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defaultThemeVersion="124226"/>
  <workbookProtection workbookPassword="8926" lockStructure="1"/>
  <bookViews>
    <workbookView xWindow="210" yWindow="270" windowWidth="20295" windowHeight="7125" tabRatio="793"/>
  </bookViews>
  <sheets>
    <sheet name="非誘" sheetId="32" r:id="rId1"/>
    <sheet name="火煙" sheetId="33" r:id="rId2"/>
    <sheet name="雷保" sheetId="34" r:id="rId3"/>
    <sheet name="電話" sheetId="35" r:id="rId4"/>
    <sheet name="放送" sheetId="36" r:id="rId5"/>
    <sheet name="TV" sheetId="37" r:id="rId6"/>
    <sheet name="S1" sheetId="38" r:id="rId7"/>
    <sheet name="S2" sheetId="39" r:id="rId8"/>
    <sheet name="S4" sheetId="40" r:id="rId9"/>
    <sheet name="S6" sheetId="41" r:id="rId10"/>
    <sheet name="S7" sheetId="4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ＣＶ" localSheetId="10">'S7'!$AM$96:$AO$110</definedName>
    <definedName name="ＣＶＴ" localSheetId="10">'S7'!$AQ$96:$AS$111</definedName>
    <definedName name="ＩＶ" localSheetId="10">'S7'!$AI$96:$AK$110</definedName>
    <definedName name="_xlnm.Print_Area" localSheetId="6">'S1'!$B$2:$CD$135</definedName>
    <definedName name="_xlnm.Print_Area" localSheetId="7">'S2'!$B$2:$AM$72</definedName>
    <definedName name="_xlnm.Print_Area" localSheetId="8">'S4'!$B$2:$AF$513</definedName>
    <definedName name="_xlnm.Print_Area" localSheetId="9">'S6'!$B$2:$Z$52</definedName>
    <definedName name="_xlnm.Print_Area" localSheetId="10">'S7'!$B$2:$AC$125</definedName>
    <definedName name="_xlnm.Print_Area" localSheetId="5">TV!$B$2:$BU$378</definedName>
    <definedName name="_xlnm.Print_Area" localSheetId="1">火煙!$B$2:$BU$232</definedName>
    <definedName name="_xlnm.Print_Area" localSheetId="3">電話!$B$2:$BU$306</definedName>
    <definedName name="_xlnm.Print_Area" localSheetId="0">非誘!$B$2:$BU$234</definedName>
    <definedName name="_xlnm.Print_Area" localSheetId="4">放送!$B$2:$BU$302</definedName>
    <definedName name="_xlnm.Print_Area" localSheetId="2">雷保!$B$2:$BU$80</definedName>
    <definedName name="ＳＣ_50">#REF!</definedName>
    <definedName name="ＳＣ_60">#REF!</definedName>
    <definedName name="SUSP" localSheetId="7">'S2'!$AV$64:$AW$78</definedName>
    <definedName name="TR1φ50" localSheetId="10">'S7'!$AN$48:$AQ$60</definedName>
    <definedName name="TR1φ60" localSheetId="10">'S7'!$AR$48:$AU$60</definedName>
    <definedName name="TR3φ50" localSheetId="10">'S7'!$AF$48:$AI$62</definedName>
    <definedName name="TR3φ60" localSheetId="10">'S7'!$AJ$49:$AM$62</definedName>
    <definedName name="TV_AP1" localSheetId="5">TV!$ES$25:$EY$205</definedName>
    <definedName name="TV_AP2" localSheetId="5">TV!$FC$18:$FI$205</definedName>
    <definedName name="TV_W" localSheetId="5">TV!$EI$25:$EO$205</definedName>
    <definedName name="TV_W" localSheetId="3">電話!$EI$25:$EO$202</definedName>
    <definedName name="火階" localSheetId="6">[1]火煙!$BY$196:$CD$215</definedName>
    <definedName name="火階" localSheetId="7">[1]火煙!$BY$196:$CD$215</definedName>
    <definedName name="火階" localSheetId="8">[1]火煙!$BY$196:$CD$215</definedName>
    <definedName name="火階" localSheetId="9">[1]火煙!$BY$196:$CD$215</definedName>
    <definedName name="火階" localSheetId="10">[1]火煙!$BY$196:$CD$215</definedName>
    <definedName name="火階">火煙!$BY$189:$CD$208</definedName>
    <definedName name="火受" localSheetId="1">火煙!$CJ$214:$CK$231</definedName>
    <definedName name="火副" localSheetId="1">火煙!$CS$214:$CT$232</definedName>
    <definedName name="火報K" localSheetId="1">火煙!$DL$17:$DS$190</definedName>
    <definedName name="火報P" localSheetId="1">火煙!$DV$17:$EC$190</definedName>
    <definedName name="火報W" localSheetId="1">火煙!$DC$17:$DJ$190</definedName>
    <definedName name="火連" localSheetId="1">火煙!$CN$214:$CO$233</definedName>
    <definedName name="階高" localSheetId="6">[1]照差!$CR$234:$DC$253</definedName>
    <definedName name="階高" localSheetId="7">[1]照差!$CR$234:$DC$253</definedName>
    <definedName name="階高" localSheetId="8">[1]照差!$CR$234:$DC$253</definedName>
    <definedName name="階高" localSheetId="9">[1]照差!$CR$234:$DC$253</definedName>
    <definedName name="階高" localSheetId="10">[1]照差!$CR$234:$DC$253</definedName>
    <definedName name="階高" localSheetId="3">[2]照差!$CR$234:$DC$253</definedName>
    <definedName name="階高">#REF!</definedName>
    <definedName name="気象">#REF!</definedName>
    <definedName name="建物">[1]建物!$E$5:$AK$3264</definedName>
    <definedName name="樹脂P" localSheetId="7">'S2'!$AT$54:$AU$63</definedName>
    <definedName name="新金P" localSheetId="7">'S2'!$AT$64:$AU$79</definedName>
    <definedName name="提出" localSheetId="6">[1]提出!$BG$6:$BS$44</definedName>
    <definedName name="提出" localSheetId="7">[1]提出!$BG$6:$BS$44</definedName>
    <definedName name="提出" localSheetId="8">[1]提出!$BG$6:$BS$44</definedName>
    <definedName name="提出" localSheetId="9">[1]提出!$BG$6:$BS$44</definedName>
    <definedName name="提出" localSheetId="10">[1]提出!$BG$6:$BS$44</definedName>
    <definedName name="提出">#REF!</definedName>
    <definedName name="電気料金" localSheetId="6">[1]受変!$BW$11:$CA$21</definedName>
    <definedName name="電気料金" localSheetId="7">[1]受変!$BW$11:$CA$21</definedName>
    <definedName name="電気料金" localSheetId="8">[1]受変!$BW$11:$CA$21</definedName>
    <definedName name="電気料金" localSheetId="9">[1]受変!$BW$11:$CA$21</definedName>
    <definedName name="電気料金" localSheetId="10">[1]受変!$BW$11:$CA$21</definedName>
    <definedName name="電気料金">#REF!</definedName>
    <definedName name="電力会社">[1]受変!$CD$13:$CE$22</definedName>
    <definedName name="電話M">電話!$DO$20:$DT$187</definedName>
    <definedName name="電話P">電話!$DF$11:$DK$185</definedName>
    <definedName name="電話W">電話!$CW$20:$DB$187</definedName>
    <definedName name="日付">#REF!</definedName>
    <definedName name="日付1">#REF!</definedName>
    <definedName name="配線器具" localSheetId="7">'S2'!$AQ$50:$AS$76</definedName>
    <definedName name="盤位置">#REF!</definedName>
    <definedName name="非誘L" localSheetId="0">非誘!$DI$17:$DP$179</definedName>
    <definedName name="非誘L" localSheetId="4">放送!$DM$17:$DT$179</definedName>
    <definedName name="非誘W" localSheetId="0">非誘!$CZ$17:$DG$179</definedName>
    <definedName name="非誘W" localSheetId="4">放送!$DD$17:$DK$179</definedName>
    <definedName name="放P">放送!$DI$13:$DN$198</definedName>
    <definedName name="放W">放送!$CZ$13:$DE$198</definedName>
    <definedName name="放機">放送!$DR$13:$DW$293</definedName>
    <definedName name="面積">#REF!</definedName>
    <definedName name="面積階">#REF!</definedName>
    <definedName name="雷1" localSheetId="2">雷保!$BW$33:$CJ$41</definedName>
    <definedName name="雷2" localSheetId="2">雷保!$BW$12:$CJ$31</definedName>
    <definedName name="雷集_1" localSheetId="2">雷保!$CH$44:$CP$78</definedName>
    <definedName name="雷集_2" localSheetId="2">雷保!$CR$44:$CZ$79</definedName>
    <definedName name="令別照">#REF!</definedName>
    <definedName name="令別表">#REF!</definedName>
    <definedName name="枠" localSheetId="7">'S2'!$AT$50:$AU$52</definedName>
  </definedNames>
  <calcPr calcId="145621"/>
</workbook>
</file>

<file path=xl/calcChain.xml><?xml version="1.0" encoding="utf-8"?>
<calcChain xmlns="http://schemas.openxmlformats.org/spreadsheetml/2006/main">
  <c r="BZ122" i="32" l="1"/>
  <c r="BZ121" i="32"/>
  <c r="CB122" i="32" s="1"/>
  <c r="BN122" i="32"/>
  <c r="BI122" i="32"/>
  <c r="BN121" i="32"/>
  <c r="BI121" i="32"/>
  <c r="BW13" i="32" l="1"/>
  <c r="AG10" i="32" l="1"/>
  <c r="BO7" i="37" l="1"/>
  <c r="BO14" i="35"/>
  <c r="BP9" i="35"/>
  <c r="BN5" i="34"/>
  <c r="BY11" i="37" l="1"/>
  <c r="BY10" i="37"/>
  <c r="BX11" i="37"/>
  <c r="BX10" i="37"/>
  <c r="BY8" i="34"/>
  <c r="BY4" i="34"/>
  <c r="BY3" i="34"/>
  <c r="CF208" i="33"/>
  <c r="CF207" i="33"/>
  <c r="CF206" i="33"/>
  <c r="CF205" i="33"/>
  <c r="CF204" i="33"/>
  <c r="CF203" i="33"/>
  <c r="CF202" i="33"/>
  <c r="CF201" i="33"/>
  <c r="CF200" i="33"/>
  <c r="CF199" i="33"/>
  <c r="CF198" i="33"/>
  <c r="CF197" i="33"/>
  <c r="CF196" i="33"/>
  <c r="CF195" i="33"/>
  <c r="CF194" i="33"/>
  <c r="CF193" i="33"/>
  <c r="CF192" i="33"/>
  <c r="CF191" i="33"/>
  <c r="CF190" i="33"/>
  <c r="CF189" i="33"/>
  <c r="BP10" i="32" l="1"/>
  <c r="AA8" i="34"/>
  <c r="BA362" i="37"/>
  <c r="BA361" i="37"/>
  <c r="BA359" i="37"/>
  <c r="AZ246" i="36"/>
  <c r="AZ245" i="36"/>
  <c r="AZ232" i="36"/>
  <c r="BA299" i="35"/>
  <c r="BA298" i="35"/>
  <c r="BA296" i="35"/>
  <c r="AZ210" i="33"/>
  <c r="AZ209" i="33"/>
  <c r="AZ164" i="32"/>
  <c r="AY189" i="33"/>
  <c r="AZ177" i="32"/>
  <c r="AZ176" i="32"/>
  <c r="AD137" i="32"/>
  <c r="AA137" i="32"/>
  <c r="W137" i="32"/>
  <c r="S137" i="32"/>
  <c r="N137" i="32"/>
  <c r="J137" i="32"/>
  <c r="F137" i="32"/>
  <c r="C137" i="32"/>
  <c r="V136" i="32"/>
  <c r="J136" i="32"/>
  <c r="AA135" i="32"/>
  <c r="M135" i="32"/>
  <c r="J135" i="32"/>
  <c r="AD131" i="32"/>
  <c r="AA131" i="32"/>
  <c r="W131" i="32"/>
  <c r="S131" i="32"/>
  <c r="N131" i="32"/>
  <c r="J131" i="32"/>
  <c r="F131" i="32"/>
  <c r="C131" i="32"/>
  <c r="V130" i="32"/>
  <c r="J130" i="32"/>
  <c r="AA129" i="32"/>
  <c r="M129" i="32"/>
  <c r="J129" i="32"/>
  <c r="AD125" i="32"/>
  <c r="AA125" i="32"/>
  <c r="W125" i="32"/>
  <c r="S125" i="32"/>
  <c r="N125" i="32"/>
  <c r="J125" i="32"/>
  <c r="F125" i="32"/>
  <c r="C125" i="32"/>
  <c r="V124" i="32"/>
  <c r="J124" i="32"/>
  <c r="AA123" i="32"/>
  <c r="M123" i="32"/>
  <c r="J123" i="32"/>
  <c r="AD119" i="32"/>
  <c r="AA119" i="32"/>
  <c r="W119" i="32"/>
  <c r="S119" i="32"/>
  <c r="N119" i="32"/>
  <c r="J119" i="32"/>
  <c r="F119" i="32"/>
  <c r="C119" i="32"/>
  <c r="V118" i="32"/>
  <c r="J118" i="32"/>
  <c r="AA117" i="32"/>
  <c r="M117" i="32"/>
  <c r="J117" i="32"/>
  <c r="AD113" i="32"/>
  <c r="AA113" i="32"/>
  <c r="W113" i="32"/>
  <c r="S113" i="32"/>
  <c r="N113" i="32"/>
  <c r="J113" i="32"/>
  <c r="F113" i="32"/>
  <c r="C113" i="32"/>
  <c r="J112" i="32"/>
  <c r="AA111" i="32"/>
  <c r="M111" i="32"/>
  <c r="J111" i="32"/>
  <c r="AD107" i="32"/>
  <c r="AA107" i="32"/>
  <c r="W107" i="32"/>
  <c r="S107" i="32"/>
  <c r="N107" i="32"/>
  <c r="J107" i="32"/>
  <c r="F107" i="32"/>
  <c r="V106" i="32"/>
  <c r="J106" i="32"/>
  <c r="M105" i="32"/>
  <c r="J105" i="32"/>
  <c r="AD101" i="32"/>
  <c r="AA101" i="32"/>
  <c r="W101" i="32"/>
  <c r="S101" i="32"/>
  <c r="N101" i="32"/>
  <c r="J101" i="32"/>
  <c r="F101" i="32"/>
  <c r="C101" i="32"/>
  <c r="V100" i="32"/>
  <c r="J100" i="32"/>
  <c r="M99" i="32"/>
  <c r="J99" i="32"/>
  <c r="AD95" i="32"/>
  <c r="AA95" i="32"/>
  <c r="W95" i="32"/>
  <c r="S95" i="32"/>
  <c r="N95" i="32"/>
  <c r="J95" i="32"/>
  <c r="F95" i="32"/>
  <c r="C95" i="32"/>
  <c r="V94" i="32"/>
  <c r="J94" i="32"/>
  <c r="M93" i="32"/>
  <c r="J93" i="32"/>
  <c r="AD89" i="32"/>
  <c r="AA89" i="32"/>
  <c r="W89" i="32"/>
  <c r="S89" i="32"/>
  <c r="N89" i="32"/>
  <c r="J89" i="32"/>
  <c r="F89" i="32"/>
  <c r="C89" i="32"/>
  <c r="V88" i="32"/>
  <c r="J88" i="32"/>
  <c r="M87" i="32"/>
  <c r="J87" i="32"/>
  <c r="AD78" i="32"/>
  <c r="AA78" i="32"/>
  <c r="W78" i="32"/>
  <c r="S78" i="32"/>
  <c r="N78" i="32"/>
  <c r="J78" i="32"/>
  <c r="F78" i="32"/>
  <c r="C78" i="32"/>
  <c r="V77" i="32"/>
  <c r="J77" i="32"/>
  <c r="M76" i="32"/>
  <c r="J76" i="32"/>
  <c r="AD72" i="32"/>
  <c r="AA72" i="32"/>
  <c r="W72" i="32"/>
  <c r="S72" i="32"/>
  <c r="N72" i="32"/>
  <c r="J72" i="32"/>
  <c r="F72" i="32"/>
  <c r="C72" i="32"/>
  <c r="V71" i="32"/>
  <c r="J71" i="32"/>
  <c r="M70" i="32"/>
  <c r="J70" i="32"/>
  <c r="AD66" i="32"/>
  <c r="AA66" i="32"/>
  <c r="W66" i="32"/>
  <c r="S66" i="32"/>
  <c r="N66" i="32"/>
  <c r="J66" i="32"/>
  <c r="F66" i="32"/>
  <c r="C66" i="32"/>
  <c r="BO298" i="35" l="1"/>
  <c r="BO361" i="37"/>
  <c r="BF131" i="32"/>
  <c r="BF132" i="32"/>
  <c r="BO132" i="32" s="1"/>
  <c r="BO131" i="32"/>
  <c r="BF138" i="32"/>
  <c r="BO138" i="32" s="1"/>
  <c r="BO137" i="32"/>
  <c r="BF137" i="32"/>
  <c r="BF95" i="32"/>
  <c r="AQ98" i="32"/>
  <c r="AQ97" i="32"/>
  <c r="BF96" i="32"/>
  <c r="BO96" i="32" s="1"/>
  <c r="BO119" i="32"/>
  <c r="AQ122" i="32"/>
  <c r="BF120" i="32"/>
  <c r="BO120" i="32" s="1"/>
  <c r="AQ121" i="32"/>
  <c r="BF119" i="32"/>
  <c r="AQ69" i="32"/>
  <c r="AQ68" i="32"/>
  <c r="BF67" i="32"/>
  <c r="BO67" i="32" s="1"/>
  <c r="BF66" i="32"/>
  <c r="BF114" i="32"/>
  <c r="BO114" i="32" s="1"/>
  <c r="AQ115" i="32"/>
  <c r="BF113" i="32"/>
  <c r="AQ116" i="32"/>
  <c r="AQ75" i="32"/>
  <c r="AQ74" i="32"/>
  <c r="BF72" i="32"/>
  <c r="BF73" i="32"/>
  <c r="BO73" i="32" s="1"/>
  <c r="AQ92" i="32"/>
  <c r="BF90" i="32"/>
  <c r="BO90" i="32" s="1"/>
  <c r="AQ91" i="32"/>
  <c r="BF89" i="32"/>
  <c r="AQ104" i="32"/>
  <c r="AQ103" i="32"/>
  <c r="BF102" i="32"/>
  <c r="BO102" i="32" s="1"/>
  <c r="BF101" i="32"/>
  <c r="BF79" i="32"/>
  <c r="BO79" i="32" s="1"/>
  <c r="AQ80" i="32"/>
  <c r="BF78" i="32"/>
  <c r="AQ81" i="32"/>
  <c r="BO125" i="32"/>
  <c r="BF125" i="32"/>
  <c r="AQ128" i="32"/>
  <c r="AQ127" i="32"/>
  <c r="BF126" i="32"/>
  <c r="BO126" i="32" s="1"/>
  <c r="AQ134" i="32"/>
  <c r="AQ133" i="32"/>
  <c r="AQ139" i="32"/>
  <c r="AQ140" i="32"/>
  <c r="BN176" i="32"/>
  <c r="BN209" i="33"/>
  <c r="BN245" i="36"/>
  <c r="AA64" i="32"/>
  <c r="V65" i="32"/>
  <c r="J65" i="32"/>
  <c r="M64" i="32"/>
  <c r="J64" i="32"/>
  <c r="AD60" i="32"/>
  <c r="AA60" i="32"/>
  <c r="W60" i="32"/>
  <c r="S60" i="32"/>
  <c r="N60" i="32"/>
  <c r="J60" i="32"/>
  <c r="F60" i="32"/>
  <c r="C60" i="32"/>
  <c r="V59" i="32"/>
  <c r="J59" i="32"/>
  <c r="M58" i="32"/>
  <c r="J58" i="32"/>
  <c r="AD54" i="32"/>
  <c r="AA54" i="32"/>
  <c r="W54" i="32"/>
  <c r="S54" i="32"/>
  <c r="N54" i="32"/>
  <c r="J54" i="32"/>
  <c r="F54" i="32"/>
  <c r="C54" i="32"/>
  <c r="J53" i="32"/>
  <c r="M52" i="32"/>
  <c r="J52" i="32"/>
  <c r="AD48" i="32"/>
  <c r="AA48" i="32"/>
  <c r="W48" i="32"/>
  <c r="S48" i="32"/>
  <c r="N48" i="32"/>
  <c r="J48" i="32"/>
  <c r="F48" i="32"/>
  <c r="C48" i="32"/>
  <c r="V47" i="32"/>
  <c r="J47" i="32"/>
  <c r="M46" i="32"/>
  <c r="J46" i="32"/>
  <c r="AD42" i="32"/>
  <c r="AA42" i="32"/>
  <c r="W42" i="32"/>
  <c r="S42" i="32"/>
  <c r="N42" i="32"/>
  <c r="J42" i="32"/>
  <c r="F42" i="32"/>
  <c r="C42" i="32"/>
  <c r="V41" i="32"/>
  <c r="J41" i="32"/>
  <c r="M40" i="32"/>
  <c r="J40" i="32"/>
  <c r="AD36" i="32"/>
  <c r="AA36" i="32"/>
  <c r="W36" i="32"/>
  <c r="S36" i="32"/>
  <c r="N36" i="32"/>
  <c r="J36" i="32"/>
  <c r="F36" i="32"/>
  <c r="C36" i="32"/>
  <c r="V35" i="32"/>
  <c r="J35" i="32"/>
  <c r="M34" i="32"/>
  <c r="J34" i="32"/>
  <c r="AD30" i="32"/>
  <c r="AA30" i="32"/>
  <c r="W30" i="32"/>
  <c r="S30" i="32"/>
  <c r="N30" i="32"/>
  <c r="J30" i="32"/>
  <c r="J29" i="32"/>
  <c r="M28" i="32"/>
  <c r="J28" i="32"/>
  <c r="AD24" i="32"/>
  <c r="AA24" i="32"/>
  <c r="W24" i="32"/>
  <c r="S24" i="32"/>
  <c r="N24" i="32"/>
  <c r="J24" i="32"/>
  <c r="F24" i="32"/>
  <c r="C24" i="32"/>
  <c r="J23" i="32"/>
  <c r="M22" i="32"/>
  <c r="J22" i="32"/>
  <c r="AD18" i="32"/>
  <c r="AA18" i="32"/>
  <c r="W18" i="32"/>
  <c r="S18" i="32"/>
  <c r="N18" i="32"/>
  <c r="F18" i="32"/>
  <c r="C18" i="32"/>
  <c r="V17" i="32"/>
  <c r="M16" i="32"/>
  <c r="J18" i="32"/>
  <c r="J17" i="32"/>
  <c r="J16" i="32"/>
  <c r="C107" i="32"/>
  <c r="AA105" i="32"/>
  <c r="AA99" i="32"/>
  <c r="AA93" i="32"/>
  <c r="AA87" i="32"/>
  <c r="AA76" i="32"/>
  <c r="AA70" i="32"/>
  <c r="AA58" i="32"/>
  <c r="V53" i="32"/>
  <c r="AA52" i="32"/>
  <c r="AA46" i="32"/>
  <c r="AA40" i="32"/>
  <c r="AA34" i="32"/>
  <c r="F30" i="32"/>
  <c r="C30" i="32"/>
  <c r="V29" i="32"/>
  <c r="AA28" i="32"/>
  <c r="V23" i="32"/>
  <c r="AA16" i="32"/>
  <c r="AA22" i="32"/>
  <c r="BF108" i="32" l="1"/>
  <c r="BO108" i="32" s="1"/>
  <c r="AQ109" i="32"/>
  <c r="AQ110" i="32"/>
  <c r="BF107" i="32"/>
  <c r="BF25" i="32"/>
  <c r="BO25" i="32" s="1"/>
  <c r="AQ26" i="32"/>
  <c r="BF24" i="32"/>
  <c r="AQ27" i="32"/>
  <c r="BF54" i="32"/>
  <c r="BF55" i="32"/>
  <c r="BO55" i="32" s="1"/>
  <c r="AQ57" i="32"/>
  <c r="AQ56" i="32"/>
  <c r="BF43" i="32"/>
  <c r="BO43" i="32" s="1"/>
  <c r="BF42" i="32"/>
  <c r="AQ45" i="32"/>
  <c r="AQ44" i="32"/>
  <c r="AQ32" i="32"/>
  <c r="BF30" i="32"/>
  <c r="BF31" i="32"/>
  <c r="BO31" i="32" s="1"/>
  <c r="AQ33" i="32"/>
  <c r="BF61" i="32"/>
  <c r="BO61" i="32" s="1"/>
  <c r="AQ62" i="32"/>
  <c r="BF60" i="32"/>
  <c r="AQ63" i="32"/>
  <c r="AQ51" i="32"/>
  <c r="AQ50" i="32"/>
  <c r="BF48" i="32"/>
  <c r="BF49" i="32"/>
  <c r="BO49" i="32" s="1"/>
  <c r="AQ21" i="32"/>
  <c r="AZ21" i="32" s="1"/>
  <c r="AQ20" i="32"/>
  <c r="BF19" i="32"/>
  <c r="BO19" i="32" s="1"/>
  <c r="BF18" i="32"/>
  <c r="AQ39" i="32"/>
  <c r="BF37" i="32"/>
  <c r="BO37" i="32" s="1"/>
  <c r="AQ38" i="32"/>
  <c r="BF36" i="32"/>
  <c r="E3" i="37"/>
  <c r="B3" i="37"/>
  <c r="E3" i="36"/>
  <c r="B3" i="36"/>
  <c r="E3" i="35"/>
  <c r="B3" i="35"/>
  <c r="E3" i="34"/>
  <c r="B3" i="34"/>
  <c r="E3" i="33"/>
  <c r="B3" i="33"/>
  <c r="E3" i="32"/>
  <c r="B3" i="32"/>
  <c r="B10" i="42" l="1"/>
  <c r="B11" i="42" s="1"/>
  <c r="B12" i="42" s="1"/>
  <c r="B13" i="42" s="1"/>
  <c r="F10" i="42"/>
  <c r="AF10" i="42"/>
  <c r="F11" i="42"/>
  <c r="H11" i="42"/>
  <c r="Y11" i="42"/>
  <c r="AA11" i="42" s="1"/>
  <c r="AF11" i="42"/>
  <c r="AG11" i="42" s="1"/>
  <c r="R11" i="42" s="1"/>
  <c r="W11" i="42" s="1"/>
  <c r="F12" i="42"/>
  <c r="H12" i="42"/>
  <c r="Y12" i="42"/>
  <c r="AA12" i="42" s="1"/>
  <c r="AF12" i="42"/>
  <c r="AG12" i="42" s="1"/>
  <c r="R12" i="42" s="1"/>
  <c r="W12" i="42" s="1"/>
  <c r="F13" i="42"/>
  <c r="Y13" i="42"/>
  <c r="AA13" i="42" s="1"/>
  <c r="AF13" i="42"/>
  <c r="H13" i="42" s="1"/>
  <c r="AG13" i="42"/>
  <c r="R13" i="42" s="1"/>
  <c r="W13" i="42" s="1"/>
  <c r="B14" i="42"/>
  <c r="F14" i="42"/>
  <c r="R14" i="42"/>
  <c r="W14" i="42"/>
  <c r="Y14" i="42"/>
  <c r="AA14" i="42" s="1"/>
  <c r="AF14" i="42"/>
  <c r="H14" i="42" s="1"/>
  <c r="AG14" i="42"/>
  <c r="B15" i="42"/>
  <c r="B16" i="42" s="1"/>
  <c r="B17" i="42" s="1"/>
  <c r="B18" i="42" s="1"/>
  <c r="B19" i="42" s="1"/>
  <c r="F15" i="42"/>
  <c r="Y15" i="42"/>
  <c r="AA15" i="42" s="1"/>
  <c r="AF15" i="42"/>
  <c r="H15" i="42" s="1"/>
  <c r="AG15" i="42"/>
  <c r="R15" i="42" s="1"/>
  <c r="W15" i="42" s="1"/>
  <c r="F16" i="42"/>
  <c r="AF16" i="42"/>
  <c r="H16" i="42" s="1"/>
  <c r="AG16" i="42"/>
  <c r="R16" i="42" s="1"/>
  <c r="W16" i="42" s="1"/>
  <c r="Y16" i="42" s="1"/>
  <c r="AA16" i="42" s="1"/>
  <c r="F17" i="42"/>
  <c r="AF17" i="42"/>
  <c r="F18" i="42"/>
  <c r="Y18" i="42"/>
  <c r="AA18" i="42" s="1"/>
  <c r="AF18" i="42"/>
  <c r="F19" i="42"/>
  <c r="Y19" i="42"/>
  <c r="AA19" i="42" s="1"/>
  <c r="AF19" i="42"/>
  <c r="AG19" i="42" s="1"/>
  <c r="R19" i="42" s="1"/>
  <c r="W19" i="42" s="1"/>
  <c r="AI49" i="42"/>
  <c r="AM49" i="42"/>
  <c r="AQ49" i="42"/>
  <c r="AU49" i="42"/>
  <c r="AI50" i="42"/>
  <c r="AM50" i="42"/>
  <c r="AQ50" i="42"/>
  <c r="AU50" i="42"/>
  <c r="AI51" i="42"/>
  <c r="AM51" i="42"/>
  <c r="AQ51" i="42"/>
  <c r="AU51" i="42"/>
  <c r="D52" i="42"/>
  <c r="H52" i="42"/>
  <c r="L52" i="42"/>
  <c r="P52" i="42"/>
  <c r="U52" i="42"/>
  <c r="T52" i="42" s="1"/>
  <c r="Y52" i="42"/>
  <c r="AI52" i="42"/>
  <c r="AM52" i="42"/>
  <c r="AQ52" i="42"/>
  <c r="AU52" i="42"/>
  <c r="AI53" i="42"/>
  <c r="AM53" i="42"/>
  <c r="AQ53" i="42"/>
  <c r="AU53" i="42"/>
  <c r="D54" i="42"/>
  <c r="H54" i="42"/>
  <c r="O54" i="42"/>
  <c r="P54" i="42"/>
  <c r="U54" i="42"/>
  <c r="T54" i="42" s="1"/>
  <c r="X54" i="42"/>
  <c r="Y54" i="42"/>
  <c r="AI54" i="42"/>
  <c r="AM54" i="42"/>
  <c r="AQ54" i="42"/>
  <c r="AU54" i="42"/>
  <c r="AI55" i="42"/>
  <c r="AM55" i="42"/>
  <c r="AQ55" i="42"/>
  <c r="AU55" i="42"/>
  <c r="AI56" i="42"/>
  <c r="AM56" i="42"/>
  <c r="AQ56" i="42"/>
  <c r="AU56" i="42"/>
  <c r="AI57" i="42"/>
  <c r="AM57" i="42"/>
  <c r="AQ57" i="42"/>
  <c r="AU57" i="42"/>
  <c r="D58" i="42"/>
  <c r="H58" i="42"/>
  <c r="L58" i="42"/>
  <c r="P58" i="42"/>
  <c r="U58" i="42"/>
  <c r="X58" i="42" s="1"/>
  <c r="Y58" i="42"/>
  <c r="AI58" i="42"/>
  <c r="AM58" i="42"/>
  <c r="AQ58" i="42"/>
  <c r="AU58" i="42"/>
  <c r="AI59" i="42"/>
  <c r="AM59" i="42"/>
  <c r="AQ59" i="42"/>
  <c r="AU59" i="42"/>
  <c r="D60" i="42"/>
  <c r="H60" i="42"/>
  <c r="O60" i="42"/>
  <c r="P60" i="42"/>
  <c r="U60" i="42"/>
  <c r="T60" i="42" s="1"/>
  <c r="X60" i="42"/>
  <c r="Y60" i="42"/>
  <c r="AI60" i="42"/>
  <c r="AM60" i="42"/>
  <c r="AQ60" i="42"/>
  <c r="AU60" i="42"/>
  <c r="AI61" i="42"/>
  <c r="AM61" i="42"/>
  <c r="AI62" i="42"/>
  <c r="AM62" i="42"/>
  <c r="T68" i="42"/>
  <c r="AJ68" i="42"/>
  <c r="AJ81" i="42" s="1"/>
  <c r="AK68" i="42"/>
  <c r="AQ68" i="42"/>
  <c r="AQ81" i="42" s="1"/>
  <c r="AR68" i="42"/>
  <c r="AJ69" i="42"/>
  <c r="AK69" i="42"/>
  <c r="AK82" i="42" s="1"/>
  <c r="AQ69" i="42"/>
  <c r="AR69" i="42"/>
  <c r="AR82" i="42" s="1"/>
  <c r="AJ70" i="42"/>
  <c r="AJ83" i="42" s="1"/>
  <c r="AK70" i="42"/>
  <c r="AQ70" i="42"/>
  <c r="AR70" i="42"/>
  <c r="AJ71" i="42"/>
  <c r="AK71" i="42"/>
  <c r="AK84" i="42" s="1"/>
  <c r="AQ71" i="42"/>
  <c r="AR71" i="42"/>
  <c r="AR84" i="42" s="1"/>
  <c r="AJ72" i="42"/>
  <c r="AK72" i="42"/>
  <c r="AQ72" i="42"/>
  <c r="AO85" i="42" s="1"/>
  <c r="AR72" i="42"/>
  <c r="AJ73" i="42"/>
  <c r="AK73" i="42"/>
  <c r="AK86" i="42" s="1"/>
  <c r="AQ73" i="42"/>
  <c r="AR73" i="42"/>
  <c r="AR86" i="42" s="1"/>
  <c r="AJ74" i="42"/>
  <c r="AJ87" i="42" s="1"/>
  <c r="AK74" i="42"/>
  <c r="AQ74" i="42"/>
  <c r="AR74" i="42"/>
  <c r="AJ75" i="42"/>
  <c r="AK75" i="42"/>
  <c r="AK88" i="42" s="1"/>
  <c r="AQ75" i="42"/>
  <c r="AR75" i="42"/>
  <c r="AJ76" i="42"/>
  <c r="AJ89" i="42" s="1"/>
  <c r="AK76" i="42"/>
  <c r="AQ76" i="42"/>
  <c r="AQ89" i="42" s="1"/>
  <c r="AO89" i="42" s="1"/>
  <c r="AR76" i="42"/>
  <c r="AJ77" i="42"/>
  <c r="AK77" i="42"/>
  <c r="AQ77" i="42"/>
  <c r="AR77" i="42"/>
  <c r="AP90" i="42" s="1"/>
  <c r="C81" i="42"/>
  <c r="AK81" i="42"/>
  <c r="AN81" i="42"/>
  <c r="AR81" i="42"/>
  <c r="AP81" i="42" s="1"/>
  <c r="AS81" i="42"/>
  <c r="AT81" i="42" s="1"/>
  <c r="AJ82" i="42"/>
  <c r="AN82" i="42"/>
  <c r="AQ82" i="42"/>
  <c r="AS82" i="42"/>
  <c r="AT82" i="42" s="1"/>
  <c r="AK83" i="42"/>
  <c r="AN83" i="42"/>
  <c r="AQ83" i="42"/>
  <c r="AR83" i="42"/>
  <c r="AS83" i="42"/>
  <c r="AT83" i="42" s="1"/>
  <c r="AJ84" i="42"/>
  <c r="AN84" i="42"/>
  <c r="AS84" i="42"/>
  <c r="AT84" i="42" s="1"/>
  <c r="C85" i="42"/>
  <c r="X85" i="42"/>
  <c r="AJ85" i="42"/>
  <c r="AK85" i="42"/>
  <c r="AN85" i="42"/>
  <c r="AP85" i="42"/>
  <c r="AQ85" i="42"/>
  <c r="AR85" i="42"/>
  <c r="AS85" i="42"/>
  <c r="AT85" i="42"/>
  <c r="AJ86" i="42"/>
  <c r="AN86" i="42"/>
  <c r="AQ86" i="42"/>
  <c r="AS86" i="42"/>
  <c r="AT86" i="42"/>
  <c r="AK87" i="42"/>
  <c r="AN87" i="42"/>
  <c r="AR87" i="42"/>
  <c r="AS87" i="42"/>
  <c r="AT87" i="42"/>
  <c r="AJ88" i="42"/>
  <c r="AN88" i="42"/>
  <c r="AR88" i="42"/>
  <c r="AS88" i="42"/>
  <c r="AT88" i="42"/>
  <c r="AK89" i="42"/>
  <c r="AN89" i="42"/>
  <c r="AR89" i="42"/>
  <c r="AS89" i="42"/>
  <c r="AT89" i="42" s="1"/>
  <c r="C90" i="42"/>
  <c r="Z90" i="42" s="1"/>
  <c r="X90" i="42"/>
  <c r="AJ90" i="42"/>
  <c r="AK90" i="42"/>
  <c r="AN90" i="42"/>
  <c r="AO90" i="42"/>
  <c r="AQ90" i="42"/>
  <c r="AR90" i="42"/>
  <c r="AS90" i="42"/>
  <c r="AT90" i="42"/>
  <c r="H103" i="42"/>
  <c r="U106" i="42"/>
  <c r="J108" i="42" s="1"/>
  <c r="Y106" i="42"/>
  <c r="G107" i="42"/>
  <c r="N107" i="42"/>
  <c r="U107" i="42"/>
  <c r="E117" i="42"/>
  <c r="F120" i="42"/>
  <c r="G120" i="42"/>
  <c r="G121" i="42" s="1"/>
  <c r="O120" i="42"/>
  <c r="P120" i="42"/>
  <c r="P172" i="42" s="1"/>
  <c r="O172" i="42" s="1"/>
  <c r="W120" i="42"/>
  <c r="V120" i="42" s="1"/>
  <c r="W121" i="42"/>
  <c r="V121" i="42" s="1"/>
  <c r="X127" i="42"/>
  <c r="D128" i="42"/>
  <c r="I129" i="42" s="1"/>
  <c r="I128" i="42"/>
  <c r="AC128" i="42" s="1"/>
  <c r="I132" i="42"/>
  <c r="N133" i="42"/>
  <c r="I136" i="42"/>
  <c r="N136" i="42"/>
  <c r="I140" i="42"/>
  <c r="I141" i="42"/>
  <c r="N141" i="42"/>
  <c r="I144" i="42"/>
  <c r="N144" i="42"/>
  <c r="I146" i="42"/>
  <c r="N148" i="42"/>
  <c r="I149" i="42"/>
  <c r="N149" i="42"/>
  <c r="I150" i="42"/>
  <c r="I153" i="42"/>
  <c r="N153" i="42"/>
  <c r="I154" i="42"/>
  <c r="I156" i="42"/>
  <c r="N156" i="42"/>
  <c r="I157" i="42"/>
  <c r="I160" i="42"/>
  <c r="N160" i="42"/>
  <c r="I161" i="42"/>
  <c r="N161" i="42"/>
  <c r="I162" i="42"/>
  <c r="I164" i="42"/>
  <c r="N165" i="42"/>
  <c r="I166" i="42"/>
  <c r="E169" i="42"/>
  <c r="K169" i="42"/>
  <c r="J169" i="42" s="1"/>
  <c r="Q169" i="42"/>
  <c r="P169" i="42" s="1"/>
  <c r="W169" i="42"/>
  <c r="V169" i="42" s="1"/>
  <c r="G171" i="42"/>
  <c r="P171" i="42"/>
  <c r="W171" i="42"/>
  <c r="V171" i="42" s="1"/>
  <c r="G172" i="42"/>
  <c r="F172" i="42" s="1"/>
  <c r="W172" i="42"/>
  <c r="D175" i="42" s="1"/>
  <c r="E216" i="42"/>
  <c r="D216" i="42" s="1"/>
  <c r="K216" i="42"/>
  <c r="J216" i="42" s="1"/>
  <c r="Q216" i="42"/>
  <c r="P216" i="42" s="1"/>
  <c r="W216" i="42"/>
  <c r="V216" i="42" s="1"/>
  <c r="G218" i="42"/>
  <c r="P218" i="42"/>
  <c r="W218" i="42"/>
  <c r="V218" i="42" s="1"/>
  <c r="W219" i="42"/>
  <c r="V219" i="42" s="1"/>
  <c r="X221" i="42"/>
  <c r="I32" i="41"/>
  <c r="F36" i="41" s="1"/>
  <c r="R32" i="41"/>
  <c r="S36" i="41" s="1"/>
  <c r="Z32" i="41"/>
  <c r="Y36" i="41" s="1"/>
  <c r="Q36" i="41"/>
  <c r="J37" i="41"/>
  <c r="O37" i="41"/>
  <c r="F39" i="41"/>
  <c r="O39" i="41"/>
  <c r="W40" i="41"/>
  <c r="H41" i="41"/>
  <c r="U41" i="41"/>
  <c r="H42" i="41"/>
  <c r="S42" i="41"/>
  <c r="U42" i="41"/>
  <c r="Y42" i="41"/>
  <c r="Q43" i="41"/>
  <c r="S43" i="41"/>
  <c r="W43" i="41"/>
  <c r="F44" i="41"/>
  <c r="O44" i="41"/>
  <c r="Q44" i="41"/>
  <c r="U44" i="41"/>
  <c r="H45" i="41"/>
  <c r="J45" i="41"/>
  <c r="O45" i="41"/>
  <c r="S45" i="41"/>
  <c r="J46" i="41"/>
  <c r="Q46" i="41"/>
  <c r="W46" i="41"/>
  <c r="H47" i="41"/>
  <c r="J47" i="41"/>
  <c r="S47" i="41"/>
  <c r="W47" i="41"/>
  <c r="J48" i="41"/>
  <c r="Y48" i="41"/>
  <c r="AD2" i="40"/>
  <c r="AD188" i="40" s="1"/>
  <c r="H14" i="40"/>
  <c r="R31" i="40"/>
  <c r="V31" i="40"/>
  <c r="X31" i="40"/>
  <c r="Z31" i="40"/>
  <c r="AB31" i="40"/>
  <c r="AD31" i="40"/>
  <c r="AF31" i="40"/>
  <c r="T34" i="40"/>
  <c r="X34" i="40"/>
  <c r="AE34" i="40"/>
  <c r="AC49" i="40" s="1"/>
  <c r="AA40" i="40"/>
  <c r="M42" i="40"/>
  <c r="O42" i="40"/>
  <c r="U42" i="40" s="1"/>
  <c r="Q42" i="40"/>
  <c r="S48" i="40"/>
  <c r="AC48" i="40"/>
  <c r="AA50" i="40" s="1"/>
  <c r="S49" i="40"/>
  <c r="E50" i="40"/>
  <c r="F50" i="40"/>
  <c r="I50" i="40"/>
  <c r="L50" i="40"/>
  <c r="I51" i="40"/>
  <c r="E52" i="40"/>
  <c r="G54" i="40" s="1"/>
  <c r="J52" i="40"/>
  <c r="I59" i="40"/>
  <c r="S59" i="40"/>
  <c r="AC59" i="40"/>
  <c r="K64" i="40"/>
  <c r="AC64" i="40"/>
  <c r="K65" i="40"/>
  <c r="AC65" i="40"/>
  <c r="AD65" i="40"/>
  <c r="K66" i="40"/>
  <c r="AC66" i="40"/>
  <c r="AD66" i="40"/>
  <c r="H76" i="40"/>
  <c r="R93" i="40"/>
  <c r="V93" i="40"/>
  <c r="X93" i="40"/>
  <c r="Z93" i="40"/>
  <c r="AB93" i="40"/>
  <c r="AD93" i="40"/>
  <c r="AF93" i="40"/>
  <c r="T96" i="40"/>
  <c r="X96" i="40"/>
  <c r="AE96" i="40"/>
  <c r="AA102" i="40"/>
  <c r="M104" i="40"/>
  <c r="O104" i="40" s="1"/>
  <c r="K112" i="40" s="1"/>
  <c r="Q104" i="40"/>
  <c r="U104" i="40"/>
  <c r="AC110" i="40"/>
  <c r="AA112" i="40" s="1"/>
  <c r="S111" i="40"/>
  <c r="AC111" i="40"/>
  <c r="E112" i="40"/>
  <c r="F112" i="40"/>
  <c r="I112" i="40"/>
  <c r="L112" i="40"/>
  <c r="I113" i="40"/>
  <c r="J114" i="40"/>
  <c r="I121" i="40"/>
  <c r="I123" i="40" s="1"/>
  <c r="S121" i="40"/>
  <c r="S123" i="40" s="1"/>
  <c r="AC121" i="40"/>
  <c r="AC122" i="40"/>
  <c r="AC123" i="40"/>
  <c r="K126" i="40"/>
  <c r="AC126" i="40"/>
  <c r="K127" i="40"/>
  <c r="AC127" i="40"/>
  <c r="AD127" i="40"/>
  <c r="K128" i="40"/>
  <c r="AC128" i="40"/>
  <c r="AD128" i="40"/>
  <c r="W144" i="40"/>
  <c r="Z155" i="40"/>
  <c r="AB155" i="40"/>
  <c r="AD155" i="40"/>
  <c r="AF155" i="40"/>
  <c r="T158" i="40"/>
  <c r="X158" i="40"/>
  <c r="AE158" i="40"/>
  <c r="AA163" i="40"/>
  <c r="AA165" i="40" s="1"/>
  <c r="AD183" i="40" s="1"/>
  <c r="L165" i="40"/>
  <c r="Q165" i="40" s="1"/>
  <c r="Z171" i="40"/>
  <c r="G173" i="40"/>
  <c r="F174" i="40"/>
  <c r="J174" i="40"/>
  <c r="Y174" i="40"/>
  <c r="Z176" i="40"/>
  <c r="F181" i="40"/>
  <c r="K181" i="40"/>
  <c r="Z181" i="40"/>
  <c r="AD182" i="40"/>
  <c r="AE182" i="40"/>
  <c r="K188" i="40"/>
  <c r="AC188" i="40"/>
  <c r="K189" i="40"/>
  <c r="AC189" i="40"/>
  <c r="AD189" i="40"/>
  <c r="K190" i="40"/>
  <c r="AC190" i="40"/>
  <c r="AD190" i="40"/>
  <c r="W206" i="40"/>
  <c r="Z217" i="40"/>
  <c r="AB217" i="40"/>
  <c r="AD217" i="40"/>
  <c r="AF217" i="40"/>
  <c r="T220" i="40"/>
  <c r="X220" i="40"/>
  <c r="AE220" i="40"/>
  <c r="T236" i="40" s="1"/>
  <c r="V236" i="40" s="1"/>
  <c r="AA225" i="40"/>
  <c r="AA241" i="40" s="1"/>
  <c r="L227" i="40"/>
  <c r="N227" i="40"/>
  <c r="Q227" i="40"/>
  <c r="U236" i="40" s="1"/>
  <c r="U227" i="40"/>
  <c r="AA227" i="40"/>
  <c r="AE235" i="40" s="1"/>
  <c r="Z233" i="40"/>
  <c r="F235" i="40"/>
  <c r="G235" i="40"/>
  <c r="I235" i="40"/>
  <c r="F236" i="40"/>
  <c r="J236" i="40"/>
  <c r="X236" i="40"/>
  <c r="Y236" i="40"/>
  <c r="AA236" i="40"/>
  <c r="F237" i="40"/>
  <c r="AB234" i="40" s="1"/>
  <c r="Z238" i="40"/>
  <c r="AB239" i="40"/>
  <c r="AC239" i="40"/>
  <c r="AE239" i="40"/>
  <c r="AE240" i="40"/>
  <c r="F242" i="40"/>
  <c r="K242" i="40"/>
  <c r="F243" i="40"/>
  <c r="K243" i="40"/>
  <c r="Z243" i="40"/>
  <c r="F244" i="40"/>
  <c r="E246" i="40" s="1"/>
  <c r="AD244" i="40"/>
  <c r="AE244" i="40"/>
  <c r="AA246" i="40"/>
  <c r="K250" i="40"/>
  <c r="AC250" i="40"/>
  <c r="K251" i="40"/>
  <c r="AC251" i="40"/>
  <c r="AD251" i="40"/>
  <c r="K252" i="40"/>
  <c r="AC252" i="40"/>
  <c r="AD252" i="40"/>
  <c r="W268" i="40"/>
  <c r="Z279" i="40"/>
  <c r="AB279" i="40"/>
  <c r="AD279" i="40"/>
  <c r="AF279" i="40"/>
  <c r="T282" i="40"/>
  <c r="X282" i="40"/>
  <c r="AE282" i="40"/>
  <c r="AE301" i="40" s="1"/>
  <c r="AA287" i="40"/>
  <c r="L289" i="40"/>
  <c r="Q289" i="40" s="1"/>
  <c r="N289" i="40"/>
  <c r="U289" i="40" s="1"/>
  <c r="Z295" i="40"/>
  <c r="F297" i="40"/>
  <c r="G297" i="40"/>
  <c r="F298" i="40"/>
  <c r="J298" i="40"/>
  <c r="Z300" i="40"/>
  <c r="F305" i="40"/>
  <c r="K305" i="40"/>
  <c r="Z305" i="40"/>
  <c r="AD306" i="40"/>
  <c r="AE306" i="40"/>
  <c r="M341" i="40"/>
  <c r="F368" i="40" s="1"/>
  <c r="O341" i="40"/>
  <c r="S341" i="40"/>
  <c r="W341" i="40"/>
  <c r="X341" i="40" s="1"/>
  <c r="X343" i="40"/>
  <c r="V344" i="40"/>
  <c r="X344" i="40" s="1"/>
  <c r="X345" i="40"/>
  <c r="E352" i="40"/>
  <c r="J352" i="40" s="1"/>
  <c r="N352" i="40"/>
  <c r="F358" i="40" s="1"/>
  <c r="U352" i="40"/>
  <c r="Q358" i="40"/>
  <c r="S358" i="40"/>
  <c r="D359" i="40"/>
  <c r="I359" i="40"/>
  <c r="N359" i="40"/>
  <c r="R359" i="40"/>
  <c r="V359" i="40"/>
  <c r="Z359" i="40"/>
  <c r="AB359" i="40"/>
  <c r="F360" i="40"/>
  <c r="J360" i="40"/>
  <c r="Q360" i="40"/>
  <c r="S360" i="40"/>
  <c r="E362" i="40"/>
  <c r="I362" i="40"/>
  <c r="Q362" i="40"/>
  <c r="S362" i="40"/>
  <c r="N363" i="40"/>
  <c r="R363" i="40"/>
  <c r="V363" i="40"/>
  <c r="Z363" i="40"/>
  <c r="AB363" i="40"/>
  <c r="Q364" i="40"/>
  <c r="S364" i="40"/>
  <c r="F366" i="40"/>
  <c r="Q366" i="40"/>
  <c r="S366" i="40"/>
  <c r="D367" i="40"/>
  <c r="N367" i="40"/>
  <c r="R367" i="40"/>
  <c r="V367" i="40"/>
  <c r="Z367" i="40"/>
  <c r="AB367" i="40"/>
  <c r="Q368" i="40"/>
  <c r="S368" i="40"/>
  <c r="E370" i="40"/>
  <c r="D372" i="40"/>
  <c r="F372" i="40"/>
  <c r="L372" i="40"/>
  <c r="R372" i="40"/>
  <c r="D373" i="40"/>
  <c r="F373" i="40"/>
  <c r="L373" i="40"/>
  <c r="R373" i="40"/>
  <c r="D374" i="40"/>
  <c r="F374" i="40"/>
  <c r="L374" i="40"/>
  <c r="E377" i="40"/>
  <c r="K377" i="40"/>
  <c r="O377" i="40"/>
  <c r="G378" i="40"/>
  <c r="L378" i="40"/>
  <c r="K382" i="40"/>
  <c r="AC382" i="40"/>
  <c r="K383" i="40"/>
  <c r="AC383" i="40"/>
  <c r="AD383" i="40"/>
  <c r="K384" i="40"/>
  <c r="AC384" i="40"/>
  <c r="AD384" i="40"/>
  <c r="W400" i="40"/>
  <c r="Z411" i="40"/>
  <c r="AB411" i="40"/>
  <c r="AD411" i="40"/>
  <c r="AF411" i="40"/>
  <c r="T414" i="40"/>
  <c r="X414" i="40"/>
  <c r="AE414" i="40"/>
  <c r="T430" i="40" s="1"/>
  <c r="V430" i="40" s="1"/>
  <c r="AA419" i="40"/>
  <c r="L421" i="40"/>
  <c r="F429" i="40" s="1"/>
  <c r="Q421" i="40"/>
  <c r="U430" i="40" s="1"/>
  <c r="U421" i="40"/>
  <c r="AA421" i="40"/>
  <c r="AD434" i="40" s="1"/>
  <c r="Z427" i="40"/>
  <c r="AA428" i="40"/>
  <c r="G429" i="40"/>
  <c r="I429" i="40"/>
  <c r="AE429" i="40"/>
  <c r="F430" i="40"/>
  <c r="J430" i="40"/>
  <c r="X430" i="40"/>
  <c r="AA430" i="40"/>
  <c r="F431" i="40"/>
  <c r="AB428" i="40" s="1"/>
  <c r="Z432" i="40"/>
  <c r="AB433" i="40"/>
  <c r="AC433" i="40"/>
  <c r="AE434" i="40"/>
  <c r="AA435" i="40"/>
  <c r="F436" i="40"/>
  <c r="K436" i="40"/>
  <c r="F437" i="40"/>
  <c r="K437" i="40"/>
  <c r="Z437" i="40"/>
  <c r="F438" i="40"/>
  <c r="I438" i="40" s="1"/>
  <c r="AD438" i="40"/>
  <c r="AE438" i="40"/>
  <c r="AD439" i="40"/>
  <c r="AE439" i="40"/>
  <c r="E440" i="40"/>
  <c r="AA440" i="40"/>
  <c r="M473" i="40"/>
  <c r="I494" i="40" s="1"/>
  <c r="O473" i="40"/>
  <c r="S473" i="40"/>
  <c r="W473" i="40"/>
  <c r="X473" i="40" s="1"/>
  <c r="X475" i="40"/>
  <c r="V476" i="40"/>
  <c r="X476" i="40" s="1"/>
  <c r="X477" i="40"/>
  <c r="V478" i="40"/>
  <c r="X478" i="40" s="1"/>
  <c r="E484" i="40"/>
  <c r="J484" i="40"/>
  <c r="N484" i="40"/>
  <c r="U484" i="40"/>
  <c r="F490" i="40"/>
  <c r="J490" i="40"/>
  <c r="Q490" i="40"/>
  <c r="S490" i="40"/>
  <c r="D491" i="40"/>
  <c r="I491" i="40"/>
  <c r="N491" i="40"/>
  <c r="R491" i="40"/>
  <c r="V491" i="40"/>
  <c r="Z491" i="40"/>
  <c r="AB491" i="40"/>
  <c r="F492" i="40"/>
  <c r="J492" i="40"/>
  <c r="Q492" i="40"/>
  <c r="S492" i="40"/>
  <c r="E494" i="40"/>
  <c r="F494" i="40"/>
  <c r="Q494" i="40"/>
  <c r="S494" i="40"/>
  <c r="N495" i="40"/>
  <c r="R495" i="40"/>
  <c r="V495" i="40"/>
  <c r="Z495" i="40"/>
  <c r="AB495" i="40"/>
  <c r="Q496" i="40"/>
  <c r="S496" i="40"/>
  <c r="F498" i="40"/>
  <c r="Q498" i="40"/>
  <c r="S498" i="40"/>
  <c r="D499" i="40"/>
  <c r="G499" i="40"/>
  <c r="N499" i="40"/>
  <c r="R499" i="40"/>
  <c r="V499" i="40"/>
  <c r="Z499" i="40"/>
  <c r="AB499" i="40"/>
  <c r="F500" i="40"/>
  <c r="Q500" i="40"/>
  <c r="S500" i="40"/>
  <c r="E502" i="40"/>
  <c r="F502" i="40"/>
  <c r="AA505" i="40" s="1"/>
  <c r="I502" i="40"/>
  <c r="D504" i="40"/>
  <c r="F504" i="40"/>
  <c r="L504" i="40"/>
  <c r="R504" i="40"/>
  <c r="Y504" i="40"/>
  <c r="AA504" i="40"/>
  <c r="D505" i="40"/>
  <c r="F505" i="40"/>
  <c r="L505" i="40"/>
  <c r="R505" i="40"/>
  <c r="Y505" i="40"/>
  <c r="D506" i="40"/>
  <c r="F506" i="40"/>
  <c r="L506" i="40"/>
  <c r="G508" i="40"/>
  <c r="L508" i="40"/>
  <c r="E509" i="40"/>
  <c r="K509" i="40"/>
  <c r="O509" i="40"/>
  <c r="G510" i="40"/>
  <c r="L510" i="40"/>
  <c r="L22" i="39"/>
  <c r="AD22" i="39"/>
  <c r="L23" i="39"/>
  <c r="AD23" i="39"/>
  <c r="L24" i="39"/>
  <c r="AD24" i="39"/>
  <c r="AD39" i="39" s="1"/>
  <c r="L25" i="39"/>
  <c r="AD25" i="39"/>
  <c r="L26" i="39"/>
  <c r="AD26" i="39"/>
  <c r="L27" i="39"/>
  <c r="AD27" i="39"/>
  <c r="L28" i="39"/>
  <c r="AD28" i="39"/>
  <c r="L29" i="39"/>
  <c r="AD29" i="39"/>
  <c r="L30" i="39"/>
  <c r="AD30" i="39"/>
  <c r="L31" i="39"/>
  <c r="AD31" i="39"/>
  <c r="L32" i="39"/>
  <c r="AD32" i="39"/>
  <c r="L33" i="39"/>
  <c r="AD33" i="39"/>
  <c r="L34" i="39"/>
  <c r="AD34" i="39"/>
  <c r="L35" i="39"/>
  <c r="AD35" i="39"/>
  <c r="L36" i="39"/>
  <c r="AD36" i="39"/>
  <c r="L37" i="39"/>
  <c r="AD37" i="39"/>
  <c r="L38" i="39"/>
  <c r="AD38" i="39"/>
  <c r="J50" i="39"/>
  <c r="AO50" i="39" s="1"/>
  <c r="M50" i="39"/>
  <c r="R50" i="39"/>
  <c r="X50" i="39"/>
  <c r="AD50" i="39"/>
  <c r="AJ50" i="39"/>
  <c r="AP50" i="39"/>
  <c r="J51" i="39"/>
  <c r="AO51" i="39" s="1"/>
  <c r="M51" i="39"/>
  <c r="O51" i="39"/>
  <c r="AP51" i="39"/>
  <c r="J52" i="39"/>
  <c r="AO52" i="39" s="1"/>
  <c r="M52" i="39"/>
  <c r="W52" i="39"/>
  <c r="AC52" i="39" s="1"/>
  <c r="AP52" i="39"/>
  <c r="J53" i="39"/>
  <c r="AO53" i="39" s="1"/>
  <c r="M53" i="39"/>
  <c r="W53" i="39"/>
  <c r="AP53" i="39"/>
  <c r="J54" i="39"/>
  <c r="AO54" i="39" s="1"/>
  <c r="M54" i="39"/>
  <c r="AP54" i="39"/>
  <c r="AO56" i="39"/>
  <c r="AO57" i="39"/>
  <c r="AO58" i="39"/>
  <c r="DV8" i="38"/>
  <c r="DV7" i="38" s="1"/>
  <c r="DV10" i="38"/>
  <c r="DV9" i="38" s="1"/>
  <c r="DV12" i="38"/>
  <c r="DV11" i="38" s="1"/>
  <c r="DV14" i="38"/>
  <c r="DV13" i="38" s="1"/>
  <c r="DV16" i="38"/>
  <c r="DV15" i="38" s="1"/>
  <c r="CT17" i="38"/>
  <c r="CQ19" i="38"/>
  <c r="CT19" i="38"/>
  <c r="DV27" i="38"/>
  <c r="DV26" i="38" s="1"/>
  <c r="DV29" i="38"/>
  <c r="DV28" i="38" s="1"/>
  <c r="DV31" i="38"/>
  <c r="DV30" i="38" s="1"/>
  <c r="DV33" i="38"/>
  <c r="DV32" i="38" s="1"/>
  <c r="CT38" i="38"/>
  <c r="CQ40" i="38"/>
  <c r="CT40" i="38"/>
  <c r="DV48" i="38"/>
  <c r="DV47" i="38" s="1"/>
  <c r="DV50" i="38"/>
  <c r="DV49" i="38" s="1"/>
  <c r="DV52" i="38"/>
  <c r="DV51" i="38" s="1"/>
  <c r="DV54" i="38"/>
  <c r="DV53" i="38" s="1"/>
  <c r="CT59" i="38"/>
  <c r="CQ61" i="38"/>
  <c r="CT61" i="38"/>
  <c r="DV70" i="38"/>
  <c r="DV69" i="38" s="1"/>
  <c r="DV72" i="38"/>
  <c r="DV71" i="38" s="1"/>
  <c r="DV74" i="38"/>
  <c r="DV73" i="38" s="1"/>
  <c r="DV76" i="38"/>
  <c r="DV75" i="38" s="1"/>
  <c r="CT85" i="38"/>
  <c r="CQ87" i="38"/>
  <c r="CT87" i="38"/>
  <c r="DV93" i="38"/>
  <c r="DV92" i="38" s="1"/>
  <c r="DV95" i="38"/>
  <c r="DV94" i="38" s="1"/>
  <c r="DV97" i="38"/>
  <c r="DV96" i="38" s="1"/>
  <c r="DV99" i="38"/>
  <c r="DV98" i="38" s="1"/>
  <c r="DV101" i="38"/>
  <c r="DV100" i="38" s="1"/>
  <c r="DV103" i="38"/>
  <c r="DV102" i="38" s="1"/>
  <c r="CT112" i="38"/>
  <c r="CQ114" i="38"/>
  <c r="CT114" i="38"/>
  <c r="I297" i="40" l="1"/>
  <c r="K304" i="40"/>
  <c r="AE39" i="39"/>
  <c r="AE245" i="40"/>
  <c r="L39" i="39"/>
  <c r="C40" i="39" s="1"/>
  <c r="I40" i="39" s="1"/>
  <c r="R432" i="40"/>
  <c r="AD429" i="40"/>
  <c r="T174" i="40"/>
  <c r="V174" i="40" s="1"/>
  <c r="E114" i="40"/>
  <c r="G116" i="40" s="1"/>
  <c r="J43" i="41"/>
  <c r="F42" i="41"/>
  <c r="J40" i="41"/>
  <c r="J38" i="41"/>
  <c r="J36" i="41"/>
  <c r="N421" i="40"/>
  <c r="F370" i="40"/>
  <c r="AD235" i="40"/>
  <c r="S110" i="40"/>
  <c r="P112" i="40" s="1"/>
  <c r="H48" i="41"/>
  <c r="H46" i="41"/>
  <c r="H43" i="41"/>
  <c r="W41" i="41"/>
  <c r="H40" i="41"/>
  <c r="H38" i="41"/>
  <c r="H36" i="41"/>
  <c r="R238" i="40"/>
  <c r="F173" i="40"/>
  <c r="J44" i="41"/>
  <c r="F43" i="41"/>
  <c r="F40" i="41"/>
  <c r="F38" i="41"/>
  <c r="AP89" i="42"/>
  <c r="AM89" i="42" s="1"/>
  <c r="AI89" i="42" s="1"/>
  <c r="AE433" i="40"/>
  <c r="Y430" i="40"/>
  <c r="AE177" i="40"/>
  <c r="S122" i="40"/>
  <c r="H44" i="41"/>
  <c r="J41" i="41"/>
  <c r="Y39" i="41"/>
  <c r="I133" i="42"/>
  <c r="G367" i="40"/>
  <c r="I244" i="40"/>
  <c r="AB177" i="40"/>
  <c r="AD40" i="39"/>
  <c r="AE40" i="39" s="1"/>
  <c r="AA234" i="40"/>
  <c r="N165" i="40"/>
  <c r="U165" i="40" s="1"/>
  <c r="R176" i="40" s="1"/>
  <c r="F41" i="41"/>
  <c r="J39" i="41"/>
  <c r="H37" i="41"/>
  <c r="AG90" i="42"/>
  <c r="AL85" i="42"/>
  <c r="AH85" i="42" s="1"/>
  <c r="AO83" i="42"/>
  <c r="AO81" i="42"/>
  <c r="AL81" i="42" s="1"/>
  <c r="AH81" i="42" s="1"/>
  <c r="P50" i="40"/>
  <c r="R54" i="40" s="1"/>
  <c r="F45" i="41"/>
  <c r="J42" i="41"/>
  <c r="Y40" i="41"/>
  <c r="H39" i="41"/>
  <c r="F37" i="41"/>
  <c r="AF90" i="42"/>
  <c r="I185" i="42"/>
  <c r="O123" i="42"/>
  <c r="I182" i="42"/>
  <c r="I205" i="42"/>
  <c r="I214" i="42"/>
  <c r="N190" i="42"/>
  <c r="I212" i="42"/>
  <c r="N212" i="42"/>
  <c r="I207" i="42"/>
  <c r="I178" i="42"/>
  <c r="I183" i="42"/>
  <c r="I203" i="42"/>
  <c r="I195" i="42"/>
  <c r="I198" i="42"/>
  <c r="Y53" i="42"/>
  <c r="X53" i="42" s="1"/>
  <c r="F218" i="42"/>
  <c r="N213" i="42"/>
  <c r="N205" i="42"/>
  <c r="I197" i="42"/>
  <c r="N182" i="42"/>
  <c r="V172" i="42"/>
  <c r="AP83" i="42"/>
  <c r="AM83" i="42" s="1"/>
  <c r="AI83" i="42" s="1"/>
  <c r="AO82" i="42"/>
  <c r="Y55" i="42"/>
  <c r="X55" i="42" s="1"/>
  <c r="X52" i="42"/>
  <c r="G219" i="42"/>
  <c r="F219" i="42" s="1"/>
  <c r="I210" i="42"/>
  <c r="N202" i="42"/>
  <c r="N189" i="42"/>
  <c r="N177" i="42"/>
  <c r="I148" i="42"/>
  <c r="N140" i="42"/>
  <c r="N132" i="42"/>
  <c r="AO86" i="42"/>
  <c r="AL83" i="42"/>
  <c r="AH83" i="42" s="1"/>
  <c r="Y61" i="42"/>
  <c r="X61" i="42" s="1"/>
  <c r="N186" i="42"/>
  <c r="P121" i="42"/>
  <c r="O121" i="42" s="1"/>
  <c r="AP87" i="42"/>
  <c r="P219" i="42"/>
  <c r="O219" i="42" s="1"/>
  <c r="AM90" i="42"/>
  <c r="AI90" i="42" s="1"/>
  <c r="N209" i="42"/>
  <c r="I209" i="42"/>
  <c r="I201" i="42"/>
  <c r="I186" i="42"/>
  <c r="N175" i="42"/>
  <c r="S175" i="42" s="1"/>
  <c r="D176" i="42" s="1"/>
  <c r="F171" i="42"/>
  <c r="I165" i="42"/>
  <c r="I158" i="42"/>
  <c r="N152" i="42"/>
  <c r="N145" i="42"/>
  <c r="N137" i="42"/>
  <c r="N129" i="42"/>
  <c r="AQ87" i="42"/>
  <c r="AO87" i="42" s="1"/>
  <c r="AL87" i="42" s="1"/>
  <c r="AH87" i="42" s="1"/>
  <c r="H19" i="42"/>
  <c r="AM85" i="42"/>
  <c r="AI85" i="42" s="1"/>
  <c r="N201" i="42"/>
  <c r="I208" i="42"/>
  <c r="I199" i="42"/>
  <c r="N164" i="42"/>
  <c r="N157" i="42"/>
  <c r="I152" i="42"/>
  <c r="I145" i="42"/>
  <c r="I137" i="42"/>
  <c r="T58" i="42"/>
  <c r="Y59" i="42"/>
  <c r="X59" i="42" s="1"/>
  <c r="AC129" i="42"/>
  <c r="X129" i="42" s="1"/>
  <c r="AG10" i="42"/>
  <c r="R10" i="42" s="1"/>
  <c r="W10" i="42" s="1"/>
  <c r="Y10" i="42" s="1"/>
  <c r="AA10" i="42" s="1"/>
  <c r="H10" i="42"/>
  <c r="H17" i="42"/>
  <c r="AG17" i="42"/>
  <c r="R17" i="42" s="1"/>
  <c r="W17" i="42" s="1"/>
  <c r="Y17" i="42" s="1"/>
  <c r="AA17" i="42" s="1"/>
  <c r="O218" i="42"/>
  <c r="I176" i="42"/>
  <c r="I180" i="42"/>
  <c r="I184" i="42"/>
  <c r="I188" i="42"/>
  <c r="I192" i="42"/>
  <c r="I196" i="42"/>
  <c r="I200" i="42"/>
  <c r="I204" i="42"/>
  <c r="X174" i="42"/>
  <c r="N176" i="42"/>
  <c r="N180" i="42"/>
  <c r="N184" i="42"/>
  <c r="N188" i="42"/>
  <c r="N192" i="42"/>
  <c r="N196" i="42"/>
  <c r="N200" i="42"/>
  <c r="N204" i="42"/>
  <c r="N208" i="42"/>
  <c r="I175" i="42"/>
  <c r="AC175" i="42" s="1"/>
  <c r="N179" i="42"/>
  <c r="N183" i="42"/>
  <c r="N187" i="42"/>
  <c r="N191" i="42"/>
  <c r="N195" i="42"/>
  <c r="N199" i="42"/>
  <c r="N203" i="42"/>
  <c r="N207" i="42"/>
  <c r="I187" i="42"/>
  <c r="I189" i="42"/>
  <c r="N193" i="42"/>
  <c r="I202" i="42"/>
  <c r="N206" i="42"/>
  <c r="N211" i="42"/>
  <c r="I179" i="42"/>
  <c r="I181" i="42"/>
  <c r="N185" i="42"/>
  <c r="I194" i="42"/>
  <c r="N198" i="42"/>
  <c r="N210" i="42"/>
  <c r="N214" i="42"/>
  <c r="D169" i="42"/>
  <c r="O171" i="42"/>
  <c r="I177" i="42"/>
  <c r="N181" i="42"/>
  <c r="I190" i="42"/>
  <c r="N194" i="42"/>
  <c r="I213" i="42"/>
  <c r="N178" i="42"/>
  <c r="I191" i="42"/>
  <c r="I193" i="42"/>
  <c r="N197" i="42"/>
  <c r="I206" i="42"/>
  <c r="I211" i="42"/>
  <c r="Z85" i="42"/>
  <c r="C86" i="42"/>
  <c r="AF85" i="42"/>
  <c r="AG85" i="42"/>
  <c r="AG18" i="42"/>
  <c r="R18" i="42" s="1"/>
  <c r="W18" i="42" s="1"/>
  <c r="H18" i="42"/>
  <c r="D222" i="42"/>
  <c r="I242" i="42" s="1"/>
  <c r="H123" i="42"/>
  <c r="N128" i="42"/>
  <c r="S128" i="42" s="1"/>
  <c r="D129" i="42" s="1"/>
  <c r="I131" i="42"/>
  <c r="I135" i="42"/>
  <c r="I139" i="42"/>
  <c r="I143" i="42"/>
  <c r="I147" i="42"/>
  <c r="I151" i="42"/>
  <c r="I155" i="42"/>
  <c r="I159" i="42"/>
  <c r="I163" i="42"/>
  <c r="I167" i="42"/>
  <c r="N131" i="42"/>
  <c r="N135" i="42"/>
  <c r="N139" i="42"/>
  <c r="N143" i="42"/>
  <c r="N147" i="42"/>
  <c r="N151" i="42"/>
  <c r="N155" i="42"/>
  <c r="N159" i="42"/>
  <c r="N163" i="42"/>
  <c r="N167" i="42"/>
  <c r="I130" i="42"/>
  <c r="I134" i="42"/>
  <c r="I138" i="42"/>
  <c r="I142" i="42"/>
  <c r="N130" i="42"/>
  <c r="N134" i="42"/>
  <c r="N138" i="42"/>
  <c r="N142" i="42"/>
  <c r="N146" i="42"/>
  <c r="N150" i="42"/>
  <c r="N154" i="42"/>
  <c r="N158" i="42"/>
  <c r="N162" i="42"/>
  <c r="N166" i="42"/>
  <c r="AP86" i="42"/>
  <c r="AP82" i="42"/>
  <c r="AM82" i="42" s="1"/>
  <c r="AI82" i="42" s="1"/>
  <c r="AL90" i="42"/>
  <c r="AH90" i="42" s="1"/>
  <c r="C82" i="42"/>
  <c r="AP88" i="42"/>
  <c r="AP84" i="42"/>
  <c r="F121" i="42"/>
  <c r="AQ88" i="42"/>
  <c r="AO88" i="42" s="1"/>
  <c r="AL88" i="42" s="1"/>
  <c r="AH88" i="42" s="1"/>
  <c r="AQ84" i="42"/>
  <c r="AO84" i="42" s="1"/>
  <c r="O36" i="41"/>
  <c r="W48" i="41"/>
  <c r="Q47" i="41"/>
  <c r="O43" i="41"/>
  <c r="Q42" i="41"/>
  <c r="S41" i="41"/>
  <c r="U40" i="41"/>
  <c r="W39" i="41"/>
  <c r="Y38" i="41"/>
  <c r="AD382" i="40"/>
  <c r="AD64" i="40"/>
  <c r="AD250" i="40"/>
  <c r="S48" i="41"/>
  <c r="Y45" i="41"/>
  <c r="O42" i="41"/>
  <c r="Q41" i="41"/>
  <c r="S40" i="41"/>
  <c r="U39" i="41"/>
  <c r="W38" i="41"/>
  <c r="Y37" i="41"/>
  <c r="Q48" i="41"/>
  <c r="W45" i="41"/>
  <c r="Y44" i="41"/>
  <c r="O41" i="41"/>
  <c r="Q40" i="41"/>
  <c r="S39" i="41"/>
  <c r="U38" i="41"/>
  <c r="W37" i="41"/>
  <c r="Y46" i="41"/>
  <c r="U45" i="41"/>
  <c r="W44" i="41"/>
  <c r="Y43" i="41"/>
  <c r="O40" i="41"/>
  <c r="Q39" i="41"/>
  <c r="S38" i="41"/>
  <c r="U37" i="41"/>
  <c r="W36" i="41"/>
  <c r="Q38" i="41"/>
  <c r="S37" i="41"/>
  <c r="U36" i="41"/>
  <c r="Y47" i="41"/>
  <c r="S46" i="41"/>
  <c r="Q45" i="41"/>
  <c r="S44" i="41"/>
  <c r="U43" i="41"/>
  <c r="W42" i="41"/>
  <c r="Y41" i="41"/>
  <c r="O38" i="41"/>
  <c r="Q37" i="41"/>
  <c r="AD126" i="40"/>
  <c r="AB54" i="40"/>
  <c r="AC60" i="40"/>
  <c r="AC55" i="40"/>
  <c r="AC50" i="40"/>
  <c r="AC61" i="40"/>
  <c r="I370" i="40"/>
  <c r="L376" i="40"/>
  <c r="Y373" i="40"/>
  <c r="AA373" i="40"/>
  <c r="AB116" i="40"/>
  <c r="AC112" i="40"/>
  <c r="AC117" i="40"/>
  <c r="R116" i="40"/>
  <c r="T112" i="40"/>
  <c r="T117" i="40"/>
  <c r="T298" i="40"/>
  <c r="V298" i="40" s="1"/>
  <c r="U298" i="40"/>
  <c r="F304" i="40"/>
  <c r="F299" i="40"/>
  <c r="F306" i="40"/>
  <c r="U174" i="40"/>
  <c r="F180" i="40"/>
  <c r="I61" i="40"/>
  <c r="U431" i="40"/>
  <c r="AD428" i="40"/>
  <c r="U237" i="40"/>
  <c r="AD234" i="40"/>
  <c r="AD173" i="40"/>
  <c r="Q509" i="40"/>
  <c r="U509" i="40" s="1"/>
  <c r="I431" i="40"/>
  <c r="AB301" i="40"/>
  <c r="Y298" i="40"/>
  <c r="AA289" i="40"/>
  <c r="AD240" i="40"/>
  <c r="I237" i="40"/>
  <c r="J117" i="40"/>
  <c r="J55" i="40"/>
  <c r="X298" i="40"/>
  <c r="S60" i="40"/>
  <c r="S61" i="40" s="1"/>
  <c r="V346" i="40"/>
  <c r="X346" i="40" s="1"/>
  <c r="AD245" i="40"/>
  <c r="U175" i="40"/>
  <c r="I122" i="40"/>
  <c r="I60" i="40"/>
  <c r="R300" i="40"/>
  <c r="AD178" i="40"/>
  <c r="U299" i="40"/>
  <c r="K50" i="40"/>
  <c r="W54" i="39"/>
  <c r="AP55" i="39"/>
  <c r="AC53" i="39" s="1"/>
  <c r="C365" i="37"/>
  <c r="F361" i="37"/>
  <c r="X7" i="37"/>
  <c r="AM7" i="37"/>
  <c r="BJ7" i="37"/>
  <c r="X8" i="37"/>
  <c r="AM8" i="37"/>
  <c r="AW8" i="37"/>
  <c r="X9" i="37"/>
  <c r="AM9" i="37"/>
  <c r="AL10" i="37"/>
  <c r="DD83" i="37" s="1"/>
  <c r="AW10" i="37"/>
  <c r="N11" i="37"/>
  <c r="X11" i="37"/>
  <c r="V15" i="37"/>
  <c r="H17" i="37"/>
  <c r="DR64" i="37" s="1"/>
  <c r="C19" i="37"/>
  <c r="C22" i="37"/>
  <c r="C23" i="37"/>
  <c r="J23" i="37"/>
  <c r="R25" i="37"/>
  <c r="DA26" i="37"/>
  <c r="AD27" i="37"/>
  <c r="AD28" i="37"/>
  <c r="EB28" i="37"/>
  <c r="ET28" i="37" s="1"/>
  <c r="EX28" i="37"/>
  <c r="AO29" i="37"/>
  <c r="H30" i="37"/>
  <c r="DH29" i="37" s="1"/>
  <c r="F31" i="37"/>
  <c r="R34" i="37"/>
  <c r="DA35" i="37"/>
  <c r="AD36" i="37"/>
  <c r="AD37" i="37"/>
  <c r="EB37" i="37"/>
  <c r="ET37" i="37" s="1"/>
  <c r="EX37" i="37"/>
  <c r="AO38" i="37"/>
  <c r="H39" i="37"/>
  <c r="DH39" i="37" s="1"/>
  <c r="DH40" i="37" s="1"/>
  <c r="DD39" i="37"/>
  <c r="DD40" i="37" s="1"/>
  <c r="F40" i="37"/>
  <c r="R43" i="37"/>
  <c r="DA44" i="37"/>
  <c r="AD45" i="37"/>
  <c r="AD46" i="37"/>
  <c r="EB46" i="37"/>
  <c r="ET46" i="37" s="1"/>
  <c r="EX46" i="37"/>
  <c r="AO47" i="37"/>
  <c r="H48" i="37"/>
  <c r="F49" i="37"/>
  <c r="R52" i="37"/>
  <c r="AD54" i="37"/>
  <c r="AD55" i="37"/>
  <c r="DD55" i="37"/>
  <c r="EB55" i="37"/>
  <c r="ET55" i="37" s="1"/>
  <c r="EX55" i="37"/>
  <c r="AO56" i="37"/>
  <c r="H57" i="37"/>
  <c r="F58" i="37"/>
  <c r="R61" i="37"/>
  <c r="AD63" i="37"/>
  <c r="AD64" i="37"/>
  <c r="EB64" i="37"/>
  <c r="ET64" i="37" s="1"/>
  <c r="EX64" i="37"/>
  <c r="AO65" i="37"/>
  <c r="H66" i="37"/>
  <c r="DH65" i="37" s="1"/>
  <c r="DH66" i="37"/>
  <c r="DH67" i="37" s="1"/>
  <c r="F67" i="37"/>
  <c r="R70" i="37"/>
  <c r="AD72" i="37"/>
  <c r="AD73" i="37"/>
  <c r="EB73" i="37"/>
  <c r="ET73" i="37" s="1"/>
  <c r="EX73" i="37"/>
  <c r="AO74" i="37"/>
  <c r="DD74" i="37"/>
  <c r="H75" i="37"/>
  <c r="F76" i="37"/>
  <c r="R80" i="37"/>
  <c r="AD82" i="37"/>
  <c r="AD83" i="37"/>
  <c r="EB83" i="37"/>
  <c r="ET83" i="37" s="1"/>
  <c r="EX83" i="37"/>
  <c r="AO84" i="37"/>
  <c r="DH84" i="37"/>
  <c r="H85" i="37"/>
  <c r="DH85" i="37" s="1"/>
  <c r="DH86" i="37" s="1"/>
  <c r="F86" i="37"/>
  <c r="R89" i="37"/>
  <c r="AD91" i="37"/>
  <c r="AD92" i="37"/>
  <c r="EB92" i="37"/>
  <c r="ET92" i="37" s="1"/>
  <c r="EX92" i="37"/>
  <c r="AO93" i="37"/>
  <c r="H94" i="37"/>
  <c r="DH93" i="37" s="1"/>
  <c r="F95" i="37"/>
  <c r="R98" i="37"/>
  <c r="AD100" i="37"/>
  <c r="AD101" i="37"/>
  <c r="EB101" i="37"/>
  <c r="ET101" i="37" s="1"/>
  <c r="EX101" i="37"/>
  <c r="AO102" i="37"/>
  <c r="H103" i="37"/>
  <c r="DH102" i="37" s="1"/>
  <c r="F104" i="37"/>
  <c r="R107" i="37"/>
  <c r="AD109" i="37"/>
  <c r="AD110" i="37"/>
  <c r="EB110" i="37"/>
  <c r="ET110" i="37" s="1"/>
  <c r="EX110" i="37"/>
  <c r="AO111" i="37"/>
  <c r="H112" i="37"/>
  <c r="DH111" i="37" s="1"/>
  <c r="F113" i="37"/>
  <c r="R116" i="37"/>
  <c r="AD118" i="37"/>
  <c r="AD119" i="37"/>
  <c r="EB119" i="37"/>
  <c r="ET119" i="37" s="1"/>
  <c r="EX119" i="37"/>
  <c r="AO120" i="37"/>
  <c r="DH120" i="37"/>
  <c r="H121" i="37"/>
  <c r="DH121" i="37"/>
  <c r="DH122" i="37" s="1"/>
  <c r="F122" i="37"/>
  <c r="R125" i="37"/>
  <c r="AD127" i="37"/>
  <c r="AD128" i="37"/>
  <c r="EB128" i="37"/>
  <c r="ET128" i="37" s="1"/>
  <c r="EX128" i="37"/>
  <c r="AO129" i="37"/>
  <c r="H130" i="37"/>
  <c r="DH130" i="37" s="1"/>
  <c r="DH131" i="37" s="1"/>
  <c r="F131" i="37"/>
  <c r="R134" i="37"/>
  <c r="AD136" i="37"/>
  <c r="AD137" i="37"/>
  <c r="EB137" i="37"/>
  <c r="ET137" i="37" s="1"/>
  <c r="EX137" i="37"/>
  <c r="AO138" i="37"/>
  <c r="H139" i="37"/>
  <c r="DH138" i="37" s="1"/>
  <c r="F140" i="37"/>
  <c r="R143" i="37"/>
  <c r="AD145" i="37"/>
  <c r="AD146" i="37"/>
  <c r="EB146" i="37"/>
  <c r="ET146" i="37" s="1"/>
  <c r="EX146" i="37"/>
  <c r="AO147" i="37"/>
  <c r="H148" i="37"/>
  <c r="DH147" i="37" s="1"/>
  <c r="DH148" i="37"/>
  <c r="DH149" i="37" s="1"/>
  <c r="F149" i="37"/>
  <c r="R153" i="37"/>
  <c r="AD155" i="37"/>
  <c r="AD156" i="37"/>
  <c r="EB156" i="37"/>
  <c r="ET156" i="37"/>
  <c r="EX156" i="37"/>
  <c r="AO157" i="37"/>
  <c r="H158" i="37"/>
  <c r="F159" i="37"/>
  <c r="R162" i="37"/>
  <c r="AD164" i="37"/>
  <c r="AD165" i="37"/>
  <c r="DR165" i="37"/>
  <c r="EB165" i="37"/>
  <c r="ET165" i="37"/>
  <c r="EX165" i="37"/>
  <c r="AO166" i="37"/>
  <c r="H167" i="37"/>
  <c r="DH166" i="37" s="1"/>
  <c r="DH167" i="37"/>
  <c r="F168" i="37"/>
  <c r="DH168" i="37"/>
  <c r="R171" i="37"/>
  <c r="AD173" i="37"/>
  <c r="AD174" i="37"/>
  <c r="EB174" i="37"/>
  <c r="ET174" i="37" s="1"/>
  <c r="EX174" i="37"/>
  <c r="AO175" i="37"/>
  <c r="H176" i="37"/>
  <c r="DH175" i="37" s="1"/>
  <c r="DD176" i="37"/>
  <c r="DD177" i="37" s="1"/>
  <c r="F177" i="37"/>
  <c r="R180" i="37"/>
  <c r="AD182" i="37"/>
  <c r="AD183" i="37"/>
  <c r="DR183" i="37"/>
  <c r="EB183" i="37"/>
  <c r="ET183" i="37" s="1"/>
  <c r="EX183" i="37"/>
  <c r="AO184" i="37"/>
  <c r="H185" i="37"/>
  <c r="DH185" i="37" s="1"/>
  <c r="DH186" i="37" s="1"/>
  <c r="F186" i="37"/>
  <c r="R189" i="37"/>
  <c r="DA189" i="37"/>
  <c r="AD191" i="37"/>
  <c r="AD192" i="37"/>
  <c r="EB192" i="37"/>
  <c r="ET192" i="37" s="1"/>
  <c r="EX192" i="37"/>
  <c r="AO193" i="37"/>
  <c r="H194" i="37"/>
  <c r="DH193" i="37" s="1"/>
  <c r="DH194" i="37"/>
  <c r="DH195" i="37" s="1"/>
  <c r="F195" i="37"/>
  <c r="R198" i="37"/>
  <c r="AD200" i="37"/>
  <c r="AD201" i="37"/>
  <c r="DR201" i="37"/>
  <c r="EB201" i="37"/>
  <c r="ET201" i="37" s="1"/>
  <c r="EX201" i="37"/>
  <c r="AO202" i="37"/>
  <c r="DH202" i="37"/>
  <c r="H203" i="37"/>
  <c r="DH203" i="37" s="1"/>
  <c r="DH204" i="37" s="1"/>
  <c r="F204" i="37"/>
  <c r="BD231" i="37"/>
  <c r="BG231" i="37"/>
  <c r="BJ231" i="37"/>
  <c r="BM231" i="37"/>
  <c r="CG249" i="37"/>
  <c r="CG261" i="37"/>
  <c r="BZ273" i="37"/>
  <c r="CA277" i="37"/>
  <c r="CA283" i="37" s="1"/>
  <c r="CB277" i="37"/>
  <c r="CB283" i="37" s="1"/>
  <c r="CC277" i="37"/>
  <c r="CE277" i="37"/>
  <c r="CE283" i="37" s="1"/>
  <c r="CF277" i="37"/>
  <c r="CF283" i="37" s="1"/>
  <c r="CG277" i="37"/>
  <c r="CG283" i="37" s="1"/>
  <c r="CH277" i="37"/>
  <c r="CH283" i="37" s="1"/>
  <c r="CL277" i="37"/>
  <c r="CL283" i="37" s="1"/>
  <c r="CM277" i="37"/>
  <c r="CM283" i="37" s="1"/>
  <c r="CN277" i="37"/>
  <c r="CN283" i="37" s="1"/>
  <c r="CO277" i="37"/>
  <c r="CA278" i="37"/>
  <c r="CA284" i="37" s="1"/>
  <c r="CB278" i="37"/>
  <c r="CB284" i="37" s="1"/>
  <c r="CC278" i="37"/>
  <c r="CC284" i="37" s="1"/>
  <c r="CE278" i="37"/>
  <c r="CE284" i="37" s="1"/>
  <c r="CF278" i="37"/>
  <c r="CF284" i="37" s="1"/>
  <c r="CG278" i="37"/>
  <c r="CG284" i="37" s="1"/>
  <c r="CH278" i="37"/>
  <c r="CH284" i="37" s="1"/>
  <c r="CL278" i="37"/>
  <c r="CM278" i="37"/>
  <c r="CM284" i="37" s="1"/>
  <c r="CN278" i="37"/>
  <c r="CN284" i="37" s="1"/>
  <c r="CO278" i="37"/>
  <c r="CO284" i="37" s="1"/>
  <c r="CA279" i="37"/>
  <c r="CA285" i="37" s="1"/>
  <c r="CB279" i="37"/>
  <c r="CC279" i="37"/>
  <c r="CC285" i="37" s="1"/>
  <c r="CE279" i="37"/>
  <c r="CF279" i="37"/>
  <c r="CG279" i="37"/>
  <c r="CG285" i="37" s="1"/>
  <c r="CH279" i="37"/>
  <c r="CH285" i="37" s="1"/>
  <c r="CL279" i="37"/>
  <c r="CL285" i="37" s="1"/>
  <c r="CM279" i="37"/>
  <c r="CM285" i="37" s="1"/>
  <c r="CN279" i="37"/>
  <c r="CN285" i="37" s="1"/>
  <c r="CO279" i="37"/>
  <c r="CO285" i="37" s="1"/>
  <c r="BY283" i="37"/>
  <c r="CC283" i="37"/>
  <c r="CO283" i="37"/>
  <c r="BY284" i="37"/>
  <c r="CL284" i="37"/>
  <c r="BY285" i="37"/>
  <c r="CB285" i="37"/>
  <c r="CE285" i="37"/>
  <c r="CF285" i="37"/>
  <c r="C359" i="37"/>
  <c r="Z359" i="37"/>
  <c r="AJ359" i="37"/>
  <c r="AJ360" i="37" s="1"/>
  <c r="AF360" i="37" s="1"/>
  <c r="AU359" i="37"/>
  <c r="C360" i="37"/>
  <c r="Z361" i="37"/>
  <c r="AJ361" i="37"/>
  <c r="AU361" i="37"/>
  <c r="C362" i="37"/>
  <c r="AJ362" i="37"/>
  <c r="AF362" i="37" s="1"/>
  <c r="AU362" i="37"/>
  <c r="BN362" i="37"/>
  <c r="C363" i="37"/>
  <c r="C364" i="37"/>
  <c r="AD364" i="37"/>
  <c r="AT234" i="36"/>
  <c r="AT239" i="36" s="1"/>
  <c r="AW239" i="36" s="1"/>
  <c r="AW234" i="36"/>
  <c r="Y7" i="36"/>
  <c r="AN7" i="36"/>
  <c r="BY7" i="36"/>
  <c r="D8" i="36"/>
  <c r="D10" i="36" s="1"/>
  <c r="Y8" i="36"/>
  <c r="AN8" i="36"/>
  <c r="AX8" i="36"/>
  <c r="BF8" i="36"/>
  <c r="Y9" i="36"/>
  <c r="AN9" i="36"/>
  <c r="Y10" i="36"/>
  <c r="AN10" i="36"/>
  <c r="S13" i="36"/>
  <c r="CS14" i="36"/>
  <c r="CQ14" i="36" s="1"/>
  <c r="DS15" i="36" s="1"/>
  <c r="DV15" i="36"/>
  <c r="AG16" i="36"/>
  <c r="CG16" i="36" s="1"/>
  <c r="CJ17" i="36"/>
  <c r="CS17" i="36"/>
  <c r="CQ17" i="36" s="1"/>
  <c r="DS17" i="36" s="1"/>
  <c r="S22" i="36"/>
  <c r="CS23" i="36"/>
  <c r="DV29" i="36" s="1"/>
  <c r="AG25" i="36"/>
  <c r="CG25" i="36" s="1"/>
  <c r="CJ26" i="36"/>
  <c r="CS26" i="36"/>
  <c r="CQ26" i="36" s="1"/>
  <c r="DS31" i="36" s="1"/>
  <c r="AL27" i="36"/>
  <c r="S31" i="36"/>
  <c r="DV31" i="36"/>
  <c r="CQ32" i="36"/>
  <c r="DS43" i="36" s="1"/>
  <c r="CS32" i="36"/>
  <c r="DV43" i="36" s="1"/>
  <c r="AG34" i="36"/>
  <c r="CG34" i="36" s="1"/>
  <c r="CJ35" i="36"/>
  <c r="CS35" i="36"/>
  <c r="CQ35" i="36" s="1"/>
  <c r="DS45" i="36" s="1"/>
  <c r="AL36" i="36"/>
  <c r="CS41" i="36"/>
  <c r="DV57" i="36" s="1"/>
  <c r="AG43" i="36"/>
  <c r="CG43" i="36" s="1"/>
  <c r="CJ44" i="36"/>
  <c r="CS44" i="36"/>
  <c r="AL45" i="36"/>
  <c r="CS50" i="36"/>
  <c r="CQ50" i="36" s="1"/>
  <c r="DS71" i="36" s="1"/>
  <c r="AG52" i="36"/>
  <c r="CG52" i="36" s="1"/>
  <c r="CJ53" i="36"/>
  <c r="CS53" i="36"/>
  <c r="DV73" i="36" s="1"/>
  <c r="AL54" i="36"/>
  <c r="CS59" i="36"/>
  <c r="CQ59" i="36" s="1"/>
  <c r="DS85" i="36" s="1"/>
  <c r="AG61" i="36"/>
  <c r="CG61" i="36" s="1"/>
  <c r="CJ62" i="36"/>
  <c r="CQ62" i="36"/>
  <c r="DS87" i="36" s="1"/>
  <c r="CS62" i="36"/>
  <c r="DV87" i="36" s="1"/>
  <c r="AL63" i="36"/>
  <c r="CS68" i="36"/>
  <c r="CQ68" i="36" s="1"/>
  <c r="AG70" i="36"/>
  <c r="CG70" i="36" s="1"/>
  <c r="CJ71" i="36"/>
  <c r="CS71" i="36"/>
  <c r="DV97" i="36" s="1"/>
  <c r="DV71" i="36"/>
  <c r="AL72" i="36"/>
  <c r="CS80" i="36"/>
  <c r="CQ80" i="36" s="1"/>
  <c r="DS113" i="36" s="1"/>
  <c r="AG82" i="36"/>
  <c r="CG82" i="36" s="1"/>
  <c r="CJ83" i="36"/>
  <c r="CS83" i="36"/>
  <c r="CQ83" i="36" s="1"/>
  <c r="DS115" i="36" s="1"/>
  <c r="DV85" i="36"/>
  <c r="CS89" i="36"/>
  <c r="CQ89" i="36" s="1"/>
  <c r="AG91" i="36"/>
  <c r="CG91" i="36" s="1"/>
  <c r="CJ92" i="36"/>
  <c r="CQ92" i="36"/>
  <c r="DS129" i="36" s="1"/>
  <c r="CS92" i="36"/>
  <c r="CS98" i="36"/>
  <c r="CQ98" i="36" s="1"/>
  <c r="DS141" i="36" s="1"/>
  <c r="DS99" i="36"/>
  <c r="AG100" i="36"/>
  <c r="CG100" i="36" s="1"/>
  <c r="DV100" i="36"/>
  <c r="CJ101" i="36"/>
  <c r="CS101" i="36"/>
  <c r="CQ101" i="36" s="1"/>
  <c r="DS143" i="36" s="1"/>
  <c r="DV101" i="36"/>
  <c r="DV105" i="36"/>
  <c r="DV106" i="36"/>
  <c r="CS107" i="36"/>
  <c r="DV155" i="36" s="1"/>
  <c r="DV107" i="36"/>
  <c r="DV108" i="36"/>
  <c r="AG109" i="36"/>
  <c r="CG109" i="36" s="1"/>
  <c r="DV109" i="36"/>
  <c r="CJ110" i="36"/>
  <c r="CS110" i="36"/>
  <c r="DV157" i="36" s="1"/>
  <c r="DV113" i="36"/>
  <c r="CS116" i="36"/>
  <c r="CQ116" i="36" s="1"/>
  <c r="DS169" i="36" s="1"/>
  <c r="AG118" i="36"/>
  <c r="CG118" i="36"/>
  <c r="CJ119" i="36"/>
  <c r="CS119" i="36"/>
  <c r="DV171" i="36" s="1"/>
  <c r="CS125" i="36"/>
  <c r="CQ125" i="36" s="1"/>
  <c r="AG127" i="36"/>
  <c r="CG127" i="36" s="1"/>
  <c r="DS127" i="36"/>
  <c r="DV127" i="36"/>
  <c r="CJ128" i="36"/>
  <c r="CS128" i="36"/>
  <c r="CQ128" i="36" s="1"/>
  <c r="DV129" i="36"/>
  <c r="CQ134" i="36"/>
  <c r="CS134" i="36"/>
  <c r="AG136" i="36"/>
  <c r="CG136" i="36" s="1"/>
  <c r="CJ137" i="36"/>
  <c r="CS137" i="36"/>
  <c r="DV199" i="36" s="1"/>
  <c r="DV141" i="36"/>
  <c r="CQ143" i="36"/>
  <c r="CS143" i="36"/>
  <c r="DV143" i="36"/>
  <c r="AG145" i="36"/>
  <c r="CG145" i="36" s="1"/>
  <c r="CJ146" i="36"/>
  <c r="CS146" i="36"/>
  <c r="CQ146" i="36" s="1"/>
  <c r="DS213" i="36" s="1"/>
  <c r="CQ155" i="36"/>
  <c r="DS225" i="36" s="1"/>
  <c r="CS155" i="36"/>
  <c r="AG157" i="36"/>
  <c r="CG157" i="36"/>
  <c r="CJ158" i="36"/>
  <c r="CQ158" i="36"/>
  <c r="CS158" i="36"/>
  <c r="CS164" i="36"/>
  <c r="CQ164" i="36" s="1"/>
  <c r="DS239" i="36" s="1"/>
  <c r="AG166" i="36"/>
  <c r="CG166" i="36" s="1"/>
  <c r="CJ167" i="36"/>
  <c r="CS167" i="36"/>
  <c r="CQ167" i="36" s="1"/>
  <c r="DS241" i="36" s="1"/>
  <c r="DV169" i="36"/>
  <c r="CS173" i="36"/>
  <c r="CQ173" i="36" s="1"/>
  <c r="AG175" i="36"/>
  <c r="CG175" i="36" s="1"/>
  <c r="CJ176" i="36"/>
  <c r="CS176" i="36"/>
  <c r="CQ182" i="36"/>
  <c r="CS182" i="36"/>
  <c r="DS183" i="36"/>
  <c r="DV183" i="36"/>
  <c r="AG184" i="36"/>
  <c r="CG184" i="36" s="1"/>
  <c r="CJ185" i="36"/>
  <c r="CS185" i="36"/>
  <c r="CQ185" i="36" s="1"/>
  <c r="DS269" i="36" s="1"/>
  <c r="DS185" i="36"/>
  <c r="DV185" i="36"/>
  <c r="CS191" i="36"/>
  <c r="CQ191" i="36" s="1"/>
  <c r="DS281" i="36" s="1"/>
  <c r="AG193" i="36"/>
  <c r="CG193" i="36" s="1"/>
  <c r="CJ194" i="36"/>
  <c r="CS194" i="36"/>
  <c r="CQ194" i="36" s="1"/>
  <c r="DS283" i="36" s="1"/>
  <c r="DS197" i="36"/>
  <c r="DV197" i="36"/>
  <c r="DS211" i="36"/>
  <c r="DV211" i="36"/>
  <c r="DV213" i="36"/>
  <c r="DV225" i="36"/>
  <c r="DS227" i="36"/>
  <c r="DV227" i="36"/>
  <c r="C229" i="36"/>
  <c r="AT232" i="36"/>
  <c r="AT235" i="36"/>
  <c r="AT241" i="36" s="1"/>
  <c r="AT236" i="36"/>
  <c r="AT242" i="36" s="1"/>
  <c r="AT237" i="36"/>
  <c r="AT243" i="36" s="1"/>
  <c r="AT238" i="36"/>
  <c r="DV239" i="36"/>
  <c r="BE241" i="36"/>
  <c r="BM241" i="36"/>
  <c r="BE242" i="36"/>
  <c r="BM242" i="36"/>
  <c r="BE243" i="36"/>
  <c r="BM243" i="36"/>
  <c r="AT245" i="36"/>
  <c r="BM245" i="36"/>
  <c r="AT246" i="36"/>
  <c r="BN246" i="36"/>
  <c r="DS253" i="36"/>
  <c r="DV253" i="36"/>
  <c r="AT262" i="36"/>
  <c r="DS267" i="36"/>
  <c r="DV267" i="36"/>
  <c r="DV281" i="36"/>
  <c r="DV283" i="36"/>
  <c r="C296" i="35"/>
  <c r="C301" i="35" s="1"/>
  <c r="F296" i="35"/>
  <c r="BX3" i="35"/>
  <c r="BD6" i="35"/>
  <c r="R8" i="35"/>
  <c r="AG8" i="35"/>
  <c r="AQ8" i="35"/>
  <c r="CG154" i="35" s="1"/>
  <c r="BD8" i="35"/>
  <c r="D9" i="35"/>
  <c r="R9" i="35"/>
  <c r="AG9" i="35"/>
  <c r="AQ9" i="35"/>
  <c r="BK9" i="35"/>
  <c r="R10" i="35"/>
  <c r="AG10" i="35"/>
  <c r="J12" i="35"/>
  <c r="X12" i="35" s="1"/>
  <c r="DG11" i="35" s="1"/>
  <c r="J13" i="35"/>
  <c r="AS12" i="35" s="1"/>
  <c r="V13" i="35"/>
  <c r="AF13" i="35"/>
  <c r="AJ13" i="35"/>
  <c r="AN13" i="35"/>
  <c r="AR13" i="35"/>
  <c r="AV13" i="35"/>
  <c r="L14" i="35"/>
  <c r="J14" i="35" s="1"/>
  <c r="AM14" i="35"/>
  <c r="BP12" i="37"/>
  <c r="BW14" i="35"/>
  <c r="J15" i="35"/>
  <c r="BZ18" i="35"/>
  <c r="CA18" i="35"/>
  <c r="CB18" i="35"/>
  <c r="CF20" i="35"/>
  <c r="E24" i="35"/>
  <c r="CA24" i="35"/>
  <c r="BG21" i="35" s="1"/>
  <c r="E25" i="35"/>
  <c r="Q25" i="35"/>
  <c r="CO21" i="35" s="1"/>
  <c r="CX22" i="35" s="1"/>
  <c r="BZ26" i="35"/>
  <c r="CA26" i="35"/>
  <c r="CB26" i="35"/>
  <c r="CF28" i="35"/>
  <c r="CO29" i="35"/>
  <c r="CX30" i="35"/>
  <c r="E32" i="35"/>
  <c r="Q32" i="35"/>
  <c r="CO28" i="35" s="1"/>
  <c r="CX29" i="35" s="1"/>
  <c r="CA32" i="35"/>
  <c r="BG29" i="35" s="1"/>
  <c r="E33" i="35"/>
  <c r="Q33" i="35"/>
  <c r="BZ34" i="35"/>
  <c r="CA34" i="35"/>
  <c r="CB34" i="35"/>
  <c r="CF36" i="35"/>
  <c r="E40" i="35"/>
  <c r="CA40" i="35"/>
  <c r="BG37" i="35" s="1"/>
  <c r="E41" i="35"/>
  <c r="Q41" i="35"/>
  <c r="CO37" i="35" s="1"/>
  <c r="CX38" i="35" s="1"/>
  <c r="BZ42" i="35"/>
  <c r="CA42" i="35"/>
  <c r="CB42" i="35"/>
  <c r="CF44" i="35"/>
  <c r="AG46" i="35"/>
  <c r="E48" i="35"/>
  <c r="Q48" i="35"/>
  <c r="CO44" i="35" s="1"/>
  <c r="CX45" i="35" s="1"/>
  <c r="CA48" i="35"/>
  <c r="BG45" i="35" s="1"/>
  <c r="E49" i="35"/>
  <c r="Q49" i="35"/>
  <c r="CO45" i="35" s="1"/>
  <c r="CX46" i="35" s="1"/>
  <c r="BZ50" i="35"/>
  <c r="CA50" i="35"/>
  <c r="CB50" i="35"/>
  <c r="AP51" i="35"/>
  <c r="BW54" i="35" s="1"/>
  <c r="CF52" i="35"/>
  <c r="AG54" i="35"/>
  <c r="E56" i="35"/>
  <c r="Q56" i="35"/>
  <c r="CO52" i="35" s="1"/>
  <c r="CX53" i="35" s="1"/>
  <c r="CA56" i="35"/>
  <c r="BG53" i="35" s="1"/>
  <c r="E57" i="35"/>
  <c r="Q57" i="35"/>
  <c r="CO53" i="35" s="1"/>
  <c r="CX54" i="35" s="1"/>
  <c r="BZ58" i="35"/>
  <c r="CA58" i="35"/>
  <c r="CB58" i="35"/>
  <c r="CF60" i="35"/>
  <c r="AG62" i="35"/>
  <c r="Q209" i="35" s="1"/>
  <c r="E64" i="35"/>
  <c r="Q64" i="35"/>
  <c r="CO60" i="35" s="1"/>
  <c r="CX61" i="35" s="1"/>
  <c r="CA64" i="35"/>
  <c r="BG61" i="35" s="1"/>
  <c r="E65" i="35"/>
  <c r="Q65" i="35"/>
  <c r="CO61" i="35" s="1"/>
  <c r="CX62" i="35" s="1"/>
  <c r="BZ66" i="35"/>
  <c r="CA66" i="35"/>
  <c r="CB66" i="35"/>
  <c r="CF68" i="35"/>
  <c r="BG69" i="35"/>
  <c r="AG70" i="35"/>
  <c r="Q210" i="35" s="1"/>
  <c r="E72" i="35"/>
  <c r="Q72" i="35"/>
  <c r="CO68" i="35" s="1"/>
  <c r="CX69" i="35" s="1"/>
  <c r="CA72" i="35"/>
  <c r="E73" i="35"/>
  <c r="Q73" i="35"/>
  <c r="CO69" i="35" s="1"/>
  <c r="CX70" i="35" s="1"/>
  <c r="BZ74" i="35"/>
  <c r="CA74" i="35"/>
  <c r="CB74" i="35"/>
  <c r="CF76" i="35"/>
  <c r="E80" i="35"/>
  <c r="Q80" i="35"/>
  <c r="CO76" i="35" s="1"/>
  <c r="CX77" i="35" s="1"/>
  <c r="CA80" i="35"/>
  <c r="BG77" i="35" s="1"/>
  <c r="E81" i="35"/>
  <c r="Q81" i="35"/>
  <c r="CO77" i="35" s="1"/>
  <c r="CX78" i="35" s="1"/>
  <c r="BZ82" i="35"/>
  <c r="CA82" i="35"/>
  <c r="CB82" i="35"/>
  <c r="CF85" i="35"/>
  <c r="CO86" i="35"/>
  <c r="CX87" i="35" s="1"/>
  <c r="AG87" i="35"/>
  <c r="Q212" i="35" s="1"/>
  <c r="CA212" i="35" s="1"/>
  <c r="E89" i="35"/>
  <c r="Q89" i="35"/>
  <c r="CO85" i="35" s="1"/>
  <c r="CX86" i="35" s="1"/>
  <c r="CA89" i="35"/>
  <c r="BG86" i="35" s="1"/>
  <c r="E90" i="35"/>
  <c r="Q90" i="35"/>
  <c r="BZ91" i="35"/>
  <c r="CA91" i="35"/>
  <c r="CB91" i="35"/>
  <c r="CF93" i="35"/>
  <c r="AG95" i="35"/>
  <c r="E97" i="35"/>
  <c r="Q97" i="35"/>
  <c r="CO93" i="35" s="1"/>
  <c r="CX94" i="35" s="1"/>
  <c r="CA97" i="35"/>
  <c r="BG94" i="35" s="1"/>
  <c r="E98" i="35"/>
  <c r="Q98" i="35"/>
  <c r="CO94" i="35" s="1"/>
  <c r="CX95" i="35" s="1"/>
  <c r="BZ99" i="35"/>
  <c r="CA99" i="35"/>
  <c r="CB99" i="35"/>
  <c r="CF101" i="35"/>
  <c r="AG103" i="35"/>
  <c r="Q214" i="35" s="1"/>
  <c r="CA214" i="35" s="1"/>
  <c r="E105" i="35"/>
  <c r="Q105" i="35"/>
  <c r="CO101" i="35" s="1"/>
  <c r="CX102" i="35" s="1"/>
  <c r="CA105" i="35"/>
  <c r="BG102" i="35" s="1"/>
  <c r="E106" i="35"/>
  <c r="Q106" i="35"/>
  <c r="CO102" i="35" s="1"/>
  <c r="CX103" i="35" s="1"/>
  <c r="BZ107" i="35"/>
  <c r="CA107" i="35"/>
  <c r="CB107" i="35"/>
  <c r="CF109" i="35"/>
  <c r="BG110" i="35"/>
  <c r="AG111" i="35"/>
  <c r="E113" i="35"/>
  <c r="Q113" i="35"/>
  <c r="CO109" i="35" s="1"/>
  <c r="CX110" i="35" s="1"/>
  <c r="CA113" i="35"/>
  <c r="E114" i="35"/>
  <c r="Q114" i="35"/>
  <c r="CO110" i="35" s="1"/>
  <c r="CX111" i="35" s="1"/>
  <c r="BZ115" i="35"/>
  <c r="CA115" i="35"/>
  <c r="CB115" i="35"/>
  <c r="CF117" i="35"/>
  <c r="BG118" i="35"/>
  <c r="AG119" i="35"/>
  <c r="Q216" i="35" s="1"/>
  <c r="CA216" i="35" s="1"/>
  <c r="CX119" i="35"/>
  <c r="E121" i="35"/>
  <c r="Q121" i="35"/>
  <c r="CO117" i="35" s="1"/>
  <c r="CX118" i="35" s="1"/>
  <c r="CA121" i="35"/>
  <c r="E122" i="35"/>
  <c r="Q122" i="35"/>
  <c r="CO118" i="35" s="1"/>
  <c r="BZ123" i="35"/>
  <c r="CA123" i="35"/>
  <c r="CB123" i="35"/>
  <c r="CF125" i="35"/>
  <c r="BG126" i="35"/>
  <c r="E129" i="35"/>
  <c r="Q129" i="35"/>
  <c r="CO125" i="35" s="1"/>
  <c r="CX126" i="35" s="1"/>
  <c r="CA129" i="35"/>
  <c r="E130" i="35"/>
  <c r="Q130" i="35"/>
  <c r="CO126" i="35" s="1"/>
  <c r="CX127" i="35" s="1"/>
  <c r="BZ131" i="35"/>
  <c r="CA131" i="35"/>
  <c r="CB131" i="35"/>
  <c r="CF133" i="35"/>
  <c r="AG135" i="35"/>
  <c r="Q218" i="35" s="1"/>
  <c r="CA218" i="35" s="1"/>
  <c r="E137" i="35"/>
  <c r="Q137" i="35"/>
  <c r="CO133" i="35" s="1"/>
  <c r="CX134" i="35" s="1"/>
  <c r="CA137" i="35"/>
  <c r="BG134" i="35" s="1"/>
  <c r="E138" i="35"/>
  <c r="Q138" i="35"/>
  <c r="CO134" i="35" s="1"/>
  <c r="CX135" i="35" s="1"/>
  <c r="BZ139" i="35"/>
  <c r="CA139" i="35"/>
  <c r="CB139" i="35"/>
  <c r="CF141" i="35"/>
  <c r="E145" i="35"/>
  <c r="CA145" i="35"/>
  <c r="BG142" i="35" s="1"/>
  <c r="E146" i="35"/>
  <c r="BZ147" i="35"/>
  <c r="CA147" i="35"/>
  <c r="CB147" i="35"/>
  <c r="CF149" i="35"/>
  <c r="E153" i="35"/>
  <c r="CA153" i="35"/>
  <c r="BG150" i="35" s="1"/>
  <c r="E154" i="35"/>
  <c r="BZ158" i="35"/>
  <c r="CA158" i="35"/>
  <c r="CB158" i="35"/>
  <c r="CF160" i="35"/>
  <c r="BG161" i="35"/>
  <c r="E164" i="35"/>
  <c r="CA164" i="35"/>
  <c r="E165" i="35"/>
  <c r="BZ166" i="35"/>
  <c r="CA166" i="35"/>
  <c r="CB166" i="35"/>
  <c r="CF168" i="35"/>
  <c r="E172" i="35"/>
  <c r="CA172" i="35"/>
  <c r="BG169" i="35" s="1"/>
  <c r="E173" i="35"/>
  <c r="BZ174" i="35"/>
  <c r="CA174" i="35"/>
  <c r="CB174" i="35"/>
  <c r="BC175" i="35"/>
  <c r="BB175" i="35" s="1"/>
  <c r="CF176" i="35"/>
  <c r="E180" i="35"/>
  <c r="CA180" i="35"/>
  <c r="BG177" i="35" s="1"/>
  <c r="E181" i="35"/>
  <c r="DO183" i="35"/>
  <c r="Q207" i="35"/>
  <c r="CA207" i="35" s="1"/>
  <c r="Q208" i="35"/>
  <c r="CA208" i="35" s="1"/>
  <c r="CA209" i="35"/>
  <c r="CA210" i="35"/>
  <c r="Q213" i="35"/>
  <c r="CA213" i="35" s="1"/>
  <c r="Q215" i="35"/>
  <c r="CA215" i="35" s="1"/>
  <c r="AU224" i="35"/>
  <c r="C292" i="35"/>
  <c r="Y292" i="35" s="1"/>
  <c r="AE292" i="35" s="1"/>
  <c r="C293" i="35"/>
  <c r="Y293" i="35"/>
  <c r="AE293" i="35" s="1"/>
  <c r="AL293" i="35"/>
  <c r="Z296" i="35"/>
  <c r="AJ296" i="35"/>
  <c r="AJ298" i="35" s="1"/>
  <c r="AU296" i="35"/>
  <c r="C297" i="35"/>
  <c r="AG297" i="35"/>
  <c r="C298" i="35"/>
  <c r="AU298" i="35"/>
  <c r="C299" i="35"/>
  <c r="Z299" i="35"/>
  <c r="AJ299" i="35"/>
  <c r="AU299" i="35"/>
  <c r="BN299" i="35"/>
  <c r="C300" i="35"/>
  <c r="AJ300" i="35"/>
  <c r="C304" i="35"/>
  <c r="E304" i="35"/>
  <c r="C305" i="35"/>
  <c r="E305" i="35"/>
  <c r="C63" i="34"/>
  <c r="C67" i="34" s="1"/>
  <c r="F67" i="34" s="1"/>
  <c r="F63" i="34"/>
  <c r="CK4" i="34"/>
  <c r="BG5" i="34"/>
  <c r="BY6" i="34"/>
  <c r="AE8" i="34"/>
  <c r="BI8" i="34"/>
  <c r="BX8" i="34"/>
  <c r="CF8" i="34"/>
  <c r="BG10" i="34"/>
  <c r="BJ10" i="34"/>
  <c r="BM10" i="34"/>
  <c r="BG11" i="34"/>
  <c r="BJ11" i="34"/>
  <c r="BM11" i="34"/>
  <c r="D14" i="34"/>
  <c r="F14" i="34"/>
  <c r="BG14" i="34"/>
  <c r="BJ14" i="34"/>
  <c r="BM14" i="34"/>
  <c r="BG16" i="34"/>
  <c r="D18" i="34"/>
  <c r="BG18" i="34"/>
  <c r="BO18" i="34"/>
  <c r="D22" i="34"/>
  <c r="CH44" i="34"/>
  <c r="CI44" i="34" s="1"/>
  <c r="CC54" i="34"/>
  <c r="BX55" i="34"/>
  <c r="CJ55" i="34" s="1"/>
  <c r="CO55" i="34"/>
  <c r="BX58" i="34"/>
  <c r="CJ58" i="34" s="1"/>
  <c r="CO58" i="34"/>
  <c r="S63" i="34"/>
  <c r="C64" i="34"/>
  <c r="S64" i="34"/>
  <c r="Z64" i="34"/>
  <c r="AH64" i="34" s="1"/>
  <c r="AK64" i="34"/>
  <c r="C65" i="34"/>
  <c r="S65" i="34"/>
  <c r="Z65" i="34"/>
  <c r="AH65" i="34" s="1"/>
  <c r="CY65" i="34"/>
  <c r="C66" i="34"/>
  <c r="AK66" i="34"/>
  <c r="CY66" i="34"/>
  <c r="AK67" i="34"/>
  <c r="CY67" i="34"/>
  <c r="CY68" i="34"/>
  <c r="CY69" i="34"/>
  <c r="CY70" i="34"/>
  <c r="CY71" i="34"/>
  <c r="CY72" i="34"/>
  <c r="CY73" i="34"/>
  <c r="CY74" i="34"/>
  <c r="CY75" i="34"/>
  <c r="CY76" i="34"/>
  <c r="CY77" i="34"/>
  <c r="CY78" i="34"/>
  <c r="AT191" i="33"/>
  <c r="AT195" i="33" s="1"/>
  <c r="AW195" i="33" s="1"/>
  <c r="AW191" i="33"/>
  <c r="C5" i="33"/>
  <c r="D8" i="33" s="1"/>
  <c r="P92" i="33" s="1"/>
  <c r="Y7" i="33"/>
  <c r="AN7" i="33"/>
  <c r="Y8" i="33"/>
  <c r="AN8" i="33"/>
  <c r="AX8" i="33"/>
  <c r="BF8" i="33"/>
  <c r="Y9" i="33"/>
  <c r="AN9" i="33"/>
  <c r="Y10" i="33"/>
  <c r="AN10" i="33"/>
  <c r="BJ10" i="33"/>
  <c r="CJ14" i="33" s="1"/>
  <c r="AQ16" i="33"/>
  <c r="BH16" i="33"/>
  <c r="AG17" i="33"/>
  <c r="CR16" i="33" s="1"/>
  <c r="DD22" i="33" s="1"/>
  <c r="DU17" i="33"/>
  <c r="DV17" i="33" s="1"/>
  <c r="AG18" i="33"/>
  <c r="CR17" i="33" s="1"/>
  <c r="AT18" i="33"/>
  <c r="CV18" i="33" s="1"/>
  <c r="BG18" i="33"/>
  <c r="AG19" i="33"/>
  <c r="CR18" i="33" s="1"/>
  <c r="AT19" i="33"/>
  <c r="CV19" i="33" s="1"/>
  <c r="BG19" i="33"/>
  <c r="AG20" i="33"/>
  <c r="CR19" i="33" s="1"/>
  <c r="AT20" i="33"/>
  <c r="CV17" i="33" s="1"/>
  <c r="BG20" i="33"/>
  <c r="AG21" i="33"/>
  <c r="CV16" i="33" s="1"/>
  <c r="AZ21" i="33"/>
  <c r="BL21" i="33"/>
  <c r="CT21" i="33"/>
  <c r="AG22" i="33"/>
  <c r="AN22" i="33"/>
  <c r="AQ24" i="33"/>
  <c r="BH24" i="33"/>
  <c r="AG25" i="33"/>
  <c r="CR24" i="33" s="1"/>
  <c r="DD30" i="33" s="1"/>
  <c r="AG26" i="33"/>
  <c r="CR25" i="33" s="1"/>
  <c r="AT26" i="33"/>
  <c r="CV26" i="33" s="1"/>
  <c r="BG26" i="33"/>
  <c r="AG27" i="33"/>
  <c r="CR26" i="33" s="1"/>
  <c r="AT27" i="33"/>
  <c r="CV27" i="33" s="1"/>
  <c r="BG27" i="33"/>
  <c r="CR27" i="33"/>
  <c r="AG28" i="33"/>
  <c r="AT28" i="33"/>
  <c r="CV25" i="33" s="1"/>
  <c r="BG28" i="33"/>
  <c r="AG29" i="33"/>
  <c r="CV24" i="33" s="1"/>
  <c r="AZ29" i="33"/>
  <c r="BL29" i="33"/>
  <c r="CT29" i="33"/>
  <c r="DR29" i="33"/>
  <c r="AG30" i="33"/>
  <c r="AN30" i="33"/>
  <c r="DM29" i="33" s="1"/>
  <c r="AQ32" i="33"/>
  <c r="BH32" i="33"/>
  <c r="CR32" i="33"/>
  <c r="DD38" i="33" s="1"/>
  <c r="AG33" i="33"/>
  <c r="CV33" i="33"/>
  <c r="AG34" i="33"/>
  <c r="CR33" i="33" s="1"/>
  <c r="DN33" i="33" s="1"/>
  <c r="AT34" i="33"/>
  <c r="CV34" i="33" s="1"/>
  <c r="BG34" i="33"/>
  <c r="AG35" i="33"/>
  <c r="CR34" i="33" s="1"/>
  <c r="DN34" i="33" s="1"/>
  <c r="AT35" i="33"/>
  <c r="CV35" i="33" s="1"/>
  <c r="BG35" i="33"/>
  <c r="AG36" i="33"/>
  <c r="CR35" i="33" s="1"/>
  <c r="DN35" i="33" s="1"/>
  <c r="AT36" i="33"/>
  <c r="BG36" i="33"/>
  <c r="AG37" i="33"/>
  <c r="CV32" i="33" s="1"/>
  <c r="AZ37" i="33"/>
  <c r="BL37" i="33"/>
  <c r="CT37" i="33"/>
  <c r="DR37" i="33"/>
  <c r="AG38" i="33"/>
  <c r="AN38" i="33"/>
  <c r="DM37" i="33" s="1"/>
  <c r="AQ40" i="33"/>
  <c r="BH40" i="33"/>
  <c r="AG41" i="33"/>
  <c r="CR40" i="33" s="1"/>
  <c r="DD46" i="33" s="1"/>
  <c r="AG42" i="33"/>
  <c r="CR41" i="33" s="1"/>
  <c r="DN41" i="33" s="1"/>
  <c r="AT42" i="33"/>
  <c r="CV42" i="33" s="1"/>
  <c r="BG42" i="33"/>
  <c r="AG43" i="33"/>
  <c r="CR42" i="33" s="1"/>
  <c r="DN42" i="33" s="1"/>
  <c r="AT43" i="33"/>
  <c r="CV43" i="33" s="1"/>
  <c r="BG43" i="33"/>
  <c r="CR43" i="33"/>
  <c r="DN43" i="33" s="1"/>
  <c r="AG44" i="33"/>
  <c r="AT44" i="33"/>
  <c r="CV41" i="33" s="1"/>
  <c r="BG44" i="33"/>
  <c r="AG45" i="33"/>
  <c r="CV40" i="33" s="1"/>
  <c r="AZ45" i="33"/>
  <c r="BL45" i="33"/>
  <c r="CT45" i="33"/>
  <c r="AG46" i="33"/>
  <c r="AN46" i="33"/>
  <c r="DR45" i="33" s="1"/>
  <c r="AQ48" i="33"/>
  <c r="BH48" i="33"/>
  <c r="CV48" i="33"/>
  <c r="AG49" i="33"/>
  <c r="CR48" i="33" s="1"/>
  <c r="DD54" i="33" s="1"/>
  <c r="AG50" i="33"/>
  <c r="CR49" i="33" s="1"/>
  <c r="DN49" i="33" s="1"/>
  <c r="AT50" i="33"/>
  <c r="CV50" i="33" s="1"/>
  <c r="BG50" i="33"/>
  <c r="AG51" i="33"/>
  <c r="CR50" i="33" s="1"/>
  <c r="DN50" i="33" s="1"/>
  <c r="AT51" i="33"/>
  <c r="CV51" i="33" s="1"/>
  <c r="BG51" i="33"/>
  <c r="CR51" i="33"/>
  <c r="DN51" i="33" s="1"/>
  <c r="AG52" i="33"/>
  <c r="AT52" i="33"/>
  <c r="CV49" i="33" s="1"/>
  <c r="BG52" i="33"/>
  <c r="AG53" i="33"/>
  <c r="AZ53" i="33"/>
  <c r="BL53" i="33"/>
  <c r="CT53" i="33"/>
  <c r="AG54" i="33"/>
  <c r="AN54" i="33"/>
  <c r="DM53" i="33" s="1"/>
  <c r="AQ56" i="33"/>
  <c r="BH56" i="33"/>
  <c r="CV56" i="33"/>
  <c r="AG57" i="33"/>
  <c r="CR56" i="33" s="1"/>
  <c r="DD62" i="33" s="1"/>
  <c r="AG58" i="33"/>
  <c r="CR57" i="33" s="1"/>
  <c r="DN57" i="33" s="1"/>
  <c r="AT58" i="33"/>
  <c r="CV58" i="33" s="1"/>
  <c r="BG58" i="33"/>
  <c r="AG59" i="33"/>
  <c r="CR58" i="33" s="1"/>
  <c r="DN58" i="33" s="1"/>
  <c r="AT59" i="33"/>
  <c r="CV59" i="33" s="1"/>
  <c r="BG59" i="33"/>
  <c r="AG60" i="33"/>
  <c r="CR59" i="33" s="1"/>
  <c r="DN59" i="33" s="1"/>
  <c r="AT60" i="33"/>
  <c r="CV57" i="33" s="1"/>
  <c r="BG60" i="33"/>
  <c r="AG61" i="33"/>
  <c r="AZ61" i="33"/>
  <c r="BL61" i="33"/>
  <c r="CT61" i="33"/>
  <c r="AG62" i="33"/>
  <c r="AN62" i="33"/>
  <c r="DR61" i="33" s="1"/>
  <c r="AQ64" i="33"/>
  <c r="BH64" i="33"/>
  <c r="AG65" i="33"/>
  <c r="CR64" i="33" s="1"/>
  <c r="CR65" i="33"/>
  <c r="DN65" i="33" s="1"/>
  <c r="CV65" i="33"/>
  <c r="AG66" i="33"/>
  <c r="AT66" i="33"/>
  <c r="CV66" i="33" s="1"/>
  <c r="BG66" i="33"/>
  <c r="AG67" i="33"/>
  <c r="CR66" i="33" s="1"/>
  <c r="DN66" i="33" s="1"/>
  <c r="AT67" i="33"/>
  <c r="CV67" i="33" s="1"/>
  <c r="BG67" i="33"/>
  <c r="AG68" i="33"/>
  <c r="CR67" i="33" s="1"/>
  <c r="DN67" i="33" s="1"/>
  <c r="AT68" i="33"/>
  <c r="BG68" i="33"/>
  <c r="AG69" i="33"/>
  <c r="CV64" i="33" s="1"/>
  <c r="AZ69" i="33"/>
  <c r="BL69" i="33"/>
  <c r="CT69" i="33"/>
  <c r="AG70" i="33"/>
  <c r="AN70" i="33"/>
  <c r="DR69" i="33" s="1"/>
  <c r="DD70" i="33"/>
  <c r="DR71" i="33"/>
  <c r="AQ72" i="33"/>
  <c r="BH72" i="33"/>
  <c r="DR72" i="33"/>
  <c r="AG73" i="33"/>
  <c r="CR72" i="33" s="1"/>
  <c r="DD78" i="33" s="1"/>
  <c r="AG74" i="33"/>
  <c r="CR73" i="33" s="1"/>
  <c r="DN73" i="33" s="1"/>
  <c r="AT74" i="33"/>
  <c r="CV74" i="33" s="1"/>
  <c r="BG74" i="33"/>
  <c r="CR74" i="33"/>
  <c r="DN74" i="33" s="1"/>
  <c r="AG75" i="33"/>
  <c r="AT75" i="33"/>
  <c r="CV75" i="33" s="1"/>
  <c r="BG75" i="33"/>
  <c r="AG76" i="33"/>
  <c r="CR75" i="33" s="1"/>
  <c r="DN75" i="33" s="1"/>
  <c r="AT76" i="33"/>
  <c r="CV73" i="33" s="1"/>
  <c r="BG76" i="33"/>
  <c r="AG77" i="33"/>
  <c r="CV72" i="33" s="1"/>
  <c r="AZ77" i="33"/>
  <c r="BL77" i="33"/>
  <c r="CT77" i="33"/>
  <c r="AG78" i="33"/>
  <c r="AN78" i="33"/>
  <c r="DM77" i="33" s="1"/>
  <c r="AQ84" i="33"/>
  <c r="BH84" i="33"/>
  <c r="AG85" i="33"/>
  <c r="CR84" i="33" s="1"/>
  <c r="DD89" i="33" s="1"/>
  <c r="AG86" i="33"/>
  <c r="CR85" i="33" s="1"/>
  <c r="DN85" i="33" s="1"/>
  <c r="AT86" i="33"/>
  <c r="BG86" i="33"/>
  <c r="CV86" i="33"/>
  <c r="AG87" i="33"/>
  <c r="CR86" i="33" s="1"/>
  <c r="DN86" i="33" s="1"/>
  <c r="AT87" i="33"/>
  <c r="CV87" i="33" s="1"/>
  <c r="BG87" i="33"/>
  <c r="AG88" i="33"/>
  <c r="CR87" i="33" s="1"/>
  <c r="AT88" i="33"/>
  <c r="CV85" i="33" s="1"/>
  <c r="BG88" i="33"/>
  <c r="AG89" i="33"/>
  <c r="CV84" i="33" s="1"/>
  <c r="AZ89" i="33"/>
  <c r="BL89" i="33"/>
  <c r="CT89" i="33"/>
  <c r="AG90" i="33"/>
  <c r="AN90" i="33"/>
  <c r="DM89" i="33" s="1"/>
  <c r="AQ92" i="33"/>
  <c r="BH92" i="33"/>
  <c r="AG93" i="33"/>
  <c r="CR92" i="33" s="1"/>
  <c r="DD98" i="33" s="1"/>
  <c r="CR93" i="33"/>
  <c r="DN93" i="33" s="1"/>
  <c r="AG94" i="33"/>
  <c r="AT94" i="33"/>
  <c r="CV94" i="33" s="1"/>
  <c r="BG94" i="33"/>
  <c r="AG95" i="33"/>
  <c r="CR94" i="33" s="1"/>
  <c r="DN94" i="33" s="1"/>
  <c r="AT95" i="33"/>
  <c r="CV95" i="33" s="1"/>
  <c r="BG95" i="33"/>
  <c r="DN95" i="33"/>
  <c r="AG96" i="33"/>
  <c r="CR95" i="33" s="1"/>
  <c r="AT96" i="33"/>
  <c r="CV93" i="33" s="1"/>
  <c r="BG96" i="33"/>
  <c r="AG97" i="33"/>
  <c r="CV92" i="33" s="1"/>
  <c r="AZ97" i="33"/>
  <c r="BL97" i="33"/>
  <c r="CT97" i="33"/>
  <c r="DR97" i="33"/>
  <c r="AG98" i="33"/>
  <c r="AN98" i="33"/>
  <c r="DM97" i="33" s="1"/>
  <c r="AQ100" i="33"/>
  <c r="BH100" i="33"/>
  <c r="AG101" i="33"/>
  <c r="CR100" i="33" s="1"/>
  <c r="DD106" i="33" s="1"/>
  <c r="CR101" i="33"/>
  <c r="DN101" i="33" s="1"/>
  <c r="AG102" i="33"/>
  <c r="AT102" i="33"/>
  <c r="CV102" i="33" s="1"/>
  <c r="BG102" i="33"/>
  <c r="AG103" i="33"/>
  <c r="CR102" i="33" s="1"/>
  <c r="DN102" i="33" s="1"/>
  <c r="AT103" i="33"/>
  <c r="CV103" i="33" s="1"/>
  <c r="BG103" i="33"/>
  <c r="AG104" i="33"/>
  <c r="CR103" i="33" s="1"/>
  <c r="DN103" i="33" s="1"/>
  <c r="AT104" i="33"/>
  <c r="CV101" i="33" s="1"/>
  <c r="BG104" i="33"/>
  <c r="AG105" i="33"/>
  <c r="CV100" i="33" s="1"/>
  <c r="AZ105" i="33"/>
  <c r="BL105" i="33"/>
  <c r="CT105" i="33"/>
  <c r="DM105" i="33"/>
  <c r="AG106" i="33"/>
  <c r="AN106" i="33"/>
  <c r="DR105" i="33" s="1"/>
  <c r="AQ108" i="33"/>
  <c r="BH108" i="33"/>
  <c r="AG109" i="33"/>
  <c r="CR108" i="33" s="1"/>
  <c r="CR109" i="33"/>
  <c r="DN109" i="33" s="1"/>
  <c r="CV109" i="33"/>
  <c r="AG110" i="33"/>
  <c r="AT110" i="33"/>
  <c r="CV110" i="33" s="1"/>
  <c r="BG110" i="33"/>
  <c r="AG111" i="33"/>
  <c r="CR110" i="33" s="1"/>
  <c r="DN110" i="33" s="1"/>
  <c r="AT111" i="33"/>
  <c r="CV111" i="33" s="1"/>
  <c r="BG111" i="33"/>
  <c r="CR111" i="33"/>
  <c r="DN111" i="33"/>
  <c r="AG112" i="33"/>
  <c r="AT112" i="33"/>
  <c r="BG112" i="33"/>
  <c r="AG113" i="33"/>
  <c r="CV108" i="33" s="1"/>
  <c r="AZ113" i="33"/>
  <c r="BL113" i="33"/>
  <c r="CT113" i="33"/>
  <c r="DM113" i="33"/>
  <c r="AG114" i="33"/>
  <c r="AN114" i="33"/>
  <c r="DR113" i="33" s="1"/>
  <c r="DD114" i="33"/>
  <c r="AQ116" i="33"/>
  <c r="BH116" i="33"/>
  <c r="AG117" i="33"/>
  <c r="CR116" i="33" s="1"/>
  <c r="DD122" i="33" s="1"/>
  <c r="CV117" i="33"/>
  <c r="AG118" i="33"/>
  <c r="CR117" i="33" s="1"/>
  <c r="DN117" i="33" s="1"/>
  <c r="AT118" i="33"/>
  <c r="CV118" i="33" s="1"/>
  <c r="BG118" i="33"/>
  <c r="CR118" i="33"/>
  <c r="DN118" i="33"/>
  <c r="AG119" i="33"/>
  <c r="AT119" i="33"/>
  <c r="CV119" i="33" s="1"/>
  <c r="BG119" i="33"/>
  <c r="AG120" i="33"/>
  <c r="CR119" i="33" s="1"/>
  <c r="DN119" i="33" s="1"/>
  <c r="AT120" i="33"/>
  <c r="BG120" i="33"/>
  <c r="AG121" i="33"/>
  <c r="CV116" i="33" s="1"/>
  <c r="AZ121" i="33"/>
  <c r="BL121" i="33"/>
  <c r="CT121" i="33"/>
  <c r="DM121" i="33"/>
  <c r="DR121" i="33"/>
  <c r="AG122" i="33"/>
  <c r="AN122" i="33"/>
  <c r="AQ124" i="33"/>
  <c r="BH124" i="33"/>
  <c r="AG125" i="33"/>
  <c r="CR124" i="33" s="1"/>
  <c r="DD130" i="33" s="1"/>
  <c r="CR125" i="33"/>
  <c r="DN125" i="33" s="1"/>
  <c r="AG126" i="33"/>
  <c r="AT126" i="33"/>
  <c r="CV126" i="33" s="1"/>
  <c r="BG126" i="33"/>
  <c r="AG127" i="33"/>
  <c r="CR126" i="33" s="1"/>
  <c r="DN126" i="33" s="1"/>
  <c r="AT127" i="33"/>
  <c r="CV127" i="33" s="1"/>
  <c r="BG127" i="33"/>
  <c r="AG128" i="33"/>
  <c r="CR127" i="33" s="1"/>
  <c r="DN127" i="33" s="1"/>
  <c r="AT128" i="33"/>
  <c r="CV125" i="33" s="1"/>
  <c r="BG128" i="33"/>
  <c r="AG129" i="33"/>
  <c r="CV124" i="33" s="1"/>
  <c r="AZ129" i="33"/>
  <c r="BL129" i="33"/>
  <c r="CT129" i="33"/>
  <c r="AG130" i="33"/>
  <c r="AN130" i="33"/>
  <c r="DM129" i="33" s="1"/>
  <c r="AQ132" i="33"/>
  <c r="BH132" i="33"/>
  <c r="AG133" i="33"/>
  <c r="CR132" i="33" s="1"/>
  <c r="DD138" i="33" s="1"/>
  <c r="AG134" i="33"/>
  <c r="CR133" i="33" s="1"/>
  <c r="DN133" i="33" s="1"/>
  <c r="AT134" i="33"/>
  <c r="CV134" i="33" s="1"/>
  <c r="BG134" i="33"/>
  <c r="AG135" i="33"/>
  <c r="CR134" i="33" s="1"/>
  <c r="DN134" i="33" s="1"/>
  <c r="AT135" i="33"/>
  <c r="CV135" i="33" s="1"/>
  <c r="BG135" i="33"/>
  <c r="AG136" i="33"/>
  <c r="CR135" i="33" s="1"/>
  <c r="DN135" i="33" s="1"/>
  <c r="AT136" i="33"/>
  <c r="CV133" i="33" s="1"/>
  <c r="BG136" i="33"/>
  <c r="AG137" i="33"/>
  <c r="CV132" i="33" s="1"/>
  <c r="AZ137" i="33"/>
  <c r="BL137" i="33"/>
  <c r="CT137" i="33"/>
  <c r="AG138" i="33"/>
  <c r="AN138" i="33"/>
  <c r="DM137" i="33" s="1"/>
  <c r="AQ140" i="33"/>
  <c r="BH140" i="33"/>
  <c r="CV140" i="33"/>
  <c r="AG141" i="33"/>
  <c r="CR140" i="33" s="1"/>
  <c r="DD146" i="33" s="1"/>
  <c r="AG142" i="33"/>
  <c r="CR141" i="33" s="1"/>
  <c r="DN141" i="33" s="1"/>
  <c r="AT142" i="33"/>
  <c r="CV142" i="33" s="1"/>
  <c r="BG142" i="33"/>
  <c r="AG143" i="33"/>
  <c r="CR142" i="33" s="1"/>
  <c r="DN142" i="33" s="1"/>
  <c r="AT143" i="33"/>
  <c r="CV143" i="33" s="1"/>
  <c r="BG143" i="33"/>
  <c r="AG144" i="33"/>
  <c r="CR143" i="33" s="1"/>
  <c r="DN143" i="33" s="1"/>
  <c r="AT144" i="33"/>
  <c r="CV141" i="33" s="1"/>
  <c r="BG144" i="33"/>
  <c r="AG145" i="33"/>
  <c r="AZ145" i="33"/>
  <c r="BL145" i="33"/>
  <c r="CT145" i="33"/>
  <c r="AG146" i="33"/>
  <c r="AN146" i="33"/>
  <c r="AQ148" i="33"/>
  <c r="BH148" i="33"/>
  <c r="AG149" i="33"/>
  <c r="CR148" i="33" s="1"/>
  <c r="DD154" i="33" s="1"/>
  <c r="AG150" i="33"/>
  <c r="CR149" i="33" s="1"/>
  <c r="DN149" i="33" s="1"/>
  <c r="AT150" i="33"/>
  <c r="CV150" i="33" s="1"/>
  <c r="BG150" i="33"/>
  <c r="AG151" i="33"/>
  <c r="CR150" i="33" s="1"/>
  <c r="DN150" i="33" s="1"/>
  <c r="AT151" i="33"/>
  <c r="CV151" i="33" s="1"/>
  <c r="BG151" i="33"/>
  <c r="DN151" i="33"/>
  <c r="AG152" i="33"/>
  <c r="CR151" i="33" s="1"/>
  <c r="AT152" i="33"/>
  <c r="CV149" i="33" s="1"/>
  <c r="BG152" i="33"/>
  <c r="AG153" i="33"/>
  <c r="CV148" i="33" s="1"/>
  <c r="AZ153" i="33"/>
  <c r="BL153" i="33"/>
  <c r="CT153" i="33"/>
  <c r="AG154" i="33"/>
  <c r="AN154" i="33"/>
  <c r="DM153" i="33" s="1"/>
  <c r="AQ160" i="33"/>
  <c r="BH160" i="33"/>
  <c r="AG161" i="33"/>
  <c r="CR160" i="33" s="1"/>
  <c r="DD166" i="33" s="1"/>
  <c r="AG162" i="33"/>
  <c r="CR161" i="33" s="1"/>
  <c r="DN161" i="33" s="1"/>
  <c r="AT162" i="33"/>
  <c r="BG162" i="33"/>
  <c r="CV162" i="33"/>
  <c r="AG163" i="33"/>
  <c r="CR162" i="33" s="1"/>
  <c r="DN162" i="33" s="1"/>
  <c r="AT163" i="33"/>
  <c r="CV163" i="33" s="1"/>
  <c r="BG163" i="33"/>
  <c r="CR163" i="33"/>
  <c r="DN163" i="33" s="1"/>
  <c r="AG164" i="33"/>
  <c r="AT164" i="33"/>
  <c r="CV161" i="33" s="1"/>
  <c r="BG164" i="33"/>
  <c r="AG165" i="33"/>
  <c r="CV160" i="33" s="1"/>
  <c r="AZ165" i="33"/>
  <c r="BL165" i="33"/>
  <c r="CT165" i="33"/>
  <c r="DM165" i="33"/>
  <c r="AG166" i="33"/>
  <c r="AN166" i="33"/>
  <c r="DR165" i="33" s="1"/>
  <c r="AQ168" i="33"/>
  <c r="BH168" i="33"/>
  <c r="AG169" i="33"/>
  <c r="CR168" i="33" s="1"/>
  <c r="DD174" i="33" s="1"/>
  <c r="AG170" i="33"/>
  <c r="CR169" i="33" s="1"/>
  <c r="DN169" i="33" s="1"/>
  <c r="AT170" i="33"/>
  <c r="CV170" i="33" s="1"/>
  <c r="BG170" i="33"/>
  <c r="CR170" i="33"/>
  <c r="DN170" i="33" s="1"/>
  <c r="AG171" i="33"/>
  <c r="AT171" i="33"/>
  <c r="CV171" i="33" s="1"/>
  <c r="BG171" i="33"/>
  <c r="AG172" i="33"/>
  <c r="CR171" i="33" s="1"/>
  <c r="DN171" i="33" s="1"/>
  <c r="AT172" i="33"/>
  <c r="CV169" i="33" s="1"/>
  <c r="BG172" i="33"/>
  <c r="AG173" i="33"/>
  <c r="CV168" i="33" s="1"/>
  <c r="AZ173" i="33"/>
  <c r="BL173" i="33"/>
  <c r="CT173" i="33"/>
  <c r="AG174" i="33"/>
  <c r="AN174" i="33"/>
  <c r="DR173" i="33" s="1"/>
  <c r="AQ176" i="33"/>
  <c r="BH176" i="33"/>
  <c r="AG177" i="33"/>
  <c r="CR176" i="33" s="1"/>
  <c r="DD182" i="33" s="1"/>
  <c r="DN177" i="33"/>
  <c r="AG178" i="33"/>
  <c r="CR177" i="33" s="1"/>
  <c r="AT178" i="33"/>
  <c r="CV178" i="33" s="1"/>
  <c r="BG178" i="33"/>
  <c r="AG179" i="33"/>
  <c r="CR178" i="33" s="1"/>
  <c r="DN178" i="33" s="1"/>
  <c r="AT179" i="33"/>
  <c r="CV179" i="33" s="1"/>
  <c r="BG179" i="33"/>
  <c r="CR179" i="33"/>
  <c r="DN179" i="33" s="1"/>
  <c r="AG180" i="33"/>
  <c r="AT180" i="33"/>
  <c r="CV177" i="33" s="1"/>
  <c r="BG180" i="33"/>
  <c r="AG181" i="33"/>
  <c r="CV176" i="33" s="1"/>
  <c r="AZ181" i="33"/>
  <c r="BL181" i="33"/>
  <c r="CT181" i="33"/>
  <c r="DM181" i="33"/>
  <c r="AG182" i="33"/>
  <c r="AN182" i="33"/>
  <c r="DR181" i="33" s="1"/>
  <c r="CY182" i="33"/>
  <c r="C186" i="33"/>
  <c r="AT189" i="33"/>
  <c r="BJ191" i="33"/>
  <c r="AT192" i="33"/>
  <c r="BN192" i="33"/>
  <c r="AT193" i="33"/>
  <c r="BN193" i="33"/>
  <c r="AT194" i="33"/>
  <c r="AT197" i="33"/>
  <c r="AZ197" i="33"/>
  <c r="BF197" i="33"/>
  <c r="BK197" i="33"/>
  <c r="BP197" i="33"/>
  <c r="AT199" i="33"/>
  <c r="AW199" i="33"/>
  <c r="AZ199" i="33"/>
  <c r="BC199" i="33"/>
  <c r="BF199" i="33"/>
  <c r="AT204" i="33"/>
  <c r="BK204" i="33"/>
  <c r="AT209" i="33"/>
  <c r="AT210" i="33"/>
  <c r="BM210" i="33"/>
  <c r="BY210" i="33"/>
  <c r="BY212" i="33"/>
  <c r="AT166" i="32"/>
  <c r="AT170" i="32" s="1"/>
  <c r="AW170" i="32" s="1"/>
  <c r="AW166" i="32"/>
  <c r="Y7" i="32"/>
  <c r="CD27" i="32" s="1"/>
  <c r="AN7" i="32"/>
  <c r="Y8" i="32"/>
  <c r="AN8" i="32"/>
  <c r="AW8" i="32"/>
  <c r="AB10" i="32"/>
  <c r="BW10" i="32"/>
  <c r="AW10" i="32"/>
  <c r="AC19" i="35"/>
  <c r="AI17" i="32"/>
  <c r="BC17" i="32"/>
  <c r="CH21" i="32" s="1"/>
  <c r="C19" i="32"/>
  <c r="DA17" i="32" s="1"/>
  <c r="AI23" i="32"/>
  <c r="BC23" i="32"/>
  <c r="AC35" i="35"/>
  <c r="AI29" i="32"/>
  <c r="BC29" i="32"/>
  <c r="CJ33" i="32" s="1"/>
  <c r="CH33" i="32"/>
  <c r="I44" i="36"/>
  <c r="AI35" i="32"/>
  <c r="BC35" i="32"/>
  <c r="CH39" i="32" s="1"/>
  <c r="AI41" i="32"/>
  <c r="BC41" i="32"/>
  <c r="CJ45" i="32" s="1"/>
  <c r="AI47" i="32"/>
  <c r="BC47" i="32"/>
  <c r="CH51" i="32" s="1"/>
  <c r="AI53" i="32"/>
  <c r="BC53" i="32"/>
  <c r="CJ57" i="32" s="1"/>
  <c r="CH57" i="32"/>
  <c r="AI59" i="32"/>
  <c r="BC59" i="32"/>
  <c r="AI65" i="32"/>
  <c r="BC65" i="32"/>
  <c r="CH69" i="32" s="1"/>
  <c r="AI71" i="32"/>
  <c r="BC71" i="32"/>
  <c r="AI77" i="32"/>
  <c r="BC77" i="32"/>
  <c r="CH81" i="32" s="1"/>
  <c r="AC108" i="35"/>
  <c r="AI88" i="32"/>
  <c r="BC88" i="32"/>
  <c r="CJ92" i="32" s="1"/>
  <c r="AI94" i="32"/>
  <c r="BC94" i="32"/>
  <c r="CH98" i="32" s="1"/>
  <c r="CJ98" i="32"/>
  <c r="I137" i="36"/>
  <c r="AI100" i="32"/>
  <c r="BC100" i="32"/>
  <c r="CJ104" i="32" s="1"/>
  <c r="AI106" i="32"/>
  <c r="BC106" i="32"/>
  <c r="CH110" i="32" s="1"/>
  <c r="AI112" i="32"/>
  <c r="BC112" i="32"/>
  <c r="I167" i="36"/>
  <c r="AI118" i="32"/>
  <c r="BC118" i="32"/>
  <c r="CM122" i="32" s="1"/>
  <c r="CO122" i="32"/>
  <c r="AI124" i="32"/>
  <c r="BC124" i="32"/>
  <c r="CH128" i="32" s="1"/>
  <c r="AC167" i="35"/>
  <c r="AI130" i="32"/>
  <c r="BC130" i="32"/>
  <c r="CH134" i="32"/>
  <c r="CJ134" i="32"/>
  <c r="AI136" i="32"/>
  <c r="BC136" i="32"/>
  <c r="DQ154" i="32"/>
  <c r="C161" i="32"/>
  <c r="AT164" i="32"/>
  <c r="AT167" i="32"/>
  <c r="AT168" i="32"/>
  <c r="AT169" i="32"/>
  <c r="AT172" i="32"/>
  <c r="BE172" i="32"/>
  <c r="BM172" i="32"/>
  <c r="AT173" i="32"/>
  <c r="BE173" i="32"/>
  <c r="BM173" i="32"/>
  <c r="AT176" i="32"/>
  <c r="AT177" i="32"/>
  <c r="BM177" i="32"/>
  <c r="V12" i="35" l="1"/>
  <c r="DJ11" i="35"/>
  <c r="DJ12" i="35" s="1"/>
  <c r="DG12" i="35" s="1"/>
  <c r="CG260" i="37"/>
  <c r="DD103" i="37"/>
  <c r="DD104" i="37" s="1"/>
  <c r="V432" i="40"/>
  <c r="AA438" i="40"/>
  <c r="AB438" i="40"/>
  <c r="DD146" i="37"/>
  <c r="CJ128" i="32"/>
  <c r="DV241" i="36"/>
  <c r="CQ137" i="36"/>
  <c r="DS199" i="36" s="1"/>
  <c r="CQ110" i="36"/>
  <c r="DS157" i="36" s="1"/>
  <c r="CQ107" i="36"/>
  <c r="DS155" i="36" s="1"/>
  <c r="CQ71" i="36"/>
  <c r="DS101" i="36" s="1"/>
  <c r="CQ41" i="36"/>
  <c r="DS57" i="36" s="1"/>
  <c r="CQ23" i="36"/>
  <c r="DS29" i="36" s="1"/>
  <c r="CG270" i="37"/>
  <c r="CG257" i="37"/>
  <c r="CG244" i="37"/>
  <c r="DD194" i="37"/>
  <c r="DD195" i="37" s="1"/>
  <c r="DD148" i="37"/>
  <c r="DD149" i="37" s="1"/>
  <c r="DD57" i="37"/>
  <c r="DD58" i="37" s="1"/>
  <c r="DD46" i="37"/>
  <c r="DH38" i="37"/>
  <c r="T55" i="40"/>
  <c r="AM81" i="42"/>
  <c r="AI81" i="42" s="1"/>
  <c r="DR137" i="33"/>
  <c r="DR77" i="33"/>
  <c r="CG181" i="35"/>
  <c r="CG269" i="37"/>
  <c r="CG256" i="37"/>
  <c r="CG243" i="37"/>
  <c r="AN231" i="37"/>
  <c r="DD165" i="37"/>
  <c r="DD121" i="37"/>
  <c r="DD122" i="37" s="1"/>
  <c r="DD102" i="37"/>
  <c r="DD94" i="37"/>
  <c r="DD95" i="37" s="1"/>
  <c r="DD38" i="37"/>
  <c r="X174" i="40"/>
  <c r="F182" i="40"/>
  <c r="I182" i="40" s="1"/>
  <c r="T50" i="40"/>
  <c r="N228" i="42"/>
  <c r="AM86" i="42"/>
  <c r="AI86" i="42" s="1"/>
  <c r="CQ119" i="36"/>
  <c r="DS171" i="36" s="1"/>
  <c r="CQ53" i="36"/>
  <c r="DS73" i="36" s="1"/>
  <c r="DD129" i="37"/>
  <c r="CH92" i="32"/>
  <c r="CJ69" i="32"/>
  <c r="CJ51" i="32"/>
  <c r="DV269" i="36"/>
  <c r="DV17" i="36"/>
  <c r="CG268" i="37"/>
  <c r="CG254" i="37"/>
  <c r="CG239" i="37"/>
  <c r="DD147" i="37"/>
  <c r="DD85" i="37"/>
  <c r="DD86" i="37" s="1"/>
  <c r="DD73" i="37"/>
  <c r="DH30" i="37"/>
  <c r="DH31" i="37" s="1"/>
  <c r="F175" i="40"/>
  <c r="N260" i="42"/>
  <c r="AL89" i="42"/>
  <c r="AH89" i="42" s="1"/>
  <c r="CG265" i="37"/>
  <c r="CG253" i="37"/>
  <c r="CG238" i="37"/>
  <c r="DD203" i="37"/>
  <c r="DD204" i="37" s="1"/>
  <c r="DD174" i="37"/>
  <c r="DD166" i="37"/>
  <c r="DD30" i="37"/>
  <c r="DD31" i="37" s="1"/>
  <c r="K180" i="40"/>
  <c r="AA244" i="40"/>
  <c r="AB244" i="40"/>
  <c r="V238" i="40"/>
  <c r="U40" i="39"/>
  <c r="AA40" i="39" s="1"/>
  <c r="CG248" i="37"/>
  <c r="DM69" i="33"/>
  <c r="DM45" i="33"/>
  <c r="DV115" i="36"/>
  <c r="BG10" i="36"/>
  <c r="CG263" i="37"/>
  <c r="CG251" i="37"/>
  <c r="CG236" i="37"/>
  <c r="DH184" i="37"/>
  <c r="DD139" i="37"/>
  <c r="DD140" i="37" s="1"/>
  <c r="DD120" i="37"/>
  <c r="DD47" i="37"/>
  <c r="I173" i="40"/>
  <c r="CH45" i="32"/>
  <c r="DM173" i="33"/>
  <c r="DM61" i="33"/>
  <c r="DR53" i="33"/>
  <c r="CG262" i="37"/>
  <c r="CG250" i="37"/>
  <c r="DD192" i="37"/>
  <c r="DD130" i="37"/>
  <c r="DD131" i="37" s="1"/>
  <c r="DD112" i="37"/>
  <c r="DD113" i="37" s="1"/>
  <c r="DD84" i="37"/>
  <c r="DD29" i="37"/>
  <c r="BI134" i="32"/>
  <c r="BI128" i="32"/>
  <c r="BI140" i="32"/>
  <c r="CH104" i="32"/>
  <c r="CJ21" i="32"/>
  <c r="CJ110" i="32"/>
  <c r="CJ81" i="32"/>
  <c r="BI104" i="32"/>
  <c r="BI33" i="32"/>
  <c r="BI21" i="32"/>
  <c r="DJ24" i="32" s="1"/>
  <c r="BI51" i="32"/>
  <c r="BI57" i="32"/>
  <c r="BI27" i="32"/>
  <c r="DJ32" i="32" s="1"/>
  <c r="BI92" i="32"/>
  <c r="BI69" i="32"/>
  <c r="BI110" i="32"/>
  <c r="BI39" i="32"/>
  <c r="BI98" i="32"/>
  <c r="BI116" i="32"/>
  <c r="BI75" i="32"/>
  <c r="BI45" i="32"/>
  <c r="BI81" i="32"/>
  <c r="BI63" i="32"/>
  <c r="CJ1" i="34"/>
  <c r="AL129" i="32"/>
  <c r="BI133" i="32" s="1"/>
  <c r="P100" i="33"/>
  <c r="BA103" i="33" s="1"/>
  <c r="CY103" i="33" s="1"/>
  <c r="DM108" i="33" s="1"/>
  <c r="AP108" i="35"/>
  <c r="BW111" i="35" s="1"/>
  <c r="AP92" i="35"/>
  <c r="BW95" i="35" s="1"/>
  <c r="AP84" i="35"/>
  <c r="BW87" i="35" s="1"/>
  <c r="DR174" i="37"/>
  <c r="DR110" i="37"/>
  <c r="DR192" i="37"/>
  <c r="DR101" i="37"/>
  <c r="BH58" i="32"/>
  <c r="CJ61" i="32" s="1"/>
  <c r="AL93" i="32"/>
  <c r="BI97" i="32" s="1"/>
  <c r="BH87" i="32"/>
  <c r="CH90" i="32" s="1"/>
  <c r="W26" i="32"/>
  <c r="DA28" i="32" s="1"/>
  <c r="AP124" i="35"/>
  <c r="BW127" i="35" s="1"/>
  <c r="AP67" i="35"/>
  <c r="BW70" i="35" s="1"/>
  <c r="AL105" i="32"/>
  <c r="BI109" i="32" s="1"/>
  <c r="BH70" i="32"/>
  <c r="CH73" i="32" s="1"/>
  <c r="BH64" i="32"/>
  <c r="CJ67" i="32" s="1"/>
  <c r="AP75" i="35"/>
  <c r="BW78" i="35" s="1"/>
  <c r="I119" i="36"/>
  <c r="P140" i="33"/>
  <c r="BA144" i="33" s="1"/>
  <c r="CY141" i="33" s="1"/>
  <c r="DM146" i="33" s="1"/>
  <c r="AP175" i="35"/>
  <c r="BW178" i="35" s="1"/>
  <c r="AP167" i="35"/>
  <c r="BW170" i="35" s="1"/>
  <c r="AP132" i="35"/>
  <c r="BW135" i="35" s="1"/>
  <c r="AC43" i="35"/>
  <c r="AP27" i="35"/>
  <c r="BW30" i="35" s="1"/>
  <c r="W27" i="32"/>
  <c r="DA31" i="32" s="1"/>
  <c r="AP159" i="35"/>
  <c r="BW162" i="35" s="1"/>
  <c r="AL123" i="32"/>
  <c r="BI127" i="32" s="1"/>
  <c r="AP148" i="35"/>
  <c r="BW151" i="35" s="1"/>
  <c r="BH117" i="32"/>
  <c r="CH120" i="32" s="1"/>
  <c r="BH111" i="32"/>
  <c r="CH114" i="32" s="1"/>
  <c r="BH99" i="32"/>
  <c r="CH102" i="32" s="1"/>
  <c r="AL87" i="32"/>
  <c r="AL70" i="32"/>
  <c r="BH52" i="32"/>
  <c r="CJ55" i="32" s="1"/>
  <c r="DJ21" i="32"/>
  <c r="P176" i="33"/>
  <c r="BA179" i="33" s="1"/>
  <c r="CY179" i="33" s="1"/>
  <c r="DM184" i="33" s="1"/>
  <c r="P168" i="33"/>
  <c r="BA171" i="33" s="1"/>
  <c r="CY171" i="33" s="1"/>
  <c r="DR184" i="33" s="1"/>
  <c r="C361" i="37"/>
  <c r="BH123" i="32"/>
  <c r="AL117" i="32"/>
  <c r="AL111" i="32"/>
  <c r="BI115" i="32" s="1"/>
  <c r="AL99" i="32"/>
  <c r="AL52" i="32"/>
  <c r="AL40" i="32"/>
  <c r="BI44" i="32" s="1"/>
  <c r="C25" i="32"/>
  <c r="DA25" i="32" s="1"/>
  <c r="AJ27" i="35"/>
  <c r="AP59" i="35"/>
  <c r="BW62" i="35" s="1"/>
  <c r="AP43" i="35"/>
  <c r="BW46" i="35" s="1"/>
  <c r="AA15" i="35"/>
  <c r="AL28" i="32"/>
  <c r="BH22" i="32"/>
  <c r="CH25" i="32" s="1"/>
  <c r="AL58" i="32"/>
  <c r="P160" i="33"/>
  <c r="BH76" i="32"/>
  <c r="AL46" i="32"/>
  <c r="BI50" i="32" s="1"/>
  <c r="BH34" i="32"/>
  <c r="CJ37" i="32" s="1"/>
  <c r="AL76" i="32"/>
  <c r="BI80" i="32" s="1"/>
  <c r="AL34" i="32"/>
  <c r="P108" i="33"/>
  <c r="BA112" i="33" s="1"/>
  <c r="CY109" i="33" s="1"/>
  <c r="P8" i="34"/>
  <c r="CF6" i="34" s="1"/>
  <c r="AP140" i="35"/>
  <c r="BW143" i="35" s="1"/>
  <c r="AP116" i="35"/>
  <c r="BW119" i="35" s="1"/>
  <c r="AP19" i="35"/>
  <c r="BW22" i="35" s="1"/>
  <c r="I185" i="36"/>
  <c r="AL64" i="32"/>
  <c r="BI68" i="32" s="1"/>
  <c r="BH46" i="32"/>
  <c r="CH49" i="32" s="1"/>
  <c r="AL22" i="32"/>
  <c r="BI26" i="32" s="1"/>
  <c r="BH135" i="32"/>
  <c r="CJ138" i="32" s="1"/>
  <c r="AL135" i="32"/>
  <c r="BI139" i="32" s="1"/>
  <c r="BH129" i="32"/>
  <c r="CH132" i="32" s="1"/>
  <c r="BH105" i="32"/>
  <c r="CH108" i="32" s="1"/>
  <c r="BH93" i="32"/>
  <c r="CJ96" i="32" s="1"/>
  <c r="P148" i="33"/>
  <c r="BA151" i="33" s="1"/>
  <c r="CY151" i="33" s="1"/>
  <c r="DM156" i="33" s="1"/>
  <c r="P132" i="33"/>
  <c r="BA136" i="33" s="1"/>
  <c r="CY133" i="33" s="1"/>
  <c r="DM138" i="33" s="1"/>
  <c r="BX32" i="34"/>
  <c r="CK6" i="34"/>
  <c r="AP100" i="35"/>
  <c r="BW103" i="35" s="1"/>
  <c r="AP35" i="35"/>
  <c r="BW38" i="35" s="1"/>
  <c r="AL86" i="42"/>
  <c r="AH86" i="42" s="1"/>
  <c r="N256" i="42"/>
  <c r="I250" i="42"/>
  <c r="AL84" i="42"/>
  <c r="AH84" i="42" s="1"/>
  <c r="AG81" i="42"/>
  <c r="AF81" i="42" s="1"/>
  <c r="X81" i="42" s="1"/>
  <c r="S129" i="42"/>
  <c r="D130" i="42" s="1"/>
  <c r="S130" i="42" s="1"/>
  <c r="D131" i="42" s="1"/>
  <c r="S131" i="42" s="1"/>
  <c r="D132" i="42" s="1"/>
  <c r="S132" i="42" s="1"/>
  <c r="D133" i="42" s="1"/>
  <c r="S133" i="42" s="1"/>
  <c r="D134" i="42" s="1"/>
  <c r="S134" i="42" s="1"/>
  <c r="D135" i="42" s="1"/>
  <c r="S135" i="42" s="1"/>
  <c r="D136" i="42" s="1"/>
  <c r="S136" i="42" s="1"/>
  <c r="D137" i="42" s="1"/>
  <c r="S137" i="42" s="1"/>
  <c r="D138" i="42" s="1"/>
  <c r="S138" i="42" s="1"/>
  <c r="D139" i="42" s="1"/>
  <c r="S139" i="42" s="1"/>
  <c r="D140" i="42" s="1"/>
  <c r="S140" i="42" s="1"/>
  <c r="D141" i="42" s="1"/>
  <c r="S141" i="42" s="1"/>
  <c r="D142" i="42" s="1"/>
  <c r="S142" i="42" s="1"/>
  <c r="D143" i="42" s="1"/>
  <c r="S143" i="42" s="1"/>
  <c r="D144" i="42" s="1"/>
  <c r="S144" i="42" s="1"/>
  <c r="D145" i="42" s="1"/>
  <c r="S145" i="42" s="1"/>
  <c r="D146" i="42" s="1"/>
  <c r="S146" i="42" s="1"/>
  <c r="D147" i="42" s="1"/>
  <c r="S147" i="42" s="1"/>
  <c r="D148" i="42" s="1"/>
  <c r="S148" i="42" s="1"/>
  <c r="D149" i="42" s="1"/>
  <c r="S149" i="42" s="1"/>
  <c r="D150" i="42" s="1"/>
  <c r="S150" i="42" s="1"/>
  <c r="D151" i="42" s="1"/>
  <c r="S151" i="42" s="1"/>
  <c r="D152" i="42" s="1"/>
  <c r="S152" i="42" s="1"/>
  <c r="D153" i="42" s="1"/>
  <c r="S153" i="42" s="1"/>
  <c r="D154" i="42" s="1"/>
  <c r="S154" i="42" s="1"/>
  <c r="D155" i="42" s="1"/>
  <c r="S155" i="42" s="1"/>
  <c r="D156" i="42" s="1"/>
  <c r="S156" i="42" s="1"/>
  <c r="D157" i="42" s="1"/>
  <c r="S157" i="42" s="1"/>
  <c r="D158" i="42" s="1"/>
  <c r="S158" i="42" s="1"/>
  <c r="D159" i="42" s="1"/>
  <c r="S159" i="42" s="1"/>
  <c r="D160" i="42" s="1"/>
  <c r="S160" i="42" s="1"/>
  <c r="D161" i="42" s="1"/>
  <c r="S161" i="42" s="1"/>
  <c r="D162" i="42" s="1"/>
  <c r="S162" i="42" s="1"/>
  <c r="D163" i="42" s="1"/>
  <c r="S163" i="42" s="1"/>
  <c r="D164" i="42" s="1"/>
  <c r="S164" i="42" s="1"/>
  <c r="D165" i="42" s="1"/>
  <c r="S165" i="42" s="1"/>
  <c r="D166" i="42" s="1"/>
  <c r="S166" i="42" s="1"/>
  <c r="D167" i="42" s="1"/>
  <c r="S167" i="42" s="1"/>
  <c r="N224" i="42"/>
  <c r="S176" i="42"/>
  <c r="D177" i="42" s="1"/>
  <c r="S177" i="42" s="1"/>
  <c r="D178" i="42" s="1"/>
  <c r="S178" i="42" s="1"/>
  <c r="D179" i="42" s="1"/>
  <c r="S179" i="42" s="1"/>
  <c r="D180" i="42" s="1"/>
  <c r="S180" i="42" s="1"/>
  <c r="D181" i="42" s="1"/>
  <c r="S181" i="42" s="1"/>
  <c r="D182" i="42" s="1"/>
  <c r="S182" i="42" s="1"/>
  <c r="D183" i="42" s="1"/>
  <c r="S183" i="42" s="1"/>
  <c r="D184" i="42" s="1"/>
  <c r="S184" i="42" s="1"/>
  <c r="D185" i="42" s="1"/>
  <c r="S185" i="42" s="1"/>
  <c r="D186" i="42" s="1"/>
  <c r="S186" i="42" s="1"/>
  <c r="D187" i="42" s="1"/>
  <c r="S187" i="42" s="1"/>
  <c r="D188" i="42" s="1"/>
  <c r="S188" i="42" s="1"/>
  <c r="D189" i="42" s="1"/>
  <c r="S189" i="42" s="1"/>
  <c r="D190" i="42" s="1"/>
  <c r="S190" i="42" s="1"/>
  <c r="D191" i="42" s="1"/>
  <c r="S191" i="42" s="1"/>
  <c r="D192" i="42" s="1"/>
  <c r="S192" i="42" s="1"/>
  <c r="D193" i="42" s="1"/>
  <c r="S193" i="42" s="1"/>
  <c r="D194" i="42" s="1"/>
  <c r="S194" i="42" s="1"/>
  <c r="D195" i="42" s="1"/>
  <c r="S195" i="42" s="1"/>
  <c r="D196" i="42" s="1"/>
  <c r="S196" i="42" s="1"/>
  <c r="D197" i="42" s="1"/>
  <c r="S197" i="42" s="1"/>
  <c r="D198" i="42" s="1"/>
  <c r="S198" i="42" s="1"/>
  <c r="D199" i="42" s="1"/>
  <c r="S199" i="42" s="1"/>
  <c r="D200" i="42" s="1"/>
  <c r="S200" i="42" s="1"/>
  <c r="D201" i="42" s="1"/>
  <c r="S201" i="42" s="1"/>
  <c r="D202" i="42" s="1"/>
  <c r="S202" i="42" s="1"/>
  <c r="D203" i="42" s="1"/>
  <c r="S203" i="42" s="1"/>
  <c r="D204" i="42" s="1"/>
  <c r="S204" i="42" s="1"/>
  <c r="D205" i="42" s="1"/>
  <c r="S205" i="42" s="1"/>
  <c r="D206" i="42" s="1"/>
  <c r="S206" i="42" s="1"/>
  <c r="D207" i="42" s="1"/>
  <c r="S207" i="42" s="1"/>
  <c r="D208" i="42" s="1"/>
  <c r="S208" i="42" s="1"/>
  <c r="D209" i="42" s="1"/>
  <c r="S209" i="42" s="1"/>
  <c r="D210" i="42" s="1"/>
  <c r="S210" i="42" s="1"/>
  <c r="D211" i="42" s="1"/>
  <c r="S211" i="42" s="1"/>
  <c r="D212" i="42" s="1"/>
  <c r="S212" i="42" s="1"/>
  <c r="D213" i="42" s="1"/>
  <c r="S213" i="42" s="1"/>
  <c r="D214" i="42" s="1"/>
  <c r="S214" i="42" s="1"/>
  <c r="AM87" i="42"/>
  <c r="AI87" i="42" s="1"/>
  <c r="C87" i="42"/>
  <c r="AG86" i="42"/>
  <c r="AF86" i="42" s="1"/>
  <c r="C83" i="42"/>
  <c r="N236" i="42"/>
  <c r="I230" i="42"/>
  <c r="K125" i="42"/>
  <c r="N240" i="42"/>
  <c r="AC130" i="42"/>
  <c r="I234" i="42"/>
  <c r="X176" i="42"/>
  <c r="AC176" i="42"/>
  <c r="N244" i="42"/>
  <c r="I238" i="42"/>
  <c r="AM84" i="42"/>
  <c r="AI84" i="42" s="1"/>
  <c r="I226" i="42"/>
  <c r="I258" i="42"/>
  <c r="AM88" i="42"/>
  <c r="AI88" i="42" s="1"/>
  <c r="N248" i="42"/>
  <c r="V123" i="42"/>
  <c r="R125" i="42" s="1"/>
  <c r="I224" i="42"/>
  <c r="I228" i="42"/>
  <c r="I232" i="42"/>
  <c r="I236" i="42"/>
  <c r="I240" i="42"/>
  <c r="I244" i="42"/>
  <c r="I248" i="42"/>
  <c r="I252" i="42"/>
  <c r="I256" i="42"/>
  <c r="I260" i="42"/>
  <c r="N230" i="42"/>
  <c r="I243" i="42"/>
  <c r="I245" i="42"/>
  <c r="N247" i="42"/>
  <c r="N249" i="42"/>
  <c r="I222" i="42"/>
  <c r="AC222" i="42" s="1"/>
  <c r="I237" i="42"/>
  <c r="N241" i="42"/>
  <c r="I227" i="42"/>
  <c r="N231" i="42"/>
  <c r="N246" i="42"/>
  <c r="I261" i="42"/>
  <c r="N227" i="42"/>
  <c r="N229" i="42"/>
  <c r="N242" i="42"/>
  <c r="I255" i="42"/>
  <c r="I251" i="42"/>
  <c r="N257" i="42"/>
  <c r="N226" i="42"/>
  <c r="I239" i="42"/>
  <c r="I241" i="42"/>
  <c r="N243" i="42"/>
  <c r="N245" i="42"/>
  <c r="N258" i="42"/>
  <c r="I235" i="42"/>
  <c r="N239" i="42"/>
  <c r="N254" i="42"/>
  <c r="N233" i="42"/>
  <c r="I259" i="42"/>
  <c r="I257" i="42"/>
  <c r="N223" i="42"/>
  <c r="I253" i="42"/>
  <c r="I223" i="42"/>
  <c r="N259" i="42"/>
  <c r="N222" i="42"/>
  <c r="S222" i="42" s="1"/>
  <c r="D223" i="42" s="1"/>
  <c r="I231" i="42"/>
  <c r="I233" i="42"/>
  <c r="N235" i="42"/>
  <c r="N237" i="42"/>
  <c r="N250" i="42"/>
  <c r="I229" i="42"/>
  <c r="I225" i="42"/>
  <c r="N261" i="42"/>
  <c r="N225" i="42"/>
  <c r="N238" i="42"/>
  <c r="N255" i="42"/>
  <c r="N234" i="42"/>
  <c r="N251" i="42"/>
  <c r="N253" i="42"/>
  <c r="I247" i="42"/>
  <c r="I249" i="42"/>
  <c r="I254" i="42"/>
  <c r="N232" i="42"/>
  <c r="AC177" i="42"/>
  <c r="N252" i="42"/>
  <c r="I246" i="42"/>
  <c r="AL82" i="42"/>
  <c r="AH82" i="42" s="1"/>
  <c r="AA306" i="40"/>
  <c r="V300" i="40"/>
  <c r="AB306" i="40"/>
  <c r="AA308" i="40" s="1"/>
  <c r="AA182" i="40"/>
  <c r="V176" i="40"/>
  <c r="AB182" i="40"/>
  <c r="J358" i="40"/>
  <c r="I306" i="40"/>
  <c r="AA296" i="40"/>
  <c r="E308" i="40"/>
  <c r="AD297" i="40"/>
  <c r="AE297" i="40"/>
  <c r="AD307" i="40"/>
  <c r="AE307" i="40"/>
  <c r="AD302" i="40"/>
  <c r="I175" i="40"/>
  <c r="F362" i="40"/>
  <c r="AB296" i="40"/>
  <c r="AC301" i="40" s="1"/>
  <c r="I299" i="40"/>
  <c r="E184" i="40"/>
  <c r="F29" i="37"/>
  <c r="F18" i="36"/>
  <c r="F22" i="35"/>
  <c r="I194" i="36"/>
  <c r="AC175" i="35"/>
  <c r="I35" i="36"/>
  <c r="I53" i="36"/>
  <c r="AC51" i="35"/>
  <c r="I62" i="36"/>
  <c r="AC59" i="35"/>
  <c r="AG21" i="32"/>
  <c r="DA24" i="32" s="1"/>
  <c r="I158" i="36"/>
  <c r="AC140" i="35"/>
  <c r="I128" i="36"/>
  <c r="AC116" i="35"/>
  <c r="I176" i="36"/>
  <c r="AC159" i="35"/>
  <c r="I146" i="36"/>
  <c r="AC132" i="35"/>
  <c r="I92" i="36"/>
  <c r="AC84" i="35"/>
  <c r="W21" i="32"/>
  <c r="DA23" i="32" s="1"/>
  <c r="AC124" i="35"/>
  <c r="AD27" i="36"/>
  <c r="T38" i="37"/>
  <c r="AA30" i="35"/>
  <c r="C29" i="37"/>
  <c r="BI29" i="37" s="1"/>
  <c r="C18" i="36"/>
  <c r="AL17" i="36" s="1"/>
  <c r="C22" i="35"/>
  <c r="W19" i="32"/>
  <c r="DA18" i="32" s="1"/>
  <c r="DE18" i="32" s="1"/>
  <c r="AL18" i="32"/>
  <c r="CL21" i="32" s="1"/>
  <c r="C20" i="32"/>
  <c r="DA19" i="32" s="1"/>
  <c r="W20" i="32"/>
  <c r="DA20" i="32" s="1"/>
  <c r="AC148" i="35"/>
  <c r="AC67" i="35"/>
  <c r="I71" i="36"/>
  <c r="M38" i="37"/>
  <c r="N27" i="36"/>
  <c r="I110" i="36"/>
  <c r="AC100" i="35"/>
  <c r="I101" i="36"/>
  <c r="AC92" i="35"/>
  <c r="I83" i="36"/>
  <c r="AC75" i="35"/>
  <c r="S26" i="36"/>
  <c r="AD24" i="33"/>
  <c r="L30" i="35"/>
  <c r="BX32" i="35" s="1"/>
  <c r="F27" i="36"/>
  <c r="CM29" i="36" s="1"/>
  <c r="F38" i="37"/>
  <c r="F30" i="35"/>
  <c r="P72" i="33"/>
  <c r="P56" i="33"/>
  <c r="P84" i="33"/>
  <c r="P124" i="33"/>
  <c r="BA128" i="33" s="1"/>
  <c r="CY125" i="33" s="1"/>
  <c r="P64" i="33"/>
  <c r="BA68" i="33" s="1"/>
  <c r="CY65" i="33" s="1"/>
  <c r="P116" i="33"/>
  <c r="P40" i="33"/>
  <c r="C38" i="37"/>
  <c r="K41" i="37" s="1"/>
  <c r="C30" i="35"/>
  <c r="BQ28" i="35" s="1"/>
  <c r="C27" i="36"/>
  <c r="AC27" i="35"/>
  <c r="I26" i="36"/>
  <c r="CI1" i="34"/>
  <c r="CA3" i="34"/>
  <c r="CD4" i="34" s="1"/>
  <c r="I17" i="36"/>
  <c r="DJ30" i="32"/>
  <c r="X10" i="37"/>
  <c r="DH158" i="37"/>
  <c r="DH159" i="37" s="1"/>
  <c r="DH157" i="37"/>
  <c r="DH47" i="37"/>
  <c r="DH48" i="37"/>
  <c r="DH49" i="37" s="1"/>
  <c r="CG255" i="37"/>
  <c r="CG246" i="37"/>
  <c r="CG245" i="37"/>
  <c r="CG233" i="37"/>
  <c r="DD185" i="37"/>
  <c r="DD186" i="37" s="1"/>
  <c r="DH176" i="37"/>
  <c r="DH177" i="37" s="1"/>
  <c r="DD175" i="37"/>
  <c r="DD157" i="37"/>
  <c r="DD138" i="37"/>
  <c r="DH129" i="37"/>
  <c r="DH112" i="37"/>
  <c r="DH113" i="37" s="1"/>
  <c r="DD110" i="37"/>
  <c r="DD93" i="37"/>
  <c r="DD75" i="37"/>
  <c r="DD76" i="37" s="1"/>
  <c r="DD66" i="37"/>
  <c r="DD67" i="37" s="1"/>
  <c r="DD64" i="37"/>
  <c r="DR55" i="37"/>
  <c r="AO15" i="37"/>
  <c r="V17" i="37" s="1"/>
  <c r="CG252" i="37"/>
  <c r="CG232" i="37"/>
  <c r="AZ231" i="37"/>
  <c r="DD201" i="37"/>
  <c r="DD184" i="37"/>
  <c r="DD183" i="37"/>
  <c r="DD167" i="37"/>
  <c r="DD168" i="37" s="1"/>
  <c r="DR156" i="37"/>
  <c r="DR137" i="37"/>
  <c r="DR92" i="37"/>
  <c r="DD65" i="37"/>
  <c r="CG267" i="37"/>
  <c r="CG266" i="37"/>
  <c r="CG241" i="37"/>
  <c r="CG240" i="37"/>
  <c r="CG237" i="37"/>
  <c r="AV231" i="37"/>
  <c r="DD202" i="37"/>
  <c r="DD158" i="37"/>
  <c r="DD159" i="37" s="1"/>
  <c r="DD156" i="37"/>
  <c r="DD137" i="37"/>
  <c r="DR128" i="37"/>
  <c r="DR119" i="37"/>
  <c r="DD111" i="37"/>
  <c r="DD101" i="37"/>
  <c r="DD92" i="37"/>
  <c r="DR83" i="37"/>
  <c r="DD56" i="37"/>
  <c r="DD48" i="37"/>
  <c r="DD49" i="37" s="1"/>
  <c r="DD37" i="37"/>
  <c r="DD28" i="37"/>
  <c r="CG271" i="37"/>
  <c r="CG264" i="37"/>
  <c r="CG259" i="37"/>
  <c r="CG258" i="37"/>
  <c r="CG247" i="37"/>
  <c r="CG242" i="37"/>
  <c r="CG235" i="37"/>
  <c r="CG234" i="37"/>
  <c r="AR231" i="37"/>
  <c r="DD193" i="37"/>
  <c r="DR146" i="37"/>
  <c r="DH139" i="37"/>
  <c r="DH140" i="37" s="1"/>
  <c r="DD128" i="37"/>
  <c r="DD119" i="37"/>
  <c r="DH94" i="37"/>
  <c r="DH95" i="37" s="1"/>
  <c r="DR73" i="37"/>
  <c r="DH103" i="37"/>
  <c r="DH104" i="37" s="1"/>
  <c r="DH56" i="37"/>
  <c r="DH57" i="37"/>
  <c r="DH58" i="37" s="1"/>
  <c r="DH75" i="37"/>
  <c r="DH76" i="37" s="1"/>
  <c r="DH74" i="37"/>
  <c r="DR46" i="37"/>
  <c r="DR37" i="37"/>
  <c r="N10" i="37"/>
  <c r="AG15" i="37"/>
  <c r="CD18" i="36"/>
  <c r="CD36" i="36"/>
  <c r="CD27" i="36"/>
  <c r="CD54" i="36"/>
  <c r="CD63" i="36"/>
  <c r="CD93" i="36"/>
  <c r="CD45" i="36"/>
  <c r="CD120" i="36"/>
  <c r="CD138" i="36"/>
  <c r="CD84" i="36"/>
  <c r="CD159" i="36"/>
  <c r="CD102" i="36"/>
  <c r="CD72" i="36"/>
  <c r="CD111" i="36"/>
  <c r="CD129" i="36"/>
  <c r="CD147" i="36"/>
  <c r="CD177" i="36"/>
  <c r="CD168" i="36"/>
  <c r="CD186" i="36"/>
  <c r="CD195" i="36"/>
  <c r="CQ176" i="36"/>
  <c r="DS255" i="36" s="1"/>
  <c r="DV255" i="36"/>
  <c r="CQ44" i="36"/>
  <c r="DS59" i="36" s="1"/>
  <c r="DV59" i="36"/>
  <c r="DV45" i="36"/>
  <c r="CG49" i="35"/>
  <c r="CG41" i="35"/>
  <c r="CG25" i="35"/>
  <c r="CG57" i="35"/>
  <c r="CG33" i="35"/>
  <c r="CG65" i="35"/>
  <c r="CG73" i="35"/>
  <c r="CG90" i="35"/>
  <c r="CG98" i="35"/>
  <c r="CG106" i="35"/>
  <c r="CG114" i="35"/>
  <c r="CG81" i="35"/>
  <c r="CG146" i="35"/>
  <c r="CG130" i="35"/>
  <c r="CG165" i="35"/>
  <c r="CG173" i="35"/>
  <c r="CG122" i="35"/>
  <c r="AJ297" i="35"/>
  <c r="AL292" i="35"/>
  <c r="CG138" i="35"/>
  <c r="DI12" i="35"/>
  <c r="DG13" i="35"/>
  <c r="DI13" i="35" s="1"/>
  <c r="DG14" i="35"/>
  <c r="Q40" i="35"/>
  <c r="CO36" i="35" s="1"/>
  <c r="CX37" i="35" s="1"/>
  <c r="Q24" i="35"/>
  <c r="CO20" i="35" s="1"/>
  <c r="CX21" i="35" s="1"/>
  <c r="AM15" i="35"/>
  <c r="DI11" i="35"/>
  <c r="BZ8" i="34"/>
  <c r="BX28" i="34"/>
  <c r="CA8" i="34"/>
  <c r="BX10" i="34"/>
  <c r="N6" i="34"/>
  <c r="V8" i="34"/>
  <c r="CH45" i="34"/>
  <c r="BZ6" i="34"/>
  <c r="CA6" i="34"/>
  <c r="P6" i="34"/>
  <c r="BZ3" i="34"/>
  <c r="BX3" i="34"/>
  <c r="DR145" i="33"/>
  <c r="DM145" i="33"/>
  <c r="BA95" i="33"/>
  <c r="CY95" i="33" s="1"/>
  <c r="DM100" i="33" s="1"/>
  <c r="BA96" i="33"/>
  <c r="CY93" i="33" s="1"/>
  <c r="DR153" i="33"/>
  <c r="DR129" i="33"/>
  <c r="DR21" i="33"/>
  <c r="DM21" i="33"/>
  <c r="BW3" i="33"/>
  <c r="P32" i="33"/>
  <c r="P16" i="33"/>
  <c r="P24" i="33"/>
  <c r="P48" i="33"/>
  <c r="CH140" i="32"/>
  <c r="CJ140" i="32"/>
  <c r="CH116" i="32"/>
  <c r="CJ116" i="32"/>
  <c r="CJ75" i="32"/>
  <c r="CH75" i="32"/>
  <c r="CJ63" i="32"/>
  <c r="CH63" i="32"/>
  <c r="AG24" i="32"/>
  <c r="CH27" i="32"/>
  <c r="CJ27" i="32"/>
  <c r="CD21" i="32"/>
  <c r="DE17" i="32"/>
  <c r="CJ39" i="32"/>
  <c r="AG27" i="32"/>
  <c r="DA32" i="32" s="1"/>
  <c r="W25" i="32"/>
  <c r="DA26" i="32" s="1"/>
  <c r="DJ29" i="32"/>
  <c r="C26" i="32"/>
  <c r="DA27" i="32" s="1"/>
  <c r="AL24" i="32"/>
  <c r="AL16" i="32"/>
  <c r="BI20" i="32" s="1"/>
  <c r="BH16" i="32"/>
  <c r="BH40" i="32"/>
  <c r="BH28" i="32"/>
  <c r="CH31" i="32" s="1"/>
  <c r="AA172" i="40" l="1"/>
  <c r="DI14" i="35"/>
  <c r="AB172" i="40"/>
  <c r="R35" i="37"/>
  <c r="BA104" i="33"/>
  <c r="CY101" i="33" s="1"/>
  <c r="DM106" i="33" s="1"/>
  <c r="AQ36" i="32"/>
  <c r="AQ37" i="32"/>
  <c r="CH30" i="32"/>
  <c r="AQ30" i="32"/>
  <c r="AQ31" i="32"/>
  <c r="CJ101" i="32"/>
  <c r="AQ102" i="32"/>
  <c r="AQ101" i="32"/>
  <c r="AQ66" i="32"/>
  <c r="AQ67" i="32"/>
  <c r="CH78" i="32"/>
  <c r="AQ78" i="32"/>
  <c r="AQ79" i="32"/>
  <c r="CJ113" i="32"/>
  <c r="AQ114" i="32"/>
  <c r="AQ113" i="32"/>
  <c r="CH72" i="32"/>
  <c r="AQ73" i="32"/>
  <c r="AQ72" i="32"/>
  <c r="CH95" i="32"/>
  <c r="AQ96" i="32"/>
  <c r="AQ95" i="32"/>
  <c r="BI38" i="32"/>
  <c r="BI32" i="32"/>
  <c r="CJ119" i="32"/>
  <c r="AQ119" i="32"/>
  <c r="AQ120" i="32"/>
  <c r="CH89" i="32"/>
  <c r="AQ89" i="32"/>
  <c r="AQ90" i="32"/>
  <c r="CH48" i="32"/>
  <c r="AQ48" i="32"/>
  <c r="AQ49" i="32"/>
  <c r="CH131" i="32"/>
  <c r="AQ131" i="32"/>
  <c r="AQ132" i="32"/>
  <c r="BI103" i="32"/>
  <c r="CJ132" i="32"/>
  <c r="CJ60" i="32"/>
  <c r="AQ61" i="32"/>
  <c r="AQ60" i="32"/>
  <c r="AQ43" i="32"/>
  <c r="AQ42" i="32"/>
  <c r="BI91" i="32"/>
  <c r="AQ19" i="32"/>
  <c r="AZ19" i="32" s="1"/>
  <c r="AQ18" i="32"/>
  <c r="AZ18" i="32" s="1"/>
  <c r="AM21" i="32"/>
  <c r="CH107" i="32"/>
  <c r="AQ108" i="32"/>
  <c r="AQ107" i="32"/>
  <c r="AQ138" i="32"/>
  <c r="AQ137" i="32"/>
  <c r="CH24" i="32"/>
  <c r="AQ24" i="32"/>
  <c r="DJ25" i="32" s="1"/>
  <c r="AQ25" i="32"/>
  <c r="DJ26" i="32" s="1"/>
  <c r="CH54" i="32"/>
  <c r="AQ54" i="32"/>
  <c r="AQ55" i="32"/>
  <c r="CH125" i="32"/>
  <c r="AQ125" i="32"/>
  <c r="AQ126" i="32"/>
  <c r="BI74" i="32"/>
  <c r="BI56" i="32"/>
  <c r="BI62" i="32"/>
  <c r="DJ23" i="32"/>
  <c r="CJ95" i="32"/>
  <c r="CH113" i="32"/>
  <c r="CH55" i="32"/>
  <c r="CH61" i="32"/>
  <c r="CJ131" i="32"/>
  <c r="DJ31" i="32"/>
  <c r="BA143" i="33"/>
  <c r="CY143" i="33" s="1"/>
  <c r="DM148" i="33" s="1"/>
  <c r="DO30" i="32"/>
  <c r="CJ107" i="32"/>
  <c r="BA111" i="33"/>
  <c r="CY111" i="33" s="1"/>
  <c r="DM116" i="33" s="1"/>
  <c r="BA180" i="33"/>
  <c r="CY177" i="33" s="1"/>
  <c r="DR182" i="33" s="1"/>
  <c r="CJ78" i="32"/>
  <c r="AU15" i="37"/>
  <c r="CI29" i="36"/>
  <c r="CJ73" i="32"/>
  <c r="BW24" i="32"/>
  <c r="CJ108" i="32"/>
  <c r="CJ120" i="32"/>
  <c r="CJ30" i="32"/>
  <c r="CJ66" i="32"/>
  <c r="BX24" i="32"/>
  <c r="BY28" i="35" s="1"/>
  <c r="DR138" i="33"/>
  <c r="CH67" i="32"/>
  <c r="CJ90" i="32"/>
  <c r="CJ39" i="34"/>
  <c r="CJ24" i="32"/>
  <c r="CJ137" i="32"/>
  <c r="CJ49" i="32"/>
  <c r="CJ89" i="32"/>
  <c r="CH101" i="32"/>
  <c r="BA127" i="33"/>
  <c r="CY127" i="33" s="1"/>
  <c r="DM132" i="33" s="1"/>
  <c r="AN39" i="37"/>
  <c r="CH42" i="32"/>
  <c r="CH37" i="32"/>
  <c r="CJ42" i="32"/>
  <c r="CH66" i="32"/>
  <c r="CJ79" i="32"/>
  <c r="CH96" i="32"/>
  <c r="CJ125" i="32"/>
  <c r="CJ48" i="32"/>
  <c r="DE19" i="32"/>
  <c r="CH126" i="32"/>
  <c r="CJ114" i="32"/>
  <c r="BA67" i="33"/>
  <c r="CY67" i="33" s="1"/>
  <c r="DM72" i="33" s="1"/>
  <c r="DR156" i="33"/>
  <c r="DR146" i="33"/>
  <c r="CG27" i="36"/>
  <c r="CH60" i="32"/>
  <c r="BA152" i="33"/>
  <c r="CY149" i="33" s="1"/>
  <c r="DR154" i="33" s="1"/>
  <c r="CJ72" i="32"/>
  <c r="CJ126" i="32"/>
  <c r="BA172" i="33"/>
  <c r="CY169" i="33" s="1"/>
  <c r="DR174" i="33" s="1"/>
  <c r="CJ54" i="32"/>
  <c r="CJ36" i="32"/>
  <c r="CJ18" i="32"/>
  <c r="CJ25" i="32"/>
  <c r="BN27" i="32"/>
  <c r="CF25" i="32" s="1"/>
  <c r="CH137" i="32"/>
  <c r="DM176" i="33"/>
  <c r="DC34" i="37"/>
  <c r="BA135" i="33"/>
  <c r="CY135" i="33" s="1"/>
  <c r="DM140" i="33" s="1"/>
  <c r="CH119" i="32"/>
  <c r="CH36" i="32"/>
  <c r="BX18" i="32"/>
  <c r="CE15" i="36" s="1"/>
  <c r="CD24" i="32"/>
  <c r="CH79" i="32"/>
  <c r="BA163" i="33"/>
  <c r="CY163" i="33" s="1"/>
  <c r="DM168" i="33" s="1"/>
  <c r="CJ102" i="32"/>
  <c r="CG6" i="34"/>
  <c r="CD47" i="34" s="1"/>
  <c r="BR16" i="34"/>
  <c r="BA164" i="33"/>
  <c r="CY161" i="33" s="1"/>
  <c r="DM166" i="33" s="1"/>
  <c r="K32" i="37"/>
  <c r="CH232" i="37" s="1"/>
  <c r="DE20" i="32"/>
  <c r="CH138" i="32"/>
  <c r="AG82" i="42"/>
  <c r="AF82" i="42" s="1"/>
  <c r="X82" i="42" s="1"/>
  <c r="S223" i="42"/>
  <c r="D224" i="42" s="1"/>
  <c r="S224" i="42" s="1"/>
  <c r="D225" i="42" s="1"/>
  <c r="S225" i="42" s="1"/>
  <c r="D226" i="42" s="1"/>
  <c r="S226" i="42" s="1"/>
  <c r="D227" i="42" s="1"/>
  <c r="S227" i="42" s="1"/>
  <c r="D228" i="42" s="1"/>
  <c r="S228" i="42" s="1"/>
  <c r="D229" i="42" s="1"/>
  <c r="S229" i="42" s="1"/>
  <c r="D230" i="42" s="1"/>
  <c r="S230" i="42" s="1"/>
  <c r="D231" i="42" s="1"/>
  <c r="S231" i="42" s="1"/>
  <c r="D232" i="42" s="1"/>
  <c r="S232" i="42" s="1"/>
  <c r="D233" i="42" s="1"/>
  <c r="S233" i="42" s="1"/>
  <c r="D234" i="42" s="1"/>
  <c r="S234" i="42" s="1"/>
  <c r="D235" i="42" s="1"/>
  <c r="S235" i="42" s="1"/>
  <c r="D236" i="42" s="1"/>
  <c r="S236" i="42" s="1"/>
  <c r="D237" i="42" s="1"/>
  <c r="S237" i="42" s="1"/>
  <c r="D238" i="42" s="1"/>
  <c r="S238" i="42" s="1"/>
  <c r="D239" i="42" s="1"/>
  <c r="S239" i="42" s="1"/>
  <c r="D240" i="42" s="1"/>
  <c r="S240" i="42" s="1"/>
  <c r="D241" i="42" s="1"/>
  <c r="S241" i="42" s="1"/>
  <c r="D242" i="42" s="1"/>
  <c r="S242" i="42" s="1"/>
  <c r="D243" i="42" s="1"/>
  <c r="S243" i="42" s="1"/>
  <c r="D244" i="42" s="1"/>
  <c r="S244" i="42" s="1"/>
  <c r="D245" i="42" s="1"/>
  <c r="S245" i="42" s="1"/>
  <c r="D246" i="42" s="1"/>
  <c r="S246" i="42" s="1"/>
  <c r="D247" i="42" s="1"/>
  <c r="S247" i="42" s="1"/>
  <c r="D248" i="42" s="1"/>
  <c r="S248" i="42" s="1"/>
  <c r="D249" i="42" s="1"/>
  <c r="S249" i="42" s="1"/>
  <c r="D250" i="42" s="1"/>
  <c r="S250" i="42" s="1"/>
  <c r="D251" i="42" s="1"/>
  <c r="S251" i="42" s="1"/>
  <c r="D252" i="42" s="1"/>
  <c r="S252" i="42" s="1"/>
  <c r="D253" i="42" s="1"/>
  <c r="S253" i="42" s="1"/>
  <c r="D254" i="42" s="1"/>
  <c r="S254" i="42" s="1"/>
  <c r="D255" i="42" s="1"/>
  <c r="S255" i="42" s="1"/>
  <c r="D256" i="42" s="1"/>
  <c r="S256" i="42" s="1"/>
  <c r="D257" i="42" s="1"/>
  <c r="S257" i="42" s="1"/>
  <c r="D258" i="42" s="1"/>
  <c r="S258" i="42" s="1"/>
  <c r="D259" i="42" s="1"/>
  <c r="S259" i="42" s="1"/>
  <c r="D260" i="42" s="1"/>
  <c r="S260" i="42" s="1"/>
  <c r="D261" i="42" s="1"/>
  <c r="S261" i="42" s="1"/>
  <c r="Z81" i="42"/>
  <c r="X86" i="42"/>
  <c r="Z86" i="42"/>
  <c r="AC131" i="42"/>
  <c r="X131" i="42" s="1"/>
  <c r="X130" i="42"/>
  <c r="D123" i="42"/>
  <c r="AG87" i="42"/>
  <c r="AF87" i="42" s="1"/>
  <c r="C88" i="42"/>
  <c r="AG83" i="42"/>
  <c r="AF83" i="42" s="1"/>
  <c r="C84" i="42"/>
  <c r="AC178" i="42"/>
  <c r="X177" i="42"/>
  <c r="AC223" i="42"/>
  <c r="AC224" i="42" s="1"/>
  <c r="X223" i="42"/>
  <c r="AA184" i="40"/>
  <c r="AE183" i="40"/>
  <c r="AE302" i="40"/>
  <c r="AA303" i="40"/>
  <c r="AA372" i="40"/>
  <c r="Y372" i="40"/>
  <c r="AD296" i="40"/>
  <c r="AE173" i="40"/>
  <c r="AA174" i="40"/>
  <c r="AC177" i="40"/>
  <c r="AD172" i="40"/>
  <c r="AA298" i="40"/>
  <c r="CM20" i="36"/>
  <c r="CG18" i="36"/>
  <c r="CI20" i="36"/>
  <c r="DJ27" i="32"/>
  <c r="S27" i="36"/>
  <c r="P30" i="35"/>
  <c r="BX21" i="35"/>
  <c r="BY21" i="35" s="1"/>
  <c r="D204" i="35"/>
  <c r="CD25" i="32"/>
  <c r="CH18" i="32"/>
  <c r="BQ20" i="35"/>
  <c r="BQ22" i="35" s="1"/>
  <c r="BA43" i="33"/>
  <c r="CY43" i="33" s="1"/>
  <c r="BA44" i="33"/>
  <c r="CY41" i="33" s="1"/>
  <c r="DR46" i="33" s="1"/>
  <c r="CF32" i="35"/>
  <c r="CF29" i="35"/>
  <c r="BN26" i="32"/>
  <c r="DO31" i="32" s="1"/>
  <c r="C232" i="37"/>
  <c r="R26" i="37"/>
  <c r="M22" i="37"/>
  <c r="BQ29" i="37"/>
  <c r="ED31" i="37" s="1"/>
  <c r="FD31" i="37" s="1"/>
  <c r="DJ28" i="37"/>
  <c r="DC25" i="37"/>
  <c r="DA27" i="37" s="1"/>
  <c r="AN30" i="37"/>
  <c r="CL27" i="32"/>
  <c r="I38" i="37"/>
  <c r="BW38" i="37" s="1"/>
  <c r="J27" i="36"/>
  <c r="I30" i="35"/>
  <c r="BC27" i="35" s="1"/>
  <c r="BB27" i="35" s="1"/>
  <c r="AW32" i="35" s="1"/>
  <c r="CO32" i="35" s="1"/>
  <c r="DG29" i="35" s="1"/>
  <c r="BA120" i="33"/>
  <c r="CY117" i="33" s="1"/>
  <c r="BA119" i="33"/>
  <c r="CY119" i="33" s="1"/>
  <c r="DM124" i="33" s="1"/>
  <c r="AD18" i="36"/>
  <c r="T29" i="37"/>
  <c r="AA22" i="35"/>
  <c r="W27" i="36"/>
  <c r="T30" i="35"/>
  <c r="CD28" i="36"/>
  <c r="CE27" i="36" s="1"/>
  <c r="AL26" i="36"/>
  <c r="P22" i="37"/>
  <c r="P23" i="37" s="1"/>
  <c r="R234" i="37" s="1"/>
  <c r="C234" i="37"/>
  <c r="DJ37" i="37"/>
  <c r="BW18" i="32"/>
  <c r="BO18" i="32" s="1"/>
  <c r="S17" i="36"/>
  <c r="AJ19" i="35"/>
  <c r="AD16" i="33"/>
  <c r="S27" i="32"/>
  <c r="DF30" i="32" s="1"/>
  <c r="DB25" i="37"/>
  <c r="DB34" i="37" s="1"/>
  <c r="BA60" i="33"/>
  <c r="CY57" i="33" s="1"/>
  <c r="BA59" i="33"/>
  <c r="CY59" i="33" s="1"/>
  <c r="BX29" i="35"/>
  <c r="BY29" i="35" s="1"/>
  <c r="D205" i="35"/>
  <c r="DR70" i="33"/>
  <c r="DM70" i="33"/>
  <c r="I29" i="37"/>
  <c r="BW29" i="37" s="1"/>
  <c r="I22" i="35"/>
  <c r="BC19" i="35" s="1"/>
  <c r="BB19" i="35" s="1"/>
  <c r="AW24" i="35" s="1"/>
  <c r="CO24" i="35" s="1"/>
  <c r="DG21" i="35" s="1"/>
  <c r="J18" i="36"/>
  <c r="Q38" i="37"/>
  <c r="AA27" i="36"/>
  <c r="X30" i="35"/>
  <c r="BA88" i="33"/>
  <c r="CY85" i="33" s="1"/>
  <c r="BA87" i="33"/>
  <c r="CY87" i="33" s="1"/>
  <c r="DM92" i="33" s="1"/>
  <c r="AA18" i="36"/>
  <c r="Q29" i="37"/>
  <c r="X22" i="35"/>
  <c r="CD19" i="36"/>
  <c r="CE18" i="36" s="1"/>
  <c r="H20" i="36" s="1"/>
  <c r="DA14" i="36" s="1"/>
  <c r="BA76" i="33"/>
  <c r="CY73" i="33" s="1"/>
  <c r="BA75" i="33"/>
  <c r="CY75" i="33" s="1"/>
  <c r="P22" i="35"/>
  <c r="S18" i="36"/>
  <c r="AE13" i="36" s="1"/>
  <c r="W18" i="36"/>
  <c r="T22" i="35"/>
  <c r="AL28" i="35"/>
  <c r="BX205" i="35"/>
  <c r="AG18" i="32"/>
  <c r="CD19" i="32" s="1"/>
  <c r="N18" i="36"/>
  <c r="M29" i="37"/>
  <c r="L22" i="35"/>
  <c r="BX24" i="35" s="1"/>
  <c r="CF24" i="35"/>
  <c r="CF21" i="35"/>
  <c r="AO19" i="37"/>
  <c r="AD19" i="37"/>
  <c r="AN11" i="37" s="1"/>
  <c r="V19" i="37"/>
  <c r="AZ19" i="37"/>
  <c r="CH234" i="37"/>
  <c r="CH235" i="37"/>
  <c r="CJ234" i="37"/>
  <c r="CJ235" i="37"/>
  <c r="CP235" i="37"/>
  <c r="CP234" i="37"/>
  <c r="CV234" i="37"/>
  <c r="EJ35" i="37"/>
  <c r="CR234" i="37"/>
  <c r="CR235" i="37"/>
  <c r="H13" i="37"/>
  <c r="AA37" i="37"/>
  <c r="U13" i="37"/>
  <c r="AA27" i="37"/>
  <c r="AA28" i="37"/>
  <c r="AA55" i="37"/>
  <c r="AA36" i="37"/>
  <c r="AA45" i="37"/>
  <c r="AA72" i="37"/>
  <c r="AA64" i="37"/>
  <c r="AA54" i="37"/>
  <c r="AA83" i="37"/>
  <c r="AA63" i="37"/>
  <c r="AA92" i="37"/>
  <c r="AA101" i="37"/>
  <c r="AA109" i="37"/>
  <c r="AA73" i="37"/>
  <c r="AA110" i="37"/>
  <c r="AA118" i="37"/>
  <c r="AA46" i="37"/>
  <c r="AA91" i="37"/>
  <c r="AA127" i="37"/>
  <c r="AA136" i="37"/>
  <c r="AA119" i="37"/>
  <c r="AA137" i="37"/>
  <c r="AA145" i="37"/>
  <c r="AA156" i="37"/>
  <c r="AA82" i="37"/>
  <c r="AA100" i="37"/>
  <c r="AA128" i="37"/>
  <c r="AA155" i="37"/>
  <c r="AA164" i="37"/>
  <c r="AA146" i="37"/>
  <c r="AA173" i="37"/>
  <c r="AA165" i="37"/>
  <c r="AA201" i="37"/>
  <c r="AA174" i="37"/>
  <c r="AA182" i="37"/>
  <c r="AA183" i="37"/>
  <c r="AA191" i="37"/>
  <c r="AA192" i="37"/>
  <c r="AA200" i="37"/>
  <c r="AB17" i="37"/>
  <c r="AF17" i="37"/>
  <c r="BE19" i="37" s="1"/>
  <c r="AJ17" i="37"/>
  <c r="ED29" i="37"/>
  <c r="FD29" i="37" s="1"/>
  <c r="FH29" i="37"/>
  <c r="X41" i="37"/>
  <c r="BQ30" i="35"/>
  <c r="DP32" i="35"/>
  <c r="DJ13" i="35"/>
  <c r="DJ14" i="35" s="1"/>
  <c r="AQ15" i="35"/>
  <c r="DE11" i="35"/>
  <c r="DF11" i="35" s="1"/>
  <c r="AG8" i="34"/>
  <c r="BB14" i="34"/>
  <c r="AW14" i="34"/>
  <c r="AG6" i="34"/>
  <c r="BW3" i="34"/>
  <c r="CD8" i="34"/>
  <c r="CD3" i="34"/>
  <c r="CJ36" i="34"/>
  <c r="CB3" i="34"/>
  <c r="CA48" i="34"/>
  <c r="CB8" i="34"/>
  <c r="CH8" i="34" s="1"/>
  <c r="CI8" i="34" s="1"/>
  <c r="CJ12" i="34"/>
  <c r="CD6" i="34"/>
  <c r="R12" i="34"/>
  <c r="CG2" i="34"/>
  <c r="CG3" i="34"/>
  <c r="R10" i="34"/>
  <c r="CI45" i="34"/>
  <c r="CH46" i="34"/>
  <c r="CJ33" i="34"/>
  <c r="CB6" i="34"/>
  <c r="O20" i="34"/>
  <c r="DM130" i="33"/>
  <c r="DR130" i="33"/>
  <c r="BA52" i="33"/>
  <c r="CY49" i="33" s="1"/>
  <c r="BA51" i="33"/>
  <c r="CY51" i="33" s="1"/>
  <c r="BA27" i="33"/>
  <c r="CY27" i="33" s="1"/>
  <c r="BA28" i="33"/>
  <c r="CY25" i="33" s="1"/>
  <c r="BA20" i="33"/>
  <c r="CY17" i="33" s="1"/>
  <c r="BA19" i="33"/>
  <c r="CY19" i="33" s="1"/>
  <c r="BA35" i="33"/>
  <c r="CY35" i="33" s="1"/>
  <c r="BA36" i="33"/>
  <c r="CY33" i="33" s="1"/>
  <c r="DM114" i="33"/>
  <c r="DR114" i="33"/>
  <c r="N17" i="33"/>
  <c r="CK19" i="33" s="1"/>
  <c r="W25" i="33"/>
  <c r="S17" i="33"/>
  <c r="AA25" i="33"/>
  <c r="W17" i="33"/>
  <c r="AD25" i="33"/>
  <c r="C17" i="33"/>
  <c r="J25" i="33"/>
  <c r="S25" i="33"/>
  <c r="F17" i="33"/>
  <c r="CQ21" i="33" s="1"/>
  <c r="J17" i="33"/>
  <c r="AD17" i="33"/>
  <c r="C25" i="33"/>
  <c r="AA17" i="33"/>
  <c r="F25" i="33"/>
  <c r="CQ29" i="33" s="1"/>
  <c r="N25" i="33"/>
  <c r="CK27" i="33" s="1"/>
  <c r="BC205" i="33"/>
  <c r="BY211" i="33" s="1"/>
  <c r="BC204" i="33"/>
  <c r="DR98" i="33"/>
  <c r="DM98" i="33"/>
  <c r="DJ20" i="32"/>
  <c r="CJ31" i="32"/>
  <c r="S21" i="32"/>
  <c r="BN20" i="32"/>
  <c r="DJ28" i="32"/>
  <c r="BN21" i="32"/>
  <c r="CF19" i="32" s="1"/>
  <c r="CY17" i="32"/>
  <c r="CZ17" i="32" s="1"/>
  <c r="DJ22" i="32"/>
  <c r="CJ19" i="32"/>
  <c r="CH19" i="32"/>
  <c r="CL24" i="32"/>
  <c r="AC27" i="32" s="1"/>
  <c r="DF31" i="32" s="1"/>
  <c r="CJ43" i="32"/>
  <c r="CH43" i="32"/>
  <c r="CL25" i="32"/>
  <c r="DR106" i="33" l="1"/>
  <c r="AZ24" i="32"/>
  <c r="I27" i="32"/>
  <c r="DF29" i="32" s="1"/>
  <c r="Z82" i="42"/>
  <c r="DE12" i="35"/>
  <c r="DJ18" i="32"/>
  <c r="DM154" i="33"/>
  <c r="CN20" i="32"/>
  <c r="CJ26" i="33"/>
  <c r="BZ190" i="33" s="1"/>
  <c r="BO24" i="32"/>
  <c r="CN27" i="32" s="1"/>
  <c r="AZ27" i="32"/>
  <c r="CO27" i="32" s="1"/>
  <c r="CP18" i="32"/>
  <c r="DJ17" i="32"/>
  <c r="DN17" i="32" s="1"/>
  <c r="DH17" i="32" s="1"/>
  <c r="DI17" i="32" s="1"/>
  <c r="CA18" i="33"/>
  <c r="CC21" i="33" s="1"/>
  <c r="BZ18" i="33"/>
  <c r="CB21" i="33" s="1"/>
  <c r="CA26" i="33"/>
  <c r="CE26" i="33" s="1"/>
  <c r="CG29" i="33" s="1"/>
  <c r="BZ26" i="33"/>
  <c r="CD26" i="33" s="1"/>
  <c r="CF29" i="33" s="1"/>
  <c r="AQ67" i="34"/>
  <c r="AP64" i="34"/>
  <c r="AQ66" i="34"/>
  <c r="AL8" i="34"/>
  <c r="CA47" i="34" s="1"/>
  <c r="DM182" i="33"/>
  <c r="CS25" i="32"/>
  <c r="CR25" i="32"/>
  <c r="CN17" i="36"/>
  <c r="M23" i="37"/>
  <c r="K31" i="37" s="1"/>
  <c r="DM46" i="33"/>
  <c r="CO18" i="32"/>
  <c r="CQ18" i="32" s="1"/>
  <c r="BI19" i="37"/>
  <c r="EB22" i="37" s="1"/>
  <c r="BO22" i="34"/>
  <c r="AZ25" i="32"/>
  <c r="CO25" i="32" s="1"/>
  <c r="DB36" i="37"/>
  <c r="DC36" i="37" s="1"/>
  <c r="CK26" i="33"/>
  <c r="CB190" i="33" s="1"/>
  <c r="CE24" i="36"/>
  <c r="C27" i="32"/>
  <c r="DA29" i="32" s="1"/>
  <c r="CD24" i="36"/>
  <c r="BX28" i="35"/>
  <c r="BX30" i="35" s="1"/>
  <c r="CL19" i="32"/>
  <c r="DR166" i="33"/>
  <c r="CD26" i="32"/>
  <c r="DO17" i="32"/>
  <c r="DP24" i="35"/>
  <c r="DS24" i="35" s="1"/>
  <c r="FH31" i="37"/>
  <c r="CD20" i="32"/>
  <c r="CB24" i="32"/>
  <c r="AT20" i="36"/>
  <c r="DJ14" i="36" s="1"/>
  <c r="CP233" i="37"/>
  <c r="BQ38" i="37"/>
  <c r="FH40" i="37" s="1"/>
  <c r="DK26" i="37"/>
  <c r="CR233" i="37"/>
  <c r="CF24" i="32"/>
  <c r="CR232" i="37"/>
  <c r="BY20" i="35"/>
  <c r="DK24" i="37"/>
  <c r="DB24" i="37" s="1"/>
  <c r="CK18" i="33"/>
  <c r="CB189" i="33" s="1"/>
  <c r="CN18" i="36"/>
  <c r="AU17" i="36" s="1"/>
  <c r="CO20" i="36" s="1"/>
  <c r="BK17" i="36" s="1"/>
  <c r="CV15" i="36" s="1"/>
  <c r="U10" i="34"/>
  <c r="I21" i="32"/>
  <c r="DF21" i="32" s="1"/>
  <c r="AZ26" i="32"/>
  <c r="EJ26" i="37"/>
  <c r="CD18" i="32"/>
  <c r="CL18" i="32"/>
  <c r="AC21" i="32" s="1"/>
  <c r="DF23" i="32" s="1"/>
  <c r="CP21" i="32"/>
  <c r="CN19" i="36"/>
  <c r="CC47" i="34"/>
  <c r="CC57" i="34" s="1"/>
  <c r="M27" i="32"/>
  <c r="DA30" i="32" s="1"/>
  <c r="CC48" i="34"/>
  <c r="CJ232" i="37"/>
  <c r="CP232" i="37"/>
  <c r="CD48" i="34"/>
  <c r="DM174" i="33"/>
  <c r="CG20" i="36"/>
  <c r="AF19" i="36" s="1"/>
  <c r="DD13" i="36" s="1"/>
  <c r="CH233" i="37"/>
  <c r="DB27" i="37"/>
  <c r="DC27" i="37" s="1"/>
  <c r="DO31" i="37" s="1"/>
  <c r="CJ233" i="37"/>
  <c r="AB20" i="34"/>
  <c r="CB60" i="34" s="1"/>
  <c r="BM17" i="36"/>
  <c r="CV16" i="36" s="1"/>
  <c r="CV232" i="37"/>
  <c r="DO32" i="32"/>
  <c r="CB25" i="32"/>
  <c r="X87" i="42"/>
  <c r="Z87" i="42"/>
  <c r="X83" i="42"/>
  <c r="Z83" i="42"/>
  <c r="AC225" i="42"/>
  <c r="AC179" i="42"/>
  <c r="AG84" i="42"/>
  <c r="AF84" i="42" s="1"/>
  <c r="AC132" i="42"/>
  <c r="X132" i="42" s="1"/>
  <c r="X178" i="42"/>
  <c r="X224" i="42"/>
  <c r="AG88" i="42"/>
  <c r="AF88" i="42" s="1"/>
  <c r="X88" i="42" s="1"/>
  <c r="C89" i="42"/>
  <c r="G376" i="40"/>
  <c r="Q377" i="40"/>
  <c r="U377" i="40" s="1"/>
  <c r="AA179" i="40"/>
  <c r="AE178" i="40"/>
  <c r="AN23" i="36"/>
  <c r="AG23" i="36" s="1"/>
  <c r="AT29" i="36"/>
  <c r="DJ23" i="36" s="1"/>
  <c r="DR122" i="33"/>
  <c r="DM122" i="33"/>
  <c r="CW234" i="37"/>
  <c r="AB205" i="35"/>
  <c r="H205" i="35"/>
  <c r="AJ205" i="35"/>
  <c r="AS205" i="35"/>
  <c r="DM64" i="33"/>
  <c r="DR64" i="33"/>
  <c r="CY18" i="32"/>
  <c r="DR62" i="33"/>
  <c r="DM62" i="33"/>
  <c r="AB234" i="37"/>
  <c r="K235" i="37"/>
  <c r="K234" i="37"/>
  <c r="AD38" i="37"/>
  <c r="EX39" i="37" s="1"/>
  <c r="AA38" i="37"/>
  <c r="N235" i="37" s="1"/>
  <c r="W38" i="37"/>
  <c r="EB34" i="37" s="1"/>
  <c r="ET34" i="37" s="1"/>
  <c r="K40" i="37"/>
  <c r="CF235" i="37" s="1"/>
  <c r="X38" i="37"/>
  <c r="EB35" i="37" s="1"/>
  <c r="ET35" i="37" s="1"/>
  <c r="AJ30" i="35"/>
  <c r="T205" i="35" s="1"/>
  <c r="CB205" i="35" s="1"/>
  <c r="CG29" i="36"/>
  <c r="CK29" i="36" s="1"/>
  <c r="BL28" i="36" s="1"/>
  <c r="DM22" i="36" s="1"/>
  <c r="H29" i="36"/>
  <c r="DA23" i="36" s="1"/>
  <c r="BI38" i="37"/>
  <c r="ED38" i="37" s="1"/>
  <c r="FD38" i="37" s="1"/>
  <c r="CB23" i="35"/>
  <c r="CC23" i="35" s="1"/>
  <c r="Y38" i="37"/>
  <c r="DJ19" i="32"/>
  <c r="AZ20" i="32"/>
  <c r="BM26" i="36"/>
  <c r="CV25" i="36" s="1"/>
  <c r="DK33" i="37"/>
  <c r="DK35" i="37"/>
  <c r="X32" i="37"/>
  <c r="EJ28" i="37" s="1"/>
  <c r="DM48" i="33"/>
  <c r="DR48" i="33"/>
  <c r="AE22" i="36"/>
  <c r="BY26" i="36"/>
  <c r="AN24" i="36"/>
  <c r="AG24" i="36" s="1"/>
  <c r="AN22" i="36"/>
  <c r="CY234" i="37"/>
  <c r="K233" i="37"/>
  <c r="K232" i="37"/>
  <c r="AB232" i="37"/>
  <c r="CB31" i="35"/>
  <c r="CY232" i="37"/>
  <c r="DF31" i="37"/>
  <c r="CD15" i="36"/>
  <c r="CJ18" i="33"/>
  <c r="BX20" i="35"/>
  <c r="BY17" i="36"/>
  <c r="AN13" i="36"/>
  <c r="AN15" i="36"/>
  <c r="AG15" i="36" s="1"/>
  <c r="DR80" i="33"/>
  <c r="DM80" i="33"/>
  <c r="DM90" i="33"/>
  <c r="DR90" i="33"/>
  <c r="AL20" i="35"/>
  <c r="H204" i="35" s="1"/>
  <c r="BX204" i="35"/>
  <c r="AB204" i="35" s="1"/>
  <c r="DR78" i="33"/>
  <c r="DM78" i="33"/>
  <c r="AN14" i="36"/>
  <c r="AG14" i="36" s="1"/>
  <c r="EJ37" i="37"/>
  <c r="BV11" i="37"/>
  <c r="AZ39" i="37"/>
  <c r="AZ30" i="37"/>
  <c r="BH19" i="37"/>
  <c r="EB21" i="37" s="1"/>
  <c r="BV19" i="37"/>
  <c r="CH4" i="34" s="1"/>
  <c r="BZ14" i="34" s="1"/>
  <c r="EB20" i="37"/>
  <c r="FD20" i="37" s="1"/>
  <c r="DO37" i="37"/>
  <c r="EE20" i="37"/>
  <c r="FH20" i="37" s="1"/>
  <c r="AO17" i="37"/>
  <c r="AZ17" i="37"/>
  <c r="DO28" i="37"/>
  <c r="DN37" i="37"/>
  <c r="EB19" i="37"/>
  <c r="FD19" i="37" s="1"/>
  <c r="EE19" i="37"/>
  <c r="FH19" i="37" s="1"/>
  <c r="DN28" i="37"/>
  <c r="EB18" i="37"/>
  <c r="FD18" i="37" s="1"/>
  <c r="EE18" i="37"/>
  <c r="FH18" i="37" s="1"/>
  <c r="DH55" i="37"/>
  <c r="DH46" i="37"/>
  <c r="DH64" i="37"/>
  <c r="DH73" i="37"/>
  <c r="DM37" i="37"/>
  <c r="DH83" i="37"/>
  <c r="DH110" i="37"/>
  <c r="DH128" i="37"/>
  <c r="DH92" i="37"/>
  <c r="DH119" i="37"/>
  <c r="DH101" i="37"/>
  <c r="DH137" i="37"/>
  <c r="DH165" i="37"/>
  <c r="DH174" i="37"/>
  <c r="DH183" i="37"/>
  <c r="DH146" i="37"/>
  <c r="DH201" i="37"/>
  <c r="DH192" i="37"/>
  <c r="DH156" i="37"/>
  <c r="DH37" i="37"/>
  <c r="DH28" i="37"/>
  <c r="DM28" i="37"/>
  <c r="FD22" i="37"/>
  <c r="EE22" i="37"/>
  <c r="FH22" i="37" s="1"/>
  <c r="BD234" i="37"/>
  <c r="BD235" i="37" s="1"/>
  <c r="CU234" i="37" s="1"/>
  <c r="BG234" i="37"/>
  <c r="BG235" i="37" s="1"/>
  <c r="BJ234" i="37"/>
  <c r="BJ235" i="37" s="1"/>
  <c r="CU235" i="37" s="1"/>
  <c r="AN234" i="37"/>
  <c r="R235" i="37"/>
  <c r="BM234" i="37"/>
  <c r="BM235" i="37" s="1"/>
  <c r="AN235" i="37"/>
  <c r="CX23" i="35"/>
  <c r="DA24" i="35"/>
  <c r="DA23" i="35"/>
  <c r="DP25" i="35"/>
  <c r="CX24" i="35"/>
  <c r="C258" i="35"/>
  <c r="DS32" i="35"/>
  <c r="DA31" i="35"/>
  <c r="DA32" i="35"/>
  <c r="CX32" i="35"/>
  <c r="CX31" i="35"/>
  <c r="DP33" i="35"/>
  <c r="S20" i="34"/>
  <c r="CI46" i="34"/>
  <c r="CH47" i="34"/>
  <c r="CJ20" i="34"/>
  <c r="CJ31" i="34"/>
  <c r="CJ26" i="34"/>
  <c r="CJ14" i="34"/>
  <c r="CE24" i="34"/>
  <c r="CG30" i="34"/>
  <c r="CJ16" i="34"/>
  <c r="CG26" i="34"/>
  <c r="CC40" i="34"/>
  <c r="CE40" i="34" s="1"/>
  <c r="BZ40" i="34"/>
  <c r="CF14" i="34"/>
  <c r="CH14" i="34" s="1"/>
  <c r="BZ22" i="34"/>
  <c r="BZ29" i="34"/>
  <c r="CJ25" i="34"/>
  <c r="CJ22" i="34"/>
  <c r="CB24" i="34"/>
  <c r="CD24" i="34"/>
  <c r="CE12" i="34"/>
  <c r="CC14" i="34"/>
  <c r="CE14" i="34" s="1"/>
  <c r="CJ30" i="34"/>
  <c r="CJ41" i="34"/>
  <c r="CJ40" i="34"/>
  <c r="CJ38" i="34"/>
  <c r="CJ37" i="34"/>
  <c r="CJ34" i="34"/>
  <c r="CE39" i="34"/>
  <c r="CC41" i="34"/>
  <c r="CH39" i="34"/>
  <c r="CF34" i="34"/>
  <c r="CH34" i="34" s="1"/>
  <c r="CJ35" i="34"/>
  <c r="CG39" i="34"/>
  <c r="CC34" i="34"/>
  <c r="CE34" i="34" s="1"/>
  <c r="CB36" i="34"/>
  <c r="CH36" i="34" s="1"/>
  <c r="CE36" i="34"/>
  <c r="CD33" i="34"/>
  <c r="CB22" i="34"/>
  <c r="CH22" i="34" s="1"/>
  <c r="CD14" i="34"/>
  <c r="CJ18" i="34"/>
  <c r="CF12" i="34"/>
  <c r="BZ30" i="34"/>
  <c r="BZ24" i="34"/>
  <c r="CH16" i="34"/>
  <c r="CJ24" i="34"/>
  <c r="J8" i="34"/>
  <c r="AR8" i="34"/>
  <c r="J12" i="34"/>
  <c r="S14" i="34"/>
  <c r="AU14" i="34" s="1"/>
  <c r="AN14" i="34"/>
  <c r="AH16" i="34"/>
  <c r="AL18" i="34"/>
  <c r="J6" i="34"/>
  <c r="U14" i="34"/>
  <c r="AQ14" i="34"/>
  <c r="J20" i="34"/>
  <c r="AS20" i="34"/>
  <c r="J22" i="34"/>
  <c r="X14" i="34"/>
  <c r="AZ14" i="34" s="1"/>
  <c r="BG20" i="34"/>
  <c r="AR6" i="34"/>
  <c r="AZ6" i="34" s="1"/>
  <c r="CI2" i="34" s="1"/>
  <c r="J10" i="34"/>
  <c r="AF12" i="34"/>
  <c r="AI12" i="34" s="1"/>
  <c r="V16" i="34"/>
  <c r="N18" i="34"/>
  <c r="AG10" i="34"/>
  <c r="AC14" i="34"/>
  <c r="AT16" i="34"/>
  <c r="AI14" i="34"/>
  <c r="J18" i="34"/>
  <c r="AR10" i="34"/>
  <c r="V18" i="34"/>
  <c r="Y18" i="34" s="1"/>
  <c r="BE67" i="34"/>
  <c r="AR12" i="34"/>
  <c r="AZ12" i="34" s="1"/>
  <c r="CJ3" i="34" s="1"/>
  <c r="J14" i="34"/>
  <c r="J16" i="34"/>
  <c r="O14" i="34"/>
  <c r="V20" i="34"/>
  <c r="AH20" i="34"/>
  <c r="Z14" i="34"/>
  <c r="D10" i="34"/>
  <c r="DM22" i="33"/>
  <c r="DR22" i="33"/>
  <c r="DR32" i="33"/>
  <c r="DM32" i="33"/>
  <c r="BG17" i="33"/>
  <c r="CI19" i="33" s="1"/>
  <c r="G19" i="33"/>
  <c r="DD18" i="33" s="1"/>
  <c r="G20" i="33"/>
  <c r="DD19" i="33" s="1"/>
  <c r="BR17" i="33"/>
  <c r="BO20" i="33" s="1"/>
  <c r="CQ18" i="33"/>
  <c r="BA22" i="33"/>
  <c r="T19" i="33"/>
  <c r="DW19" i="33" s="1"/>
  <c r="T20" i="33"/>
  <c r="DW20" i="33" s="1"/>
  <c r="CN20" i="33"/>
  <c r="O19" i="33" s="1"/>
  <c r="DI18" i="33" s="1"/>
  <c r="BG22" i="33"/>
  <c r="G18" i="33"/>
  <c r="DD17" i="33" s="1"/>
  <c r="AT21" i="33"/>
  <c r="CA19" i="33"/>
  <c r="BG21" i="33"/>
  <c r="BK22" i="33"/>
  <c r="CQ20" i="33"/>
  <c r="AB19" i="33" s="1"/>
  <c r="EB19" i="33" s="1"/>
  <c r="BQ22" i="33"/>
  <c r="CJ16" i="33"/>
  <c r="CK16" i="33" s="1"/>
  <c r="CA20" i="33"/>
  <c r="CI21" i="33"/>
  <c r="CD189" i="33" s="1"/>
  <c r="AZ17" i="33"/>
  <c r="AT22" i="33"/>
  <c r="T18" i="33"/>
  <c r="DW18" i="33" s="1"/>
  <c r="BY189" i="33"/>
  <c r="DM38" i="33"/>
  <c r="DR38" i="33"/>
  <c r="DR40" i="33"/>
  <c r="DM40" i="33"/>
  <c r="DM56" i="33"/>
  <c r="DR56" i="33"/>
  <c r="AT205" i="33"/>
  <c r="BN205" i="33"/>
  <c r="DM54" i="33"/>
  <c r="DR54" i="33"/>
  <c r="T27" i="33"/>
  <c r="DW27" i="33" s="1"/>
  <c r="T28" i="33"/>
  <c r="DW28" i="33" s="1"/>
  <c r="CN28" i="33"/>
  <c r="O27" i="33" s="1"/>
  <c r="DI26" i="33" s="1"/>
  <c r="CA27" i="33"/>
  <c r="CA28" i="33"/>
  <c r="CP28" i="33"/>
  <c r="AB28" i="33" s="1"/>
  <c r="EB28" i="33" s="1"/>
  <c r="BK30" i="33"/>
  <c r="CQ28" i="33"/>
  <c r="AB27" i="33" s="1"/>
  <c r="EB27" i="33" s="1"/>
  <c r="BQ30" i="33"/>
  <c r="AZ25" i="33"/>
  <c r="T26" i="33"/>
  <c r="DW26" i="33" s="1"/>
  <c r="BG29" i="33"/>
  <c r="AT30" i="33"/>
  <c r="BR25" i="33"/>
  <c r="BO28" i="33" s="1"/>
  <c r="CJ24" i="33"/>
  <c r="CK24" i="33" s="1"/>
  <c r="G26" i="33"/>
  <c r="DD25" i="33" s="1"/>
  <c r="CQ26" i="33"/>
  <c r="BG25" i="33"/>
  <c r="G27" i="33"/>
  <c r="DD26" i="33" s="1"/>
  <c r="BA30" i="33"/>
  <c r="G28" i="33"/>
  <c r="DD27" i="33" s="1"/>
  <c r="AT29" i="33"/>
  <c r="BG30" i="33"/>
  <c r="BY190" i="33"/>
  <c r="DM24" i="33"/>
  <c r="DR24" i="33"/>
  <c r="DR30" i="33"/>
  <c r="DM30" i="33"/>
  <c r="DO18" i="32"/>
  <c r="CP19" i="32"/>
  <c r="CO19" i="32"/>
  <c r="DO25" i="32"/>
  <c r="CO24" i="32"/>
  <c r="CP24" i="32"/>
  <c r="DO23" i="32"/>
  <c r="CB18" i="32"/>
  <c r="CR19" i="32"/>
  <c r="DO22" i="32"/>
  <c r="CS19" i="32"/>
  <c r="CF18" i="32"/>
  <c r="CB19" i="32"/>
  <c r="DO24" i="32"/>
  <c r="DF22" i="32"/>
  <c r="M21" i="32"/>
  <c r="DA22" i="32" s="1"/>
  <c r="CD18" i="33" l="1"/>
  <c r="CF21" i="33" s="1"/>
  <c r="DF12" i="35"/>
  <c r="DE13" i="35"/>
  <c r="CE18" i="33"/>
  <c r="CG21" i="33" s="1"/>
  <c r="DN18" i="32"/>
  <c r="DH18" i="32" s="1"/>
  <c r="DI18" i="32" s="1"/>
  <c r="DN32" i="32"/>
  <c r="CP25" i="32"/>
  <c r="CQ25" i="32" s="1"/>
  <c r="AM27" i="32"/>
  <c r="DF32" i="32" s="1"/>
  <c r="CW232" i="37"/>
  <c r="CC29" i="33"/>
  <c r="AZ10" i="34"/>
  <c r="CJ2" i="34" s="1"/>
  <c r="BZ44" i="34"/>
  <c r="CB29" i="33"/>
  <c r="DO26" i="32"/>
  <c r="CM28" i="33"/>
  <c r="O28" i="33" s="1"/>
  <c r="DI27" i="33" s="1"/>
  <c r="BF66" i="34"/>
  <c r="AP8" i="34"/>
  <c r="DN26" i="32"/>
  <c r="BM16" i="36"/>
  <c r="CT25" i="32"/>
  <c r="S26" i="32"/>
  <c r="DF27" i="32" s="1"/>
  <c r="BM25" i="36"/>
  <c r="DB37" i="37"/>
  <c r="DO39" i="37" s="1"/>
  <c r="DO20" i="32"/>
  <c r="CO21" i="32"/>
  <c r="CQ21" i="32" s="1"/>
  <c r="CN235" i="37"/>
  <c r="DO28" i="32"/>
  <c r="DO38" i="37"/>
  <c r="CP27" i="32"/>
  <c r="CQ27" i="32" s="1"/>
  <c r="CK28" i="33"/>
  <c r="CO29" i="33"/>
  <c r="DO40" i="37"/>
  <c r="DF40" i="37" s="1"/>
  <c r="BZ26" i="32"/>
  <c r="CF27" i="32" s="1"/>
  <c r="CJ22" i="36"/>
  <c r="CJ24" i="36" s="1"/>
  <c r="CR24" i="32"/>
  <c r="CS24" i="32"/>
  <c r="CK20" i="33"/>
  <c r="CK20" i="36"/>
  <c r="BL19" i="36" s="1"/>
  <c r="DM13" i="36" s="1"/>
  <c r="EE40" i="37"/>
  <c r="DN24" i="32"/>
  <c r="ED40" i="37"/>
  <c r="FD40" i="37" s="1"/>
  <c r="DO29" i="32"/>
  <c r="BX22" i="35"/>
  <c r="T40" i="37"/>
  <c r="EN34" i="37" s="1"/>
  <c r="DO29" i="37"/>
  <c r="CO26" i="32"/>
  <c r="AN17" i="33"/>
  <c r="CU16" i="33" s="1"/>
  <c r="DI22" i="33" s="1"/>
  <c r="DB28" i="37"/>
  <c r="DO30" i="37" s="1"/>
  <c r="DO27" i="32"/>
  <c r="BY29" i="33"/>
  <c r="CQ19" i="32"/>
  <c r="EX35" i="37"/>
  <c r="AB30" i="37"/>
  <c r="BK29" i="37" s="1"/>
  <c r="C21" i="32"/>
  <c r="DA21" i="32" s="1"/>
  <c r="CS16" i="36"/>
  <c r="CQ16" i="36" s="1"/>
  <c r="DS16" i="36" s="1"/>
  <c r="DJ31" i="37"/>
  <c r="EX34" i="37"/>
  <c r="CD57" i="34"/>
  <c r="CB57" i="34" s="1"/>
  <c r="CP26" i="32"/>
  <c r="AJ22" i="35"/>
  <c r="T204" i="35" s="1"/>
  <c r="CB204" i="35" s="1"/>
  <c r="BZ20" i="32"/>
  <c r="BZ21" i="32" s="1"/>
  <c r="AM19" i="32" s="1"/>
  <c r="DF18" i="32" s="1"/>
  <c r="EB39" i="37"/>
  <c r="ET39" i="37" s="1"/>
  <c r="AD29" i="37"/>
  <c r="EX30" i="37" s="1"/>
  <c r="CB50" i="34"/>
  <c r="CN234" i="37"/>
  <c r="CF234" i="37"/>
  <c r="BZ45" i="34"/>
  <c r="CB45" i="34" s="1"/>
  <c r="CY45" i="34" s="1"/>
  <c r="EJ34" i="37"/>
  <c r="W10" i="34"/>
  <c r="CB62" i="34"/>
  <c r="CB52" i="34" s="1"/>
  <c r="X40" i="37"/>
  <c r="EJ36" i="37" s="1"/>
  <c r="FH38" i="37"/>
  <c r="BZ49" i="34"/>
  <c r="CD54" i="34" s="1"/>
  <c r="CB54" i="34" s="1"/>
  <c r="DJ30" i="37"/>
  <c r="BX51" i="34"/>
  <c r="CJ51" i="34" s="1"/>
  <c r="CN51" i="34" s="1"/>
  <c r="AQ18" i="34"/>
  <c r="R232" i="37"/>
  <c r="BG232" i="37" s="1"/>
  <c r="BG233" i="37" s="1"/>
  <c r="AA29" i="37"/>
  <c r="EX29" i="37" s="1"/>
  <c r="Y29" i="37"/>
  <c r="EB27" i="37" s="1"/>
  <c r="ET27" i="37" s="1"/>
  <c r="X29" i="37"/>
  <c r="EX26" i="37" s="1"/>
  <c r="CT19" i="32"/>
  <c r="W29" i="37"/>
  <c r="EB25" i="37" s="1"/>
  <c r="ET25" i="37" s="1"/>
  <c r="EE38" i="37"/>
  <c r="X84" i="42"/>
  <c r="Z84" i="42"/>
  <c r="AC180" i="42"/>
  <c r="X179" i="42"/>
  <c r="AC226" i="42"/>
  <c r="X226" i="42"/>
  <c r="AC133" i="42"/>
  <c r="X133" i="42" s="1"/>
  <c r="X225" i="42"/>
  <c r="Z88" i="42"/>
  <c r="AG89" i="42"/>
  <c r="AF89" i="42" s="1"/>
  <c r="X89" i="42" s="1"/>
  <c r="CI27" i="33"/>
  <c r="AN25" i="33"/>
  <c r="CU24" i="33" s="1"/>
  <c r="DI30" i="33" s="1"/>
  <c r="CO17" i="36"/>
  <c r="CO18" i="36"/>
  <c r="AY17" i="36" s="1"/>
  <c r="CS13" i="36" s="1"/>
  <c r="BX17" i="36"/>
  <c r="CB17" i="36"/>
  <c r="AG22" i="35" s="1"/>
  <c r="Q204" i="35" s="1"/>
  <c r="CA204" i="35" s="1"/>
  <c r="BY18" i="36"/>
  <c r="CG15" i="36"/>
  <c r="DN22" i="32"/>
  <c r="DN20" i="32"/>
  <c r="DN30" i="32"/>
  <c r="DN21" i="32"/>
  <c r="DN25" i="32"/>
  <c r="S20" i="32"/>
  <c r="DF19" i="32" s="1"/>
  <c r="DN19" i="32"/>
  <c r="DN27" i="32"/>
  <c r="CJ13" i="36"/>
  <c r="CO27" i="36"/>
  <c r="AY26" i="36" s="1"/>
  <c r="CS22" i="36" s="1"/>
  <c r="CO26" i="36"/>
  <c r="EX36" i="37"/>
  <c r="EB36" i="37"/>
  <c r="ET36" i="37" s="1"/>
  <c r="DN31" i="32"/>
  <c r="DN29" i="32"/>
  <c r="DN23" i="32"/>
  <c r="DF24" i="32"/>
  <c r="CR18" i="32"/>
  <c r="DO21" i="32"/>
  <c r="CS18" i="32"/>
  <c r="CN28" i="36"/>
  <c r="CN26" i="36"/>
  <c r="CN27" i="36"/>
  <c r="AU26" i="36" s="1"/>
  <c r="AJ204" i="35"/>
  <c r="AF28" i="36"/>
  <c r="DD22" i="36" s="1"/>
  <c r="CQ24" i="32"/>
  <c r="AS204" i="35"/>
  <c r="EB38" i="37"/>
  <c r="ET38" i="37" s="1"/>
  <c r="EX38" i="37"/>
  <c r="N234" i="37"/>
  <c r="BP26" i="36"/>
  <c r="BG26" i="36" s="1"/>
  <c r="CV22" i="36" s="1"/>
  <c r="DN28" i="32"/>
  <c r="BZ189" i="33"/>
  <c r="CM20" i="33"/>
  <c r="O20" i="33" s="1"/>
  <c r="DI19" i="33" s="1"/>
  <c r="CP20" i="33"/>
  <c r="AB20" i="33" s="1"/>
  <c r="EB20" i="33" s="1"/>
  <c r="CI29" i="33"/>
  <c r="BZ234" i="37"/>
  <c r="BZ235" i="37"/>
  <c r="DJ39" i="37"/>
  <c r="DB33" i="37"/>
  <c r="AB39" i="37" s="1"/>
  <c r="DJ40" i="37"/>
  <c r="CZ18" i="32"/>
  <c r="CY19" i="32"/>
  <c r="CG24" i="36"/>
  <c r="CB26" i="36"/>
  <c r="AG30" i="35" s="1"/>
  <c r="Q205" i="35" s="1"/>
  <c r="CA205" i="35" s="1"/>
  <c r="CP20" i="32"/>
  <c r="CO20" i="32"/>
  <c r="DO19" i="32"/>
  <c r="DF37" i="37"/>
  <c r="DF28" i="37"/>
  <c r="CD37" i="34"/>
  <c r="CH41" i="34"/>
  <c r="CF24" i="34"/>
  <c r="CG28" i="34"/>
  <c r="CE41" i="34"/>
  <c r="CH35" i="34"/>
  <c r="CC36" i="34"/>
  <c r="BZ36" i="34"/>
  <c r="CF36" i="34" s="1"/>
  <c r="CE22" i="34"/>
  <c r="CH26" i="34"/>
  <c r="CD29" i="34"/>
  <c r="CG40" i="34"/>
  <c r="CB41" i="34"/>
  <c r="CB16" i="34"/>
  <c r="CD40" i="34"/>
  <c r="CG25" i="34"/>
  <c r="CC31" i="34"/>
  <c r="CE31" i="34" s="1"/>
  <c r="CF30" i="34"/>
  <c r="CD34" i="34"/>
  <c r="BZ39" i="34"/>
  <c r="CE38" i="34"/>
  <c r="CE35" i="34"/>
  <c r="CA14" i="34"/>
  <c r="CB35" i="34"/>
  <c r="CH30" i="34"/>
  <c r="CF39" i="34"/>
  <c r="CC39" i="34"/>
  <c r="CC18" i="34"/>
  <c r="BZ12" i="34"/>
  <c r="CA34" i="34"/>
  <c r="BZ33" i="34"/>
  <c r="CD20" i="34"/>
  <c r="CF33" i="34"/>
  <c r="CC33" i="34"/>
  <c r="CG34" i="34"/>
  <c r="CB38" i="34"/>
  <c r="CH38" i="34" s="1"/>
  <c r="BZ31" i="34"/>
  <c r="CB31" i="34" s="1"/>
  <c r="CF41" i="34"/>
  <c r="BZ20" i="34"/>
  <c r="CB20" i="34" s="1"/>
  <c r="CF25" i="34"/>
  <c r="CH25" i="34" s="1"/>
  <c r="EE21" i="37"/>
  <c r="FH21" i="37" s="1"/>
  <c r="FD21" i="37"/>
  <c r="FF22" i="37" s="1"/>
  <c r="BO20" i="34"/>
  <c r="AL10" i="34" s="1"/>
  <c r="CA28" i="34"/>
  <c r="CG14" i="34"/>
  <c r="CF35" i="34"/>
  <c r="CA38" i="34"/>
  <c r="CG38" i="34" s="1"/>
  <c r="CB39" i="34"/>
  <c r="CD39" i="34"/>
  <c r="CC28" i="34"/>
  <c r="CE28" i="34" s="1"/>
  <c r="CD22" i="34"/>
  <c r="BZ25" i="34"/>
  <c r="CB25" i="34" s="1"/>
  <c r="CC16" i="34"/>
  <c r="CG12" i="34"/>
  <c r="CA37" i="34"/>
  <c r="CG37" i="34" s="1"/>
  <c r="CE16" i="34"/>
  <c r="CE26" i="34"/>
  <c r="CG33" i="34"/>
  <c r="CG35" i="34"/>
  <c r="CA39" i="34"/>
  <c r="CD41" i="34"/>
  <c r="BZ26" i="34"/>
  <c r="CF28" i="34"/>
  <c r="CH28" i="34" s="1"/>
  <c r="CG24" i="34"/>
  <c r="CF26" i="34"/>
  <c r="CH24" i="34"/>
  <c r="CA16" i="34"/>
  <c r="EJ25" i="37"/>
  <c r="X31" i="37"/>
  <c r="CN232" i="37"/>
  <c r="BZ233" i="37"/>
  <c r="CN233" i="37"/>
  <c r="CF232" i="37"/>
  <c r="CF233" i="37"/>
  <c r="BZ232" i="37"/>
  <c r="T31" i="37"/>
  <c r="EN25" i="37" s="1"/>
  <c r="BE17" i="37"/>
  <c r="BH17" i="37" s="1"/>
  <c r="BI17" i="37"/>
  <c r="CA29" i="34"/>
  <c r="CG29" i="34" s="1"/>
  <c r="BZ34" i="34"/>
  <c r="CE18" i="34"/>
  <c r="CD12" i="34"/>
  <c r="CA31" i="34"/>
  <c r="CG31" i="34" s="1"/>
  <c r="CC24" i="34"/>
  <c r="CC38" i="34"/>
  <c r="CH33" i="34"/>
  <c r="CC25" i="34"/>
  <c r="CE25" i="34" s="1"/>
  <c r="CD28" i="34"/>
  <c r="CC12" i="34"/>
  <c r="BZ35" i="34"/>
  <c r="CA33" i="34"/>
  <c r="CB33" i="34"/>
  <c r="BZ41" i="34"/>
  <c r="BZ37" i="34"/>
  <c r="CF37" i="34" s="1"/>
  <c r="CH37" i="34" s="1"/>
  <c r="CD30" i="34"/>
  <c r="CA18" i="34"/>
  <c r="CG18" i="34" s="1"/>
  <c r="BZ16" i="34"/>
  <c r="CA12" i="34"/>
  <c r="CD18" i="34"/>
  <c r="CF16" i="34"/>
  <c r="CC30" i="34"/>
  <c r="CE30" i="34" s="1"/>
  <c r="BZ18" i="34"/>
  <c r="CF18" i="34" s="1"/>
  <c r="CA40" i="34"/>
  <c r="CD36" i="34"/>
  <c r="CG41" i="34"/>
  <c r="CA41" i="34"/>
  <c r="BZ38" i="34"/>
  <c r="CF38" i="34" s="1"/>
  <c r="CD16" i="34"/>
  <c r="CF40" i="34"/>
  <c r="CH40" i="34" s="1"/>
  <c r="CC37" i="34"/>
  <c r="CE37" i="34" s="1"/>
  <c r="CC20" i="34"/>
  <c r="CE20" i="34" s="1"/>
  <c r="CD31" i="34"/>
  <c r="CC22" i="34"/>
  <c r="CA24" i="34"/>
  <c r="CJ28" i="34" s="1"/>
  <c r="FF20" i="37"/>
  <c r="CA20" i="34"/>
  <c r="CG20" i="34" s="1"/>
  <c r="CD35" i="34"/>
  <c r="CB18" i="34"/>
  <c r="CH18" i="34" s="1"/>
  <c r="CH12" i="34"/>
  <c r="CC29" i="34"/>
  <c r="CE29" i="34" s="1"/>
  <c r="CD25" i="34"/>
  <c r="CA25" i="34"/>
  <c r="CB26" i="34"/>
  <c r="CA35" i="34"/>
  <c r="CA36" i="34"/>
  <c r="CG36" i="34" s="1"/>
  <c r="CE33" i="34"/>
  <c r="CC35" i="34"/>
  <c r="CD38" i="34"/>
  <c r="CC26" i="34"/>
  <c r="BZ28" i="34"/>
  <c r="CA26" i="34"/>
  <c r="CB12" i="34"/>
  <c r="CA30" i="34"/>
  <c r="CA22" i="34"/>
  <c r="CG22" i="34" s="1"/>
  <c r="CD26" i="34"/>
  <c r="CG16" i="34"/>
  <c r="FF18" i="37"/>
  <c r="FF19" i="37"/>
  <c r="CT25" i="36"/>
  <c r="DS37" i="36" s="1"/>
  <c r="DV37" i="36"/>
  <c r="DV22" i="36"/>
  <c r="CT15" i="36"/>
  <c r="DS22" i="36" s="1"/>
  <c r="DV23" i="36"/>
  <c r="CT16" i="36"/>
  <c r="DS23" i="36" s="1"/>
  <c r="DS25" i="35"/>
  <c r="DS33" i="35"/>
  <c r="AL258" i="35"/>
  <c r="CB29" i="34"/>
  <c r="CF29" i="34"/>
  <c r="CH29" i="34" s="1"/>
  <c r="BZ47" i="34"/>
  <c r="BZ48" i="34"/>
  <c r="CA49" i="34"/>
  <c r="CB49" i="34" s="1"/>
  <c r="AM16" i="34" s="1"/>
  <c r="AQ16" i="34" s="1"/>
  <c r="CB59" i="34"/>
  <c r="AW22" i="34" s="1"/>
  <c r="BX44" i="34"/>
  <c r="CT44" i="34" s="1"/>
  <c r="CF4" i="34"/>
  <c r="AM22" i="34"/>
  <c r="M22" i="34"/>
  <c r="AS22" i="34"/>
  <c r="AA22" i="34"/>
  <c r="BC22" i="34"/>
  <c r="U22" i="34"/>
  <c r="AG22" i="34"/>
  <c r="AY22" i="34"/>
  <c r="AL14" i="34"/>
  <c r="CB30" i="34"/>
  <c r="CI47" i="34"/>
  <c r="CH48" i="34"/>
  <c r="CB40" i="34"/>
  <c r="AQ20" i="34"/>
  <c r="AO20" i="34"/>
  <c r="CB61" i="34" s="1"/>
  <c r="CO60" i="34"/>
  <c r="BX60" i="34"/>
  <c r="CJ60" i="34" s="1"/>
  <c r="CB14" i="34"/>
  <c r="AG14" i="34"/>
  <c r="CF22" i="34"/>
  <c r="AZ8" i="34"/>
  <c r="CI3" i="34" s="1"/>
  <c r="CJ4" i="34" s="1"/>
  <c r="BG22" i="34"/>
  <c r="CY21" i="33"/>
  <c r="BY20" i="33"/>
  <c r="CE20" i="33"/>
  <c r="CC20" i="33"/>
  <c r="CG20" i="33"/>
  <c r="AN20" i="33"/>
  <c r="CU19" i="33" s="1"/>
  <c r="EA18" i="33"/>
  <c r="DH19" i="33"/>
  <c r="EA20" i="33"/>
  <c r="DH18" i="33"/>
  <c r="BY21" i="33"/>
  <c r="EA19" i="33"/>
  <c r="BY19" i="33"/>
  <c r="CE19" i="33"/>
  <c r="CC19" i="33"/>
  <c r="CG19" i="33"/>
  <c r="AN19" i="33"/>
  <c r="CU18" i="33" s="1"/>
  <c r="CY22" i="33"/>
  <c r="CI28" i="33"/>
  <c r="BO27" i="33"/>
  <c r="BO26" i="33"/>
  <c r="CI26" i="33"/>
  <c r="CS29" i="33"/>
  <c r="CR29" i="33" s="1"/>
  <c r="G29" i="33" s="1"/>
  <c r="BA26" i="33"/>
  <c r="CY26" i="33" s="1"/>
  <c r="BY28" i="33"/>
  <c r="CC28" i="33"/>
  <c r="CE28" i="33"/>
  <c r="CG28" i="33"/>
  <c r="AN28" i="33"/>
  <c r="CU27" i="33" s="1"/>
  <c r="CI20" i="33"/>
  <c r="BO19" i="33"/>
  <c r="BO18" i="33"/>
  <c r="CI18" i="33"/>
  <c r="CS21" i="33"/>
  <c r="CR21" i="33" s="1"/>
  <c r="G21" i="33" s="1"/>
  <c r="BA18" i="33"/>
  <c r="CY18" i="33" s="1"/>
  <c r="DH17" i="33"/>
  <c r="CO21" i="33"/>
  <c r="CL21" i="33"/>
  <c r="CS22" i="33" s="1"/>
  <c r="CY29" i="33"/>
  <c r="BY27" i="33"/>
  <c r="CC27" i="33"/>
  <c r="CE27" i="33"/>
  <c r="CG27" i="33"/>
  <c r="AN27" i="33"/>
  <c r="CU26" i="33" s="1"/>
  <c r="DF13" i="35" l="1"/>
  <c r="C260" i="35" s="1"/>
  <c r="AL260" i="35" s="1"/>
  <c r="DE14" i="35"/>
  <c r="C259" i="35"/>
  <c r="AL259" i="35" s="1"/>
  <c r="BS20" i="34"/>
  <c r="AY16" i="34"/>
  <c r="BC16" i="34" s="1"/>
  <c r="CJ23" i="36"/>
  <c r="BZ27" i="32"/>
  <c r="AM25" i="32" s="1"/>
  <c r="DF26" i="32" s="1"/>
  <c r="CF21" i="32"/>
  <c r="BM232" i="37"/>
  <c r="BM233" i="37" s="1"/>
  <c r="BX62" i="34"/>
  <c r="CT62" i="34" s="1"/>
  <c r="EX25" i="37"/>
  <c r="BD232" i="37"/>
  <c r="BD233" i="37" s="1"/>
  <c r="CU232" i="37" s="1"/>
  <c r="CB232" i="37"/>
  <c r="AV232" i="37" s="1"/>
  <c r="DJ29" i="37"/>
  <c r="AI32" i="37" s="1"/>
  <c r="EN28" i="37" s="1"/>
  <c r="F232" i="37"/>
  <c r="AN232" i="37"/>
  <c r="BJ232" i="37"/>
  <c r="BJ233" i="37" s="1"/>
  <c r="CU233" i="37" s="1"/>
  <c r="BG29" i="37"/>
  <c r="BE29" i="37" s="1"/>
  <c r="FH28" i="37" s="1"/>
  <c r="R233" i="37"/>
  <c r="AS31" i="37"/>
  <c r="EJ29" i="37" s="1"/>
  <c r="DJ26" i="37"/>
  <c r="DE28" i="32"/>
  <c r="DE27" i="32"/>
  <c r="DE32" i="32"/>
  <c r="CT24" i="32"/>
  <c r="CQ26" i="32"/>
  <c r="CD232" i="37"/>
  <c r="AZ232" i="37" s="1"/>
  <c r="DM26" i="37"/>
  <c r="DQ26" i="37"/>
  <c r="DV16" i="36"/>
  <c r="AS32" i="37"/>
  <c r="DH26" i="37"/>
  <c r="CS18" i="36"/>
  <c r="DN26" i="37"/>
  <c r="DF30" i="37"/>
  <c r="BM29" i="37"/>
  <c r="DB23" i="37" s="1"/>
  <c r="DX26" i="37" s="1"/>
  <c r="DF26" i="37"/>
  <c r="DI26" i="37"/>
  <c r="CA233" i="37"/>
  <c r="AR233" i="37" s="1"/>
  <c r="DP26" i="37"/>
  <c r="CA232" i="37"/>
  <c r="AR232" i="37" s="1"/>
  <c r="DE26" i="37"/>
  <c r="DR26" i="37"/>
  <c r="DE29" i="32"/>
  <c r="AN233" i="37"/>
  <c r="EB30" i="37"/>
  <c r="ET30" i="37" s="1"/>
  <c r="DE22" i="32"/>
  <c r="CT22" i="36"/>
  <c r="DS34" i="36" s="1"/>
  <c r="DV34" i="36"/>
  <c r="EB26" i="37"/>
  <c r="ET26" i="37" s="1"/>
  <c r="EV27" i="37" s="1"/>
  <c r="CU17" i="32"/>
  <c r="DE26" i="32"/>
  <c r="DE24" i="32"/>
  <c r="DE23" i="32"/>
  <c r="DE21" i="32"/>
  <c r="CU23" i="32"/>
  <c r="DE25" i="32"/>
  <c r="EX27" i="37"/>
  <c r="DE31" i="32"/>
  <c r="DE30" i="32"/>
  <c r="CB63" i="34"/>
  <c r="CY63" i="34" s="1"/>
  <c r="CY62" i="34"/>
  <c r="N232" i="37"/>
  <c r="EB29" i="37"/>
  <c r="ET29" i="37" s="1"/>
  <c r="AI40" i="37"/>
  <c r="EN36" i="37" s="1"/>
  <c r="CI35" i="34"/>
  <c r="CI24" i="34"/>
  <c r="N233" i="37"/>
  <c r="CQ20" i="32"/>
  <c r="CI14" i="34"/>
  <c r="CI12" i="34"/>
  <c r="CJ29" i="34"/>
  <c r="CE49" i="34"/>
  <c r="CI33" i="34"/>
  <c r="AC134" i="42"/>
  <c r="X134" i="42" s="1"/>
  <c r="AC227" i="42"/>
  <c r="X227" i="42" s="1"/>
  <c r="Z89" i="42"/>
  <c r="AC181" i="42"/>
  <c r="X180" i="42"/>
  <c r="CI26" i="34"/>
  <c r="CI36" i="34"/>
  <c r="CD190" i="33"/>
  <c r="CF20" i="34"/>
  <c r="CB28" i="34"/>
  <c r="CI28" i="34" s="1"/>
  <c r="CI39" i="34"/>
  <c r="CT18" i="32"/>
  <c r="CO29" i="36"/>
  <c r="BK26" i="36" s="1"/>
  <c r="CV24" i="36" s="1"/>
  <c r="CS25" i="36"/>
  <c r="CI29" i="34"/>
  <c r="CI41" i="34"/>
  <c r="CZ19" i="32"/>
  <c r="CY20" i="32"/>
  <c r="CZ20" i="32" s="1"/>
  <c r="AS40" i="37"/>
  <c r="DP35" i="37"/>
  <c r="BK38" i="37"/>
  <c r="DI35" i="37"/>
  <c r="DE35" i="37"/>
  <c r="DJ38" i="37"/>
  <c r="AI41" i="37" s="1"/>
  <c r="EN37" i="37" s="1"/>
  <c r="F234" i="37"/>
  <c r="DF35" i="37"/>
  <c r="DJ35" i="37"/>
  <c r="DF39" i="37"/>
  <c r="DQ35" i="37"/>
  <c r="DN35" i="37"/>
  <c r="CA234" i="37"/>
  <c r="AR234" i="37" s="1"/>
  <c r="BM38" i="37"/>
  <c r="CB234" i="37"/>
  <c r="AV234" i="37" s="1"/>
  <c r="DM35" i="37"/>
  <c r="DH35" i="37"/>
  <c r="CD234" i="37"/>
  <c r="AZ234" i="37" s="1"/>
  <c r="AS41" i="37"/>
  <c r="DR35" i="37"/>
  <c r="CA235" i="37"/>
  <c r="AR235" i="37" s="1"/>
  <c r="BG38" i="37"/>
  <c r="BE38" i="37" s="1"/>
  <c r="DB32" i="37" s="1"/>
  <c r="DZ39" i="37" s="1"/>
  <c r="CL26" i="36"/>
  <c r="BP25" i="36"/>
  <c r="CV26" i="36"/>
  <c r="CL24" i="36"/>
  <c r="CM23" i="36"/>
  <c r="BS26" i="36"/>
  <c r="CL27" i="36"/>
  <c r="CL23" i="36"/>
  <c r="BC26" i="36"/>
  <c r="CS28" i="36" s="1"/>
  <c r="BZ18" i="36"/>
  <c r="AL186" i="36"/>
  <c r="AL120" i="36"/>
  <c r="AL84" i="36"/>
  <c r="AL129" i="36"/>
  <c r="AL168" i="36"/>
  <c r="AL93" i="36"/>
  <c r="AL102" i="36"/>
  <c r="AL159" i="36"/>
  <c r="AL195" i="36"/>
  <c r="AL147" i="36"/>
  <c r="AL138" i="36"/>
  <c r="AL177" i="36"/>
  <c r="BY27" i="36"/>
  <c r="AL111" i="36"/>
  <c r="CI40" i="34"/>
  <c r="CF31" i="34"/>
  <c r="CH31" i="34" s="1"/>
  <c r="CB37" i="34"/>
  <c r="CI37" i="34" s="1"/>
  <c r="CI16" i="34"/>
  <c r="CJ15" i="36"/>
  <c r="CJ14" i="36"/>
  <c r="CQ13" i="36"/>
  <c r="DS14" i="36" s="1"/>
  <c r="DV14" i="36"/>
  <c r="CQ22" i="36"/>
  <c r="DS28" i="36" s="1"/>
  <c r="DV28" i="36"/>
  <c r="EL25" i="37"/>
  <c r="EL26" i="37"/>
  <c r="CB34" i="34"/>
  <c r="CI34" i="34" s="1"/>
  <c r="Y12" i="34"/>
  <c r="EV25" i="37"/>
  <c r="Y10" i="34"/>
  <c r="AB10" i="34" s="1"/>
  <c r="CJ6" i="34" s="1"/>
  <c r="CI18" i="34"/>
  <c r="EB23" i="37"/>
  <c r="FB18" i="37"/>
  <c r="FC18" i="37" s="1"/>
  <c r="CI25" i="34"/>
  <c r="CI22" i="34"/>
  <c r="AP10" i="34"/>
  <c r="CI38" i="34"/>
  <c r="CI30" i="34"/>
  <c r="EJ27" i="37"/>
  <c r="AI31" i="37"/>
  <c r="EN27" i="37" s="1"/>
  <c r="FF21" i="37"/>
  <c r="BX57" i="34"/>
  <c r="CJ57" i="34" s="1"/>
  <c r="CO57" i="34"/>
  <c r="AK22" i="34"/>
  <c r="CX44" i="34"/>
  <c r="CI48" i="34"/>
  <c r="CH49" i="34"/>
  <c r="CO59" i="34"/>
  <c r="BX59" i="34"/>
  <c r="CJ59" i="34" s="1"/>
  <c r="BX61" i="34"/>
  <c r="CT61" i="34" s="1"/>
  <c r="CY61" i="34"/>
  <c r="BX52" i="34"/>
  <c r="CJ52" i="34" s="1"/>
  <c r="CO52" i="34"/>
  <c r="BX54" i="34"/>
  <c r="CJ54" i="34" s="1"/>
  <c r="CO54" i="34"/>
  <c r="CB48" i="34"/>
  <c r="CE48" i="34"/>
  <c r="S22" i="34"/>
  <c r="CB47" i="34"/>
  <c r="CE47" i="34"/>
  <c r="U12" i="34"/>
  <c r="CA45" i="34" s="1"/>
  <c r="BX45" i="34" s="1"/>
  <c r="CT45" i="34" s="1"/>
  <c r="CX45" i="34" s="1"/>
  <c r="CV22" i="33"/>
  <c r="CX22" i="33"/>
  <c r="CW22" i="33"/>
  <c r="CU22" i="33"/>
  <c r="CT22" i="33"/>
  <c r="DB17" i="33"/>
  <c r="DC17" i="33" s="1"/>
  <c r="BX21" i="33"/>
  <c r="DD28" i="33"/>
  <c r="CL30" i="33"/>
  <c r="CM30" i="33"/>
  <c r="T29" i="33" s="1"/>
  <c r="DW29" i="33" s="1"/>
  <c r="O29" i="33"/>
  <c r="DI28" i="33" s="1"/>
  <c r="AB29" i="33"/>
  <c r="EB29" i="33" s="1"/>
  <c r="DU18" i="33"/>
  <c r="DV18" i="33" s="1"/>
  <c r="DR19" i="33"/>
  <c r="DM19" i="33"/>
  <c r="CL22" i="33"/>
  <c r="DD20" i="33"/>
  <c r="CM22" i="33"/>
  <c r="T21" i="33" s="1"/>
  <c r="DW21" i="33" s="1"/>
  <c r="O21" i="33"/>
  <c r="DI20" i="33" s="1"/>
  <c r="AB21" i="33"/>
  <c r="EB21" i="33" s="1"/>
  <c r="DR27" i="33"/>
  <c r="DM27" i="33"/>
  <c r="DR23" i="33"/>
  <c r="DM23" i="33"/>
  <c r="DR18" i="33"/>
  <c r="DM18" i="33"/>
  <c r="BX29" i="33"/>
  <c r="DM26" i="33"/>
  <c r="DR26" i="33"/>
  <c r="DM31" i="33"/>
  <c r="DR31" i="33"/>
  <c r="DH19" i="32"/>
  <c r="DE15" i="35" l="1"/>
  <c r="DF14" i="35"/>
  <c r="C261" i="35" s="1"/>
  <c r="AL261" i="35" s="1"/>
  <c r="CV23" i="32"/>
  <c r="DZ28" i="37"/>
  <c r="DW28" i="37" s="1"/>
  <c r="CO233" i="37"/>
  <c r="Q24" i="37"/>
  <c r="F233" i="37" s="1"/>
  <c r="AK29" i="37"/>
  <c r="EX32" i="37" s="1"/>
  <c r="BF32" i="37"/>
  <c r="BQ32" i="37" s="1"/>
  <c r="EN32" i="37" s="1"/>
  <c r="FH30" i="37"/>
  <c r="ED30" i="37"/>
  <c r="FD30" i="37" s="1"/>
  <c r="DZ26" i="37"/>
  <c r="DW26" i="37" s="1"/>
  <c r="BB31" i="37"/>
  <c r="EN29" i="37" s="1"/>
  <c r="DY28" i="37"/>
  <c r="DT28" i="37" s="1"/>
  <c r="DY26" i="37"/>
  <c r="DV26" i="37" s="1"/>
  <c r="CL233" i="37"/>
  <c r="BB32" i="37"/>
  <c r="EN30" i="37" s="1"/>
  <c r="BF31" i="37"/>
  <c r="EJ31" i="37" s="1"/>
  <c r="EJ30" i="37"/>
  <c r="EL30" i="37" s="1"/>
  <c r="DZ30" i="37"/>
  <c r="DT30" i="37" s="1"/>
  <c r="CL232" i="37"/>
  <c r="ED28" i="37"/>
  <c r="FD28" i="37" s="1"/>
  <c r="EV26" i="37"/>
  <c r="CO232" i="37"/>
  <c r="DY35" i="37"/>
  <c r="DV35" i="37" s="1"/>
  <c r="DZ35" i="37"/>
  <c r="DW35" i="37" s="1"/>
  <c r="DX35" i="37"/>
  <c r="DU35" i="37" s="1"/>
  <c r="DZ37" i="37"/>
  <c r="DW37" i="37" s="1"/>
  <c r="DT39" i="37"/>
  <c r="DW39" i="37"/>
  <c r="DT35" i="37"/>
  <c r="DY37" i="37"/>
  <c r="BX63" i="34"/>
  <c r="CT63" i="34" s="1"/>
  <c r="CY64" i="34"/>
  <c r="EV28" i="37"/>
  <c r="EV29" i="37"/>
  <c r="CI31" i="34"/>
  <c r="CY21" i="32"/>
  <c r="CZ21" i="32" s="1"/>
  <c r="DB18" i="33"/>
  <c r="DC18" i="33" s="1"/>
  <c r="C190" i="33" s="1"/>
  <c r="EV30" i="37"/>
  <c r="CV17" i="32"/>
  <c r="Q33" i="37"/>
  <c r="F235" i="37" s="1"/>
  <c r="BB40" i="37"/>
  <c r="EN38" i="37" s="1"/>
  <c r="BZ46" i="34"/>
  <c r="CB46" i="34" s="1"/>
  <c r="CY46" i="34" s="1"/>
  <c r="CR22" i="33"/>
  <c r="G22" i="33" s="1"/>
  <c r="AB22" i="33" s="1"/>
  <c r="EB22" i="33" s="1"/>
  <c r="AC182" i="42"/>
  <c r="AC228" i="42"/>
  <c r="X228" i="42" s="1"/>
  <c r="X181" i="42"/>
  <c r="AC135" i="42"/>
  <c r="X135" i="42" s="1"/>
  <c r="CE53" i="34"/>
  <c r="CH20" i="34"/>
  <c r="CI20" i="34" s="1"/>
  <c r="BZ19" i="36"/>
  <c r="H19" i="36"/>
  <c r="DA13" i="36" s="1"/>
  <c r="CT26" i="36"/>
  <c r="DS38" i="36" s="1"/>
  <c r="DV38" i="36"/>
  <c r="CQ28" i="36"/>
  <c r="DS32" i="36" s="1"/>
  <c r="DV32" i="36"/>
  <c r="CL235" i="37"/>
  <c r="EJ39" i="37"/>
  <c r="BF41" i="37"/>
  <c r="BB41" i="37"/>
  <c r="EN39" i="37" s="1"/>
  <c r="BZ27" i="36"/>
  <c r="BX26" i="36"/>
  <c r="FH37" i="37"/>
  <c r="ED37" i="37"/>
  <c r="FD37" i="37" s="1"/>
  <c r="EE37" i="37"/>
  <c r="FH39" i="37"/>
  <c r="EE39" i="37"/>
  <c r="ED39" i="37"/>
  <c r="FD39" i="37" s="1"/>
  <c r="EJ38" i="37"/>
  <c r="BF40" i="37"/>
  <c r="CL234" i="37"/>
  <c r="CO234" i="37"/>
  <c r="CO235" i="37"/>
  <c r="CM26" i="36"/>
  <c r="CM24" i="36"/>
  <c r="CV27" i="36"/>
  <c r="CM27" i="36"/>
  <c r="AK38" i="37"/>
  <c r="CQ25" i="36"/>
  <c r="DS30" i="36" s="1"/>
  <c r="DV30" i="36"/>
  <c r="CS27" i="36"/>
  <c r="DV36" i="36"/>
  <c r="CT24" i="36"/>
  <c r="DS36" i="36" s="1"/>
  <c r="EL29" i="37"/>
  <c r="EL28" i="37"/>
  <c r="EH25" i="37"/>
  <c r="EI25" i="37" s="1"/>
  <c r="DW30" i="37"/>
  <c r="BA29" i="37" s="1"/>
  <c r="AD10" i="34"/>
  <c r="CA44" i="34"/>
  <c r="CB44" i="34" s="1"/>
  <c r="CY44" i="34" s="1"/>
  <c r="FD23" i="37"/>
  <c r="EE23" i="37"/>
  <c r="FH23" i="37" s="1"/>
  <c r="EL27" i="37"/>
  <c r="AB12" i="34"/>
  <c r="CA46" i="34" s="1"/>
  <c r="DU26" i="37"/>
  <c r="FB19" i="37"/>
  <c r="ER25" i="37"/>
  <c r="ES25" i="37" s="1"/>
  <c r="CB51" i="34"/>
  <c r="CO51" i="34" s="1"/>
  <c r="AA16" i="34"/>
  <c r="AE16" i="34" s="1"/>
  <c r="CN52" i="34"/>
  <c r="CI49" i="34"/>
  <c r="CH50" i="34"/>
  <c r="CR44" i="34"/>
  <c r="CR45" i="34" s="1"/>
  <c r="CS45" i="34" s="1"/>
  <c r="DH20" i="33"/>
  <c r="C204" i="33"/>
  <c r="DU19" i="33"/>
  <c r="C189" i="33"/>
  <c r="EA21" i="33"/>
  <c r="DI19" i="32"/>
  <c r="DH20" i="32"/>
  <c r="DF15" i="35" l="1"/>
  <c r="DE16" i="35"/>
  <c r="AZ18" i="34"/>
  <c r="BC18" i="34" s="1"/>
  <c r="DV28" i="37"/>
  <c r="AW29" i="37" s="1"/>
  <c r="BA38" i="37"/>
  <c r="EE36" i="37" s="1"/>
  <c r="EB32" i="37"/>
  <c r="ET32" i="37" s="1"/>
  <c r="BQ31" i="37"/>
  <c r="EN31" i="37" s="1"/>
  <c r="Y232" i="37"/>
  <c r="EJ32" i="37"/>
  <c r="EL34" i="37" s="1"/>
  <c r="AS29" i="37"/>
  <c r="FH25" i="37" s="1"/>
  <c r="DT26" i="37"/>
  <c r="AG29" i="37" s="1"/>
  <c r="AS38" i="37"/>
  <c r="EE34" i="37" s="1"/>
  <c r="CP26" i="33"/>
  <c r="AB26" i="33" s="1"/>
  <c r="EB26" i="33" s="1"/>
  <c r="DT37" i="37"/>
  <c r="AG38" i="37" s="1"/>
  <c r="EX40" i="37" s="1"/>
  <c r="DV37" i="37"/>
  <c r="AW38" i="37" s="1"/>
  <c r="EE35" i="37" s="1"/>
  <c r="CY22" i="32"/>
  <c r="CZ22" i="32" s="1"/>
  <c r="O22" i="33"/>
  <c r="DI21" i="33" s="1"/>
  <c r="DD21" i="33"/>
  <c r="DH22" i="33" s="1"/>
  <c r="BX46" i="34"/>
  <c r="CT46" i="34" s="1"/>
  <c r="CZ69" i="34" s="1"/>
  <c r="DB19" i="33"/>
  <c r="DC19" i="33" s="1"/>
  <c r="C191" i="33" s="1"/>
  <c r="Q191" i="33" s="1"/>
  <c r="CO22" i="33"/>
  <c r="T22" i="33" s="1"/>
  <c r="DW22" i="33" s="1"/>
  <c r="EA26" i="33" s="1"/>
  <c r="CB53" i="34"/>
  <c r="CO53" i="34" s="1"/>
  <c r="CN22" i="33"/>
  <c r="CB56" i="34"/>
  <c r="CO56" i="34" s="1"/>
  <c r="AC229" i="42"/>
  <c r="AC183" i="42"/>
  <c r="X183" i="42" s="1"/>
  <c r="AC136" i="42"/>
  <c r="X136" i="42" s="1"/>
  <c r="X182" i="42"/>
  <c r="EJ40" i="37"/>
  <c r="BQ40" i="37"/>
  <c r="EN40" i="37" s="1"/>
  <c r="H28" i="36"/>
  <c r="DA22" i="36" s="1"/>
  <c r="BZ28" i="36"/>
  <c r="CB19" i="36"/>
  <c r="CA19" i="36"/>
  <c r="AT19" i="36" s="1"/>
  <c r="DJ13" i="36" s="1"/>
  <c r="Y234" i="37"/>
  <c r="EB41" i="37"/>
  <c r="ET41" i="37" s="1"/>
  <c r="EX41" i="37"/>
  <c r="EJ41" i="37"/>
  <c r="BQ41" i="37"/>
  <c r="EN41" i="37" s="1"/>
  <c r="EH26" i="37"/>
  <c r="EI26" i="37" s="1"/>
  <c r="C308" i="37" s="1"/>
  <c r="CT27" i="36"/>
  <c r="DS39" i="36" s="1"/>
  <c r="DV39" i="36"/>
  <c r="CZ74" i="34"/>
  <c r="DC14" i="36"/>
  <c r="DC13" i="36"/>
  <c r="CY13" i="36" s="1"/>
  <c r="CZ13" i="36" s="1"/>
  <c r="EL31" i="37"/>
  <c r="CZ68" i="34"/>
  <c r="FC19" i="37"/>
  <c r="FB20" i="37"/>
  <c r="FF23" i="37"/>
  <c r="ER26" i="37"/>
  <c r="CZ77" i="34"/>
  <c r="ED27" i="37"/>
  <c r="FD27" i="37" s="1"/>
  <c r="FH27" i="37"/>
  <c r="AK232" i="37"/>
  <c r="CZ51" i="34"/>
  <c r="CI50" i="34"/>
  <c r="CH51" i="34"/>
  <c r="CI51" i="34" s="1"/>
  <c r="CZ75" i="34"/>
  <c r="CZ71" i="34"/>
  <c r="CS44" i="34"/>
  <c r="Q190" i="33"/>
  <c r="Q189" i="33"/>
  <c r="DV19" i="33"/>
  <c r="DU20" i="33"/>
  <c r="DV20" i="33" s="1"/>
  <c r="Q204" i="33"/>
  <c r="DB20" i="33"/>
  <c r="DC20" i="33" s="1"/>
  <c r="DI20" i="32"/>
  <c r="DH21" i="32"/>
  <c r="DE17" i="35" l="1"/>
  <c r="DF16" i="35"/>
  <c r="ED36" i="37"/>
  <c r="FD36" i="37" s="1"/>
  <c r="AE22" i="34"/>
  <c r="CZ76" i="34"/>
  <c r="CX46" i="34"/>
  <c r="CZ46" i="34" s="1"/>
  <c r="CZ45" i="34"/>
  <c r="EL35" i="37"/>
  <c r="BX56" i="34"/>
  <c r="CJ56" i="34" s="1"/>
  <c r="CZ44" i="34"/>
  <c r="Y45" i="34" s="1"/>
  <c r="ED34" i="37"/>
  <c r="FD34" i="37" s="1"/>
  <c r="AK234" i="37"/>
  <c r="FH36" i="37"/>
  <c r="AH234" i="37"/>
  <c r="FH35" i="37"/>
  <c r="EL32" i="37"/>
  <c r="EL37" i="37"/>
  <c r="EL39" i="37"/>
  <c r="EL38" i="37"/>
  <c r="AH232" i="37"/>
  <c r="ED26" i="37"/>
  <c r="FD26" i="37" s="1"/>
  <c r="FH26" i="37"/>
  <c r="AE234" i="37"/>
  <c r="FH34" i="37"/>
  <c r="V235" i="37"/>
  <c r="EB40" i="37"/>
  <c r="ET40" i="37" s="1"/>
  <c r="ED25" i="37"/>
  <c r="FD25" i="37" s="1"/>
  <c r="FF25" i="37" s="1"/>
  <c r="AE232" i="37"/>
  <c r="EL36" i="37"/>
  <c r="AL308" i="37"/>
  <c r="BX53" i="34"/>
  <c r="CJ53" i="34" s="1"/>
  <c r="CN58" i="34" s="1"/>
  <c r="DH28" i="33"/>
  <c r="DH26" i="33"/>
  <c r="DH21" i="33"/>
  <c r="DB21" i="33" s="1"/>
  <c r="DC21" i="33" s="1"/>
  <c r="ED35" i="37"/>
  <c r="FD35" i="37" s="1"/>
  <c r="DH27" i="33"/>
  <c r="DH25" i="33"/>
  <c r="EL41" i="37"/>
  <c r="V234" i="37"/>
  <c r="CB235" i="37"/>
  <c r="AV235" i="37" s="1"/>
  <c r="CD235" i="37"/>
  <c r="AZ235" i="37" s="1"/>
  <c r="DF38" i="37"/>
  <c r="T41" i="37" s="1"/>
  <c r="EN35" i="37" s="1"/>
  <c r="CY23" i="32"/>
  <c r="CY24" i="32" s="1"/>
  <c r="CZ66" i="34"/>
  <c r="C327" i="37"/>
  <c r="AL327" i="37" s="1"/>
  <c r="CX63" i="34"/>
  <c r="CZ63" i="34" s="1"/>
  <c r="CZ67" i="34"/>
  <c r="CZ49" i="34"/>
  <c r="CZ57" i="34"/>
  <c r="CZ52" i="34"/>
  <c r="CZ73" i="34"/>
  <c r="CX61" i="34"/>
  <c r="CZ61" i="34" s="1"/>
  <c r="CR46" i="34"/>
  <c r="EA29" i="33"/>
  <c r="CZ48" i="34"/>
  <c r="CZ47" i="34"/>
  <c r="CZ78" i="34"/>
  <c r="CZ72" i="34"/>
  <c r="CZ55" i="34"/>
  <c r="EA22" i="33"/>
  <c r="CZ60" i="34"/>
  <c r="CZ65" i="34"/>
  <c r="EA28" i="33"/>
  <c r="EH27" i="37"/>
  <c r="EI27" i="37" s="1"/>
  <c r="CZ56" i="34"/>
  <c r="EL40" i="37"/>
  <c r="CZ70" i="34"/>
  <c r="CZ58" i="34"/>
  <c r="CZ54" i="34"/>
  <c r="CX62" i="34"/>
  <c r="CZ62" i="34" s="1"/>
  <c r="CZ53" i="34"/>
  <c r="CZ64" i="34"/>
  <c r="EA27" i="33"/>
  <c r="CZ59" i="34"/>
  <c r="CZ50" i="34"/>
  <c r="FF26" i="37"/>
  <c r="CH52" i="34"/>
  <c r="CI52" i="34" s="1"/>
  <c r="CN56" i="34"/>
  <c r="CP56" i="34" s="1"/>
  <c r="AC184" i="42"/>
  <c r="AC137" i="42"/>
  <c r="X137" i="42" s="1"/>
  <c r="AC230" i="42"/>
  <c r="X229" i="42"/>
  <c r="DC22" i="36"/>
  <c r="DC23" i="36"/>
  <c r="CY14" i="36"/>
  <c r="DL13" i="36"/>
  <c r="DH13" i="36" s="1"/>
  <c r="DI13" i="36" s="1"/>
  <c r="DL14" i="36"/>
  <c r="CB28" i="36"/>
  <c r="CA28" i="36"/>
  <c r="AT28" i="36" s="1"/>
  <c r="DJ22" i="36" s="1"/>
  <c r="FF37" i="37"/>
  <c r="FF39" i="37"/>
  <c r="FC20" i="37"/>
  <c r="FB21" i="37"/>
  <c r="EX31" i="37"/>
  <c r="EB31" i="37"/>
  <c r="ET31" i="37" s="1"/>
  <c r="CD233" i="37"/>
  <c r="AZ233" i="37" s="1"/>
  <c r="V232" i="37"/>
  <c r="CX232" i="37" s="1"/>
  <c r="BP232" i="37" s="1"/>
  <c r="CB233" i="37"/>
  <c r="AV233" i="37" s="1"/>
  <c r="V233" i="37"/>
  <c r="DF29" i="37"/>
  <c r="T32" i="37" s="1"/>
  <c r="EN26" i="37" s="1"/>
  <c r="FF36" i="37"/>
  <c r="ES26" i="37"/>
  <c r="ER27" i="37"/>
  <c r="C45" i="34"/>
  <c r="CP45" i="34"/>
  <c r="CP64" i="34"/>
  <c r="CP49" i="34"/>
  <c r="CP62" i="34"/>
  <c r="CP48" i="34"/>
  <c r="CP71" i="34"/>
  <c r="CP50" i="34"/>
  <c r="CP66" i="34"/>
  <c r="CP63" i="34"/>
  <c r="CP52" i="34"/>
  <c r="C192" i="33"/>
  <c r="C205" i="33"/>
  <c r="DU21" i="33"/>
  <c r="DV21" i="33" s="1"/>
  <c r="C206" i="33" s="1"/>
  <c r="DI21" i="32"/>
  <c r="DH22" i="32"/>
  <c r="CP44" i="34" l="1"/>
  <c r="CP76" i="34"/>
  <c r="CN60" i="34"/>
  <c r="CP68" i="34"/>
  <c r="CP77" i="34"/>
  <c r="CP74" i="34"/>
  <c r="CP46" i="34"/>
  <c r="CP51" i="34"/>
  <c r="Y29" i="34" s="1"/>
  <c r="C29" i="34" s="1"/>
  <c r="CP78" i="34"/>
  <c r="CP72" i="34"/>
  <c r="CN54" i="34"/>
  <c r="CN59" i="34"/>
  <c r="CN57" i="34"/>
  <c r="CP57" i="34" s="1"/>
  <c r="CP47" i="34"/>
  <c r="CP65" i="34"/>
  <c r="CP73" i="34"/>
  <c r="CP70" i="34"/>
  <c r="CP69" i="34"/>
  <c r="CP67" i="34"/>
  <c r="DE18" i="35"/>
  <c r="DF17" i="35"/>
  <c r="CP75" i="34"/>
  <c r="CN55" i="34"/>
  <c r="CP55" i="34" s="1"/>
  <c r="CN53" i="34"/>
  <c r="CH53" i="34" s="1"/>
  <c r="CH54" i="34" s="1"/>
  <c r="CI54" i="34" s="1"/>
  <c r="CX234" i="37"/>
  <c r="BP234" i="37" s="1"/>
  <c r="BS234" i="37" s="1"/>
  <c r="FF34" i="37"/>
  <c r="FF40" i="37"/>
  <c r="FF28" i="37"/>
  <c r="FF31" i="37"/>
  <c r="FF29" i="37"/>
  <c r="FF27" i="37"/>
  <c r="FF30" i="37"/>
  <c r="FF35" i="37"/>
  <c r="FF38" i="37"/>
  <c r="EH28" i="37"/>
  <c r="EI28" i="37" s="1"/>
  <c r="CZ23" i="32"/>
  <c r="CX235" i="37"/>
  <c r="DB22" i="33"/>
  <c r="DC22" i="33" s="1"/>
  <c r="DH14" i="36"/>
  <c r="DI14" i="36" s="1"/>
  <c r="AC231" i="42"/>
  <c r="X231" i="42" s="1"/>
  <c r="X230" i="42"/>
  <c r="AC138" i="42"/>
  <c r="AC185" i="42"/>
  <c r="X185" i="42" s="1"/>
  <c r="X184" i="42"/>
  <c r="DL22" i="36"/>
  <c r="DL23" i="36"/>
  <c r="CY15" i="36"/>
  <c r="CZ14" i="36"/>
  <c r="DU22" i="33"/>
  <c r="DV22" i="33" s="1"/>
  <c r="CX233" i="37"/>
  <c r="BP233" i="37" s="1"/>
  <c r="BS233" i="37" s="1"/>
  <c r="ES27" i="37"/>
  <c r="ER28" i="37"/>
  <c r="BS232" i="37"/>
  <c r="EV31" i="37"/>
  <c r="EV39" i="37"/>
  <c r="EV35" i="37"/>
  <c r="EV37" i="37"/>
  <c r="EV41" i="37"/>
  <c r="EV38" i="37"/>
  <c r="EV34" i="37"/>
  <c r="EV36" i="37"/>
  <c r="EV40" i="37"/>
  <c r="EV32" i="37"/>
  <c r="FC21" i="37"/>
  <c r="FB22" i="37"/>
  <c r="CP60" i="34"/>
  <c r="CP58" i="34"/>
  <c r="AL45" i="34"/>
  <c r="CS46" i="34"/>
  <c r="CR47" i="34"/>
  <c r="CP59" i="34"/>
  <c r="CP54" i="34"/>
  <c r="C193" i="33"/>
  <c r="Q206" i="33"/>
  <c r="Q192" i="33"/>
  <c r="Q205" i="33"/>
  <c r="DI22" i="32"/>
  <c r="DH23" i="32"/>
  <c r="CZ24" i="32"/>
  <c r="CY25" i="32"/>
  <c r="DF18" i="35" l="1"/>
  <c r="DE19" i="35"/>
  <c r="DF19" i="35" s="1"/>
  <c r="AL29" i="34"/>
  <c r="BP235" i="37"/>
  <c r="BS235" i="37" s="1"/>
  <c r="CP53" i="34"/>
  <c r="EH29" i="37"/>
  <c r="EI29" i="37" s="1"/>
  <c r="DB23" i="33"/>
  <c r="DC23" i="33" s="1"/>
  <c r="DH15" i="36"/>
  <c r="DH16" i="36" s="1"/>
  <c r="DU23" i="33"/>
  <c r="DV23" i="33" s="1"/>
  <c r="AC139" i="42"/>
  <c r="X139" i="42"/>
  <c r="AC186" i="42"/>
  <c r="X186" i="42" s="1"/>
  <c r="X138" i="42"/>
  <c r="AC232" i="42"/>
  <c r="X232" i="42" s="1"/>
  <c r="CY16" i="36"/>
  <c r="CZ15" i="36"/>
  <c r="CH55" i="34"/>
  <c r="CI55" i="34" s="1"/>
  <c r="FC22" i="37"/>
  <c r="FB23" i="37"/>
  <c r="ES28" i="37"/>
  <c r="ER29" i="37"/>
  <c r="CI53" i="34"/>
  <c r="CS47" i="34"/>
  <c r="CR48" i="34"/>
  <c r="Q193" i="33"/>
  <c r="C194" i="33"/>
  <c r="DI23" i="32"/>
  <c r="DH24" i="32"/>
  <c r="CZ25" i="32"/>
  <c r="CY26" i="32"/>
  <c r="EH30" i="37" l="1"/>
  <c r="EI30" i="37" s="1"/>
  <c r="DI15" i="36"/>
  <c r="DU24" i="33"/>
  <c r="DV24" i="33" s="1"/>
  <c r="DB24" i="33"/>
  <c r="DC24" i="33" s="1"/>
  <c r="CH56" i="34"/>
  <c r="CH57" i="34" s="1"/>
  <c r="AC187" i="42"/>
  <c r="X187" i="42" s="1"/>
  <c r="AC233" i="42"/>
  <c r="AC140" i="42"/>
  <c r="X140" i="42" s="1"/>
  <c r="CZ16" i="36"/>
  <c r="CY17" i="36"/>
  <c r="DH17" i="36"/>
  <c r="DI16" i="36"/>
  <c r="ES29" i="37"/>
  <c r="ER30" i="37"/>
  <c r="FC23" i="37"/>
  <c r="FB24" i="37"/>
  <c r="CS48" i="34"/>
  <c r="CR49" i="34"/>
  <c r="Q194" i="33"/>
  <c r="DI24" i="32"/>
  <c r="DH25" i="32"/>
  <c r="CZ26" i="32"/>
  <c r="CY27" i="32"/>
  <c r="EH31" i="37" l="1"/>
  <c r="EI31" i="37" s="1"/>
  <c r="DU25" i="33"/>
  <c r="DV25" i="33" s="1"/>
  <c r="DB25" i="33"/>
  <c r="DC25" i="33" s="1"/>
  <c r="CI56" i="34"/>
  <c r="AC234" i="42"/>
  <c r="X234" i="42" s="1"/>
  <c r="X233" i="42"/>
  <c r="AC141" i="42"/>
  <c r="AC188" i="42"/>
  <c r="DI17" i="36"/>
  <c r="DH18" i="36"/>
  <c r="CZ17" i="36"/>
  <c r="CY18" i="36"/>
  <c r="FC24" i="37"/>
  <c r="FB25" i="37"/>
  <c r="ES30" i="37"/>
  <c r="ER31" i="37"/>
  <c r="CI57" i="34"/>
  <c r="CH58" i="34"/>
  <c r="CR50" i="34"/>
  <c r="CS49" i="34"/>
  <c r="CZ27" i="32"/>
  <c r="CY28" i="32"/>
  <c r="DI25" i="32"/>
  <c r="DH26" i="32"/>
  <c r="DU26" i="33" l="1"/>
  <c r="DV26" i="33" s="1"/>
  <c r="EH32" i="37"/>
  <c r="EH33" i="37" s="1"/>
  <c r="DB26" i="33"/>
  <c r="DC26" i="33" s="1"/>
  <c r="AC142" i="42"/>
  <c r="X142" i="42"/>
  <c r="X141" i="42"/>
  <c r="AC189" i="42"/>
  <c r="X188" i="42"/>
  <c r="AC235" i="42"/>
  <c r="CZ18" i="36"/>
  <c r="CY19" i="36"/>
  <c r="DH19" i="36"/>
  <c r="DI18" i="36"/>
  <c r="FC25" i="37"/>
  <c r="FB26" i="37"/>
  <c r="ES31" i="37"/>
  <c r="ER32" i="37"/>
  <c r="CS50" i="34"/>
  <c r="CR51" i="34"/>
  <c r="CI58" i="34"/>
  <c r="CH59" i="34"/>
  <c r="CZ28" i="32"/>
  <c r="CY29" i="32"/>
  <c r="DI26" i="32"/>
  <c r="DH27" i="32"/>
  <c r="EI32" i="37" l="1"/>
  <c r="DU27" i="33"/>
  <c r="DV27" i="33" s="1"/>
  <c r="DB27" i="33"/>
  <c r="DC27" i="33" s="1"/>
  <c r="AC236" i="42"/>
  <c r="X236" i="42" s="1"/>
  <c r="X235" i="42"/>
  <c r="AC190" i="42"/>
  <c r="X190" i="42" s="1"/>
  <c r="X189" i="42"/>
  <c r="AC143" i="42"/>
  <c r="X143" i="42"/>
  <c r="CY20" i="36"/>
  <c r="CZ19" i="36"/>
  <c r="DH20" i="36"/>
  <c r="DI19" i="36"/>
  <c r="FC26" i="37"/>
  <c r="FB27" i="37"/>
  <c r="ES32" i="37"/>
  <c r="ER33" i="37"/>
  <c r="EI33" i="37"/>
  <c r="EH34" i="37"/>
  <c r="CR52" i="34"/>
  <c r="CS51" i="34"/>
  <c r="CI59" i="34"/>
  <c r="CH60" i="34"/>
  <c r="DI27" i="32"/>
  <c r="DH28" i="32"/>
  <c r="CZ29" i="32"/>
  <c r="CY30" i="32"/>
  <c r="DU28" i="33" l="1"/>
  <c r="DV28" i="33" s="1"/>
  <c r="DB28" i="33"/>
  <c r="DC28" i="33" s="1"/>
  <c r="AC191" i="42"/>
  <c r="X191" i="42" s="1"/>
  <c r="AC144" i="42"/>
  <c r="AC237" i="42"/>
  <c r="X237" i="42" s="1"/>
  <c r="DI20" i="36"/>
  <c r="DH22" i="36"/>
  <c r="CZ20" i="36"/>
  <c r="CY22" i="36"/>
  <c r="FC27" i="37"/>
  <c r="FB28" i="37"/>
  <c r="EI34" i="37"/>
  <c r="EH35" i="37"/>
  <c r="ES33" i="37"/>
  <c r="ER34" i="37"/>
  <c r="CS52" i="34"/>
  <c r="CR53" i="34"/>
  <c r="CI60" i="34"/>
  <c r="CH61" i="34"/>
  <c r="CZ30" i="32"/>
  <c r="CY31" i="32"/>
  <c r="DI28" i="32"/>
  <c r="DH29" i="32"/>
  <c r="DU29" i="33" l="1"/>
  <c r="DV29" i="33" s="1"/>
  <c r="AC145" i="42"/>
  <c r="X144" i="42"/>
  <c r="AC238" i="42"/>
  <c r="X238" i="42" s="1"/>
  <c r="AC192" i="42"/>
  <c r="X192" i="42" s="1"/>
  <c r="DI22" i="36"/>
  <c r="DH23" i="36"/>
  <c r="CZ22" i="36"/>
  <c r="CY23" i="36"/>
  <c r="ES34" i="37"/>
  <c r="ER35" i="37"/>
  <c r="EI35" i="37"/>
  <c r="EH36" i="37"/>
  <c r="FC28" i="37"/>
  <c r="FB29" i="37"/>
  <c r="CS53" i="34"/>
  <c r="CR54" i="34"/>
  <c r="CI61" i="34"/>
  <c r="CH62" i="34"/>
  <c r="DI29" i="32"/>
  <c r="DH30" i="32"/>
  <c r="CZ31" i="32"/>
  <c r="CY32" i="32"/>
  <c r="AC239" i="42" l="1"/>
  <c r="AC146" i="42"/>
  <c r="X146" i="42" s="1"/>
  <c r="AC193" i="42"/>
  <c r="X193" i="42" s="1"/>
  <c r="X145" i="42"/>
  <c r="CY24" i="36"/>
  <c r="CZ23" i="36"/>
  <c r="DI23" i="36"/>
  <c r="DH24" i="36"/>
  <c r="EI36" i="37"/>
  <c r="EH37" i="37"/>
  <c r="ES35" i="37"/>
  <c r="ER36" i="37"/>
  <c r="FC29" i="37"/>
  <c r="FB30" i="37"/>
  <c r="CI62" i="34"/>
  <c r="CH63" i="34"/>
  <c r="CI63" i="34" s="1"/>
  <c r="CS54" i="34"/>
  <c r="CR55" i="34"/>
  <c r="CZ32" i="32"/>
  <c r="DI30" i="32"/>
  <c r="DH31" i="32"/>
  <c r="AC147" i="42" l="1"/>
  <c r="AC240" i="42"/>
  <c r="X240" i="42" s="1"/>
  <c r="AC194" i="42"/>
  <c r="X194" i="42" s="1"/>
  <c r="X239" i="42"/>
  <c r="DI24" i="36"/>
  <c r="DH25" i="36"/>
  <c r="CZ24" i="36"/>
  <c r="CY25" i="36"/>
  <c r="ES36" i="37"/>
  <c r="ER37" i="37"/>
  <c r="EI37" i="37"/>
  <c r="EH38" i="37"/>
  <c r="FC30" i="37"/>
  <c r="FB31" i="37"/>
  <c r="Y31" i="34"/>
  <c r="Y37" i="34"/>
  <c r="Y32" i="34"/>
  <c r="Y30" i="34"/>
  <c r="Y38" i="34"/>
  <c r="Y42" i="34"/>
  <c r="Y35" i="34"/>
  <c r="Y39" i="34"/>
  <c r="Y41" i="34"/>
  <c r="Y36" i="34"/>
  <c r="Y33" i="34"/>
  <c r="Y40" i="34"/>
  <c r="Y43" i="34"/>
  <c r="Y34" i="34"/>
  <c r="CS55" i="34"/>
  <c r="CR56" i="34"/>
  <c r="DI31" i="32"/>
  <c r="DH32" i="32"/>
  <c r="AC241" i="42" l="1"/>
  <c r="X241" i="42" s="1"/>
  <c r="AC195" i="42"/>
  <c r="X195" i="42" s="1"/>
  <c r="AC148" i="42"/>
  <c r="X148" i="42" s="1"/>
  <c r="X147" i="42"/>
  <c r="CZ25" i="36"/>
  <c r="CY26" i="36"/>
  <c r="DI25" i="36"/>
  <c r="DH26" i="36"/>
  <c r="EI38" i="37"/>
  <c r="EH39" i="37"/>
  <c r="ES37" i="37"/>
  <c r="ER38" i="37"/>
  <c r="FB32" i="37"/>
  <c r="FC31" i="37"/>
  <c r="C32" i="34"/>
  <c r="AW43" i="34"/>
  <c r="BH43" i="34"/>
  <c r="BN43" i="34"/>
  <c r="C43" i="34"/>
  <c r="AP43" i="34"/>
  <c r="AL43" i="34"/>
  <c r="AL40" i="34"/>
  <c r="AW40" i="34"/>
  <c r="C40" i="34"/>
  <c r="BH40" i="34"/>
  <c r="BN40" i="34"/>
  <c r="AP40" i="34"/>
  <c r="C33" i="34"/>
  <c r="AL33" i="34" s="1"/>
  <c r="C41" i="34"/>
  <c r="AL41" i="34"/>
  <c r="BH41" i="34"/>
  <c r="AW41" i="34"/>
  <c r="BN41" i="34"/>
  <c r="AP41" i="34"/>
  <c r="C31" i="34"/>
  <c r="BN42" i="34"/>
  <c r="C42" i="34"/>
  <c r="AP42" i="34"/>
  <c r="AL42" i="34"/>
  <c r="AW42" i="34"/>
  <c r="BH42" i="34"/>
  <c r="BN38" i="34"/>
  <c r="C38" i="34"/>
  <c r="AP38" i="34"/>
  <c r="AL38" i="34"/>
  <c r="BH38" i="34"/>
  <c r="AW38" i="34"/>
  <c r="AL36" i="34"/>
  <c r="AP36" i="34"/>
  <c r="AW36" i="34"/>
  <c r="C36" i="34"/>
  <c r="BH36" i="34"/>
  <c r="BN36" i="34"/>
  <c r="CS56" i="34"/>
  <c r="CR57" i="34"/>
  <c r="AW39" i="34"/>
  <c r="BN39" i="34"/>
  <c r="AL39" i="34"/>
  <c r="AP39" i="34"/>
  <c r="BH39" i="34"/>
  <c r="C39" i="34"/>
  <c r="C34" i="34"/>
  <c r="AL34" i="34" s="1"/>
  <c r="C30" i="34"/>
  <c r="C37" i="34"/>
  <c r="AL37" i="34"/>
  <c r="BH37" i="34"/>
  <c r="AP37" i="34"/>
  <c r="AW37" i="34"/>
  <c r="BN37" i="34"/>
  <c r="AW35" i="34"/>
  <c r="BH35" i="34"/>
  <c r="BN35" i="34"/>
  <c r="AL35" i="34"/>
  <c r="AP35" i="34"/>
  <c r="C35" i="34"/>
  <c r="DI32" i="32"/>
  <c r="AL31" i="34" l="1"/>
  <c r="AC196" i="42"/>
  <c r="AC149" i="42"/>
  <c r="X149" i="42" s="1"/>
  <c r="AC242" i="42"/>
  <c r="X242" i="42"/>
  <c r="AL30" i="34"/>
  <c r="AL32" i="34"/>
  <c r="DI26" i="36"/>
  <c r="DH27" i="36"/>
  <c r="CY27" i="36"/>
  <c r="CZ26" i="36"/>
  <c r="FC32" i="37"/>
  <c r="FB33" i="37"/>
  <c r="ES38" i="37"/>
  <c r="ER39" i="37"/>
  <c r="EI39" i="37"/>
  <c r="EH40" i="37"/>
  <c r="CS57" i="34"/>
  <c r="CR58" i="34"/>
  <c r="AC150" i="42" l="1"/>
  <c r="AC243" i="42"/>
  <c r="X243" i="42" s="1"/>
  <c r="AC197" i="42"/>
  <c r="X197" i="42" s="1"/>
  <c r="X196" i="42"/>
  <c r="CY28" i="36"/>
  <c r="CZ27" i="36"/>
  <c r="DI27" i="36"/>
  <c r="DH28" i="36"/>
  <c r="EI40" i="37"/>
  <c r="EH41" i="37"/>
  <c r="ES39" i="37"/>
  <c r="ER40" i="37"/>
  <c r="FC33" i="37"/>
  <c r="FB34" i="37"/>
  <c r="CS58" i="34"/>
  <c r="CR59" i="34"/>
  <c r="AC151" i="42" l="1"/>
  <c r="X151" i="42"/>
  <c r="X198" i="42"/>
  <c r="AC198" i="42"/>
  <c r="AC244" i="42"/>
  <c r="X150" i="42"/>
  <c r="DI28" i="36"/>
  <c r="DH29" i="36"/>
  <c r="DI29" i="36" s="1"/>
  <c r="CZ28" i="36"/>
  <c r="CY29" i="36"/>
  <c r="ES40" i="37"/>
  <c r="ER41" i="37"/>
  <c r="FC34" i="37"/>
  <c r="FB35" i="37"/>
  <c r="EI41" i="37"/>
  <c r="EH42" i="37"/>
  <c r="CR60" i="34"/>
  <c r="CS59" i="34"/>
  <c r="AC245" i="42" l="1"/>
  <c r="X244" i="42"/>
  <c r="AC199" i="42"/>
  <c r="AC152" i="42"/>
  <c r="X152" i="42"/>
  <c r="CS60" i="34"/>
  <c r="CR61" i="34"/>
  <c r="CZ29" i="36"/>
  <c r="EI42" i="37"/>
  <c r="ES41" i="37"/>
  <c r="ER42" i="37"/>
  <c r="FC35" i="37"/>
  <c r="FB36" i="37"/>
  <c r="AC200" i="42" l="1"/>
  <c r="X200" i="42" s="1"/>
  <c r="AC246" i="42"/>
  <c r="X246" i="42" s="1"/>
  <c r="AC153" i="42"/>
  <c r="X153" i="42" s="1"/>
  <c r="X199" i="42"/>
  <c r="X245" i="42"/>
  <c r="CS61" i="34"/>
  <c r="CR62" i="34"/>
  <c r="FC36" i="37"/>
  <c r="FB37" i="37"/>
  <c r="ES42" i="37"/>
  <c r="AC247" i="42" l="1"/>
  <c r="X247" i="42"/>
  <c r="AC154" i="42"/>
  <c r="X154" i="42" s="1"/>
  <c r="AC201" i="42"/>
  <c r="CS62" i="34"/>
  <c r="CR63" i="34"/>
  <c r="FC37" i="37"/>
  <c r="FB38" i="37"/>
  <c r="AC202" i="42" l="1"/>
  <c r="X202" i="42" s="1"/>
  <c r="X201" i="42"/>
  <c r="AC155" i="42"/>
  <c r="X155" i="42" s="1"/>
  <c r="AC248" i="42"/>
  <c r="X248" i="42" s="1"/>
  <c r="CS63" i="34"/>
  <c r="CR64" i="34"/>
  <c r="FC38" i="37"/>
  <c r="FB39" i="37"/>
  <c r="Y48" i="34"/>
  <c r="AC156" i="42" l="1"/>
  <c r="X156" i="42"/>
  <c r="AC249" i="42"/>
  <c r="AC203" i="42"/>
  <c r="X203" i="42" s="1"/>
  <c r="CS64" i="34"/>
  <c r="CR65" i="34"/>
  <c r="FC39" i="37"/>
  <c r="FB40" i="37"/>
  <c r="C48" i="34"/>
  <c r="AC204" i="42" l="1"/>
  <c r="AC250" i="42"/>
  <c r="X249" i="42"/>
  <c r="AC157" i="42"/>
  <c r="AL48" i="34"/>
  <c r="CS65" i="34"/>
  <c r="CR66" i="34"/>
  <c r="FB41" i="37"/>
  <c r="FC40" i="37"/>
  <c r="AC158" i="42" l="1"/>
  <c r="X158" i="42"/>
  <c r="X157" i="42"/>
  <c r="AC251" i="42"/>
  <c r="AC205" i="42"/>
  <c r="X205" i="42" s="1"/>
  <c r="X250" i="42"/>
  <c r="X204" i="42"/>
  <c r="CR67" i="34"/>
  <c r="CS66" i="34"/>
  <c r="FB42" i="37"/>
  <c r="FC41" i="37"/>
  <c r="AC252" i="42" l="1"/>
  <c r="X252" i="42"/>
  <c r="AC206" i="42"/>
  <c r="X251" i="42"/>
  <c r="AC159" i="42"/>
  <c r="CR68" i="34"/>
  <c r="CS67" i="34"/>
  <c r="FC42" i="37"/>
  <c r="AC160" i="42" l="1"/>
  <c r="X160" i="42"/>
  <c r="X159" i="42"/>
  <c r="AC207" i="42"/>
  <c r="X207" i="42" s="1"/>
  <c r="X206" i="42"/>
  <c r="AC253" i="42"/>
  <c r="X253" i="42"/>
  <c r="CR69" i="34"/>
  <c r="CS68" i="34"/>
  <c r="AC254" i="42" l="1"/>
  <c r="X254" i="42"/>
  <c r="AC208" i="42"/>
  <c r="X208" i="42" s="1"/>
  <c r="AC161" i="42"/>
  <c r="CS69" i="34"/>
  <c r="CR70" i="34"/>
  <c r="AC162" i="42" l="1"/>
  <c r="X162" i="42"/>
  <c r="X161" i="42"/>
  <c r="AC209" i="42"/>
  <c r="X209" i="42" s="1"/>
  <c r="AC255" i="42"/>
  <c r="X255" i="42" s="1"/>
  <c r="CR71" i="34"/>
  <c r="CS70" i="34"/>
  <c r="AC210" i="42" l="1"/>
  <c r="AC256" i="42"/>
  <c r="X256" i="42"/>
  <c r="AC163" i="42"/>
  <c r="CR72" i="34"/>
  <c r="CS71" i="34"/>
  <c r="AC164" i="42" l="1"/>
  <c r="AC211" i="42"/>
  <c r="X163" i="42"/>
  <c r="AC257" i="42"/>
  <c r="X257" i="42"/>
  <c r="X210" i="42"/>
  <c r="CS72" i="34"/>
  <c r="CR73" i="34"/>
  <c r="AC165" i="42" l="1"/>
  <c r="X165" i="42"/>
  <c r="AC258" i="42"/>
  <c r="X258" i="42" s="1"/>
  <c r="AC212" i="42"/>
  <c r="X211" i="42"/>
  <c r="X164" i="42"/>
  <c r="CS73" i="34"/>
  <c r="CR74" i="34"/>
  <c r="AC213" i="42" l="1"/>
  <c r="X212" i="42"/>
  <c r="AC259" i="42"/>
  <c r="AC166" i="42"/>
  <c r="CR75" i="34"/>
  <c r="CS74" i="34"/>
  <c r="AC167" i="42" l="1"/>
  <c r="X167" i="42"/>
  <c r="AC260" i="42"/>
  <c r="X260" i="42" s="1"/>
  <c r="X259" i="42"/>
  <c r="AC214" i="42"/>
  <c r="X214" i="42" s="1"/>
  <c r="X166" i="42"/>
  <c r="X213" i="42"/>
  <c r="CR76" i="34"/>
  <c r="CS75" i="34"/>
  <c r="AC261" i="42" l="1"/>
  <c r="X261" i="42"/>
  <c r="CS76" i="34"/>
  <c r="CR77" i="34"/>
  <c r="CS77" i="34" l="1"/>
  <c r="CR78" i="34"/>
  <c r="CS78" i="34" s="1"/>
  <c r="Y46" i="34" l="1"/>
  <c r="Y49" i="34"/>
  <c r="C49" i="34" s="1"/>
  <c r="AL49" i="34" s="1"/>
  <c r="Y47" i="34"/>
  <c r="Y57" i="34"/>
  <c r="Y58" i="34"/>
  <c r="Y56" i="34"/>
  <c r="Y50" i="34"/>
  <c r="Y54" i="34"/>
  <c r="Y59" i="34"/>
  <c r="Y52" i="34"/>
  <c r="Y55" i="34"/>
  <c r="Y53" i="34"/>
  <c r="Y51" i="34"/>
  <c r="C46" i="34" l="1"/>
  <c r="AL46" i="34" s="1"/>
  <c r="BH52" i="34"/>
  <c r="AL52" i="34"/>
  <c r="AP52" i="34"/>
  <c r="AW52" i="34"/>
  <c r="BN52" i="34"/>
  <c r="C52" i="34"/>
  <c r="AW50" i="34"/>
  <c r="AL50" i="34"/>
  <c r="C50" i="34"/>
  <c r="AP50" i="34"/>
  <c r="BN50" i="34"/>
  <c r="BH50" i="34"/>
  <c r="AW54" i="34"/>
  <c r="AL54" i="34"/>
  <c r="C54" i="34"/>
  <c r="AP54" i="34"/>
  <c r="BH54" i="34"/>
  <c r="BN54" i="34"/>
  <c r="AL56" i="34"/>
  <c r="AP56" i="34"/>
  <c r="BN56" i="34"/>
  <c r="C56" i="34"/>
  <c r="AW56" i="34"/>
  <c r="BH56" i="34"/>
  <c r="AL51" i="34"/>
  <c r="BH51" i="34"/>
  <c r="BN51" i="34"/>
  <c r="AP51" i="34"/>
  <c r="AW51" i="34"/>
  <c r="C51" i="34"/>
  <c r="AP58" i="34"/>
  <c r="BH58" i="34"/>
  <c r="BN58" i="34"/>
  <c r="C58" i="34"/>
  <c r="AL58" i="34"/>
  <c r="AW58" i="34"/>
  <c r="BH59" i="34"/>
  <c r="BN59" i="34"/>
  <c r="AL59" i="34"/>
  <c r="C59" i="34"/>
  <c r="AP59" i="34"/>
  <c r="AW59" i="34"/>
  <c r="BH53" i="34"/>
  <c r="AW53" i="34"/>
  <c r="AL53" i="34"/>
  <c r="C53" i="34"/>
  <c r="BN53" i="34"/>
  <c r="AP53" i="34"/>
  <c r="AL57" i="34"/>
  <c r="AP57" i="34"/>
  <c r="BN57" i="34"/>
  <c r="AW57" i="34"/>
  <c r="BH57" i="34"/>
  <c r="C57" i="34"/>
  <c r="AP55" i="34"/>
  <c r="AW55" i="34"/>
  <c r="AL55" i="34"/>
  <c r="C55" i="34"/>
  <c r="BH55" i="34"/>
  <c r="BN55" i="34"/>
  <c r="C47" i="34"/>
  <c r="AL47" i="34" l="1"/>
  <c r="BV25" i="32" l="1"/>
  <c r="BW25" i="32" s="1"/>
  <c r="AX30" i="33"/>
  <c r="AD26" i="36"/>
  <c r="CC25" i="36" s="1"/>
  <c r="CD25" i="36" s="1"/>
  <c r="AD17" i="36"/>
  <c r="CC16" i="36" s="1"/>
  <c r="CD16" i="36" s="1"/>
  <c r="AX22" i="33"/>
  <c r="BV19" i="32"/>
  <c r="BW19" i="32" s="1"/>
  <c r="BZ18" i="32" l="1"/>
  <c r="S19" i="32" s="1"/>
  <c r="DF17" i="32" s="1"/>
  <c r="BZ19" i="32"/>
  <c r="CB21" i="32"/>
  <c r="AM20" i="32" s="1"/>
  <c r="DF20" i="32" s="1"/>
  <c r="CG17" i="36"/>
  <c r="CG26" i="36"/>
  <c r="AN26" i="33"/>
  <c r="CL25" i="33"/>
  <c r="CN26" i="33" s="1"/>
  <c r="AN29" i="33"/>
  <c r="CY24" i="33" s="1"/>
  <c r="AN18" i="33"/>
  <c r="CL17" i="33"/>
  <c r="CN18" i="33" s="1"/>
  <c r="AN21" i="33"/>
  <c r="CY16" i="33" s="1"/>
  <c r="CB27" i="32"/>
  <c r="AM26" i="32" s="1"/>
  <c r="DF28" i="32" s="1"/>
  <c r="BZ25" i="32"/>
  <c r="BZ24" i="32"/>
  <c r="S25" i="32" s="1"/>
  <c r="DF25" i="32" s="1"/>
  <c r="DR28" i="33" l="1"/>
  <c r="DM28" i="33"/>
  <c r="CU25" i="33"/>
  <c r="CM27" i="33"/>
  <c r="CM26" i="33" s="1"/>
  <c r="O26" i="33" s="1"/>
  <c r="DI25" i="33" s="1"/>
  <c r="CU17" i="33"/>
  <c r="CM19" i="33"/>
  <c r="DR20" i="33"/>
  <c r="DM20" i="33"/>
  <c r="CM18" i="33" l="1"/>
  <c r="O18" i="33" s="1"/>
  <c r="DI17" i="33" s="1"/>
  <c r="CP18" i="33"/>
  <c r="AB18" i="33" s="1"/>
  <c r="EB18" i="33" s="1"/>
  <c r="DM17" i="33"/>
  <c r="DR17" i="33"/>
  <c r="DR25" i="33"/>
  <c r="DM25" i="33"/>
  <c r="DQ25" i="33" l="1"/>
  <c r="DQ19" i="33"/>
  <c r="DQ17" i="33"/>
  <c r="DQ18" i="33"/>
  <c r="DQ24" i="33"/>
  <c r="DQ27" i="33"/>
  <c r="DQ29" i="33"/>
  <c r="DQ22" i="33"/>
  <c r="DQ21" i="33"/>
  <c r="DQ31" i="33"/>
  <c r="DQ32" i="33"/>
  <c r="DQ30" i="33"/>
  <c r="DQ23" i="33"/>
  <c r="DQ28" i="33"/>
  <c r="DQ20" i="33"/>
  <c r="DQ26" i="33"/>
  <c r="DK17" i="33" l="1"/>
  <c r="DL17" i="33" s="1"/>
  <c r="DK18" i="33" l="1"/>
  <c r="DL18" i="33" l="1"/>
  <c r="DK19" i="33"/>
  <c r="DL19" i="33" l="1"/>
  <c r="C217" i="33" s="1"/>
  <c r="Q217" i="33" s="1"/>
  <c r="DK20" i="33"/>
  <c r="C216" i="33"/>
  <c r="Q216" i="33" s="1"/>
  <c r="DL20" i="33" l="1"/>
  <c r="DK21" i="33"/>
  <c r="DL21" i="33" l="1"/>
  <c r="DK22" i="33"/>
  <c r="DL22" i="33" l="1"/>
  <c r="DK23" i="33"/>
  <c r="DL23" i="33" l="1"/>
  <c r="DK24" i="33"/>
  <c r="DL24" i="33" l="1"/>
  <c r="DK25" i="33"/>
  <c r="DL25" i="33" l="1"/>
  <c r="DK26" i="33"/>
  <c r="DL26" i="33" l="1"/>
  <c r="DK27" i="33"/>
  <c r="DL27" i="33" l="1"/>
  <c r="DK28" i="33"/>
  <c r="DL28" i="33" l="1"/>
  <c r="DK29" i="33"/>
  <c r="DL29" i="33" l="1"/>
  <c r="DK30" i="33"/>
  <c r="DL30" i="33" l="1"/>
  <c r="DK31" i="33"/>
  <c r="DL31" i="33" l="1"/>
  <c r="DK32" i="33"/>
  <c r="DL32" i="33" l="1"/>
  <c r="BG28" i="34" l="1"/>
  <c r="AH189" i="33"/>
  <c r="AH164" i="32"/>
  <c r="BG29" i="34"/>
  <c r="AH232" i="36"/>
  <c r="BG239" i="35"/>
  <c r="AH231" i="36" l="1"/>
  <c r="AP29" i="34"/>
  <c r="AW29" i="34" s="1"/>
  <c r="AP45" i="34"/>
  <c r="AW45" i="34" s="1"/>
  <c r="AP46" i="34"/>
  <c r="AW46" i="34" s="1"/>
  <c r="AP32" i="34"/>
  <c r="AW32" i="34" s="1"/>
  <c r="AP33" i="34"/>
  <c r="AW33" i="34" s="1"/>
  <c r="AP31" i="34"/>
  <c r="AW31" i="34" s="1"/>
  <c r="AP30" i="34"/>
  <c r="AW30" i="34" s="1"/>
  <c r="AP34" i="34"/>
  <c r="AW34" i="34" s="1"/>
  <c r="AP49" i="34"/>
  <c r="AW49" i="34" s="1"/>
  <c r="AP48" i="34"/>
  <c r="AW48" i="34" s="1"/>
  <c r="AP47" i="34"/>
  <c r="AW47" i="34" s="1"/>
  <c r="BG327" i="37"/>
  <c r="BG308" i="37"/>
  <c r="BH308" i="37" s="1"/>
  <c r="AH188" i="33"/>
  <c r="BG307" i="37"/>
  <c r="BG326" i="37"/>
  <c r="BH259" i="35"/>
  <c r="BH261" i="35"/>
  <c r="BH260" i="35"/>
  <c r="BH258" i="35"/>
  <c r="AH163" i="32"/>
  <c r="AI189" i="33"/>
  <c r="AI190" i="33"/>
  <c r="AI204" i="33"/>
  <c r="AI191" i="33"/>
  <c r="AI206" i="33"/>
  <c r="AI192" i="33"/>
  <c r="AI205" i="33"/>
  <c r="AI193" i="33"/>
  <c r="AI216" i="33"/>
  <c r="AI217" i="33"/>
  <c r="AI194" i="33"/>
  <c r="BG238" i="35"/>
  <c r="BH45" i="34"/>
  <c r="BN45" i="34" s="1"/>
  <c r="BH29" i="34"/>
  <c r="BN29" i="34" s="1"/>
  <c r="BH46" i="34"/>
  <c r="BN46" i="34" s="1"/>
  <c r="BH33" i="34"/>
  <c r="BN33" i="34" s="1"/>
  <c r="BH31" i="34"/>
  <c r="BN31" i="34" s="1"/>
  <c r="BH34" i="34"/>
  <c r="BN34" i="34" s="1"/>
  <c r="BH30" i="34"/>
  <c r="BN30" i="34" s="1"/>
  <c r="BH32" i="34"/>
  <c r="BN32" i="34" s="1"/>
  <c r="BH48" i="34"/>
  <c r="BN48" i="34" s="1"/>
  <c r="BH49" i="34"/>
  <c r="BN49" i="34" s="1"/>
  <c r="BH47" i="34"/>
  <c r="BN47" i="34" s="1"/>
  <c r="AW44" i="34" l="1"/>
  <c r="K64" i="34" s="1"/>
  <c r="BN60" i="34"/>
  <c r="BN44" i="34"/>
  <c r="AW60" i="34"/>
  <c r="K65" i="34" s="1"/>
  <c r="T190" i="33"/>
  <c r="T189" i="33"/>
  <c r="T191" i="33"/>
  <c r="T204" i="33"/>
  <c r="T205" i="33"/>
  <c r="T192" i="33"/>
  <c r="T206" i="33"/>
  <c r="T193" i="33"/>
  <c r="T216" i="33"/>
  <c r="T217" i="33"/>
  <c r="T194" i="33"/>
  <c r="AP260" i="35"/>
  <c r="AP258" i="35"/>
  <c r="AP261" i="35"/>
  <c r="AP259" i="35"/>
  <c r="BH327" i="37"/>
  <c r="AP308" i="37"/>
  <c r="AP327" i="37"/>
  <c r="K66" i="34" l="1"/>
  <c r="K67" i="34" l="1"/>
  <c r="DJ146" i="32" l="1"/>
  <c r="W121" i="32"/>
  <c r="DA149" i="32" s="1"/>
  <c r="DJ149" i="32"/>
  <c r="DJ151" i="32"/>
  <c r="DJ150" i="32"/>
  <c r="C121" i="32"/>
  <c r="DA148" i="32" s="1"/>
  <c r="BW119" i="32"/>
  <c r="DJ153" i="32"/>
  <c r="AG122" i="32"/>
  <c r="DA153" i="32" s="1"/>
  <c r="AG119" i="32"/>
  <c r="C120" i="32"/>
  <c r="DA146" i="32" s="1"/>
  <c r="C168" i="36"/>
  <c r="BW120" i="32"/>
  <c r="C175" i="37"/>
  <c r="W120" i="32"/>
  <c r="DA147" i="32" s="1"/>
  <c r="AL119" i="32"/>
  <c r="W122" i="32"/>
  <c r="DA152" i="32" s="1"/>
  <c r="C149" i="33"/>
  <c r="C151" i="35"/>
  <c r="BX119" i="32"/>
  <c r="BZ120" i="32"/>
  <c r="CF119" i="32"/>
  <c r="CL119" i="32"/>
  <c r="AC122" i="32" s="1"/>
  <c r="DF152" i="32" s="1"/>
  <c r="S122" i="32"/>
  <c r="DF151" i="32" s="1"/>
  <c r="CB119" i="32"/>
  <c r="DJ152" i="32"/>
  <c r="BZ119" i="32"/>
  <c r="S120" i="32" s="1"/>
  <c r="DF146" i="32" s="1"/>
  <c r="CL120" i="32"/>
  <c r="DO152" i="32"/>
  <c r="I122" i="32"/>
  <c r="DF150" i="32" s="1"/>
  <c r="C122" i="32"/>
  <c r="DA150" i="32" s="1"/>
  <c r="M122" i="32"/>
  <c r="DA151" i="32" s="1"/>
  <c r="S121" i="32"/>
  <c r="DF148" i="32" s="1"/>
  <c r="C36" i="36"/>
  <c r="C47" i="37"/>
  <c r="C38" i="35"/>
  <c r="DJ38" i="32"/>
  <c r="W32" i="32"/>
  <c r="DA36" i="32" s="1"/>
  <c r="DJ36" i="32"/>
  <c r="C31" i="32"/>
  <c r="DA33" i="32" s="1"/>
  <c r="DJ37" i="32"/>
  <c r="C32" i="32"/>
  <c r="DA35" i="32" s="1"/>
  <c r="DJ40" i="32"/>
  <c r="W33" i="32"/>
  <c r="DA39" i="32" s="1"/>
  <c r="AG33" i="32"/>
  <c r="DA40" i="32" s="1"/>
  <c r="DJ33" i="32"/>
  <c r="W31" i="32"/>
  <c r="DA34" i="32" s="1"/>
  <c r="DJ39" i="32"/>
  <c r="S33" i="32"/>
  <c r="DF38" i="32" s="1"/>
  <c r="C33" i="33"/>
  <c r="I33" i="32"/>
  <c r="DF37" i="32" s="1"/>
  <c r="C61" i="32"/>
  <c r="DA73" i="32" s="1"/>
  <c r="C84" i="36"/>
  <c r="C78" i="35"/>
  <c r="W62" i="32"/>
  <c r="DA76" i="32" s="1"/>
  <c r="AG63" i="32"/>
  <c r="DA80" i="32" s="1"/>
  <c r="C62" i="32"/>
  <c r="DA75" i="32" s="1"/>
  <c r="DJ77" i="32"/>
  <c r="W63" i="32"/>
  <c r="DA79" i="32" s="1"/>
  <c r="W61" i="32"/>
  <c r="DA74" i="32" s="1"/>
  <c r="C93" i="37"/>
  <c r="DJ73" i="32"/>
  <c r="DJ76" i="32"/>
  <c r="DJ80" i="32"/>
  <c r="DJ79" i="32"/>
  <c r="S63" i="32"/>
  <c r="C73" i="33"/>
  <c r="I63" i="32"/>
  <c r="DF77" i="32" s="1"/>
  <c r="C162" i="35"/>
  <c r="AG128" i="32"/>
  <c r="DA161" i="32" s="1"/>
  <c r="W127" i="32"/>
  <c r="DA157" i="32" s="1"/>
  <c r="BW126" i="32"/>
  <c r="DJ157" i="32"/>
  <c r="C128" i="32"/>
  <c r="DA158" i="32" s="1"/>
  <c r="BW125" i="32"/>
  <c r="C127" i="32"/>
  <c r="DA156" i="32" s="1"/>
  <c r="DJ154" i="32"/>
  <c r="M128" i="32"/>
  <c r="DA159" i="32" s="1"/>
  <c r="BZ126" i="32"/>
  <c r="AM127" i="32"/>
  <c r="DF157" i="32" s="1"/>
  <c r="S127" i="32"/>
  <c r="DF156" i="32" s="1"/>
  <c r="W128" i="32"/>
  <c r="DA160" i="32" s="1"/>
  <c r="AG125" i="32"/>
  <c r="BX125" i="32"/>
  <c r="BN128" i="32"/>
  <c r="DJ158" i="32"/>
  <c r="DJ161" i="32"/>
  <c r="DJ159" i="32"/>
  <c r="C184" i="37"/>
  <c r="W126" i="32"/>
  <c r="DA155" i="32" s="1"/>
  <c r="C161" i="33"/>
  <c r="C126" i="32"/>
  <c r="DA154" i="32" s="1"/>
  <c r="AL125" i="32"/>
  <c r="BZ128" i="32" s="1"/>
  <c r="C177" i="36"/>
  <c r="CL125" i="32"/>
  <c r="S128" i="32"/>
  <c r="DF159" i="32" s="1"/>
  <c r="AC128" i="32"/>
  <c r="DF160" i="32" s="1"/>
  <c r="BZ125" i="32"/>
  <c r="AM126" i="32"/>
  <c r="DF155" i="32" s="1"/>
  <c r="CL126" i="32"/>
  <c r="S126" i="32"/>
  <c r="DF154" i="32" s="1"/>
  <c r="AM128" i="32"/>
  <c r="DF161" i="32" s="1"/>
  <c r="CF125" i="32"/>
  <c r="CB125" i="32"/>
  <c r="BN127" i="32"/>
  <c r="DO160" i="32" s="1"/>
  <c r="DJ160" i="32"/>
  <c r="I128" i="32"/>
  <c r="DF158" i="32" s="1"/>
  <c r="W109" i="32"/>
  <c r="DA133" i="32" s="1"/>
  <c r="W108" i="32"/>
  <c r="DA131" i="32" s="1"/>
  <c r="AG110" i="32"/>
  <c r="DA137" i="32" s="1"/>
  <c r="W110" i="32"/>
  <c r="DA136" i="32" s="1"/>
  <c r="C108" i="32"/>
  <c r="DA130" i="32" s="1"/>
  <c r="C157" i="37"/>
  <c r="DJ130" i="32"/>
  <c r="C109" i="32"/>
  <c r="DA132" i="32" s="1"/>
  <c r="C147" i="36"/>
  <c r="DJ135" i="32"/>
  <c r="DJ137" i="32"/>
  <c r="DJ134" i="32"/>
  <c r="C135" i="35"/>
  <c r="C133" i="33"/>
  <c r="DJ133" i="32"/>
  <c r="I110" i="32"/>
  <c r="DF134" i="32" s="1"/>
  <c r="CB107" i="32"/>
  <c r="BN109" i="32"/>
  <c r="DO136" i="32" s="1"/>
  <c r="CF107" i="32"/>
  <c r="S110" i="32"/>
  <c r="DF135" i="32" s="1"/>
  <c r="DJ136" i="32"/>
  <c r="C111" i="35"/>
  <c r="DJ110" i="32"/>
  <c r="W91" i="32"/>
  <c r="DA109" i="32" s="1"/>
  <c r="DJ111" i="32"/>
  <c r="DJ109" i="32"/>
  <c r="C91" i="32"/>
  <c r="DA108" i="32" s="1"/>
  <c r="DJ113" i="32"/>
  <c r="W90" i="32"/>
  <c r="DA107" i="32" s="1"/>
  <c r="DJ106" i="32"/>
  <c r="AG92" i="32"/>
  <c r="DA113" i="32" s="1"/>
  <c r="C120" i="36"/>
  <c r="C90" i="32"/>
  <c r="DA106" i="32" s="1"/>
  <c r="C129" i="37"/>
  <c r="C109" i="33"/>
  <c r="W92" i="32"/>
  <c r="DA112" i="32" s="1"/>
  <c r="DJ112" i="32"/>
  <c r="S92" i="32"/>
  <c r="DF111" i="32" s="1"/>
  <c r="I92" i="32"/>
  <c r="DF110" i="32" s="1"/>
  <c r="C56" i="32"/>
  <c r="DA67" i="32" s="1"/>
  <c r="DJ68" i="32"/>
  <c r="DJ65" i="32"/>
  <c r="W55" i="32"/>
  <c r="DA66" i="32" s="1"/>
  <c r="DJ72" i="32"/>
  <c r="DJ70" i="32"/>
  <c r="C55" i="32"/>
  <c r="DA65" i="32" s="1"/>
  <c r="C72" i="36"/>
  <c r="W57" i="32"/>
  <c r="DA71" i="32" s="1"/>
  <c r="C70" i="35"/>
  <c r="AG57" i="32"/>
  <c r="DA72" i="32" s="1"/>
  <c r="C84" i="37"/>
  <c r="W56" i="32"/>
  <c r="DA68" i="32" s="1"/>
  <c r="DJ69" i="32"/>
  <c r="DJ71" i="32"/>
  <c r="C65" i="33"/>
  <c r="S57" i="32"/>
  <c r="DF70" i="32" s="1"/>
  <c r="I57" i="32"/>
  <c r="DF69" i="32" s="1"/>
  <c r="AG45" i="32"/>
  <c r="DA56" i="32" s="1"/>
  <c r="W43" i="32"/>
  <c r="DA50" i="32" s="1"/>
  <c r="W45" i="32"/>
  <c r="DA55" i="32" s="1"/>
  <c r="DJ53" i="32"/>
  <c r="C44" i="32"/>
  <c r="DA51" i="32" s="1"/>
  <c r="DJ56" i="32"/>
  <c r="DJ54" i="32"/>
  <c r="C43" i="32"/>
  <c r="DA49" i="32" s="1"/>
  <c r="W44" i="32"/>
  <c r="DA52" i="32" s="1"/>
  <c r="C65" i="37"/>
  <c r="DJ49" i="32"/>
  <c r="C54" i="36"/>
  <c r="DJ52" i="32"/>
  <c r="C54" i="35"/>
  <c r="S45" i="32"/>
  <c r="DF54" i="32" s="1"/>
  <c r="DJ55" i="32"/>
  <c r="C49" i="33"/>
  <c r="I45" i="32"/>
  <c r="DF53" i="32" s="1"/>
  <c r="DJ45" i="32"/>
  <c r="W37" i="32"/>
  <c r="DA42" i="32" s="1"/>
  <c r="C46" i="35"/>
  <c r="DJ46" i="32"/>
  <c r="W38" i="32"/>
  <c r="DA44" i="32" s="1"/>
  <c r="C38" i="32"/>
  <c r="DA43" i="32" s="1"/>
  <c r="C45" i="36"/>
  <c r="W39" i="32"/>
  <c r="DA47" i="32" s="1"/>
  <c r="C56" i="37"/>
  <c r="DJ44" i="32"/>
  <c r="AG39" i="32"/>
  <c r="DA48" i="32" s="1"/>
  <c r="DJ48" i="32"/>
  <c r="DJ41" i="32"/>
  <c r="C37" i="32"/>
  <c r="DA41" i="32" s="1"/>
  <c r="S39" i="32"/>
  <c r="DF46" i="32" s="1"/>
  <c r="DJ47" i="32"/>
  <c r="C41" i="33"/>
  <c r="I39" i="32"/>
  <c r="DF45" i="32" s="1"/>
  <c r="AG134" i="32"/>
  <c r="DA171" i="32" s="1"/>
  <c r="W133" i="32"/>
  <c r="DA167" i="32" s="1"/>
  <c r="DJ167" i="32"/>
  <c r="C193" i="37"/>
  <c r="CB131" i="32"/>
  <c r="C133" i="32"/>
  <c r="DA166" i="32" s="1"/>
  <c r="C132" i="32"/>
  <c r="DA164" i="32" s="1"/>
  <c r="DJ168" i="32"/>
  <c r="BZ131" i="32"/>
  <c r="W132" i="32"/>
  <c r="DA165" i="32" s="1"/>
  <c r="M134" i="32"/>
  <c r="DA169" i="32" s="1"/>
  <c r="DJ169" i="32"/>
  <c r="C186" i="36"/>
  <c r="BX131" i="32"/>
  <c r="S133" i="32"/>
  <c r="DF166" i="32" s="1"/>
  <c r="DJ171" i="32"/>
  <c r="CF131" i="32"/>
  <c r="C170" i="35"/>
  <c r="W134" i="32"/>
  <c r="DA170" i="32" s="1"/>
  <c r="BW131" i="32"/>
  <c r="AG131" i="32"/>
  <c r="CL131" i="32"/>
  <c r="BN133" i="32"/>
  <c r="DO170" i="32" s="1"/>
  <c r="AL131" i="32"/>
  <c r="BZ134" i="32" s="1"/>
  <c r="C169" i="33"/>
  <c r="S134" i="32"/>
  <c r="DF169" i="32" s="1"/>
  <c r="AM133" i="32"/>
  <c r="DF167" i="32" s="1"/>
  <c r="BW132" i="32"/>
  <c r="S132" i="32"/>
  <c r="DF164" i="32" s="1"/>
  <c r="DJ164" i="32"/>
  <c r="BZ132" i="32"/>
  <c r="C134" i="32"/>
  <c r="DA168" i="32" s="1"/>
  <c r="DJ170" i="32"/>
  <c r="AM134" i="32"/>
  <c r="DF171" i="32" s="1"/>
  <c r="I134" i="32"/>
  <c r="DF168" i="32" s="1"/>
  <c r="BN134" i="32"/>
  <c r="CL132" i="32"/>
  <c r="AM132" i="32"/>
  <c r="DF165" i="32" s="1"/>
  <c r="AC134" i="32"/>
  <c r="DF170" i="32" s="1"/>
  <c r="C117" i="33"/>
  <c r="W98" i="32"/>
  <c r="DA120" i="32" s="1"/>
  <c r="AG98" i="32"/>
  <c r="DF121" i="32" s="1"/>
  <c r="DJ114" i="32"/>
  <c r="W97" i="32"/>
  <c r="DA117" i="32" s="1"/>
  <c r="C96" i="32"/>
  <c r="DA114" i="32" s="1"/>
  <c r="DJ117" i="32"/>
  <c r="DO121" i="32"/>
  <c r="DJ118" i="32"/>
  <c r="C138" i="37"/>
  <c r="W96" i="32"/>
  <c r="DA115" i="32" s="1"/>
  <c r="C119" i="35"/>
  <c r="C97" i="32"/>
  <c r="DA116" i="32" s="1"/>
  <c r="S98" i="32"/>
  <c r="DF119" i="32" s="1"/>
  <c r="C129" i="36"/>
  <c r="DJ119" i="32"/>
  <c r="DJ120" i="32"/>
  <c r="I98" i="32"/>
  <c r="W75" i="32"/>
  <c r="DA96" i="32" s="1"/>
  <c r="C95" i="35"/>
  <c r="W73" i="32"/>
  <c r="DA91" i="32" s="1"/>
  <c r="W74" i="32"/>
  <c r="DA93" i="32" s="1"/>
  <c r="DJ90" i="32"/>
  <c r="C73" i="32"/>
  <c r="DA90" i="32" s="1"/>
  <c r="C102" i="36"/>
  <c r="AG75" i="32"/>
  <c r="DA97" i="32" s="1"/>
  <c r="C74" i="32"/>
  <c r="DA92" i="32" s="1"/>
  <c r="C111" i="37"/>
  <c r="DJ93" i="32"/>
  <c r="DJ97" i="32"/>
  <c r="C93" i="33"/>
  <c r="DJ94" i="32"/>
  <c r="AL72" i="32"/>
  <c r="S75" i="32"/>
  <c r="DJ96" i="32"/>
  <c r="I75" i="32"/>
  <c r="DF94" i="32" s="1"/>
  <c r="AG51" i="32"/>
  <c r="DA64" i="32" s="1"/>
  <c r="W49" i="32"/>
  <c r="DA58" i="32" s="1"/>
  <c r="C63" i="36"/>
  <c r="DJ62" i="32"/>
  <c r="DJ64" i="32"/>
  <c r="DJ61" i="32"/>
  <c r="C62" i="35"/>
  <c r="DJ60" i="32"/>
  <c r="DJ57" i="32"/>
  <c r="C49" i="32"/>
  <c r="DA57" i="32" s="1"/>
  <c r="W50" i="32"/>
  <c r="DA60" i="32" s="1"/>
  <c r="C50" i="32"/>
  <c r="DA59" i="32" s="1"/>
  <c r="W51" i="32"/>
  <c r="DA63" i="32" s="1"/>
  <c r="C74" i="37"/>
  <c r="DJ63" i="32"/>
  <c r="S51" i="32"/>
  <c r="DF62" i="32" s="1"/>
  <c r="C57" i="33"/>
  <c r="I51" i="32"/>
  <c r="DF61" i="32" s="1"/>
  <c r="AL137" i="32"/>
  <c r="BZ140" i="32" s="1"/>
  <c r="DJ177" i="32"/>
  <c r="C202" i="37"/>
  <c r="AM139" i="32"/>
  <c r="DF175" i="32" s="1"/>
  <c r="AG137" i="32"/>
  <c r="C178" i="35"/>
  <c r="BX137" i="32"/>
  <c r="C177" i="33"/>
  <c r="W139" i="32"/>
  <c r="DA175" i="32" s="1"/>
  <c r="CL138" i="32"/>
  <c r="M140" i="32"/>
  <c r="DA177" i="32" s="1"/>
  <c r="BW138" i="32"/>
  <c r="S139" i="32"/>
  <c r="DF174" i="32" s="1"/>
  <c r="BW137" i="32"/>
  <c r="C140" i="32"/>
  <c r="DA176" i="32" s="1"/>
  <c r="AG140" i="32"/>
  <c r="DA179" i="32" s="1"/>
  <c r="DJ175" i="32"/>
  <c r="DJ179" i="32"/>
  <c r="C138" i="32"/>
  <c r="DA172" i="32" s="1"/>
  <c r="W138" i="32"/>
  <c r="DA173" i="32" s="1"/>
  <c r="DJ172" i="32"/>
  <c r="C139" i="32"/>
  <c r="DA174" i="32" s="1"/>
  <c r="DJ173" i="32"/>
  <c r="DJ176" i="32"/>
  <c r="W140" i="32"/>
  <c r="DA178" i="32" s="1"/>
  <c r="C195" i="36"/>
  <c r="CF137" i="32"/>
  <c r="S140" i="32"/>
  <c r="DF177" i="32" s="1"/>
  <c r="BZ137" i="32"/>
  <c r="DJ178" i="32"/>
  <c r="BN139" i="32"/>
  <c r="DO178" i="32" s="1"/>
  <c r="BN140" i="32"/>
  <c r="CB137" i="32"/>
  <c r="CL137" i="32"/>
  <c r="S138" i="32"/>
  <c r="DF172" i="32" s="1"/>
  <c r="AM138" i="32"/>
  <c r="DF173" i="32" s="1"/>
  <c r="BZ138" i="32"/>
  <c r="AC140" i="32"/>
  <c r="DF178" i="32" s="1"/>
  <c r="AM140" i="32"/>
  <c r="DF179" i="32" s="1"/>
  <c r="AZ140" i="32"/>
  <c r="I140" i="32"/>
  <c r="DF176" i="32" s="1"/>
  <c r="C125" i="33"/>
  <c r="W103" i="32"/>
  <c r="DA125" i="32" s="1"/>
  <c r="AG104" i="32"/>
  <c r="DA129" i="32" s="1"/>
  <c r="W104" i="32"/>
  <c r="DA128" i="32" s="1"/>
  <c r="DJ125" i="32"/>
  <c r="C102" i="32"/>
  <c r="DF122" i="32" s="1"/>
  <c r="DO122" i="32"/>
  <c r="DJ127" i="32"/>
  <c r="C103" i="32"/>
  <c r="DA124" i="32" s="1"/>
  <c r="C138" i="36"/>
  <c r="DJ129" i="32"/>
  <c r="W102" i="32"/>
  <c r="DA123" i="32" s="1"/>
  <c r="C147" i="37"/>
  <c r="DJ123" i="32"/>
  <c r="DJ126" i="32"/>
  <c r="C127" i="35"/>
  <c r="S104" i="32"/>
  <c r="DF127" i="32" s="1"/>
  <c r="BN103" i="32"/>
  <c r="DO128" i="32" s="1"/>
  <c r="DJ128" i="32"/>
  <c r="AG101" i="32"/>
  <c r="I104" i="32"/>
  <c r="DF126" i="32" s="1"/>
  <c r="DJ101" i="32"/>
  <c r="C120" i="37"/>
  <c r="DJ103" i="32"/>
  <c r="W80" i="32"/>
  <c r="DA101" i="32" s="1"/>
  <c r="C79" i="32"/>
  <c r="DA98" i="32" s="1"/>
  <c r="W81" i="32"/>
  <c r="DA104" i="32" s="1"/>
  <c r="C111" i="36"/>
  <c r="AG81" i="32"/>
  <c r="DA105" i="32" s="1"/>
  <c r="DJ105" i="32"/>
  <c r="C101" i="33"/>
  <c r="C103" i="35"/>
  <c r="DJ102" i="32"/>
  <c r="C80" i="32"/>
  <c r="DA100" i="32" s="1"/>
  <c r="DJ98" i="32"/>
  <c r="W79" i="32"/>
  <c r="DA99" i="32" s="1"/>
  <c r="DJ104" i="32"/>
  <c r="I81" i="32"/>
  <c r="DF102" i="32" s="1"/>
  <c r="S81" i="32"/>
  <c r="DF103" i="32" s="1"/>
  <c r="AL78" i="32"/>
  <c r="DJ74" i="32"/>
  <c r="BN110" i="32"/>
  <c r="DJ131" i="32"/>
  <c r="BN57" i="32"/>
  <c r="DJ66" i="32"/>
  <c r="BN45" i="32"/>
  <c r="BW36" i="32"/>
  <c r="BX30" i="32"/>
  <c r="BN98" i="32"/>
  <c r="AL95" i="32"/>
  <c r="BX72" i="32"/>
  <c r="BN51" i="32"/>
  <c r="AL48" i="32"/>
  <c r="BN104" i="32"/>
  <c r="V112" i="32"/>
  <c r="DE34" i="32" l="1"/>
  <c r="CC165" i="33"/>
  <c r="BY165" i="33" s="1"/>
  <c r="CB165" i="33"/>
  <c r="BX165" i="33" s="1"/>
  <c r="CA162" i="33"/>
  <c r="CE162" i="33" s="1"/>
  <c r="CR137" i="32"/>
  <c r="CC173" i="33"/>
  <c r="BY173" i="33" s="1"/>
  <c r="CB173" i="33"/>
  <c r="BX173" i="33" s="1"/>
  <c r="CA170" i="33"/>
  <c r="CE170" i="33" s="1"/>
  <c r="CC153" i="33"/>
  <c r="CB153" i="33"/>
  <c r="CA150" i="33"/>
  <c r="CC181" i="33"/>
  <c r="BY181" i="33" s="1"/>
  <c r="CA178" i="33"/>
  <c r="CE178" i="33" s="1"/>
  <c r="CB181" i="33"/>
  <c r="BX181" i="33" s="1"/>
  <c r="DO70" i="32"/>
  <c r="CS37" i="32"/>
  <c r="M104" i="32"/>
  <c r="DA127" i="32" s="1"/>
  <c r="M98" i="32"/>
  <c r="DA119" i="32" s="1"/>
  <c r="C92" i="32"/>
  <c r="DA110" i="32" s="1"/>
  <c r="M92" i="32"/>
  <c r="DA111" i="32" s="1"/>
  <c r="C81" i="32"/>
  <c r="DA102" i="32" s="1"/>
  <c r="M51" i="32"/>
  <c r="DA62" i="32" s="1"/>
  <c r="CR31" i="32"/>
  <c r="DO62" i="32"/>
  <c r="C45" i="32"/>
  <c r="DA53" i="32" s="1"/>
  <c r="M45" i="32"/>
  <c r="DA54" i="32" s="1"/>
  <c r="C75" i="32"/>
  <c r="DA94" i="32" s="1"/>
  <c r="CS90" i="32"/>
  <c r="AZ134" i="32"/>
  <c r="CP134" i="32" s="1"/>
  <c r="M39" i="32"/>
  <c r="DA46" i="32" s="1"/>
  <c r="M81" i="32"/>
  <c r="DA103" i="32" s="1"/>
  <c r="DO54" i="32"/>
  <c r="AZ128" i="32"/>
  <c r="DO157" i="32" s="1"/>
  <c r="C63" i="32"/>
  <c r="DA77" i="32" s="1"/>
  <c r="DO103" i="32"/>
  <c r="C57" i="32"/>
  <c r="DA69" i="32" s="1"/>
  <c r="AZ122" i="32"/>
  <c r="CT122" i="32" s="1"/>
  <c r="DJ51" i="32"/>
  <c r="AZ44" i="32"/>
  <c r="CE33" i="36"/>
  <c r="BY36" i="35"/>
  <c r="CK34" i="33"/>
  <c r="CB191" i="33" s="1"/>
  <c r="BX44" i="35"/>
  <c r="CD42" i="36"/>
  <c r="CJ42" i="33"/>
  <c r="BZ192" i="33" s="1"/>
  <c r="BY93" i="35"/>
  <c r="CK94" i="33"/>
  <c r="CB198" i="33" s="1"/>
  <c r="CE99" i="36"/>
  <c r="CF43" i="32"/>
  <c r="DO56" i="32"/>
  <c r="DO129" i="32"/>
  <c r="CB102" i="32"/>
  <c r="CF102" i="32"/>
  <c r="CB96" i="32"/>
  <c r="DT121" i="32"/>
  <c r="CF96" i="32"/>
  <c r="CB49" i="32"/>
  <c r="CF49" i="32"/>
  <c r="DO64" i="32"/>
  <c r="DO72" i="32"/>
  <c r="CF55" i="32"/>
  <c r="CB55" i="32"/>
  <c r="CF108" i="32"/>
  <c r="DO137" i="32"/>
  <c r="CB108" i="32"/>
  <c r="AZ127" i="32"/>
  <c r="DJ156" i="32"/>
  <c r="AZ74" i="32"/>
  <c r="DJ92" i="32"/>
  <c r="AZ91" i="32"/>
  <c r="DJ108" i="32"/>
  <c r="BV96" i="32"/>
  <c r="AD128" i="36"/>
  <c r="CC127" i="36" s="1"/>
  <c r="AX122" i="33"/>
  <c r="AN118" i="33" s="1"/>
  <c r="BV126" i="32"/>
  <c r="AD176" i="36"/>
  <c r="CC175" i="36" s="1"/>
  <c r="AX166" i="33"/>
  <c r="CL161" i="33" s="1"/>
  <c r="F36" i="36"/>
  <c r="F38" i="35"/>
  <c r="CD33" i="32"/>
  <c r="F47" i="37"/>
  <c r="F33" i="33"/>
  <c r="CQ37" i="33" s="1"/>
  <c r="J84" i="36"/>
  <c r="I78" i="35"/>
  <c r="BC75" i="35" s="1"/>
  <c r="BB75" i="35" s="1"/>
  <c r="I93" i="37"/>
  <c r="J73" i="33"/>
  <c r="CN76" i="33" s="1"/>
  <c r="O75" i="33" s="1"/>
  <c r="DI74" i="33" s="1"/>
  <c r="BV67" i="32"/>
  <c r="AX90" i="33"/>
  <c r="AD92" i="36"/>
  <c r="CC91" i="36" s="1"/>
  <c r="C71" i="37"/>
  <c r="M59" i="35"/>
  <c r="F56" i="33"/>
  <c r="N61" i="36"/>
  <c r="AA102" i="36"/>
  <c r="Q111" i="37"/>
  <c r="X95" i="35"/>
  <c r="AA93" i="33"/>
  <c r="T119" i="35"/>
  <c r="W129" i="36"/>
  <c r="AN124" i="36" s="1"/>
  <c r="W117" i="33"/>
  <c r="CA120" i="33" s="1"/>
  <c r="AA195" i="36"/>
  <c r="AA177" i="33"/>
  <c r="X178" i="35"/>
  <c r="Q202" i="37"/>
  <c r="AZ138" i="32"/>
  <c r="S35" i="36"/>
  <c r="BP34" i="36" s="1"/>
  <c r="AJ35" i="35"/>
  <c r="AD32" i="33"/>
  <c r="S44" i="36"/>
  <c r="AJ43" i="35"/>
  <c r="AD40" i="33"/>
  <c r="M98" i="37"/>
  <c r="J91" i="36"/>
  <c r="I84" i="35"/>
  <c r="CA90" i="35" s="1"/>
  <c r="C84" i="33"/>
  <c r="C190" i="37"/>
  <c r="N184" i="36"/>
  <c r="M167" i="35"/>
  <c r="F168" i="33"/>
  <c r="N166" i="36"/>
  <c r="C172" i="37"/>
  <c r="M148" i="35"/>
  <c r="F148" i="33"/>
  <c r="S71" i="36"/>
  <c r="AD64" i="33"/>
  <c r="AJ67" i="35"/>
  <c r="N109" i="33"/>
  <c r="CK111" i="33" s="1"/>
  <c r="N120" i="36"/>
  <c r="L111" i="35"/>
  <c r="BX113" i="35" s="1"/>
  <c r="M129" i="37"/>
  <c r="AZ89" i="32"/>
  <c r="F132" i="33"/>
  <c r="C154" i="37"/>
  <c r="N145" i="36"/>
  <c r="M132" i="35"/>
  <c r="W159" i="36"/>
  <c r="AN154" i="36" s="1"/>
  <c r="T143" i="35"/>
  <c r="W141" i="33"/>
  <c r="M180" i="37"/>
  <c r="I159" i="35"/>
  <c r="CA165" i="35" s="1"/>
  <c r="C160" i="33"/>
  <c r="J175" i="36"/>
  <c r="BX101" i="32"/>
  <c r="CR138" i="32"/>
  <c r="CS138" i="32"/>
  <c r="DO177" i="32"/>
  <c r="CD196" i="36"/>
  <c r="CE195" i="36" s="1"/>
  <c r="AL194" i="36"/>
  <c r="AN192" i="36"/>
  <c r="AG192" i="36" s="1"/>
  <c r="CD193" i="36"/>
  <c r="BX48" i="32"/>
  <c r="BN74" i="32"/>
  <c r="T94" i="33"/>
  <c r="DW94" i="33" s="1"/>
  <c r="T96" i="33"/>
  <c r="DW96" i="33" s="1"/>
  <c r="CJ92" i="33"/>
  <c r="CK92" i="33" s="1"/>
  <c r="G95" i="33"/>
  <c r="DD94" i="33" s="1"/>
  <c r="G96" i="33"/>
  <c r="DD95" i="33" s="1"/>
  <c r="BY198" i="33"/>
  <c r="AT97" i="33"/>
  <c r="AT98" i="33"/>
  <c r="BK98" i="33"/>
  <c r="G94" i="33"/>
  <c r="DD93" i="33" s="1"/>
  <c r="BA98" i="33"/>
  <c r="T95" i="33"/>
  <c r="DW95" i="33" s="1"/>
  <c r="BG97" i="33"/>
  <c r="AL101" i="36"/>
  <c r="CD103" i="36"/>
  <c r="CE102" i="36" s="1"/>
  <c r="CR37" i="32"/>
  <c r="DO46" i="32"/>
  <c r="C238" i="37"/>
  <c r="AN57" i="37"/>
  <c r="DB54" i="37" s="1"/>
  <c r="V22" i="37"/>
  <c r="R53" i="37"/>
  <c r="DC52" i="37"/>
  <c r="K59" i="37"/>
  <c r="AZ57" i="37"/>
  <c r="BN56" i="32"/>
  <c r="BQ68" i="35"/>
  <c r="BX69" i="35"/>
  <c r="BY69" i="35" s="1"/>
  <c r="D210" i="35"/>
  <c r="BX110" i="35"/>
  <c r="BY110" i="35" s="1"/>
  <c r="D215" i="35"/>
  <c r="BQ109" i="35"/>
  <c r="M110" i="32"/>
  <c r="DA135" i="32" s="1"/>
  <c r="BN62" i="32"/>
  <c r="DE33" i="32"/>
  <c r="K178" i="37"/>
  <c r="DB171" i="37"/>
  <c r="DC171" i="37"/>
  <c r="R172" i="37"/>
  <c r="AZ176" i="37"/>
  <c r="DB174" i="37" s="1"/>
  <c r="DO176" i="37" s="1"/>
  <c r="BI22" i="37"/>
  <c r="BI23" i="37" s="1"/>
  <c r="AN176" i="37"/>
  <c r="DB173" i="37" s="1"/>
  <c r="DC173" i="37" s="1"/>
  <c r="C264" i="37"/>
  <c r="DO175" i="37"/>
  <c r="AA175" i="37"/>
  <c r="DN174" i="37"/>
  <c r="DB170" i="37"/>
  <c r="DO177" i="37"/>
  <c r="DK172" i="37"/>
  <c r="DM174" i="37"/>
  <c r="DJ174" i="37"/>
  <c r="DO174" i="37"/>
  <c r="DF175" i="37"/>
  <c r="DJ175" i="37"/>
  <c r="DJ176" i="37"/>
  <c r="CF120" i="32"/>
  <c r="CB120" i="32"/>
  <c r="DO153" i="32"/>
  <c r="BV31" i="32"/>
  <c r="AD35" i="36"/>
  <c r="CC34" i="36" s="1"/>
  <c r="AX38" i="33"/>
  <c r="AN34" i="33" s="1"/>
  <c r="BV55" i="32"/>
  <c r="AD71" i="36"/>
  <c r="CC70" i="36" s="1"/>
  <c r="AX70" i="33"/>
  <c r="AN66" i="33" s="1"/>
  <c r="CD75" i="32"/>
  <c r="F95" i="35"/>
  <c r="F102" i="36"/>
  <c r="F93" i="33"/>
  <c r="F111" i="37"/>
  <c r="DJ110" i="37" s="1"/>
  <c r="J117" i="33"/>
  <c r="CQ120" i="33" s="1"/>
  <c r="I138" i="37"/>
  <c r="I119" i="35"/>
  <c r="BC116" i="35" s="1"/>
  <c r="BB116" i="35" s="1"/>
  <c r="J129" i="36"/>
  <c r="F102" i="37"/>
  <c r="F93" i="36"/>
  <c r="F87" i="35"/>
  <c r="F85" i="33"/>
  <c r="CD69" i="32"/>
  <c r="N111" i="36"/>
  <c r="N101" i="33"/>
  <c r="CK103" i="33" s="1"/>
  <c r="M120" i="37"/>
  <c r="L103" i="35"/>
  <c r="BX105" i="35" s="1"/>
  <c r="AZ78" i="32"/>
  <c r="AA125" i="33"/>
  <c r="X127" i="35"/>
  <c r="Q147" i="37"/>
  <c r="AA138" i="36"/>
  <c r="AZ102" i="32"/>
  <c r="W63" i="36"/>
  <c r="AN58" i="36" s="1"/>
  <c r="T62" i="35"/>
  <c r="W57" i="33"/>
  <c r="CA60" i="33" s="1"/>
  <c r="W195" i="36"/>
  <c r="AN190" i="36" s="1"/>
  <c r="W177" i="33"/>
  <c r="T178" i="35"/>
  <c r="AA36" i="36"/>
  <c r="AA33" i="33"/>
  <c r="X38" i="35"/>
  <c r="Q47" i="37"/>
  <c r="T46" i="35"/>
  <c r="W41" i="33"/>
  <c r="CA43" i="33" s="1"/>
  <c r="W45" i="36"/>
  <c r="AN40" i="36" s="1"/>
  <c r="AD93" i="36"/>
  <c r="AA87" i="35"/>
  <c r="T102" i="37"/>
  <c r="AD85" i="33"/>
  <c r="M193" i="37"/>
  <c r="N186" i="36"/>
  <c r="L170" i="35"/>
  <c r="BX172" i="35" s="1"/>
  <c r="N169" i="33"/>
  <c r="CK171" i="33" s="1"/>
  <c r="AZ131" i="32"/>
  <c r="W168" i="36"/>
  <c r="AN163" i="36" s="1"/>
  <c r="T151" i="35"/>
  <c r="W149" i="33"/>
  <c r="CA151" i="33" s="1"/>
  <c r="M65" i="37"/>
  <c r="N54" i="36"/>
  <c r="L54" i="35"/>
  <c r="BX56" i="35" s="1"/>
  <c r="N49" i="33"/>
  <c r="CK51" i="33" s="1"/>
  <c r="AZ42" i="32"/>
  <c r="Q84" i="37"/>
  <c r="AA72" i="36"/>
  <c r="X70" i="35"/>
  <c r="AA65" i="33"/>
  <c r="AZ55" i="32"/>
  <c r="S146" i="36"/>
  <c r="AD132" i="33"/>
  <c r="AJ132" i="35"/>
  <c r="S158" i="36"/>
  <c r="AJ140" i="35"/>
  <c r="AD140" i="33"/>
  <c r="T78" i="35"/>
  <c r="W73" i="33"/>
  <c r="CA76" i="33" s="1"/>
  <c r="W84" i="36"/>
  <c r="AN79" i="36" s="1"/>
  <c r="P162" i="35"/>
  <c r="S161" i="33"/>
  <c r="BG166" i="33" s="1"/>
  <c r="S177" i="36"/>
  <c r="BX102" i="35"/>
  <c r="BY102" i="35" s="1"/>
  <c r="BQ101" i="35"/>
  <c r="D214" i="35"/>
  <c r="DC143" i="37"/>
  <c r="K150" i="37"/>
  <c r="AN148" i="37"/>
  <c r="R144" i="37"/>
  <c r="C258" i="37"/>
  <c r="AZ22" i="37"/>
  <c r="AZ148" i="37"/>
  <c r="CD64" i="36"/>
  <c r="CE63" i="36" s="1"/>
  <c r="AL62" i="36"/>
  <c r="AL36" i="32"/>
  <c r="DJ81" i="32"/>
  <c r="W67" i="32"/>
  <c r="DA82" i="32" s="1"/>
  <c r="DJ86" i="32"/>
  <c r="C102" i="37"/>
  <c r="C85" i="33"/>
  <c r="DJ82" i="32"/>
  <c r="C93" i="36"/>
  <c r="DJ84" i="32"/>
  <c r="C87" i="35"/>
  <c r="DJ85" i="32"/>
  <c r="DJ88" i="32"/>
  <c r="C68" i="32"/>
  <c r="DA83" i="32" s="1"/>
  <c r="C67" i="32"/>
  <c r="DA81" i="32" s="1"/>
  <c r="W68" i="32"/>
  <c r="DA84" i="32" s="1"/>
  <c r="W69" i="32"/>
  <c r="DA87" i="32" s="1"/>
  <c r="AG69" i="32"/>
  <c r="DA88" i="32" s="1"/>
  <c r="S69" i="32"/>
  <c r="DF86" i="32" s="1"/>
  <c r="DJ87" i="32"/>
  <c r="BN69" i="32"/>
  <c r="BN68" i="32"/>
  <c r="DO87" i="32" s="1"/>
  <c r="BW66" i="32"/>
  <c r="I69" i="32"/>
  <c r="DF85" i="32" s="1"/>
  <c r="R62" i="37"/>
  <c r="K68" i="37"/>
  <c r="Y22" i="37"/>
  <c r="C240" i="37"/>
  <c r="DC61" i="37"/>
  <c r="AN66" i="37"/>
  <c r="AZ66" i="37"/>
  <c r="CR55" i="32"/>
  <c r="BX89" i="32"/>
  <c r="BW89" i="32"/>
  <c r="AN174" i="36"/>
  <c r="AG174" i="36" s="1"/>
  <c r="AL176" i="36"/>
  <c r="CD178" i="36"/>
  <c r="CE177" i="36" s="1"/>
  <c r="CD175" i="36"/>
  <c r="C33" i="32"/>
  <c r="DA37" i="32" s="1"/>
  <c r="DE37" i="32" s="1"/>
  <c r="DN33" i="32"/>
  <c r="AL30" i="32"/>
  <c r="CL33" i="32" s="1"/>
  <c r="I84" i="37"/>
  <c r="I70" i="35"/>
  <c r="BC67" i="35" s="1"/>
  <c r="BB67" i="35" s="1"/>
  <c r="J72" i="36"/>
  <c r="J65" i="33"/>
  <c r="CQ68" i="33" s="1"/>
  <c r="J147" i="36"/>
  <c r="I157" i="37"/>
  <c r="J133" i="33"/>
  <c r="I135" i="35"/>
  <c r="BC132" i="35" s="1"/>
  <c r="BB132" i="35" s="1"/>
  <c r="S111" i="36"/>
  <c r="P103" i="35"/>
  <c r="S101" i="33"/>
  <c r="AZ101" i="32"/>
  <c r="N138" i="36"/>
  <c r="L127" i="35"/>
  <c r="BX129" i="35" s="1"/>
  <c r="M147" i="37"/>
  <c r="N125" i="33"/>
  <c r="BG125" i="33" s="1"/>
  <c r="CI127" i="33" s="1"/>
  <c r="S62" i="36"/>
  <c r="AJ59" i="35"/>
  <c r="AD56" i="33"/>
  <c r="S102" i="36"/>
  <c r="P95" i="35"/>
  <c r="S93" i="33"/>
  <c r="AA117" i="33"/>
  <c r="Q138" i="37"/>
  <c r="X119" i="35"/>
  <c r="AA129" i="36"/>
  <c r="AZ137" i="32"/>
  <c r="N195" i="36"/>
  <c r="L178" i="35"/>
  <c r="BX180" i="35" s="1"/>
  <c r="N177" i="33"/>
  <c r="CK179" i="33" s="1"/>
  <c r="M202" i="37"/>
  <c r="W186" i="36"/>
  <c r="AN181" i="36" s="1"/>
  <c r="W169" i="33"/>
  <c r="T170" i="35"/>
  <c r="AA54" i="36"/>
  <c r="Q65" i="37"/>
  <c r="X54" i="35"/>
  <c r="AA49" i="33"/>
  <c r="M67" i="35"/>
  <c r="C81" i="37"/>
  <c r="F64" i="33"/>
  <c r="F72" i="33"/>
  <c r="N70" i="36"/>
  <c r="S120" i="36"/>
  <c r="P111" i="35"/>
  <c r="S109" i="33"/>
  <c r="T93" i="37"/>
  <c r="AD84" i="36"/>
  <c r="AA78" i="35"/>
  <c r="AD73" i="33"/>
  <c r="AD161" i="33"/>
  <c r="T184" i="37"/>
  <c r="AA162" i="35"/>
  <c r="AD177" i="36"/>
  <c r="T102" i="33"/>
  <c r="DW102" i="33" s="1"/>
  <c r="AT105" i="33"/>
  <c r="T103" i="33"/>
  <c r="DW103" i="33" s="1"/>
  <c r="BA106" i="33"/>
  <c r="T104" i="33"/>
  <c r="DW104" i="33" s="1"/>
  <c r="G104" i="33"/>
  <c r="DD103" i="33" s="1"/>
  <c r="BY199" i="33"/>
  <c r="CJ100" i="33"/>
  <c r="CK100" i="33" s="1"/>
  <c r="G103" i="33"/>
  <c r="DD102" i="33" s="1"/>
  <c r="BK106" i="33"/>
  <c r="G102" i="33"/>
  <c r="DD101" i="33" s="1"/>
  <c r="BG105" i="33"/>
  <c r="AT106" i="33"/>
  <c r="AZ103" i="32"/>
  <c r="DJ124" i="32"/>
  <c r="CF138" i="32"/>
  <c r="DO179" i="32"/>
  <c r="CB138" i="32"/>
  <c r="G180" i="33"/>
  <c r="DD179" i="33" s="1"/>
  <c r="CK180" i="33"/>
  <c r="CK176" i="33"/>
  <c r="O179" i="33"/>
  <c r="DI178" i="33" s="1"/>
  <c r="CL181" i="33"/>
  <c r="AN178" i="33"/>
  <c r="CP178" i="33"/>
  <c r="T178" i="33"/>
  <c r="DW178" i="33" s="1"/>
  <c r="CA179" i="33"/>
  <c r="CP180" i="33"/>
  <c r="BR177" i="33"/>
  <c r="CO181" i="33"/>
  <c r="BG177" i="33"/>
  <c r="CI179" i="33" s="1"/>
  <c r="CJ176" i="33"/>
  <c r="BQ182" i="33"/>
  <c r="O180" i="33"/>
  <c r="DI179" i="33" s="1"/>
  <c r="BA182" i="33"/>
  <c r="T179" i="33"/>
  <c r="DW179" i="33" s="1"/>
  <c r="CN178" i="33"/>
  <c r="O178" i="33"/>
  <c r="DI177" i="33" s="1"/>
  <c r="BO180" i="33"/>
  <c r="T180" i="33"/>
  <c r="DW180" i="33" s="1"/>
  <c r="CA180" i="33"/>
  <c r="G181" i="33"/>
  <c r="O181" i="33" s="1"/>
  <c r="DI180" i="33" s="1"/>
  <c r="CQ178" i="33"/>
  <c r="CN180" i="33"/>
  <c r="CM178" i="33"/>
  <c r="AT181" i="33"/>
  <c r="BK182" i="33"/>
  <c r="CM180" i="33"/>
  <c r="AN181" i="33"/>
  <c r="CY176" i="33" s="1"/>
  <c r="AZ177" i="33"/>
  <c r="AB178" i="33"/>
  <c r="EB178" i="33" s="1"/>
  <c r="G178" i="33"/>
  <c r="DD177" i="33" s="1"/>
  <c r="AN177" i="33"/>
  <c r="CU176" i="33" s="1"/>
  <c r="DI182" i="33" s="1"/>
  <c r="AB180" i="33"/>
  <c r="EB180" i="33" s="1"/>
  <c r="BG181" i="33"/>
  <c r="AT182" i="33"/>
  <c r="BY208" i="33"/>
  <c r="CI181" i="33"/>
  <c r="CD208" i="33" s="1"/>
  <c r="G179" i="33"/>
  <c r="DD178" i="33" s="1"/>
  <c r="CQ180" i="33"/>
  <c r="BW48" i="32"/>
  <c r="DJ95" i="32"/>
  <c r="BW95" i="32"/>
  <c r="D216" i="35"/>
  <c r="BX118" i="35"/>
  <c r="BY118" i="35" s="1"/>
  <c r="BQ117" i="35"/>
  <c r="CF132" i="32"/>
  <c r="CB132" i="32"/>
  <c r="DO171" i="32"/>
  <c r="BA46" i="33"/>
  <c r="T42" i="33"/>
  <c r="DW42" i="33" s="1"/>
  <c r="AT46" i="33"/>
  <c r="AT45" i="33"/>
  <c r="T43" i="33"/>
  <c r="DW43" i="33" s="1"/>
  <c r="G42" i="33"/>
  <c r="DD41" i="33" s="1"/>
  <c r="CQ42" i="33"/>
  <c r="T44" i="33"/>
  <c r="DW44" i="33" s="1"/>
  <c r="CJ40" i="33"/>
  <c r="CK40" i="33" s="1"/>
  <c r="G43" i="33"/>
  <c r="DD42" i="33" s="1"/>
  <c r="G44" i="33"/>
  <c r="DD43" i="33" s="1"/>
  <c r="BK46" i="33"/>
  <c r="BG45" i="33"/>
  <c r="BY192" i="33"/>
  <c r="CD46" i="36"/>
  <c r="CE45" i="36" s="1"/>
  <c r="AL44" i="36"/>
  <c r="BA54" i="33"/>
  <c r="G51" i="33"/>
  <c r="DD50" i="33" s="1"/>
  <c r="CJ48" i="33"/>
  <c r="CK48" i="33" s="1"/>
  <c r="AT53" i="33"/>
  <c r="BG53" i="33"/>
  <c r="T51" i="33"/>
  <c r="DW51" i="33" s="1"/>
  <c r="BY193" i="33"/>
  <c r="T52" i="33"/>
  <c r="DW52" i="33" s="1"/>
  <c r="T50" i="33"/>
  <c r="DW50" i="33" s="1"/>
  <c r="G52" i="33"/>
  <c r="DD51" i="33" s="1"/>
  <c r="G50" i="33"/>
  <c r="DD49" i="33" s="1"/>
  <c r="CQ50" i="33"/>
  <c r="BK54" i="33"/>
  <c r="AT54" i="33"/>
  <c r="CD73" i="36"/>
  <c r="CE72" i="36" s="1"/>
  <c r="AL71" i="36"/>
  <c r="DO111" i="32"/>
  <c r="C110" i="32"/>
  <c r="DA134" i="32" s="1"/>
  <c r="G134" i="33"/>
  <c r="DD133" i="33" s="1"/>
  <c r="BA138" i="33"/>
  <c r="T136" i="33"/>
  <c r="DW136" i="33" s="1"/>
  <c r="G135" i="33"/>
  <c r="DD134" i="33" s="1"/>
  <c r="AT137" i="33"/>
  <c r="BK138" i="33"/>
  <c r="T135" i="33"/>
  <c r="DW135" i="33" s="1"/>
  <c r="BY203" i="33"/>
  <c r="AT138" i="33"/>
  <c r="T134" i="33"/>
  <c r="DW134" i="33" s="1"/>
  <c r="BG137" i="33"/>
  <c r="G136" i="33"/>
  <c r="DD135" i="33" s="1"/>
  <c r="CJ132" i="33"/>
  <c r="CK132" i="33" s="1"/>
  <c r="R154" i="37"/>
  <c r="DC153" i="37"/>
  <c r="BC22" i="37"/>
  <c r="C260" i="37"/>
  <c r="K160" i="37"/>
  <c r="AN158" i="37"/>
  <c r="AZ158" i="37"/>
  <c r="DJ155" i="32"/>
  <c r="AG60" i="32"/>
  <c r="CL61" i="32" s="1"/>
  <c r="BN63" i="32"/>
  <c r="BY149" i="35"/>
  <c r="CK150" i="33"/>
  <c r="CB205" i="33" s="1"/>
  <c r="CE165" i="36"/>
  <c r="CD169" i="36"/>
  <c r="CE168" i="36" s="1"/>
  <c r="CD166" i="36"/>
  <c r="AL167" i="36"/>
  <c r="AN165" i="36"/>
  <c r="AG165" i="36" s="1"/>
  <c r="DO168" i="32"/>
  <c r="CS131" i="32"/>
  <c r="CR131" i="32"/>
  <c r="CE183" i="36"/>
  <c r="BY168" i="35"/>
  <c r="CK170" i="33"/>
  <c r="CB207" i="33" s="1"/>
  <c r="C114" i="32"/>
  <c r="DA138" i="32" s="1"/>
  <c r="W114" i="32"/>
  <c r="DA139" i="32" s="1"/>
  <c r="CB113" i="32"/>
  <c r="DJ143" i="32"/>
  <c r="CF113" i="32"/>
  <c r="DJ139" i="32"/>
  <c r="DJ138" i="32"/>
  <c r="C166" i="37"/>
  <c r="DJ142" i="32"/>
  <c r="W115" i="32"/>
  <c r="DA141" i="32" s="1"/>
  <c r="C115" i="32"/>
  <c r="DA140" i="32" s="1"/>
  <c r="C143" i="35"/>
  <c r="C159" i="36"/>
  <c r="C141" i="33"/>
  <c r="DJ141" i="32"/>
  <c r="W116" i="32"/>
  <c r="DA144" i="32" s="1"/>
  <c r="DJ145" i="32"/>
  <c r="AG116" i="32"/>
  <c r="DA145" i="32" s="1"/>
  <c r="I116" i="32"/>
  <c r="DF142" i="32" s="1"/>
  <c r="BN115" i="32"/>
  <c r="DO144" i="32" s="1"/>
  <c r="DJ144" i="32"/>
  <c r="BN116" i="32"/>
  <c r="S116" i="32"/>
  <c r="DF143" i="32" s="1"/>
  <c r="BX113" i="32"/>
  <c r="BW42" i="32"/>
  <c r="AG89" i="32"/>
  <c r="T111" i="33"/>
  <c r="DW111" i="33" s="1"/>
  <c r="AT114" i="33"/>
  <c r="T110" i="33"/>
  <c r="DW110" i="33" s="1"/>
  <c r="T112" i="33"/>
  <c r="DW112" i="33" s="1"/>
  <c r="CJ108" i="33"/>
  <c r="CK108" i="33" s="1"/>
  <c r="AT113" i="33"/>
  <c r="G110" i="33"/>
  <c r="DD109" i="33" s="1"/>
  <c r="BK114" i="33"/>
  <c r="G111" i="33"/>
  <c r="DD110" i="33" s="1"/>
  <c r="G112" i="33"/>
  <c r="DD111" i="33" s="1"/>
  <c r="BG113" i="33"/>
  <c r="BA114" i="33"/>
  <c r="BY200" i="33"/>
  <c r="BQ133" i="35"/>
  <c r="BX134" i="35"/>
  <c r="BY134" i="35"/>
  <c r="D218" i="35"/>
  <c r="CF126" i="32"/>
  <c r="CB126" i="32"/>
  <c r="DO161" i="32"/>
  <c r="BQ160" i="35"/>
  <c r="AW162" i="35"/>
  <c r="Q164" i="35"/>
  <c r="CO160" i="35" s="1"/>
  <c r="CX161" i="35" s="1"/>
  <c r="AJ162" i="35"/>
  <c r="T221" i="35" s="1"/>
  <c r="CB221" i="35" s="1"/>
  <c r="AW164" i="35"/>
  <c r="CO164" i="35" s="1"/>
  <c r="DG161" i="35" s="1"/>
  <c r="AK163" i="35"/>
  <c r="CP159" i="35" s="1"/>
  <c r="DA160" i="35" s="1"/>
  <c r="AW163" i="35"/>
  <c r="CO163" i="35" s="1"/>
  <c r="DG160" i="35" s="1"/>
  <c r="AW165" i="35"/>
  <c r="CO165" i="35" s="1"/>
  <c r="DG162" i="35" s="1"/>
  <c r="AD162" i="35"/>
  <c r="N221" i="35" s="1"/>
  <c r="BZ221" i="35" s="1"/>
  <c r="CC221" i="35" s="1"/>
  <c r="CE221" i="35" s="1"/>
  <c r="BY162" i="35"/>
  <c r="BN164" i="35"/>
  <c r="CP164" i="35" s="1"/>
  <c r="DJ161" i="35" s="1"/>
  <c r="BN163" i="35"/>
  <c r="CP163" i="35" s="1"/>
  <c r="BG162" i="35"/>
  <c r="CS160" i="35" s="1"/>
  <c r="AK165" i="35"/>
  <c r="CP161" i="35" s="1"/>
  <c r="DA162" i="35" s="1"/>
  <c r="D221" i="35"/>
  <c r="BY161" i="35"/>
  <c r="BN165" i="35"/>
  <c r="CP165" i="35" s="1"/>
  <c r="DJ162" i="35" s="1"/>
  <c r="BX161" i="35"/>
  <c r="AK164" i="35"/>
  <c r="CP160" i="35" s="1"/>
  <c r="DA161" i="35" s="1"/>
  <c r="BX162" i="35"/>
  <c r="Q163" i="35"/>
  <c r="CO159" i="35" s="1"/>
  <c r="CX160" i="35" s="1"/>
  <c r="Q165" i="35"/>
  <c r="CO161" i="35" s="1"/>
  <c r="CX162" i="35" s="1"/>
  <c r="AR162" i="35"/>
  <c r="AG162" i="35"/>
  <c r="Q221" i="35" s="1"/>
  <c r="CA221" i="35" s="1"/>
  <c r="DE36" i="32"/>
  <c r="Q153" i="35"/>
  <c r="CO149" i="35" s="1"/>
  <c r="CX150" i="35" s="1"/>
  <c r="BY150" i="35"/>
  <c r="D220" i="35"/>
  <c r="AJ151" i="35"/>
  <c r="T220" i="35" s="1"/>
  <c r="CB220" i="35" s="1"/>
  <c r="BQ149" i="35"/>
  <c r="AG151" i="35"/>
  <c r="Q220" i="35" s="1"/>
  <c r="CA220" i="35" s="1"/>
  <c r="AW153" i="35"/>
  <c r="CO153" i="35" s="1"/>
  <c r="DG150" i="35" s="1"/>
  <c r="BX150" i="35"/>
  <c r="Q154" i="35"/>
  <c r="CO150" i="35" s="1"/>
  <c r="CX151" i="35" s="1"/>
  <c r="BX151" i="35"/>
  <c r="AR151" i="35"/>
  <c r="AW154" i="35"/>
  <c r="CO154" i="35" s="1"/>
  <c r="DG151" i="35" s="1"/>
  <c r="BG151" i="35"/>
  <c r="CS149" i="35" s="1"/>
  <c r="AK154" i="35"/>
  <c r="CP150" i="35" s="1"/>
  <c r="DA151" i="35" s="1"/>
  <c r="BN152" i="35"/>
  <c r="CP152" i="35" s="1"/>
  <c r="AD151" i="35"/>
  <c r="N220" i="35" s="1"/>
  <c r="BZ220" i="35" s="1"/>
  <c r="CC220" i="35" s="1"/>
  <c r="CE220" i="35" s="1"/>
  <c r="AK152" i="35"/>
  <c r="CP148" i="35" s="1"/>
  <c r="DA149" i="35" s="1"/>
  <c r="I103" i="35"/>
  <c r="BC100" i="35" s="1"/>
  <c r="BB100" i="35" s="1"/>
  <c r="J111" i="36"/>
  <c r="J101" i="33"/>
  <c r="CN104" i="33" s="1"/>
  <c r="O103" i="33" s="1"/>
  <c r="DI102" i="33" s="1"/>
  <c r="I120" i="37"/>
  <c r="CL98" i="32"/>
  <c r="BV138" i="32"/>
  <c r="AD194" i="36"/>
  <c r="CC193" i="36" s="1"/>
  <c r="AX182" i="33"/>
  <c r="CL177" i="33" s="1"/>
  <c r="J45" i="36"/>
  <c r="I56" i="37"/>
  <c r="I46" i="35"/>
  <c r="BC43" i="35" s="1"/>
  <c r="BB43" i="35" s="1"/>
  <c r="J41" i="33"/>
  <c r="CP42" i="33" s="1"/>
  <c r="I87" i="35"/>
  <c r="BC84" i="35" s="1"/>
  <c r="BB84" i="35" s="1"/>
  <c r="I102" i="37"/>
  <c r="J85" i="33"/>
  <c r="J93" i="36"/>
  <c r="AD185" i="36"/>
  <c r="CC184" i="36" s="1"/>
  <c r="BV132" i="32"/>
  <c r="AX174" i="33"/>
  <c r="CL169" i="33" s="1"/>
  <c r="AA103" i="35"/>
  <c r="T120" i="37"/>
  <c r="AD111" i="36"/>
  <c r="AD101" i="33"/>
  <c r="X62" i="35"/>
  <c r="Q74" i="37"/>
  <c r="AA63" i="36"/>
  <c r="AA57" i="33"/>
  <c r="T111" i="37"/>
  <c r="AA95" i="35"/>
  <c r="AD93" i="33"/>
  <c r="AD102" i="36"/>
  <c r="L119" i="35"/>
  <c r="BX121" i="35" s="1"/>
  <c r="M138" i="37"/>
  <c r="N117" i="33"/>
  <c r="CK119" i="33" s="1"/>
  <c r="AZ95" i="32"/>
  <c r="N129" i="36"/>
  <c r="L38" i="35"/>
  <c r="BX40" i="35" s="1"/>
  <c r="M47" i="37"/>
  <c r="N36" i="36"/>
  <c r="AZ30" i="32"/>
  <c r="N33" i="33"/>
  <c r="CK35" i="33" s="1"/>
  <c r="AZ36" i="32"/>
  <c r="M56" i="37"/>
  <c r="L46" i="35"/>
  <c r="BX48" i="35" s="1"/>
  <c r="N41" i="33"/>
  <c r="CK43" i="33" s="1"/>
  <c r="N45" i="36"/>
  <c r="AD120" i="36"/>
  <c r="T129" i="37"/>
  <c r="AD109" i="33"/>
  <c r="AA111" i="35"/>
  <c r="W147" i="36"/>
  <c r="AN142" i="36" s="1"/>
  <c r="T135" i="35"/>
  <c r="W133" i="33"/>
  <c r="CA136" i="33" s="1"/>
  <c r="BW60" i="32"/>
  <c r="AQ22" i="37"/>
  <c r="C252" i="37"/>
  <c r="R117" i="37"/>
  <c r="DC116" i="37"/>
  <c r="K123" i="37"/>
  <c r="AZ121" i="37"/>
  <c r="CE192" i="36"/>
  <c r="CK178" i="33"/>
  <c r="CB208" i="33" s="1"/>
  <c r="BY176" i="35"/>
  <c r="AD119" i="36"/>
  <c r="CC118" i="36" s="1"/>
  <c r="AX114" i="33"/>
  <c r="BV90" i="32"/>
  <c r="AD101" i="36"/>
  <c r="CC100" i="36" s="1"/>
  <c r="AX98" i="33"/>
  <c r="BV73" i="32"/>
  <c r="W111" i="36"/>
  <c r="T103" i="35"/>
  <c r="W101" i="33"/>
  <c r="CA103" i="33" s="1"/>
  <c r="W138" i="36"/>
  <c r="AN133" i="36" s="1"/>
  <c r="T127" i="35"/>
  <c r="W125" i="33"/>
  <c r="CA128" i="33" s="1"/>
  <c r="N63" i="36"/>
  <c r="L62" i="35"/>
  <c r="BX64" i="35" s="1"/>
  <c r="M74" i="37"/>
  <c r="N57" i="33"/>
  <c r="CK59" i="33" s="1"/>
  <c r="AZ48" i="32"/>
  <c r="N102" i="36"/>
  <c r="M111" i="37"/>
  <c r="N93" i="33"/>
  <c r="CK95" i="33" s="1"/>
  <c r="L95" i="35"/>
  <c r="BX97" i="35" s="1"/>
  <c r="AZ72" i="32"/>
  <c r="S195" i="36"/>
  <c r="P178" i="35"/>
  <c r="S177" i="33"/>
  <c r="BG182" i="33" s="1"/>
  <c r="P38" i="35"/>
  <c r="S36" i="36"/>
  <c r="S33" i="33"/>
  <c r="W93" i="36"/>
  <c r="AN88" i="36" s="1"/>
  <c r="T87" i="35"/>
  <c r="W85" i="33"/>
  <c r="AZ132" i="32"/>
  <c r="AA186" i="36"/>
  <c r="X170" i="35"/>
  <c r="AA169" i="33"/>
  <c r="Q193" i="37"/>
  <c r="T175" i="37"/>
  <c r="AD168" i="36"/>
  <c r="AA151" i="35"/>
  <c r="AD149" i="33"/>
  <c r="S54" i="36"/>
  <c r="P54" i="35"/>
  <c r="S49" i="33"/>
  <c r="W72" i="36"/>
  <c r="AN67" i="36" s="1"/>
  <c r="T70" i="35"/>
  <c r="W65" i="33"/>
  <c r="CA67" i="33" s="1"/>
  <c r="AA120" i="36"/>
  <c r="AA109" i="33"/>
  <c r="X111" i="35"/>
  <c r="Q129" i="37"/>
  <c r="L135" i="35"/>
  <c r="BX137" i="35" s="1"/>
  <c r="N147" i="36"/>
  <c r="N133" i="33"/>
  <c r="CK135" i="33" s="1"/>
  <c r="M157" i="37"/>
  <c r="AZ107" i="32"/>
  <c r="S159" i="36"/>
  <c r="P143" i="35"/>
  <c r="S141" i="33"/>
  <c r="Q93" i="37"/>
  <c r="X78" i="35"/>
  <c r="AA84" i="36"/>
  <c r="AA73" i="33"/>
  <c r="AZ61" i="32"/>
  <c r="M184" i="37"/>
  <c r="L162" i="35"/>
  <c r="BX164" i="35" s="1"/>
  <c r="N161" i="33"/>
  <c r="CK163" i="33" s="1"/>
  <c r="N177" i="36"/>
  <c r="AZ125" i="32"/>
  <c r="BN80" i="32"/>
  <c r="BN81" i="32"/>
  <c r="AL101" i="32"/>
  <c r="CD139" i="36"/>
  <c r="CE138" i="36" s="1"/>
  <c r="AL137" i="36"/>
  <c r="CD139" i="32"/>
  <c r="BX176" i="35"/>
  <c r="CD192" i="36"/>
  <c r="CJ178" i="33"/>
  <c r="BZ208" i="33" s="1"/>
  <c r="BN181" i="35"/>
  <c r="CP181" i="35" s="1"/>
  <c r="DJ178" i="35" s="1"/>
  <c r="BN179" i="35"/>
  <c r="CP179" i="35" s="1"/>
  <c r="BX178" i="35"/>
  <c r="AD178" i="35"/>
  <c r="N223" i="35" s="1"/>
  <c r="BZ223" i="35" s="1"/>
  <c r="CC223" i="35" s="1"/>
  <c r="CE223" i="35" s="1"/>
  <c r="AK181" i="35"/>
  <c r="CP177" i="35" s="1"/>
  <c r="DA178" i="35" s="1"/>
  <c r="BN180" i="35"/>
  <c r="CP180" i="35" s="1"/>
  <c r="DJ177" i="35" s="1"/>
  <c r="Q179" i="35"/>
  <c r="CO175" i="35" s="1"/>
  <c r="CX176" i="35" s="1"/>
  <c r="AG178" i="35"/>
  <c r="Q223" i="35" s="1"/>
  <c r="CA223" i="35" s="1"/>
  <c r="Q181" i="35"/>
  <c r="CO177" i="35" s="1"/>
  <c r="CX178" i="35" s="1"/>
  <c r="AW180" i="35"/>
  <c r="CO180" i="35" s="1"/>
  <c r="DG177" i="35" s="1"/>
  <c r="Q180" i="35"/>
  <c r="CO176" i="35" s="1"/>
  <c r="CX177" i="35" s="1"/>
  <c r="D223" i="35"/>
  <c r="BX177" i="35"/>
  <c r="BG178" i="35"/>
  <c r="CS176" i="35" s="1"/>
  <c r="AW181" i="35"/>
  <c r="CO181" i="35" s="1"/>
  <c r="DG178" i="35" s="1"/>
  <c r="AW179" i="35"/>
  <c r="CO179" i="35" s="1"/>
  <c r="DG176" i="35" s="1"/>
  <c r="BQ176" i="35"/>
  <c r="AK179" i="35"/>
  <c r="CP175" i="35" s="1"/>
  <c r="DA176" i="35" s="1"/>
  <c r="BY177" i="35"/>
  <c r="AK180" i="35"/>
  <c r="CP176" i="35" s="1"/>
  <c r="DA177" i="35" s="1"/>
  <c r="BY178" i="35"/>
  <c r="AR178" i="35"/>
  <c r="AJ178" i="35"/>
  <c r="T223" i="35" s="1"/>
  <c r="CB223" i="35" s="1"/>
  <c r="AW178" i="35"/>
  <c r="M34" i="37"/>
  <c r="I27" i="35"/>
  <c r="C24" i="33"/>
  <c r="J25" i="36"/>
  <c r="AG48" i="32"/>
  <c r="CL49" i="32" s="1"/>
  <c r="AG72" i="32"/>
  <c r="CL72" i="32" s="1"/>
  <c r="AC75" i="32" s="1"/>
  <c r="DF96" i="32" s="1"/>
  <c r="AN22" i="37"/>
  <c r="K114" i="37"/>
  <c r="R108" i="37"/>
  <c r="C250" i="37"/>
  <c r="DC107" i="37"/>
  <c r="AN112" i="37"/>
  <c r="AZ112" i="37"/>
  <c r="BX95" i="32"/>
  <c r="AG95" i="32"/>
  <c r="CL96" i="32" s="1"/>
  <c r="AW22" i="37"/>
  <c r="R135" i="37"/>
  <c r="C256" i="37"/>
  <c r="AN139" i="37"/>
  <c r="DC134" i="37"/>
  <c r="K141" i="37"/>
  <c r="AZ139" i="37"/>
  <c r="CJ170" i="33"/>
  <c r="BZ207" i="33" s="1"/>
  <c r="BX168" i="35"/>
  <c r="CD133" i="32"/>
  <c r="CD183" i="36"/>
  <c r="AG36" i="32"/>
  <c r="CL36" i="32" s="1"/>
  <c r="AC39" i="32" s="1"/>
  <c r="DF47" i="32" s="1"/>
  <c r="AL42" i="32"/>
  <c r="CL45" i="32" s="1"/>
  <c r="AG42" i="32"/>
  <c r="CD42" i="32" s="1"/>
  <c r="AL89" i="32"/>
  <c r="K132" i="37"/>
  <c r="AT22" i="37"/>
  <c r="DC125" i="37"/>
  <c r="AN130" i="37"/>
  <c r="C254" i="37"/>
  <c r="R126" i="37"/>
  <c r="AZ130" i="37"/>
  <c r="AL107" i="32"/>
  <c r="CE174" i="36"/>
  <c r="BY160" i="35"/>
  <c r="CK162" i="33"/>
  <c r="CB206" i="33" s="1"/>
  <c r="AL60" i="32"/>
  <c r="AH22" i="37"/>
  <c r="K96" i="37"/>
  <c r="R90" i="37"/>
  <c r="C246" i="37"/>
  <c r="DC89" i="37"/>
  <c r="AN94" i="37"/>
  <c r="AZ94" i="37"/>
  <c r="M33" i="32"/>
  <c r="DA38" i="32" s="1"/>
  <c r="G150" i="33"/>
  <c r="DD149" i="33" s="1"/>
  <c r="CJ148" i="33"/>
  <c r="T151" i="33"/>
  <c r="DW151" i="33" s="1"/>
  <c r="BY205" i="33"/>
  <c r="G151" i="33"/>
  <c r="DD150" i="33" s="1"/>
  <c r="CI153" i="33"/>
  <c r="CD205" i="33" s="1"/>
  <c r="BK154" i="33"/>
  <c r="G152" i="33"/>
  <c r="DD151" i="33" s="1"/>
  <c r="AZ149" i="33"/>
  <c r="T150" i="33"/>
  <c r="DW150" i="33" s="1"/>
  <c r="CQ152" i="33"/>
  <c r="AN150" i="33"/>
  <c r="BG153" i="33"/>
  <c r="AT153" i="33"/>
  <c r="AT154" i="33"/>
  <c r="T152" i="33"/>
  <c r="DW152" i="33" s="1"/>
  <c r="BA154" i="33"/>
  <c r="CA152" i="33"/>
  <c r="CK148" i="33"/>
  <c r="BQ154" i="33"/>
  <c r="CO153" i="33"/>
  <c r="CQ153" i="33" s="1"/>
  <c r="AB151" i="33" s="1"/>
  <c r="EB151" i="33" s="1"/>
  <c r="BG149" i="33"/>
  <c r="CI151" i="33" s="1"/>
  <c r="BY153" i="33"/>
  <c r="CL153" i="33"/>
  <c r="CM152" i="33"/>
  <c r="O152" i="33" s="1"/>
  <c r="DI151" i="33" s="1"/>
  <c r="CP152" i="33"/>
  <c r="AB152" i="33" s="1"/>
  <c r="EB152" i="33" s="1"/>
  <c r="BR149" i="33"/>
  <c r="BX153" i="33"/>
  <c r="CK152" i="33"/>
  <c r="CN150" i="33" s="1"/>
  <c r="AN153" i="33"/>
  <c r="CY148" i="33" s="1"/>
  <c r="AN149" i="33"/>
  <c r="CU148" i="33" s="1"/>
  <c r="DI154" i="33" s="1"/>
  <c r="BO152" i="33"/>
  <c r="CQ150" i="33"/>
  <c r="CM150" i="33"/>
  <c r="O150" i="33" s="1"/>
  <c r="DI149" i="33" s="1"/>
  <c r="CP150" i="33"/>
  <c r="AB150" i="33"/>
  <c r="EB150" i="33" s="1"/>
  <c r="BV108" i="32"/>
  <c r="AD146" i="36"/>
  <c r="CC145" i="36" s="1"/>
  <c r="AX138" i="33"/>
  <c r="AN134" i="33" s="1"/>
  <c r="I38" i="35"/>
  <c r="BC35" i="35" s="1"/>
  <c r="BB35" i="35" s="1"/>
  <c r="J36" i="36"/>
  <c r="I47" i="37"/>
  <c r="J33" i="33"/>
  <c r="CP36" i="33" s="1"/>
  <c r="AB36" i="33" s="1"/>
  <c r="EB36" i="33" s="1"/>
  <c r="AD44" i="36"/>
  <c r="CC43" i="36" s="1"/>
  <c r="AX46" i="33"/>
  <c r="BV37" i="32"/>
  <c r="C99" i="37"/>
  <c r="N91" i="36"/>
  <c r="M84" i="35"/>
  <c r="F84" i="33"/>
  <c r="AZ120" i="32"/>
  <c r="AA168" i="36"/>
  <c r="Q175" i="37"/>
  <c r="DK170" i="37" s="1"/>
  <c r="AA149" i="33"/>
  <c r="X151" i="35"/>
  <c r="M159" i="35"/>
  <c r="C181" i="37"/>
  <c r="N175" i="36"/>
  <c r="F160" i="33"/>
  <c r="M75" i="32"/>
  <c r="DA95" i="32" s="1"/>
  <c r="DF95" i="32"/>
  <c r="I74" i="37"/>
  <c r="J63" i="36"/>
  <c r="I62" i="35"/>
  <c r="BC59" i="35" s="1"/>
  <c r="BB59" i="35" s="1"/>
  <c r="J57" i="33"/>
  <c r="CN60" i="33" s="1"/>
  <c r="O59" i="33" s="1"/>
  <c r="DI58" i="33" s="1"/>
  <c r="J54" i="36"/>
  <c r="I65" i="37"/>
  <c r="I54" i="35"/>
  <c r="BC51" i="35" s="1"/>
  <c r="BB51" i="35" s="1"/>
  <c r="J49" i="33"/>
  <c r="F141" i="33"/>
  <c r="F166" i="37"/>
  <c r="CD116" i="32"/>
  <c r="F159" i="36"/>
  <c r="F143" i="35"/>
  <c r="S138" i="36"/>
  <c r="P127" i="35"/>
  <c r="S125" i="33"/>
  <c r="T95" i="35"/>
  <c r="W93" i="33"/>
  <c r="CA96" i="33" s="1"/>
  <c r="W102" i="36"/>
  <c r="AN97" i="36" s="1"/>
  <c r="T202" i="37"/>
  <c r="AD195" i="36"/>
  <c r="AA178" i="35"/>
  <c r="AD177" i="33"/>
  <c r="AD36" i="36"/>
  <c r="AA38" i="35"/>
  <c r="T47" i="37"/>
  <c r="AD33" i="33"/>
  <c r="Q56" i="37"/>
  <c r="AA45" i="36"/>
  <c r="X46" i="35"/>
  <c r="AA41" i="33"/>
  <c r="S93" i="36"/>
  <c r="P87" i="35"/>
  <c r="S85" i="33"/>
  <c r="C168" i="33"/>
  <c r="I167" i="35"/>
  <c r="CA173" i="35" s="1"/>
  <c r="M189" i="37"/>
  <c r="J184" i="36"/>
  <c r="M171" i="37"/>
  <c r="I148" i="35"/>
  <c r="CA154" i="35" s="1"/>
  <c r="C148" i="33"/>
  <c r="J166" i="36"/>
  <c r="AA54" i="35"/>
  <c r="AD54" i="36"/>
  <c r="T65" i="37"/>
  <c r="AD49" i="33"/>
  <c r="C72" i="33"/>
  <c r="J70" i="36"/>
  <c r="I67" i="35"/>
  <c r="CA73" i="35" s="1"/>
  <c r="M80" i="37"/>
  <c r="C64" i="33"/>
  <c r="W120" i="36"/>
  <c r="AN115" i="36" s="1"/>
  <c r="T111" i="35"/>
  <c r="W109" i="33"/>
  <c r="CA112" i="33" s="1"/>
  <c r="J145" i="36"/>
  <c r="I132" i="35"/>
  <c r="CA138" i="35" s="1"/>
  <c r="C132" i="33"/>
  <c r="M153" i="37"/>
  <c r="T166" i="37"/>
  <c r="AD159" i="36"/>
  <c r="AA143" i="35"/>
  <c r="AD141" i="33"/>
  <c r="S84" i="36"/>
  <c r="S73" i="33"/>
  <c r="AZ73" i="33" s="1"/>
  <c r="P78" i="35"/>
  <c r="W177" i="36"/>
  <c r="AN172" i="36" s="1"/>
  <c r="W161" i="33"/>
  <c r="T162" i="35"/>
  <c r="AG78" i="32"/>
  <c r="CL79" i="32" s="1"/>
  <c r="DJ99" i="32"/>
  <c r="C104" i="32"/>
  <c r="DA126" i="32" s="1"/>
  <c r="CF101" i="32"/>
  <c r="G127" i="33"/>
  <c r="DD126" i="33" s="1"/>
  <c r="BG129" i="33"/>
  <c r="G126" i="33"/>
  <c r="DD125" i="33" s="1"/>
  <c r="G128" i="33"/>
  <c r="DD127" i="33" s="1"/>
  <c r="BA130" i="33"/>
  <c r="T127" i="33"/>
  <c r="DW127" i="33" s="1"/>
  <c r="T126" i="33"/>
  <c r="DW126" i="33" s="1"/>
  <c r="BK130" i="33"/>
  <c r="BY202" i="33"/>
  <c r="AT130" i="33"/>
  <c r="T128" i="33"/>
  <c r="DW128" i="33" s="1"/>
  <c r="AT129" i="33"/>
  <c r="CJ124" i="33"/>
  <c r="CK124" i="33" s="1"/>
  <c r="C35" i="37"/>
  <c r="N25" i="36"/>
  <c r="M27" i="35"/>
  <c r="F24" i="33"/>
  <c r="C51" i="32"/>
  <c r="DA61" i="32" s="1"/>
  <c r="BA62" i="33"/>
  <c r="BK62" i="33"/>
  <c r="T58" i="33"/>
  <c r="DW58" i="33" s="1"/>
  <c r="CJ56" i="33"/>
  <c r="CK56" i="33" s="1"/>
  <c r="G60" i="33"/>
  <c r="DD59" i="33" s="1"/>
  <c r="G59" i="33"/>
  <c r="DD58" i="33" s="1"/>
  <c r="T59" i="33"/>
  <c r="DW59" i="33" s="1"/>
  <c r="BG61" i="33"/>
  <c r="AT61" i="33"/>
  <c r="AT62" i="33"/>
  <c r="G58" i="33"/>
  <c r="DD57" i="33" s="1"/>
  <c r="T60" i="33"/>
  <c r="DW60" i="33" s="1"/>
  <c r="BY194" i="33"/>
  <c r="C242" i="37"/>
  <c r="DC70" i="37"/>
  <c r="K77" i="37"/>
  <c r="AN75" i="37"/>
  <c r="R71" i="37"/>
  <c r="AB22" i="37"/>
  <c r="AZ75" i="37"/>
  <c r="D209" i="35"/>
  <c r="BQ60" i="35"/>
  <c r="BX61" i="35"/>
  <c r="BY61" i="35" s="1"/>
  <c r="BW72" i="32"/>
  <c r="BO72" i="32" s="1"/>
  <c r="BN75" i="32"/>
  <c r="T120" i="33"/>
  <c r="DW120" i="33" s="1"/>
  <c r="T118" i="33"/>
  <c r="DW118" i="33" s="1"/>
  <c r="AT121" i="33"/>
  <c r="G119" i="33"/>
  <c r="DD118" i="33" s="1"/>
  <c r="BG121" i="33"/>
  <c r="BY201" i="33"/>
  <c r="AT122" i="33"/>
  <c r="BA122" i="33"/>
  <c r="G118" i="33"/>
  <c r="DD117" i="33" s="1"/>
  <c r="CJ116" i="33"/>
  <c r="CK116" i="33" s="1"/>
  <c r="T119" i="33"/>
  <c r="DW119" i="33" s="1"/>
  <c r="G120" i="33"/>
  <c r="DD119" i="33" s="1"/>
  <c r="BK122" i="33"/>
  <c r="AL185" i="36"/>
  <c r="AN183" i="36"/>
  <c r="AG183" i="36" s="1"/>
  <c r="CD187" i="36"/>
  <c r="CE186" i="36" s="1"/>
  <c r="CD184" i="36"/>
  <c r="C39" i="32"/>
  <c r="DA45" i="32" s="1"/>
  <c r="BN44" i="32"/>
  <c r="BX53" i="35"/>
  <c r="BY53" i="35" s="1"/>
  <c r="BQ52" i="35"/>
  <c r="D208" i="35"/>
  <c r="DJ50" i="32"/>
  <c r="M57" i="32"/>
  <c r="DA70" i="32" s="1"/>
  <c r="AG107" i="32"/>
  <c r="CD107" i="32" s="1"/>
  <c r="CK160" i="33"/>
  <c r="T164" i="33"/>
  <c r="DW164" i="33" s="1"/>
  <c r="O163" i="33"/>
  <c r="DI162" i="33" s="1"/>
  <c r="AB164" i="33"/>
  <c r="EB164" i="33" s="1"/>
  <c r="G165" i="33"/>
  <c r="CN162" i="33"/>
  <c r="CP162" i="33"/>
  <c r="O164" i="33"/>
  <c r="DI163" i="33" s="1"/>
  <c r="O162" i="33"/>
  <c r="DI161" i="33" s="1"/>
  <c r="BQ166" i="33"/>
  <c r="CQ164" i="33"/>
  <c r="AZ161" i="33"/>
  <c r="BG161" i="33"/>
  <c r="CI163" i="33" s="1"/>
  <c r="T163" i="33"/>
  <c r="DW163" i="33" s="1"/>
  <c r="AN161" i="33"/>
  <c r="CU160" i="33" s="1"/>
  <c r="DI166" i="33" s="1"/>
  <c r="AN162" i="33"/>
  <c r="CO165" i="33"/>
  <c r="CQ165" i="33" s="1"/>
  <c r="AB163" i="33" s="1"/>
  <c r="EB163" i="33" s="1"/>
  <c r="CM162" i="33"/>
  <c r="BR161" i="33"/>
  <c r="CA163" i="33"/>
  <c r="BO164" i="33"/>
  <c r="CM164" i="33"/>
  <c r="CL165" i="33"/>
  <c r="CA164" i="33"/>
  <c r="CJ160" i="33"/>
  <c r="BK166" i="33"/>
  <c r="T162" i="33"/>
  <c r="DW162" i="33" s="1"/>
  <c r="CN164" i="33"/>
  <c r="CK164" i="33"/>
  <c r="CI165" i="33"/>
  <c r="CD206" i="33" s="1"/>
  <c r="G164" i="33"/>
  <c r="DD163" i="33" s="1"/>
  <c r="BA166" i="33"/>
  <c r="CQ162" i="33"/>
  <c r="AN165" i="33"/>
  <c r="CY160" i="33" s="1"/>
  <c r="BY206" i="33"/>
  <c r="AT165" i="33"/>
  <c r="AB162" i="33"/>
  <c r="EB162" i="33" s="1"/>
  <c r="CP164" i="33"/>
  <c r="BG165" i="33"/>
  <c r="G162" i="33"/>
  <c r="DD161" i="33" s="1"/>
  <c r="G163" i="33"/>
  <c r="DD162" i="33" s="1"/>
  <c r="AT166" i="33"/>
  <c r="CD174" i="36"/>
  <c r="BX160" i="35"/>
  <c r="CJ162" i="33"/>
  <c r="BZ206" i="33" s="1"/>
  <c r="CD127" i="32"/>
  <c r="BQ76" i="35"/>
  <c r="BX77" i="35"/>
  <c r="BY77" i="35" s="1"/>
  <c r="D211" i="35"/>
  <c r="BA38" i="33"/>
  <c r="G36" i="33"/>
  <c r="DD35" i="33" s="1"/>
  <c r="CJ32" i="33"/>
  <c r="CK32" i="33" s="1"/>
  <c r="T34" i="33"/>
  <c r="DW34" i="33" s="1"/>
  <c r="G34" i="33"/>
  <c r="DD33" i="33" s="1"/>
  <c r="T35" i="33"/>
  <c r="DW35" i="33" s="1"/>
  <c r="T36" i="33"/>
  <c r="DW36" i="33" s="1"/>
  <c r="BK38" i="33"/>
  <c r="BY191" i="33"/>
  <c r="CQ34" i="33"/>
  <c r="BG37" i="33"/>
  <c r="G35" i="33"/>
  <c r="DD34" i="33" s="1"/>
  <c r="AT37" i="33"/>
  <c r="AT38" i="33"/>
  <c r="BN32" i="32"/>
  <c r="DE35" i="32"/>
  <c r="D206" i="35"/>
  <c r="BX37" i="35"/>
  <c r="BY37" i="35" s="1"/>
  <c r="BQ36" i="35"/>
  <c r="CS120" i="32"/>
  <c r="DO151" i="32"/>
  <c r="CR120" i="32"/>
  <c r="BV79" i="32"/>
  <c r="AD110" i="36"/>
  <c r="CC109" i="36" s="1"/>
  <c r="AX106" i="33"/>
  <c r="BV114" i="32"/>
  <c r="AX146" i="33"/>
  <c r="AD158" i="36"/>
  <c r="CC157" i="36" s="1"/>
  <c r="I111" i="37"/>
  <c r="J102" i="36"/>
  <c r="I95" i="35"/>
  <c r="BC92" i="35" s="1"/>
  <c r="BB92" i="35" s="1"/>
  <c r="AW97" i="35" s="1"/>
  <c r="CO97" i="35" s="1"/>
  <c r="DG94" i="35" s="1"/>
  <c r="J93" i="33"/>
  <c r="CA94" i="33" s="1"/>
  <c r="CC97" i="33" s="1"/>
  <c r="CD45" i="32"/>
  <c r="F65" i="37"/>
  <c r="F54" i="35"/>
  <c r="F54" i="36"/>
  <c r="F49" i="33"/>
  <c r="CQ53" i="33" s="1"/>
  <c r="AX154" i="33"/>
  <c r="CL149" i="33" s="1"/>
  <c r="BV120" i="32"/>
  <c r="AD167" i="36"/>
  <c r="CC166" i="36" s="1"/>
  <c r="Q120" i="37"/>
  <c r="AA111" i="36"/>
  <c r="X103" i="35"/>
  <c r="AA101" i="33"/>
  <c r="T147" i="37"/>
  <c r="AD138" i="36"/>
  <c r="AA127" i="35"/>
  <c r="AD125" i="33"/>
  <c r="AD117" i="33"/>
  <c r="BQ122" i="33" s="1"/>
  <c r="AD129" i="36"/>
  <c r="AA119" i="35"/>
  <c r="T138" i="37"/>
  <c r="S194" i="36"/>
  <c r="AJ175" i="35"/>
  <c r="AD176" i="33"/>
  <c r="AJ84" i="35"/>
  <c r="S92" i="36"/>
  <c r="AD84" i="33"/>
  <c r="S53" i="36"/>
  <c r="AJ51" i="35"/>
  <c r="AD48" i="33"/>
  <c r="S72" i="36"/>
  <c r="P70" i="35"/>
  <c r="S65" i="33"/>
  <c r="BG70" i="33" s="1"/>
  <c r="S119" i="36"/>
  <c r="AJ108" i="35"/>
  <c r="AD108" i="33"/>
  <c r="S133" i="33"/>
  <c r="BG138" i="33" s="1"/>
  <c r="P135" i="35"/>
  <c r="S147" i="36"/>
  <c r="AZ60" i="32"/>
  <c r="N84" i="36"/>
  <c r="L78" i="35"/>
  <c r="BX80" i="35" s="1"/>
  <c r="N73" i="33"/>
  <c r="CK75" i="33" s="1"/>
  <c r="M93" i="37"/>
  <c r="S176" i="36"/>
  <c r="AJ159" i="35"/>
  <c r="AD160" i="33"/>
  <c r="AL110" i="36"/>
  <c r="CD112" i="36"/>
  <c r="CE111" i="36" s="1"/>
  <c r="D217" i="35"/>
  <c r="BX126" i="35"/>
  <c r="BY126" i="35" s="1"/>
  <c r="BQ125" i="35"/>
  <c r="CL75" i="32"/>
  <c r="C98" i="32"/>
  <c r="DA118" i="32" s="1"/>
  <c r="DF118" i="32"/>
  <c r="K196" i="37"/>
  <c r="BO22" i="37"/>
  <c r="BO23" i="37" s="1"/>
  <c r="R190" i="37"/>
  <c r="DJ195" i="37"/>
  <c r="DO193" i="37"/>
  <c r="DO192" i="37"/>
  <c r="DB188" i="37"/>
  <c r="AA193" i="37"/>
  <c r="DO195" i="37"/>
  <c r="DJ194" i="37"/>
  <c r="DC189" i="37"/>
  <c r="DM192" i="37"/>
  <c r="DB189" i="37"/>
  <c r="C268" i="37"/>
  <c r="DJ193" i="37"/>
  <c r="AZ194" i="37"/>
  <c r="DF193" i="37"/>
  <c r="AN194" i="37"/>
  <c r="DB191" i="37" s="1"/>
  <c r="DC191" i="37" s="1"/>
  <c r="DN192" i="37"/>
  <c r="DB192" i="37"/>
  <c r="DO194" i="37" s="1"/>
  <c r="DK188" i="37"/>
  <c r="DJ192" i="37"/>
  <c r="DK190" i="37"/>
  <c r="BX36" i="32"/>
  <c r="BO36" i="32" s="1"/>
  <c r="BX45" i="35"/>
  <c r="BY45" i="35" s="1"/>
  <c r="BQ44" i="35"/>
  <c r="D207" i="35"/>
  <c r="R81" i="37"/>
  <c r="K87" i="37"/>
  <c r="DC80" i="37"/>
  <c r="AN85" i="37"/>
  <c r="AE22" i="37"/>
  <c r="C244" i="37"/>
  <c r="AZ85" i="37"/>
  <c r="BN92" i="32"/>
  <c r="BN91" i="32"/>
  <c r="CD121" i="36"/>
  <c r="CE120" i="36" s="1"/>
  <c r="AL119" i="36"/>
  <c r="BX107" i="32"/>
  <c r="M63" i="32"/>
  <c r="DA78" i="32" s="1"/>
  <c r="DF78" i="32"/>
  <c r="CD85" i="36"/>
  <c r="CE84" i="36" s="1"/>
  <c r="AL83" i="36"/>
  <c r="C236" i="37"/>
  <c r="S22" i="37"/>
  <c r="DC43" i="37"/>
  <c r="K50" i="37"/>
  <c r="AN48" i="37"/>
  <c r="R44" i="37"/>
  <c r="DB43" i="37"/>
  <c r="DB52" i="37" s="1"/>
  <c r="DB61" i="37" s="1"/>
  <c r="DB70" i="37" s="1"/>
  <c r="DN46" i="37"/>
  <c r="AZ48" i="37"/>
  <c r="DO46" i="37"/>
  <c r="DM46" i="37"/>
  <c r="BV102" i="32"/>
  <c r="AD137" i="36"/>
  <c r="CC136" i="36" s="1"/>
  <c r="AX130" i="33"/>
  <c r="AX78" i="33"/>
  <c r="AN74" i="33" s="1"/>
  <c r="AD83" i="36"/>
  <c r="CC82" i="36" s="1"/>
  <c r="BV61" i="32"/>
  <c r="BV43" i="32"/>
  <c r="AD53" i="36"/>
  <c r="CC52" i="36" s="1"/>
  <c r="AX54" i="33"/>
  <c r="I166" i="37"/>
  <c r="I143" i="35"/>
  <c r="BC140" i="35" s="1"/>
  <c r="BB140" i="35" s="1"/>
  <c r="J141" i="33"/>
  <c r="J159" i="36"/>
  <c r="AD62" i="36"/>
  <c r="CC61" i="36" s="1"/>
  <c r="BV49" i="32"/>
  <c r="AX62" i="33"/>
  <c r="T74" i="37"/>
  <c r="AA62" i="35"/>
  <c r="AD63" i="36"/>
  <c r="AD57" i="33"/>
  <c r="S101" i="36"/>
  <c r="AD92" i="33"/>
  <c r="AJ92" i="35"/>
  <c r="S128" i="36"/>
  <c r="AD116" i="33"/>
  <c r="AJ116" i="35"/>
  <c r="N193" i="36"/>
  <c r="M175" i="35"/>
  <c r="F176" i="33"/>
  <c r="C199" i="37"/>
  <c r="W33" i="33"/>
  <c r="CA35" i="33" s="1"/>
  <c r="W36" i="36"/>
  <c r="T38" i="35"/>
  <c r="AD45" i="36"/>
  <c r="AA46" i="35"/>
  <c r="T56" i="37"/>
  <c r="AD41" i="33"/>
  <c r="AA85" i="33"/>
  <c r="Q102" i="37"/>
  <c r="AA93" i="36"/>
  <c r="X87" i="35"/>
  <c r="T193" i="37"/>
  <c r="AD186" i="36"/>
  <c r="AA170" i="35"/>
  <c r="AD169" i="33"/>
  <c r="M175" i="37"/>
  <c r="N149" i="33"/>
  <c r="CK151" i="33" s="1"/>
  <c r="AZ119" i="32"/>
  <c r="L151" i="35"/>
  <c r="BX153" i="35" s="1"/>
  <c r="N168" i="36"/>
  <c r="AD72" i="36"/>
  <c r="AA70" i="35"/>
  <c r="T84" i="37"/>
  <c r="AD65" i="33"/>
  <c r="T157" i="37"/>
  <c r="AA135" i="35"/>
  <c r="AD133" i="33"/>
  <c r="AD147" i="36"/>
  <c r="CB101" i="32"/>
  <c r="DO175" i="32"/>
  <c r="CO140" i="32"/>
  <c r="CP140" i="32"/>
  <c r="AN203" i="37"/>
  <c r="DB200" i="37" s="1"/>
  <c r="DC200" i="37" s="1"/>
  <c r="DO202" i="37"/>
  <c r="DC198" i="37"/>
  <c r="DA200" i="37" s="1"/>
  <c r="DK199" i="37"/>
  <c r="DB197" i="37"/>
  <c r="DN201" i="37"/>
  <c r="DB198" i="37"/>
  <c r="DA180" i="37" s="1"/>
  <c r="R199" i="37"/>
  <c r="DK197" i="37"/>
  <c r="AA202" i="37"/>
  <c r="DB201" i="37"/>
  <c r="DO203" i="37" s="1"/>
  <c r="K205" i="37"/>
  <c r="C270" i="37"/>
  <c r="AZ203" i="37"/>
  <c r="DF202" i="37"/>
  <c r="DJ203" i="37"/>
  <c r="BR22" i="37"/>
  <c r="BR23" i="37" s="1"/>
  <c r="DJ204" i="37"/>
  <c r="DJ201" i="37"/>
  <c r="DM201" i="37"/>
  <c r="DJ202" i="37"/>
  <c r="DO201" i="37"/>
  <c r="DJ91" i="32"/>
  <c r="BX94" i="35"/>
  <c r="BY94" i="35" s="1"/>
  <c r="D213" i="35"/>
  <c r="BQ93" i="35"/>
  <c r="CD130" i="36"/>
  <c r="CE129" i="36" s="1"/>
  <c r="AL128" i="36"/>
  <c r="AN170" i="33"/>
  <c r="AT173" i="33"/>
  <c r="BQ174" i="33"/>
  <c r="CK172" i="33"/>
  <c r="G173" i="33"/>
  <c r="O173" i="33" s="1"/>
  <c r="DI172" i="33" s="1"/>
  <c r="AZ169" i="33"/>
  <c r="CP172" i="33"/>
  <c r="AT174" i="33"/>
  <c r="CJ168" i="33"/>
  <c r="CM170" i="33"/>
  <c r="CK168" i="33"/>
  <c r="CL173" i="33"/>
  <c r="T170" i="33"/>
  <c r="DW170" i="33" s="1"/>
  <c r="CA171" i="33"/>
  <c r="BK174" i="33"/>
  <c r="BG173" i="33"/>
  <c r="T171" i="33"/>
  <c r="DW171" i="33" s="1"/>
  <c r="O170" i="33"/>
  <c r="DI169" i="33" s="1"/>
  <c r="AB170" i="33"/>
  <c r="EB170" i="33" s="1"/>
  <c r="CQ170" i="33"/>
  <c r="CA172" i="33"/>
  <c r="O172" i="33"/>
  <c r="DI171" i="33" s="1"/>
  <c r="G172" i="33"/>
  <c r="DD171" i="33" s="1"/>
  <c r="CM172" i="33"/>
  <c r="G171" i="33"/>
  <c r="DD170" i="33" s="1"/>
  <c r="CN170" i="33"/>
  <c r="BG169" i="33"/>
  <c r="CI171" i="33" s="1"/>
  <c r="CN172" i="33"/>
  <c r="BR169" i="33"/>
  <c r="T172" i="33"/>
  <c r="DW172" i="33" s="1"/>
  <c r="BA174" i="33"/>
  <c r="BY207" i="33"/>
  <c r="BO172" i="33"/>
  <c r="G170" i="33"/>
  <c r="DD169" i="33" s="1"/>
  <c r="CI173" i="33"/>
  <c r="CD207" i="33" s="1"/>
  <c r="AB172" i="33"/>
  <c r="EB172" i="33" s="1"/>
  <c r="CP170" i="33"/>
  <c r="O171" i="33"/>
  <c r="DI170" i="33" s="1"/>
  <c r="CO173" i="33"/>
  <c r="CQ173" i="33" s="1"/>
  <c r="AB171" i="33" s="1"/>
  <c r="EB171" i="33" s="1"/>
  <c r="AN169" i="33"/>
  <c r="CU168" i="33" s="1"/>
  <c r="DI174" i="33" s="1"/>
  <c r="AN173" i="33"/>
  <c r="CY168" i="33" s="1"/>
  <c r="CQ172" i="33"/>
  <c r="BN171" i="35"/>
  <c r="CP171" i="35" s="1"/>
  <c r="BY169" i="35"/>
  <c r="AW173" i="35"/>
  <c r="CO173" i="35" s="1"/>
  <c r="DG170" i="35" s="1"/>
  <c r="BG170" i="35"/>
  <c r="CS168" i="35" s="1"/>
  <c r="AK173" i="35"/>
  <c r="CP169" i="35" s="1"/>
  <c r="DA170" i="35" s="1"/>
  <c r="BY170" i="35"/>
  <c r="AK171" i="35"/>
  <c r="CP167" i="35" s="1"/>
  <c r="DA168" i="35" s="1"/>
  <c r="BN172" i="35"/>
  <c r="CP172" i="35" s="1"/>
  <c r="DJ169" i="35" s="1"/>
  <c r="AW172" i="35"/>
  <c r="CO172" i="35" s="1"/>
  <c r="DG169" i="35" s="1"/>
  <c r="BN173" i="35"/>
  <c r="CP173" i="35" s="1"/>
  <c r="DJ170" i="35" s="1"/>
  <c r="AR170" i="35"/>
  <c r="Q171" i="35"/>
  <c r="CO167" i="35" s="1"/>
  <c r="CX168" i="35" s="1"/>
  <c r="Q172" i="35"/>
  <c r="CO168" i="35" s="1"/>
  <c r="CX169" i="35" s="1"/>
  <c r="AW170" i="35"/>
  <c r="AW171" i="35"/>
  <c r="CO171" i="35" s="1"/>
  <c r="DG168" i="35" s="1"/>
  <c r="BQ168" i="35"/>
  <c r="AD170" i="35"/>
  <c r="N222" i="35" s="1"/>
  <c r="BZ222" i="35" s="1"/>
  <c r="CC222" i="35" s="1"/>
  <c r="CE222" i="35" s="1"/>
  <c r="D222" i="35"/>
  <c r="Q173" i="35"/>
  <c r="CO169" i="35" s="1"/>
  <c r="CX170" i="35" s="1"/>
  <c r="AK172" i="35"/>
  <c r="CP168" i="35" s="1"/>
  <c r="DA169" i="35" s="1"/>
  <c r="BX170" i="35"/>
  <c r="AG170" i="35"/>
  <c r="Q222" i="35" s="1"/>
  <c r="CA222" i="35" s="1"/>
  <c r="AJ170" i="35"/>
  <c r="T222" i="35" s="1"/>
  <c r="CB222" i="35" s="1"/>
  <c r="BX169" i="35"/>
  <c r="BN39" i="32"/>
  <c r="BX42" i="32"/>
  <c r="AL53" i="36"/>
  <c r="CD55" i="36"/>
  <c r="CE54" i="36" s="1"/>
  <c r="G66" i="33"/>
  <c r="DD65" i="33" s="1"/>
  <c r="T66" i="33"/>
  <c r="DW66" i="33" s="1"/>
  <c r="T67" i="33"/>
  <c r="DW67" i="33" s="1"/>
  <c r="CJ64" i="33"/>
  <c r="CK64" i="33" s="1"/>
  <c r="BK70" i="33"/>
  <c r="G68" i="33"/>
  <c r="DD67" i="33" s="1"/>
  <c r="G67" i="33"/>
  <c r="DD66" i="33" s="1"/>
  <c r="T68" i="33"/>
  <c r="DW68" i="33" s="1"/>
  <c r="AT70" i="33"/>
  <c r="BA70" i="33"/>
  <c r="BG69" i="33"/>
  <c r="AT69" i="33"/>
  <c r="BY195" i="33"/>
  <c r="BW107" i="32"/>
  <c r="AL146" i="36"/>
  <c r="CD148" i="36"/>
  <c r="CE147" i="36" s="1"/>
  <c r="DJ184" i="37"/>
  <c r="DO183" i="37"/>
  <c r="DO184" i="37"/>
  <c r="AA184" i="37"/>
  <c r="AN185" i="37"/>
  <c r="DB182" i="37" s="1"/>
  <c r="DC182" i="37" s="1"/>
  <c r="DC180" i="37"/>
  <c r="DB183" i="37"/>
  <c r="DO185" i="37" s="1"/>
  <c r="DB180" i="37"/>
  <c r="DA162" i="37" s="1"/>
  <c r="DJ186" i="37"/>
  <c r="DN183" i="37"/>
  <c r="DO186" i="37"/>
  <c r="DJ183" i="37"/>
  <c r="DK179" i="37"/>
  <c r="DF184" i="37"/>
  <c r="DK181" i="37"/>
  <c r="R181" i="37"/>
  <c r="AZ185" i="37"/>
  <c r="DB179" i="37"/>
  <c r="DJ185" i="37"/>
  <c r="C266" i="37"/>
  <c r="DM183" i="37"/>
  <c r="K187" i="37"/>
  <c r="BL22" i="37"/>
  <c r="BL23" i="37" s="1"/>
  <c r="G76" i="33"/>
  <c r="DD75" i="33" s="1"/>
  <c r="BG77" i="33"/>
  <c r="CJ72" i="33"/>
  <c r="CK72" i="33" s="1"/>
  <c r="BY196" i="33"/>
  <c r="G75" i="33"/>
  <c r="DD74" i="33" s="1"/>
  <c r="G74" i="33"/>
  <c r="DD73" i="33" s="1"/>
  <c r="AT77" i="33"/>
  <c r="T76" i="33"/>
  <c r="DW76" i="33" s="1"/>
  <c r="BK78" i="33"/>
  <c r="T75" i="33"/>
  <c r="DW75" i="33" s="1"/>
  <c r="T74" i="33"/>
  <c r="DW74" i="33" s="1"/>
  <c r="AT78" i="33"/>
  <c r="CA75" i="33"/>
  <c r="BA78" i="33"/>
  <c r="DJ78" i="32"/>
  <c r="BN33" i="32"/>
  <c r="BW30" i="32"/>
  <c r="BO30" i="32" s="1"/>
  <c r="AG30" i="32"/>
  <c r="CD37" i="36"/>
  <c r="CE36" i="36" s="1"/>
  <c r="AL35" i="36"/>
  <c r="CS119" i="32"/>
  <c r="CR119" i="32"/>
  <c r="DO150" i="32"/>
  <c r="CD165" i="36"/>
  <c r="CJ150" i="33"/>
  <c r="BZ205" i="33" s="1"/>
  <c r="BX149" i="35"/>
  <c r="CI121" i="32"/>
  <c r="X178" i="37" l="1"/>
  <c r="EJ174" i="37" s="1"/>
  <c r="CQ36" i="33"/>
  <c r="CA119" i="33"/>
  <c r="CC119" i="33" s="1"/>
  <c r="BO95" i="32"/>
  <c r="CN98" i="32" s="1"/>
  <c r="AM98" i="32" s="1"/>
  <c r="DK121" i="32" s="1"/>
  <c r="BZ34" i="33"/>
  <c r="CB37" i="33" s="1"/>
  <c r="CE150" i="33"/>
  <c r="BZ102" i="33"/>
  <c r="CB105" i="33" s="1"/>
  <c r="BO107" i="32"/>
  <c r="CN110" i="32" s="1"/>
  <c r="CA59" i="33"/>
  <c r="BY59" i="33" s="1"/>
  <c r="BO42" i="32"/>
  <c r="CA74" i="33"/>
  <c r="CE74" i="33" s="1"/>
  <c r="CG77" i="33" s="1"/>
  <c r="BO48" i="32"/>
  <c r="CS48" i="32" s="1"/>
  <c r="BO89" i="32"/>
  <c r="CN92" i="32" s="1"/>
  <c r="BZ118" i="33"/>
  <c r="CB121" i="33" s="1"/>
  <c r="BZ94" i="33"/>
  <c r="CB97" i="33" s="1"/>
  <c r="CA102" i="33"/>
  <c r="CC105" i="33" s="1"/>
  <c r="BR57" i="33"/>
  <c r="BO60" i="33" s="1"/>
  <c r="AN108" i="36"/>
  <c r="AG108" i="36" s="1"/>
  <c r="BR109" i="33"/>
  <c r="CI112" i="33" s="1"/>
  <c r="CS55" i="32"/>
  <c r="CT55" i="32" s="1"/>
  <c r="DK126" i="37"/>
  <c r="BR73" i="33"/>
  <c r="BO76" i="33" s="1"/>
  <c r="CA118" i="33"/>
  <c r="CC121" i="33" s="1"/>
  <c r="BG73" i="33"/>
  <c r="CI75" i="33" s="1"/>
  <c r="DO176" i="32"/>
  <c r="CN120" i="33"/>
  <c r="O119" i="33" s="1"/>
  <c r="DI118" i="33" s="1"/>
  <c r="CP128" i="32"/>
  <c r="CS137" i="32"/>
  <c r="CT137" i="32" s="1"/>
  <c r="CA134" i="33"/>
  <c r="CC137" i="33" s="1"/>
  <c r="BZ86" i="33"/>
  <c r="CB89" i="33" s="1"/>
  <c r="DK133" i="37"/>
  <c r="DB133" i="37" s="1"/>
  <c r="BZ42" i="33"/>
  <c r="CB45" i="33" s="1"/>
  <c r="BX45" i="33" s="1"/>
  <c r="BZ74" i="33"/>
  <c r="CB77" i="33" s="1"/>
  <c r="CN44" i="33"/>
  <c r="O43" i="33" s="1"/>
  <c r="DI42" i="33" s="1"/>
  <c r="BZ50" i="33"/>
  <c r="CB53" i="33" s="1"/>
  <c r="CA66" i="33"/>
  <c r="CE66" i="33" s="1"/>
  <c r="CG69" i="33" s="1"/>
  <c r="BZ150" i="33"/>
  <c r="CD150" i="33" s="1"/>
  <c r="CS43" i="32"/>
  <c r="BZ58" i="33"/>
  <c r="CB61" i="33" s="1"/>
  <c r="CA142" i="33"/>
  <c r="CC145" i="33" s="1"/>
  <c r="AN98" i="36"/>
  <c r="AG98" i="36" s="1"/>
  <c r="CA58" i="33"/>
  <c r="CC61" i="33" s="1"/>
  <c r="DB136" i="37"/>
  <c r="DC136" i="37" s="1"/>
  <c r="DK124" i="37"/>
  <c r="DB124" i="37" s="1"/>
  <c r="BZ170" i="33"/>
  <c r="CD170" i="33" s="1"/>
  <c r="CA50" i="33"/>
  <c r="CC53" i="33" s="1"/>
  <c r="BZ178" i="33"/>
  <c r="CD178" i="33" s="1"/>
  <c r="AN42" i="36"/>
  <c r="AG42" i="36" s="1"/>
  <c r="CA86" i="33"/>
  <c r="CC89" i="33" s="1"/>
  <c r="BZ66" i="33"/>
  <c r="CB69" i="33" s="1"/>
  <c r="BX69" i="33" s="1"/>
  <c r="CA42" i="33"/>
  <c r="CC45" i="33" s="1"/>
  <c r="CA34" i="33"/>
  <c r="CC37" i="33" s="1"/>
  <c r="BY37" i="33" s="1"/>
  <c r="CC77" i="33"/>
  <c r="DK90" i="37"/>
  <c r="AN144" i="36"/>
  <c r="AG144" i="36" s="1"/>
  <c r="CR43" i="32"/>
  <c r="BG114" i="33"/>
  <c r="CR49" i="32"/>
  <c r="BW166" i="37"/>
  <c r="CA127" i="33"/>
  <c r="CE127" i="33" s="1"/>
  <c r="DB91" i="37"/>
  <c r="CJ181" i="36"/>
  <c r="CJ182" i="36" s="1"/>
  <c r="CA87" i="33"/>
  <c r="AN87" i="33" s="1"/>
  <c r="CU86" i="33" s="1"/>
  <c r="CS49" i="32"/>
  <c r="BC23" i="37"/>
  <c r="AJ135" i="35" s="1"/>
  <c r="T218" i="35" s="1"/>
  <c r="CB218" i="35" s="1"/>
  <c r="AN107" i="36"/>
  <c r="AG107" i="36" s="1"/>
  <c r="CO128" i="32"/>
  <c r="CF66" i="32"/>
  <c r="DK79" i="37"/>
  <c r="DB79" i="37" s="1"/>
  <c r="AT23" i="37"/>
  <c r="W129" i="37" s="1"/>
  <c r="CN88" i="33"/>
  <c r="O87" i="33" s="1"/>
  <c r="DI86" i="33" s="1"/>
  <c r="CG179" i="35"/>
  <c r="CO134" i="32"/>
  <c r="CQ134" i="32" s="1"/>
  <c r="DO167" i="32"/>
  <c r="CG163" i="35"/>
  <c r="DO149" i="32"/>
  <c r="BA220" i="35"/>
  <c r="AI178" i="37"/>
  <c r="EN174" i="37" s="1"/>
  <c r="CG152" i="35"/>
  <c r="CS114" i="32"/>
  <c r="C116" i="32"/>
  <c r="DA142" i="32" s="1"/>
  <c r="CL108" i="32"/>
  <c r="AN134" i="36"/>
  <c r="AG134" i="36" s="1"/>
  <c r="AN126" i="36"/>
  <c r="AG126" i="36" s="1"/>
  <c r="BR117" i="33"/>
  <c r="BO120" i="33" s="1"/>
  <c r="BG117" i="33"/>
  <c r="CI119" i="33" s="1"/>
  <c r="AN117" i="36"/>
  <c r="AG117" i="36" s="1"/>
  <c r="BG109" i="33"/>
  <c r="CI111" i="33" s="1"/>
  <c r="AZ92" i="32"/>
  <c r="DO109" i="32" s="1"/>
  <c r="DK117" i="37"/>
  <c r="DK108" i="37"/>
  <c r="AZ67" i="32"/>
  <c r="CP67" i="32" s="1"/>
  <c r="DB155" i="37"/>
  <c r="DC155" i="37" s="1"/>
  <c r="DO159" i="37" s="1"/>
  <c r="DF159" i="37" s="1"/>
  <c r="CA44" i="33"/>
  <c r="AN44" i="33" s="1"/>
  <c r="CU43" i="33" s="1"/>
  <c r="CI37" i="33"/>
  <c r="CD191" i="33" s="1"/>
  <c r="CD211" i="33" s="1"/>
  <c r="BG57" i="33"/>
  <c r="CI59" i="33" s="1"/>
  <c r="CU122" i="32"/>
  <c r="CV122" i="32" s="1"/>
  <c r="BQ78" i="33"/>
  <c r="CN68" i="33"/>
  <c r="O67" i="33" s="1"/>
  <c r="DI66" i="33" s="1"/>
  <c r="CT119" i="32"/>
  <c r="BQ62" i="33"/>
  <c r="AN50" i="36"/>
  <c r="AG50" i="36" s="1"/>
  <c r="BG38" i="33"/>
  <c r="AN80" i="36"/>
  <c r="AG80" i="36" s="1"/>
  <c r="BG78" i="33"/>
  <c r="CQ76" i="33"/>
  <c r="DK81" i="37"/>
  <c r="AN69" i="36"/>
  <c r="AG69" i="36" s="1"/>
  <c r="AE23" i="37"/>
  <c r="K86" i="37" s="1"/>
  <c r="CL48" i="32"/>
  <c r="AC51" i="32" s="1"/>
  <c r="DF63" i="32" s="1"/>
  <c r="DK60" i="37"/>
  <c r="DB60" i="37" s="1"/>
  <c r="BR49" i="33"/>
  <c r="BO52" i="33" s="1"/>
  <c r="BG49" i="33"/>
  <c r="CI51" i="33" s="1"/>
  <c r="BW43" i="32"/>
  <c r="BZ42" i="32" s="1"/>
  <c r="S43" i="32" s="1"/>
  <c r="DF49" i="32" s="1"/>
  <c r="CN45" i="32"/>
  <c r="AM45" i="32" s="1"/>
  <c r="DF56" i="32" s="1"/>
  <c r="DB63" i="37"/>
  <c r="DC63" i="37" s="1"/>
  <c r="DB64" i="37" s="1"/>
  <c r="DO66" i="37" s="1"/>
  <c r="BQ46" i="33"/>
  <c r="DO38" i="32"/>
  <c r="CS31" i="32"/>
  <c r="CT31" i="32" s="1"/>
  <c r="BG33" i="33"/>
  <c r="CI35" i="33" s="1"/>
  <c r="CN36" i="33"/>
  <c r="O35" i="33" s="1"/>
  <c r="DI34" i="33" s="1"/>
  <c r="CP34" i="33"/>
  <c r="AB34" i="33" s="1"/>
  <c r="EB34" i="33" s="1"/>
  <c r="AZ23" i="37"/>
  <c r="X147" i="37" s="1"/>
  <c r="DK135" i="37"/>
  <c r="AN116" i="36"/>
  <c r="AG116" i="36" s="1"/>
  <c r="DB127" i="37"/>
  <c r="DC127" i="37" s="1"/>
  <c r="DB128" i="37" s="1"/>
  <c r="DO130" i="37" s="1"/>
  <c r="BW90" i="32"/>
  <c r="BZ89" i="32" s="1"/>
  <c r="DK115" i="37"/>
  <c r="DB115" i="37" s="1"/>
  <c r="BR101" i="33"/>
  <c r="BO104" i="33" s="1"/>
  <c r="BG101" i="33"/>
  <c r="CI103" i="33" s="1"/>
  <c r="CS79" i="32"/>
  <c r="DK106" i="37"/>
  <c r="DB106" i="37" s="1"/>
  <c r="AZ93" i="33"/>
  <c r="BA94" i="33" s="1"/>
  <c r="CY94" i="33" s="1"/>
  <c r="DM110" i="37"/>
  <c r="DN110" i="37"/>
  <c r="DO110" i="37"/>
  <c r="BW73" i="32"/>
  <c r="BZ72" i="32" s="1"/>
  <c r="DB109" i="37"/>
  <c r="DC109" i="37" s="1"/>
  <c r="DJ101" i="37"/>
  <c r="C69" i="32"/>
  <c r="DA85" i="32" s="1"/>
  <c r="M69" i="32"/>
  <c r="DA86" i="32" s="1"/>
  <c r="DK88" i="37"/>
  <c r="DB88" i="37" s="1"/>
  <c r="AN81" i="36"/>
  <c r="AG81" i="36" s="1"/>
  <c r="BM83" i="36"/>
  <c r="BM82" i="36" s="1"/>
  <c r="BQ70" i="33"/>
  <c r="X87" i="37"/>
  <c r="EJ83" i="37" s="1"/>
  <c r="DK71" i="37"/>
  <c r="AN60" i="36"/>
  <c r="AG60" i="36" s="1"/>
  <c r="BW49" i="32"/>
  <c r="BZ49" i="32" s="1"/>
  <c r="DB72" i="37"/>
  <c r="DC72" i="37" s="1"/>
  <c r="DO76" i="37" s="1"/>
  <c r="AZ45" i="32"/>
  <c r="CP45" i="32" s="1"/>
  <c r="CD43" i="32"/>
  <c r="Y23" i="37"/>
  <c r="AD65" i="37" s="1"/>
  <c r="BG41" i="33"/>
  <c r="CI43" i="33" s="1"/>
  <c r="DK44" i="37"/>
  <c r="AN33" i="36"/>
  <c r="AG33" i="36" s="1"/>
  <c r="DK42" i="37"/>
  <c r="DB42" i="37" s="1"/>
  <c r="AZ33" i="33"/>
  <c r="CI34" i="33" s="1"/>
  <c r="DE38" i="32"/>
  <c r="DE73" i="32"/>
  <c r="X50" i="37"/>
  <c r="EJ46" i="37" s="1"/>
  <c r="DB45" i="37"/>
  <c r="DC45" i="37" s="1"/>
  <c r="DB46" i="37" s="1"/>
  <c r="DO48" i="37" s="1"/>
  <c r="AZ33" i="32"/>
  <c r="CO33" i="32" s="1"/>
  <c r="DE48" i="32"/>
  <c r="DE51" i="32"/>
  <c r="DE40" i="32"/>
  <c r="DE59" i="32"/>
  <c r="AZ79" i="32"/>
  <c r="CO79" i="32" s="1"/>
  <c r="AB35" i="33"/>
  <c r="EB35" i="33" s="1"/>
  <c r="BR33" i="33"/>
  <c r="CI36" i="33" s="1"/>
  <c r="DE43" i="32"/>
  <c r="CR90" i="32"/>
  <c r="CT90" i="32" s="1"/>
  <c r="CQ44" i="33"/>
  <c r="DE39" i="32"/>
  <c r="DE79" i="32"/>
  <c r="DE63" i="32"/>
  <c r="DE41" i="32"/>
  <c r="AB42" i="33"/>
  <c r="EB42" i="33" s="1"/>
  <c r="CA68" i="33"/>
  <c r="AN68" i="33" s="1"/>
  <c r="CU67" i="33" s="1"/>
  <c r="DE42" i="32"/>
  <c r="DE62" i="32"/>
  <c r="AZ65" i="33"/>
  <c r="CS69" i="33" s="1"/>
  <c r="CR69" i="33" s="1"/>
  <c r="G69" i="33" s="1"/>
  <c r="CR79" i="32"/>
  <c r="DE44" i="32"/>
  <c r="DE72" i="32"/>
  <c r="M116" i="32"/>
  <c r="DA143" i="32" s="1"/>
  <c r="BR41" i="33"/>
  <c r="BO42" i="33" s="1"/>
  <c r="CT138" i="32"/>
  <c r="DF192" i="37"/>
  <c r="DF46" i="37"/>
  <c r="DF201" i="37"/>
  <c r="CF31" i="32"/>
  <c r="DO40" i="32"/>
  <c r="CB31" i="32"/>
  <c r="CG75" i="33"/>
  <c r="CE75" i="33"/>
  <c r="CC75" i="33"/>
  <c r="BY75" i="33"/>
  <c r="AN75" i="33"/>
  <c r="CU74" i="33" s="1"/>
  <c r="DS169" i="35"/>
  <c r="CR168" i="35"/>
  <c r="DP169" i="35" s="1"/>
  <c r="CT174" i="33"/>
  <c r="CY173" i="33"/>
  <c r="CS174" i="33"/>
  <c r="H122" i="36"/>
  <c r="DA116" i="36" s="1"/>
  <c r="AT122" i="36"/>
  <c r="DJ116" i="36" s="1"/>
  <c r="CG122" i="36"/>
  <c r="CK122" i="36" s="1"/>
  <c r="BM119" i="36"/>
  <c r="EB193" i="37"/>
  <c r="ET193" i="37" s="1"/>
  <c r="EX193" i="37"/>
  <c r="CG103" i="33"/>
  <c r="CE103" i="33"/>
  <c r="CC103" i="33"/>
  <c r="AN103" i="33"/>
  <c r="CU102" i="33" s="1"/>
  <c r="BY103" i="33"/>
  <c r="CI168" i="35"/>
  <c r="CH172" i="35"/>
  <c r="CI169" i="35" s="1"/>
  <c r="CJ173" i="35"/>
  <c r="N271" i="37"/>
  <c r="K270" i="37"/>
  <c r="AB270" i="37"/>
  <c r="N270" i="37"/>
  <c r="R270" i="37" s="1"/>
  <c r="AZ270" i="37" s="1"/>
  <c r="V271" i="37"/>
  <c r="V270" i="37"/>
  <c r="Y270" i="37"/>
  <c r="AE270" i="37"/>
  <c r="AH270" i="37"/>
  <c r="K271" i="37"/>
  <c r="AK270" i="37"/>
  <c r="DO204" i="37"/>
  <c r="BX220" i="35"/>
  <c r="AS220" i="35" s="1"/>
  <c r="AL149" i="35"/>
  <c r="H220" i="35" s="1"/>
  <c r="S23" i="37"/>
  <c r="DO112" i="32"/>
  <c r="CB89" i="32"/>
  <c r="CF89" i="32"/>
  <c r="CF53" i="35"/>
  <c r="CF56" i="35"/>
  <c r="DR164" i="33"/>
  <c r="DM164" i="33"/>
  <c r="CE163" i="33"/>
  <c r="AN163" i="33"/>
  <c r="CU162" i="33" s="1"/>
  <c r="BY163" i="33"/>
  <c r="CG163" i="33"/>
  <c r="CC163" i="33"/>
  <c r="T165" i="33"/>
  <c r="DW165" i="33" s="1"/>
  <c r="CM166" i="33"/>
  <c r="DD164" i="33"/>
  <c r="CL166" i="33"/>
  <c r="AB165" i="33"/>
  <c r="EB165" i="33" s="1"/>
  <c r="O165" i="33"/>
  <c r="DI164" i="33" s="1"/>
  <c r="CF73" i="32"/>
  <c r="DO97" i="32"/>
  <c r="CB73" i="32"/>
  <c r="CO119" i="36"/>
  <c r="CO120" i="36"/>
  <c r="AY119" i="36" s="1"/>
  <c r="CS115" i="36" s="1"/>
  <c r="BL170" i="35"/>
  <c r="CS169" i="35" s="1"/>
  <c r="CB173" i="35"/>
  <c r="CC173" i="35" s="1"/>
  <c r="BL169" i="35"/>
  <c r="DK51" i="37"/>
  <c r="DB51" i="37" s="1"/>
  <c r="DK53" i="37"/>
  <c r="BG130" i="33"/>
  <c r="AZ125" i="33"/>
  <c r="DK144" i="37"/>
  <c r="BY76" i="33"/>
  <c r="CG76" i="33"/>
  <c r="CC76" i="33"/>
  <c r="CE76" i="33"/>
  <c r="AN76" i="33"/>
  <c r="CU75" i="33" s="1"/>
  <c r="CY77" i="33"/>
  <c r="T187" i="37"/>
  <c r="EN181" i="37" s="1"/>
  <c r="X187" i="37"/>
  <c r="CB37" i="32"/>
  <c r="DO48" i="32"/>
  <c r="CF37" i="32"/>
  <c r="BH222" i="35"/>
  <c r="AP222" i="35"/>
  <c r="AD222" i="35"/>
  <c r="AB222" i="35"/>
  <c r="AJ222" i="35"/>
  <c r="AS222" i="35"/>
  <c r="BA222" i="35"/>
  <c r="H222" i="35"/>
  <c r="CV270" i="37"/>
  <c r="EJ199" i="37"/>
  <c r="CH270" i="37"/>
  <c r="CR271" i="37"/>
  <c r="CP270" i="37"/>
  <c r="CJ270" i="37"/>
  <c r="CP271" i="37"/>
  <c r="CH271" i="37"/>
  <c r="CJ271" i="37"/>
  <c r="CR270" i="37"/>
  <c r="K237" i="37"/>
  <c r="K236" i="37"/>
  <c r="AB236" i="37"/>
  <c r="N268" i="37"/>
  <c r="R268" i="37" s="1"/>
  <c r="AV269" i="37" s="1"/>
  <c r="N269" i="37"/>
  <c r="AE268" i="37"/>
  <c r="V269" i="37"/>
  <c r="V268" i="37"/>
  <c r="K269" i="37"/>
  <c r="AB268" i="37"/>
  <c r="AH268" i="37"/>
  <c r="K268" i="37"/>
  <c r="Y268" i="37"/>
  <c r="AK268" i="37"/>
  <c r="BQ127" i="35"/>
  <c r="DP129" i="35"/>
  <c r="S168" i="36"/>
  <c r="S149" i="33"/>
  <c r="BG154" i="33" s="1"/>
  <c r="P151" i="35"/>
  <c r="DJ147" i="32"/>
  <c r="DJ64" i="37"/>
  <c r="DO64" i="37"/>
  <c r="DN64" i="37"/>
  <c r="DM64" i="37"/>
  <c r="CU33" i="33"/>
  <c r="CB211" i="33"/>
  <c r="CB210" i="33"/>
  <c r="CB212" i="33"/>
  <c r="CR132" i="32"/>
  <c r="CS132" i="32"/>
  <c r="DO169" i="32"/>
  <c r="CU149" i="33"/>
  <c r="DJ35" i="32"/>
  <c r="AZ32" i="32"/>
  <c r="EJ126" i="37"/>
  <c r="CP254" i="37"/>
  <c r="CJ254" i="37"/>
  <c r="CR255" i="37"/>
  <c r="CV254" i="37"/>
  <c r="CJ255" i="37"/>
  <c r="CH254" i="37"/>
  <c r="CP255" i="37"/>
  <c r="CH255" i="37"/>
  <c r="CR254" i="37"/>
  <c r="CP256" i="37"/>
  <c r="CR256" i="37"/>
  <c r="CH256" i="37"/>
  <c r="CV256" i="37"/>
  <c r="CH257" i="37"/>
  <c r="EJ135" i="37"/>
  <c r="CJ257" i="37"/>
  <c r="CJ256" i="37"/>
  <c r="CP257" i="37"/>
  <c r="CR257" i="37"/>
  <c r="BM184" i="37"/>
  <c r="Y184" i="37"/>
  <c r="W184" i="37"/>
  <c r="AD184" i="37"/>
  <c r="K186" i="37"/>
  <c r="BE184" i="37"/>
  <c r="X184" i="37"/>
  <c r="AB185" i="37"/>
  <c r="AS187" i="37" s="1"/>
  <c r="AK184" i="37"/>
  <c r="BQ184" i="37"/>
  <c r="BI184" i="37"/>
  <c r="AG184" i="37"/>
  <c r="DJ107" i="32"/>
  <c r="AZ90" i="32"/>
  <c r="CU65" i="33"/>
  <c r="H86" i="36"/>
  <c r="DA80" i="36" s="1"/>
  <c r="CG86" i="36"/>
  <c r="CK86" i="36" s="1"/>
  <c r="AT86" i="36"/>
  <c r="DJ80" i="36" s="1"/>
  <c r="BQ46" i="35"/>
  <c r="DP48" i="35"/>
  <c r="DO73" i="32"/>
  <c r="CO60" i="32"/>
  <c r="CP60" i="32"/>
  <c r="J34" i="36"/>
  <c r="I35" i="35"/>
  <c r="CA41" i="35" s="1"/>
  <c r="M43" i="37"/>
  <c r="C32" i="33"/>
  <c r="CE119" i="33"/>
  <c r="AN119" i="33"/>
  <c r="CU118" i="33" s="1"/>
  <c r="BY119" i="33"/>
  <c r="DO127" i="32"/>
  <c r="CR102" i="32"/>
  <c r="CS102" i="32"/>
  <c r="BO150" i="33"/>
  <c r="CI152" i="33"/>
  <c r="CY146" i="33"/>
  <c r="BO151" i="33"/>
  <c r="CY153" i="33"/>
  <c r="CS154" i="33"/>
  <c r="CT154" i="33"/>
  <c r="CC136" i="33"/>
  <c r="AN136" i="33"/>
  <c r="CU135" i="33" s="1"/>
  <c r="CE136" i="33"/>
  <c r="CG136" i="33"/>
  <c r="BY136" i="33"/>
  <c r="CR61" i="32"/>
  <c r="DO78" i="32"/>
  <c r="CS61" i="32"/>
  <c r="CU73" i="33"/>
  <c r="CH266" i="37"/>
  <c r="CJ267" i="37"/>
  <c r="CV266" i="37"/>
  <c r="CJ266" i="37"/>
  <c r="CR266" i="37"/>
  <c r="CH267" i="37"/>
  <c r="CR267" i="37"/>
  <c r="CP266" i="37"/>
  <c r="EJ181" i="37"/>
  <c r="CP267" i="37"/>
  <c r="DP172" i="35"/>
  <c r="BQ170" i="35"/>
  <c r="CG35" i="33"/>
  <c r="BY35" i="33"/>
  <c r="CC35" i="33"/>
  <c r="CE35" i="33"/>
  <c r="AN35" i="33"/>
  <c r="CU34" i="33" s="1"/>
  <c r="DB80" i="37"/>
  <c r="DB89" i="37" s="1"/>
  <c r="DA70" i="37" s="1"/>
  <c r="DA52" i="37"/>
  <c r="DJ34" i="32"/>
  <c r="AZ31" i="32"/>
  <c r="M162" i="37"/>
  <c r="J157" i="36"/>
  <c r="C140" i="33"/>
  <c r="I140" i="35"/>
  <c r="CA146" i="35" s="1"/>
  <c r="S169" i="33"/>
  <c r="BG174" i="33" s="1"/>
  <c r="S186" i="36"/>
  <c r="P170" i="35"/>
  <c r="DJ165" i="32"/>
  <c r="N34" i="36"/>
  <c r="F32" i="33"/>
  <c r="M35" i="35"/>
  <c r="C44" i="37"/>
  <c r="I92" i="35"/>
  <c r="CA98" i="35" s="1"/>
  <c r="J100" i="36"/>
  <c r="C92" i="33"/>
  <c r="M107" i="37"/>
  <c r="AN102" i="33"/>
  <c r="CE164" i="33"/>
  <c r="AN164" i="33"/>
  <c r="CU163" i="33" s="1"/>
  <c r="CC164" i="33"/>
  <c r="BY164" i="33"/>
  <c r="CG164" i="33"/>
  <c r="DP64" i="35"/>
  <c r="BQ62" i="35"/>
  <c r="BM35" i="36"/>
  <c r="AT38" i="36"/>
  <c r="DJ32" i="36" s="1"/>
  <c r="H38" i="36"/>
  <c r="DA32" i="36" s="1"/>
  <c r="DC32" i="36" s="1"/>
  <c r="BA170" i="33"/>
  <c r="CY170" i="33" s="1"/>
  <c r="CI170" i="33"/>
  <c r="CS173" i="33"/>
  <c r="CR173" i="33" s="1"/>
  <c r="N82" i="36"/>
  <c r="C90" i="37"/>
  <c r="M75" i="35"/>
  <c r="BG90" i="33"/>
  <c r="F138" i="36"/>
  <c r="F147" i="37"/>
  <c r="F125" i="33"/>
  <c r="F127" i="35"/>
  <c r="CD104" i="32"/>
  <c r="CD101" i="32"/>
  <c r="CD102" i="32"/>
  <c r="C163" i="37"/>
  <c r="N157" i="36"/>
  <c r="M140" i="35"/>
  <c r="F140" i="33"/>
  <c r="CB71" i="35"/>
  <c r="CA71" i="35"/>
  <c r="M92" i="35"/>
  <c r="F92" i="33"/>
  <c r="C108" i="37"/>
  <c r="N100" i="36"/>
  <c r="BG106" i="33"/>
  <c r="CQ96" i="33"/>
  <c r="CN96" i="33"/>
  <c r="O95" i="33" s="1"/>
  <c r="DI94" i="33" s="1"/>
  <c r="CE94" i="33"/>
  <c r="CG97" i="33" s="1"/>
  <c r="DE84" i="32"/>
  <c r="DE45" i="32"/>
  <c r="DE76" i="32"/>
  <c r="DE68" i="32"/>
  <c r="DE66" i="32"/>
  <c r="DE53" i="32"/>
  <c r="DE58" i="32"/>
  <c r="DE54" i="32"/>
  <c r="DE56" i="32"/>
  <c r="DE74" i="32"/>
  <c r="DE46" i="32"/>
  <c r="DE69" i="32"/>
  <c r="DE77" i="32"/>
  <c r="CH242" i="37"/>
  <c r="CR242" i="37"/>
  <c r="EJ71" i="37"/>
  <c r="CR243" i="37"/>
  <c r="CP243" i="37"/>
  <c r="CV242" i="37"/>
  <c r="CJ243" i="37"/>
  <c r="CP242" i="37"/>
  <c r="CH243" i="37"/>
  <c r="CJ242" i="37"/>
  <c r="N72" i="36"/>
  <c r="L70" i="35"/>
  <c r="BX72" i="35" s="1"/>
  <c r="M84" i="37"/>
  <c r="N65" i="33"/>
  <c r="AZ54" i="32"/>
  <c r="BW54" i="32"/>
  <c r="AG54" i="32"/>
  <c r="CD54" i="32" s="1"/>
  <c r="AL54" i="32"/>
  <c r="BX54" i="32"/>
  <c r="AB246" i="37"/>
  <c r="K246" i="37"/>
  <c r="K247" i="37"/>
  <c r="DC54" i="37"/>
  <c r="DO58" i="37" s="1"/>
  <c r="CD30" i="32"/>
  <c r="CL31" i="32"/>
  <c r="CL30" i="32"/>
  <c r="AC33" i="32" s="1"/>
  <c r="DF39" i="32" s="1"/>
  <c r="CD31" i="32"/>
  <c r="N266" i="37"/>
  <c r="R266" i="37" s="1"/>
  <c r="N267" i="37"/>
  <c r="K266" i="37"/>
  <c r="V267" i="37"/>
  <c r="K267" i="37"/>
  <c r="AK266" i="37"/>
  <c r="Y266" i="37"/>
  <c r="AB266" i="37"/>
  <c r="AH266" i="37"/>
  <c r="V266" i="37"/>
  <c r="AE266" i="37"/>
  <c r="EX184" i="37"/>
  <c r="EB184" i="37"/>
  <c r="ET184" i="37" s="1"/>
  <c r="CJ172" i="35"/>
  <c r="CJ171" i="35"/>
  <c r="CH171" i="35"/>
  <c r="CJ168" i="35"/>
  <c r="CS172" i="35"/>
  <c r="CH168" i="35"/>
  <c r="CC168" i="35"/>
  <c r="CB168" i="35"/>
  <c r="BZ169" i="35" s="1"/>
  <c r="DR172" i="33"/>
  <c r="DM172" i="33"/>
  <c r="AB173" i="33"/>
  <c r="EB173" i="33" s="1"/>
  <c r="CL174" i="33"/>
  <c r="DD172" i="33"/>
  <c r="CM174" i="33"/>
  <c r="T173" i="33"/>
  <c r="DW173" i="33" s="1"/>
  <c r="BQ95" i="35"/>
  <c r="DP97" i="35"/>
  <c r="W54" i="36"/>
  <c r="BY53" i="36" s="1"/>
  <c r="CG51" i="36" s="1"/>
  <c r="T54" i="35"/>
  <c r="W49" i="33"/>
  <c r="AZ49" i="33" s="1"/>
  <c r="CB43" i="32"/>
  <c r="J161" i="33"/>
  <c r="I184" i="37"/>
  <c r="J177" i="36"/>
  <c r="I162" i="35"/>
  <c r="BC159" i="35" s="1"/>
  <c r="BB159" i="35" s="1"/>
  <c r="CG164" i="35" s="1"/>
  <c r="CG161" i="35" s="1"/>
  <c r="BY44" i="35"/>
  <c r="BX46" i="35" s="1"/>
  <c r="CE42" i="36"/>
  <c r="CJ40" i="36" s="1"/>
  <c r="CK42" i="33"/>
  <c r="CL41" i="33" s="1"/>
  <c r="AZ39" i="32"/>
  <c r="CD38" i="32"/>
  <c r="AE142" i="36"/>
  <c r="AN143" i="36"/>
  <c r="AG143" i="36" s="1"/>
  <c r="BY146" i="36"/>
  <c r="CB146" i="36" s="1"/>
  <c r="CN148" i="36"/>
  <c r="CN143" i="36"/>
  <c r="BY71" i="36"/>
  <c r="CB71" i="36" s="1"/>
  <c r="AE67" i="36"/>
  <c r="BP71" i="36" s="1"/>
  <c r="AN68" i="36"/>
  <c r="AG68" i="36" s="1"/>
  <c r="S63" i="36"/>
  <c r="P62" i="35"/>
  <c r="S57" i="33"/>
  <c r="BN50" i="32"/>
  <c r="CY121" i="33"/>
  <c r="AW64" i="35"/>
  <c r="CO64" i="35" s="1"/>
  <c r="DG61" i="35" s="1"/>
  <c r="AW40" i="35"/>
  <c r="CO40" i="35" s="1"/>
  <c r="DG37" i="35" s="1"/>
  <c r="CS180" i="35"/>
  <c r="CH176" i="35"/>
  <c r="CJ176" i="35"/>
  <c r="CH179" i="35"/>
  <c r="CJ180" i="35"/>
  <c r="CJ179" i="35"/>
  <c r="CD32" i="32"/>
  <c r="CD33" i="36"/>
  <c r="CJ34" i="33"/>
  <c r="CM36" i="33" s="1"/>
  <c r="O36" i="33" s="1"/>
  <c r="DI35" i="33" s="1"/>
  <c r="BX36" i="35"/>
  <c r="AN67" i="33"/>
  <c r="CU66" i="33" s="1"/>
  <c r="CE67" i="33"/>
  <c r="CG67" i="33"/>
  <c r="BY67" i="33"/>
  <c r="CC67" i="33"/>
  <c r="AZ56" i="32"/>
  <c r="DJ67" i="32"/>
  <c r="CG171" i="35"/>
  <c r="BQ138" i="33"/>
  <c r="AN126" i="33"/>
  <c r="K244" i="37"/>
  <c r="AB244" i="37"/>
  <c r="K245" i="37"/>
  <c r="CP269" i="37"/>
  <c r="CR269" i="37"/>
  <c r="CH268" i="37"/>
  <c r="CV268" i="37"/>
  <c r="CJ268" i="37"/>
  <c r="CH269" i="37"/>
  <c r="CR268" i="37"/>
  <c r="CP268" i="37"/>
  <c r="EJ190" i="37"/>
  <c r="CJ269" i="37"/>
  <c r="CT120" i="32"/>
  <c r="DO39" i="32"/>
  <c r="CF30" i="32"/>
  <c r="CB30" i="32"/>
  <c r="CQ52" i="33"/>
  <c r="AB51" i="33" s="1"/>
  <c r="EB51" i="33" s="1"/>
  <c r="CP50" i="33"/>
  <c r="AB50" i="33" s="1"/>
  <c r="EB50" i="33" s="1"/>
  <c r="CN52" i="33"/>
  <c r="O51" i="33" s="1"/>
  <c r="DI50" i="33" s="1"/>
  <c r="CP52" i="33"/>
  <c r="AB52" i="33" s="1"/>
  <c r="EB52" i="33" s="1"/>
  <c r="CU133" i="33"/>
  <c r="CD81" i="36"/>
  <c r="CJ74" i="33"/>
  <c r="BX76" i="35"/>
  <c r="BX133" i="35"/>
  <c r="CD144" i="36"/>
  <c r="CJ134" i="33"/>
  <c r="CD109" i="32"/>
  <c r="S109" i="32" s="1"/>
  <c r="DF132" i="32" s="1"/>
  <c r="AZ110" i="32"/>
  <c r="CY69" i="33"/>
  <c r="CE51" i="36"/>
  <c r="CK50" i="33"/>
  <c r="CB193" i="33" s="1"/>
  <c r="BY52" i="35"/>
  <c r="AN172" i="33"/>
  <c r="CU171" i="33" s="1"/>
  <c r="BY172" i="33"/>
  <c r="CE172" i="33"/>
  <c r="CG172" i="33"/>
  <c r="CC172" i="33"/>
  <c r="AT131" i="36"/>
  <c r="DJ125" i="36" s="1"/>
  <c r="H131" i="36"/>
  <c r="DA125" i="36" s="1"/>
  <c r="BM128" i="36"/>
  <c r="CG131" i="36"/>
  <c r="CK131" i="36" s="1"/>
  <c r="T205" i="37"/>
  <c r="EN199" i="37" s="1"/>
  <c r="X205" i="37"/>
  <c r="M89" i="37"/>
  <c r="I75" i="35"/>
  <c r="CA81" i="35" s="1"/>
  <c r="J82" i="36"/>
  <c r="W193" i="37"/>
  <c r="AG193" i="37"/>
  <c r="Y193" i="37"/>
  <c r="BM193" i="37"/>
  <c r="BQ193" i="37"/>
  <c r="BE193" i="37"/>
  <c r="BI193" i="37"/>
  <c r="AB194" i="37"/>
  <c r="CB269" i="37" s="1"/>
  <c r="X193" i="37"/>
  <c r="K195" i="37"/>
  <c r="AD193" i="37"/>
  <c r="AK193" i="37"/>
  <c r="CG113" i="36"/>
  <c r="CK113" i="36" s="1"/>
  <c r="H113" i="36"/>
  <c r="DA107" i="36" s="1"/>
  <c r="AT113" i="36"/>
  <c r="DJ107" i="36" s="1"/>
  <c r="BM110" i="36"/>
  <c r="AL76" i="35"/>
  <c r="H211" i="35" s="1"/>
  <c r="BX211" i="35"/>
  <c r="AS211" i="35" s="1"/>
  <c r="S45" i="36"/>
  <c r="P46" i="35"/>
  <c r="S41" i="33"/>
  <c r="BN38" i="32"/>
  <c r="CM56" i="36"/>
  <c r="CI56" i="36"/>
  <c r="CG54" i="36"/>
  <c r="CY250" i="37"/>
  <c r="BW111" i="37"/>
  <c r="CT38" i="33"/>
  <c r="DP80" i="35"/>
  <c r="BQ78" i="35"/>
  <c r="CN128" i="32"/>
  <c r="CR125" i="32"/>
  <c r="CS125" i="32"/>
  <c r="DO158" i="32"/>
  <c r="DE70" i="32"/>
  <c r="DO55" i="32"/>
  <c r="CF42" i="32"/>
  <c r="CB42" i="32"/>
  <c r="CY61" i="33"/>
  <c r="DE61" i="32"/>
  <c r="CB138" i="35"/>
  <c r="CC138" i="35" s="1"/>
  <c r="BL135" i="35"/>
  <c r="CS134" i="35" s="1"/>
  <c r="BL134" i="35"/>
  <c r="BY69" i="36"/>
  <c r="BX69" i="36"/>
  <c r="BE71" i="36" s="1"/>
  <c r="CS74" i="36" s="1"/>
  <c r="CQ74" i="36" s="1"/>
  <c r="DS103" i="36" s="1"/>
  <c r="BL150" i="35"/>
  <c r="BL151" i="35"/>
  <c r="CS150" i="35" s="1"/>
  <c r="CS152" i="35" s="1"/>
  <c r="CB154" i="35"/>
  <c r="CC154" i="35" s="1"/>
  <c r="AE88" i="36"/>
  <c r="CN93" i="36" s="1"/>
  <c r="BY92" i="36"/>
  <c r="CG90" i="36" s="1"/>
  <c r="CO101" i="36"/>
  <c r="CO102" i="36"/>
  <c r="AY101" i="36" s="1"/>
  <c r="CS97" i="36" s="1"/>
  <c r="S110" i="36"/>
  <c r="AD100" i="33"/>
  <c r="AJ100" i="35"/>
  <c r="BW78" i="32"/>
  <c r="BX78" i="32"/>
  <c r="CF145" i="35"/>
  <c r="CF142" i="35"/>
  <c r="BW108" i="32"/>
  <c r="CP247" i="37"/>
  <c r="CH247" i="37"/>
  <c r="CH246" i="37"/>
  <c r="EJ90" i="37"/>
  <c r="CR247" i="37"/>
  <c r="CP246" i="37"/>
  <c r="CJ246" i="37"/>
  <c r="CR246" i="37"/>
  <c r="CJ247" i="37"/>
  <c r="CV246" i="37"/>
  <c r="X132" i="37"/>
  <c r="EJ128" i="37" s="1"/>
  <c r="X141" i="37"/>
  <c r="EJ137" i="37" s="1"/>
  <c r="BX24" i="36"/>
  <c r="BE26" i="36" s="1"/>
  <c r="BY24" i="36"/>
  <c r="BA223" i="35"/>
  <c r="BH223" i="35"/>
  <c r="H223" i="35"/>
  <c r="AJ223" i="35"/>
  <c r="AD223" i="35"/>
  <c r="AS223" i="35"/>
  <c r="AB223" i="35"/>
  <c r="AP223" i="35"/>
  <c r="CG178" i="35"/>
  <c r="CG140" i="36"/>
  <c r="CK140" i="36" s="1"/>
  <c r="H140" i="36"/>
  <c r="DA134" i="36" s="1"/>
  <c r="AT140" i="36"/>
  <c r="DJ134" i="36" s="1"/>
  <c r="BG146" i="33"/>
  <c r="C53" i="37"/>
  <c r="N43" i="36"/>
  <c r="M43" i="35"/>
  <c r="F40" i="33"/>
  <c r="N127" i="36"/>
  <c r="C135" i="37"/>
  <c r="M116" i="35"/>
  <c r="F116" i="33"/>
  <c r="BY110" i="36"/>
  <c r="AN106" i="36"/>
  <c r="AQ23" i="37"/>
  <c r="X123" i="37"/>
  <c r="EJ119" i="37" s="1"/>
  <c r="M166" i="37"/>
  <c r="N159" i="36"/>
  <c r="L143" i="35"/>
  <c r="BX145" i="35" s="1"/>
  <c r="AZ113" i="32"/>
  <c r="N141" i="33"/>
  <c r="BG141" i="33" s="1"/>
  <c r="CI143" i="33" s="1"/>
  <c r="M124" i="35"/>
  <c r="F124" i="33"/>
  <c r="C144" i="37"/>
  <c r="N136" i="36"/>
  <c r="BW56" i="37"/>
  <c r="CY238" i="37"/>
  <c r="CY113" i="33"/>
  <c r="DE65" i="32"/>
  <c r="BY142" i="35"/>
  <c r="AW145" i="35"/>
  <c r="CO145" i="35" s="1"/>
  <c r="DG142" i="35" s="1"/>
  <c r="D219" i="35"/>
  <c r="Q146" i="35"/>
  <c r="CO142" i="35" s="1"/>
  <c r="CX143" i="35" s="1"/>
  <c r="AJ143" i="35"/>
  <c r="T219" i="35" s="1"/>
  <c r="CB219" i="35" s="1"/>
  <c r="Q145" i="35"/>
  <c r="CO141" i="35" s="1"/>
  <c r="CX142" i="35" s="1"/>
  <c r="BX142" i="35"/>
  <c r="BQ141" i="35"/>
  <c r="DE50" i="32"/>
  <c r="AN50" i="33"/>
  <c r="BX117" i="35"/>
  <c r="CD126" i="36"/>
  <c r="CJ118" i="33"/>
  <c r="CD97" i="32"/>
  <c r="AZ98" i="32"/>
  <c r="CU177" i="33"/>
  <c r="CQ104" i="33"/>
  <c r="CY105" i="33"/>
  <c r="AE115" i="36"/>
  <c r="CN121" i="36" s="1"/>
  <c r="BY119" i="36"/>
  <c r="N85" i="33"/>
  <c r="CK87" i="33" s="1"/>
  <c r="M102" i="37"/>
  <c r="N93" i="36"/>
  <c r="L87" i="35"/>
  <c r="BX89" i="35" s="1"/>
  <c r="AZ66" i="32"/>
  <c r="CB104" i="35"/>
  <c r="BY177" i="36"/>
  <c r="BX176" i="36" s="1"/>
  <c r="AF178" i="36"/>
  <c r="DD172" i="36" s="1"/>
  <c r="BL179" i="36"/>
  <c r="DM173" i="36" s="1"/>
  <c r="BM176" i="36"/>
  <c r="AU176" i="36"/>
  <c r="BI176" i="36"/>
  <c r="AF179" i="36"/>
  <c r="DD173" i="36" s="1"/>
  <c r="BK176" i="36"/>
  <c r="CV174" i="36" s="1"/>
  <c r="AT178" i="36"/>
  <c r="DJ172" i="36" s="1"/>
  <c r="CB176" i="36"/>
  <c r="BP176" i="36"/>
  <c r="AS176" i="36"/>
  <c r="AT179" i="36"/>
  <c r="DJ173" i="36" s="1"/>
  <c r="H178" i="36"/>
  <c r="DA172" i="36" s="1"/>
  <c r="BZ177" i="36"/>
  <c r="BZ178" i="36" s="1"/>
  <c r="BL178" i="36"/>
  <c r="DM172" i="36" s="1"/>
  <c r="CG179" i="36"/>
  <c r="CK179" i="36" s="1"/>
  <c r="H179" i="36"/>
  <c r="DA173" i="36" s="1"/>
  <c r="DE55" i="32"/>
  <c r="DE83" i="32"/>
  <c r="CJ84" i="33"/>
  <c r="CK84" i="33" s="1"/>
  <c r="AT90" i="33"/>
  <c r="G88" i="33"/>
  <c r="DD87" i="33" s="1"/>
  <c r="G87" i="33"/>
  <c r="DD86" i="33" s="1"/>
  <c r="T88" i="33"/>
  <c r="DW88" i="33" s="1"/>
  <c r="T86" i="33"/>
  <c r="DW86" i="33" s="1"/>
  <c r="G86" i="33"/>
  <c r="DD85" i="33" s="1"/>
  <c r="BA90" i="33"/>
  <c r="AT89" i="33"/>
  <c r="AN86" i="33"/>
  <c r="BG89" i="33"/>
  <c r="BK90" i="33"/>
  <c r="BY197" i="33"/>
  <c r="T87" i="33"/>
  <c r="DW87" i="33" s="1"/>
  <c r="CQ88" i="33"/>
  <c r="AZ85" i="33"/>
  <c r="CA88" i="33"/>
  <c r="BQ90" i="33"/>
  <c r="CA163" i="35"/>
  <c r="CB163" i="35"/>
  <c r="CO167" i="36"/>
  <c r="CO168" i="36"/>
  <c r="CO102" i="32"/>
  <c r="DO123" i="32"/>
  <c r="CP102" i="32"/>
  <c r="N264" i="37"/>
  <c r="R264" i="37" s="1"/>
  <c r="AN265" i="37" s="1"/>
  <c r="AB264" i="37"/>
  <c r="K265" i="37"/>
  <c r="K264" i="37"/>
  <c r="N265" i="37"/>
  <c r="AE264" i="37"/>
  <c r="Y264" i="37"/>
  <c r="AK264" i="37"/>
  <c r="V265" i="37"/>
  <c r="V264" i="37"/>
  <c r="AH264" i="37"/>
  <c r="CJ264" i="37"/>
  <c r="CH265" i="37"/>
  <c r="CJ265" i="37"/>
  <c r="CB264" i="37"/>
  <c r="CP264" i="37"/>
  <c r="EJ172" i="37"/>
  <c r="CR265" i="37"/>
  <c r="CV264" i="37"/>
  <c r="CP265" i="37"/>
  <c r="CH264" i="37"/>
  <c r="CR264" i="37"/>
  <c r="DP72" i="35"/>
  <c r="BQ70" i="35"/>
  <c r="CY97" i="33"/>
  <c r="CN195" i="36"/>
  <c r="AY194" i="36"/>
  <c r="CS190" i="36" s="1"/>
  <c r="CN194" i="36"/>
  <c r="AZ73" i="32"/>
  <c r="F100" i="33"/>
  <c r="N109" i="36"/>
  <c r="C117" i="37"/>
  <c r="M100" i="35"/>
  <c r="F74" i="37"/>
  <c r="DA63" i="37" s="1"/>
  <c r="CD49" i="32"/>
  <c r="F63" i="36"/>
  <c r="F62" i="35"/>
  <c r="CD48" i="32"/>
  <c r="F57" i="33"/>
  <c r="CL51" i="32"/>
  <c r="CD51" i="32"/>
  <c r="DO156" i="32"/>
  <c r="CO127" i="32"/>
  <c r="CP127" i="32"/>
  <c r="AB23" i="37"/>
  <c r="AZ80" i="32"/>
  <c r="DJ100" i="32"/>
  <c r="BY83" i="36"/>
  <c r="CB83" i="36" s="1"/>
  <c r="AE79" i="36"/>
  <c r="CN83" i="36" s="1"/>
  <c r="BY144" i="36"/>
  <c r="BX144" i="36"/>
  <c r="BE146" i="36" s="1"/>
  <c r="CS149" i="36" s="1"/>
  <c r="AN96" i="33"/>
  <c r="CU95" i="33" s="1"/>
  <c r="CG96" i="33"/>
  <c r="CE96" i="33"/>
  <c r="BY96" i="33"/>
  <c r="CC96" i="33"/>
  <c r="CM161" i="36"/>
  <c r="CI161" i="36"/>
  <c r="CG159" i="36"/>
  <c r="CN167" i="36"/>
  <c r="AS167" i="36" s="1"/>
  <c r="AY167" i="36"/>
  <c r="CS163" i="36" s="1"/>
  <c r="CN168" i="36"/>
  <c r="AU167" i="36" s="1"/>
  <c r="DR152" i="33"/>
  <c r="DM152" i="33"/>
  <c r="K254" i="37"/>
  <c r="K255" i="37"/>
  <c r="AB254" i="37"/>
  <c r="AW23" i="37"/>
  <c r="K251" i="37"/>
  <c r="K250" i="37"/>
  <c r="AB250" i="37"/>
  <c r="CL104" i="32"/>
  <c r="BX221" i="35"/>
  <c r="AL160" i="35"/>
  <c r="CB144" i="35"/>
  <c r="CA144" i="35"/>
  <c r="AW143" i="35" s="1"/>
  <c r="CB55" i="35"/>
  <c r="DO90" i="32"/>
  <c r="CO72" i="32"/>
  <c r="CP72" i="32"/>
  <c r="BX209" i="35"/>
  <c r="AS209" i="35" s="1"/>
  <c r="AL60" i="35"/>
  <c r="H209" i="35" s="1"/>
  <c r="J16" i="36"/>
  <c r="I19" i="35"/>
  <c r="C16" i="33"/>
  <c r="M25" i="37"/>
  <c r="DE64" i="32"/>
  <c r="AN121" i="37"/>
  <c r="J52" i="36"/>
  <c r="M61" i="37"/>
  <c r="C48" i="33"/>
  <c r="I51" i="35"/>
  <c r="CA57" i="35" s="1"/>
  <c r="CO36" i="32"/>
  <c r="DO41" i="32"/>
  <c r="CP36" i="32"/>
  <c r="CY252" i="37"/>
  <c r="BW120" i="37"/>
  <c r="CI160" i="35"/>
  <c r="CH164" i="35"/>
  <c r="CI161" i="35" s="1"/>
  <c r="CJ165" i="35"/>
  <c r="BH221" i="35"/>
  <c r="AD221" i="35"/>
  <c r="AS221" i="35"/>
  <c r="BA221" i="35"/>
  <c r="H221" i="35"/>
  <c r="AB221" i="35"/>
  <c r="AJ221" i="35"/>
  <c r="AP221" i="35"/>
  <c r="BQ114" i="33"/>
  <c r="BW113" i="32"/>
  <c r="BG133" i="33"/>
  <c r="CI135" i="33" s="1"/>
  <c r="CA135" i="33"/>
  <c r="DE52" i="32"/>
  <c r="AZ101" i="33"/>
  <c r="DK62" i="37"/>
  <c r="AE106" i="36"/>
  <c r="CN111" i="36" s="1"/>
  <c r="AU110" i="36" s="1"/>
  <c r="DE75" i="32"/>
  <c r="CD117" i="36"/>
  <c r="BX109" i="35"/>
  <c r="CJ110" i="33"/>
  <c r="CD91" i="32"/>
  <c r="DO88" i="32"/>
  <c r="CB67" i="32"/>
  <c r="CF67" i="32"/>
  <c r="C248" i="37"/>
  <c r="AK22" i="37"/>
  <c r="AN23" i="37" s="1"/>
  <c r="DC98" i="37"/>
  <c r="DA100" i="37" s="1"/>
  <c r="K105" i="37"/>
  <c r="R99" i="37"/>
  <c r="AN103" i="37"/>
  <c r="DB100" i="37" s="1"/>
  <c r="DK99" i="37"/>
  <c r="DK97" i="37"/>
  <c r="DB97" i="37" s="1"/>
  <c r="AZ103" i="37"/>
  <c r="DO101" i="37"/>
  <c r="DN101" i="37"/>
  <c r="DM101" i="37"/>
  <c r="BM62" i="36"/>
  <c r="H65" i="36"/>
  <c r="DA59" i="36" s="1"/>
  <c r="AT65" i="36"/>
  <c r="DJ59" i="36" s="1"/>
  <c r="CG65" i="36"/>
  <c r="CK65" i="36" s="1"/>
  <c r="DK142" i="37"/>
  <c r="CO83" i="36"/>
  <c r="CO84" i="36"/>
  <c r="AY83" i="36" s="1"/>
  <c r="CS79" i="36" s="1"/>
  <c r="CO42" i="32"/>
  <c r="DO49" i="32"/>
  <c r="CP42" i="32"/>
  <c r="CO131" i="32"/>
  <c r="CP131" i="32"/>
  <c r="DO164" i="32"/>
  <c r="AN32" i="36"/>
  <c r="AG32" i="36" s="1"/>
  <c r="CD73" i="32"/>
  <c r="DO71" i="32"/>
  <c r="CB54" i="32"/>
  <c r="CF54" i="32"/>
  <c r="CP239" i="37"/>
  <c r="CH238" i="37"/>
  <c r="CR239" i="37"/>
  <c r="CR238" i="37"/>
  <c r="EJ53" i="37"/>
  <c r="CH239" i="37"/>
  <c r="CV238" i="37"/>
  <c r="CP238" i="37"/>
  <c r="CJ238" i="37"/>
  <c r="CJ239" i="37"/>
  <c r="CB165" i="35"/>
  <c r="CC165" i="35" s="1"/>
  <c r="BL161" i="35"/>
  <c r="BL162" i="35"/>
  <c r="CS161" i="35" s="1"/>
  <c r="I175" i="37"/>
  <c r="J168" i="36"/>
  <c r="I151" i="35"/>
  <c r="BC148" i="35" s="1"/>
  <c r="BB148" i="35" s="1"/>
  <c r="CG153" i="35" s="1"/>
  <c r="CG150" i="35" s="1"/>
  <c r="J149" i="33"/>
  <c r="X77" i="37"/>
  <c r="EJ73" i="37" s="1"/>
  <c r="CE128" i="33"/>
  <c r="AN128" i="33"/>
  <c r="CU127" i="33" s="1"/>
  <c r="CG128" i="33"/>
  <c r="CC128" i="33"/>
  <c r="BY128" i="33"/>
  <c r="AN112" i="33"/>
  <c r="CU111" i="33" s="1"/>
  <c r="CC112" i="33"/>
  <c r="BY112" i="33"/>
  <c r="CG112" i="33"/>
  <c r="CE112" i="33"/>
  <c r="BY183" i="36"/>
  <c r="BX183" i="36"/>
  <c r="BE185" i="36" s="1"/>
  <c r="CS188" i="36" s="1"/>
  <c r="CP120" i="32"/>
  <c r="DO147" i="32"/>
  <c r="CO120" i="32"/>
  <c r="CL63" i="32"/>
  <c r="CL110" i="32"/>
  <c r="CL95" i="32"/>
  <c r="AC98" i="32" s="1"/>
  <c r="DF120" i="32" s="1"/>
  <c r="X114" i="37"/>
  <c r="EJ110" i="37" s="1"/>
  <c r="CA33" i="35"/>
  <c r="CA31" i="35"/>
  <c r="DJ176" i="35"/>
  <c r="CP178" i="35"/>
  <c r="CO155" i="36"/>
  <c r="CN160" i="36"/>
  <c r="CN155" i="36"/>
  <c r="BY158" i="36"/>
  <c r="CG156" i="36" s="1"/>
  <c r="AE154" i="36"/>
  <c r="AN155" i="36"/>
  <c r="AG155" i="36" s="1"/>
  <c r="AE49" i="36"/>
  <c r="CN55" i="36" s="1"/>
  <c r="CN186" i="36"/>
  <c r="CN185" i="36"/>
  <c r="AY185" i="36"/>
  <c r="CS181" i="36" s="1"/>
  <c r="AE31" i="36"/>
  <c r="BP35" i="36" s="1"/>
  <c r="AL93" i="35"/>
  <c r="H213" i="35" s="1"/>
  <c r="BX213" i="35"/>
  <c r="AB213" i="35" s="1"/>
  <c r="K253" i="37"/>
  <c r="AB252" i="37"/>
  <c r="K252" i="37"/>
  <c r="F48" i="33"/>
  <c r="N52" i="36"/>
  <c r="M51" i="35"/>
  <c r="C62" i="37"/>
  <c r="CO95" i="32"/>
  <c r="DO114" i="32"/>
  <c r="CP95" i="32"/>
  <c r="DP137" i="35"/>
  <c r="BQ135" i="35"/>
  <c r="CA111" i="33"/>
  <c r="CE156" i="36"/>
  <c r="CK142" i="33"/>
  <c r="CB204" i="33" s="1"/>
  <c r="BY141" i="35"/>
  <c r="EJ154" i="37"/>
  <c r="CR261" i="37"/>
  <c r="CV260" i="37"/>
  <c r="CJ261" i="37"/>
  <c r="CP261" i="37"/>
  <c r="CR260" i="37"/>
  <c r="CJ260" i="37"/>
  <c r="CH261" i="37"/>
  <c r="CH260" i="37"/>
  <c r="CP260" i="37"/>
  <c r="BR133" i="33"/>
  <c r="BG54" i="33"/>
  <c r="AN42" i="33"/>
  <c r="CA104" i="33"/>
  <c r="AZ114" i="32"/>
  <c r="Q166" i="37"/>
  <c r="DK163" i="37" s="1"/>
  <c r="X143" i="35"/>
  <c r="AA159" i="36"/>
  <c r="AA141" i="33"/>
  <c r="BR125" i="33"/>
  <c r="CK127" i="33"/>
  <c r="CE117" i="36"/>
  <c r="CK110" i="33"/>
  <c r="CB200" i="33" s="1"/>
  <c r="BY109" i="35"/>
  <c r="DE57" i="32"/>
  <c r="J118" i="36"/>
  <c r="I108" i="35"/>
  <c r="CA114" i="35" s="1"/>
  <c r="C108" i="33"/>
  <c r="M125" i="37"/>
  <c r="CO45" i="36"/>
  <c r="AY44" i="36" s="1"/>
  <c r="CS40" i="36" s="1"/>
  <c r="CO44" i="36"/>
  <c r="AW121" i="35"/>
  <c r="CO121" i="35" s="1"/>
  <c r="DG118" i="35" s="1"/>
  <c r="CD72" i="32"/>
  <c r="X175" i="37"/>
  <c r="BQ175" i="37"/>
  <c r="W175" i="37"/>
  <c r="K177" i="37"/>
  <c r="Y175" i="37"/>
  <c r="BE175" i="37"/>
  <c r="AD175" i="37"/>
  <c r="BM175" i="37"/>
  <c r="BI175" i="37"/>
  <c r="CY33" i="32"/>
  <c r="DJ132" i="32"/>
  <c r="AZ109" i="32"/>
  <c r="CT37" i="32"/>
  <c r="CA95" i="33"/>
  <c r="CK126" i="33"/>
  <c r="CB202" i="33" s="1"/>
  <c r="CE135" i="36"/>
  <c r="BY125" i="35"/>
  <c r="DO106" i="32"/>
  <c r="CO89" i="32"/>
  <c r="CP89" i="32"/>
  <c r="CO129" i="36"/>
  <c r="AY128" i="36" s="1"/>
  <c r="CS124" i="36" s="1"/>
  <c r="CO128" i="36"/>
  <c r="DJ46" i="37"/>
  <c r="DA36" i="37"/>
  <c r="DO108" i="32"/>
  <c r="CO91" i="32"/>
  <c r="CP91" i="32"/>
  <c r="CY154" i="33"/>
  <c r="BO163" i="33"/>
  <c r="BO162" i="33"/>
  <c r="CI164" i="33"/>
  <c r="CS165" i="33"/>
  <c r="CR165" i="33" s="1"/>
  <c r="BA162" i="33"/>
  <c r="CY162" i="33" s="1"/>
  <c r="CI162" i="33"/>
  <c r="DK69" i="37"/>
  <c r="CL78" i="32"/>
  <c r="AC81" i="32" s="1"/>
  <c r="DF104" i="32" s="1"/>
  <c r="M70" i="37"/>
  <c r="C56" i="33"/>
  <c r="J61" i="36"/>
  <c r="I59" i="35"/>
  <c r="CA65" i="35" s="1"/>
  <c r="F56" i="37"/>
  <c r="CD39" i="32"/>
  <c r="F45" i="36"/>
  <c r="F46" i="35"/>
  <c r="F41" i="33"/>
  <c r="CQ45" i="33" s="1"/>
  <c r="CD37" i="32"/>
  <c r="CD36" i="32"/>
  <c r="CY262" i="37"/>
  <c r="CY236" i="37"/>
  <c r="BW47" i="37"/>
  <c r="CL107" i="32"/>
  <c r="AC110" i="32" s="1"/>
  <c r="DF136" i="32" s="1"/>
  <c r="BW96" i="32"/>
  <c r="BZ96" i="32" s="1"/>
  <c r="CK118" i="33"/>
  <c r="CB201" i="33" s="1"/>
  <c r="BY117" i="35"/>
  <c r="CE126" i="36"/>
  <c r="CH251" i="37"/>
  <c r="CR251" i="37"/>
  <c r="CJ251" i="37"/>
  <c r="CP250" i="37"/>
  <c r="CR250" i="37"/>
  <c r="CH250" i="37"/>
  <c r="CV250" i="37"/>
  <c r="CJ250" i="37"/>
  <c r="CP251" i="37"/>
  <c r="EJ108" i="37"/>
  <c r="BQ178" i="35"/>
  <c r="DP180" i="35"/>
  <c r="DO74" i="32"/>
  <c r="CP61" i="32"/>
  <c r="CO61" i="32"/>
  <c r="DO130" i="32"/>
  <c r="CP107" i="32"/>
  <c r="CO107" i="32"/>
  <c r="CP132" i="32"/>
  <c r="DO165" i="32"/>
  <c r="CO132" i="32"/>
  <c r="CB39" i="35"/>
  <c r="BQ130" i="33"/>
  <c r="AD168" i="33"/>
  <c r="AJ167" i="35"/>
  <c r="S185" i="36"/>
  <c r="CP30" i="32"/>
  <c r="CO30" i="32"/>
  <c r="DO33" i="32"/>
  <c r="DJ149" i="35"/>
  <c r="DS161" i="35"/>
  <c r="CR160" i="35"/>
  <c r="DP161" i="35" s="1"/>
  <c r="BO110" i="33"/>
  <c r="AN110" i="33"/>
  <c r="DE49" i="32"/>
  <c r="CT131" i="32"/>
  <c r="K260" i="37"/>
  <c r="AB260" i="37"/>
  <c r="K261" i="37"/>
  <c r="CY45" i="33"/>
  <c r="CP44" i="33"/>
  <c r="AB44" i="33" s="1"/>
  <c r="EB44" i="33" s="1"/>
  <c r="DO95" i="32"/>
  <c r="CR73" i="32"/>
  <c r="CS73" i="32"/>
  <c r="CI180" i="33"/>
  <c r="BO178" i="33"/>
  <c r="CY174" i="33"/>
  <c r="BO179" i="33"/>
  <c r="CT182" i="33"/>
  <c r="CS182" i="33"/>
  <c r="CY181" i="33"/>
  <c r="BQ106" i="33"/>
  <c r="S167" i="36"/>
  <c r="AJ148" i="35"/>
  <c r="AD148" i="33"/>
  <c r="F177" i="36"/>
  <c r="F184" i="37"/>
  <c r="F161" i="33"/>
  <c r="CD128" i="32"/>
  <c r="CD126" i="32"/>
  <c r="CL128" i="32"/>
  <c r="CD125" i="32"/>
  <c r="F162" i="35"/>
  <c r="AW72" i="35"/>
  <c r="CO72" i="35" s="1"/>
  <c r="DG69" i="35" s="1"/>
  <c r="BX60" i="32"/>
  <c r="BO60" i="32" s="1"/>
  <c r="DE67" i="32"/>
  <c r="K241" i="37"/>
  <c r="K240" i="37"/>
  <c r="AB240" i="37"/>
  <c r="AL66" i="32"/>
  <c r="CL69" i="32" s="1"/>
  <c r="D212" i="35"/>
  <c r="BQ85" i="35"/>
  <c r="BX86" i="35"/>
  <c r="BY86" i="35" s="1"/>
  <c r="DE82" i="32"/>
  <c r="CS96" i="32"/>
  <c r="DO119" i="32"/>
  <c r="CR96" i="32"/>
  <c r="K259" i="37"/>
  <c r="K258" i="37"/>
  <c r="AB258" i="37"/>
  <c r="C126" i="37"/>
  <c r="M108" i="35"/>
  <c r="N118" i="36"/>
  <c r="F108" i="33"/>
  <c r="BX208" i="35"/>
  <c r="AL52" i="35"/>
  <c r="H208" i="35" s="1"/>
  <c r="AL168" i="35"/>
  <c r="BX222" i="35"/>
  <c r="I178" i="35"/>
  <c r="J177" i="33"/>
  <c r="J195" i="36"/>
  <c r="I202" i="37"/>
  <c r="BW138" i="37"/>
  <c r="CY256" i="37"/>
  <c r="X59" i="37"/>
  <c r="EJ55" i="37" s="1"/>
  <c r="AN99" i="36"/>
  <c r="AG99" i="36" s="1"/>
  <c r="BQ98" i="33"/>
  <c r="DO96" i="32"/>
  <c r="CB72" i="32"/>
  <c r="CF72" i="32"/>
  <c r="BL86" i="35"/>
  <c r="BL87" i="35"/>
  <c r="CS86" i="35" s="1"/>
  <c r="CB90" i="35"/>
  <c r="CC90" i="35" s="1"/>
  <c r="CY246" i="37"/>
  <c r="BW93" i="37"/>
  <c r="F157" i="37"/>
  <c r="BW157" i="37" s="1"/>
  <c r="F147" i="36"/>
  <c r="F135" i="35"/>
  <c r="F133" i="33"/>
  <c r="CD110" i="32"/>
  <c r="CD108" i="32"/>
  <c r="DO105" i="32"/>
  <c r="CB79" i="32"/>
  <c r="CF79" i="32"/>
  <c r="F202" i="37"/>
  <c r="F195" i="36"/>
  <c r="CD137" i="32"/>
  <c r="F178" i="35"/>
  <c r="F177" i="33"/>
  <c r="CQ181" i="33" s="1"/>
  <c r="AB179" i="33" s="1"/>
  <c r="EB179" i="33" s="1"/>
  <c r="CD140" i="32"/>
  <c r="CD138" i="32"/>
  <c r="CL140" i="32"/>
  <c r="CN140" i="32"/>
  <c r="CO147" i="36"/>
  <c r="CO146" i="36"/>
  <c r="CY248" i="37"/>
  <c r="BW102" i="37"/>
  <c r="AW105" i="35"/>
  <c r="CO105" i="35" s="1"/>
  <c r="DG102" i="35" s="1"/>
  <c r="CP162" i="35"/>
  <c r="DJ160" i="35"/>
  <c r="CS108" i="32"/>
  <c r="DO135" i="32"/>
  <c r="CR108" i="32"/>
  <c r="CJ50" i="33"/>
  <c r="CD44" i="32"/>
  <c r="CD51" i="36"/>
  <c r="BX52" i="35"/>
  <c r="CB114" i="32"/>
  <c r="CF114" i="32"/>
  <c r="DO145" i="32"/>
  <c r="AN167" i="37"/>
  <c r="R163" i="37"/>
  <c r="DC162" i="37"/>
  <c r="K169" i="37"/>
  <c r="BF22" i="37"/>
  <c r="DF168" i="37"/>
  <c r="C262" i="37"/>
  <c r="DJ165" i="37"/>
  <c r="DM165" i="37"/>
  <c r="DN165" i="37"/>
  <c r="DO165" i="37"/>
  <c r="AZ167" i="37"/>
  <c r="Y157" i="37"/>
  <c r="AD157" i="37"/>
  <c r="X157" i="37"/>
  <c r="CS181" i="33"/>
  <c r="CR181" i="33" s="1"/>
  <c r="CI178" i="33"/>
  <c r="BA178" i="33"/>
  <c r="CY178" i="33" s="1"/>
  <c r="DM183" i="33" s="1"/>
  <c r="T181" i="33"/>
  <c r="DW181" i="33" s="1"/>
  <c r="CM182" i="33"/>
  <c r="CL182" i="33"/>
  <c r="DD180" i="33"/>
  <c r="BO102" i="33"/>
  <c r="Q157" i="37"/>
  <c r="X135" i="35"/>
  <c r="AA133" i="33"/>
  <c r="BZ134" i="33" s="1"/>
  <c r="CB137" i="33" s="1"/>
  <c r="AA147" i="36"/>
  <c r="CN147" i="36" s="1"/>
  <c r="AU146" i="36" s="1"/>
  <c r="AZ108" i="32"/>
  <c r="BX223" i="35"/>
  <c r="AL176" i="35"/>
  <c r="BX217" i="35"/>
  <c r="AS217" i="35" s="1"/>
  <c r="AL125" i="35"/>
  <c r="BW84" i="37"/>
  <c r="CY244" i="37"/>
  <c r="CL60" i="32"/>
  <c r="AC63" i="32" s="1"/>
  <c r="DF79" i="32" s="1"/>
  <c r="DE71" i="32"/>
  <c r="AG66" i="32"/>
  <c r="X150" i="37"/>
  <c r="EJ146" i="37" s="1"/>
  <c r="BQ103" i="35"/>
  <c r="DP105" i="35"/>
  <c r="CO55" i="32"/>
  <c r="CP55" i="32"/>
  <c r="DO66" i="32"/>
  <c r="CO194" i="36"/>
  <c r="CO195" i="36"/>
  <c r="AB176" i="37"/>
  <c r="CD265" i="37" s="1"/>
  <c r="V23" i="37"/>
  <c r="AT104" i="36"/>
  <c r="DJ98" i="36" s="1"/>
  <c r="BM101" i="36"/>
  <c r="CG104" i="36"/>
  <c r="CK104" i="36" s="1"/>
  <c r="H104" i="36"/>
  <c r="DA98" i="36" s="1"/>
  <c r="BR93" i="33"/>
  <c r="CB194" i="36"/>
  <c r="BM194" i="36"/>
  <c r="BZ195" i="36"/>
  <c r="BZ196" i="36" s="1"/>
  <c r="BY195" i="36"/>
  <c r="BX194" i="36" s="1"/>
  <c r="BP194" i="36"/>
  <c r="AT196" i="36"/>
  <c r="DJ190" i="36" s="1"/>
  <c r="BI194" i="36"/>
  <c r="BL196" i="36"/>
  <c r="DM190" i="36" s="1"/>
  <c r="H197" i="36"/>
  <c r="DA191" i="36" s="1"/>
  <c r="AS194" i="36"/>
  <c r="AU194" i="36"/>
  <c r="AF197" i="36"/>
  <c r="DD191" i="36" s="1"/>
  <c r="AT197" i="36"/>
  <c r="DJ191" i="36" s="1"/>
  <c r="CG197" i="36"/>
  <c r="CK197" i="36" s="1"/>
  <c r="AF196" i="36"/>
  <c r="DD190" i="36" s="1"/>
  <c r="BK194" i="36"/>
  <c r="CV192" i="36" s="1"/>
  <c r="BL197" i="36"/>
  <c r="DM191" i="36" s="1"/>
  <c r="H196" i="36"/>
  <c r="DA190" i="36" s="1"/>
  <c r="AL109" i="35"/>
  <c r="H215" i="35" s="1"/>
  <c r="BX215" i="35"/>
  <c r="AB215" i="35" s="1"/>
  <c r="BX90" i="36"/>
  <c r="BE92" i="36" s="1"/>
  <c r="CS95" i="36" s="1"/>
  <c r="CH93" i="36" s="1"/>
  <c r="BY90" i="36"/>
  <c r="DO173" i="32"/>
  <c r="CP138" i="32"/>
  <c r="CO138" i="32"/>
  <c r="BG98" i="33"/>
  <c r="AW80" i="35"/>
  <c r="CO80" i="35" s="1"/>
  <c r="DG77" i="35" s="1"/>
  <c r="CP74" i="32"/>
  <c r="DO92" i="32"/>
  <c r="CO74" i="32"/>
  <c r="CL42" i="32"/>
  <c r="AC45" i="32" s="1"/>
  <c r="DF55" i="32" s="1"/>
  <c r="CL37" i="32"/>
  <c r="CF78" i="32"/>
  <c r="DO104" i="32"/>
  <c r="CB78" i="32"/>
  <c r="CA179" i="35"/>
  <c r="CB179" i="35"/>
  <c r="CO138" i="36"/>
  <c r="AY137" i="36" s="1"/>
  <c r="CS133" i="36" s="1"/>
  <c r="CO137" i="36"/>
  <c r="BX216" i="35"/>
  <c r="AB216" i="35" s="1"/>
  <c r="AL117" i="35"/>
  <c r="H216" i="35" s="1"/>
  <c r="I129" i="37"/>
  <c r="J120" i="36"/>
  <c r="I111" i="35"/>
  <c r="BC108" i="35" s="1"/>
  <c r="BB108" i="35" s="1"/>
  <c r="J109" i="33"/>
  <c r="BZ110" i="33" s="1"/>
  <c r="CL90" i="32"/>
  <c r="AW89" i="35"/>
  <c r="CO89" i="35" s="1"/>
  <c r="DG86" i="35" s="1"/>
  <c r="I147" i="37"/>
  <c r="J138" i="36"/>
  <c r="J125" i="33"/>
  <c r="BZ126" i="33" s="1"/>
  <c r="I127" i="35"/>
  <c r="BC124" i="35" s="1"/>
  <c r="BB124" i="35" s="1"/>
  <c r="CL102" i="32"/>
  <c r="CL101" i="32"/>
  <c r="AC104" i="32" s="1"/>
  <c r="DF128" i="32" s="1"/>
  <c r="F93" i="37"/>
  <c r="CD63" i="32"/>
  <c r="F84" i="36"/>
  <c r="F78" i="35"/>
  <c r="F73" i="33"/>
  <c r="CD60" i="32"/>
  <c r="CD61" i="32"/>
  <c r="CR149" i="35"/>
  <c r="DP150" i="35" s="1"/>
  <c r="DS150" i="35"/>
  <c r="DP153" i="35"/>
  <c r="BQ151" i="35"/>
  <c r="CJ140" i="33"/>
  <c r="BA146" i="33"/>
  <c r="AT145" i="33"/>
  <c r="G143" i="33"/>
  <c r="DD142" i="33" s="1"/>
  <c r="T143" i="33"/>
  <c r="DW143" i="33" s="1"/>
  <c r="G144" i="33"/>
  <c r="DD143" i="33" s="1"/>
  <c r="CN144" i="33"/>
  <c r="O143" i="33" s="1"/>
  <c r="DI142" i="33" s="1"/>
  <c r="T144" i="33"/>
  <c r="DW144" i="33" s="1"/>
  <c r="AN142" i="33"/>
  <c r="CQ144" i="33"/>
  <c r="T142" i="33"/>
  <c r="DW142" i="33" s="1"/>
  <c r="CK140" i="33"/>
  <c r="BY204" i="33"/>
  <c r="BG145" i="33"/>
  <c r="BK146" i="33"/>
  <c r="AT146" i="33"/>
  <c r="G142" i="33"/>
  <c r="DD141" i="33" s="1"/>
  <c r="AZ141" i="33"/>
  <c r="BQ146" i="33"/>
  <c r="CA144" i="33"/>
  <c r="CA143" i="33"/>
  <c r="CF61" i="32"/>
  <c r="CB61" i="32"/>
  <c r="DO80" i="32"/>
  <c r="AZ133" i="33"/>
  <c r="H47" i="36"/>
  <c r="DA41" i="36" s="1"/>
  <c r="BM44" i="36"/>
  <c r="AT47" i="36"/>
  <c r="DJ41" i="36" s="1"/>
  <c r="BQ119" i="35"/>
  <c r="DP121" i="35"/>
  <c r="DR180" i="33"/>
  <c r="DM180" i="33"/>
  <c r="CG180" i="33"/>
  <c r="AN180" i="33"/>
  <c r="CU179" i="33" s="1"/>
  <c r="BY180" i="33"/>
  <c r="CC180" i="33"/>
  <c r="CE180" i="33"/>
  <c r="CC179" i="33"/>
  <c r="CE179" i="33"/>
  <c r="BY179" i="33"/>
  <c r="AN179" i="33"/>
  <c r="CG179" i="33"/>
  <c r="CB96" i="35"/>
  <c r="AW137" i="35"/>
  <c r="CO137" i="35" s="1"/>
  <c r="DG134" i="35" s="1"/>
  <c r="F70" i="35"/>
  <c r="F72" i="36"/>
  <c r="F84" i="37"/>
  <c r="CD57" i="32"/>
  <c r="F65" i="33"/>
  <c r="CJ240" i="37"/>
  <c r="CH241" i="37"/>
  <c r="CP240" i="37"/>
  <c r="EJ62" i="37"/>
  <c r="CP241" i="37"/>
  <c r="CR240" i="37"/>
  <c r="CJ241" i="37"/>
  <c r="CR241" i="37"/>
  <c r="CH240" i="37"/>
  <c r="CV240" i="37"/>
  <c r="CD90" i="36"/>
  <c r="CJ86" i="33"/>
  <c r="BX85" i="35"/>
  <c r="AL92" i="36"/>
  <c r="CD94" i="36"/>
  <c r="CE93" i="36" s="1"/>
  <c r="AN90" i="36"/>
  <c r="AG90" i="36" s="1"/>
  <c r="AN89" i="36"/>
  <c r="AG89" i="36" s="1"/>
  <c r="DE47" i="32"/>
  <c r="CO78" i="32"/>
  <c r="DO98" i="32"/>
  <c r="CP78" i="32"/>
  <c r="I193" i="37"/>
  <c r="J186" i="36"/>
  <c r="I170" i="35"/>
  <c r="BC167" i="35" s="1"/>
  <c r="BB167" i="35" s="1"/>
  <c r="CG172" i="35" s="1"/>
  <c r="CG169" i="35" s="1"/>
  <c r="J169" i="33"/>
  <c r="CM104" i="36"/>
  <c r="CI104" i="36"/>
  <c r="CG102" i="36"/>
  <c r="BW31" i="32"/>
  <c r="BQ111" i="35"/>
  <c r="DP113" i="35"/>
  <c r="CL43" i="32"/>
  <c r="DE60" i="32"/>
  <c r="CO159" i="36"/>
  <c r="CO158" i="36"/>
  <c r="AJ124" i="35"/>
  <c r="S137" i="36"/>
  <c r="AD124" i="33"/>
  <c r="CF40" i="35"/>
  <c r="CF37" i="35"/>
  <c r="BW101" i="32"/>
  <c r="BO101" i="32" s="1"/>
  <c r="CL73" i="32"/>
  <c r="CS77" i="33"/>
  <c r="CR77" i="33" s="1"/>
  <c r="G77" i="33" s="1"/>
  <c r="BA74" i="33"/>
  <c r="CY74" i="33" s="1"/>
  <c r="CI74" i="33"/>
  <c r="DF183" i="37"/>
  <c r="BM146" i="36"/>
  <c r="AT149" i="36"/>
  <c r="DJ143" i="36" s="1"/>
  <c r="H149" i="36"/>
  <c r="DA143" i="36" s="1"/>
  <c r="CG149" i="36"/>
  <c r="CK149" i="36" s="1"/>
  <c r="AT56" i="36"/>
  <c r="DJ50" i="36" s="1"/>
  <c r="BM53" i="36"/>
  <c r="H56" i="36"/>
  <c r="DA50" i="36" s="1"/>
  <c r="CG56" i="36"/>
  <c r="CK56" i="36" s="1"/>
  <c r="DJ168" i="35"/>
  <c r="CP170" i="35"/>
  <c r="BO171" i="33"/>
  <c r="CY166" i="33"/>
  <c r="BO170" i="33"/>
  <c r="CI172" i="33"/>
  <c r="CU169" i="33"/>
  <c r="EX202" i="37"/>
  <c r="EB202" i="37"/>
  <c r="ET202" i="37" s="1"/>
  <c r="CQ140" i="32"/>
  <c r="AZ126" i="32"/>
  <c r="BZ127" i="32" s="1"/>
  <c r="AA177" i="36"/>
  <c r="Q184" i="37"/>
  <c r="X162" i="35"/>
  <c r="AA161" i="33"/>
  <c r="CO119" i="32"/>
  <c r="CP119" i="32"/>
  <c r="DO146" i="32"/>
  <c r="F109" i="33"/>
  <c r="F129" i="37"/>
  <c r="F111" i="35"/>
  <c r="F120" i="36"/>
  <c r="CD92" i="32"/>
  <c r="CD89" i="32"/>
  <c r="CD90" i="32"/>
  <c r="CK134" i="33"/>
  <c r="CB203" i="33" s="1"/>
  <c r="BY133" i="35"/>
  <c r="CE144" i="36"/>
  <c r="CB90" i="32"/>
  <c r="DO113" i="32"/>
  <c r="CF90" i="32"/>
  <c r="CP245" i="37"/>
  <c r="CH244" i="37"/>
  <c r="CP244" i="37"/>
  <c r="CR245" i="37"/>
  <c r="CR244" i="37"/>
  <c r="CV244" i="37"/>
  <c r="EJ81" i="37"/>
  <c r="CJ244" i="37"/>
  <c r="CJ245" i="37"/>
  <c r="CH245" i="37"/>
  <c r="CB136" i="35"/>
  <c r="CA136" i="35"/>
  <c r="CA36" i="33"/>
  <c r="CG162" i="35"/>
  <c r="CG160" i="35" s="1"/>
  <c r="CU161" i="33"/>
  <c r="CS166" i="33"/>
  <c r="CY165" i="33"/>
  <c r="CT166" i="33"/>
  <c r="DP56" i="35"/>
  <c r="BQ54" i="35"/>
  <c r="AS185" i="36"/>
  <c r="BL187" i="36"/>
  <c r="DM181" i="36" s="1"/>
  <c r="CB185" i="36"/>
  <c r="BP185" i="36"/>
  <c r="BZ186" i="36"/>
  <c r="BZ187" i="36" s="1"/>
  <c r="AF187" i="36"/>
  <c r="DD181" i="36" s="1"/>
  <c r="BY186" i="36"/>
  <c r="BX185" i="36" s="1"/>
  <c r="CG188" i="36"/>
  <c r="CK188" i="36" s="1"/>
  <c r="AU185" i="36"/>
  <c r="AT187" i="36"/>
  <c r="DJ181" i="36" s="1"/>
  <c r="BL188" i="36"/>
  <c r="DM182" i="36" s="1"/>
  <c r="AT188" i="36"/>
  <c r="DJ182" i="36" s="1"/>
  <c r="H187" i="36"/>
  <c r="DA181" i="36" s="1"/>
  <c r="BK185" i="36"/>
  <c r="CV183" i="36" s="1"/>
  <c r="BI185" i="36"/>
  <c r="H188" i="36"/>
  <c r="DA182" i="36" s="1"/>
  <c r="AF188" i="36"/>
  <c r="DD182" i="36" s="1"/>
  <c r="BM185" i="36"/>
  <c r="AB242" i="37"/>
  <c r="K242" i="37"/>
  <c r="K243" i="37"/>
  <c r="CQ60" i="33"/>
  <c r="AZ139" i="32"/>
  <c r="BZ139" i="32" s="1"/>
  <c r="CB140" i="32" s="1"/>
  <c r="DJ174" i="32"/>
  <c r="CY129" i="33"/>
  <c r="CO176" i="36"/>
  <c r="CO177" i="36"/>
  <c r="BY165" i="36"/>
  <c r="BX165" i="36"/>
  <c r="BE167" i="36" s="1"/>
  <c r="CS170" i="36" s="1"/>
  <c r="CH167" i="36" s="1"/>
  <c r="P119" i="35"/>
  <c r="S117" i="33"/>
  <c r="S129" i="36"/>
  <c r="BN97" i="32"/>
  <c r="CB128" i="35"/>
  <c r="AW56" i="35"/>
  <c r="CO56" i="35" s="1"/>
  <c r="DG53" i="35" s="1"/>
  <c r="BW74" i="37"/>
  <c r="CY242" i="37"/>
  <c r="CC152" i="33"/>
  <c r="CE152" i="33"/>
  <c r="AN152" i="33"/>
  <c r="CU151" i="33" s="1"/>
  <c r="BY152" i="33"/>
  <c r="CG152" i="33"/>
  <c r="X96" i="37"/>
  <c r="EJ92" i="37" s="1"/>
  <c r="CJ172" i="36"/>
  <c r="CL92" i="32"/>
  <c r="CG170" i="35"/>
  <c r="CI176" i="35"/>
  <c r="CH180" i="35"/>
  <c r="CI177" i="35" s="1"/>
  <c r="CJ181" i="35"/>
  <c r="CR176" i="35"/>
  <c r="DP177" i="35" s="1"/>
  <c r="DS177" i="35"/>
  <c r="AN135" i="36"/>
  <c r="AG135" i="36" s="1"/>
  <c r="DO154" i="32"/>
  <c r="CO125" i="32"/>
  <c r="CP125" i="32"/>
  <c r="CO92" i="36"/>
  <c r="CO93" i="36"/>
  <c r="AY92" i="36" s="1"/>
  <c r="CS88" i="36" s="1"/>
  <c r="CN191" i="36"/>
  <c r="CN196" i="36"/>
  <c r="BY194" i="36"/>
  <c r="CG194" i="36" s="1"/>
  <c r="AE190" i="36"/>
  <c r="CO191" i="36"/>
  <c r="AN191" i="36"/>
  <c r="AG191" i="36" s="1"/>
  <c r="DO57" i="32"/>
  <c r="CO48" i="32"/>
  <c r="CP48" i="32"/>
  <c r="CP253" i="37"/>
  <c r="CR252" i="37"/>
  <c r="CV252" i="37"/>
  <c r="CJ252" i="37"/>
  <c r="CJ253" i="37"/>
  <c r="CH253" i="37"/>
  <c r="EJ117" i="37"/>
  <c r="CH252" i="37"/>
  <c r="CR253" i="37"/>
  <c r="CP252" i="37"/>
  <c r="AD72" i="33"/>
  <c r="S83" i="36"/>
  <c r="AJ75" i="35"/>
  <c r="BX206" i="35"/>
  <c r="AS206" i="35" s="1"/>
  <c r="AL36" i="35"/>
  <c r="H206" i="35" s="1"/>
  <c r="DE80" i="32"/>
  <c r="CB160" i="35"/>
  <c r="BZ161" i="35" s="1"/>
  <c r="CC160" i="35"/>
  <c r="CH160" i="35"/>
  <c r="CH163" i="35"/>
  <c r="CJ160" i="35"/>
  <c r="CJ164" i="35"/>
  <c r="CS164" i="35"/>
  <c r="CJ163" i="35"/>
  <c r="CL89" i="32"/>
  <c r="AC92" i="32" s="1"/>
  <c r="DF112" i="32" s="1"/>
  <c r="CD160" i="36"/>
  <c r="CE159" i="36" s="1"/>
  <c r="AL158" i="36"/>
  <c r="AN156" i="36"/>
  <c r="AG156" i="36" s="1"/>
  <c r="BM167" i="36"/>
  <c r="CG170" i="36"/>
  <c r="CK170" i="36" s="1"/>
  <c r="AT170" i="36"/>
  <c r="DJ164" i="36" s="1"/>
  <c r="AF169" i="36"/>
  <c r="DD163" i="36" s="1"/>
  <c r="H170" i="36"/>
  <c r="DA164" i="36" s="1"/>
  <c r="BY168" i="36"/>
  <c r="CB167" i="36"/>
  <c r="BZ168" i="36"/>
  <c r="BZ169" i="36" s="1"/>
  <c r="H169" i="36"/>
  <c r="DA163" i="36" s="1"/>
  <c r="X160" i="37"/>
  <c r="EJ156" i="37" s="1"/>
  <c r="CY137" i="33"/>
  <c r="BM71" i="36"/>
  <c r="CY53" i="33"/>
  <c r="CD60" i="36"/>
  <c r="BX60" i="35"/>
  <c r="CJ58" i="33"/>
  <c r="CD50" i="32"/>
  <c r="AZ51" i="32"/>
  <c r="CP103" i="32"/>
  <c r="DO124" i="32"/>
  <c r="CO103" i="32"/>
  <c r="AZ43" i="32"/>
  <c r="CO137" i="32"/>
  <c r="DO172" i="32"/>
  <c r="CP137" i="32"/>
  <c r="AE97" i="36"/>
  <c r="BY101" i="36"/>
  <c r="CB101" i="36" s="1"/>
  <c r="CO101" i="32"/>
  <c r="CP101" i="32"/>
  <c r="DT122" i="32"/>
  <c r="DH33" i="32"/>
  <c r="DI33" i="32" s="1"/>
  <c r="X68" i="37"/>
  <c r="EJ64" i="37" s="1"/>
  <c r="BX66" i="32"/>
  <c r="AZ69" i="32" s="1"/>
  <c r="AZ68" i="32"/>
  <c r="DJ83" i="32"/>
  <c r="CL39" i="32"/>
  <c r="CJ259" i="37"/>
  <c r="EJ144" i="37"/>
  <c r="CH258" i="37"/>
  <c r="CH259" i="37"/>
  <c r="CR259" i="37"/>
  <c r="CP258" i="37"/>
  <c r="CJ258" i="37"/>
  <c r="CR258" i="37"/>
  <c r="CP259" i="37"/>
  <c r="CV258" i="37"/>
  <c r="CN178" i="36"/>
  <c r="CO173" i="36"/>
  <c r="BY176" i="36"/>
  <c r="CG176" i="36" s="1"/>
  <c r="CN173" i="36"/>
  <c r="AN173" i="36"/>
  <c r="AG173" i="36" s="1"/>
  <c r="AE172" i="36"/>
  <c r="CE151" i="33"/>
  <c r="CG151" i="33"/>
  <c r="BY151" i="33"/>
  <c r="CC151" i="33"/>
  <c r="AN151" i="33"/>
  <c r="AL101" i="35"/>
  <c r="H214" i="35" s="1"/>
  <c r="BX214" i="35"/>
  <c r="AS214" i="35" s="1"/>
  <c r="CF86" i="35"/>
  <c r="CF89" i="35"/>
  <c r="F111" i="36"/>
  <c r="F103" i="35"/>
  <c r="F101" i="33"/>
  <c r="CD81" i="32"/>
  <c r="F120" i="37"/>
  <c r="CL81" i="32"/>
  <c r="CD78" i="32"/>
  <c r="CD79" i="32"/>
  <c r="CF94" i="35"/>
  <c r="CF97" i="35"/>
  <c r="T178" i="37"/>
  <c r="EN172" i="37" s="1"/>
  <c r="EX175" i="37"/>
  <c r="EB175" i="37"/>
  <c r="ET175" i="37" s="1"/>
  <c r="AZ62" i="32"/>
  <c r="DJ75" i="32"/>
  <c r="K239" i="37"/>
  <c r="AB238" i="37"/>
  <c r="K238" i="37"/>
  <c r="BG93" i="33"/>
  <c r="AN94" i="33"/>
  <c r="BY60" i="35"/>
  <c r="CK58" i="33"/>
  <c r="CB194" i="33" s="1"/>
  <c r="CE60" i="36"/>
  <c r="F175" i="37"/>
  <c r="CD120" i="32"/>
  <c r="F151" i="35"/>
  <c r="F149" i="33"/>
  <c r="CN152" i="33" s="1"/>
  <c r="O151" i="33" s="1"/>
  <c r="DI150" i="33" s="1"/>
  <c r="F168" i="36"/>
  <c r="CD119" i="32"/>
  <c r="CI122" i="32"/>
  <c r="CQ122" i="32"/>
  <c r="CS122" i="32"/>
  <c r="AM122" i="32" s="1"/>
  <c r="DF153" i="32" s="1"/>
  <c r="CG36" i="36"/>
  <c r="CM38" i="36"/>
  <c r="CI38" i="36"/>
  <c r="CP44" i="32"/>
  <c r="DO51" i="32"/>
  <c r="CO44" i="32"/>
  <c r="CG171" i="33"/>
  <c r="CC171" i="33"/>
  <c r="AN171" i="33"/>
  <c r="CU170" i="33" s="1"/>
  <c r="CE171" i="33"/>
  <c r="BY171" i="33"/>
  <c r="AB203" i="37"/>
  <c r="AS205" i="37" s="1"/>
  <c r="BQ202" i="37"/>
  <c r="BM202" i="37"/>
  <c r="BE202" i="37"/>
  <c r="AK202" i="37"/>
  <c r="W202" i="37"/>
  <c r="AG202" i="37"/>
  <c r="Y202" i="37"/>
  <c r="AD202" i="37"/>
  <c r="BI202" i="37"/>
  <c r="K204" i="37"/>
  <c r="X202" i="37"/>
  <c r="BY35" i="36"/>
  <c r="AN31" i="36"/>
  <c r="F186" i="36"/>
  <c r="F170" i="35"/>
  <c r="F169" i="33"/>
  <c r="F193" i="37"/>
  <c r="CD134" i="32"/>
  <c r="CD132" i="32"/>
  <c r="CD131" i="32"/>
  <c r="CL134" i="32"/>
  <c r="CN134" i="32"/>
  <c r="CJ237" i="37"/>
  <c r="CH237" i="37"/>
  <c r="CR237" i="37"/>
  <c r="CP237" i="37"/>
  <c r="EJ44" i="37"/>
  <c r="CH236" i="37"/>
  <c r="CV236" i="37"/>
  <c r="CR236" i="37"/>
  <c r="CP236" i="37"/>
  <c r="CJ236" i="37"/>
  <c r="DE78" i="32"/>
  <c r="T196" i="37"/>
  <c r="EN190" i="37" s="1"/>
  <c r="X196" i="37"/>
  <c r="BQ38" i="35"/>
  <c r="DP40" i="35"/>
  <c r="BQ38" i="33"/>
  <c r="CR126" i="32"/>
  <c r="DO159" i="32"/>
  <c r="CS126" i="32"/>
  <c r="CE120" i="33"/>
  <c r="CC120" i="33"/>
  <c r="AN120" i="33"/>
  <c r="CU119" i="33" s="1"/>
  <c r="BY120" i="33"/>
  <c r="CG120" i="33"/>
  <c r="CU117" i="33"/>
  <c r="CD74" i="32"/>
  <c r="BX93" i="35"/>
  <c r="CJ94" i="33"/>
  <c r="CL93" i="33" s="1"/>
  <c r="CD99" i="36"/>
  <c r="AZ75" i="32"/>
  <c r="AN58" i="33"/>
  <c r="BO58" i="33"/>
  <c r="AN60" i="33"/>
  <c r="CU59" i="33" s="1"/>
  <c r="CG60" i="33"/>
  <c r="BY60" i="33"/>
  <c r="CE60" i="33"/>
  <c r="CC60" i="33"/>
  <c r="CB79" i="35"/>
  <c r="BL69" i="35"/>
  <c r="BL70" i="35"/>
  <c r="CS69" i="35" s="1"/>
  <c r="CB73" i="35"/>
  <c r="CC73" i="35" s="1"/>
  <c r="CB88" i="35"/>
  <c r="CA88" i="35"/>
  <c r="AE133" i="36"/>
  <c r="BY137" i="36"/>
  <c r="CB137" i="36" s="1"/>
  <c r="AG143" i="35" s="1"/>
  <c r="Q219" i="35" s="1"/>
  <c r="CA219" i="35" s="1"/>
  <c r="BW65" i="37"/>
  <c r="CY240" i="37"/>
  <c r="BW37" i="32"/>
  <c r="CS153" i="33"/>
  <c r="CR153" i="33" s="1"/>
  <c r="G153" i="33" s="1"/>
  <c r="CI150" i="33"/>
  <c r="BA150" i="33"/>
  <c r="CY150" i="33" s="1"/>
  <c r="AB256" i="37"/>
  <c r="K256" i="37"/>
  <c r="K257" i="37"/>
  <c r="CC176" i="35"/>
  <c r="CB176" i="35"/>
  <c r="BZ177" i="35" s="1"/>
  <c r="CJ190" i="36"/>
  <c r="BM137" i="36"/>
  <c r="BX218" i="35"/>
  <c r="AB218" i="35" s="1"/>
  <c r="AL133" i="35"/>
  <c r="H218" i="35" s="1"/>
  <c r="CO71" i="36"/>
  <c r="CO72" i="36"/>
  <c r="AY71" i="36" s="1"/>
  <c r="CS67" i="36" s="1"/>
  <c r="CQ67" i="36" s="1"/>
  <c r="DS98" i="36" s="1"/>
  <c r="J43" i="36"/>
  <c r="M52" i="37"/>
  <c r="I43" i="35"/>
  <c r="CA49" i="35" s="1"/>
  <c r="C40" i="33"/>
  <c r="J127" i="36"/>
  <c r="C116" i="33"/>
  <c r="I116" i="35"/>
  <c r="CA122" i="35" s="1"/>
  <c r="M134" i="37"/>
  <c r="AL44" i="35"/>
  <c r="H207" i="35" s="1"/>
  <c r="BX207" i="35"/>
  <c r="M198" i="37"/>
  <c r="I175" i="35"/>
  <c r="CA181" i="35" s="1"/>
  <c r="C176" i="33"/>
  <c r="J193" i="36"/>
  <c r="I124" i="35"/>
  <c r="C124" i="33"/>
  <c r="J136" i="36"/>
  <c r="M143" i="37"/>
  <c r="AW48" i="35"/>
  <c r="CO48" i="35" s="1"/>
  <c r="DG45" i="35" s="1"/>
  <c r="F129" i="36"/>
  <c r="F117" i="33"/>
  <c r="F119" i="35"/>
  <c r="F138" i="37"/>
  <c r="CD98" i="32"/>
  <c r="CD96" i="32"/>
  <c r="CD95" i="32"/>
  <c r="CI149" i="35"/>
  <c r="CJ154" i="35"/>
  <c r="CH153" i="35"/>
  <c r="CI150" i="35" s="1"/>
  <c r="AB220" i="35"/>
  <c r="AJ220" i="35"/>
  <c r="AP220" i="35"/>
  <c r="BH220" i="35"/>
  <c r="AD220" i="35"/>
  <c r="DP164" i="35"/>
  <c r="BQ162" i="35"/>
  <c r="AS218" i="35"/>
  <c r="AZ109" i="33"/>
  <c r="AZ115" i="32"/>
  <c r="DJ140" i="32"/>
  <c r="AL113" i="32"/>
  <c r="AG113" i="32"/>
  <c r="CJ163" i="36"/>
  <c r="H74" i="36"/>
  <c r="DA68" i="36" s="1"/>
  <c r="AT74" i="36"/>
  <c r="DJ68" i="36" s="1"/>
  <c r="CG74" i="36"/>
  <c r="CK74" i="36" s="1"/>
  <c r="BY43" i="33"/>
  <c r="CC43" i="33"/>
  <c r="CG43" i="33"/>
  <c r="CE43" i="33"/>
  <c r="AN43" i="33"/>
  <c r="CU42" i="33" s="1"/>
  <c r="AB181" i="33"/>
  <c r="EB181" i="33" s="1"/>
  <c r="CB112" i="35"/>
  <c r="CO186" i="36"/>
  <c r="CO185" i="36"/>
  <c r="CB66" i="32"/>
  <c r="DE81" i="32"/>
  <c r="CO63" i="36"/>
  <c r="AY62" i="36" s="1"/>
  <c r="CS58" i="36" s="1"/>
  <c r="CO62" i="36"/>
  <c r="CG93" i="36"/>
  <c r="CM95" i="36"/>
  <c r="CI95" i="36"/>
  <c r="DF174" i="37"/>
  <c r="DO79" i="32"/>
  <c r="CF60" i="32"/>
  <c r="CB60" i="32"/>
  <c r="BX174" i="36"/>
  <c r="BE176" i="36" s="1"/>
  <c r="CS179" i="36" s="1"/>
  <c r="CH176" i="36" s="1"/>
  <c r="BY174" i="36"/>
  <c r="J109" i="36"/>
  <c r="M116" i="37"/>
  <c r="I100" i="35"/>
  <c r="CA106" i="35" s="1"/>
  <c r="C100" i="33"/>
  <c r="AV271" i="37" l="1"/>
  <c r="BO111" i="33"/>
  <c r="CG119" i="33"/>
  <c r="BO112" i="33"/>
  <c r="BO59" i="33"/>
  <c r="W157" i="37"/>
  <c r="EB153" i="37" s="1"/>
  <c r="ET153" i="37" s="1"/>
  <c r="BO51" i="33"/>
  <c r="CY98" i="33"/>
  <c r="AA65" i="37"/>
  <c r="N240" i="37" s="1"/>
  <c r="AA157" i="37"/>
  <c r="CC59" i="33"/>
  <c r="BQ157" i="37"/>
  <c r="EE159" i="37" s="1"/>
  <c r="BI157" i="37"/>
  <c r="FH157" i="37" s="1"/>
  <c r="K159" i="37"/>
  <c r="BZ261" i="37" s="1"/>
  <c r="CG59" i="33"/>
  <c r="AD84" i="37"/>
  <c r="EB85" i="37" s="1"/>
  <c r="ET85" i="37" s="1"/>
  <c r="AB211" i="35"/>
  <c r="CE87" i="33"/>
  <c r="CD102" i="33"/>
  <c r="CF105" i="33" s="1"/>
  <c r="CY38" i="33"/>
  <c r="CG68" i="33"/>
  <c r="CC44" i="33"/>
  <c r="CD94" i="33"/>
  <c r="CF97" i="33" s="1"/>
  <c r="CI104" i="33"/>
  <c r="CD66" i="33"/>
  <c r="CF69" i="33" s="1"/>
  <c r="CH90" i="36"/>
  <c r="CI60" i="33"/>
  <c r="CD86" i="33"/>
  <c r="CF89" i="33" s="1"/>
  <c r="BO78" i="32"/>
  <c r="CJ183" i="36"/>
  <c r="DB82" i="37"/>
  <c r="DC82" i="37" s="1"/>
  <c r="DO84" i="37" s="1"/>
  <c r="BO54" i="32"/>
  <c r="CE59" i="33"/>
  <c r="AB121" i="37"/>
  <c r="CB253" i="37" s="1"/>
  <c r="AN59" i="33"/>
  <c r="CU58" i="33" s="1"/>
  <c r="DR58" i="33" s="1"/>
  <c r="CE142" i="33"/>
  <c r="CG145" i="33" s="1"/>
  <c r="BO50" i="33"/>
  <c r="BY44" i="33"/>
  <c r="CY54" i="33"/>
  <c r="CE102" i="33"/>
  <c r="CG105" i="33" s="1"/>
  <c r="CG44" i="33"/>
  <c r="BI65" i="37"/>
  <c r="EE65" i="37" s="1"/>
  <c r="BW79" i="32"/>
  <c r="BZ78" i="32" s="1"/>
  <c r="S79" i="32" s="1"/>
  <c r="DF98" i="32" s="1"/>
  <c r="CR48" i="32"/>
  <c r="CT48" i="32" s="1"/>
  <c r="BO66" i="32"/>
  <c r="CS66" i="32" s="1"/>
  <c r="CD42" i="33"/>
  <c r="CF45" i="33" s="1"/>
  <c r="AJ218" i="35"/>
  <c r="BQ65" i="37"/>
  <c r="ED67" i="37" s="1"/>
  <c r="FD67" i="37" s="1"/>
  <c r="AZ116" i="32"/>
  <c r="CO116" i="32" s="1"/>
  <c r="BO113" i="32"/>
  <c r="BO119" i="33"/>
  <c r="CI76" i="33"/>
  <c r="CC69" i="33"/>
  <c r="BY69" i="33" s="1"/>
  <c r="CV82" i="36"/>
  <c r="CT82" i="36" s="1"/>
  <c r="DS121" i="36" s="1"/>
  <c r="CT49" i="32"/>
  <c r="CT43" i="32"/>
  <c r="CQ128" i="32"/>
  <c r="CP92" i="32"/>
  <c r="CO92" i="32"/>
  <c r="DO36" i="32"/>
  <c r="CP33" i="32"/>
  <c r="CQ33" i="32" s="1"/>
  <c r="BI147" i="37"/>
  <c r="ED147" i="37" s="1"/>
  <c r="FD147" i="37" s="1"/>
  <c r="CO45" i="32"/>
  <c r="CQ45" i="32" s="1"/>
  <c r="AD129" i="37"/>
  <c r="EX130" i="37" s="1"/>
  <c r="AN73" i="33"/>
  <c r="CU72" i="33" s="1"/>
  <c r="DI78" i="33" s="1"/>
  <c r="DO82" i="32"/>
  <c r="CA96" i="35"/>
  <c r="CC96" i="35" s="1"/>
  <c r="DA155" i="37"/>
  <c r="BY87" i="33"/>
  <c r="Y147" i="37"/>
  <c r="EB145" i="37" s="1"/>
  <c r="ET145" i="37" s="1"/>
  <c r="BO75" i="33"/>
  <c r="BI129" i="37"/>
  <c r="FH129" i="37" s="1"/>
  <c r="DF110" i="37"/>
  <c r="CI120" i="33"/>
  <c r="BO74" i="33"/>
  <c r="CO67" i="32"/>
  <c r="CQ67" i="32" s="1"/>
  <c r="DA191" i="37"/>
  <c r="BA34" i="33"/>
  <c r="CY34" i="33" s="1"/>
  <c r="DM39" i="33" s="1"/>
  <c r="CR42" i="32"/>
  <c r="AB130" i="37"/>
  <c r="DZ130" i="37" s="1"/>
  <c r="BZ44" i="32"/>
  <c r="BZ45" i="32" s="1"/>
  <c r="AM43" i="32" s="1"/>
  <c r="DF50" i="32" s="1"/>
  <c r="DA164" i="37"/>
  <c r="CA39" i="35"/>
  <c r="BB38" i="35" s="1"/>
  <c r="CS35" i="35" s="1"/>
  <c r="AB43" i="33"/>
  <c r="EB43" i="33" s="1"/>
  <c r="BZ73" i="32"/>
  <c r="CY106" i="33"/>
  <c r="AA129" i="37"/>
  <c r="N254" i="37" s="1"/>
  <c r="R254" i="37" s="1"/>
  <c r="BG254" i="37" s="1"/>
  <c r="BG255" i="37" s="1"/>
  <c r="CG87" i="33"/>
  <c r="BO36" i="33"/>
  <c r="CT79" i="32"/>
  <c r="CN120" i="36"/>
  <c r="AU119" i="36" s="1"/>
  <c r="CO122" i="36" s="1"/>
  <c r="BK119" i="36" s="1"/>
  <c r="CV117" i="36" s="1"/>
  <c r="CQ101" i="32"/>
  <c r="K67" i="37"/>
  <c r="CN240" i="37" s="1"/>
  <c r="BO103" i="33"/>
  <c r="BX119" i="35"/>
  <c r="BZ142" i="33"/>
  <c r="CB145" i="33" s="1"/>
  <c r="BO118" i="33"/>
  <c r="CE68" i="33"/>
  <c r="X129" i="37"/>
  <c r="EX126" i="37" s="1"/>
  <c r="AJ70" i="35"/>
  <c r="T210" i="35" s="1"/>
  <c r="CB210" i="35" s="1"/>
  <c r="BZ162" i="33"/>
  <c r="CD162" i="33" s="1"/>
  <c r="CF165" i="33" s="1"/>
  <c r="BO43" i="33"/>
  <c r="DO143" i="32"/>
  <c r="CS42" i="32"/>
  <c r="AB66" i="37"/>
  <c r="AS67" i="37" s="1"/>
  <c r="BF67" i="37" s="1"/>
  <c r="BQ129" i="37"/>
  <c r="FH131" i="37" s="1"/>
  <c r="CE34" i="33"/>
  <c r="CG37" i="33" s="1"/>
  <c r="BZ43" i="32"/>
  <c r="CL29" i="33"/>
  <c r="CS30" i="33" s="1"/>
  <c r="CV30" i="33" s="1"/>
  <c r="CR114" i="32"/>
  <c r="CT114" i="32" s="1"/>
  <c r="DO53" i="32"/>
  <c r="AJ111" i="35"/>
  <c r="T215" i="35" s="1"/>
  <c r="CB215" i="35" s="1"/>
  <c r="CD110" i="33"/>
  <c r="CF113" i="33" s="1"/>
  <c r="CB113" i="33"/>
  <c r="CA110" i="33"/>
  <c r="CE110" i="33" s="1"/>
  <c r="CG113" i="33" s="1"/>
  <c r="CA126" i="33"/>
  <c r="CC129" i="33" s="1"/>
  <c r="CB129" i="33"/>
  <c r="CD74" i="33"/>
  <c r="CF77" i="33" s="1"/>
  <c r="CS37" i="33"/>
  <c r="CR37" i="33" s="1"/>
  <c r="G37" i="33" s="1"/>
  <c r="CM38" i="33" s="1"/>
  <c r="T37" i="33" s="1"/>
  <c r="DW37" i="33" s="1"/>
  <c r="DO52" i="32"/>
  <c r="K131" i="37"/>
  <c r="CF255" i="37" s="1"/>
  <c r="CF153" i="33"/>
  <c r="CL160" i="35"/>
  <c r="Y129" i="37"/>
  <c r="EX127" i="37" s="1"/>
  <c r="X65" i="37"/>
  <c r="EX62" i="37" s="1"/>
  <c r="CQ138" i="32"/>
  <c r="W65" i="37"/>
  <c r="EX61" i="37" s="1"/>
  <c r="CL161" i="35"/>
  <c r="CC87" i="33"/>
  <c r="AA147" i="37"/>
  <c r="N258" i="37" s="1"/>
  <c r="R258" i="37" s="1"/>
  <c r="AN259" i="37" s="1"/>
  <c r="CG176" i="35"/>
  <c r="BO35" i="33"/>
  <c r="CY114" i="33"/>
  <c r="CG127" i="33"/>
  <c r="DO111" i="37"/>
  <c r="AS131" i="37"/>
  <c r="W84" i="37"/>
  <c r="EX80" i="37" s="1"/>
  <c r="DE88" i="32"/>
  <c r="AJ54" i="35"/>
  <c r="T208" i="35" s="1"/>
  <c r="CB208" i="35" s="1"/>
  <c r="CI44" i="33"/>
  <c r="CN112" i="36"/>
  <c r="CN73" i="36"/>
  <c r="BY127" i="33"/>
  <c r="BQ84" i="37"/>
  <c r="ED86" i="37" s="1"/>
  <c r="FD86" i="37" s="1"/>
  <c r="AA84" i="37"/>
  <c r="EX84" i="37" s="1"/>
  <c r="Y65" i="37"/>
  <c r="EB63" i="37" s="1"/>
  <c r="ET63" i="37" s="1"/>
  <c r="CD267" i="37"/>
  <c r="X84" i="37"/>
  <c r="EB81" i="37" s="1"/>
  <c r="ET81" i="37" s="1"/>
  <c r="DE115" i="32"/>
  <c r="CE44" i="33"/>
  <c r="CN84" i="36"/>
  <c r="AU83" i="36" s="1"/>
  <c r="CO86" i="36" s="1"/>
  <c r="BK83" i="36" s="1"/>
  <c r="CV81" i="36" s="1"/>
  <c r="CY46" i="33"/>
  <c r="R240" i="37"/>
  <c r="R241" i="37" s="1"/>
  <c r="BO44" i="33"/>
  <c r="AB85" i="37"/>
  <c r="CB245" i="37" s="1"/>
  <c r="CB267" i="37"/>
  <c r="AN127" i="33"/>
  <c r="CU126" i="33" s="1"/>
  <c r="DM126" i="33" s="1"/>
  <c r="CD210" i="33"/>
  <c r="R244" i="37"/>
  <c r="BI84" i="37"/>
  <c r="ED84" i="37" s="1"/>
  <c r="FD84" i="37" s="1"/>
  <c r="CB266" i="37"/>
  <c r="CC127" i="33"/>
  <c r="CD212" i="33"/>
  <c r="Y84" i="37"/>
  <c r="EB82" i="37" s="1"/>
  <c r="ET82" i="37" s="1"/>
  <c r="AH23" i="37"/>
  <c r="K95" i="37" s="1"/>
  <c r="BF23" i="37"/>
  <c r="AD166" i="37" s="1"/>
  <c r="K149" i="37"/>
  <c r="X149" i="37" s="1"/>
  <c r="CD266" i="37"/>
  <c r="BG270" i="37"/>
  <c r="BG271" i="37" s="1"/>
  <c r="DA182" i="37"/>
  <c r="CD269" i="37"/>
  <c r="CB268" i="37"/>
  <c r="AS195" i="37"/>
  <c r="BF195" i="37" s="1"/>
  <c r="CD268" i="37"/>
  <c r="CY264" i="37"/>
  <c r="CL149" i="35"/>
  <c r="BN153" i="35" s="1"/>
  <c r="CP153" i="35" s="1"/>
  <c r="DJ150" i="35" s="1"/>
  <c r="CL150" i="35"/>
  <c r="DK161" i="37"/>
  <c r="BP146" i="36"/>
  <c r="CL144" i="36" s="1"/>
  <c r="DB156" i="37"/>
  <c r="DO158" i="37" s="1"/>
  <c r="CY260" i="37"/>
  <c r="DA145" i="37"/>
  <c r="AJ127" i="35"/>
  <c r="T217" i="35" s="1"/>
  <c r="CB217" i="35" s="1"/>
  <c r="W147" i="37"/>
  <c r="EB143" i="37" s="1"/>
  <c r="ET143" i="37" s="1"/>
  <c r="AD147" i="37"/>
  <c r="EB148" i="37" s="1"/>
  <c r="ET148" i="37" s="1"/>
  <c r="BQ147" i="37"/>
  <c r="EE149" i="37" s="1"/>
  <c r="AJ216" i="35"/>
  <c r="AS216" i="35"/>
  <c r="CD118" i="33"/>
  <c r="CF121" i="33" s="1"/>
  <c r="BX121" i="33"/>
  <c r="AS215" i="35"/>
  <c r="BZ90" i="32"/>
  <c r="DO129" i="37"/>
  <c r="CN110" i="36"/>
  <c r="AB214" i="35"/>
  <c r="DJ112" i="37"/>
  <c r="CL89" i="33"/>
  <c r="CS97" i="33"/>
  <c r="CR97" i="33" s="1"/>
  <c r="G97" i="33" s="1"/>
  <c r="CL98" i="33" s="1"/>
  <c r="AF103" i="36"/>
  <c r="DD97" i="36" s="1"/>
  <c r="DJ121" i="32"/>
  <c r="DE103" i="32"/>
  <c r="DE101" i="32"/>
  <c r="DE126" i="32"/>
  <c r="DE154" i="32"/>
  <c r="DE178" i="32"/>
  <c r="DE98" i="32"/>
  <c r="DE91" i="32"/>
  <c r="DE116" i="32"/>
  <c r="DE167" i="32"/>
  <c r="DE139" i="32"/>
  <c r="DE171" i="32"/>
  <c r="DE137" i="32"/>
  <c r="DE128" i="32"/>
  <c r="CN72" i="36"/>
  <c r="AU71" i="36" s="1"/>
  <c r="CS70" i="36" s="1"/>
  <c r="CI52" i="33"/>
  <c r="DJ48" i="37"/>
  <c r="DE108" i="32"/>
  <c r="CG168" i="35"/>
  <c r="CK168" i="35" s="1"/>
  <c r="CM163" i="33"/>
  <c r="DG163" i="32"/>
  <c r="BY145" i="33"/>
  <c r="CT108" i="32"/>
  <c r="CI94" i="33"/>
  <c r="AB57" i="37"/>
  <c r="CA238" i="37" s="1"/>
  <c r="DE113" i="32"/>
  <c r="DE131" i="32"/>
  <c r="BZ48" i="32"/>
  <c r="S49" i="32" s="1"/>
  <c r="DF57" i="32" s="1"/>
  <c r="DE87" i="32"/>
  <c r="DE90" i="32"/>
  <c r="DO61" i="32"/>
  <c r="DE119" i="32"/>
  <c r="CN92" i="36"/>
  <c r="AS92" i="36" s="1"/>
  <c r="DE114" i="32"/>
  <c r="CN119" i="36"/>
  <c r="CN51" i="32"/>
  <c r="AM51" i="32" s="1"/>
  <c r="DF64" i="32" s="1"/>
  <c r="DE95" i="32"/>
  <c r="DE170" i="32"/>
  <c r="DE97" i="32"/>
  <c r="DE99" i="32"/>
  <c r="DE100" i="32"/>
  <c r="DE104" i="32"/>
  <c r="DE111" i="32"/>
  <c r="DE168" i="32"/>
  <c r="DE110" i="32"/>
  <c r="DE153" i="32"/>
  <c r="DE148" i="32"/>
  <c r="DE123" i="32"/>
  <c r="DE135" i="32"/>
  <c r="DE138" i="32"/>
  <c r="DE150" i="32"/>
  <c r="DE132" i="32"/>
  <c r="DE117" i="32"/>
  <c r="DE86" i="32"/>
  <c r="DE159" i="32"/>
  <c r="DE136" i="32"/>
  <c r="DE105" i="32"/>
  <c r="DE173" i="32"/>
  <c r="DE124" i="32"/>
  <c r="DE140" i="32"/>
  <c r="DJ122" i="32"/>
  <c r="DE85" i="32"/>
  <c r="DE129" i="32"/>
  <c r="DE92" i="32"/>
  <c r="DE165" i="32"/>
  <c r="DE144" i="32"/>
  <c r="DE164" i="32"/>
  <c r="DE179" i="32"/>
  <c r="DE134" i="32"/>
  <c r="DE118" i="32"/>
  <c r="DE157" i="32"/>
  <c r="DE143" i="32"/>
  <c r="DE142" i="32"/>
  <c r="DE141" i="32"/>
  <c r="DE102" i="32"/>
  <c r="DE176" i="32"/>
  <c r="DE112" i="32"/>
  <c r="DE120" i="32"/>
  <c r="DE125" i="32"/>
  <c r="DE109" i="32"/>
  <c r="DE158" i="32"/>
  <c r="DE96" i="32"/>
  <c r="DE107" i="32"/>
  <c r="DE161" i="32"/>
  <c r="DE130" i="32"/>
  <c r="DE93" i="32"/>
  <c r="DE166" i="32"/>
  <c r="DE149" i="32"/>
  <c r="DE106" i="32"/>
  <c r="DE133" i="32"/>
  <c r="DE94" i="32"/>
  <c r="DE127" i="32"/>
  <c r="DA72" i="37"/>
  <c r="BL55" i="36"/>
  <c r="DM49" i="36" s="1"/>
  <c r="CL49" i="33"/>
  <c r="DF58" i="37"/>
  <c r="CD43" i="36"/>
  <c r="CM44" i="33"/>
  <c r="O44" i="33" s="1"/>
  <c r="DI43" i="33" s="1"/>
  <c r="CN35" i="36"/>
  <c r="AM110" i="32"/>
  <c r="DF137" i="32" s="1"/>
  <c r="CD127" i="36"/>
  <c r="BZ95" i="32"/>
  <c r="S96" i="32" s="1"/>
  <c r="DF114" i="32" s="1"/>
  <c r="CL117" i="33"/>
  <c r="AJ215" i="35"/>
  <c r="CL109" i="33"/>
  <c r="CD118" i="36"/>
  <c r="CG119" i="36" s="1"/>
  <c r="BZ91" i="32"/>
  <c r="CF92" i="32" s="1"/>
  <c r="BX111" i="35"/>
  <c r="CA112" i="35"/>
  <c r="AW111" i="35" s="1"/>
  <c r="BX105" i="33"/>
  <c r="DO99" i="32"/>
  <c r="CP79" i="32"/>
  <c r="CQ79" i="32" s="1"/>
  <c r="CG99" i="36"/>
  <c r="CQ74" i="32"/>
  <c r="BY97" i="33"/>
  <c r="AJ213" i="35"/>
  <c r="BZ74" i="32"/>
  <c r="CB75" i="32" s="1"/>
  <c r="AM74" i="32" s="1"/>
  <c r="DF93" i="32" s="1"/>
  <c r="DB110" i="37"/>
  <c r="DO112" i="37" s="1"/>
  <c r="BG85" i="33"/>
  <c r="CI87" i="33" s="1"/>
  <c r="AU92" i="36"/>
  <c r="CS91" i="36" s="1"/>
  <c r="CQ61" i="32"/>
  <c r="BY77" i="33"/>
  <c r="CA79" i="35"/>
  <c r="CC79" i="35" s="1"/>
  <c r="BA66" i="33"/>
  <c r="CY66" i="33" s="1"/>
  <c r="DM71" i="33" s="1"/>
  <c r="BW55" i="32"/>
  <c r="BZ55" i="32" s="1"/>
  <c r="CL69" i="33"/>
  <c r="AB209" i="35"/>
  <c r="AJ209" i="35"/>
  <c r="CP60" i="33"/>
  <c r="AB60" i="33" s="1"/>
  <c r="EB60" i="33" s="1"/>
  <c r="DF76" i="37"/>
  <c r="CB53" i="36"/>
  <c r="AF55" i="36"/>
  <c r="DD49" i="36" s="1"/>
  <c r="DB98" i="37"/>
  <c r="DB107" i="37" s="1"/>
  <c r="DA89" i="37" s="1"/>
  <c r="CA55" i="35"/>
  <c r="AW54" i="35" s="1"/>
  <c r="CI45" i="33"/>
  <c r="CD192" i="33" s="1"/>
  <c r="AB206" i="35"/>
  <c r="BZ32" i="32"/>
  <c r="CF33" i="32" s="1"/>
  <c r="CL33" i="33"/>
  <c r="DO49" i="37"/>
  <c r="DF49" i="37" s="1"/>
  <c r="DO47" i="37"/>
  <c r="BG176" i="36"/>
  <c r="CV172" i="36" s="1"/>
  <c r="CT172" i="36" s="1"/>
  <c r="DS258" i="36" s="1"/>
  <c r="CN54" i="36"/>
  <c r="AU53" i="36" s="1"/>
  <c r="CS52" i="36" s="1"/>
  <c r="CN36" i="36"/>
  <c r="AU35" i="36" s="1"/>
  <c r="CS34" i="36" s="1"/>
  <c r="DE151" i="32"/>
  <c r="DE146" i="32"/>
  <c r="CT125" i="32"/>
  <c r="BO34" i="33"/>
  <c r="BY68" i="33"/>
  <c r="DE177" i="32"/>
  <c r="DE152" i="32"/>
  <c r="DE156" i="32"/>
  <c r="DE169" i="32"/>
  <c r="CI66" i="33"/>
  <c r="CQ60" i="32"/>
  <c r="DE147" i="32"/>
  <c r="CY30" i="33"/>
  <c r="CC68" i="33"/>
  <c r="CQ91" i="32"/>
  <c r="CT61" i="32"/>
  <c r="DE175" i="32"/>
  <c r="CT96" i="32"/>
  <c r="CY37" i="33"/>
  <c r="S32" i="32"/>
  <c r="DF35" i="32" s="1"/>
  <c r="CT132" i="32"/>
  <c r="DE155" i="32"/>
  <c r="AN33" i="33"/>
  <c r="CU32" i="33" s="1"/>
  <c r="DI38" i="33" s="1"/>
  <c r="CQ125" i="32"/>
  <c r="BY105" i="33"/>
  <c r="CQ132" i="32"/>
  <c r="CQ95" i="32"/>
  <c r="DE145" i="32"/>
  <c r="CQ127" i="32"/>
  <c r="DE174" i="32"/>
  <c r="DN35" i="32"/>
  <c r="DE172" i="32"/>
  <c r="DE160" i="32"/>
  <c r="BM270" i="37"/>
  <c r="BM271" i="37" s="1"/>
  <c r="AR270" i="37"/>
  <c r="AZ271" i="37"/>
  <c r="AZ264" i="37"/>
  <c r="DF101" i="37"/>
  <c r="BD270" i="37"/>
  <c r="BD271" i="37" s="1"/>
  <c r="AV268" i="37"/>
  <c r="AV264" i="37"/>
  <c r="AR268" i="37"/>
  <c r="AN264" i="37"/>
  <c r="BD268" i="37"/>
  <c r="BD269" i="37" s="1"/>
  <c r="AR271" i="37"/>
  <c r="BG264" i="37"/>
  <c r="BG265" i="37" s="1"/>
  <c r="BJ268" i="37"/>
  <c r="BJ269" i="37" s="1"/>
  <c r="BD264" i="37"/>
  <c r="BD265" i="37" s="1"/>
  <c r="AN268" i="37"/>
  <c r="AZ269" i="37"/>
  <c r="AV265" i="37"/>
  <c r="BJ270" i="37"/>
  <c r="BJ271" i="37" s="1"/>
  <c r="AR265" i="37"/>
  <c r="AN271" i="37"/>
  <c r="BJ264" i="37"/>
  <c r="BJ265" i="37" s="1"/>
  <c r="AR269" i="37"/>
  <c r="AV270" i="37"/>
  <c r="AN270" i="37"/>
  <c r="DF165" i="37"/>
  <c r="AZ265" i="37"/>
  <c r="AR264" i="37"/>
  <c r="BM264" i="37"/>
  <c r="BM265" i="37" s="1"/>
  <c r="BG268" i="37"/>
  <c r="BG269" i="37" s="1"/>
  <c r="CK160" i="35"/>
  <c r="CK161" i="35"/>
  <c r="CQ58" i="36"/>
  <c r="DS84" i="36" s="1"/>
  <c r="DV84" i="36"/>
  <c r="CD50" i="33"/>
  <c r="CF53" i="33" s="1"/>
  <c r="CO115" i="32"/>
  <c r="CP115" i="32"/>
  <c r="DO140" i="32"/>
  <c r="CX163" i="35"/>
  <c r="DA163" i="35"/>
  <c r="CX164" i="35"/>
  <c r="DP165" i="35"/>
  <c r="DA164" i="35"/>
  <c r="CF121" i="35"/>
  <c r="CF118" i="35"/>
  <c r="BX192" i="36"/>
  <c r="BE194" i="36" s="1"/>
  <c r="CS197" i="36" s="1"/>
  <c r="CH195" i="36" s="1"/>
  <c r="BY192" i="36"/>
  <c r="BL118" i="35"/>
  <c r="BL119" i="35"/>
  <c r="CS118" i="35" s="1"/>
  <c r="CB122" i="35"/>
  <c r="CC122" i="35" s="1"/>
  <c r="CU57" i="33"/>
  <c r="EX204" i="37"/>
  <c r="EB204" i="37"/>
  <c r="ET204" i="37" s="1"/>
  <c r="DA199" i="37"/>
  <c r="BX62" i="35"/>
  <c r="CL162" i="35"/>
  <c r="CL163" i="35"/>
  <c r="CB128" i="32"/>
  <c r="CF128" i="32"/>
  <c r="AE124" i="36"/>
  <c r="BY128" i="36"/>
  <c r="CG126" i="36" s="1"/>
  <c r="AN125" i="36"/>
  <c r="AG125" i="36" s="1"/>
  <c r="CO188" i="36"/>
  <c r="CS184" i="36"/>
  <c r="CN188" i="36"/>
  <c r="CS180" i="36"/>
  <c r="DJ128" i="37"/>
  <c r="DO128" i="37"/>
  <c r="DN128" i="37"/>
  <c r="DM128" i="37"/>
  <c r="CQ119" i="32"/>
  <c r="BM145" i="36"/>
  <c r="CV145" i="36"/>
  <c r="CD135" i="36"/>
  <c r="CJ133" i="36" s="1"/>
  <c r="CJ126" i="33"/>
  <c r="CP128" i="33" s="1"/>
  <c r="AB128" i="33" s="1"/>
  <c r="EB128" i="33" s="1"/>
  <c r="CD103" i="32"/>
  <c r="S103" i="32" s="1"/>
  <c r="DF124" i="32" s="1"/>
  <c r="BX125" i="35"/>
  <c r="AZ104" i="32"/>
  <c r="BW102" i="32"/>
  <c r="DB145" i="37"/>
  <c r="CX113" i="35"/>
  <c r="CX112" i="35"/>
  <c r="DA113" i="35"/>
  <c r="DP114" i="35"/>
  <c r="DA112" i="35"/>
  <c r="BA134" i="33"/>
  <c r="CY134" i="33" s="1"/>
  <c r="CI134" i="33"/>
  <c r="CS137" i="33"/>
  <c r="CR137" i="33" s="1"/>
  <c r="G137" i="33" s="1"/>
  <c r="AN133" i="33"/>
  <c r="CU132" i="33" s="1"/>
  <c r="DI138" i="33" s="1"/>
  <c r="CO137" i="33"/>
  <c r="CQ137" i="33" s="1"/>
  <c r="CL129" i="33"/>
  <c r="EE176" i="37"/>
  <c r="ED176" i="37"/>
  <c r="FD176" i="37" s="1"/>
  <c r="FH176" i="37"/>
  <c r="DR127" i="33"/>
  <c r="DM127" i="33"/>
  <c r="DS162" i="35"/>
  <c r="CS162" i="35"/>
  <c r="CR161" i="35"/>
  <c r="DP162" i="35" s="1"/>
  <c r="CS163" i="35"/>
  <c r="CN138" i="36"/>
  <c r="AU137" i="36" s="1"/>
  <c r="DB142" i="37"/>
  <c r="AB148" i="37" s="1"/>
  <c r="CS162" i="36"/>
  <c r="CN170" i="36"/>
  <c r="BI167" i="36" s="1"/>
  <c r="BW129" i="37"/>
  <c r="CY254" i="37"/>
  <c r="CQ133" i="36"/>
  <c r="DS196" i="36" s="1"/>
  <c r="DV196" i="36"/>
  <c r="CS189" i="36"/>
  <c r="CN197" i="36"/>
  <c r="CV193" i="36"/>
  <c r="BM193" i="36"/>
  <c r="CL67" i="32"/>
  <c r="CD66" i="32"/>
  <c r="CD67" i="32"/>
  <c r="CL66" i="32"/>
  <c r="AC69" i="32" s="1"/>
  <c r="DF87" i="32" s="1"/>
  <c r="CS145" i="36"/>
  <c r="CO149" i="36"/>
  <c r="BK146" i="36" s="1"/>
  <c r="CV144" i="36" s="1"/>
  <c r="CI149" i="36"/>
  <c r="AF148" i="36" s="1"/>
  <c r="DD142" i="36" s="1"/>
  <c r="CG147" i="36"/>
  <c r="CM149" i="36"/>
  <c r="BL148" i="36" s="1"/>
  <c r="DM142" i="36" s="1"/>
  <c r="CG144" i="36"/>
  <c r="CH144" i="36"/>
  <c r="CH147" i="36"/>
  <c r="S74" i="32"/>
  <c r="DF92" i="32" s="1"/>
  <c r="BX108" i="36"/>
  <c r="BE110" i="36" s="1"/>
  <c r="CS113" i="36" s="1"/>
  <c r="CH111" i="36" s="1"/>
  <c r="BY108" i="36"/>
  <c r="CH173" i="36"/>
  <c r="DS164" i="35"/>
  <c r="DJ67" i="37"/>
  <c r="DJ66" i="37"/>
  <c r="DS70" i="35"/>
  <c r="CS70" i="35"/>
  <c r="CR69" i="35"/>
  <c r="DP70" i="35" s="1"/>
  <c r="CO75" i="32"/>
  <c r="DO93" i="32"/>
  <c r="CP75" i="32"/>
  <c r="CF169" i="35"/>
  <c r="CF172" i="35"/>
  <c r="EB198" i="37"/>
  <c r="ET198" i="37" s="1"/>
  <c r="EX198" i="37"/>
  <c r="DO75" i="32"/>
  <c r="CO62" i="32"/>
  <c r="CP62" i="32"/>
  <c r="CI113" i="36"/>
  <c r="AF112" i="36" s="1"/>
  <c r="DD106" i="36" s="1"/>
  <c r="CM113" i="36"/>
  <c r="BL112" i="36" s="1"/>
  <c r="DM106" i="36" s="1"/>
  <c r="CG111" i="36"/>
  <c r="CJ58" i="36"/>
  <c r="CD61" i="36"/>
  <c r="BY159" i="36"/>
  <c r="BZ159" i="36" s="1"/>
  <c r="BX167" i="36"/>
  <c r="DJ165" i="35"/>
  <c r="CR164" i="35"/>
  <c r="DG165" i="35" s="1"/>
  <c r="BG122" i="33"/>
  <c r="AZ117" i="33"/>
  <c r="CL121" i="33" s="1"/>
  <c r="CX55" i="35"/>
  <c r="DA55" i="35"/>
  <c r="DP57" i="35"/>
  <c r="CX56" i="35"/>
  <c r="DA56" i="35"/>
  <c r="CS109" i="36"/>
  <c r="CO113" i="36"/>
  <c r="BK110" i="36" s="1"/>
  <c r="CV108" i="36" s="1"/>
  <c r="CL137" i="33"/>
  <c r="BA142" i="33"/>
  <c r="CY142" i="33" s="1"/>
  <c r="CI142" i="33"/>
  <c r="CS145" i="33"/>
  <c r="CR145" i="33" s="1"/>
  <c r="G145" i="33" s="1"/>
  <c r="CR152" i="35"/>
  <c r="DG153" i="35" s="1"/>
  <c r="DJ153" i="35"/>
  <c r="CF80" i="35"/>
  <c r="CF77" i="35"/>
  <c r="CQ55" i="32"/>
  <c r="EX154" i="37"/>
  <c r="EB154" i="37"/>
  <c r="ET154" i="37" s="1"/>
  <c r="EX155" i="37"/>
  <c r="EB155" i="37"/>
  <c r="ET155" i="37" s="1"/>
  <c r="BX54" i="35"/>
  <c r="CO69" i="32"/>
  <c r="CP69" i="32"/>
  <c r="DO84" i="32"/>
  <c r="CE42" i="33"/>
  <c r="CG45" i="33" s="1"/>
  <c r="BY45" i="33"/>
  <c r="EB176" i="37"/>
  <c r="ET176" i="37" s="1"/>
  <c r="EX176" i="37"/>
  <c r="C26" i="37"/>
  <c r="M19" i="35"/>
  <c r="F16" i="33"/>
  <c r="N16" i="36"/>
  <c r="BM61" i="36"/>
  <c r="CV61" i="36"/>
  <c r="CG135" i="33"/>
  <c r="CE135" i="33"/>
  <c r="CC135" i="33"/>
  <c r="BY135" i="33"/>
  <c r="AN135" i="33"/>
  <c r="DO100" i="32"/>
  <c r="CP80" i="32"/>
  <c r="CO80" i="32"/>
  <c r="CA104" i="35"/>
  <c r="DS80" i="35"/>
  <c r="CE50" i="33"/>
  <c r="CG53" i="33" s="1"/>
  <c r="BY53" i="33"/>
  <c r="CN102" i="36"/>
  <c r="AU101" i="36" s="1"/>
  <c r="CJ165" i="36"/>
  <c r="CJ164" i="36"/>
  <c r="BA110" i="33"/>
  <c r="CY110" i="33" s="1"/>
  <c r="CI110" i="33"/>
  <c r="CS113" i="33"/>
  <c r="CR113" i="33" s="1"/>
  <c r="G113" i="33" s="1"/>
  <c r="CL105" i="33"/>
  <c r="AN109" i="33"/>
  <c r="CU108" i="33" s="1"/>
  <c r="DI114" i="33" s="1"/>
  <c r="CO113" i="33"/>
  <c r="CQ113" i="33" s="1"/>
  <c r="CG129" i="36"/>
  <c r="CI131" i="36"/>
  <c r="AF130" i="36" s="1"/>
  <c r="DD124" i="36" s="1"/>
  <c r="CM131" i="36"/>
  <c r="BL130" i="36" s="1"/>
  <c r="DM124" i="36" s="1"/>
  <c r="CN75" i="32"/>
  <c r="AM75" i="32" s="1"/>
  <c r="DF97" i="32" s="1"/>
  <c r="CS72" i="32"/>
  <c r="CR72" i="32"/>
  <c r="DO94" i="32"/>
  <c r="DR117" i="33"/>
  <c r="DM117" i="33"/>
  <c r="CT126" i="32"/>
  <c r="CI188" i="36"/>
  <c r="CG186" i="36"/>
  <c r="CM188" i="36"/>
  <c r="CH183" i="36"/>
  <c r="CH186" i="36"/>
  <c r="CI183" i="36"/>
  <c r="CI186" i="36"/>
  <c r="EX205" i="37"/>
  <c r="EB205" i="37"/>
  <c r="ET205" i="37" s="1"/>
  <c r="CD253" i="37"/>
  <c r="CQ48" i="32"/>
  <c r="CB120" i="35"/>
  <c r="CA120" i="35"/>
  <c r="CI182" i="36"/>
  <c r="CI185" i="36"/>
  <c r="CV182" i="36"/>
  <c r="DS56" i="35"/>
  <c r="AM92" i="32"/>
  <c r="DF113" i="32" s="1"/>
  <c r="CM171" i="33"/>
  <c r="CQ78" i="32"/>
  <c r="CM74" i="36"/>
  <c r="BL73" i="36" s="1"/>
  <c r="DM67" i="36" s="1"/>
  <c r="CG72" i="36"/>
  <c r="CI74" i="36"/>
  <c r="AF73" i="36" s="1"/>
  <c r="DD67" i="36" s="1"/>
  <c r="CG69" i="36"/>
  <c r="CH72" i="36"/>
  <c r="CH69" i="36"/>
  <c r="CG84" i="36"/>
  <c r="CM86" i="36"/>
  <c r="BL85" i="36" s="1"/>
  <c r="DM79" i="36" s="1"/>
  <c r="CI86" i="36"/>
  <c r="AF85" i="36" s="1"/>
  <c r="DD79" i="36" s="1"/>
  <c r="CG81" i="36"/>
  <c r="BW147" i="37"/>
  <c r="DJ148" i="37" s="1"/>
  <c r="CY258" i="37"/>
  <c r="CT192" i="36"/>
  <c r="DS288" i="36" s="1"/>
  <c r="DV288" i="36"/>
  <c r="CI96" i="33"/>
  <c r="BO95" i="33"/>
  <c r="BO94" i="33"/>
  <c r="BO96" i="33"/>
  <c r="BL103" i="36"/>
  <c r="DM97" i="36" s="1"/>
  <c r="DS105" i="35"/>
  <c r="DJ86" i="37"/>
  <c r="DJ85" i="37"/>
  <c r="CD52" i="36"/>
  <c r="CJ49" i="36"/>
  <c r="CO162" i="35"/>
  <c r="DG167" i="35" s="1"/>
  <c r="DJ167" i="35"/>
  <c r="DJ95" i="37"/>
  <c r="DJ94" i="37"/>
  <c r="AJ214" i="35"/>
  <c r="CE81" i="36"/>
  <c r="CJ79" i="36" s="1"/>
  <c r="BY76" i="35"/>
  <c r="CK74" i="33"/>
  <c r="CK76" i="33" s="1"/>
  <c r="BW61" i="32"/>
  <c r="CD62" i="32"/>
  <c r="S62" i="32" s="1"/>
  <c r="DF75" i="32" s="1"/>
  <c r="DC91" i="37"/>
  <c r="AZ63" i="32"/>
  <c r="CG153" i="33"/>
  <c r="CQ89" i="32"/>
  <c r="CO109" i="32"/>
  <c r="CP109" i="32"/>
  <c r="DO132" i="32"/>
  <c r="X105" i="37"/>
  <c r="EJ101" i="37" s="1"/>
  <c r="DR95" i="33"/>
  <c r="DM95" i="33"/>
  <c r="CG117" i="36"/>
  <c r="CB119" i="36"/>
  <c r="DO47" i="32"/>
  <c r="CB36" i="32"/>
  <c r="CF36" i="32"/>
  <c r="CF268" i="37"/>
  <c r="X195" i="37"/>
  <c r="EJ189" i="37"/>
  <c r="CN268" i="37"/>
  <c r="BZ269" i="37"/>
  <c r="CF269" i="37"/>
  <c r="BZ268" i="37"/>
  <c r="CN269" i="37"/>
  <c r="T195" i="37"/>
  <c r="EN189" i="37" s="1"/>
  <c r="EX195" i="37"/>
  <c r="EB195" i="37"/>
  <c r="ET195" i="37" s="1"/>
  <c r="DA190" i="37"/>
  <c r="CN101" i="36"/>
  <c r="DR59" i="33"/>
  <c r="DM59" i="33"/>
  <c r="EB199" i="37"/>
  <c r="ET199" i="37" s="1"/>
  <c r="EX199" i="37"/>
  <c r="FH201" i="37"/>
  <c r="EE201" i="37"/>
  <c r="ED201" i="37"/>
  <c r="FD201" i="37" s="1"/>
  <c r="DM170" i="33"/>
  <c r="DR170" i="33"/>
  <c r="DA173" i="37"/>
  <c r="CO68" i="32"/>
  <c r="CP68" i="32"/>
  <c r="DO83" i="32"/>
  <c r="CH168" i="36"/>
  <c r="DV243" i="36"/>
  <c r="CQ170" i="36"/>
  <c r="DS243" i="36" s="1"/>
  <c r="CH164" i="36"/>
  <c r="DO174" i="32"/>
  <c r="CP139" i="32"/>
  <c r="CU136" i="32" s="1"/>
  <c r="CO139" i="32"/>
  <c r="DR169" i="33"/>
  <c r="DM169" i="33"/>
  <c r="DM79" i="33"/>
  <c r="DR79" i="33"/>
  <c r="CF69" i="35"/>
  <c r="CF72" i="35"/>
  <c r="CI191" i="36"/>
  <c r="CI194" i="36"/>
  <c r="CV191" i="36"/>
  <c r="CV100" i="36"/>
  <c r="BM100" i="36"/>
  <c r="DZ176" i="37"/>
  <c r="DT174" i="37"/>
  <c r="CA264" i="37"/>
  <c r="DH172" i="37"/>
  <c r="DW172" i="37"/>
  <c r="DF176" i="37"/>
  <c r="CA265" i="37"/>
  <c r="DT176" i="37"/>
  <c r="DE172" i="37"/>
  <c r="DV172" i="37"/>
  <c r="DT172" i="37"/>
  <c r="DW176" i="37"/>
  <c r="BG175" i="37"/>
  <c r="DI172" i="37"/>
  <c r="DZ172" i="37"/>
  <c r="DZ174" i="37"/>
  <c r="F264" i="37"/>
  <c r="DF172" i="37"/>
  <c r="DY174" i="37"/>
  <c r="DJ172" i="37"/>
  <c r="DX172" i="37"/>
  <c r="BK175" i="37"/>
  <c r="DW174" i="37"/>
  <c r="DB169" i="37"/>
  <c r="DV174" i="37"/>
  <c r="DU172" i="37"/>
  <c r="DY172" i="37"/>
  <c r="DQ172" i="37"/>
  <c r="DM172" i="37"/>
  <c r="AG175" i="37" s="1"/>
  <c r="DR172" i="37"/>
  <c r="DP172" i="37"/>
  <c r="DN172" i="37"/>
  <c r="AK175" i="37" s="1"/>
  <c r="CD264" i="37"/>
  <c r="CB265" i="37"/>
  <c r="AS177" i="37"/>
  <c r="EX66" i="37"/>
  <c r="EB66" i="37"/>
  <c r="ET66" i="37" s="1"/>
  <c r="H217" i="35"/>
  <c r="AJ217" i="35"/>
  <c r="DK152" i="37"/>
  <c r="DK154" i="37"/>
  <c r="DO157" i="37" s="1"/>
  <c r="EB157" i="37"/>
  <c r="ET157" i="37" s="1"/>
  <c r="EX157" i="37"/>
  <c r="N260" i="37"/>
  <c r="R260" i="37" s="1"/>
  <c r="DJ140" i="37"/>
  <c r="DJ139" i="37"/>
  <c r="AS208" i="35"/>
  <c r="AB208" i="35"/>
  <c r="AJ208" i="35"/>
  <c r="N261" i="37"/>
  <c r="DJ55" i="37"/>
  <c r="DO55" i="37"/>
  <c r="DM55" i="37"/>
  <c r="DN55" i="37"/>
  <c r="DA45" i="37"/>
  <c r="DA54" i="37"/>
  <c r="DJ75" i="37"/>
  <c r="DB69" i="37"/>
  <c r="AB75" i="37" s="1"/>
  <c r="AS77" i="37" s="1"/>
  <c r="DJ76" i="37"/>
  <c r="CO178" i="35"/>
  <c r="DG183" i="35" s="1"/>
  <c r="DJ183" i="35"/>
  <c r="CH248" i="37"/>
  <c r="CR248" i="37"/>
  <c r="CV248" i="37"/>
  <c r="CP249" i="37"/>
  <c r="EJ99" i="37"/>
  <c r="CJ249" i="37"/>
  <c r="CR249" i="37"/>
  <c r="CJ248" i="37"/>
  <c r="CH249" i="37"/>
  <c r="CP248" i="37"/>
  <c r="CQ149" i="36"/>
  <c r="DS215" i="36" s="1"/>
  <c r="DV215" i="36"/>
  <c r="BI74" i="37"/>
  <c r="AD74" i="37"/>
  <c r="AJ62" i="35"/>
  <c r="T209" i="35" s="1"/>
  <c r="CB209" i="35" s="1"/>
  <c r="AA74" i="37"/>
  <c r="BQ74" i="37"/>
  <c r="R242" i="37"/>
  <c r="K76" i="37"/>
  <c r="X74" i="37"/>
  <c r="W74" i="37"/>
  <c r="Y74" i="37"/>
  <c r="CE86" i="33"/>
  <c r="CG89" i="33" s="1"/>
  <c r="BY89" i="33"/>
  <c r="CS175" i="36"/>
  <c r="CO179" i="36"/>
  <c r="DH117" i="37"/>
  <c r="DT121" i="37"/>
  <c r="DF120" i="37"/>
  <c r="T123" i="37" s="1"/>
  <c r="EN117" i="37" s="1"/>
  <c r="AR267" i="37"/>
  <c r="R267" i="37"/>
  <c r="CU266" i="37"/>
  <c r="CU267" i="37"/>
  <c r="AN267" i="37"/>
  <c r="BM266" i="37"/>
  <c r="BM267" i="37" s="1"/>
  <c r="AN266" i="37"/>
  <c r="AV267" i="37"/>
  <c r="AZ266" i="37"/>
  <c r="BG266" i="37"/>
  <c r="BG267" i="37" s="1"/>
  <c r="AR266" i="37"/>
  <c r="AZ267" i="37"/>
  <c r="AV266" i="37"/>
  <c r="BD266" i="37"/>
  <c r="BD267" i="37" s="1"/>
  <c r="BJ266" i="37"/>
  <c r="BJ267" i="37" s="1"/>
  <c r="DM42" i="33"/>
  <c r="DR42" i="33"/>
  <c r="AB207" i="35"/>
  <c r="AS207" i="35"/>
  <c r="AJ207" i="35"/>
  <c r="BL45" i="35"/>
  <c r="CB49" i="35"/>
  <c r="CC49" i="35" s="1"/>
  <c r="BL46" i="35"/>
  <c r="CS45" i="35" s="1"/>
  <c r="DM155" i="33"/>
  <c r="DR155" i="33"/>
  <c r="CO36" i="36"/>
  <c r="AY35" i="36" s="1"/>
  <c r="CS31" i="36" s="1"/>
  <c r="CO35" i="36"/>
  <c r="EJ198" i="37"/>
  <c r="BZ270" i="37"/>
  <c r="CN270" i="37"/>
  <c r="CF271" i="37"/>
  <c r="CN271" i="37"/>
  <c r="CF270" i="37"/>
  <c r="BZ271" i="37"/>
  <c r="X204" i="37"/>
  <c r="T204" i="37"/>
  <c r="EN198" i="37" s="1"/>
  <c r="EE203" i="37"/>
  <c r="FH203" i="37"/>
  <c r="ED203" i="37"/>
  <c r="FD203" i="37" s="1"/>
  <c r="CE90" i="36"/>
  <c r="CD91" i="36" s="1"/>
  <c r="CK86" i="33"/>
  <c r="CP88" i="33" s="1"/>
  <c r="AB88" i="33" s="1"/>
  <c r="EB88" i="33" s="1"/>
  <c r="BY85" i="35"/>
  <c r="BX87" i="35" s="1"/>
  <c r="CD68" i="32"/>
  <c r="S68" i="32" s="1"/>
  <c r="DF83" i="32" s="1"/>
  <c r="BW67" i="32"/>
  <c r="BZ67" i="32" s="1"/>
  <c r="CQ137" i="32"/>
  <c r="H161" i="36"/>
  <c r="DA155" i="36" s="1"/>
  <c r="CG161" i="36"/>
  <c r="CK161" i="36" s="1"/>
  <c r="BL160" i="36" s="1"/>
  <c r="DM154" i="36" s="1"/>
  <c r="BM158" i="36"/>
  <c r="AT161" i="36"/>
  <c r="DJ155" i="36" s="1"/>
  <c r="CB158" i="36"/>
  <c r="BP158" i="36"/>
  <c r="BG158" i="36" s="1"/>
  <c r="CV154" i="36" s="1"/>
  <c r="DV126" i="36"/>
  <c r="CQ88" i="36"/>
  <c r="DS126" i="36" s="1"/>
  <c r="CJ173" i="36"/>
  <c r="CJ174" i="36"/>
  <c r="DR151" i="33"/>
  <c r="DM151" i="33"/>
  <c r="CA187" i="36"/>
  <c r="CB187" i="36"/>
  <c r="CL78" i="33"/>
  <c r="CM78" i="33"/>
  <c r="T77" i="33" s="1"/>
  <c r="DW77" i="33" s="1"/>
  <c r="DD76" i="33"/>
  <c r="BZ30" i="32"/>
  <c r="S31" i="32" s="1"/>
  <c r="DF33" i="32" s="1"/>
  <c r="BZ31" i="32"/>
  <c r="CF173" i="33"/>
  <c r="CG173" i="33"/>
  <c r="BZ197" i="33"/>
  <c r="CU178" i="33"/>
  <c r="CM179" i="33"/>
  <c r="DJ92" i="37"/>
  <c r="DM92" i="37"/>
  <c r="DO92" i="37"/>
  <c r="DN92" i="37"/>
  <c r="DA91" i="37"/>
  <c r="S73" i="32"/>
  <c r="DF90" i="32" s="1"/>
  <c r="CQ95" i="36"/>
  <c r="DS131" i="36" s="1"/>
  <c r="DV131" i="36"/>
  <c r="EX158" i="37"/>
  <c r="EB158" i="37"/>
  <c r="ET158" i="37" s="1"/>
  <c r="BZ193" i="33"/>
  <c r="CK52" i="33"/>
  <c r="CM52" i="33"/>
  <c r="O52" i="33" s="1"/>
  <c r="DI51" i="33" s="1"/>
  <c r="CF177" i="35"/>
  <c r="CF180" i="35"/>
  <c r="CG180" i="35"/>
  <c r="DM86" i="33"/>
  <c r="DR86" i="33"/>
  <c r="CY270" i="37"/>
  <c r="BW202" i="37"/>
  <c r="DF204" i="37"/>
  <c r="CU109" i="33"/>
  <c r="CQ107" i="32"/>
  <c r="BL61" i="35"/>
  <c r="CB65" i="35"/>
  <c r="CC65" i="35" s="1"/>
  <c r="BL62" i="35"/>
  <c r="CS61" i="35" s="1"/>
  <c r="CN265" i="37"/>
  <c r="EJ171" i="37"/>
  <c r="CN264" i="37"/>
  <c r="CF265" i="37"/>
  <c r="CF264" i="37"/>
  <c r="BZ264" i="37"/>
  <c r="X177" i="37"/>
  <c r="BZ265" i="37"/>
  <c r="T177" i="37"/>
  <c r="EN171" i="37" s="1"/>
  <c r="CJ115" i="36"/>
  <c r="CO114" i="32"/>
  <c r="DO139" i="32"/>
  <c r="CP114" i="32"/>
  <c r="DS137" i="35"/>
  <c r="BP53" i="36"/>
  <c r="BG53" i="36" s="1"/>
  <c r="CV49" i="36" s="1"/>
  <c r="CN53" i="36"/>
  <c r="CA25" i="35"/>
  <c r="CA23" i="35"/>
  <c r="AJ206" i="35"/>
  <c r="CP66" i="32"/>
  <c r="CO66" i="32"/>
  <c r="DO81" i="32"/>
  <c r="CL57" i="33"/>
  <c r="CS107" i="32"/>
  <c r="DO134" i="32"/>
  <c r="CR107" i="32"/>
  <c r="CQ179" i="36"/>
  <c r="DS257" i="36" s="1"/>
  <c r="DV257" i="36"/>
  <c r="BP70" i="36"/>
  <c r="CL68" i="36"/>
  <c r="CV71" i="36"/>
  <c r="CT71" i="36" s="1"/>
  <c r="DS108" i="36" s="1"/>
  <c r="BC71" i="36"/>
  <c r="CS73" i="36" s="1"/>
  <c r="BS71" i="36"/>
  <c r="CL72" i="36"/>
  <c r="CL71" i="36"/>
  <c r="CL69" i="36"/>
  <c r="CM68" i="36"/>
  <c r="CD113" i="32"/>
  <c r="CL113" i="32"/>
  <c r="AC116" i="32" s="1"/>
  <c r="DF144" i="32" s="1"/>
  <c r="CD114" i="32"/>
  <c r="CL114" i="32"/>
  <c r="BY135" i="36"/>
  <c r="BX135" i="36"/>
  <c r="BE137" i="36" s="1"/>
  <c r="CS140" i="36" s="1"/>
  <c r="CH135" i="36" s="1"/>
  <c r="BM136" i="36"/>
  <c r="CV136" i="36"/>
  <c r="CN139" i="36"/>
  <c r="BP137" i="36"/>
  <c r="BG137" i="36" s="1"/>
  <c r="CV133" i="36" s="1"/>
  <c r="CN137" i="36"/>
  <c r="CJ97" i="36"/>
  <c r="CD100" i="36"/>
  <c r="DR119" i="33"/>
  <c r="DM119" i="33"/>
  <c r="DS40" i="35"/>
  <c r="ED202" i="37"/>
  <c r="FD202" i="37" s="1"/>
  <c r="EE202" i="37"/>
  <c r="FH202" i="37"/>
  <c r="BB205" i="37"/>
  <c r="EN203" i="37" s="1"/>
  <c r="EJ203" i="37"/>
  <c r="BF205" i="37"/>
  <c r="CI170" i="36"/>
  <c r="CG168" i="36"/>
  <c r="CM170" i="36"/>
  <c r="BL169" i="36" s="1"/>
  <c r="DM163" i="36" s="1"/>
  <c r="CH165" i="36"/>
  <c r="DJ119" i="37"/>
  <c r="DN119" i="37"/>
  <c r="DM119" i="37"/>
  <c r="DO119" i="37"/>
  <c r="DA109" i="37"/>
  <c r="DO50" i="32"/>
  <c r="CO43" i="32"/>
  <c r="CP43" i="32"/>
  <c r="CO51" i="32"/>
  <c r="CP51" i="32"/>
  <c r="DO60" i="32"/>
  <c r="AZ97" i="32"/>
  <c r="DJ116" i="32"/>
  <c r="CE58" i="33"/>
  <c r="CG61" i="33" s="1"/>
  <c r="BY61" i="33"/>
  <c r="CL182" i="36"/>
  <c r="CV185" i="36"/>
  <c r="BP184" i="36"/>
  <c r="CL183" i="36"/>
  <c r="CL186" i="36"/>
  <c r="BS185" i="36"/>
  <c r="CM182" i="36"/>
  <c r="CL185" i="36"/>
  <c r="BC185" i="36"/>
  <c r="CS187" i="36" s="1"/>
  <c r="CV166" i="33"/>
  <c r="CX166" i="33"/>
  <c r="CW166" i="33"/>
  <c r="CU166" i="33"/>
  <c r="BY36" i="33"/>
  <c r="CC36" i="33"/>
  <c r="CE36" i="33"/>
  <c r="CG36" i="33"/>
  <c r="AN36" i="33"/>
  <c r="CU35" i="33" s="1"/>
  <c r="CN177" i="36"/>
  <c r="AY176" i="36"/>
  <c r="CS172" i="36" s="1"/>
  <c r="CN176" i="36"/>
  <c r="BM52" i="36"/>
  <c r="CV52" i="36"/>
  <c r="DM43" i="33"/>
  <c r="DR43" i="33"/>
  <c r="CV43" i="36"/>
  <c r="BM43" i="36"/>
  <c r="BY143" i="33"/>
  <c r="CG143" i="33"/>
  <c r="CE143" i="33"/>
  <c r="CC143" i="33"/>
  <c r="AN143" i="33"/>
  <c r="CU142" i="33" s="1"/>
  <c r="CN112" i="33"/>
  <c r="O111" i="33" s="1"/>
  <c r="DI110" i="33" s="1"/>
  <c r="CQ112" i="33"/>
  <c r="CM112" i="33"/>
  <c r="O112" i="33" s="1"/>
  <c r="DI111" i="33" s="1"/>
  <c r="CP112" i="33"/>
  <c r="AB112" i="33" s="1"/>
  <c r="EB112" i="33" s="1"/>
  <c r="CJ42" i="36"/>
  <c r="CJ41" i="36"/>
  <c r="BS194" i="36"/>
  <c r="CL192" i="36"/>
  <c r="CM191" i="36"/>
  <c r="CL195" i="36"/>
  <c r="CV194" i="36"/>
  <c r="BP193" i="36"/>
  <c r="CL194" i="36"/>
  <c r="CL191" i="36"/>
  <c r="BC194" i="36"/>
  <c r="CS196" i="36" s="1"/>
  <c r="FH65" i="37"/>
  <c r="AY146" i="36"/>
  <c r="CS142" i="36" s="1"/>
  <c r="CS87" i="35"/>
  <c r="DS87" i="35"/>
  <c r="CR86" i="35"/>
  <c r="DP87" i="35" s="1"/>
  <c r="CF164" i="35"/>
  <c r="CF161" i="35"/>
  <c r="CX182" i="33"/>
  <c r="CW182" i="33"/>
  <c r="CU182" i="33"/>
  <c r="CV182" i="33"/>
  <c r="EB171" i="37"/>
  <c r="ET171" i="37" s="1"/>
  <c r="EX171" i="37"/>
  <c r="AW30" i="35"/>
  <c r="CB32" i="35"/>
  <c r="BB29" i="35"/>
  <c r="BB30" i="35"/>
  <c r="CS27" i="35" s="1"/>
  <c r="CC31" i="35"/>
  <c r="CQ188" i="36"/>
  <c r="DS271" i="36" s="1"/>
  <c r="DV271" i="36"/>
  <c r="CH185" i="36"/>
  <c r="CH182" i="36"/>
  <c r="DJ121" i="37"/>
  <c r="DJ122" i="37"/>
  <c r="BX51" i="36"/>
  <c r="BE53" i="36" s="1"/>
  <c r="CS56" i="36" s="1"/>
  <c r="BY51" i="36"/>
  <c r="BX15" i="36"/>
  <c r="BE17" i="36" s="1"/>
  <c r="BY15" i="36"/>
  <c r="AL18" i="36" s="1"/>
  <c r="BP17" i="36" s="1"/>
  <c r="CF64" i="35"/>
  <c r="CF61" i="35"/>
  <c r="CP73" i="32"/>
  <c r="CO73" i="32"/>
  <c r="DO91" i="32"/>
  <c r="CK143" i="33"/>
  <c r="BR141" i="33"/>
  <c r="AN141" i="33" s="1"/>
  <c r="CU140" i="33" s="1"/>
  <c r="DI146" i="33" s="1"/>
  <c r="CG108" i="36"/>
  <c r="CB110" i="36"/>
  <c r="BY44" i="36"/>
  <c r="AE40" i="36"/>
  <c r="AN41" i="36"/>
  <c r="AG41" i="36" s="1"/>
  <c r="FH193" i="37"/>
  <c r="EE193" i="37"/>
  <c r="ED193" i="37"/>
  <c r="FD193" i="37" s="1"/>
  <c r="CS67" i="32"/>
  <c r="DO86" i="32"/>
  <c r="CR67" i="32"/>
  <c r="CL116" i="32"/>
  <c r="DA118" i="37"/>
  <c r="BY42" i="36"/>
  <c r="BX42" i="36"/>
  <c r="BE44" i="36" s="1"/>
  <c r="CS47" i="36" s="1"/>
  <c r="CJ192" i="36"/>
  <c r="CJ191" i="36"/>
  <c r="CL154" i="33"/>
  <c r="DD152" i="33"/>
  <c r="CM154" i="33"/>
  <c r="T153" i="33" s="1"/>
  <c r="DW153" i="33" s="1"/>
  <c r="O153" i="33"/>
  <c r="DI152" i="33" s="1"/>
  <c r="AB153" i="33"/>
  <c r="EB153" i="33" s="1"/>
  <c r="CC88" i="35"/>
  <c r="CB89" i="35"/>
  <c r="BB87" i="35"/>
  <c r="CS84" i="35" s="1"/>
  <c r="AW87" i="35"/>
  <c r="BB86" i="35"/>
  <c r="BZ198" i="33"/>
  <c r="CK96" i="33"/>
  <c r="CN94" i="33" s="1"/>
  <c r="CM96" i="33"/>
  <c r="O96" i="33" s="1"/>
  <c r="DI95" i="33" s="1"/>
  <c r="CO97" i="33"/>
  <c r="CQ97" i="33" s="1"/>
  <c r="AB95" i="33" s="1"/>
  <c r="EB95" i="33" s="1"/>
  <c r="CP96" i="33"/>
  <c r="AB96" i="33" s="1"/>
  <c r="EB96" i="33" s="1"/>
  <c r="CX39" i="35"/>
  <c r="DP41" i="35"/>
  <c r="CX40" i="35"/>
  <c r="EB203" i="37"/>
  <c r="ET203" i="37" s="1"/>
  <c r="EX203" i="37"/>
  <c r="CU93" i="33"/>
  <c r="CU150" i="33"/>
  <c r="CM151" i="33"/>
  <c r="CV70" i="36"/>
  <c r="CT70" i="36" s="1"/>
  <c r="DS107" i="36" s="1"/>
  <c r="BM70" i="36"/>
  <c r="BM166" i="36"/>
  <c r="CV166" i="36"/>
  <c r="BG194" i="36"/>
  <c r="CV190" i="36" s="1"/>
  <c r="DO120" i="32"/>
  <c r="CF95" i="32"/>
  <c r="CB95" i="32"/>
  <c r="BZ79" i="32"/>
  <c r="CG120" i="36"/>
  <c r="CM122" i="36"/>
  <c r="BL121" i="36" s="1"/>
  <c r="DM115" i="36" s="1"/>
  <c r="CI122" i="36"/>
  <c r="AF121" i="36" s="1"/>
  <c r="DD115" i="36" s="1"/>
  <c r="CO126" i="32"/>
  <c r="DO155" i="32"/>
  <c r="CP126" i="32"/>
  <c r="CU124" i="32" s="1"/>
  <c r="CL145" i="33"/>
  <c r="CS146" i="33" s="1"/>
  <c r="CT146" i="33" s="1"/>
  <c r="AW113" i="35"/>
  <c r="CO113" i="35" s="1"/>
  <c r="DG110" i="35" s="1"/>
  <c r="FH159" i="37"/>
  <c r="ED159" i="37"/>
  <c r="FD159" i="37" s="1"/>
  <c r="CF140" i="32"/>
  <c r="CI197" i="36"/>
  <c r="CG195" i="36"/>
  <c r="CO192" i="36" s="1"/>
  <c r="CM197" i="36"/>
  <c r="CI192" i="36"/>
  <c r="CG192" i="36"/>
  <c r="CI195" i="36"/>
  <c r="BQ87" i="35"/>
  <c r="DP89" i="35"/>
  <c r="AS178" i="37"/>
  <c r="EB144" i="37"/>
  <c r="ET144" i="37" s="1"/>
  <c r="EX144" i="37"/>
  <c r="CB33" i="35"/>
  <c r="CC33" i="35" s="1"/>
  <c r="BL29" i="35"/>
  <c r="BL30" i="35"/>
  <c r="CS29" i="35" s="1"/>
  <c r="DJ104" i="37"/>
  <c r="DJ103" i="37"/>
  <c r="K248" i="37"/>
  <c r="AB248" i="37"/>
  <c r="K249" i="37"/>
  <c r="CN85" i="36"/>
  <c r="BP83" i="36"/>
  <c r="CI65" i="36"/>
  <c r="AF64" i="36" s="1"/>
  <c r="DD58" i="36" s="1"/>
  <c r="CM65" i="36"/>
  <c r="BL64" i="36" s="1"/>
  <c r="DM58" i="36" s="1"/>
  <c r="CG63" i="36"/>
  <c r="BR85" i="33"/>
  <c r="DM177" i="33"/>
  <c r="DR177" i="33"/>
  <c r="CA254" i="37"/>
  <c r="CI50" i="33"/>
  <c r="BA50" i="33"/>
  <c r="CY50" i="33" s="1"/>
  <c r="CS53" i="33"/>
  <c r="CR53" i="33" s="1"/>
  <c r="G53" i="33" s="1"/>
  <c r="AN49" i="33"/>
  <c r="CU48" i="33" s="1"/>
  <c r="DI54" i="33" s="1"/>
  <c r="CO53" i="33"/>
  <c r="BL103" i="35"/>
  <c r="CS102" i="35" s="1"/>
  <c r="BL102" i="35"/>
  <c r="CB106" i="35"/>
  <c r="CC106" i="35" s="1"/>
  <c r="CN218" i="35"/>
  <c r="AU218" i="35" s="1"/>
  <c r="CD218" i="35"/>
  <c r="DJ137" i="37"/>
  <c r="DO137" i="37"/>
  <c r="DM137" i="37"/>
  <c r="DN137" i="37"/>
  <c r="DA136" i="37"/>
  <c r="CA130" i="35"/>
  <c r="CA128" i="35"/>
  <c r="BZ36" i="32"/>
  <c r="S37" i="32" s="1"/>
  <c r="DF41" i="32" s="1"/>
  <c r="BZ37" i="32"/>
  <c r="EB200" i="37"/>
  <c r="ET200" i="37" s="1"/>
  <c r="EX200" i="37"/>
  <c r="DW201" i="37"/>
  <c r="F270" i="37"/>
  <c r="DT201" i="37"/>
  <c r="DR199" i="37"/>
  <c r="DZ201" i="37"/>
  <c r="DI199" i="37"/>
  <c r="DW199" i="37"/>
  <c r="DN199" i="37"/>
  <c r="DY199" i="37"/>
  <c r="DF199" i="37"/>
  <c r="BK202" i="37"/>
  <c r="CA270" i="37"/>
  <c r="DQ199" i="37"/>
  <c r="DE199" i="37"/>
  <c r="DT199" i="37"/>
  <c r="DH199" i="37"/>
  <c r="DV199" i="37"/>
  <c r="DY201" i="37"/>
  <c r="DX199" i="37"/>
  <c r="DV201" i="37"/>
  <c r="DT203" i="37"/>
  <c r="DZ203" i="37"/>
  <c r="DW203" i="37"/>
  <c r="DU199" i="37"/>
  <c r="DZ199" i="37"/>
  <c r="DF203" i="37"/>
  <c r="BG202" i="37"/>
  <c r="DP199" i="37"/>
  <c r="DJ199" i="37"/>
  <c r="DM199" i="37"/>
  <c r="CW270" i="37"/>
  <c r="DB196" i="37"/>
  <c r="CB271" i="37"/>
  <c r="CD271" i="37"/>
  <c r="CB270" i="37"/>
  <c r="CD270" i="37"/>
  <c r="AS204" i="37"/>
  <c r="CG33" i="36"/>
  <c r="CF153" i="35"/>
  <c r="CF150" i="35"/>
  <c r="CI95" i="33"/>
  <c r="AN93" i="33"/>
  <c r="CU92" i="33" s="1"/>
  <c r="DI98" i="33" s="1"/>
  <c r="CN103" i="36"/>
  <c r="CQ103" i="32"/>
  <c r="BZ194" i="33"/>
  <c r="CK60" i="33"/>
  <c r="CM60" i="33"/>
  <c r="O60" i="33" s="1"/>
  <c r="DI59" i="33" s="1"/>
  <c r="CA169" i="36"/>
  <c r="AT169" i="36" s="1"/>
  <c r="DJ163" i="36" s="1"/>
  <c r="CB169" i="36"/>
  <c r="CL133" i="33"/>
  <c r="DJ115" i="32"/>
  <c r="AZ96" i="32"/>
  <c r="BM184" i="36"/>
  <c r="CV184" i="36"/>
  <c r="DM161" i="33"/>
  <c r="DR161" i="33"/>
  <c r="CF110" i="35"/>
  <c r="CF113" i="35"/>
  <c r="DS113" i="35"/>
  <c r="BW193" i="37"/>
  <c r="CY268" i="37"/>
  <c r="DF195" i="37"/>
  <c r="DS121" i="35"/>
  <c r="CC144" i="33"/>
  <c r="AN144" i="33"/>
  <c r="CU143" i="33" s="1"/>
  <c r="CE144" i="33"/>
  <c r="BY144" i="33"/>
  <c r="CG144" i="33"/>
  <c r="CX152" i="35"/>
  <c r="DP154" i="35"/>
  <c r="DA152" i="35"/>
  <c r="DA153" i="35"/>
  <c r="CX153" i="35"/>
  <c r="AW129" i="35"/>
  <c r="CO129" i="35" s="1"/>
  <c r="DG126" i="35" s="1"/>
  <c r="CO197" i="36"/>
  <c r="CS193" i="36"/>
  <c r="CB196" i="36"/>
  <c r="CA196" i="36"/>
  <c r="BP101" i="36"/>
  <c r="DO131" i="32"/>
  <c r="CO108" i="32"/>
  <c r="CP108" i="32"/>
  <c r="BZ109" i="32"/>
  <c r="CH263" i="37"/>
  <c r="CH262" i="37"/>
  <c r="CJ262" i="37"/>
  <c r="CP262" i="37"/>
  <c r="CP263" i="37"/>
  <c r="CJ263" i="37"/>
  <c r="CV262" i="37"/>
  <c r="EJ163" i="37"/>
  <c r="CR262" i="37"/>
  <c r="CR263" i="37"/>
  <c r="CF134" i="35"/>
  <c r="CF137" i="35"/>
  <c r="DA127" i="37"/>
  <c r="CG95" i="33"/>
  <c r="BY95" i="33"/>
  <c r="CE95" i="33"/>
  <c r="CC95" i="33"/>
  <c r="AN95" i="33"/>
  <c r="CU94" i="33" s="1"/>
  <c r="CL35" i="36"/>
  <c r="CM32" i="36"/>
  <c r="CL36" i="36"/>
  <c r="BC35" i="36"/>
  <c r="CS37" i="36" s="1"/>
  <c r="BS35" i="36"/>
  <c r="CV35" i="36"/>
  <c r="CL33" i="36"/>
  <c r="CL32" i="36"/>
  <c r="BW175" i="37"/>
  <c r="DJ177" i="37" s="1"/>
  <c r="DF177" i="37"/>
  <c r="DC100" i="37"/>
  <c r="CD221" i="35"/>
  <c r="CN221" i="35"/>
  <c r="AU221" i="35" s="1"/>
  <c r="DO118" i="32"/>
  <c r="CS95" i="32"/>
  <c r="CR95" i="32"/>
  <c r="CJ142" i="36"/>
  <c r="CD145" i="36"/>
  <c r="DR133" i="33"/>
  <c r="DM133" i="33"/>
  <c r="DM66" i="33"/>
  <c r="DR66" i="33"/>
  <c r="DJ58" i="32"/>
  <c r="AZ49" i="32"/>
  <c r="DF186" i="37"/>
  <c r="BW184" i="37"/>
  <c r="CY266" i="37"/>
  <c r="CK171" i="35"/>
  <c r="CK170" i="35"/>
  <c r="CO54" i="32"/>
  <c r="DO65" i="32"/>
  <c r="CP54" i="32"/>
  <c r="CV34" i="36"/>
  <c r="BM34" i="36"/>
  <c r="CU101" i="33"/>
  <c r="BL94" i="35"/>
  <c r="CB98" i="35"/>
  <c r="CC98" i="35" s="1"/>
  <c r="BL95" i="35"/>
  <c r="CS94" i="35" s="1"/>
  <c r="CN187" i="36"/>
  <c r="CO182" i="36"/>
  <c r="CN182" i="36"/>
  <c r="BY185" i="36"/>
  <c r="AN182" i="36"/>
  <c r="AG182" i="36" s="1"/>
  <c r="AE181" i="36"/>
  <c r="BG185" i="36" s="1"/>
  <c r="CV181" i="36" s="1"/>
  <c r="DS48" i="35"/>
  <c r="DM65" i="33"/>
  <c r="DR65" i="33"/>
  <c r="EB186" i="37"/>
  <c r="ET186" i="37" s="1"/>
  <c r="EX186" i="37"/>
  <c r="DA181" i="37"/>
  <c r="EX185" i="37"/>
  <c r="EB185" i="37"/>
  <c r="ET185" i="37" s="1"/>
  <c r="CE118" i="33"/>
  <c r="CG121" i="33" s="1"/>
  <c r="DS129" i="35"/>
  <c r="EB126" i="37"/>
  <c r="ET126" i="37" s="1"/>
  <c r="DV168" i="36"/>
  <c r="CQ115" i="36"/>
  <c r="DS168" i="36" s="1"/>
  <c r="DJ113" i="37"/>
  <c r="DB73" i="37"/>
  <c r="DO75" i="37" s="1"/>
  <c r="CV118" i="36"/>
  <c r="BM118" i="36"/>
  <c r="CJ144" i="35"/>
  <c r="CJ141" i="35"/>
  <c r="CS145" i="35"/>
  <c r="CJ145" i="35"/>
  <c r="CH141" i="35"/>
  <c r="CS151" i="35"/>
  <c r="CR150" i="35"/>
  <c r="DP151" i="35" s="1"/>
  <c r="DS151" i="35"/>
  <c r="BM109" i="36"/>
  <c r="CV109" i="36"/>
  <c r="ED192" i="37"/>
  <c r="FD192" i="37" s="1"/>
  <c r="EE192" i="37"/>
  <c r="FH192" i="37"/>
  <c r="BY81" i="36"/>
  <c r="BX81" i="36"/>
  <c r="BE83" i="36" s="1"/>
  <c r="AZ50" i="32"/>
  <c r="DJ59" i="32"/>
  <c r="CN71" i="36"/>
  <c r="AS71" i="36" s="1"/>
  <c r="BG71" i="36"/>
  <c r="CV67" i="36" s="1"/>
  <c r="CT67" i="36" s="1"/>
  <c r="DS104" i="36" s="1"/>
  <c r="CN39" i="32"/>
  <c r="AM39" i="32" s="1"/>
  <c r="DF48" i="32" s="1"/>
  <c r="DO45" i="32"/>
  <c r="CR36" i="32"/>
  <c r="CS36" i="32"/>
  <c r="CG165" i="33"/>
  <c r="DJ173" i="35"/>
  <c r="CR172" i="35"/>
  <c r="DG173" i="35" s="1"/>
  <c r="DM99" i="33"/>
  <c r="DR99" i="33"/>
  <c r="CK67" i="33"/>
  <c r="BG65" i="33"/>
  <c r="BR65" i="33"/>
  <c r="BX156" i="36"/>
  <c r="BE158" i="36" s="1"/>
  <c r="BY156" i="36"/>
  <c r="DZ83" i="37"/>
  <c r="DW81" i="37"/>
  <c r="DR118" i="33"/>
  <c r="DM118" i="33"/>
  <c r="DA48" i="35"/>
  <c r="CX47" i="35"/>
  <c r="DP49" i="35"/>
  <c r="CX48" i="35"/>
  <c r="DA47" i="35"/>
  <c r="CP90" i="32"/>
  <c r="DO107" i="32"/>
  <c r="CO90" i="32"/>
  <c r="ED184" i="37"/>
  <c r="FD184" i="37" s="1"/>
  <c r="FH184" i="37"/>
  <c r="EE184" i="37"/>
  <c r="EX180" i="37"/>
  <c r="EB180" i="37"/>
  <c r="ET180" i="37" s="1"/>
  <c r="CX128" i="35"/>
  <c r="DA128" i="35"/>
  <c r="DA129" i="35"/>
  <c r="DP130" i="35"/>
  <c r="CX129" i="35"/>
  <c r="ED129" i="37"/>
  <c r="FD129" i="37" s="1"/>
  <c r="EE129" i="37"/>
  <c r="CU174" i="33"/>
  <c r="CX174" i="33"/>
  <c r="CW174" i="33"/>
  <c r="CV174" i="33"/>
  <c r="ED177" i="37"/>
  <c r="FD177" i="37" s="1"/>
  <c r="EE177" i="37"/>
  <c r="FH177" i="37"/>
  <c r="CN159" i="36"/>
  <c r="AU158" i="36" s="1"/>
  <c r="CN158" i="36"/>
  <c r="AY158" i="36"/>
  <c r="CS154" i="36" s="1"/>
  <c r="CC111" i="33"/>
  <c r="AN111" i="33"/>
  <c r="CU110" i="33" s="1"/>
  <c r="BY111" i="33"/>
  <c r="CE111" i="33"/>
  <c r="CG111" i="33"/>
  <c r="CN37" i="36"/>
  <c r="BG35" i="36"/>
  <c r="CV31" i="36" s="1"/>
  <c r="DV103" i="36"/>
  <c r="DV112" i="36"/>
  <c r="CQ79" i="36"/>
  <c r="DS112" i="36" s="1"/>
  <c r="CR89" i="32"/>
  <c r="CS89" i="32"/>
  <c r="DO110" i="32"/>
  <c r="CI102" i="33"/>
  <c r="BA102" i="33"/>
  <c r="CY102" i="33" s="1"/>
  <c r="CS105" i="33"/>
  <c r="CR105" i="33" s="1"/>
  <c r="G105" i="33" s="1"/>
  <c r="AN101" i="33"/>
  <c r="CU100" i="33" s="1"/>
  <c r="DI106" i="33" s="1"/>
  <c r="CL97" i="33"/>
  <c r="DB164" i="37"/>
  <c r="CD115" i="32"/>
  <c r="S115" i="32" s="1"/>
  <c r="DF140" i="32" s="1"/>
  <c r="CD156" i="36"/>
  <c r="BX141" i="35"/>
  <c r="CJ142" i="33"/>
  <c r="BL53" i="35"/>
  <c r="CB57" i="35"/>
  <c r="CC57" i="35" s="1"/>
  <c r="BL54" i="35"/>
  <c r="CS53" i="35" s="1"/>
  <c r="CQ72" i="32"/>
  <c r="X138" i="37"/>
  <c r="AJ119" i="35"/>
  <c r="T216" i="35" s="1"/>
  <c r="CB216" i="35" s="1"/>
  <c r="AB139" i="37"/>
  <c r="AS141" i="37" s="1"/>
  <c r="AA138" i="37"/>
  <c r="Y138" i="37"/>
  <c r="BQ138" i="37"/>
  <c r="W138" i="37"/>
  <c r="BI138" i="37"/>
  <c r="K140" i="37"/>
  <c r="AD138" i="37"/>
  <c r="AN254" i="37"/>
  <c r="CQ190" i="36"/>
  <c r="DS280" i="36" s="1"/>
  <c r="DV280" i="36"/>
  <c r="DA72" i="35"/>
  <c r="CX72" i="35"/>
  <c r="CX71" i="35"/>
  <c r="DA71" i="35"/>
  <c r="DP73" i="35"/>
  <c r="CU265" i="37"/>
  <c r="R265" i="37"/>
  <c r="CU264" i="37"/>
  <c r="BY88" i="33"/>
  <c r="CC88" i="33"/>
  <c r="CG88" i="33"/>
  <c r="CE88" i="33"/>
  <c r="AN88" i="33"/>
  <c r="CU87" i="33" s="1"/>
  <c r="CU85" i="33"/>
  <c r="CT174" i="36"/>
  <c r="DS260" i="36" s="1"/>
  <c r="DV260" i="36"/>
  <c r="BX212" i="35"/>
  <c r="AL85" i="35"/>
  <c r="H212" i="35" s="1"/>
  <c r="DO117" i="32"/>
  <c r="CP98" i="32"/>
  <c r="CO98" i="32"/>
  <c r="CU49" i="33"/>
  <c r="CQ97" i="36"/>
  <c r="DS140" i="36" s="1"/>
  <c r="DV140" i="36"/>
  <c r="AS196" i="37"/>
  <c r="EE195" i="37"/>
  <c r="FH195" i="37"/>
  <c r="ED195" i="37"/>
  <c r="FD195" i="37" s="1"/>
  <c r="BL78" i="35"/>
  <c r="CS77" i="35" s="1"/>
  <c r="BL77" i="35"/>
  <c r="CB81" i="35"/>
  <c r="CC81" i="35" s="1"/>
  <c r="DO131" i="37"/>
  <c r="CU125" i="33"/>
  <c r="AS213" i="35"/>
  <c r="CL179" i="35"/>
  <c r="CL178" i="35"/>
  <c r="BG62" i="33"/>
  <c r="AZ57" i="33"/>
  <c r="CO39" i="32"/>
  <c r="CP39" i="32"/>
  <c r="DO44" i="32"/>
  <c r="DA172" i="35"/>
  <c r="CX172" i="35"/>
  <c r="DP173" i="35"/>
  <c r="DA171" i="35"/>
  <c r="CX171" i="35"/>
  <c r="BL38" i="35"/>
  <c r="CS37" i="35" s="1"/>
  <c r="BL37" i="35"/>
  <c r="CB41" i="35"/>
  <c r="CC41" i="35" s="1"/>
  <c r="FH186" i="37"/>
  <c r="ED186" i="37"/>
  <c r="FD186" i="37" s="1"/>
  <c r="EE186" i="37"/>
  <c r="EX182" i="37"/>
  <c r="EB182" i="37"/>
  <c r="ET182" i="37" s="1"/>
  <c r="DM149" i="33"/>
  <c r="DR149" i="33"/>
  <c r="EE131" i="37"/>
  <c r="DJ57" i="37"/>
  <c r="DJ58" i="37"/>
  <c r="S91" i="32"/>
  <c r="DF108" i="32" s="1"/>
  <c r="CU270" i="37"/>
  <c r="CU271" i="37"/>
  <c r="R271" i="37"/>
  <c r="CB181" i="35"/>
  <c r="CC181" i="35" s="1"/>
  <c r="BL178" i="35"/>
  <c r="CS177" i="35" s="1"/>
  <c r="BL177" i="35"/>
  <c r="BX126" i="36"/>
  <c r="BE128" i="36" s="1"/>
  <c r="CS131" i="36" s="1"/>
  <c r="CH129" i="36" s="1"/>
  <c r="BY126" i="36"/>
  <c r="BX95" i="35"/>
  <c r="AI196" i="37"/>
  <c r="EN192" i="37" s="1"/>
  <c r="EJ192" i="37"/>
  <c r="EE204" i="37"/>
  <c r="FH204" i="37"/>
  <c r="ED204" i="37"/>
  <c r="FD204" i="37" s="1"/>
  <c r="CQ44" i="32"/>
  <c r="CF102" i="35"/>
  <c r="CF105" i="35"/>
  <c r="S90" i="32"/>
  <c r="DF106" i="32" s="1"/>
  <c r="CK163" i="35"/>
  <c r="CK162" i="35"/>
  <c r="CT183" i="36"/>
  <c r="DS274" i="36" s="1"/>
  <c r="DV274" i="36"/>
  <c r="AJ211" i="35"/>
  <c r="AW135" i="35"/>
  <c r="BB135" i="35"/>
  <c r="CS132" i="35" s="1"/>
  <c r="CB137" i="35"/>
  <c r="BB134" i="35"/>
  <c r="CC136" i="35"/>
  <c r="DJ175" i="35"/>
  <c r="CO170" i="35"/>
  <c r="DG175" i="35" s="1"/>
  <c r="DJ83" i="37"/>
  <c r="DN83" i="37"/>
  <c r="DO83" i="37"/>
  <c r="DM83" i="37"/>
  <c r="DP122" i="35"/>
  <c r="DA121" i="35"/>
  <c r="CX121" i="35"/>
  <c r="CX120" i="35"/>
  <c r="DA120" i="35"/>
  <c r="CY145" i="33"/>
  <c r="DS153" i="35"/>
  <c r="CN128" i="33"/>
  <c r="O127" i="33" s="1"/>
  <c r="DI126" i="33" s="1"/>
  <c r="CQ128" i="33"/>
  <c r="CG47" i="36"/>
  <c r="CD126" i="33"/>
  <c r="CF129" i="33" s="1"/>
  <c r="DP106" i="35"/>
  <c r="CX104" i="35"/>
  <c r="DA105" i="35"/>
  <c r="CX105" i="35"/>
  <c r="DA104" i="35"/>
  <c r="CD134" i="33"/>
  <c r="CF137" i="33" s="1"/>
  <c r="CN260" i="37"/>
  <c r="EJ153" i="37"/>
  <c r="T159" i="37"/>
  <c r="EN153" i="37" s="1"/>
  <c r="X169" i="37"/>
  <c r="EJ165" i="37" s="1"/>
  <c r="CQ136" i="33"/>
  <c r="CP136" i="33"/>
  <c r="AB136" i="33" s="1"/>
  <c r="EB136" i="33" s="1"/>
  <c r="CN136" i="33"/>
  <c r="O135" i="33" s="1"/>
  <c r="DI134" i="33" s="1"/>
  <c r="CM136" i="33"/>
  <c r="O136" i="33" s="1"/>
  <c r="DI135" i="33" s="1"/>
  <c r="CG181" i="33"/>
  <c r="CF181" i="33"/>
  <c r="CI179" i="36"/>
  <c r="CH174" i="36"/>
  <c r="CG177" i="36"/>
  <c r="CO174" i="36" s="1"/>
  <c r="CM179" i="36"/>
  <c r="CH177" i="36"/>
  <c r="CI174" i="36"/>
  <c r="CG174" i="36"/>
  <c r="CI177" i="36"/>
  <c r="CT73" i="32"/>
  <c r="BX60" i="36"/>
  <c r="BE62" i="36" s="1"/>
  <c r="CS65" i="36" s="1"/>
  <c r="BY60" i="36"/>
  <c r="EE175" i="37"/>
  <c r="ED175" i="37"/>
  <c r="FD175" i="37" s="1"/>
  <c r="FH175" i="37"/>
  <c r="EX172" i="37"/>
  <c r="EB172" i="37"/>
  <c r="ET172" i="37" s="1"/>
  <c r="CQ40" i="36"/>
  <c r="DS56" i="36" s="1"/>
  <c r="DV56" i="36"/>
  <c r="CY130" i="33"/>
  <c r="CI136" i="33"/>
  <c r="BO134" i="33"/>
  <c r="BO135" i="33"/>
  <c r="BO136" i="33"/>
  <c r="DA136" i="35"/>
  <c r="DA137" i="35"/>
  <c r="CX136" i="35"/>
  <c r="DP138" i="35"/>
  <c r="CX137" i="35"/>
  <c r="DV266" i="36"/>
  <c r="CQ181" i="36"/>
  <c r="DS266" i="36" s="1"/>
  <c r="DM111" i="33"/>
  <c r="DR111" i="33"/>
  <c r="CQ131" i="32"/>
  <c r="AK23" i="37"/>
  <c r="DO140" i="37"/>
  <c r="DF140" i="37" s="1"/>
  <c r="DB137" i="37"/>
  <c r="DO139" i="37" s="1"/>
  <c r="DO138" i="37"/>
  <c r="DJ73" i="37"/>
  <c r="DO73" i="37"/>
  <c r="DM73" i="37"/>
  <c r="DN73" i="37"/>
  <c r="DS72" i="35"/>
  <c r="CI86" i="33"/>
  <c r="BA86" i="33"/>
  <c r="CY86" i="33" s="1"/>
  <c r="CS89" i="33"/>
  <c r="CR89" i="33" s="1"/>
  <c r="G89" i="33" s="1"/>
  <c r="CL77" i="33"/>
  <c r="CS78" i="33" s="1"/>
  <c r="CY89" i="33"/>
  <c r="CA178" i="36"/>
  <c r="CB178" i="36"/>
  <c r="DP145" i="35"/>
  <c r="BQ143" i="35"/>
  <c r="W120" i="37"/>
  <c r="BI120" i="37"/>
  <c r="AJ103" i="35"/>
  <c r="T214" i="35" s="1"/>
  <c r="CB214" i="35" s="1"/>
  <c r="Y120" i="37"/>
  <c r="AD120" i="37"/>
  <c r="BQ120" i="37"/>
  <c r="K122" i="37"/>
  <c r="AA120" i="37"/>
  <c r="X120" i="37"/>
  <c r="AS26" i="36"/>
  <c r="CS29" i="36"/>
  <c r="BY101" i="35"/>
  <c r="CK102" i="33"/>
  <c r="CB199" i="33" s="1"/>
  <c r="CE108" i="36"/>
  <c r="DJ42" i="32"/>
  <c r="AZ37" i="32"/>
  <c r="EX196" i="37"/>
  <c r="EB196" i="37"/>
  <c r="ET196" i="37" s="1"/>
  <c r="ED194" i="37"/>
  <c r="FD194" i="37" s="1"/>
  <c r="EE194" i="37"/>
  <c r="FH194" i="37"/>
  <c r="CP56" i="32"/>
  <c r="CO56" i="32"/>
  <c r="DO67" i="32"/>
  <c r="CR30" i="32"/>
  <c r="DO37" i="32"/>
  <c r="CS30" i="32"/>
  <c r="CN33" i="32"/>
  <c r="AM33" i="32" s="1"/>
  <c r="DF40" i="32" s="1"/>
  <c r="CB63" i="35"/>
  <c r="CA63" i="35"/>
  <c r="CB192" i="33"/>
  <c r="CK44" i="33"/>
  <c r="DS97" i="35"/>
  <c r="DO56" i="37"/>
  <c r="AL68" i="35"/>
  <c r="H210" i="35" s="1"/>
  <c r="BX210" i="35"/>
  <c r="DM34" i="33"/>
  <c r="DR34" i="33"/>
  <c r="DS172" i="35"/>
  <c r="BY33" i="36"/>
  <c r="BX33" i="36"/>
  <c r="BE35" i="36" s="1"/>
  <c r="CS38" i="36" s="1"/>
  <c r="EX187" i="37"/>
  <c r="EB187" i="37"/>
  <c r="ET187" i="37" s="1"/>
  <c r="ED185" i="37"/>
  <c r="FD185" i="37" s="1"/>
  <c r="FH185" i="37"/>
  <c r="EE185" i="37"/>
  <c r="EJ183" i="37"/>
  <c r="AI187" i="37"/>
  <c r="EN183" i="37" s="1"/>
  <c r="CN220" i="35"/>
  <c r="AU220" i="35" s="1"/>
  <c r="CD220" i="35"/>
  <c r="DB55" i="37"/>
  <c r="DO57" i="37" s="1"/>
  <c r="DR102" i="33"/>
  <c r="DM102" i="33"/>
  <c r="BP119" i="36"/>
  <c r="BG119" i="36" s="1"/>
  <c r="CV115" i="36" s="1"/>
  <c r="CB164" i="35"/>
  <c r="CC164" i="35" s="1"/>
  <c r="BB161" i="35"/>
  <c r="BB162" i="35"/>
  <c r="CS159" i="35" s="1"/>
  <c r="CC163" i="35"/>
  <c r="CV173" i="36"/>
  <c r="CI173" i="36"/>
  <c r="CI176" i="36"/>
  <c r="BZ201" i="33"/>
  <c r="CP120" i="33"/>
  <c r="AB120" i="33" s="1"/>
  <c r="EB120" i="33" s="1"/>
  <c r="CM120" i="33"/>
  <c r="O120" i="33" s="1"/>
  <c r="DI119" i="33" s="1"/>
  <c r="CK120" i="33"/>
  <c r="CO110" i="36"/>
  <c r="CO111" i="36"/>
  <c r="AY110" i="36" s="1"/>
  <c r="CS106" i="36" s="1"/>
  <c r="CN223" i="35"/>
  <c r="AU223" i="35" s="1"/>
  <c r="CD223" i="35"/>
  <c r="CD80" i="32"/>
  <c r="S80" i="32" s="1"/>
  <c r="DF100" i="32" s="1"/>
  <c r="CD108" i="36"/>
  <c r="CJ102" i="33"/>
  <c r="BX101" i="35"/>
  <c r="AZ81" i="32"/>
  <c r="DJ43" i="32"/>
  <c r="AZ38" i="32"/>
  <c r="EX194" i="37"/>
  <c r="EB194" i="37"/>
  <c r="ET194" i="37" s="1"/>
  <c r="EX191" i="37"/>
  <c r="EB191" i="37"/>
  <c r="ET191" i="37" s="1"/>
  <c r="EJ201" i="37"/>
  <c r="AI205" i="37"/>
  <c r="EN201" i="37" s="1"/>
  <c r="BZ203" i="33"/>
  <c r="CK136" i="33"/>
  <c r="AE58" i="36"/>
  <c r="CN64" i="36" s="1"/>
  <c r="BY62" i="36"/>
  <c r="AN59" i="36"/>
  <c r="AG59" i="36" s="1"/>
  <c r="CA51" i="33"/>
  <c r="CA52" i="33"/>
  <c r="BQ54" i="33"/>
  <c r="DA96" i="35"/>
  <c r="DA97" i="35"/>
  <c r="CX96" i="35"/>
  <c r="DP98" i="35"/>
  <c r="CX97" i="35"/>
  <c r="CL170" i="35"/>
  <c r="CL171" i="35"/>
  <c r="CE69" i="36"/>
  <c r="BY68" i="35"/>
  <c r="CK66" i="33"/>
  <c r="CB195" i="33" s="1"/>
  <c r="CF129" i="35"/>
  <c r="CF126" i="35"/>
  <c r="DO74" i="37"/>
  <c r="DR163" i="33"/>
  <c r="DM163" i="33"/>
  <c r="DR73" i="33"/>
  <c r="DM73" i="33"/>
  <c r="DU181" i="37"/>
  <c r="DZ185" i="37"/>
  <c r="DQ181" i="37"/>
  <c r="CA267" i="37"/>
  <c r="DY183" i="37"/>
  <c r="DT183" i="37"/>
  <c r="DV181" i="37"/>
  <c r="F266" i="37"/>
  <c r="DR181" i="37"/>
  <c r="DW183" i="37"/>
  <c r="DW181" i="37"/>
  <c r="DI181" i="37"/>
  <c r="DN181" i="37"/>
  <c r="DH181" i="37"/>
  <c r="DB178" i="37"/>
  <c r="CW266" i="37"/>
  <c r="BG184" i="37"/>
  <c r="BK184" i="37"/>
  <c r="CA266" i="37"/>
  <c r="DM181" i="37"/>
  <c r="DZ181" i="37"/>
  <c r="DJ181" i="37"/>
  <c r="DZ183" i="37"/>
  <c r="DW185" i="37"/>
  <c r="DF185" i="37"/>
  <c r="DT185" i="37"/>
  <c r="DF181" i="37"/>
  <c r="DV183" i="37"/>
  <c r="DT181" i="37"/>
  <c r="DY181" i="37"/>
  <c r="DE181" i="37"/>
  <c r="DX181" i="37"/>
  <c r="DP181" i="37"/>
  <c r="AZ121" i="32"/>
  <c r="DJ148" i="32"/>
  <c r="BM268" i="37"/>
  <c r="BM269" i="37" s="1"/>
  <c r="AN269" i="37"/>
  <c r="DA82" i="37"/>
  <c r="FH86" i="37"/>
  <c r="CE134" i="33"/>
  <c r="CG137" i="33" s="1"/>
  <c r="BY137" i="33"/>
  <c r="BX38" i="35"/>
  <c r="CL57" i="32"/>
  <c r="DJ166" i="32"/>
  <c r="AZ133" i="32"/>
  <c r="CL70" i="33"/>
  <c r="CM70" i="33"/>
  <c r="T69" i="33" s="1"/>
  <c r="DW69" i="33" s="1"/>
  <c r="DD68" i="33"/>
  <c r="DR135" i="33"/>
  <c r="DM135" i="33"/>
  <c r="EX181" i="37"/>
  <c r="EB181" i="37"/>
  <c r="ET181" i="37" s="1"/>
  <c r="DM33" i="33"/>
  <c r="DR33" i="33"/>
  <c r="CB152" i="35"/>
  <c r="CA152" i="35"/>
  <c r="CD222" i="35"/>
  <c r="CN222" i="35"/>
  <c r="AU222" i="35" s="1"/>
  <c r="EX125" i="37"/>
  <c r="EB125" i="37"/>
  <c r="ET125" i="37" s="1"/>
  <c r="DS170" i="35"/>
  <c r="CR169" i="35"/>
  <c r="DP170" i="35" s="1"/>
  <c r="CS170" i="35"/>
  <c r="DO65" i="37"/>
  <c r="DR74" i="33"/>
  <c r="DM74" i="33"/>
  <c r="H95" i="36"/>
  <c r="DA89" i="36" s="1"/>
  <c r="AT95" i="36"/>
  <c r="DJ89" i="36" s="1"/>
  <c r="CG95" i="36"/>
  <c r="CK95" i="36" s="1"/>
  <c r="BL94" i="36" s="1"/>
  <c r="DM88" i="36" s="1"/>
  <c r="BM92" i="36"/>
  <c r="CB92" i="36"/>
  <c r="BP92" i="36"/>
  <c r="DR179" i="33"/>
  <c r="DM179" i="33"/>
  <c r="CU141" i="33"/>
  <c r="CC179" i="35"/>
  <c r="CB180" i="35"/>
  <c r="CC180" i="35" s="1"/>
  <c r="BB178" i="35"/>
  <c r="CS175" i="35" s="1"/>
  <c r="BB177" i="35"/>
  <c r="BI56" i="37"/>
  <c r="BQ56" i="37"/>
  <c r="W56" i="37"/>
  <c r="K58" i="37"/>
  <c r="AA56" i="37"/>
  <c r="AD56" i="37"/>
  <c r="Y56" i="37"/>
  <c r="R238" i="37"/>
  <c r="AJ46" i="35"/>
  <c r="T207" i="35" s="1"/>
  <c r="CB207" i="35" s="1"/>
  <c r="X56" i="37"/>
  <c r="K262" i="37"/>
  <c r="AB262" i="37"/>
  <c r="K263" i="37"/>
  <c r="DJ156" i="37"/>
  <c r="DM156" i="37"/>
  <c r="DN156" i="37"/>
  <c r="DO156" i="37"/>
  <c r="CQ30" i="32"/>
  <c r="DS180" i="35"/>
  <c r="CJ124" i="36"/>
  <c r="CF45" i="35"/>
  <c r="CF48" i="35"/>
  <c r="DM167" i="33"/>
  <c r="DR167" i="33"/>
  <c r="CZ33" i="32"/>
  <c r="CY34" i="32"/>
  <c r="FH174" i="37"/>
  <c r="ED174" i="37"/>
  <c r="FD174" i="37" s="1"/>
  <c r="EE174" i="37"/>
  <c r="BL111" i="35"/>
  <c r="CS110" i="35" s="1"/>
  <c r="BL110" i="35"/>
  <c r="CB114" i="35"/>
  <c r="CC114" i="35" s="1"/>
  <c r="BO127" i="33"/>
  <c r="CI128" i="33"/>
  <c r="BO126" i="33"/>
  <c r="CY122" i="33"/>
  <c r="BO128" i="33"/>
  <c r="CD58" i="33"/>
  <c r="CF61" i="33" s="1"/>
  <c r="BZ200" i="33"/>
  <c r="CK112" i="33"/>
  <c r="DB118" i="37"/>
  <c r="CC144" i="35"/>
  <c r="BB143" i="35"/>
  <c r="CS140" i="35" s="1"/>
  <c r="CB145" i="35"/>
  <c r="BB142" i="35"/>
  <c r="CS166" i="36"/>
  <c r="CO170" i="36"/>
  <c r="BK167" i="36" s="1"/>
  <c r="CV165" i="36" s="1"/>
  <c r="CS38" i="33"/>
  <c r="CQ102" i="32"/>
  <c r="CN179" i="36"/>
  <c r="CS171" i="36"/>
  <c r="CV175" i="36"/>
  <c r="BM175" i="36"/>
  <c r="CP113" i="32"/>
  <c r="DO138" i="32"/>
  <c r="CO113" i="32"/>
  <c r="CS135" i="35"/>
  <c r="CR134" i="35"/>
  <c r="DP135" i="35" s="1"/>
  <c r="DS135" i="35"/>
  <c r="BG46" i="33"/>
  <c r="AZ41" i="33"/>
  <c r="EB190" i="37"/>
  <c r="ET190" i="37" s="1"/>
  <c r="EX190" i="37"/>
  <c r="EX189" i="37"/>
  <c r="EB189" i="37"/>
  <c r="ET189" i="37" s="1"/>
  <c r="CV127" i="36"/>
  <c r="BM127" i="36"/>
  <c r="BX135" i="35"/>
  <c r="CL168" i="35"/>
  <c r="CL169" i="35"/>
  <c r="BZ191" i="33"/>
  <c r="CK36" i="33"/>
  <c r="CO37" i="33"/>
  <c r="CK179" i="35"/>
  <c r="CK178" i="35"/>
  <c r="AN49" i="36"/>
  <c r="AN51" i="36"/>
  <c r="AG51" i="36" s="1"/>
  <c r="DR67" i="33"/>
  <c r="DM67" i="33"/>
  <c r="CD55" i="32"/>
  <c r="CL55" i="32"/>
  <c r="CL54" i="32"/>
  <c r="AC57" i="32" s="1"/>
  <c r="DF71" i="32" s="1"/>
  <c r="DJ146" i="37"/>
  <c r="DN146" i="37"/>
  <c r="DM146" i="37"/>
  <c r="DO146" i="37"/>
  <c r="DA64" i="35"/>
  <c r="DP65" i="35"/>
  <c r="CX64" i="35"/>
  <c r="CX63" i="35"/>
  <c r="DA63" i="35"/>
  <c r="AB217" i="35"/>
  <c r="CO31" i="32"/>
  <c r="CP31" i="32"/>
  <c r="DO34" i="32"/>
  <c r="AS186" i="37"/>
  <c r="EE183" i="37"/>
  <c r="ED183" i="37"/>
  <c r="FD183" i="37" s="1"/>
  <c r="FH183" i="37"/>
  <c r="DO113" i="37"/>
  <c r="DF113" i="37" s="1"/>
  <c r="EB129" i="37"/>
  <c r="ET129" i="37" s="1"/>
  <c r="EX129" i="37"/>
  <c r="AD47" i="37"/>
  <c r="AA47" i="37"/>
  <c r="X47" i="37"/>
  <c r="BQ47" i="37"/>
  <c r="AJ38" i="35"/>
  <c r="T206" i="35" s="1"/>
  <c r="CB206" i="35" s="1"/>
  <c r="Y47" i="37"/>
  <c r="W47" i="37"/>
  <c r="BI47" i="37"/>
  <c r="AB48" i="37"/>
  <c r="AS50" i="37" s="1"/>
  <c r="K49" i="37"/>
  <c r="R236" i="37"/>
  <c r="CA271" i="37"/>
  <c r="DO67" i="37"/>
  <c r="DA179" i="35"/>
  <c r="DP181" i="35"/>
  <c r="CX180" i="35"/>
  <c r="DA180" i="35"/>
  <c r="CX179" i="35"/>
  <c r="DJ49" i="37"/>
  <c r="CG45" i="36"/>
  <c r="CI47" i="36"/>
  <c r="CM47" i="36"/>
  <c r="CQ124" i="36"/>
  <c r="DS182" i="36" s="1"/>
  <c r="DV182" i="36"/>
  <c r="EB173" i="37"/>
  <c r="ET173" i="37" s="1"/>
  <c r="EX173" i="37"/>
  <c r="BY117" i="36"/>
  <c r="BX117" i="36"/>
  <c r="BE119" i="36" s="1"/>
  <c r="CC104" i="33"/>
  <c r="AN104" i="33"/>
  <c r="CU103" i="33" s="1"/>
  <c r="CE104" i="33"/>
  <c r="BY104" i="33"/>
  <c r="CG104" i="33"/>
  <c r="CU41" i="33"/>
  <c r="BI111" i="37"/>
  <c r="BQ111" i="37"/>
  <c r="K113" i="37"/>
  <c r="AD111" i="37"/>
  <c r="AJ95" i="35"/>
  <c r="T213" i="35" s="1"/>
  <c r="CB213" i="35" s="1"/>
  <c r="X111" i="37"/>
  <c r="W111" i="37"/>
  <c r="Y111" i="37"/>
  <c r="AA111" i="37"/>
  <c r="CQ120" i="32"/>
  <c r="CQ42" i="32"/>
  <c r="CQ36" i="32"/>
  <c r="CQ163" i="36"/>
  <c r="DS238" i="36" s="1"/>
  <c r="DV238" i="36"/>
  <c r="CL38" i="33"/>
  <c r="CD34" i="33"/>
  <c r="CF37" i="33" s="1"/>
  <c r="CL174" i="36"/>
  <c r="BS176" i="36"/>
  <c r="CL173" i="36"/>
  <c r="CM173" i="36"/>
  <c r="BP175" i="36"/>
  <c r="CL176" i="36"/>
  <c r="CV176" i="36"/>
  <c r="CL177" i="36"/>
  <c r="BC176" i="36"/>
  <c r="CS178" i="36" s="1"/>
  <c r="AL141" i="35"/>
  <c r="H219" i="35" s="1"/>
  <c r="BX219" i="35"/>
  <c r="BZ107" i="32"/>
  <c r="S108" i="32" s="1"/>
  <c r="DF130" i="32" s="1"/>
  <c r="BZ108" i="32"/>
  <c r="CN94" i="36"/>
  <c r="S44" i="32"/>
  <c r="DF51" i="32" s="1"/>
  <c r="DA80" i="35"/>
  <c r="DA79" i="35"/>
  <c r="CX80" i="35"/>
  <c r="CX79" i="35"/>
  <c r="DP81" i="35"/>
  <c r="CB47" i="35"/>
  <c r="CA47" i="35"/>
  <c r="BP110" i="36"/>
  <c r="DR190" i="37"/>
  <c r="F268" i="37"/>
  <c r="DU190" i="37"/>
  <c r="DB187" i="37"/>
  <c r="CA269" i="37"/>
  <c r="DX190" i="37"/>
  <c r="DM190" i="37"/>
  <c r="DQ190" i="37"/>
  <c r="DN190" i="37"/>
  <c r="DP190" i="37"/>
  <c r="DT194" i="37"/>
  <c r="CW268" i="37"/>
  <c r="DZ194" i="37"/>
  <c r="DJ190" i="37"/>
  <c r="DY190" i="37"/>
  <c r="DT190" i="37"/>
  <c r="CA268" i="37"/>
  <c r="DF190" i="37"/>
  <c r="DW192" i="37"/>
  <c r="DZ190" i="37"/>
  <c r="BG193" i="37"/>
  <c r="DH190" i="37"/>
  <c r="DW190" i="37"/>
  <c r="DY192" i="37"/>
  <c r="DI190" i="37"/>
  <c r="DF194" i="37"/>
  <c r="DE190" i="37"/>
  <c r="DW194" i="37"/>
  <c r="DV190" i="37"/>
  <c r="DZ192" i="37"/>
  <c r="DV192" i="37"/>
  <c r="BK193" i="37"/>
  <c r="DT192" i="37"/>
  <c r="DM171" i="33"/>
  <c r="DR171" i="33"/>
  <c r="CP110" i="32"/>
  <c r="CO110" i="32"/>
  <c r="DO133" i="32"/>
  <c r="BZ196" i="33"/>
  <c r="CJ31" i="36"/>
  <c r="CD34" i="36"/>
  <c r="DJ181" i="35"/>
  <c r="CR180" i="35"/>
  <c r="DG181" i="35" s="1"/>
  <c r="DO63" i="32"/>
  <c r="CB48" i="32"/>
  <c r="CF48" i="32"/>
  <c r="CN146" i="36"/>
  <c r="AS146" i="36" s="1"/>
  <c r="CM98" i="33"/>
  <c r="T97" i="33" s="1"/>
  <c r="DW97" i="33" s="1"/>
  <c r="CJ66" i="33"/>
  <c r="BX68" i="35"/>
  <c r="CD69" i="36"/>
  <c r="CD56" i="32"/>
  <c r="S56" i="32" s="1"/>
  <c r="DF67" i="32" s="1"/>
  <c r="AZ57" i="32"/>
  <c r="CB72" i="35"/>
  <c r="CC71" i="35"/>
  <c r="BB69" i="35"/>
  <c r="BB70" i="35"/>
  <c r="CS67" i="35" s="1"/>
  <c r="AW70" i="35"/>
  <c r="CM140" i="36"/>
  <c r="BL139" i="36" s="1"/>
  <c r="DM133" i="36" s="1"/>
  <c r="CG138" i="36"/>
  <c r="CI140" i="36"/>
  <c r="AF139" i="36" s="1"/>
  <c r="DD133" i="36" s="1"/>
  <c r="CG135" i="36"/>
  <c r="DM175" i="33"/>
  <c r="DR175" i="33"/>
  <c r="DR183" i="33"/>
  <c r="DS64" i="35"/>
  <c r="BY99" i="36"/>
  <c r="BX99" i="36"/>
  <c r="BE101" i="36" s="1"/>
  <c r="CS104" i="36" s="1"/>
  <c r="CA171" i="35"/>
  <c r="CB171" i="35"/>
  <c r="BL143" i="35"/>
  <c r="CS142" i="35" s="1"/>
  <c r="BL142" i="35"/>
  <c r="CB146" i="35"/>
  <c r="CC146" i="35" s="1"/>
  <c r="DN34" i="32"/>
  <c r="DN41" i="32"/>
  <c r="DN39" i="32"/>
  <c r="DN36" i="32"/>
  <c r="DN38" i="32"/>
  <c r="DN37" i="32"/>
  <c r="DN40" i="32"/>
  <c r="CU154" i="33"/>
  <c r="CV154" i="33"/>
  <c r="CX154" i="33"/>
  <c r="CW154" i="33"/>
  <c r="CT102" i="32"/>
  <c r="BW114" i="32"/>
  <c r="EJ185" i="37"/>
  <c r="BB187" i="37"/>
  <c r="EN185" i="37" s="1"/>
  <c r="BF187" i="37"/>
  <c r="CN267" i="37"/>
  <c r="EJ180" i="37"/>
  <c r="BZ266" i="37"/>
  <c r="CF266" i="37"/>
  <c r="X186" i="37"/>
  <c r="CF267" i="37"/>
  <c r="BZ267" i="37"/>
  <c r="CN266" i="37"/>
  <c r="T186" i="37"/>
  <c r="EN180" i="37" s="1"/>
  <c r="CO32" i="32"/>
  <c r="DO35" i="32"/>
  <c r="CP32" i="32"/>
  <c r="DF64" i="37"/>
  <c r="CN164" i="36"/>
  <c r="AN164" i="36"/>
  <c r="AG164" i="36" s="1"/>
  <c r="CN169" i="36"/>
  <c r="AE163" i="36"/>
  <c r="CO164" i="36"/>
  <c r="BY167" i="36"/>
  <c r="AZ268" i="37"/>
  <c r="CU269" i="37"/>
  <c r="R269" i="37"/>
  <c r="CU268" i="37"/>
  <c r="DR75" i="33"/>
  <c r="DM75" i="33"/>
  <c r="EB130" i="37"/>
  <c r="ET130" i="37" s="1"/>
  <c r="CI126" i="33"/>
  <c r="BA126" i="33"/>
  <c r="CY126" i="33" s="1"/>
  <c r="CS129" i="33"/>
  <c r="CR129" i="33" s="1"/>
  <c r="G129" i="33" s="1"/>
  <c r="AN125" i="33"/>
  <c r="CU124" i="33" s="1"/>
  <c r="DI130" i="33" s="1"/>
  <c r="DM162" i="33"/>
  <c r="DR162" i="33"/>
  <c r="AB112" i="37"/>
  <c r="AS114" i="37" s="1"/>
  <c r="CF244" i="37"/>
  <c r="EJ80" i="37"/>
  <c r="CF245" i="37"/>
  <c r="CN244" i="37"/>
  <c r="X86" i="37"/>
  <c r="BZ245" i="37"/>
  <c r="BZ244" i="37"/>
  <c r="CN245" i="37"/>
  <c r="T86" i="37"/>
  <c r="EN80" i="37" s="1"/>
  <c r="CS171" i="35"/>
  <c r="EX85" i="37" l="1"/>
  <c r="FH67" i="37"/>
  <c r="CF261" i="37"/>
  <c r="EX153" i="37"/>
  <c r="X159" i="37"/>
  <c r="AS132" i="37"/>
  <c r="EJ130" i="37" s="1"/>
  <c r="BM129" i="37"/>
  <c r="FH130" i="37" s="1"/>
  <c r="BG129" i="37"/>
  <c r="BE129" i="37" s="1"/>
  <c r="EE128" i="37" s="1"/>
  <c r="CA241" i="37"/>
  <c r="DJ65" i="37"/>
  <c r="AI68" i="37" s="1"/>
  <c r="EN64" i="37" s="1"/>
  <c r="BZ260" i="37"/>
  <c r="DR62" i="37"/>
  <c r="CF260" i="37"/>
  <c r="CD255" i="37"/>
  <c r="EJ65" i="37"/>
  <c r="DB123" i="37"/>
  <c r="DN126" i="37" s="1"/>
  <c r="CA240" i="37"/>
  <c r="O37" i="33"/>
  <c r="DI36" i="33" s="1"/>
  <c r="CN261" i="37"/>
  <c r="CB254" i="37"/>
  <c r="DY128" i="37"/>
  <c r="BB195" i="37"/>
  <c r="EN193" i="37" s="1"/>
  <c r="W166" i="37"/>
  <c r="DX81" i="37"/>
  <c r="BM254" i="37"/>
  <c r="BM255" i="37" s="1"/>
  <c r="DF81" i="37"/>
  <c r="DT85" i="37"/>
  <c r="DJ81" i="37"/>
  <c r="EE157" i="37"/>
  <c r="FH147" i="37"/>
  <c r="DE62" i="37"/>
  <c r="DJ126" i="37"/>
  <c r="ED157" i="37"/>
  <c r="FD157" i="37" s="1"/>
  <c r="BG65" i="37"/>
  <c r="BE65" i="37" s="1"/>
  <c r="DH126" i="37"/>
  <c r="EX65" i="37"/>
  <c r="EB62" i="37"/>
  <c r="ET62" i="37" s="1"/>
  <c r="DI62" i="37"/>
  <c r="DM62" i="37"/>
  <c r="EE86" i="37"/>
  <c r="DH62" i="37"/>
  <c r="DO141" i="32"/>
  <c r="DF66" i="37"/>
  <c r="CP116" i="32"/>
  <c r="BB67" i="37"/>
  <c r="EN65" i="37" s="1"/>
  <c r="CF254" i="37"/>
  <c r="DP62" i="37"/>
  <c r="CB240" i="37"/>
  <c r="AV240" i="37" s="1"/>
  <c r="AS68" i="37"/>
  <c r="CL240" i="37" s="1"/>
  <c r="BB78" i="35"/>
  <c r="CS75" i="35" s="1"/>
  <c r="DJ129" i="37"/>
  <c r="AI132" i="37" s="1"/>
  <c r="EN128" i="37" s="1"/>
  <c r="CF45" i="32"/>
  <c r="DZ126" i="37"/>
  <c r="DT128" i="37"/>
  <c r="DN62" i="37"/>
  <c r="DF62" i="37"/>
  <c r="CO74" i="36"/>
  <c r="BK71" i="36" s="1"/>
  <c r="CV69" i="36" s="1"/>
  <c r="CT69" i="36" s="1"/>
  <c r="DS106" i="36" s="1"/>
  <c r="CB45" i="32"/>
  <c r="AM44" i="32" s="1"/>
  <c r="DF52" i="32" s="1"/>
  <c r="N241" i="37"/>
  <c r="CD240" i="37"/>
  <c r="AZ240" i="37" s="1"/>
  <c r="BM240" i="37"/>
  <c r="BM241" i="37" s="1"/>
  <c r="DU126" i="37"/>
  <c r="DT126" i="37"/>
  <c r="DT130" i="37"/>
  <c r="DE126" i="37"/>
  <c r="BF132" i="37"/>
  <c r="EJ132" i="37" s="1"/>
  <c r="DQ62" i="37"/>
  <c r="DJ62" i="37"/>
  <c r="EJ193" i="37"/>
  <c r="EE67" i="37"/>
  <c r="DW119" i="37"/>
  <c r="CB255" i="37"/>
  <c r="AV255" i="37" s="1"/>
  <c r="DW130" i="37"/>
  <c r="DV126" i="37"/>
  <c r="BB132" i="37"/>
  <c r="EN130" i="37" s="1"/>
  <c r="BK65" i="37"/>
  <c r="F240" i="37"/>
  <c r="DF117" i="37"/>
  <c r="CD254" i="37"/>
  <c r="AZ254" i="37" s="1"/>
  <c r="R255" i="37"/>
  <c r="DI126" i="37"/>
  <c r="F254" i="37"/>
  <c r="EB65" i="37"/>
  <c r="ET65" i="37" s="1"/>
  <c r="DF129" i="37"/>
  <c r="T132" i="37" s="1"/>
  <c r="EN126" i="37" s="1"/>
  <c r="DW126" i="37"/>
  <c r="DF126" i="37"/>
  <c r="DW128" i="37"/>
  <c r="BB37" i="35"/>
  <c r="DI117" i="37"/>
  <c r="EX81" i="37"/>
  <c r="AS122" i="37"/>
  <c r="BF122" i="37" s="1"/>
  <c r="ED131" i="37"/>
  <c r="FD131" i="37" s="1"/>
  <c r="BB95" i="35"/>
  <c r="CS92" i="35" s="1"/>
  <c r="CR92" i="35" s="1"/>
  <c r="DP93" i="35" s="1"/>
  <c r="DW121" i="37"/>
  <c r="DY119" i="37"/>
  <c r="DD96" i="33"/>
  <c r="AS123" i="37"/>
  <c r="DJ53" i="37"/>
  <c r="AW95" i="35"/>
  <c r="CJ97" i="35" s="1"/>
  <c r="DT119" i="37"/>
  <c r="DY117" i="37"/>
  <c r="BJ254" i="37"/>
  <c r="BJ255" i="37" s="1"/>
  <c r="CU255" i="37" s="1"/>
  <c r="ED130" i="37"/>
  <c r="FD130" i="37" s="1"/>
  <c r="DJ117" i="37"/>
  <c r="DW117" i="37"/>
  <c r="AB37" i="33"/>
  <c r="EB37" i="33" s="1"/>
  <c r="DD36" i="33"/>
  <c r="AS59" i="37"/>
  <c r="BB59" i="37" s="1"/>
  <c r="EN57" i="37" s="1"/>
  <c r="CC39" i="35"/>
  <c r="CB97" i="35"/>
  <c r="AR95" i="35" s="1"/>
  <c r="CG96" i="35" s="1"/>
  <c r="AV254" i="37"/>
  <c r="BZ115" i="32"/>
  <c r="CF116" i="32" s="1"/>
  <c r="EX143" i="37"/>
  <c r="DM58" i="33"/>
  <c r="EB127" i="37"/>
  <c r="ET127" i="37" s="1"/>
  <c r="CS118" i="36"/>
  <c r="CS120" i="36" s="1"/>
  <c r="Y93" i="37"/>
  <c r="EX91" i="37" s="1"/>
  <c r="AW38" i="35"/>
  <c r="CJ36" i="35" s="1"/>
  <c r="BB94" i="35"/>
  <c r="FH84" i="37"/>
  <c r="CB40" i="35"/>
  <c r="BG38" i="35" s="1"/>
  <c r="CS36" i="35" s="1"/>
  <c r="BM65" i="37"/>
  <c r="EE66" i="37" s="1"/>
  <c r="EE147" i="37"/>
  <c r="BD240" i="37"/>
  <c r="BD241" i="37" s="1"/>
  <c r="CU240" i="37" s="1"/>
  <c r="CU30" i="33"/>
  <c r="BG240" i="37"/>
  <c r="BG241" i="37" s="1"/>
  <c r="CT30" i="33"/>
  <c r="EE84" i="37"/>
  <c r="CA239" i="37"/>
  <c r="DJ120" i="37"/>
  <c r="AI123" i="37" s="1"/>
  <c r="EN119" i="37" s="1"/>
  <c r="BK120" i="37"/>
  <c r="F252" i="37"/>
  <c r="DZ121" i="37"/>
  <c r="BJ240" i="37"/>
  <c r="BJ241" i="37" s="1"/>
  <c r="CU241" i="37" s="1"/>
  <c r="CL255" i="37"/>
  <c r="CC113" i="33"/>
  <c r="BY113" i="33" s="1"/>
  <c r="CQ92" i="32"/>
  <c r="CX30" i="33"/>
  <c r="DH53" i="37"/>
  <c r="F238" i="37"/>
  <c r="DV121" i="36"/>
  <c r="CW30" i="33"/>
  <c r="DF131" i="37"/>
  <c r="DR39" i="33"/>
  <c r="AR241" i="37"/>
  <c r="AN241" i="37"/>
  <c r="AN69" i="33"/>
  <c r="CY64" i="33" s="1"/>
  <c r="DR68" i="33" s="1"/>
  <c r="BM120" i="37"/>
  <c r="ED121" i="37" s="1"/>
  <c r="FD121" i="37" s="1"/>
  <c r="EX145" i="37"/>
  <c r="AR254" i="37"/>
  <c r="BZ240" i="37"/>
  <c r="DV117" i="37"/>
  <c r="DV119" i="37"/>
  <c r="DZ117" i="37"/>
  <c r="CB252" i="37"/>
  <c r="AZ255" i="37"/>
  <c r="AN240" i="37"/>
  <c r="ED65" i="37"/>
  <c r="FD65" i="37" s="1"/>
  <c r="DE117" i="37"/>
  <c r="DT117" i="37"/>
  <c r="BG120" i="37"/>
  <c r="BE120" i="37" s="1"/>
  <c r="CT42" i="32"/>
  <c r="O97" i="33"/>
  <c r="DI96" i="33" s="1"/>
  <c r="AR240" i="37"/>
  <c r="DJ56" i="37"/>
  <c r="AI59" i="37" s="1"/>
  <c r="EN55" i="37" s="1"/>
  <c r="DX117" i="37"/>
  <c r="DU117" i="37"/>
  <c r="DZ119" i="37"/>
  <c r="CD252" i="37"/>
  <c r="DR126" i="33"/>
  <c r="AA166" i="37"/>
  <c r="N262" i="37" s="1"/>
  <c r="R262" i="37" s="1"/>
  <c r="BJ262" i="37" s="1"/>
  <c r="BJ263" i="37" s="1"/>
  <c r="CU263" i="37" s="1"/>
  <c r="BZ241" i="37"/>
  <c r="BI166" i="37"/>
  <c r="EE166" i="37" s="1"/>
  <c r="CF240" i="37"/>
  <c r="T67" i="37"/>
  <c r="EN61" i="37" s="1"/>
  <c r="X166" i="37"/>
  <c r="EB163" i="37" s="1"/>
  <c r="ET163" i="37" s="1"/>
  <c r="EJ61" i="37"/>
  <c r="BD254" i="37"/>
  <c r="BD255" i="37" s="1"/>
  <c r="CU254" i="37" s="1"/>
  <c r="DV128" i="37"/>
  <c r="DY126" i="37"/>
  <c r="BK129" i="37"/>
  <c r="DZ128" i="37"/>
  <c r="DX126" i="37"/>
  <c r="BQ166" i="37"/>
  <c r="ED168" i="37" s="1"/>
  <c r="FD168" i="37" s="1"/>
  <c r="X93" i="37"/>
  <c r="EX90" i="37" s="1"/>
  <c r="X67" i="37"/>
  <c r="EJ63" i="37" s="1"/>
  <c r="AN255" i="37"/>
  <c r="Y166" i="37"/>
  <c r="CF241" i="37"/>
  <c r="K168" i="37"/>
  <c r="CN262" i="37" s="1"/>
  <c r="CN241" i="37"/>
  <c r="CN50" i="33"/>
  <c r="CB80" i="35"/>
  <c r="CC80" i="35" s="1"/>
  <c r="CA76" i="35" s="1"/>
  <c r="CS82" i="36"/>
  <c r="CQ82" i="36" s="1"/>
  <c r="DS114" i="36" s="1"/>
  <c r="CO38" i="36"/>
  <c r="BK35" i="36" s="1"/>
  <c r="CV33" i="36" s="1"/>
  <c r="CT33" i="36" s="1"/>
  <c r="DS50" i="36" s="1"/>
  <c r="N255" i="37"/>
  <c r="AS86" i="37"/>
  <c r="CG128" i="36"/>
  <c r="CO240" i="37"/>
  <c r="BZ255" i="37"/>
  <c r="EJ129" i="37"/>
  <c r="DF84" i="37"/>
  <c r="T87" i="37" s="1"/>
  <c r="EN81" i="37" s="1"/>
  <c r="DT81" i="37"/>
  <c r="F244" i="37"/>
  <c r="CB238" i="37"/>
  <c r="DP53" i="37"/>
  <c r="DN53" i="37"/>
  <c r="AJ78" i="35"/>
  <c r="T211" i="35" s="1"/>
  <c r="CB211" i="35" s="1"/>
  <c r="EX148" i="37"/>
  <c r="DF130" i="37"/>
  <c r="BB131" i="37" s="1"/>
  <c r="EN129" i="37" s="1"/>
  <c r="T131" i="37"/>
  <c r="EN125" i="37" s="1"/>
  <c r="BZ254" i="37"/>
  <c r="AA93" i="37"/>
  <c r="N247" i="37" s="1"/>
  <c r="BM56" i="37"/>
  <c r="EE57" i="37" s="1"/>
  <c r="BF131" i="37"/>
  <c r="EB84" i="37"/>
  <c r="ET84" i="37" s="1"/>
  <c r="CN255" i="37"/>
  <c r="CO254" i="37"/>
  <c r="DJ84" i="37"/>
  <c r="AI87" i="37" s="1"/>
  <c r="EN83" i="37" s="1"/>
  <c r="DT83" i="37"/>
  <c r="DY81" i="37"/>
  <c r="DY83" i="37"/>
  <c r="DF57" i="37"/>
  <c r="DM53" i="37"/>
  <c r="BI93" i="37"/>
  <c r="CG44" i="36"/>
  <c r="CN254" i="37"/>
  <c r="CO255" i="37"/>
  <c r="DW83" i="37"/>
  <c r="DU81" i="37"/>
  <c r="DI81" i="37"/>
  <c r="DF53" i="37"/>
  <c r="BG56" i="37"/>
  <c r="BE56" i="37" s="1"/>
  <c r="EE55" i="37" s="1"/>
  <c r="AB94" i="37"/>
  <c r="AS95" i="37" s="1"/>
  <c r="EJ93" i="37" s="1"/>
  <c r="AD93" i="37"/>
  <c r="EX94" i="37" s="1"/>
  <c r="CU41" i="32"/>
  <c r="AW78" i="35"/>
  <c r="CJ76" i="35" s="1"/>
  <c r="CD142" i="33"/>
  <c r="CF145" i="33" s="1"/>
  <c r="FH149" i="37"/>
  <c r="DE81" i="37"/>
  <c r="DV83" i="37"/>
  <c r="DZ81" i="37"/>
  <c r="CD244" i="37"/>
  <c r="AZ244" i="37" s="1"/>
  <c r="EB61" i="37"/>
  <c r="ET61" i="37" s="1"/>
  <c r="AS58" i="37"/>
  <c r="BF58" i="37" s="1"/>
  <c r="EJ125" i="37"/>
  <c r="CL254" i="37"/>
  <c r="AS87" i="37"/>
  <c r="BF87" i="37" s="1"/>
  <c r="ED149" i="37"/>
  <c r="FD149" i="37" s="1"/>
  <c r="BK84" i="37"/>
  <c r="BG84" i="37"/>
  <c r="BE84" i="37" s="1"/>
  <c r="ED83" i="37" s="1"/>
  <c r="FD83" i="37" s="1"/>
  <c r="DW85" i="37"/>
  <c r="DR53" i="37"/>
  <c r="DI53" i="37"/>
  <c r="W93" i="37"/>
  <c r="EX89" i="37" s="1"/>
  <c r="CO95" i="36"/>
  <c r="BK92" i="36" s="1"/>
  <c r="CV90" i="36" s="1"/>
  <c r="DV134" i="36" s="1"/>
  <c r="CD238" i="37"/>
  <c r="CB244" i="37"/>
  <c r="AV244" i="37" s="1"/>
  <c r="X131" i="37"/>
  <c r="AI131" i="37" s="1"/>
  <c r="EN127" i="37" s="1"/>
  <c r="DE53" i="37"/>
  <c r="BK56" i="37"/>
  <c r="BQ93" i="37"/>
  <c r="ED95" i="37" s="1"/>
  <c r="FD95" i="37" s="1"/>
  <c r="BM84" i="37"/>
  <c r="FH85" i="37" s="1"/>
  <c r="DZ85" i="37"/>
  <c r="DH81" i="37"/>
  <c r="DV81" i="37"/>
  <c r="DQ53" i="37"/>
  <c r="CD245" i="37"/>
  <c r="AZ245" i="37" s="1"/>
  <c r="EB80" i="37"/>
  <c r="ET80" i="37" s="1"/>
  <c r="CN259" i="37"/>
  <c r="CN258" i="37"/>
  <c r="AN258" i="37"/>
  <c r="EX147" i="37"/>
  <c r="BZ258" i="37"/>
  <c r="EX63" i="37"/>
  <c r="CF259" i="37"/>
  <c r="EX82" i="37"/>
  <c r="BG258" i="37"/>
  <c r="BG259" i="37" s="1"/>
  <c r="EJ143" i="37"/>
  <c r="R259" i="37"/>
  <c r="CF258" i="37"/>
  <c r="EB147" i="37"/>
  <c r="ET147" i="37" s="1"/>
  <c r="CQ113" i="32"/>
  <c r="BF68" i="37"/>
  <c r="EJ68" i="37" s="1"/>
  <c r="BZ75" i="32"/>
  <c r="AM73" i="32" s="1"/>
  <c r="DF91" i="32" s="1"/>
  <c r="BD258" i="37"/>
  <c r="BD259" i="37" s="1"/>
  <c r="CU258" i="37" s="1"/>
  <c r="BZ259" i="37"/>
  <c r="CB113" i="35"/>
  <c r="AR111" i="35" s="1"/>
  <c r="CF75" i="32"/>
  <c r="BM258" i="37"/>
  <c r="BM259" i="37" s="1"/>
  <c r="AV245" i="37"/>
  <c r="CC112" i="35"/>
  <c r="BD244" i="37"/>
  <c r="BD245" i="37" s="1"/>
  <c r="CU244" i="37" s="1"/>
  <c r="AN244" i="37"/>
  <c r="AN245" i="37"/>
  <c r="BG244" i="37"/>
  <c r="BG245" i="37" s="1"/>
  <c r="T149" i="37"/>
  <c r="EN143" i="37" s="1"/>
  <c r="EE130" i="37"/>
  <c r="BZ68" i="32"/>
  <c r="CF69" i="32" s="1"/>
  <c r="BB77" i="35"/>
  <c r="BJ258" i="37"/>
  <c r="BJ259" i="37" s="1"/>
  <c r="CU259" i="37" s="1"/>
  <c r="BJ244" i="37"/>
  <c r="BJ245" i="37" s="1"/>
  <c r="CU245" i="37" s="1"/>
  <c r="BM244" i="37"/>
  <c r="BM245" i="37" s="1"/>
  <c r="N259" i="37"/>
  <c r="R245" i="37"/>
  <c r="N245" i="37"/>
  <c r="N244" i="37"/>
  <c r="Q197" i="37"/>
  <c r="F271" i="37" s="1"/>
  <c r="BP270" i="37" s="1"/>
  <c r="BP271" i="37" s="1"/>
  <c r="BS271" i="37" s="1"/>
  <c r="BA202" i="37"/>
  <c r="ED200" i="37" s="1"/>
  <c r="FD200" i="37" s="1"/>
  <c r="CK169" i="35"/>
  <c r="CL146" i="36"/>
  <c r="BP145" i="36"/>
  <c r="Q179" i="37"/>
  <c r="F267" i="37" s="1"/>
  <c r="BP266" i="37" s="1"/>
  <c r="BP267" i="37" s="1"/>
  <c r="BS267" i="37" s="1"/>
  <c r="Q170" i="37"/>
  <c r="F265" i="37" s="1"/>
  <c r="BP264" i="37" s="1"/>
  <c r="BS264" i="37" s="1"/>
  <c r="CV146" i="36"/>
  <c r="CT146" i="36" s="1"/>
  <c r="DS220" i="36" s="1"/>
  <c r="BG146" i="36"/>
  <c r="CV142" i="36" s="1"/>
  <c r="CT142" i="36" s="1"/>
  <c r="DS216" i="36" s="1"/>
  <c r="CL143" i="36"/>
  <c r="CM143" i="36"/>
  <c r="CL147" i="36"/>
  <c r="BS146" i="36"/>
  <c r="CM147" i="36" s="1"/>
  <c r="CO143" i="36" s="1"/>
  <c r="BC146" i="36"/>
  <c r="CS148" i="36" s="1"/>
  <c r="DV214" i="36" s="1"/>
  <c r="DJ168" i="37"/>
  <c r="DB161" i="37"/>
  <c r="AB167" i="37" s="1"/>
  <c r="DJ167" i="37"/>
  <c r="AS140" i="37"/>
  <c r="CO256" i="37" s="1"/>
  <c r="CN110" i="33"/>
  <c r="CB92" i="32"/>
  <c r="AM91" i="32" s="1"/>
  <c r="DF109" i="32" s="1"/>
  <c r="BZ92" i="32"/>
  <c r="AM90" i="32" s="1"/>
  <c r="DF107" i="32" s="1"/>
  <c r="BB111" i="35"/>
  <c r="CS108" i="35" s="1"/>
  <c r="DS109" i="35" s="1"/>
  <c r="BB110" i="35"/>
  <c r="CQ73" i="32"/>
  <c r="CR66" i="32"/>
  <c r="CT66" i="32" s="1"/>
  <c r="BX129" i="33"/>
  <c r="CR166" i="33"/>
  <c r="G166" i="33" s="1"/>
  <c r="CN166" i="33" s="1"/>
  <c r="CQ66" i="32"/>
  <c r="CO241" i="37"/>
  <c r="CB56" i="35"/>
  <c r="CC56" i="35" s="1"/>
  <c r="CL241" i="37"/>
  <c r="CH41" i="36"/>
  <c r="BB53" i="35"/>
  <c r="CC55" i="35"/>
  <c r="EJ66" i="37"/>
  <c r="DO85" i="32"/>
  <c r="CN69" i="32"/>
  <c r="AM69" i="32" s="1"/>
  <c r="DF88" i="32" s="1"/>
  <c r="O69" i="33"/>
  <c r="DI68" i="33" s="1"/>
  <c r="BZ54" i="32"/>
  <c r="S55" i="32" s="1"/>
  <c r="DF65" i="32" s="1"/>
  <c r="DB83" i="37"/>
  <c r="DO85" i="37" s="1"/>
  <c r="DF85" i="37" s="1"/>
  <c r="BB54" i="35"/>
  <c r="CS51" i="35" s="1"/>
  <c r="CR51" i="35" s="1"/>
  <c r="DP52" i="35" s="1"/>
  <c r="DN44" i="32"/>
  <c r="CH44" i="36"/>
  <c r="CN34" i="33"/>
  <c r="CB33" i="32"/>
  <c r="AM32" i="32" s="1"/>
  <c r="DF36" i="32" s="1"/>
  <c r="BZ33" i="32"/>
  <c r="AM31" i="32" s="1"/>
  <c r="DF34" i="32" s="1"/>
  <c r="CI53" i="33"/>
  <c r="CI61" i="33" s="1"/>
  <c r="CT107" i="32"/>
  <c r="CD136" i="36"/>
  <c r="CH137" i="36" s="1"/>
  <c r="CO129" i="33"/>
  <c r="CQ129" i="33" s="1"/>
  <c r="AB127" i="33" s="1"/>
  <c r="EB127" i="33" s="1"/>
  <c r="BM138" i="37"/>
  <c r="DB132" i="37" s="1"/>
  <c r="DR135" i="37" s="1"/>
  <c r="CT95" i="32"/>
  <c r="DF128" i="37"/>
  <c r="BZ80" i="32"/>
  <c r="CF81" i="32" s="1"/>
  <c r="AJ212" i="35"/>
  <c r="AS212" i="35"/>
  <c r="CT67" i="32"/>
  <c r="CJ88" i="36"/>
  <c r="CJ89" i="36" s="1"/>
  <c r="AF94" i="36"/>
  <c r="DD88" i="36" s="1"/>
  <c r="CO77" i="33"/>
  <c r="CQ77" i="33" s="1"/>
  <c r="AB75" i="33" s="1"/>
  <c r="EB75" i="33" s="1"/>
  <c r="O77" i="33"/>
  <c r="DI76" i="33" s="1"/>
  <c r="CP76" i="33"/>
  <c r="AB76" i="33" s="1"/>
  <c r="EB76" i="33" s="1"/>
  <c r="CD82" i="36"/>
  <c r="CG83" i="36" s="1"/>
  <c r="CM76" i="33"/>
  <c r="O76" i="33" s="1"/>
  <c r="DI75" i="33" s="1"/>
  <c r="DB116" i="37"/>
  <c r="DB125" i="37" s="1"/>
  <c r="DA107" i="37" s="1"/>
  <c r="DO86" i="37"/>
  <c r="DF86" i="37" s="1"/>
  <c r="CO56" i="36"/>
  <c r="BK53" i="36" s="1"/>
  <c r="CV51" i="36" s="1"/>
  <c r="CT51" i="36" s="1"/>
  <c r="DS78" i="36" s="1"/>
  <c r="DN133" i="32"/>
  <c r="CH42" i="36"/>
  <c r="DN46" i="32"/>
  <c r="CH45" i="36"/>
  <c r="DN126" i="32"/>
  <c r="DN77" i="32"/>
  <c r="DN72" i="32"/>
  <c r="DN159" i="32"/>
  <c r="AN45" i="33"/>
  <c r="CY40" i="33" s="1"/>
  <c r="DM44" i="33" s="1"/>
  <c r="DN109" i="32"/>
  <c r="DN54" i="32"/>
  <c r="DN169" i="32"/>
  <c r="DN80" i="32"/>
  <c r="DF55" i="37"/>
  <c r="DN101" i="32"/>
  <c r="CQ32" i="32"/>
  <c r="DV258" i="36"/>
  <c r="BB50" i="37"/>
  <c r="EN48" i="37" s="1"/>
  <c r="CQ43" i="32"/>
  <c r="BX77" i="33"/>
  <c r="AN77" i="33"/>
  <c r="CQ54" i="32"/>
  <c r="CQ90" i="32"/>
  <c r="CQ139" i="32"/>
  <c r="CV136" i="32" s="1"/>
  <c r="DN64" i="32"/>
  <c r="DN157" i="32"/>
  <c r="DN71" i="32"/>
  <c r="DN68" i="32"/>
  <c r="DN76" i="32"/>
  <c r="CR182" i="33"/>
  <c r="G182" i="33" s="1"/>
  <c r="CN182" i="33" s="1"/>
  <c r="DN110" i="32"/>
  <c r="DN128" i="32"/>
  <c r="DN65" i="32"/>
  <c r="AN105" i="33"/>
  <c r="CY100" i="33" s="1"/>
  <c r="DR104" i="33" s="1"/>
  <c r="BZ56" i="32"/>
  <c r="BZ57" i="32" s="1"/>
  <c r="AM55" i="32" s="1"/>
  <c r="DF66" i="32" s="1"/>
  <c r="BX145" i="33"/>
  <c r="AN145" i="33"/>
  <c r="DN129" i="32"/>
  <c r="DN149" i="32"/>
  <c r="DN136" i="32"/>
  <c r="CR174" i="33"/>
  <c r="G174" i="33" s="1"/>
  <c r="AB174" i="33" s="1"/>
  <c r="EB174" i="33" s="1"/>
  <c r="DN112" i="32"/>
  <c r="DN160" i="32"/>
  <c r="DN78" i="32"/>
  <c r="AS110" i="36"/>
  <c r="CN113" i="36" s="1"/>
  <c r="BI110" i="36" s="1"/>
  <c r="CN42" i="33"/>
  <c r="DN98" i="32"/>
  <c r="DN69" i="32"/>
  <c r="DN97" i="32"/>
  <c r="DN151" i="32"/>
  <c r="S50" i="32"/>
  <c r="DF59" i="32" s="1"/>
  <c r="CN118" i="33"/>
  <c r="DN143" i="32"/>
  <c r="BZ62" i="32"/>
  <c r="CF63" i="32" s="1"/>
  <c r="CQ75" i="32"/>
  <c r="CT36" i="32"/>
  <c r="CQ108" i="32"/>
  <c r="CT30" i="32"/>
  <c r="CR154" i="33"/>
  <c r="G154" i="33" s="1"/>
  <c r="O154" i="33" s="1"/>
  <c r="DI153" i="33" s="1"/>
  <c r="DS122" i="32"/>
  <c r="DN45" i="32"/>
  <c r="CU88" i="32"/>
  <c r="DN153" i="32"/>
  <c r="DN154" i="32"/>
  <c r="DN57" i="32"/>
  <c r="DN73" i="32"/>
  <c r="CQ51" i="32"/>
  <c r="CX270" i="37"/>
  <c r="DF137" i="37"/>
  <c r="DF92" i="37"/>
  <c r="CX266" i="37"/>
  <c r="CX264" i="37"/>
  <c r="CX267" i="37"/>
  <c r="CX265" i="37"/>
  <c r="DF83" i="37"/>
  <c r="CX268" i="37"/>
  <c r="CX271" i="37"/>
  <c r="DF146" i="37"/>
  <c r="DF73" i="37"/>
  <c r="EJ112" i="37"/>
  <c r="BB114" i="37"/>
  <c r="EN112" i="37" s="1"/>
  <c r="BF114" i="37"/>
  <c r="DN118" i="32"/>
  <c r="DN135" i="32"/>
  <c r="DN117" i="32"/>
  <c r="DN104" i="32"/>
  <c r="DN134" i="32"/>
  <c r="DN150" i="32"/>
  <c r="DN114" i="32"/>
  <c r="DN62" i="32"/>
  <c r="DN164" i="32"/>
  <c r="CJ71" i="35"/>
  <c r="CS72" i="35"/>
  <c r="CH68" i="35"/>
  <c r="CJ72" i="35"/>
  <c r="CJ68" i="35"/>
  <c r="CN149" i="36"/>
  <c r="BI146" i="36" s="1"/>
  <c r="CS141" i="36"/>
  <c r="EE113" i="37"/>
  <c r="ED113" i="37"/>
  <c r="FD113" i="37" s="1"/>
  <c r="FH113" i="37"/>
  <c r="CW38" i="33"/>
  <c r="CU38" i="33"/>
  <c r="CV38" i="33"/>
  <c r="CX38" i="33"/>
  <c r="CX269" i="37"/>
  <c r="BY51" i="33"/>
  <c r="CC51" i="33"/>
  <c r="AN51" i="33"/>
  <c r="CG51" i="33"/>
  <c r="CE51" i="33"/>
  <c r="DN43" i="32"/>
  <c r="CR159" i="35"/>
  <c r="DP160" i="35" s="1"/>
  <c r="DS160" i="35"/>
  <c r="CS165" i="35"/>
  <c r="CS21" i="36"/>
  <c r="CN29" i="36"/>
  <c r="BI26" i="36" s="1"/>
  <c r="EB121" i="37"/>
  <c r="ET121" i="37" s="1"/>
  <c r="EX121" i="37"/>
  <c r="BB169" i="35"/>
  <c r="BB170" i="35"/>
  <c r="CS167" i="35" s="1"/>
  <c r="CC171" i="35"/>
  <c r="CB172" i="35"/>
  <c r="CC172" i="35" s="1"/>
  <c r="CR54" i="32"/>
  <c r="CS54" i="32"/>
  <c r="DO69" i="32"/>
  <c r="CN57" i="32"/>
  <c r="AM57" i="32" s="1"/>
  <c r="DF72" i="32" s="1"/>
  <c r="AJ219" i="35"/>
  <c r="AS219" i="35"/>
  <c r="AP219" i="35"/>
  <c r="AB219" i="35"/>
  <c r="EX111" i="37"/>
  <c r="EB111" i="37"/>
  <c r="ET111" i="37" s="1"/>
  <c r="N251" i="37"/>
  <c r="N250" i="37"/>
  <c r="R250" i="37" s="1"/>
  <c r="EE111" i="37"/>
  <c r="ED111" i="37"/>
  <c r="FD111" i="37" s="1"/>
  <c r="FH111" i="37"/>
  <c r="BK47" i="37"/>
  <c r="DP44" i="37"/>
  <c r="DJ44" i="37"/>
  <c r="DH44" i="37"/>
  <c r="DF44" i="37"/>
  <c r="BG47" i="37"/>
  <c r="BE47" i="37" s="1"/>
  <c r="DM44" i="37"/>
  <c r="DQ44" i="37"/>
  <c r="DR44" i="37"/>
  <c r="CA236" i="37"/>
  <c r="AR236" i="37" s="1"/>
  <c r="DN44" i="37"/>
  <c r="F236" i="37"/>
  <c r="DE44" i="37"/>
  <c r="DI44" i="37"/>
  <c r="CA237" i="37"/>
  <c r="AR237" i="37" s="1"/>
  <c r="DJ47" i="37"/>
  <c r="AI50" i="37" s="1"/>
  <c r="EN46" i="37" s="1"/>
  <c r="CD236" i="37"/>
  <c r="AZ236" i="37" s="1"/>
  <c r="CB236" i="37"/>
  <c r="AV236" i="37" s="1"/>
  <c r="DF48" i="37"/>
  <c r="AS49" i="37"/>
  <c r="CO237" i="37" s="1"/>
  <c r="EB48" i="37"/>
  <c r="ET48" i="37" s="1"/>
  <c r="EX48" i="37"/>
  <c r="BS92" i="36"/>
  <c r="CV92" i="36"/>
  <c r="CM89" i="36"/>
  <c r="BC92" i="36"/>
  <c r="CS94" i="36" s="1"/>
  <c r="CL93" i="36"/>
  <c r="BP91" i="36"/>
  <c r="CL89" i="36"/>
  <c r="CL90" i="36"/>
  <c r="CL92" i="36"/>
  <c r="BG92" i="36"/>
  <c r="CV88" i="36" s="1"/>
  <c r="BQ132" i="37"/>
  <c r="EN132" i="37" s="1"/>
  <c r="CQ56" i="32"/>
  <c r="DN42" i="32"/>
  <c r="DN85" i="32"/>
  <c r="DN86" i="32"/>
  <c r="DN142" i="32"/>
  <c r="DN92" i="32"/>
  <c r="DN81" i="32"/>
  <c r="DN155" i="32"/>
  <c r="DN88" i="32"/>
  <c r="DN84" i="32"/>
  <c r="DN145" i="32"/>
  <c r="DN156" i="32"/>
  <c r="DN99" i="32"/>
  <c r="DN144" i="32"/>
  <c r="DN82" i="32"/>
  <c r="DN51" i="32"/>
  <c r="DN108" i="32"/>
  <c r="DN141" i="32"/>
  <c r="DN124" i="32"/>
  <c r="DN138" i="32"/>
  <c r="DN95" i="32"/>
  <c r="DN87" i="32"/>
  <c r="DN139" i="32"/>
  <c r="DN91" i="32"/>
  <c r="DN83" i="32"/>
  <c r="DN67" i="32"/>
  <c r="DN147" i="32"/>
  <c r="DP24" i="32"/>
  <c r="DN70" i="32"/>
  <c r="DN168" i="32"/>
  <c r="DN102" i="32"/>
  <c r="DN55" i="32"/>
  <c r="DN49" i="32"/>
  <c r="DN178" i="32"/>
  <c r="DN158" i="32"/>
  <c r="DP23" i="32"/>
  <c r="DN74" i="32"/>
  <c r="DN120" i="32"/>
  <c r="DN61" i="32"/>
  <c r="DN79" i="32"/>
  <c r="DN167" i="32"/>
  <c r="DN137" i="32"/>
  <c r="DN132" i="32"/>
  <c r="DN50" i="32"/>
  <c r="DN165" i="32"/>
  <c r="DN103" i="32"/>
  <c r="DN170" i="32"/>
  <c r="DN47" i="32"/>
  <c r="DN175" i="32"/>
  <c r="DP89" i="32"/>
  <c r="DP162" i="32"/>
  <c r="DN63" i="32"/>
  <c r="DN152" i="32"/>
  <c r="DN90" i="32"/>
  <c r="DN106" i="32"/>
  <c r="DN93" i="32"/>
  <c r="DN52" i="32"/>
  <c r="DN48" i="32"/>
  <c r="DN119" i="32"/>
  <c r="DN107" i="32"/>
  <c r="DN176" i="32"/>
  <c r="DN66" i="32"/>
  <c r="DN60" i="32"/>
  <c r="DN53" i="32"/>
  <c r="DN173" i="32"/>
  <c r="DN140" i="32"/>
  <c r="DN174" i="32"/>
  <c r="DN100" i="32"/>
  <c r="DN177" i="32"/>
  <c r="DN113" i="32"/>
  <c r="DN130" i="32"/>
  <c r="DN75" i="32"/>
  <c r="EX118" i="37"/>
  <c r="EB118" i="37"/>
  <c r="ET118" i="37" s="1"/>
  <c r="EJ155" i="37"/>
  <c r="AI159" i="37"/>
  <c r="EN155" i="37" s="1"/>
  <c r="CE126" i="33"/>
  <c r="CG129" i="33" s="1"/>
  <c r="BY129" i="33"/>
  <c r="EX134" i="37"/>
  <c r="EB134" i="37"/>
  <c r="ET134" i="37" s="1"/>
  <c r="CR53" i="35"/>
  <c r="DP54" i="35" s="1"/>
  <c r="CS54" i="35"/>
  <c r="DS54" i="35"/>
  <c r="DC164" i="37"/>
  <c r="DO168" i="37" s="1"/>
  <c r="DS49" i="35"/>
  <c r="DJ172" i="35"/>
  <c r="CR171" i="35"/>
  <c r="DG172" i="35" s="1"/>
  <c r="DD128" i="33"/>
  <c r="CM130" i="33"/>
  <c r="T129" i="33" s="1"/>
  <c r="DW129" i="33" s="1"/>
  <c r="CL130" i="33"/>
  <c r="O129" i="33"/>
  <c r="DI128" i="33" s="1"/>
  <c r="BP167" i="36"/>
  <c r="BG167" i="36" s="1"/>
  <c r="CV163" i="36" s="1"/>
  <c r="DV145" i="36"/>
  <c r="CQ104" i="36"/>
  <c r="DS145" i="36" s="1"/>
  <c r="CH102" i="36"/>
  <c r="CH99" i="36"/>
  <c r="DS65" i="35"/>
  <c r="BZ211" i="33"/>
  <c r="BZ212" i="33"/>
  <c r="BZ210" i="33"/>
  <c r="DS136" i="35"/>
  <c r="CR135" i="35"/>
  <c r="DP136" i="35" s="1"/>
  <c r="BX61" i="33"/>
  <c r="AN61" i="33"/>
  <c r="EX53" i="37"/>
  <c r="EB53" i="37"/>
  <c r="ET53" i="37" s="1"/>
  <c r="EE58" i="37"/>
  <c r="FH58" i="37"/>
  <c r="ED58" i="37"/>
  <c r="FD58" i="37" s="1"/>
  <c r="AW184" i="37"/>
  <c r="DS98" i="35"/>
  <c r="AB210" i="35"/>
  <c r="AJ210" i="35"/>
  <c r="AS210" i="35"/>
  <c r="BB61" i="35"/>
  <c r="AW62" i="35"/>
  <c r="CB64" i="35"/>
  <c r="BB62" i="35"/>
  <c r="CS59" i="35" s="1"/>
  <c r="CC63" i="35"/>
  <c r="EJ194" i="37"/>
  <c r="BB196" i="37"/>
  <c r="EN194" i="37" s="1"/>
  <c r="BF196" i="37"/>
  <c r="CL269" i="37"/>
  <c r="CO269" i="37"/>
  <c r="CL268" i="37"/>
  <c r="CO268" i="37"/>
  <c r="CS161" i="36"/>
  <c r="AS158" i="36"/>
  <c r="CU106" i="32"/>
  <c r="DM131" i="33"/>
  <c r="DR131" i="33"/>
  <c r="BQ187" i="37"/>
  <c r="EN187" i="37" s="1"/>
  <c r="EJ187" i="37"/>
  <c r="DS121" i="32"/>
  <c r="DN172" i="32"/>
  <c r="DN94" i="32"/>
  <c r="DN171" i="32"/>
  <c r="DP163" i="32"/>
  <c r="DN105" i="32"/>
  <c r="DN161" i="32"/>
  <c r="DN125" i="32"/>
  <c r="CV177" i="36"/>
  <c r="CM174" i="36"/>
  <c r="CM176" i="36"/>
  <c r="CM177" i="36"/>
  <c r="EB107" i="37"/>
  <c r="ET107" i="37" s="1"/>
  <c r="EX107" i="37"/>
  <c r="DM41" i="33"/>
  <c r="DR41" i="33"/>
  <c r="CS122" i="36"/>
  <c r="AS119" i="36"/>
  <c r="DS181" i="35"/>
  <c r="EX43" i="37"/>
  <c r="EB43" i="37"/>
  <c r="ET43" i="37" s="1"/>
  <c r="CT175" i="36"/>
  <c r="DS261" i="36" s="1"/>
  <c r="DV261" i="36"/>
  <c r="CS87" i="36"/>
  <c r="CN95" i="36"/>
  <c r="BI92" i="36" s="1"/>
  <c r="AW151" i="35"/>
  <c r="BB151" i="35"/>
  <c r="CS148" i="35" s="1"/>
  <c r="BB150" i="35"/>
  <c r="CB153" i="35"/>
  <c r="CC153" i="35" s="1"/>
  <c r="CC152" i="35"/>
  <c r="DO148" i="32"/>
  <c r="CT121" i="32"/>
  <c r="CU121" i="32"/>
  <c r="CU118" i="32" s="1"/>
  <c r="CE121" i="32"/>
  <c r="CB62" i="36"/>
  <c r="CG60" i="36"/>
  <c r="EE64" i="37"/>
  <c r="FH64" i="37"/>
  <c r="ED64" i="37"/>
  <c r="FD64" i="37" s="1"/>
  <c r="AS101" i="36"/>
  <c r="BB123" i="37"/>
  <c r="EN121" i="37" s="1"/>
  <c r="EJ121" i="37"/>
  <c r="BF123" i="37"/>
  <c r="ED120" i="37"/>
  <c r="FD120" i="37" s="1"/>
  <c r="EE120" i="37"/>
  <c r="FH120" i="37"/>
  <c r="CS61" i="33"/>
  <c r="CR61" i="33" s="1"/>
  <c r="G61" i="33" s="1"/>
  <c r="BA58" i="33"/>
  <c r="CY58" i="33" s="1"/>
  <c r="CI58" i="33"/>
  <c r="CL53" i="33"/>
  <c r="AN57" i="33"/>
  <c r="CU56" i="33" s="1"/>
  <c r="DI62" i="33" s="1"/>
  <c r="CO61" i="33"/>
  <c r="CQ61" i="33" s="1"/>
  <c r="AB59" i="33" s="1"/>
  <c r="EB59" i="33" s="1"/>
  <c r="CL61" i="33"/>
  <c r="EB136" i="37"/>
  <c r="ET136" i="37" s="1"/>
  <c r="EX136" i="37"/>
  <c r="BG111" i="37"/>
  <c r="BE111" i="37" s="1"/>
  <c r="DZ112" i="37"/>
  <c r="F250" i="37"/>
  <c r="BK111" i="37"/>
  <c r="DW112" i="37"/>
  <c r="DT108" i="37"/>
  <c r="DT112" i="37"/>
  <c r="DY110" i="37"/>
  <c r="DV108" i="37"/>
  <c r="DY108" i="37"/>
  <c r="DU108" i="37"/>
  <c r="DF108" i="37"/>
  <c r="DW110" i="37"/>
  <c r="DE108" i="37"/>
  <c r="DJ108" i="37"/>
  <c r="DZ110" i="37"/>
  <c r="DI108" i="37"/>
  <c r="DT110" i="37"/>
  <c r="DX108" i="37"/>
  <c r="DW108" i="37"/>
  <c r="DH108" i="37"/>
  <c r="DV110" i="37"/>
  <c r="DZ108" i="37"/>
  <c r="DF112" i="37"/>
  <c r="CA250" i="37"/>
  <c r="CA251" i="37"/>
  <c r="DJ111" i="37"/>
  <c r="AI114" i="37" s="1"/>
  <c r="EN110" i="37" s="1"/>
  <c r="DF111" i="37"/>
  <c r="T114" i="37" s="1"/>
  <c r="EN108" i="37" s="1"/>
  <c r="CB250" i="37"/>
  <c r="CB251" i="37"/>
  <c r="CD251" i="37"/>
  <c r="CD250" i="37"/>
  <c r="AS113" i="37"/>
  <c r="DH34" i="32"/>
  <c r="BC110" i="36"/>
  <c r="CS112" i="36" s="1"/>
  <c r="CM107" i="36"/>
  <c r="CL110" i="36"/>
  <c r="CL108" i="36"/>
  <c r="CL111" i="36"/>
  <c r="BP109" i="36"/>
  <c r="CV110" i="36"/>
  <c r="CL107" i="36"/>
  <c r="BS110" i="36"/>
  <c r="BG110" i="36"/>
  <c r="CV106" i="36" s="1"/>
  <c r="EX45" i="37"/>
  <c r="EB45" i="37"/>
  <c r="ET45" i="37" s="1"/>
  <c r="CU29" i="32"/>
  <c r="CO54" i="36"/>
  <c r="AY53" i="36" s="1"/>
  <c r="CS49" i="36" s="1"/>
  <c r="CO53" i="36"/>
  <c r="AS53" i="36" s="1"/>
  <c r="BM238" i="37"/>
  <c r="BM239" i="37" s="1"/>
  <c r="R239" i="37"/>
  <c r="AR239" i="37"/>
  <c r="BG238" i="37"/>
  <c r="BG239" i="37" s="1"/>
  <c r="AN238" i="37"/>
  <c r="BJ238" i="37"/>
  <c r="BJ239" i="37" s="1"/>
  <c r="CU239" i="37" s="1"/>
  <c r="AN239" i="37"/>
  <c r="BD238" i="37"/>
  <c r="BD239" i="37" s="1"/>
  <c r="CU238" i="37" s="1"/>
  <c r="AZ238" i="37"/>
  <c r="BX103" i="35"/>
  <c r="CV78" i="33"/>
  <c r="CU78" i="33"/>
  <c r="CW78" i="33"/>
  <c r="CX78" i="33"/>
  <c r="CT78" i="33"/>
  <c r="CS70" i="33"/>
  <c r="DN111" i="32"/>
  <c r="DN56" i="32"/>
  <c r="DN146" i="32"/>
  <c r="DN179" i="32"/>
  <c r="DN123" i="32"/>
  <c r="DN96" i="32"/>
  <c r="DN131" i="32"/>
  <c r="DN127" i="32"/>
  <c r="BM47" i="37"/>
  <c r="DB41" i="37" s="1"/>
  <c r="DS141" i="35"/>
  <c r="CR140" i="35"/>
  <c r="DP141" i="35" s="1"/>
  <c r="CS146" i="35"/>
  <c r="BQ67" i="37"/>
  <c r="EN67" i="37" s="1"/>
  <c r="EJ67" i="37"/>
  <c r="EX54" i="37"/>
  <c r="EB54" i="37"/>
  <c r="ET54" i="37" s="1"/>
  <c r="BZ199" i="33"/>
  <c r="CK104" i="33"/>
  <c r="CL101" i="33"/>
  <c r="CP104" i="33"/>
  <c r="AB104" i="33" s="1"/>
  <c r="EB104" i="33" s="1"/>
  <c r="CM104" i="33"/>
  <c r="O104" i="33" s="1"/>
  <c r="DI103" i="33" s="1"/>
  <c r="CO105" i="33"/>
  <c r="CQ105" i="33" s="1"/>
  <c r="AB103" i="33" s="1"/>
  <c r="EB103" i="33" s="1"/>
  <c r="CT173" i="36"/>
  <c r="DS259" i="36" s="1"/>
  <c r="DV259" i="36"/>
  <c r="CC137" i="35"/>
  <c r="CA133" i="35" s="1"/>
  <c r="AR135" i="35"/>
  <c r="CG136" i="35" s="1"/>
  <c r="BG135" i="35"/>
  <c r="CS133" i="35" s="1"/>
  <c r="AI186" i="37"/>
  <c r="EN182" i="37" s="1"/>
  <c r="EJ182" i="37"/>
  <c r="CJ67" i="36"/>
  <c r="CD70" i="36"/>
  <c r="DV262" i="36"/>
  <c r="CT176" i="36"/>
  <c r="DS262" i="36" s="1"/>
  <c r="BX37" i="33"/>
  <c r="AN37" i="33"/>
  <c r="EX112" i="37"/>
  <c r="EB112" i="37"/>
  <c r="ET112" i="37" s="1"/>
  <c r="EJ48" i="37"/>
  <c r="BF50" i="37"/>
  <c r="EE49" i="37"/>
  <c r="FH49" i="37"/>
  <c r="ED49" i="37"/>
  <c r="FD49" i="37" s="1"/>
  <c r="BM91" i="36"/>
  <c r="CV91" i="36"/>
  <c r="DQ33" i="33"/>
  <c r="DN166" i="32"/>
  <c r="DA39" i="35"/>
  <c r="DA40" i="35" s="1"/>
  <c r="T122" i="37"/>
  <c r="EN116" i="37" s="1"/>
  <c r="CN253" i="37"/>
  <c r="EJ116" i="37"/>
  <c r="CN252" i="37"/>
  <c r="BZ253" i="37"/>
  <c r="CF253" i="37"/>
  <c r="CF252" i="37"/>
  <c r="BZ252" i="37"/>
  <c r="X122" i="37"/>
  <c r="DS145" i="35"/>
  <c r="DM91" i="33"/>
  <c r="DR91" i="33"/>
  <c r="CT109" i="36"/>
  <c r="DS163" i="36" s="1"/>
  <c r="DV163" i="36"/>
  <c r="EJ82" i="37"/>
  <c r="AI86" i="37"/>
  <c r="EN82" i="37" s="1"/>
  <c r="BZ113" i="32"/>
  <c r="S114" i="32" s="1"/>
  <c r="DF138" i="32" s="1"/>
  <c r="BZ114" i="32"/>
  <c r="CR142" i="35"/>
  <c r="DP143" i="35" s="1"/>
  <c r="CS143" i="35"/>
  <c r="DS143" i="35"/>
  <c r="CJ33" i="36"/>
  <c r="CJ32" i="36"/>
  <c r="DS81" i="35"/>
  <c r="BM111" i="37"/>
  <c r="CZ34" i="32"/>
  <c r="CY35" i="32"/>
  <c r="EX56" i="37"/>
  <c r="EB56" i="37"/>
  <c r="ET56" i="37" s="1"/>
  <c r="N239" i="37"/>
  <c r="N238" i="37"/>
  <c r="CC52" i="33"/>
  <c r="CE52" i="33"/>
  <c r="BY52" i="33"/>
  <c r="AN52" i="33"/>
  <c r="CU51" i="33" s="1"/>
  <c r="CG52" i="33"/>
  <c r="K104" i="37"/>
  <c r="X102" i="37"/>
  <c r="BI102" i="37"/>
  <c r="AJ87" i="35"/>
  <c r="T212" i="35" s="1"/>
  <c r="CB212" i="35" s="1"/>
  <c r="Y102" i="37"/>
  <c r="AA102" i="37"/>
  <c r="AD102" i="37"/>
  <c r="BQ102" i="37"/>
  <c r="W102" i="37"/>
  <c r="AB103" i="37"/>
  <c r="CT49" i="36"/>
  <c r="DS76" i="36" s="1"/>
  <c r="DV76" i="36"/>
  <c r="DV174" i="36"/>
  <c r="CT115" i="36"/>
  <c r="DS174" i="36" s="1"/>
  <c r="ED138" i="37"/>
  <c r="FD138" i="37" s="1"/>
  <c r="FH138" i="37"/>
  <c r="EE138" i="37"/>
  <c r="DS95" i="35"/>
  <c r="CS95" i="35"/>
  <c r="CR94" i="35"/>
  <c r="DP95" i="35" s="1"/>
  <c r="CJ143" i="36"/>
  <c r="CJ144" i="36"/>
  <c r="DO104" i="37"/>
  <c r="DF104" i="37" s="1"/>
  <c r="DO102" i="37"/>
  <c r="DR143" i="33"/>
  <c r="DM143" i="33"/>
  <c r="DN115" i="32"/>
  <c r="AW202" i="37"/>
  <c r="BO86" i="33"/>
  <c r="CI88" i="33"/>
  <c r="CY78" i="33"/>
  <c r="BO87" i="33"/>
  <c r="BO88" i="33"/>
  <c r="DV176" i="36"/>
  <c r="CT117" i="36"/>
  <c r="DS176" i="36" s="1"/>
  <c r="CQ47" i="36"/>
  <c r="DS61" i="36" s="1"/>
  <c r="DV61" i="36"/>
  <c r="CS20" i="36"/>
  <c r="AS17" i="36"/>
  <c r="AR30" i="35"/>
  <c r="CC32" i="35"/>
  <c r="CA28" i="35" s="1"/>
  <c r="BG30" i="35"/>
  <c r="CS28" i="35" s="1"/>
  <c r="CH36" i="35"/>
  <c r="CJ40" i="35"/>
  <c r="CJ39" i="35"/>
  <c r="BX113" i="33"/>
  <c r="CQ172" i="36"/>
  <c r="DS252" i="36" s="1"/>
  <c r="DV252" i="36"/>
  <c r="DN116" i="32"/>
  <c r="BQ205" i="37"/>
  <c r="EN205" i="37" s="1"/>
  <c r="EJ205" i="37"/>
  <c r="CL135" i="36"/>
  <c r="BS137" i="36"/>
  <c r="BP136" i="36"/>
  <c r="CM134" i="36"/>
  <c r="CL134" i="36"/>
  <c r="CV137" i="36"/>
  <c r="CL138" i="36"/>
  <c r="BC137" i="36"/>
  <c r="CS139" i="36" s="1"/>
  <c r="CL137" i="36"/>
  <c r="DV99" i="36"/>
  <c r="CQ73" i="36"/>
  <c r="DS102" i="36" s="1"/>
  <c r="CQ114" i="32"/>
  <c r="DM109" i="33"/>
  <c r="DR109" i="33"/>
  <c r="CM88" i="33"/>
  <c r="O88" i="33" s="1"/>
  <c r="DI87" i="33" s="1"/>
  <c r="DS76" i="35"/>
  <c r="CS81" i="35"/>
  <c r="CR81" i="35" s="1"/>
  <c r="CR75" i="35"/>
  <c r="DP76" i="35" s="1"/>
  <c r="CH128" i="36"/>
  <c r="EX71" i="37"/>
  <c r="EB71" i="37"/>
  <c r="ET71" i="37" s="1"/>
  <c r="DJ71" i="37"/>
  <c r="BK74" i="37"/>
  <c r="DE71" i="37"/>
  <c r="DF75" i="37"/>
  <c r="CA243" i="37"/>
  <c r="AR243" i="37" s="1"/>
  <c r="CA242" i="37"/>
  <c r="AR242" i="37" s="1"/>
  <c r="F242" i="37"/>
  <c r="BG74" i="37"/>
  <c r="BE74" i="37" s="1"/>
  <c r="DH71" i="37"/>
  <c r="DF71" i="37"/>
  <c r="DI71" i="37"/>
  <c r="DY73" i="37"/>
  <c r="DZ75" i="37"/>
  <c r="DX71" i="37"/>
  <c r="DZ73" i="37"/>
  <c r="DW73" i="37" s="1"/>
  <c r="DZ71" i="37"/>
  <c r="DW71" i="37" s="1"/>
  <c r="DY71" i="37"/>
  <c r="DV71" i="37" s="1"/>
  <c r="DT71" i="37"/>
  <c r="DU71" i="37"/>
  <c r="DW75" i="37"/>
  <c r="DT75" i="37"/>
  <c r="DT73" i="37"/>
  <c r="DV73" i="37"/>
  <c r="DF74" i="37"/>
  <c r="T77" i="37" s="1"/>
  <c r="EN71" i="37" s="1"/>
  <c r="DJ74" i="37"/>
  <c r="AI77" i="37" s="1"/>
  <c r="EN73" i="37" s="1"/>
  <c r="CB243" i="37"/>
  <c r="AV243" i="37" s="1"/>
  <c r="CD243" i="37"/>
  <c r="AZ243" i="37" s="1"/>
  <c r="CB242" i="37"/>
  <c r="AV242" i="37" s="1"/>
  <c r="CD242" i="37"/>
  <c r="AZ242" i="37" s="1"/>
  <c r="BA175" i="37"/>
  <c r="DV287" i="36"/>
  <c r="CT191" i="36"/>
  <c r="DS287" i="36" s="1"/>
  <c r="AI195" i="37"/>
  <c r="EN191" i="37" s="1"/>
  <c r="EJ191" i="37"/>
  <c r="CB196" i="33"/>
  <c r="CL73" i="33"/>
  <c r="CN74" i="33" s="1"/>
  <c r="CJ50" i="36"/>
  <c r="CJ51" i="36"/>
  <c r="CT72" i="32"/>
  <c r="CM114" i="33"/>
  <c r="T113" i="33" s="1"/>
  <c r="DW113" i="33" s="1"/>
  <c r="DD112" i="33"/>
  <c r="CL114" i="33"/>
  <c r="O113" i="33"/>
  <c r="DI112" i="33" s="1"/>
  <c r="CU134" i="33"/>
  <c r="CT61" i="36"/>
  <c r="DS93" i="36" s="1"/>
  <c r="DV93" i="36"/>
  <c r="CJ59" i="36"/>
  <c r="CJ60" i="36"/>
  <c r="DV159" i="36"/>
  <c r="CQ113" i="36"/>
  <c r="DS159" i="36" s="1"/>
  <c r="DJ130" i="37"/>
  <c r="DJ131" i="37"/>
  <c r="DJ149" i="37"/>
  <c r="BZ101" i="32"/>
  <c r="S102" i="32" s="1"/>
  <c r="DK122" i="32" s="1"/>
  <c r="BZ102" i="32"/>
  <c r="DM57" i="33"/>
  <c r="DR57" i="33"/>
  <c r="DM110" i="33"/>
  <c r="DR110" i="33"/>
  <c r="DS152" i="35"/>
  <c r="CR151" i="35"/>
  <c r="DP152" i="35" s="1"/>
  <c r="CL143" i="35"/>
  <c r="CL144" i="35"/>
  <c r="CO49" i="32"/>
  <c r="DO58" i="32"/>
  <c r="CP49" i="32"/>
  <c r="BZ50" i="32"/>
  <c r="CS195" i="36"/>
  <c r="CQ193" i="36"/>
  <c r="DS282" i="36" s="1"/>
  <c r="DV282" i="36"/>
  <c r="CN134" i="33"/>
  <c r="BF204" i="37"/>
  <c r="CO270" i="37"/>
  <c r="BB204" i="37"/>
  <c r="EN202" i="37" s="1"/>
  <c r="CO271" i="37"/>
  <c r="EJ202" i="37"/>
  <c r="CL270" i="37"/>
  <c r="CL271" i="37"/>
  <c r="CA255" i="37"/>
  <c r="AR255" i="37" s="1"/>
  <c r="EX167" i="37"/>
  <c r="EB167" i="37"/>
  <c r="ET167" i="37" s="1"/>
  <c r="EB90" i="37"/>
  <c r="ET90" i="37" s="1"/>
  <c r="EB91" i="37"/>
  <c r="ET91" i="37" s="1"/>
  <c r="CN46" i="36"/>
  <c r="CN44" i="36"/>
  <c r="AS44" i="36" s="1"/>
  <c r="CN45" i="36"/>
  <c r="AU44" i="36" s="1"/>
  <c r="BP44" i="36"/>
  <c r="BG44" i="36" s="1"/>
  <c r="CV40" i="36" s="1"/>
  <c r="CH28" i="35"/>
  <c r="CS32" i="35"/>
  <c r="CJ28" i="35"/>
  <c r="CJ31" i="35"/>
  <c r="CH31" i="35"/>
  <c r="CJ32" i="35"/>
  <c r="AR38" i="35"/>
  <c r="CG39" i="35" s="1"/>
  <c r="CC40" i="35"/>
  <c r="CA36" i="35" s="1"/>
  <c r="DV284" i="36"/>
  <c r="CQ196" i="36"/>
  <c r="DS284" i="36" s="1"/>
  <c r="CM195" i="36"/>
  <c r="CM194" i="36"/>
  <c r="CV195" i="36"/>
  <c r="CM192" i="36"/>
  <c r="DS93" i="35"/>
  <c r="CS98" i="35"/>
  <c r="CP97" i="32"/>
  <c r="CO97" i="32"/>
  <c r="DO116" i="32"/>
  <c r="DV202" i="36"/>
  <c r="CT133" i="36"/>
  <c r="DS202" i="36" s="1"/>
  <c r="CL54" i="36"/>
  <c r="BP52" i="36"/>
  <c r="CV53" i="36"/>
  <c r="CL53" i="36"/>
  <c r="CL51" i="36"/>
  <c r="BC53" i="36"/>
  <c r="CS55" i="36" s="1"/>
  <c r="CM50" i="36"/>
  <c r="CL50" i="36"/>
  <c r="BS53" i="36"/>
  <c r="CJ117" i="36"/>
  <c r="CJ116" i="36"/>
  <c r="BM157" i="36"/>
  <c r="CV157" i="36"/>
  <c r="CB197" i="33"/>
  <c r="CL85" i="33"/>
  <c r="X76" i="37"/>
  <c r="EJ70" i="37"/>
  <c r="CN243" i="37"/>
  <c r="BZ243" i="37"/>
  <c r="CF242" i="37"/>
  <c r="BZ242" i="37"/>
  <c r="CF243" i="37"/>
  <c r="CN242" i="37"/>
  <c r="T76" i="37"/>
  <c r="EN70" i="37" s="1"/>
  <c r="EJ175" i="37"/>
  <c r="CO264" i="37"/>
  <c r="BB177" i="37"/>
  <c r="EN175" i="37" s="1"/>
  <c r="CL264" i="37"/>
  <c r="CO265" i="37"/>
  <c r="BF177" i="37"/>
  <c r="EB177" i="37"/>
  <c r="ET177" i="37" s="1"/>
  <c r="EX177" i="37"/>
  <c r="DA172" i="37"/>
  <c r="CG53" i="36"/>
  <c r="CH53" i="36"/>
  <c r="CM146" i="33"/>
  <c r="T145" i="33" s="1"/>
  <c r="DW145" i="33" s="1"/>
  <c r="CL146" i="33"/>
  <c r="DD144" i="33"/>
  <c r="O145" i="33"/>
  <c r="DI144" i="33" s="1"/>
  <c r="DF67" i="37"/>
  <c r="BB68" i="37" s="1"/>
  <c r="EN66" i="37" s="1"/>
  <c r="CJ112" i="35"/>
  <c r="CJ113" i="35"/>
  <c r="CH112" i="35"/>
  <c r="CS113" i="35"/>
  <c r="CH109" i="35"/>
  <c r="CJ109" i="35"/>
  <c r="CT144" i="36"/>
  <c r="DS218" i="36" s="1"/>
  <c r="DV218" i="36"/>
  <c r="CT193" i="36"/>
  <c r="DS289" i="36" s="1"/>
  <c r="DV289" i="36"/>
  <c r="CS136" i="36"/>
  <c r="CO140" i="36"/>
  <c r="BK137" i="36" s="1"/>
  <c r="CV135" i="36" s="1"/>
  <c r="CN104" i="32"/>
  <c r="AM104" i="32" s="1"/>
  <c r="DF129" i="32" s="1"/>
  <c r="DO126" i="32"/>
  <c r="CR101" i="32"/>
  <c r="CS101" i="32"/>
  <c r="CQ184" i="36"/>
  <c r="DS268" i="36" s="1"/>
  <c r="CS186" i="36"/>
  <c r="DV268" i="36"/>
  <c r="DS165" i="35"/>
  <c r="BX53" i="33"/>
  <c r="AN53" i="33"/>
  <c r="CY48" i="33" s="1"/>
  <c r="CS73" i="35"/>
  <c r="DS68" i="35"/>
  <c r="CR67" i="35"/>
  <c r="DP68" i="35" s="1"/>
  <c r="AW193" i="37"/>
  <c r="EX109" i="37"/>
  <c r="EB109" i="37"/>
  <c r="ET109" i="37" s="1"/>
  <c r="CQ31" i="32"/>
  <c r="BA42" i="33"/>
  <c r="CY42" i="33" s="1"/>
  <c r="CI42" i="33"/>
  <c r="CS45" i="33"/>
  <c r="CR45" i="33" s="1"/>
  <c r="G45" i="33" s="1"/>
  <c r="CO45" i="33"/>
  <c r="AN41" i="33"/>
  <c r="CU40" i="33" s="1"/>
  <c r="DI46" i="33" s="1"/>
  <c r="CL37" i="33"/>
  <c r="DC118" i="37"/>
  <c r="DO122" i="37" s="1"/>
  <c r="DF122" i="37" s="1"/>
  <c r="CJ125" i="36"/>
  <c r="CJ126" i="36"/>
  <c r="EB57" i="37"/>
  <c r="ET57" i="37" s="1"/>
  <c r="EX57" i="37"/>
  <c r="DS176" i="35"/>
  <c r="CS181" i="35"/>
  <c r="CR175" i="35"/>
  <c r="DP176" i="35" s="1"/>
  <c r="CR170" i="35"/>
  <c r="DP171" i="35" s="1"/>
  <c r="DS171" i="35"/>
  <c r="EJ127" i="37"/>
  <c r="EJ131" i="37"/>
  <c r="CO38" i="32"/>
  <c r="CP38" i="32"/>
  <c r="DO43" i="32"/>
  <c r="CJ106" i="36"/>
  <c r="CD109" i="36"/>
  <c r="CO252" i="37"/>
  <c r="BX89" i="33"/>
  <c r="AN89" i="33"/>
  <c r="EJ145" i="37"/>
  <c r="AI149" i="37"/>
  <c r="EN145" i="37" s="1"/>
  <c r="DS106" i="35"/>
  <c r="DS122" i="35"/>
  <c r="CH126" i="36"/>
  <c r="CQ131" i="36"/>
  <c r="DS187" i="36" s="1"/>
  <c r="DV187" i="36"/>
  <c r="DS173" i="35"/>
  <c r="CQ39" i="32"/>
  <c r="DR125" i="33"/>
  <c r="DM125" i="33"/>
  <c r="EE140" i="37"/>
  <c r="FH140" i="37"/>
  <c r="ED140" i="37"/>
  <c r="FD140" i="37" s="1"/>
  <c r="CT89" i="32"/>
  <c r="DN58" i="32"/>
  <c r="DM94" i="33"/>
  <c r="DR94" i="33"/>
  <c r="DS154" i="35"/>
  <c r="CB129" i="35"/>
  <c r="BB127" i="35"/>
  <c r="CS124" i="35" s="1"/>
  <c r="AW127" i="35"/>
  <c r="CC128" i="35"/>
  <c r="BB126" i="35"/>
  <c r="CS103" i="35"/>
  <c r="DS103" i="35"/>
  <c r="CR102" i="35"/>
  <c r="DP103" i="35" s="1"/>
  <c r="EB162" i="37"/>
  <c r="ET162" i="37" s="1"/>
  <c r="EX162" i="37"/>
  <c r="CQ126" i="32"/>
  <c r="CV124" i="32" s="1"/>
  <c r="S97" i="32"/>
  <c r="DF116" i="32" s="1"/>
  <c r="CS93" i="36"/>
  <c r="CQ91" i="36"/>
  <c r="DS128" i="36" s="1"/>
  <c r="DV128" i="36"/>
  <c r="CG42" i="36"/>
  <c r="CB44" i="36"/>
  <c r="CH50" i="36"/>
  <c r="CQ56" i="36"/>
  <c r="DS75" i="36" s="1"/>
  <c r="DV75" i="36"/>
  <c r="CH54" i="36"/>
  <c r="CH51" i="36"/>
  <c r="CR35" i="35"/>
  <c r="DP36" i="35" s="1"/>
  <c r="DS36" i="35"/>
  <c r="CS41" i="35"/>
  <c r="DR35" i="33"/>
  <c r="DM35" i="33"/>
  <c r="DQ35" i="33" s="1"/>
  <c r="CI168" i="36"/>
  <c r="CJ81" i="36"/>
  <c r="CJ80" i="36"/>
  <c r="CG177" i="35"/>
  <c r="CL176" i="35"/>
  <c r="CL177" i="35"/>
  <c r="CG92" i="36"/>
  <c r="CH92" i="36"/>
  <c r="CH89" i="36"/>
  <c r="CJ79" i="35"/>
  <c r="CH125" i="36"/>
  <c r="BJ242" i="37"/>
  <c r="BJ243" i="37" s="1"/>
  <c r="CU243" i="37" s="1"/>
  <c r="BG242" i="37"/>
  <c r="BG243" i="37" s="1"/>
  <c r="AN243" i="37"/>
  <c r="BD242" i="37"/>
  <c r="BD243" i="37" s="1"/>
  <c r="CU242" i="37" s="1"/>
  <c r="BM242" i="37"/>
  <c r="BM243" i="37" s="1"/>
  <c r="R243" i="37"/>
  <c r="AN242" i="37"/>
  <c r="DJ159" i="37"/>
  <c r="DJ158" i="37"/>
  <c r="DB152" i="37"/>
  <c r="AB158" i="37" s="1"/>
  <c r="AW175" i="37"/>
  <c r="DM115" i="33"/>
  <c r="DR115" i="33"/>
  <c r="CQ69" i="32"/>
  <c r="DS57" i="35"/>
  <c r="CQ62" i="32"/>
  <c r="CQ145" i="36"/>
  <c r="DS212" i="36" s="1"/>
  <c r="DV212" i="36"/>
  <c r="CS147" i="36"/>
  <c r="CR163" i="35"/>
  <c r="DG164" i="35" s="1"/>
  <c r="DJ164" i="35"/>
  <c r="AB135" i="33"/>
  <c r="EB135" i="33" s="1"/>
  <c r="CP104" i="32"/>
  <c r="CO104" i="32"/>
  <c r="DO125" i="32"/>
  <c r="BZ103" i="32"/>
  <c r="DS119" i="35"/>
  <c r="CR118" i="35"/>
  <c r="DP119" i="35" s="1"/>
  <c r="CS119" i="35"/>
  <c r="AZ262" i="37"/>
  <c r="BL127" i="35"/>
  <c r="CS126" i="35" s="1"/>
  <c r="BL126" i="35"/>
  <c r="CB130" i="35"/>
  <c r="CC130" i="35" s="1"/>
  <c r="AV238" i="37"/>
  <c r="EE95" i="37"/>
  <c r="DV286" i="36"/>
  <c r="CT190" i="36"/>
  <c r="DS286" i="36" s="1"/>
  <c r="CC97" i="35"/>
  <c r="CA93" i="35" s="1"/>
  <c r="DV276" i="36"/>
  <c r="CT185" i="36"/>
  <c r="DS276" i="36" s="1"/>
  <c r="CI165" i="36"/>
  <c r="CG101" i="36"/>
  <c r="CH98" i="36"/>
  <c r="CH101" i="36"/>
  <c r="CT136" i="36"/>
  <c r="DS205" i="36" s="1"/>
  <c r="DV205" i="36"/>
  <c r="CS62" i="35"/>
  <c r="DS62" i="35"/>
  <c r="CR61" i="35"/>
  <c r="DP62" i="35" s="1"/>
  <c r="DR178" i="33"/>
  <c r="DM178" i="33"/>
  <c r="H160" i="36"/>
  <c r="DA154" i="36" s="1"/>
  <c r="BZ160" i="36"/>
  <c r="EJ200" i="37"/>
  <c r="AI204" i="37"/>
  <c r="EN200" i="37" s="1"/>
  <c r="BM74" i="37"/>
  <c r="EE76" i="37"/>
  <c r="FH76" i="37"/>
  <c r="ED76" i="37"/>
  <c r="FD76" i="37" s="1"/>
  <c r="DV120" i="36"/>
  <c r="CT81" i="36"/>
  <c r="DS120" i="36" s="1"/>
  <c r="S38" i="32"/>
  <c r="DF43" i="32" s="1"/>
  <c r="DO77" i="32"/>
  <c r="CS60" i="32"/>
  <c r="CR60" i="32"/>
  <c r="CN63" i="32"/>
  <c r="AM63" i="32" s="1"/>
  <c r="DF80" i="32" s="1"/>
  <c r="BB119" i="35"/>
  <c r="CS116" i="35" s="1"/>
  <c r="CC120" i="35"/>
  <c r="BB118" i="35"/>
  <c r="CB121" i="35"/>
  <c r="AW119" i="35"/>
  <c r="DV44" i="36"/>
  <c r="CS36" i="36"/>
  <c r="CQ34" i="36"/>
  <c r="DS44" i="36" s="1"/>
  <c r="DR147" i="33"/>
  <c r="DM147" i="33"/>
  <c r="CS192" i="36"/>
  <c r="CG191" i="36" s="1"/>
  <c r="CN192" i="36" s="1"/>
  <c r="DV279" i="36"/>
  <c r="CQ189" i="36"/>
  <c r="DS279" i="36" s="1"/>
  <c r="DS114" i="35"/>
  <c r="BX127" i="35"/>
  <c r="BX70" i="35"/>
  <c r="CH71" i="35" s="1"/>
  <c r="BB45" i="35"/>
  <c r="AW46" i="35"/>
  <c r="CB48" i="35"/>
  <c r="CC47" i="35"/>
  <c r="BB46" i="35"/>
  <c r="CS43" i="35" s="1"/>
  <c r="CQ178" i="36"/>
  <c r="DS256" i="36" s="1"/>
  <c r="DV256" i="36"/>
  <c r="EX108" i="37"/>
  <c r="EB108" i="37"/>
  <c r="ET108" i="37" s="1"/>
  <c r="AN236" i="37"/>
  <c r="AN237" i="37"/>
  <c r="BG236" i="37"/>
  <c r="BG237" i="37" s="1"/>
  <c r="R237" i="37"/>
  <c r="BJ236" i="37"/>
  <c r="BJ237" i="37" s="1"/>
  <c r="CU237" i="37" s="1"/>
  <c r="BM236" i="37"/>
  <c r="BM237" i="37" s="1"/>
  <c r="BD236" i="37"/>
  <c r="BD237" i="37" s="1"/>
  <c r="CU236" i="37" s="1"/>
  <c r="EB44" i="37"/>
  <c r="ET44" i="37" s="1"/>
  <c r="EX44" i="37"/>
  <c r="CQ171" i="36"/>
  <c r="DS251" i="36" s="1"/>
  <c r="CS174" i="36"/>
  <c r="CG173" i="36" s="1"/>
  <c r="CN174" i="36" s="1"/>
  <c r="DV251" i="36"/>
  <c r="DV246" i="36"/>
  <c r="CT165" i="36"/>
  <c r="DS246" i="36" s="1"/>
  <c r="DF156" i="37"/>
  <c r="DB50" i="37"/>
  <c r="ED57" i="37"/>
  <c r="FD57" i="37" s="1"/>
  <c r="BZ239" i="37"/>
  <c r="CF238" i="37"/>
  <c r="CF239" i="37"/>
  <c r="CN239" i="37"/>
  <c r="EJ52" i="37"/>
  <c r="CN238" i="37"/>
  <c r="X58" i="37"/>
  <c r="BZ238" i="37"/>
  <c r="T58" i="37"/>
  <c r="EN52" i="37" s="1"/>
  <c r="CA176" i="35"/>
  <c r="BA184" i="37"/>
  <c r="AS184" i="37"/>
  <c r="DM68" i="33"/>
  <c r="CP81" i="32"/>
  <c r="DO101" i="32"/>
  <c r="CO81" i="32"/>
  <c r="EB117" i="37"/>
  <c r="ET117" i="37" s="1"/>
  <c r="EX117" i="37"/>
  <c r="EB116" i="37"/>
  <c r="ET116" i="37" s="1"/>
  <c r="EX116" i="37"/>
  <c r="BX137" i="33"/>
  <c r="AN137" i="33"/>
  <c r="CY132" i="33" s="1"/>
  <c r="CS138" i="35"/>
  <c r="DS133" i="35"/>
  <c r="CR132" i="35"/>
  <c r="DP133" i="35" s="1"/>
  <c r="CS178" i="35"/>
  <c r="CR177" i="35"/>
  <c r="DP178" i="35" s="1"/>
  <c r="DS178" i="35"/>
  <c r="CS179" i="35"/>
  <c r="DM49" i="33"/>
  <c r="DR49" i="33"/>
  <c r="BB141" i="37"/>
  <c r="EN139" i="37" s="1"/>
  <c r="EJ139" i="37"/>
  <c r="BF141" i="37"/>
  <c r="EX138" i="37"/>
  <c r="EB138" i="37"/>
  <c r="ET138" i="37" s="1"/>
  <c r="N256" i="37"/>
  <c r="R256" i="37" s="1"/>
  <c r="N257" i="37"/>
  <c r="CS113" i="32"/>
  <c r="CU112" i="32" s="1"/>
  <c r="DO142" i="32"/>
  <c r="CR113" i="32"/>
  <c r="CN116" i="32"/>
  <c r="AM116" i="32" s="1"/>
  <c r="DF145" i="32" s="1"/>
  <c r="CT31" i="36"/>
  <c r="DS48" i="36" s="1"/>
  <c r="DV48" i="36"/>
  <c r="CS66" i="36"/>
  <c r="CN74" i="36"/>
  <c r="BI71" i="36" s="1"/>
  <c r="EJ195" i="37"/>
  <c r="BQ195" i="37"/>
  <c r="EN195" i="37" s="1"/>
  <c r="CK143" i="35"/>
  <c r="CK144" i="35"/>
  <c r="CT118" i="36"/>
  <c r="DS177" i="36" s="1"/>
  <c r="DV177" i="36"/>
  <c r="BY121" i="33"/>
  <c r="AN121" i="33"/>
  <c r="CG183" i="36"/>
  <c r="CG185" i="36"/>
  <c r="CO183" i="36" s="1"/>
  <c r="DM101" i="33"/>
  <c r="DR101" i="33"/>
  <c r="DV72" i="36"/>
  <c r="CS54" i="36"/>
  <c r="CQ52" i="36"/>
  <c r="DS72" i="36" s="1"/>
  <c r="AB212" i="35"/>
  <c r="CB110" i="32"/>
  <c r="AM109" i="32" s="1"/>
  <c r="DF133" i="32" s="1"/>
  <c r="BZ110" i="32"/>
  <c r="AM108" i="32" s="1"/>
  <c r="DF131" i="32" s="1"/>
  <c r="CF110" i="32"/>
  <c r="CS30" i="35"/>
  <c r="DS30" i="35"/>
  <c r="CR29" i="35"/>
  <c r="DP30" i="35" s="1"/>
  <c r="CL265" i="37"/>
  <c r="BB178" i="37"/>
  <c r="EN176" i="37" s="1"/>
  <c r="EJ176" i="37"/>
  <c r="BF178" i="37"/>
  <c r="FH166" i="37"/>
  <c r="ED166" i="37"/>
  <c r="FD166" i="37" s="1"/>
  <c r="EB89" i="37"/>
  <c r="ET89" i="37" s="1"/>
  <c r="CT166" i="36"/>
  <c r="DS247" i="36" s="1"/>
  <c r="DV247" i="36"/>
  <c r="DR150" i="33"/>
  <c r="DM150" i="33"/>
  <c r="CU71" i="32"/>
  <c r="CH134" i="36"/>
  <c r="DV65" i="36"/>
  <c r="CT43" i="36"/>
  <c r="DS65" i="36" s="1"/>
  <c r="DV270" i="36"/>
  <c r="CQ187" i="36"/>
  <c r="DS270" i="36" s="1"/>
  <c r="CJ98" i="36"/>
  <c r="CJ99" i="36"/>
  <c r="CU65" i="32"/>
  <c r="AW22" i="35"/>
  <c r="CB24" i="35"/>
  <c r="BB22" i="35"/>
  <c r="CS19" i="35" s="1"/>
  <c r="BB21" i="35"/>
  <c r="AI177" i="37"/>
  <c r="EN173" i="37" s="1"/>
  <c r="EJ173" i="37"/>
  <c r="CL156" i="36"/>
  <c r="CL158" i="36"/>
  <c r="CV158" i="36"/>
  <c r="CM155" i="36"/>
  <c r="BS158" i="36"/>
  <c r="BP157" i="36"/>
  <c r="CL159" i="36"/>
  <c r="CL155" i="36"/>
  <c r="BC158" i="36"/>
  <c r="CS160" i="36" s="1"/>
  <c r="AS35" i="36"/>
  <c r="CQ175" i="36"/>
  <c r="DS254" i="36" s="1"/>
  <c r="CS177" i="36"/>
  <c r="DV254" i="36"/>
  <c r="AS76" i="37"/>
  <c r="N242" i="37"/>
  <c r="EB74" i="37"/>
  <c r="ET74" i="37" s="1"/>
  <c r="EX74" i="37"/>
  <c r="N243" i="37"/>
  <c r="CW264" i="37"/>
  <c r="DV114" i="36"/>
  <c r="CS84" i="36"/>
  <c r="CQ68" i="32"/>
  <c r="BX78" i="35"/>
  <c r="CP63" i="32"/>
  <c r="CO63" i="32"/>
  <c r="DO76" i="32"/>
  <c r="CQ80" i="32"/>
  <c r="DV50" i="36"/>
  <c r="CS138" i="33"/>
  <c r="CH108" i="36"/>
  <c r="CR162" i="35"/>
  <c r="DP163" i="35" s="1"/>
  <c r="DS163" i="35"/>
  <c r="CL138" i="33"/>
  <c r="DD136" i="33"/>
  <c r="CM138" i="33"/>
  <c r="T137" i="33" s="1"/>
  <c r="DW137" i="33" s="1"/>
  <c r="O137" i="33"/>
  <c r="DI136" i="33" s="1"/>
  <c r="CC72" i="35"/>
  <c r="CA68" i="35" s="1"/>
  <c r="AR70" i="35"/>
  <c r="CG70" i="35" s="1"/>
  <c r="BG70" i="35"/>
  <c r="CS68" i="35" s="1"/>
  <c r="BZ195" i="33"/>
  <c r="CP68" i="33"/>
  <c r="AB68" i="33" s="1"/>
  <c r="EB68" i="33" s="1"/>
  <c r="CK68" i="33"/>
  <c r="CM68" i="33"/>
  <c r="O68" i="33" s="1"/>
  <c r="DI67" i="33" s="1"/>
  <c r="CL65" i="33"/>
  <c r="CO69" i="33"/>
  <c r="CQ69" i="33" s="1"/>
  <c r="AB67" i="33" s="1"/>
  <c r="EB67" i="33" s="1"/>
  <c r="CH35" i="36"/>
  <c r="CH32" i="36"/>
  <c r="CG35" i="36"/>
  <c r="CG38" i="36"/>
  <c r="CQ110" i="32"/>
  <c r="AS193" i="37"/>
  <c r="BA193" i="37"/>
  <c r="EJ43" i="37"/>
  <c r="BZ237" i="37"/>
  <c r="BZ236" i="37"/>
  <c r="CN236" i="37"/>
  <c r="CN237" i="37"/>
  <c r="CF236" i="37"/>
  <c r="CF237" i="37"/>
  <c r="X49" i="37"/>
  <c r="T49" i="37"/>
  <c r="EN43" i="37" s="1"/>
  <c r="EB47" i="37"/>
  <c r="ET47" i="37" s="1"/>
  <c r="EX47" i="37"/>
  <c r="N236" i="37"/>
  <c r="N237" i="37"/>
  <c r="BB186" i="37"/>
  <c r="EN184" i="37" s="1"/>
  <c r="CL267" i="37"/>
  <c r="CL266" i="37"/>
  <c r="EJ184" i="37"/>
  <c r="CO266" i="37"/>
  <c r="CO267" i="37"/>
  <c r="BF186" i="37"/>
  <c r="DV191" i="36"/>
  <c r="CT127" i="36"/>
  <c r="DS191" i="36" s="1"/>
  <c r="CQ166" i="36"/>
  <c r="DS240" i="36" s="1"/>
  <c r="DV240" i="36"/>
  <c r="CS168" i="36"/>
  <c r="EX52" i="37"/>
  <c r="EB52" i="37"/>
  <c r="ET52" i="37" s="1"/>
  <c r="DN148" i="32"/>
  <c r="CS78" i="32"/>
  <c r="CR78" i="32"/>
  <c r="DO102" i="32"/>
  <c r="CN81" i="32"/>
  <c r="AM81" i="32" s="1"/>
  <c r="DF105" i="32" s="1"/>
  <c r="DV47" i="36"/>
  <c r="CQ38" i="36"/>
  <c r="DS47" i="36" s="1"/>
  <c r="CH33" i="36"/>
  <c r="CH36" i="36"/>
  <c r="DQ34" i="33"/>
  <c r="N253" i="37"/>
  <c r="EB120" i="37"/>
  <c r="ET120" i="37" s="1"/>
  <c r="EX120" i="37"/>
  <c r="N252" i="37"/>
  <c r="R252" i="37" s="1"/>
  <c r="AV252" i="37" s="1"/>
  <c r="CX144" i="35"/>
  <c r="CX145" i="35"/>
  <c r="DP146" i="35"/>
  <c r="DA144" i="35"/>
  <c r="DA145" i="35"/>
  <c r="DS138" i="35"/>
  <c r="CQ65" i="36"/>
  <c r="DS89" i="36" s="1"/>
  <c r="DV89" i="36"/>
  <c r="CH133" i="35"/>
  <c r="CJ136" i="35"/>
  <c r="CJ133" i="35"/>
  <c r="CJ137" i="35"/>
  <c r="CS137" i="35"/>
  <c r="CH136" i="35"/>
  <c r="CQ98" i="32"/>
  <c r="CL257" i="37"/>
  <c r="BF140" i="37"/>
  <c r="DW139" i="37"/>
  <c r="DH135" i="37"/>
  <c r="F256" i="37"/>
  <c r="BK138" i="37"/>
  <c r="DT137" i="37"/>
  <c r="DY137" i="37"/>
  <c r="DW135" i="37"/>
  <c r="CA257" i="37"/>
  <c r="DZ139" i="37"/>
  <c r="DW137" i="37"/>
  <c r="DX135" i="37"/>
  <c r="DZ137" i="37"/>
  <c r="DJ135" i="37"/>
  <c r="CA256" i="37"/>
  <c r="DF139" i="37"/>
  <c r="BB140" i="37" s="1"/>
  <c r="EN138" i="37" s="1"/>
  <c r="DF135" i="37"/>
  <c r="DV137" i="37"/>
  <c r="DV135" i="37"/>
  <c r="DY135" i="37"/>
  <c r="DT135" i="37"/>
  <c r="BG138" i="37"/>
  <c r="BE138" i="37" s="1"/>
  <c r="DT139" i="37"/>
  <c r="DI135" i="37"/>
  <c r="DZ135" i="37"/>
  <c r="DE135" i="37"/>
  <c r="DU135" i="37"/>
  <c r="DF138" i="37"/>
  <c r="T141" i="37" s="1"/>
  <c r="EN135" i="37" s="1"/>
  <c r="DJ138" i="37"/>
  <c r="AI141" i="37" s="1"/>
  <c r="EN137" i="37" s="1"/>
  <c r="CD256" i="37"/>
  <c r="CD257" i="37"/>
  <c r="CB257" i="37"/>
  <c r="CB256" i="37"/>
  <c r="BZ204" i="33"/>
  <c r="CL141" i="33"/>
  <c r="CM144" i="33"/>
  <c r="O144" i="33" s="1"/>
  <c r="DI143" i="33" s="1"/>
  <c r="CK144" i="33"/>
  <c r="CP144" i="33"/>
  <c r="AB144" i="33" s="1"/>
  <c r="EB144" i="33" s="1"/>
  <c r="CO145" i="33"/>
  <c r="CQ145" i="33" s="1"/>
  <c r="AB143" i="33" s="1"/>
  <c r="EB143" i="33" s="1"/>
  <c r="DD104" i="33"/>
  <c r="CL106" i="33"/>
  <c r="CM106" i="33"/>
  <c r="T105" i="33" s="1"/>
  <c r="DW105" i="33" s="1"/>
  <c r="O105" i="33"/>
  <c r="DI104" i="33" s="1"/>
  <c r="CQ154" i="36"/>
  <c r="DS224" i="36" s="1"/>
  <c r="DV224" i="36"/>
  <c r="DS130" i="35"/>
  <c r="BO68" i="33"/>
  <c r="CY62" i="33"/>
  <c r="BO67" i="33"/>
  <c r="BO66" i="33"/>
  <c r="CI68" i="33"/>
  <c r="CY70" i="33"/>
  <c r="DN59" i="32"/>
  <c r="CT35" i="36"/>
  <c r="DS52" i="36" s="1"/>
  <c r="DV52" i="36"/>
  <c r="CT184" i="36"/>
  <c r="DS275" i="36" s="1"/>
  <c r="DV275" i="36"/>
  <c r="CL45" i="33"/>
  <c r="CH63" i="36"/>
  <c r="DS89" i="35"/>
  <c r="AR238" i="37"/>
  <c r="BM93" i="37"/>
  <c r="DB87" i="37" s="1"/>
  <c r="DZ92" i="37"/>
  <c r="DT92" i="37"/>
  <c r="DV92" i="37"/>
  <c r="DW94" i="37"/>
  <c r="DU90" i="37"/>
  <c r="F246" i="37"/>
  <c r="DT94" i="37"/>
  <c r="DJ90" i="37"/>
  <c r="DW90" i="37"/>
  <c r="DV90" i="37"/>
  <c r="DF90" i="37"/>
  <c r="DX90" i="37"/>
  <c r="DF93" i="37"/>
  <c r="T96" i="37" s="1"/>
  <c r="EN90" i="37" s="1"/>
  <c r="DJ93" i="37"/>
  <c r="AI96" i="37" s="1"/>
  <c r="EN92" i="37" s="1"/>
  <c r="CD246" i="37"/>
  <c r="CB246" i="37"/>
  <c r="X95" i="37"/>
  <c r="CF246" i="37"/>
  <c r="EJ89" i="37"/>
  <c r="BZ247" i="37"/>
  <c r="BZ246" i="37"/>
  <c r="CN246" i="37"/>
  <c r="CN247" i="37"/>
  <c r="CF247" i="37"/>
  <c r="T95" i="37"/>
  <c r="EN89" i="37" s="1"/>
  <c r="DS41" i="35"/>
  <c r="CJ85" i="35"/>
  <c r="CJ89" i="35"/>
  <c r="CJ88" i="35"/>
  <c r="CH88" i="35"/>
  <c r="CS89" i="35"/>
  <c r="CH85" i="35"/>
  <c r="CT194" i="36"/>
  <c r="DS290" i="36" s="1"/>
  <c r="DV290" i="36"/>
  <c r="DV79" i="36"/>
  <c r="CT52" i="36"/>
  <c r="DS79" i="36" s="1"/>
  <c r="DV272" i="36"/>
  <c r="CT181" i="36"/>
  <c r="DS272" i="36" s="1"/>
  <c r="CH138" i="36"/>
  <c r="CQ140" i="36"/>
  <c r="DS201" i="36" s="1"/>
  <c r="DV201" i="36"/>
  <c r="CB25" i="35"/>
  <c r="CC25" i="35" s="1"/>
  <c r="BL21" i="35"/>
  <c r="BL22" i="35"/>
  <c r="CS21" i="35" s="1"/>
  <c r="DV42" i="36"/>
  <c r="CQ31" i="36"/>
  <c r="DS42" i="36" s="1"/>
  <c r="FH119" i="37"/>
  <c r="ED119" i="37"/>
  <c r="FD119" i="37" s="1"/>
  <c r="EE119" i="37"/>
  <c r="EJ75" i="37"/>
  <c r="BB77" i="37"/>
  <c r="EN75" i="37" s="1"/>
  <c r="BF77" i="37"/>
  <c r="EB178" i="37"/>
  <c r="ET178" i="37" s="1"/>
  <c r="EX178" i="37"/>
  <c r="DO93" i="37"/>
  <c r="DB92" i="37"/>
  <c r="DO94" i="37" s="1"/>
  <c r="CA246" i="37" s="1"/>
  <c r="DO95" i="37"/>
  <c r="DF95" i="37" s="1"/>
  <c r="AB111" i="33"/>
  <c r="EB111" i="33" s="1"/>
  <c r="DS71" i="35"/>
  <c r="CR70" i="35"/>
  <c r="DP71" i="35" s="1"/>
  <c r="CM128" i="33"/>
  <c r="O128" i="33" s="1"/>
  <c r="DI127" i="33" s="1"/>
  <c r="BZ202" i="33"/>
  <c r="CK128" i="33"/>
  <c r="CL125" i="33"/>
  <c r="CH192" i="36"/>
  <c r="DV285" i="36"/>
  <c r="CQ197" i="36"/>
  <c r="DS285" i="36" s="1"/>
  <c r="CH194" i="36"/>
  <c r="CH191" i="36"/>
  <c r="DB101" i="37"/>
  <c r="DO103" i="37" s="1"/>
  <c r="DM85" i="33"/>
  <c r="DR85" i="33"/>
  <c r="EX139" i="37"/>
  <c r="EB139" i="37"/>
  <c r="ET139" i="37" s="1"/>
  <c r="BX143" i="35"/>
  <c r="DM107" i="33"/>
  <c r="DR107" i="33"/>
  <c r="CO244" i="37"/>
  <c r="EJ84" i="37"/>
  <c r="BF86" i="37"/>
  <c r="CI67" i="33"/>
  <c r="AN65" i="33"/>
  <c r="CU64" i="33" s="1"/>
  <c r="DI70" i="33" s="1"/>
  <c r="DO59" i="32"/>
  <c r="CO50" i="32"/>
  <c r="CP50" i="32"/>
  <c r="DJ146" i="35"/>
  <c r="CR145" i="35"/>
  <c r="DG146" i="35" s="1"/>
  <c r="CT34" i="36"/>
  <c r="DS51" i="36" s="1"/>
  <c r="DV51" i="36"/>
  <c r="CM35" i="36"/>
  <c r="CM36" i="36"/>
  <c r="CV36" i="36"/>
  <c r="CM33" i="36"/>
  <c r="BP100" i="36"/>
  <c r="CL98" i="36"/>
  <c r="CL102" i="36"/>
  <c r="BC101" i="36"/>
  <c r="CS103" i="36" s="1"/>
  <c r="CM98" i="36"/>
  <c r="CL101" i="36"/>
  <c r="CL99" i="36"/>
  <c r="BS101" i="36"/>
  <c r="CV101" i="36"/>
  <c r="AS202" i="37"/>
  <c r="CL54" i="33"/>
  <c r="CM54" i="33"/>
  <c r="T53" i="33" s="1"/>
  <c r="DW53" i="33" s="1"/>
  <c r="DD52" i="33"/>
  <c r="O53" i="33"/>
  <c r="DI52" i="33" s="1"/>
  <c r="AB53" i="33"/>
  <c r="EB53" i="33" s="1"/>
  <c r="CL83" i="36"/>
  <c r="BC83" i="36"/>
  <c r="CS85" i="36" s="1"/>
  <c r="CM80" i="36"/>
  <c r="CL80" i="36"/>
  <c r="CL81" i="36"/>
  <c r="BP82" i="36"/>
  <c r="CL84" i="36"/>
  <c r="BS83" i="36"/>
  <c r="CV83" i="36"/>
  <c r="CX88" i="35"/>
  <c r="CX89" i="35"/>
  <c r="DP90" i="35"/>
  <c r="DA89" i="35"/>
  <c r="DA88" i="35"/>
  <c r="EE168" i="37"/>
  <c r="FH168" i="37"/>
  <c r="CU146" i="33"/>
  <c r="CX146" i="33"/>
  <c r="CV146" i="33"/>
  <c r="CW146" i="33"/>
  <c r="EE93" i="37"/>
  <c r="FH93" i="37"/>
  <c r="ED93" i="37"/>
  <c r="FD93" i="37" s="1"/>
  <c r="DM93" i="33"/>
  <c r="DR93" i="33"/>
  <c r="CR84" i="35"/>
  <c r="DP85" i="35" s="1"/>
  <c r="CS90" i="35"/>
  <c r="DS85" i="35"/>
  <c r="CI144" i="33"/>
  <c r="BO143" i="33"/>
  <c r="BO142" i="33"/>
  <c r="CY138" i="33"/>
  <c r="BO144" i="33"/>
  <c r="CR27" i="35"/>
  <c r="DP28" i="35" s="1"/>
  <c r="CS33" i="35"/>
  <c r="DS28" i="35"/>
  <c r="DS88" i="35"/>
  <c r="CR87" i="35"/>
  <c r="DP88" i="35" s="1"/>
  <c r="DM142" i="33"/>
  <c r="DR142" i="33"/>
  <c r="CN58" i="33"/>
  <c r="EX72" i="37"/>
  <c r="EB72" i="37"/>
  <c r="ET72" i="37" s="1"/>
  <c r="EX75" i="37"/>
  <c r="EB75" i="37"/>
  <c r="ET75" i="37" s="1"/>
  <c r="AN260" i="37"/>
  <c r="R261" i="37"/>
  <c r="BJ260" i="37"/>
  <c r="BJ261" i="37" s="1"/>
  <c r="CU261" i="37" s="1"/>
  <c r="BD260" i="37"/>
  <c r="BD261" i="37" s="1"/>
  <c r="CU260" i="37" s="1"/>
  <c r="BM260" i="37"/>
  <c r="BM261" i="37" s="1"/>
  <c r="AN261" i="37"/>
  <c r="BG260" i="37"/>
  <c r="BG261" i="37" s="1"/>
  <c r="AS175" i="37"/>
  <c r="CQ109" i="32"/>
  <c r="CT108" i="36"/>
  <c r="DS162" i="36" s="1"/>
  <c r="DV162" i="36"/>
  <c r="CS121" i="33"/>
  <c r="CR121" i="33" s="1"/>
  <c r="G121" i="33" s="1"/>
  <c r="CI118" i="33"/>
  <c r="BA118" i="33"/>
  <c r="CY118" i="33" s="1"/>
  <c r="CL113" i="33"/>
  <c r="AN117" i="33"/>
  <c r="CU116" i="33" s="1"/>
  <c r="DI122" i="33" s="1"/>
  <c r="CO121" i="33"/>
  <c r="CQ121" i="33" s="1"/>
  <c r="AB119" i="33" s="1"/>
  <c r="EB119" i="33" s="1"/>
  <c r="BY147" i="36"/>
  <c r="BX158" i="36"/>
  <c r="CS72" i="36"/>
  <c r="CQ70" i="36"/>
  <c r="DS100" i="36" s="1"/>
  <c r="CV164" i="36"/>
  <c r="CI167" i="36"/>
  <c r="CI164" i="36"/>
  <c r="DR139" i="33"/>
  <c r="DM139" i="33"/>
  <c r="CJ134" i="36"/>
  <c r="CJ135" i="36"/>
  <c r="CB128" i="36"/>
  <c r="CG165" i="36"/>
  <c r="CG167" i="36"/>
  <c r="CO165" i="36" s="1"/>
  <c r="BL170" i="36" s="1"/>
  <c r="DM164" i="36" s="1"/>
  <c r="CO57" i="32"/>
  <c r="DO68" i="32"/>
  <c r="CP57" i="32"/>
  <c r="Q188" i="37"/>
  <c r="F269" i="37" s="1"/>
  <c r="BP268" i="37" s="1"/>
  <c r="CF251" i="37"/>
  <c r="EJ107" i="37"/>
  <c r="X113" i="37"/>
  <c r="BZ251" i="37"/>
  <c r="CN251" i="37"/>
  <c r="CF250" i="37"/>
  <c r="CN250" i="37"/>
  <c r="BZ250" i="37"/>
  <c r="T113" i="37"/>
  <c r="EN107" i="37" s="1"/>
  <c r="DM103" i="33"/>
  <c r="DR103" i="33"/>
  <c r="ED47" i="37"/>
  <c r="FD47" i="37" s="1"/>
  <c r="FH47" i="37"/>
  <c r="EE47" i="37"/>
  <c r="CC145" i="35"/>
  <c r="CA141" i="35" s="1"/>
  <c r="AR143" i="35"/>
  <c r="BG143" i="35"/>
  <c r="CS141" i="35" s="1"/>
  <c r="CS111" i="35"/>
  <c r="DS111" i="35"/>
  <c r="CR110" i="35"/>
  <c r="DP111" i="35" s="1"/>
  <c r="FH56" i="37"/>
  <c r="ED56" i="37"/>
  <c r="FD56" i="37" s="1"/>
  <c r="EE56" i="37"/>
  <c r="DM141" i="33"/>
  <c r="DR141" i="33"/>
  <c r="CO133" i="32"/>
  <c r="DO166" i="32"/>
  <c r="CP133" i="32"/>
  <c r="CU130" i="32" s="1"/>
  <c r="BZ133" i="32"/>
  <c r="BP62" i="36"/>
  <c r="BG62" i="36" s="1"/>
  <c r="CV58" i="36" s="1"/>
  <c r="CN62" i="36"/>
  <c r="AS62" i="36" s="1"/>
  <c r="CN63" i="36"/>
  <c r="AU62" i="36" s="1"/>
  <c r="DV154" i="36"/>
  <c r="CQ106" i="36"/>
  <c r="DS154" i="36" s="1"/>
  <c r="CA160" i="35"/>
  <c r="CV119" i="36"/>
  <c r="CL119" i="36"/>
  <c r="CM116" i="36"/>
  <c r="BP118" i="36"/>
  <c r="CL116" i="36"/>
  <c r="CL117" i="36"/>
  <c r="CL120" i="36"/>
  <c r="BS119" i="36"/>
  <c r="BC119" i="36"/>
  <c r="CS121" i="36" s="1"/>
  <c r="DO42" i="32"/>
  <c r="CO37" i="32"/>
  <c r="CP37" i="32"/>
  <c r="BZ38" i="32"/>
  <c r="DV33" i="36"/>
  <c r="CQ29" i="36"/>
  <c r="DS33" i="36" s="1"/>
  <c r="CH27" i="36"/>
  <c r="CH24" i="36"/>
  <c r="CH23" i="36"/>
  <c r="CH26" i="36"/>
  <c r="ED122" i="37"/>
  <c r="FD122" i="37" s="1"/>
  <c r="FH122" i="37"/>
  <c r="EE122" i="37"/>
  <c r="O89" i="33"/>
  <c r="DI88" i="33" s="1"/>
  <c r="CL90" i="33"/>
  <c r="CM90" i="33"/>
  <c r="T89" i="33" s="1"/>
  <c r="DW89" i="33" s="1"/>
  <c r="DD88" i="33"/>
  <c r="CQ116" i="32"/>
  <c r="CK47" i="36"/>
  <c r="BL46" i="36" s="1"/>
  <c r="DM40" i="36" s="1"/>
  <c r="AF46" i="36"/>
  <c r="DD40" i="36" s="1"/>
  <c r="DS38" i="35"/>
  <c r="CR37" i="35"/>
  <c r="DP38" i="35" s="1"/>
  <c r="CS38" i="35"/>
  <c r="DS78" i="35"/>
  <c r="CR77" i="35"/>
  <c r="DP78" i="35" s="1"/>
  <c r="CS78" i="35"/>
  <c r="DM87" i="33"/>
  <c r="DR87" i="33"/>
  <c r="DS73" i="35"/>
  <c r="CF257" i="37"/>
  <c r="EJ134" i="37"/>
  <c r="CN257" i="37"/>
  <c r="CF256" i="37"/>
  <c r="BZ256" i="37"/>
  <c r="CN256" i="37"/>
  <c r="X140" i="37"/>
  <c r="BZ257" i="37"/>
  <c r="T140" i="37"/>
  <c r="EN134" i="37" s="1"/>
  <c r="EX135" i="37"/>
  <c r="EB135" i="37"/>
  <c r="ET135" i="37" s="1"/>
  <c r="CJ154" i="36"/>
  <c r="CD157" i="36"/>
  <c r="CO161" i="36"/>
  <c r="BK158" i="36" s="1"/>
  <c r="CV156" i="36" s="1"/>
  <c r="CS157" i="36"/>
  <c r="FH83" i="37"/>
  <c r="CS86" i="36"/>
  <c r="AS83" i="36"/>
  <c r="BX97" i="33"/>
  <c r="AN97" i="33"/>
  <c r="CG146" i="36"/>
  <c r="CH143" i="36"/>
  <c r="CH146" i="36"/>
  <c r="AN85" i="33"/>
  <c r="CU84" i="33" s="1"/>
  <c r="DI89" i="33" s="1"/>
  <c r="DV46" i="36"/>
  <c r="CQ37" i="36"/>
  <c r="DS46" i="36" s="1"/>
  <c r="DO115" i="32"/>
  <c r="CP96" i="32"/>
  <c r="CO96" i="32"/>
  <c r="BZ97" i="32"/>
  <c r="DR55" i="33"/>
  <c r="DM55" i="33"/>
  <c r="CH60" i="36"/>
  <c r="BG83" i="36"/>
  <c r="CV79" i="36" s="1"/>
  <c r="DV230" i="36"/>
  <c r="CT154" i="36"/>
  <c r="DS230" i="36" s="1"/>
  <c r="CQ118" i="36"/>
  <c r="DS170" i="36" s="1"/>
  <c r="EB164" i="37"/>
  <c r="ET164" i="37" s="1"/>
  <c r="EX164" i="37"/>
  <c r="CC89" i="35"/>
  <c r="CA85" i="35" s="1"/>
  <c r="AR87" i="35"/>
  <c r="BG87" i="35"/>
  <c r="CS85" i="35" s="1"/>
  <c r="BC17" i="36"/>
  <c r="CS19" i="36" s="1"/>
  <c r="CL15" i="36"/>
  <c r="CL18" i="36"/>
  <c r="CL14" i="36"/>
  <c r="CL17" i="36"/>
  <c r="CM14" i="36"/>
  <c r="BS17" i="36"/>
  <c r="BG17" i="36"/>
  <c r="CV13" i="36" s="1"/>
  <c r="CV17" i="36"/>
  <c r="BP16" i="36"/>
  <c r="CQ142" i="36"/>
  <c r="DS210" i="36" s="1"/>
  <c r="DV210" i="36"/>
  <c r="CM183" i="36"/>
  <c r="CM186" i="36"/>
  <c r="CM185" i="36"/>
  <c r="CV186" i="36"/>
  <c r="DF119" i="37"/>
  <c r="AS137" i="36"/>
  <c r="CM71" i="36"/>
  <c r="CV72" i="36"/>
  <c r="CM69" i="36"/>
  <c r="CM72" i="36"/>
  <c r="CJ56" i="35"/>
  <c r="CH52" i="35"/>
  <c r="CJ52" i="35"/>
  <c r="CJ55" i="35"/>
  <c r="CS56" i="35"/>
  <c r="CH55" i="35"/>
  <c r="CK88" i="33"/>
  <c r="AF160" i="36"/>
  <c r="DD154" i="36" s="1"/>
  <c r="CR45" i="35"/>
  <c r="DP46" i="35" s="1"/>
  <c r="DS46" i="35"/>
  <c r="CS46" i="35"/>
  <c r="EB70" i="37"/>
  <c r="ET70" i="37" s="1"/>
  <c r="EX70" i="37"/>
  <c r="ED74" i="37"/>
  <c r="FD74" i="37" s="1"/>
  <c r="FH74" i="37"/>
  <c r="EE74" i="37"/>
  <c r="CT100" i="36"/>
  <c r="DS149" i="36" s="1"/>
  <c r="DV149" i="36"/>
  <c r="BZ60" i="32"/>
  <c r="S61" i="32" s="1"/>
  <c r="DF73" i="32" s="1"/>
  <c r="BZ61" i="32"/>
  <c r="CY90" i="33"/>
  <c r="DV273" i="36"/>
  <c r="CT182" i="36"/>
  <c r="DS273" i="36" s="1"/>
  <c r="CS100" i="36"/>
  <c r="CO104" i="36"/>
  <c r="BK101" i="36" s="1"/>
  <c r="CV99" i="36" s="1"/>
  <c r="BB102" i="35"/>
  <c r="AW103" i="35"/>
  <c r="CB105" i="35"/>
  <c r="BB103" i="35"/>
  <c r="CS100" i="35" s="1"/>
  <c r="CC104" i="35"/>
  <c r="CQ109" i="36"/>
  <c r="DS156" i="36" s="1"/>
  <c r="CS111" i="36"/>
  <c r="DV156" i="36"/>
  <c r="CH62" i="36"/>
  <c r="CH59" i="36"/>
  <c r="CG62" i="36"/>
  <c r="CR108" i="35"/>
  <c r="DP109" i="35" s="1"/>
  <c r="BZ66" i="32"/>
  <c r="S67" i="32" s="1"/>
  <c r="DF81" i="32" s="1"/>
  <c r="CQ162" i="36"/>
  <c r="DS237" i="36" s="1"/>
  <c r="CS165" i="36"/>
  <c r="CG164" i="36" s="1"/>
  <c r="DV237" i="36"/>
  <c r="DE144" i="37"/>
  <c r="DH144" i="37"/>
  <c r="DI144" i="37"/>
  <c r="DF144" i="37"/>
  <c r="DZ148" i="37"/>
  <c r="DT148" i="37"/>
  <c r="DJ144" i="37"/>
  <c r="DV146" i="37"/>
  <c r="DY146" i="37"/>
  <c r="DX144" i="37"/>
  <c r="DY144" i="37"/>
  <c r="DW144" i="37"/>
  <c r="DU144" i="37"/>
  <c r="DT146" i="37"/>
  <c r="F258" i="37"/>
  <c r="BG147" i="37"/>
  <c r="BE147" i="37" s="1"/>
  <c r="DW146" i="37"/>
  <c r="BK147" i="37"/>
  <c r="DV144" i="37"/>
  <c r="DT144" i="37"/>
  <c r="DW148" i="37"/>
  <c r="DZ146" i="37"/>
  <c r="DZ144" i="37"/>
  <c r="DP144" i="37"/>
  <c r="DM144" i="37"/>
  <c r="DN144" i="37"/>
  <c r="DQ144" i="37"/>
  <c r="DR144" i="37"/>
  <c r="DF147" i="37"/>
  <c r="T150" i="37" s="1"/>
  <c r="EN144" i="37" s="1"/>
  <c r="DJ147" i="37"/>
  <c r="AI150" i="37" s="1"/>
  <c r="EN146" i="37" s="1"/>
  <c r="AS149" i="37"/>
  <c r="AS150" i="37"/>
  <c r="CD259" i="37"/>
  <c r="AZ259" i="37" s="1"/>
  <c r="BM147" i="37"/>
  <c r="CB258" i="37"/>
  <c r="AV258" i="37" s="1"/>
  <c r="CD258" i="37"/>
  <c r="AZ258" i="37" s="1"/>
  <c r="CB259" i="37"/>
  <c r="AV259" i="37" s="1"/>
  <c r="DC145" i="37"/>
  <c r="DO149" i="37" s="1"/>
  <c r="DF149" i="37" s="1"/>
  <c r="CT145" i="36"/>
  <c r="DS219" i="36" s="1"/>
  <c r="DV219" i="36"/>
  <c r="CS183" i="36"/>
  <c r="CG182" i="36" s="1"/>
  <c r="CQ180" i="36"/>
  <c r="DS265" i="36" s="1"/>
  <c r="DV265" i="36"/>
  <c r="CN130" i="36"/>
  <c r="CN129" i="36"/>
  <c r="AU128" i="36" s="1"/>
  <c r="BP128" i="36"/>
  <c r="CN128" i="36"/>
  <c r="AS128" i="36" s="1"/>
  <c r="BG101" i="36"/>
  <c r="CV97" i="36" s="1"/>
  <c r="CQ115" i="32"/>
  <c r="CO89" i="33"/>
  <c r="CQ89" i="33" s="1"/>
  <c r="AB87" i="33" s="1"/>
  <c r="EB87" i="33" s="1"/>
  <c r="DM126" i="37" l="1"/>
  <c r="AG129" i="37" s="1"/>
  <c r="DP126" i="37"/>
  <c r="BQ68" i="37"/>
  <c r="EN68" i="37" s="1"/>
  <c r="DB134" i="37"/>
  <c r="DB143" i="37" s="1"/>
  <c r="BZ116" i="32"/>
  <c r="AM114" i="32" s="1"/>
  <c r="DF139" i="32" s="1"/>
  <c r="CB116" i="32"/>
  <c r="AM115" i="32" s="1"/>
  <c r="DF141" i="32" s="1"/>
  <c r="BS266" i="37"/>
  <c r="Q124" i="37"/>
  <c r="F255" i="37" s="1"/>
  <c r="ED128" i="37"/>
  <c r="FD128" i="37" s="1"/>
  <c r="DQ126" i="37"/>
  <c r="AW129" i="37" s="1"/>
  <c r="DR126" i="37"/>
  <c r="BA129" i="37" s="1"/>
  <c r="FH128" i="37"/>
  <c r="FH139" i="37"/>
  <c r="AK65" i="37"/>
  <c r="EB68" i="37" s="1"/>
  <c r="ET68" i="37" s="1"/>
  <c r="CJ96" i="35"/>
  <c r="CL96" i="35" s="1"/>
  <c r="EB166" i="37"/>
  <c r="ET166" i="37" s="1"/>
  <c r="CG137" i="36"/>
  <c r="EX166" i="37"/>
  <c r="CT90" i="36"/>
  <c r="DS134" i="36" s="1"/>
  <c r="BF59" i="37"/>
  <c r="BQ59" i="37" s="1"/>
  <c r="EN59" i="37" s="1"/>
  <c r="BG78" i="35"/>
  <c r="CS76" i="35" s="1"/>
  <c r="AR78" i="35"/>
  <c r="CJ81" i="35" s="1"/>
  <c r="N263" i="37"/>
  <c r="DB78" i="37"/>
  <c r="DR81" i="37" s="1"/>
  <c r="BA84" i="37" s="1"/>
  <c r="AI67" i="37"/>
  <c r="EN63" i="37" s="1"/>
  <c r="EE121" i="37"/>
  <c r="CO245" i="37"/>
  <c r="AV263" i="37"/>
  <c r="BM262" i="37"/>
  <c r="BM263" i="37" s="1"/>
  <c r="FH121" i="37"/>
  <c r="CL245" i="37"/>
  <c r="AV262" i="37"/>
  <c r="CL244" i="37"/>
  <c r="AZ263" i="37"/>
  <c r="CS57" i="35"/>
  <c r="BG262" i="37"/>
  <c r="BG263" i="37" s="1"/>
  <c r="BB87" i="37"/>
  <c r="EN85" i="37" s="1"/>
  <c r="DS52" i="35"/>
  <c r="EE85" i="37"/>
  <c r="EJ85" i="37"/>
  <c r="ED139" i="37"/>
  <c r="FD139" i="37" s="1"/>
  <c r="EX163" i="37"/>
  <c r="CL256" i="37"/>
  <c r="CH76" i="35"/>
  <c r="CK78" i="35" s="1"/>
  <c r="CF262" i="37"/>
  <c r="CH96" i="35"/>
  <c r="CL238" i="37"/>
  <c r="CH79" i="35"/>
  <c r="BG95" i="35"/>
  <c r="CS93" i="35" s="1"/>
  <c r="DV78" i="36"/>
  <c r="CJ80" i="35"/>
  <c r="N246" i="37"/>
  <c r="R246" i="37" s="1"/>
  <c r="BG246" i="37" s="1"/>
  <c r="BG247" i="37" s="1"/>
  <c r="AK129" i="37"/>
  <c r="EX132" i="37" s="1"/>
  <c r="EJ162" i="37"/>
  <c r="CO257" i="37"/>
  <c r="FH200" i="37"/>
  <c r="EJ138" i="37"/>
  <c r="EJ56" i="37"/>
  <c r="BB58" i="37"/>
  <c r="EN56" i="37" s="1"/>
  <c r="CO239" i="37"/>
  <c r="FH57" i="37"/>
  <c r="CS80" i="35"/>
  <c r="DJ81" i="35" s="1"/>
  <c r="CH93" i="35"/>
  <c r="EB93" i="37"/>
  <c r="ET93" i="37" s="1"/>
  <c r="CH39" i="35"/>
  <c r="EX93" i="37"/>
  <c r="T168" i="37"/>
  <c r="EN162" i="37" s="1"/>
  <c r="CJ90" i="36"/>
  <c r="EE200" i="37"/>
  <c r="CN263" i="37"/>
  <c r="EE139" i="37"/>
  <c r="EJ120" i="37"/>
  <c r="CF263" i="37"/>
  <c r="CV88" i="32"/>
  <c r="R263" i="37"/>
  <c r="AN262" i="37"/>
  <c r="AB97" i="33"/>
  <c r="EB97" i="33" s="1"/>
  <c r="CS40" i="35"/>
  <c r="BZ262" i="37"/>
  <c r="BF198" i="33"/>
  <c r="ED55" i="37"/>
  <c r="FD55" i="37" s="1"/>
  <c r="X168" i="37"/>
  <c r="AI168" i="37" s="1"/>
  <c r="EN164" i="37" s="1"/>
  <c r="AN263" i="37"/>
  <c r="BP265" i="37"/>
  <c r="BS265" i="37" s="1"/>
  <c r="CB69" i="32"/>
  <c r="AM68" i="32" s="1"/>
  <c r="DF84" i="32" s="1"/>
  <c r="FH55" i="37"/>
  <c r="BD262" i="37"/>
  <c r="BD263" i="37" s="1"/>
  <c r="CU262" i="37" s="1"/>
  <c r="DB59" i="37"/>
  <c r="Q60" i="37" s="1"/>
  <c r="F241" i="37" s="1"/>
  <c r="ED66" i="37"/>
  <c r="FD66" i="37" s="1"/>
  <c r="FH66" i="37"/>
  <c r="CL252" i="37"/>
  <c r="CO238" i="37"/>
  <c r="AS96" i="37"/>
  <c r="CL246" i="37" s="1"/>
  <c r="CD247" i="37"/>
  <c r="DZ94" i="37"/>
  <c r="DZ90" i="37"/>
  <c r="CL239" i="37"/>
  <c r="Q51" i="37"/>
  <c r="F239" i="37" s="1"/>
  <c r="AS129" i="37"/>
  <c r="EE125" i="37" s="1"/>
  <c r="BZ69" i="32"/>
  <c r="AM67" i="32" s="1"/>
  <c r="DF82" i="32" s="1"/>
  <c r="EJ57" i="37"/>
  <c r="DB114" i="37"/>
  <c r="Q115" i="37" s="1"/>
  <c r="F253" i="37" s="1"/>
  <c r="CV41" i="32"/>
  <c r="AK56" i="37"/>
  <c r="Y238" i="37" s="1"/>
  <c r="DV170" i="36"/>
  <c r="ED85" i="37"/>
  <c r="FD85" i="37" s="1"/>
  <c r="BQ131" i="37"/>
  <c r="EN131" i="37" s="1"/>
  <c r="DH90" i="37"/>
  <c r="DW92" i="37"/>
  <c r="DY92" i="37"/>
  <c r="FH95" i="37"/>
  <c r="CS97" i="35"/>
  <c r="DJ98" i="35" s="1"/>
  <c r="CO253" i="37"/>
  <c r="BK93" i="37"/>
  <c r="BG93" i="37"/>
  <c r="BE93" i="37" s="1"/>
  <c r="EE92" i="37" s="1"/>
  <c r="DI90" i="37"/>
  <c r="BG111" i="35"/>
  <c r="CS109" i="35" s="1"/>
  <c r="DS110" i="35" s="1"/>
  <c r="CJ93" i="35"/>
  <c r="CL253" i="37"/>
  <c r="CC113" i="35"/>
  <c r="CA109" i="35" s="1"/>
  <c r="BZ109" i="35" s="1"/>
  <c r="AP215" i="35" s="1"/>
  <c r="AB77" i="33"/>
  <c r="EB77" i="33" s="1"/>
  <c r="BF95" i="37"/>
  <c r="BQ95" i="37" s="1"/>
  <c r="EN95" i="37" s="1"/>
  <c r="CM67" i="33"/>
  <c r="CQ66" i="33" s="1"/>
  <c r="CR30" i="33"/>
  <c r="G30" i="33" s="1"/>
  <c r="DD29" i="33" s="1"/>
  <c r="BZ263" i="37"/>
  <c r="AB69" i="33"/>
  <c r="EB69" i="33" s="1"/>
  <c r="AR54" i="35"/>
  <c r="CG55" i="35" s="1"/>
  <c r="BZ81" i="32"/>
  <c r="AM79" i="32" s="1"/>
  <c r="DF99" i="32" s="1"/>
  <c r="CB81" i="32"/>
  <c r="AM80" i="32" s="1"/>
  <c r="DF101" i="32" s="1"/>
  <c r="CU53" i="32"/>
  <c r="CA149" i="35"/>
  <c r="CA151" i="35" s="1"/>
  <c r="AW152" i="35" s="1"/>
  <c r="CO152" i="35" s="1"/>
  <c r="DG149" i="35" s="1"/>
  <c r="BB86" i="37"/>
  <c r="EN84" i="37" s="1"/>
  <c r="EE83" i="37"/>
  <c r="EB94" i="37"/>
  <c r="ET94" i="37" s="1"/>
  <c r="BW176" i="36"/>
  <c r="AB166" i="33"/>
  <c r="EB166" i="33" s="1"/>
  <c r="CA245" i="37"/>
  <c r="AR245" i="37" s="1"/>
  <c r="CA52" i="35"/>
  <c r="BZ52" i="35" s="1"/>
  <c r="AP208" i="35" s="1"/>
  <c r="CB247" i="37"/>
  <c r="DE90" i="37"/>
  <c r="DY90" i="37"/>
  <c r="DT90" i="37"/>
  <c r="BS270" i="37"/>
  <c r="AR251" i="37"/>
  <c r="CD193" i="33"/>
  <c r="BG54" i="35"/>
  <c r="CS52" i="35" s="1"/>
  <c r="CS55" i="35" s="1"/>
  <c r="T182" i="33"/>
  <c r="DW182" i="33" s="1"/>
  <c r="CA244" i="37"/>
  <c r="AR244" i="37" s="1"/>
  <c r="CS114" i="35"/>
  <c r="CR114" i="35" s="1"/>
  <c r="DG115" i="35" s="1"/>
  <c r="O182" i="33"/>
  <c r="DI181" i="33" s="1"/>
  <c r="CN183" i="36"/>
  <c r="AB182" i="33"/>
  <c r="EB182" i="33" s="1"/>
  <c r="CO182" i="33"/>
  <c r="DD181" i="33"/>
  <c r="CA168" i="35"/>
  <c r="BZ168" i="35" s="1"/>
  <c r="CO174" i="33"/>
  <c r="DV216" i="36"/>
  <c r="O174" i="33"/>
  <c r="DI173" i="33" s="1"/>
  <c r="T174" i="33"/>
  <c r="DW174" i="33" s="1"/>
  <c r="DD173" i="33"/>
  <c r="CN174" i="33"/>
  <c r="T166" i="33"/>
  <c r="DW166" i="33" s="1"/>
  <c r="CO166" i="33"/>
  <c r="DV220" i="36"/>
  <c r="DD165" i="33"/>
  <c r="O166" i="33"/>
  <c r="DI165" i="33" s="1"/>
  <c r="CQ148" i="36"/>
  <c r="DS214" i="36" s="1"/>
  <c r="CM144" i="36"/>
  <c r="CV147" i="36"/>
  <c r="CT147" i="36" s="1"/>
  <c r="DS221" i="36" s="1"/>
  <c r="CM146" i="36"/>
  <c r="CN165" i="36"/>
  <c r="AF170" i="36" s="1"/>
  <c r="DD164" i="36" s="1"/>
  <c r="CV121" i="32"/>
  <c r="CV118" i="32" s="1"/>
  <c r="DJ166" i="37"/>
  <c r="AI169" i="37" s="1"/>
  <c r="EN165" i="37" s="1"/>
  <c r="DW163" i="37"/>
  <c r="DY163" i="37"/>
  <c r="DF166" i="37"/>
  <c r="T169" i="37" s="1"/>
  <c r="EN163" i="37" s="1"/>
  <c r="AS168" i="37"/>
  <c r="CB263" i="37"/>
  <c r="BG166" i="37"/>
  <c r="BE166" i="37" s="1"/>
  <c r="DZ167" i="37"/>
  <c r="DZ165" i="37"/>
  <c r="DW167" i="37"/>
  <c r="DT163" i="37"/>
  <c r="DV165" i="37"/>
  <c r="BM166" i="37"/>
  <c r="DV163" i="37"/>
  <c r="AS169" i="37"/>
  <c r="DH163" i="37"/>
  <c r="DF163" i="37"/>
  <c r="DW165" i="37"/>
  <c r="F262" i="37"/>
  <c r="DU163" i="37"/>
  <c r="DT165" i="37"/>
  <c r="DE163" i="37"/>
  <c r="DX163" i="37"/>
  <c r="DY165" i="37"/>
  <c r="DI163" i="37"/>
  <c r="CD263" i="37"/>
  <c r="BK166" i="37"/>
  <c r="DZ163" i="37"/>
  <c r="CB262" i="37"/>
  <c r="DT167" i="37"/>
  <c r="DJ163" i="37"/>
  <c r="CD262" i="37"/>
  <c r="CN142" i="33"/>
  <c r="BN146" i="35"/>
  <c r="CP146" i="35" s="1"/>
  <c r="DJ143" i="35" s="1"/>
  <c r="DQ135" i="37"/>
  <c r="AW138" i="37" s="1"/>
  <c r="ED135" i="37" s="1"/>
  <c r="FD135" i="37" s="1"/>
  <c r="AB113" i="33"/>
  <c r="EB113" i="33" s="1"/>
  <c r="CV65" i="32"/>
  <c r="CT60" i="32"/>
  <c r="CH83" i="36"/>
  <c r="CM43" i="33"/>
  <c r="CM42" i="33" s="1"/>
  <c r="O42" i="33" s="1"/>
  <c r="DI41" i="33" s="1"/>
  <c r="DR44" i="33"/>
  <c r="CV29" i="32"/>
  <c r="AW147" i="37"/>
  <c r="AH258" i="37" s="1"/>
  <c r="CQ104" i="32"/>
  <c r="DB146" i="37"/>
  <c r="DO148" i="37" s="1"/>
  <c r="CA259" i="37" s="1"/>
  <c r="AR259" i="37" s="1"/>
  <c r="CN126" i="33"/>
  <c r="DO147" i="37"/>
  <c r="CQ96" i="32"/>
  <c r="DN135" i="37"/>
  <c r="AK138" i="37" s="1"/>
  <c r="CS105" i="36"/>
  <c r="CQ105" i="36" s="1"/>
  <c r="DS153" i="36" s="1"/>
  <c r="DM104" i="33"/>
  <c r="DP20" i="32"/>
  <c r="CM103" i="33"/>
  <c r="CP102" i="33" s="1"/>
  <c r="AB105" i="33"/>
  <c r="EB105" i="33" s="1"/>
  <c r="CN102" i="33"/>
  <c r="CV71" i="32"/>
  <c r="AB154" i="33"/>
  <c r="EB154" i="33" s="1"/>
  <c r="CN154" i="33"/>
  <c r="DD153" i="33"/>
  <c r="CO154" i="33"/>
  <c r="T154" i="33" s="1"/>
  <c r="DW154" i="33" s="1"/>
  <c r="AB89" i="33"/>
  <c r="EB89" i="33" s="1"/>
  <c r="BB113" i="37"/>
  <c r="EN111" i="37" s="1"/>
  <c r="BZ63" i="32"/>
  <c r="AM61" i="32" s="1"/>
  <c r="DF74" i="32" s="1"/>
  <c r="CB63" i="32"/>
  <c r="AM62" i="32" s="1"/>
  <c r="DF76" i="32" s="1"/>
  <c r="CB57" i="32"/>
  <c r="AM56" i="32" s="1"/>
  <c r="DF68" i="32" s="1"/>
  <c r="CF57" i="32"/>
  <c r="CQ37" i="32"/>
  <c r="AK47" i="37"/>
  <c r="EB50" i="37" s="1"/>
  <c r="ET50" i="37" s="1"/>
  <c r="CU59" i="32"/>
  <c r="BW194" i="36"/>
  <c r="DP17" i="32"/>
  <c r="DP109" i="32"/>
  <c r="CR38" i="33"/>
  <c r="G38" i="33" s="1"/>
  <c r="DD37" i="33" s="1"/>
  <c r="CV106" i="32"/>
  <c r="CU35" i="32"/>
  <c r="CQ50" i="32"/>
  <c r="CQ38" i="32"/>
  <c r="AN129" i="33"/>
  <c r="CY124" i="33" s="1"/>
  <c r="AB129" i="33"/>
  <c r="EB129" i="33" s="1"/>
  <c r="CY140" i="33"/>
  <c r="CM143" i="33"/>
  <c r="CU100" i="32"/>
  <c r="CT101" i="32"/>
  <c r="CU94" i="32"/>
  <c r="CR146" i="33"/>
  <c r="G146" i="33" s="1"/>
  <c r="AB146" i="33" s="1"/>
  <c r="EB146" i="33" s="1"/>
  <c r="BP198" i="33"/>
  <c r="AZ198" i="33" s="1"/>
  <c r="DP21" i="32"/>
  <c r="CQ97" i="32"/>
  <c r="CV94" i="32" s="1"/>
  <c r="CR78" i="33"/>
  <c r="G78" i="33" s="1"/>
  <c r="AB78" i="33" s="1"/>
  <c r="EB78" i="33" s="1"/>
  <c r="CY72" i="33"/>
  <c r="CM75" i="33"/>
  <c r="AR257" i="37"/>
  <c r="EV44" i="37"/>
  <c r="AV250" i="37"/>
  <c r="AV246" i="37"/>
  <c r="DF94" i="37"/>
  <c r="BB95" i="37" s="1"/>
  <c r="EN93" i="37" s="1"/>
  <c r="AZ250" i="37"/>
  <c r="AZ251" i="37"/>
  <c r="AR250" i="37"/>
  <c r="AV251" i="37"/>
  <c r="Q42" i="37"/>
  <c r="F237" i="37" s="1"/>
  <c r="DX44" i="37"/>
  <c r="DY44" i="37"/>
  <c r="DV44" i="37" s="1"/>
  <c r="DZ46" i="37"/>
  <c r="DW46" i="37" s="1"/>
  <c r="DZ48" i="37"/>
  <c r="DZ44" i="37"/>
  <c r="DW44" i="37" s="1"/>
  <c r="DY46" i="37"/>
  <c r="CT163" i="36"/>
  <c r="DS244" i="36" s="1"/>
  <c r="DV244" i="36"/>
  <c r="CN131" i="36"/>
  <c r="BI128" i="36" s="1"/>
  <c r="CS123" i="36"/>
  <c r="CB95" i="35"/>
  <c r="AW96" i="35" s="1"/>
  <c r="CO96" i="35" s="1"/>
  <c r="DG93" i="35" s="1"/>
  <c r="CA95" i="35"/>
  <c r="BZ93" i="35"/>
  <c r="AP213" i="35" s="1"/>
  <c r="DR90" i="37"/>
  <c r="Q88" i="37"/>
  <c r="F247" i="37" s="1"/>
  <c r="DM90" i="37"/>
  <c r="DN90" i="37"/>
  <c r="AK93" i="37" s="1"/>
  <c r="DQ90" i="37"/>
  <c r="DP90" i="37"/>
  <c r="CA38" i="35"/>
  <c r="CB38" i="35"/>
  <c r="AW39" i="35" s="1"/>
  <c r="CO39" i="35" s="1"/>
  <c r="DG36" i="35" s="1"/>
  <c r="BZ36" i="35"/>
  <c r="AP206" i="35" s="1"/>
  <c r="DV62" i="36"/>
  <c r="CT40" i="36"/>
  <c r="DS62" i="36" s="1"/>
  <c r="CL125" i="36"/>
  <c r="BS128" i="36"/>
  <c r="CV128" i="36"/>
  <c r="CL128" i="36"/>
  <c r="BC128" i="36"/>
  <c r="CS130" i="36" s="1"/>
  <c r="CL126" i="36"/>
  <c r="CL129" i="36"/>
  <c r="CM125" i="36"/>
  <c r="BP127" i="36"/>
  <c r="EE146" i="37"/>
  <c r="ED146" i="37"/>
  <c r="FD146" i="37" s="1"/>
  <c r="FH146" i="37"/>
  <c r="CH89" i="35"/>
  <c r="CI86" i="35" s="1"/>
  <c r="CJ90" i="35"/>
  <c r="CI85" i="35"/>
  <c r="CG89" i="35"/>
  <c r="CG86" i="35" s="1"/>
  <c r="CJ155" i="36"/>
  <c r="CJ156" i="36"/>
  <c r="DS79" i="35"/>
  <c r="CR78" i="35"/>
  <c r="DP79" i="35" s="1"/>
  <c r="CB134" i="32"/>
  <c r="CF134" i="32"/>
  <c r="CR111" i="35"/>
  <c r="DP112" i="35" s="1"/>
  <c r="DS112" i="35"/>
  <c r="CQ57" i="32"/>
  <c r="CT164" i="36"/>
  <c r="DS245" i="36" s="1"/>
  <c r="DV245" i="36"/>
  <c r="CT36" i="36"/>
  <c r="DS53" i="36" s="1"/>
  <c r="DV53" i="36"/>
  <c r="CL88" i="35"/>
  <c r="CL87" i="35"/>
  <c r="DP59" i="32"/>
  <c r="EJ186" i="37"/>
  <c r="BQ186" i="37"/>
  <c r="EN186" i="37" s="1"/>
  <c r="CN66" i="33"/>
  <c r="CJ24" i="35"/>
  <c r="CJ20" i="35"/>
  <c r="CH23" i="35"/>
  <c r="CJ23" i="35"/>
  <c r="CH20" i="35"/>
  <c r="CS24" i="35"/>
  <c r="AR119" i="35"/>
  <c r="CC121" i="35"/>
  <c r="CA117" i="35" s="1"/>
  <c r="BG119" i="35"/>
  <c r="CS117" i="35" s="1"/>
  <c r="CG97" i="35"/>
  <c r="CG94" i="35" s="1"/>
  <c r="CI93" i="35"/>
  <c r="CH97" i="35"/>
  <c r="CI94" i="35" s="1"/>
  <c r="CJ98" i="35"/>
  <c r="CG95" i="35"/>
  <c r="CG93" i="35" s="1"/>
  <c r="CI109" i="35"/>
  <c r="CJ114" i="35"/>
  <c r="CH113" i="35"/>
  <c r="CI110" i="35" s="1"/>
  <c r="CG113" i="35"/>
  <c r="CG110" i="35" s="1"/>
  <c r="CG112" i="35"/>
  <c r="CG111" i="35"/>
  <c r="ED172" i="37"/>
  <c r="FD172" i="37" s="1"/>
  <c r="FH172" i="37"/>
  <c r="EE172" i="37"/>
  <c r="CJ128" i="35"/>
  <c r="CJ129" i="35"/>
  <c r="CS129" i="35"/>
  <c r="CH128" i="35"/>
  <c r="CJ125" i="35"/>
  <c r="CH125" i="35"/>
  <c r="DP58" i="32"/>
  <c r="CL46" i="33"/>
  <c r="CM46" i="33"/>
  <c r="T45" i="33" s="1"/>
  <c r="DW45" i="33" s="1"/>
  <c r="DD44" i="33"/>
  <c r="O45" i="33"/>
  <c r="DI44" i="33" s="1"/>
  <c r="AB45" i="33"/>
  <c r="EB45" i="33" s="1"/>
  <c r="DV204" i="36"/>
  <c r="CT135" i="36"/>
  <c r="DS204" i="36" s="1"/>
  <c r="DJ114" i="35"/>
  <c r="CQ55" i="36"/>
  <c r="DS74" i="36" s="1"/>
  <c r="DV74" i="36"/>
  <c r="CT195" i="36"/>
  <c r="DS291" i="36" s="1"/>
  <c r="DV291" i="36"/>
  <c r="CS39" i="36"/>
  <c r="CN47" i="36"/>
  <c r="BI44" i="36" s="1"/>
  <c r="FH73" i="37"/>
  <c r="ED73" i="37"/>
  <c r="FD73" i="37" s="1"/>
  <c r="EE73" i="37"/>
  <c r="DJ41" i="35"/>
  <c r="CQ20" i="36"/>
  <c r="DS19" i="36" s="1"/>
  <c r="DV19" i="36"/>
  <c r="CH15" i="36"/>
  <c r="CH18" i="36"/>
  <c r="CH17" i="36"/>
  <c r="CH14" i="36"/>
  <c r="BM102" i="37"/>
  <c r="DB96" i="37" s="1"/>
  <c r="DM99" i="37" s="1"/>
  <c r="DZ101" i="37"/>
  <c r="DW99" i="37"/>
  <c r="CA249" i="37"/>
  <c r="DY101" i="37"/>
  <c r="DV99" i="37"/>
  <c r="DW101" i="37"/>
  <c r="DF103" i="37"/>
  <c r="F248" i="37"/>
  <c r="DH99" i="37"/>
  <c r="DI99" i="37"/>
  <c r="DT99" i="37"/>
  <c r="BG102" i="37"/>
  <c r="BE102" i="37" s="1"/>
  <c r="DX99" i="37"/>
  <c r="DJ99" i="37"/>
  <c r="DZ99" i="37"/>
  <c r="DW103" i="37"/>
  <c r="DE99" i="37"/>
  <c r="BK102" i="37"/>
  <c r="DF99" i="37"/>
  <c r="DT103" i="37"/>
  <c r="DY99" i="37"/>
  <c r="CA248" i="37"/>
  <c r="DV101" i="37"/>
  <c r="DT101" i="37"/>
  <c r="DU99" i="37"/>
  <c r="DZ103" i="37"/>
  <c r="DF102" i="37"/>
  <c r="T105" i="37" s="1"/>
  <c r="EN99" i="37" s="1"/>
  <c r="DJ102" i="37"/>
  <c r="AI105" i="37" s="1"/>
  <c r="EN101" i="37" s="1"/>
  <c r="CD248" i="37"/>
  <c r="CD249" i="37"/>
  <c r="CB248" i="37"/>
  <c r="CB249" i="37"/>
  <c r="EB102" i="37"/>
  <c r="ET102" i="37" s="1"/>
  <c r="EX102" i="37"/>
  <c r="N248" i="37"/>
  <c r="R248" i="37" s="1"/>
  <c r="N249" i="37"/>
  <c r="DP169" i="32"/>
  <c r="CT91" i="36"/>
  <c r="DS135" i="36" s="1"/>
  <c r="DV135" i="36"/>
  <c r="EJ50" i="37"/>
  <c r="BQ50" i="37"/>
  <c r="EN50" i="37" s="1"/>
  <c r="DP65" i="32"/>
  <c r="DP69" i="32"/>
  <c r="DP127" i="32"/>
  <c r="DP56" i="32"/>
  <c r="CS62" i="33"/>
  <c r="CS54" i="33" s="1"/>
  <c r="CS46" i="33" s="1"/>
  <c r="CU70" i="33"/>
  <c r="CW70" i="33"/>
  <c r="CV70" i="33"/>
  <c r="CX70" i="33"/>
  <c r="CT70" i="33"/>
  <c r="DI34" i="32"/>
  <c r="DH35" i="32"/>
  <c r="CH117" i="36"/>
  <c r="CQ122" i="36"/>
  <c r="DS173" i="36" s="1"/>
  <c r="DV173" i="36"/>
  <c r="CH119" i="36"/>
  <c r="CH116" i="36"/>
  <c r="CH120" i="36"/>
  <c r="CT177" i="36"/>
  <c r="DS263" i="36" s="1"/>
  <c r="DV263" i="36"/>
  <c r="DP94" i="32"/>
  <c r="DV229" i="36"/>
  <c r="CQ161" i="36"/>
  <c r="DS229" i="36" s="1"/>
  <c r="CH156" i="36"/>
  <c r="CH159" i="36"/>
  <c r="CJ64" i="35"/>
  <c r="CJ63" i="35"/>
  <c r="CS64" i="35"/>
  <c r="CJ60" i="35"/>
  <c r="CH63" i="35"/>
  <c r="CH60" i="35"/>
  <c r="CY56" i="33"/>
  <c r="CM59" i="33"/>
  <c r="DP177" i="32"/>
  <c r="DP93" i="32"/>
  <c r="DP47" i="32"/>
  <c r="DP79" i="32"/>
  <c r="DP55" i="32"/>
  <c r="DP91" i="32"/>
  <c r="DP51" i="32"/>
  <c r="DP155" i="32"/>
  <c r="EV48" i="37"/>
  <c r="CT54" i="32"/>
  <c r="CI24" i="36"/>
  <c r="CI26" i="36"/>
  <c r="CV23" i="36"/>
  <c r="CI23" i="36"/>
  <c r="CI27" i="36"/>
  <c r="CU50" i="33"/>
  <c r="CM51" i="33"/>
  <c r="CM50" i="33" s="1"/>
  <c r="O50" i="33" s="1"/>
  <c r="DI49" i="33" s="1"/>
  <c r="CV143" i="36"/>
  <c r="CI143" i="36"/>
  <c r="CI146" i="36"/>
  <c r="CI144" i="36"/>
  <c r="CI147" i="36"/>
  <c r="DP135" i="32"/>
  <c r="CO131" i="36"/>
  <c r="BK128" i="36" s="1"/>
  <c r="CV126" i="36" s="1"/>
  <c r="CS127" i="36"/>
  <c r="ED148" i="37"/>
  <c r="FD148" i="37" s="1"/>
  <c r="FH148" i="37"/>
  <c r="EE148" i="37"/>
  <c r="BA147" i="37"/>
  <c r="DS77" i="35"/>
  <c r="CR76" i="35"/>
  <c r="DP77" i="35" s="1"/>
  <c r="CS79" i="35"/>
  <c r="DJ57" i="35"/>
  <c r="DV104" i="36"/>
  <c r="CT72" i="36"/>
  <c r="DS109" i="36" s="1"/>
  <c r="CB87" i="35"/>
  <c r="AW88" i="35" s="1"/>
  <c r="CO88" i="35" s="1"/>
  <c r="DG85" i="35" s="1"/>
  <c r="CA87" i="35"/>
  <c r="BZ85" i="35"/>
  <c r="AP212" i="35" s="1"/>
  <c r="CR141" i="35"/>
  <c r="DP142" i="35" s="1"/>
  <c r="DS142" i="35"/>
  <c r="CS144" i="35"/>
  <c r="AI113" i="37"/>
  <c r="EN109" i="37" s="1"/>
  <c r="EJ109" i="37"/>
  <c r="DP33" i="32"/>
  <c r="DS90" i="35"/>
  <c r="CG144" i="35"/>
  <c r="CH144" i="35"/>
  <c r="DP135" i="37"/>
  <c r="AS138" i="37" s="1"/>
  <c r="FH137" i="37"/>
  <c r="ED137" i="37"/>
  <c r="FD137" i="37" s="1"/>
  <c r="EE137" i="37"/>
  <c r="BA138" i="37"/>
  <c r="R253" i="37"/>
  <c r="AN252" i="37"/>
  <c r="BJ252" i="37"/>
  <c r="BJ253" i="37" s="1"/>
  <c r="CU253" i="37" s="1"/>
  <c r="BG252" i="37"/>
  <c r="BG253" i="37" s="1"/>
  <c r="AZ252" i="37"/>
  <c r="BM252" i="37"/>
  <c r="BM253" i="37" s="1"/>
  <c r="AV253" i="37"/>
  <c r="AN253" i="37"/>
  <c r="AZ253" i="37"/>
  <c r="BD252" i="37"/>
  <c r="BD253" i="37" s="1"/>
  <c r="CU252" i="37" s="1"/>
  <c r="CT78" i="32"/>
  <c r="BQ58" i="37"/>
  <c r="EN58" i="37" s="1"/>
  <c r="EJ58" i="37"/>
  <c r="CK38" i="36"/>
  <c r="BL37" i="36" s="1"/>
  <c r="DM31" i="36" s="1"/>
  <c r="AF37" i="36"/>
  <c r="DD31" i="36" s="1"/>
  <c r="CQ63" i="32"/>
  <c r="BB76" i="37"/>
  <c r="EN74" i="37" s="1"/>
  <c r="EJ74" i="37"/>
  <c r="CL242" i="37"/>
  <c r="CO243" i="37"/>
  <c r="CO242" i="37"/>
  <c r="CL243" i="37"/>
  <c r="BF76" i="37"/>
  <c r="CR30" i="35"/>
  <c r="DP31" i="35" s="1"/>
  <c r="DS31" i="35"/>
  <c r="BQ141" i="37"/>
  <c r="EN141" i="37" s="1"/>
  <c r="EJ141" i="37"/>
  <c r="EE180" i="37"/>
  <c r="ED180" i="37"/>
  <c r="FD180" i="37" s="1"/>
  <c r="FH180" i="37"/>
  <c r="AI58" i="37"/>
  <c r="EN54" i="37" s="1"/>
  <c r="EJ54" i="37"/>
  <c r="AR46" i="35"/>
  <c r="CC48" i="35"/>
  <c r="CA44" i="35" s="1"/>
  <c r="BG46" i="35"/>
  <c r="CS44" i="35" s="1"/>
  <c r="DS120" i="35"/>
  <c r="CR119" i="35"/>
  <c r="DP120" i="35" s="1"/>
  <c r="CD194" i="33"/>
  <c r="CI69" i="33"/>
  <c r="DY156" i="37"/>
  <c r="DT158" i="37"/>
  <c r="DY154" i="37"/>
  <c r="DV156" i="37"/>
  <c r="DW156" i="37"/>
  <c r="F260" i="37"/>
  <c r="DJ154" i="37"/>
  <c r="DT156" i="37"/>
  <c r="DE154" i="37"/>
  <c r="DH154" i="37"/>
  <c r="BK157" i="37"/>
  <c r="DW154" i="37"/>
  <c r="DX154" i="37"/>
  <c r="DU154" i="37"/>
  <c r="DZ154" i="37"/>
  <c r="DI154" i="37"/>
  <c r="DF154" i="37"/>
  <c r="DT154" i="37"/>
  <c r="DV154" i="37"/>
  <c r="BG157" i="37"/>
  <c r="BE157" i="37" s="1"/>
  <c r="DZ158" i="37"/>
  <c r="DW158" i="37"/>
  <c r="DZ156" i="37"/>
  <c r="DF158" i="37"/>
  <c r="CA260" i="37"/>
  <c r="AR260" i="37" s="1"/>
  <c r="DJ157" i="37"/>
  <c r="AI160" i="37" s="1"/>
  <c r="EN156" i="37" s="1"/>
  <c r="DF157" i="37"/>
  <c r="T160" i="37" s="1"/>
  <c r="EN154" i="37" s="1"/>
  <c r="CD260" i="37"/>
  <c r="AZ260" i="37" s="1"/>
  <c r="CB261" i="37"/>
  <c r="AV261" i="37" s="1"/>
  <c r="AS159" i="37"/>
  <c r="CB260" i="37"/>
  <c r="AV260" i="37" s="1"/>
  <c r="BM157" i="37"/>
  <c r="CD261" i="37"/>
  <c r="AZ261" i="37" s="1"/>
  <c r="AS160" i="37"/>
  <c r="CA261" i="37"/>
  <c r="AR261" i="37" s="1"/>
  <c r="DS125" i="35"/>
  <c r="CS130" i="35"/>
  <c r="CR124" i="35"/>
  <c r="DP125" i="35" s="1"/>
  <c r="DJ182" i="35"/>
  <c r="CR181" i="35"/>
  <c r="DG182" i="35" s="1"/>
  <c r="BK198" i="33"/>
  <c r="EE190" i="37"/>
  <c r="FH190" i="37"/>
  <c r="ED190" i="37"/>
  <c r="FD190" i="37" s="1"/>
  <c r="DV198" i="36"/>
  <c r="CS138" i="36"/>
  <c r="CQ136" i="36"/>
  <c r="DS198" i="36" s="1"/>
  <c r="CH80" i="36"/>
  <c r="CB51" i="32"/>
  <c r="AM50" i="32" s="1"/>
  <c r="DF60" i="32" s="1"/>
  <c r="BZ51" i="32"/>
  <c r="AM49" i="32" s="1"/>
  <c r="DF58" i="32" s="1"/>
  <c r="CF51" i="32"/>
  <c r="CV138" i="36"/>
  <c r="CM137" i="36"/>
  <c r="CM135" i="36"/>
  <c r="CM138" i="36"/>
  <c r="EX100" i="37"/>
  <c r="EB100" i="37"/>
  <c r="ET100" i="37" s="1"/>
  <c r="DR51" i="33"/>
  <c r="DM51" i="33"/>
  <c r="DP72" i="32"/>
  <c r="DP149" i="32"/>
  <c r="DP166" i="32"/>
  <c r="DP131" i="32"/>
  <c r="DP111" i="32"/>
  <c r="CI107" i="36"/>
  <c r="CV107" i="36"/>
  <c r="CI110" i="36"/>
  <c r="CI108" i="36"/>
  <c r="CI111" i="36"/>
  <c r="DP34" i="32"/>
  <c r="DP80" i="32"/>
  <c r="DP126" i="32"/>
  <c r="CV89" i="36"/>
  <c r="CI92" i="36"/>
  <c r="CI89" i="36"/>
  <c r="CI90" i="36"/>
  <c r="CI93" i="36"/>
  <c r="DP125" i="32"/>
  <c r="DP172" i="32"/>
  <c r="DP133" i="32"/>
  <c r="DP153" i="32"/>
  <c r="DP117" i="37"/>
  <c r="AS120" i="37" s="1"/>
  <c r="DP100" i="32"/>
  <c r="DP60" i="32"/>
  <c r="DP106" i="32"/>
  <c r="DP170" i="32"/>
  <c r="DP61" i="32"/>
  <c r="DP102" i="32"/>
  <c r="DP139" i="32"/>
  <c r="DP82" i="32"/>
  <c r="DP81" i="32"/>
  <c r="DV132" i="36"/>
  <c r="CT88" i="36"/>
  <c r="DS132" i="36" s="1"/>
  <c r="DV136" i="36"/>
  <c r="CT92" i="36"/>
  <c r="DS136" i="36" s="1"/>
  <c r="EJ47" i="37"/>
  <c r="CL236" i="37"/>
  <c r="BB49" i="37"/>
  <c r="EN47" i="37" s="1"/>
  <c r="CO236" i="37"/>
  <c r="CL237" i="37"/>
  <c r="BF49" i="37"/>
  <c r="CN219" i="35"/>
  <c r="AU219" i="35" s="1"/>
  <c r="CD219" i="35"/>
  <c r="DP39" i="32"/>
  <c r="DP110" i="32"/>
  <c r="DV27" i="36"/>
  <c r="CQ21" i="36"/>
  <c r="DS27" i="36" s="1"/>
  <c r="CS24" i="36"/>
  <c r="DP41" i="32"/>
  <c r="DP118" i="32"/>
  <c r="BG128" i="36"/>
  <c r="CV124" i="36" s="1"/>
  <c r="CR100" i="35"/>
  <c r="DP101" i="35" s="1"/>
  <c r="DS101" i="35"/>
  <c r="CS106" i="35"/>
  <c r="CI76" i="35"/>
  <c r="CL55" i="35"/>
  <c r="CL54" i="35"/>
  <c r="CT79" i="36"/>
  <c r="DS118" i="36" s="1"/>
  <c r="DV118" i="36"/>
  <c r="CB39" i="32"/>
  <c r="AM38" i="32" s="1"/>
  <c r="DF44" i="32" s="1"/>
  <c r="CF39" i="32"/>
  <c r="BZ39" i="32"/>
  <c r="AM37" i="32" s="1"/>
  <c r="DF42" i="32" s="1"/>
  <c r="CJ146" i="35"/>
  <c r="CH145" i="35"/>
  <c r="CI142" i="35" s="1"/>
  <c r="CI141" i="35"/>
  <c r="CG145" i="35"/>
  <c r="CG142" i="35" s="1"/>
  <c r="DR123" i="33"/>
  <c r="DM123" i="33"/>
  <c r="DA125" i="37"/>
  <c r="DB153" i="37"/>
  <c r="DB162" i="37" s="1"/>
  <c r="DA143" i="37" s="1"/>
  <c r="ED198" i="37"/>
  <c r="FD198" i="37" s="1"/>
  <c r="EE198" i="37"/>
  <c r="FH198" i="37"/>
  <c r="CG143" i="35"/>
  <c r="AV256" i="37"/>
  <c r="DJ138" i="35"/>
  <c r="CR137" i="35"/>
  <c r="DG138" i="35" s="1"/>
  <c r="EV47" i="37"/>
  <c r="CY116" i="33"/>
  <c r="CM119" i="33"/>
  <c r="CV68" i="36"/>
  <c r="CT68" i="36" s="1"/>
  <c r="DS105" i="36" s="1"/>
  <c r="CI68" i="36"/>
  <c r="CI71" i="36"/>
  <c r="CI69" i="36"/>
  <c r="CI72" i="36"/>
  <c r="CT113" i="32"/>
  <c r="CV112" i="32" s="1"/>
  <c r="DS179" i="35"/>
  <c r="CR178" i="35"/>
  <c r="DP179" i="35" s="1"/>
  <c r="CQ81" i="32"/>
  <c r="EE182" i="37"/>
  <c r="ED182" i="37"/>
  <c r="FD182" i="37" s="1"/>
  <c r="FH182" i="37"/>
  <c r="CH44" i="35"/>
  <c r="CJ44" i="35"/>
  <c r="CH47" i="35"/>
  <c r="CS48" i="35"/>
  <c r="CJ47" i="35"/>
  <c r="CJ48" i="35"/>
  <c r="CR62" i="35"/>
  <c r="DP63" i="35" s="1"/>
  <c r="DS63" i="35"/>
  <c r="AR127" i="35"/>
  <c r="CG128" i="35" s="1"/>
  <c r="CC129" i="35"/>
  <c r="CA125" i="35" s="1"/>
  <c r="BG127" i="35"/>
  <c r="CS125" i="35" s="1"/>
  <c r="DP81" i="37"/>
  <c r="AS84" i="37" s="1"/>
  <c r="DB119" i="37"/>
  <c r="DO121" i="37" s="1"/>
  <c r="DM47" i="33"/>
  <c r="DR47" i="33"/>
  <c r="EJ72" i="37"/>
  <c r="AI76" i="37"/>
  <c r="EN72" i="37" s="1"/>
  <c r="CL31" i="35"/>
  <c r="CL30" i="35"/>
  <c r="BQ204" i="37"/>
  <c r="EN204" i="37" s="1"/>
  <c r="EJ204" i="37"/>
  <c r="CQ49" i="32"/>
  <c r="CU47" i="32"/>
  <c r="AN113" i="33"/>
  <c r="DS29" i="35"/>
  <c r="CS31" i="35"/>
  <c r="CR28" i="35"/>
  <c r="DP29" i="35" s="1"/>
  <c r="EJ164" i="37"/>
  <c r="ED199" i="37"/>
  <c r="FD199" i="37" s="1"/>
  <c r="FH199" i="37"/>
  <c r="EE199" i="37"/>
  <c r="DK33" i="33"/>
  <c r="DL33" i="33" s="1"/>
  <c r="DP136" i="32"/>
  <c r="DP128" i="32"/>
  <c r="CR146" i="35"/>
  <c r="DG147" i="35" s="1"/>
  <c r="DJ147" i="35"/>
  <c r="DP96" i="32"/>
  <c r="DV160" i="36"/>
  <c r="CT106" i="36"/>
  <c r="DS160" i="36" s="1"/>
  <c r="BQ123" i="37"/>
  <c r="EN123" i="37" s="1"/>
  <c r="EJ123" i="37"/>
  <c r="CS90" i="36"/>
  <c r="CG89" i="36" s="1"/>
  <c r="CQ87" i="36"/>
  <c r="DS125" i="36" s="1"/>
  <c r="DV125" i="36"/>
  <c r="DP161" i="32"/>
  <c r="DU121" i="32"/>
  <c r="ED181" i="37"/>
  <c r="FD181" i="37" s="1"/>
  <c r="FH181" i="37"/>
  <c r="EE181" i="37"/>
  <c r="DB165" i="37"/>
  <c r="DO167" i="37" s="1"/>
  <c r="DP174" i="32"/>
  <c r="DP66" i="32"/>
  <c r="DP90" i="32"/>
  <c r="DP103" i="32"/>
  <c r="DP120" i="32"/>
  <c r="DP168" i="32"/>
  <c r="DP87" i="32"/>
  <c r="DP144" i="32"/>
  <c r="DP92" i="32"/>
  <c r="CV93" i="36"/>
  <c r="CM90" i="36"/>
  <c r="CM92" i="36"/>
  <c r="CM93" i="36"/>
  <c r="ED46" i="37"/>
  <c r="FD46" i="37" s="1"/>
  <c r="EE46" i="37"/>
  <c r="FH46" i="37"/>
  <c r="CR165" i="35"/>
  <c r="DG166" i="35" s="1"/>
  <c r="DJ166" i="35"/>
  <c r="DP62" i="32"/>
  <c r="EJ148" i="37"/>
  <c r="BB150" i="37"/>
  <c r="EN148" i="37" s="1"/>
  <c r="BF150" i="37"/>
  <c r="AK147" i="37"/>
  <c r="CC105" i="35"/>
  <c r="CA101" i="35" s="1"/>
  <c r="AR103" i="35"/>
  <c r="BG103" i="35"/>
  <c r="CS101" i="35" s="1"/>
  <c r="CB78" i="35"/>
  <c r="AW79" i="35" s="1"/>
  <c r="CO79" i="35" s="1"/>
  <c r="DG76" i="35" s="1"/>
  <c r="CA78" i="35"/>
  <c r="BZ76" i="35"/>
  <c r="AP211" i="35" s="1"/>
  <c r="CN140" i="36"/>
  <c r="BI137" i="36" s="1"/>
  <c r="CS132" i="36"/>
  <c r="CY92" i="33"/>
  <c r="CM95" i="33"/>
  <c r="DS39" i="35"/>
  <c r="CR38" i="35"/>
  <c r="DP39" i="35" s="1"/>
  <c r="CS61" i="36"/>
  <c r="CO65" i="36"/>
  <c r="BK62" i="36" s="1"/>
  <c r="CV60" i="36" s="1"/>
  <c r="CQ133" i="32"/>
  <c r="CV130" i="32" s="1"/>
  <c r="BZ141" i="35"/>
  <c r="CA143" i="35"/>
  <c r="AW144" i="35" s="1"/>
  <c r="CO144" i="35" s="1"/>
  <c r="DG141" i="35" s="1"/>
  <c r="CB143" i="35"/>
  <c r="CQ85" i="36"/>
  <c r="DS116" i="36" s="1"/>
  <c r="DV116" i="36"/>
  <c r="CQ103" i="36"/>
  <c r="DS144" i="36" s="1"/>
  <c r="DV144" i="36"/>
  <c r="FH92" i="37"/>
  <c r="Q133" i="37"/>
  <c r="F257" i="37" s="1"/>
  <c r="EL43" i="37"/>
  <c r="EL44" i="37"/>
  <c r="CM158" i="36"/>
  <c r="CV159" i="36"/>
  <c r="CM159" i="36"/>
  <c r="CM156" i="36"/>
  <c r="EJ178" i="37"/>
  <c r="BQ178" i="37"/>
  <c r="EN178" i="37" s="1"/>
  <c r="CS69" i="36"/>
  <c r="CG68" i="36" s="1"/>
  <c r="CQ66" i="36"/>
  <c r="DS97" i="36" s="1"/>
  <c r="DY55" i="37"/>
  <c r="DZ53" i="37"/>
  <c r="DW53" i="37" s="1"/>
  <c r="DX53" i="37"/>
  <c r="DZ55" i="37"/>
  <c r="DW55" i="37" s="1"/>
  <c r="DZ57" i="37"/>
  <c r="DY53" i="37"/>
  <c r="DV53" i="37" s="1"/>
  <c r="CR116" i="35"/>
  <c r="DP117" i="35" s="1"/>
  <c r="CS122" i="35"/>
  <c r="DS117" i="35"/>
  <c r="CA160" i="36"/>
  <c r="AT160" i="36" s="1"/>
  <c r="DJ154" i="36" s="1"/>
  <c r="CB160" i="36"/>
  <c r="EB131" i="37"/>
  <c r="ET131" i="37" s="1"/>
  <c r="EX131" i="37"/>
  <c r="V254" i="37"/>
  <c r="V255" i="37"/>
  <c r="DO120" i="37"/>
  <c r="BW185" i="36"/>
  <c r="CL112" i="35"/>
  <c r="CL111" i="35"/>
  <c r="EJ177" i="37"/>
  <c r="BQ177" i="37"/>
  <c r="EN177" i="37" s="1"/>
  <c r="CT53" i="36"/>
  <c r="DS80" i="36" s="1"/>
  <c r="DV80" i="36"/>
  <c r="DV200" i="36"/>
  <c r="CQ139" i="36"/>
  <c r="DS200" i="36" s="1"/>
  <c r="CA30" i="35"/>
  <c r="CB30" i="35"/>
  <c r="AW31" i="35" s="1"/>
  <c r="CO31" i="35" s="1"/>
  <c r="DG28" i="35" s="1"/>
  <c r="BZ28" i="35"/>
  <c r="AP205" i="35" s="1"/>
  <c r="DP115" i="32"/>
  <c r="AS104" i="37"/>
  <c r="EE102" i="37"/>
  <c r="ED102" i="37"/>
  <c r="FD102" i="37" s="1"/>
  <c r="FH102" i="37"/>
  <c r="DP97" i="32"/>
  <c r="CH71" i="36"/>
  <c r="CG71" i="36"/>
  <c r="CH68" i="36"/>
  <c r="CM111" i="36"/>
  <c r="CV111" i="36"/>
  <c r="CM110" i="36"/>
  <c r="CM108" i="36"/>
  <c r="CQ112" i="36"/>
  <c r="DS158" i="36" s="1"/>
  <c r="DV158" i="36"/>
  <c r="DP45" i="32"/>
  <c r="DP112" i="32"/>
  <c r="DP40" i="32"/>
  <c r="EV46" i="37"/>
  <c r="EV43" i="37"/>
  <c r="EJ95" i="37"/>
  <c r="DP68" i="32"/>
  <c r="DP44" i="32"/>
  <c r="DO166" i="37"/>
  <c r="DP140" i="32"/>
  <c r="DP176" i="32"/>
  <c r="DP152" i="32"/>
  <c r="DP165" i="32"/>
  <c r="DP74" i="32"/>
  <c r="DP70" i="32"/>
  <c r="DP95" i="32"/>
  <c r="DP99" i="32"/>
  <c r="DP142" i="32"/>
  <c r="AN251" i="37"/>
  <c r="R251" i="37"/>
  <c r="BD250" i="37"/>
  <c r="BD251" i="37" s="1"/>
  <c r="CU250" i="37" s="1"/>
  <c r="BG250" i="37"/>
  <c r="BG251" i="37" s="1"/>
  <c r="AN250" i="37"/>
  <c r="BJ250" i="37"/>
  <c r="BJ251" i="37" s="1"/>
  <c r="CU251" i="37" s="1"/>
  <c r="BM250" i="37"/>
  <c r="BM251" i="37" s="1"/>
  <c r="DP54" i="32"/>
  <c r="DP114" i="32"/>
  <c r="EJ114" i="37"/>
  <c r="BQ114" i="37"/>
  <c r="EN114" i="37" s="1"/>
  <c r="BF149" i="37"/>
  <c r="CL258" i="37"/>
  <c r="CO258" i="37"/>
  <c r="CO259" i="37"/>
  <c r="CL259" i="37"/>
  <c r="EJ147" i="37"/>
  <c r="AG147" i="37"/>
  <c r="CJ105" i="35"/>
  <c r="CH104" i="35"/>
  <c r="CH101" i="35"/>
  <c r="CJ101" i="35"/>
  <c r="CS105" i="35"/>
  <c r="CJ104" i="35"/>
  <c r="CK54" i="35"/>
  <c r="CK55" i="35"/>
  <c r="CN65" i="36"/>
  <c r="BI62" i="36" s="1"/>
  <c r="CS57" i="36"/>
  <c r="DV98" i="36"/>
  <c r="DD120" i="33"/>
  <c r="CM122" i="33"/>
  <c r="T121" i="33" s="1"/>
  <c r="DW121" i="33" s="1"/>
  <c r="CL122" i="33"/>
  <c r="O121" i="33"/>
  <c r="DI120" i="33" s="1"/>
  <c r="DV122" i="36"/>
  <c r="CT83" i="36"/>
  <c r="DS122" i="36" s="1"/>
  <c r="CA247" i="37"/>
  <c r="AR247" i="37" s="1"/>
  <c r="AZ257" i="37"/>
  <c r="DP148" i="32"/>
  <c r="AI49" i="37"/>
  <c r="EN45" i="37" s="1"/>
  <c r="EJ45" i="37"/>
  <c r="CU77" i="32"/>
  <c r="FH75" i="37"/>
  <c r="EE75" i="37"/>
  <c r="ED75" i="37"/>
  <c r="FD75" i="37" s="1"/>
  <c r="BZ104" i="32"/>
  <c r="AM102" i="32" s="1"/>
  <c r="DF123" i="32" s="1"/>
  <c r="CB104" i="32"/>
  <c r="AM103" i="32" s="1"/>
  <c r="DF125" i="32" s="1"/>
  <c r="CF104" i="32"/>
  <c r="CL79" i="35"/>
  <c r="CL78" i="35"/>
  <c r="CK177" i="35"/>
  <c r="CK176" i="35"/>
  <c r="BM246" i="37"/>
  <c r="BM247" i="37" s="1"/>
  <c r="AN247" i="37"/>
  <c r="CG110" i="36"/>
  <c r="CH107" i="36"/>
  <c r="CH110" i="36"/>
  <c r="FH125" i="37"/>
  <c r="CN86" i="33"/>
  <c r="CR98" i="35"/>
  <c r="DG99" i="35" s="1"/>
  <c r="DJ99" i="35"/>
  <c r="DJ33" i="35"/>
  <c r="CR32" i="35"/>
  <c r="DG33" i="35" s="1"/>
  <c r="CM135" i="33"/>
  <c r="DB68" i="37"/>
  <c r="CJ33" i="35"/>
  <c r="CH32" i="35"/>
  <c r="CI29" i="35" s="1"/>
  <c r="CG30" i="35"/>
  <c r="CI28" i="35"/>
  <c r="CG31" i="35"/>
  <c r="CG32" i="35"/>
  <c r="CG29" i="35" s="1"/>
  <c r="AS105" i="37"/>
  <c r="EX99" i="37"/>
  <c r="EB99" i="37"/>
  <c r="ET99" i="37" s="1"/>
  <c r="CZ35" i="32"/>
  <c r="CY36" i="32"/>
  <c r="DS144" i="35"/>
  <c r="CR143" i="35"/>
  <c r="DP144" i="35" s="1"/>
  <c r="DP129" i="32"/>
  <c r="BQ87" i="37"/>
  <c r="EN87" i="37" s="1"/>
  <c r="EJ87" i="37"/>
  <c r="CJ68" i="36"/>
  <c r="CJ69" i="36"/>
  <c r="DP101" i="32"/>
  <c r="DP64" i="32"/>
  <c r="DP38" i="32"/>
  <c r="CL251" i="37"/>
  <c r="CO250" i="37"/>
  <c r="CO251" i="37"/>
  <c r="CL250" i="37"/>
  <c r="EJ111" i="37"/>
  <c r="BF113" i="37"/>
  <c r="DP105" i="32"/>
  <c r="DP173" i="32"/>
  <c r="DP107" i="32"/>
  <c r="DP63" i="32"/>
  <c r="DP50" i="32"/>
  <c r="DP138" i="32"/>
  <c r="DP156" i="32"/>
  <c r="DP86" i="32"/>
  <c r="CR167" i="35"/>
  <c r="DP168" i="35" s="1"/>
  <c r="CS173" i="35"/>
  <c r="DS168" i="35"/>
  <c r="CK70" i="35"/>
  <c r="CK71" i="35"/>
  <c r="DP150" i="32"/>
  <c r="AS147" i="37"/>
  <c r="CT186" i="36"/>
  <c r="DS277" i="36" s="1"/>
  <c r="DV277" i="36"/>
  <c r="DV24" i="36"/>
  <c r="CT17" i="36"/>
  <c r="DS24" i="36" s="1"/>
  <c r="DV18" i="36"/>
  <c r="CQ19" i="36"/>
  <c r="DS18" i="36" s="1"/>
  <c r="DP35" i="32"/>
  <c r="CS159" i="36"/>
  <c r="CQ157" i="36"/>
  <c r="DS226" i="36" s="1"/>
  <c r="DV226" i="36"/>
  <c r="EJ136" i="37"/>
  <c r="AI140" i="37"/>
  <c r="EN136" i="37" s="1"/>
  <c r="CM59" i="36"/>
  <c r="CL63" i="36"/>
  <c r="BC62" i="36"/>
  <c r="CS64" i="36" s="1"/>
  <c r="BP61" i="36"/>
  <c r="CL60" i="36"/>
  <c r="BS62" i="36"/>
  <c r="CV62" i="36"/>
  <c r="CL62" i="36"/>
  <c r="CL59" i="36"/>
  <c r="BS268" i="37"/>
  <c r="BP269" i="37"/>
  <c r="BS269" i="37" s="1"/>
  <c r="CM83" i="36"/>
  <c r="CM84" i="36"/>
  <c r="CM81" i="36"/>
  <c r="CV84" i="36"/>
  <c r="EJ77" i="37"/>
  <c r="BQ77" i="37"/>
  <c r="EN77" i="37" s="1"/>
  <c r="CK88" i="35"/>
  <c r="CK87" i="35"/>
  <c r="AI95" i="37"/>
  <c r="EN91" i="37" s="1"/>
  <c r="EJ91" i="37"/>
  <c r="AZ256" i="37"/>
  <c r="DM135" i="37"/>
  <c r="AG138" i="37" s="1"/>
  <c r="CL135" i="35"/>
  <c r="CL136" i="35"/>
  <c r="DS69" i="35"/>
  <c r="CR68" i="35"/>
  <c r="DP69" i="35" s="1"/>
  <c r="CS71" i="35"/>
  <c r="AB137" i="33"/>
  <c r="EB137" i="33" s="1"/>
  <c r="CS30" i="36"/>
  <c r="CN38" i="36"/>
  <c r="BI35" i="36" s="1"/>
  <c r="CT158" i="36"/>
  <c r="DS234" i="36" s="1"/>
  <c r="DV234" i="36"/>
  <c r="CR138" i="35"/>
  <c r="DG139" i="35" s="1"/>
  <c r="DJ139" i="35"/>
  <c r="CG88" i="35"/>
  <c r="DJ42" i="35"/>
  <c r="CR41" i="35"/>
  <c r="DG42" i="35" s="1"/>
  <c r="DS104" i="35"/>
  <c r="CR103" i="35"/>
  <c r="DP104" i="35" s="1"/>
  <c r="DR88" i="33"/>
  <c r="CY84" i="33"/>
  <c r="CM87" i="33"/>
  <c r="CJ108" i="36"/>
  <c r="CJ107" i="36"/>
  <c r="DJ74" i="35"/>
  <c r="CR73" i="35"/>
  <c r="DG74" i="35" s="1"/>
  <c r="CM51" i="36"/>
  <c r="CV54" i="36"/>
  <c r="CM53" i="36"/>
  <c r="CM54" i="36"/>
  <c r="CS39" i="35"/>
  <c r="CR36" i="35"/>
  <c r="DP37" i="35" s="1"/>
  <c r="DS37" i="35"/>
  <c r="CK31" i="35"/>
  <c r="CK30" i="35"/>
  <c r="DR134" i="33"/>
  <c r="DM134" i="33"/>
  <c r="FH173" i="37"/>
  <c r="EE173" i="37"/>
  <c r="ED173" i="37"/>
  <c r="FD173" i="37" s="1"/>
  <c r="CT137" i="36"/>
  <c r="DS206" i="36" s="1"/>
  <c r="DV206" i="36"/>
  <c r="CL38" i="35"/>
  <c r="CL39" i="35"/>
  <c r="CG87" i="35"/>
  <c r="EB98" i="37"/>
  <c r="ET98" i="37" s="1"/>
  <c r="EX98" i="37"/>
  <c r="X104" i="37"/>
  <c r="CF248" i="37"/>
  <c r="CF249" i="37"/>
  <c r="BZ249" i="37"/>
  <c r="CN248" i="37"/>
  <c r="CN249" i="37"/>
  <c r="BZ248" i="37"/>
  <c r="EJ98" i="37"/>
  <c r="T104" i="37"/>
  <c r="EN98" i="37" s="1"/>
  <c r="DP36" i="32"/>
  <c r="EJ118" i="37"/>
  <c r="AI122" i="37"/>
  <c r="EN118" i="37" s="1"/>
  <c r="CR133" i="35"/>
  <c r="DP134" i="35" s="1"/>
  <c r="DS134" i="35"/>
  <c r="CS136" i="35"/>
  <c r="DP123" i="32"/>
  <c r="DV70" i="36"/>
  <c r="CQ49" i="36"/>
  <c r="DS70" i="36" s="1"/>
  <c r="CT110" i="36"/>
  <c r="DS164" i="36" s="1"/>
  <c r="DV164" i="36"/>
  <c r="DP77" i="32"/>
  <c r="DP159" i="32"/>
  <c r="DR63" i="33"/>
  <c r="DM63" i="33"/>
  <c r="CN104" i="36"/>
  <c r="BI101" i="36" s="1"/>
  <c r="CS96" i="36"/>
  <c r="DS149" i="35"/>
  <c r="CS154" i="35"/>
  <c r="CR148" i="35"/>
  <c r="DP149" i="35" s="1"/>
  <c r="EJ196" i="37"/>
  <c r="BQ196" i="37"/>
  <c r="EN196" i="37" s="1"/>
  <c r="DP71" i="32"/>
  <c r="CM164" i="36"/>
  <c r="CL164" i="36"/>
  <c r="CL167" i="36"/>
  <c r="CL165" i="36"/>
  <c r="BS167" i="36"/>
  <c r="CV167" i="36"/>
  <c r="BP166" i="36"/>
  <c r="CL168" i="36"/>
  <c r="BC167" i="36"/>
  <c r="CS169" i="36" s="1"/>
  <c r="DP75" i="32"/>
  <c r="DP53" i="32"/>
  <c r="DP119" i="32"/>
  <c r="DP132" i="32"/>
  <c r="DP158" i="32"/>
  <c r="DP147" i="32"/>
  <c r="DP124" i="32"/>
  <c r="DP145" i="32"/>
  <c r="DP85" i="32"/>
  <c r="DP43" i="32"/>
  <c r="DJ73" i="35"/>
  <c r="DP134" i="32"/>
  <c r="CT97" i="36"/>
  <c r="DS146" i="36" s="1"/>
  <c r="DV146" i="36"/>
  <c r="CT99" i="36"/>
  <c r="DS148" i="36" s="1"/>
  <c r="DV148" i="36"/>
  <c r="CR46" i="35"/>
  <c r="DP47" i="35" s="1"/>
  <c r="DS47" i="35"/>
  <c r="CT13" i="36"/>
  <c r="DS20" i="36" s="1"/>
  <c r="DV20" i="36"/>
  <c r="CN86" i="36"/>
  <c r="BI83" i="36" s="1"/>
  <c r="CS78" i="36"/>
  <c r="DV232" i="36"/>
  <c r="CT156" i="36"/>
  <c r="DS232" i="36" s="1"/>
  <c r="CQ121" i="36"/>
  <c r="DS172" i="36" s="1"/>
  <c r="DV172" i="36"/>
  <c r="DV178" i="36"/>
  <c r="CT119" i="36"/>
  <c r="DS178" i="36" s="1"/>
  <c r="CT58" i="36"/>
  <c r="DS90" i="36" s="1"/>
  <c r="DV90" i="36"/>
  <c r="BX146" i="36"/>
  <c r="BZ147" i="36"/>
  <c r="BY138" i="36"/>
  <c r="CS48" i="36"/>
  <c r="CN56" i="36"/>
  <c r="BI53" i="36" s="1"/>
  <c r="CR33" i="35"/>
  <c r="DG34" i="35" s="1"/>
  <c r="DJ34" i="35"/>
  <c r="DV150" i="36"/>
  <c r="CT101" i="36"/>
  <c r="DS150" i="36" s="1"/>
  <c r="DJ90" i="35"/>
  <c r="BQ140" i="37"/>
  <c r="EN140" i="37" s="1"/>
  <c r="EJ140" i="37"/>
  <c r="CK136" i="35"/>
  <c r="CK135" i="35"/>
  <c r="DS146" i="35"/>
  <c r="ED191" i="37"/>
  <c r="FD191" i="37" s="1"/>
  <c r="FH191" i="37"/>
  <c r="EE191" i="37"/>
  <c r="CG71" i="35"/>
  <c r="CG68" i="35" s="1"/>
  <c r="CI68" i="35"/>
  <c r="CJ73" i="35"/>
  <c r="CH72" i="35"/>
  <c r="CI69" i="35" s="1"/>
  <c r="CG72" i="35"/>
  <c r="CG69" i="35" s="1"/>
  <c r="CS25" i="35"/>
  <c r="DS20" i="35"/>
  <c r="CR19" i="35"/>
  <c r="DP20" i="35" s="1"/>
  <c r="R257" i="37"/>
  <c r="AR256" i="37"/>
  <c r="AN257" i="37"/>
  <c r="AN256" i="37"/>
  <c r="BM256" i="37"/>
  <c r="BM257" i="37" s="1"/>
  <c r="BD256" i="37"/>
  <c r="BD257" i="37" s="1"/>
  <c r="CU256" i="37" s="1"/>
  <c r="BG256" i="37"/>
  <c r="BG257" i="37" s="1"/>
  <c r="BJ256" i="37"/>
  <c r="BJ257" i="37" s="1"/>
  <c r="CU257" i="37" s="1"/>
  <c r="AV257" i="37"/>
  <c r="CA178" i="35"/>
  <c r="CB175" i="35"/>
  <c r="CA175" i="35"/>
  <c r="CB178" i="35"/>
  <c r="BZ176" i="35"/>
  <c r="BZ175" i="35"/>
  <c r="CS127" i="35"/>
  <c r="DS127" i="35"/>
  <c r="CR126" i="35"/>
  <c r="DP127" i="35" s="1"/>
  <c r="CR57" i="35"/>
  <c r="DG58" i="35" s="1"/>
  <c r="DJ58" i="35"/>
  <c r="CK96" i="35"/>
  <c r="DP18" i="32"/>
  <c r="DP19" i="32"/>
  <c r="DP22" i="32"/>
  <c r="DP29" i="32"/>
  <c r="DP28" i="32"/>
  <c r="DP32" i="32"/>
  <c r="DP30" i="32"/>
  <c r="DP27" i="32"/>
  <c r="ED127" i="37"/>
  <c r="FD127" i="37" s="1"/>
  <c r="FH127" i="37"/>
  <c r="EE127" i="37"/>
  <c r="AK254" i="37"/>
  <c r="DM52" i="33"/>
  <c r="DR52" i="33"/>
  <c r="DV233" i="36"/>
  <c r="CT157" i="36"/>
  <c r="DS233" i="36" s="1"/>
  <c r="BP43" i="36"/>
  <c r="CL44" i="36"/>
  <c r="CL45" i="36"/>
  <c r="CV44" i="36"/>
  <c r="CL42" i="36"/>
  <c r="CL41" i="36"/>
  <c r="CM41" i="36"/>
  <c r="BS44" i="36"/>
  <c r="BC44" i="36"/>
  <c r="CS46" i="36" s="1"/>
  <c r="DP116" i="32"/>
  <c r="DS96" i="35"/>
  <c r="CR95" i="35"/>
  <c r="DP96" i="35" s="1"/>
  <c r="ED104" i="37"/>
  <c r="FD104" i="37" s="1"/>
  <c r="EE104" i="37"/>
  <c r="FH104" i="37"/>
  <c r="ED112" i="37"/>
  <c r="FD112" i="37" s="1"/>
  <c r="FH112" i="37"/>
  <c r="EE112" i="37"/>
  <c r="DP37" i="32"/>
  <c r="DP151" i="32"/>
  <c r="DP46" i="32"/>
  <c r="CH137" i="35"/>
  <c r="CI134" i="35" s="1"/>
  <c r="CI133" i="35"/>
  <c r="CJ138" i="35"/>
  <c r="CG137" i="35"/>
  <c r="CG134" i="35" s="1"/>
  <c r="CG135" i="35"/>
  <c r="CG133" i="35" s="1"/>
  <c r="DP179" i="32"/>
  <c r="EE110" i="37"/>
  <c r="ED110" i="37"/>
  <c r="FD110" i="37" s="1"/>
  <c r="FH110" i="37"/>
  <c r="DD60" i="33"/>
  <c r="CM62" i="33"/>
  <c r="T61" i="33" s="1"/>
  <c r="DW61" i="33" s="1"/>
  <c r="CL62" i="33"/>
  <c r="O61" i="33"/>
  <c r="DI60" i="33" s="1"/>
  <c r="CE122" i="32"/>
  <c r="AM120" i="32" s="1"/>
  <c r="DF147" i="32" s="1"/>
  <c r="CG122" i="32"/>
  <c r="AM121" i="32" s="1"/>
  <c r="DF149" i="32" s="1"/>
  <c r="DG23" i="32" s="1"/>
  <c r="L166" i="32" s="1"/>
  <c r="C166" i="32" s="1"/>
  <c r="CK122" i="32"/>
  <c r="CJ149" i="35"/>
  <c r="CH152" i="35"/>
  <c r="CJ153" i="35"/>
  <c r="CS153" i="35"/>
  <c r="CJ152" i="35"/>
  <c r="CH149" i="35"/>
  <c r="CG151" i="35"/>
  <c r="CG149" i="35" s="1"/>
  <c r="DP31" i="32"/>
  <c r="DS60" i="35"/>
  <c r="CR59" i="35"/>
  <c r="DP60" i="35" s="1"/>
  <c r="CS65" i="35"/>
  <c r="CR54" i="35"/>
  <c r="DP55" i="35" s="1"/>
  <c r="DS55" i="35"/>
  <c r="DP130" i="32"/>
  <c r="DP26" i="32"/>
  <c r="DP48" i="32"/>
  <c r="DP137" i="32"/>
  <c r="DP178" i="32"/>
  <c r="DP67" i="32"/>
  <c r="DP141" i="32"/>
  <c r="DP84" i="32"/>
  <c r="DP42" i="32"/>
  <c r="CL70" i="35"/>
  <c r="CL71" i="35"/>
  <c r="DP104" i="32"/>
  <c r="DB141" i="37"/>
  <c r="Q142" i="37" s="1"/>
  <c r="F259" i="37" s="1"/>
  <c r="CQ100" i="36"/>
  <c r="DS142" i="36" s="1"/>
  <c r="CS102" i="36"/>
  <c r="DV142" i="36"/>
  <c r="CM17" i="36"/>
  <c r="CM15" i="36"/>
  <c r="CV18" i="36"/>
  <c r="CM18" i="36"/>
  <c r="DS86" i="35"/>
  <c r="CS88" i="35"/>
  <c r="CR85" i="35"/>
  <c r="DP86" i="35" s="1"/>
  <c r="CB98" i="32"/>
  <c r="AM97" i="32" s="1"/>
  <c r="DF117" i="32" s="1"/>
  <c r="BZ98" i="32"/>
  <c r="AM96" i="32" s="1"/>
  <c r="DF115" i="32" s="1"/>
  <c r="CF98" i="32"/>
  <c r="CH84" i="36"/>
  <c r="DV117" i="36"/>
  <c r="CQ86" i="36"/>
  <c r="DS117" i="36" s="1"/>
  <c r="CH81" i="36"/>
  <c r="CH158" i="36"/>
  <c r="CH155" i="36"/>
  <c r="CG158" i="36"/>
  <c r="CM117" i="36"/>
  <c r="CV120" i="36"/>
  <c r="CM120" i="36"/>
  <c r="CM119" i="36"/>
  <c r="CB162" i="35"/>
  <c r="CA162" i="35"/>
  <c r="BZ160" i="35"/>
  <c r="CB159" i="35"/>
  <c r="FH171" i="37"/>
  <c r="ED171" i="37"/>
  <c r="FD171" i="37" s="1"/>
  <c r="EE171" i="37"/>
  <c r="CR90" i="35"/>
  <c r="DG91" i="35" s="1"/>
  <c r="DJ91" i="35"/>
  <c r="CM99" i="36"/>
  <c r="CV102" i="36"/>
  <c r="CM102" i="36"/>
  <c r="CM101" i="36"/>
  <c r="BQ86" i="37"/>
  <c r="EN86" i="37" s="1"/>
  <c r="EJ86" i="37"/>
  <c r="DS22" i="35"/>
  <c r="CR21" i="35"/>
  <c r="DP22" i="35" s="1"/>
  <c r="CS22" i="35"/>
  <c r="EE94" i="37"/>
  <c r="ED94" i="37"/>
  <c r="FD94" i="37" s="1"/>
  <c r="FH94" i="37"/>
  <c r="EE189" i="37"/>
  <c r="ED189" i="37"/>
  <c r="FD189" i="37" s="1"/>
  <c r="FH189" i="37"/>
  <c r="CA70" i="35"/>
  <c r="BZ68" i="35"/>
  <c r="AP210" i="35" s="1"/>
  <c r="CN210" i="35" s="1"/>
  <c r="AU210" i="35" s="1"/>
  <c r="CB70" i="35"/>
  <c r="AW71" i="35" s="1"/>
  <c r="CO71" i="35" s="1"/>
  <c r="DG68" i="35" s="1"/>
  <c r="CS130" i="33"/>
  <c r="CV138" i="33"/>
  <c r="CX138" i="33"/>
  <c r="CW138" i="33"/>
  <c r="CU138" i="33"/>
  <c r="CT138" i="33"/>
  <c r="DV228" i="36"/>
  <c r="CQ160" i="36"/>
  <c r="DS228" i="36" s="1"/>
  <c r="AR22" i="35"/>
  <c r="CC24" i="35"/>
  <c r="CA20" i="35" s="1"/>
  <c r="BG22" i="35"/>
  <c r="CS20" i="35" s="1"/>
  <c r="AK146" i="35"/>
  <c r="CP142" i="35" s="1"/>
  <c r="DA143" i="35" s="1"/>
  <c r="CR179" i="35"/>
  <c r="DG180" i="35" s="1"/>
  <c r="DJ180" i="35"/>
  <c r="DM136" i="33"/>
  <c r="DR136" i="33"/>
  <c r="DS44" i="35"/>
  <c r="CS49" i="35"/>
  <c r="CR43" i="35"/>
  <c r="DP44" i="35" s="1"/>
  <c r="CJ117" i="35"/>
  <c r="CJ121" i="35"/>
  <c r="CS121" i="35"/>
  <c r="CJ120" i="35"/>
  <c r="CH117" i="35"/>
  <c r="CH120" i="35"/>
  <c r="DS94" i="35"/>
  <c r="CR93" i="35"/>
  <c r="DP94" i="35" s="1"/>
  <c r="CS96" i="35"/>
  <c r="CK79" i="35"/>
  <c r="EJ122" i="37"/>
  <c r="BQ122" i="37"/>
  <c r="EN122" i="37" s="1"/>
  <c r="CK112" i="35"/>
  <c r="CK111" i="35"/>
  <c r="AB145" i="33"/>
  <c r="EB145" i="33" s="1"/>
  <c r="CJ41" i="35"/>
  <c r="CI36" i="35"/>
  <c r="CH40" i="35"/>
  <c r="CI37" i="35" s="1"/>
  <c r="CG40" i="35"/>
  <c r="CG37" i="35" s="1"/>
  <c r="CG38" i="35"/>
  <c r="CG36" i="35" s="1"/>
  <c r="CO47" i="36"/>
  <c r="BK44" i="36" s="1"/>
  <c r="CV42" i="36" s="1"/>
  <c r="CS43" i="36"/>
  <c r="CK39" i="35"/>
  <c r="CK38" i="35"/>
  <c r="CN20" i="36"/>
  <c r="BI17" i="36" s="1"/>
  <c r="CS12" i="36"/>
  <c r="EB103" i="37"/>
  <c r="ET103" i="37" s="1"/>
  <c r="EX103" i="37"/>
  <c r="DP78" i="32"/>
  <c r="DP73" i="32"/>
  <c r="DP57" i="32"/>
  <c r="CY32" i="33"/>
  <c r="CM35" i="33"/>
  <c r="CM34" i="33" s="1"/>
  <c r="O34" i="33" s="1"/>
  <c r="DI33" i="33" s="1"/>
  <c r="CA135" i="35"/>
  <c r="AW136" i="35" s="1"/>
  <c r="CO136" i="35" s="1"/>
  <c r="DG133" i="35" s="1"/>
  <c r="BZ133" i="35"/>
  <c r="AP218" i="35" s="1"/>
  <c r="CB135" i="35"/>
  <c r="FH48" i="37"/>
  <c r="ED48" i="37"/>
  <c r="FD48" i="37" s="1"/>
  <c r="EE48" i="37"/>
  <c r="DP146" i="32"/>
  <c r="EV45" i="37"/>
  <c r="DP160" i="32"/>
  <c r="DU122" i="32"/>
  <c r="DB105" i="37"/>
  <c r="CS114" i="36"/>
  <c r="CN122" i="36"/>
  <c r="BI119" i="36" s="1"/>
  <c r="DP171" i="32"/>
  <c r="CN161" i="36"/>
  <c r="BI158" i="36" s="1"/>
  <c r="CS153" i="36"/>
  <c r="AR62" i="35"/>
  <c r="CC64" i="35"/>
  <c r="CA60" i="35" s="1"/>
  <c r="BG62" i="35"/>
  <c r="CS60" i="35" s="1"/>
  <c r="DP157" i="32"/>
  <c r="DP113" i="32"/>
  <c r="DP25" i="32"/>
  <c r="DP52" i="32"/>
  <c r="DP175" i="32"/>
  <c r="DP167" i="32"/>
  <c r="DP49" i="32"/>
  <c r="DP83" i="32"/>
  <c r="DP108" i="32"/>
  <c r="DP88" i="32"/>
  <c r="CQ94" i="36"/>
  <c r="DS130" i="36" s="1"/>
  <c r="DV130" i="36"/>
  <c r="DP76" i="32"/>
  <c r="DP98" i="32"/>
  <c r="CQ141" i="36"/>
  <c r="DS209" i="36" s="1"/>
  <c r="DV209" i="36"/>
  <c r="CS144" i="36"/>
  <c r="CG143" i="36" s="1"/>
  <c r="DP164" i="32"/>
  <c r="DP117" i="32"/>
  <c r="DP143" i="32"/>
  <c r="DN81" i="37" l="1"/>
  <c r="AK84" i="37" s="1"/>
  <c r="DM81" i="37"/>
  <c r="AG84" i="37" s="1"/>
  <c r="DQ81" i="37"/>
  <c r="AW84" i="37" s="1"/>
  <c r="Q79" i="37"/>
  <c r="F245" i="37" s="1"/>
  <c r="EE126" i="37"/>
  <c r="FH126" i="37"/>
  <c r="AH254" i="37"/>
  <c r="ED126" i="37"/>
  <c r="FD126" i="37" s="1"/>
  <c r="AN246" i="37"/>
  <c r="AV247" i="37"/>
  <c r="EJ59" i="37"/>
  <c r="CW254" i="37"/>
  <c r="CL95" i="35"/>
  <c r="BJ246" i="37"/>
  <c r="BJ247" i="37" s="1"/>
  <c r="CU247" i="37" s="1"/>
  <c r="AR246" i="37"/>
  <c r="R247" i="37"/>
  <c r="CG79" i="35"/>
  <c r="CA54" i="35"/>
  <c r="BD246" i="37"/>
  <c r="BD247" i="37" s="1"/>
  <c r="CU246" i="37" s="1"/>
  <c r="AZ246" i="37"/>
  <c r="CB54" i="35"/>
  <c r="AW55" i="35" s="1"/>
  <c r="CO55" i="35" s="1"/>
  <c r="DG52" i="35" s="1"/>
  <c r="EX68" i="37"/>
  <c r="Y240" i="37"/>
  <c r="AZ247" i="37"/>
  <c r="DA126" i="37"/>
  <c r="EB132" i="37"/>
  <c r="ET132" i="37" s="1"/>
  <c r="Y254" i="37"/>
  <c r="CG78" i="35"/>
  <c r="CG76" i="35" s="1"/>
  <c r="CG80" i="35"/>
  <c r="CG77" i="35" s="1"/>
  <c r="CH80" i="35"/>
  <c r="CI77" i="35" s="1"/>
  <c r="CK95" i="35"/>
  <c r="DQ117" i="37"/>
  <c r="AW120" i="37" s="1"/>
  <c r="ED117" i="37" s="1"/>
  <c r="FD117" i="37" s="1"/>
  <c r="DR117" i="37"/>
  <c r="BA120" i="37" s="1"/>
  <c r="DN117" i="37"/>
  <c r="AK120" i="37" s="1"/>
  <c r="DM117" i="37"/>
  <c r="AG120" i="37" s="1"/>
  <c r="O30" i="33"/>
  <c r="DI29" i="33" s="1"/>
  <c r="CB111" i="35"/>
  <c r="AW112" i="35" s="1"/>
  <c r="CO112" i="35" s="1"/>
  <c r="DG109" i="35" s="1"/>
  <c r="AT198" i="33"/>
  <c r="CL247" i="37"/>
  <c r="AB30" i="33"/>
  <c r="EB30" i="33" s="1"/>
  <c r="BB96" i="37"/>
  <c r="EN94" i="37" s="1"/>
  <c r="CO246" i="37"/>
  <c r="EJ94" i="37"/>
  <c r="BA93" i="37"/>
  <c r="AK246" i="37" s="1"/>
  <c r="CS112" i="35"/>
  <c r="DJ113" i="35" s="1"/>
  <c r="CN30" i="33"/>
  <c r="CB151" i="35"/>
  <c r="DY62" i="37"/>
  <c r="DV62" i="37" s="1"/>
  <c r="DX62" i="37"/>
  <c r="DZ64" i="37"/>
  <c r="DW64" i="37" s="1"/>
  <c r="DZ62" i="37"/>
  <c r="DW62" i="37" s="1"/>
  <c r="DY64" i="37"/>
  <c r="DZ66" i="37"/>
  <c r="CR109" i="35"/>
  <c r="DP110" i="35" s="1"/>
  <c r="CO30" i="33"/>
  <c r="T30" i="33" s="1"/>
  <c r="DW30" i="33" s="1"/>
  <c r="EA35" i="33" s="1"/>
  <c r="BZ149" i="35"/>
  <c r="BF96" i="37"/>
  <c r="EJ96" i="37" s="1"/>
  <c r="CB148" i="35"/>
  <c r="BY151" i="35" s="1"/>
  <c r="CA159" i="35" s="1"/>
  <c r="CO247" i="37"/>
  <c r="AE254" i="37"/>
  <c r="CV100" i="32"/>
  <c r="ED125" i="37"/>
  <c r="FD125" i="37" s="1"/>
  <c r="ED92" i="37"/>
  <c r="FD92" i="37" s="1"/>
  <c r="CP66" i="33"/>
  <c r="AB66" i="33" s="1"/>
  <c r="EB66" i="33" s="1"/>
  <c r="CM66" i="33"/>
  <c r="O66" i="33" s="1"/>
  <c r="DI65" i="33" s="1"/>
  <c r="AW93" i="37"/>
  <c r="FH90" i="37" s="1"/>
  <c r="CA111" i="35"/>
  <c r="DF148" i="37"/>
  <c r="BB149" i="37" s="1"/>
  <c r="EN147" i="37" s="1"/>
  <c r="CH56" i="35"/>
  <c r="CI53" i="35" s="1"/>
  <c r="EX59" i="37"/>
  <c r="EB59" i="37"/>
  <c r="ET59" i="37" s="1"/>
  <c r="CR52" i="35"/>
  <c r="DP53" i="35" s="1"/>
  <c r="CB167" i="35"/>
  <c r="CJ57" i="35"/>
  <c r="CG54" i="35"/>
  <c r="CG52" i="35" s="1"/>
  <c r="CG56" i="35"/>
  <c r="CG53" i="35" s="1"/>
  <c r="CQ102" i="33"/>
  <c r="AB102" i="33" s="1"/>
  <c r="EB102" i="33" s="1"/>
  <c r="CA258" i="37"/>
  <c r="AR258" i="37" s="1"/>
  <c r="CI52" i="35"/>
  <c r="CV59" i="32"/>
  <c r="L179" i="32"/>
  <c r="C179" i="32" s="1"/>
  <c r="T179" i="32" s="1"/>
  <c r="Z179" i="32" s="1"/>
  <c r="AS93" i="37"/>
  <c r="FH89" i="37" s="1"/>
  <c r="ED144" i="37"/>
  <c r="FD144" i="37" s="1"/>
  <c r="AG93" i="37"/>
  <c r="EB95" i="37" s="1"/>
  <c r="ET95" i="37" s="1"/>
  <c r="BN114" i="35"/>
  <c r="AW114" i="35" s="1"/>
  <c r="CB170" i="35"/>
  <c r="AW146" i="35"/>
  <c r="CO146" i="35" s="1"/>
  <c r="DG143" i="35" s="1"/>
  <c r="DJ115" i="35"/>
  <c r="DS53" i="35"/>
  <c r="FH144" i="37"/>
  <c r="EE144" i="37"/>
  <c r="DV221" i="36"/>
  <c r="BZ167" i="35"/>
  <c r="CA167" i="35"/>
  <c r="CA170" i="35"/>
  <c r="EE167" i="37"/>
  <c r="FH167" i="37"/>
  <c r="DB160" i="37"/>
  <c r="ED167" i="37"/>
  <c r="FD167" i="37" s="1"/>
  <c r="EJ166" i="37"/>
  <c r="CL263" i="37"/>
  <c r="BF168" i="37"/>
  <c r="CL262" i="37"/>
  <c r="CO262" i="37"/>
  <c r="CO263" i="37"/>
  <c r="FH165" i="37"/>
  <c r="EE165" i="37"/>
  <c r="ED165" i="37"/>
  <c r="FD165" i="37" s="1"/>
  <c r="BB169" i="37"/>
  <c r="EN167" i="37" s="1"/>
  <c r="BF169" i="37"/>
  <c r="EJ167" i="37"/>
  <c r="AH256" i="37"/>
  <c r="FH135" i="37"/>
  <c r="EE135" i="37"/>
  <c r="CS108" i="36"/>
  <c r="CG107" i="36" s="1"/>
  <c r="CN108" i="36" s="1"/>
  <c r="DV153" i="36"/>
  <c r="BN73" i="35"/>
  <c r="AW73" i="35" s="1"/>
  <c r="CV77" i="32"/>
  <c r="BB159" i="37"/>
  <c r="EN157" i="37" s="1"/>
  <c r="BN81" i="35"/>
  <c r="CP81" i="35" s="1"/>
  <c r="DJ78" i="35" s="1"/>
  <c r="CV35" i="32"/>
  <c r="AK90" i="35"/>
  <c r="CP86" i="35" s="1"/>
  <c r="DA87" i="35" s="1"/>
  <c r="AK81" i="35"/>
  <c r="CP77" i="35" s="1"/>
  <c r="DA78" i="35" s="1"/>
  <c r="CV47" i="32"/>
  <c r="Y236" i="37"/>
  <c r="EX50" i="37"/>
  <c r="AK138" i="35"/>
  <c r="CP134" i="35" s="1"/>
  <c r="DA135" i="35" s="1"/>
  <c r="CO144" i="36"/>
  <c r="BL149" i="36" s="1"/>
  <c r="DM143" i="36" s="1"/>
  <c r="CM127" i="33"/>
  <c r="CM126" i="33" s="1"/>
  <c r="O126" i="33" s="1"/>
  <c r="DI125" i="33" s="1"/>
  <c r="AK114" i="35"/>
  <c r="CP110" i="35" s="1"/>
  <c r="DA111" i="35" s="1"/>
  <c r="CM102" i="33"/>
  <c r="O102" i="33" s="1"/>
  <c r="DI101" i="33" s="1"/>
  <c r="BD202" i="33"/>
  <c r="BB231" i="33" s="1"/>
  <c r="C231" i="33" s="1"/>
  <c r="CO146" i="33"/>
  <c r="T146" i="33" s="1"/>
  <c r="DW146" i="33" s="1"/>
  <c r="AG102" i="37"/>
  <c r="EX104" i="37" s="1"/>
  <c r="CR138" i="33"/>
  <c r="G138" i="33" s="1"/>
  <c r="DD137" i="33" s="1"/>
  <c r="BW71" i="36"/>
  <c r="CV53" i="32"/>
  <c r="AK57" i="35"/>
  <c r="CP53" i="35" s="1"/>
  <c r="DA54" i="35" s="1"/>
  <c r="CU142" i="32"/>
  <c r="AK41" i="35"/>
  <c r="CP37" i="35" s="1"/>
  <c r="DA38" i="35" s="1"/>
  <c r="BN41" i="35"/>
  <c r="AW41" i="35" s="1"/>
  <c r="CO24" i="36"/>
  <c r="DK34" i="33"/>
  <c r="DL34" i="33" s="1"/>
  <c r="O38" i="33"/>
  <c r="DI37" i="33" s="1"/>
  <c r="CO23" i="36"/>
  <c r="AK33" i="35"/>
  <c r="CP29" i="35" s="1"/>
  <c r="DA30" i="35" s="1"/>
  <c r="CN38" i="33"/>
  <c r="CO78" i="33"/>
  <c r="T78" i="33" s="1"/>
  <c r="DW78" i="33" s="1"/>
  <c r="DD77" i="33"/>
  <c r="CN78" i="33"/>
  <c r="O78" i="33"/>
  <c r="DI77" i="33" s="1"/>
  <c r="CO38" i="33"/>
  <c r="T38" i="33" s="1"/>
  <c r="DW38" i="33" s="1"/>
  <c r="AB38" i="33"/>
  <c r="EB38" i="33" s="1"/>
  <c r="DD145" i="33"/>
  <c r="DM76" i="33"/>
  <c r="DR76" i="33"/>
  <c r="AB121" i="33"/>
  <c r="EB121" i="33" s="1"/>
  <c r="CR70" i="33"/>
  <c r="G70" i="33" s="1"/>
  <c r="CO70" i="33" s="1"/>
  <c r="T70" i="33" s="1"/>
  <c r="DW70" i="33" s="1"/>
  <c r="O146" i="33"/>
  <c r="DI145" i="33" s="1"/>
  <c r="CP142" i="33"/>
  <c r="CQ142" i="33"/>
  <c r="CM142" i="33"/>
  <c r="O142" i="33" s="1"/>
  <c r="DI141" i="33" s="1"/>
  <c r="CO90" i="36"/>
  <c r="AV248" i="37"/>
  <c r="CN146" i="33"/>
  <c r="DM144" i="33"/>
  <c r="DR144" i="33"/>
  <c r="CN144" i="36"/>
  <c r="AF149" i="36" s="1"/>
  <c r="DD143" i="36" s="1"/>
  <c r="CQ74" i="33"/>
  <c r="CM74" i="33"/>
  <c r="O74" i="33" s="1"/>
  <c r="DI73" i="33" s="1"/>
  <c r="CP74" i="33"/>
  <c r="DF121" i="37"/>
  <c r="BB122" i="37" s="1"/>
  <c r="EN120" i="37" s="1"/>
  <c r="AZ249" i="37"/>
  <c r="AR249" i="37"/>
  <c r="AR248" i="37"/>
  <c r="CV46" i="33"/>
  <c r="CW46" i="33"/>
  <c r="CU46" i="33"/>
  <c r="CX46" i="33"/>
  <c r="CT46" i="33"/>
  <c r="EX140" i="37"/>
  <c r="EB140" i="37"/>
  <c r="ET140" i="37" s="1"/>
  <c r="DA135" i="37"/>
  <c r="V256" i="37"/>
  <c r="V257" i="37"/>
  <c r="CK93" i="35"/>
  <c r="CK94" i="35"/>
  <c r="CK133" i="35"/>
  <c r="CK134" i="35"/>
  <c r="CK69" i="35"/>
  <c r="CK68" i="35"/>
  <c r="CK37" i="35"/>
  <c r="CK36" i="35"/>
  <c r="CA62" i="35"/>
  <c r="BZ60" i="35"/>
  <c r="AP209" i="35" s="1"/>
  <c r="CB62" i="35"/>
  <c r="AW63" i="35" s="1"/>
  <c r="CO63" i="35" s="1"/>
  <c r="DG60" i="35" s="1"/>
  <c r="DV223" i="36"/>
  <c r="CS156" i="36"/>
  <c r="CG155" i="36" s="1"/>
  <c r="CQ153" i="36"/>
  <c r="DS223" i="36" s="1"/>
  <c r="DM108" i="37"/>
  <c r="AG111" i="37" s="1"/>
  <c r="DQ108" i="37"/>
  <c r="AW111" i="37" s="1"/>
  <c r="DR108" i="37"/>
  <c r="BA111" i="37" s="1"/>
  <c r="DP108" i="37"/>
  <c r="AS111" i="37" s="1"/>
  <c r="DN108" i="37"/>
  <c r="AK111" i="37" s="1"/>
  <c r="Q106" i="37"/>
  <c r="F251" i="37" s="1"/>
  <c r="CR88" i="35"/>
  <c r="DG89" i="35" s="1"/>
  <c r="DJ89" i="35"/>
  <c r="BZ148" i="36"/>
  <c r="H148" i="36"/>
  <c r="DA142" i="36" s="1"/>
  <c r="DH29" i="33"/>
  <c r="DH38" i="33"/>
  <c r="DH30" i="33"/>
  <c r="DH43" i="33"/>
  <c r="DH41" i="33"/>
  <c r="DH42" i="33"/>
  <c r="DH33" i="33"/>
  <c r="DH35" i="33"/>
  <c r="DH34" i="33"/>
  <c r="DH36" i="33"/>
  <c r="DV41" i="36"/>
  <c r="CS33" i="36"/>
  <c r="CQ30" i="36"/>
  <c r="DS41" i="36" s="1"/>
  <c r="DV123" i="36"/>
  <c r="CT84" i="36"/>
  <c r="DS123" i="36" s="1"/>
  <c r="DV94" i="36"/>
  <c r="CT62" i="36"/>
  <c r="DS94" i="36" s="1"/>
  <c r="DJ174" i="35"/>
  <c r="CR173" i="35"/>
  <c r="DG174" i="35" s="1"/>
  <c r="CZ36" i="32"/>
  <c r="CY37" i="32"/>
  <c r="CL28" i="35"/>
  <c r="CL29" i="35"/>
  <c r="CG28" i="35"/>
  <c r="CQ134" i="33"/>
  <c r="CP134" i="33"/>
  <c r="CM134" i="33"/>
  <c r="O134" i="33" s="1"/>
  <c r="DI133" i="33" s="1"/>
  <c r="V258" i="37"/>
  <c r="EB149" i="37"/>
  <c r="ET149" i="37" s="1"/>
  <c r="EX149" i="37"/>
  <c r="DA144" i="37"/>
  <c r="V259" i="37"/>
  <c r="CW258" i="37"/>
  <c r="DV165" i="36"/>
  <c r="CT111" i="36"/>
  <c r="DS165" i="36" s="1"/>
  <c r="CT159" i="36"/>
  <c r="DS235" i="36" s="1"/>
  <c r="DV235" i="36"/>
  <c r="CQ94" i="33"/>
  <c r="CM94" i="33"/>
  <c r="O94" i="33" s="1"/>
  <c r="DI93" i="33" s="1"/>
  <c r="CP94" i="33"/>
  <c r="CC149" i="35"/>
  <c r="CB140" i="35"/>
  <c r="BY143" i="35" s="1"/>
  <c r="CB149" i="35"/>
  <c r="BZ150" i="35" s="1"/>
  <c r="Q152" i="35" s="1"/>
  <c r="CO148" i="35" s="1"/>
  <c r="CX149" i="35" s="1"/>
  <c r="EE82" i="37"/>
  <c r="FH82" i="37"/>
  <c r="ED82" i="37"/>
  <c r="FD82" i="37" s="1"/>
  <c r="AK244" i="37"/>
  <c r="CH129" i="35"/>
  <c r="CI126" i="35" s="1"/>
  <c r="CJ130" i="35"/>
  <c r="CI125" i="35"/>
  <c r="CG129" i="35"/>
  <c r="CG126" i="35" s="1"/>
  <c r="CG127" i="35"/>
  <c r="CG125" i="35" s="1"/>
  <c r="BN57" i="35"/>
  <c r="CT107" i="36"/>
  <c r="DS161" i="36" s="1"/>
  <c r="DV161" i="36"/>
  <c r="ED145" i="37"/>
  <c r="FD145" i="37" s="1"/>
  <c r="FH145" i="37"/>
  <c r="EE145" i="37"/>
  <c r="AK258" i="37"/>
  <c r="DJ65" i="35"/>
  <c r="DR99" i="37"/>
  <c r="BA102" i="37" s="1"/>
  <c r="EE103" i="37"/>
  <c r="FH103" i="37"/>
  <c r="ED103" i="37"/>
  <c r="FD103" i="37" s="1"/>
  <c r="CJ122" i="35"/>
  <c r="CH121" i="35"/>
  <c r="CI118" i="35" s="1"/>
  <c r="CI117" i="35"/>
  <c r="CG121" i="35"/>
  <c r="CG118" i="35" s="1"/>
  <c r="CG120" i="35"/>
  <c r="CG119" i="35"/>
  <c r="CW256" i="37"/>
  <c r="EX141" i="37"/>
  <c r="EB141" i="37"/>
  <c r="ET141" i="37" s="1"/>
  <c r="Y256" i="37"/>
  <c r="CL94" i="35"/>
  <c r="CT128" i="36"/>
  <c r="DS192" i="36" s="1"/>
  <c r="DV192" i="36"/>
  <c r="CS126" i="36"/>
  <c r="CG125" i="36" s="1"/>
  <c r="DV181" i="36"/>
  <c r="CQ123" i="36"/>
  <c r="DS181" i="36" s="1"/>
  <c r="CR153" i="35"/>
  <c r="DG154" i="35" s="1"/>
  <c r="DJ154" i="35"/>
  <c r="CI156" i="36"/>
  <c r="CI155" i="36"/>
  <c r="CV155" i="36"/>
  <c r="CI158" i="36"/>
  <c r="CI159" i="36"/>
  <c r="DM36" i="33"/>
  <c r="DQ47" i="33" s="1"/>
  <c r="DR36" i="33"/>
  <c r="CT120" i="36"/>
  <c r="DS179" i="36" s="1"/>
  <c r="DV179" i="36"/>
  <c r="BW167" i="36"/>
  <c r="DV242" i="36"/>
  <c r="CQ169" i="36"/>
  <c r="DS242" i="36" s="1"/>
  <c r="CQ96" i="36"/>
  <c r="DS139" i="36" s="1"/>
  <c r="CS99" i="36"/>
  <c r="CG98" i="36" s="1"/>
  <c r="DV139" i="36"/>
  <c r="EJ100" i="37"/>
  <c r="AI104" i="37"/>
  <c r="EN100" i="37" s="1"/>
  <c r="CQ86" i="33"/>
  <c r="CM86" i="33"/>
  <c r="O86" i="33" s="1"/>
  <c r="DI85" i="33" s="1"/>
  <c r="CP86" i="33"/>
  <c r="CV63" i="36"/>
  <c r="CM63" i="36"/>
  <c r="CM60" i="36"/>
  <c r="CM62" i="36"/>
  <c r="BQ113" i="37"/>
  <c r="EN113" i="37" s="1"/>
  <c r="EJ113" i="37"/>
  <c r="CL104" i="35"/>
  <c r="CL103" i="35"/>
  <c r="ER43" i="37"/>
  <c r="DT57" i="37"/>
  <c r="DW57" i="37"/>
  <c r="BA56" i="37" s="1"/>
  <c r="DR96" i="33"/>
  <c r="DM96" i="33"/>
  <c r="DS102" i="35"/>
  <c r="CS104" i="35"/>
  <c r="CR101" i="35"/>
  <c r="DP102" i="35" s="1"/>
  <c r="DJ32" i="35"/>
  <c r="CR31" i="35"/>
  <c r="DG32" i="35" s="1"/>
  <c r="ED80" i="37"/>
  <c r="FD80" i="37" s="1"/>
  <c r="EE80" i="37"/>
  <c r="FH80" i="37"/>
  <c r="AE244" i="37"/>
  <c r="BW92" i="36"/>
  <c r="EJ157" i="37"/>
  <c r="CL260" i="37"/>
  <c r="CO261" i="37"/>
  <c r="CO260" i="37"/>
  <c r="CL261" i="37"/>
  <c r="BF159" i="37"/>
  <c r="CL62" i="35"/>
  <c r="CL63" i="35"/>
  <c r="DI35" i="32"/>
  <c r="DH36" i="32"/>
  <c r="AV249" i="37"/>
  <c r="DN99" i="37"/>
  <c r="AK102" i="37" s="1"/>
  <c r="BB104" i="37"/>
  <c r="EN102" i="37" s="1"/>
  <c r="CK128" i="35"/>
  <c r="CK127" i="35"/>
  <c r="CL110" i="35"/>
  <c r="CL109" i="35"/>
  <c r="CG109" i="35"/>
  <c r="CL93" i="35"/>
  <c r="CM128" i="36"/>
  <c r="CM129" i="36"/>
  <c r="CV129" i="36"/>
  <c r="CM126" i="36"/>
  <c r="CN206" i="35"/>
  <c r="AU206" i="35" s="1"/>
  <c r="CD206" i="35"/>
  <c r="CI125" i="36"/>
  <c r="CV125" i="36"/>
  <c r="CI128" i="36"/>
  <c r="CI126" i="36"/>
  <c r="CI129" i="36"/>
  <c r="DH37" i="33"/>
  <c r="CK120" i="35"/>
  <c r="CK119" i="35"/>
  <c r="DJ50" i="35"/>
  <c r="CR49" i="35"/>
  <c r="DG50" i="35" s="1"/>
  <c r="CU130" i="33"/>
  <c r="CV130" i="33"/>
  <c r="CW130" i="33"/>
  <c r="CX130" i="33"/>
  <c r="CT130" i="33"/>
  <c r="CS122" i="33"/>
  <c r="CI101" i="36"/>
  <c r="CI98" i="36"/>
  <c r="CV98" i="36"/>
  <c r="CI102" i="36"/>
  <c r="CI99" i="36"/>
  <c r="DJ40" i="35"/>
  <c r="CR39" i="35"/>
  <c r="DG40" i="35" s="1"/>
  <c r="DR89" i="33"/>
  <c r="DM88" i="33"/>
  <c r="CL86" i="35"/>
  <c r="CG85" i="35"/>
  <c r="CL85" i="35"/>
  <c r="BW146" i="36"/>
  <c r="DJ106" i="35"/>
  <c r="CL248" i="37"/>
  <c r="CO248" i="37"/>
  <c r="EJ102" i="37"/>
  <c r="CL249" i="37"/>
  <c r="CO249" i="37"/>
  <c r="BF104" i="37"/>
  <c r="CN69" i="36"/>
  <c r="CN68" i="36"/>
  <c r="CQ132" i="36"/>
  <c r="DS195" i="36" s="1"/>
  <c r="CS135" i="36"/>
  <c r="CG134" i="36" s="1"/>
  <c r="DV195" i="36"/>
  <c r="CI101" i="35"/>
  <c r="CH105" i="35"/>
  <c r="CI102" i="35" s="1"/>
  <c r="CJ106" i="35"/>
  <c r="CG105" i="35"/>
  <c r="CG102" i="35" s="1"/>
  <c r="CG103" i="35"/>
  <c r="EX87" i="37"/>
  <c r="EB87" i="37"/>
  <c r="ET87" i="37" s="1"/>
  <c r="Y244" i="37"/>
  <c r="CK46" i="35"/>
  <c r="CK47" i="35"/>
  <c r="CQ118" i="33"/>
  <c r="CM118" i="33"/>
  <c r="O118" i="33" s="1"/>
  <c r="DI117" i="33" s="1"/>
  <c r="CP118" i="33"/>
  <c r="EL47" i="37"/>
  <c r="EB123" i="37"/>
  <c r="ET123" i="37" s="1"/>
  <c r="EX123" i="37"/>
  <c r="Y252" i="37"/>
  <c r="BQ76" i="37"/>
  <c r="EN76" i="37" s="1"/>
  <c r="EJ76" i="37"/>
  <c r="DJ80" i="35"/>
  <c r="CR79" i="35"/>
  <c r="DG80" i="35" s="1"/>
  <c r="DV35" i="36"/>
  <c r="CT23" i="36"/>
  <c r="DS35" i="36" s="1"/>
  <c r="CM58" i="33"/>
  <c r="O58" i="33" s="1"/>
  <c r="DI57" i="33" s="1"/>
  <c r="CP58" i="33"/>
  <c r="CQ58" i="33"/>
  <c r="DQ99" i="37"/>
  <c r="AW102" i="37" s="1"/>
  <c r="DH44" i="33"/>
  <c r="CO89" i="36"/>
  <c r="DT44" i="37"/>
  <c r="DU44" i="37"/>
  <c r="AS47" i="37" s="1"/>
  <c r="CL120" i="35"/>
  <c r="CL119" i="35"/>
  <c r="CL76" i="35"/>
  <c r="CL77" i="35"/>
  <c r="CR22" i="35"/>
  <c r="DP23" i="35" s="1"/>
  <c r="DS23" i="35"/>
  <c r="CT18" i="36"/>
  <c r="DS25" i="36" s="1"/>
  <c r="DV25" i="36"/>
  <c r="CK149" i="35"/>
  <c r="AK153" i="35" s="1"/>
  <c r="CP149" i="35" s="1"/>
  <c r="DA150" i="35" s="1"/>
  <c r="CK150" i="35"/>
  <c r="Q166" i="32"/>
  <c r="AI166" i="32"/>
  <c r="AM166" i="32" s="1"/>
  <c r="T166" i="32"/>
  <c r="Z166" i="32" s="1"/>
  <c r="CT44" i="36"/>
  <c r="DS66" i="36" s="1"/>
  <c r="DV66" i="36"/>
  <c r="DR20" i="35"/>
  <c r="DJ137" i="35"/>
  <c r="CR136" i="35"/>
  <c r="DG137" i="35" s="1"/>
  <c r="CD205" i="35"/>
  <c r="CN205" i="35"/>
  <c r="AU205" i="35" s="1"/>
  <c r="DU53" i="37"/>
  <c r="AS56" i="37" s="1"/>
  <c r="DT53" i="37"/>
  <c r="EH43" i="37"/>
  <c r="EI43" i="37" s="1"/>
  <c r="DV92" i="36"/>
  <c r="CT60" i="36"/>
  <c r="DS92" i="36" s="1"/>
  <c r="CV134" i="36"/>
  <c r="CI134" i="36"/>
  <c r="CI137" i="36"/>
  <c r="CI138" i="36"/>
  <c r="CI135" i="36"/>
  <c r="CA103" i="35"/>
  <c r="CB103" i="35"/>
  <c r="AW104" i="35" s="1"/>
  <c r="CO104" i="35" s="1"/>
  <c r="DG101" i="35" s="1"/>
  <c r="BZ101" i="35"/>
  <c r="AP214" i="35" s="1"/>
  <c r="CT93" i="36"/>
  <c r="DS137" i="36" s="1"/>
  <c r="DV137" i="36"/>
  <c r="CG104" i="35"/>
  <c r="CY108" i="33"/>
  <c r="CM111" i="33"/>
  <c r="EX86" i="37"/>
  <c r="EB86" i="37"/>
  <c r="ET86" i="37" s="1"/>
  <c r="DA81" i="37"/>
  <c r="V244" i="37"/>
  <c r="CW244" i="37"/>
  <c r="V245" i="37"/>
  <c r="DM120" i="33"/>
  <c r="DR120" i="33"/>
  <c r="BW26" i="36"/>
  <c r="CG23" i="36"/>
  <c r="EX122" i="37"/>
  <c r="DA117" i="37"/>
  <c r="EB122" i="37"/>
  <c r="ET122" i="37" s="1"/>
  <c r="V253" i="37"/>
  <c r="V252" i="37"/>
  <c r="CW252" i="37"/>
  <c r="BB160" i="37"/>
  <c r="EN158" i="37" s="1"/>
  <c r="EJ158" i="37"/>
  <c r="BF160" i="37"/>
  <c r="ED156" i="37"/>
  <c r="FD156" i="37" s="1"/>
  <c r="EE156" i="37"/>
  <c r="FH156" i="37"/>
  <c r="CD215" i="35"/>
  <c r="CN215" i="35"/>
  <c r="AU215" i="35" s="1"/>
  <c r="FH136" i="37"/>
  <c r="ED136" i="37"/>
  <c r="FD136" i="37" s="1"/>
  <c r="EE136" i="37"/>
  <c r="AK256" i="37"/>
  <c r="CD212" i="35"/>
  <c r="CN212" i="35"/>
  <c r="AU212" i="35" s="1"/>
  <c r="DM60" i="33"/>
  <c r="DR60" i="33"/>
  <c r="Q97" i="37"/>
  <c r="F249" i="37" s="1"/>
  <c r="CI45" i="36"/>
  <c r="CI41" i="36"/>
  <c r="CI44" i="36"/>
  <c r="CV41" i="36"/>
  <c r="CI42" i="36"/>
  <c r="BD201" i="33"/>
  <c r="CL133" i="35"/>
  <c r="CR60" i="35"/>
  <c r="DP61" i="35" s="1"/>
  <c r="CS63" i="35"/>
  <c r="DS61" i="35"/>
  <c r="BN98" i="35"/>
  <c r="DJ122" i="35"/>
  <c r="CT102" i="36"/>
  <c r="DS151" i="36" s="1"/>
  <c r="DV151" i="36"/>
  <c r="CK151" i="35"/>
  <c r="CK152" i="35"/>
  <c r="DG62" i="32"/>
  <c r="DG33" i="32"/>
  <c r="DG63" i="32"/>
  <c r="DG131" i="32"/>
  <c r="DG48" i="32"/>
  <c r="DG35" i="32"/>
  <c r="DG36" i="32"/>
  <c r="DG41" i="32"/>
  <c r="DG160" i="32"/>
  <c r="DG51" i="32"/>
  <c r="DG100" i="32"/>
  <c r="DG155" i="32"/>
  <c r="DG73" i="32"/>
  <c r="DG106" i="32"/>
  <c r="DG79" i="32"/>
  <c r="DG124" i="32"/>
  <c r="DG93" i="32"/>
  <c r="DG42" i="32"/>
  <c r="DG72" i="32"/>
  <c r="DG37" i="32"/>
  <c r="DG43" i="32"/>
  <c r="DG29" i="32"/>
  <c r="DG133" i="32"/>
  <c r="DG94" i="32"/>
  <c r="DG172" i="32"/>
  <c r="DG59" i="32"/>
  <c r="DG147" i="32"/>
  <c r="DG158" i="32"/>
  <c r="DG104" i="32"/>
  <c r="DG113" i="32"/>
  <c r="DG127" i="32"/>
  <c r="DG26" i="32"/>
  <c r="DG39" i="32"/>
  <c r="DG22" i="32"/>
  <c r="DG18" i="32"/>
  <c r="DG21" i="32"/>
  <c r="DG25" i="32"/>
  <c r="DG40" i="32"/>
  <c r="DG44" i="32"/>
  <c r="DG32" i="32"/>
  <c r="DG24" i="32"/>
  <c r="DG31" i="32"/>
  <c r="DG30" i="32"/>
  <c r="DG28" i="32"/>
  <c r="DG27" i="32"/>
  <c r="DG34" i="32"/>
  <c r="DG20" i="32"/>
  <c r="DG38" i="32"/>
  <c r="DG82" i="32"/>
  <c r="DG168" i="32"/>
  <c r="DG167" i="32"/>
  <c r="DG140" i="32"/>
  <c r="DG145" i="32"/>
  <c r="DG119" i="32"/>
  <c r="DG46" i="32"/>
  <c r="DG58" i="32"/>
  <c r="DG61" i="32"/>
  <c r="DG77" i="32"/>
  <c r="DG76" i="32"/>
  <c r="DG67" i="32"/>
  <c r="DG55" i="32"/>
  <c r="DG65" i="32"/>
  <c r="DG66" i="32"/>
  <c r="DG111" i="32"/>
  <c r="DG161" i="32"/>
  <c r="DG115" i="32"/>
  <c r="DG85" i="32"/>
  <c r="DG157" i="32"/>
  <c r="DG126" i="32"/>
  <c r="DG175" i="32"/>
  <c r="DG116" i="32"/>
  <c r="DG144" i="32"/>
  <c r="DG154" i="32"/>
  <c r="DG179" i="32"/>
  <c r="DG128" i="32"/>
  <c r="DG164" i="32"/>
  <c r="DG141" i="32"/>
  <c r="DG81" i="32"/>
  <c r="DL121" i="32"/>
  <c r="DG88" i="32"/>
  <c r="DG174" i="32"/>
  <c r="DG149" i="32"/>
  <c r="DG70" i="32"/>
  <c r="DG74" i="32"/>
  <c r="DG146" i="32"/>
  <c r="DG136" i="32"/>
  <c r="DG75" i="32"/>
  <c r="DG98" i="32"/>
  <c r="DG150" i="32"/>
  <c r="DG117" i="32"/>
  <c r="DG152" i="32"/>
  <c r="DG69" i="32"/>
  <c r="DG45" i="32"/>
  <c r="DG92" i="32"/>
  <c r="DG130" i="32"/>
  <c r="DG114" i="32"/>
  <c r="DG102" i="32"/>
  <c r="DG86" i="32"/>
  <c r="DG103" i="32"/>
  <c r="DG142" i="32"/>
  <c r="DG171" i="32"/>
  <c r="DG47" i="32"/>
  <c r="DG49" i="32"/>
  <c r="DG101" i="32"/>
  <c r="DG143" i="32"/>
  <c r="DG156" i="32"/>
  <c r="DG139" i="32"/>
  <c r="DG52" i="32"/>
  <c r="DG112" i="32"/>
  <c r="DG137" i="32"/>
  <c r="DG97" i="32"/>
  <c r="DG84" i="32"/>
  <c r="DG109" i="32"/>
  <c r="DG176" i="32"/>
  <c r="DG87" i="32"/>
  <c r="DG64" i="32"/>
  <c r="DL122" i="32"/>
  <c r="DG60" i="32"/>
  <c r="DG78" i="32"/>
  <c r="DG118" i="32"/>
  <c r="DG90" i="32"/>
  <c r="DG96" i="32"/>
  <c r="DG57" i="32"/>
  <c r="DG134" i="32"/>
  <c r="DG71" i="32"/>
  <c r="DG91" i="32"/>
  <c r="DG56" i="32"/>
  <c r="DG138" i="32"/>
  <c r="DG123" i="32"/>
  <c r="DG80" i="32"/>
  <c r="DG148" i="32"/>
  <c r="DG165" i="32"/>
  <c r="DG178" i="32"/>
  <c r="DG169" i="32"/>
  <c r="DG54" i="32"/>
  <c r="DG177" i="32"/>
  <c r="DG50" i="32"/>
  <c r="DG53" i="32"/>
  <c r="DG108" i="32"/>
  <c r="DG95" i="32"/>
  <c r="DG83" i="32"/>
  <c r="DG110" i="32"/>
  <c r="DG132" i="32"/>
  <c r="DG107" i="32"/>
  <c r="DG68" i="32"/>
  <c r="DG135" i="32"/>
  <c r="DG153" i="32"/>
  <c r="DG120" i="32"/>
  <c r="DG166" i="32"/>
  <c r="DG151" i="32"/>
  <c r="DG170" i="32"/>
  <c r="DG159" i="32"/>
  <c r="DG129" i="32"/>
  <c r="DG125" i="32"/>
  <c r="DG105" i="32"/>
  <c r="DG173" i="32"/>
  <c r="DG99" i="32"/>
  <c r="AK98" i="35"/>
  <c r="CP94" i="35" s="1"/>
  <c r="DA95" i="35" s="1"/>
  <c r="CR127" i="35"/>
  <c r="DP128" i="35" s="1"/>
  <c r="DS128" i="35"/>
  <c r="CI50" i="36"/>
  <c r="CV50" i="36"/>
  <c r="CI53" i="36"/>
  <c r="CI54" i="36"/>
  <c r="CI51" i="36"/>
  <c r="DV111" i="36"/>
  <c r="DV102" i="36"/>
  <c r="CS81" i="36"/>
  <c r="CQ78" i="36"/>
  <c r="DS111" i="36" s="1"/>
  <c r="CT167" i="36"/>
  <c r="DS248" i="36" s="1"/>
  <c r="DV248" i="36"/>
  <c r="DJ56" i="35"/>
  <c r="CR55" i="35"/>
  <c r="DG56" i="35" s="1"/>
  <c r="BN138" i="35"/>
  <c r="CQ64" i="36"/>
  <c r="DS88" i="36" s="1"/>
  <c r="DV88" i="36"/>
  <c r="AK73" i="35"/>
  <c r="CP69" i="35" s="1"/>
  <c r="DA70" i="35" s="1"/>
  <c r="DG19" i="32"/>
  <c r="L165" i="32" s="1"/>
  <c r="C165" i="32" s="1"/>
  <c r="CK103" i="35"/>
  <c r="CK104" i="35"/>
  <c r="DF167" i="37"/>
  <c r="BB168" i="37" s="1"/>
  <c r="EN166" i="37" s="1"/>
  <c r="CR122" i="35"/>
  <c r="DG123" i="35" s="1"/>
  <c r="DJ123" i="35"/>
  <c r="CS63" i="36"/>
  <c r="CQ61" i="36"/>
  <c r="DS86" i="36" s="1"/>
  <c r="DV86" i="36"/>
  <c r="EB150" i="37"/>
  <c r="ET150" i="37" s="1"/>
  <c r="EX150" i="37"/>
  <c r="Y258" i="37"/>
  <c r="BN33" i="35"/>
  <c r="CA253" i="37"/>
  <c r="AR253" i="37" s="1"/>
  <c r="CA252" i="37"/>
  <c r="AR252" i="37" s="1"/>
  <c r="ED81" i="37"/>
  <c r="FD81" i="37" s="1"/>
  <c r="EE81" i="37"/>
  <c r="FH81" i="37"/>
  <c r="AH244" i="37"/>
  <c r="FH116" i="37"/>
  <c r="ED116" i="37"/>
  <c r="FD116" i="37" s="1"/>
  <c r="EE116" i="37"/>
  <c r="AE252" i="37"/>
  <c r="DJ145" i="35"/>
  <c r="CR144" i="35"/>
  <c r="DG145" i="35" s="1"/>
  <c r="CS129" i="36"/>
  <c r="DV184" i="36"/>
  <c r="CQ127" i="36"/>
  <c r="DS184" i="36" s="1"/>
  <c r="CU62" i="33"/>
  <c r="CW62" i="33"/>
  <c r="CX62" i="33"/>
  <c r="CV62" i="33"/>
  <c r="CT62" i="33"/>
  <c r="AN249" i="37"/>
  <c r="AN248" i="37"/>
  <c r="BJ248" i="37"/>
  <c r="BJ249" i="37" s="1"/>
  <c r="CU249" i="37" s="1"/>
  <c r="BD248" i="37"/>
  <c r="BD249" i="37" s="1"/>
  <c r="CU248" i="37" s="1"/>
  <c r="BG248" i="37"/>
  <c r="BG249" i="37" s="1"/>
  <c r="BM248" i="37"/>
  <c r="BM249" i="37" s="1"/>
  <c r="R249" i="37"/>
  <c r="AZ248" i="37"/>
  <c r="DP99" i="37"/>
  <c r="AS102" i="37" s="1"/>
  <c r="EE101" i="37"/>
  <c r="FH101" i="37"/>
  <c r="ED101" i="37"/>
  <c r="FD101" i="37" s="1"/>
  <c r="CQ39" i="36"/>
  <c r="DS55" i="36" s="1"/>
  <c r="DV55" i="36"/>
  <c r="CS42" i="36"/>
  <c r="CG41" i="36" s="1"/>
  <c r="DJ130" i="35"/>
  <c r="CR129" i="35"/>
  <c r="DG130" i="35" s="1"/>
  <c r="DJ25" i="35"/>
  <c r="BN90" i="35"/>
  <c r="CD213" i="35"/>
  <c r="CN213" i="35"/>
  <c r="AU213" i="35" s="1"/>
  <c r="CL134" i="35"/>
  <c r="DJ66" i="35"/>
  <c r="CR65" i="35"/>
  <c r="DG66" i="35" s="1"/>
  <c r="CL152" i="35"/>
  <c r="CL151" i="35"/>
  <c r="BN154" i="35" s="1"/>
  <c r="CP154" i="35" s="1"/>
  <c r="CD208" i="35"/>
  <c r="CN208" i="35"/>
  <c r="AU208" i="35" s="1"/>
  <c r="CR25" i="35"/>
  <c r="DG26" i="35" s="1"/>
  <c r="DJ26" i="35"/>
  <c r="DV69" i="36"/>
  <c r="CS51" i="36"/>
  <c r="CQ48" i="36"/>
  <c r="DS69" i="36" s="1"/>
  <c r="CV80" i="36"/>
  <c r="CI83" i="36"/>
  <c r="CI80" i="36"/>
  <c r="CI81" i="36"/>
  <c r="CI84" i="36"/>
  <c r="CM167" i="36"/>
  <c r="CM165" i="36"/>
  <c r="CV168" i="36"/>
  <c r="CM168" i="36"/>
  <c r="CL37" i="35"/>
  <c r="CO107" i="36"/>
  <c r="CO108" i="36"/>
  <c r="DV55" i="37"/>
  <c r="AW56" i="37" s="1"/>
  <c r="DT55" i="37"/>
  <c r="CN211" i="35"/>
  <c r="AU211" i="35" s="1"/>
  <c r="CD211" i="35"/>
  <c r="BQ150" i="37"/>
  <c r="EN150" i="37" s="1"/>
  <c r="EJ150" i="37"/>
  <c r="CD210" i="35"/>
  <c r="EJ49" i="37"/>
  <c r="BQ49" i="37"/>
  <c r="EN49" i="37" s="1"/>
  <c r="DR128" i="33"/>
  <c r="DM128" i="33"/>
  <c r="CR130" i="35"/>
  <c r="DG131" i="35" s="1"/>
  <c r="DJ131" i="35"/>
  <c r="DS45" i="35"/>
  <c r="CS47" i="35"/>
  <c r="CR44" i="35"/>
  <c r="DP45" i="35" s="1"/>
  <c r="CL142" i="35"/>
  <c r="CG141" i="35"/>
  <c r="CL141" i="35"/>
  <c r="CT126" i="36"/>
  <c r="DS190" i="36" s="1"/>
  <c r="DV190" i="36"/>
  <c r="CT143" i="36"/>
  <c r="DS217" i="36" s="1"/>
  <c r="DV217" i="36"/>
  <c r="CK63" i="35"/>
  <c r="CK62" i="35"/>
  <c r="CK23" i="35"/>
  <c r="CK22" i="35"/>
  <c r="DT46" i="37"/>
  <c r="DV46" i="37"/>
  <c r="AW47" i="37" s="1"/>
  <c r="CQ43" i="36"/>
  <c r="DS58" i="36" s="1"/>
  <c r="DV58" i="36"/>
  <c r="CS45" i="36"/>
  <c r="DJ97" i="35"/>
  <c r="CR96" i="35"/>
  <c r="DG97" i="35" s="1"/>
  <c r="DJ72" i="35"/>
  <c r="CR71" i="35"/>
  <c r="DG72" i="35" s="1"/>
  <c r="BB105" i="37"/>
  <c r="EN103" i="37" s="1"/>
  <c r="EJ103" i="37"/>
  <c r="BF105" i="37"/>
  <c r="CQ57" i="36"/>
  <c r="DS83" i="36" s="1"/>
  <c r="CS60" i="36"/>
  <c r="CG59" i="36" s="1"/>
  <c r="DV83" i="36"/>
  <c r="CO68" i="36"/>
  <c r="CO69" i="36"/>
  <c r="CA262" i="37"/>
  <c r="AR262" i="37" s="1"/>
  <c r="CA263" i="37"/>
  <c r="AR263" i="37" s="1"/>
  <c r="DS126" i="35"/>
  <c r="CR125" i="35"/>
  <c r="DP126" i="35" s="1"/>
  <c r="CS128" i="35"/>
  <c r="CL47" i="35"/>
  <c r="CL46" i="35"/>
  <c r="ED118" i="37"/>
  <c r="FD118" i="37" s="1"/>
  <c r="EE118" i="37"/>
  <c r="FH118" i="37"/>
  <c r="AK252" i="37"/>
  <c r="EE158" i="37"/>
  <c r="FH158" i="37"/>
  <c r="ED158" i="37"/>
  <c r="FD158" i="37" s="1"/>
  <c r="DB151" i="37"/>
  <c r="CB46" i="35"/>
  <c r="AW47" i="35" s="1"/>
  <c r="CO47" i="35" s="1"/>
  <c r="DG44" i="35" s="1"/>
  <c r="CA46" i="35"/>
  <c r="BZ44" i="35"/>
  <c r="AP207" i="35" s="1"/>
  <c r="CL127" i="35"/>
  <c r="CL128" i="35"/>
  <c r="CS120" i="35"/>
  <c r="CR117" i="35"/>
  <c r="DP118" i="35" s="1"/>
  <c r="DS118" i="35"/>
  <c r="CL23" i="35"/>
  <c r="CL22" i="35"/>
  <c r="DV186" i="36"/>
  <c r="CQ130" i="36"/>
  <c r="DS186" i="36" s="1"/>
  <c r="CS15" i="36"/>
  <c r="CQ12" i="36"/>
  <c r="DS13" i="36" s="1"/>
  <c r="DV13" i="36"/>
  <c r="DQ13" i="36" s="1"/>
  <c r="CS23" i="35"/>
  <c r="CR20" i="35"/>
  <c r="DP21" i="35" s="1"/>
  <c r="DS21" i="35"/>
  <c r="CG63" i="35"/>
  <c r="CJ65" i="35"/>
  <c r="CH64" i="35"/>
  <c r="CI61" i="35" s="1"/>
  <c r="CI60" i="35"/>
  <c r="CG64" i="35"/>
  <c r="CG61" i="35" s="1"/>
  <c r="CG62" i="35"/>
  <c r="CI120" i="36"/>
  <c r="CV116" i="36"/>
  <c r="CI119" i="36"/>
  <c r="CI116" i="36"/>
  <c r="CI117" i="36"/>
  <c r="CI17" i="36"/>
  <c r="CV14" i="36"/>
  <c r="CI14" i="36"/>
  <c r="CI15" i="36"/>
  <c r="CI18" i="36"/>
  <c r="CB19" i="35"/>
  <c r="CB20" i="35"/>
  <c r="CA22" i="35"/>
  <c r="AW23" i="35" s="1"/>
  <c r="CO23" i="35" s="1"/>
  <c r="DG20" i="35" s="1"/>
  <c r="CA19" i="35"/>
  <c r="BY22" i="35" s="1"/>
  <c r="CB22" i="35"/>
  <c r="BZ20" i="35"/>
  <c r="AP204" i="35" s="1"/>
  <c r="CN204" i="35" s="1"/>
  <c r="CQ46" i="36"/>
  <c r="DS60" i="36" s="1"/>
  <c r="DV60" i="36"/>
  <c r="DV167" i="36"/>
  <c r="CQ114" i="36"/>
  <c r="DS167" i="36" s="1"/>
  <c r="CS117" i="36"/>
  <c r="CT42" i="36"/>
  <c r="DS64" i="36" s="1"/>
  <c r="DV64" i="36"/>
  <c r="CJ25" i="35"/>
  <c r="CI20" i="35"/>
  <c r="CG24" i="35"/>
  <c r="CG21" i="35" s="1"/>
  <c r="CH24" i="35"/>
  <c r="CI21" i="35" s="1"/>
  <c r="CG22" i="35"/>
  <c r="CG23" i="35"/>
  <c r="AB61" i="33"/>
  <c r="EB61" i="33" s="1"/>
  <c r="CM44" i="36"/>
  <c r="CV45" i="36"/>
  <c r="CM45" i="36"/>
  <c r="CM42" i="36"/>
  <c r="CL69" i="35"/>
  <c r="CL68" i="35"/>
  <c r="BX137" i="36"/>
  <c r="BZ138" i="36"/>
  <c r="BY129" i="36"/>
  <c r="CR154" i="35"/>
  <c r="DG155" i="35" s="1"/>
  <c r="DJ155" i="35"/>
  <c r="CT54" i="36"/>
  <c r="DS81" i="36" s="1"/>
  <c r="DV81" i="36"/>
  <c r="CI33" i="36"/>
  <c r="CV32" i="36"/>
  <c r="CI35" i="36"/>
  <c r="CI32" i="36"/>
  <c r="CI36" i="36"/>
  <c r="EE143" i="37"/>
  <c r="FH143" i="37"/>
  <c r="ED143" i="37"/>
  <c r="FD143" i="37" s="1"/>
  <c r="AE258" i="37"/>
  <c r="DQ71" i="37"/>
  <c r="AW74" i="37" s="1"/>
  <c r="DM71" i="37"/>
  <c r="AG74" i="37" s="1"/>
  <c r="Q69" i="37"/>
  <c r="F243" i="37" s="1"/>
  <c r="DN71" i="37"/>
  <c r="AK74" i="37" s="1"/>
  <c r="DP71" i="37"/>
  <c r="AS74" i="37" s="1"/>
  <c r="DR71" i="37"/>
  <c r="BA74" i="37" s="1"/>
  <c r="EL45" i="37"/>
  <c r="CV59" i="36"/>
  <c r="CI59" i="36"/>
  <c r="CI62" i="36"/>
  <c r="CI63" i="36"/>
  <c r="CI60" i="36"/>
  <c r="EJ149" i="37"/>
  <c r="BQ149" i="37"/>
  <c r="EN149" i="37" s="1"/>
  <c r="CV54" i="33"/>
  <c r="CX54" i="33"/>
  <c r="CW54" i="33"/>
  <c r="CU54" i="33"/>
  <c r="CT54" i="33"/>
  <c r="EL46" i="37"/>
  <c r="CN89" i="36"/>
  <c r="CN90" i="36"/>
  <c r="CB127" i="35"/>
  <c r="AW128" i="35" s="1"/>
  <c r="CO128" i="35" s="1"/>
  <c r="DG125" i="35" s="1"/>
  <c r="BZ125" i="35"/>
  <c r="AP217" i="35" s="1"/>
  <c r="CA127" i="35"/>
  <c r="DJ49" i="35"/>
  <c r="CR48" i="35"/>
  <c r="DG49" i="35" s="1"/>
  <c r="DG17" i="32"/>
  <c r="L164" i="32" s="1"/>
  <c r="C164" i="32" s="1"/>
  <c r="CR106" i="35"/>
  <c r="DG107" i="35" s="1"/>
  <c r="DJ107" i="35"/>
  <c r="CT124" i="36"/>
  <c r="DS188" i="36" s="1"/>
  <c r="DV188" i="36"/>
  <c r="CT89" i="36"/>
  <c r="DS133" i="36" s="1"/>
  <c r="DV133" i="36"/>
  <c r="EL48" i="37"/>
  <c r="CT138" i="36"/>
  <c r="DS207" i="36" s="1"/>
  <c r="DV207" i="36"/>
  <c r="CD195" i="33"/>
  <c r="CI77" i="33"/>
  <c r="CJ49" i="35"/>
  <c r="CH48" i="35"/>
  <c r="CI45" i="35" s="1"/>
  <c r="CI44" i="35"/>
  <c r="CG48" i="35"/>
  <c r="CG45" i="35" s="1"/>
  <c r="CG46" i="35"/>
  <c r="CG47" i="35"/>
  <c r="AE256" i="37"/>
  <c r="EE134" i="37"/>
  <c r="FH134" i="37"/>
  <c r="ED134" i="37"/>
  <c r="FD134" i="37" s="1"/>
  <c r="DM50" i="33"/>
  <c r="DR50" i="33"/>
  <c r="CL36" i="35"/>
  <c r="CB119" i="35"/>
  <c r="AW120" i="35" s="1"/>
  <c r="CO120" i="35" s="1"/>
  <c r="DG117" i="35" s="1"/>
  <c r="CA119" i="35"/>
  <c r="BZ117" i="35"/>
  <c r="AP216" i="35" s="1"/>
  <c r="EB96" i="37"/>
  <c r="ET96" i="37" s="1"/>
  <c r="EX96" i="37"/>
  <c r="Y246" i="37"/>
  <c r="DW48" i="37"/>
  <c r="BA47" i="37" s="1"/>
  <c r="DT48" i="37"/>
  <c r="CR112" i="35" l="1"/>
  <c r="DG113" i="35" s="1"/>
  <c r="AH252" i="37"/>
  <c r="FH117" i="37"/>
  <c r="CX254" i="37"/>
  <c r="BP254" i="37" s="1"/>
  <c r="EE117" i="37"/>
  <c r="EA36" i="33"/>
  <c r="EA44" i="33"/>
  <c r="EA30" i="33"/>
  <c r="DU30" i="33" s="1"/>
  <c r="EA37" i="33"/>
  <c r="EA34" i="33"/>
  <c r="CK52" i="35"/>
  <c r="EE91" i="37"/>
  <c r="EE90" i="37"/>
  <c r="ED90" i="37"/>
  <c r="FD90" i="37" s="1"/>
  <c r="CX255" i="37"/>
  <c r="BZ159" i="35"/>
  <c r="DT66" i="37"/>
  <c r="DW66" i="37"/>
  <c r="BA65" i="37" s="1"/>
  <c r="AH246" i="37"/>
  <c r="AE246" i="37"/>
  <c r="BQ96" i="37"/>
  <c r="EN96" i="37" s="1"/>
  <c r="FH91" i="37"/>
  <c r="DT64" i="37"/>
  <c r="DV64" i="37"/>
  <c r="AW65" i="37" s="1"/>
  <c r="CL52" i="35"/>
  <c r="ED91" i="37"/>
  <c r="FD91" i="37" s="1"/>
  <c r="DU62" i="37"/>
  <c r="AS65" i="37" s="1"/>
  <c r="DT62" i="37"/>
  <c r="EE89" i="37"/>
  <c r="ED89" i="37"/>
  <c r="FD89" i="37" s="1"/>
  <c r="CK53" i="35"/>
  <c r="AW81" i="35"/>
  <c r="CO81" i="35" s="1"/>
  <c r="DG78" i="35" s="1"/>
  <c r="CL53" i="35"/>
  <c r="CW246" i="37"/>
  <c r="EX95" i="37"/>
  <c r="V246" i="37"/>
  <c r="V247" i="37"/>
  <c r="CP114" i="35"/>
  <c r="DJ111" i="35" s="1"/>
  <c r="DA90" i="37"/>
  <c r="DP154" i="32"/>
  <c r="DR154" i="32" s="1"/>
  <c r="CN107" i="36"/>
  <c r="BW110" i="36"/>
  <c r="AI179" i="32"/>
  <c r="AM179" i="32" s="1"/>
  <c r="Q179" i="32"/>
  <c r="DR45" i="35"/>
  <c r="BN25" i="35"/>
  <c r="DQ50" i="33"/>
  <c r="BN97" i="35"/>
  <c r="CP97" i="35" s="1"/>
  <c r="DJ94" i="35" s="1"/>
  <c r="BL29" i="36"/>
  <c r="DM23" i="36" s="1"/>
  <c r="CP73" i="35"/>
  <c r="DJ70" i="35" s="1"/>
  <c r="BQ169" i="37"/>
  <c r="EN169" i="37" s="1"/>
  <c r="EJ169" i="37"/>
  <c r="BQ168" i="37"/>
  <c r="EN168" i="37" s="1"/>
  <c r="EJ168" i="37"/>
  <c r="BW158" i="36"/>
  <c r="DQ163" i="37"/>
  <c r="AW166" i="37" s="1"/>
  <c r="Q161" i="37"/>
  <c r="F263" i="37" s="1"/>
  <c r="DN163" i="37"/>
  <c r="AK166" i="37" s="1"/>
  <c r="DR163" i="37"/>
  <c r="BA166" i="37" s="1"/>
  <c r="DM163" i="37"/>
  <c r="AG166" i="37" s="1"/>
  <c r="DP163" i="37"/>
  <c r="AS166" i="37" s="1"/>
  <c r="CO156" i="36"/>
  <c r="BL161" i="36" s="1"/>
  <c r="DM155" i="36" s="1"/>
  <c r="AB142" i="33"/>
  <c r="EB142" i="33" s="1"/>
  <c r="CQ126" i="33"/>
  <c r="CP126" i="33"/>
  <c r="BN122" i="35"/>
  <c r="CP122" i="35" s="1"/>
  <c r="DJ119" i="35" s="1"/>
  <c r="AK122" i="35"/>
  <c r="CP118" i="35" s="1"/>
  <c r="DA119" i="35" s="1"/>
  <c r="CV142" i="32"/>
  <c r="BW101" i="36"/>
  <c r="EB104" i="37"/>
  <c r="ET104" i="37" s="1"/>
  <c r="DA99" i="37"/>
  <c r="EL77" i="37"/>
  <c r="CP41" i="35"/>
  <c r="DJ38" i="35" s="1"/>
  <c r="AK130" i="35"/>
  <c r="CP126" i="35" s="1"/>
  <c r="DA127" i="35" s="1"/>
  <c r="BG202" i="33"/>
  <c r="AB118" i="33"/>
  <c r="EB118" i="33" s="1"/>
  <c r="CX257" i="37"/>
  <c r="CO116" i="36"/>
  <c r="CO117" i="36"/>
  <c r="AK106" i="35"/>
  <c r="CP102" i="35" s="1"/>
  <c r="DA103" i="35" s="1"/>
  <c r="CO138" i="33"/>
  <c r="T138" i="33" s="1"/>
  <c r="DW138" i="33" s="1"/>
  <c r="CN138" i="33"/>
  <c r="O138" i="33"/>
  <c r="DI137" i="33" s="1"/>
  <c r="AB138" i="33"/>
  <c r="EB138" i="33" s="1"/>
  <c r="AB94" i="33"/>
  <c r="EB94" i="33" s="1"/>
  <c r="V248" i="37"/>
  <c r="V249" i="37"/>
  <c r="BN89" i="35"/>
  <c r="CP89" i="35" s="1"/>
  <c r="DJ86" i="35" s="1"/>
  <c r="AB74" i="33"/>
  <c r="EB74" i="33" s="1"/>
  <c r="CX244" i="37"/>
  <c r="BP244" i="37" s="1"/>
  <c r="AF74" i="36"/>
  <c r="DD68" i="36" s="1"/>
  <c r="AB58" i="33"/>
  <c r="EB58" i="33" s="1"/>
  <c r="EL92" i="37"/>
  <c r="CG60" i="35"/>
  <c r="CK61" i="35" s="1"/>
  <c r="AK56" i="35"/>
  <c r="CP52" i="35" s="1"/>
  <c r="DA53" i="35" s="1"/>
  <c r="AK49" i="35"/>
  <c r="CP45" i="35" s="1"/>
  <c r="DA46" i="35" s="1"/>
  <c r="EA45" i="33"/>
  <c r="EA43" i="33"/>
  <c r="DR104" i="35"/>
  <c r="DT104" i="35" s="1"/>
  <c r="BN49" i="35"/>
  <c r="AW49" i="35" s="1"/>
  <c r="CO49" i="35" s="1"/>
  <c r="DG46" i="35" s="1"/>
  <c r="DR117" i="35"/>
  <c r="DT117" i="35" s="1"/>
  <c r="EL93" i="37"/>
  <c r="EL74" i="37"/>
  <c r="DK35" i="33"/>
  <c r="DL35" i="33" s="1"/>
  <c r="EA42" i="33"/>
  <c r="EA38" i="33"/>
  <c r="EL99" i="37"/>
  <c r="EL50" i="37"/>
  <c r="EL101" i="37"/>
  <c r="EL90" i="37"/>
  <c r="EL81" i="37"/>
  <c r="EL55" i="37"/>
  <c r="EL61" i="37"/>
  <c r="EL62" i="37"/>
  <c r="EL94" i="37"/>
  <c r="EL96" i="37"/>
  <c r="EL84" i="37"/>
  <c r="EL52" i="37"/>
  <c r="EL83" i="37"/>
  <c r="EL65" i="37"/>
  <c r="EL86" i="37"/>
  <c r="EL59" i="37"/>
  <c r="EL66" i="37"/>
  <c r="EL95" i="37"/>
  <c r="BN40" i="35"/>
  <c r="CP40" i="35" s="1"/>
  <c r="DJ37" i="35" s="1"/>
  <c r="CO15" i="36"/>
  <c r="DR41" i="35"/>
  <c r="DT41" i="35" s="1"/>
  <c r="DR69" i="35"/>
  <c r="DT69" i="35" s="1"/>
  <c r="BL95" i="36"/>
  <c r="DM89" i="36" s="1"/>
  <c r="DR118" i="35"/>
  <c r="DT118" i="35" s="1"/>
  <c r="DR96" i="35"/>
  <c r="DT96" i="35" s="1"/>
  <c r="DR63" i="35"/>
  <c r="DT63" i="35" s="1"/>
  <c r="CR46" i="33"/>
  <c r="G46" i="33" s="1"/>
  <c r="AB46" i="33" s="1"/>
  <c r="EB46" i="33" s="1"/>
  <c r="DD69" i="33"/>
  <c r="AB70" i="33"/>
  <c r="EB70" i="33" s="1"/>
  <c r="DR25" i="35"/>
  <c r="DT25" i="35" s="1"/>
  <c r="DR23" i="35"/>
  <c r="DT23" i="35" s="1"/>
  <c r="DR46" i="35"/>
  <c r="DT46" i="35" s="1"/>
  <c r="DQ88" i="33"/>
  <c r="BN72" i="35"/>
  <c r="CP72" i="35" s="1"/>
  <c r="DJ69" i="35" s="1"/>
  <c r="BL74" i="36"/>
  <c r="DM68" i="36" s="1"/>
  <c r="O70" i="33"/>
  <c r="DI69" i="33" s="1"/>
  <c r="BN113" i="35"/>
  <c r="CP113" i="35" s="1"/>
  <c r="DJ110" i="35" s="1"/>
  <c r="BN32" i="35"/>
  <c r="CP32" i="35" s="1"/>
  <c r="DJ29" i="35" s="1"/>
  <c r="BW128" i="36"/>
  <c r="CR130" i="33"/>
  <c r="G130" i="33" s="1"/>
  <c r="CN130" i="33" s="1"/>
  <c r="CN70" i="33"/>
  <c r="DQ52" i="33"/>
  <c r="CR54" i="33"/>
  <c r="G54" i="33" s="1"/>
  <c r="AB54" i="33" s="1"/>
  <c r="EB54" i="33" s="1"/>
  <c r="CR62" i="33"/>
  <c r="G62" i="33" s="1"/>
  <c r="CO62" i="33" s="1"/>
  <c r="T62" i="33" s="1"/>
  <c r="DW62" i="33" s="1"/>
  <c r="AK97" i="35"/>
  <c r="CP93" i="35" s="1"/>
  <c r="DA94" i="35" s="1"/>
  <c r="EL102" i="37"/>
  <c r="EH44" i="37"/>
  <c r="EI44" i="37" s="1"/>
  <c r="CO130" i="33"/>
  <c r="T130" i="33" s="1"/>
  <c r="DW130" i="33" s="1"/>
  <c r="AH238" i="37"/>
  <c r="FH53" i="37"/>
  <c r="ED53" i="37"/>
  <c r="FD53" i="37" s="1"/>
  <c r="EE53" i="37"/>
  <c r="CK126" i="35"/>
  <c r="CK125" i="35"/>
  <c r="AE248" i="37"/>
  <c r="EE98" i="37"/>
  <c r="FH98" i="37"/>
  <c r="ED98" i="37"/>
  <c r="FD98" i="37" s="1"/>
  <c r="DR13" i="36"/>
  <c r="DQ14" i="36"/>
  <c r="DR163" i="35"/>
  <c r="Q165" i="32"/>
  <c r="AI165" i="32"/>
  <c r="AM165" i="32" s="1"/>
  <c r="T165" i="32"/>
  <c r="Z165" i="32" s="1"/>
  <c r="AW138" i="35"/>
  <c r="CO138" i="35" s="1"/>
  <c r="DG135" i="35" s="1"/>
  <c r="CP138" i="35"/>
  <c r="DJ135" i="35" s="1"/>
  <c r="CO50" i="36"/>
  <c r="CO51" i="36"/>
  <c r="CR63" i="35"/>
  <c r="DG64" i="35" s="1"/>
  <c r="DJ64" i="35"/>
  <c r="CX253" i="37"/>
  <c r="DR53" i="35"/>
  <c r="DR114" i="35"/>
  <c r="DT114" i="35" s="1"/>
  <c r="DR151" i="35"/>
  <c r="DR122" i="35"/>
  <c r="DT122" i="35" s="1"/>
  <c r="DR169" i="35"/>
  <c r="DR137" i="35"/>
  <c r="DT137" i="35" s="1"/>
  <c r="DR48" i="35"/>
  <c r="DT48" i="35" s="1"/>
  <c r="ED99" i="37"/>
  <c r="FD99" i="37" s="1"/>
  <c r="FH99" i="37"/>
  <c r="EE99" i="37"/>
  <c r="AH248" i="37"/>
  <c r="CN135" i="36"/>
  <c r="CN134" i="36"/>
  <c r="BQ159" i="37"/>
  <c r="EN159" i="37" s="1"/>
  <c r="EJ159" i="37"/>
  <c r="CR104" i="35"/>
  <c r="DG105" i="35" s="1"/>
  <c r="DJ105" i="35"/>
  <c r="EL53" i="37"/>
  <c r="CN99" i="36"/>
  <c r="CN98" i="36"/>
  <c r="CT155" i="36"/>
  <c r="DS231" i="36" s="1"/>
  <c r="DV231" i="36"/>
  <c r="CG32" i="36"/>
  <c r="CN32" i="36" s="1"/>
  <c r="BW35" i="36"/>
  <c r="DA108" i="37"/>
  <c r="EB113" i="37"/>
  <c r="ET113" i="37" s="1"/>
  <c r="EX113" i="37"/>
  <c r="V250" i="37"/>
  <c r="CW250" i="37"/>
  <c r="V251" i="37"/>
  <c r="AK40" i="35"/>
  <c r="CP36" i="35" s="1"/>
  <c r="DA37" i="35" s="1"/>
  <c r="AK137" i="35"/>
  <c r="CP133" i="35" s="1"/>
  <c r="DA134" i="35" s="1"/>
  <c r="ED45" i="37"/>
  <c r="FD45" i="37" s="1"/>
  <c r="FH45" i="37"/>
  <c r="EE45" i="37"/>
  <c r="AK236" i="37"/>
  <c r="CG116" i="36"/>
  <c r="BW119" i="36"/>
  <c r="Q164" i="32"/>
  <c r="AI164" i="32"/>
  <c r="AM164" i="32" s="1"/>
  <c r="T164" i="32"/>
  <c r="Z164" i="32" s="1"/>
  <c r="DA71" i="37"/>
  <c r="EX76" i="37"/>
  <c r="EB76" i="37"/>
  <c r="ET76" i="37" s="1"/>
  <c r="V243" i="37"/>
  <c r="CW242" i="37"/>
  <c r="V242" i="37"/>
  <c r="BZ19" i="35"/>
  <c r="CC20" i="35"/>
  <c r="AD22" i="35" s="1"/>
  <c r="N204" i="35" s="1"/>
  <c r="CA27" i="35"/>
  <c r="BY30" i="35" s="1"/>
  <c r="CR120" i="35"/>
  <c r="DG121" i="35" s="1"/>
  <c r="DJ121" i="35"/>
  <c r="BQ105" i="37"/>
  <c r="EN105" i="37" s="1"/>
  <c r="EJ105" i="37"/>
  <c r="AF95" i="36"/>
  <c r="DD89" i="36" s="1"/>
  <c r="EE71" i="37"/>
  <c r="ED71" i="37"/>
  <c r="FD71" i="37" s="1"/>
  <c r="FH71" i="37"/>
  <c r="AH242" i="37"/>
  <c r="CO33" i="36"/>
  <c r="CO32" i="36"/>
  <c r="DI20" i="35"/>
  <c r="DI21" i="35"/>
  <c r="CG14" i="36"/>
  <c r="BW17" i="36"/>
  <c r="EL103" i="37"/>
  <c r="DR109" i="35"/>
  <c r="DR120" i="35"/>
  <c r="CO114" i="35"/>
  <c r="DG111" i="35" s="1"/>
  <c r="CR113" i="35"/>
  <c r="DG114" i="35" s="1"/>
  <c r="CO81" i="36"/>
  <c r="CO80" i="36"/>
  <c r="CO73" i="35"/>
  <c r="DG70" i="35" s="1"/>
  <c r="CR72" i="35"/>
  <c r="DG73" i="35" s="1"/>
  <c r="AW90" i="35"/>
  <c r="CP90" i="35"/>
  <c r="DJ87" i="35" s="1"/>
  <c r="DV77" i="36"/>
  <c r="CT50" i="36"/>
  <c r="DS77" i="36" s="1"/>
  <c r="DR22" i="35"/>
  <c r="DR61" i="35"/>
  <c r="DQ60" i="33"/>
  <c r="EJ160" i="37"/>
  <c r="BQ160" i="37"/>
  <c r="EN160" i="37" s="1"/>
  <c r="CT134" i="36"/>
  <c r="DS203" i="36" s="1"/>
  <c r="DV203" i="36"/>
  <c r="EL71" i="37"/>
  <c r="DR165" i="35"/>
  <c r="DT165" i="35" s="1"/>
  <c r="DR145" i="35"/>
  <c r="DT145" i="35" s="1"/>
  <c r="DR181" i="35"/>
  <c r="DT181" i="35" s="1"/>
  <c r="DR180" i="35"/>
  <c r="DT180" i="35" s="1"/>
  <c r="DR105" i="35"/>
  <c r="DT105" i="35" s="1"/>
  <c r="DR113" i="35"/>
  <c r="DT113" i="35" s="1"/>
  <c r="CO99" i="36"/>
  <c r="CO98" i="36"/>
  <c r="DR110" i="35"/>
  <c r="CK110" i="35"/>
  <c r="CK109" i="35"/>
  <c r="Y248" i="37"/>
  <c r="EX105" i="37"/>
  <c r="EB105" i="37"/>
  <c r="ET105" i="37" s="1"/>
  <c r="CW248" i="37"/>
  <c r="DR101" i="35"/>
  <c r="EL73" i="37"/>
  <c r="DR68" i="35"/>
  <c r="DR168" i="35"/>
  <c r="CG117" i="35"/>
  <c r="CL117" i="35"/>
  <c r="CL118" i="35"/>
  <c r="CX256" i="37"/>
  <c r="BP256" i="37" s="1"/>
  <c r="CD207" i="35"/>
  <c r="CN207" i="35"/>
  <c r="AU207" i="35" s="1"/>
  <c r="CO60" i="36"/>
  <c r="CO59" i="36"/>
  <c r="DU14" i="36"/>
  <c r="DU16" i="36"/>
  <c r="DU17" i="36"/>
  <c r="DU13" i="36"/>
  <c r="DU15" i="36"/>
  <c r="CD196" i="33"/>
  <c r="CI89" i="33"/>
  <c r="DV91" i="36"/>
  <c r="CT59" i="36"/>
  <c r="DS91" i="36" s="1"/>
  <c r="DV49" i="36"/>
  <c r="CT32" i="36"/>
  <c r="DS49" i="36" s="1"/>
  <c r="BZ21" i="35"/>
  <c r="Q23" i="35" s="1"/>
  <c r="CO19" i="35" s="1"/>
  <c r="CX20" i="35" s="1"/>
  <c r="DQ154" i="37"/>
  <c r="AW157" i="37" s="1"/>
  <c r="DP154" i="37"/>
  <c r="AS157" i="37" s="1"/>
  <c r="DN154" i="37"/>
  <c r="AK157" i="37" s="1"/>
  <c r="DR154" i="37"/>
  <c r="BA157" i="37" s="1"/>
  <c r="Q152" i="37"/>
  <c r="F261" i="37" s="1"/>
  <c r="DM154" i="37"/>
  <c r="AG157" i="37" s="1"/>
  <c r="ED44" i="37"/>
  <c r="FD44" i="37" s="1"/>
  <c r="EE44" i="37"/>
  <c r="FH44" i="37"/>
  <c r="AH236" i="37"/>
  <c r="BN145" i="35"/>
  <c r="CP145" i="35" s="1"/>
  <c r="DJ142" i="35" s="1"/>
  <c r="CT80" i="36"/>
  <c r="DS119" i="36" s="1"/>
  <c r="DV119" i="36"/>
  <c r="CO14" i="36"/>
  <c r="AW33" i="35"/>
  <c r="CO33" i="35" s="1"/>
  <c r="DG30" i="35" s="1"/>
  <c r="CP33" i="35"/>
  <c r="DJ30" i="35" s="1"/>
  <c r="CG80" i="36"/>
  <c r="BW83" i="36"/>
  <c r="DV63" i="36"/>
  <c r="CT41" i="36"/>
  <c r="DS63" i="36" s="1"/>
  <c r="CN214" i="35"/>
  <c r="AU214" i="35" s="1"/>
  <c r="CD214" i="35"/>
  <c r="DR65" i="35"/>
  <c r="DT65" i="35" s="1"/>
  <c r="DR73" i="35"/>
  <c r="DT73" i="35" s="1"/>
  <c r="DR106" i="35"/>
  <c r="DT106" i="35" s="1"/>
  <c r="DR153" i="35"/>
  <c r="DT153" i="35" s="1"/>
  <c r="DR80" i="35"/>
  <c r="DT80" i="35" s="1"/>
  <c r="DR40" i="35"/>
  <c r="DT40" i="35" s="1"/>
  <c r="BN80" i="35"/>
  <c r="CP80" i="35" s="1"/>
  <c r="DJ77" i="35" s="1"/>
  <c r="DR79" i="35"/>
  <c r="EL56" i="37"/>
  <c r="DR127" i="35"/>
  <c r="DQ96" i="33"/>
  <c r="DU18" i="36"/>
  <c r="AB86" i="33"/>
  <c r="EB86" i="33" s="1"/>
  <c r="CN126" i="36"/>
  <c r="CN125" i="36"/>
  <c r="DR78" i="35"/>
  <c r="CP57" i="35"/>
  <c r="DJ54" i="35" s="1"/>
  <c r="AW57" i="35"/>
  <c r="CX259" i="37"/>
  <c r="AB134" i="33"/>
  <c r="EB134" i="33" s="1"/>
  <c r="CA148" i="36"/>
  <c r="AT148" i="36" s="1"/>
  <c r="DJ142" i="36" s="1"/>
  <c r="CB148" i="36"/>
  <c r="CL126" i="35"/>
  <c r="CN156" i="36"/>
  <c r="AF161" i="36" s="1"/>
  <c r="DD155" i="36" s="1"/>
  <c r="CN216" i="35"/>
  <c r="AU216" i="35" s="1"/>
  <c r="CD216" i="35"/>
  <c r="DR31" i="35"/>
  <c r="DR86" i="35"/>
  <c r="CL61" i="35"/>
  <c r="CL60" i="35"/>
  <c r="BN130" i="35"/>
  <c r="DR142" i="35"/>
  <c r="DR144" i="35"/>
  <c r="DR60" i="35"/>
  <c r="AK25" i="35"/>
  <c r="CP21" i="35" s="1"/>
  <c r="DA22" i="35" s="1"/>
  <c r="AK65" i="35"/>
  <c r="CP61" i="35" s="1"/>
  <c r="DA62" i="35" s="1"/>
  <c r="CK142" i="35"/>
  <c r="CK141" i="35"/>
  <c r="EL80" i="37"/>
  <c r="DR119" i="35"/>
  <c r="DR141" i="35"/>
  <c r="CO41" i="36"/>
  <c r="CO42" i="36"/>
  <c r="DR77" i="35"/>
  <c r="EL54" i="37"/>
  <c r="CQ110" i="33"/>
  <c r="CP110" i="33"/>
  <c r="CM110" i="33"/>
  <c r="O110" i="33" s="1"/>
  <c r="DI109" i="33" s="1"/>
  <c r="DR87" i="35"/>
  <c r="DR89" i="35"/>
  <c r="DT89" i="35" s="1"/>
  <c r="DR81" i="35"/>
  <c r="DT81" i="35" s="1"/>
  <c r="DR161" i="35"/>
  <c r="DR164" i="35"/>
  <c r="DT164" i="35" s="1"/>
  <c r="DR33" i="35"/>
  <c r="DT33" i="35" s="1"/>
  <c r="CK76" i="35"/>
  <c r="CK77" i="35"/>
  <c r="DR112" i="35"/>
  <c r="EL98" i="37"/>
  <c r="DR47" i="35"/>
  <c r="CO126" i="36"/>
  <c r="DI36" i="32"/>
  <c r="DH37" i="32"/>
  <c r="ED54" i="37"/>
  <c r="FD54" i="37" s="1"/>
  <c r="EE54" i="37"/>
  <c r="FH54" i="37"/>
  <c r="AK238" i="37"/>
  <c r="DR76" i="35"/>
  <c r="DR37" i="35"/>
  <c r="CX246" i="37"/>
  <c r="BP246" i="37" s="1"/>
  <c r="ED100" i="37"/>
  <c r="FD100" i="37" s="1"/>
  <c r="EE100" i="37"/>
  <c r="FH100" i="37"/>
  <c r="AK248" i="37"/>
  <c r="DR133" i="35"/>
  <c r="CK28" i="35"/>
  <c r="CK29" i="35"/>
  <c r="DR38" i="35"/>
  <c r="DV21" i="36"/>
  <c r="CT14" i="36"/>
  <c r="DS21" i="36" s="1"/>
  <c r="DU25" i="36" s="1"/>
  <c r="CL44" i="35"/>
  <c r="CG44" i="35"/>
  <c r="CL45" i="35"/>
  <c r="BW137" i="36"/>
  <c r="ED72" i="37"/>
  <c r="FD72" i="37" s="1"/>
  <c r="EE72" i="37"/>
  <c r="FH72" i="37"/>
  <c r="AK242" i="37"/>
  <c r="DR94" i="35"/>
  <c r="CT116" i="36"/>
  <c r="DS175" i="36" s="1"/>
  <c r="DV175" i="36"/>
  <c r="AW25" i="35"/>
  <c r="CP25" i="35"/>
  <c r="DJ22" i="35" s="1"/>
  <c r="DR90" i="35"/>
  <c r="DT90" i="35" s="1"/>
  <c r="CR128" i="35"/>
  <c r="DG129" i="35" s="1"/>
  <c r="DJ129" i="35"/>
  <c r="DR39" i="35"/>
  <c r="CN60" i="36"/>
  <c r="CN59" i="36"/>
  <c r="DQ51" i="33"/>
  <c r="DR134" i="35"/>
  <c r="DJ151" i="35"/>
  <c r="CP151" i="35"/>
  <c r="EL58" i="37"/>
  <c r="BW62" i="36"/>
  <c r="DR128" i="35"/>
  <c r="CX245" i="37"/>
  <c r="DR112" i="33"/>
  <c r="DM112" i="33"/>
  <c r="DS47" i="33" s="1"/>
  <c r="DR88" i="35"/>
  <c r="AG56" i="37"/>
  <c r="EL87" i="37"/>
  <c r="DQ63" i="33"/>
  <c r="DR138" i="35"/>
  <c r="DT138" i="35" s="1"/>
  <c r="DR135" i="35"/>
  <c r="DR170" i="35"/>
  <c r="DR172" i="35"/>
  <c r="DT172" i="35" s="1"/>
  <c r="DR64" i="35"/>
  <c r="DT64" i="35" s="1"/>
  <c r="DR24" i="35"/>
  <c r="DT24" i="35" s="1"/>
  <c r="AW122" i="35"/>
  <c r="EL76" i="37"/>
  <c r="BQ104" i="37"/>
  <c r="EN104" i="37" s="1"/>
  <c r="EJ104" i="37"/>
  <c r="CK85" i="35"/>
  <c r="CK86" i="35"/>
  <c r="CT125" i="36"/>
  <c r="DS189" i="36" s="1"/>
  <c r="DV189" i="36"/>
  <c r="CT129" i="36"/>
  <c r="DS193" i="36" s="1"/>
  <c r="DV193" i="36"/>
  <c r="DR52" i="35"/>
  <c r="ES43" i="37"/>
  <c r="ER44" i="37"/>
  <c r="BN106" i="35"/>
  <c r="CX247" i="37"/>
  <c r="DR178" i="35"/>
  <c r="CB132" i="35"/>
  <c r="BY135" i="35" s="1"/>
  <c r="BZ148" i="35"/>
  <c r="CB141" i="35"/>
  <c r="CC141" i="35"/>
  <c r="CA148" i="35"/>
  <c r="CL125" i="35"/>
  <c r="EX114" i="37"/>
  <c r="EB114" i="37"/>
  <c r="ET114" i="37" s="1"/>
  <c r="Y250" i="37"/>
  <c r="AK72" i="35"/>
  <c r="CP68" i="35" s="1"/>
  <c r="DA69" i="35" s="1"/>
  <c r="CD217" i="35"/>
  <c r="CN217" i="35"/>
  <c r="AU217" i="35" s="1"/>
  <c r="AE242" i="37"/>
  <c r="FH70" i="37"/>
  <c r="EE70" i="37"/>
  <c r="ED70" i="37"/>
  <c r="FD70" i="37" s="1"/>
  <c r="BX128" i="36"/>
  <c r="BZ129" i="36"/>
  <c r="BY120" i="36"/>
  <c r="CL21" i="35"/>
  <c r="CL20" i="35"/>
  <c r="CG20" i="35"/>
  <c r="DR21" i="35"/>
  <c r="DR71" i="35"/>
  <c r="DR152" i="35"/>
  <c r="DR160" i="35"/>
  <c r="DR143" i="35"/>
  <c r="DR95" i="35"/>
  <c r="DR146" i="35"/>
  <c r="DT146" i="35" s="1"/>
  <c r="DR30" i="35"/>
  <c r="DR36" i="35"/>
  <c r="DR111" i="35"/>
  <c r="DR54" i="35"/>
  <c r="DR28" i="35"/>
  <c r="DR126" i="35"/>
  <c r="DR62" i="35"/>
  <c r="EL49" i="37"/>
  <c r="EL57" i="37"/>
  <c r="EL75" i="37"/>
  <c r="EL68" i="37"/>
  <c r="EL85" i="37"/>
  <c r="EL67" i="37"/>
  <c r="EL82" i="37"/>
  <c r="EL89" i="37"/>
  <c r="BL113" i="36"/>
  <c r="DM107" i="36" s="1"/>
  <c r="CG50" i="36"/>
  <c r="BW53" i="36"/>
  <c r="EL63" i="37"/>
  <c r="AW98" i="35"/>
  <c r="CP98" i="35"/>
  <c r="DJ95" i="35" s="1"/>
  <c r="BN137" i="35"/>
  <c r="CP137" i="35" s="1"/>
  <c r="DJ134" i="35" s="1"/>
  <c r="EL70" i="37"/>
  <c r="CN24" i="36"/>
  <c r="CN23" i="36"/>
  <c r="CL102" i="35"/>
  <c r="CL101" i="35"/>
  <c r="CG101" i="35"/>
  <c r="FH52" i="37"/>
  <c r="ED52" i="37"/>
  <c r="FD52" i="37" s="1"/>
  <c r="EE52" i="37"/>
  <c r="AE238" i="37"/>
  <c r="DR162" i="35"/>
  <c r="DR70" i="35"/>
  <c r="DR98" i="35"/>
  <c r="DT98" i="35" s="1"/>
  <c r="DR177" i="35"/>
  <c r="DR97" i="35"/>
  <c r="DT97" i="35" s="1"/>
  <c r="DR32" i="35"/>
  <c r="DT32" i="35" s="1"/>
  <c r="EL100" i="37"/>
  <c r="DR44" i="35"/>
  <c r="DQ36" i="33"/>
  <c r="DQ67" i="33"/>
  <c r="DQ79" i="33"/>
  <c r="DQ97" i="33"/>
  <c r="DQ80" i="33"/>
  <c r="DS168" i="33"/>
  <c r="DQ95" i="33"/>
  <c r="DQ59" i="33"/>
  <c r="DQ65" i="33"/>
  <c r="DQ42" i="33"/>
  <c r="DQ66" i="33"/>
  <c r="DQ39" i="33"/>
  <c r="DQ74" i="33"/>
  <c r="DQ53" i="33"/>
  <c r="DQ89" i="33"/>
  <c r="DQ64" i="33"/>
  <c r="DQ58" i="33"/>
  <c r="DQ43" i="33"/>
  <c r="DQ107" i="33"/>
  <c r="DQ70" i="33"/>
  <c r="DQ104" i="33"/>
  <c r="DQ56" i="33"/>
  <c r="DQ91" i="33"/>
  <c r="DQ69" i="33"/>
  <c r="DQ38" i="33"/>
  <c r="DQ49" i="33"/>
  <c r="DQ98" i="33"/>
  <c r="DQ102" i="33"/>
  <c r="DQ75" i="33"/>
  <c r="DQ99" i="33"/>
  <c r="DQ40" i="33"/>
  <c r="DQ55" i="33"/>
  <c r="DQ48" i="33"/>
  <c r="DQ61" i="33"/>
  <c r="DQ106" i="33"/>
  <c r="DQ41" i="33"/>
  <c r="DQ54" i="33"/>
  <c r="DQ62" i="33"/>
  <c r="DQ87" i="33"/>
  <c r="DQ86" i="33"/>
  <c r="DQ105" i="33"/>
  <c r="DQ103" i="33"/>
  <c r="DQ77" i="33"/>
  <c r="DQ93" i="33"/>
  <c r="DQ71" i="33"/>
  <c r="DQ110" i="33"/>
  <c r="DQ72" i="33"/>
  <c r="DQ111" i="33"/>
  <c r="DQ37" i="33"/>
  <c r="DQ68" i="33"/>
  <c r="DQ46" i="33"/>
  <c r="DQ73" i="33"/>
  <c r="DQ78" i="33"/>
  <c r="DQ57" i="33"/>
  <c r="DQ44" i="33"/>
  <c r="DQ94" i="33"/>
  <c r="DQ90" i="33"/>
  <c r="DQ85" i="33"/>
  <c r="DQ45" i="33"/>
  <c r="DQ109" i="33"/>
  <c r="DQ76" i="33"/>
  <c r="DQ101" i="33"/>
  <c r="DR149" i="35"/>
  <c r="ED107" i="37"/>
  <c r="FD107" i="37" s="1"/>
  <c r="EE107" i="37"/>
  <c r="FH107" i="37"/>
  <c r="AE250" i="37"/>
  <c r="EX77" i="37"/>
  <c r="EB77" i="37"/>
  <c r="ET77" i="37" s="1"/>
  <c r="Y242" i="37"/>
  <c r="BZ139" i="36"/>
  <c r="H139" i="36"/>
  <c r="DA133" i="36" s="1"/>
  <c r="DV67" i="36"/>
  <c r="CT45" i="36"/>
  <c r="DS67" i="36" s="1"/>
  <c r="AU204" i="35"/>
  <c r="CD204" i="35"/>
  <c r="CR23" i="35"/>
  <c r="DG24" i="35" s="1"/>
  <c r="DJ24" i="35"/>
  <c r="BW44" i="36"/>
  <c r="DR176" i="35"/>
  <c r="DT45" i="35"/>
  <c r="CT168" i="36"/>
  <c r="DS249" i="36" s="1"/>
  <c r="DV249" i="36"/>
  <c r="DR125" i="35"/>
  <c r="BS254" i="37"/>
  <c r="BP255" i="37"/>
  <c r="BS255" i="37" s="1"/>
  <c r="BG201" i="33"/>
  <c r="BB229" i="33"/>
  <c r="C229" i="33" s="1"/>
  <c r="BR205" i="33"/>
  <c r="BN204" i="33" s="1"/>
  <c r="BS244" i="37"/>
  <c r="DR103" i="35"/>
  <c r="DR93" i="35"/>
  <c r="DR154" i="35"/>
  <c r="DT154" i="35" s="1"/>
  <c r="DR49" i="35"/>
  <c r="DT49" i="35" s="1"/>
  <c r="DR129" i="35"/>
  <c r="DT129" i="35" s="1"/>
  <c r="DR150" i="35"/>
  <c r="FH43" i="37"/>
  <c r="EE43" i="37"/>
  <c r="ED43" i="37"/>
  <c r="FD43" i="37" s="1"/>
  <c r="AE236" i="37"/>
  <c r="CW122" i="33"/>
  <c r="CU122" i="33"/>
  <c r="CV122" i="33"/>
  <c r="CX122" i="33"/>
  <c r="CT122" i="33"/>
  <c r="CS114" i="33"/>
  <c r="CO125" i="36"/>
  <c r="BN65" i="35"/>
  <c r="DV95" i="36"/>
  <c r="CT63" i="36"/>
  <c r="DS95" i="36" s="1"/>
  <c r="DR171" i="35"/>
  <c r="EL72" i="37"/>
  <c r="DR136" i="35"/>
  <c r="CX258" i="37"/>
  <c r="BP258" i="37" s="1"/>
  <c r="CZ37" i="32"/>
  <c r="CY38" i="32"/>
  <c r="DB29" i="33"/>
  <c r="DC29" i="33" s="1"/>
  <c r="EE109" i="37"/>
  <c r="FH109" i="37"/>
  <c r="ED109" i="37"/>
  <c r="FD109" i="37" s="1"/>
  <c r="AK250" i="37"/>
  <c r="CD209" i="35"/>
  <c r="CN209" i="35"/>
  <c r="AU209" i="35" s="1"/>
  <c r="CO41" i="35"/>
  <c r="DG38" i="35" s="1"/>
  <c r="CR40" i="35"/>
  <c r="DG41" i="35" s="1"/>
  <c r="AF113" i="36"/>
  <c r="DD107" i="36" s="1"/>
  <c r="DJ48" i="35"/>
  <c r="CR47" i="35"/>
  <c r="DG48" i="35" s="1"/>
  <c r="CN42" i="36"/>
  <c r="CN41" i="36"/>
  <c r="DR85" i="35"/>
  <c r="CX252" i="37"/>
  <c r="BP252" i="37" s="1"/>
  <c r="CO135" i="36"/>
  <c r="CO134" i="36"/>
  <c r="DR130" i="35"/>
  <c r="DT130" i="35" s="1"/>
  <c r="DR57" i="35"/>
  <c r="DT57" i="35" s="1"/>
  <c r="DR173" i="35"/>
  <c r="DT173" i="35" s="1"/>
  <c r="DR72" i="35"/>
  <c r="DT72" i="35" s="1"/>
  <c r="DR121" i="35"/>
  <c r="DT121" i="35" s="1"/>
  <c r="DR56" i="35"/>
  <c r="DT56" i="35" s="1"/>
  <c r="DN20" i="35"/>
  <c r="DO20" i="35" s="1"/>
  <c r="DT20" i="35"/>
  <c r="AG47" i="37"/>
  <c r="Q231" i="33"/>
  <c r="L231" i="33"/>
  <c r="AI231" i="33"/>
  <c r="T231" i="33"/>
  <c r="CT98" i="36"/>
  <c r="DS147" i="36" s="1"/>
  <c r="DV147" i="36"/>
  <c r="DR179" i="35"/>
  <c r="DR102" i="35"/>
  <c r="EL91" i="37"/>
  <c r="DR55" i="35"/>
  <c r="DU19" i="36"/>
  <c r="DR29" i="35"/>
  <c r="EL64" i="37"/>
  <c r="DU20" i="36"/>
  <c r="EE108" i="37"/>
  <c r="ED108" i="37"/>
  <c r="FD108" i="37" s="1"/>
  <c r="FH108" i="37"/>
  <c r="AH250" i="37"/>
  <c r="CR80" i="35" l="1"/>
  <c r="DG81" i="35" s="1"/>
  <c r="DU41" i="36"/>
  <c r="EL113" i="37"/>
  <c r="DS92" i="33"/>
  <c r="DQ129" i="33"/>
  <c r="DS84" i="33"/>
  <c r="BN56" i="35"/>
  <c r="CP56" i="35" s="1"/>
  <c r="DJ53" i="35" s="1"/>
  <c r="DS116" i="33"/>
  <c r="DS108" i="33"/>
  <c r="DQ137" i="33"/>
  <c r="DS160" i="33"/>
  <c r="DS132" i="33"/>
  <c r="DS124" i="33"/>
  <c r="EO25" i="37"/>
  <c r="DS176" i="33"/>
  <c r="DS140" i="33"/>
  <c r="FH63" i="37"/>
  <c r="EE63" i="37"/>
  <c r="ED63" i="37"/>
  <c r="FD63" i="37" s="1"/>
  <c r="AK240" i="37"/>
  <c r="ED62" i="37"/>
  <c r="FD62" i="37" s="1"/>
  <c r="AH240" i="37"/>
  <c r="EE62" i="37"/>
  <c r="FH62" i="37"/>
  <c r="EO102" i="37"/>
  <c r="AG65" i="37"/>
  <c r="EL172" i="37"/>
  <c r="EO172" i="37" s="1"/>
  <c r="FH61" i="37"/>
  <c r="AE240" i="37"/>
  <c r="ED61" i="37"/>
  <c r="FD61" i="37" s="1"/>
  <c r="EE61" i="37"/>
  <c r="EL167" i="37"/>
  <c r="EO167" i="37" s="1"/>
  <c r="DS100" i="33"/>
  <c r="DS148" i="33"/>
  <c r="EL122" i="37"/>
  <c r="EO122" i="37" s="1"/>
  <c r="EL120" i="37"/>
  <c r="EL128" i="37"/>
  <c r="EL176" i="37"/>
  <c r="DU45" i="36"/>
  <c r="DW45" i="36" s="1"/>
  <c r="DS33" i="33"/>
  <c r="DQ146" i="33"/>
  <c r="DS146" i="33" s="1"/>
  <c r="DQ161" i="33"/>
  <c r="DS161" i="33" s="1"/>
  <c r="DQ166" i="33"/>
  <c r="DS166" i="33" s="1"/>
  <c r="DQ184" i="33"/>
  <c r="DS184" i="33" s="1"/>
  <c r="DQ142" i="33"/>
  <c r="EL141" i="37"/>
  <c r="EO141" i="37" s="1"/>
  <c r="DU35" i="36"/>
  <c r="EL108" i="37"/>
  <c r="EO108" i="37" s="1"/>
  <c r="DQ175" i="33"/>
  <c r="DS175" i="33" s="1"/>
  <c r="DQ131" i="33"/>
  <c r="DS131" i="33" s="1"/>
  <c r="DS88" i="33"/>
  <c r="DS29" i="33"/>
  <c r="DQ141" i="33"/>
  <c r="CP49" i="35"/>
  <c r="DJ46" i="35" s="1"/>
  <c r="DQ171" i="33"/>
  <c r="DS171" i="33" s="1"/>
  <c r="DS20" i="33"/>
  <c r="AB126" i="33"/>
  <c r="EB126" i="33" s="1"/>
  <c r="DS31" i="33"/>
  <c r="DQ139" i="33"/>
  <c r="DS139" i="33" s="1"/>
  <c r="DQ150" i="33"/>
  <c r="DS150" i="33" s="1"/>
  <c r="DS27" i="33"/>
  <c r="EB169" i="37"/>
  <c r="ET169" i="37" s="1"/>
  <c r="Y262" i="37"/>
  <c r="EX169" i="37"/>
  <c r="FH163" i="37"/>
  <c r="ED163" i="37"/>
  <c r="FD163" i="37" s="1"/>
  <c r="AH262" i="37"/>
  <c r="EE163" i="37"/>
  <c r="EL191" i="37"/>
  <c r="EO191" i="37" s="1"/>
  <c r="EE162" i="37"/>
  <c r="AE262" i="37"/>
  <c r="FH162" i="37"/>
  <c r="ED162" i="37"/>
  <c r="FD162" i="37" s="1"/>
  <c r="EX168" i="37"/>
  <c r="CW262" i="37"/>
  <c r="V262" i="37"/>
  <c r="V263" i="37"/>
  <c r="EB168" i="37"/>
  <c r="ET168" i="37" s="1"/>
  <c r="DA163" i="37"/>
  <c r="AK262" i="37"/>
  <c r="ED164" i="37"/>
  <c r="FD164" i="37" s="1"/>
  <c r="EE164" i="37"/>
  <c r="FH164" i="37"/>
  <c r="EO59" i="37"/>
  <c r="EO62" i="37"/>
  <c r="EO43" i="37"/>
  <c r="EO84" i="37"/>
  <c r="EO38" i="37"/>
  <c r="EO31" i="37"/>
  <c r="EO35" i="37"/>
  <c r="DQ163" i="33"/>
  <c r="DS163" i="33" s="1"/>
  <c r="DQ127" i="33"/>
  <c r="DS127" i="33" s="1"/>
  <c r="DQ172" i="33"/>
  <c r="DS172" i="33" s="1"/>
  <c r="DQ144" i="33"/>
  <c r="DS144" i="33" s="1"/>
  <c r="DQ113" i="33"/>
  <c r="DS113" i="33" s="1"/>
  <c r="DQ178" i="33"/>
  <c r="DS178" i="33" s="1"/>
  <c r="DQ143" i="33"/>
  <c r="DS143" i="33" s="1"/>
  <c r="DQ169" i="33"/>
  <c r="DS169" i="33" s="1"/>
  <c r="DQ130" i="33"/>
  <c r="DS130" i="33" s="1"/>
  <c r="AK145" i="35"/>
  <c r="CP141" i="35" s="1"/>
  <c r="DA142" i="35" s="1"/>
  <c r="BP245" i="37"/>
  <c r="BS245" i="37" s="1"/>
  <c r="CK60" i="35"/>
  <c r="AK64" i="35" s="1"/>
  <c r="CP60" i="35" s="1"/>
  <c r="DA61" i="35" s="1"/>
  <c r="BL65" i="36"/>
  <c r="DM59" i="36" s="1"/>
  <c r="DU64" i="36"/>
  <c r="DW64" i="36" s="1"/>
  <c r="DU123" i="36"/>
  <c r="DW123" i="36" s="1"/>
  <c r="BL20" i="36"/>
  <c r="DM14" i="36" s="1"/>
  <c r="EL175" i="37"/>
  <c r="EO175" i="37" s="1"/>
  <c r="BL122" i="36"/>
  <c r="DM116" i="36" s="1"/>
  <c r="AK129" i="35"/>
  <c r="CP125" i="35" s="1"/>
  <c r="DA126" i="35" s="1"/>
  <c r="BN129" i="35"/>
  <c r="CP129" i="35" s="1"/>
  <c r="DJ126" i="35" s="1"/>
  <c r="DS28" i="33"/>
  <c r="DS30" i="33"/>
  <c r="DS19" i="33"/>
  <c r="L217" i="33" s="1"/>
  <c r="AM217" i="33" s="1"/>
  <c r="DQ162" i="33"/>
  <c r="DS162" i="33" s="1"/>
  <c r="DQ170" i="33"/>
  <c r="DS170" i="33" s="1"/>
  <c r="DS50" i="33"/>
  <c r="DQ147" i="33"/>
  <c r="DS147" i="33" s="1"/>
  <c r="DS17" i="33"/>
  <c r="DQ126" i="33"/>
  <c r="DS126" i="33" s="1"/>
  <c r="DQ145" i="33"/>
  <c r="DS145" i="33" s="1"/>
  <c r="DQ183" i="33"/>
  <c r="DS183" i="33" s="1"/>
  <c r="DS23" i="33"/>
  <c r="DS26" i="33"/>
  <c r="DQ117" i="33"/>
  <c r="DS117" i="33" s="1"/>
  <c r="DQ151" i="33"/>
  <c r="DS151" i="33" s="1"/>
  <c r="DS25" i="33"/>
  <c r="DQ114" i="33"/>
  <c r="DS114" i="33" s="1"/>
  <c r="DQ153" i="33"/>
  <c r="DS153" i="33" s="1"/>
  <c r="DQ138" i="33"/>
  <c r="DS138" i="33" s="1"/>
  <c r="DS24" i="33"/>
  <c r="DQ180" i="33"/>
  <c r="DS180" i="33" s="1"/>
  <c r="DQ179" i="33"/>
  <c r="DS179" i="33" s="1"/>
  <c r="DQ181" i="33"/>
  <c r="DS181" i="33" s="1"/>
  <c r="DQ156" i="33"/>
  <c r="DS156" i="33" s="1"/>
  <c r="DS35" i="33"/>
  <c r="DQ152" i="33"/>
  <c r="DS152" i="33" s="1"/>
  <c r="DQ165" i="33"/>
  <c r="DS165" i="33" s="1"/>
  <c r="DS21" i="33"/>
  <c r="DQ122" i="33"/>
  <c r="DS122" i="33" s="1"/>
  <c r="DS32" i="33"/>
  <c r="DS18" i="33"/>
  <c r="L216" i="33" s="1"/>
  <c r="AM216" i="33" s="1"/>
  <c r="DQ167" i="33"/>
  <c r="DS167" i="33" s="1"/>
  <c r="DS22" i="33"/>
  <c r="DQ173" i="33"/>
  <c r="DS173" i="33" s="1"/>
  <c r="EL194" i="37"/>
  <c r="EO194" i="37" s="1"/>
  <c r="EL162" i="37"/>
  <c r="EO162" i="37" s="1"/>
  <c r="EO39" i="37"/>
  <c r="EL112" i="37"/>
  <c r="EO112" i="37" s="1"/>
  <c r="EL149" i="37"/>
  <c r="EO149" i="37" s="1"/>
  <c r="EL158" i="37"/>
  <c r="EO158" i="37" s="1"/>
  <c r="EL200" i="37"/>
  <c r="EO200" i="37" s="1"/>
  <c r="EO27" i="37"/>
  <c r="EL131" i="37"/>
  <c r="EO131" i="37" s="1"/>
  <c r="EL157" i="37"/>
  <c r="EO157" i="37" s="1"/>
  <c r="EL153" i="37"/>
  <c r="EO153" i="37" s="1"/>
  <c r="EL182" i="37"/>
  <c r="EO182" i="37" s="1"/>
  <c r="EO32" i="37"/>
  <c r="EL126" i="37"/>
  <c r="EO126" i="37" s="1"/>
  <c r="EL125" i="37"/>
  <c r="EO125" i="37" s="1"/>
  <c r="EL173" i="37"/>
  <c r="EO173" i="37" s="1"/>
  <c r="EL148" i="37"/>
  <c r="EO148" i="37" s="1"/>
  <c r="EL127" i="37"/>
  <c r="EO127" i="37" s="1"/>
  <c r="EO77" i="37"/>
  <c r="EL201" i="37"/>
  <c r="EO201" i="37" s="1"/>
  <c r="EO52" i="37"/>
  <c r="EL150" i="37"/>
  <c r="EO150" i="37" s="1"/>
  <c r="EL163" i="37"/>
  <c r="EO163" i="37" s="1"/>
  <c r="EO92" i="37"/>
  <c r="O130" i="33"/>
  <c r="DI129" i="33" s="1"/>
  <c r="DD129" i="33"/>
  <c r="EO36" i="37"/>
  <c r="EL147" i="37"/>
  <c r="EO147" i="37" s="1"/>
  <c r="EL107" i="37"/>
  <c r="EO107" i="37" s="1"/>
  <c r="AB130" i="33"/>
  <c r="EB130" i="33" s="1"/>
  <c r="EO66" i="37"/>
  <c r="EO94" i="37"/>
  <c r="EL184" i="37"/>
  <c r="EO184" i="37" s="1"/>
  <c r="EO30" i="37"/>
  <c r="EL183" i="37"/>
  <c r="EO183" i="37" s="1"/>
  <c r="EO48" i="37"/>
  <c r="EO86" i="37"/>
  <c r="EL202" i="37"/>
  <c r="EO202" i="37" s="1"/>
  <c r="EL193" i="37"/>
  <c r="EO193" i="37" s="1"/>
  <c r="EL203" i="37"/>
  <c r="EO203" i="37" s="1"/>
  <c r="EL109" i="37"/>
  <c r="EO109" i="37" s="1"/>
  <c r="EL118" i="37"/>
  <c r="EO118" i="37" s="1"/>
  <c r="EL166" i="37"/>
  <c r="EO166" i="37" s="1"/>
  <c r="EL135" i="37"/>
  <c r="EO135" i="37" s="1"/>
  <c r="EO55" i="37"/>
  <c r="DU122" i="36"/>
  <c r="DW122" i="36" s="1"/>
  <c r="DD45" i="33"/>
  <c r="DH52" i="33" s="1"/>
  <c r="FF91" i="37"/>
  <c r="BL38" i="36"/>
  <c r="DM32" i="36" s="1"/>
  <c r="CN33" i="36"/>
  <c r="AF38" i="36" s="1"/>
  <c r="DD32" i="36" s="1"/>
  <c r="CN46" i="33"/>
  <c r="AF131" i="36"/>
  <c r="DD125" i="36" s="1"/>
  <c r="BL140" i="36"/>
  <c r="DM134" i="36" s="1"/>
  <c r="AF29" i="36"/>
  <c r="DD23" i="36" s="1"/>
  <c r="EH45" i="37"/>
  <c r="EI45" i="37" s="1"/>
  <c r="DU118" i="36"/>
  <c r="DW118" i="36" s="1"/>
  <c r="BL131" i="36"/>
  <c r="DM125" i="36" s="1"/>
  <c r="DU27" i="36"/>
  <c r="DU28" i="36" s="1"/>
  <c r="DU67" i="36"/>
  <c r="DW67" i="36" s="1"/>
  <c r="CO46" i="33"/>
  <c r="T46" i="33" s="1"/>
  <c r="DW46" i="33" s="1"/>
  <c r="EA53" i="33" s="1"/>
  <c r="DD53" i="33"/>
  <c r="DD61" i="33"/>
  <c r="O46" i="33"/>
  <c r="DI45" i="33" s="1"/>
  <c r="CN62" i="33"/>
  <c r="CN54" i="33"/>
  <c r="O62" i="33"/>
  <c r="DI61" i="33" s="1"/>
  <c r="O54" i="33"/>
  <c r="DI53" i="33" s="1"/>
  <c r="CO54" i="33"/>
  <c r="T54" i="33" s="1"/>
  <c r="DW54" i="33" s="1"/>
  <c r="EA54" i="33" s="1"/>
  <c r="AB62" i="33"/>
  <c r="EB62" i="33" s="1"/>
  <c r="DW20" i="36"/>
  <c r="BN24" i="35"/>
  <c r="CP24" i="35" s="1"/>
  <c r="DJ21" i="35" s="1"/>
  <c r="DU147" i="36"/>
  <c r="DW147" i="36" s="1"/>
  <c r="DU88" i="36"/>
  <c r="DW88" i="36" s="1"/>
  <c r="DU164" i="36"/>
  <c r="DW164" i="36" s="1"/>
  <c r="CR122" i="33"/>
  <c r="G122" i="33" s="1"/>
  <c r="DD121" i="33" s="1"/>
  <c r="DS34" i="33"/>
  <c r="DQ125" i="33"/>
  <c r="DS125" i="33" s="1"/>
  <c r="DQ154" i="33"/>
  <c r="DS154" i="33" s="1"/>
  <c r="DQ118" i="33"/>
  <c r="DS118" i="33" s="1"/>
  <c r="DQ119" i="33"/>
  <c r="DS119" i="33" s="1"/>
  <c r="BN64" i="35"/>
  <c r="CP64" i="35" s="1"/>
  <c r="DJ61" i="35" s="1"/>
  <c r="BL56" i="36"/>
  <c r="DM50" i="36" s="1"/>
  <c r="DU125" i="36"/>
  <c r="DW125" i="36" s="1"/>
  <c r="BL47" i="36"/>
  <c r="DM41" i="36" s="1"/>
  <c r="BL104" i="36"/>
  <c r="DM98" i="36" s="1"/>
  <c r="DU165" i="36"/>
  <c r="DW165" i="36" s="1"/>
  <c r="DU95" i="36"/>
  <c r="DW95" i="36" s="1"/>
  <c r="DU249" i="36"/>
  <c r="DW249" i="36" s="1"/>
  <c r="DW19" i="36"/>
  <c r="Z231" i="33"/>
  <c r="DU81" i="36"/>
  <c r="DW81" i="36" s="1"/>
  <c r="DU117" i="36"/>
  <c r="DW117" i="36" s="1"/>
  <c r="AM231" i="33"/>
  <c r="DQ128" i="33"/>
  <c r="DS128" i="33" s="1"/>
  <c r="DT150" i="35"/>
  <c r="DS76" i="33"/>
  <c r="DS45" i="33"/>
  <c r="DS111" i="33"/>
  <c r="DS105" i="33"/>
  <c r="DS61" i="33"/>
  <c r="DS99" i="33"/>
  <c r="DQ115" i="33"/>
  <c r="DS64" i="33"/>
  <c r="DQ155" i="33"/>
  <c r="DQ135" i="33"/>
  <c r="DQ182" i="33"/>
  <c r="DS79" i="33"/>
  <c r="DT44" i="35"/>
  <c r="DT177" i="35"/>
  <c r="FF52" i="37"/>
  <c r="EO63" i="37"/>
  <c r="DT54" i="35"/>
  <c r="DT152" i="35"/>
  <c r="DU116" i="36"/>
  <c r="AK89" i="35"/>
  <c r="CP85" i="35" s="1"/>
  <c r="DA86" i="35" s="1"/>
  <c r="EO87" i="37"/>
  <c r="EL169" i="37"/>
  <c r="FF116" i="37"/>
  <c r="EL178" i="37"/>
  <c r="DT39" i="35"/>
  <c r="DU62" i="36"/>
  <c r="DT38" i="35"/>
  <c r="DT37" i="35"/>
  <c r="EO98" i="37"/>
  <c r="DT87" i="35"/>
  <c r="DU244" i="36"/>
  <c r="DT142" i="35"/>
  <c r="EO101" i="37"/>
  <c r="DU192" i="36"/>
  <c r="DU97" i="36"/>
  <c r="EO56" i="37"/>
  <c r="EL199" i="37"/>
  <c r="DU119" i="36"/>
  <c r="DA154" i="37"/>
  <c r="EB159" i="37"/>
  <c r="ET159" i="37" s="1"/>
  <c r="EX159" i="37"/>
  <c r="CW260" i="37"/>
  <c r="V261" i="37"/>
  <c r="V260" i="37"/>
  <c r="BZ204" i="35"/>
  <c r="CC204" i="35" s="1"/>
  <c r="BH204" i="35"/>
  <c r="DU58" i="36"/>
  <c r="DU42" i="36"/>
  <c r="DU247" i="36"/>
  <c r="DU287" i="36"/>
  <c r="DU252" i="36"/>
  <c r="DU100" i="36"/>
  <c r="DU114" i="36"/>
  <c r="DU290" i="36"/>
  <c r="DU276" i="36"/>
  <c r="DU210" i="36"/>
  <c r="DU56" i="36"/>
  <c r="DU108" i="36"/>
  <c r="DU168" i="36"/>
  <c r="DU143" i="36"/>
  <c r="DU199" i="36"/>
  <c r="DU253" i="36"/>
  <c r="DU73" i="36"/>
  <c r="DU99" i="36"/>
  <c r="DU22" i="36"/>
  <c r="DW22" i="36" s="1"/>
  <c r="DW14" i="36"/>
  <c r="DU139" i="36"/>
  <c r="CX248" i="37"/>
  <c r="BP248" i="37" s="1"/>
  <c r="CX249" i="37"/>
  <c r="EL138" i="37"/>
  <c r="DS60" i="33"/>
  <c r="EO90" i="37"/>
  <c r="EO103" i="37"/>
  <c r="DU173" i="36"/>
  <c r="FF99" i="37"/>
  <c r="DT136" i="35"/>
  <c r="DU209" i="36"/>
  <c r="DS72" i="33"/>
  <c r="DS86" i="33"/>
  <c r="DS69" i="33"/>
  <c r="DS107" i="33"/>
  <c r="DS89" i="33"/>
  <c r="DS66" i="33"/>
  <c r="DQ177" i="33"/>
  <c r="EO100" i="37"/>
  <c r="EO70" i="37"/>
  <c r="EO89" i="37"/>
  <c r="DU83" i="36"/>
  <c r="DT111" i="35"/>
  <c r="DT71" i="35"/>
  <c r="FF147" i="37"/>
  <c r="DU188" i="36"/>
  <c r="DU193" i="36"/>
  <c r="EL104" i="37"/>
  <c r="EL154" i="37"/>
  <c r="EL165" i="37"/>
  <c r="EO40" i="37"/>
  <c r="EL171" i="37"/>
  <c r="EO28" i="37"/>
  <c r="EL116" i="37"/>
  <c r="EL196" i="37"/>
  <c r="EL164" i="37"/>
  <c r="EL168" i="37"/>
  <c r="EO41" i="37"/>
  <c r="EL198" i="37"/>
  <c r="EL143" i="37"/>
  <c r="EO34" i="37"/>
  <c r="EL146" i="37"/>
  <c r="EL174" i="37"/>
  <c r="EL205" i="37"/>
  <c r="EL121" i="37"/>
  <c r="EL129" i="37"/>
  <c r="EL189" i="37"/>
  <c r="EL144" i="37"/>
  <c r="EL123" i="37"/>
  <c r="EL114" i="37"/>
  <c r="EL177" i="37"/>
  <c r="CB239" i="37"/>
  <c r="AV239" i="37" s="1"/>
  <c r="EX58" i="37"/>
  <c r="EB58" i="37"/>
  <c r="ET58" i="37" s="1"/>
  <c r="DA53" i="37"/>
  <c r="V239" i="37"/>
  <c r="V238" i="37"/>
  <c r="CX238" i="37" s="1"/>
  <c r="BP238" i="37" s="1"/>
  <c r="CW238" i="37"/>
  <c r="DF56" i="37"/>
  <c r="T59" i="37" s="1"/>
  <c r="EN53" i="37" s="1"/>
  <c r="CD239" i="37"/>
  <c r="AZ239" i="37" s="1"/>
  <c r="DT128" i="35"/>
  <c r="EO58" i="37"/>
  <c r="DU144" i="36"/>
  <c r="DU175" i="36"/>
  <c r="CK45" i="35"/>
  <c r="CK44" i="35"/>
  <c r="DU167" i="36"/>
  <c r="FF82" i="37"/>
  <c r="FF54" i="37"/>
  <c r="EL145" i="37"/>
  <c r="EL181" i="37"/>
  <c r="DU178" i="36"/>
  <c r="CP130" i="35"/>
  <c r="DJ127" i="35" s="1"/>
  <c r="AW130" i="35"/>
  <c r="CO130" i="35" s="1"/>
  <c r="DG127" i="35" s="1"/>
  <c r="EL192" i="37"/>
  <c r="DS96" i="33"/>
  <c r="DT79" i="35"/>
  <c r="CN81" i="36"/>
  <c r="CN80" i="36"/>
  <c r="FF62" i="37"/>
  <c r="CZ20" i="35"/>
  <c r="EO61" i="37"/>
  <c r="DU212" i="36"/>
  <c r="DU120" i="36"/>
  <c r="DU240" i="36"/>
  <c r="DU50" i="36"/>
  <c r="DU48" i="36"/>
  <c r="DU102" i="36"/>
  <c r="DU72" i="36"/>
  <c r="DU187" i="36"/>
  <c r="DU52" i="36"/>
  <c r="DU89" i="36"/>
  <c r="DU215" i="36"/>
  <c r="DU107" i="36"/>
  <c r="DU243" i="36"/>
  <c r="DU239" i="36"/>
  <c r="DU227" i="36"/>
  <c r="DU157" i="36"/>
  <c r="DU38" i="36"/>
  <c r="DU85" i="36"/>
  <c r="DU29" i="36"/>
  <c r="DT168" i="35"/>
  <c r="AK113" i="35"/>
  <c r="CP109" i="35" s="1"/>
  <c r="DA110" i="35" s="1"/>
  <c r="EO71" i="37"/>
  <c r="DT61" i="35"/>
  <c r="CO90" i="35"/>
  <c r="DG87" i="35" s="1"/>
  <c r="CR89" i="35"/>
  <c r="DG90" i="35" s="1"/>
  <c r="EL110" i="37"/>
  <c r="EL187" i="37"/>
  <c r="FF71" i="37"/>
  <c r="EL105" i="37"/>
  <c r="DV30" i="33"/>
  <c r="DU31" i="33"/>
  <c r="CX250" i="37"/>
  <c r="BP250" i="37" s="1"/>
  <c r="DU181" i="36"/>
  <c r="EO53" i="37"/>
  <c r="DT151" i="35"/>
  <c r="EO50" i="37"/>
  <c r="DQ164" i="33"/>
  <c r="DU233" i="36"/>
  <c r="DT55" i="35"/>
  <c r="EO128" i="37"/>
  <c r="C279" i="35"/>
  <c r="FF81" i="37"/>
  <c r="EO72" i="37"/>
  <c r="CW114" i="33"/>
  <c r="CX114" i="33"/>
  <c r="CV114" i="33"/>
  <c r="CU114" i="33"/>
  <c r="CT114" i="33"/>
  <c r="CS106" i="33"/>
  <c r="CN201" i="33"/>
  <c r="CN202" i="33" s="1"/>
  <c r="BB230" i="33"/>
  <c r="C230" i="33" s="1"/>
  <c r="DT125" i="35"/>
  <c r="DU217" i="36"/>
  <c r="CB139" i="36"/>
  <c r="CA139" i="36"/>
  <c r="AT139" i="36" s="1"/>
  <c r="DJ133" i="36" s="1"/>
  <c r="DS85" i="33"/>
  <c r="DS78" i="33"/>
  <c r="DS68" i="33"/>
  <c r="DS110" i="33"/>
  <c r="DQ121" i="33"/>
  <c r="DS98" i="33"/>
  <c r="DS91" i="33"/>
  <c r="DQ174" i="33"/>
  <c r="DS43" i="33"/>
  <c r="DS53" i="33"/>
  <c r="DS42" i="33"/>
  <c r="DQ133" i="33"/>
  <c r="DS80" i="33"/>
  <c r="DQ149" i="33"/>
  <c r="EO47" i="37"/>
  <c r="DT70" i="35"/>
  <c r="EL185" i="37"/>
  <c r="EL155" i="37"/>
  <c r="EO85" i="37"/>
  <c r="EO57" i="37"/>
  <c r="EO37" i="37"/>
  <c r="DT36" i="35"/>
  <c r="DT21" i="35"/>
  <c r="DN21" i="35"/>
  <c r="DO21" i="35" s="1"/>
  <c r="C280" i="35" s="1"/>
  <c r="BN144" i="35"/>
  <c r="CP144" i="35" s="1"/>
  <c r="AK144" i="35"/>
  <c r="CP140" i="35" s="1"/>
  <c r="DA141" i="35" s="1"/>
  <c r="DT88" i="35"/>
  <c r="DU158" i="36"/>
  <c r="FF101" i="37"/>
  <c r="DS51" i="33"/>
  <c r="DU60" i="36"/>
  <c r="BN48" i="35"/>
  <c r="CP48" i="35" s="1"/>
  <c r="DJ45" i="35" s="1"/>
  <c r="EL140" i="37"/>
  <c r="EL134" i="37"/>
  <c r="EL204" i="37"/>
  <c r="AK80" i="35"/>
  <c r="CP76" i="35" s="1"/>
  <c r="DA77" i="35" s="1"/>
  <c r="EO80" i="37"/>
  <c r="DU245" i="36"/>
  <c r="FF80" i="37"/>
  <c r="ED155" i="37"/>
  <c r="FD155" i="37" s="1"/>
  <c r="FH155" i="37"/>
  <c r="EE155" i="37"/>
  <c r="AK260" i="37"/>
  <c r="DU130" i="36"/>
  <c r="DU91" i="36"/>
  <c r="EO74" i="37"/>
  <c r="DU216" i="36"/>
  <c r="DU214" i="36"/>
  <c r="DU246" i="36"/>
  <c r="DU285" i="36"/>
  <c r="DU282" i="36"/>
  <c r="DU205" i="36"/>
  <c r="DU273" i="36"/>
  <c r="DU219" i="36"/>
  <c r="DU46" i="36"/>
  <c r="DU230" i="36"/>
  <c r="DU182" i="36"/>
  <c r="DU140" i="36"/>
  <c r="DU288" i="36"/>
  <c r="DU213" i="36"/>
  <c r="DU211" i="36"/>
  <c r="DU185" i="36"/>
  <c r="DU87" i="36"/>
  <c r="DU113" i="36"/>
  <c r="DU30" i="36"/>
  <c r="BP257" i="37"/>
  <c r="BS257" i="37" s="1"/>
  <c r="BS256" i="37"/>
  <c r="EL130" i="37"/>
  <c r="DT68" i="35"/>
  <c r="DT22" i="35"/>
  <c r="FF117" i="37"/>
  <c r="EL117" i="37"/>
  <c r="DE20" i="35"/>
  <c r="DF20" i="35" s="1"/>
  <c r="EO65" i="37"/>
  <c r="EL111" i="37"/>
  <c r="FF136" i="37"/>
  <c r="DU248" i="36"/>
  <c r="FF98" i="37"/>
  <c r="FF53" i="37"/>
  <c r="DS41" i="33"/>
  <c r="DS48" i="33"/>
  <c r="DS56" i="33"/>
  <c r="DS58" i="33"/>
  <c r="DS59" i="33"/>
  <c r="DS97" i="33"/>
  <c r="DS67" i="33"/>
  <c r="DT162" i="35"/>
  <c r="EO82" i="37"/>
  <c r="EO49" i="37"/>
  <c r="DT126" i="35"/>
  <c r="DT30" i="35"/>
  <c r="CK21" i="35"/>
  <c r="CK20" i="35"/>
  <c r="BZ142" i="35"/>
  <c r="Q144" i="35" s="1"/>
  <c r="CO140" i="35" s="1"/>
  <c r="CX141" i="35" s="1"/>
  <c r="AD143" i="35"/>
  <c r="N219" i="35" s="1"/>
  <c r="CP106" i="35"/>
  <c r="DJ103" i="35" s="1"/>
  <c r="AW106" i="35"/>
  <c r="DU189" i="36"/>
  <c r="DQ112" i="33"/>
  <c r="DQ134" i="33"/>
  <c r="DQ123" i="33"/>
  <c r="FF118" i="37"/>
  <c r="DT94" i="35"/>
  <c r="DU94" i="36"/>
  <c r="DI37" i="32"/>
  <c r="DH38" i="32"/>
  <c r="DT141" i="35"/>
  <c r="DT60" i="35"/>
  <c r="DU235" i="36"/>
  <c r="DU66" i="36"/>
  <c r="EL139" i="37"/>
  <c r="EO95" i="37"/>
  <c r="FF44" i="37"/>
  <c r="EB160" i="37"/>
  <c r="ET160" i="37" s="1"/>
  <c r="EX160" i="37"/>
  <c r="Y260" i="37"/>
  <c r="EL132" i="37"/>
  <c r="DU256" i="36"/>
  <c r="DU78" i="36"/>
  <c r="DU220" i="36"/>
  <c r="DU174" i="36"/>
  <c r="DU202" i="36"/>
  <c r="DU272" i="36"/>
  <c r="DU154" i="36"/>
  <c r="DU262" i="36"/>
  <c r="DU237" i="36"/>
  <c r="DU84" i="36"/>
  <c r="DU258" i="36"/>
  <c r="DU280" i="36"/>
  <c r="DU238" i="36"/>
  <c r="DU171" i="36"/>
  <c r="DU241" i="36"/>
  <c r="DU127" i="36"/>
  <c r="DU101" i="36"/>
  <c r="DU71" i="36"/>
  <c r="DU34" i="36"/>
  <c r="DU223" i="36"/>
  <c r="EO73" i="37"/>
  <c r="DT110" i="35"/>
  <c r="DU203" i="36"/>
  <c r="DU77" i="36"/>
  <c r="DT120" i="35"/>
  <c r="CX242" i="37"/>
  <c r="BP242" i="37" s="1"/>
  <c r="FF45" i="37"/>
  <c r="DU231" i="36"/>
  <c r="AF140" i="36"/>
  <c r="DD134" i="36" s="1"/>
  <c r="DT53" i="35"/>
  <c r="EO83" i="37"/>
  <c r="DW41" i="36"/>
  <c r="EO91" i="37"/>
  <c r="DT102" i="35"/>
  <c r="DW35" i="36"/>
  <c r="DU184" i="36"/>
  <c r="DT171" i="35"/>
  <c r="DU160" i="36"/>
  <c r="FF43" i="37"/>
  <c r="FF131" i="37"/>
  <c r="FF128" i="37"/>
  <c r="FF84" i="37"/>
  <c r="FF86" i="37"/>
  <c r="FF65" i="37"/>
  <c r="FF129" i="37"/>
  <c r="FF67" i="37"/>
  <c r="FF56" i="37"/>
  <c r="FF139" i="37"/>
  <c r="FF121" i="37"/>
  <c r="FF74" i="37"/>
  <c r="FF85" i="37"/>
  <c r="FF122" i="37"/>
  <c r="FF111" i="37"/>
  <c r="FF57" i="37"/>
  <c r="FF55" i="37"/>
  <c r="FF83" i="37"/>
  <c r="FF93" i="37"/>
  <c r="FF119" i="37"/>
  <c r="FF76" i="37"/>
  <c r="FF120" i="37"/>
  <c r="FF58" i="37"/>
  <c r="FF49" i="37"/>
  <c r="FF113" i="37"/>
  <c r="FF47" i="37"/>
  <c r="FF102" i="37"/>
  <c r="FF137" i="37"/>
  <c r="FF104" i="37"/>
  <c r="FF92" i="37"/>
  <c r="FF112" i="37"/>
  <c r="FF146" i="37"/>
  <c r="FF127" i="37"/>
  <c r="FF48" i="37"/>
  <c r="FF94" i="37"/>
  <c r="FF148" i="37"/>
  <c r="FF46" i="37"/>
  <c r="FF125" i="37"/>
  <c r="FF126" i="37"/>
  <c r="FF73" i="37"/>
  <c r="FF135" i="37"/>
  <c r="L229" i="33"/>
  <c r="Q229" i="33"/>
  <c r="AI229" i="33"/>
  <c r="T229" i="33"/>
  <c r="DU204" i="36"/>
  <c r="DT176" i="35"/>
  <c r="DS90" i="33"/>
  <c r="EO176" i="37"/>
  <c r="EO113" i="37"/>
  <c r="DT179" i="35"/>
  <c r="BS252" i="37"/>
  <c r="BP253" i="37"/>
  <c r="BS253" i="37" s="1"/>
  <c r="AF47" i="36"/>
  <c r="DD41" i="36" s="1"/>
  <c r="DU74" i="36"/>
  <c r="DU105" i="36"/>
  <c r="DT149" i="35"/>
  <c r="DS94" i="33"/>
  <c r="DS71" i="33"/>
  <c r="DS106" i="33"/>
  <c r="DS55" i="33"/>
  <c r="DS49" i="33"/>
  <c r="DS70" i="33"/>
  <c r="DS129" i="33"/>
  <c r="DS95" i="33"/>
  <c r="DW25" i="36"/>
  <c r="CK102" i="35"/>
  <c r="CK101" i="35"/>
  <c r="CO98" i="35"/>
  <c r="DG95" i="35" s="1"/>
  <c r="CR97" i="35"/>
  <c r="DG98" i="35" s="1"/>
  <c r="EO68" i="37"/>
  <c r="ES44" i="37"/>
  <c r="ER45" i="37"/>
  <c r="DT170" i="35"/>
  <c r="CO151" i="35"/>
  <c r="DG156" i="35" s="1"/>
  <c r="DJ156" i="35"/>
  <c r="DU277" i="36"/>
  <c r="DU24" i="36"/>
  <c r="DW24" i="36" s="1"/>
  <c r="DU21" i="36"/>
  <c r="DW21" i="36" s="1"/>
  <c r="DU135" i="36"/>
  <c r="DU198" i="36"/>
  <c r="DU150" i="36"/>
  <c r="DU86" i="36"/>
  <c r="DT144" i="35"/>
  <c r="FF89" i="37"/>
  <c r="DU242" i="36"/>
  <c r="DT127" i="35"/>
  <c r="EL137" i="37"/>
  <c r="EE153" i="37"/>
  <c r="ED153" i="37"/>
  <c r="FD153" i="37" s="1"/>
  <c r="FH153" i="37"/>
  <c r="AE260" i="37"/>
  <c r="EO44" i="37"/>
  <c r="DU265" i="36"/>
  <c r="DU251" i="36"/>
  <c r="DU76" i="36"/>
  <c r="DU149" i="36"/>
  <c r="DU177" i="36"/>
  <c r="DU261" i="36"/>
  <c r="DU286" i="36"/>
  <c r="DU79" i="36"/>
  <c r="DU289" i="36"/>
  <c r="DU126" i="36"/>
  <c r="DU106" i="36"/>
  <c r="DU271" i="36"/>
  <c r="DU103" i="36"/>
  <c r="DU183" i="36"/>
  <c r="DU225" i="36"/>
  <c r="DU283" i="36"/>
  <c r="DU43" i="36"/>
  <c r="DU36" i="36"/>
  <c r="DW15" i="36"/>
  <c r="DT101" i="35"/>
  <c r="DQ120" i="33"/>
  <c r="EO45" i="37"/>
  <c r="AF104" i="36"/>
  <c r="DD98" i="36" s="1"/>
  <c r="EL159" i="37"/>
  <c r="DS52" i="33"/>
  <c r="DT163" i="35"/>
  <c r="DU153" i="36"/>
  <c r="CZ38" i="32"/>
  <c r="CY39" i="32"/>
  <c r="EO120" i="37"/>
  <c r="DT93" i="35"/>
  <c r="DS109" i="33"/>
  <c r="DS141" i="33"/>
  <c r="DS37" i="33"/>
  <c r="DS93" i="33"/>
  <c r="DS87" i="33"/>
  <c r="DS75" i="33"/>
  <c r="DS38" i="33"/>
  <c r="DS74" i="33"/>
  <c r="FF61" i="37"/>
  <c r="BN105" i="35"/>
  <c r="CP105" i="35" s="1"/>
  <c r="DJ102" i="35" s="1"/>
  <c r="DU90" i="36"/>
  <c r="DT62" i="35"/>
  <c r="DT95" i="35"/>
  <c r="CB124" i="35"/>
  <c r="BY127" i="35" s="1"/>
  <c r="BZ140" i="35"/>
  <c r="CB133" i="35"/>
  <c r="CC133" i="35"/>
  <c r="CA140" i="35"/>
  <c r="DU232" i="36"/>
  <c r="EO76" i="37"/>
  <c r="DT135" i="35"/>
  <c r="AF65" i="36"/>
  <c r="DD59" i="36" s="1"/>
  <c r="DU221" i="36"/>
  <c r="AK32" i="35"/>
  <c r="CP28" i="35" s="1"/>
  <c r="DA29" i="35" s="1"/>
  <c r="DT76" i="35"/>
  <c r="DT161" i="35"/>
  <c r="AB110" i="33"/>
  <c r="EB110" i="33" s="1"/>
  <c r="DU132" i="36"/>
  <c r="DT31" i="35"/>
  <c r="DU234" i="36"/>
  <c r="CO57" i="35"/>
  <c r="DG54" i="35" s="1"/>
  <c r="CR56" i="35"/>
  <c r="DG57" i="35" s="1"/>
  <c r="DU146" i="36"/>
  <c r="EL119" i="37"/>
  <c r="EL195" i="37"/>
  <c r="EL190" i="37"/>
  <c r="EE154" i="37"/>
  <c r="ED154" i="37"/>
  <c r="FD154" i="37" s="1"/>
  <c r="FH154" i="37"/>
  <c r="AH260" i="37"/>
  <c r="DU51" i="36"/>
  <c r="DU191" i="36"/>
  <c r="DU145" i="36"/>
  <c r="DU254" i="36"/>
  <c r="DU163" i="36"/>
  <c r="DU268" i="36"/>
  <c r="DU156" i="36"/>
  <c r="DU33" i="36"/>
  <c r="DU279" i="36"/>
  <c r="DU131" i="36"/>
  <c r="DU112" i="36"/>
  <c r="DU121" i="36"/>
  <c r="DU98" i="36"/>
  <c r="DU267" i="36"/>
  <c r="DU129" i="36"/>
  <c r="DU281" i="36"/>
  <c r="DU115" i="36"/>
  <c r="DU32" i="36"/>
  <c r="DW13" i="36"/>
  <c r="L262" i="36" s="1"/>
  <c r="BN121" i="35"/>
  <c r="CP121" i="35" s="1"/>
  <c r="DJ118" i="35" s="1"/>
  <c r="DU111" i="36"/>
  <c r="EO96" i="37"/>
  <c r="BL86" i="36"/>
  <c r="DM80" i="36" s="1"/>
  <c r="DU186" i="36"/>
  <c r="CC28" i="35"/>
  <c r="CB28" i="35"/>
  <c r="CA35" i="35"/>
  <c r="CX243" i="37"/>
  <c r="EL156" i="37"/>
  <c r="EO81" i="37"/>
  <c r="FF90" i="37"/>
  <c r="EO64" i="37"/>
  <c r="DT85" i="35"/>
  <c r="CP65" i="35"/>
  <c r="DJ62" i="35" s="1"/>
  <c r="AW65" i="35"/>
  <c r="DT103" i="35"/>
  <c r="DS101" i="33"/>
  <c r="DS44" i="33"/>
  <c r="DS73" i="33"/>
  <c r="DS77" i="33"/>
  <c r="DS62" i="33"/>
  <c r="DS142" i="33"/>
  <c r="DS104" i="33"/>
  <c r="DS65" i="33"/>
  <c r="CN50" i="36"/>
  <c r="CN51" i="36"/>
  <c r="EO67" i="37"/>
  <c r="DU291" i="36"/>
  <c r="DT143" i="35"/>
  <c r="BX119" i="36"/>
  <c r="BZ120" i="36"/>
  <c r="BY111" i="36"/>
  <c r="DU142" i="36"/>
  <c r="DT178" i="35"/>
  <c r="DU70" i="36"/>
  <c r="CO122" i="35"/>
  <c r="DG119" i="35" s="1"/>
  <c r="CR121" i="35"/>
  <c r="DG122" i="35" s="1"/>
  <c r="DU136" i="36"/>
  <c r="DU69" i="36"/>
  <c r="DU207" i="36"/>
  <c r="DT133" i="35"/>
  <c r="FF100" i="37"/>
  <c r="DU263" i="36"/>
  <c r="EO54" i="37"/>
  <c r="DQ136" i="33"/>
  <c r="DW18" i="36"/>
  <c r="DU206" i="36"/>
  <c r="DU92" i="36"/>
  <c r="DU63" i="36"/>
  <c r="DU229" i="36"/>
  <c r="DU109" i="36"/>
  <c r="DU49" i="36"/>
  <c r="DU133" i="36"/>
  <c r="DU176" i="36"/>
  <c r="DU259" i="36"/>
  <c r="DU65" i="36"/>
  <c r="DU93" i="36"/>
  <c r="DU134" i="36"/>
  <c r="DU284" i="36"/>
  <c r="DU218" i="36"/>
  <c r="DU170" i="36"/>
  <c r="DU201" i="36"/>
  <c r="DU274" i="36"/>
  <c r="DU260" i="36"/>
  <c r="DU104" i="36"/>
  <c r="DU155" i="36"/>
  <c r="DU169" i="36"/>
  <c r="DU269" i="36"/>
  <c r="DU37" i="36"/>
  <c r="DU57" i="36"/>
  <c r="DU23" i="36"/>
  <c r="DW23" i="36" s="1"/>
  <c r="DW17" i="36"/>
  <c r="EO46" i="37"/>
  <c r="CK117" i="35"/>
  <c r="CK118" i="35"/>
  <c r="DU195" i="36"/>
  <c r="DT109" i="35"/>
  <c r="BW12" i="36"/>
  <c r="BI263" i="36" s="1"/>
  <c r="EO99" i="37"/>
  <c r="DU172" i="36"/>
  <c r="DU161" i="36"/>
  <c r="DU53" i="36"/>
  <c r="DU137" i="36"/>
  <c r="DR14" i="36"/>
  <c r="DQ15" i="36"/>
  <c r="DT29" i="35"/>
  <c r="CD237" i="37"/>
  <c r="AZ237" i="37" s="1"/>
  <c r="EB49" i="37"/>
  <c r="ET49" i="37" s="1"/>
  <c r="EX49" i="37"/>
  <c r="V236" i="37"/>
  <c r="CX236" i="37" s="1"/>
  <c r="BP236" i="37" s="1"/>
  <c r="V237" i="37"/>
  <c r="CB237" i="37"/>
  <c r="AV237" i="37" s="1"/>
  <c r="CW236" i="37"/>
  <c r="DF47" i="37"/>
  <c r="T50" i="37" s="1"/>
  <c r="EN44" i="37" s="1"/>
  <c r="FF134" i="37"/>
  <c r="C195" i="33"/>
  <c r="BS258" i="37"/>
  <c r="BP259" i="37"/>
  <c r="BS259" i="37" s="1"/>
  <c r="DU128" i="36"/>
  <c r="DS57" i="33"/>
  <c r="DS46" i="33"/>
  <c r="DS103" i="33"/>
  <c r="DS54" i="33"/>
  <c r="DS40" i="33"/>
  <c r="DS102" i="33"/>
  <c r="DS137" i="33"/>
  <c r="DS39" i="33"/>
  <c r="DS36" i="33"/>
  <c r="DK36" i="33"/>
  <c r="DL36" i="33" s="1"/>
  <c r="DU226" i="36"/>
  <c r="DU148" i="36"/>
  <c r="EO75" i="37"/>
  <c r="DT28" i="35"/>
  <c r="DT160" i="35"/>
  <c r="BZ130" i="36"/>
  <c r="H130" i="36"/>
  <c r="DA124" i="36" s="1"/>
  <c r="DB30" i="33"/>
  <c r="DT52" i="35"/>
  <c r="DS63" i="33"/>
  <c r="DT134" i="35"/>
  <c r="DU200" i="36"/>
  <c r="CO25" i="35"/>
  <c r="DG22" i="35" s="1"/>
  <c r="CR24" i="35"/>
  <c r="DG25" i="35" s="1"/>
  <c r="DU190" i="36"/>
  <c r="BP247" i="37"/>
  <c r="BS247" i="37" s="1"/>
  <c r="BS246" i="37"/>
  <c r="DT47" i="35"/>
  <c r="DT112" i="35"/>
  <c r="DT77" i="35"/>
  <c r="DT119" i="35"/>
  <c r="DT86" i="35"/>
  <c r="EO93" i="37"/>
  <c r="DT78" i="35"/>
  <c r="DU80" i="36"/>
  <c r="EL136" i="37"/>
  <c r="EL186" i="37"/>
  <c r="CD197" i="33"/>
  <c r="CI97" i="33"/>
  <c r="DU224" i="36"/>
  <c r="DU159" i="36"/>
  <c r="DU270" i="36"/>
  <c r="DU275" i="36"/>
  <c r="DU47" i="36"/>
  <c r="DU75" i="36"/>
  <c r="DU44" i="36"/>
  <c r="DU162" i="36"/>
  <c r="DU61" i="36"/>
  <c r="DU196" i="36"/>
  <c r="DU266" i="36"/>
  <c r="DU257" i="36"/>
  <c r="DU197" i="36"/>
  <c r="DU141" i="36"/>
  <c r="DU255" i="36"/>
  <c r="DU59" i="36"/>
  <c r="DU39" i="36"/>
  <c r="DU31" i="36"/>
  <c r="DW16" i="36"/>
  <c r="DU179" i="36"/>
  <c r="EL160" i="37"/>
  <c r="EL180" i="37"/>
  <c r="DU55" i="36"/>
  <c r="CN15" i="36"/>
  <c r="CN14" i="36"/>
  <c r="AK23" i="35"/>
  <c r="CP19" i="35" s="1"/>
  <c r="DA20" i="35" s="1"/>
  <c r="BN23" i="35"/>
  <c r="CP23" i="35" s="1"/>
  <c r="CN117" i="36"/>
  <c r="CN116" i="36"/>
  <c r="CX251" i="37"/>
  <c r="FF103" i="37"/>
  <c r="DT169" i="35"/>
  <c r="DU151" i="36"/>
  <c r="EO29" i="37"/>
  <c r="DU228" i="36"/>
  <c r="FF145" i="37" l="1"/>
  <c r="FF143" i="37"/>
  <c r="FF153" i="37"/>
  <c r="FF110" i="37"/>
  <c r="FF140" i="37"/>
  <c r="FF95" i="37"/>
  <c r="FF66" i="37"/>
  <c r="FF109" i="37"/>
  <c r="FF75" i="37"/>
  <c r="FF144" i="37"/>
  <c r="FF138" i="37"/>
  <c r="FF64" i="37"/>
  <c r="FF130" i="37"/>
  <c r="FF149" i="37"/>
  <c r="FF72" i="37"/>
  <c r="FF70" i="37"/>
  <c r="FI70" i="37" s="1"/>
  <c r="FF63" i="37"/>
  <c r="FI63" i="37" s="1"/>
  <c r="FF107" i="37"/>
  <c r="FF108" i="37"/>
  <c r="V240" i="37"/>
  <c r="CX240" i="37" s="1"/>
  <c r="BP240" i="37" s="1"/>
  <c r="BS240" i="37" s="1"/>
  <c r="CB241" i="37"/>
  <c r="AV241" i="37" s="1"/>
  <c r="CW240" i="37"/>
  <c r="EB67" i="37"/>
  <c r="ET67" i="37" s="1"/>
  <c r="EV105" i="37" s="1"/>
  <c r="EY105" i="37" s="1"/>
  <c r="DF65" i="37"/>
  <c r="T68" i="37" s="1"/>
  <c r="EN62" i="37" s="1"/>
  <c r="EO26" i="37" s="1"/>
  <c r="Y308" i="37" s="1"/>
  <c r="EX67" i="37"/>
  <c r="DA62" i="37"/>
  <c r="V241" i="37"/>
  <c r="CD241" i="37"/>
  <c r="AZ241" i="37" s="1"/>
  <c r="CX263" i="37"/>
  <c r="CX262" i="37"/>
  <c r="BP262" i="37" s="1"/>
  <c r="BP263" i="37" s="1"/>
  <c r="BS263" i="37" s="1"/>
  <c r="DH45" i="33"/>
  <c r="FF162" i="37"/>
  <c r="FI162" i="37" s="1"/>
  <c r="FF158" i="37"/>
  <c r="FI158" i="37" s="1"/>
  <c r="Z217" i="33"/>
  <c r="Z216" i="33"/>
  <c r="AK105" i="35"/>
  <c r="CP101" i="35" s="1"/>
  <c r="DA102" i="35" s="1"/>
  <c r="AB122" i="33"/>
  <c r="EB122" i="33" s="1"/>
  <c r="DH49" i="33"/>
  <c r="DH51" i="33"/>
  <c r="DH50" i="33"/>
  <c r="DH46" i="33"/>
  <c r="CN122" i="33"/>
  <c r="DH53" i="33"/>
  <c r="EA86" i="33"/>
  <c r="EA51" i="33"/>
  <c r="EA77" i="33"/>
  <c r="EA76" i="33"/>
  <c r="EA96" i="33"/>
  <c r="EA88" i="33"/>
  <c r="EA59" i="33"/>
  <c r="EA68" i="33"/>
  <c r="EA58" i="33"/>
  <c r="DH54" i="33"/>
  <c r="EA50" i="33"/>
  <c r="EA94" i="33"/>
  <c r="EA61" i="33"/>
  <c r="EA95" i="33"/>
  <c r="EA78" i="33"/>
  <c r="EA46" i="33"/>
  <c r="EA75" i="33"/>
  <c r="DH59" i="33"/>
  <c r="DH88" i="33"/>
  <c r="DH93" i="33"/>
  <c r="EA87" i="33"/>
  <c r="DH74" i="33"/>
  <c r="DH62" i="33"/>
  <c r="EA97" i="33"/>
  <c r="EA60" i="33"/>
  <c r="EA67" i="33"/>
  <c r="EA52" i="33"/>
  <c r="EA89" i="33"/>
  <c r="DH76" i="33"/>
  <c r="DH78" i="33"/>
  <c r="EA66" i="33"/>
  <c r="DH57" i="33"/>
  <c r="EA69" i="33"/>
  <c r="EA74" i="33"/>
  <c r="DH75" i="33"/>
  <c r="DH58" i="33"/>
  <c r="DH60" i="33"/>
  <c r="DH89" i="33"/>
  <c r="EV67" i="37"/>
  <c r="EY67" i="37" s="1"/>
  <c r="DH65" i="33"/>
  <c r="DH68" i="33"/>
  <c r="EH46" i="37"/>
  <c r="EI46" i="37" s="1"/>
  <c r="DH96" i="33"/>
  <c r="DH67" i="33"/>
  <c r="Z229" i="33"/>
  <c r="DH86" i="33"/>
  <c r="DH73" i="33"/>
  <c r="DH95" i="33"/>
  <c r="DH87" i="33"/>
  <c r="DH70" i="33"/>
  <c r="DH85" i="33"/>
  <c r="DH94" i="33"/>
  <c r="DH77" i="33"/>
  <c r="DH66" i="33"/>
  <c r="DH69" i="33"/>
  <c r="DW27" i="36"/>
  <c r="EA62" i="33"/>
  <c r="EA70" i="33"/>
  <c r="DH61" i="33"/>
  <c r="AF86" i="36"/>
  <c r="DD80" i="36" s="1"/>
  <c r="AK24" i="35"/>
  <c r="CP20" i="35" s="1"/>
  <c r="DA21" i="35" s="1"/>
  <c r="AF122" i="36"/>
  <c r="DD116" i="36" s="1"/>
  <c r="DN22" i="35"/>
  <c r="DO22" i="35" s="1"/>
  <c r="DI25" i="35"/>
  <c r="DK37" i="33"/>
  <c r="AK48" i="35"/>
  <c r="CP44" i="35" s="1"/>
  <c r="DA45" i="35" s="1"/>
  <c r="CO122" i="33"/>
  <c r="T122" i="33" s="1"/>
  <c r="DW122" i="33" s="1"/>
  <c r="AM229" i="33"/>
  <c r="O122" i="33"/>
  <c r="DI121" i="33" s="1"/>
  <c r="CR114" i="33"/>
  <c r="G114" i="33" s="1"/>
  <c r="AB114" i="33" s="1"/>
  <c r="EB114" i="33" s="1"/>
  <c r="DW39" i="36"/>
  <c r="CA130" i="36"/>
  <c r="AT130" i="36" s="1"/>
  <c r="DJ124" i="36" s="1"/>
  <c r="CB130" i="36"/>
  <c r="CX237" i="37"/>
  <c r="BP237" i="37" s="1"/>
  <c r="BS237" i="37" s="1"/>
  <c r="DW137" i="36"/>
  <c r="DW57" i="36"/>
  <c r="DW55" i="36"/>
  <c r="DW255" i="36"/>
  <c r="DW44" i="36"/>
  <c r="DW148" i="36"/>
  <c r="Q195" i="33"/>
  <c r="AI195" i="33"/>
  <c r="T195" i="33"/>
  <c r="BS236" i="37"/>
  <c r="DW53" i="36"/>
  <c r="DW195" i="36"/>
  <c r="DW37" i="36"/>
  <c r="DW170" i="36"/>
  <c r="DW133" i="36"/>
  <c r="DW207" i="36"/>
  <c r="AF56" i="36"/>
  <c r="DD50" i="36" s="1"/>
  <c r="AD30" i="35"/>
  <c r="N205" i="35" s="1"/>
  <c r="BZ29" i="35"/>
  <c r="Q31" i="35" s="1"/>
  <c r="CO27" i="35" s="1"/>
  <c r="CX28" i="35" s="1"/>
  <c r="DW32" i="36"/>
  <c r="DW131" i="36"/>
  <c r="DW191" i="36"/>
  <c r="EO119" i="37"/>
  <c r="DW132" i="36"/>
  <c r="EV94" i="37"/>
  <c r="DW106" i="36"/>
  <c r="DW76" i="36"/>
  <c r="EO137" i="37"/>
  <c r="DW86" i="36"/>
  <c r="DW198" i="36"/>
  <c r="FI125" i="37"/>
  <c r="FF189" i="37"/>
  <c r="FF181" i="37"/>
  <c r="FI49" i="37"/>
  <c r="FI119" i="37"/>
  <c r="FI111" i="37"/>
  <c r="FI56" i="37"/>
  <c r="FF157" i="37"/>
  <c r="FI86" i="37"/>
  <c r="FI149" i="37"/>
  <c r="FI20" i="37"/>
  <c r="FI19" i="37"/>
  <c r="FI35" i="37"/>
  <c r="DW223" i="36"/>
  <c r="DW280" i="36"/>
  <c r="DW174" i="36"/>
  <c r="FI44" i="37"/>
  <c r="DS123" i="33"/>
  <c r="BZ219" i="35"/>
  <c r="CC219" i="35" s="1"/>
  <c r="BH219" i="35"/>
  <c r="EO111" i="37"/>
  <c r="DW87" i="36"/>
  <c r="DW46" i="36"/>
  <c r="DW216" i="36"/>
  <c r="EO140" i="37"/>
  <c r="DW158" i="36"/>
  <c r="DS133" i="33"/>
  <c r="CP202" i="33"/>
  <c r="L203" i="33" s="1"/>
  <c r="BC206" i="33" s="1"/>
  <c r="CO202" i="33"/>
  <c r="AS206" i="33" s="1"/>
  <c r="C203" i="33" s="1"/>
  <c r="DS164" i="33"/>
  <c r="BP251" i="37"/>
  <c r="BS251" i="37" s="1"/>
  <c r="BS250" i="37"/>
  <c r="EO110" i="37"/>
  <c r="DW243" i="36"/>
  <c r="DW48" i="36"/>
  <c r="EO177" i="37"/>
  <c r="EO174" i="37"/>
  <c r="EO196" i="37"/>
  <c r="DW193" i="36"/>
  <c r="BP249" i="37"/>
  <c r="BS249" i="37" s="1"/>
  <c r="BS248" i="37"/>
  <c r="DW143" i="36"/>
  <c r="DW100" i="36"/>
  <c r="AD204" i="35"/>
  <c r="CE204" i="35"/>
  <c r="BA204" i="35" s="1"/>
  <c r="EO199" i="37"/>
  <c r="DW244" i="36"/>
  <c r="DS182" i="33"/>
  <c r="FI107" i="37"/>
  <c r="FI145" i="37"/>
  <c r="FI103" i="37"/>
  <c r="DW92" i="36"/>
  <c r="BZ121" i="36"/>
  <c r="H121" i="36"/>
  <c r="DA115" i="36" s="1"/>
  <c r="EO180" i="37"/>
  <c r="DW141" i="36"/>
  <c r="DW75" i="36"/>
  <c r="DI22" i="35"/>
  <c r="DI26" i="35"/>
  <c r="DI23" i="35"/>
  <c r="DW226" i="36"/>
  <c r="FI134" i="37"/>
  <c r="DW161" i="36"/>
  <c r="DW269" i="36"/>
  <c r="DW218" i="36"/>
  <c r="DW49" i="36"/>
  <c r="DS136" i="33"/>
  <c r="BN31" i="35"/>
  <c r="CP31" i="35" s="1"/>
  <c r="AK31" i="35"/>
  <c r="CP27" i="35" s="1"/>
  <c r="DA28" i="35" s="1"/>
  <c r="DW115" i="36"/>
  <c r="DW279" i="36"/>
  <c r="DW51" i="36"/>
  <c r="DW146" i="36"/>
  <c r="DW153" i="36"/>
  <c r="FI108" i="37"/>
  <c r="DW36" i="36"/>
  <c r="DW126" i="36"/>
  <c r="DW251" i="36"/>
  <c r="DW135" i="36"/>
  <c r="FF190" i="37"/>
  <c r="FI46" i="37"/>
  <c r="FF173" i="37"/>
  <c r="FF191" i="37"/>
  <c r="FI58" i="37"/>
  <c r="FI140" i="37"/>
  <c r="FI64" i="37"/>
  <c r="FI130" i="37"/>
  <c r="FF175" i="37"/>
  <c r="FF192" i="37"/>
  <c r="FI131" i="37"/>
  <c r="FI30" i="37"/>
  <c r="FI22" i="37"/>
  <c r="FI26" i="37"/>
  <c r="DW34" i="36"/>
  <c r="DW258" i="36"/>
  <c r="DW220" i="36"/>
  <c r="DS134" i="33"/>
  <c r="DW185" i="36"/>
  <c r="DW219" i="36"/>
  <c r="FI80" i="37"/>
  <c r="CU106" i="33"/>
  <c r="CX106" i="33"/>
  <c r="CV106" i="33"/>
  <c r="CW106" i="33"/>
  <c r="CT106" i="33"/>
  <c r="CS98" i="33"/>
  <c r="DV31" i="33"/>
  <c r="DU32" i="33"/>
  <c r="DW107" i="36"/>
  <c r="DW50" i="36"/>
  <c r="CV20" i="35"/>
  <c r="CW20" i="35" s="1"/>
  <c r="CZ21" i="35"/>
  <c r="EO192" i="37"/>
  <c r="DW175" i="36"/>
  <c r="EO114" i="37"/>
  <c r="EO146" i="37"/>
  <c r="EO116" i="37"/>
  <c r="DW83" i="36"/>
  <c r="DW139" i="36"/>
  <c r="DW168" i="36"/>
  <c r="DW252" i="36"/>
  <c r="CX260" i="37"/>
  <c r="BP260" i="37" s="1"/>
  <c r="DW62" i="36"/>
  <c r="DS135" i="33"/>
  <c r="DW201" i="36"/>
  <c r="DJ20" i="35"/>
  <c r="CP22" i="35"/>
  <c r="EO160" i="37"/>
  <c r="DW197" i="36"/>
  <c r="DW47" i="36"/>
  <c r="EO186" i="37"/>
  <c r="DW200" i="36"/>
  <c r="DW128" i="36"/>
  <c r="EV49" i="37"/>
  <c r="EV80" i="37"/>
  <c r="EV198" i="37"/>
  <c r="EV205" i="37"/>
  <c r="EV85" i="37"/>
  <c r="EV125" i="37"/>
  <c r="EV204" i="37"/>
  <c r="EV182" i="37"/>
  <c r="EV200" i="37"/>
  <c r="EV62" i="37"/>
  <c r="EV66" i="37"/>
  <c r="EV194" i="37"/>
  <c r="EV195" i="37"/>
  <c r="EV63" i="37"/>
  <c r="EV65" i="37"/>
  <c r="EV56" i="37"/>
  <c r="EV84" i="37"/>
  <c r="EV192" i="37"/>
  <c r="EV156" i="37"/>
  <c r="EV165" i="37"/>
  <c r="EV64" i="37"/>
  <c r="EV184" i="37"/>
  <c r="EV171" i="37"/>
  <c r="EV112" i="37"/>
  <c r="EV93" i="37"/>
  <c r="EY44" i="37"/>
  <c r="EV180" i="37"/>
  <c r="EY29" i="37"/>
  <c r="EY26" i="37"/>
  <c r="EV101" i="37"/>
  <c r="EV83" i="37"/>
  <c r="EV166" i="37"/>
  <c r="EV57" i="37"/>
  <c r="EV107" i="37"/>
  <c r="EV154" i="37"/>
  <c r="EV81" i="37"/>
  <c r="EV71" i="37"/>
  <c r="EV144" i="37"/>
  <c r="EV120" i="37"/>
  <c r="EV110" i="37"/>
  <c r="EY25" i="37"/>
  <c r="EY28" i="37"/>
  <c r="EV119" i="37"/>
  <c r="EV92" i="37"/>
  <c r="EV164" i="37"/>
  <c r="EV127" i="37"/>
  <c r="EV153" i="37"/>
  <c r="EV181" i="37"/>
  <c r="EV91" i="37"/>
  <c r="EV116" i="37"/>
  <c r="EV75" i="37"/>
  <c r="EV186" i="37"/>
  <c r="EV72" i="37"/>
  <c r="EV163" i="37"/>
  <c r="EV176" i="37"/>
  <c r="EV129" i="37"/>
  <c r="EV162" i="37"/>
  <c r="EV137" i="37"/>
  <c r="EV55" i="37"/>
  <c r="EY41" i="37"/>
  <c r="EY32" i="37"/>
  <c r="EV146" i="37"/>
  <c r="EV61" i="37"/>
  <c r="EV187" i="37"/>
  <c r="EV145" i="37"/>
  <c r="EV178" i="37"/>
  <c r="EV155" i="37"/>
  <c r="EV185" i="37"/>
  <c r="EV167" i="37"/>
  <c r="EV139" i="37"/>
  <c r="EV191" i="37"/>
  <c r="EV130" i="37"/>
  <c r="EV128" i="37"/>
  <c r="EY34" i="37"/>
  <c r="EV73" i="37"/>
  <c r="EY39" i="37"/>
  <c r="EY35" i="37"/>
  <c r="EV111" i="37"/>
  <c r="EV53" i="37"/>
  <c r="EV52" i="37"/>
  <c r="EV121" i="37"/>
  <c r="EV117" i="37"/>
  <c r="EV90" i="37"/>
  <c r="EV147" i="37"/>
  <c r="EV172" i="37"/>
  <c r="EY40" i="37"/>
  <c r="EV201" i="37"/>
  <c r="EY36" i="37"/>
  <c r="EV193" i="37"/>
  <c r="EV196" i="37"/>
  <c r="EV190" i="37"/>
  <c r="EV74" i="37"/>
  <c r="EV138" i="37"/>
  <c r="EV59" i="37"/>
  <c r="EV157" i="37"/>
  <c r="EV135" i="37"/>
  <c r="EV177" i="37"/>
  <c r="EV126" i="37"/>
  <c r="EV148" i="37"/>
  <c r="EV203" i="37"/>
  <c r="EY37" i="37"/>
  <c r="EV174" i="37"/>
  <c r="EY30" i="37"/>
  <c r="EV175" i="37"/>
  <c r="EV189" i="37"/>
  <c r="EV143" i="37"/>
  <c r="EV89" i="37"/>
  <c r="EV109" i="37"/>
  <c r="EV118" i="37"/>
  <c r="EV173" i="37"/>
  <c r="EV134" i="37"/>
  <c r="EV108" i="37"/>
  <c r="EV158" i="37"/>
  <c r="EV136" i="37"/>
  <c r="EV199" i="37"/>
  <c r="EV82" i="37"/>
  <c r="EV183" i="37"/>
  <c r="EY31" i="37"/>
  <c r="EY27" i="37"/>
  <c r="EY38" i="37"/>
  <c r="EV202" i="37"/>
  <c r="EV70" i="37"/>
  <c r="EV54" i="37"/>
  <c r="EV68" i="37"/>
  <c r="EV132" i="37"/>
  <c r="EV102" i="37"/>
  <c r="EV131" i="37"/>
  <c r="EY43" i="37"/>
  <c r="EY47" i="37"/>
  <c r="EY45" i="37"/>
  <c r="EV100" i="37"/>
  <c r="EV103" i="37"/>
  <c r="EY46" i="37"/>
  <c r="EV99" i="37"/>
  <c r="EV50" i="37"/>
  <c r="EV98" i="37"/>
  <c r="EY48" i="37"/>
  <c r="EV86" i="37"/>
  <c r="EV140" i="37"/>
  <c r="EV96" i="37"/>
  <c r="EV87" i="37"/>
  <c r="EV122" i="37"/>
  <c r="EV104" i="37"/>
  <c r="EV123" i="37"/>
  <c r="EV141" i="37"/>
  <c r="EV169" i="37"/>
  <c r="EV150" i="37"/>
  <c r="EV95" i="37"/>
  <c r="EV168" i="37"/>
  <c r="EV149" i="37"/>
  <c r="DW172" i="36"/>
  <c r="DW169" i="36"/>
  <c r="DW284" i="36"/>
  <c r="DW109" i="36"/>
  <c r="DW142" i="36"/>
  <c r="DW291" i="36"/>
  <c r="FI90" i="37"/>
  <c r="DW186" i="36"/>
  <c r="DW281" i="36"/>
  <c r="DW33" i="36"/>
  <c r="DW232" i="36"/>
  <c r="DW90" i="36"/>
  <c r="DW43" i="36"/>
  <c r="DW289" i="36"/>
  <c r="DW265" i="36"/>
  <c r="DW242" i="36"/>
  <c r="DW105" i="36"/>
  <c r="FI75" i="37"/>
  <c r="FI148" i="37"/>
  <c r="FI146" i="37"/>
  <c r="FF171" i="37"/>
  <c r="FF200" i="37"/>
  <c r="FF167" i="37"/>
  <c r="FI122" i="37"/>
  <c r="FF185" i="37"/>
  <c r="FI65" i="37"/>
  <c r="FI84" i="37"/>
  <c r="FF184" i="37"/>
  <c r="FI18" i="37"/>
  <c r="FI27" i="37"/>
  <c r="DW160" i="36"/>
  <c r="DW231" i="36"/>
  <c r="DW77" i="36"/>
  <c r="DW71" i="36"/>
  <c r="DW84" i="36"/>
  <c r="DW78" i="36"/>
  <c r="EO139" i="37"/>
  <c r="DS112" i="33"/>
  <c r="EV114" i="37"/>
  <c r="DW211" i="36"/>
  <c r="DW273" i="36"/>
  <c r="DW91" i="36"/>
  <c r="DW245" i="36"/>
  <c r="FI81" i="37"/>
  <c r="FF156" i="37"/>
  <c r="DW29" i="36"/>
  <c r="DW215" i="36"/>
  <c r="DW240" i="36"/>
  <c r="FI62" i="37"/>
  <c r="DW144" i="36"/>
  <c r="BS238" i="37"/>
  <c r="EO123" i="37"/>
  <c r="DW188" i="36"/>
  <c r="DW28" i="36"/>
  <c r="L263" i="36"/>
  <c r="C263" i="36" s="1"/>
  <c r="DW108" i="36"/>
  <c r="DW287" i="36"/>
  <c r="CX261" i="37"/>
  <c r="DW116" i="36"/>
  <c r="DS155" i="33"/>
  <c r="DW31" i="36"/>
  <c r="DW274" i="36"/>
  <c r="DW162" i="36"/>
  <c r="CD198" i="33"/>
  <c r="CI105" i="33"/>
  <c r="DW206" i="36"/>
  <c r="DW151" i="36"/>
  <c r="DW179" i="36"/>
  <c r="DW257" i="36"/>
  <c r="DW275" i="36"/>
  <c r="EO136" i="37"/>
  <c r="DB31" i="33"/>
  <c r="DC30" i="33"/>
  <c r="EV76" i="37"/>
  <c r="AK121" i="35"/>
  <c r="CP117" i="35" s="1"/>
  <c r="DA118" i="35" s="1"/>
  <c r="DW155" i="36"/>
  <c r="DW134" i="36"/>
  <c r="DW229" i="36"/>
  <c r="DW69" i="36"/>
  <c r="DW129" i="36"/>
  <c r="DW156" i="36"/>
  <c r="DW283" i="36"/>
  <c r="DW79" i="36"/>
  <c r="FI89" i="37"/>
  <c r="FF163" i="37"/>
  <c r="DW74" i="36"/>
  <c r="FI135" i="37"/>
  <c r="FI94" i="37"/>
  <c r="FI112" i="37"/>
  <c r="FI102" i="37"/>
  <c r="FF166" i="37"/>
  <c r="FF165" i="37"/>
  <c r="FI85" i="37"/>
  <c r="FF159" i="37"/>
  <c r="FF195" i="37"/>
  <c r="FF202" i="37"/>
  <c r="FF186" i="37"/>
  <c r="FI25" i="37"/>
  <c r="FI40" i="37"/>
  <c r="EV113" i="37"/>
  <c r="DW203" i="36"/>
  <c r="DW101" i="36"/>
  <c r="DW237" i="36"/>
  <c r="DW256" i="36"/>
  <c r="DW94" i="36"/>
  <c r="C262" i="35"/>
  <c r="EO130" i="37"/>
  <c r="DW213" i="36"/>
  <c r="DW205" i="36"/>
  <c r="DW130" i="36"/>
  <c r="DW60" i="36"/>
  <c r="DW217" i="36"/>
  <c r="DW233" i="36"/>
  <c r="EO105" i="37"/>
  <c r="DW85" i="36"/>
  <c r="DW89" i="36"/>
  <c r="DW120" i="36"/>
  <c r="CX239" i="37"/>
  <c r="BP239" i="37" s="1"/>
  <c r="BS239" i="37" s="1"/>
  <c r="EO144" i="37"/>
  <c r="EO143" i="37"/>
  <c r="EO171" i="37"/>
  <c r="DW56" i="36"/>
  <c r="DW247" i="36"/>
  <c r="DW97" i="36"/>
  <c r="DW228" i="36"/>
  <c r="DW59" i="36"/>
  <c r="DW176" i="36"/>
  <c r="AF20" i="36"/>
  <c r="DD14" i="36" s="1"/>
  <c r="DW266" i="36"/>
  <c r="DW270" i="36"/>
  <c r="DW80" i="36"/>
  <c r="DR15" i="36"/>
  <c r="DQ16" i="36"/>
  <c r="DW104" i="36"/>
  <c r="DW93" i="36"/>
  <c r="DW263" i="36"/>
  <c r="DW136" i="36"/>
  <c r="EO156" i="37"/>
  <c r="DW267" i="36"/>
  <c r="DW268" i="36"/>
  <c r="FF154" i="37"/>
  <c r="DW234" i="36"/>
  <c r="DW221" i="36"/>
  <c r="AK136" i="35"/>
  <c r="CP132" i="35" s="1"/>
  <c r="DA133" i="35" s="1"/>
  <c r="BN136" i="35"/>
  <c r="CP136" i="35" s="1"/>
  <c r="FI61" i="37"/>
  <c r="DS120" i="33"/>
  <c r="DW225" i="36"/>
  <c r="DW286" i="36"/>
  <c r="ES45" i="37"/>
  <c r="ER46" i="37"/>
  <c r="DW204" i="36"/>
  <c r="FI73" i="37"/>
  <c r="FI48" i="37"/>
  <c r="FI92" i="37"/>
  <c r="FI144" i="37"/>
  <c r="FF168" i="37"/>
  <c r="FI93" i="37"/>
  <c r="FI95" i="37"/>
  <c r="FF194" i="37"/>
  <c r="FF203" i="37"/>
  <c r="FF201" i="37"/>
  <c r="FF176" i="37"/>
  <c r="FI39" i="37"/>
  <c r="FI31" i="37"/>
  <c r="FI45" i="37"/>
  <c r="DW127" i="36"/>
  <c r="DW262" i="36"/>
  <c r="EO132" i="37"/>
  <c r="DW66" i="36"/>
  <c r="FI72" i="37"/>
  <c r="FI53" i="37"/>
  <c r="EO117" i="37"/>
  <c r="DW288" i="36"/>
  <c r="DW282" i="36"/>
  <c r="CP143" i="35"/>
  <c r="DJ141" i="35"/>
  <c r="DS121" i="33"/>
  <c r="FI71" i="37"/>
  <c r="DW38" i="36"/>
  <c r="DW52" i="36"/>
  <c r="DW212" i="36"/>
  <c r="DW178" i="36"/>
  <c r="EO189" i="37"/>
  <c r="EO198" i="37"/>
  <c r="FI147" i="37"/>
  <c r="DW99" i="36"/>
  <c r="DW210" i="36"/>
  <c r="DW42" i="36"/>
  <c r="DW192" i="36"/>
  <c r="EO178" i="37"/>
  <c r="DW196" i="36"/>
  <c r="DW159" i="36"/>
  <c r="BI264" i="36"/>
  <c r="BA264" i="36"/>
  <c r="AY269" i="36" s="1"/>
  <c r="BA263" i="36"/>
  <c r="BA262" i="36"/>
  <c r="DW260" i="36"/>
  <c r="DW65" i="36"/>
  <c r="DW63" i="36"/>
  <c r="FI100" i="37"/>
  <c r="BX110" i="36"/>
  <c r="BY102" i="36"/>
  <c r="BZ111" i="36"/>
  <c r="CO65" i="35"/>
  <c r="DG62" i="35" s="1"/>
  <c r="CR64" i="35"/>
  <c r="DG65" i="35" s="1"/>
  <c r="DW111" i="36"/>
  <c r="DW98" i="36"/>
  <c r="DW163" i="36"/>
  <c r="AD135" i="35"/>
  <c r="N218" i="35" s="1"/>
  <c r="BZ134" i="35"/>
  <c r="Q136" i="35" s="1"/>
  <c r="CO132" i="35" s="1"/>
  <c r="CX133" i="35" s="1"/>
  <c r="DW183" i="36"/>
  <c r="DW261" i="36"/>
  <c r="FF172" i="37"/>
  <c r="FI127" i="37"/>
  <c r="FI104" i="37"/>
  <c r="FI110" i="37"/>
  <c r="FI120" i="37"/>
  <c r="FI83" i="37"/>
  <c r="FI74" i="37"/>
  <c r="FI67" i="37"/>
  <c r="FF204" i="37"/>
  <c r="FF193" i="37"/>
  <c r="FI36" i="37"/>
  <c r="FI28" i="37"/>
  <c r="FI29" i="37"/>
  <c r="FI109" i="37"/>
  <c r="DW241" i="36"/>
  <c r="DW154" i="36"/>
  <c r="DW189" i="36"/>
  <c r="FI98" i="37"/>
  <c r="FI117" i="37"/>
  <c r="DW140" i="36"/>
  <c r="DW285" i="36"/>
  <c r="AL280" i="35"/>
  <c r="Y280" i="35"/>
  <c r="AE280" i="35" s="1"/>
  <c r="BH280" i="35"/>
  <c r="AP280" i="35"/>
  <c r="DS149" i="33"/>
  <c r="DW157" i="36"/>
  <c r="DW187" i="36"/>
  <c r="EO181" i="37"/>
  <c r="FI82" i="37"/>
  <c r="EV58" i="37"/>
  <c r="EO129" i="37"/>
  <c r="EO165" i="37"/>
  <c r="EV77" i="37"/>
  <c r="DW73" i="36"/>
  <c r="DW276" i="36"/>
  <c r="DW58" i="36"/>
  <c r="EV159" i="37"/>
  <c r="FI116" i="37"/>
  <c r="DS115" i="33"/>
  <c r="DW224" i="36"/>
  <c r="DW259" i="36"/>
  <c r="DW121" i="36"/>
  <c r="DW254" i="36"/>
  <c r="EO190" i="37"/>
  <c r="CZ39" i="32"/>
  <c r="CY40" i="32"/>
  <c r="EO159" i="37"/>
  <c r="DW103" i="36"/>
  <c r="DW177" i="36"/>
  <c r="FI153" i="37"/>
  <c r="DW277" i="36"/>
  <c r="FF182" i="37"/>
  <c r="FF199" i="37"/>
  <c r="FF180" i="37"/>
  <c r="FI47" i="37"/>
  <c r="FI76" i="37"/>
  <c r="FI55" i="37"/>
  <c r="FI121" i="37"/>
  <c r="FF174" i="37"/>
  <c r="FI66" i="37"/>
  <c r="FF177" i="37"/>
  <c r="FI38" i="37"/>
  <c r="FI37" i="37"/>
  <c r="FI34" i="37"/>
  <c r="DW184" i="36"/>
  <c r="BS242" i="37"/>
  <c r="BP243" i="37"/>
  <c r="BS243" i="37" s="1"/>
  <c r="DW171" i="36"/>
  <c r="DW272" i="36"/>
  <c r="DI38" i="32"/>
  <c r="DH39" i="32"/>
  <c r="CO106" i="35"/>
  <c r="DG103" i="35" s="1"/>
  <c r="CR105" i="35"/>
  <c r="DG106" i="35" s="1"/>
  <c r="DW248" i="36"/>
  <c r="DW30" i="36"/>
  <c r="DW182" i="36"/>
  <c r="DW246" i="36"/>
  <c r="EO204" i="37"/>
  <c r="EO155" i="37"/>
  <c r="AL279" i="35"/>
  <c r="Y279" i="35"/>
  <c r="AE279" i="35" s="1"/>
  <c r="BH279" i="35"/>
  <c r="AP279" i="35"/>
  <c r="DE21" i="35"/>
  <c r="DF21" i="35" s="1"/>
  <c r="DW227" i="36"/>
  <c r="DW72" i="36"/>
  <c r="EO145" i="37"/>
  <c r="DW167" i="36"/>
  <c r="EO121" i="37"/>
  <c r="EO168" i="37"/>
  <c r="EO154" i="37"/>
  <c r="DS177" i="33"/>
  <c r="FI91" i="37"/>
  <c r="FI99" i="37"/>
  <c r="EO138" i="37"/>
  <c r="DW253" i="36"/>
  <c r="DW290" i="36"/>
  <c r="EO169" i="37"/>
  <c r="DW61" i="36"/>
  <c r="DW190" i="36"/>
  <c r="DW70" i="36"/>
  <c r="C262" i="36"/>
  <c r="DW112" i="36"/>
  <c r="DW145" i="36"/>
  <c r="EO195" i="37"/>
  <c r="FI143" i="37"/>
  <c r="CB116" i="35"/>
  <c r="BY119" i="35" s="1"/>
  <c r="CB125" i="35"/>
  <c r="BZ132" i="35"/>
  <c r="CC125" i="35"/>
  <c r="CA132" i="35"/>
  <c r="FF164" i="37"/>
  <c r="DW271" i="36"/>
  <c r="DW149" i="36"/>
  <c r="DW150" i="36"/>
  <c r="FI126" i="37"/>
  <c r="FF198" i="37"/>
  <c r="FI137" i="37"/>
  <c r="FI113" i="37"/>
  <c r="FI138" i="37"/>
  <c r="FI57" i="37"/>
  <c r="FI139" i="37"/>
  <c r="FI129" i="37"/>
  <c r="FF183" i="37"/>
  <c r="FI128" i="37"/>
  <c r="FI23" i="37"/>
  <c r="FI21" i="37"/>
  <c r="FI43" i="37"/>
  <c r="FB43" i="37"/>
  <c r="FC43" i="37" s="1"/>
  <c r="DW238" i="36"/>
  <c r="DW202" i="36"/>
  <c r="EV160" i="37"/>
  <c r="DW235" i="36"/>
  <c r="FI118" i="37"/>
  <c r="FI136" i="37"/>
  <c r="DW113" i="36"/>
  <c r="DW230" i="36"/>
  <c r="DW214" i="36"/>
  <c r="FF155" i="37"/>
  <c r="EO134" i="37"/>
  <c r="FI101" i="37"/>
  <c r="EO185" i="37"/>
  <c r="DS174" i="33"/>
  <c r="Q230" i="33"/>
  <c r="L230" i="33"/>
  <c r="AI230" i="33"/>
  <c r="T230" i="33"/>
  <c r="DW181" i="36"/>
  <c r="EO187" i="37"/>
  <c r="DW239" i="36"/>
  <c r="DW102" i="36"/>
  <c r="FI54" i="37"/>
  <c r="EO205" i="37"/>
  <c r="EO164" i="37"/>
  <c r="EO104" i="37"/>
  <c r="DI24" i="35"/>
  <c r="DW209" i="36"/>
  <c r="DW173" i="36"/>
  <c r="DW199" i="36"/>
  <c r="DW114" i="36"/>
  <c r="DW119" i="36"/>
  <c r="FI52" i="37"/>
  <c r="CX241" i="37" l="1"/>
  <c r="BP241" i="37" s="1"/>
  <c r="BS241" i="37" s="1"/>
  <c r="BS262" i="37"/>
  <c r="Y327" i="37"/>
  <c r="AW327" i="37" s="1"/>
  <c r="DN23" i="35"/>
  <c r="DO23" i="35" s="1"/>
  <c r="CR106" i="33"/>
  <c r="G106" i="33" s="1"/>
  <c r="CN106" i="33" s="1"/>
  <c r="EH47" i="37"/>
  <c r="EI47" i="37" s="1"/>
  <c r="AM230" i="33"/>
  <c r="AW279" i="35"/>
  <c r="BN279" i="35"/>
  <c r="AW280" i="35"/>
  <c r="BN280" i="35"/>
  <c r="DD113" i="33"/>
  <c r="CN114" i="33"/>
  <c r="CO114" i="33"/>
  <c r="T114" i="33" s="1"/>
  <c r="DW114" i="33" s="1"/>
  <c r="O114" i="33"/>
  <c r="DI113" i="33" s="1"/>
  <c r="DL37" i="33"/>
  <c r="DK38" i="33"/>
  <c r="C343" i="37"/>
  <c r="C310" i="37"/>
  <c r="C329" i="37"/>
  <c r="C328" i="37"/>
  <c r="C309" i="37"/>
  <c r="AD127" i="35"/>
  <c r="N217" i="35" s="1"/>
  <c r="BZ126" i="35"/>
  <c r="Q128" i="35" s="1"/>
  <c r="CO124" i="35" s="1"/>
  <c r="CX125" i="35" s="1"/>
  <c r="EY159" i="37"/>
  <c r="CO143" i="35"/>
  <c r="DG148" i="35" s="1"/>
  <c r="DJ148" i="35"/>
  <c r="FI201" i="37"/>
  <c r="FI154" i="37"/>
  <c r="FI166" i="37"/>
  <c r="Q263" i="36"/>
  <c r="AI263" i="36"/>
  <c r="AM263" i="36" s="1"/>
  <c r="T263" i="36"/>
  <c r="Z263" i="36" s="1"/>
  <c r="FI156" i="37"/>
  <c r="FI171" i="37"/>
  <c r="EY169" i="37"/>
  <c r="EY86" i="37"/>
  <c r="EY70" i="37"/>
  <c r="EY136" i="37"/>
  <c r="EY143" i="37"/>
  <c r="EY126" i="37"/>
  <c r="EY196" i="37"/>
  <c r="EY117" i="37"/>
  <c r="EY178" i="37"/>
  <c r="EY137" i="37"/>
  <c r="EY116" i="37"/>
  <c r="EY107" i="37"/>
  <c r="EY192" i="37"/>
  <c r="EY62" i="37"/>
  <c r="EY80" i="37"/>
  <c r="CW98" i="33"/>
  <c r="CX98" i="33"/>
  <c r="CV98" i="33"/>
  <c r="CU98" i="33"/>
  <c r="CT98" i="33"/>
  <c r="CS90" i="33"/>
  <c r="FI173" i="37"/>
  <c r="FB44" i="37"/>
  <c r="EY160" i="37"/>
  <c r="CC117" i="35"/>
  <c r="CB117" i="35"/>
  <c r="CB108" i="35"/>
  <c r="BY111" i="35" s="1"/>
  <c r="BZ124" i="35"/>
  <c r="CA124" i="35"/>
  <c r="FI174" i="37"/>
  <c r="FI193" i="37"/>
  <c r="FI172" i="37"/>
  <c r="BF269" i="36"/>
  <c r="FI203" i="37"/>
  <c r="FI186" i="37"/>
  <c r="EY141" i="37"/>
  <c r="EY202" i="37"/>
  <c r="EY158" i="37"/>
  <c r="EY189" i="37"/>
  <c r="EY177" i="37"/>
  <c r="EY193" i="37"/>
  <c r="EY121" i="37"/>
  <c r="EY128" i="37"/>
  <c r="EY145" i="37"/>
  <c r="EY162" i="37"/>
  <c r="EY91" i="37"/>
  <c r="EY57" i="37"/>
  <c r="EY93" i="37"/>
  <c r="EY84" i="37"/>
  <c r="EY200" i="37"/>
  <c r="EY49" i="37"/>
  <c r="DJ27" i="35"/>
  <c r="CO22" i="35"/>
  <c r="DG27" i="35" s="1"/>
  <c r="FI157" i="37"/>
  <c r="FI204" i="37"/>
  <c r="BZ218" i="35"/>
  <c r="CC218" i="35" s="1"/>
  <c r="BH218" i="35"/>
  <c r="FI194" i="37"/>
  <c r="DJ133" i="35"/>
  <c r="CP135" i="35"/>
  <c r="C263" i="35"/>
  <c r="FI202" i="37"/>
  <c r="EY123" i="37"/>
  <c r="EY98" i="37"/>
  <c r="EY108" i="37"/>
  <c r="EY175" i="37"/>
  <c r="EY135" i="37"/>
  <c r="EY52" i="37"/>
  <c r="EY130" i="37"/>
  <c r="EY187" i="37"/>
  <c r="EY129" i="37"/>
  <c r="EY181" i="37"/>
  <c r="EY110" i="37"/>
  <c r="EY166" i="37"/>
  <c r="EY112" i="37"/>
  <c r="EY56" i="37"/>
  <c r="EY182" i="37"/>
  <c r="DE22" i="35"/>
  <c r="FI181" i="37"/>
  <c r="BZ112" i="36"/>
  <c r="H112" i="36"/>
  <c r="DA106" i="36" s="1"/>
  <c r="ES46" i="37"/>
  <c r="ER47" i="37"/>
  <c r="FI195" i="37"/>
  <c r="FI163" i="37"/>
  <c r="EY114" i="37"/>
  <c r="FI185" i="37"/>
  <c r="EY104" i="37"/>
  <c r="EY50" i="37"/>
  <c r="EY131" i="37"/>
  <c r="EY134" i="37"/>
  <c r="EY157" i="37"/>
  <c r="EY201" i="37"/>
  <c r="EY53" i="37"/>
  <c r="EY191" i="37"/>
  <c r="EY61" i="37"/>
  <c r="EY176" i="37"/>
  <c r="EY153" i="37"/>
  <c r="EY120" i="37"/>
  <c r="EY83" i="37"/>
  <c r="EY171" i="37"/>
  <c r="EY65" i="37"/>
  <c r="EY204" i="37"/>
  <c r="FI190" i="37"/>
  <c r="CA121" i="36"/>
  <c r="AT121" i="36" s="1"/>
  <c r="DJ115" i="36" s="1"/>
  <c r="CB121" i="36"/>
  <c r="AG127" i="35" s="1"/>
  <c r="Q217" i="35" s="1"/>
  <c r="CA217" i="35" s="1"/>
  <c r="FI189" i="37"/>
  <c r="EY94" i="37"/>
  <c r="AE327" i="37"/>
  <c r="FI198" i="37"/>
  <c r="Q262" i="36"/>
  <c r="AI262" i="36"/>
  <c r="AM262" i="36" s="1"/>
  <c r="T262" i="36"/>
  <c r="Z262" i="36" s="1"/>
  <c r="DI39" i="32"/>
  <c r="DH40" i="32"/>
  <c r="FI199" i="37"/>
  <c r="FI182" i="37"/>
  <c r="EY58" i="37"/>
  <c r="BX101" i="36"/>
  <c r="BZ102" i="36"/>
  <c r="BY93" i="36"/>
  <c r="FI159" i="37"/>
  <c r="EY149" i="37"/>
  <c r="EY122" i="37"/>
  <c r="EY99" i="37"/>
  <c r="EY102" i="37"/>
  <c r="EY173" i="37"/>
  <c r="EY174" i="37"/>
  <c r="EY59" i="37"/>
  <c r="EY111" i="37"/>
  <c r="EY139" i="37"/>
  <c r="EY146" i="37"/>
  <c r="EY163" i="37"/>
  <c r="EY127" i="37"/>
  <c r="EY144" i="37"/>
  <c r="EY101" i="37"/>
  <c r="EY184" i="37"/>
  <c r="EY63" i="37"/>
  <c r="EY125" i="37"/>
  <c r="CP30" i="35"/>
  <c r="DJ28" i="35"/>
  <c r="Q203" i="33"/>
  <c r="AI203" i="33"/>
  <c r="AM203" i="33" s="1"/>
  <c r="T203" i="33"/>
  <c r="Z203" i="33" s="1"/>
  <c r="AE308" i="37"/>
  <c r="AW308" i="37"/>
  <c r="BN308" i="37"/>
  <c r="FI155" i="37"/>
  <c r="FI180" i="37"/>
  <c r="CZ40" i="32"/>
  <c r="CY41" i="32"/>
  <c r="EY76" i="37"/>
  <c r="EY168" i="37"/>
  <c r="EY87" i="37"/>
  <c r="EY132" i="37"/>
  <c r="EY183" i="37"/>
  <c r="EY118" i="37"/>
  <c r="EY138" i="37"/>
  <c r="EY172" i="37"/>
  <c r="EY167" i="37"/>
  <c r="EY72" i="37"/>
  <c r="EY164" i="37"/>
  <c r="EY71" i="37"/>
  <c r="EY64" i="37"/>
  <c r="EY195" i="37"/>
  <c r="EY85" i="37"/>
  <c r="DV32" i="33"/>
  <c r="DU33" i="33"/>
  <c r="FI192" i="37"/>
  <c r="CE219" i="35"/>
  <c r="BA219" i="35" s="1"/>
  <c r="AD219" i="35"/>
  <c r="Z230" i="33"/>
  <c r="FI183" i="37"/>
  <c r="FI164" i="37"/>
  <c r="AK128" i="35"/>
  <c r="CP124" i="35" s="1"/>
  <c r="DA125" i="35" s="1"/>
  <c r="BN128" i="35"/>
  <c r="CP128" i="35" s="1"/>
  <c r="FI177" i="37"/>
  <c r="AL262" i="35"/>
  <c r="BH262" i="35"/>
  <c r="AP262" i="35"/>
  <c r="CD199" i="33"/>
  <c r="CI113" i="33"/>
  <c r="FI184" i="37"/>
  <c r="FI167" i="37"/>
  <c r="EY95" i="37"/>
  <c r="EY96" i="37"/>
  <c r="EY103" i="37"/>
  <c r="EY68" i="37"/>
  <c r="EY82" i="37"/>
  <c r="EY109" i="37"/>
  <c r="EY203" i="37"/>
  <c r="EY74" i="37"/>
  <c r="EY147" i="37"/>
  <c r="EY185" i="37"/>
  <c r="EY186" i="37"/>
  <c r="EY92" i="37"/>
  <c r="EY81" i="37"/>
  <c r="EY165" i="37"/>
  <c r="EY194" i="37"/>
  <c r="EY205" i="37"/>
  <c r="CZ22" i="35"/>
  <c r="CV21" i="35"/>
  <c r="CW21" i="35" s="1"/>
  <c r="C240" i="35" s="1"/>
  <c r="FI175" i="37"/>
  <c r="CZ28" i="35"/>
  <c r="EY77" i="37"/>
  <c r="AT272" i="36"/>
  <c r="BG266" i="36"/>
  <c r="BF268" i="36" s="1"/>
  <c r="BA266" i="36"/>
  <c r="FI176" i="37"/>
  <c r="FI168" i="37"/>
  <c r="DR16" i="36"/>
  <c r="DQ17" i="36"/>
  <c r="EY113" i="37"/>
  <c r="FI165" i="37"/>
  <c r="DC31" i="33"/>
  <c r="DB32" i="33"/>
  <c r="FI200" i="37"/>
  <c r="EY150" i="37"/>
  <c r="EY140" i="37"/>
  <c r="EY100" i="37"/>
  <c r="EY54" i="37"/>
  <c r="EY199" i="37"/>
  <c r="EY89" i="37"/>
  <c r="EY148" i="37"/>
  <c r="EY190" i="37"/>
  <c r="EY90" i="37"/>
  <c r="EY73" i="37"/>
  <c r="EY155" i="37"/>
  <c r="EY55" i="37"/>
  <c r="EY75" i="37"/>
  <c r="EY119" i="37"/>
  <c r="EY154" i="37"/>
  <c r="EY180" i="37"/>
  <c r="EY156" i="37"/>
  <c r="EY66" i="37"/>
  <c r="EY198" i="37"/>
  <c r="BP261" i="37"/>
  <c r="BS261" i="37" s="1"/>
  <c r="BS260" i="37"/>
  <c r="C239" i="35"/>
  <c r="FI191" i="37"/>
  <c r="BZ205" i="35"/>
  <c r="CC205" i="35" s="1"/>
  <c r="BH205" i="35"/>
  <c r="DN24" i="35" l="1"/>
  <c r="EH48" i="37"/>
  <c r="EI48" i="37" s="1"/>
  <c r="BN327" i="37"/>
  <c r="O106" i="33"/>
  <c r="DI105" i="33" s="1"/>
  <c r="CO106" i="33"/>
  <c r="T106" i="33" s="1"/>
  <c r="DW106" i="33" s="1"/>
  <c r="DD105" i="33"/>
  <c r="AB106" i="33"/>
  <c r="EB106" i="33" s="1"/>
  <c r="DL38" i="33"/>
  <c r="DK39" i="33"/>
  <c r="AY268" i="36"/>
  <c r="CR98" i="33"/>
  <c r="G98" i="33" s="1"/>
  <c r="AB98" i="33" s="1"/>
  <c r="EB98" i="33" s="1"/>
  <c r="AL343" i="37"/>
  <c r="BH343" i="37"/>
  <c r="AP343" i="37"/>
  <c r="Y343" i="37"/>
  <c r="C311" i="37"/>
  <c r="AP311" i="37" s="1"/>
  <c r="AL309" i="37"/>
  <c r="BH309" i="37"/>
  <c r="AP309" i="37"/>
  <c r="Y309" i="37"/>
  <c r="AL328" i="37"/>
  <c r="BH328" i="37"/>
  <c r="AP328" i="37"/>
  <c r="Y328" i="37"/>
  <c r="AL329" i="37"/>
  <c r="AP329" i="37"/>
  <c r="BH329" i="37"/>
  <c r="Y329" i="37"/>
  <c r="AL310" i="37"/>
  <c r="AP310" i="37"/>
  <c r="BH310" i="37"/>
  <c r="Y310" i="37"/>
  <c r="AL239" i="35"/>
  <c r="BH239" i="35"/>
  <c r="AP239" i="35"/>
  <c r="L264" i="36"/>
  <c r="AL263" i="35"/>
  <c r="BH263" i="35"/>
  <c r="AP263" i="35"/>
  <c r="CE218" i="35"/>
  <c r="BA218" i="35" s="1"/>
  <c r="AD218" i="35"/>
  <c r="CC109" i="35"/>
  <c r="BZ116" i="35"/>
  <c r="CB100" i="35"/>
  <c r="BY103" i="35" s="1"/>
  <c r="CB109" i="35"/>
  <c r="CA116" i="35"/>
  <c r="FC44" i="37"/>
  <c r="FB45" i="37"/>
  <c r="CX90" i="33"/>
  <c r="CW90" i="33"/>
  <c r="CU90" i="33"/>
  <c r="CV90" i="33"/>
  <c r="CT90" i="33"/>
  <c r="AD119" i="35"/>
  <c r="N216" i="35" s="1"/>
  <c r="BZ118" i="35"/>
  <c r="Q120" i="35" s="1"/>
  <c r="CO116" i="35" s="1"/>
  <c r="CX117" i="35" s="1"/>
  <c r="BZ217" i="35"/>
  <c r="CC217" i="35" s="1"/>
  <c r="BH217" i="35"/>
  <c r="CO135" i="35"/>
  <c r="DG140" i="35" s="1"/>
  <c r="DJ140" i="35"/>
  <c r="AK120" i="35"/>
  <c r="CP116" i="35" s="1"/>
  <c r="DA117" i="35" s="1"/>
  <c r="BN120" i="35"/>
  <c r="CP120" i="35" s="1"/>
  <c r="DV33" i="33"/>
  <c r="DU34" i="33"/>
  <c r="BX92" i="36"/>
  <c r="BZ93" i="36"/>
  <c r="BY84" i="36"/>
  <c r="ES47" i="37"/>
  <c r="ER48" i="37"/>
  <c r="CD200" i="33"/>
  <c r="CI121" i="33"/>
  <c r="CZ41" i="32"/>
  <c r="CY42" i="32"/>
  <c r="BZ103" i="36"/>
  <c r="H103" i="36"/>
  <c r="DA97" i="36" s="1"/>
  <c r="DI40" i="32"/>
  <c r="DH41" i="32"/>
  <c r="CO30" i="35"/>
  <c r="DG35" i="35" s="1"/>
  <c r="DI40" i="35" s="1"/>
  <c r="DJ35" i="35"/>
  <c r="DF22" i="35"/>
  <c r="DE23" i="35"/>
  <c r="DI29" i="35"/>
  <c r="DI27" i="35"/>
  <c r="DI28" i="35"/>
  <c r="DI34" i="35"/>
  <c r="DI32" i="35"/>
  <c r="DI30" i="35"/>
  <c r="DI33" i="35"/>
  <c r="DO24" i="35"/>
  <c r="DN25" i="35"/>
  <c r="DR17" i="36"/>
  <c r="DQ18" i="36"/>
  <c r="AL240" i="35"/>
  <c r="BH240" i="35"/>
  <c r="AP240" i="35"/>
  <c r="CE205" i="35"/>
  <c r="BA205" i="35" s="1"/>
  <c r="AD205" i="35"/>
  <c r="DC32" i="33"/>
  <c r="DB33" i="33"/>
  <c r="CV22" i="35"/>
  <c r="CW22" i="35" s="1"/>
  <c r="DJ125" i="35"/>
  <c r="CP127" i="35"/>
  <c r="CB112" i="36"/>
  <c r="CA112" i="36"/>
  <c r="AT112" i="36" s="1"/>
  <c r="DJ106" i="36" s="1"/>
  <c r="CZ23" i="35"/>
  <c r="CN98" i="33" l="1"/>
  <c r="EH49" i="37"/>
  <c r="O98" i="33"/>
  <c r="DI97" i="33" s="1"/>
  <c r="CO98" i="33"/>
  <c r="T98" i="33" s="1"/>
  <c r="DW98" i="33" s="1"/>
  <c r="EA113" i="33" s="1"/>
  <c r="EC113" i="33" s="1"/>
  <c r="DD97" i="33"/>
  <c r="DH105" i="33" s="1"/>
  <c r="DJ105" i="33" s="1"/>
  <c r="CR90" i="33"/>
  <c r="G90" i="33" s="1"/>
  <c r="CO90" i="33" s="1"/>
  <c r="T90" i="33" s="1"/>
  <c r="AL311" i="37"/>
  <c r="Y311" i="37"/>
  <c r="AW311" i="37" s="1"/>
  <c r="DI36" i="35"/>
  <c r="DI41" i="35"/>
  <c r="DI38" i="35"/>
  <c r="DI37" i="35"/>
  <c r="DI42" i="35"/>
  <c r="DL39" i="33"/>
  <c r="DK40" i="33"/>
  <c r="AW343" i="37"/>
  <c r="BN343" i="37"/>
  <c r="AE343" i="37"/>
  <c r="BH311" i="37"/>
  <c r="EI49" i="37"/>
  <c r="EH50" i="37"/>
  <c r="AW328" i="37"/>
  <c r="BN328" i="37"/>
  <c r="AE328" i="37"/>
  <c r="AW310" i="37"/>
  <c r="BN310" i="37"/>
  <c r="AE310" i="37"/>
  <c r="AW309" i="37"/>
  <c r="BN309" i="37"/>
  <c r="AE309" i="37"/>
  <c r="AE329" i="37"/>
  <c r="BN329" i="37"/>
  <c r="AW329" i="37"/>
  <c r="BZ216" i="35"/>
  <c r="CC216" i="35" s="1"/>
  <c r="BH216" i="35"/>
  <c r="DC33" i="33"/>
  <c r="DB34" i="33"/>
  <c r="CZ42" i="32"/>
  <c r="CY43" i="32"/>
  <c r="AD111" i="35"/>
  <c r="N215" i="35" s="1"/>
  <c r="BZ110" i="35"/>
  <c r="Q112" i="35" s="1"/>
  <c r="CO108" i="35" s="1"/>
  <c r="CX109" i="35" s="1"/>
  <c r="ES48" i="37"/>
  <c r="ER49" i="37"/>
  <c r="CB101" i="35"/>
  <c r="BZ108" i="35"/>
  <c r="CC101" i="35"/>
  <c r="CB92" i="35"/>
  <c r="BY95" i="35" s="1"/>
  <c r="CA108" i="35"/>
  <c r="C264" i="36"/>
  <c r="DF23" i="35"/>
  <c r="DE24" i="35"/>
  <c r="DI41" i="32"/>
  <c r="DH42" i="32"/>
  <c r="CD201" i="33"/>
  <c r="CI129" i="33"/>
  <c r="DV34" i="33"/>
  <c r="DU35" i="33"/>
  <c r="C264" i="35"/>
  <c r="CE217" i="35"/>
  <c r="BA217" i="35" s="1"/>
  <c r="AD217" i="35"/>
  <c r="BN112" i="35"/>
  <c r="CP112" i="35" s="1"/>
  <c r="AK112" i="35"/>
  <c r="CP108" i="35" s="1"/>
  <c r="DA109" i="35" s="1"/>
  <c r="CZ24" i="35"/>
  <c r="CZ29" i="35" s="1"/>
  <c r="CV23" i="35"/>
  <c r="CW23" i="35" s="1"/>
  <c r="DR18" i="36"/>
  <c r="DQ19" i="36"/>
  <c r="DI35" i="35"/>
  <c r="CB103" i="36"/>
  <c r="CA103" i="36"/>
  <c r="AT103" i="36" s="1"/>
  <c r="DJ97" i="36" s="1"/>
  <c r="BX83" i="36"/>
  <c r="BZ84" i="36"/>
  <c r="BY72" i="36"/>
  <c r="CP119" i="35"/>
  <c r="DJ117" i="35"/>
  <c r="FC45" i="37"/>
  <c r="FB46" i="37"/>
  <c r="DJ132" i="35"/>
  <c r="CO127" i="35"/>
  <c r="DG132" i="35" s="1"/>
  <c r="C241" i="35"/>
  <c r="DN26" i="35"/>
  <c r="DO25" i="35"/>
  <c r="BZ94" i="36"/>
  <c r="H94" i="36"/>
  <c r="DA88" i="36" s="1"/>
  <c r="EC42" i="33"/>
  <c r="EC30" i="33"/>
  <c r="EA136" i="33"/>
  <c r="EA127" i="33"/>
  <c r="EA119" i="33"/>
  <c r="EA143" i="33"/>
  <c r="EA130" i="33"/>
  <c r="EC28" i="33"/>
  <c r="EA164" i="33"/>
  <c r="EA118" i="33"/>
  <c r="EC19" i="33"/>
  <c r="EA102" i="33"/>
  <c r="EC67" i="33"/>
  <c r="EC52" i="33"/>
  <c r="EC53" i="33"/>
  <c r="EC86" i="33"/>
  <c r="EC94" i="33"/>
  <c r="EC46" i="33"/>
  <c r="EC69" i="33"/>
  <c r="EC62" i="33"/>
  <c r="EC59" i="33"/>
  <c r="EA114" i="33"/>
  <c r="EC74" i="33" l="1"/>
  <c r="EC29" i="33"/>
  <c r="EA135" i="33"/>
  <c r="EA137" i="33"/>
  <c r="EA154" i="33"/>
  <c r="EC154" i="33" s="1"/>
  <c r="EA146" i="33"/>
  <c r="DH154" i="33"/>
  <c r="DJ154" i="33" s="1"/>
  <c r="DH113" i="33"/>
  <c r="DJ113" i="33" s="1"/>
  <c r="EC88" i="33"/>
  <c r="EC78" i="33"/>
  <c r="EA178" i="33"/>
  <c r="EC178" i="33" s="1"/>
  <c r="EA153" i="33"/>
  <c r="EC153" i="33" s="1"/>
  <c r="EA173" i="33"/>
  <c r="EC173" i="33" s="1"/>
  <c r="EA172" i="33"/>
  <c r="EC172" i="33" s="1"/>
  <c r="DH179" i="33"/>
  <c r="DJ179" i="33" s="1"/>
  <c r="DH125" i="33"/>
  <c r="DJ125" i="33" s="1"/>
  <c r="DH166" i="33"/>
  <c r="EC87" i="33"/>
  <c r="EA129" i="33"/>
  <c r="EC129" i="33" s="1"/>
  <c r="EA163" i="33"/>
  <c r="EC163" i="33" s="1"/>
  <c r="EA121" i="33"/>
  <c r="EC121" i="33" s="1"/>
  <c r="EC43" i="33"/>
  <c r="EC96" i="33"/>
  <c r="EC50" i="33"/>
  <c r="EC60" i="33"/>
  <c r="EC95" i="33"/>
  <c r="EA111" i="33"/>
  <c r="EC111" i="33" s="1"/>
  <c r="EA152" i="33"/>
  <c r="EC152" i="33" s="1"/>
  <c r="EA110" i="33"/>
  <c r="EC110" i="33" s="1"/>
  <c r="EA98" i="33"/>
  <c r="EC98" i="33" s="1"/>
  <c r="EA120" i="33"/>
  <c r="EC120" i="33" s="1"/>
  <c r="EC27" i="33"/>
  <c r="EA103" i="33"/>
  <c r="EA106" i="33"/>
  <c r="EC22" i="33"/>
  <c r="EC34" i="33"/>
  <c r="EC35" i="33"/>
  <c r="EC76" i="33"/>
  <c r="EC68" i="33"/>
  <c r="EC89" i="33"/>
  <c r="EA180" i="33"/>
  <c r="EA162" i="33"/>
  <c r="EC162" i="33" s="1"/>
  <c r="EA171" i="33"/>
  <c r="EC171" i="33" s="1"/>
  <c r="EC20" i="33"/>
  <c r="EA134" i="33"/>
  <c r="EC134" i="33" s="1"/>
  <c r="EA181" i="33"/>
  <c r="EC181" i="33" s="1"/>
  <c r="EA150" i="33"/>
  <c r="EC150" i="33" s="1"/>
  <c r="EC44" i="33"/>
  <c r="EC38" i="33"/>
  <c r="DH129" i="33"/>
  <c r="DJ129" i="33" s="1"/>
  <c r="EC61" i="33"/>
  <c r="EA104" i="33"/>
  <c r="EC104" i="33" s="1"/>
  <c r="EC21" i="33"/>
  <c r="EA142" i="33"/>
  <c r="EC142" i="33" s="1"/>
  <c r="EA145" i="33"/>
  <c r="EC145" i="33" s="1"/>
  <c r="EA170" i="33"/>
  <c r="EC170" i="33" s="1"/>
  <c r="EA138" i="33"/>
  <c r="DJ67" i="33"/>
  <c r="EC97" i="33"/>
  <c r="EC66" i="33"/>
  <c r="EC58" i="33"/>
  <c r="EA151" i="33"/>
  <c r="EC151" i="33" s="1"/>
  <c r="EC70" i="33"/>
  <c r="EA122" i="33"/>
  <c r="EC122" i="33" s="1"/>
  <c r="EC77" i="33"/>
  <c r="EC51" i="33"/>
  <c r="EC75" i="33"/>
  <c r="EA179" i="33"/>
  <c r="EC18" i="33"/>
  <c r="EA112" i="33"/>
  <c r="EC112" i="33" s="1"/>
  <c r="EC26" i="33"/>
  <c r="EA165" i="33"/>
  <c r="EC165" i="33" s="1"/>
  <c r="EC54" i="33"/>
  <c r="EA166" i="33"/>
  <c r="EC37" i="33"/>
  <c r="DJ93" i="33"/>
  <c r="EA105" i="33"/>
  <c r="EC105" i="33" s="1"/>
  <c r="EA144" i="33"/>
  <c r="EC144" i="33" s="1"/>
  <c r="EA128" i="33"/>
  <c r="EC128" i="33" s="1"/>
  <c r="EA126" i="33"/>
  <c r="EC126" i="33" s="1"/>
  <c r="EA182" i="33"/>
  <c r="EA174" i="33"/>
  <c r="EC174" i="33" s="1"/>
  <c r="EC36" i="33"/>
  <c r="EC45" i="33"/>
  <c r="DJ88" i="33"/>
  <c r="DH121" i="33"/>
  <c r="DJ121" i="33" s="1"/>
  <c r="DJ85" i="33"/>
  <c r="DH127" i="33"/>
  <c r="DJ127" i="33" s="1"/>
  <c r="DJ78" i="33"/>
  <c r="DH143" i="33"/>
  <c r="DH142" i="33"/>
  <c r="DJ142" i="33" s="1"/>
  <c r="DJ60" i="33"/>
  <c r="DH130" i="33"/>
  <c r="DJ130" i="33" s="1"/>
  <c r="DJ42" i="33"/>
  <c r="DJ87" i="33"/>
  <c r="DH128" i="33"/>
  <c r="DJ128" i="33" s="1"/>
  <c r="DJ73" i="33"/>
  <c r="DJ22" i="33"/>
  <c r="L194" i="33" s="1"/>
  <c r="AM194" i="33" s="1"/>
  <c r="DJ69" i="33"/>
  <c r="DH162" i="33"/>
  <c r="DJ162" i="33" s="1"/>
  <c r="DJ75" i="33"/>
  <c r="DJ76" i="33"/>
  <c r="DH138" i="33"/>
  <c r="DJ138" i="33" s="1"/>
  <c r="DH150" i="33"/>
  <c r="DJ150" i="33" s="1"/>
  <c r="DH104" i="33"/>
  <c r="DJ104" i="33" s="1"/>
  <c r="DH174" i="33"/>
  <c r="DJ174" i="33" s="1"/>
  <c r="DJ46" i="33"/>
  <c r="DJ59" i="33"/>
  <c r="DH164" i="33"/>
  <c r="DJ164" i="33" s="1"/>
  <c r="DH171" i="33"/>
  <c r="DJ171" i="33" s="1"/>
  <c r="DH110" i="33"/>
  <c r="DJ110" i="33" s="1"/>
  <c r="DH120" i="33"/>
  <c r="DJ120" i="33" s="1"/>
  <c r="DJ77" i="33"/>
  <c r="DJ94" i="33"/>
  <c r="DH106" i="33"/>
  <c r="DJ106" i="33" s="1"/>
  <c r="DH126" i="33"/>
  <c r="DJ126" i="33" s="1"/>
  <c r="DJ17" i="33"/>
  <c r="L204" i="33" s="1"/>
  <c r="DJ30" i="33"/>
  <c r="DH103" i="33"/>
  <c r="DJ103" i="33" s="1"/>
  <c r="DH97" i="33"/>
  <c r="DJ97" i="33" s="1"/>
  <c r="DJ58" i="33"/>
  <c r="DJ70" i="33"/>
  <c r="DH161" i="33"/>
  <c r="DJ161" i="33" s="1"/>
  <c r="DH170" i="33"/>
  <c r="DJ170" i="33" s="1"/>
  <c r="DJ26" i="33"/>
  <c r="DH112" i="33"/>
  <c r="DJ112" i="33" s="1"/>
  <c r="DH152" i="33"/>
  <c r="DJ152" i="33" s="1"/>
  <c r="DH149" i="33"/>
  <c r="DJ149" i="33" s="1"/>
  <c r="DJ27" i="33"/>
  <c r="DJ86" i="33"/>
  <c r="DJ61" i="33"/>
  <c r="DJ95" i="33"/>
  <c r="DJ54" i="33"/>
  <c r="DJ57" i="33"/>
  <c r="DH153" i="33"/>
  <c r="DJ153" i="33" s="1"/>
  <c r="DJ25" i="33"/>
  <c r="DH151" i="33"/>
  <c r="DJ151" i="33" s="1"/>
  <c r="DH169" i="33"/>
  <c r="DH146" i="33"/>
  <c r="DH177" i="33"/>
  <c r="DJ177" i="33" s="1"/>
  <c r="DH135" i="33"/>
  <c r="DJ135" i="33" s="1"/>
  <c r="DH141" i="33"/>
  <c r="DJ141" i="33" s="1"/>
  <c r="DJ37" i="33"/>
  <c r="DJ74" i="33"/>
  <c r="DJ66" i="33"/>
  <c r="DJ62" i="33"/>
  <c r="DJ65" i="33"/>
  <c r="DH122" i="33"/>
  <c r="DJ122" i="33" s="1"/>
  <c r="DH178" i="33"/>
  <c r="DJ178" i="33" s="1"/>
  <c r="DH134" i="33"/>
  <c r="DJ134" i="33" s="1"/>
  <c r="DH145" i="33"/>
  <c r="DJ145" i="33" s="1"/>
  <c r="DH136" i="33"/>
  <c r="DJ136" i="33" s="1"/>
  <c r="DJ28" i="33"/>
  <c r="DJ20" i="33"/>
  <c r="L192" i="33" s="1"/>
  <c r="Z192" i="33" s="1"/>
  <c r="DH180" i="33"/>
  <c r="DJ180" i="33" s="1"/>
  <c r="DH117" i="33"/>
  <c r="DJ117" i="33" s="1"/>
  <c r="DH137" i="33"/>
  <c r="DJ137" i="33" s="1"/>
  <c r="DJ49" i="33"/>
  <c r="DJ89" i="33"/>
  <c r="DJ53" i="33"/>
  <c r="DJ52" i="33"/>
  <c r="DH109" i="33"/>
  <c r="DJ109" i="33" s="1"/>
  <c r="DH102" i="33"/>
  <c r="DJ102" i="33" s="1"/>
  <c r="DJ18" i="33"/>
  <c r="L190" i="33" s="1"/>
  <c r="DH182" i="33"/>
  <c r="DJ182" i="33" s="1"/>
  <c r="DH181" i="33"/>
  <c r="DJ181" i="33" s="1"/>
  <c r="DH133" i="33"/>
  <c r="DJ133" i="33" s="1"/>
  <c r="DH98" i="33"/>
  <c r="DJ98" i="33" s="1"/>
  <c r="DH114" i="33"/>
  <c r="DJ114" i="33" s="1"/>
  <c r="DH101" i="33"/>
  <c r="DJ101" i="33" s="1"/>
  <c r="DJ33" i="33"/>
  <c r="DJ96" i="33"/>
  <c r="DJ51" i="33"/>
  <c r="DJ50" i="33"/>
  <c r="DJ68" i="33"/>
  <c r="DH118" i="33"/>
  <c r="DJ118" i="33" s="1"/>
  <c r="DJ21" i="33"/>
  <c r="L193" i="33" s="1"/>
  <c r="AM193" i="33" s="1"/>
  <c r="DH172" i="33"/>
  <c r="DJ172" i="33" s="1"/>
  <c r="DH163" i="33"/>
  <c r="DJ163" i="33" s="1"/>
  <c r="DH119" i="33"/>
  <c r="DJ119" i="33" s="1"/>
  <c r="DH173" i="33"/>
  <c r="DJ173" i="33" s="1"/>
  <c r="DH144" i="33"/>
  <c r="DJ144" i="33" s="1"/>
  <c r="DH111" i="33"/>
  <c r="DJ111" i="33" s="1"/>
  <c r="DJ19" i="33"/>
  <c r="L191" i="33" s="1"/>
  <c r="DJ45" i="33"/>
  <c r="DH165" i="33"/>
  <c r="DJ165" i="33" s="1"/>
  <c r="DJ29" i="33"/>
  <c r="L195" i="33" s="1"/>
  <c r="AM195" i="33" s="1"/>
  <c r="DJ43" i="33"/>
  <c r="DJ35" i="33"/>
  <c r="DJ38" i="33"/>
  <c r="DJ36" i="33"/>
  <c r="DJ34" i="33"/>
  <c r="O90" i="33"/>
  <c r="AB90" i="33"/>
  <c r="CN90" i="33"/>
  <c r="DJ41" i="33"/>
  <c r="DJ44" i="33"/>
  <c r="AE311" i="37"/>
  <c r="BN311" i="37"/>
  <c r="DL40" i="33"/>
  <c r="DK41" i="33"/>
  <c r="EH51" i="37"/>
  <c r="EI50" i="37"/>
  <c r="C330" i="37" s="1"/>
  <c r="EC118" i="33"/>
  <c r="EC130" i="33"/>
  <c r="EC119" i="33"/>
  <c r="EC103" i="33"/>
  <c r="EC136" i="33"/>
  <c r="FC46" i="37"/>
  <c r="FB47" i="37"/>
  <c r="DJ109" i="35"/>
  <c r="CP111" i="35"/>
  <c r="DI42" i="32"/>
  <c r="DH43" i="32"/>
  <c r="BZ215" i="35"/>
  <c r="CC215" i="35" s="1"/>
  <c r="BH215" i="35"/>
  <c r="DJ169" i="33"/>
  <c r="DJ146" i="33"/>
  <c r="EC138" i="33"/>
  <c r="DO26" i="35"/>
  <c r="DN27" i="35"/>
  <c r="Q264" i="36"/>
  <c r="T264" i="36"/>
  <c r="Z264" i="36" s="1"/>
  <c r="AI264" i="36"/>
  <c r="AM264" i="36" s="1"/>
  <c r="CZ43" i="32"/>
  <c r="CY44" i="32"/>
  <c r="EC179" i="33"/>
  <c r="EC166" i="33"/>
  <c r="DR19" i="36"/>
  <c r="DQ20" i="36"/>
  <c r="EC102" i="33"/>
  <c r="EC182" i="33"/>
  <c r="L265" i="36"/>
  <c r="DV35" i="33"/>
  <c r="DU36" i="33"/>
  <c r="BZ100" i="35"/>
  <c r="CB93" i="35"/>
  <c r="CB84" i="35"/>
  <c r="BY87" i="35" s="1"/>
  <c r="CC93" i="35"/>
  <c r="CA100" i="35"/>
  <c r="EC137" i="33"/>
  <c r="EC164" i="33"/>
  <c r="EC143" i="33"/>
  <c r="EC127" i="33"/>
  <c r="CZ30" i="35"/>
  <c r="CZ31" i="35" s="1"/>
  <c r="CV24" i="35"/>
  <c r="DF24" i="35"/>
  <c r="DE25" i="35"/>
  <c r="AK104" i="35"/>
  <c r="CP100" i="35" s="1"/>
  <c r="DA101" i="35" s="1"/>
  <c r="BN104" i="35"/>
  <c r="CP104" i="35" s="1"/>
  <c r="DJ166" i="33"/>
  <c r="EC180" i="33"/>
  <c r="CB94" i="36"/>
  <c r="CA94" i="36"/>
  <c r="AT94" i="36" s="1"/>
  <c r="DJ88" i="36" s="1"/>
  <c r="AL241" i="35"/>
  <c r="BH241" i="35"/>
  <c r="AP241" i="35"/>
  <c r="CO119" i="35"/>
  <c r="DG124" i="35" s="1"/>
  <c r="DJ124" i="35"/>
  <c r="AL264" i="35"/>
  <c r="BH264" i="35"/>
  <c r="AP264" i="35"/>
  <c r="CD202" i="33"/>
  <c r="CI137" i="33"/>
  <c r="DC34" i="33"/>
  <c r="DB35" i="33"/>
  <c r="EC114" i="33"/>
  <c r="EC135" i="33"/>
  <c r="BX71" i="36"/>
  <c r="BZ72" i="36"/>
  <c r="BY63" i="36"/>
  <c r="BZ102" i="35"/>
  <c r="Q104" i="35" s="1"/>
  <c r="CO100" i="35" s="1"/>
  <c r="CX101" i="35" s="1"/>
  <c r="AD103" i="35"/>
  <c r="N214" i="35" s="1"/>
  <c r="ES49" i="37"/>
  <c r="ER50" i="37"/>
  <c r="DJ143" i="33"/>
  <c r="CE216" i="35"/>
  <c r="BA216" i="35" s="1"/>
  <c r="AD216" i="35"/>
  <c r="EC146" i="33"/>
  <c r="EC106" i="33"/>
  <c r="BZ85" i="36"/>
  <c r="H85" i="36"/>
  <c r="DA79" i="36" s="1"/>
  <c r="Z194" i="33"/>
  <c r="L189" i="33" l="1"/>
  <c r="AM189" i="33" s="1"/>
  <c r="Z195" i="33"/>
  <c r="AM192" i="33"/>
  <c r="L206" i="33"/>
  <c r="AM206" i="33" s="1"/>
  <c r="Z193" i="33"/>
  <c r="L205" i="33"/>
  <c r="AM205" i="33" s="1"/>
  <c r="CZ32" i="35"/>
  <c r="DL41" i="33"/>
  <c r="DK42" i="33"/>
  <c r="AL330" i="37"/>
  <c r="BH330" i="37"/>
  <c r="AP330" i="37"/>
  <c r="Y330" i="37"/>
  <c r="EI51" i="37"/>
  <c r="EH52" i="37"/>
  <c r="L266" i="36"/>
  <c r="C266" i="36" s="1"/>
  <c r="CO111" i="35"/>
  <c r="DG116" i="35" s="1"/>
  <c r="DJ116" i="35"/>
  <c r="CE215" i="35"/>
  <c r="BA215" i="35" s="1"/>
  <c r="AD215" i="35"/>
  <c r="FC47" i="37"/>
  <c r="FB48" i="37"/>
  <c r="ER51" i="37"/>
  <c r="ES50" i="37"/>
  <c r="BX62" i="36"/>
  <c r="BZ63" i="36"/>
  <c r="BY54" i="36"/>
  <c r="AM191" i="33"/>
  <c r="Z191" i="33"/>
  <c r="BZ73" i="36"/>
  <c r="H73" i="36"/>
  <c r="DA67" i="36" s="1"/>
  <c r="BZ214" i="35"/>
  <c r="CC214" i="35" s="1"/>
  <c r="BH214" i="35"/>
  <c r="C265" i="35"/>
  <c r="DF25" i="35"/>
  <c r="C266" i="35" s="1"/>
  <c r="DE26" i="35"/>
  <c r="DV36" i="33"/>
  <c r="DU37" i="33"/>
  <c r="DO27" i="35"/>
  <c r="DN28" i="35"/>
  <c r="DI43" i="32"/>
  <c r="DH44" i="32"/>
  <c r="DC35" i="33"/>
  <c r="DB36" i="33"/>
  <c r="C265" i="36"/>
  <c r="BN96" i="35"/>
  <c r="CP96" i="35" s="1"/>
  <c r="AK96" i="35"/>
  <c r="CP92" i="35" s="1"/>
  <c r="DA93" i="35" s="1"/>
  <c r="CD203" i="33"/>
  <c r="CI145" i="33"/>
  <c r="CD204" i="33" s="1"/>
  <c r="AM204" i="33"/>
  <c r="Z204" i="33"/>
  <c r="CV25" i="35"/>
  <c r="CW24" i="35"/>
  <c r="AM190" i="33"/>
  <c r="Z190" i="33"/>
  <c r="BZ92" i="35"/>
  <c r="CC85" i="35"/>
  <c r="CB75" i="35"/>
  <c r="BY78" i="35" s="1"/>
  <c r="CB85" i="35"/>
  <c r="CA92" i="35"/>
  <c r="CZ44" i="32"/>
  <c r="CY45" i="32"/>
  <c r="CB85" i="36"/>
  <c r="CA85" i="36"/>
  <c r="AT85" i="36" s="1"/>
  <c r="DJ79" i="36" s="1"/>
  <c r="CP103" i="35"/>
  <c r="DJ101" i="35"/>
  <c r="AD95" i="35"/>
  <c r="N213" i="35" s="1"/>
  <c r="BZ94" i="35"/>
  <c r="Q96" i="35" s="1"/>
  <c r="CO92" i="35" s="1"/>
  <c r="CX93" i="35" s="1"/>
  <c r="DR20" i="36"/>
  <c r="L267" i="36" s="1"/>
  <c r="C267" i="36" s="1"/>
  <c r="DQ21" i="36"/>
  <c r="Z189" i="33" l="1"/>
  <c r="Z205" i="33"/>
  <c r="Z206" i="33"/>
  <c r="DK43" i="33"/>
  <c r="DL42" i="33"/>
  <c r="AE330" i="37"/>
  <c r="BN330" i="37"/>
  <c r="AW330" i="37"/>
  <c r="EI52" i="37"/>
  <c r="EH53" i="37"/>
  <c r="BZ213" i="35"/>
  <c r="CC213" i="35" s="1"/>
  <c r="BH213" i="35"/>
  <c r="CO103" i="35"/>
  <c r="DG108" i="35" s="1"/>
  <c r="DJ108" i="35"/>
  <c r="BZ86" i="35"/>
  <c r="Q88" i="35" s="1"/>
  <c r="CO84" i="35" s="1"/>
  <c r="CX85" i="35" s="1"/>
  <c r="AD87" i="35"/>
  <c r="N212" i="35" s="1"/>
  <c r="AL266" i="35"/>
  <c r="BH266" i="35"/>
  <c r="AP266" i="35"/>
  <c r="DI44" i="32"/>
  <c r="DH45" i="32"/>
  <c r="DV37" i="33"/>
  <c r="DU38" i="33"/>
  <c r="BX53" i="36"/>
  <c r="BZ54" i="36"/>
  <c r="BY45" i="36"/>
  <c r="CB76" i="35"/>
  <c r="CC76" i="35"/>
  <c r="BZ84" i="35"/>
  <c r="CB67" i="35"/>
  <c r="BY70" i="35" s="1"/>
  <c r="CA84" i="35"/>
  <c r="BZ64" i="36"/>
  <c r="H64" i="36"/>
  <c r="DA58" i="36" s="1"/>
  <c r="AK88" i="35"/>
  <c r="CP84" i="35" s="1"/>
  <c r="DA85" i="35" s="1"/>
  <c r="BN88" i="35"/>
  <c r="CP88" i="35" s="1"/>
  <c r="DO28" i="35"/>
  <c r="DN29" i="35"/>
  <c r="DF26" i="35"/>
  <c r="DE27" i="35"/>
  <c r="CE214" i="35"/>
  <c r="BA214" i="35" s="1"/>
  <c r="AD214" i="35"/>
  <c r="Q265" i="36"/>
  <c r="T265" i="36"/>
  <c r="Z265" i="36" s="1"/>
  <c r="AI265" i="36"/>
  <c r="AM265" i="36" s="1"/>
  <c r="ES51" i="37"/>
  <c r="ER52" i="37"/>
  <c r="DR21" i="36"/>
  <c r="DQ22" i="36"/>
  <c r="CZ45" i="32"/>
  <c r="CY46" i="32"/>
  <c r="DC36" i="33"/>
  <c r="DB37" i="33"/>
  <c r="AL265" i="35"/>
  <c r="BH265" i="35"/>
  <c r="AP265" i="35"/>
  <c r="CB73" i="36"/>
  <c r="AG78" i="35" s="1"/>
  <c r="Q211" i="35" s="1"/>
  <c r="CA211" i="35" s="1"/>
  <c r="CA73" i="36"/>
  <c r="AT73" i="36" s="1"/>
  <c r="DJ67" i="36" s="1"/>
  <c r="Q267" i="36"/>
  <c r="T267" i="36"/>
  <c r="Z267" i="36" s="1"/>
  <c r="AI267" i="36"/>
  <c r="AM267" i="36" s="1"/>
  <c r="FC48" i="37"/>
  <c r="FB49" i="37"/>
  <c r="CW25" i="35"/>
  <c r="CV26" i="35"/>
  <c r="DJ93" i="35"/>
  <c r="CP95" i="35"/>
  <c r="Q266" i="36"/>
  <c r="AI266" i="36"/>
  <c r="AM266" i="36" s="1"/>
  <c r="T266" i="36"/>
  <c r="Z266" i="36" s="1"/>
  <c r="DK44" i="33" l="1"/>
  <c r="DL43" i="33"/>
  <c r="EI53" i="37"/>
  <c r="EH54" i="37"/>
  <c r="DC37" i="33"/>
  <c r="DB38" i="33"/>
  <c r="BZ212" i="35"/>
  <c r="CC212" i="35" s="1"/>
  <c r="BH212" i="35"/>
  <c r="FC49" i="37"/>
  <c r="FB50" i="37"/>
  <c r="CB68" i="35"/>
  <c r="BZ75" i="35"/>
  <c r="CB59" i="35"/>
  <c r="BY62" i="35" s="1"/>
  <c r="CC68" i="35"/>
  <c r="CA75" i="35"/>
  <c r="DU39" i="33"/>
  <c r="DV38" i="33"/>
  <c r="CW26" i="35"/>
  <c r="CV27" i="35"/>
  <c r="CZ46" i="32"/>
  <c r="CY47" i="32"/>
  <c r="DJ85" i="35"/>
  <c r="CP87" i="35"/>
  <c r="AK79" i="35"/>
  <c r="CP75" i="35" s="1"/>
  <c r="DA76" i="35" s="1"/>
  <c r="BN79" i="35"/>
  <c r="CP79" i="35" s="1"/>
  <c r="DI45" i="32"/>
  <c r="DH46" i="32"/>
  <c r="DJ100" i="35"/>
  <c r="CO95" i="35"/>
  <c r="DG100" i="35" s="1"/>
  <c r="DR22" i="36"/>
  <c r="DQ23" i="36"/>
  <c r="BZ77" i="35"/>
  <c r="Q79" i="35" s="1"/>
  <c r="CO75" i="35" s="1"/>
  <c r="CX76" i="35" s="1"/>
  <c r="AD78" i="35"/>
  <c r="N211" i="35" s="1"/>
  <c r="DF27" i="35"/>
  <c r="DE28" i="35"/>
  <c r="BX44" i="36"/>
  <c r="BZ45" i="36"/>
  <c r="BY36" i="36"/>
  <c r="CE213" i="35"/>
  <c r="BA213" i="35" s="1"/>
  <c r="AD213" i="35"/>
  <c r="ES52" i="37"/>
  <c r="ER53" i="37"/>
  <c r="CB64" i="36"/>
  <c r="CA64" i="36"/>
  <c r="AT64" i="36" s="1"/>
  <c r="DJ58" i="36" s="1"/>
  <c r="BZ55" i="36"/>
  <c r="H55" i="36"/>
  <c r="DA49" i="36" s="1"/>
  <c r="DO29" i="35"/>
  <c r="DN30" i="35"/>
  <c r="DL44" i="33" l="1"/>
  <c r="DK45" i="33"/>
  <c r="EI54" i="37"/>
  <c r="EH55" i="37"/>
  <c r="BX35" i="36"/>
  <c r="BX12" i="36" s="1"/>
  <c r="BZ36" i="36"/>
  <c r="DR23" i="36"/>
  <c r="DQ24" i="36"/>
  <c r="CB55" i="36"/>
  <c r="CA55" i="36"/>
  <c r="AT55" i="36" s="1"/>
  <c r="DJ49" i="36" s="1"/>
  <c r="BZ46" i="36"/>
  <c r="H46" i="36"/>
  <c r="DA40" i="36" s="1"/>
  <c r="DV39" i="33"/>
  <c r="DU40" i="33"/>
  <c r="FB51" i="37"/>
  <c r="FC50" i="37"/>
  <c r="DI46" i="32"/>
  <c r="DH47" i="32"/>
  <c r="BN71" i="35"/>
  <c r="CP71" i="35" s="1"/>
  <c r="AK71" i="35"/>
  <c r="CP67" i="35" s="1"/>
  <c r="DA68" i="35" s="1"/>
  <c r="ES53" i="37"/>
  <c r="ER54" i="37"/>
  <c r="DF28" i="35"/>
  <c r="DE29" i="35"/>
  <c r="CP78" i="35"/>
  <c r="DJ76" i="35"/>
  <c r="CB60" i="35"/>
  <c r="CC60" i="35"/>
  <c r="CB51" i="35"/>
  <c r="BY54" i="35" s="1"/>
  <c r="BZ67" i="35"/>
  <c r="CA67" i="35"/>
  <c r="CE212" i="35"/>
  <c r="BA212" i="35" s="1"/>
  <c r="AD212" i="35"/>
  <c r="CZ47" i="32"/>
  <c r="CY48" i="32"/>
  <c r="CW27" i="35"/>
  <c r="CV28" i="35"/>
  <c r="DB39" i="33"/>
  <c r="DC38" i="33"/>
  <c r="DO30" i="35"/>
  <c r="DN31" i="35"/>
  <c r="BZ211" i="35"/>
  <c r="CC211" i="35" s="1"/>
  <c r="BH211" i="35"/>
  <c r="CO87" i="35"/>
  <c r="DG92" i="35" s="1"/>
  <c r="DJ92" i="35"/>
  <c r="BZ69" i="35"/>
  <c r="Q71" i="35" s="1"/>
  <c r="CO67" i="35" s="1"/>
  <c r="CX68" i="35" s="1"/>
  <c r="AD70" i="35"/>
  <c r="N210" i="35" s="1"/>
  <c r="DK46" i="33" l="1"/>
  <c r="DL45" i="33"/>
  <c r="EI55" i="37"/>
  <c r="EH56" i="37"/>
  <c r="BZ210" i="35"/>
  <c r="CC210" i="35" s="1"/>
  <c r="BH210" i="35"/>
  <c r="DB40" i="33"/>
  <c r="DC39" i="33"/>
  <c r="DF29" i="35"/>
  <c r="DE30" i="35"/>
  <c r="FC51" i="37"/>
  <c r="FB52" i="37"/>
  <c r="CW28" i="35"/>
  <c r="CV29" i="35"/>
  <c r="CC52" i="35"/>
  <c r="CB52" i="35"/>
  <c r="CB43" i="35"/>
  <c r="BY46" i="35" s="1"/>
  <c r="BZ59" i="35"/>
  <c r="CA59" i="35"/>
  <c r="DU41" i="33"/>
  <c r="DV40" i="33"/>
  <c r="DR24" i="36"/>
  <c r="DQ25" i="36"/>
  <c r="AK63" i="35"/>
  <c r="CP59" i="35" s="1"/>
  <c r="DA60" i="35" s="1"/>
  <c r="BN63" i="35"/>
  <c r="CP63" i="35" s="1"/>
  <c r="ES54" i="37"/>
  <c r="ER55" i="37"/>
  <c r="CZ48" i="32"/>
  <c r="CY49" i="32"/>
  <c r="BZ61" i="35"/>
  <c r="Q63" i="35" s="1"/>
  <c r="CO59" i="35" s="1"/>
  <c r="CX60" i="35" s="1"/>
  <c r="AD62" i="35"/>
  <c r="N209" i="35" s="1"/>
  <c r="BZ37" i="36"/>
  <c r="H37" i="36"/>
  <c r="DA31" i="36" s="1"/>
  <c r="DC40" i="36" s="1"/>
  <c r="CB35" i="36"/>
  <c r="AG38" i="35" s="1"/>
  <c r="Q206" i="35" s="1"/>
  <c r="CA206" i="35" s="1"/>
  <c r="CE211" i="35"/>
  <c r="BA211" i="35" s="1"/>
  <c r="AD211" i="35"/>
  <c r="CB46" i="36"/>
  <c r="CA46" i="36"/>
  <c r="AT46" i="36" s="1"/>
  <c r="DJ40" i="36" s="1"/>
  <c r="DN32" i="35"/>
  <c r="DO31" i="35"/>
  <c r="CO78" i="35"/>
  <c r="DG84" i="35" s="1"/>
  <c r="DJ84" i="35"/>
  <c r="CP70" i="35"/>
  <c r="DJ68" i="35"/>
  <c r="DI47" i="32"/>
  <c r="DH48" i="32"/>
  <c r="DL46" i="33" l="1"/>
  <c r="DK47" i="33"/>
  <c r="EI56" i="37"/>
  <c r="EH57" i="37"/>
  <c r="DR25" i="36"/>
  <c r="DQ27" i="36"/>
  <c r="BN55" i="35"/>
  <c r="CP55" i="35" s="1"/>
  <c r="AK55" i="35"/>
  <c r="CP51" i="35" s="1"/>
  <c r="DA52" i="35" s="1"/>
  <c r="DC40" i="33"/>
  <c r="DB41" i="33"/>
  <c r="BZ209" i="35"/>
  <c r="CC209" i="35" s="1"/>
  <c r="BH209" i="35"/>
  <c r="CW29" i="35"/>
  <c r="CV30" i="35"/>
  <c r="DJ75" i="35"/>
  <c r="CO70" i="35"/>
  <c r="DG75" i="35" s="1"/>
  <c r="CZ49" i="32"/>
  <c r="CY50" i="32"/>
  <c r="DV41" i="33"/>
  <c r="DU42" i="33"/>
  <c r="FC52" i="37"/>
  <c r="FB53" i="37"/>
  <c r="DE151" i="36"/>
  <c r="DE23" i="36"/>
  <c r="DE149" i="36"/>
  <c r="DE148" i="36"/>
  <c r="DE145" i="36"/>
  <c r="DC31" i="36"/>
  <c r="DE144" i="36"/>
  <c r="DE152" i="36"/>
  <c r="DE150" i="36"/>
  <c r="DE22" i="36"/>
  <c r="L234" i="36" s="1"/>
  <c r="C234" i="36" s="1"/>
  <c r="DE13" i="36"/>
  <c r="DE147" i="36"/>
  <c r="DE146" i="36"/>
  <c r="DC143" i="36"/>
  <c r="DC50" i="36"/>
  <c r="DC163" i="36"/>
  <c r="DC173" i="36"/>
  <c r="DC59" i="36"/>
  <c r="DC182" i="36"/>
  <c r="DC41" i="36"/>
  <c r="DC190" i="36"/>
  <c r="DC181" i="36"/>
  <c r="DC172" i="36"/>
  <c r="DE32" i="36"/>
  <c r="DC98" i="36"/>
  <c r="DC164" i="36"/>
  <c r="DC68" i="36"/>
  <c r="DC116" i="36"/>
  <c r="DC107" i="36"/>
  <c r="DC191" i="36"/>
  <c r="DC80" i="36"/>
  <c r="DC125" i="36"/>
  <c r="DC134" i="36"/>
  <c r="DC155" i="36"/>
  <c r="DC89" i="36"/>
  <c r="DC154" i="36"/>
  <c r="DC142" i="36"/>
  <c r="DC133" i="36"/>
  <c r="DC124" i="36"/>
  <c r="DE14" i="36"/>
  <c r="L233" i="36" s="1"/>
  <c r="C233" i="36" s="1"/>
  <c r="DC115" i="36"/>
  <c r="DC106" i="36"/>
  <c r="DC97" i="36"/>
  <c r="DC88" i="36"/>
  <c r="DC79" i="36"/>
  <c r="DC67" i="36"/>
  <c r="DC58" i="36"/>
  <c r="DC49" i="36"/>
  <c r="CA37" i="36"/>
  <c r="AT37" i="36" s="1"/>
  <c r="DJ31" i="36" s="1"/>
  <c r="CB37" i="36"/>
  <c r="BY12" i="36"/>
  <c r="BJ265" i="36" s="1"/>
  <c r="ES55" i="37"/>
  <c r="ER56" i="37"/>
  <c r="DF30" i="35"/>
  <c r="DE31" i="35"/>
  <c r="DO32" i="35"/>
  <c r="DN33" i="35"/>
  <c r="DE40" i="36"/>
  <c r="CC44" i="35"/>
  <c r="BZ51" i="35"/>
  <c r="CB35" i="35"/>
  <c r="CB44" i="35"/>
  <c r="CA51" i="35"/>
  <c r="BZ35" i="35"/>
  <c r="BY38" i="35" s="1"/>
  <c r="DI48" i="32"/>
  <c r="DH49" i="32"/>
  <c r="CP62" i="35"/>
  <c r="DJ60" i="35"/>
  <c r="BZ53" i="35"/>
  <c r="Q55" i="35" s="1"/>
  <c r="CO51" i="35" s="1"/>
  <c r="CX52" i="35" s="1"/>
  <c r="AD54" i="35"/>
  <c r="N208" i="35" s="1"/>
  <c r="CE210" i="35"/>
  <c r="BA210" i="35" s="1"/>
  <c r="AD210" i="35"/>
  <c r="DK48" i="33" l="1"/>
  <c r="DL47" i="33"/>
  <c r="EI57" i="37"/>
  <c r="EH58" i="37"/>
  <c r="DE134" i="36"/>
  <c r="DE173" i="36"/>
  <c r="CO62" i="35"/>
  <c r="DG67" i="35" s="1"/>
  <c r="DJ67" i="35"/>
  <c r="AD46" i="35"/>
  <c r="N207" i="35" s="1"/>
  <c r="BZ45" i="35"/>
  <c r="Q47" i="35" s="1"/>
  <c r="CO43" i="35" s="1"/>
  <c r="CX44" i="35" s="1"/>
  <c r="DF31" i="35"/>
  <c r="DE32" i="35"/>
  <c r="DE58" i="36"/>
  <c r="DE124" i="36"/>
  <c r="DE80" i="36"/>
  <c r="DE172" i="36"/>
  <c r="DE50" i="36"/>
  <c r="DE67" i="36"/>
  <c r="DE133" i="36"/>
  <c r="DE191" i="36"/>
  <c r="DE181" i="36"/>
  <c r="DE143" i="36"/>
  <c r="CY31" i="36"/>
  <c r="DE31" i="36"/>
  <c r="CE209" i="35"/>
  <c r="BA209" i="35" s="1"/>
  <c r="AD209" i="35"/>
  <c r="DC41" i="33"/>
  <c r="DB42" i="33"/>
  <c r="DE98" i="36"/>
  <c r="ES56" i="37"/>
  <c r="ER57" i="37"/>
  <c r="DE79" i="36"/>
  <c r="DE142" i="36"/>
  <c r="DE190" i="36"/>
  <c r="BN47" i="35"/>
  <c r="CP47" i="35" s="1"/>
  <c r="AK47" i="35"/>
  <c r="CP43" i="35" s="1"/>
  <c r="DA44" i="35" s="1"/>
  <c r="FC53" i="37"/>
  <c r="FB54" i="37"/>
  <c r="CC36" i="35"/>
  <c r="CB27" i="35"/>
  <c r="CB36" i="35"/>
  <c r="BZ43" i="35"/>
  <c r="CA43" i="35"/>
  <c r="BZ27" i="35"/>
  <c r="DO33" i="35"/>
  <c r="DN34" i="35"/>
  <c r="DL31" i="36"/>
  <c r="DN13" i="36"/>
  <c r="L247" i="36" s="1"/>
  <c r="C247" i="36" s="1"/>
  <c r="DN22" i="36"/>
  <c r="L249" i="36" s="1"/>
  <c r="C249" i="36" s="1"/>
  <c r="DN23" i="36"/>
  <c r="DN14" i="36"/>
  <c r="L248" i="36" s="1"/>
  <c r="C248" i="36" s="1"/>
  <c r="DE107" i="36"/>
  <c r="DE88" i="36"/>
  <c r="DE154" i="36"/>
  <c r="DE116" i="36"/>
  <c r="DE41" i="36"/>
  <c r="DI49" i="32"/>
  <c r="DH50" i="32"/>
  <c r="DE89" i="36"/>
  <c r="BA265" i="36"/>
  <c r="AY270" i="36" s="1"/>
  <c r="BF270" i="36"/>
  <c r="BF272" i="36" s="1"/>
  <c r="DE97" i="36"/>
  <c r="DE68" i="36"/>
  <c r="DE182" i="36"/>
  <c r="L232" i="36"/>
  <c r="C232" i="36" s="1"/>
  <c r="DL32" i="36"/>
  <c r="BZ208" i="35"/>
  <c r="CC208" i="35" s="1"/>
  <c r="BH208" i="35"/>
  <c r="DE106" i="36"/>
  <c r="DE155" i="36"/>
  <c r="DE164" i="36"/>
  <c r="DE59" i="36"/>
  <c r="T234" i="36"/>
  <c r="Z234" i="36" s="1"/>
  <c r="AI234" i="36"/>
  <c r="AM234" i="36" s="1"/>
  <c r="Q234" i="36"/>
  <c r="DV42" i="33"/>
  <c r="DU43" i="33"/>
  <c r="CP54" i="35"/>
  <c r="DJ52" i="35"/>
  <c r="CW30" i="35"/>
  <c r="CV31" i="35"/>
  <c r="DR27" i="36"/>
  <c r="DQ28" i="36"/>
  <c r="DE115" i="36"/>
  <c r="DE49" i="36"/>
  <c r="AI233" i="36"/>
  <c r="AM233" i="36" s="1"/>
  <c r="Q233" i="36"/>
  <c r="T233" i="36"/>
  <c r="Z233" i="36" s="1"/>
  <c r="DE125" i="36"/>
  <c r="DE163" i="36"/>
  <c r="CZ50" i="32"/>
  <c r="CY51" i="32"/>
  <c r="DK49" i="33" l="1"/>
  <c r="DL48" i="33"/>
  <c r="EI58" i="37"/>
  <c r="EH59" i="37"/>
  <c r="DV43" i="33"/>
  <c r="DU44" i="33"/>
  <c r="FC54" i="37"/>
  <c r="FB55" i="37"/>
  <c r="DC42" i="33"/>
  <c r="DB43" i="33"/>
  <c r="AI232" i="36"/>
  <c r="AM232" i="36" s="1"/>
  <c r="T232" i="36"/>
  <c r="Z232" i="36" s="1"/>
  <c r="Q232" i="36"/>
  <c r="BZ207" i="35"/>
  <c r="CC207" i="35" s="1"/>
  <c r="BH207" i="35"/>
  <c r="DR28" i="36"/>
  <c r="DQ29" i="36"/>
  <c r="T248" i="36"/>
  <c r="Z248" i="36" s="1"/>
  <c r="Q248" i="36"/>
  <c r="AI248" i="36"/>
  <c r="AM248" i="36" s="1"/>
  <c r="CP46" i="35"/>
  <c r="DJ44" i="35"/>
  <c r="CW31" i="35"/>
  <c r="CV32" i="35"/>
  <c r="AI249" i="36"/>
  <c r="AM249" i="36" s="1"/>
  <c r="T249" i="36"/>
  <c r="Z249" i="36" s="1"/>
  <c r="Q249" i="36"/>
  <c r="AD38" i="35"/>
  <c r="N206" i="35" s="1"/>
  <c r="BZ37" i="35"/>
  <c r="Q39" i="35" s="1"/>
  <c r="CO35" i="35" s="1"/>
  <c r="CX36" i="35" s="1"/>
  <c r="ES57" i="37"/>
  <c r="ER58" i="37"/>
  <c r="CZ51" i="32"/>
  <c r="CY52" i="32"/>
  <c r="T247" i="36"/>
  <c r="Z247" i="36" s="1"/>
  <c r="AI247" i="36"/>
  <c r="AM247" i="36" s="1"/>
  <c r="Q247" i="36"/>
  <c r="CE208" i="35"/>
  <c r="BA208" i="35" s="1"/>
  <c r="AD208" i="35"/>
  <c r="DI50" i="32"/>
  <c r="DH51" i="32"/>
  <c r="DN31" i="36"/>
  <c r="DH31" i="36"/>
  <c r="BN39" i="35"/>
  <c r="CP39" i="35" s="1"/>
  <c r="AK39" i="35"/>
  <c r="CP35" i="35" s="1"/>
  <c r="DA36" i="35" s="1"/>
  <c r="DF32" i="35"/>
  <c r="DE33" i="35"/>
  <c r="DJ59" i="35"/>
  <c r="CO54" i="35"/>
  <c r="DG59" i="35" s="1"/>
  <c r="DN32" i="36"/>
  <c r="DH32" i="36"/>
  <c r="DN35" i="35"/>
  <c r="DO34" i="35"/>
  <c r="CZ31" i="36"/>
  <c r="CY32" i="36"/>
  <c r="DL49" i="33" l="1"/>
  <c r="DK50" i="33"/>
  <c r="EI59" i="37"/>
  <c r="EH60" i="37"/>
  <c r="DO35" i="35"/>
  <c r="DN36" i="35"/>
  <c r="DC43" i="33"/>
  <c r="DB44" i="33"/>
  <c r="DI32" i="36"/>
  <c r="DH33" i="36"/>
  <c r="DI31" i="36"/>
  <c r="DJ51" i="35"/>
  <c r="CO46" i="35"/>
  <c r="DG51" i="35" s="1"/>
  <c r="DR29" i="36"/>
  <c r="DQ30" i="36"/>
  <c r="L235" i="36"/>
  <c r="C235" i="36" s="1"/>
  <c r="BZ206" i="35"/>
  <c r="CC206" i="35" s="1"/>
  <c r="BH206" i="35"/>
  <c r="BH224" i="35" s="1"/>
  <c r="AL303" i="35"/>
  <c r="DI51" i="32"/>
  <c r="DH52" i="32"/>
  <c r="CV33" i="35"/>
  <c r="CW32" i="35"/>
  <c r="FC55" i="37"/>
  <c r="FB56" i="37"/>
  <c r="CZ52" i="32"/>
  <c r="CY53" i="32"/>
  <c r="ES58" i="37"/>
  <c r="ER59" i="37"/>
  <c r="CZ44" i="35"/>
  <c r="CZ36" i="35"/>
  <c r="CZ141" i="35"/>
  <c r="DB20" i="35"/>
  <c r="Y239" i="35" s="1"/>
  <c r="CZ149" i="35"/>
  <c r="CZ133" i="35"/>
  <c r="CZ160" i="35"/>
  <c r="DB21" i="35"/>
  <c r="Y240" i="35" s="1"/>
  <c r="CZ176" i="35"/>
  <c r="CZ168" i="35"/>
  <c r="CZ125" i="35"/>
  <c r="DB22" i="35"/>
  <c r="Y241" i="35" s="1"/>
  <c r="DB28" i="35"/>
  <c r="DB23" i="35"/>
  <c r="CZ117" i="35"/>
  <c r="DB24" i="35"/>
  <c r="DB29" i="35"/>
  <c r="CZ109" i="35"/>
  <c r="CZ101" i="35"/>
  <c r="DB30" i="35"/>
  <c r="DB31" i="35"/>
  <c r="DB32" i="35"/>
  <c r="CZ93" i="35"/>
  <c r="CZ85" i="35"/>
  <c r="CZ76" i="35"/>
  <c r="CZ68" i="35"/>
  <c r="CZ60" i="35"/>
  <c r="CZ52" i="35"/>
  <c r="DJ36" i="35"/>
  <c r="CP38" i="35"/>
  <c r="CZ32" i="36"/>
  <c r="CY33" i="36"/>
  <c r="DF33" i="35"/>
  <c r="DE34" i="35"/>
  <c r="CE207" i="35"/>
  <c r="BA207" i="35" s="1"/>
  <c r="AD207" i="35"/>
  <c r="DV44" i="33"/>
  <c r="DU45" i="33"/>
  <c r="DK51" i="33" l="1"/>
  <c r="DL50" i="33"/>
  <c r="EH61" i="37"/>
  <c r="EI60" i="37"/>
  <c r="DB149" i="35"/>
  <c r="T235" i="36"/>
  <c r="Z235" i="36" s="1"/>
  <c r="AI235" i="36"/>
  <c r="AM235" i="36" s="1"/>
  <c r="Q235" i="36"/>
  <c r="AW241" i="35"/>
  <c r="AE241" i="35"/>
  <c r="BN241" i="35"/>
  <c r="AE239" i="35"/>
  <c r="BN239" i="35"/>
  <c r="AW239" i="35"/>
  <c r="FC56" i="37"/>
  <c r="FB57" i="37"/>
  <c r="DR30" i="36"/>
  <c r="DQ31" i="36"/>
  <c r="DB52" i="35"/>
  <c r="DB141" i="35"/>
  <c r="DB68" i="35"/>
  <c r="DB109" i="35"/>
  <c r="DB168" i="35"/>
  <c r="DB36" i="35"/>
  <c r="CZ37" i="35"/>
  <c r="AL304" i="35"/>
  <c r="AW293" i="35" s="1"/>
  <c r="AL302" i="35"/>
  <c r="BH293" i="35"/>
  <c r="BN293" i="35" s="1"/>
  <c r="DC44" i="33"/>
  <c r="DB45" i="33"/>
  <c r="DB60" i="35"/>
  <c r="DB76" i="35"/>
  <c r="DB176" i="35"/>
  <c r="DB44" i="35"/>
  <c r="BN292" i="35"/>
  <c r="BY291" i="35"/>
  <c r="DB85" i="35"/>
  <c r="AW240" i="35"/>
  <c r="BN240" i="35"/>
  <c r="AE240" i="35"/>
  <c r="ES59" i="37"/>
  <c r="ER60" i="37"/>
  <c r="CE206" i="35"/>
  <c r="BA206" i="35" s="1"/>
  <c r="BA224" i="35" s="1"/>
  <c r="AW292" i="35" s="1"/>
  <c r="AD206" i="35"/>
  <c r="DB125" i="35"/>
  <c r="DF34" i="35"/>
  <c r="DE35" i="35"/>
  <c r="DB93" i="35"/>
  <c r="DB117" i="35"/>
  <c r="DB160" i="35"/>
  <c r="CW33" i="35"/>
  <c r="CV34" i="35"/>
  <c r="L250" i="36"/>
  <c r="C250" i="36" s="1"/>
  <c r="DO36" i="35"/>
  <c r="DN37" i="35"/>
  <c r="DB101" i="35"/>
  <c r="CZ33" i="36"/>
  <c r="CY34" i="36"/>
  <c r="DV45" i="33"/>
  <c r="DU46" i="33"/>
  <c r="DJ43" i="35"/>
  <c r="CO38" i="35"/>
  <c r="DG43" i="35" s="1"/>
  <c r="DI58" i="35" s="1"/>
  <c r="DB133" i="35"/>
  <c r="CZ53" i="32"/>
  <c r="CY54" i="32"/>
  <c r="DI52" i="32"/>
  <c r="DH53" i="32"/>
  <c r="DI33" i="36"/>
  <c r="DH34" i="36"/>
  <c r="DI53" i="35" l="1"/>
  <c r="DL51" i="33"/>
  <c r="DK52" i="33"/>
  <c r="EI61" i="37"/>
  <c r="EH62" i="37"/>
  <c r="DK58" i="35"/>
  <c r="CV35" i="35"/>
  <c r="CW34" i="35"/>
  <c r="DK53" i="35"/>
  <c r="DI43" i="35"/>
  <c r="DI64" i="35"/>
  <c r="DK47" i="35"/>
  <c r="DI125" i="35"/>
  <c r="DI138" i="35"/>
  <c r="DI45" i="35"/>
  <c r="DI105" i="35"/>
  <c r="DI70" i="35"/>
  <c r="DI107" i="35"/>
  <c r="DK13" i="35"/>
  <c r="Y260" i="35" s="1"/>
  <c r="DI119" i="35"/>
  <c r="DK14" i="35"/>
  <c r="Y261" i="35" s="1"/>
  <c r="DK163" i="35"/>
  <c r="DK26" i="35"/>
  <c r="DK25" i="35"/>
  <c r="Y266" i="35" s="1"/>
  <c r="DI117" i="35"/>
  <c r="DI127" i="35"/>
  <c r="DI123" i="35"/>
  <c r="DK21" i="35"/>
  <c r="Y263" i="35" s="1"/>
  <c r="DI60" i="35"/>
  <c r="DI90" i="35"/>
  <c r="DK39" i="35"/>
  <c r="DI98" i="35"/>
  <c r="DK17" i="35"/>
  <c r="DI121" i="35"/>
  <c r="DK12" i="35"/>
  <c r="Y259" i="35" s="1"/>
  <c r="DK16" i="35"/>
  <c r="DI54" i="35"/>
  <c r="DI155" i="35"/>
  <c r="DK11" i="35"/>
  <c r="Y258" i="35" s="1"/>
  <c r="DK96" i="35"/>
  <c r="DI48" i="35"/>
  <c r="DI44" i="35"/>
  <c r="DI135" i="35"/>
  <c r="DK31" i="35"/>
  <c r="DI95" i="35"/>
  <c r="DI111" i="35"/>
  <c r="DI49" i="35"/>
  <c r="DK15" i="35"/>
  <c r="DI97" i="35"/>
  <c r="DI156" i="35"/>
  <c r="DI57" i="35"/>
  <c r="DK63" i="35"/>
  <c r="DI46" i="35"/>
  <c r="DI66" i="35"/>
  <c r="DK55" i="35"/>
  <c r="DI166" i="35"/>
  <c r="DI129" i="35"/>
  <c r="DK104" i="35"/>
  <c r="DI174" i="35"/>
  <c r="DI103" i="35"/>
  <c r="DK71" i="35"/>
  <c r="DI76" i="35"/>
  <c r="DI81" i="35"/>
  <c r="DK136" i="35"/>
  <c r="DI137" i="35"/>
  <c r="DK157" i="35"/>
  <c r="DI50" i="35"/>
  <c r="DK18" i="35"/>
  <c r="DK112" i="35"/>
  <c r="DI78" i="35"/>
  <c r="DI87" i="35"/>
  <c r="DK128" i="35"/>
  <c r="DI130" i="35"/>
  <c r="DI122" i="35"/>
  <c r="DI72" i="35"/>
  <c r="DK179" i="35"/>
  <c r="DI101" i="35"/>
  <c r="DI182" i="35"/>
  <c r="DK144" i="35"/>
  <c r="DI65" i="35"/>
  <c r="DK171" i="35"/>
  <c r="DK79" i="35"/>
  <c r="DI73" i="35"/>
  <c r="DI154" i="35"/>
  <c r="DI56" i="35"/>
  <c r="DI89" i="35"/>
  <c r="DK158" i="35"/>
  <c r="DI106" i="35"/>
  <c r="DI114" i="35"/>
  <c r="DI145" i="35"/>
  <c r="DK152" i="35"/>
  <c r="DI131" i="35"/>
  <c r="DK120" i="35"/>
  <c r="DI113" i="35"/>
  <c r="DI80" i="35"/>
  <c r="DK88" i="35"/>
  <c r="DK20" i="35"/>
  <c r="Y262" i="35" s="1"/>
  <c r="DK22" i="35"/>
  <c r="Y264" i="35" s="1"/>
  <c r="DK38" i="35"/>
  <c r="DK40" i="35"/>
  <c r="DK33" i="35"/>
  <c r="DK34" i="35"/>
  <c r="DK36" i="35"/>
  <c r="DK30" i="35"/>
  <c r="DK27" i="35"/>
  <c r="DK37" i="35"/>
  <c r="DK41" i="35"/>
  <c r="DK24" i="35"/>
  <c r="Y265" i="35" s="1"/>
  <c r="DI148" i="35"/>
  <c r="DK42" i="35"/>
  <c r="DI140" i="35"/>
  <c r="DK29" i="35"/>
  <c r="DI62" i="35"/>
  <c r="DK32" i="35"/>
  <c r="DK23" i="35"/>
  <c r="DI139" i="35"/>
  <c r="DI170" i="35"/>
  <c r="DI151" i="35"/>
  <c r="DI162" i="35"/>
  <c r="DI177" i="35"/>
  <c r="DI134" i="35"/>
  <c r="DI167" i="35"/>
  <c r="DI172" i="35"/>
  <c r="DI165" i="35"/>
  <c r="DI168" i="35"/>
  <c r="DI146" i="35"/>
  <c r="DI181" i="35"/>
  <c r="DI183" i="35"/>
  <c r="DI180" i="35"/>
  <c r="DI175" i="35"/>
  <c r="DI132" i="35"/>
  <c r="DI150" i="35"/>
  <c r="DI160" i="35"/>
  <c r="DI161" i="35"/>
  <c r="DI164" i="35"/>
  <c r="DI133" i="35"/>
  <c r="DI147" i="35"/>
  <c r="DI169" i="35"/>
  <c r="DI143" i="35"/>
  <c r="DI141" i="35"/>
  <c r="DK35" i="35"/>
  <c r="DI178" i="35"/>
  <c r="DI176" i="35"/>
  <c r="DI153" i="35"/>
  <c r="DI142" i="35"/>
  <c r="DI173" i="35"/>
  <c r="DI149" i="35"/>
  <c r="DI124" i="35"/>
  <c r="DI126" i="35"/>
  <c r="DI116" i="35"/>
  <c r="DI118" i="35"/>
  <c r="DI109" i="35"/>
  <c r="DI115" i="35"/>
  <c r="DI108" i="35"/>
  <c r="DI110" i="35"/>
  <c r="DI100" i="35"/>
  <c r="DI102" i="35"/>
  <c r="DI92" i="35"/>
  <c r="DI99" i="35"/>
  <c r="DI94" i="35"/>
  <c r="DI93" i="35"/>
  <c r="DI91" i="35"/>
  <c r="DI84" i="35"/>
  <c r="DI86" i="35"/>
  <c r="DI85" i="35"/>
  <c r="DI75" i="35"/>
  <c r="DI77" i="35"/>
  <c r="DI69" i="35"/>
  <c r="DI68" i="35"/>
  <c r="DI67" i="35"/>
  <c r="DI74" i="35"/>
  <c r="DI59" i="35"/>
  <c r="DI61" i="35"/>
  <c r="DO37" i="35"/>
  <c r="DN38" i="35"/>
  <c r="DI52" i="35"/>
  <c r="CZ34" i="36"/>
  <c r="CY35" i="36"/>
  <c r="DI51" i="35"/>
  <c r="DR31" i="36"/>
  <c r="DQ32" i="36"/>
  <c r="DC45" i="33"/>
  <c r="DB46" i="33"/>
  <c r="DI53" i="32"/>
  <c r="DH54" i="32"/>
  <c r="DF35" i="35"/>
  <c r="DE36" i="35"/>
  <c r="ES60" i="37"/>
  <c r="ER61" i="37"/>
  <c r="DV46" i="33"/>
  <c r="DU47" i="33"/>
  <c r="T250" i="36"/>
  <c r="Z250" i="36" s="1"/>
  <c r="AI250" i="36"/>
  <c r="AM250" i="36" s="1"/>
  <c r="Q250" i="36"/>
  <c r="FC57" i="37"/>
  <c r="FB58" i="37"/>
  <c r="DB37" i="35"/>
  <c r="CZ38" i="35"/>
  <c r="DI34" i="36"/>
  <c r="DH35" i="36"/>
  <c r="CZ54" i="32"/>
  <c r="CY55" i="32"/>
  <c r="DK28" i="35"/>
  <c r="DL52" i="33" l="1"/>
  <c r="DK53" i="33"/>
  <c r="EH63" i="37"/>
  <c r="EI62" i="37"/>
  <c r="DK106" i="35"/>
  <c r="DK65" i="35"/>
  <c r="DR32" i="36"/>
  <c r="DQ33" i="36"/>
  <c r="DK61" i="35"/>
  <c r="DK85" i="35"/>
  <c r="DK102" i="35"/>
  <c r="DK126" i="35"/>
  <c r="DK160" i="35"/>
  <c r="DK168" i="35"/>
  <c r="DK170" i="35"/>
  <c r="DK148" i="35"/>
  <c r="DK56" i="35"/>
  <c r="DK101" i="35"/>
  <c r="DK46" i="35"/>
  <c r="DK95" i="35"/>
  <c r="DK54" i="35"/>
  <c r="DK60" i="35"/>
  <c r="BN261" i="35"/>
  <c r="AW261" i="35"/>
  <c r="AE261" i="35"/>
  <c r="DK125" i="35"/>
  <c r="BN263" i="35"/>
  <c r="AE263" i="35"/>
  <c r="AW263" i="35"/>
  <c r="DK119" i="35"/>
  <c r="DK103" i="35"/>
  <c r="DU48" i="33"/>
  <c r="DV47" i="33"/>
  <c r="DK74" i="35"/>
  <c r="DK84" i="35"/>
  <c r="DK110" i="35"/>
  <c r="DK149" i="35"/>
  <c r="DK143" i="35"/>
  <c r="DK132" i="35"/>
  <c r="DK172" i="35"/>
  <c r="DK73" i="35"/>
  <c r="DK72" i="35"/>
  <c r="DK50" i="35"/>
  <c r="DK174" i="35"/>
  <c r="DK57" i="35"/>
  <c r="DK135" i="35"/>
  <c r="AE259" i="35"/>
  <c r="AW259" i="35"/>
  <c r="BN259" i="35"/>
  <c r="DK123" i="35"/>
  <c r="BN260" i="35"/>
  <c r="AW260" i="35"/>
  <c r="AE260" i="35"/>
  <c r="DK64" i="35"/>
  <c r="DI35" i="36"/>
  <c r="DH36" i="36"/>
  <c r="DK69" i="35"/>
  <c r="DK109" i="35"/>
  <c r="DK153" i="35"/>
  <c r="DI54" i="32"/>
  <c r="DH55" i="32"/>
  <c r="DK59" i="35"/>
  <c r="DK86" i="35"/>
  <c r="DK100" i="35"/>
  <c r="DK124" i="35"/>
  <c r="DK141" i="35"/>
  <c r="DK150" i="35"/>
  <c r="DK165" i="35"/>
  <c r="DK139" i="35"/>
  <c r="AE265" i="35"/>
  <c r="AW265" i="35"/>
  <c r="BN265" i="35"/>
  <c r="DK131" i="35"/>
  <c r="DK154" i="35"/>
  <c r="DK122" i="35"/>
  <c r="DK156" i="35"/>
  <c r="DK44" i="35"/>
  <c r="DK121" i="35"/>
  <c r="DK127" i="35"/>
  <c r="DK107" i="35"/>
  <c r="DK43" i="35"/>
  <c r="FC58" i="37"/>
  <c r="FB59" i="37"/>
  <c r="CZ55" i="32"/>
  <c r="CY56" i="32"/>
  <c r="DK51" i="35"/>
  <c r="DK67" i="35"/>
  <c r="DK91" i="35"/>
  <c r="DK108" i="35"/>
  <c r="DK173" i="35"/>
  <c r="DK169" i="35"/>
  <c r="DK175" i="35"/>
  <c r="DK167" i="35"/>
  <c r="AW264" i="35"/>
  <c r="BN264" i="35"/>
  <c r="AE264" i="35"/>
  <c r="DK145" i="35"/>
  <c r="ES61" i="37"/>
  <c r="ER62" i="37"/>
  <c r="DK52" i="35"/>
  <c r="DK68" i="35"/>
  <c r="DK93" i="35"/>
  <c r="DK115" i="35"/>
  <c r="DK142" i="35"/>
  <c r="DK147" i="35"/>
  <c r="DK180" i="35"/>
  <c r="DK134" i="35"/>
  <c r="DK62" i="35"/>
  <c r="AE262" i="35"/>
  <c r="BN262" i="35"/>
  <c r="AW262" i="35"/>
  <c r="DK114" i="35"/>
  <c r="DK130" i="35"/>
  <c r="DK137" i="35"/>
  <c r="DK129" i="35"/>
  <c r="DK97" i="35"/>
  <c r="DK48" i="35"/>
  <c r="DK117" i="35"/>
  <c r="DK70" i="35"/>
  <c r="DK94" i="35"/>
  <c r="DK133" i="35"/>
  <c r="DK183" i="35"/>
  <c r="DK177" i="35"/>
  <c r="DK166" i="35"/>
  <c r="DK98" i="35"/>
  <c r="AE266" i="35"/>
  <c r="AW266" i="35"/>
  <c r="BN266" i="35"/>
  <c r="DK105" i="35"/>
  <c r="DK49" i="35"/>
  <c r="AE258" i="35"/>
  <c r="AW258" i="35"/>
  <c r="BN258" i="35"/>
  <c r="DK45" i="35"/>
  <c r="DF36" i="35"/>
  <c r="DE37" i="35"/>
  <c r="DB47" i="33"/>
  <c r="DC46" i="33"/>
  <c r="DO38" i="35"/>
  <c r="DN39" i="35"/>
  <c r="DK77" i="35"/>
  <c r="DK99" i="35"/>
  <c r="DK118" i="35"/>
  <c r="DK176" i="35"/>
  <c r="DK164" i="35"/>
  <c r="DK181" i="35"/>
  <c r="DK162" i="35"/>
  <c r="DK140" i="35"/>
  <c r="DK80" i="35"/>
  <c r="DK87" i="35"/>
  <c r="DK81" i="35"/>
  <c r="DB38" i="35"/>
  <c r="CZ39" i="35"/>
  <c r="CY36" i="36"/>
  <c r="CZ35" i="36"/>
  <c r="DK75" i="35"/>
  <c r="DK92" i="35"/>
  <c r="DK116" i="35"/>
  <c r="DK178" i="35"/>
  <c r="DK161" i="35"/>
  <c r="DK146" i="35"/>
  <c r="DK151" i="35"/>
  <c r="DK113" i="35"/>
  <c r="DK89" i="35"/>
  <c r="DK182" i="35"/>
  <c r="DK78" i="35"/>
  <c r="DK76" i="35"/>
  <c r="DK66" i="35"/>
  <c r="DK111" i="35"/>
  <c r="DK155" i="35"/>
  <c r="DK90" i="35"/>
  <c r="DK138" i="35"/>
  <c r="CW35" i="35"/>
  <c r="CV36" i="35"/>
  <c r="DK54" i="33" l="1"/>
  <c r="DL53" i="33"/>
  <c r="EI63" i="37"/>
  <c r="EH64" i="37"/>
  <c r="DB39" i="35"/>
  <c r="CZ40" i="35"/>
  <c r="CZ56" i="32"/>
  <c r="CY57" i="32"/>
  <c r="CW36" i="35"/>
  <c r="CV37" i="35"/>
  <c r="DO39" i="35"/>
  <c r="DN40" i="35"/>
  <c r="ES62" i="37"/>
  <c r="ER63" i="37"/>
  <c r="DI55" i="32"/>
  <c r="DH56" i="32"/>
  <c r="DI36" i="36"/>
  <c r="DH37" i="36"/>
  <c r="FB60" i="37"/>
  <c r="FC59" i="37"/>
  <c r="DV48" i="33"/>
  <c r="DU49" i="33"/>
  <c r="CZ36" i="36"/>
  <c r="CY37" i="36"/>
  <c r="DB48" i="33"/>
  <c r="DC47" i="33"/>
  <c r="C268" i="35"/>
  <c r="C269" i="35"/>
  <c r="C267" i="35"/>
  <c r="C270" i="35"/>
  <c r="DF37" i="35"/>
  <c r="DE38" i="35"/>
  <c r="DR33" i="36"/>
  <c r="DQ34" i="36"/>
  <c r="DK55" i="33" l="1"/>
  <c r="DL54" i="33"/>
  <c r="EI64" i="37"/>
  <c r="EH65" i="37"/>
  <c r="AL268" i="35"/>
  <c r="BH268" i="35"/>
  <c r="AP268" i="35"/>
  <c r="Y268" i="35"/>
  <c r="AP270" i="35"/>
  <c r="AL270" i="35"/>
  <c r="BH270" i="35"/>
  <c r="Y270" i="35"/>
  <c r="DC48" i="33"/>
  <c r="DB49" i="33"/>
  <c r="AL267" i="35"/>
  <c r="BH267" i="35"/>
  <c r="AP267" i="35"/>
  <c r="Y267" i="35"/>
  <c r="CZ37" i="36"/>
  <c r="CY38" i="36"/>
  <c r="FC60" i="37"/>
  <c r="FB61" i="37"/>
  <c r="CW37" i="35"/>
  <c r="CV38" i="35"/>
  <c r="DR34" i="36"/>
  <c r="DQ35" i="36"/>
  <c r="ES63" i="37"/>
  <c r="ER64" i="37"/>
  <c r="DI37" i="36"/>
  <c r="DH38" i="36"/>
  <c r="DI38" i="36" s="1"/>
  <c r="DE39" i="35"/>
  <c r="DF38" i="35"/>
  <c r="DV49" i="33"/>
  <c r="DU50" i="33"/>
  <c r="CZ57" i="32"/>
  <c r="CY58" i="32"/>
  <c r="DB40" i="35"/>
  <c r="CZ45" i="35"/>
  <c r="DI56" i="32"/>
  <c r="DH57" i="32"/>
  <c r="AL269" i="35"/>
  <c r="BH269" i="35"/>
  <c r="AP269" i="35"/>
  <c r="Y269" i="35"/>
  <c r="DO40" i="35"/>
  <c r="DN41" i="35"/>
  <c r="DL41" i="36" l="1"/>
  <c r="DN41" i="36" s="1"/>
  <c r="DL55" i="33"/>
  <c r="DK56" i="33"/>
  <c r="EI65" i="37"/>
  <c r="EH66" i="37"/>
  <c r="DV50" i="33"/>
  <c r="DU51" i="33"/>
  <c r="DI57" i="32"/>
  <c r="DH58" i="32"/>
  <c r="CZ58" i="32"/>
  <c r="CY59" i="32"/>
  <c r="FC61" i="37"/>
  <c r="FB62" i="37"/>
  <c r="BN268" i="35"/>
  <c r="AE268" i="35"/>
  <c r="AW268" i="35"/>
  <c r="DB45" i="35"/>
  <c r="CZ46" i="35"/>
  <c r="DN42" i="35"/>
  <c r="DO41" i="35"/>
  <c r="DL40" i="36"/>
  <c r="CW38" i="35"/>
  <c r="CV39" i="35"/>
  <c r="AW269" i="35"/>
  <c r="BN269" i="35"/>
  <c r="AE269" i="35"/>
  <c r="ES64" i="37"/>
  <c r="ER65" i="37"/>
  <c r="DF39" i="35"/>
  <c r="DE40" i="35"/>
  <c r="CZ38" i="36"/>
  <c r="CY40" i="36"/>
  <c r="DC49" i="33"/>
  <c r="DB50" i="33"/>
  <c r="DR35" i="36"/>
  <c r="DQ36" i="36"/>
  <c r="BN267" i="35"/>
  <c r="AW267" i="35"/>
  <c r="AE267" i="35"/>
  <c r="BN270" i="35"/>
  <c r="AE270" i="35"/>
  <c r="AW270" i="35"/>
  <c r="DK57" i="33" l="1"/>
  <c r="DL56" i="33"/>
  <c r="EI66" i="37"/>
  <c r="EH67" i="37"/>
  <c r="ES65" i="37"/>
  <c r="ER66" i="37"/>
  <c r="DN43" i="35"/>
  <c r="DO42" i="35"/>
  <c r="DI58" i="32"/>
  <c r="DH59" i="32"/>
  <c r="DC50" i="33"/>
  <c r="DB51" i="33"/>
  <c r="DV51" i="33"/>
  <c r="DU52" i="33"/>
  <c r="CZ40" i="36"/>
  <c r="L236" i="36" s="1"/>
  <c r="C236" i="36" s="1"/>
  <c r="CY41" i="36"/>
  <c r="DN40" i="36"/>
  <c r="DH40" i="36"/>
  <c r="DB46" i="35"/>
  <c r="CZ47" i="35"/>
  <c r="FC62" i="37"/>
  <c r="FB63" i="37"/>
  <c r="DR36" i="36"/>
  <c r="DQ37" i="36"/>
  <c r="DF40" i="35"/>
  <c r="DE41" i="35"/>
  <c r="CZ59" i="32"/>
  <c r="CY60" i="32"/>
  <c r="CW39" i="35"/>
  <c r="CV40" i="35"/>
  <c r="DL57" i="33" l="1"/>
  <c r="DK58" i="33"/>
  <c r="EI67" i="37"/>
  <c r="EH68" i="37"/>
  <c r="FC63" i="37"/>
  <c r="FB64" i="37"/>
  <c r="DI59" i="32"/>
  <c r="DH60" i="32"/>
  <c r="DB47" i="35"/>
  <c r="CZ48" i="35"/>
  <c r="CZ53" i="35" s="1"/>
  <c r="CZ41" i="36"/>
  <c r="CY42" i="36"/>
  <c r="DF41" i="35"/>
  <c r="DE42" i="35"/>
  <c r="T236" i="36"/>
  <c r="Z236" i="36" s="1"/>
  <c r="AI236" i="36"/>
  <c r="AM236" i="36" s="1"/>
  <c r="Q236" i="36"/>
  <c r="DO43" i="35"/>
  <c r="DN44" i="35"/>
  <c r="DV52" i="33"/>
  <c r="DU53" i="33"/>
  <c r="ES66" i="37"/>
  <c r="ER67" i="37"/>
  <c r="CV41" i="35"/>
  <c r="CW40" i="35"/>
  <c r="CZ60" i="32"/>
  <c r="CY61" i="32"/>
  <c r="DR37" i="36"/>
  <c r="DQ38" i="36"/>
  <c r="DI40" i="36"/>
  <c r="DH41" i="36"/>
  <c r="DC51" i="33"/>
  <c r="DB52" i="33"/>
  <c r="DL58" i="33" l="1"/>
  <c r="DK59" i="33"/>
  <c r="EH69" i="37"/>
  <c r="EI68" i="37"/>
  <c r="DR38" i="36"/>
  <c r="DQ39" i="36"/>
  <c r="DC52" i="33"/>
  <c r="DB53" i="33"/>
  <c r="CZ42" i="36"/>
  <c r="CY43" i="36"/>
  <c r="CV42" i="35"/>
  <c r="CW41" i="35"/>
  <c r="DO44" i="35"/>
  <c r="DN45" i="35"/>
  <c r="CZ54" i="35"/>
  <c r="DB53" i="35"/>
  <c r="DI60" i="32"/>
  <c r="DH61" i="32"/>
  <c r="ES67" i="37"/>
  <c r="ER68" i="37"/>
  <c r="CZ61" i="32"/>
  <c r="CY62" i="32"/>
  <c r="DF42" i="35"/>
  <c r="DE43" i="35"/>
  <c r="DB48" i="35"/>
  <c r="DV53" i="33"/>
  <c r="DU54" i="33"/>
  <c r="FC64" i="37"/>
  <c r="FB65" i="37"/>
  <c r="DI41" i="36"/>
  <c r="DH42" i="36"/>
  <c r="DL59" i="33" l="1"/>
  <c r="DK60" i="33"/>
  <c r="EI69" i="37"/>
  <c r="EH70" i="37"/>
  <c r="CZ62" i="32"/>
  <c r="CY63" i="32"/>
  <c r="DV54" i="33"/>
  <c r="DU55" i="33"/>
  <c r="CV43" i="35"/>
  <c r="CW42" i="35"/>
  <c r="CZ43" i="36"/>
  <c r="CY44" i="36"/>
  <c r="DB54" i="35"/>
  <c r="CZ55" i="35"/>
  <c r="ES68" i="37"/>
  <c r="ER69" i="37"/>
  <c r="DC53" i="33"/>
  <c r="DB54" i="33"/>
  <c r="DI42" i="36"/>
  <c r="DH43" i="36"/>
  <c r="DF43" i="35"/>
  <c r="DE44" i="35"/>
  <c r="DO45" i="35"/>
  <c r="DN46" i="35"/>
  <c r="DR39" i="36"/>
  <c r="DQ41" i="36"/>
  <c r="FC65" i="37"/>
  <c r="FB66" i="37"/>
  <c r="DI61" i="32"/>
  <c r="DH62" i="32"/>
  <c r="DL60" i="33" l="1"/>
  <c r="DK61" i="33"/>
  <c r="EI70" i="37"/>
  <c r="EH71" i="37"/>
  <c r="DB55" i="33"/>
  <c r="DC54" i="33"/>
  <c r="CY45" i="36"/>
  <c r="CZ44" i="36"/>
  <c r="DF44" i="35"/>
  <c r="DE45" i="35"/>
  <c r="DI62" i="32"/>
  <c r="DH63" i="32"/>
  <c r="DO46" i="35"/>
  <c r="DN47" i="35"/>
  <c r="FC66" i="37"/>
  <c r="FB67" i="37"/>
  <c r="DI43" i="36"/>
  <c r="DH44" i="36"/>
  <c r="ES69" i="37"/>
  <c r="ER70" i="37"/>
  <c r="CW43" i="35"/>
  <c r="CV44" i="35"/>
  <c r="DV55" i="33"/>
  <c r="DU56" i="33"/>
  <c r="DB55" i="35"/>
  <c r="CZ56" i="35"/>
  <c r="DR41" i="36"/>
  <c r="DQ42" i="36"/>
  <c r="CZ63" i="32"/>
  <c r="CY64" i="32"/>
  <c r="DL61" i="33" l="1"/>
  <c r="DK62" i="33"/>
  <c r="EI71" i="37"/>
  <c r="EH72" i="37"/>
  <c r="CZ64" i="32"/>
  <c r="CY65" i="32"/>
  <c r="DI44" i="36"/>
  <c r="DH45" i="36"/>
  <c r="DV56" i="33"/>
  <c r="DU57" i="33"/>
  <c r="DR42" i="36"/>
  <c r="DQ43" i="36"/>
  <c r="FC67" i="37"/>
  <c r="FB68" i="37"/>
  <c r="DF45" i="35"/>
  <c r="DE46" i="35"/>
  <c r="DB56" i="35"/>
  <c r="CZ61" i="35"/>
  <c r="CW44" i="35"/>
  <c r="CV45" i="35"/>
  <c r="DO47" i="35"/>
  <c r="DN48" i="35"/>
  <c r="CZ45" i="36"/>
  <c r="CY46" i="36"/>
  <c r="ES70" i="37"/>
  <c r="ER71" i="37"/>
  <c r="DI63" i="32"/>
  <c r="DH64" i="32"/>
  <c r="DB56" i="33"/>
  <c r="DC55" i="33"/>
  <c r="DL62" i="33" l="1"/>
  <c r="DK63" i="33"/>
  <c r="EH73" i="37"/>
  <c r="EI72" i="37"/>
  <c r="DV57" i="33"/>
  <c r="DU58" i="33"/>
  <c r="DO48" i="35"/>
  <c r="DN49" i="35"/>
  <c r="DC56" i="33"/>
  <c r="DB57" i="33"/>
  <c r="DE47" i="35"/>
  <c r="DF46" i="35"/>
  <c r="DI64" i="32"/>
  <c r="DH65" i="32"/>
  <c r="CW45" i="35"/>
  <c r="CV46" i="35"/>
  <c r="CZ46" i="36"/>
  <c r="CY47" i="36"/>
  <c r="FC68" i="37"/>
  <c r="FB69" i="37"/>
  <c r="DI45" i="36"/>
  <c r="DH46" i="36"/>
  <c r="DB61" i="35"/>
  <c r="CZ62" i="35"/>
  <c r="ES71" i="37"/>
  <c r="ER72" i="37"/>
  <c r="DR43" i="36"/>
  <c r="DQ44" i="36"/>
  <c r="CZ65" i="32"/>
  <c r="CY66" i="32"/>
  <c r="DL63" i="33" l="1"/>
  <c r="DK64" i="33"/>
  <c r="EI73" i="37"/>
  <c r="EH74" i="37"/>
  <c r="CW46" i="35"/>
  <c r="CV47" i="35"/>
  <c r="DI46" i="36"/>
  <c r="DL49" i="36" s="1"/>
  <c r="DH47" i="36"/>
  <c r="DI47" i="36" s="1"/>
  <c r="DL50" i="36" s="1"/>
  <c r="DI65" i="32"/>
  <c r="DH66" i="32"/>
  <c r="DC57" i="33"/>
  <c r="DB58" i="33"/>
  <c r="DR44" i="36"/>
  <c r="DQ45" i="36"/>
  <c r="FC69" i="37"/>
  <c r="FB70" i="37"/>
  <c r="DN50" i="35"/>
  <c r="DO49" i="35"/>
  <c r="ES72" i="37"/>
  <c r="ER73" i="37"/>
  <c r="CZ66" i="32"/>
  <c r="CY67" i="32"/>
  <c r="CZ47" i="36"/>
  <c r="CY49" i="36"/>
  <c r="DV58" i="33"/>
  <c r="DU59" i="33"/>
  <c r="DB62" i="35"/>
  <c r="CZ63" i="35"/>
  <c r="DF47" i="35"/>
  <c r="DE48" i="35"/>
  <c r="DK65" i="33" l="1"/>
  <c r="DL64" i="33"/>
  <c r="EI74" i="37"/>
  <c r="EH75" i="37"/>
  <c r="CZ67" i="32"/>
  <c r="CY68" i="32"/>
  <c r="FC70" i="37"/>
  <c r="FB71" i="37"/>
  <c r="CZ49" i="36"/>
  <c r="CY50" i="36"/>
  <c r="DI66" i="32"/>
  <c r="DH67" i="32"/>
  <c r="DF48" i="35"/>
  <c r="DE49" i="35"/>
  <c r="DN50" i="36"/>
  <c r="DN49" i="36"/>
  <c r="DH49" i="36"/>
  <c r="DI49" i="36" s="1"/>
  <c r="DB63" i="35"/>
  <c r="CZ64" i="35"/>
  <c r="ES73" i="37"/>
  <c r="ER74" i="37"/>
  <c r="DR45" i="36"/>
  <c r="DQ46" i="36"/>
  <c r="DV59" i="33"/>
  <c r="DU60" i="33"/>
  <c r="DC58" i="33"/>
  <c r="DB59" i="33"/>
  <c r="CW47" i="35"/>
  <c r="CV48" i="35"/>
  <c r="DN51" i="35"/>
  <c r="DO50" i="35"/>
  <c r="DL65" i="33" l="1"/>
  <c r="DK66" i="33"/>
  <c r="EI75" i="37"/>
  <c r="EH76" i="37"/>
  <c r="DO51" i="35"/>
  <c r="DN52" i="35"/>
  <c r="CW48" i="35"/>
  <c r="CV49" i="35"/>
  <c r="DR46" i="36"/>
  <c r="DQ47" i="36"/>
  <c r="DH50" i="36"/>
  <c r="CZ50" i="36"/>
  <c r="CY51" i="36"/>
  <c r="ES74" i="37"/>
  <c r="ER75" i="37"/>
  <c r="DF49" i="35"/>
  <c r="DE50" i="35"/>
  <c r="FC71" i="37"/>
  <c r="FB72" i="37"/>
  <c r="DC59" i="33"/>
  <c r="DB60" i="33"/>
  <c r="DV60" i="33"/>
  <c r="DU61" i="33"/>
  <c r="DB64" i="35"/>
  <c r="CZ69" i="35"/>
  <c r="DI67" i="32"/>
  <c r="DH68" i="32"/>
  <c r="CZ68" i="32"/>
  <c r="CY69" i="32"/>
  <c r="DL66" i="33" l="1"/>
  <c r="DK67" i="33"/>
  <c r="EI76" i="37"/>
  <c r="EH77" i="37"/>
  <c r="DR47" i="36"/>
  <c r="DQ48" i="36"/>
  <c r="DV61" i="33"/>
  <c r="DU62" i="33"/>
  <c r="ES75" i="37"/>
  <c r="ER76" i="37"/>
  <c r="CZ69" i="32"/>
  <c r="CY70" i="32"/>
  <c r="CV50" i="35"/>
  <c r="CW49" i="35"/>
  <c r="DC60" i="33"/>
  <c r="DB61" i="33"/>
  <c r="DI68" i="32"/>
  <c r="DH69" i="32"/>
  <c r="FC72" i="37"/>
  <c r="FB73" i="37"/>
  <c r="CZ51" i="36"/>
  <c r="CY52" i="36"/>
  <c r="DB69" i="35"/>
  <c r="CZ70" i="35"/>
  <c r="DO52" i="35"/>
  <c r="DN53" i="35"/>
  <c r="DF50" i="35"/>
  <c r="DE51" i="35"/>
  <c r="DI50" i="36"/>
  <c r="DH51" i="36"/>
  <c r="DL67" i="33" l="1"/>
  <c r="DK68" i="33"/>
  <c r="EH78" i="37"/>
  <c r="EI77" i="37"/>
  <c r="CZ70" i="32"/>
  <c r="CY71" i="32"/>
  <c r="CZ52" i="36"/>
  <c r="CY53" i="36"/>
  <c r="DI69" i="32"/>
  <c r="DH70" i="32"/>
  <c r="ES76" i="37"/>
  <c r="ER77" i="37"/>
  <c r="FC73" i="37"/>
  <c r="FB74" i="37"/>
  <c r="DC61" i="33"/>
  <c r="DB62" i="33"/>
  <c r="DV62" i="33"/>
  <c r="DU63" i="33"/>
  <c r="DI51" i="36"/>
  <c r="DH52" i="36"/>
  <c r="DF51" i="35"/>
  <c r="DE52" i="35"/>
  <c r="DO53" i="35"/>
  <c r="DN54" i="35"/>
  <c r="DR48" i="36"/>
  <c r="DQ49" i="36"/>
  <c r="DB70" i="35"/>
  <c r="CZ71" i="35"/>
  <c r="CV51" i="35"/>
  <c r="CW50" i="35"/>
  <c r="DK69" i="33" l="1"/>
  <c r="DL68" i="33"/>
  <c r="EI78" i="37"/>
  <c r="EH79" i="37"/>
  <c r="DU64" i="33"/>
  <c r="DV63" i="33"/>
  <c r="DI70" i="32"/>
  <c r="DH71" i="32"/>
  <c r="CW51" i="35"/>
  <c r="CV52" i="35"/>
  <c r="DO54" i="35"/>
  <c r="DN55" i="35"/>
  <c r="DB63" i="33"/>
  <c r="DC62" i="33"/>
  <c r="CY54" i="36"/>
  <c r="CZ53" i="36"/>
  <c r="DB71" i="35"/>
  <c r="CZ72" i="35"/>
  <c r="DF52" i="35"/>
  <c r="DE53" i="35"/>
  <c r="FC74" i="37"/>
  <c r="FB75" i="37"/>
  <c r="CZ71" i="32"/>
  <c r="CY72" i="32"/>
  <c r="DR49" i="36"/>
  <c r="DQ50" i="36"/>
  <c r="DI52" i="36"/>
  <c r="DH53" i="36"/>
  <c r="ER78" i="37"/>
  <c r="ES77" i="37"/>
  <c r="DL69" i="33" l="1"/>
  <c r="DK70" i="33"/>
  <c r="EI79" i="37"/>
  <c r="EH80" i="37"/>
  <c r="CW52" i="35"/>
  <c r="CV53" i="35"/>
  <c r="DI71" i="32"/>
  <c r="DH72" i="32"/>
  <c r="CZ72" i="32"/>
  <c r="CY73" i="32"/>
  <c r="FC75" i="37"/>
  <c r="FB76" i="37"/>
  <c r="CY55" i="36"/>
  <c r="CZ54" i="36"/>
  <c r="DH54" i="36"/>
  <c r="DI53" i="36"/>
  <c r="DF53" i="35"/>
  <c r="DE54" i="35"/>
  <c r="DC63" i="33"/>
  <c r="DB64" i="33"/>
  <c r="DV64" i="33"/>
  <c r="DU65" i="33"/>
  <c r="ES78" i="37"/>
  <c r="ER79" i="37"/>
  <c r="DO55" i="35"/>
  <c r="DN56" i="35"/>
  <c r="DR50" i="36"/>
  <c r="DQ51" i="36"/>
  <c r="CZ77" i="35"/>
  <c r="DB72" i="35"/>
  <c r="DL70" i="33" l="1"/>
  <c r="DK71" i="33"/>
  <c r="EH81" i="37"/>
  <c r="EI80" i="37"/>
  <c r="DC64" i="33"/>
  <c r="DB65" i="33"/>
  <c r="FB77" i="37"/>
  <c r="FC76" i="37"/>
  <c r="DO56" i="35"/>
  <c r="DN57" i="35"/>
  <c r="DE55" i="35"/>
  <c r="DF54" i="35"/>
  <c r="CZ73" i="32"/>
  <c r="CY74" i="32"/>
  <c r="DB77" i="35"/>
  <c r="CZ78" i="35"/>
  <c r="DR51" i="36"/>
  <c r="DQ52" i="36"/>
  <c r="ES79" i="37"/>
  <c r="ER80" i="37"/>
  <c r="DI72" i="32"/>
  <c r="DH73" i="32"/>
  <c r="DI54" i="36"/>
  <c r="DH55" i="36"/>
  <c r="DV65" i="33"/>
  <c r="DU66" i="33"/>
  <c r="CW53" i="35"/>
  <c r="CV54" i="35"/>
  <c r="CZ55" i="36"/>
  <c r="CY56" i="36"/>
  <c r="DL71" i="33" l="1"/>
  <c r="DK72" i="33"/>
  <c r="EI81" i="37"/>
  <c r="EH82" i="37"/>
  <c r="DN58" i="35"/>
  <c r="DO57" i="35"/>
  <c r="DB78" i="35"/>
  <c r="CZ79" i="35"/>
  <c r="FC77" i="37"/>
  <c r="FB78" i="37"/>
  <c r="DI55" i="36"/>
  <c r="DL58" i="36" s="1"/>
  <c r="DH56" i="36"/>
  <c r="DI56" i="36" s="1"/>
  <c r="DL59" i="36" s="1"/>
  <c r="CZ74" i="32"/>
  <c r="CY75" i="32"/>
  <c r="DC65" i="33"/>
  <c r="DB66" i="33"/>
  <c r="DI73" i="32"/>
  <c r="DH74" i="32"/>
  <c r="DV66" i="33"/>
  <c r="DU67" i="33"/>
  <c r="ES80" i="37"/>
  <c r="ER81" i="37"/>
  <c r="CZ56" i="36"/>
  <c r="CY58" i="36"/>
  <c r="CW54" i="35"/>
  <c r="CV55" i="35"/>
  <c r="DR52" i="36"/>
  <c r="DQ53" i="36"/>
  <c r="DF55" i="35"/>
  <c r="DE56" i="35"/>
  <c r="DL72" i="33" l="1"/>
  <c r="DK73" i="33"/>
  <c r="EI82" i="37"/>
  <c r="EH83" i="37"/>
  <c r="DN58" i="36"/>
  <c r="DH58" i="36"/>
  <c r="DI58" i="36" s="1"/>
  <c r="DF56" i="35"/>
  <c r="DE57" i="35"/>
  <c r="CZ58" i="36"/>
  <c r="CY59" i="36"/>
  <c r="DI74" i="32"/>
  <c r="DH75" i="32"/>
  <c r="FC78" i="37"/>
  <c r="FB79" i="37"/>
  <c r="CW55" i="35"/>
  <c r="CV56" i="35"/>
  <c r="DV67" i="33"/>
  <c r="DU68" i="33"/>
  <c r="DC66" i="33"/>
  <c r="DB67" i="33"/>
  <c r="DB79" i="35"/>
  <c r="CZ80" i="35"/>
  <c r="DR53" i="36"/>
  <c r="DQ55" i="36"/>
  <c r="ES81" i="37"/>
  <c r="ER82" i="37"/>
  <c r="CZ75" i="32"/>
  <c r="CY76" i="32"/>
  <c r="DN59" i="36"/>
  <c r="DN59" i="35"/>
  <c r="DO58" i="35"/>
  <c r="DH59" i="36" l="1"/>
  <c r="DI59" i="36" s="1"/>
  <c r="DK74" i="33"/>
  <c r="DL73" i="33"/>
  <c r="EI83" i="37"/>
  <c r="EH84" i="37"/>
  <c r="DO59" i="35"/>
  <c r="DN60" i="35"/>
  <c r="DI75" i="32"/>
  <c r="DH76" i="32"/>
  <c r="DR55" i="36"/>
  <c r="DQ56" i="36"/>
  <c r="DV68" i="33"/>
  <c r="DU69" i="33"/>
  <c r="CZ59" i="36"/>
  <c r="CY60" i="36"/>
  <c r="DB80" i="35"/>
  <c r="CZ86" i="35"/>
  <c r="CZ76" i="32"/>
  <c r="CY77" i="32"/>
  <c r="CW56" i="35"/>
  <c r="CV57" i="35"/>
  <c r="DF57" i="35"/>
  <c r="DE58" i="35"/>
  <c r="ES82" i="37"/>
  <c r="ER83" i="37"/>
  <c r="DC67" i="33"/>
  <c r="DB68" i="33"/>
  <c r="FC79" i="37"/>
  <c r="FB80" i="37"/>
  <c r="DH60" i="36" l="1"/>
  <c r="DI60" i="36" s="1"/>
  <c r="DL74" i="33"/>
  <c r="DK75" i="33"/>
  <c r="EH85" i="37"/>
  <c r="EI84" i="37"/>
  <c r="CY61" i="36"/>
  <c r="CZ60" i="36"/>
  <c r="DI76" i="32"/>
  <c r="DH77" i="32"/>
  <c r="FC80" i="37"/>
  <c r="FB81" i="37"/>
  <c r="CV58" i="35"/>
  <c r="CW57" i="35"/>
  <c r="DV69" i="33"/>
  <c r="DU70" i="33"/>
  <c r="DF58" i="35"/>
  <c r="DE59" i="35"/>
  <c r="DC68" i="33"/>
  <c r="DB69" i="33"/>
  <c r="CZ77" i="32"/>
  <c r="CY78" i="32"/>
  <c r="DR56" i="36"/>
  <c r="DQ57" i="36"/>
  <c r="DO60" i="35"/>
  <c r="DN61" i="35"/>
  <c r="DB86" i="35"/>
  <c r="CZ87" i="35"/>
  <c r="ES83" i="37"/>
  <c r="ER84" i="37"/>
  <c r="DH61" i="36" l="1"/>
  <c r="DI61" i="36" s="1"/>
  <c r="DL75" i="33"/>
  <c r="DK76" i="33"/>
  <c r="EI85" i="37"/>
  <c r="EH86" i="37"/>
  <c r="DC69" i="33"/>
  <c r="DB70" i="33"/>
  <c r="CV59" i="35"/>
  <c r="CW58" i="35"/>
  <c r="DO61" i="35"/>
  <c r="DN62" i="35"/>
  <c r="DF59" i="35"/>
  <c r="DE60" i="35"/>
  <c r="FC81" i="37"/>
  <c r="FB82" i="37"/>
  <c r="DR57" i="36"/>
  <c r="DQ58" i="36"/>
  <c r="DI77" i="32"/>
  <c r="DH78" i="32"/>
  <c r="ES84" i="37"/>
  <c r="ER85" i="37"/>
  <c r="CZ78" i="32"/>
  <c r="CY79" i="32"/>
  <c r="DU71" i="33"/>
  <c r="DV70" i="33"/>
  <c r="DB87" i="35"/>
  <c r="CZ88" i="35"/>
  <c r="CZ61" i="36"/>
  <c r="CY62" i="36"/>
  <c r="DH62" i="36" l="1"/>
  <c r="DI62" i="36" s="1"/>
  <c r="DK77" i="33"/>
  <c r="DL76" i="33"/>
  <c r="EH87" i="37"/>
  <c r="EI86" i="37"/>
  <c r="CZ79" i="32"/>
  <c r="CY80" i="32"/>
  <c r="DR58" i="36"/>
  <c r="DQ59" i="36"/>
  <c r="DO62" i="35"/>
  <c r="DN63" i="35"/>
  <c r="CZ62" i="36"/>
  <c r="CY63" i="36"/>
  <c r="ES85" i="37"/>
  <c r="ER86" i="37"/>
  <c r="DB88" i="35"/>
  <c r="CZ89" i="35"/>
  <c r="DI78" i="32"/>
  <c r="DH79" i="32"/>
  <c r="FC82" i="37"/>
  <c r="FB83" i="37"/>
  <c r="CW59" i="35"/>
  <c r="CV60" i="35"/>
  <c r="DF60" i="35"/>
  <c r="DE61" i="35"/>
  <c r="DC70" i="33"/>
  <c r="DB71" i="33"/>
  <c r="DU72" i="33"/>
  <c r="DV71" i="33"/>
  <c r="DH63" i="36" l="1"/>
  <c r="DH64" i="36" s="1"/>
  <c r="DL77" i="33"/>
  <c r="DK78" i="33"/>
  <c r="EH88" i="37"/>
  <c r="EI87" i="37"/>
  <c r="CZ63" i="36"/>
  <c r="CY64" i="36"/>
  <c r="DV72" i="33"/>
  <c r="DU73" i="33"/>
  <c r="DO63" i="35"/>
  <c r="DN64" i="35"/>
  <c r="CW60" i="35"/>
  <c r="CV61" i="35"/>
  <c r="DB72" i="33"/>
  <c r="DC71" i="33"/>
  <c r="FC83" i="37"/>
  <c r="FB84" i="37"/>
  <c r="DR59" i="36"/>
  <c r="DQ60" i="36"/>
  <c r="DF61" i="35"/>
  <c r="DE62" i="35"/>
  <c r="DI79" i="32"/>
  <c r="DH80" i="32"/>
  <c r="ES86" i="37"/>
  <c r="ER87" i="37"/>
  <c r="CZ80" i="32"/>
  <c r="CY81" i="32"/>
  <c r="DB89" i="35"/>
  <c r="CZ94" i="35"/>
  <c r="DI63" i="36" l="1"/>
  <c r="DK79" i="33"/>
  <c r="DL78" i="33"/>
  <c r="EH89" i="37"/>
  <c r="EI88" i="37"/>
  <c r="ER88" i="37"/>
  <c r="ES87" i="37"/>
  <c r="DH65" i="36"/>
  <c r="DI65" i="36" s="1"/>
  <c r="DL68" i="36" s="1"/>
  <c r="DI64" i="36"/>
  <c r="DL67" i="36" s="1"/>
  <c r="DO64" i="35"/>
  <c r="DN65" i="35"/>
  <c r="DI80" i="32"/>
  <c r="DH81" i="32"/>
  <c r="FC84" i="37"/>
  <c r="FB85" i="37"/>
  <c r="DE63" i="35"/>
  <c r="DF62" i="35"/>
  <c r="DV73" i="33"/>
  <c r="DU74" i="33"/>
  <c r="DC72" i="33"/>
  <c r="DB73" i="33"/>
  <c r="DB94" i="35"/>
  <c r="CZ95" i="35"/>
  <c r="CZ81" i="32"/>
  <c r="CY82" i="32"/>
  <c r="DR60" i="36"/>
  <c r="DQ61" i="36"/>
  <c r="CW61" i="35"/>
  <c r="CV62" i="35"/>
  <c r="CY65" i="36"/>
  <c r="CZ64" i="36"/>
  <c r="DK80" i="33" l="1"/>
  <c r="DL79" i="33"/>
  <c r="EI89" i="37"/>
  <c r="EH90" i="37"/>
  <c r="DI81" i="32"/>
  <c r="DH82" i="32"/>
  <c r="DB95" i="35"/>
  <c r="CZ96" i="35"/>
  <c r="DF63" i="35"/>
  <c r="DE64" i="35"/>
  <c r="CW62" i="35"/>
  <c r="CV63" i="35"/>
  <c r="CZ65" i="36"/>
  <c r="CY67" i="36"/>
  <c r="DO65" i="35"/>
  <c r="DN66" i="35"/>
  <c r="DH67" i="36"/>
  <c r="DI67" i="36" s="1"/>
  <c r="DN67" i="36"/>
  <c r="DN68" i="36"/>
  <c r="DV74" i="33"/>
  <c r="DU75" i="33"/>
  <c r="FC85" i="37"/>
  <c r="FB86" i="37"/>
  <c r="DC73" i="33"/>
  <c r="DB74" i="33"/>
  <c r="DR61" i="36"/>
  <c r="DQ62" i="36"/>
  <c r="CZ82" i="32"/>
  <c r="CY83" i="32"/>
  <c r="ES88" i="37"/>
  <c r="ER89" i="37"/>
  <c r="DH68" i="36" l="1"/>
  <c r="DH69" i="36" s="1"/>
  <c r="DK81" i="33"/>
  <c r="DL80" i="33"/>
  <c r="EH91" i="37"/>
  <c r="EI90" i="37"/>
  <c r="DC74" i="33"/>
  <c r="DB75" i="33"/>
  <c r="ES89" i="37"/>
  <c r="ER90" i="37"/>
  <c r="FB87" i="37"/>
  <c r="FC86" i="37"/>
  <c r="CZ83" i="32"/>
  <c r="CY84" i="32"/>
  <c r="DV75" i="33"/>
  <c r="DU76" i="33"/>
  <c r="DO66" i="35"/>
  <c r="DN67" i="35"/>
  <c r="DF64" i="35"/>
  <c r="DE65" i="35"/>
  <c r="DB96" i="35"/>
  <c r="CZ97" i="35"/>
  <c r="CZ67" i="36"/>
  <c r="CY68" i="36"/>
  <c r="DR62" i="36"/>
  <c r="DQ63" i="36"/>
  <c r="DI82" i="32"/>
  <c r="DH83" i="32"/>
  <c r="CW63" i="35"/>
  <c r="CV64" i="35"/>
  <c r="DI68" i="36" l="1"/>
  <c r="DL81" i="33"/>
  <c r="DK82" i="33"/>
  <c r="EI91" i="37"/>
  <c r="EH92" i="37"/>
  <c r="CZ84" i="32"/>
  <c r="CY85" i="32"/>
  <c r="CW64" i="35"/>
  <c r="CV65" i="35"/>
  <c r="CZ68" i="36"/>
  <c r="CY69" i="36"/>
  <c r="DF65" i="35"/>
  <c r="DE66" i="35"/>
  <c r="DB97" i="35"/>
  <c r="CZ102" i="35"/>
  <c r="FB88" i="37"/>
  <c r="FC87" i="37"/>
  <c r="DO67" i="35"/>
  <c r="DN68" i="35"/>
  <c r="ES90" i="37"/>
  <c r="ER91" i="37"/>
  <c r="DH70" i="36"/>
  <c r="DI69" i="36"/>
  <c r="DI83" i="32"/>
  <c r="DH84" i="32"/>
  <c r="DV76" i="33"/>
  <c r="DU77" i="33"/>
  <c r="DC75" i="33"/>
  <c r="DB76" i="33"/>
  <c r="DR63" i="36"/>
  <c r="DQ64" i="36"/>
  <c r="DL82" i="33" l="1"/>
  <c r="DK83" i="33"/>
  <c r="EI92" i="37"/>
  <c r="EH93" i="37"/>
  <c r="CZ69" i="36"/>
  <c r="CY70" i="36"/>
  <c r="DR64" i="36"/>
  <c r="DQ65" i="36"/>
  <c r="DI84" i="32"/>
  <c r="DH85" i="32"/>
  <c r="FC88" i="37"/>
  <c r="FB89" i="37"/>
  <c r="CV66" i="35"/>
  <c r="CW65" i="35"/>
  <c r="DB102" i="35"/>
  <c r="CZ103" i="35"/>
  <c r="DI70" i="36"/>
  <c r="DH71" i="36"/>
  <c r="CZ85" i="32"/>
  <c r="CY86" i="32"/>
  <c r="DV77" i="33"/>
  <c r="DU78" i="33"/>
  <c r="DF66" i="35"/>
  <c r="DE67" i="35"/>
  <c r="DC76" i="33"/>
  <c r="DB77" i="33"/>
  <c r="ES91" i="37"/>
  <c r="ER92" i="37"/>
  <c r="DO68" i="35"/>
  <c r="DN69" i="35"/>
  <c r="DK84" i="33" l="1"/>
  <c r="DL83" i="33"/>
  <c r="EI93" i="37"/>
  <c r="EH94" i="37"/>
  <c r="DI85" i="32"/>
  <c r="DH86" i="32"/>
  <c r="DB103" i="35"/>
  <c r="CZ104" i="35"/>
  <c r="DR65" i="36"/>
  <c r="DQ66" i="36"/>
  <c r="DU79" i="33"/>
  <c r="DV78" i="33"/>
  <c r="CZ70" i="36"/>
  <c r="CY71" i="36"/>
  <c r="DO69" i="35"/>
  <c r="DN70" i="35"/>
  <c r="DC77" i="33"/>
  <c r="DB78" i="33"/>
  <c r="CZ86" i="32"/>
  <c r="CY87" i="32"/>
  <c r="CV67" i="35"/>
  <c r="CW66" i="35"/>
  <c r="DF67" i="35"/>
  <c r="DE68" i="35"/>
  <c r="ES92" i="37"/>
  <c r="ER93" i="37"/>
  <c r="FC89" i="37"/>
  <c r="FB90" i="37"/>
  <c r="DI71" i="36"/>
  <c r="DH72" i="36"/>
  <c r="DL84" i="33" l="1"/>
  <c r="DK85" i="33"/>
  <c r="EH95" i="37"/>
  <c r="EI94" i="37"/>
  <c r="DV79" i="33"/>
  <c r="DU80" i="33"/>
  <c r="DI72" i="36"/>
  <c r="DH73" i="36"/>
  <c r="ES93" i="37"/>
  <c r="ER94" i="37"/>
  <c r="DC78" i="33"/>
  <c r="DB79" i="33"/>
  <c r="DR66" i="36"/>
  <c r="DQ67" i="36"/>
  <c r="DF68" i="35"/>
  <c r="DE69" i="35"/>
  <c r="DO70" i="35"/>
  <c r="DN71" i="35"/>
  <c r="DB104" i="35"/>
  <c r="CZ105" i="35"/>
  <c r="CY72" i="36"/>
  <c r="CZ71" i="36"/>
  <c r="CW67" i="35"/>
  <c r="CV68" i="35"/>
  <c r="DI86" i="32"/>
  <c r="DH87" i="32"/>
  <c r="FC90" i="37"/>
  <c r="FB91" i="37"/>
  <c r="CZ87" i="32"/>
  <c r="CY88" i="32"/>
  <c r="DL85" i="33" l="1"/>
  <c r="DK86" i="33"/>
  <c r="EI95" i="37"/>
  <c r="EH96" i="37"/>
  <c r="DB80" i="33"/>
  <c r="DC79" i="33"/>
  <c r="DO71" i="35"/>
  <c r="DN72" i="35"/>
  <c r="ES94" i="37"/>
  <c r="ER95" i="37"/>
  <c r="FC91" i="37"/>
  <c r="FB92" i="37"/>
  <c r="CW68" i="35"/>
  <c r="CV69" i="35"/>
  <c r="CY73" i="36"/>
  <c r="CZ72" i="36"/>
  <c r="DF69" i="35"/>
  <c r="DE70" i="35"/>
  <c r="DI73" i="36"/>
  <c r="DH74" i="36"/>
  <c r="CY89" i="32"/>
  <c r="CZ88" i="32"/>
  <c r="DR67" i="36"/>
  <c r="DQ69" i="36"/>
  <c r="DU81" i="33"/>
  <c r="DV80" i="33"/>
  <c r="DI87" i="32"/>
  <c r="DH88" i="32"/>
  <c r="DB105" i="35"/>
  <c r="CZ110" i="35"/>
  <c r="DL86" i="33" l="1"/>
  <c r="DK87" i="33"/>
  <c r="EH97" i="37"/>
  <c r="EI96" i="37"/>
  <c r="DR69" i="36"/>
  <c r="DQ70" i="36"/>
  <c r="DH75" i="36"/>
  <c r="DI74" i="36"/>
  <c r="FC92" i="37"/>
  <c r="FB93" i="37"/>
  <c r="DB110" i="35"/>
  <c r="CZ111" i="35"/>
  <c r="DF70" i="35"/>
  <c r="DE71" i="35"/>
  <c r="ES95" i="37"/>
  <c r="ER96" i="37"/>
  <c r="CZ89" i="32"/>
  <c r="CY90" i="32"/>
  <c r="DI88" i="32"/>
  <c r="DH89" i="32"/>
  <c r="DH90" i="32" s="1"/>
  <c r="DO72" i="35"/>
  <c r="DN73" i="35"/>
  <c r="CZ73" i="36"/>
  <c r="CY74" i="36"/>
  <c r="CW69" i="35"/>
  <c r="CV70" i="35"/>
  <c r="DU82" i="33"/>
  <c r="DV81" i="33"/>
  <c r="DC80" i="33"/>
  <c r="DB81" i="33"/>
  <c r="DL87" i="33" l="1"/>
  <c r="DK88" i="33"/>
  <c r="EH98" i="37"/>
  <c r="EI97" i="37"/>
  <c r="CY75" i="36"/>
  <c r="CZ74" i="36"/>
  <c r="FC93" i="37"/>
  <c r="FB94" i="37"/>
  <c r="DC81" i="33"/>
  <c r="DB82" i="33"/>
  <c r="DN74" i="35"/>
  <c r="DO73" i="35"/>
  <c r="ES96" i="37"/>
  <c r="ER97" i="37"/>
  <c r="DV82" i="33"/>
  <c r="DU83" i="33"/>
  <c r="DI90" i="32"/>
  <c r="DH91" i="32"/>
  <c r="CZ90" i="32"/>
  <c r="CY91" i="32"/>
  <c r="CW70" i="35"/>
  <c r="CV71" i="35"/>
  <c r="DF71" i="35"/>
  <c r="DE72" i="35"/>
  <c r="DI75" i="36"/>
  <c r="DH76" i="36"/>
  <c r="DR70" i="36"/>
  <c r="DQ71" i="36"/>
  <c r="DB111" i="35"/>
  <c r="CZ112" i="35"/>
  <c r="DL88" i="33" l="1"/>
  <c r="DK89" i="33"/>
  <c r="EH99" i="37"/>
  <c r="EI98" i="37"/>
  <c r="DF72" i="35"/>
  <c r="DE73" i="35"/>
  <c r="DI91" i="32"/>
  <c r="DH92" i="32"/>
  <c r="DB83" i="33"/>
  <c r="DC82" i="33"/>
  <c r="DU84" i="33"/>
  <c r="DV83" i="33"/>
  <c r="DR71" i="36"/>
  <c r="DQ72" i="36"/>
  <c r="CW71" i="35"/>
  <c r="CV72" i="35"/>
  <c r="ES97" i="37"/>
  <c r="ER98" i="37"/>
  <c r="FC94" i="37"/>
  <c r="FB95" i="37"/>
  <c r="DB112" i="35"/>
  <c r="CZ113" i="35"/>
  <c r="DI76" i="36"/>
  <c r="DL79" i="36" s="1"/>
  <c r="DH77" i="36"/>
  <c r="DI77" i="36" s="1"/>
  <c r="DL80" i="36" s="1"/>
  <c r="CZ91" i="32"/>
  <c r="CY92" i="32"/>
  <c r="DN75" i="35"/>
  <c r="DO74" i="35"/>
  <c r="CZ75" i="36"/>
  <c r="CY76" i="36"/>
  <c r="DL89" i="33" l="1"/>
  <c r="DK90" i="33"/>
  <c r="EH100" i="37"/>
  <c r="EI99" i="37"/>
  <c r="DN79" i="36"/>
  <c r="DH79" i="36"/>
  <c r="DI79" i="36" s="1"/>
  <c r="CV73" i="35"/>
  <c r="CW72" i="35"/>
  <c r="DB113" i="35"/>
  <c r="CZ118" i="35"/>
  <c r="DR72" i="36"/>
  <c r="DQ73" i="36"/>
  <c r="DC83" i="33"/>
  <c r="DB84" i="33"/>
  <c r="DO75" i="35"/>
  <c r="DN76" i="35"/>
  <c r="FB96" i="37"/>
  <c r="FC95" i="37"/>
  <c r="DI92" i="32"/>
  <c r="DH93" i="32"/>
  <c r="CZ76" i="36"/>
  <c r="CY77" i="36"/>
  <c r="CZ92" i="32"/>
  <c r="CY93" i="32"/>
  <c r="ES98" i="37"/>
  <c r="ER99" i="37"/>
  <c r="DF73" i="35"/>
  <c r="DE74" i="35"/>
  <c r="DN80" i="36"/>
  <c r="DV84" i="33"/>
  <c r="DU85" i="33"/>
  <c r="DH80" i="36" l="1"/>
  <c r="DI80" i="36" s="1"/>
  <c r="DL90" i="33"/>
  <c r="DK91" i="33"/>
  <c r="EH101" i="37"/>
  <c r="EI100" i="37"/>
  <c r="DV85" i="33"/>
  <c r="DU86" i="33"/>
  <c r="FB97" i="37"/>
  <c r="FC96" i="37"/>
  <c r="CZ93" i="32"/>
  <c r="CY94" i="32"/>
  <c r="DO76" i="35"/>
  <c r="DN77" i="35"/>
  <c r="DF74" i="35"/>
  <c r="DE75" i="35"/>
  <c r="DI93" i="32"/>
  <c r="DH94" i="32"/>
  <c r="DC84" i="33"/>
  <c r="DB85" i="33"/>
  <c r="CZ77" i="36"/>
  <c r="CY79" i="36"/>
  <c r="ES99" i="37"/>
  <c r="ER100" i="37"/>
  <c r="DR73" i="36"/>
  <c r="DQ74" i="36"/>
  <c r="CV74" i="35"/>
  <c r="CW73" i="35"/>
  <c r="DB118" i="35"/>
  <c r="CZ119" i="35"/>
  <c r="DH81" i="36" l="1"/>
  <c r="DI81" i="36" s="1"/>
  <c r="DL91" i="33"/>
  <c r="DK92" i="33"/>
  <c r="EI101" i="37"/>
  <c r="EH102" i="37"/>
  <c r="DC85" i="33"/>
  <c r="DB86" i="33"/>
  <c r="CZ94" i="32"/>
  <c r="CY95" i="32"/>
  <c r="ES100" i="37"/>
  <c r="ER101" i="37"/>
  <c r="DI94" i="32"/>
  <c r="DH95" i="32"/>
  <c r="CZ79" i="36"/>
  <c r="CY80" i="36"/>
  <c r="DF75" i="35"/>
  <c r="DE76" i="35"/>
  <c r="CV75" i="35"/>
  <c r="CW74" i="35"/>
  <c r="FC97" i="37"/>
  <c r="FB98" i="37"/>
  <c r="DB119" i="35"/>
  <c r="CZ120" i="35"/>
  <c r="DR74" i="36"/>
  <c r="DQ75" i="36"/>
  <c r="DH82" i="36"/>
  <c r="DO77" i="35"/>
  <c r="DN78" i="35"/>
  <c r="DV86" i="33"/>
  <c r="DU87" i="33"/>
  <c r="DL92" i="33" l="1"/>
  <c r="DK93" i="33"/>
  <c r="EI102" i="37"/>
  <c r="EH103" i="37"/>
  <c r="DF76" i="35"/>
  <c r="DE77" i="35"/>
  <c r="ES101" i="37"/>
  <c r="ER102" i="37"/>
  <c r="DB120" i="35"/>
  <c r="CZ121" i="35"/>
  <c r="CZ80" i="36"/>
  <c r="CY81" i="36"/>
  <c r="CZ95" i="32"/>
  <c r="CY96" i="32"/>
  <c r="FC98" i="37"/>
  <c r="FB99" i="37"/>
  <c r="DC86" i="33"/>
  <c r="DB87" i="33"/>
  <c r="DO78" i="35"/>
  <c r="DN79" i="35"/>
  <c r="DI82" i="36"/>
  <c r="DH83" i="36"/>
  <c r="DI95" i="32"/>
  <c r="DH96" i="32"/>
  <c r="DV87" i="33"/>
  <c r="DU88" i="33"/>
  <c r="DR75" i="36"/>
  <c r="DQ76" i="36"/>
  <c r="CW75" i="35"/>
  <c r="CV76" i="35"/>
  <c r="DK94" i="33" l="1"/>
  <c r="DL93" i="33"/>
  <c r="EI103" i="37"/>
  <c r="EH104" i="37"/>
  <c r="DB121" i="35"/>
  <c r="CZ126" i="35"/>
  <c r="CW76" i="35"/>
  <c r="CV77" i="35"/>
  <c r="DI96" i="32"/>
  <c r="DH97" i="32"/>
  <c r="DR76" i="36"/>
  <c r="DQ77" i="36"/>
  <c r="DI83" i="36"/>
  <c r="DH84" i="36"/>
  <c r="ES102" i="37"/>
  <c r="ER103" i="37"/>
  <c r="DV88" i="33"/>
  <c r="DU89" i="33"/>
  <c r="DO79" i="35"/>
  <c r="DN80" i="35"/>
  <c r="CZ96" i="32"/>
  <c r="CY97" i="32"/>
  <c r="FC99" i="37"/>
  <c r="FB100" i="37"/>
  <c r="DF77" i="35"/>
  <c r="DE78" i="35"/>
  <c r="DC87" i="33"/>
  <c r="DB88" i="33"/>
  <c r="CZ81" i="36"/>
  <c r="CY82" i="36"/>
  <c r="DK95" i="33" l="1"/>
  <c r="DL94" i="33"/>
  <c r="EI104" i="37"/>
  <c r="EH105" i="37"/>
  <c r="CZ82" i="36"/>
  <c r="CY83" i="36"/>
  <c r="FC100" i="37"/>
  <c r="FB101" i="37"/>
  <c r="ES103" i="37"/>
  <c r="ER104" i="37"/>
  <c r="DI97" i="32"/>
  <c r="DH98" i="32"/>
  <c r="DF78" i="35"/>
  <c r="DE79" i="35"/>
  <c r="DC88" i="33"/>
  <c r="DB89" i="33"/>
  <c r="CZ97" i="32"/>
  <c r="CY98" i="32"/>
  <c r="DH85" i="36"/>
  <c r="DI84" i="36"/>
  <c r="CW77" i="35"/>
  <c r="CV78" i="35"/>
  <c r="DV89" i="33"/>
  <c r="DU90" i="33"/>
  <c r="DB126" i="35"/>
  <c r="CZ127" i="35"/>
  <c r="DO80" i="35"/>
  <c r="DN81" i="35"/>
  <c r="DR77" i="36"/>
  <c r="DQ78" i="36"/>
  <c r="DL95" i="33" l="1"/>
  <c r="DK96" i="33"/>
  <c r="EH106" i="37"/>
  <c r="EI105" i="37"/>
  <c r="CZ98" i="32"/>
  <c r="CY99" i="32"/>
  <c r="DV90" i="33"/>
  <c r="DU91" i="33"/>
  <c r="DB90" i="33"/>
  <c r="DC89" i="33"/>
  <c r="ES104" i="37"/>
  <c r="ER105" i="37"/>
  <c r="DN82" i="35"/>
  <c r="DO81" i="35"/>
  <c r="CW78" i="35"/>
  <c r="CV79" i="35"/>
  <c r="DF79" i="35"/>
  <c r="DE80" i="35"/>
  <c r="FC101" i="37"/>
  <c r="FB102" i="37"/>
  <c r="DR78" i="36"/>
  <c r="DQ79" i="36"/>
  <c r="DI98" i="32"/>
  <c r="DH99" i="32"/>
  <c r="CY84" i="36"/>
  <c r="CZ83" i="36"/>
  <c r="DB127" i="35"/>
  <c r="CZ128" i="35"/>
  <c r="DH86" i="36"/>
  <c r="DI86" i="36" s="1"/>
  <c r="DL89" i="36" s="1"/>
  <c r="DI85" i="36"/>
  <c r="DL88" i="36" s="1"/>
  <c r="DL96" i="33" l="1"/>
  <c r="DK97" i="33"/>
  <c r="EI106" i="37"/>
  <c r="EH107" i="37"/>
  <c r="DI99" i="32"/>
  <c r="DH100" i="32"/>
  <c r="DF80" i="35"/>
  <c r="DE81" i="35"/>
  <c r="DN88" i="36"/>
  <c r="DH88" i="36"/>
  <c r="DI88" i="36" s="1"/>
  <c r="DB91" i="33"/>
  <c r="DC90" i="33"/>
  <c r="DN89" i="36"/>
  <c r="DR79" i="36"/>
  <c r="DQ80" i="36"/>
  <c r="CW79" i="35"/>
  <c r="CV80" i="35"/>
  <c r="DV91" i="33"/>
  <c r="DU92" i="33"/>
  <c r="DB128" i="35"/>
  <c r="CZ129" i="35"/>
  <c r="DO82" i="35"/>
  <c r="DN83" i="35"/>
  <c r="DO83" i="35" s="1"/>
  <c r="DN84" i="35"/>
  <c r="FC102" i="37"/>
  <c r="FB103" i="37"/>
  <c r="ES105" i="37"/>
  <c r="ER106" i="37"/>
  <c r="CZ99" i="32"/>
  <c r="CY100" i="32"/>
  <c r="CZ84" i="36"/>
  <c r="CY85" i="36"/>
  <c r="DL97" i="33" l="1"/>
  <c r="DK98" i="33"/>
  <c r="EI107" i="37"/>
  <c r="EH108" i="37"/>
  <c r="CZ100" i="32"/>
  <c r="CY101" i="32"/>
  <c r="DU93" i="33"/>
  <c r="DV92" i="33"/>
  <c r="DB92" i="33"/>
  <c r="DC91" i="33"/>
  <c r="ES106" i="37"/>
  <c r="ER107" i="37"/>
  <c r="CV81" i="35"/>
  <c r="CW80" i="35"/>
  <c r="FC103" i="37"/>
  <c r="FB104" i="37"/>
  <c r="DR80" i="36"/>
  <c r="DQ81" i="36"/>
  <c r="DF81" i="35"/>
  <c r="DE82" i="35"/>
  <c r="DB129" i="35"/>
  <c r="CZ134" i="35"/>
  <c r="CZ85" i="36"/>
  <c r="CY86" i="36"/>
  <c r="DO84" i="35"/>
  <c r="DN85" i="35"/>
  <c r="DH89" i="36"/>
  <c r="DI100" i="32"/>
  <c r="DH101" i="32"/>
  <c r="DL98" i="33" l="1"/>
  <c r="DK99" i="33"/>
  <c r="EH109" i="37"/>
  <c r="EI108" i="37"/>
  <c r="FC104" i="37"/>
  <c r="FB105" i="37"/>
  <c r="DB134" i="35"/>
  <c r="CZ135" i="35"/>
  <c r="DC92" i="33"/>
  <c r="DB93" i="33"/>
  <c r="DI101" i="32"/>
  <c r="DH102" i="32"/>
  <c r="DI89" i="36"/>
  <c r="DH90" i="36"/>
  <c r="DF82" i="35"/>
  <c r="DE83" i="35"/>
  <c r="DF83" i="35" s="1"/>
  <c r="DE84" i="35"/>
  <c r="DO85" i="35"/>
  <c r="DN86" i="35"/>
  <c r="CV82" i="35"/>
  <c r="CW81" i="35"/>
  <c r="DV93" i="33"/>
  <c r="DU94" i="33"/>
  <c r="DR81" i="36"/>
  <c r="DQ83" i="36"/>
  <c r="ES107" i="37"/>
  <c r="ER108" i="37"/>
  <c r="CZ101" i="32"/>
  <c r="CY102" i="32"/>
  <c r="CZ86" i="36"/>
  <c r="CY88" i="36"/>
  <c r="DK100" i="33" l="1"/>
  <c r="DL99" i="33"/>
  <c r="EI109" i="37"/>
  <c r="EH110" i="37"/>
  <c r="CZ88" i="36"/>
  <c r="CY89" i="36"/>
  <c r="DV94" i="33"/>
  <c r="DU95" i="33"/>
  <c r="DI90" i="36"/>
  <c r="DH91" i="36"/>
  <c r="DC93" i="33"/>
  <c r="DB94" i="33"/>
  <c r="CZ102" i="32"/>
  <c r="CY103" i="32"/>
  <c r="DB135" i="35"/>
  <c r="CZ136" i="35"/>
  <c r="ES108" i="37"/>
  <c r="ER109" i="37"/>
  <c r="DO86" i="35"/>
  <c r="DN87" i="35"/>
  <c r="CW82" i="35"/>
  <c r="CV84" i="35"/>
  <c r="CV83" i="35"/>
  <c r="CW83" i="35" s="1"/>
  <c r="DR83" i="36"/>
  <c r="DQ84" i="36"/>
  <c r="DF84" i="35"/>
  <c r="DE85" i="35"/>
  <c r="FC105" i="37"/>
  <c r="FB106" i="37"/>
  <c r="DI102" i="32"/>
  <c r="DH103" i="32"/>
  <c r="DK101" i="33" l="1"/>
  <c r="DL100" i="33"/>
  <c r="EH111" i="37"/>
  <c r="EI110" i="37"/>
  <c r="DC94" i="33"/>
  <c r="DB95" i="33"/>
  <c r="DB136" i="35"/>
  <c r="CZ137" i="35"/>
  <c r="DI91" i="36"/>
  <c r="DH92" i="36"/>
  <c r="DI103" i="32"/>
  <c r="DH104" i="32"/>
  <c r="DF85" i="35"/>
  <c r="DE86" i="35"/>
  <c r="DV95" i="33"/>
  <c r="DU96" i="33"/>
  <c r="DO87" i="35"/>
  <c r="DN88" i="35"/>
  <c r="CW84" i="35"/>
  <c r="CV85" i="35"/>
  <c r="DR84" i="36"/>
  <c r="DQ85" i="36"/>
  <c r="CZ103" i="32"/>
  <c r="CY104" i="32"/>
  <c r="CZ89" i="36"/>
  <c r="CY90" i="36"/>
  <c r="FC106" i="37"/>
  <c r="FB107" i="37"/>
  <c r="ES109" i="37"/>
  <c r="ER110" i="37"/>
  <c r="DK102" i="33" l="1"/>
  <c r="DL101" i="33"/>
  <c r="EI111" i="37"/>
  <c r="EH112" i="37"/>
  <c r="DB137" i="35"/>
  <c r="CZ142" i="35"/>
  <c r="CW85" i="35"/>
  <c r="CV86" i="35"/>
  <c r="DC95" i="33"/>
  <c r="DB96" i="33"/>
  <c r="ES110" i="37"/>
  <c r="ER111" i="37"/>
  <c r="DF86" i="35"/>
  <c r="DE87" i="35"/>
  <c r="CY91" i="36"/>
  <c r="CZ90" i="36"/>
  <c r="DO88" i="35"/>
  <c r="DN89" i="35"/>
  <c r="DI104" i="32"/>
  <c r="DH105" i="32"/>
  <c r="DR85" i="36"/>
  <c r="DQ86" i="36"/>
  <c r="FC107" i="37"/>
  <c r="FB108" i="37"/>
  <c r="CZ104" i="32"/>
  <c r="CY105" i="32"/>
  <c r="DV96" i="33"/>
  <c r="DU97" i="33"/>
  <c r="DI92" i="36"/>
  <c r="DH93" i="36"/>
  <c r="DK103" i="33" l="1"/>
  <c r="DL102" i="33"/>
  <c r="EI112" i="37"/>
  <c r="EH113" i="37"/>
  <c r="FC108" i="37"/>
  <c r="FB109" i="37"/>
  <c r="DH94" i="36"/>
  <c r="DI93" i="36"/>
  <c r="DR86" i="36"/>
  <c r="DQ87" i="36"/>
  <c r="CW86" i="35"/>
  <c r="CV87" i="35"/>
  <c r="CY92" i="36"/>
  <c r="CZ91" i="36"/>
  <c r="DO89" i="35"/>
  <c r="DN90" i="35"/>
  <c r="DV97" i="33"/>
  <c r="DU98" i="33"/>
  <c r="DF87" i="35"/>
  <c r="DE88" i="35"/>
  <c r="DC96" i="33"/>
  <c r="DB97" i="33"/>
  <c r="DB142" i="35"/>
  <c r="CZ143" i="35"/>
  <c r="CZ105" i="32"/>
  <c r="CY106" i="32"/>
  <c r="DI105" i="32"/>
  <c r="DH106" i="32"/>
  <c r="ES111" i="37"/>
  <c r="ER112" i="37"/>
  <c r="DL103" i="33" l="1"/>
  <c r="DK104" i="33"/>
  <c r="EI113" i="37"/>
  <c r="EH114" i="37"/>
  <c r="CW87" i="35"/>
  <c r="CV88" i="35"/>
  <c r="DC97" i="33"/>
  <c r="DB98" i="33"/>
  <c r="DU99" i="33"/>
  <c r="DV98" i="33"/>
  <c r="DR87" i="36"/>
  <c r="DQ88" i="36"/>
  <c r="ES112" i="37"/>
  <c r="ER113" i="37"/>
  <c r="DI106" i="32"/>
  <c r="DH107" i="32"/>
  <c r="DN91" i="35"/>
  <c r="DO90" i="35"/>
  <c r="CZ106" i="32"/>
  <c r="CY107" i="32"/>
  <c r="DI94" i="36"/>
  <c r="DL97" i="36" s="1"/>
  <c r="DH95" i="36"/>
  <c r="DI95" i="36" s="1"/>
  <c r="DL98" i="36" s="1"/>
  <c r="DF88" i="35"/>
  <c r="DE89" i="35"/>
  <c r="FC109" i="37"/>
  <c r="FB110" i="37"/>
  <c r="DB143" i="35"/>
  <c r="CZ144" i="35"/>
  <c r="CZ92" i="36"/>
  <c r="CY93" i="36"/>
  <c r="DL104" i="33" l="1"/>
  <c r="DK105" i="33"/>
  <c r="EI114" i="37"/>
  <c r="EH115" i="37"/>
  <c r="DF89" i="35"/>
  <c r="DE90" i="35"/>
  <c r="CZ93" i="36"/>
  <c r="CY94" i="36"/>
  <c r="DU100" i="33"/>
  <c r="DV99" i="33"/>
  <c r="DN98" i="36"/>
  <c r="DI107" i="32"/>
  <c r="DH108" i="32"/>
  <c r="DB99" i="33"/>
  <c r="DC98" i="33"/>
  <c r="DN97" i="36"/>
  <c r="DH97" i="36"/>
  <c r="DI97" i="36" s="1"/>
  <c r="CZ107" i="32"/>
  <c r="CY108" i="32"/>
  <c r="ES113" i="37"/>
  <c r="ER114" i="37"/>
  <c r="CW88" i="35"/>
  <c r="CV89" i="35"/>
  <c r="DB144" i="35"/>
  <c r="CZ145" i="35"/>
  <c r="FC110" i="37"/>
  <c r="FB111" i="37"/>
  <c r="DR88" i="36"/>
  <c r="DQ89" i="36"/>
  <c r="DO91" i="35"/>
  <c r="DN92" i="35"/>
  <c r="DL105" i="33" l="1"/>
  <c r="DK106" i="33"/>
  <c r="EH116" i="37"/>
  <c r="EI115" i="37"/>
  <c r="DV100" i="33"/>
  <c r="DU101" i="33"/>
  <c r="CV90" i="35"/>
  <c r="CW89" i="35"/>
  <c r="CY95" i="36"/>
  <c r="CZ94" i="36"/>
  <c r="DO92" i="35"/>
  <c r="DN93" i="35"/>
  <c r="DR89" i="36"/>
  <c r="DQ90" i="36"/>
  <c r="DB100" i="33"/>
  <c r="DC99" i="33"/>
  <c r="DB145" i="35"/>
  <c r="CZ150" i="35"/>
  <c r="ES114" i="37"/>
  <c r="ER115" i="37"/>
  <c r="DI108" i="32"/>
  <c r="DH109" i="32"/>
  <c r="FC111" i="37"/>
  <c r="FB112" i="37"/>
  <c r="CZ108" i="32"/>
  <c r="CY109" i="32"/>
  <c r="DH98" i="36"/>
  <c r="DF90" i="35"/>
  <c r="DE91" i="35"/>
  <c r="DL106" i="33" l="1"/>
  <c r="DK107" i="33"/>
  <c r="EI116" i="37"/>
  <c r="EH117" i="37"/>
  <c r="DO93" i="35"/>
  <c r="DN94" i="35"/>
  <c r="FC112" i="37"/>
  <c r="FB113" i="37"/>
  <c r="DB150" i="35"/>
  <c r="CZ151" i="35"/>
  <c r="DF91" i="35"/>
  <c r="DE92" i="35"/>
  <c r="CZ95" i="36"/>
  <c r="CY97" i="36"/>
  <c r="DI98" i="36"/>
  <c r="DH99" i="36"/>
  <c r="CZ109" i="32"/>
  <c r="CY110" i="32"/>
  <c r="DI109" i="32"/>
  <c r="DH110" i="32"/>
  <c r="DC100" i="33"/>
  <c r="DB101" i="33"/>
  <c r="CV91" i="35"/>
  <c r="CW90" i="35"/>
  <c r="DR90" i="36"/>
  <c r="DQ91" i="36"/>
  <c r="DV101" i="33"/>
  <c r="DU102" i="33"/>
  <c r="ES115" i="37"/>
  <c r="ER116" i="37"/>
  <c r="DL107" i="33" l="1"/>
  <c r="DK108" i="33"/>
  <c r="EH118" i="37"/>
  <c r="EI117" i="37"/>
  <c r="ES116" i="37"/>
  <c r="ER117" i="37"/>
  <c r="DC101" i="33"/>
  <c r="DB102" i="33"/>
  <c r="CZ97" i="36"/>
  <c r="CY98" i="36"/>
  <c r="DV102" i="33"/>
  <c r="DU103" i="33"/>
  <c r="DI110" i="32"/>
  <c r="DH111" i="32"/>
  <c r="FC113" i="37"/>
  <c r="FB114" i="37"/>
  <c r="DR91" i="36"/>
  <c r="DQ92" i="36"/>
  <c r="CZ110" i="32"/>
  <c r="CY111" i="32"/>
  <c r="DF92" i="35"/>
  <c r="DE93" i="35"/>
  <c r="DO94" i="35"/>
  <c r="DN95" i="35"/>
  <c r="DH100" i="36"/>
  <c r="DI99" i="36"/>
  <c r="CV92" i="35"/>
  <c r="CW91" i="35"/>
  <c r="DB151" i="35"/>
  <c r="CZ152" i="35"/>
  <c r="DK109" i="33" l="1"/>
  <c r="DL108" i="33"/>
  <c r="EI118" i="37"/>
  <c r="EH119" i="37"/>
  <c r="DR92" i="36"/>
  <c r="DQ93" i="36"/>
  <c r="DV103" i="33"/>
  <c r="DU104" i="33"/>
  <c r="DB152" i="35"/>
  <c r="CZ153" i="35"/>
  <c r="DH101" i="36"/>
  <c r="DI100" i="36"/>
  <c r="DO95" i="35"/>
  <c r="DN96" i="35"/>
  <c r="FC114" i="37"/>
  <c r="FB115" i="37"/>
  <c r="CZ98" i="36"/>
  <c r="CY99" i="36"/>
  <c r="DF93" i="35"/>
  <c r="DE94" i="35"/>
  <c r="DC102" i="33"/>
  <c r="DB103" i="33"/>
  <c r="CW92" i="35"/>
  <c r="CV93" i="35"/>
  <c r="CZ111" i="32"/>
  <c r="CY112" i="32"/>
  <c r="DI111" i="32"/>
  <c r="DH112" i="32"/>
  <c r="ES117" i="37"/>
  <c r="ER118" i="37"/>
  <c r="DK110" i="33" l="1"/>
  <c r="DL109" i="33"/>
  <c r="EH120" i="37"/>
  <c r="EI119" i="37"/>
  <c r="DH102" i="36"/>
  <c r="DI101" i="36"/>
  <c r="DB153" i="35"/>
  <c r="CZ161" i="35"/>
  <c r="CZ99" i="36"/>
  <c r="CY100" i="36"/>
  <c r="DC103" i="33"/>
  <c r="DB104" i="33"/>
  <c r="DV104" i="33"/>
  <c r="DU105" i="33"/>
  <c r="CW93" i="35"/>
  <c r="CV94" i="35"/>
  <c r="CZ112" i="32"/>
  <c r="CY113" i="32"/>
  <c r="DO96" i="35"/>
  <c r="DN97" i="35"/>
  <c r="ES118" i="37"/>
  <c r="ER119" i="37"/>
  <c r="DI112" i="32"/>
  <c r="DH113" i="32"/>
  <c r="DR93" i="36"/>
  <c r="DQ94" i="36"/>
  <c r="FC115" i="37"/>
  <c r="FB116" i="37"/>
  <c r="DF94" i="35"/>
  <c r="DE95" i="35"/>
  <c r="DK111" i="33" l="1"/>
  <c r="DL110" i="33"/>
  <c r="EH121" i="37"/>
  <c r="EI120" i="37"/>
  <c r="DE96" i="35"/>
  <c r="DF95" i="35"/>
  <c r="DI113" i="32"/>
  <c r="DH114" i="32"/>
  <c r="CZ113" i="32"/>
  <c r="CY114" i="32"/>
  <c r="CY101" i="36"/>
  <c r="CZ100" i="36"/>
  <c r="DB161" i="35"/>
  <c r="CZ162" i="35"/>
  <c r="CW94" i="35"/>
  <c r="CV95" i="35"/>
  <c r="FC116" i="37"/>
  <c r="FB117" i="37"/>
  <c r="ES119" i="37"/>
  <c r="ER120" i="37"/>
  <c r="DO97" i="35"/>
  <c r="DN98" i="35"/>
  <c r="DV105" i="33"/>
  <c r="DU106" i="33"/>
  <c r="DR94" i="36"/>
  <c r="DQ95" i="36"/>
  <c r="DC104" i="33"/>
  <c r="DB105" i="33"/>
  <c r="DI102" i="36"/>
  <c r="DH103" i="36"/>
  <c r="DK112" i="33" l="1"/>
  <c r="DL111" i="33"/>
  <c r="EH122" i="37"/>
  <c r="EI121" i="37"/>
  <c r="FC117" i="37"/>
  <c r="FB118" i="37"/>
  <c r="DI103" i="36"/>
  <c r="DL106" i="36" s="1"/>
  <c r="DH104" i="36"/>
  <c r="DI104" i="36" s="1"/>
  <c r="DL107" i="36" s="1"/>
  <c r="DV106" i="33"/>
  <c r="DU107" i="33"/>
  <c r="CW95" i="35"/>
  <c r="CV96" i="35"/>
  <c r="CY102" i="36"/>
  <c r="CZ101" i="36"/>
  <c r="CZ114" i="32"/>
  <c r="CY115" i="32"/>
  <c r="DR95" i="36"/>
  <c r="DQ97" i="36"/>
  <c r="DC105" i="33"/>
  <c r="DB106" i="33"/>
  <c r="DO98" i="35"/>
  <c r="DN99" i="35"/>
  <c r="DI114" i="32"/>
  <c r="DH115" i="32"/>
  <c r="DB162" i="35"/>
  <c r="CZ163" i="35"/>
  <c r="ES120" i="37"/>
  <c r="ER121" i="37"/>
  <c r="DF96" i="35"/>
  <c r="DE97" i="35"/>
  <c r="DL112" i="33" l="1"/>
  <c r="DK113" i="33"/>
  <c r="EI122" i="37"/>
  <c r="EH123" i="37"/>
  <c r="DB107" i="33"/>
  <c r="DC106" i="33"/>
  <c r="CW96" i="35"/>
  <c r="CV97" i="35"/>
  <c r="DF97" i="35"/>
  <c r="DE98" i="35"/>
  <c r="DI115" i="32"/>
  <c r="DH116" i="32"/>
  <c r="DR97" i="36"/>
  <c r="DQ98" i="36"/>
  <c r="DV107" i="33"/>
  <c r="DU108" i="33"/>
  <c r="CZ115" i="32"/>
  <c r="CY116" i="32"/>
  <c r="ES121" i="37"/>
  <c r="ER122" i="37"/>
  <c r="DN107" i="36"/>
  <c r="DN106" i="36"/>
  <c r="DH106" i="36"/>
  <c r="DI106" i="36" s="1"/>
  <c r="DO99" i="35"/>
  <c r="DN100" i="35"/>
  <c r="FC118" i="37"/>
  <c r="FB119" i="37"/>
  <c r="DB163" i="35"/>
  <c r="CZ164" i="35"/>
  <c r="CY103" i="36"/>
  <c r="CZ102" i="36"/>
  <c r="DL113" i="33" l="1"/>
  <c r="DK114" i="33"/>
  <c r="EI123" i="37"/>
  <c r="EH124" i="37"/>
  <c r="DB164" i="35"/>
  <c r="CZ169" i="35"/>
  <c r="CY104" i="36"/>
  <c r="CZ103" i="36"/>
  <c r="CZ116" i="32"/>
  <c r="CY117" i="32"/>
  <c r="DF98" i="35"/>
  <c r="DE99" i="35"/>
  <c r="DV108" i="33"/>
  <c r="DU109" i="33"/>
  <c r="FC119" i="37"/>
  <c r="FB120" i="37"/>
  <c r="DH107" i="36"/>
  <c r="DR98" i="36"/>
  <c r="DQ99" i="36"/>
  <c r="CW97" i="35"/>
  <c r="CV98" i="35"/>
  <c r="DO100" i="35"/>
  <c r="DN101" i="35"/>
  <c r="ES122" i="37"/>
  <c r="ER123" i="37"/>
  <c r="DI116" i="32"/>
  <c r="DH117" i="32"/>
  <c r="DB108" i="33"/>
  <c r="DC107" i="33"/>
  <c r="DL114" i="33" l="1"/>
  <c r="DK115" i="33"/>
  <c r="EI124" i="37"/>
  <c r="EH125" i="37"/>
  <c r="FC120" i="37"/>
  <c r="FB121" i="37"/>
  <c r="DO101" i="35"/>
  <c r="DN102" i="35"/>
  <c r="CW98" i="35"/>
  <c r="CV99" i="35"/>
  <c r="DC108" i="33"/>
  <c r="DB109" i="33"/>
  <c r="DV109" i="33"/>
  <c r="DU110" i="33"/>
  <c r="CZ117" i="32"/>
  <c r="CY118" i="32"/>
  <c r="DI117" i="32"/>
  <c r="DH118" i="32"/>
  <c r="DR99" i="36"/>
  <c r="DQ100" i="36"/>
  <c r="CZ104" i="36"/>
  <c r="CY106" i="36"/>
  <c r="DB169" i="35"/>
  <c r="CZ170" i="35"/>
  <c r="DF99" i="35"/>
  <c r="DE100" i="35"/>
  <c r="ES123" i="37"/>
  <c r="ER124" i="37"/>
  <c r="DH108" i="36"/>
  <c r="DI107" i="36"/>
  <c r="DL115" i="33" l="1"/>
  <c r="DK116" i="33"/>
  <c r="EH126" i="37"/>
  <c r="EI125" i="37"/>
  <c r="CZ118" i="32"/>
  <c r="CY119" i="32"/>
  <c r="DO102" i="35"/>
  <c r="DN103" i="35"/>
  <c r="DH109" i="36"/>
  <c r="DI108" i="36"/>
  <c r="CZ106" i="36"/>
  <c r="CY107" i="36"/>
  <c r="DV110" i="33"/>
  <c r="DU111" i="33"/>
  <c r="FC121" i="37"/>
  <c r="FB122" i="37"/>
  <c r="DR100" i="36"/>
  <c r="DQ101" i="36"/>
  <c r="DC109" i="33"/>
  <c r="DB110" i="33"/>
  <c r="ES124" i="37"/>
  <c r="ER125" i="37"/>
  <c r="DF100" i="35"/>
  <c r="DE101" i="35"/>
  <c r="DI118" i="32"/>
  <c r="DH119" i="32"/>
  <c r="CW99" i="35"/>
  <c r="CV100" i="35"/>
  <c r="DB170" i="35"/>
  <c r="CZ171" i="35"/>
  <c r="DL116" i="33" l="1"/>
  <c r="DK117" i="33"/>
  <c r="EH127" i="37"/>
  <c r="EI126" i="37"/>
  <c r="DI119" i="32"/>
  <c r="DH120" i="32"/>
  <c r="DC110" i="33"/>
  <c r="DB111" i="33"/>
  <c r="CZ107" i="36"/>
  <c r="CY108" i="36"/>
  <c r="DB171" i="35"/>
  <c r="CZ172" i="35"/>
  <c r="DF101" i="35"/>
  <c r="DE102" i="35"/>
  <c r="DR101" i="36"/>
  <c r="DQ102" i="36"/>
  <c r="DI109" i="36"/>
  <c r="DH110" i="36"/>
  <c r="ES125" i="37"/>
  <c r="ER126" i="37"/>
  <c r="FC122" i="37"/>
  <c r="FB123" i="37"/>
  <c r="DO103" i="35"/>
  <c r="DN104" i="35"/>
  <c r="CW100" i="35"/>
  <c r="CV101" i="35"/>
  <c r="DV111" i="33"/>
  <c r="DU112" i="33"/>
  <c r="CZ119" i="32"/>
  <c r="CY120" i="32"/>
  <c r="DL117" i="33" l="1"/>
  <c r="DK118" i="33"/>
  <c r="EI127" i="37"/>
  <c r="EH128" i="37"/>
  <c r="CZ108" i="36"/>
  <c r="CY109" i="36"/>
  <c r="CW101" i="35"/>
  <c r="CV102" i="35"/>
  <c r="DV112" i="33"/>
  <c r="DU113" i="33"/>
  <c r="FB124" i="37"/>
  <c r="FC123" i="37"/>
  <c r="DR102" i="36"/>
  <c r="DQ103" i="36"/>
  <c r="DI110" i="36"/>
  <c r="DH111" i="36"/>
  <c r="DC111" i="33"/>
  <c r="DB112" i="33"/>
  <c r="DO104" i="35"/>
  <c r="DN105" i="35"/>
  <c r="ES126" i="37"/>
  <c r="ER127" i="37"/>
  <c r="DF102" i="35"/>
  <c r="DE103" i="35"/>
  <c r="CZ120" i="32"/>
  <c r="DD121" i="32"/>
  <c r="DI120" i="32"/>
  <c r="DM121" i="32"/>
  <c r="DB172" i="35"/>
  <c r="CZ177" i="35"/>
  <c r="DK119" i="33" l="1"/>
  <c r="DL118" i="33"/>
  <c r="EH129" i="37"/>
  <c r="EI128" i="37"/>
  <c r="DO105" i="35"/>
  <c r="DN106" i="35"/>
  <c r="FC124" i="37"/>
  <c r="FB125" i="37"/>
  <c r="DF103" i="35"/>
  <c r="DE104" i="35"/>
  <c r="DC112" i="33"/>
  <c r="DB113" i="33"/>
  <c r="DV113" i="33"/>
  <c r="DU114" i="33"/>
  <c r="DN121" i="32"/>
  <c r="DM122" i="32"/>
  <c r="ES127" i="37"/>
  <c r="ER128" i="37"/>
  <c r="DH112" i="36"/>
  <c r="DI111" i="36"/>
  <c r="CW102" i="35"/>
  <c r="CV103" i="35"/>
  <c r="DE121" i="32"/>
  <c r="DD122" i="32"/>
  <c r="DR103" i="36"/>
  <c r="DQ104" i="36"/>
  <c r="CZ109" i="36"/>
  <c r="CY110" i="36"/>
  <c r="DB177" i="35"/>
  <c r="CZ178" i="35"/>
  <c r="DL119" i="33" l="1"/>
  <c r="DK120" i="33"/>
  <c r="EI129" i="37"/>
  <c r="EH130" i="37"/>
  <c r="ES128" i="37"/>
  <c r="ER129" i="37"/>
  <c r="DC113" i="33"/>
  <c r="DB114" i="33"/>
  <c r="DE122" i="32"/>
  <c r="CY123" i="32"/>
  <c r="DN122" i="32"/>
  <c r="DH123" i="32"/>
  <c r="DF104" i="35"/>
  <c r="DE105" i="35"/>
  <c r="CY111" i="36"/>
  <c r="CZ110" i="36"/>
  <c r="CW103" i="35"/>
  <c r="CV104" i="35"/>
  <c r="FC125" i="37"/>
  <c r="FB126" i="37"/>
  <c r="DR104" i="36"/>
  <c r="DQ105" i="36"/>
  <c r="DV114" i="33"/>
  <c r="DU115" i="33"/>
  <c r="DO106" i="35"/>
  <c r="DN107" i="35"/>
  <c r="DB178" i="35"/>
  <c r="CZ179" i="35"/>
  <c r="DI112" i="36"/>
  <c r="DL115" i="36" s="1"/>
  <c r="DH113" i="36"/>
  <c r="DI113" i="36" s="1"/>
  <c r="DL116" i="36" s="1"/>
  <c r="DK121" i="33" l="1"/>
  <c r="DL120" i="33"/>
  <c r="EI130" i="37"/>
  <c r="EH131" i="37"/>
  <c r="DU116" i="33"/>
  <c r="DV115" i="33"/>
  <c r="CW104" i="35"/>
  <c r="CV105" i="35"/>
  <c r="CZ123" i="32"/>
  <c r="CY124" i="32"/>
  <c r="DN115" i="36"/>
  <c r="DH115" i="36"/>
  <c r="DI115" i="36" s="1"/>
  <c r="DR105" i="36"/>
  <c r="DQ106" i="36"/>
  <c r="DC114" i="33"/>
  <c r="DB115" i="33"/>
  <c r="CY112" i="36"/>
  <c r="CZ111" i="36"/>
  <c r="DN116" i="36"/>
  <c r="FC126" i="37"/>
  <c r="FB127" i="37"/>
  <c r="DF105" i="35"/>
  <c r="DE106" i="35"/>
  <c r="ES129" i="37"/>
  <c r="ER130" i="37"/>
  <c r="DB179" i="35"/>
  <c r="CZ180" i="35"/>
  <c r="DN108" i="35"/>
  <c r="DO107" i="35"/>
  <c r="DI123" i="32"/>
  <c r="DH124" i="32"/>
  <c r="DH116" i="36" l="1"/>
  <c r="DI116" i="36" s="1"/>
  <c r="DL121" i="33"/>
  <c r="DK122" i="33"/>
  <c r="EI131" i="37"/>
  <c r="EH132" i="37"/>
  <c r="ES130" i="37"/>
  <c r="ER131" i="37"/>
  <c r="CZ124" i="32"/>
  <c r="CY125" i="32"/>
  <c r="CZ112" i="36"/>
  <c r="CY113" i="36"/>
  <c r="DI124" i="32"/>
  <c r="DH125" i="32"/>
  <c r="DF106" i="35"/>
  <c r="DE107" i="35"/>
  <c r="DB116" i="33"/>
  <c r="DC115" i="33"/>
  <c r="CV106" i="35"/>
  <c r="CW105" i="35"/>
  <c r="DO108" i="35"/>
  <c r="DN109" i="35"/>
  <c r="FC127" i="37"/>
  <c r="FB128" i="37"/>
  <c r="DR106" i="36"/>
  <c r="DQ107" i="36"/>
  <c r="DB180" i="35"/>
  <c r="DV116" i="33"/>
  <c r="DU117" i="33"/>
  <c r="DH117" i="36" l="1"/>
  <c r="DH118" i="36" s="1"/>
  <c r="DL122" i="33"/>
  <c r="DK123" i="33"/>
  <c r="EI132" i="37"/>
  <c r="EH133" i="37"/>
  <c r="FC128" i="37"/>
  <c r="FB129" i="37"/>
  <c r="DF107" i="35"/>
  <c r="DE108" i="35"/>
  <c r="CZ125" i="32"/>
  <c r="CY126" i="32"/>
  <c r="DV117" i="33"/>
  <c r="DU118" i="33"/>
  <c r="DO109" i="35"/>
  <c r="DN110" i="35"/>
  <c r="DI125" i="32"/>
  <c r="DH126" i="32"/>
  <c r="ES131" i="37"/>
  <c r="ER132" i="37"/>
  <c r="CZ113" i="36"/>
  <c r="CY115" i="36"/>
  <c r="CV107" i="35"/>
  <c r="CW106" i="35"/>
  <c r="DR107" i="36"/>
  <c r="DQ108" i="36"/>
  <c r="DC116" i="33"/>
  <c r="DB117" i="33"/>
  <c r="DI117" i="36" l="1"/>
  <c r="DL123" i="33"/>
  <c r="DK124" i="33"/>
  <c r="EI133" i="37"/>
  <c r="EH134" i="37"/>
  <c r="CZ115" i="36"/>
  <c r="CY116" i="36"/>
  <c r="DV118" i="33"/>
  <c r="DU119" i="33"/>
  <c r="DR108" i="36"/>
  <c r="DQ109" i="36"/>
  <c r="ER133" i="37"/>
  <c r="ES132" i="37"/>
  <c r="CZ126" i="32"/>
  <c r="CY127" i="32"/>
  <c r="DC117" i="33"/>
  <c r="DB118" i="33"/>
  <c r="DI126" i="32"/>
  <c r="DH127" i="32"/>
  <c r="DF108" i="35"/>
  <c r="DE109" i="35"/>
  <c r="CW107" i="35"/>
  <c r="CV108" i="35"/>
  <c r="DI118" i="36"/>
  <c r="DH119" i="36"/>
  <c r="DO110" i="35"/>
  <c r="DN111" i="35"/>
  <c r="FC129" i="37"/>
  <c r="FB130" i="37"/>
  <c r="DL124" i="33" l="1"/>
  <c r="DK125" i="33"/>
  <c r="EH135" i="37"/>
  <c r="EI134" i="37"/>
  <c r="DI127" i="32"/>
  <c r="DH128" i="32"/>
  <c r="DR109" i="36"/>
  <c r="DQ111" i="36"/>
  <c r="DH120" i="36"/>
  <c r="DI119" i="36"/>
  <c r="DC118" i="33"/>
  <c r="DB119" i="33"/>
  <c r="FC130" i="37"/>
  <c r="FB131" i="37"/>
  <c r="CW108" i="35"/>
  <c r="CV109" i="35"/>
  <c r="CZ127" i="32"/>
  <c r="CY128" i="32"/>
  <c r="DV119" i="33"/>
  <c r="DU120" i="33"/>
  <c r="DO111" i="35"/>
  <c r="DN112" i="35"/>
  <c r="DF109" i="35"/>
  <c r="DE110" i="35"/>
  <c r="CZ116" i="36"/>
  <c r="CY117" i="36"/>
  <c r="ES133" i="37"/>
  <c r="ER134" i="37"/>
  <c r="DL125" i="33" l="1"/>
  <c r="DK126" i="33"/>
  <c r="EI135" i="37"/>
  <c r="EH136" i="37"/>
  <c r="CW109" i="35"/>
  <c r="CV110" i="35"/>
  <c r="DI120" i="36"/>
  <c r="DH121" i="36"/>
  <c r="DO112" i="35"/>
  <c r="DN113" i="35"/>
  <c r="FB132" i="37"/>
  <c r="FC131" i="37"/>
  <c r="DR111" i="36"/>
  <c r="DQ112" i="36"/>
  <c r="DF110" i="35"/>
  <c r="DE111" i="35"/>
  <c r="ES134" i="37"/>
  <c r="ER135" i="37"/>
  <c r="DV120" i="33"/>
  <c r="DU121" i="33"/>
  <c r="DI128" i="32"/>
  <c r="DH129" i="32"/>
  <c r="CZ117" i="36"/>
  <c r="CY118" i="36"/>
  <c r="CZ128" i="32"/>
  <c r="CY129" i="32"/>
  <c r="DC119" i="33"/>
  <c r="DB120" i="33"/>
  <c r="DL126" i="33" l="1"/>
  <c r="DK127" i="33"/>
  <c r="EI136" i="37"/>
  <c r="EH137" i="37"/>
  <c r="FC132" i="37"/>
  <c r="FB133" i="37"/>
  <c r="CZ118" i="36"/>
  <c r="CY119" i="36"/>
  <c r="ES135" i="37"/>
  <c r="ER136" i="37"/>
  <c r="DO113" i="35"/>
  <c r="DN114" i="35"/>
  <c r="CZ129" i="32"/>
  <c r="CY130" i="32"/>
  <c r="DI129" i="32"/>
  <c r="DH130" i="32"/>
  <c r="DE112" i="35"/>
  <c r="DF111" i="35"/>
  <c r="DI121" i="36"/>
  <c r="DL124" i="36" s="1"/>
  <c r="DH122" i="36"/>
  <c r="DI122" i="36" s="1"/>
  <c r="DL125" i="36" s="1"/>
  <c r="DV121" i="33"/>
  <c r="DU122" i="33"/>
  <c r="DC120" i="33"/>
  <c r="DB121" i="33"/>
  <c r="DR112" i="36"/>
  <c r="DQ113" i="36"/>
  <c r="CW110" i="35"/>
  <c r="CV111" i="35"/>
  <c r="DL127" i="33" l="1"/>
  <c r="DK128" i="33"/>
  <c r="EH138" i="37"/>
  <c r="EI137" i="37"/>
  <c r="DR113" i="36"/>
  <c r="DQ114" i="36"/>
  <c r="DN115" i="35"/>
  <c r="DO114" i="35"/>
  <c r="DF112" i="35"/>
  <c r="DE113" i="35"/>
  <c r="DC121" i="33"/>
  <c r="DB122" i="33"/>
  <c r="DI130" i="32"/>
  <c r="DH131" i="32"/>
  <c r="ES136" i="37"/>
  <c r="ER137" i="37"/>
  <c r="CW111" i="35"/>
  <c r="CV112" i="35"/>
  <c r="DV122" i="33"/>
  <c r="DU123" i="33"/>
  <c r="CY120" i="36"/>
  <c r="CZ119" i="36"/>
  <c r="DN125" i="36"/>
  <c r="CZ130" i="32"/>
  <c r="CY131" i="32"/>
  <c r="FC133" i="37"/>
  <c r="FB134" i="37"/>
  <c r="DH124" i="36"/>
  <c r="DI124" i="36" s="1"/>
  <c r="DN124" i="36"/>
  <c r="DL128" i="33" l="1"/>
  <c r="DK129" i="33"/>
  <c r="EH139" i="37"/>
  <c r="EI138" i="37"/>
  <c r="DH125" i="36"/>
  <c r="CW112" i="35"/>
  <c r="CV113" i="35"/>
  <c r="DF113" i="35"/>
  <c r="DE114" i="35"/>
  <c r="ES137" i="37"/>
  <c r="ER138" i="37"/>
  <c r="CZ120" i="36"/>
  <c r="CY121" i="36"/>
  <c r="DO115" i="35"/>
  <c r="DN116" i="35"/>
  <c r="FC134" i="37"/>
  <c r="FB135" i="37"/>
  <c r="DI131" i="32"/>
  <c r="DH132" i="32"/>
  <c r="CZ131" i="32"/>
  <c r="CY132" i="32"/>
  <c r="DU124" i="33"/>
  <c r="DV123" i="33"/>
  <c r="DC122" i="33"/>
  <c r="DB123" i="33"/>
  <c r="DR114" i="36"/>
  <c r="DQ115" i="36"/>
  <c r="DK130" i="33" l="1"/>
  <c r="DL129" i="33"/>
  <c r="EH140" i="37"/>
  <c r="EI139" i="37"/>
  <c r="ES138" i="37"/>
  <c r="ER139" i="37"/>
  <c r="DV124" i="33"/>
  <c r="DU125" i="33"/>
  <c r="CZ132" i="32"/>
  <c r="CY133" i="32"/>
  <c r="FC135" i="37"/>
  <c r="FB136" i="37"/>
  <c r="DF114" i="35"/>
  <c r="DE115" i="35"/>
  <c r="DR115" i="36"/>
  <c r="DQ116" i="36"/>
  <c r="DO116" i="35"/>
  <c r="DN117" i="35"/>
  <c r="CW113" i="35"/>
  <c r="CV114" i="35"/>
  <c r="DC123" i="33"/>
  <c r="DB124" i="33"/>
  <c r="DI132" i="32"/>
  <c r="DH133" i="32"/>
  <c r="CZ121" i="36"/>
  <c r="CY122" i="36"/>
  <c r="DH126" i="36"/>
  <c r="DI125" i="36"/>
  <c r="DK131" i="33" l="1"/>
  <c r="DL130" i="33"/>
  <c r="EI140" i="37"/>
  <c r="EH141" i="37"/>
  <c r="CZ133" i="32"/>
  <c r="CY134" i="32"/>
  <c r="DI133" i="32"/>
  <c r="DH134" i="32"/>
  <c r="DC124" i="33"/>
  <c r="DB125" i="33"/>
  <c r="DR116" i="36"/>
  <c r="DQ117" i="36"/>
  <c r="DV125" i="33"/>
  <c r="DU126" i="33"/>
  <c r="CW114" i="35"/>
  <c r="CV115" i="35"/>
  <c r="DF115" i="35"/>
  <c r="DE116" i="35"/>
  <c r="DI126" i="36"/>
  <c r="DH127" i="36"/>
  <c r="CZ122" i="36"/>
  <c r="CY124" i="36"/>
  <c r="DO117" i="35"/>
  <c r="DN118" i="35"/>
  <c r="FC136" i="37"/>
  <c r="FB137" i="37"/>
  <c r="ES139" i="37"/>
  <c r="ER140" i="37"/>
  <c r="DL131" i="33" l="1"/>
  <c r="DK132" i="33"/>
  <c r="EI141" i="37"/>
  <c r="EH142" i="37"/>
  <c r="DO118" i="35"/>
  <c r="DN119" i="35"/>
  <c r="DR117" i="36"/>
  <c r="DQ118" i="36"/>
  <c r="CZ124" i="36"/>
  <c r="CY125" i="36"/>
  <c r="DF116" i="35"/>
  <c r="DE117" i="35"/>
  <c r="DC125" i="33"/>
  <c r="DB126" i="33"/>
  <c r="ES140" i="37"/>
  <c r="ER141" i="37"/>
  <c r="DH128" i="36"/>
  <c r="DI127" i="36"/>
  <c r="CW115" i="35"/>
  <c r="CV116" i="35"/>
  <c r="DI134" i="32"/>
  <c r="DH135" i="32"/>
  <c r="FC137" i="37"/>
  <c r="FB138" i="37"/>
  <c r="DV126" i="33"/>
  <c r="DU127" i="33"/>
  <c r="CZ134" i="32"/>
  <c r="CY135" i="32"/>
  <c r="DK133" i="33" l="1"/>
  <c r="DL132" i="33"/>
  <c r="EH143" i="37"/>
  <c r="EI142" i="37"/>
  <c r="CZ125" i="36"/>
  <c r="CY126" i="36"/>
  <c r="FC138" i="37"/>
  <c r="FB139" i="37"/>
  <c r="ES141" i="37"/>
  <c r="ER142" i="37"/>
  <c r="DR118" i="36"/>
  <c r="DQ119" i="36"/>
  <c r="CZ135" i="32"/>
  <c r="CY136" i="32"/>
  <c r="DI135" i="32"/>
  <c r="DH136" i="32"/>
  <c r="DC126" i="33"/>
  <c r="DB127" i="33"/>
  <c r="DV127" i="33"/>
  <c r="DU128" i="33"/>
  <c r="CW116" i="35"/>
  <c r="CV117" i="35"/>
  <c r="DF117" i="35"/>
  <c r="DE118" i="35"/>
  <c r="DO119" i="35"/>
  <c r="DN120" i="35"/>
  <c r="DI128" i="36"/>
  <c r="DH129" i="36"/>
  <c r="DL133" i="33" l="1"/>
  <c r="DK134" i="33"/>
  <c r="EI143" i="37"/>
  <c r="EH144" i="37"/>
  <c r="DF118" i="35"/>
  <c r="DE119" i="35"/>
  <c r="DR119" i="36"/>
  <c r="DQ120" i="36"/>
  <c r="CW117" i="35"/>
  <c r="CV118" i="35"/>
  <c r="DC127" i="33"/>
  <c r="DB128" i="33"/>
  <c r="ES142" i="37"/>
  <c r="ER143" i="37"/>
  <c r="DI129" i="36"/>
  <c r="DH130" i="36"/>
  <c r="DV128" i="33"/>
  <c r="DU129" i="33"/>
  <c r="DI136" i="32"/>
  <c r="DH137" i="32"/>
  <c r="FC139" i="37"/>
  <c r="FB140" i="37"/>
  <c r="DO120" i="35"/>
  <c r="DN121" i="35"/>
  <c r="CZ136" i="32"/>
  <c r="CY137" i="32"/>
  <c r="CZ126" i="36"/>
  <c r="CY127" i="36"/>
  <c r="DL134" i="33" l="1"/>
  <c r="DK135" i="33"/>
  <c r="EI144" i="37"/>
  <c r="EH145" i="37"/>
  <c r="DV129" i="33"/>
  <c r="DU130" i="33"/>
  <c r="CW118" i="35"/>
  <c r="CV119" i="35"/>
  <c r="DO121" i="35"/>
  <c r="DN122" i="35"/>
  <c r="DI130" i="36"/>
  <c r="DL133" i="36" s="1"/>
  <c r="DH131" i="36"/>
  <c r="DI131" i="36" s="1"/>
  <c r="DL134" i="36" s="1"/>
  <c r="DR120" i="36"/>
  <c r="DQ121" i="36"/>
  <c r="CZ127" i="36"/>
  <c r="CY128" i="36"/>
  <c r="FC140" i="37"/>
  <c r="FB141" i="37"/>
  <c r="ES143" i="37"/>
  <c r="ER144" i="37"/>
  <c r="CZ137" i="32"/>
  <c r="CY138" i="32"/>
  <c r="DI137" i="32"/>
  <c r="DH138" i="32"/>
  <c r="DC128" i="33"/>
  <c r="DB129" i="33"/>
  <c r="DE120" i="35"/>
  <c r="DF119" i="35"/>
  <c r="DL135" i="33" l="1"/>
  <c r="DK136" i="33"/>
  <c r="EI145" i="37"/>
  <c r="EH146" i="37"/>
  <c r="DC129" i="33"/>
  <c r="DB130" i="33"/>
  <c r="DI138" i="32"/>
  <c r="DH139" i="32"/>
  <c r="FC141" i="37"/>
  <c r="FB142" i="37"/>
  <c r="DO122" i="35"/>
  <c r="DN123" i="35"/>
  <c r="CZ138" i="32"/>
  <c r="CY139" i="32"/>
  <c r="CY129" i="36"/>
  <c r="CZ128" i="36"/>
  <c r="CW119" i="35"/>
  <c r="CV120" i="35"/>
  <c r="DR121" i="36"/>
  <c r="DQ122" i="36"/>
  <c r="DV130" i="33"/>
  <c r="DU131" i="33"/>
  <c r="ES144" i="37"/>
  <c r="ER145" i="37"/>
  <c r="DF120" i="35"/>
  <c r="DE121" i="35"/>
  <c r="DN134" i="36"/>
  <c r="DN133" i="36"/>
  <c r="DH133" i="36"/>
  <c r="DI133" i="36" s="1"/>
  <c r="DL136" i="33" l="1"/>
  <c r="DK137" i="33"/>
  <c r="EI146" i="37"/>
  <c r="EH147" i="37"/>
  <c r="DF121" i="35"/>
  <c r="DE122" i="35"/>
  <c r="DO123" i="35"/>
  <c r="DN124" i="35"/>
  <c r="ES145" i="37"/>
  <c r="ER146" i="37"/>
  <c r="CW120" i="35"/>
  <c r="CV121" i="35"/>
  <c r="FC142" i="37"/>
  <c r="FB143" i="37"/>
  <c r="DU132" i="33"/>
  <c r="DV131" i="33"/>
  <c r="DI139" i="32"/>
  <c r="DH140" i="32"/>
  <c r="CZ129" i="36"/>
  <c r="CY130" i="36"/>
  <c r="DH134" i="36"/>
  <c r="DR122" i="36"/>
  <c r="DQ123" i="36"/>
  <c r="CZ139" i="32"/>
  <c r="CY140" i="32"/>
  <c r="DC130" i="33"/>
  <c r="DB131" i="33"/>
  <c r="DL137" i="33" l="1"/>
  <c r="DK138" i="33"/>
  <c r="EI147" i="37"/>
  <c r="EH148" i="37"/>
  <c r="ES146" i="37"/>
  <c r="ER147" i="37"/>
  <c r="DO124" i="35"/>
  <c r="DN125" i="35"/>
  <c r="DV132" i="33"/>
  <c r="DU133" i="33"/>
  <c r="CZ130" i="36"/>
  <c r="CY131" i="36"/>
  <c r="FC143" i="37"/>
  <c r="FB144" i="37"/>
  <c r="DR123" i="36"/>
  <c r="DQ125" i="36"/>
  <c r="DH135" i="36"/>
  <c r="DI134" i="36"/>
  <c r="DB132" i="33"/>
  <c r="DC131" i="33"/>
  <c r="DI140" i="32"/>
  <c r="DH141" i="32"/>
  <c r="CW121" i="35"/>
  <c r="CV122" i="35"/>
  <c r="DF122" i="35"/>
  <c r="DE123" i="35"/>
  <c r="CZ140" i="32"/>
  <c r="CY141" i="32"/>
  <c r="DL138" i="33" l="1"/>
  <c r="DK139" i="33"/>
  <c r="EI148" i="37"/>
  <c r="EH149" i="37"/>
  <c r="CW122" i="35"/>
  <c r="CV123" i="35"/>
  <c r="DR125" i="36"/>
  <c r="DQ126" i="36"/>
  <c r="DV133" i="33"/>
  <c r="DU134" i="33"/>
  <c r="DI141" i="32"/>
  <c r="DH142" i="32"/>
  <c r="DO125" i="35"/>
  <c r="DN126" i="35"/>
  <c r="FC144" i="37"/>
  <c r="FB145" i="37"/>
  <c r="DC132" i="33"/>
  <c r="DB133" i="33"/>
  <c r="DF123" i="35"/>
  <c r="DE124" i="35"/>
  <c r="CZ131" i="36"/>
  <c r="CY133" i="36"/>
  <c r="ES147" i="37"/>
  <c r="ER148" i="37"/>
  <c r="CZ141" i="32"/>
  <c r="CY142" i="32"/>
  <c r="DI135" i="36"/>
  <c r="DH136" i="36"/>
  <c r="DL139" i="33" l="1"/>
  <c r="DK140" i="33"/>
  <c r="EI149" i="37"/>
  <c r="EH150" i="37"/>
  <c r="ES148" i="37"/>
  <c r="ER149" i="37"/>
  <c r="DI142" i="32"/>
  <c r="DH143" i="32"/>
  <c r="CZ133" i="36"/>
  <c r="CY134" i="36"/>
  <c r="FC145" i="37"/>
  <c r="FB146" i="37"/>
  <c r="DV134" i="33"/>
  <c r="DU135" i="33"/>
  <c r="DH137" i="36"/>
  <c r="DI136" i="36"/>
  <c r="DF124" i="35"/>
  <c r="DE125" i="35"/>
  <c r="DO126" i="35"/>
  <c r="DN127" i="35"/>
  <c r="DR126" i="36"/>
  <c r="DQ127" i="36"/>
  <c r="CZ142" i="32"/>
  <c r="CY143" i="32"/>
  <c r="DC133" i="33"/>
  <c r="DB134" i="33"/>
  <c r="CW123" i="35"/>
  <c r="CV124" i="35"/>
  <c r="DL140" i="33" l="1"/>
  <c r="DK141" i="33"/>
  <c r="EI150" i="37"/>
  <c r="EH151" i="37"/>
  <c r="DF125" i="35"/>
  <c r="DE126" i="35"/>
  <c r="CZ134" i="36"/>
  <c r="CY135" i="36"/>
  <c r="DI143" i="32"/>
  <c r="DH144" i="32"/>
  <c r="CZ143" i="32"/>
  <c r="CY144" i="32"/>
  <c r="DH138" i="36"/>
  <c r="DI137" i="36"/>
  <c r="DC134" i="33"/>
  <c r="DB135" i="33"/>
  <c r="DR127" i="36"/>
  <c r="DQ128" i="36"/>
  <c r="DV135" i="33"/>
  <c r="DU136" i="33"/>
  <c r="CW124" i="35"/>
  <c r="CV125" i="35"/>
  <c r="DO127" i="35"/>
  <c r="DN128" i="35"/>
  <c r="FC146" i="37"/>
  <c r="FB147" i="37"/>
  <c r="ES149" i="37"/>
  <c r="ER150" i="37"/>
  <c r="DK142" i="33" l="1"/>
  <c r="DL141" i="33"/>
  <c r="EI151" i="37"/>
  <c r="EH152" i="37"/>
  <c r="DO128" i="35"/>
  <c r="DN129" i="35"/>
  <c r="DR128" i="36"/>
  <c r="DQ129" i="36"/>
  <c r="CZ144" i="32"/>
  <c r="CY145" i="32"/>
  <c r="CW125" i="35"/>
  <c r="CV126" i="35"/>
  <c r="DI144" i="32"/>
  <c r="DH145" i="32"/>
  <c r="ER151" i="37"/>
  <c r="ES150" i="37"/>
  <c r="DC135" i="33"/>
  <c r="DB136" i="33"/>
  <c r="CY136" i="36"/>
  <c r="CZ135" i="36"/>
  <c r="FC147" i="37"/>
  <c r="FB148" i="37"/>
  <c r="DV136" i="33"/>
  <c r="DU137" i="33"/>
  <c r="DF126" i="35"/>
  <c r="DE127" i="35"/>
  <c r="DI138" i="36"/>
  <c r="DH139" i="36"/>
  <c r="DK143" i="33" l="1"/>
  <c r="DL142" i="33"/>
  <c r="EI152" i="37"/>
  <c r="EH153" i="37"/>
  <c r="DV137" i="33"/>
  <c r="DU138" i="33"/>
  <c r="CW126" i="35"/>
  <c r="CV127" i="35"/>
  <c r="FC148" i="37"/>
  <c r="FB149" i="37"/>
  <c r="CZ145" i="32"/>
  <c r="CY146" i="32"/>
  <c r="ES151" i="37"/>
  <c r="ER152" i="37"/>
  <c r="DH140" i="36"/>
  <c r="DI140" i="36" s="1"/>
  <c r="DL143" i="36" s="1"/>
  <c r="DI139" i="36"/>
  <c r="DL142" i="36" s="1"/>
  <c r="DI145" i="32"/>
  <c r="DH146" i="32"/>
  <c r="DR129" i="36"/>
  <c r="DQ130" i="36"/>
  <c r="CZ136" i="36"/>
  <c r="CY137" i="36"/>
  <c r="DE128" i="35"/>
  <c r="DF127" i="35"/>
  <c r="DC136" i="33"/>
  <c r="DB137" i="33"/>
  <c r="DO129" i="35"/>
  <c r="DN130" i="35"/>
  <c r="DL143" i="33" l="1"/>
  <c r="DK144" i="33"/>
  <c r="EI153" i="37"/>
  <c r="EH154" i="37"/>
  <c r="DC137" i="33"/>
  <c r="DB138" i="33"/>
  <c r="DI146" i="32"/>
  <c r="DH147" i="32"/>
  <c r="FB150" i="37"/>
  <c r="FC149" i="37"/>
  <c r="DN142" i="36"/>
  <c r="DH142" i="36"/>
  <c r="DI142" i="36" s="1"/>
  <c r="CW127" i="35"/>
  <c r="CV128" i="35"/>
  <c r="DN143" i="36"/>
  <c r="DF128" i="35"/>
  <c r="DE129" i="35"/>
  <c r="DN131" i="35"/>
  <c r="DO130" i="35"/>
  <c r="CY138" i="36"/>
  <c r="CZ137" i="36"/>
  <c r="ES152" i="37"/>
  <c r="ER153" i="37"/>
  <c r="DR130" i="36"/>
  <c r="DQ131" i="36"/>
  <c r="CZ146" i="32"/>
  <c r="CY147" i="32"/>
  <c r="DU139" i="33"/>
  <c r="DV138" i="33"/>
  <c r="DL144" i="33" l="1"/>
  <c r="DK145" i="33"/>
  <c r="EH155" i="37"/>
  <c r="EI154" i="37"/>
  <c r="DF129" i="35"/>
  <c r="DE130" i="35"/>
  <c r="DU140" i="33"/>
  <c r="DV139" i="33"/>
  <c r="FB151" i="37"/>
  <c r="FC150" i="37"/>
  <c r="CZ147" i="32"/>
  <c r="CY148" i="32"/>
  <c r="ES153" i="37"/>
  <c r="ER154" i="37"/>
  <c r="DH143" i="36"/>
  <c r="DI147" i="32"/>
  <c r="DH148" i="32"/>
  <c r="DO131" i="35"/>
  <c r="DN132" i="35"/>
  <c r="DR131" i="36"/>
  <c r="DQ132" i="36"/>
  <c r="CW128" i="35"/>
  <c r="CV129" i="35"/>
  <c r="DC138" i="33"/>
  <c r="DB139" i="33"/>
  <c r="CZ138" i="36"/>
  <c r="CY139" i="36"/>
  <c r="DK146" i="33" l="1"/>
  <c r="DL145" i="33"/>
  <c r="EH156" i="37"/>
  <c r="EI155" i="37"/>
  <c r="CW129" i="35"/>
  <c r="CV130" i="35"/>
  <c r="DH144" i="36"/>
  <c r="DI143" i="36"/>
  <c r="FC151" i="37"/>
  <c r="FB152" i="37"/>
  <c r="ES154" i="37"/>
  <c r="ER155" i="37"/>
  <c r="DR132" i="36"/>
  <c r="DQ133" i="36"/>
  <c r="DV140" i="33"/>
  <c r="DU141" i="33"/>
  <c r="CZ148" i="32"/>
  <c r="CY149" i="32"/>
  <c r="DF130" i="35"/>
  <c r="DE131" i="35"/>
  <c r="CY140" i="36"/>
  <c r="CZ139" i="36"/>
  <c r="DO132" i="35"/>
  <c r="DN133" i="35"/>
  <c r="DC139" i="33"/>
  <c r="DB140" i="33"/>
  <c r="DI148" i="32"/>
  <c r="DH149" i="32"/>
  <c r="DK147" i="33" l="1"/>
  <c r="DL146" i="33"/>
  <c r="EH157" i="37"/>
  <c r="EI156" i="37"/>
  <c r="DF131" i="35"/>
  <c r="DE132" i="35"/>
  <c r="ES155" i="37"/>
  <c r="ER156" i="37"/>
  <c r="CZ149" i="32"/>
  <c r="CY150" i="32"/>
  <c r="FC152" i="37"/>
  <c r="FB153" i="37"/>
  <c r="DI149" i="32"/>
  <c r="DH150" i="32"/>
  <c r="DO133" i="35"/>
  <c r="DN134" i="35"/>
  <c r="DV141" i="33"/>
  <c r="DU142" i="33"/>
  <c r="DH145" i="36"/>
  <c r="DI144" i="36"/>
  <c r="DC140" i="33"/>
  <c r="DB141" i="33"/>
  <c r="DR133" i="36"/>
  <c r="DQ134" i="36"/>
  <c r="CW130" i="35"/>
  <c r="CV131" i="35"/>
  <c r="CZ140" i="36"/>
  <c r="CY142" i="36"/>
  <c r="DK148" i="33" l="1"/>
  <c r="DL147" i="33"/>
  <c r="EI157" i="37"/>
  <c r="EH158" i="37"/>
  <c r="DO134" i="35"/>
  <c r="DN135" i="35"/>
  <c r="DC141" i="33"/>
  <c r="DB142" i="33"/>
  <c r="DI150" i="32"/>
  <c r="DH151" i="32"/>
  <c r="DR134" i="36"/>
  <c r="DQ135" i="36"/>
  <c r="FC153" i="37"/>
  <c r="FB154" i="37"/>
  <c r="ES156" i="37"/>
  <c r="ER157" i="37"/>
  <c r="CZ142" i="36"/>
  <c r="CY143" i="36"/>
  <c r="DI145" i="36"/>
  <c r="DH146" i="36"/>
  <c r="CW131" i="35"/>
  <c r="CV132" i="35"/>
  <c r="DV142" i="33"/>
  <c r="DU143" i="33"/>
  <c r="CZ150" i="32"/>
  <c r="CY151" i="32"/>
  <c r="DF132" i="35"/>
  <c r="DE133" i="35"/>
  <c r="DL148" i="33" l="1"/>
  <c r="DK149" i="33"/>
  <c r="EH159" i="37"/>
  <c r="EI158" i="37"/>
  <c r="ES157" i="37"/>
  <c r="ER158" i="37"/>
  <c r="DI151" i="32"/>
  <c r="DH152" i="32"/>
  <c r="DV143" i="33"/>
  <c r="DU144" i="33"/>
  <c r="CW132" i="35"/>
  <c r="CV133" i="35"/>
  <c r="FC154" i="37"/>
  <c r="FB155" i="37"/>
  <c r="DC142" i="33"/>
  <c r="DB143" i="33"/>
  <c r="DF133" i="35"/>
  <c r="DE134" i="35"/>
  <c r="DI146" i="36"/>
  <c r="DH147" i="36"/>
  <c r="DR135" i="36"/>
  <c r="DQ136" i="36"/>
  <c r="CZ151" i="32"/>
  <c r="CY152" i="32"/>
  <c r="CY144" i="36"/>
  <c r="CZ143" i="36"/>
  <c r="DO135" i="35"/>
  <c r="DN136" i="35"/>
  <c r="DL149" i="33" l="1"/>
  <c r="DK150" i="33"/>
  <c r="EI159" i="37"/>
  <c r="EH160" i="37"/>
  <c r="DI147" i="36"/>
  <c r="DH148" i="36"/>
  <c r="CW133" i="35"/>
  <c r="CV134" i="35"/>
  <c r="CZ144" i="36"/>
  <c r="CY145" i="36"/>
  <c r="CZ152" i="32"/>
  <c r="CY153" i="32"/>
  <c r="DF134" i="35"/>
  <c r="DE135" i="35"/>
  <c r="DV144" i="33"/>
  <c r="DU145" i="33"/>
  <c r="DO136" i="35"/>
  <c r="DN137" i="35"/>
  <c r="DC143" i="33"/>
  <c r="DB144" i="33"/>
  <c r="DI152" i="32"/>
  <c r="DH153" i="32"/>
  <c r="DR136" i="36"/>
  <c r="DQ137" i="36"/>
  <c r="FC155" i="37"/>
  <c r="FB156" i="37"/>
  <c r="ES158" i="37"/>
  <c r="ER159" i="37"/>
  <c r="DL150" i="33" l="1"/>
  <c r="DK151" i="33"/>
  <c r="EH161" i="37"/>
  <c r="EI160" i="37"/>
  <c r="CZ153" i="32"/>
  <c r="CY154" i="32"/>
  <c r="DR137" i="36"/>
  <c r="DQ139" i="36"/>
  <c r="DO137" i="35"/>
  <c r="DN138" i="35"/>
  <c r="CY146" i="36"/>
  <c r="CZ145" i="36"/>
  <c r="ES159" i="37"/>
  <c r="ER160" i="37"/>
  <c r="DI153" i="32"/>
  <c r="DH154" i="32"/>
  <c r="DV145" i="33"/>
  <c r="DU146" i="33"/>
  <c r="CW134" i="35"/>
  <c r="CV135" i="35"/>
  <c r="FC156" i="37"/>
  <c r="FB157" i="37"/>
  <c r="DC144" i="33"/>
  <c r="DB145" i="33"/>
  <c r="DF135" i="35"/>
  <c r="DE136" i="35"/>
  <c r="DI148" i="36"/>
  <c r="DH149" i="36"/>
  <c r="DK152" i="33" l="1"/>
  <c r="DL151" i="33"/>
  <c r="EH162" i="37"/>
  <c r="EI161" i="37"/>
  <c r="DI154" i="32"/>
  <c r="DH155" i="32"/>
  <c r="FC157" i="37"/>
  <c r="FB158" i="37"/>
  <c r="ER161" i="37"/>
  <c r="ES160" i="37"/>
  <c r="DR139" i="36"/>
  <c r="DQ140" i="36"/>
  <c r="DC145" i="33"/>
  <c r="DB146" i="33"/>
  <c r="DH150" i="36"/>
  <c r="DI149" i="36"/>
  <c r="CW135" i="35"/>
  <c r="CV136" i="35"/>
  <c r="CZ154" i="32"/>
  <c r="CY155" i="32"/>
  <c r="CY147" i="36"/>
  <c r="CZ146" i="36"/>
  <c r="DF136" i="35"/>
  <c r="DE137" i="35"/>
  <c r="DV146" i="33"/>
  <c r="DU147" i="33"/>
  <c r="DO138" i="35"/>
  <c r="DN139" i="35"/>
  <c r="DL152" i="33" l="1"/>
  <c r="DK153" i="33"/>
  <c r="EI162" i="37"/>
  <c r="EH163" i="37"/>
  <c r="DU148" i="33"/>
  <c r="DV147" i="33"/>
  <c r="ES161" i="37"/>
  <c r="ER162" i="37"/>
  <c r="FC158" i="37"/>
  <c r="FB159" i="37"/>
  <c r="DH151" i="36"/>
  <c r="DI150" i="36"/>
  <c r="CW136" i="35"/>
  <c r="CV137" i="35"/>
  <c r="DB147" i="33"/>
  <c r="DC146" i="33"/>
  <c r="CY148" i="36"/>
  <c r="CZ147" i="36"/>
  <c r="DO139" i="35"/>
  <c r="DN140" i="35"/>
  <c r="CZ155" i="32"/>
  <c r="CY156" i="32"/>
  <c r="DR140" i="36"/>
  <c r="DQ141" i="36"/>
  <c r="DI155" i="32"/>
  <c r="DH156" i="32"/>
  <c r="DF137" i="35"/>
  <c r="DE138" i="35"/>
  <c r="DK154" i="33" l="1"/>
  <c r="DL153" i="33"/>
  <c r="EH164" i="37"/>
  <c r="EI163" i="37"/>
  <c r="DR141" i="36"/>
  <c r="DQ142" i="36"/>
  <c r="DH152" i="36"/>
  <c r="DI152" i="36" s="1"/>
  <c r="DL155" i="36" s="1"/>
  <c r="DI151" i="36"/>
  <c r="DL154" i="36" s="1"/>
  <c r="FC159" i="37"/>
  <c r="FB160" i="37"/>
  <c r="DC147" i="33"/>
  <c r="DB148" i="33"/>
  <c r="DF138" i="35"/>
  <c r="DE139" i="35"/>
  <c r="DO140" i="35"/>
  <c r="DN141" i="35"/>
  <c r="ES162" i="37"/>
  <c r="ER163" i="37"/>
  <c r="DI156" i="32"/>
  <c r="DH157" i="32"/>
  <c r="CV138" i="35"/>
  <c r="CW137" i="35"/>
  <c r="CZ156" i="32"/>
  <c r="CY157" i="32"/>
  <c r="CZ148" i="36"/>
  <c r="CY149" i="36"/>
  <c r="DU149" i="33"/>
  <c r="DV148" i="33"/>
  <c r="DL154" i="33" l="1"/>
  <c r="DK155" i="33"/>
  <c r="EH165" i="37"/>
  <c r="EI164" i="37"/>
  <c r="CZ157" i="32"/>
  <c r="CY158" i="32"/>
  <c r="FC160" i="37"/>
  <c r="FB161" i="37"/>
  <c r="DO141" i="35"/>
  <c r="DN142" i="35"/>
  <c r="CV139" i="35"/>
  <c r="CW138" i="35"/>
  <c r="DH154" i="36"/>
  <c r="DI154" i="36" s="1"/>
  <c r="DN154" i="36"/>
  <c r="DN155" i="36"/>
  <c r="DI157" i="32"/>
  <c r="DH158" i="32"/>
  <c r="DV149" i="33"/>
  <c r="DU150" i="33"/>
  <c r="CZ149" i="36"/>
  <c r="CY150" i="36"/>
  <c r="ES163" i="37"/>
  <c r="ER164" i="37"/>
  <c r="DC148" i="33"/>
  <c r="DB149" i="33"/>
  <c r="DR142" i="36"/>
  <c r="DQ143" i="36"/>
  <c r="DF139" i="35"/>
  <c r="DE140" i="35"/>
  <c r="DH155" i="36" l="1"/>
  <c r="DI155" i="36" s="1"/>
  <c r="DL155" i="33"/>
  <c r="DK156" i="33"/>
  <c r="EI165" i="37"/>
  <c r="EH166" i="37"/>
  <c r="ES164" i="37"/>
  <c r="ER165" i="37"/>
  <c r="DH156" i="36"/>
  <c r="DO142" i="35"/>
  <c r="DN143" i="35"/>
  <c r="FC161" i="37"/>
  <c r="FB162" i="37"/>
  <c r="DF140" i="35"/>
  <c r="DE141" i="35"/>
  <c r="DR143" i="36"/>
  <c r="DQ144" i="36"/>
  <c r="DV150" i="33"/>
  <c r="DU151" i="33"/>
  <c r="CZ150" i="36"/>
  <c r="CY151" i="36"/>
  <c r="CV140" i="35"/>
  <c r="CW139" i="35"/>
  <c r="DI158" i="32"/>
  <c r="DH159" i="32"/>
  <c r="CZ158" i="32"/>
  <c r="CY159" i="32"/>
  <c r="DC149" i="33"/>
  <c r="DB150" i="33"/>
  <c r="DL156" i="33" l="1"/>
  <c r="DK157" i="33"/>
  <c r="DK158" i="33" s="1"/>
  <c r="DK159" i="33" s="1"/>
  <c r="DK160" i="33" s="1"/>
  <c r="DK161" i="33" s="1"/>
  <c r="EI166" i="37"/>
  <c r="EH167" i="37"/>
  <c r="FC162" i="37"/>
  <c r="FB163" i="37"/>
  <c r="DI159" i="32"/>
  <c r="DH160" i="32"/>
  <c r="DV151" i="33"/>
  <c r="DU152" i="33"/>
  <c r="DO143" i="35"/>
  <c r="DN144" i="35"/>
  <c r="DC150" i="33"/>
  <c r="DB151" i="33"/>
  <c r="DR144" i="36"/>
  <c r="DQ145" i="36"/>
  <c r="DH157" i="36"/>
  <c r="DI156" i="36"/>
  <c r="CW140" i="35"/>
  <c r="CV141" i="35"/>
  <c r="CZ159" i="32"/>
  <c r="CY160" i="32"/>
  <c r="CY152" i="36"/>
  <c r="CZ151" i="36"/>
  <c r="DF141" i="35"/>
  <c r="DE142" i="35"/>
  <c r="ES165" i="37"/>
  <c r="ER166" i="37"/>
  <c r="DK162" i="33" l="1"/>
  <c r="DL161" i="33"/>
  <c r="EI167" i="37"/>
  <c r="EH168" i="37"/>
  <c r="DR145" i="36"/>
  <c r="DQ146" i="36"/>
  <c r="DH163" i="32"/>
  <c r="DI160" i="32"/>
  <c r="DH161" i="32"/>
  <c r="CZ160" i="32"/>
  <c r="CY161" i="32"/>
  <c r="DC151" i="33"/>
  <c r="DB152" i="33"/>
  <c r="FC163" i="37"/>
  <c r="FB164" i="37"/>
  <c r="CZ152" i="36"/>
  <c r="CY154" i="36"/>
  <c r="ES166" i="37"/>
  <c r="ER167" i="37"/>
  <c r="CW141" i="35"/>
  <c r="CV142" i="35"/>
  <c r="DO144" i="35"/>
  <c r="DN145" i="35"/>
  <c r="DF142" i="35"/>
  <c r="DE143" i="35"/>
  <c r="DV152" i="33"/>
  <c r="DU153" i="33"/>
  <c r="DH158" i="36"/>
  <c r="DI157" i="36"/>
  <c r="DL162" i="33" l="1"/>
  <c r="DK163" i="33"/>
  <c r="EI168" i="37"/>
  <c r="EH169" i="37"/>
  <c r="DE144" i="35"/>
  <c r="DF143" i="35"/>
  <c r="ES167" i="37"/>
  <c r="ER168" i="37"/>
  <c r="CZ161" i="32"/>
  <c r="CY163" i="32"/>
  <c r="CY164" i="32" s="1"/>
  <c r="CY162" i="32"/>
  <c r="CZ162" i="32" s="1"/>
  <c r="CZ154" i="36"/>
  <c r="CY155" i="36"/>
  <c r="DH162" i="32"/>
  <c r="DI162" i="32" s="1"/>
  <c r="DI161" i="32"/>
  <c r="DO145" i="35"/>
  <c r="DN146" i="35"/>
  <c r="FC164" i="37"/>
  <c r="FB165" i="37"/>
  <c r="DI163" i="32"/>
  <c r="DH164" i="32"/>
  <c r="DR146" i="36"/>
  <c r="DQ147" i="36"/>
  <c r="DH159" i="36"/>
  <c r="DI158" i="36"/>
  <c r="DV153" i="33"/>
  <c r="DU154" i="33"/>
  <c r="CW142" i="35"/>
  <c r="CV143" i="35"/>
  <c r="DC152" i="33"/>
  <c r="DB153" i="33"/>
  <c r="DL163" i="33" l="1"/>
  <c r="DK164" i="33"/>
  <c r="EH170" i="37"/>
  <c r="EI169" i="37"/>
  <c r="DR147" i="36"/>
  <c r="DQ148" i="36"/>
  <c r="CZ164" i="32"/>
  <c r="CY165" i="32"/>
  <c r="DI159" i="36"/>
  <c r="DH160" i="36"/>
  <c r="DI164" i="32"/>
  <c r="DH165" i="32"/>
  <c r="DC153" i="33"/>
  <c r="DB154" i="33"/>
  <c r="ES168" i="37"/>
  <c r="ER169" i="37"/>
  <c r="DV154" i="33"/>
  <c r="DU155" i="33"/>
  <c r="FC165" i="37"/>
  <c r="FB166" i="37"/>
  <c r="CZ155" i="36"/>
  <c r="CY156" i="36"/>
  <c r="CW143" i="35"/>
  <c r="CV144" i="35"/>
  <c r="DN147" i="35"/>
  <c r="DO146" i="35"/>
  <c r="DF144" i="35"/>
  <c r="DE145" i="35"/>
  <c r="DK165" i="33" l="1"/>
  <c r="DL164" i="33"/>
  <c r="EI170" i="37"/>
  <c r="EH171" i="37"/>
  <c r="DV155" i="33"/>
  <c r="DU156" i="33"/>
  <c r="DH161" i="36"/>
  <c r="DI161" i="36" s="1"/>
  <c r="DL164" i="36" s="1"/>
  <c r="DI160" i="36"/>
  <c r="DL163" i="36" s="1"/>
  <c r="CW144" i="35"/>
  <c r="CV145" i="35"/>
  <c r="ER170" i="37"/>
  <c r="ES169" i="37"/>
  <c r="CZ165" i="32"/>
  <c r="CY166" i="32"/>
  <c r="DN148" i="35"/>
  <c r="DO147" i="35"/>
  <c r="DF145" i="35"/>
  <c r="DE146" i="35"/>
  <c r="CZ156" i="36"/>
  <c r="CY157" i="36"/>
  <c r="DC154" i="33"/>
  <c r="DB155" i="33"/>
  <c r="FC166" i="37"/>
  <c r="FB167" i="37"/>
  <c r="DI165" i="32"/>
  <c r="DH166" i="32"/>
  <c r="DR148" i="36"/>
  <c r="DQ149" i="36"/>
  <c r="DL165" i="33" l="1"/>
  <c r="DK166" i="33"/>
  <c r="EI171" i="37"/>
  <c r="EH172" i="37"/>
  <c r="FC167" i="37"/>
  <c r="FB168" i="37"/>
  <c r="CY158" i="36"/>
  <c r="CZ157" i="36"/>
  <c r="ES170" i="37"/>
  <c r="ER171" i="37"/>
  <c r="DF146" i="35"/>
  <c r="DE147" i="35"/>
  <c r="CV146" i="35"/>
  <c r="CW145" i="35"/>
  <c r="DN163" i="36"/>
  <c r="DH163" i="36"/>
  <c r="DI163" i="36" s="1"/>
  <c r="DN164" i="36"/>
  <c r="DR149" i="36"/>
  <c r="DQ150" i="36"/>
  <c r="DO148" i="35"/>
  <c r="DN149" i="35"/>
  <c r="DI166" i="32"/>
  <c r="DH167" i="32"/>
  <c r="DB156" i="33"/>
  <c r="DC155" i="33"/>
  <c r="CZ166" i="32"/>
  <c r="CY167" i="32"/>
  <c r="DU157" i="33"/>
  <c r="DV156" i="33"/>
  <c r="DH164" i="36" l="1"/>
  <c r="DL166" i="33"/>
  <c r="DK167" i="33"/>
  <c r="EI172" i="37"/>
  <c r="EH173" i="37"/>
  <c r="DI167" i="32"/>
  <c r="DH168" i="32"/>
  <c r="DI164" i="36"/>
  <c r="DH165" i="36"/>
  <c r="DO149" i="35"/>
  <c r="DN150" i="35"/>
  <c r="ES171" i="37"/>
  <c r="ER172" i="37"/>
  <c r="DU158" i="33"/>
  <c r="DV157" i="33"/>
  <c r="CZ167" i="32"/>
  <c r="CY168" i="32"/>
  <c r="CW146" i="35"/>
  <c r="CV147" i="35"/>
  <c r="CY159" i="36"/>
  <c r="CZ158" i="36"/>
  <c r="DR150" i="36"/>
  <c r="DQ151" i="36"/>
  <c r="DF147" i="35"/>
  <c r="DE148" i="35"/>
  <c r="FC168" i="37"/>
  <c r="FB169" i="37"/>
  <c r="DC156" i="33"/>
  <c r="DB157" i="33"/>
  <c r="DL167" i="33" l="1"/>
  <c r="DK168" i="33"/>
  <c r="EH174" i="37"/>
  <c r="EI173" i="37"/>
  <c r="DF148" i="35"/>
  <c r="DE149" i="35"/>
  <c r="DO150" i="35"/>
  <c r="DN151" i="35"/>
  <c r="DR151" i="36"/>
  <c r="DQ153" i="36"/>
  <c r="CZ168" i="32"/>
  <c r="CY169" i="32"/>
  <c r="DC157" i="33"/>
  <c r="DB158" i="33"/>
  <c r="DH166" i="36"/>
  <c r="DI165" i="36"/>
  <c r="CZ159" i="36"/>
  <c r="CY160" i="36"/>
  <c r="DU159" i="33"/>
  <c r="DV158" i="33"/>
  <c r="FC169" i="37"/>
  <c r="FB170" i="37"/>
  <c r="CV148" i="35"/>
  <c r="CW147" i="35"/>
  <c r="ES172" i="37"/>
  <c r="ER173" i="37"/>
  <c r="DI168" i="32"/>
  <c r="DH169" i="32"/>
  <c r="DL168" i="33" l="1"/>
  <c r="DK169" i="33"/>
  <c r="EI174" i="37"/>
  <c r="EH175" i="37"/>
  <c r="DR153" i="36"/>
  <c r="DQ154" i="36"/>
  <c r="DH167" i="36"/>
  <c r="DI166" i="36"/>
  <c r="FC170" i="37"/>
  <c r="FB171" i="37"/>
  <c r="DC158" i="33"/>
  <c r="DB159" i="33"/>
  <c r="DO151" i="35"/>
  <c r="DN152" i="35"/>
  <c r="DI169" i="32"/>
  <c r="DH170" i="32"/>
  <c r="CW148" i="35"/>
  <c r="CV149" i="35"/>
  <c r="DU160" i="33"/>
  <c r="DV159" i="33"/>
  <c r="ES173" i="37"/>
  <c r="ER174" i="37"/>
  <c r="CY161" i="36"/>
  <c r="CZ160" i="36"/>
  <c r="CZ169" i="32"/>
  <c r="CY170" i="32"/>
  <c r="DF149" i="35"/>
  <c r="DE150" i="35"/>
  <c r="DL169" i="33" l="1"/>
  <c r="DK170" i="33"/>
  <c r="EH176" i="37"/>
  <c r="EI175" i="37"/>
  <c r="DB160" i="33"/>
  <c r="DC159" i="33"/>
  <c r="CZ161" i="36"/>
  <c r="CY163" i="36"/>
  <c r="ES174" i="37"/>
  <c r="ER175" i="37"/>
  <c r="FC171" i="37"/>
  <c r="FB172" i="37"/>
  <c r="DI170" i="32"/>
  <c r="DH171" i="32"/>
  <c r="DF150" i="35"/>
  <c r="DE151" i="35"/>
  <c r="DU161" i="33"/>
  <c r="DV160" i="33"/>
  <c r="DI167" i="36"/>
  <c r="DH168" i="36"/>
  <c r="CZ170" i="32"/>
  <c r="CY171" i="32"/>
  <c r="CW149" i="35"/>
  <c r="CV150" i="35"/>
  <c r="DO152" i="35"/>
  <c r="DN153" i="35"/>
  <c r="DR154" i="36"/>
  <c r="DQ155" i="36"/>
  <c r="DL170" i="33" l="1"/>
  <c r="DK171" i="33"/>
  <c r="EI176" i="37"/>
  <c r="EH177" i="37"/>
  <c r="CW150" i="35"/>
  <c r="CV151" i="35"/>
  <c r="DF151" i="35"/>
  <c r="DE152" i="35"/>
  <c r="ES175" i="37"/>
  <c r="ER176" i="37"/>
  <c r="CZ171" i="32"/>
  <c r="CY172" i="32"/>
  <c r="DI171" i="32"/>
  <c r="DH172" i="32"/>
  <c r="CZ163" i="36"/>
  <c r="CY164" i="36"/>
  <c r="DR155" i="36"/>
  <c r="DQ156" i="36"/>
  <c r="DI168" i="36"/>
  <c r="DH169" i="36"/>
  <c r="FC172" i="37"/>
  <c r="FB173" i="37"/>
  <c r="DC160" i="33"/>
  <c r="DB161" i="33"/>
  <c r="DO153" i="35"/>
  <c r="DN154" i="35"/>
  <c r="DV161" i="33"/>
  <c r="DU162" i="33"/>
  <c r="DK172" i="33" l="1"/>
  <c r="DL171" i="33"/>
  <c r="EI177" i="37"/>
  <c r="EH178" i="37"/>
  <c r="DI169" i="36"/>
  <c r="DL172" i="36" s="1"/>
  <c r="DH170" i="36"/>
  <c r="DI170" i="36" s="1"/>
  <c r="DL173" i="36" s="1"/>
  <c r="CZ172" i="32"/>
  <c r="CY173" i="32"/>
  <c r="DO154" i="35"/>
  <c r="DN155" i="35"/>
  <c r="DR156" i="36"/>
  <c r="DQ157" i="36"/>
  <c r="ES176" i="37"/>
  <c r="ER177" i="37"/>
  <c r="DC161" i="33"/>
  <c r="DB162" i="33"/>
  <c r="CZ164" i="36"/>
  <c r="CY165" i="36"/>
  <c r="DF152" i="35"/>
  <c r="DE153" i="35"/>
  <c r="DV162" i="33"/>
  <c r="DU163" i="33"/>
  <c r="FC173" i="37"/>
  <c r="FB174" i="37"/>
  <c r="DI172" i="32"/>
  <c r="DH173" i="32"/>
  <c r="CW151" i="35"/>
  <c r="CV152" i="35"/>
  <c r="DL172" i="33" l="1"/>
  <c r="DK173" i="33"/>
  <c r="EI178" i="37"/>
  <c r="EH179" i="37"/>
  <c r="CW152" i="35"/>
  <c r="CV153" i="35"/>
  <c r="FC174" i="37"/>
  <c r="FB175" i="37"/>
  <c r="DC162" i="33"/>
  <c r="DB163" i="33"/>
  <c r="DN156" i="35"/>
  <c r="DO155" i="35"/>
  <c r="DV163" i="33"/>
  <c r="DU164" i="33"/>
  <c r="CZ173" i="32"/>
  <c r="CY174" i="32"/>
  <c r="DN173" i="36"/>
  <c r="DH172" i="36"/>
  <c r="DI172" i="36" s="1"/>
  <c r="DN172" i="36"/>
  <c r="ES177" i="37"/>
  <c r="ER178" i="37"/>
  <c r="DI173" i="32"/>
  <c r="DH174" i="32"/>
  <c r="CY166" i="36"/>
  <c r="CZ165" i="36"/>
  <c r="DR157" i="36"/>
  <c r="DQ158" i="36"/>
  <c r="DF153" i="35"/>
  <c r="DE154" i="35"/>
  <c r="DH173" i="36" l="1"/>
  <c r="DH174" i="36" s="1"/>
  <c r="DK174" i="33"/>
  <c r="DL173" i="33"/>
  <c r="EH180" i="37"/>
  <c r="EI179" i="37"/>
  <c r="DO156" i="35"/>
  <c r="DN157" i="35"/>
  <c r="DI174" i="32"/>
  <c r="DH175" i="32"/>
  <c r="CZ174" i="32"/>
  <c r="CY175" i="32"/>
  <c r="DC163" i="33"/>
  <c r="DB164" i="33"/>
  <c r="DF154" i="35"/>
  <c r="DE155" i="35"/>
  <c r="ER179" i="37"/>
  <c r="ES178" i="37"/>
  <c r="FC175" i="37"/>
  <c r="FB176" i="37"/>
  <c r="DV164" i="33"/>
  <c r="DU165" i="33"/>
  <c r="CW153" i="35"/>
  <c r="CV154" i="35"/>
  <c r="CZ166" i="36"/>
  <c r="CY167" i="36"/>
  <c r="DR158" i="36"/>
  <c r="DQ159" i="36"/>
  <c r="DI173" i="36" l="1"/>
  <c r="DK175" i="33"/>
  <c r="DL174" i="33"/>
  <c r="DK183" i="33"/>
  <c r="EH181" i="37"/>
  <c r="EI180" i="37"/>
  <c r="CZ175" i="32"/>
  <c r="CY176" i="32"/>
  <c r="DR159" i="36"/>
  <c r="DQ160" i="36"/>
  <c r="FC176" i="37"/>
  <c r="FB177" i="37"/>
  <c r="DF155" i="35"/>
  <c r="DE156" i="35"/>
  <c r="DI175" i="32"/>
  <c r="DH176" i="32"/>
  <c r="CZ167" i="36"/>
  <c r="CY168" i="36"/>
  <c r="DN158" i="35"/>
  <c r="DO157" i="35"/>
  <c r="CW154" i="35"/>
  <c r="CV155" i="35"/>
  <c r="DC164" i="33"/>
  <c r="DB165" i="33"/>
  <c r="DV165" i="33"/>
  <c r="DU166" i="33"/>
  <c r="ES179" i="37"/>
  <c r="ER180" i="37"/>
  <c r="DI174" i="36"/>
  <c r="DH175" i="36"/>
  <c r="DL183" i="33" l="1"/>
  <c r="DK184" i="33"/>
  <c r="DL184" i="33" s="1"/>
  <c r="DL175" i="33"/>
  <c r="DK176" i="33"/>
  <c r="EH182" i="37"/>
  <c r="EI181" i="37"/>
  <c r="DO158" i="35"/>
  <c r="DN159" i="35"/>
  <c r="DC165" i="33"/>
  <c r="DB166" i="33"/>
  <c r="FC177" i="37"/>
  <c r="FB178" i="37"/>
  <c r="DV166" i="33"/>
  <c r="DU167" i="33"/>
  <c r="DI175" i="36"/>
  <c r="DH176" i="36"/>
  <c r="CV156" i="35"/>
  <c r="CW155" i="35"/>
  <c r="CZ168" i="36"/>
  <c r="CY169" i="36"/>
  <c r="DR160" i="36"/>
  <c r="DQ161" i="36"/>
  <c r="ES180" i="37"/>
  <c r="ER181" i="37"/>
  <c r="DI176" i="32"/>
  <c r="DH177" i="32"/>
  <c r="CZ176" i="32"/>
  <c r="CY177" i="32"/>
  <c r="DF156" i="35"/>
  <c r="DE157" i="35"/>
  <c r="DL176" i="33" l="1"/>
  <c r="DK177" i="33"/>
  <c r="EH183" i="37"/>
  <c r="EI182" i="37"/>
  <c r="ES181" i="37"/>
  <c r="ER182" i="37"/>
  <c r="CY170" i="36"/>
  <c r="CZ169" i="36"/>
  <c r="DU168" i="33"/>
  <c r="DV167" i="33"/>
  <c r="DC166" i="33"/>
  <c r="DB167" i="33"/>
  <c r="CV157" i="35"/>
  <c r="CW156" i="35"/>
  <c r="DE158" i="35"/>
  <c r="DF157" i="35"/>
  <c r="DI177" i="32"/>
  <c r="DH178" i="32"/>
  <c r="DI176" i="36"/>
  <c r="DH177" i="36"/>
  <c r="FB179" i="37"/>
  <c r="FC178" i="37"/>
  <c r="DO159" i="35"/>
  <c r="DN160" i="35"/>
  <c r="CZ177" i="32"/>
  <c r="CY178" i="32"/>
  <c r="DR161" i="36"/>
  <c r="DQ162" i="36"/>
  <c r="DL177" i="33" l="1"/>
  <c r="DK178" i="33"/>
  <c r="EI183" i="37"/>
  <c r="EH184" i="37"/>
  <c r="DV168" i="33"/>
  <c r="DU169" i="33"/>
  <c r="DI178" i="32"/>
  <c r="DH179" i="32"/>
  <c r="DI179" i="32" s="1"/>
  <c r="CZ170" i="36"/>
  <c r="CY172" i="36"/>
  <c r="DR162" i="36"/>
  <c r="DQ163" i="36"/>
  <c r="DO160" i="35"/>
  <c r="DN161" i="35"/>
  <c r="ES182" i="37"/>
  <c r="ER183" i="37"/>
  <c r="CZ178" i="32"/>
  <c r="CY179" i="32"/>
  <c r="CZ179" i="32" s="1"/>
  <c r="DE159" i="35"/>
  <c r="DF158" i="35"/>
  <c r="DC167" i="33"/>
  <c r="DB168" i="33"/>
  <c r="FC179" i="37"/>
  <c r="FB180" i="37"/>
  <c r="DI177" i="36"/>
  <c r="DH178" i="36"/>
  <c r="CW157" i="35"/>
  <c r="CV158" i="35"/>
  <c r="L182" i="32" l="1"/>
  <c r="C182" i="32" s="1"/>
  <c r="L180" i="32"/>
  <c r="C180" i="32" s="1"/>
  <c r="L181" i="32"/>
  <c r="C181" i="32" s="1"/>
  <c r="L183" i="32"/>
  <c r="C183" i="32" s="1"/>
  <c r="DK179" i="33"/>
  <c r="DL178" i="33"/>
  <c r="EH185" i="37"/>
  <c r="EI184" i="37"/>
  <c r="DC168" i="33"/>
  <c r="DB169" i="33"/>
  <c r="CZ172" i="36"/>
  <c r="CY173" i="36"/>
  <c r="ES183" i="37"/>
  <c r="ER184" i="37"/>
  <c r="DF159" i="35"/>
  <c r="DE160" i="35"/>
  <c r="L192" i="32"/>
  <c r="C192" i="32" s="1"/>
  <c r="L191" i="32"/>
  <c r="C191" i="32" s="1"/>
  <c r="L185" i="32"/>
  <c r="C185" i="32" s="1"/>
  <c r="L187" i="32"/>
  <c r="C187" i="32" s="1"/>
  <c r="L188" i="32"/>
  <c r="C188" i="32" s="1"/>
  <c r="L190" i="32"/>
  <c r="C190" i="32" s="1"/>
  <c r="L193" i="32"/>
  <c r="C193" i="32" s="1"/>
  <c r="L184" i="32"/>
  <c r="L186" i="32"/>
  <c r="C186" i="32" s="1"/>
  <c r="L189" i="32"/>
  <c r="C189" i="32" s="1"/>
  <c r="DI178" i="36"/>
  <c r="DL181" i="36" s="1"/>
  <c r="DH179" i="36"/>
  <c r="DI179" i="36" s="1"/>
  <c r="DL182" i="36" s="1"/>
  <c r="DO161" i="35"/>
  <c r="DN162" i="35"/>
  <c r="CW158" i="35"/>
  <c r="CV159" i="35"/>
  <c r="DV169" i="33"/>
  <c r="DU170" i="33"/>
  <c r="DR163" i="36"/>
  <c r="DQ164" i="36"/>
  <c r="FC180" i="37"/>
  <c r="FB181" i="37"/>
  <c r="L174" i="32"/>
  <c r="C174" i="32" s="1"/>
  <c r="L169" i="32"/>
  <c r="C169" i="32" s="1"/>
  <c r="L173" i="32"/>
  <c r="C173" i="32" s="1"/>
  <c r="L177" i="32"/>
  <c r="C177" i="32" s="1"/>
  <c r="L176" i="32"/>
  <c r="C176" i="32" s="1"/>
  <c r="L167" i="32"/>
  <c r="C167" i="32" s="1"/>
  <c r="L172" i="32"/>
  <c r="C172" i="32" s="1"/>
  <c r="L171" i="32"/>
  <c r="C171" i="32" s="1"/>
  <c r="L170" i="32"/>
  <c r="C170" i="32" s="1"/>
  <c r="L168" i="32"/>
  <c r="C168" i="32" s="1"/>
  <c r="L175" i="32"/>
  <c r="C175" i="32" s="1"/>
  <c r="T183" i="32" l="1"/>
  <c r="Z183" i="32" s="1"/>
  <c r="Q183" i="32"/>
  <c r="AI183" i="32"/>
  <c r="AM183" i="32" s="1"/>
  <c r="AI181" i="32"/>
  <c r="AM181" i="32" s="1"/>
  <c r="T181" i="32"/>
  <c r="Z181" i="32" s="1"/>
  <c r="Q181" i="32"/>
  <c r="Q180" i="32"/>
  <c r="AI180" i="32"/>
  <c r="AM180" i="32" s="1"/>
  <c r="T180" i="32"/>
  <c r="Z180" i="32" s="1"/>
  <c r="AI182" i="32"/>
  <c r="AM182" i="32" s="1"/>
  <c r="T182" i="32"/>
  <c r="Z182" i="32" s="1"/>
  <c r="Q182" i="32"/>
  <c r="DK180" i="33"/>
  <c r="DL179" i="33"/>
  <c r="EI185" i="37"/>
  <c r="EH186" i="37"/>
  <c r="T175" i="32"/>
  <c r="Z175" i="32" s="1"/>
  <c r="Q175" i="32"/>
  <c r="AI175" i="32"/>
  <c r="AM175" i="32" s="1"/>
  <c r="Q171" i="32"/>
  <c r="T171" i="32"/>
  <c r="Z171" i="32" s="1"/>
  <c r="AI171" i="32"/>
  <c r="AM171" i="32" s="1"/>
  <c r="FC181" i="37"/>
  <c r="FB182" i="37"/>
  <c r="DO162" i="35"/>
  <c r="DN163" i="35"/>
  <c r="C184" i="32"/>
  <c r="L178" i="32"/>
  <c r="C178" i="32" s="1"/>
  <c r="DF160" i="35"/>
  <c r="DE161" i="35"/>
  <c r="T172" i="32"/>
  <c r="Z172" i="32" s="1"/>
  <c r="Q172" i="32"/>
  <c r="AI172" i="32"/>
  <c r="AM172" i="32" s="1"/>
  <c r="AI193" i="32"/>
  <c r="AM193" i="32" s="1"/>
  <c r="T193" i="32"/>
  <c r="Z193" i="32" s="1"/>
  <c r="Q193" i="32"/>
  <c r="AI173" i="32"/>
  <c r="AM173" i="32" s="1"/>
  <c r="Q173" i="32"/>
  <c r="T173" i="32"/>
  <c r="Z173" i="32" s="1"/>
  <c r="AI167" i="32"/>
  <c r="AM167" i="32" s="1"/>
  <c r="Q167" i="32"/>
  <c r="T167" i="32"/>
  <c r="Z167" i="32" s="1"/>
  <c r="DR164" i="36"/>
  <c r="DQ165" i="36"/>
  <c r="AI190" i="32"/>
  <c r="AM190" i="32" s="1"/>
  <c r="Q190" i="32"/>
  <c r="T190" i="32"/>
  <c r="Z190" i="32" s="1"/>
  <c r="ES184" i="37"/>
  <c r="ER185" i="37"/>
  <c r="AI176" i="32"/>
  <c r="AM176" i="32" s="1"/>
  <c r="T176" i="32"/>
  <c r="Z176" i="32" s="1"/>
  <c r="Q176" i="32"/>
  <c r="T188" i="32"/>
  <c r="Z188" i="32" s="1"/>
  <c r="Q188" i="32"/>
  <c r="AI188" i="32"/>
  <c r="AM188" i="32" s="1"/>
  <c r="DN182" i="36"/>
  <c r="Q187" i="32"/>
  <c r="T187" i="32"/>
  <c r="Z187" i="32" s="1"/>
  <c r="AI187" i="32"/>
  <c r="AM187" i="32" s="1"/>
  <c r="CY174" i="36"/>
  <c r="CZ173" i="36"/>
  <c r="DH181" i="36"/>
  <c r="DI181" i="36" s="1"/>
  <c r="DN181" i="36"/>
  <c r="T185" i="32"/>
  <c r="Z185" i="32" s="1"/>
  <c r="Q185" i="32"/>
  <c r="AI185" i="32"/>
  <c r="AM185" i="32" s="1"/>
  <c r="AI177" i="32"/>
  <c r="AM177" i="32" s="1"/>
  <c r="T177" i="32"/>
  <c r="Z177" i="32" s="1"/>
  <c r="Q177" i="32"/>
  <c r="Q168" i="32"/>
  <c r="T168" i="32"/>
  <c r="Z168" i="32" s="1"/>
  <c r="AI168" i="32"/>
  <c r="AM168" i="32" s="1"/>
  <c r="Q169" i="32"/>
  <c r="T169" i="32"/>
  <c r="Z169" i="32" s="1"/>
  <c r="AI169" i="32"/>
  <c r="AM169" i="32" s="1"/>
  <c r="DV170" i="33"/>
  <c r="DU171" i="33"/>
  <c r="CW159" i="35"/>
  <c r="CV160" i="35"/>
  <c r="T189" i="32"/>
  <c r="Z189" i="32" s="1"/>
  <c r="Q189" i="32"/>
  <c r="AI189" i="32"/>
  <c r="AM189" i="32" s="1"/>
  <c r="Q191" i="32"/>
  <c r="T191" i="32"/>
  <c r="Z191" i="32" s="1"/>
  <c r="AI191" i="32"/>
  <c r="AM191" i="32" s="1"/>
  <c r="DC169" i="33"/>
  <c r="DB170" i="33"/>
  <c r="AI170" i="32"/>
  <c r="AM170" i="32" s="1"/>
  <c r="Q170" i="32"/>
  <c r="T170" i="32"/>
  <c r="Z170" i="32" s="1"/>
  <c r="T174" i="32"/>
  <c r="Z174" i="32" s="1"/>
  <c r="AI174" i="32"/>
  <c r="AM174" i="32" s="1"/>
  <c r="Q174" i="32"/>
  <c r="T186" i="32"/>
  <c r="Z186" i="32" s="1"/>
  <c r="AI186" i="32"/>
  <c r="AM186" i="32" s="1"/>
  <c r="Q186" i="32"/>
  <c r="Q192" i="32"/>
  <c r="T192" i="32"/>
  <c r="Z192" i="32" s="1"/>
  <c r="AI192" i="32"/>
  <c r="AM192" i="32" s="1"/>
  <c r="DL180" i="33" l="1"/>
  <c r="DK181" i="33"/>
  <c r="EH187" i="37"/>
  <c r="EI186" i="37"/>
  <c r="FC182" i="37"/>
  <c r="FB183" i="37"/>
  <c r="DH182" i="36"/>
  <c r="DF161" i="35"/>
  <c r="DE162" i="35"/>
  <c r="DC170" i="33"/>
  <c r="DB171" i="33"/>
  <c r="CW160" i="35"/>
  <c r="CV161" i="35"/>
  <c r="DR165" i="36"/>
  <c r="DQ167" i="36"/>
  <c r="Q178" i="32"/>
  <c r="AI178" i="32"/>
  <c r="AM178" i="32" s="1"/>
  <c r="T178" i="32"/>
  <c r="Z178" i="32" s="1"/>
  <c r="BD167" i="32" s="1"/>
  <c r="DV171" i="33"/>
  <c r="DU172" i="33"/>
  <c r="ES185" i="37"/>
  <c r="ER186" i="37"/>
  <c r="T184" i="32"/>
  <c r="Z184" i="32" s="1"/>
  <c r="BD168" i="32" s="1"/>
  <c r="AI184" i="32"/>
  <c r="AM184" i="32" s="1"/>
  <c r="Q184" i="32"/>
  <c r="CZ174" i="36"/>
  <c r="CY175" i="36"/>
  <c r="DO163" i="35"/>
  <c r="DN164" i="35"/>
  <c r="BD169" i="32" l="1"/>
  <c r="BD170" i="32" s="1"/>
  <c r="DL181" i="33"/>
  <c r="DK182" i="33"/>
  <c r="DL182" i="33" s="1"/>
  <c r="C222" i="33"/>
  <c r="L227" i="33"/>
  <c r="C224" i="33"/>
  <c r="C228" i="33"/>
  <c r="C226" i="33"/>
  <c r="EH188" i="37"/>
  <c r="EI187" i="37"/>
  <c r="CW161" i="35"/>
  <c r="CV162" i="35"/>
  <c r="FC183" i="37"/>
  <c r="FB184" i="37"/>
  <c r="DR167" i="36"/>
  <c r="DQ168" i="36"/>
  <c r="DC171" i="33"/>
  <c r="DB172" i="33"/>
  <c r="DO164" i="35"/>
  <c r="DN165" i="35"/>
  <c r="ES186" i="37"/>
  <c r="ER187" i="37"/>
  <c r="DV172" i="33"/>
  <c r="DU173" i="33"/>
  <c r="CY176" i="36"/>
  <c r="CZ175" i="36"/>
  <c r="DF162" i="35"/>
  <c r="DE163" i="35"/>
  <c r="DI182" i="36"/>
  <c r="DH183" i="36"/>
  <c r="L222" i="33" l="1"/>
  <c r="C219" i="33"/>
  <c r="L218" i="33"/>
  <c r="C218" i="33"/>
  <c r="L219" i="33"/>
  <c r="L221" i="33"/>
  <c r="C225" i="33"/>
  <c r="Q225" i="33" s="1"/>
  <c r="C220" i="33"/>
  <c r="Q220" i="33" s="1"/>
  <c r="Q222" i="33"/>
  <c r="T222" i="33"/>
  <c r="AI222" i="33"/>
  <c r="Q226" i="33"/>
  <c r="AI226" i="33"/>
  <c r="T226" i="33"/>
  <c r="T224" i="33"/>
  <c r="Q224" i="33"/>
  <c r="AI224" i="33"/>
  <c r="AI228" i="33"/>
  <c r="T228" i="33"/>
  <c r="Q228" i="33"/>
  <c r="C227" i="33"/>
  <c r="L224" i="33"/>
  <c r="L228" i="33"/>
  <c r="L223" i="33"/>
  <c r="L226" i="33"/>
  <c r="C221" i="33"/>
  <c r="L225" i="33"/>
  <c r="C223" i="33"/>
  <c r="L220" i="33"/>
  <c r="EH189" i="37"/>
  <c r="EI188" i="37"/>
  <c r="ES187" i="37"/>
  <c r="ER188" i="37"/>
  <c r="DR168" i="36"/>
  <c r="DQ169" i="36"/>
  <c r="DC172" i="33"/>
  <c r="DB173" i="33"/>
  <c r="CZ176" i="36"/>
  <c r="CY177" i="36"/>
  <c r="DN166" i="35"/>
  <c r="DO165" i="35"/>
  <c r="CW162" i="35"/>
  <c r="CV163" i="35"/>
  <c r="DH184" i="36"/>
  <c r="DI183" i="36"/>
  <c r="DF163" i="35"/>
  <c r="DE164" i="35"/>
  <c r="DV173" i="33"/>
  <c r="DU174" i="33"/>
  <c r="FC184" i="37"/>
  <c r="FB185" i="37"/>
  <c r="AM222" i="33" l="1"/>
  <c r="Z222" i="33"/>
  <c r="Q219" i="33"/>
  <c r="AI219" i="33"/>
  <c r="AM219" i="33" s="1"/>
  <c r="T219" i="33"/>
  <c r="Z219" i="33" s="1"/>
  <c r="Q218" i="33"/>
  <c r="AI218" i="33"/>
  <c r="AM218" i="33" s="1"/>
  <c r="T218" i="33"/>
  <c r="Z218" i="33" s="1"/>
  <c r="AI220" i="33"/>
  <c r="AM220" i="33" s="1"/>
  <c r="AI225" i="33"/>
  <c r="AM225" i="33" s="1"/>
  <c r="T220" i="33"/>
  <c r="Z220" i="33" s="1"/>
  <c r="T225" i="33"/>
  <c r="Z225" i="33" s="1"/>
  <c r="Q221" i="33"/>
  <c r="AI221" i="33"/>
  <c r="AM221" i="33" s="1"/>
  <c r="T221" i="33"/>
  <c r="Z221" i="33" s="1"/>
  <c r="AM228" i="33"/>
  <c r="Z228" i="33"/>
  <c r="Z224" i="33"/>
  <c r="AM226" i="33"/>
  <c r="Z226" i="33"/>
  <c r="AM224" i="33"/>
  <c r="L215" i="33"/>
  <c r="C215" i="33" s="1"/>
  <c r="Q227" i="33"/>
  <c r="T227" i="33"/>
  <c r="Z227" i="33" s="1"/>
  <c r="AI227" i="33"/>
  <c r="AM227" i="33" s="1"/>
  <c r="Q223" i="33"/>
  <c r="AI223" i="33"/>
  <c r="AM223" i="33" s="1"/>
  <c r="T223" i="33"/>
  <c r="Z223" i="33" s="1"/>
  <c r="EI189" i="37"/>
  <c r="EH190" i="37"/>
  <c r="DN167" i="35"/>
  <c r="DO166" i="35"/>
  <c r="DR169" i="36"/>
  <c r="DQ170" i="36"/>
  <c r="DU175" i="33"/>
  <c r="DV174" i="33"/>
  <c r="DU183" i="33"/>
  <c r="DF164" i="35"/>
  <c r="DE165" i="35"/>
  <c r="CY178" i="36"/>
  <c r="CZ177" i="36"/>
  <c r="FC185" i="37"/>
  <c r="FB186" i="37"/>
  <c r="ES188" i="37"/>
  <c r="ER189" i="37"/>
  <c r="DH185" i="36"/>
  <c r="DI184" i="36"/>
  <c r="CW163" i="35"/>
  <c r="CV164" i="35"/>
  <c r="DC173" i="33"/>
  <c r="DB174" i="33"/>
  <c r="BB193" i="33" l="1"/>
  <c r="Q215" i="33"/>
  <c r="T215" i="33"/>
  <c r="Z215" i="33" s="1"/>
  <c r="AI215" i="33"/>
  <c r="AM215" i="33" s="1"/>
  <c r="EH191" i="37"/>
  <c r="EI190" i="37"/>
  <c r="FB187" i="37"/>
  <c r="FC186" i="37"/>
  <c r="DV175" i="33"/>
  <c r="DU176" i="33"/>
  <c r="DR170" i="36"/>
  <c r="DQ171" i="36"/>
  <c r="CY179" i="36"/>
  <c r="CZ178" i="36"/>
  <c r="DC174" i="33"/>
  <c r="DB183" i="33"/>
  <c r="DB175" i="33"/>
  <c r="CV165" i="35"/>
  <c r="CW164" i="35"/>
  <c r="DF165" i="35"/>
  <c r="DE166" i="35"/>
  <c r="DO167" i="35"/>
  <c r="DN168" i="35"/>
  <c r="DI185" i="36"/>
  <c r="DH186" i="36"/>
  <c r="ES189" i="37"/>
  <c r="ER190" i="37"/>
  <c r="DU184" i="33"/>
  <c r="DV184" i="33" s="1"/>
  <c r="DV183" i="33"/>
  <c r="EI191" i="37" l="1"/>
  <c r="EH192" i="37"/>
  <c r="ES190" i="37"/>
  <c r="ER191" i="37"/>
  <c r="DF166" i="35"/>
  <c r="DE167" i="35"/>
  <c r="CZ179" i="36"/>
  <c r="CY181" i="36"/>
  <c r="DR171" i="36"/>
  <c r="DQ172" i="36"/>
  <c r="CW165" i="35"/>
  <c r="CV166" i="35"/>
  <c r="DV176" i="33"/>
  <c r="DU177" i="33"/>
  <c r="DI186" i="36"/>
  <c r="DH187" i="36"/>
  <c r="DB176" i="33"/>
  <c r="DC175" i="33"/>
  <c r="DB184" i="33"/>
  <c r="DC184" i="33" s="1"/>
  <c r="DC183" i="33"/>
  <c r="DO168" i="35"/>
  <c r="DN169" i="35"/>
  <c r="FC187" i="37"/>
  <c r="FB188" i="37"/>
  <c r="EH193" i="37" l="1"/>
  <c r="EI192" i="37"/>
  <c r="DR172" i="36"/>
  <c r="DQ173" i="36"/>
  <c r="DC176" i="33"/>
  <c r="DB177" i="33"/>
  <c r="CZ181" i="36"/>
  <c r="CY182" i="36"/>
  <c r="DO169" i="35"/>
  <c r="DN170" i="35"/>
  <c r="DI187" i="36"/>
  <c r="DL190" i="36" s="1"/>
  <c r="DH188" i="36"/>
  <c r="DI188" i="36" s="1"/>
  <c r="DL191" i="36" s="1"/>
  <c r="DF167" i="35"/>
  <c r="DE168" i="35"/>
  <c r="DV177" i="33"/>
  <c r="DU178" i="33"/>
  <c r="FC188" i="37"/>
  <c r="FB189" i="37"/>
  <c r="C196" i="33"/>
  <c r="C197" i="33"/>
  <c r="C198" i="33"/>
  <c r="ES191" i="37"/>
  <c r="ER192" i="37"/>
  <c r="CV167" i="35"/>
  <c r="CW166" i="35"/>
  <c r="EH194" i="37" l="1"/>
  <c r="EI193" i="37"/>
  <c r="Q196" i="33"/>
  <c r="L196" i="33"/>
  <c r="AI196" i="33"/>
  <c r="AM196" i="33" s="1"/>
  <c r="T196" i="33"/>
  <c r="Z196" i="33" s="1"/>
  <c r="DF168" i="35"/>
  <c r="DE169" i="35"/>
  <c r="CZ182" i="36"/>
  <c r="CY183" i="36"/>
  <c r="L198" i="33"/>
  <c r="Q198" i="33"/>
  <c r="AI198" i="33"/>
  <c r="AM198" i="33" s="1"/>
  <c r="T198" i="33"/>
  <c r="Z198" i="33" s="1"/>
  <c r="ES192" i="37"/>
  <c r="ER193" i="37"/>
  <c r="DC177" i="33"/>
  <c r="DB178" i="33"/>
  <c r="FC189" i="37"/>
  <c r="FB190" i="37"/>
  <c r="DN191" i="36"/>
  <c r="DH191" i="36"/>
  <c r="DR173" i="36"/>
  <c r="DQ174" i="36"/>
  <c r="DN190" i="36"/>
  <c r="DH190" i="36"/>
  <c r="DI190" i="36" s="1"/>
  <c r="CW167" i="35"/>
  <c r="CV168" i="35"/>
  <c r="L197" i="33"/>
  <c r="Q197" i="33"/>
  <c r="AI197" i="33"/>
  <c r="T197" i="33"/>
  <c r="DV178" i="33"/>
  <c r="DU179" i="33"/>
  <c r="DO170" i="35"/>
  <c r="DN171" i="35"/>
  <c r="AM197" i="33" l="1"/>
  <c r="Z197" i="33"/>
  <c r="EI194" i="37"/>
  <c r="EH195" i="37"/>
  <c r="DH192" i="36"/>
  <c r="DI191" i="36"/>
  <c r="CW168" i="35"/>
  <c r="CV169" i="35"/>
  <c r="FC190" i="37"/>
  <c r="FB191" i="37"/>
  <c r="DV179" i="33"/>
  <c r="DU180" i="33"/>
  <c r="DC178" i="33"/>
  <c r="DB179" i="33"/>
  <c r="CY184" i="36"/>
  <c r="CZ183" i="36"/>
  <c r="DO171" i="35"/>
  <c r="DN172" i="35"/>
  <c r="DR174" i="36"/>
  <c r="DQ175" i="36"/>
  <c r="ES193" i="37"/>
  <c r="ER194" i="37"/>
  <c r="DF169" i="35"/>
  <c r="DE170" i="35"/>
  <c r="EH196" i="37" l="1"/>
  <c r="EI195" i="37"/>
  <c r="DE171" i="35"/>
  <c r="DF170" i="35"/>
  <c r="FC191" i="37"/>
  <c r="FB192" i="37"/>
  <c r="ES194" i="37"/>
  <c r="ER195" i="37"/>
  <c r="CW169" i="35"/>
  <c r="CV170" i="35"/>
  <c r="CY185" i="36"/>
  <c r="CZ184" i="36"/>
  <c r="DR175" i="36"/>
  <c r="DQ176" i="36"/>
  <c r="DC179" i="33"/>
  <c r="DB180" i="33"/>
  <c r="DH193" i="36"/>
  <c r="DI192" i="36"/>
  <c r="DO172" i="35"/>
  <c r="DN173" i="35"/>
  <c r="DV180" i="33"/>
  <c r="DU181" i="33"/>
  <c r="EI196" i="37" l="1"/>
  <c r="EH197" i="37"/>
  <c r="DC180" i="33"/>
  <c r="DB181" i="33"/>
  <c r="ES195" i="37"/>
  <c r="ER196" i="37"/>
  <c r="DV181" i="33"/>
  <c r="DU182" i="33"/>
  <c r="DV182" i="33" s="1"/>
  <c r="C208" i="33" s="1"/>
  <c r="DR176" i="36"/>
  <c r="DQ177" i="36"/>
  <c r="FC192" i="37"/>
  <c r="FB193" i="37"/>
  <c r="DN174" i="35"/>
  <c r="DO173" i="35"/>
  <c r="CZ185" i="36"/>
  <c r="CY186" i="36"/>
  <c r="CW170" i="35"/>
  <c r="CV171" i="35"/>
  <c r="DH194" i="36"/>
  <c r="DI193" i="36"/>
  <c r="DF171" i="35"/>
  <c r="DE172" i="35"/>
  <c r="C210" i="33" l="1"/>
  <c r="L210" i="33" s="1"/>
  <c r="C214" i="33"/>
  <c r="AI214" i="33" s="1"/>
  <c r="C211" i="33"/>
  <c r="T211" i="33" s="1"/>
  <c r="C212" i="33"/>
  <c r="T212" i="33" s="1"/>
  <c r="C213" i="33"/>
  <c r="T213" i="33" s="1"/>
  <c r="EI197" i="37"/>
  <c r="EH198" i="37"/>
  <c r="DR177" i="36"/>
  <c r="DQ178" i="36"/>
  <c r="L208" i="33"/>
  <c r="T208" i="33"/>
  <c r="AI208" i="33"/>
  <c r="Q208" i="33"/>
  <c r="DN175" i="35"/>
  <c r="DO174" i="35"/>
  <c r="CW171" i="35"/>
  <c r="CV172" i="35"/>
  <c r="C207" i="33"/>
  <c r="C209" i="33"/>
  <c r="DI194" i="36"/>
  <c r="DH195" i="36"/>
  <c r="CZ186" i="36"/>
  <c r="CY187" i="36"/>
  <c r="ES196" i="37"/>
  <c r="ER197" i="37"/>
  <c r="DF172" i="35"/>
  <c r="DE173" i="35"/>
  <c r="FC193" i="37"/>
  <c r="FB194" i="37"/>
  <c r="DC181" i="33"/>
  <c r="DB182" i="33"/>
  <c r="DC182" i="33" s="1"/>
  <c r="L214" i="33" l="1"/>
  <c r="T210" i="33"/>
  <c r="Z210" i="33" s="1"/>
  <c r="AI210" i="33"/>
  <c r="AM210" i="33" s="1"/>
  <c r="Q210" i="33"/>
  <c r="L212" i="33"/>
  <c r="Z212" i="33" s="1"/>
  <c r="Q214" i="33"/>
  <c r="T214" i="33"/>
  <c r="AI211" i="33"/>
  <c r="Q211" i="33"/>
  <c r="Q212" i="33"/>
  <c r="L211" i="33"/>
  <c r="AI212" i="33"/>
  <c r="AI213" i="33"/>
  <c r="Q213" i="33"/>
  <c r="L213" i="33"/>
  <c r="Z213" i="33" s="1"/>
  <c r="EH199" i="37"/>
  <c r="EI198" i="37"/>
  <c r="AI209" i="33"/>
  <c r="Q209" i="33"/>
  <c r="T209" i="33"/>
  <c r="L209" i="33"/>
  <c r="L207" i="33"/>
  <c r="Q207" i="33"/>
  <c r="AI207" i="33"/>
  <c r="T207" i="33"/>
  <c r="AM208" i="33"/>
  <c r="Z208" i="33"/>
  <c r="CW172" i="35"/>
  <c r="CV173" i="35"/>
  <c r="DR178" i="36"/>
  <c r="DQ179" i="36"/>
  <c r="AM214" i="33"/>
  <c r="FC194" i="37"/>
  <c r="FB195" i="37"/>
  <c r="CZ187" i="36"/>
  <c r="CY188" i="36"/>
  <c r="DO175" i="35"/>
  <c r="DN176" i="35"/>
  <c r="DF173" i="35"/>
  <c r="DE174" i="35"/>
  <c r="ES197" i="37"/>
  <c r="ER198" i="37"/>
  <c r="DH196" i="36"/>
  <c r="DI195" i="36"/>
  <c r="C200" i="33"/>
  <c r="C199" i="33"/>
  <c r="C201" i="33"/>
  <c r="C202" i="33"/>
  <c r="Z214" i="33" l="1"/>
  <c r="AM211" i="33"/>
  <c r="AM212" i="33"/>
  <c r="Z211" i="33"/>
  <c r="AM213" i="33"/>
  <c r="Z207" i="33"/>
  <c r="AM207" i="33"/>
  <c r="EH200" i="37"/>
  <c r="EI199" i="37"/>
  <c r="T202" i="33"/>
  <c r="Q202" i="33"/>
  <c r="L202" i="33"/>
  <c r="Z202" i="33" s="1"/>
  <c r="AI202" i="33"/>
  <c r="AM202" i="33" s="1"/>
  <c r="ES198" i="37"/>
  <c r="ER199" i="37"/>
  <c r="DR179" i="36"/>
  <c r="DQ181" i="36"/>
  <c r="CZ188" i="36"/>
  <c r="CY190" i="36"/>
  <c r="L200" i="33"/>
  <c r="Z200" i="33" s="1"/>
  <c r="T200" i="33"/>
  <c r="AI200" i="33"/>
  <c r="AM200" i="33" s="1"/>
  <c r="Q200" i="33"/>
  <c r="DO176" i="35"/>
  <c r="DN177" i="35"/>
  <c r="FB196" i="37"/>
  <c r="FC195" i="37"/>
  <c r="AM209" i="33"/>
  <c r="Z209" i="33"/>
  <c r="Q201" i="33"/>
  <c r="T201" i="33"/>
  <c r="L201" i="33"/>
  <c r="Z201" i="33" s="1"/>
  <c r="AI201" i="33"/>
  <c r="AM201" i="33" s="1"/>
  <c r="DF174" i="35"/>
  <c r="DE175" i="35"/>
  <c r="Q199" i="33"/>
  <c r="T199" i="33"/>
  <c r="L199" i="33"/>
  <c r="Z199" i="33" s="1"/>
  <c r="AI199" i="33"/>
  <c r="AM199" i="33" s="1"/>
  <c r="CV174" i="35"/>
  <c r="CW173" i="35"/>
  <c r="DI196" i="36"/>
  <c r="DH197" i="36"/>
  <c r="DI197" i="36" s="1"/>
  <c r="BB194" i="33" l="1"/>
  <c r="BB192" i="33"/>
  <c r="EH201" i="37"/>
  <c r="EI200" i="37"/>
  <c r="DO177" i="35"/>
  <c r="DN178" i="35"/>
  <c r="DR181" i="36"/>
  <c r="DQ182" i="36"/>
  <c r="ES199" i="37"/>
  <c r="ER200" i="37"/>
  <c r="L260" i="36"/>
  <c r="C260" i="36" s="1"/>
  <c r="L256" i="36"/>
  <c r="C256" i="36" s="1"/>
  <c r="L255" i="36"/>
  <c r="C255" i="36" s="1"/>
  <c r="L251" i="36"/>
  <c r="C251" i="36" s="1"/>
  <c r="L254" i="36"/>
  <c r="C254" i="36" s="1"/>
  <c r="L253" i="36"/>
  <c r="C253" i="36" s="1"/>
  <c r="L258" i="36"/>
  <c r="C258" i="36" s="1"/>
  <c r="L257" i="36"/>
  <c r="C257" i="36" s="1"/>
  <c r="L259" i="36"/>
  <c r="C259" i="36" s="1"/>
  <c r="L252" i="36"/>
  <c r="C252" i="36" s="1"/>
  <c r="DF175" i="35"/>
  <c r="DE176" i="35"/>
  <c r="CZ190" i="36"/>
  <c r="CY191" i="36"/>
  <c r="CV175" i="35"/>
  <c r="CW174" i="35"/>
  <c r="FC196" i="37"/>
  <c r="FB197" i="37"/>
  <c r="BB195" i="33" l="1"/>
  <c r="AT201" i="33" s="1"/>
  <c r="EI201" i="37"/>
  <c r="EH202" i="37"/>
  <c r="Z253" i="36"/>
  <c r="AI253" i="36"/>
  <c r="AM253" i="36" s="1"/>
  <c r="Q253" i="36"/>
  <c r="T253" i="36"/>
  <c r="T254" i="36"/>
  <c r="Z254" i="36"/>
  <c r="AI254" i="36"/>
  <c r="AM254" i="36" s="1"/>
  <c r="Q254" i="36"/>
  <c r="FC197" i="37"/>
  <c r="FB198" i="37"/>
  <c r="DF176" i="35"/>
  <c r="DE177" i="35"/>
  <c r="AI251" i="36"/>
  <c r="AM251" i="36" s="1"/>
  <c r="Q251" i="36"/>
  <c r="T251" i="36"/>
  <c r="Z251" i="36" s="1"/>
  <c r="AI255" i="36"/>
  <c r="AM255" i="36" s="1"/>
  <c r="Q255" i="36"/>
  <c r="T255" i="36"/>
  <c r="Z255" i="36"/>
  <c r="Q252" i="36"/>
  <c r="AI252" i="36"/>
  <c r="AM252" i="36" s="1"/>
  <c r="T252" i="36"/>
  <c r="Z252" i="36" s="1"/>
  <c r="Z256" i="36"/>
  <c r="T256" i="36"/>
  <c r="AI256" i="36"/>
  <c r="AM256" i="36" s="1"/>
  <c r="Q256" i="36"/>
  <c r="DR182" i="36"/>
  <c r="DQ183" i="36"/>
  <c r="AI259" i="36"/>
  <c r="AM259" i="36" s="1"/>
  <c r="Q259" i="36"/>
  <c r="Z259" i="36"/>
  <c r="T259" i="36"/>
  <c r="AI260" i="36"/>
  <c r="AM260" i="36" s="1"/>
  <c r="Q260" i="36"/>
  <c r="T260" i="36"/>
  <c r="Z260" i="36"/>
  <c r="CW175" i="35"/>
  <c r="CV176" i="35"/>
  <c r="CY192" i="36"/>
  <c r="CZ191" i="36"/>
  <c r="AI257" i="36"/>
  <c r="AM257" i="36" s="1"/>
  <c r="T257" i="36"/>
  <c r="Z257" i="36"/>
  <c r="Q257" i="36"/>
  <c r="ES200" i="37"/>
  <c r="ER201" i="37"/>
  <c r="DO178" i="35"/>
  <c r="DN179" i="35"/>
  <c r="T258" i="36"/>
  <c r="Q258" i="36"/>
  <c r="AI258" i="36"/>
  <c r="AM258" i="36" s="1"/>
  <c r="Z258" i="36"/>
  <c r="AT202" i="33" l="1"/>
  <c r="AW198" i="33"/>
  <c r="BC198" i="33"/>
  <c r="EI202" i="37"/>
  <c r="EH203" i="37"/>
  <c r="ES201" i="37"/>
  <c r="ER202" i="37"/>
  <c r="DR183" i="36"/>
  <c r="DQ184" i="36"/>
  <c r="DF177" i="35"/>
  <c r="DE178" i="35"/>
  <c r="FC198" i="37"/>
  <c r="FB199" i="37"/>
  <c r="CW176" i="35"/>
  <c r="CV177" i="35"/>
  <c r="CZ192" i="36"/>
  <c r="CY193" i="36"/>
  <c r="DO179" i="35"/>
  <c r="DN180" i="35"/>
  <c r="C312" i="37"/>
  <c r="C331" i="37"/>
  <c r="EI203" i="37" l="1"/>
  <c r="EH204" i="37"/>
  <c r="FC199" i="37"/>
  <c r="FB200" i="37"/>
  <c r="Y312" i="37"/>
  <c r="AE312" i="37" s="1"/>
  <c r="AL312" i="37"/>
  <c r="BH312" i="37"/>
  <c r="AP312" i="37"/>
  <c r="AL331" i="37"/>
  <c r="Y331" i="37"/>
  <c r="AE331" i="37" s="1"/>
  <c r="BH331" i="37"/>
  <c r="AP331" i="37"/>
  <c r="DO180" i="35"/>
  <c r="DN181" i="35"/>
  <c r="DF178" i="35"/>
  <c r="DE179" i="35"/>
  <c r="CY194" i="36"/>
  <c r="CZ193" i="36"/>
  <c r="DR184" i="36"/>
  <c r="DQ185" i="36"/>
  <c r="CW177" i="35"/>
  <c r="CV178" i="35"/>
  <c r="ES202" i="37"/>
  <c r="ER203" i="37"/>
  <c r="AW312" i="37" l="1"/>
  <c r="BN312" i="37"/>
  <c r="EI204" i="37"/>
  <c r="EH205" i="37"/>
  <c r="EI205" i="37" s="1"/>
  <c r="C321" i="37" s="1"/>
  <c r="C333" i="37"/>
  <c r="C337" i="37"/>
  <c r="C336" i="37"/>
  <c r="C332" i="37"/>
  <c r="DN182" i="35"/>
  <c r="DO182" i="35" s="1"/>
  <c r="DO181" i="35"/>
  <c r="ES203" i="37"/>
  <c r="ER204" i="37"/>
  <c r="DR185" i="36"/>
  <c r="DQ186" i="36"/>
  <c r="FC200" i="37"/>
  <c r="FB201" i="37"/>
  <c r="CW178" i="35"/>
  <c r="CV179" i="35"/>
  <c r="CZ194" i="36"/>
  <c r="CY195" i="36"/>
  <c r="DF179" i="35"/>
  <c r="DE180" i="35"/>
  <c r="AW331" i="37"/>
  <c r="BN331" i="37"/>
  <c r="C319" i="37" l="1"/>
  <c r="AP319" i="37" s="1"/>
  <c r="C314" i="37"/>
  <c r="BH314" i="37" s="1"/>
  <c r="C322" i="37"/>
  <c r="AP322" i="37" s="1"/>
  <c r="C320" i="37"/>
  <c r="AL320" i="37" s="1"/>
  <c r="C313" i="37"/>
  <c r="AP313" i="37" s="1"/>
  <c r="C334" i="37"/>
  <c r="Y334" i="37" s="1"/>
  <c r="C317" i="37"/>
  <c r="Y317" i="37" s="1"/>
  <c r="C318" i="37"/>
  <c r="Y318" i="37" s="1"/>
  <c r="C335" i="37"/>
  <c r="Y335" i="37" s="1"/>
  <c r="C315" i="37"/>
  <c r="AL315" i="37" s="1"/>
  <c r="C316" i="37"/>
  <c r="Y316" i="37" s="1"/>
  <c r="BH321" i="37"/>
  <c r="Y321" i="37"/>
  <c r="AP321" i="37"/>
  <c r="AL321" i="37"/>
  <c r="Y319" i="37"/>
  <c r="AL319" i="37"/>
  <c r="BH319" i="37"/>
  <c r="AL333" i="37"/>
  <c r="Y333" i="37"/>
  <c r="AP333" i="37"/>
  <c r="BH333" i="37"/>
  <c r="AL337" i="37"/>
  <c r="Y337" i="37"/>
  <c r="AP337" i="37"/>
  <c r="BH337" i="37"/>
  <c r="AL332" i="37"/>
  <c r="AP332" i="37"/>
  <c r="BH332" i="37"/>
  <c r="Y332" i="37"/>
  <c r="BH336" i="37"/>
  <c r="Y336" i="37"/>
  <c r="AL336" i="37"/>
  <c r="AP336" i="37"/>
  <c r="Y322" i="37"/>
  <c r="DR186" i="36"/>
  <c r="DQ187" i="36"/>
  <c r="CZ195" i="36"/>
  <c r="CY196" i="36"/>
  <c r="C283" i="35"/>
  <c r="C291" i="35"/>
  <c r="C282" i="35"/>
  <c r="C287" i="35"/>
  <c r="C284" i="35"/>
  <c r="C281" i="35"/>
  <c r="C289" i="35"/>
  <c r="C288" i="35"/>
  <c r="C285" i="35"/>
  <c r="C286" i="35"/>
  <c r="C290" i="35"/>
  <c r="ES204" i="37"/>
  <c r="ER205" i="37"/>
  <c r="ES205" i="37" s="1"/>
  <c r="DF180" i="35"/>
  <c r="DE181" i="35"/>
  <c r="CW179" i="35"/>
  <c r="CV180" i="35"/>
  <c r="FC201" i="37"/>
  <c r="FB202" i="37"/>
  <c r="BH322" i="37" l="1"/>
  <c r="AL322" i="37"/>
  <c r="Y320" i="37"/>
  <c r="AW320" i="37" s="1"/>
  <c r="Y314" i="37"/>
  <c r="AE314" i="37" s="1"/>
  <c r="AP314" i="37"/>
  <c r="AL314" i="37"/>
  <c r="BH313" i="37"/>
  <c r="BH317" i="37"/>
  <c r="AL334" i="37"/>
  <c r="AL313" i="37"/>
  <c r="AP334" i="37"/>
  <c r="Y313" i="37"/>
  <c r="BN313" i="37" s="1"/>
  <c r="AP318" i="37"/>
  <c r="BH320" i="37"/>
  <c r="BH334" i="37"/>
  <c r="AL318" i="37"/>
  <c r="AP320" i="37"/>
  <c r="BH318" i="37"/>
  <c r="BH335" i="37"/>
  <c r="AP335" i="37"/>
  <c r="AP317" i="37"/>
  <c r="AL317" i="37"/>
  <c r="AL335" i="37"/>
  <c r="BH315" i="37"/>
  <c r="BH316" i="37"/>
  <c r="AL316" i="37"/>
  <c r="AP315" i="37"/>
  <c r="AP316" i="37"/>
  <c r="Y315" i="37"/>
  <c r="BN315" i="37" s="1"/>
  <c r="AW336" i="37"/>
  <c r="BN336" i="37"/>
  <c r="AE336" i="37"/>
  <c r="BN317" i="37"/>
  <c r="AW317" i="37"/>
  <c r="AE317" i="37"/>
  <c r="BN335" i="37"/>
  <c r="AW335" i="37"/>
  <c r="AE335" i="37"/>
  <c r="AW319" i="37"/>
  <c r="AE319" i="37"/>
  <c r="BN319" i="37"/>
  <c r="AE334" i="37"/>
  <c r="BN334" i="37"/>
  <c r="AW334" i="37"/>
  <c r="BN316" i="37"/>
  <c r="AE316" i="37"/>
  <c r="AW316" i="37"/>
  <c r="AW314" i="37"/>
  <c r="BN337" i="37"/>
  <c r="AE337" i="37"/>
  <c r="AW337" i="37"/>
  <c r="AW321" i="37"/>
  <c r="AE321" i="37"/>
  <c r="BN321" i="37"/>
  <c r="BN332" i="37"/>
  <c r="AE332" i="37"/>
  <c r="AW332" i="37"/>
  <c r="BN333" i="37"/>
  <c r="AW333" i="37"/>
  <c r="AE333" i="37"/>
  <c r="BN318" i="37"/>
  <c r="AE318" i="37"/>
  <c r="AW318" i="37"/>
  <c r="BN322" i="37"/>
  <c r="AE322" i="37"/>
  <c r="AW322" i="37"/>
  <c r="BN320" i="37"/>
  <c r="AE320" i="37"/>
  <c r="AP285" i="35"/>
  <c r="Y285" i="35"/>
  <c r="BH285" i="35"/>
  <c r="AL285" i="35"/>
  <c r="AL283" i="35"/>
  <c r="BH283" i="35"/>
  <c r="AP283" i="35"/>
  <c r="Y283" i="35"/>
  <c r="DF181" i="35"/>
  <c r="DE182" i="35"/>
  <c r="AL288" i="35"/>
  <c r="Y288" i="35"/>
  <c r="AP288" i="35"/>
  <c r="BH288" i="35"/>
  <c r="CY197" i="36"/>
  <c r="CZ197" i="36" s="1"/>
  <c r="CZ196" i="36"/>
  <c r="AP289" i="35"/>
  <c r="BH289" i="35"/>
  <c r="Y289" i="35"/>
  <c r="AL289" i="35"/>
  <c r="Y281" i="35"/>
  <c r="AE281" i="35" s="1"/>
  <c r="AL281" i="35"/>
  <c r="BH281" i="35"/>
  <c r="AP281" i="35"/>
  <c r="DR187" i="36"/>
  <c r="DQ188" i="36"/>
  <c r="FC202" i="37"/>
  <c r="FB203" i="37"/>
  <c r="AL284" i="35"/>
  <c r="BH284" i="35"/>
  <c r="Y284" i="35"/>
  <c r="AP284" i="35"/>
  <c r="Y287" i="35"/>
  <c r="AL287" i="35"/>
  <c r="AP287" i="35"/>
  <c r="BH287" i="35"/>
  <c r="AP290" i="35"/>
  <c r="BH290" i="35"/>
  <c r="Y290" i="35"/>
  <c r="AL290" i="35"/>
  <c r="Y282" i="35"/>
  <c r="AE282" i="35" s="1"/>
  <c r="AL282" i="35"/>
  <c r="BH282" i="35"/>
  <c r="AP282" i="35"/>
  <c r="CW180" i="35"/>
  <c r="CV181" i="35"/>
  <c r="Y286" i="35"/>
  <c r="AL286" i="35"/>
  <c r="BH286" i="35"/>
  <c r="AP286" i="35"/>
  <c r="AP291" i="35"/>
  <c r="BH291" i="35"/>
  <c r="Y291" i="35"/>
  <c r="AL291" i="35"/>
  <c r="BN314" i="37" l="1"/>
  <c r="AW282" i="35"/>
  <c r="BN282" i="35"/>
  <c r="AW313" i="37"/>
  <c r="AE313" i="37"/>
  <c r="AW315" i="37"/>
  <c r="AE315" i="37"/>
  <c r="AW281" i="35"/>
  <c r="BN281" i="35"/>
  <c r="BN323" i="37"/>
  <c r="I359" i="37" s="1"/>
  <c r="AW283" i="35"/>
  <c r="BN283" i="35"/>
  <c r="AE283" i="35"/>
  <c r="L238" i="36"/>
  <c r="C238" i="36" s="1"/>
  <c r="L240" i="36"/>
  <c r="C240" i="36" s="1"/>
  <c r="L246" i="36"/>
  <c r="C246" i="36" s="1"/>
  <c r="L243" i="36"/>
  <c r="C243" i="36" s="1"/>
  <c r="L242" i="36"/>
  <c r="C242" i="36" s="1"/>
  <c r="L237" i="36"/>
  <c r="C237" i="36" s="1"/>
  <c r="L239" i="36"/>
  <c r="C239" i="36" s="1"/>
  <c r="L244" i="36"/>
  <c r="C244" i="36" s="1"/>
  <c r="L241" i="36"/>
  <c r="C241" i="36" s="1"/>
  <c r="L245" i="36"/>
  <c r="C245" i="36" s="1"/>
  <c r="BN286" i="35"/>
  <c r="AW286" i="35"/>
  <c r="AE286" i="35"/>
  <c r="AE284" i="35"/>
  <c r="AW284" i="35"/>
  <c r="BN284" i="35"/>
  <c r="CW181" i="35"/>
  <c r="CV182" i="35"/>
  <c r="CW182" i="35" s="1"/>
  <c r="BN291" i="35"/>
  <c r="AE291" i="35"/>
  <c r="AW291" i="35"/>
  <c r="FC203" i="37"/>
  <c r="FB204" i="37"/>
  <c r="AW288" i="35"/>
  <c r="BN288" i="35"/>
  <c r="AE288" i="35"/>
  <c r="AE289" i="35"/>
  <c r="BN289" i="35"/>
  <c r="AW289" i="35"/>
  <c r="DR188" i="36"/>
  <c r="DQ189" i="36"/>
  <c r="DF182" i="35"/>
  <c r="DE183" i="35"/>
  <c r="DF183" i="35" s="1"/>
  <c r="AE285" i="35"/>
  <c r="BN285" i="35"/>
  <c r="AW285" i="35"/>
  <c r="BN290" i="35"/>
  <c r="AW290" i="35"/>
  <c r="AE290" i="35"/>
  <c r="BN287" i="35"/>
  <c r="AW287" i="35"/>
  <c r="AE287" i="35"/>
  <c r="AW323" i="37" l="1"/>
  <c r="M362" i="37" s="1"/>
  <c r="BN294" i="35"/>
  <c r="BY294" i="35" s="1"/>
  <c r="AW294" i="35"/>
  <c r="M299" i="35" s="1"/>
  <c r="AI246" i="36"/>
  <c r="AM246" i="36" s="1"/>
  <c r="Z246" i="36"/>
  <c r="Q246" i="36"/>
  <c r="T246" i="36"/>
  <c r="Z245" i="36"/>
  <c r="T245" i="36"/>
  <c r="Q245" i="36"/>
  <c r="AI245" i="36"/>
  <c r="AM245" i="36" s="1"/>
  <c r="Q240" i="36"/>
  <c r="AI240" i="36"/>
  <c r="AM240" i="36" s="1"/>
  <c r="T240" i="36"/>
  <c r="Z240" i="36" s="1"/>
  <c r="Q241" i="36"/>
  <c r="T241" i="36"/>
  <c r="Z241" i="36" s="1"/>
  <c r="AI241" i="36"/>
  <c r="AM241" i="36" s="1"/>
  <c r="AI238" i="36"/>
  <c r="AM238" i="36" s="1"/>
  <c r="T238" i="36"/>
  <c r="Z238" i="36" s="1"/>
  <c r="Q238" i="36"/>
  <c r="Z244" i="36"/>
  <c r="T244" i="36"/>
  <c r="Q244" i="36"/>
  <c r="AI244" i="36"/>
  <c r="AM244" i="36" s="1"/>
  <c r="C271" i="35"/>
  <c r="C272" i="35"/>
  <c r="C274" i="35"/>
  <c r="C273" i="35"/>
  <c r="DR189" i="36"/>
  <c r="DQ190" i="36"/>
  <c r="FB205" i="37"/>
  <c r="FC205" i="37" s="1"/>
  <c r="FC204" i="37"/>
  <c r="Q239" i="36"/>
  <c r="AI239" i="36"/>
  <c r="AM239" i="36" s="1"/>
  <c r="T239" i="36"/>
  <c r="Z239" i="36" s="1"/>
  <c r="AI237" i="36"/>
  <c r="AM237" i="36" s="1"/>
  <c r="Q237" i="36"/>
  <c r="T237" i="36"/>
  <c r="Z237" i="36" s="1"/>
  <c r="Q242" i="36"/>
  <c r="AI242" i="36"/>
  <c r="AM242" i="36" s="1"/>
  <c r="T242" i="36"/>
  <c r="Z242" i="36" s="1"/>
  <c r="C244" i="35"/>
  <c r="C243" i="35"/>
  <c r="C245" i="35"/>
  <c r="C247" i="35"/>
  <c r="C252" i="35"/>
  <c r="C242" i="35"/>
  <c r="C249" i="35"/>
  <c r="C246" i="35"/>
  <c r="C248" i="35"/>
  <c r="C250" i="35"/>
  <c r="C253" i="35"/>
  <c r="C251" i="35"/>
  <c r="Q243" i="36"/>
  <c r="AI243" i="36"/>
  <c r="AM243" i="36" s="1"/>
  <c r="Z243" i="36"/>
  <c r="T243" i="36"/>
  <c r="C339" i="37" l="1"/>
  <c r="C341" i="37"/>
  <c r="C340" i="37"/>
  <c r="C342" i="37"/>
  <c r="C347" i="37"/>
  <c r="C346" i="37"/>
  <c r="C344" i="37"/>
  <c r="C345" i="37"/>
  <c r="C348" i="37"/>
  <c r="BH274" i="35"/>
  <c r="AL274" i="35"/>
  <c r="AP274" i="35"/>
  <c r="Y274" i="35"/>
  <c r="AL272" i="35"/>
  <c r="Y272" i="35"/>
  <c r="BH272" i="35"/>
  <c r="AP272" i="35"/>
  <c r="AL271" i="35"/>
  <c r="Y271" i="35"/>
  <c r="AP271" i="35"/>
  <c r="BH271" i="35"/>
  <c r="AP252" i="35"/>
  <c r="BH252" i="35"/>
  <c r="AL252" i="35"/>
  <c r="Y252" i="35"/>
  <c r="Y251" i="35"/>
  <c r="AL251" i="35"/>
  <c r="BH251" i="35"/>
  <c r="AP251" i="35"/>
  <c r="BH247" i="35"/>
  <c r="AP247" i="35"/>
  <c r="AL247" i="35"/>
  <c r="Y247" i="35"/>
  <c r="BH253" i="35"/>
  <c r="AP253" i="35"/>
  <c r="Y253" i="35"/>
  <c r="AL253" i="35"/>
  <c r="AL245" i="35"/>
  <c r="BH245" i="35"/>
  <c r="Y245" i="35"/>
  <c r="AP245" i="35"/>
  <c r="Y273" i="35"/>
  <c r="AP273" i="35"/>
  <c r="AL273" i="35"/>
  <c r="BH273" i="35"/>
  <c r="Y243" i="35"/>
  <c r="AL243" i="35"/>
  <c r="BH243" i="35"/>
  <c r="AP243" i="35"/>
  <c r="AP246" i="35"/>
  <c r="AL246" i="35"/>
  <c r="Y246" i="35"/>
  <c r="BH246" i="35"/>
  <c r="BH249" i="35"/>
  <c r="Y249" i="35"/>
  <c r="AL249" i="35"/>
  <c r="AP249" i="35"/>
  <c r="AL250" i="35"/>
  <c r="AP250" i="35"/>
  <c r="Y250" i="35"/>
  <c r="BH250" i="35"/>
  <c r="AP248" i="35"/>
  <c r="AL248" i="35"/>
  <c r="Y248" i="35"/>
  <c r="BH248" i="35"/>
  <c r="BH244" i="35"/>
  <c r="AP244" i="35"/>
  <c r="AL244" i="35"/>
  <c r="Y244" i="35"/>
  <c r="AL242" i="35"/>
  <c r="BH242" i="35"/>
  <c r="AP242" i="35"/>
  <c r="Y242" i="35"/>
  <c r="C355" i="37"/>
  <c r="C349" i="37"/>
  <c r="C352" i="37"/>
  <c r="C356" i="37"/>
  <c r="C350" i="37"/>
  <c r="C353" i="37"/>
  <c r="C351" i="37"/>
  <c r="C354" i="37"/>
  <c r="DR190" i="36"/>
  <c r="DQ191" i="36"/>
  <c r="Z278" i="36"/>
  <c r="BD235" i="36" s="1"/>
  <c r="AL345" i="37" l="1"/>
  <c r="BH345" i="37"/>
  <c r="AP345" i="37"/>
  <c r="Y345" i="37"/>
  <c r="AL344" i="37"/>
  <c r="BH344" i="37"/>
  <c r="AP344" i="37"/>
  <c r="Y344" i="37"/>
  <c r="AL342" i="37"/>
  <c r="BH342" i="37"/>
  <c r="AP342" i="37"/>
  <c r="Y342" i="37"/>
  <c r="AL340" i="37"/>
  <c r="BH340" i="37"/>
  <c r="AP340" i="37"/>
  <c r="Y340" i="37"/>
  <c r="AL346" i="37"/>
  <c r="BH346" i="37"/>
  <c r="AP346" i="37"/>
  <c r="Y346" i="37"/>
  <c r="AL341" i="37"/>
  <c r="BH341" i="37"/>
  <c r="AP341" i="37"/>
  <c r="Y341" i="37"/>
  <c r="BH347" i="37"/>
  <c r="AP347" i="37"/>
  <c r="AL347" i="37"/>
  <c r="Y347" i="37"/>
  <c r="AE347" i="37" s="1"/>
  <c r="AL348" i="37"/>
  <c r="AP348" i="37"/>
  <c r="BH348" i="37"/>
  <c r="Y348" i="37"/>
  <c r="AE348" i="37" s="1"/>
  <c r="AL339" i="37"/>
  <c r="BH339" i="37"/>
  <c r="AP339" i="37"/>
  <c r="Y339" i="37"/>
  <c r="AW247" i="35"/>
  <c r="AE247" i="35"/>
  <c r="BN247" i="35"/>
  <c r="AE252" i="35"/>
  <c r="AW252" i="35"/>
  <c r="BN252" i="35"/>
  <c r="BN245" i="35"/>
  <c r="AE245" i="35"/>
  <c r="AW245" i="35"/>
  <c r="AE272" i="35"/>
  <c r="BN272" i="35"/>
  <c r="AW272" i="35"/>
  <c r="BN243" i="35"/>
  <c r="AE243" i="35"/>
  <c r="AW243" i="35"/>
  <c r="AW249" i="35"/>
  <c r="BN249" i="35"/>
  <c r="AE249" i="35"/>
  <c r="BN274" i="35"/>
  <c r="AW274" i="35"/>
  <c r="AE274" i="35"/>
  <c r="Y354" i="37"/>
  <c r="AL354" i="37"/>
  <c r="AP354" i="37"/>
  <c r="BH354" i="37"/>
  <c r="AE242" i="35"/>
  <c r="AW242" i="35"/>
  <c r="BN242" i="35"/>
  <c r="AP351" i="37"/>
  <c r="Y351" i="37"/>
  <c r="BH351" i="37"/>
  <c r="AL351" i="37"/>
  <c r="AL356" i="37"/>
  <c r="AP356" i="37"/>
  <c r="BH356" i="37"/>
  <c r="Y356" i="37"/>
  <c r="AE244" i="35"/>
  <c r="AW244" i="35"/>
  <c r="BN244" i="35"/>
  <c r="AL352" i="37"/>
  <c r="AP352" i="37"/>
  <c r="BH352" i="37"/>
  <c r="Y352" i="37"/>
  <c r="AE250" i="35"/>
  <c r="AW250" i="35"/>
  <c r="BN250" i="35"/>
  <c r="AW246" i="35"/>
  <c r="BN246" i="35"/>
  <c r="AE246" i="35"/>
  <c r="BN253" i="35"/>
  <c r="AW253" i="35"/>
  <c r="AE253" i="35"/>
  <c r="AP350" i="37"/>
  <c r="BH350" i="37"/>
  <c r="Y350" i="37"/>
  <c r="AL350" i="37"/>
  <c r="DR191" i="36"/>
  <c r="DQ192" i="36"/>
  <c r="AL349" i="37"/>
  <c r="AP349" i="37"/>
  <c r="BH349" i="37"/>
  <c r="Y349" i="37"/>
  <c r="BN271" i="35"/>
  <c r="AE271" i="35"/>
  <c r="AW271" i="35"/>
  <c r="AW248" i="35"/>
  <c r="BN248" i="35"/>
  <c r="AE248" i="35"/>
  <c r="Y353" i="37"/>
  <c r="BH353" i="37"/>
  <c r="AL353" i="37"/>
  <c r="AP353" i="37"/>
  <c r="AP355" i="37"/>
  <c r="BH355" i="37"/>
  <c r="Y355" i="37"/>
  <c r="AL355" i="37"/>
  <c r="BN273" i="35"/>
  <c r="AE273" i="35"/>
  <c r="AW273" i="35"/>
  <c r="AW251" i="35"/>
  <c r="AE251" i="35"/>
  <c r="BN251" i="35"/>
  <c r="BN341" i="37" l="1"/>
  <c r="AW341" i="37"/>
  <c r="AE341" i="37"/>
  <c r="BN340" i="37"/>
  <c r="AW340" i="37"/>
  <c r="AE340" i="37"/>
  <c r="AE344" i="37"/>
  <c r="AW344" i="37"/>
  <c r="BN344" i="37"/>
  <c r="BN348" i="37"/>
  <c r="AW348" i="37"/>
  <c r="AW339" i="37"/>
  <c r="BN339" i="37"/>
  <c r="AE339" i="37"/>
  <c r="AW346" i="37"/>
  <c r="AE346" i="37"/>
  <c r="BN346" i="37"/>
  <c r="BN342" i="37"/>
  <c r="AW342" i="37"/>
  <c r="AE342" i="37"/>
  <c r="AW345" i="37"/>
  <c r="BN345" i="37"/>
  <c r="AE345" i="37"/>
  <c r="AW347" i="37"/>
  <c r="BN347" i="37"/>
  <c r="AW353" i="37"/>
  <c r="AE353" i="37"/>
  <c r="BN353" i="37"/>
  <c r="BN355" i="37"/>
  <c r="AE355" i="37"/>
  <c r="AW355" i="37"/>
  <c r="AE352" i="37"/>
  <c r="AW352" i="37"/>
  <c r="BN352" i="37"/>
  <c r="AW351" i="37"/>
  <c r="BN351" i="37"/>
  <c r="AE351" i="37"/>
  <c r="BN354" i="37"/>
  <c r="AE354" i="37"/>
  <c r="AW354" i="37"/>
  <c r="DR192" i="36"/>
  <c r="DQ193" i="36"/>
  <c r="AE356" i="37"/>
  <c r="AW356" i="37"/>
  <c r="BN356" i="37"/>
  <c r="AW275" i="35"/>
  <c r="M298" i="35" s="1"/>
  <c r="BN254" i="35"/>
  <c r="BY292" i="35" s="1"/>
  <c r="AW254" i="35"/>
  <c r="M297" i="35" s="1"/>
  <c r="BN275" i="35"/>
  <c r="BY293" i="35" s="1"/>
  <c r="AE350" i="37"/>
  <c r="AW350" i="37"/>
  <c r="BN350" i="37"/>
  <c r="AW349" i="37"/>
  <c r="BN349" i="37"/>
  <c r="AE349" i="37"/>
  <c r="Y338" i="37"/>
  <c r="M300" i="35" l="1"/>
  <c r="M301" i="35" s="1"/>
  <c r="F301" i="35" s="1"/>
  <c r="AE338" i="37"/>
  <c r="C338" i="37"/>
  <c r="DR193" i="36"/>
  <c r="DQ195" i="36"/>
  <c r="AL338" i="37" l="1"/>
  <c r="BH338" i="37"/>
  <c r="BN338" i="37" s="1"/>
  <c r="BN357" i="37" s="1"/>
  <c r="AP338" i="37"/>
  <c r="AW338" i="37" s="1"/>
  <c r="AW357" i="37" s="1"/>
  <c r="M363" i="37" s="1"/>
  <c r="DR195" i="36"/>
  <c r="DQ196" i="36"/>
  <c r="DR196" i="36" l="1"/>
  <c r="DQ197" i="36"/>
  <c r="I360" i="37"/>
  <c r="M364" i="37"/>
  <c r="M365" i="37" s="1"/>
  <c r="F365" i="37" s="1"/>
  <c r="DR197" i="36" l="1"/>
  <c r="DQ198" i="36"/>
  <c r="DR198" i="36" l="1"/>
  <c r="DQ199" i="36"/>
  <c r="DR199" i="36" l="1"/>
  <c r="DQ200" i="36"/>
  <c r="DR200" i="36" l="1"/>
  <c r="DQ201" i="36"/>
  <c r="DR201" i="36" l="1"/>
  <c r="DQ202" i="36"/>
  <c r="DR202" i="36" l="1"/>
  <c r="DQ203" i="36"/>
  <c r="DR203" i="36" l="1"/>
  <c r="DQ204" i="36"/>
  <c r="DR204" i="36" l="1"/>
  <c r="DQ205" i="36"/>
  <c r="DR205" i="36" l="1"/>
  <c r="DQ206" i="36"/>
  <c r="DR206" i="36" l="1"/>
  <c r="DQ207" i="36"/>
  <c r="DR207" i="36" l="1"/>
  <c r="DQ209" i="36"/>
  <c r="DR209" i="36" l="1"/>
  <c r="DQ210" i="36"/>
  <c r="DR210" i="36" l="1"/>
  <c r="DQ211" i="36"/>
  <c r="DR211" i="36" l="1"/>
  <c r="DQ212" i="36"/>
  <c r="DR212" i="36" l="1"/>
  <c r="DQ213" i="36"/>
  <c r="DR213" i="36" l="1"/>
  <c r="DQ214" i="36"/>
  <c r="DR214" i="36" l="1"/>
  <c r="DQ215" i="36"/>
  <c r="DR215" i="36" l="1"/>
  <c r="DQ216" i="36"/>
  <c r="DR216" i="36" l="1"/>
  <c r="DQ217" i="36"/>
  <c r="DR217" i="36" l="1"/>
  <c r="DQ218" i="36"/>
  <c r="DR218" i="36" l="1"/>
  <c r="DQ219" i="36"/>
  <c r="DR219" i="36" l="1"/>
  <c r="DQ220" i="36"/>
  <c r="DR220" i="36" l="1"/>
  <c r="DQ221" i="36"/>
  <c r="DR221" i="36" l="1"/>
  <c r="DQ223" i="36"/>
  <c r="DR223" i="36" l="1"/>
  <c r="DQ224" i="36"/>
  <c r="DR224" i="36" l="1"/>
  <c r="DQ225" i="36"/>
  <c r="DR225" i="36" l="1"/>
  <c r="DQ226" i="36"/>
  <c r="DR226" i="36" l="1"/>
  <c r="DQ227" i="36"/>
  <c r="DR227" i="36" l="1"/>
  <c r="DQ228" i="36"/>
  <c r="DR228" i="36" l="1"/>
  <c r="DQ229" i="36"/>
  <c r="DR229" i="36" l="1"/>
  <c r="DQ230" i="36"/>
  <c r="DR230" i="36" l="1"/>
  <c r="DQ231" i="36"/>
  <c r="DR231" i="36" l="1"/>
  <c r="DQ232" i="36"/>
  <c r="DR232" i="36" l="1"/>
  <c r="DQ233" i="36"/>
  <c r="DR233" i="36" l="1"/>
  <c r="DQ234" i="36"/>
  <c r="DR234" i="36" l="1"/>
  <c r="DQ235" i="36"/>
  <c r="DR235" i="36" l="1"/>
  <c r="DQ237" i="36"/>
  <c r="DR237" i="36" l="1"/>
  <c r="DQ238" i="36"/>
  <c r="DR238" i="36" l="1"/>
  <c r="DQ239" i="36"/>
  <c r="DR239" i="36" l="1"/>
  <c r="DQ240" i="36"/>
  <c r="DR240" i="36" l="1"/>
  <c r="DQ241" i="36"/>
  <c r="DR241" i="36" l="1"/>
  <c r="DQ242" i="36"/>
  <c r="DR242" i="36" l="1"/>
  <c r="DQ243" i="36"/>
  <c r="DR243" i="36" l="1"/>
  <c r="DQ244" i="36"/>
  <c r="DR244" i="36" l="1"/>
  <c r="DQ245" i="36"/>
  <c r="DR245" i="36" l="1"/>
  <c r="DQ246" i="36"/>
  <c r="DR246" i="36" l="1"/>
  <c r="DQ247" i="36"/>
  <c r="DR247" i="36" l="1"/>
  <c r="DQ248" i="36"/>
  <c r="DR248" i="36" l="1"/>
  <c r="DQ249" i="36"/>
  <c r="DR249" i="36" l="1"/>
  <c r="DQ251" i="36"/>
  <c r="DR251" i="36" l="1"/>
  <c r="DQ252" i="36"/>
  <c r="DR252" i="36" l="1"/>
  <c r="DQ253" i="36"/>
  <c r="DR253" i="36" l="1"/>
  <c r="DQ254" i="36"/>
  <c r="DR254" i="36" l="1"/>
  <c r="DQ255" i="36"/>
  <c r="DR255" i="36" l="1"/>
  <c r="DQ256" i="36"/>
  <c r="DR256" i="36" l="1"/>
  <c r="DQ257" i="36"/>
  <c r="DR257" i="36" l="1"/>
  <c r="DQ258" i="36"/>
  <c r="DR258" i="36" l="1"/>
  <c r="DQ259" i="36"/>
  <c r="DR259" i="36" l="1"/>
  <c r="DQ260" i="36"/>
  <c r="DR260" i="36" l="1"/>
  <c r="DQ261" i="36"/>
  <c r="DR261" i="36" l="1"/>
  <c r="DQ262" i="36"/>
  <c r="DR262" i="36" l="1"/>
  <c r="DQ263" i="36"/>
  <c r="DR263" i="36" l="1"/>
  <c r="DQ265" i="36"/>
  <c r="DR265" i="36" l="1"/>
  <c r="DQ266" i="36"/>
  <c r="DR266" i="36" l="1"/>
  <c r="DQ267" i="36"/>
  <c r="DR267" i="36" l="1"/>
  <c r="DQ268" i="36"/>
  <c r="DR268" i="36" l="1"/>
  <c r="DQ269" i="36"/>
  <c r="DR269" i="36" l="1"/>
  <c r="DQ270" i="36"/>
  <c r="DR270" i="36" l="1"/>
  <c r="DQ271" i="36"/>
  <c r="DR271" i="36" l="1"/>
  <c r="DQ272" i="36"/>
  <c r="DR272" i="36" l="1"/>
  <c r="DQ273" i="36"/>
  <c r="DR273" i="36" l="1"/>
  <c r="DQ274" i="36"/>
  <c r="DR274" i="36" l="1"/>
  <c r="DQ275" i="36"/>
  <c r="DR275" i="36" l="1"/>
  <c r="DQ276" i="36"/>
  <c r="DR276" i="36" l="1"/>
  <c r="DQ277" i="36"/>
  <c r="DR277" i="36" l="1"/>
  <c r="DQ279" i="36"/>
  <c r="DR279" i="36" l="1"/>
  <c r="DQ280" i="36"/>
  <c r="DR280" i="36" l="1"/>
  <c r="DQ281" i="36"/>
  <c r="DR281" i="36" l="1"/>
  <c r="DQ282" i="36"/>
  <c r="DR282" i="36" l="1"/>
  <c r="DQ283" i="36"/>
  <c r="DR283" i="36" l="1"/>
  <c r="DQ284" i="36"/>
  <c r="DR284" i="36" l="1"/>
  <c r="DQ285" i="36"/>
  <c r="DR285" i="36" l="1"/>
  <c r="DQ286" i="36"/>
  <c r="DR286" i="36" l="1"/>
  <c r="DQ287" i="36"/>
  <c r="DR287" i="36" l="1"/>
  <c r="DQ288" i="36"/>
  <c r="DR288" i="36" l="1"/>
  <c r="DQ289" i="36"/>
  <c r="DR289" i="36" l="1"/>
  <c r="DQ290" i="36"/>
  <c r="DR290" i="36" l="1"/>
  <c r="L272" i="36" s="1"/>
  <c r="C272" i="36" s="1"/>
  <c r="DQ291" i="36"/>
  <c r="DR291" i="36" s="1"/>
  <c r="L275" i="36" l="1"/>
  <c r="C275" i="36" s="1"/>
  <c r="L270" i="36"/>
  <c r="C270" i="36" s="1"/>
  <c r="L269" i="36"/>
  <c r="C269" i="36" s="1"/>
  <c r="L273" i="36"/>
  <c r="C273" i="36" s="1"/>
  <c r="L274" i="36"/>
  <c r="C274" i="36" s="1"/>
  <c r="L271" i="36"/>
  <c r="C271" i="36" s="1"/>
  <c r="L268" i="36"/>
  <c r="L276" i="36"/>
  <c r="C276" i="36" s="1"/>
  <c r="Q272" i="36"/>
  <c r="AI272" i="36"/>
  <c r="AM272" i="36" s="1"/>
  <c r="T272" i="36"/>
  <c r="Z272" i="36" s="1"/>
  <c r="T276" i="36" l="1"/>
  <c r="AI276" i="36"/>
  <c r="AM276" i="36" s="1"/>
  <c r="Z276" i="36"/>
  <c r="Q276" i="36"/>
  <c r="C268" i="36"/>
  <c r="L261" i="36"/>
  <c r="C261" i="36" s="1"/>
  <c r="Q271" i="36"/>
  <c r="AI271" i="36"/>
  <c r="AM271" i="36" s="1"/>
  <c r="T271" i="36"/>
  <c r="Z271" i="36" s="1"/>
  <c r="T274" i="36"/>
  <c r="Q274" i="36"/>
  <c r="AI274" i="36"/>
  <c r="AM274" i="36" s="1"/>
  <c r="Z274" i="36"/>
  <c r="AI273" i="36"/>
  <c r="AM273" i="36" s="1"/>
  <c r="Q273" i="36"/>
  <c r="T273" i="36"/>
  <c r="Z273" i="36"/>
  <c r="Q269" i="36"/>
  <c r="T269" i="36"/>
  <c r="Z269" i="36" s="1"/>
  <c r="AI269" i="36"/>
  <c r="AM269" i="36" s="1"/>
  <c r="Q270" i="36"/>
  <c r="AI270" i="36"/>
  <c r="AM270" i="36" s="1"/>
  <c r="T270" i="36"/>
  <c r="Z270" i="36" s="1"/>
  <c r="T275" i="36"/>
  <c r="AI275" i="36"/>
  <c r="AM275" i="36" s="1"/>
  <c r="Q275" i="36"/>
  <c r="Z275" i="36"/>
  <c r="Q261" i="36" l="1"/>
  <c r="AI261" i="36"/>
  <c r="AM261" i="36" s="1"/>
  <c r="T261" i="36"/>
  <c r="Z261" i="36" s="1"/>
  <c r="Z279" i="36" s="1"/>
  <c r="BD236" i="36" s="1"/>
  <c r="Q268" i="36"/>
  <c r="AI268" i="36"/>
  <c r="AM268" i="36" s="1"/>
  <c r="T268" i="36"/>
  <c r="Z268" i="36" s="1"/>
  <c r="Z280" i="36" s="1"/>
  <c r="BD237" i="36" s="1"/>
  <c r="AK278" i="36" l="1"/>
  <c r="BD238" i="36" s="1"/>
  <c r="BD239" i="36" s="1"/>
</calcChain>
</file>

<file path=xl/comments1.xml><?xml version="1.0" encoding="utf-8"?>
<comments xmlns="http://schemas.openxmlformats.org/spreadsheetml/2006/main">
  <authors>
    <author>ESE Service</author>
  </authors>
  <commentList>
    <comment ref="BG3" authorId="0">
      <text>
        <r>
          <rPr>
            <b/>
            <sz val="9"/>
            <color indexed="81"/>
            <rFont val="ＭＳ Ｐゴシック"/>
            <family val="3"/>
            <charset val="128"/>
          </rPr>
          <t xml:space="preserve">　　　　　　　   </t>
        </r>
        <r>
          <rPr>
            <b/>
            <sz val="12"/>
            <color indexed="37"/>
            <rFont val="ＭＳ Ｐ明朝"/>
            <family val="1"/>
            <charset val="128"/>
          </rPr>
          <t>端子盤の設置場所入力</t>
        </r>
        <r>
          <rPr>
            <b/>
            <sz val="18"/>
            <color indexed="81"/>
            <rFont val="ＭＳ Ｐゴシック"/>
            <family val="3"/>
            <charset val="128"/>
          </rPr>
          <t xml:space="preserve"> </t>
        </r>
        <r>
          <rPr>
            <b/>
            <sz val="9"/>
            <color indexed="81"/>
            <rFont val="ＭＳ Ｐゴシック"/>
            <family val="3"/>
            <charset val="128"/>
          </rPr>
          <t xml:space="preserve">
</t>
        </r>
        <r>
          <rPr>
            <sz val="9"/>
            <color indexed="32"/>
            <rFont val="Meiryo UI"/>
            <family val="3"/>
            <charset val="128"/>
          </rPr>
          <t>　　　　</t>
        </r>
        <r>
          <rPr>
            <sz val="9"/>
            <color indexed="81"/>
            <rFont val="Meiryo UI"/>
            <family val="3"/>
            <charset val="128"/>
          </rPr>
          <t>①～⑨</t>
        </r>
        <r>
          <rPr>
            <sz val="9"/>
            <color indexed="32"/>
            <rFont val="Meiryo UI"/>
            <family val="3"/>
            <charset val="128"/>
          </rPr>
          <t>の中から端子盤位置の番号を選択 して下さい。</t>
        </r>
        <r>
          <rPr>
            <sz val="12"/>
            <color indexed="32"/>
            <rFont val="Meiryo UI"/>
            <family val="3"/>
            <charset val="128"/>
          </rPr>
          <t>　</t>
        </r>
        <r>
          <rPr>
            <sz val="9"/>
            <color indexed="32"/>
            <rFont val="Meiryo UI"/>
            <family val="3"/>
            <charset val="128"/>
          </rPr>
          <t xml:space="preserve">
　　　　標準設定値は"</t>
        </r>
        <r>
          <rPr>
            <b/>
            <sz val="10"/>
            <color indexed="81"/>
            <rFont val="Meiryo UI"/>
            <family val="3"/>
            <charset val="128"/>
          </rPr>
          <t>⑦</t>
        </r>
        <r>
          <rPr>
            <sz val="9"/>
            <color indexed="32"/>
            <rFont val="Meiryo UI"/>
            <family val="3"/>
            <charset val="128"/>
          </rPr>
          <t>"です。</t>
        </r>
        <r>
          <rPr>
            <sz val="11"/>
            <color indexed="9"/>
            <rFont val="Meiryo UI"/>
            <family val="3"/>
            <charset val="128"/>
          </rPr>
          <t xml:space="preserve">
</t>
        </r>
        <r>
          <rPr>
            <sz val="10"/>
            <color indexed="35"/>
            <rFont val="Meiryo UI"/>
            <family val="3"/>
            <charset val="128"/>
          </rPr>
          <t xml:space="preserve"> </t>
        </r>
        <r>
          <rPr>
            <sz val="9"/>
            <color indexed="81"/>
            <rFont val="ＭＳ ゴシック"/>
            <family val="3"/>
            <charset val="128"/>
          </rPr>
          <t xml:space="preserve">  　</t>
        </r>
        <r>
          <rPr>
            <sz val="8"/>
            <color indexed="81"/>
            <rFont val="ＭＳ ゴシック"/>
            <family val="3"/>
            <charset val="128"/>
          </rPr>
          <t>　</t>
        </r>
        <r>
          <rPr>
            <b/>
            <sz val="10"/>
            <color indexed="32"/>
            <rFont val="ＭＳ Ｐゴシック"/>
            <family val="3"/>
            <charset val="128"/>
          </rPr>
          <t>Ly</t>
        </r>
        <r>
          <rPr>
            <b/>
            <sz val="3"/>
            <color indexed="32"/>
            <rFont val="ＭＳ Ｐゴシック"/>
            <family val="3"/>
            <charset val="128"/>
          </rPr>
          <t xml:space="preserve"> </t>
        </r>
        <r>
          <rPr>
            <sz val="9"/>
            <color indexed="81"/>
            <rFont val="Meiryo UI"/>
            <family val="3"/>
            <charset val="128"/>
          </rPr>
          <t xml:space="preserve">
</t>
        </r>
        <r>
          <rPr>
            <sz val="9"/>
            <color indexed="81"/>
            <rFont val="ＭＳ ゴシック"/>
            <family val="3"/>
            <charset val="128"/>
          </rPr>
          <t xml:space="preserve">   </t>
        </r>
        <r>
          <rPr>
            <sz val="8"/>
            <color indexed="81"/>
            <rFont val="ＭＳ ゴシック"/>
            <family val="3"/>
            <charset val="128"/>
          </rPr>
          <t xml:space="preserve"> </t>
        </r>
        <r>
          <rPr>
            <b/>
            <sz val="9"/>
            <color indexed="39"/>
            <rFont val="ＭＳ ゴシック"/>
            <family val="3"/>
            <charset val="128"/>
          </rPr>
          <t>↑</t>
        </r>
        <r>
          <rPr>
            <sz val="9"/>
            <color indexed="81"/>
            <rFont val="ＭＳ ゴシック"/>
            <family val="3"/>
            <charset val="128"/>
          </rPr>
          <t>■━━━━■━━━━■━━━━■━━━━■
　　　┃　　　　　　　　　　　　　　　　　　　┃
　　　■        ■　　　  ■　　　　■        ■
　　　┃   　　　　　　　　　　　　　　　　   ┃
　　　</t>
        </r>
        <r>
          <rPr>
            <sz val="9"/>
            <color indexed="81"/>
            <rFont val="Meiryo UI"/>
            <family val="3"/>
            <charset val="128"/>
          </rPr>
          <t>⑦</t>
        </r>
        <r>
          <rPr>
            <sz val="9"/>
            <color indexed="81"/>
            <rFont val="ＭＳ ゴシック"/>
            <family val="3"/>
            <charset val="128"/>
          </rPr>
          <t xml:space="preserve">      　</t>
        </r>
        <r>
          <rPr>
            <sz val="9"/>
            <color indexed="81"/>
            <rFont val="Meiryo UI"/>
            <family val="3"/>
            <charset val="128"/>
          </rPr>
          <t>⑧</t>
        </r>
        <r>
          <rPr>
            <sz val="9"/>
            <color indexed="81"/>
            <rFont val="ＭＳ ゴシック"/>
            <family val="3"/>
            <charset val="128"/>
          </rPr>
          <t>　　　　</t>
        </r>
        <r>
          <rPr>
            <sz val="9"/>
            <color indexed="81"/>
            <rFont val="Meiryo UI"/>
            <family val="3"/>
            <charset val="128"/>
          </rPr>
          <t>⑨</t>
        </r>
        <r>
          <rPr>
            <sz val="9"/>
            <color indexed="81"/>
            <rFont val="ＭＳ ゴシック"/>
            <family val="3"/>
            <charset val="128"/>
          </rPr>
          <t>　　　　■　　 　 ■
　　　┃　　　　　　　　　　　　　　　 　　 　┃ 
　　　</t>
        </r>
        <r>
          <rPr>
            <sz val="9"/>
            <color indexed="81"/>
            <rFont val="Meiryo UI"/>
            <family val="3"/>
            <charset val="128"/>
          </rPr>
          <t>④</t>
        </r>
        <r>
          <rPr>
            <sz val="9"/>
            <color indexed="81"/>
            <rFont val="ＭＳ ゴシック"/>
            <family val="3"/>
            <charset val="128"/>
          </rPr>
          <t xml:space="preserve">      　</t>
        </r>
        <r>
          <rPr>
            <sz val="9"/>
            <color indexed="81"/>
            <rFont val="Meiryo UI"/>
            <family val="3"/>
            <charset val="128"/>
          </rPr>
          <t>⑤</t>
        </r>
        <r>
          <rPr>
            <sz val="9"/>
            <color indexed="81"/>
            <rFont val="ＭＳ ゴシック"/>
            <family val="3"/>
            <charset val="128"/>
          </rPr>
          <t>　　　　</t>
        </r>
        <r>
          <rPr>
            <sz val="9"/>
            <color indexed="81"/>
            <rFont val="Meiryo UI"/>
            <family val="3"/>
            <charset val="128"/>
          </rPr>
          <t>⑥</t>
        </r>
        <r>
          <rPr>
            <sz val="9"/>
            <color indexed="81"/>
            <rFont val="ＭＳ ゴシック"/>
            <family val="3"/>
            <charset val="128"/>
          </rPr>
          <t xml:space="preserve">　　　　■　　 　 ■
　　　┃　　　　　　　　　　　　　　　　　　　┃ 
　    </t>
        </r>
        <r>
          <rPr>
            <sz val="9"/>
            <color indexed="81"/>
            <rFont val="Meiryo UI"/>
            <family val="3"/>
            <charset val="128"/>
          </rPr>
          <t>①</t>
        </r>
        <r>
          <rPr>
            <sz val="9"/>
            <color indexed="81"/>
            <rFont val="ＭＳ ゴシック"/>
            <family val="3"/>
            <charset val="128"/>
          </rPr>
          <t>━━━━</t>
        </r>
        <r>
          <rPr>
            <sz val="9"/>
            <color indexed="81"/>
            <rFont val="Meiryo UI"/>
            <family val="3"/>
            <charset val="128"/>
          </rPr>
          <t>②</t>
        </r>
        <r>
          <rPr>
            <sz val="9"/>
            <color indexed="81"/>
            <rFont val="ＭＳ ゴシック"/>
            <family val="3"/>
            <charset val="128"/>
          </rPr>
          <t>━━━━</t>
        </r>
        <r>
          <rPr>
            <sz val="9"/>
            <color indexed="81"/>
            <rFont val="Meiryo UI"/>
            <family val="3"/>
            <charset val="128"/>
          </rPr>
          <t>③</t>
        </r>
        <r>
          <rPr>
            <sz val="9"/>
            <color indexed="81"/>
            <rFont val="ＭＳ ゴシック"/>
            <family val="3"/>
            <charset val="128"/>
          </rPr>
          <t xml:space="preserve">━━━━■━━━━■ </t>
        </r>
        <r>
          <rPr>
            <b/>
            <sz val="9"/>
            <color indexed="32"/>
            <rFont val="ＭＳ ゴシック"/>
            <family val="3"/>
            <charset val="128"/>
          </rPr>
          <t>Lx</t>
        </r>
        <r>
          <rPr>
            <sz val="9"/>
            <color indexed="81"/>
            <rFont val="ＭＳ ゴシック"/>
            <family val="3"/>
            <charset val="128"/>
          </rPr>
          <t xml:space="preserve">
                                       </t>
        </r>
        <r>
          <rPr>
            <sz val="9"/>
            <color indexed="35"/>
            <rFont val="ＭＳ ゴシック"/>
            <family val="3"/>
            <charset val="128"/>
          </rPr>
          <t xml:space="preserve">　　   </t>
        </r>
        <r>
          <rPr>
            <b/>
            <sz val="10"/>
            <color indexed="39"/>
            <rFont val="ＭＳ ゴシック"/>
            <family val="3"/>
            <charset val="128"/>
          </rPr>
          <t>→</t>
        </r>
        <r>
          <rPr>
            <sz val="9"/>
            <color indexed="35"/>
            <rFont val="ＭＳ ゴシック"/>
            <family val="3"/>
            <charset val="128"/>
          </rPr>
          <t xml:space="preserve">
</t>
        </r>
      </text>
    </comment>
    <comment ref="AV6" authorId="0">
      <text>
        <r>
          <rPr>
            <b/>
            <sz val="9"/>
            <color indexed="81"/>
            <rFont val="ＭＳ Ｐゴシック"/>
            <family val="3"/>
            <charset val="128"/>
          </rPr>
          <t xml:space="preserve">           </t>
        </r>
        <r>
          <rPr>
            <b/>
            <sz val="11"/>
            <color indexed="37"/>
            <rFont val="ＭＳ Ｐ明朝"/>
            <family val="1"/>
            <charset val="128"/>
          </rPr>
          <t>天井内配線の位置</t>
        </r>
        <r>
          <rPr>
            <b/>
            <sz val="18"/>
            <color indexed="37"/>
            <rFont val="ＭＳ Ｐゴシック"/>
            <family val="3"/>
            <charset val="128"/>
          </rPr>
          <t xml:space="preserve"> </t>
        </r>
        <r>
          <rPr>
            <b/>
            <sz val="12"/>
            <color indexed="81"/>
            <rFont val="ＭＳ Ｐゴシック"/>
            <family val="3"/>
            <charset val="128"/>
          </rPr>
          <t xml:space="preserve">
</t>
        </r>
        <r>
          <rPr>
            <sz val="12"/>
            <color indexed="9"/>
            <rFont val="ＭＳ ゴシック"/>
            <family val="3"/>
            <charset val="128"/>
          </rPr>
          <t xml:space="preserve">                  </t>
        </r>
        <r>
          <rPr>
            <b/>
            <vertAlign val="subscript"/>
            <sz val="12"/>
            <color indexed="32"/>
            <rFont val="Meiryo UI"/>
            <family val="3"/>
            <charset val="128"/>
          </rPr>
          <t xml:space="preserve">▽FL </t>
        </r>
        <r>
          <rPr>
            <sz val="12"/>
            <color indexed="9"/>
            <rFont val="ＭＳ ゴシック"/>
            <family val="3"/>
            <charset val="128"/>
          </rPr>
          <t xml:space="preserve">
</t>
        </r>
        <r>
          <rPr>
            <sz val="9"/>
            <color indexed="9"/>
            <rFont val="ＭＳ ゴシック"/>
            <family val="3"/>
            <charset val="128"/>
          </rPr>
          <t xml:space="preserve">  </t>
        </r>
        <r>
          <rPr>
            <sz val="9"/>
            <color indexed="32"/>
            <rFont val="Meiryo UI"/>
            <family val="3"/>
            <charset val="128"/>
          </rPr>
          <t>▀▀▀▀▀▀▀▀▀▀▀▀▀▀▀▀▀▀▀</t>
        </r>
        <r>
          <rPr>
            <sz val="9"/>
            <color indexed="9"/>
            <rFont val="ＭＳ ゴシック"/>
            <family val="3"/>
            <charset val="128"/>
          </rPr>
          <t xml:space="preserve">
  </t>
        </r>
        <r>
          <rPr>
            <sz val="9"/>
            <color indexed="32"/>
            <rFont val="ＭＳ ゴシック"/>
            <family val="3"/>
            <charset val="128"/>
          </rPr>
          <t xml:space="preserve">                     </t>
        </r>
        <r>
          <rPr>
            <sz val="9"/>
            <color indexed="32"/>
            <rFont val="Meiryo UI"/>
            <family val="3"/>
            <charset val="128"/>
          </rPr>
          <t>スラブ</t>
        </r>
        <r>
          <rPr>
            <sz val="9"/>
            <color indexed="81"/>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xml:space="preserve">    </t>
        </r>
        <r>
          <rPr>
            <sz val="9"/>
            <color indexed="32"/>
            <rFont val="Meiryo UI"/>
            <family val="3"/>
            <charset val="128"/>
          </rPr>
          <t>ケーブル配線</t>
        </r>
        <r>
          <rPr>
            <sz val="6"/>
            <color indexed="81"/>
            <rFont val="ＭＳ ゴシック"/>
            <family val="3"/>
            <charset val="128"/>
          </rPr>
          <t xml:space="preserve"> </t>
        </r>
        <r>
          <rPr>
            <sz val="9"/>
            <color indexed="81"/>
            <rFont val="ＭＳ ゴシック"/>
            <family val="3"/>
            <charset val="128"/>
          </rPr>
          <t xml:space="preserve">   │</t>
        </r>
        <r>
          <rPr>
            <sz val="10"/>
            <color indexed="32"/>
            <rFont val="Meiryo UI"/>
            <family val="3"/>
            <charset val="128"/>
          </rPr>
          <t>0.1m</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 ▀▀▀▀▀▀ ▀ ▀▀▀</t>
        </r>
        <r>
          <rPr>
            <sz val="9"/>
            <color indexed="32"/>
            <rFont val="ＭＳ ゴシック"/>
            <family val="3"/>
            <charset val="128"/>
          </rPr>
          <t xml:space="preserve"> ┴</t>
        </r>
        <r>
          <rPr>
            <sz val="9"/>
            <color indexed="32"/>
            <rFont val="Meiryo UI"/>
            <family val="3"/>
            <charset val="128"/>
          </rPr>
          <t>(スラブ下)</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t>
        </r>
        <r>
          <rPr>
            <sz val="9"/>
            <color indexed="81"/>
            <rFont val="ＭＳ ゴシック"/>
            <family val="3"/>
            <charset val="128"/>
          </rPr>
          <t xml:space="preserve">
</t>
        </r>
        <r>
          <rPr>
            <sz val="9"/>
            <color indexed="32"/>
            <rFont val="ＭＳ ゴシック"/>
            <family val="3"/>
            <charset val="128"/>
          </rPr>
          <t xml:space="preserve">  ┬┬┬┬┬┬┬┬┬┬┬┬┬┬┬</t>
        </r>
        <r>
          <rPr>
            <sz val="9"/>
            <color indexed="81"/>
            <rFont val="ＭＳ ゴシック"/>
            <family val="3"/>
            <charset val="128"/>
          </rPr>
          <t xml:space="preserve">
  </t>
        </r>
        <r>
          <rPr>
            <sz val="9"/>
            <color indexed="32"/>
            <rFont val="ＭＳ ゴシック"/>
            <family val="3"/>
            <charset val="128"/>
          </rPr>
          <t>╧╧╧╧╧╧╧╧╧╧╧╧╧╧╧╧╧╧╧╧╧╧╧╧╧╧╧╧╧╧ (天井材)</t>
        </r>
        <r>
          <rPr>
            <sz val="9"/>
            <color indexed="81"/>
            <rFont val="ＭＳ ゴシック"/>
            <family val="3"/>
            <charset val="128"/>
          </rPr>
          <t xml:space="preserve">
　       　   </t>
        </r>
        <r>
          <rPr>
            <b/>
            <sz val="8"/>
            <color indexed="32"/>
            <rFont val="Meiryo UI"/>
            <family val="3"/>
            <charset val="128"/>
          </rPr>
          <t xml:space="preserve">△Ch
 </t>
        </r>
      </text>
    </comment>
    <comment ref="AW8"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梁巻き配線長［ｍ］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梁成="０" にすると梁巻き配線長は、</t>
        </r>
        <r>
          <rPr>
            <sz val="12"/>
            <color indexed="32"/>
            <rFont val="Meiryo UI"/>
            <family val="3"/>
            <charset val="128"/>
          </rPr>
          <t xml:space="preserve"> </t>
        </r>
        <r>
          <rPr>
            <sz val="8"/>
            <color indexed="32"/>
            <rFont val="Meiryo UI"/>
            <family val="3"/>
            <charset val="128"/>
          </rPr>
          <t xml:space="preserve">
　計上されません。
 </t>
        </r>
      </text>
    </comment>
    <comment ref="C17"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17"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23"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29"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35"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41"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47"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53"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59"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65"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71"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77"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C88"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88"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94"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100"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106"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112"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118"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124"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130"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N136"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AT164" authorId="0">
      <text>
        <r>
          <rPr>
            <b/>
            <sz val="9"/>
            <color indexed="81"/>
            <rFont val="ＭＳ Ｐゴシック"/>
            <family val="3"/>
            <charset val="128"/>
          </rPr>
          <t xml:space="preserve">　 </t>
        </r>
        <r>
          <rPr>
            <b/>
            <sz val="11"/>
            <color indexed="37"/>
            <rFont val="ＭＳ Ｐ明朝"/>
            <family val="1"/>
            <charset val="128"/>
          </rPr>
          <t>実工数電工単価（円）</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シート"原価"： </t>
        </r>
        <r>
          <rPr>
            <sz val="8"/>
            <color indexed="81"/>
            <rFont val="Meiryo UI"/>
            <family val="3"/>
            <charset val="128"/>
          </rPr>
          <t xml:space="preserve">電工単価 </t>
        </r>
        <r>
          <rPr>
            <sz val="8"/>
            <color indexed="32"/>
            <rFont val="Meiryo UI"/>
            <family val="3"/>
            <charset val="128"/>
          </rPr>
          <t>参照</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 xml:space="preserve">    標準電工単価：</t>
        </r>
        <r>
          <rPr>
            <b/>
            <sz val="9"/>
            <color indexed="81"/>
            <rFont val="Times New Roman"/>
            <family val="1"/>
          </rPr>
          <t>6,000,-</t>
        </r>
        <r>
          <rPr>
            <sz val="8"/>
            <color indexed="32"/>
            <rFont val="Meiryo UI"/>
            <family val="3"/>
            <charset val="128"/>
          </rPr>
          <t>(円)</t>
        </r>
      </text>
    </comment>
    <comment ref="AT167"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配管配線材料</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小計金額の130％を計上</t>
        </r>
        <r>
          <rPr>
            <sz val="12"/>
            <color indexed="9"/>
            <rFont val="Meiryo UI"/>
            <family val="3"/>
            <charset val="128"/>
          </rPr>
          <t xml:space="preserve"> </t>
        </r>
        <r>
          <rPr>
            <sz val="10"/>
            <color indexed="9"/>
            <rFont val="Meiryo UI"/>
            <family val="3"/>
            <charset val="128"/>
          </rPr>
          <t xml:space="preserve">
</t>
        </r>
      </text>
    </comment>
    <comment ref="AT169"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電 工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小計金額の115％を計上</t>
        </r>
        <r>
          <rPr>
            <sz val="12"/>
            <color indexed="32"/>
            <rFont val="Meiryo UI"/>
            <family val="3"/>
            <charset val="128"/>
          </rPr>
          <t xml:space="preserve"> </t>
        </r>
        <r>
          <rPr>
            <sz val="10"/>
            <color indexed="9"/>
            <rFont val="Meiryo UI"/>
            <family val="3"/>
            <charset val="128"/>
          </rPr>
          <t xml:space="preserve">
</t>
        </r>
      </text>
    </comment>
    <comment ref="AT176" authorId="0">
      <text>
        <r>
          <rPr>
            <b/>
            <sz val="9"/>
            <color indexed="81"/>
            <rFont val="ＭＳ Ｐゴシック"/>
            <family val="3"/>
            <charset val="128"/>
          </rPr>
          <t>　</t>
        </r>
        <r>
          <rPr>
            <b/>
            <sz val="11"/>
            <color indexed="37"/>
            <rFont val="ＭＳ Ｐ明朝"/>
            <family val="1"/>
            <charset val="128"/>
          </rPr>
          <t>単価設定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単価-1：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単価-2,3,4：ユーザ登録</t>
        </r>
      </text>
    </comment>
    <comment ref="AT177" authorId="0">
      <text>
        <r>
          <rPr>
            <b/>
            <sz val="9"/>
            <color indexed="81"/>
            <rFont val="ＭＳ Ｐゴシック"/>
            <family val="3"/>
            <charset val="128"/>
          </rPr>
          <t>　</t>
        </r>
        <r>
          <rPr>
            <b/>
            <sz val="11"/>
            <color indexed="37"/>
            <rFont val="ＭＳ Ｐ明朝"/>
            <family val="1"/>
            <charset val="128"/>
          </rPr>
          <t>歩掛設定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歩掛-1：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歩掛-2,3：ユーザ登録</t>
        </r>
      </text>
    </comment>
  </commentList>
</comments>
</file>

<file path=xl/comments2.xml><?xml version="1.0" encoding="utf-8"?>
<comments xmlns="http://schemas.openxmlformats.org/spreadsheetml/2006/main">
  <authors>
    <author>ESE Service</author>
  </authors>
  <commentList>
    <comment ref="AW6" authorId="0">
      <text>
        <r>
          <rPr>
            <b/>
            <sz val="9"/>
            <color indexed="81"/>
            <rFont val="ＭＳ Ｐゴシック"/>
            <family val="3"/>
            <charset val="128"/>
          </rPr>
          <t xml:space="preserve">           </t>
        </r>
        <r>
          <rPr>
            <b/>
            <sz val="11"/>
            <color indexed="37"/>
            <rFont val="ＭＳ Ｐ明朝"/>
            <family val="1"/>
            <charset val="128"/>
          </rPr>
          <t>天井内配線の位置</t>
        </r>
        <r>
          <rPr>
            <b/>
            <sz val="18"/>
            <color indexed="37"/>
            <rFont val="ＭＳ Ｐゴシック"/>
            <family val="3"/>
            <charset val="128"/>
          </rPr>
          <t xml:space="preserve"> </t>
        </r>
        <r>
          <rPr>
            <b/>
            <sz val="12"/>
            <color indexed="81"/>
            <rFont val="ＭＳ Ｐゴシック"/>
            <family val="3"/>
            <charset val="128"/>
          </rPr>
          <t xml:space="preserve">
</t>
        </r>
        <r>
          <rPr>
            <sz val="12"/>
            <color indexed="9"/>
            <rFont val="ＭＳ ゴシック"/>
            <family val="3"/>
            <charset val="128"/>
          </rPr>
          <t xml:space="preserve">                  </t>
        </r>
        <r>
          <rPr>
            <b/>
            <vertAlign val="subscript"/>
            <sz val="12"/>
            <color indexed="32"/>
            <rFont val="Meiryo UI"/>
            <family val="3"/>
            <charset val="128"/>
          </rPr>
          <t xml:space="preserve">▽FL </t>
        </r>
        <r>
          <rPr>
            <sz val="12"/>
            <color indexed="9"/>
            <rFont val="ＭＳ ゴシック"/>
            <family val="3"/>
            <charset val="128"/>
          </rPr>
          <t xml:space="preserve">
</t>
        </r>
        <r>
          <rPr>
            <sz val="9"/>
            <color indexed="9"/>
            <rFont val="ＭＳ ゴシック"/>
            <family val="3"/>
            <charset val="128"/>
          </rPr>
          <t xml:space="preserve">  </t>
        </r>
        <r>
          <rPr>
            <sz val="9"/>
            <color indexed="32"/>
            <rFont val="Meiryo UI"/>
            <family val="3"/>
            <charset val="128"/>
          </rPr>
          <t>▀▀▀▀▀▀▀▀▀▀▀▀▀▀▀▀▀▀▀</t>
        </r>
        <r>
          <rPr>
            <sz val="9"/>
            <color indexed="9"/>
            <rFont val="ＭＳ ゴシック"/>
            <family val="3"/>
            <charset val="128"/>
          </rPr>
          <t xml:space="preserve">
  </t>
        </r>
        <r>
          <rPr>
            <sz val="9"/>
            <color indexed="32"/>
            <rFont val="ＭＳ ゴシック"/>
            <family val="3"/>
            <charset val="128"/>
          </rPr>
          <t xml:space="preserve">                     </t>
        </r>
        <r>
          <rPr>
            <sz val="9"/>
            <color indexed="32"/>
            <rFont val="Meiryo UI"/>
            <family val="3"/>
            <charset val="128"/>
          </rPr>
          <t>スラブ</t>
        </r>
        <r>
          <rPr>
            <sz val="9"/>
            <color indexed="81"/>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xml:space="preserve">    </t>
        </r>
        <r>
          <rPr>
            <sz val="9"/>
            <color indexed="32"/>
            <rFont val="Meiryo UI"/>
            <family val="3"/>
            <charset val="128"/>
          </rPr>
          <t>ケーブル配線</t>
        </r>
        <r>
          <rPr>
            <sz val="6"/>
            <color indexed="81"/>
            <rFont val="ＭＳ ゴシック"/>
            <family val="3"/>
            <charset val="128"/>
          </rPr>
          <t xml:space="preserve"> </t>
        </r>
        <r>
          <rPr>
            <sz val="9"/>
            <color indexed="81"/>
            <rFont val="ＭＳ ゴシック"/>
            <family val="3"/>
            <charset val="128"/>
          </rPr>
          <t xml:space="preserve">   │</t>
        </r>
        <r>
          <rPr>
            <sz val="10"/>
            <color indexed="32"/>
            <rFont val="Meiryo UI"/>
            <family val="3"/>
            <charset val="128"/>
          </rPr>
          <t>0.1m</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 ▀▀▀▀▀▀ ▀ ▀▀▀</t>
        </r>
        <r>
          <rPr>
            <sz val="9"/>
            <color indexed="32"/>
            <rFont val="ＭＳ ゴシック"/>
            <family val="3"/>
            <charset val="128"/>
          </rPr>
          <t xml:space="preserve"> ┴</t>
        </r>
        <r>
          <rPr>
            <sz val="9"/>
            <color indexed="32"/>
            <rFont val="Meiryo UI"/>
            <family val="3"/>
            <charset val="128"/>
          </rPr>
          <t>(スラブ下)</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t>
        </r>
        <r>
          <rPr>
            <sz val="9"/>
            <color indexed="81"/>
            <rFont val="ＭＳ ゴシック"/>
            <family val="3"/>
            <charset val="128"/>
          </rPr>
          <t xml:space="preserve">
</t>
        </r>
        <r>
          <rPr>
            <sz val="9"/>
            <color indexed="32"/>
            <rFont val="ＭＳ ゴシック"/>
            <family val="3"/>
            <charset val="128"/>
          </rPr>
          <t xml:space="preserve">  ┬┬┬┬┬┬┬┬┬┬┬┬┬┬┬</t>
        </r>
        <r>
          <rPr>
            <sz val="9"/>
            <color indexed="81"/>
            <rFont val="ＭＳ ゴシック"/>
            <family val="3"/>
            <charset val="128"/>
          </rPr>
          <t xml:space="preserve">
  </t>
        </r>
        <r>
          <rPr>
            <sz val="9"/>
            <color indexed="32"/>
            <rFont val="ＭＳ ゴシック"/>
            <family val="3"/>
            <charset val="128"/>
          </rPr>
          <t>╧╧╧╧╧╧╧╧╧╧╧╧╧╧╧╧╧╧╧╧╧╧╧╧╧╧╧╧╧╧ (天井材)</t>
        </r>
        <r>
          <rPr>
            <sz val="9"/>
            <color indexed="81"/>
            <rFont val="ＭＳ ゴシック"/>
            <family val="3"/>
            <charset val="128"/>
          </rPr>
          <t xml:space="preserve">
　       　   </t>
        </r>
        <r>
          <rPr>
            <b/>
            <sz val="8"/>
            <color indexed="32"/>
            <rFont val="Meiryo UI"/>
            <family val="3"/>
            <charset val="128"/>
          </rPr>
          <t xml:space="preserve">△Ch
 </t>
        </r>
      </text>
    </comment>
    <comment ref="AX8"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梁巻き配線長［ｍ］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t>
        </r>
        <r>
          <rPr>
            <sz val="8"/>
            <color indexed="32"/>
            <rFont val="ＭＳ Ｐ明朝"/>
            <family val="1"/>
            <charset val="128"/>
          </rPr>
          <t xml:space="preserve"> </t>
        </r>
        <r>
          <rPr>
            <sz val="8"/>
            <color indexed="32"/>
            <rFont val="Meiryo UI"/>
            <family val="3"/>
            <charset val="128"/>
          </rPr>
          <t>梁成="０" にすると梁巻き配線長は、</t>
        </r>
        <r>
          <rPr>
            <sz val="12"/>
            <color indexed="32"/>
            <rFont val="Meiryo UI"/>
            <family val="3"/>
            <charset val="128"/>
          </rPr>
          <t xml:space="preserve"> </t>
        </r>
        <r>
          <rPr>
            <sz val="8"/>
            <color indexed="32"/>
            <rFont val="Meiryo UI"/>
            <family val="3"/>
            <charset val="128"/>
          </rPr>
          <t xml:space="preserve">
　 計上されません。
 </t>
        </r>
      </text>
    </comment>
    <comment ref="Y16"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Top Page で修正して下さい。</t>
        </r>
      </text>
    </comment>
    <comment ref="G18"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自火報回路配線長［ｍ］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水平配線長＋垂直配線長＋</t>
        </r>
        <r>
          <rPr>
            <sz val="12"/>
            <color indexed="32"/>
            <rFont val="Meiryo UI"/>
            <family val="3"/>
            <charset val="128"/>
          </rPr>
          <t xml:space="preserve"> </t>
        </r>
        <r>
          <rPr>
            <sz val="8"/>
            <color indexed="32"/>
            <rFont val="Meiryo UI"/>
            <family val="3"/>
            <charset val="128"/>
          </rPr>
          <t xml:space="preserve">
　  配線余長＋(梁巻配線長)　
 </t>
        </r>
      </text>
    </comment>
    <comment ref="G19"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防排煙回路配線長［ｍ］</t>
        </r>
        <r>
          <rPr>
            <b/>
            <sz val="18"/>
            <color indexed="32"/>
            <rFont val="ＭＳ Ｐ明朝"/>
            <family val="1"/>
            <charset val="128"/>
          </rPr>
          <t xml:space="preserve"> </t>
        </r>
        <r>
          <rPr>
            <b/>
            <sz val="9"/>
            <color indexed="81"/>
            <rFont val="ＭＳ Ｐゴシック"/>
            <family val="3"/>
            <charset val="128"/>
          </rPr>
          <t xml:space="preserve">
　</t>
        </r>
        <r>
          <rPr>
            <b/>
            <sz val="9"/>
            <color indexed="81"/>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＜総合盤～第１ボックス＞</t>
        </r>
        <r>
          <rPr>
            <b/>
            <sz val="9"/>
            <color indexed="81"/>
            <rFont val="ＭＳ Ｐゴシック"/>
            <family val="3"/>
            <charset val="128"/>
          </rPr>
          <t xml:space="preserve">
</t>
        </r>
        <r>
          <rPr>
            <sz val="8"/>
            <color indexed="32"/>
            <rFont val="Meiryo UI"/>
            <family val="3"/>
            <charset val="128"/>
          </rPr>
          <t>　</t>
        </r>
        <r>
          <rPr>
            <sz val="8"/>
            <color indexed="32"/>
            <rFont val="ＭＳ Ｐゴシック"/>
            <family val="3"/>
            <charset val="128"/>
          </rPr>
          <t xml:space="preserve"> </t>
        </r>
        <r>
          <rPr>
            <sz val="8"/>
            <color indexed="32"/>
            <rFont val="Meiryo UI"/>
            <family val="3"/>
            <charset val="128"/>
          </rPr>
          <t xml:space="preserve"> 水平配線長＋垂直配線長＋</t>
        </r>
        <r>
          <rPr>
            <sz val="12"/>
            <color indexed="32"/>
            <rFont val="Meiryo UI"/>
            <family val="3"/>
            <charset val="128"/>
          </rPr>
          <t xml:space="preserve"> </t>
        </r>
        <r>
          <rPr>
            <sz val="8"/>
            <color indexed="32"/>
            <rFont val="Meiryo UI"/>
            <family val="3"/>
            <charset val="128"/>
          </rPr>
          <t xml:space="preserve">
　  配線余長＋(梁巻配線長)　
 </t>
        </r>
      </text>
    </comment>
    <comment ref="G21"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総合盤間配線長［ｍ］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垂直配線長＋配線余長＋</t>
        </r>
        <r>
          <rPr>
            <sz val="12"/>
            <color indexed="32"/>
            <rFont val="Meiryo UI"/>
            <family val="3"/>
            <charset val="128"/>
          </rPr>
          <t xml:space="preserve"> </t>
        </r>
        <r>
          <rPr>
            <sz val="8"/>
            <color indexed="32"/>
            <rFont val="Meiryo UI"/>
            <family val="3"/>
            <charset val="128"/>
          </rPr>
          <t xml:space="preserve">
    (梁巻配線長)　
  </t>
        </r>
      </text>
    </comment>
    <comment ref="AT21" authorId="0">
      <text>
        <r>
          <rPr>
            <b/>
            <sz val="9"/>
            <color indexed="81"/>
            <rFont val="ＭＳ Ｐ明朝"/>
            <family val="1"/>
            <charset val="128"/>
          </rPr>
          <t xml:space="preserve">   </t>
        </r>
        <r>
          <rPr>
            <b/>
            <sz val="11"/>
            <color indexed="37"/>
            <rFont val="ＭＳ Ｐ明朝"/>
            <family val="1"/>
            <charset val="128"/>
          </rPr>
          <t>消防法の有窓・無窓</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Top Page で修正できます。</t>
        </r>
      </text>
    </comment>
    <comment ref="BG21" authorId="0">
      <text>
        <r>
          <rPr>
            <b/>
            <sz val="9"/>
            <color indexed="81"/>
            <rFont val="ＭＳ Ｐ明朝"/>
            <family val="1"/>
            <charset val="128"/>
          </rPr>
          <t xml:space="preserve">     </t>
        </r>
        <r>
          <rPr>
            <b/>
            <sz val="11"/>
            <color indexed="37"/>
            <rFont val="ＭＳ Ｐ明朝"/>
            <family val="1"/>
            <charset val="128"/>
          </rPr>
          <t>建物の耐火構造</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Top Page で修正できます。</t>
        </r>
      </text>
    </comment>
    <comment ref="G22"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総合盤間配線長［ｍ］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垂直配線長＋配線余長＋</t>
        </r>
        <r>
          <rPr>
            <sz val="12"/>
            <color indexed="32"/>
            <rFont val="Meiryo UI"/>
            <family val="3"/>
            <charset val="128"/>
          </rPr>
          <t xml:space="preserve"> </t>
        </r>
        <r>
          <rPr>
            <sz val="8"/>
            <color indexed="32"/>
            <rFont val="Meiryo UI"/>
            <family val="3"/>
            <charset val="128"/>
          </rPr>
          <t xml:space="preserve">
    (梁巻配線長)　
 </t>
        </r>
      </text>
    </comment>
    <comment ref="AT22"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BK22"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30"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30"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38"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38"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46"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46"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54"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54"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62"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62"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70"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70"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78"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78"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Y84"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Top Page で修正して下さい。</t>
        </r>
      </text>
    </comment>
    <comment ref="G86"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自火報回路配線長［ｍ］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水平配線長＋垂直配線長＋</t>
        </r>
        <r>
          <rPr>
            <sz val="12"/>
            <color indexed="32"/>
            <rFont val="Meiryo UI"/>
            <family val="3"/>
            <charset val="128"/>
          </rPr>
          <t xml:space="preserve"> </t>
        </r>
        <r>
          <rPr>
            <sz val="8"/>
            <color indexed="32"/>
            <rFont val="Meiryo UI"/>
            <family val="3"/>
            <charset val="128"/>
          </rPr>
          <t xml:space="preserve">
　  配線余長＋(梁巻配線長)　
 </t>
        </r>
      </text>
    </comment>
    <comment ref="G87"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防排煙回路配線長［ｍ］</t>
        </r>
        <r>
          <rPr>
            <b/>
            <sz val="18"/>
            <color indexed="32"/>
            <rFont val="ＭＳ Ｐ明朝"/>
            <family val="1"/>
            <charset val="128"/>
          </rPr>
          <t xml:space="preserve"> </t>
        </r>
        <r>
          <rPr>
            <b/>
            <sz val="9"/>
            <color indexed="81"/>
            <rFont val="ＭＳ Ｐゴシック"/>
            <family val="3"/>
            <charset val="128"/>
          </rPr>
          <t xml:space="preserve">
　</t>
        </r>
        <r>
          <rPr>
            <b/>
            <sz val="9"/>
            <color indexed="81"/>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＜総合盤～第１ボックス＞</t>
        </r>
        <r>
          <rPr>
            <b/>
            <sz val="9"/>
            <color indexed="81"/>
            <rFont val="ＭＳ Ｐゴシック"/>
            <family val="3"/>
            <charset val="128"/>
          </rPr>
          <t xml:space="preserve">
</t>
        </r>
        <r>
          <rPr>
            <sz val="8"/>
            <color indexed="32"/>
            <rFont val="Meiryo UI"/>
            <family val="3"/>
            <charset val="128"/>
          </rPr>
          <t>　</t>
        </r>
        <r>
          <rPr>
            <sz val="8"/>
            <color indexed="32"/>
            <rFont val="ＭＳ Ｐゴシック"/>
            <family val="3"/>
            <charset val="128"/>
          </rPr>
          <t xml:space="preserve"> </t>
        </r>
        <r>
          <rPr>
            <sz val="8"/>
            <color indexed="32"/>
            <rFont val="Meiryo UI"/>
            <family val="3"/>
            <charset val="128"/>
          </rPr>
          <t xml:space="preserve"> 水平配線長＋垂直配線長＋</t>
        </r>
        <r>
          <rPr>
            <sz val="12"/>
            <color indexed="32"/>
            <rFont val="Meiryo UI"/>
            <family val="3"/>
            <charset val="128"/>
          </rPr>
          <t xml:space="preserve"> </t>
        </r>
        <r>
          <rPr>
            <sz val="8"/>
            <color indexed="32"/>
            <rFont val="Meiryo UI"/>
            <family val="3"/>
            <charset val="128"/>
          </rPr>
          <t xml:space="preserve">
　  配線余長＋(梁巻配線長)　
 </t>
        </r>
      </text>
    </comment>
    <comment ref="G89"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総合盤間配線長［ｍ］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垂直配線長＋配線余長＋</t>
        </r>
        <r>
          <rPr>
            <sz val="12"/>
            <color indexed="32"/>
            <rFont val="Meiryo UI"/>
            <family val="3"/>
            <charset val="128"/>
          </rPr>
          <t xml:space="preserve"> </t>
        </r>
        <r>
          <rPr>
            <sz val="8"/>
            <color indexed="32"/>
            <rFont val="Meiryo UI"/>
            <family val="3"/>
            <charset val="128"/>
          </rPr>
          <t xml:space="preserve">
    (梁巻配線長)　
  </t>
        </r>
      </text>
    </comment>
    <comment ref="G90"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総合盤間配線長［ｍ］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垂直配線長＋配線余長＋</t>
        </r>
        <r>
          <rPr>
            <sz val="12"/>
            <color indexed="32"/>
            <rFont val="Meiryo UI"/>
            <family val="3"/>
            <charset val="128"/>
          </rPr>
          <t xml:space="preserve"> </t>
        </r>
        <r>
          <rPr>
            <sz val="8"/>
            <color indexed="32"/>
            <rFont val="Meiryo UI"/>
            <family val="3"/>
            <charset val="128"/>
          </rPr>
          <t xml:space="preserve">
    (梁巻配線長)　
 </t>
        </r>
      </text>
    </comment>
    <comment ref="BA90"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90"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G94"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自火報回路配線長［ｍ］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水平配線長＋垂直配線長＋</t>
        </r>
        <r>
          <rPr>
            <sz val="12"/>
            <color indexed="32"/>
            <rFont val="Meiryo UI"/>
            <family val="3"/>
            <charset val="128"/>
          </rPr>
          <t xml:space="preserve"> </t>
        </r>
        <r>
          <rPr>
            <sz val="8"/>
            <color indexed="32"/>
            <rFont val="Meiryo UI"/>
            <family val="3"/>
            <charset val="128"/>
          </rPr>
          <t xml:space="preserve">
　  配線余長＋(梁巻配線長)　
 </t>
        </r>
      </text>
    </comment>
    <comment ref="BA98"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98"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106"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06"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114"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14"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122"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22"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130"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30"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138"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38"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146"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46"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154"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54"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Y160"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Top Page で修正して下さい。</t>
        </r>
      </text>
    </comment>
    <comment ref="G165"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総合盤間配線長［ｍ］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垂直配線長＋配線余長＋</t>
        </r>
        <r>
          <rPr>
            <sz val="12"/>
            <color indexed="32"/>
            <rFont val="Meiryo UI"/>
            <family val="3"/>
            <charset val="128"/>
          </rPr>
          <t xml:space="preserve"> </t>
        </r>
        <r>
          <rPr>
            <sz val="8"/>
            <color indexed="32"/>
            <rFont val="Meiryo UI"/>
            <family val="3"/>
            <charset val="128"/>
          </rPr>
          <t xml:space="preserve">
    (梁巻配線長)　
  </t>
        </r>
      </text>
    </comment>
    <comment ref="G166" authorId="0">
      <text>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総合盤間配線長［ｍ］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垂直配線長＋配線余長＋</t>
        </r>
        <r>
          <rPr>
            <sz val="12"/>
            <color indexed="32"/>
            <rFont val="Meiryo UI"/>
            <family val="3"/>
            <charset val="128"/>
          </rPr>
          <t xml:space="preserve"> </t>
        </r>
        <r>
          <rPr>
            <sz val="8"/>
            <color indexed="32"/>
            <rFont val="Meiryo UI"/>
            <family val="3"/>
            <charset val="128"/>
          </rPr>
          <t xml:space="preserve">
    (梁巻配線長)　
 </t>
        </r>
      </text>
    </comment>
    <comment ref="BA166"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66"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174"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74"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BA182"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BK182"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AT189" authorId="0">
      <text>
        <r>
          <rPr>
            <b/>
            <sz val="9"/>
            <color indexed="81"/>
            <rFont val="ＭＳ Ｐゴシック"/>
            <family val="3"/>
            <charset val="128"/>
          </rPr>
          <t xml:space="preserve">　 </t>
        </r>
        <r>
          <rPr>
            <b/>
            <sz val="11"/>
            <color indexed="37"/>
            <rFont val="ＭＳ Ｐ明朝"/>
            <family val="1"/>
            <charset val="128"/>
          </rPr>
          <t>実工数電工単価（円）</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シート"原価"： </t>
        </r>
        <r>
          <rPr>
            <sz val="8"/>
            <color indexed="81"/>
            <rFont val="Meiryo UI"/>
            <family val="3"/>
            <charset val="128"/>
          </rPr>
          <t xml:space="preserve">電工単価 </t>
        </r>
        <r>
          <rPr>
            <sz val="8"/>
            <color indexed="32"/>
            <rFont val="Meiryo UI"/>
            <family val="3"/>
            <charset val="128"/>
          </rPr>
          <t>参照</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 xml:space="preserve">    標準電工単価：</t>
        </r>
        <r>
          <rPr>
            <b/>
            <sz val="9"/>
            <color indexed="81"/>
            <rFont val="Times New Roman"/>
            <family val="1"/>
          </rPr>
          <t>6,000,-</t>
        </r>
        <r>
          <rPr>
            <sz val="8"/>
            <color indexed="32"/>
            <rFont val="Meiryo UI"/>
            <family val="3"/>
            <charset val="128"/>
          </rPr>
          <t>(円)</t>
        </r>
      </text>
    </comment>
    <comment ref="AT192"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配管配線材料</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小計金額の130％を計上</t>
        </r>
        <r>
          <rPr>
            <sz val="12"/>
            <color indexed="9"/>
            <rFont val="Meiryo UI"/>
            <family val="3"/>
            <charset val="128"/>
          </rPr>
          <t xml:space="preserve"> </t>
        </r>
        <r>
          <rPr>
            <sz val="10"/>
            <color indexed="9"/>
            <rFont val="Meiryo UI"/>
            <family val="3"/>
            <charset val="128"/>
          </rPr>
          <t xml:space="preserve">
</t>
        </r>
      </text>
    </comment>
    <comment ref="AT194"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電 工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小計金額の115％を計上</t>
        </r>
        <r>
          <rPr>
            <sz val="12"/>
            <color indexed="32"/>
            <rFont val="Meiryo UI"/>
            <family val="3"/>
            <charset val="128"/>
          </rPr>
          <t xml:space="preserve"> </t>
        </r>
        <r>
          <rPr>
            <sz val="10"/>
            <color indexed="9"/>
            <rFont val="Meiryo UI"/>
            <family val="3"/>
            <charset val="128"/>
          </rPr>
          <t xml:space="preserve">
</t>
        </r>
      </text>
    </comment>
    <comment ref="AT209" authorId="0">
      <text>
        <r>
          <rPr>
            <b/>
            <sz val="9"/>
            <color indexed="81"/>
            <rFont val="ＭＳ Ｐゴシック"/>
            <family val="3"/>
            <charset val="128"/>
          </rPr>
          <t>　</t>
        </r>
        <r>
          <rPr>
            <b/>
            <sz val="11"/>
            <color indexed="37"/>
            <rFont val="ＭＳ Ｐ明朝"/>
            <family val="1"/>
            <charset val="128"/>
          </rPr>
          <t>単価設定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単価-1：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単価-2,3,4：ユーザ登録</t>
        </r>
      </text>
    </comment>
    <comment ref="AT210" authorId="0">
      <text>
        <r>
          <rPr>
            <b/>
            <sz val="9"/>
            <color indexed="81"/>
            <rFont val="ＭＳ Ｐゴシック"/>
            <family val="3"/>
            <charset val="128"/>
          </rPr>
          <t>　</t>
        </r>
        <r>
          <rPr>
            <b/>
            <sz val="11"/>
            <color indexed="37"/>
            <rFont val="ＭＳ Ｐ明朝"/>
            <family val="1"/>
            <charset val="128"/>
          </rPr>
          <t>歩掛設定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歩掛-1：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歩掛-2,3：ユーザ登録</t>
        </r>
      </text>
    </comment>
  </commentList>
</comments>
</file>

<file path=xl/comments3.xml><?xml version="1.0" encoding="utf-8"?>
<comments xmlns="http://schemas.openxmlformats.org/spreadsheetml/2006/main">
  <authors>
    <author>ESE Service</author>
  </authors>
  <commentList>
    <comment ref="BN5" authorId="0">
      <text>
        <r>
          <rPr>
            <b/>
            <sz val="9"/>
            <color indexed="81"/>
            <rFont val="ＭＳ Ｐゴシック"/>
            <family val="3"/>
            <charset val="128"/>
          </rPr>
          <t xml:space="preserve">　　　　　　　　 </t>
        </r>
        <r>
          <rPr>
            <b/>
            <sz val="12"/>
            <color indexed="37"/>
            <rFont val="ＭＳ Ｐ明朝"/>
            <family val="1"/>
            <charset val="128"/>
          </rPr>
          <t>避雷突針の設置場所入力</t>
        </r>
        <r>
          <rPr>
            <b/>
            <sz val="18"/>
            <color indexed="81"/>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①～⑨</t>
        </r>
        <r>
          <rPr>
            <sz val="9"/>
            <color indexed="32"/>
            <rFont val="Meiryo UI"/>
            <family val="3"/>
            <charset val="128"/>
          </rPr>
          <t>の中から避雷突針位置の番号を選択 して下さい。</t>
        </r>
        <r>
          <rPr>
            <sz val="12"/>
            <color indexed="32"/>
            <rFont val="Meiryo UI"/>
            <family val="3"/>
            <charset val="128"/>
          </rPr>
          <t>　</t>
        </r>
        <r>
          <rPr>
            <sz val="9"/>
            <color indexed="32"/>
            <rFont val="Meiryo UI"/>
            <family val="3"/>
            <charset val="128"/>
          </rPr>
          <t xml:space="preserve">
　　　　標準設定値は、PHで"</t>
        </r>
        <r>
          <rPr>
            <b/>
            <sz val="11"/>
            <color indexed="81"/>
            <rFont val="Meiryo UI"/>
            <family val="3"/>
            <charset val="128"/>
          </rPr>
          <t>⑨</t>
        </r>
        <r>
          <rPr>
            <sz val="9"/>
            <color indexed="32"/>
            <rFont val="Meiryo UI"/>
            <family val="3"/>
            <charset val="128"/>
          </rPr>
          <t>"です。RFは、床面積に応じて、
       "</t>
        </r>
        <r>
          <rPr>
            <b/>
            <sz val="11"/>
            <color indexed="81"/>
            <rFont val="Meiryo UI"/>
            <family val="3"/>
            <charset val="128"/>
          </rPr>
          <t>⑨</t>
        </r>
        <r>
          <rPr>
            <sz val="9"/>
            <color indexed="32"/>
            <rFont val="Meiryo UI"/>
            <family val="3"/>
            <charset val="128"/>
          </rPr>
          <t>"、"</t>
        </r>
        <r>
          <rPr>
            <b/>
            <sz val="11"/>
            <color indexed="81"/>
            <rFont val="Meiryo UI"/>
            <family val="3"/>
            <charset val="128"/>
          </rPr>
          <t>⑧</t>
        </r>
        <r>
          <rPr>
            <sz val="9"/>
            <color indexed="32"/>
            <rFont val="Meiryo UI"/>
            <family val="3"/>
            <charset val="128"/>
          </rPr>
          <t>"、"</t>
        </r>
        <r>
          <rPr>
            <b/>
            <sz val="11"/>
            <color indexed="81"/>
            <rFont val="Meiryo UI"/>
            <family val="3"/>
            <charset val="128"/>
          </rPr>
          <t>⑦</t>
        </r>
        <r>
          <rPr>
            <sz val="9"/>
            <color indexed="32"/>
            <rFont val="Meiryo UI"/>
            <family val="3"/>
            <charset val="128"/>
          </rPr>
          <t>"、"</t>
        </r>
        <r>
          <rPr>
            <b/>
            <sz val="11"/>
            <color indexed="81"/>
            <rFont val="Meiryo UI"/>
            <family val="3"/>
            <charset val="128"/>
          </rPr>
          <t>⑤</t>
        </r>
        <r>
          <rPr>
            <sz val="9"/>
            <color indexed="32"/>
            <rFont val="Meiryo UI"/>
            <family val="3"/>
            <charset val="128"/>
          </rPr>
          <t>"、"</t>
        </r>
        <r>
          <rPr>
            <b/>
            <sz val="11"/>
            <color indexed="81"/>
            <rFont val="Meiryo UI"/>
            <family val="3"/>
            <charset val="128"/>
          </rPr>
          <t>④</t>
        </r>
        <r>
          <rPr>
            <sz val="9"/>
            <color indexed="32"/>
            <rFont val="Meiryo UI"/>
            <family val="3"/>
            <charset val="128"/>
          </rPr>
          <t>"です。</t>
        </r>
        <r>
          <rPr>
            <sz val="11"/>
            <color indexed="9"/>
            <rFont val="Meiryo UI"/>
            <family val="3"/>
            <charset val="128"/>
          </rPr>
          <t xml:space="preserve">
</t>
        </r>
        <r>
          <rPr>
            <sz val="10"/>
            <color indexed="35"/>
            <rFont val="Meiryo UI"/>
            <family val="3"/>
            <charset val="128"/>
          </rPr>
          <t xml:space="preserve"> </t>
        </r>
        <r>
          <rPr>
            <sz val="9"/>
            <color indexed="81"/>
            <rFont val="ＭＳ ゴシック"/>
            <family val="3"/>
            <charset val="128"/>
          </rPr>
          <t xml:space="preserve">  　</t>
        </r>
        <r>
          <rPr>
            <sz val="8"/>
            <color indexed="81"/>
            <rFont val="ＭＳ ゴシック"/>
            <family val="3"/>
            <charset val="128"/>
          </rPr>
          <t>　</t>
        </r>
        <r>
          <rPr>
            <b/>
            <sz val="10"/>
            <color indexed="32"/>
            <rFont val="ＭＳ Ｐゴシック"/>
            <family val="3"/>
            <charset val="128"/>
          </rPr>
          <t>Ly</t>
        </r>
        <r>
          <rPr>
            <b/>
            <sz val="3"/>
            <color indexed="32"/>
            <rFont val="ＭＳ Ｐゴシック"/>
            <family val="3"/>
            <charset val="128"/>
          </rPr>
          <t xml:space="preserve"> </t>
        </r>
        <r>
          <rPr>
            <sz val="9"/>
            <color indexed="81"/>
            <rFont val="Meiryo UI"/>
            <family val="3"/>
            <charset val="128"/>
          </rPr>
          <t xml:space="preserve">
</t>
        </r>
        <r>
          <rPr>
            <sz val="9"/>
            <color indexed="81"/>
            <rFont val="ＭＳ ゴシック"/>
            <family val="3"/>
            <charset val="128"/>
          </rPr>
          <t xml:space="preserve">   </t>
        </r>
        <r>
          <rPr>
            <sz val="8"/>
            <color indexed="81"/>
            <rFont val="ＭＳ ゴシック"/>
            <family val="3"/>
            <charset val="128"/>
          </rPr>
          <t xml:space="preserve"> </t>
        </r>
        <r>
          <rPr>
            <b/>
            <sz val="9"/>
            <color indexed="39"/>
            <rFont val="ＭＳ ゴシック"/>
            <family val="3"/>
            <charset val="128"/>
          </rPr>
          <t>↑</t>
        </r>
        <r>
          <rPr>
            <sz val="9"/>
            <color indexed="81"/>
            <rFont val="ＭＳ ゴシック"/>
            <family val="3"/>
            <charset val="128"/>
          </rPr>
          <t>■━━━━■━━━━■━━━━■━━━━■
　　　┃　　　　　　　　　　　　　　　　　　　┃
　　　■        ■　　　  ■　　　　■        ■
　　　┃   　　　　　　　　　　　　　　　　   ┃
　　　</t>
        </r>
        <r>
          <rPr>
            <sz val="9"/>
            <color indexed="81"/>
            <rFont val="Meiryo UI"/>
            <family val="3"/>
            <charset val="128"/>
          </rPr>
          <t>⑦</t>
        </r>
        <r>
          <rPr>
            <sz val="9"/>
            <color indexed="81"/>
            <rFont val="ＭＳ ゴシック"/>
            <family val="3"/>
            <charset val="128"/>
          </rPr>
          <t xml:space="preserve">      　</t>
        </r>
        <r>
          <rPr>
            <sz val="9"/>
            <color indexed="81"/>
            <rFont val="Meiryo UI"/>
            <family val="3"/>
            <charset val="128"/>
          </rPr>
          <t>⑧</t>
        </r>
        <r>
          <rPr>
            <sz val="9"/>
            <color indexed="81"/>
            <rFont val="ＭＳ ゴシック"/>
            <family val="3"/>
            <charset val="128"/>
          </rPr>
          <t>　　　　</t>
        </r>
        <r>
          <rPr>
            <sz val="9"/>
            <color indexed="81"/>
            <rFont val="Meiryo UI"/>
            <family val="3"/>
            <charset val="128"/>
          </rPr>
          <t>⑨</t>
        </r>
        <r>
          <rPr>
            <sz val="9"/>
            <color indexed="81"/>
            <rFont val="ＭＳ ゴシック"/>
            <family val="3"/>
            <charset val="128"/>
          </rPr>
          <t xml:space="preserve">　　　　■　　 　 ■
　　　┃　　　　　　　　　　　　　　　 </t>
        </r>
        <r>
          <rPr>
            <sz val="9"/>
            <color indexed="10"/>
            <rFont val="ＭＳ ゴシック"/>
            <family val="3"/>
            <charset val="128"/>
          </rPr>
          <t>　</t>
        </r>
        <r>
          <rPr>
            <sz val="9"/>
            <color indexed="81"/>
            <rFont val="ＭＳ ゴシック"/>
            <family val="3"/>
            <charset val="128"/>
          </rPr>
          <t>　 　┃ 
　　　</t>
        </r>
        <r>
          <rPr>
            <sz val="9"/>
            <color indexed="81"/>
            <rFont val="Meiryo UI"/>
            <family val="3"/>
            <charset val="128"/>
          </rPr>
          <t>④</t>
        </r>
        <r>
          <rPr>
            <sz val="9"/>
            <color indexed="81"/>
            <rFont val="ＭＳ ゴシック"/>
            <family val="3"/>
            <charset val="128"/>
          </rPr>
          <t xml:space="preserve">      　</t>
        </r>
        <r>
          <rPr>
            <sz val="9"/>
            <color indexed="81"/>
            <rFont val="Meiryo UI"/>
            <family val="3"/>
            <charset val="128"/>
          </rPr>
          <t>⑤</t>
        </r>
        <r>
          <rPr>
            <sz val="9"/>
            <color indexed="81"/>
            <rFont val="ＭＳ ゴシック"/>
            <family val="3"/>
            <charset val="128"/>
          </rPr>
          <t>　　　　</t>
        </r>
        <r>
          <rPr>
            <sz val="9"/>
            <color indexed="81"/>
            <rFont val="Meiryo UI"/>
            <family val="3"/>
            <charset val="128"/>
          </rPr>
          <t>⑥</t>
        </r>
        <r>
          <rPr>
            <sz val="9"/>
            <color indexed="81"/>
            <rFont val="ＭＳ ゴシック"/>
            <family val="3"/>
            <charset val="128"/>
          </rPr>
          <t>　　　　■　</t>
        </r>
        <r>
          <rPr>
            <sz val="9"/>
            <color indexed="10"/>
            <rFont val="ＭＳ ゴシック"/>
            <family val="3"/>
            <charset val="128"/>
          </rPr>
          <t>　</t>
        </r>
        <r>
          <rPr>
            <sz val="9"/>
            <color indexed="81"/>
            <rFont val="ＭＳ ゴシック"/>
            <family val="3"/>
            <charset val="128"/>
          </rPr>
          <t xml:space="preserve"> 　 ■
　　　┃　　　　　　　　　　　　　　　　　　　┃ 
　    </t>
        </r>
        <r>
          <rPr>
            <sz val="9"/>
            <color indexed="81"/>
            <rFont val="Meiryo UI"/>
            <family val="3"/>
            <charset val="128"/>
          </rPr>
          <t>①</t>
        </r>
        <r>
          <rPr>
            <sz val="9"/>
            <color indexed="81"/>
            <rFont val="ＭＳ ゴシック"/>
            <family val="3"/>
            <charset val="128"/>
          </rPr>
          <t>━━━━</t>
        </r>
        <r>
          <rPr>
            <sz val="9"/>
            <color indexed="81"/>
            <rFont val="Meiryo UI"/>
            <family val="3"/>
            <charset val="128"/>
          </rPr>
          <t>②</t>
        </r>
        <r>
          <rPr>
            <sz val="9"/>
            <color indexed="81"/>
            <rFont val="ＭＳ ゴシック"/>
            <family val="3"/>
            <charset val="128"/>
          </rPr>
          <t>━━━━</t>
        </r>
        <r>
          <rPr>
            <sz val="9"/>
            <color indexed="81"/>
            <rFont val="Meiryo UI"/>
            <family val="3"/>
            <charset val="128"/>
          </rPr>
          <t>③</t>
        </r>
        <r>
          <rPr>
            <sz val="9"/>
            <color indexed="81"/>
            <rFont val="ＭＳ ゴシック"/>
            <family val="3"/>
            <charset val="128"/>
          </rPr>
          <t xml:space="preserve">━━━━■━━━━■ </t>
        </r>
        <r>
          <rPr>
            <b/>
            <sz val="9"/>
            <color indexed="32"/>
            <rFont val="ＭＳ ゴシック"/>
            <family val="3"/>
            <charset val="128"/>
          </rPr>
          <t>Lx</t>
        </r>
        <r>
          <rPr>
            <sz val="9"/>
            <color indexed="81"/>
            <rFont val="ＭＳ ゴシック"/>
            <family val="3"/>
            <charset val="128"/>
          </rPr>
          <t xml:space="preserve">
                                       </t>
        </r>
        <r>
          <rPr>
            <sz val="9"/>
            <color indexed="35"/>
            <rFont val="ＭＳ ゴシック"/>
            <family val="3"/>
            <charset val="128"/>
          </rPr>
          <t xml:space="preserve">　　   </t>
        </r>
        <r>
          <rPr>
            <b/>
            <sz val="10"/>
            <color indexed="39"/>
            <rFont val="ＭＳ ゴシック"/>
            <family val="3"/>
            <charset val="128"/>
          </rPr>
          <t>→</t>
        </r>
      </text>
    </comment>
    <comment ref="J8" authorId="0">
      <text>
        <r>
          <rPr>
            <b/>
            <sz val="9"/>
            <color indexed="81"/>
            <rFont val="ＭＳ Ｐゴシック"/>
            <family val="3"/>
            <charset val="128"/>
          </rPr>
          <t xml:space="preserve">　 　     </t>
        </r>
        <r>
          <rPr>
            <b/>
            <sz val="11"/>
            <color indexed="37"/>
            <rFont val="ＭＳ Ｐ明朝"/>
            <family val="1"/>
            <charset val="128"/>
          </rPr>
          <t>保護レベル</t>
        </r>
        <r>
          <rPr>
            <b/>
            <sz val="18"/>
            <color indexed="32"/>
            <rFont val="ＭＳ Ｐ明朝"/>
            <family val="1"/>
            <charset val="128"/>
          </rPr>
          <t xml:space="preserve"> </t>
        </r>
        <r>
          <rPr>
            <b/>
            <sz val="9"/>
            <color indexed="81"/>
            <rFont val="ＭＳ Ｐゴシック"/>
            <family val="3"/>
            <charset val="128"/>
          </rPr>
          <t xml:space="preserve">
</t>
        </r>
        <r>
          <rPr>
            <sz val="7.5"/>
            <color indexed="32"/>
            <rFont val="Meiryo UI"/>
            <family val="3"/>
            <charset val="128"/>
          </rPr>
          <t xml:space="preserve">    保護レベルとは、雷保護システムが、雷の影響から被保護物を保護する確率を表し、自然現象である雷 
    放電に対する雷保護システムの保護効率は、このシステムにより、確率的に構築する必要があることから、
    保護 レベル を </t>
        </r>
        <r>
          <rPr>
            <sz val="7.5"/>
            <color indexed="81"/>
            <rFont val="Meiryo UI"/>
            <family val="3"/>
            <charset val="128"/>
          </rPr>
          <t>Ⅰ、Ⅱ、Ⅲ、Ⅳ</t>
        </r>
        <r>
          <rPr>
            <sz val="7.5"/>
            <color indexed="32"/>
            <rFont val="Meiryo UI"/>
            <family val="3"/>
            <charset val="128"/>
          </rPr>
          <t xml:space="preserve"> の４段階に設定され、</t>
        </r>
        <r>
          <rPr>
            <sz val="7.5"/>
            <color indexed="81"/>
            <rFont val="Meiryo UI"/>
            <family val="3"/>
            <charset val="128"/>
          </rPr>
          <t>この設定により数量を算出しています。</t>
        </r>
        <r>
          <rPr>
            <b/>
            <sz val="7"/>
            <color indexed="9"/>
            <rFont val="ＭＳ Ｐ明朝"/>
            <family val="1"/>
            <charset val="128"/>
          </rPr>
          <t xml:space="preserve">
</t>
        </r>
        <r>
          <rPr>
            <sz val="7"/>
            <color indexed="32"/>
            <rFont val="Meiryo UI"/>
            <family val="3"/>
            <charset val="128"/>
          </rPr>
          <t xml:space="preserve">   </t>
        </r>
        <r>
          <rPr>
            <u/>
            <sz val="7"/>
            <color indexed="32"/>
            <rFont val="Meiryo UI"/>
            <family val="3"/>
            <charset val="128"/>
          </rPr>
          <t xml:space="preserve">                                                                                                                                           </t>
        </r>
        <r>
          <rPr>
            <u/>
            <sz val="1"/>
            <color indexed="48"/>
            <rFont val="Meiryo UI"/>
            <family val="3"/>
            <charset val="128"/>
          </rPr>
          <t xml:space="preserve">. </t>
        </r>
        <r>
          <rPr>
            <sz val="7"/>
            <color indexed="32"/>
            <rFont val="Meiryo UI"/>
            <family val="3"/>
            <charset val="128"/>
          </rPr>
          <t xml:space="preserve">
      保護                  </t>
        </r>
        <r>
          <rPr>
            <sz val="6"/>
            <color indexed="32"/>
            <rFont val="Meiryo UI"/>
            <family val="3"/>
            <charset val="128"/>
          </rPr>
          <t xml:space="preserve">   </t>
        </r>
        <r>
          <rPr>
            <sz val="7"/>
            <color indexed="32"/>
            <rFont val="Meiryo UI"/>
            <family val="3"/>
            <charset val="128"/>
          </rPr>
          <t xml:space="preserve">最大          最少           最小雷撃電流  　回転球体                導体          屋上
　    レベル   保護効率    雷撃電流    雷撃電流     波高値以下の    半径         保護角    引下間隔    メッシュ
   </t>
        </r>
        <r>
          <rPr>
            <u/>
            <sz val="7"/>
            <color indexed="32"/>
            <rFont val="Meiryo UI"/>
            <family val="3"/>
            <charset val="128"/>
          </rPr>
          <t xml:space="preserve">                              [KA]          [KA]         雷の発生確率                                                間隔      </t>
        </r>
        <r>
          <rPr>
            <u/>
            <sz val="1"/>
            <color indexed="48"/>
            <rFont val="Meiryo UI"/>
            <family val="3"/>
            <charset val="128"/>
          </rPr>
          <t xml:space="preserve">. </t>
        </r>
        <r>
          <rPr>
            <b/>
            <u/>
            <sz val="7"/>
            <color indexed="32"/>
            <rFont val="ＭＳ Ｐゴシック"/>
            <family val="3"/>
            <charset val="128"/>
          </rPr>
          <t xml:space="preserve">
</t>
        </r>
        <r>
          <rPr>
            <b/>
            <sz val="7"/>
            <color indexed="81"/>
            <rFont val="Meiryo UI"/>
            <family val="3"/>
            <charset val="128"/>
          </rPr>
          <t xml:space="preserve">        Ⅰ       98 </t>
        </r>
        <r>
          <rPr>
            <sz val="7"/>
            <color indexed="81"/>
            <rFont val="Meiryo UI"/>
            <family val="3"/>
            <charset val="128"/>
          </rPr>
          <t>%</t>
        </r>
        <r>
          <rPr>
            <b/>
            <sz val="7"/>
            <color indexed="81"/>
            <rFont val="Meiryo UI"/>
            <family val="3"/>
            <charset val="128"/>
          </rPr>
          <t xml:space="preserve">       200            2.9               1 </t>
        </r>
        <r>
          <rPr>
            <sz val="7"/>
            <color indexed="81"/>
            <rFont val="Meiryo UI"/>
            <family val="3"/>
            <charset val="128"/>
          </rPr>
          <t>%</t>
        </r>
        <r>
          <rPr>
            <b/>
            <sz val="7"/>
            <color indexed="81"/>
            <rFont val="Meiryo UI"/>
            <family val="3"/>
            <charset val="128"/>
          </rPr>
          <t xml:space="preserve">            20 </t>
        </r>
        <r>
          <rPr>
            <sz val="7"/>
            <color indexed="81"/>
            <rFont val="Meiryo UI"/>
            <family val="3"/>
            <charset val="128"/>
          </rPr>
          <t>ｍ</t>
        </r>
        <r>
          <rPr>
            <b/>
            <sz val="7"/>
            <color indexed="81"/>
            <rFont val="Meiryo UI"/>
            <family val="3"/>
            <charset val="128"/>
          </rPr>
          <t xml:space="preserve">        55゜      </t>
        </r>
        <r>
          <rPr>
            <b/>
            <sz val="6.5"/>
            <color indexed="81"/>
            <rFont val="Meiryo UI"/>
            <family val="3"/>
            <charset val="128"/>
          </rPr>
          <t xml:space="preserve">10 </t>
        </r>
        <r>
          <rPr>
            <sz val="6.5"/>
            <color indexed="81"/>
            <rFont val="Meiryo UI"/>
            <family val="3"/>
            <charset val="128"/>
          </rPr>
          <t>ｍ</t>
        </r>
        <r>
          <rPr>
            <b/>
            <sz val="6.5"/>
            <color indexed="81"/>
            <rFont val="Meiryo UI"/>
            <family val="3"/>
            <charset val="128"/>
          </rPr>
          <t xml:space="preserve"> </t>
        </r>
        <r>
          <rPr>
            <b/>
            <sz val="7"/>
            <color indexed="81"/>
            <rFont val="Meiryo UI"/>
            <family val="3"/>
            <charset val="128"/>
          </rPr>
          <t xml:space="preserve">        </t>
        </r>
        <r>
          <rPr>
            <b/>
            <sz val="6.5"/>
            <color indexed="81"/>
            <rFont val="Meiryo UI"/>
            <family val="3"/>
            <charset val="128"/>
          </rPr>
          <t xml:space="preserve">5 </t>
        </r>
        <r>
          <rPr>
            <sz val="6.5"/>
            <color indexed="81"/>
            <rFont val="Meiryo UI"/>
            <family val="3"/>
            <charset val="128"/>
          </rPr>
          <t>ｍ</t>
        </r>
        <r>
          <rPr>
            <b/>
            <sz val="7"/>
            <color indexed="81"/>
            <rFont val="Meiryo UI"/>
            <family val="3"/>
            <charset val="128"/>
          </rPr>
          <t xml:space="preserve">
        Ⅱ       95 </t>
        </r>
        <r>
          <rPr>
            <sz val="7"/>
            <color indexed="81"/>
            <rFont val="Meiryo UI"/>
            <family val="3"/>
            <charset val="128"/>
          </rPr>
          <t>%</t>
        </r>
        <r>
          <rPr>
            <b/>
            <sz val="7"/>
            <color indexed="81"/>
            <rFont val="Meiryo UI"/>
            <family val="3"/>
            <charset val="128"/>
          </rPr>
          <t xml:space="preserve">       150            5.4               3 </t>
        </r>
        <r>
          <rPr>
            <sz val="7"/>
            <color indexed="81"/>
            <rFont val="Meiryo UI"/>
            <family val="3"/>
            <charset val="128"/>
          </rPr>
          <t>%</t>
        </r>
        <r>
          <rPr>
            <b/>
            <sz val="7"/>
            <color indexed="81"/>
            <rFont val="Meiryo UI"/>
            <family val="3"/>
            <charset val="128"/>
          </rPr>
          <t xml:space="preserve">            30 </t>
        </r>
        <r>
          <rPr>
            <sz val="7"/>
            <color indexed="81"/>
            <rFont val="Meiryo UI"/>
            <family val="3"/>
            <charset val="128"/>
          </rPr>
          <t>ｍ</t>
        </r>
        <r>
          <rPr>
            <b/>
            <sz val="7"/>
            <color indexed="81"/>
            <rFont val="Meiryo UI"/>
            <family val="3"/>
            <charset val="128"/>
          </rPr>
          <t xml:space="preserve">        45゜     </t>
        </r>
        <r>
          <rPr>
            <b/>
            <sz val="6.5"/>
            <color indexed="81"/>
            <rFont val="Meiryo UI"/>
            <family val="3"/>
            <charset val="128"/>
          </rPr>
          <t xml:space="preserve"> 15 </t>
        </r>
        <r>
          <rPr>
            <sz val="6.5"/>
            <color indexed="81"/>
            <rFont val="Meiryo UI"/>
            <family val="3"/>
            <charset val="128"/>
          </rPr>
          <t>ｍ</t>
        </r>
        <r>
          <rPr>
            <b/>
            <sz val="7"/>
            <color indexed="81"/>
            <rFont val="Meiryo UI"/>
            <family val="3"/>
            <charset val="128"/>
          </rPr>
          <t xml:space="preserve">       </t>
        </r>
        <r>
          <rPr>
            <b/>
            <sz val="6.5"/>
            <color indexed="81"/>
            <rFont val="Meiryo UI"/>
            <family val="3"/>
            <charset val="128"/>
          </rPr>
          <t xml:space="preserve">10 </t>
        </r>
        <r>
          <rPr>
            <sz val="6.5"/>
            <color indexed="81"/>
            <rFont val="Meiryo UI"/>
            <family val="3"/>
            <charset val="128"/>
          </rPr>
          <t>ｍ</t>
        </r>
        <r>
          <rPr>
            <b/>
            <sz val="7"/>
            <color indexed="81"/>
            <rFont val="Meiryo UI"/>
            <family val="3"/>
            <charset val="128"/>
          </rPr>
          <t xml:space="preserve">
        Ⅲ       90 </t>
        </r>
        <r>
          <rPr>
            <sz val="7"/>
            <color indexed="81"/>
            <rFont val="Meiryo UI"/>
            <family val="3"/>
            <charset val="128"/>
          </rPr>
          <t>%</t>
        </r>
        <r>
          <rPr>
            <b/>
            <sz val="7"/>
            <color indexed="81"/>
            <rFont val="Meiryo UI"/>
            <family val="3"/>
            <charset val="128"/>
          </rPr>
          <t xml:space="preserve">       100          10.1               9 </t>
        </r>
        <r>
          <rPr>
            <sz val="7"/>
            <color indexed="81"/>
            <rFont val="Meiryo UI"/>
            <family val="3"/>
            <charset val="128"/>
          </rPr>
          <t>%</t>
        </r>
        <r>
          <rPr>
            <b/>
            <sz val="7"/>
            <color indexed="81"/>
            <rFont val="Meiryo UI"/>
            <family val="3"/>
            <charset val="128"/>
          </rPr>
          <t xml:space="preserve">            45 </t>
        </r>
        <r>
          <rPr>
            <sz val="7"/>
            <color indexed="81"/>
            <rFont val="Meiryo UI"/>
            <family val="3"/>
            <charset val="128"/>
          </rPr>
          <t>ｍ</t>
        </r>
        <r>
          <rPr>
            <b/>
            <sz val="7"/>
            <color indexed="81"/>
            <rFont val="Meiryo UI"/>
            <family val="3"/>
            <charset val="128"/>
          </rPr>
          <t xml:space="preserve">        35゜      </t>
        </r>
        <r>
          <rPr>
            <b/>
            <sz val="6.5"/>
            <color indexed="81"/>
            <rFont val="Meiryo UI"/>
            <family val="3"/>
            <charset val="128"/>
          </rPr>
          <t xml:space="preserve">20 </t>
        </r>
        <r>
          <rPr>
            <sz val="6.5"/>
            <color indexed="81"/>
            <rFont val="Meiryo UI"/>
            <family val="3"/>
            <charset val="128"/>
          </rPr>
          <t>ｍ</t>
        </r>
        <r>
          <rPr>
            <b/>
            <sz val="6.5"/>
            <color indexed="81"/>
            <rFont val="Meiryo UI"/>
            <family val="3"/>
            <charset val="128"/>
          </rPr>
          <t xml:space="preserve"> </t>
        </r>
        <r>
          <rPr>
            <b/>
            <sz val="7"/>
            <color indexed="81"/>
            <rFont val="Meiryo UI"/>
            <family val="3"/>
            <charset val="128"/>
          </rPr>
          <t xml:space="preserve">      </t>
        </r>
        <r>
          <rPr>
            <b/>
            <sz val="6.5"/>
            <color indexed="81"/>
            <rFont val="Meiryo UI"/>
            <family val="3"/>
            <charset val="128"/>
          </rPr>
          <t xml:space="preserve">15 </t>
        </r>
        <r>
          <rPr>
            <sz val="6.5"/>
            <color indexed="81"/>
            <rFont val="Meiryo UI"/>
            <family val="3"/>
            <charset val="128"/>
          </rPr>
          <t>ｍ</t>
        </r>
        <r>
          <rPr>
            <b/>
            <sz val="7"/>
            <color indexed="81"/>
            <rFont val="Meiryo UI"/>
            <family val="3"/>
            <charset val="128"/>
          </rPr>
          <t xml:space="preserve">
   </t>
        </r>
        <r>
          <rPr>
            <b/>
            <u/>
            <sz val="7"/>
            <color indexed="81"/>
            <rFont val="Meiryo UI"/>
            <family val="3"/>
            <charset val="128"/>
          </rPr>
          <t xml:space="preserve">     Ⅳ       80 </t>
        </r>
        <r>
          <rPr>
            <u/>
            <sz val="7"/>
            <color indexed="81"/>
            <rFont val="Meiryo UI"/>
            <family val="3"/>
            <charset val="128"/>
          </rPr>
          <t>%</t>
        </r>
        <r>
          <rPr>
            <b/>
            <u/>
            <sz val="7"/>
            <color indexed="81"/>
            <rFont val="Meiryo UI"/>
            <family val="3"/>
            <charset val="128"/>
          </rPr>
          <t xml:space="preserve">       100          15.7             16 </t>
        </r>
        <r>
          <rPr>
            <u/>
            <sz val="7"/>
            <color indexed="81"/>
            <rFont val="Meiryo UI"/>
            <family val="3"/>
            <charset val="128"/>
          </rPr>
          <t>%</t>
        </r>
        <r>
          <rPr>
            <b/>
            <u/>
            <sz val="7"/>
            <color indexed="81"/>
            <rFont val="Meiryo UI"/>
            <family val="3"/>
            <charset val="128"/>
          </rPr>
          <t xml:space="preserve">            60 </t>
        </r>
        <r>
          <rPr>
            <u/>
            <sz val="7"/>
            <color indexed="81"/>
            <rFont val="Meiryo UI"/>
            <family val="3"/>
            <charset val="128"/>
          </rPr>
          <t>ｍ</t>
        </r>
        <r>
          <rPr>
            <b/>
            <u/>
            <sz val="7"/>
            <color indexed="81"/>
            <rFont val="Meiryo UI"/>
            <family val="3"/>
            <charset val="128"/>
          </rPr>
          <t xml:space="preserve">        25゜     </t>
        </r>
        <r>
          <rPr>
            <b/>
            <u/>
            <sz val="6.5"/>
            <color indexed="81"/>
            <rFont val="Meiryo UI"/>
            <family val="3"/>
            <charset val="128"/>
          </rPr>
          <t xml:space="preserve"> 25 </t>
        </r>
        <r>
          <rPr>
            <u/>
            <sz val="6.5"/>
            <color indexed="81"/>
            <rFont val="Meiryo UI"/>
            <family val="3"/>
            <charset val="128"/>
          </rPr>
          <t xml:space="preserve">ｍ </t>
        </r>
        <r>
          <rPr>
            <b/>
            <u/>
            <sz val="7"/>
            <color indexed="81"/>
            <rFont val="Meiryo UI"/>
            <family val="3"/>
            <charset val="128"/>
          </rPr>
          <t xml:space="preserve">      </t>
        </r>
        <r>
          <rPr>
            <b/>
            <u/>
            <sz val="6.5"/>
            <color indexed="81"/>
            <rFont val="Meiryo UI"/>
            <family val="3"/>
            <charset val="128"/>
          </rPr>
          <t xml:space="preserve">20 </t>
        </r>
        <r>
          <rPr>
            <u/>
            <sz val="6.5"/>
            <color indexed="81"/>
            <rFont val="Meiryo UI"/>
            <family val="3"/>
            <charset val="128"/>
          </rPr>
          <t>ｍ</t>
        </r>
        <r>
          <rPr>
            <b/>
            <u/>
            <sz val="7"/>
            <color indexed="81"/>
            <rFont val="Meiryo UI"/>
            <family val="3"/>
            <charset val="128"/>
          </rPr>
          <t xml:space="preserve">     </t>
        </r>
        <r>
          <rPr>
            <b/>
            <u/>
            <sz val="1"/>
            <color indexed="81"/>
            <rFont val="Meiryo UI"/>
            <family val="3"/>
            <charset val="128"/>
          </rPr>
          <t>.</t>
        </r>
        <r>
          <rPr>
            <b/>
            <sz val="7"/>
            <color indexed="32"/>
            <rFont val="Meiryo UI"/>
            <family val="3"/>
            <charset val="128"/>
          </rPr>
          <t xml:space="preserve">
       </t>
        </r>
        <r>
          <rPr>
            <sz val="7.5"/>
            <color indexed="81"/>
            <rFont val="Meiryo UI"/>
            <family val="3"/>
            <charset val="128"/>
          </rPr>
          <t>雷害リスク解析による保護レベルの傾向</t>
        </r>
        <r>
          <rPr>
            <b/>
            <sz val="7"/>
            <color indexed="32"/>
            <rFont val="Meiryo UI"/>
            <family val="3"/>
            <charset val="128"/>
          </rPr>
          <t xml:space="preserve"> </t>
        </r>
        <r>
          <rPr>
            <sz val="7"/>
            <color indexed="32"/>
            <rFont val="Meiryo UI"/>
            <family val="3"/>
            <charset val="128"/>
          </rPr>
          <t>[エースライオン(株)資料による]</t>
        </r>
        <r>
          <rPr>
            <b/>
            <sz val="7"/>
            <color indexed="32"/>
            <rFont val="Meiryo UI"/>
            <family val="3"/>
            <charset val="128"/>
          </rPr>
          <t xml:space="preserve">
    </t>
        </r>
        <r>
          <rPr>
            <b/>
            <u/>
            <sz val="7"/>
            <color indexed="32"/>
            <rFont val="Meiryo UI"/>
            <family val="3"/>
            <charset val="128"/>
          </rPr>
          <t xml:space="preserve">             </t>
        </r>
        <r>
          <rPr>
            <u/>
            <sz val="7.5"/>
            <color indexed="32"/>
            <rFont val="Meiryo UI"/>
            <family val="3"/>
            <charset val="128"/>
          </rPr>
          <t>建築物の種類                                          推奨保護レベル</t>
        </r>
        <r>
          <rPr>
            <b/>
            <u/>
            <sz val="7"/>
            <color indexed="32"/>
            <rFont val="Meiryo UI"/>
            <family val="3"/>
            <charset val="128"/>
          </rPr>
          <t xml:space="preserve">                                         </t>
        </r>
        <r>
          <rPr>
            <b/>
            <u/>
            <sz val="1"/>
            <color indexed="48"/>
            <rFont val="Meiryo UI"/>
            <family val="3"/>
            <charset val="128"/>
          </rPr>
          <t xml:space="preserve">. </t>
        </r>
        <r>
          <rPr>
            <b/>
            <sz val="7"/>
            <color indexed="32"/>
            <rFont val="Meiryo UI"/>
            <family val="3"/>
            <charset val="128"/>
          </rPr>
          <t xml:space="preserve">
        </t>
        </r>
        <r>
          <rPr>
            <sz val="7.5"/>
            <color indexed="32"/>
            <rFont val="Meiryo UI"/>
            <family val="3"/>
            <charset val="128"/>
          </rPr>
          <t>原子力発電所、化学工場、大規模             保護レベル</t>
        </r>
        <r>
          <rPr>
            <b/>
            <sz val="7.5"/>
            <color indexed="81"/>
            <rFont val="Meiryo UI"/>
            <family val="3"/>
            <charset val="128"/>
          </rPr>
          <t>Ⅰ</t>
        </r>
        <r>
          <rPr>
            <sz val="7.5"/>
            <color indexed="32"/>
            <rFont val="Meiryo UI"/>
            <family val="3"/>
            <charset val="128"/>
          </rPr>
          <t>～保護レベル</t>
        </r>
        <r>
          <rPr>
            <b/>
            <sz val="7.5"/>
            <color indexed="81"/>
            <rFont val="Meiryo UI"/>
            <family val="3"/>
            <charset val="128"/>
          </rPr>
          <t>Ⅱ</t>
        </r>
        <r>
          <rPr>
            <b/>
            <sz val="7"/>
            <color indexed="32"/>
            <rFont val="Meiryo UI"/>
            <family val="3"/>
            <charset val="128"/>
          </rPr>
          <t xml:space="preserve">
    </t>
        </r>
        <r>
          <rPr>
            <b/>
            <u/>
            <sz val="7"/>
            <color indexed="32"/>
            <rFont val="Meiryo UI"/>
            <family val="3"/>
            <charset val="128"/>
          </rPr>
          <t xml:space="preserve">    </t>
        </r>
        <r>
          <rPr>
            <u/>
            <sz val="7.5"/>
            <color indexed="32"/>
            <rFont val="Meiryo UI"/>
            <family val="3"/>
            <charset val="128"/>
          </rPr>
          <t xml:space="preserve">電算センター、研究施設等                        </t>
        </r>
        <r>
          <rPr>
            <b/>
            <u/>
            <sz val="7.5"/>
            <color indexed="37"/>
            <rFont val="Meiryo UI"/>
            <family val="3"/>
            <charset val="128"/>
          </rPr>
          <t>※</t>
        </r>
        <r>
          <rPr>
            <u/>
            <sz val="7.5"/>
            <color indexed="37"/>
            <rFont val="Meiryo UI"/>
            <family val="3"/>
            <charset val="128"/>
          </rPr>
          <t xml:space="preserve"> </t>
        </r>
        <r>
          <rPr>
            <u/>
            <sz val="7.5"/>
            <color indexed="32"/>
            <rFont val="Meiryo UI"/>
            <family val="3"/>
            <charset val="128"/>
          </rPr>
          <t>追加措置を考慮するとよい</t>
        </r>
        <r>
          <rPr>
            <b/>
            <u/>
            <sz val="7"/>
            <color indexed="32"/>
            <rFont val="Meiryo UI"/>
            <family val="3"/>
            <charset val="128"/>
          </rPr>
          <t xml:space="preserve">                                  </t>
        </r>
        <r>
          <rPr>
            <b/>
            <u/>
            <sz val="1"/>
            <color indexed="48"/>
            <rFont val="Meiryo UI"/>
            <family val="3"/>
            <charset val="128"/>
          </rPr>
          <t xml:space="preserve"> . </t>
        </r>
        <r>
          <rPr>
            <b/>
            <sz val="7"/>
            <color indexed="32"/>
            <rFont val="Meiryo UI"/>
            <family val="3"/>
            <charset val="128"/>
          </rPr>
          <t xml:space="preserve">
        </t>
        </r>
        <r>
          <rPr>
            <sz val="7.5"/>
            <color indexed="32"/>
            <rFont val="Meiryo UI"/>
            <family val="3"/>
            <charset val="128"/>
          </rPr>
          <t>医療施設、病院、銀行、商社、本社            保護レベル</t>
        </r>
        <r>
          <rPr>
            <b/>
            <sz val="7.5"/>
            <color indexed="81"/>
            <rFont val="Meiryo UI"/>
            <family val="3"/>
            <charset val="128"/>
          </rPr>
          <t>Ⅰ</t>
        </r>
        <r>
          <rPr>
            <sz val="7.5"/>
            <color indexed="32"/>
            <rFont val="Meiryo UI"/>
            <family val="3"/>
            <charset val="128"/>
          </rPr>
          <t>～保護レベル</t>
        </r>
        <r>
          <rPr>
            <b/>
            <sz val="7.5"/>
            <color indexed="81"/>
            <rFont val="Meiryo UI"/>
            <family val="3"/>
            <charset val="128"/>
          </rPr>
          <t>Ⅲ</t>
        </r>
        <r>
          <rPr>
            <b/>
            <sz val="7"/>
            <color indexed="32"/>
            <rFont val="Meiryo UI"/>
            <family val="3"/>
            <charset val="128"/>
          </rPr>
          <t xml:space="preserve">
    </t>
        </r>
        <r>
          <rPr>
            <b/>
            <u/>
            <sz val="7"/>
            <color indexed="32"/>
            <rFont val="Meiryo UI"/>
            <family val="3"/>
            <charset val="128"/>
          </rPr>
          <t xml:space="preserve">    </t>
        </r>
        <r>
          <rPr>
            <u/>
            <sz val="7.5"/>
            <color indexed="32"/>
            <rFont val="Meiryo UI"/>
            <family val="3"/>
            <charset val="128"/>
          </rPr>
          <t>ビル (管理部門)、危険物施設等</t>
        </r>
        <r>
          <rPr>
            <b/>
            <u/>
            <sz val="7"/>
            <color indexed="32"/>
            <rFont val="Meiryo UI"/>
            <family val="3"/>
            <charset val="128"/>
          </rPr>
          <t xml:space="preserve">                                                                                        </t>
        </r>
        <r>
          <rPr>
            <b/>
            <u/>
            <sz val="1"/>
            <color indexed="48"/>
            <rFont val="Meiryo UI"/>
            <family val="3"/>
            <charset val="128"/>
          </rPr>
          <t xml:space="preserve"> . </t>
        </r>
        <r>
          <rPr>
            <b/>
            <sz val="7"/>
            <color indexed="32"/>
            <rFont val="Meiryo UI"/>
            <family val="3"/>
            <charset val="128"/>
          </rPr>
          <t xml:space="preserve">
        </t>
        </r>
        <r>
          <rPr>
            <sz val="7.5"/>
            <color indexed="32"/>
            <rFont val="Meiryo UI"/>
            <family val="3"/>
            <charset val="128"/>
          </rPr>
          <t>一般住宅(中、高層住宅)                         保護レベル</t>
        </r>
        <r>
          <rPr>
            <b/>
            <sz val="7.5"/>
            <color indexed="81"/>
            <rFont val="Meiryo UI"/>
            <family val="3"/>
            <charset val="128"/>
          </rPr>
          <t>Ⅲ</t>
        </r>
        <r>
          <rPr>
            <sz val="7.5"/>
            <color indexed="32"/>
            <rFont val="Meiryo UI"/>
            <family val="3"/>
            <charset val="128"/>
          </rPr>
          <t>～保護レベル</t>
        </r>
        <r>
          <rPr>
            <b/>
            <sz val="7.5"/>
            <color indexed="81"/>
            <rFont val="Meiryo UI"/>
            <family val="3"/>
            <charset val="128"/>
          </rPr>
          <t>Ⅳ</t>
        </r>
        <r>
          <rPr>
            <b/>
            <sz val="7"/>
            <color indexed="32"/>
            <rFont val="Meiryo UI"/>
            <family val="3"/>
            <charset val="128"/>
          </rPr>
          <t xml:space="preserve">
    </t>
        </r>
        <r>
          <rPr>
            <b/>
            <u/>
            <sz val="7"/>
            <color indexed="32"/>
            <rFont val="Meiryo UI"/>
            <family val="3"/>
            <charset val="128"/>
          </rPr>
          <t xml:space="preserve">    </t>
        </r>
        <r>
          <rPr>
            <u/>
            <sz val="7.5"/>
            <color indexed="32"/>
            <rFont val="Meiryo UI"/>
            <family val="3"/>
            <charset val="128"/>
          </rPr>
          <t>事務所ビル、通信・情報基地局</t>
        </r>
        <r>
          <rPr>
            <b/>
            <u/>
            <sz val="7"/>
            <color indexed="32"/>
            <rFont val="Meiryo UI"/>
            <family val="3"/>
            <charset val="128"/>
          </rPr>
          <t xml:space="preserve">                                                                                           </t>
        </r>
        <r>
          <rPr>
            <b/>
            <u/>
            <sz val="1"/>
            <color indexed="48"/>
            <rFont val="Meiryo UI"/>
            <family val="3"/>
            <charset val="128"/>
          </rPr>
          <t xml:space="preserve"> . </t>
        </r>
        <r>
          <rPr>
            <b/>
            <u/>
            <sz val="7"/>
            <color indexed="32"/>
            <rFont val="Meiryo UI"/>
            <family val="3"/>
            <charset val="128"/>
          </rPr>
          <t xml:space="preserve">
</t>
        </r>
        <r>
          <rPr>
            <b/>
            <sz val="7"/>
            <color indexed="32"/>
            <rFont val="Meiryo UI"/>
            <family val="3"/>
            <charset val="128"/>
          </rPr>
          <t xml:space="preserve">        </t>
        </r>
        <r>
          <rPr>
            <sz val="7.5"/>
            <color indexed="32"/>
            <rFont val="Meiryo UI"/>
            <family val="3"/>
            <charset val="128"/>
          </rPr>
          <t>一般住宅(低層住宅)                               保護レベル</t>
        </r>
        <r>
          <rPr>
            <b/>
            <sz val="7.5"/>
            <color indexed="81"/>
            <rFont val="Meiryo UI"/>
            <family val="3"/>
            <charset val="128"/>
          </rPr>
          <t>Ⅲ</t>
        </r>
        <r>
          <rPr>
            <sz val="7.5"/>
            <color indexed="32"/>
            <rFont val="Meiryo UI"/>
            <family val="3"/>
            <charset val="128"/>
          </rPr>
          <t>～保護レベル</t>
        </r>
        <r>
          <rPr>
            <b/>
            <sz val="7.5"/>
            <color indexed="81"/>
            <rFont val="Meiryo UI"/>
            <family val="3"/>
            <charset val="128"/>
          </rPr>
          <t>Ⅳ</t>
        </r>
        <r>
          <rPr>
            <b/>
            <sz val="7"/>
            <color indexed="32"/>
            <rFont val="Meiryo UI"/>
            <family val="3"/>
            <charset val="128"/>
          </rPr>
          <t xml:space="preserve">
        </t>
        </r>
        <r>
          <rPr>
            <sz val="7.5"/>
            <color indexed="32"/>
            <rFont val="Meiryo UI"/>
            <family val="3"/>
            <charset val="128"/>
          </rPr>
          <t>民家、橋、屋外照明柱                           （雷による損失が関係する担当者の判断により小、及び、</t>
        </r>
        <r>
          <rPr>
            <b/>
            <sz val="7"/>
            <color indexed="32"/>
            <rFont val="Meiryo UI"/>
            <family val="3"/>
            <charset val="128"/>
          </rPr>
          <t xml:space="preserve">
    </t>
        </r>
        <r>
          <rPr>
            <b/>
            <u/>
            <sz val="7"/>
            <color indexed="32"/>
            <rFont val="Meiryo UI"/>
            <family val="3"/>
            <charset val="128"/>
          </rPr>
          <t xml:space="preserve">                                                               </t>
        </r>
        <r>
          <rPr>
            <u/>
            <sz val="7.5"/>
            <color indexed="32"/>
            <rFont val="Meiryo UI"/>
            <family val="3"/>
            <charset val="128"/>
          </rPr>
          <t xml:space="preserve"> 雷の発生頻度が小と予測される場合は、保護レベル</t>
        </r>
        <r>
          <rPr>
            <b/>
            <u/>
            <sz val="7.5"/>
            <color indexed="81"/>
            <rFont val="Meiryo UI"/>
            <family val="3"/>
            <charset val="128"/>
          </rPr>
          <t>Ⅳ</t>
        </r>
        <r>
          <rPr>
            <u/>
            <sz val="7.5"/>
            <color indexed="32"/>
            <rFont val="Meiryo UI"/>
            <family val="3"/>
            <charset val="128"/>
          </rPr>
          <t>）</t>
        </r>
        <r>
          <rPr>
            <b/>
            <u/>
            <sz val="7"/>
            <color indexed="32"/>
            <rFont val="Meiryo UI"/>
            <family val="3"/>
            <charset val="128"/>
          </rPr>
          <t xml:space="preserve"> </t>
        </r>
        <r>
          <rPr>
            <b/>
            <sz val="1"/>
            <color indexed="48"/>
            <rFont val="Meiryo UI"/>
            <family val="3"/>
            <charset val="128"/>
          </rPr>
          <t xml:space="preserve">   .</t>
        </r>
        <r>
          <rPr>
            <b/>
            <u/>
            <sz val="1"/>
            <color indexed="48"/>
            <rFont val="Meiryo UI"/>
            <family val="3"/>
            <charset val="128"/>
          </rPr>
          <t xml:space="preserve"> </t>
        </r>
        <r>
          <rPr>
            <b/>
            <u/>
            <sz val="7"/>
            <color indexed="32"/>
            <rFont val="Meiryo UI"/>
            <family val="3"/>
            <charset val="128"/>
          </rPr>
          <t xml:space="preserve">
</t>
        </r>
        <r>
          <rPr>
            <sz val="7.5"/>
            <color indexed="32"/>
            <rFont val="Meiryo UI"/>
            <family val="3"/>
            <charset val="128"/>
          </rPr>
          <t xml:space="preserve">      </t>
        </r>
        <r>
          <rPr>
            <b/>
            <sz val="7.5"/>
            <color indexed="37"/>
            <rFont val="Meiryo UI"/>
            <family val="3"/>
            <charset val="128"/>
          </rPr>
          <t>※</t>
        </r>
        <r>
          <rPr>
            <sz val="7.5"/>
            <color indexed="32"/>
            <rFont val="Meiryo UI"/>
            <family val="3"/>
            <charset val="128"/>
          </rPr>
          <t>：追加措置とは、例えば、接触電圧及び歩幅電圧を抑制する手段、火災の伝搬を抑制する手段、</t>
        </r>
        <r>
          <rPr>
            <sz val="12"/>
            <color indexed="32"/>
            <rFont val="Meiryo UI"/>
            <family val="3"/>
            <charset val="128"/>
          </rPr>
          <t xml:space="preserve"> </t>
        </r>
        <r>
          <rPr>
            <sz val="7.5"/>
            <color indexed="32"/>
            <rFont val="Meiryo UI"/>
            <family val="3"/>
            <charset val="128"/>
          </rPr>
          <t xml:space="preserve">
            敏感な機器への誘導雷通過電圧を緩和する手段などである。</t>
        </r>
        <r>
          <rPr>
            <b/>
            <sz val="7"/>
            <color indexed="32"/>
            <rFont val="Meiryo UI"/>
            <family val="3"/>
            <charset val="128"/>
          </rPr>
          <t xml:space="preserve">                                                                                                                         
</t>
        </r>
      </text>
    </comment>
    <comment ref="J12" authorId="0">
      <text>
        <r>
          <rPr>
            <b/>
            <sz val="9"/>
            <color indexed="81"/>
            <rFont val="ＭＳ Ｐゴシック"/>
            <family val="3"/>
            <charset val="128"/>
          </rPr>
          <t xml:space="preserve">　     </t>
        </r>
        <r>
          <rPr>
            <b/>
            <sz val="11"/>
            <color indexed="37"/>
            <rFont val="ＭＳ Ｐ明朝"/>
            <family val="1"/>
            <charset val="128"/>
          </rPr>
          <t>避雷突針高さ</t>
        </r>
        <r>
          <rPr>
            <b/>
            <sz val="9"/>
            <color indexed="37"/>
            <rFont val="ＭＳ Ｐ明朝"/>
            <family val="1"/>
            <charset val="128"/>
          </rPr>
          <t>（自立型）</t>
        </r>
        <r>
          <rPr>
            <b/>
            <sz val="18"/>
            <color indexed="32"/>
            <rFont val="ＭＳ Ｐ明朝"/>
            <family val="1"/>
            <charset val="128"/>
          </rPr>
          <t xml:space="preserve"> </t>
        </r>
        <r>
          <rPr>
            <b/>
            <sz val="9"/>
            <color indexed="81"/>
            <rFont val="ＭＳ Ｐゴシック"/>
            <family val="3"/>
            <charset val="128"/>
          </rPr>
          <t xml:space="preserve">
</t>
        </r>
        <r>
          <rPr>
            <b/>
            <sz val="7"/>
            <color indexed="9"/>
            <rFont val="ＭＳ 明朝"/>
            <family val="1"/>
            <charset val="128"/>
          </rPr>
          <t xml:space="preserve">  </t>
        </r>
        <r>
          <rPr>
            <b/>
            <sz val="9"/>
            <color indexed="32"/>
            <rFont val="ＭＳ Ｐ明朝"/>
            <family val="1"/>
            <charset val="128"/>
          </rPr>
          <t>∑</t>
        </r>
        <r>
          <rPr>
            <sz val="8"/>
            <color indexed="60"/>
            <rFont val="Meiryo UI"/>
            <family val="3"/>
            <charset val="128"/>
          </rPr>
          <t>｛</t>
        </r>
        <r>
          <rPr>
            <sz val="8"/>
            <color indexed="32"/>
            <rFont val="Meiryo UI"/>
            <family val="3"/>
            <charset val="128"/>
          </rPr>
          <t>[突針長 ( JIS 大＝０.４６[ｍ]／JIS 中＝０.３３ [ｍ] ) ]</t>
        </r>
        <r>
          <rPr>
            <sz val="12"/>
            <color indexed="32"/>
            <rFont val="Meiryo UI"/>
            <family val="3"/>
            <charset val="128"/>
          </rPr>
          <t xml:space="preserve"> </t>
        </r>
        <r>
          <rPr>
            <sz val="8"/>
            <color indexed="32"/>
            <rFont val="Meiryo UI"/>
            <family val="3"/>
            <charset val="128"/>
          </rPr>
          <t xml:space="preserve">
        [支持管長 [ｍ] ] 
        [ コンクリート基礎高さ 0.5 [ｍ] ]</t>
        </r>
        <r>
          <rPr>
            <sz val="8"/>
            <color indexed="60"/>
            <rFont val="Meiryo UI"/>
            <family val="3"/>
            <charset val="128"/>
          </rPr>
          <t xml:space="preserve"> ｝</t>
        </r>
        <r>
          <rPr>
            <b/>
            <sz val="7"/>
            <color indexed="9"/>
            <rFont val="ＭＳ Ｐ明朝"/>
            <family val="1"/>
            <charset val="128"/>
          </rPr>
          <t xml:space="preserve">
</t>
        </r>
        <r>
          <rPr>
            <b/>
            <sz val="7"/>
            <color indexed="9"/>
            <rFont val="Meiryo UI"/>
            <family val="3"/>
            <charset val="128"/>
          </rPr>
          <t xml:space="preserve"> </t>
        </r>
      </text>
    </comment>
    <comment ref="D14" authorId="0">
      <text>
        <r>
          <rPr>
            <b/>
            <sz val="9"/>
            <color indexed="81"/>
            <rFont val="ＭＳ Ｐゴシック"/>
            <family val="3"/>
            <charset val="128"/>
          </rPr>
          <t>　 　</t>
        </r>
        <r>
          <rPr>
            <b/>
            <sz val="11"/>
            <color indexed="37"/>
            <rFont val="ＭＳ Ｐ明朝"/>
            <family val="1"/>
            <charset val="128"/>
          </rPr>
          <t>受雷部（突針部）</t>
        </r>
        <r>
          <rPr>
            <b/>
            <sz val="18"/>
            <color indexed="32"/>
            <rFont val="ＭＳ Ｐ明朝"/>
            <family val="1"/>
            <charset val="128"/>
          </rPr>
          <t xml:space="preserve"> </t>
        </r>
        <r>
          <rPr>
            <b/>
            <sz val="9"/>
            <color indexed="81"/>
            <rFont val="ＭＳ Ｐゴシック"/>
            <family val="3"/>
            <charset val="128"/>
          </rPr>
          <t xml:space="preserve">
</t>
        </r>
        <r>
          <rPr>
            <sz val="7.5"/>
            <color indexed="32"/>
            <rFont val="Meiryo UI"/>
            <family val="3"/>
            <charset val="128"/>
          </rPr>
          <t xml:space="preserve">   </t>
        </r>
        <r>
          <rPr>
            <b/>
            <sz val="7.5"/>
            <color indexed="81"/>
            <rFont val="Meiryo UI"/>
            <family val="3"/>
            <charset val="128"/>
          </rPr>
          <t>1</t>
        </r>
        <r>
          <rPr>
            <sz val="7.5"/>
            <color indexed="81"/>
            <rFont val="Meiryo UI"/>
            <family val="3"/>
            <charset val="128"/>
          </rPr>
          <t>.</t>
        </r>
        <r>
          <rPr>
            <sz val="7.5"/>
            <color indexed="32"/>
            <rFont val="Meiryo UI"/>
            <family val="3"/>
            <charset val="128"/>
          </rPr>
          <t xml:space="preserve"> 突針部の取付位置および取付数は、被保護物の保護しよう        </t>
        </r>
        <r>
          <rPr>
            <b/>
            <sz val="7.5"/>
            <color indexed="81"/>
            <rFont val="Meiryo UI"/>
            <family val="3"/>
            <charset val="128"/>
          </rPr>
          <t>4</t>
        </r>
        <r>
          <rPr>
            <sz val="7.5"/>
            <color indexed="81"/>
            <rFont val="Meiryo UI"/>
            <family val="3"/>
            <charset val="128"/>
          </rPr>
          <t>.</t>
        </r>
        <r>
          <rPr>
            <sz val="7.5"/>
            <color indexed="32"/>
            <rFont val="Meiryo UI"/>
            <family val="3"/>
            <charset val="128"/>
          </rPr>
          <t xml:space="preserve"> 突針は、直径12mm以上の棒（銅、アルミ、亜鉛メッキした</t>
        </r>
        <r>
          <rPr>
            <sz val="12"/>
            <color indexed="32"/>
            <rFont val="Meiryo UI"/>
            <family val="3"/>
            <charset val="128"/>
          </rPr>
          <t xml:space="preserve"> </t>
        </r>
        <r>
          <rPr>
            <sz val="7.5"/>
            <color indexed="32"/>
            <rFont val="Meiryo UI"/>
            <family val="3"/>
            <charset val="128"/>
          </rPr>
          <t xml:space="preserve">
        とする部分の全体が保護範囲内に入るようにする。                         鉄若しくは鋼）又は同等以上の強度および性能のものとする。
        この場合、保護角は60度（危険物貯蔵庫は45度）以下と       </t>
        </r>
        <r>
          <rPr>
            <b/>
            <sz val="7.5"/>
            <color indexed="81"/>
            <rFont val="Meiryo UI"/>
            <family val="3"/>
            <charset val="128"/>
          </rPr>
          <t>5</t>
        </r>
        <r>
          <rPr>
            <sz val="7.5"/>
            <color indexed="81"/>
            <rFont val="Meiryo UI"/>
            <family val="3"/>
            <charset val="128"/>
          </rPr>
          <t>.</t>
        </r>
        <r>
          <rPr>
            <sz val="7.5"/>
            <color indexed="32"/>
            <rFont val="Meiryo UI"/>
            <family val="3"/>
            <charset val="128"/>
          </rPr>
          <t xml:space="preserve"> 突針部は、はしご、旗ざお等建築物に附属した金属体をもって
        する。                                                                                 代えてもよい。
   </t>
        </r>
        <r>
          <rPr>
            <b/>
            <sz val="7.5"/>
            <color indexed="81"/>
            <rFont val="Meiryo UI"/>
            <family val="3"/>
            <charset val="128"/>
          </rPr>
          <t>2</t>
        </r>
        <r>
          <rPr>
            <sz val="7.5"/>
            <color indexed="81"/>
            <rFont val="Meiryo UI"/>
            <family val="3"/>
            <charset val="128"/>
          </rPr>
          <t>.</t>
        </r>
        <r>
          <rPr>
            <sz val="7.5"/>
            <color indexed="32"/>
            <rFont val="Meiryo UI"/>
            <family val="3"/>
            <charset val="128"/>
          </rPr>
          <t xml:space="preserve"> 突針部は、建基法施行令第87条の規定による風圧力に対         </t>
        </r>
        <r>
          <rPr>
            <b/>
            <sz val="7.5"/>
            <color indexed="81"/>
            <rFont val="Meiryo UI"/>
            <family val="3"/>
            <charset val="128"/>
          </rPr>
          <t>6</t>
        </r>
        <r>
          <rPr>
            <sz val="7.5"/>
            <color indexed="81"/>
            <rFont val="Meiryo UI"/>
            <family val="3"/>
            <charset val="128"/>
          </rPr>
          <t>.</t>
        </r>
        <r>
          <rPr>
            <sz val="7.5"/>
            <color indexed="32"/>
            <rFont val="Meiryo UI"/>
            <family val="3"/>
            <charset val="128"/>
          </rPr>
          <t xml:space="preserve"> 突針は、避雷導線によって接地極に接続する。
   </t>
        </r>
        <r>
          <rPr>
            <b/>
            <sz val="7.5"/>
            <color indexed="81"/>
            <rFont val="Meiryo UI"/>
            <family val="3"/>
            <charset val="128"/>
          </rPr>
          <t>3</t>
        </r>
        <r>
          <rPr>
            <sz val="7.5"/>
            <color indexed="81"/>
            <rFont val="Meiryo UI"/>
            <family val="3"/>
            <charset val="128"/>
          </rPr>
          <t>.</t>
        </r>
        <r>
          <rPr>
            <sz val="7.5"/>
            <color indexed="32"/>
            <rFont val="Meiryo UI"/>
            <family val="3"/>
            <charset val="128"/>
          </rPr>
          <t xml:space="preserve"> 突針の先端は、可燃物から0.3 ｍ以上突出させる。</t>
        </r>
        <r>
          <rPr>
            <b/>
            <sz val="7"/>
            <color indexed="32"/>
            <rFont val="ＭＳ 明朝"/>
            <family val="1"/>
            <charset val="128"/>
          </rPr>
          <t xml:space="preserve">
</t>
        </r>
        <r>
          <rPr>
            <b/>
            <sz val="7"/>
            <color indexed="32"/>
            <rFont val="Meiryo UI"/>
            <family val="3"/>
            <charset val="128"/>
          </rPr>
          <t xml:space="preserve"> </t>
        </r>
      </text>
    </comment>
    <comment ref="F14" authorId="0">
      <text>
        <r>
          <rPr>
            <b/>
            <sz val="9"/>
            <color indexed="81"/>
            <rFont val="ＭＳ Ｐゴシック"/>
            <family val="3"/>
            <charset val="128"/>
          </rPr>
          <t>　</t>
        </r>
        <r>
          <rPr>
            <b/>
            <sz val="9"/>
            <color indexed="81"/>
            <rFont val="ＭＳ Ｐ明朝"/>
            <family val="1"/>
            <charset val="128"/>
          </rPr>
          <t xml:space="preserve"> </t>
        </r>
        <r>
          <rPr>
            <b/>
            <sz val="9"/>
            <color indexed="32"/>
            <rFont val="ＭＳ Ｐゴシック"/>
            <family val="3"/>
            <charset val="128"/>
          </rPr>
          <t>　</t>
        </r>
        <r>
          <rPr>
            <b/>
            <sz val="11"/>
            <color indexed="37"/>
            <rFont val="ＭＳ Ｐ明朝"/>
            <family val="1"/>
            <charset val="128"/>
          </rPr>
          <t>受雷部（むね上げ導体）</t>
        </r>
        <r>
          <rPr>
            <b/>
            <sz val="18"/>
            <color indexed="32"/>
            <rFont val="ＭＳ Ｐ明朝"/>
            <family val="1"/>
            <charset val="128"/>
          </rPr>
          <t xml:space="preserve"> </t>
        </r>
        <r>
          <rPr>
            <b/>
            <sz val="9"/>
            <color indexed="81"/>
            <rFont val="ＭＳ Ｐゴシック"/>
            <family val="3"/>
            <charset val="128"/>
          </rPr>
          <t xml:space="preserve">
</t>
        </r>
        <r>
          <rPr>
            <sz val="7.5"/>
            <color indexed="32"/>
            <rFont val="Meiryo UI"/>
            <family val="3"/>
            <charset val="128"/>
          </rPr>
          <t xml:space="preserve">   </t>
        </r>
        <r>
          <rPr>
            <b/>
            <sz val="7.5"/>
            <color indexed="81"/>
            <rFont val="Meiryo UI"/>
            <family val="3"/>
            <charset val="128"/>
          </rPr>
          <t>1</t>
        </r>
        <r>
          <rPr>
            <sz val="7.5"/>
            <color indexed="81"/>
            <rFont val="Meiryo UI"/>
            <family val="3"/>
            <charset val="128"/>
          </rPr>
          <t xml:space="preserve">. </t>
        </r>
        <r>
          <rPr>
            <sz val="7.5"/>
            <color indexed="32"/>
            <rFont val="Meiryo UI"/>
            <family val="3"/>
            <charset val="128"/>
          </rPr>
          <t xml:space="preserve">むね上げ導体は、むね、パラペット、屋根その他雷撃を受けやす        </t>
        </r>
        <r>
          <rPr>
            <b/>
            <sz val="7.5"/>
            <color indexed="81"/>
            <rFont val="Meiryo UI"/>
            <family val="3"/>
            <charset val="128"/>
          </rPr>
          <t>4</t>
        </r>
        <r>
          <rPr>
            <sz val="7.5"/>
            <color indexed="81"/>
            <rFont val="Meiryo UI"/>
            <family val="3"/>
            <charset val="128"/>
          </rPr>
          <t>.</t>
        </r>
        <r>
          <rPr>
            <sz val="7.5"/>
            <color indexed="32"/>
            <rFont val="Meiryo UI"/>
            <family val="3"/>
            <charset val="128"/>
          </rPr>
          <t xml:space="preserve"> むね上げ導体の保護角は、60度以下（危険物貯蔵庫は45度</t>
        </r>
        <r>
          <rPr>
            <sz val="12"/>
            <color indexed="32"/>
            <rFont val="Meiryo UI"/>
            <family val="3"/>
            <charset val="128"/>
          </rPr>
          <t xml:space="preserve"> </t>
        </r>
        <r>
          <rPr>
            <sz val="7.5"/>
            <color indexed="32"/>
            <rFont val="Meiryo UI"/>
            <family val="3"/>
            <charset val="128"/>
          </rPr>
          <t xml:space="preserve">
        い部分の上に設置し、陸屋根に設置する場合は外周に沿って              とする。
        ループ状とする。                                                                    </t>
        </r>
        <r>
          <rPr>
            <b/>
            <sz val="7.5"/>
            <color indexed="81"/>
            <rFont val="Meiryo UI"/>
            <family val="3"/>
            <charset val="128"/>
          </rPr>
          <t>5</t>
        </r>
        <r>
          <rPr>
            <sz val="7.5"/>
            <color indexed="81"/>
            <rFont val="Meiryo UI"/>
            <family val="3"/>
            <charset val="128"/>
          </rPr>
          <t>.</t>
        </r>
        <r>
          <rPr>
            <sz val="7.5"/>
            <color indexed="32"/>
            <rFont val="Meiryo UI"/>
            <family val="3"/>
            <charset val="128"/>
          </rPr>
          <t xml:space="preserve"> 保護範囲に入らない屋根の部分は、非保護範囲部分の各点から
   </t>
        </r>
        <r>
          <rPr>
            <b/>
            <sz val="7.5"/>
            <color indexed="81"/>
            <rFont val="Meiryo UI"/>
            <family val="3"/>
            <charset val="128"/>
          </rPr>
          <t>2</t>
        </r>
        <r>
          <rPr>
            <sz val="7.5"/>
            <color indexed="81"/>
            <rFont val="Meiryo UI"/>
            <family val="3"/>
            <charset val="128"/>
          </rPr>
          <t xml:space="preserve">. </t>
        </r>
        <r>
          <rPr>
            <sz val="7.5"/>
            <color indexed="32"/>
            <rFont val="Meiryo UI"/>
            <family val="3"/>
            <charset val="128"/>
          </rPr>
          <t xml:space="preserve">むね上げ導体の材料は、銅又はアルミニウムの単線、より線、平            むね上げ導体までの水平距離が10ｍ以下になるようにする。
        角線若しくは菅とする。断面積は、銅の場合30 sqmm以上、         </t>
        </r>
        <r>
          <rPr>
            <b/>
            <sz val="7.5"/>
            <color indexed="81"/>
            <rFont val="Meiryo UI"/>
            <family val="3"/>
            <charset val="128"/>
          </rPr>
          <t>6</t>
        </r>
        <r>
          <rPr>
            <sz val="7.5"/>
            <color indexed="81"/>
            <rFont val="Meiryo UI"/>
            <family val="3"/>
            <charset val="128"/>
          </rPr>
          <t xml:space="preserve">. </t>
        </r>
        <r>
          <rPr>
            <sz val="7.5"/>
            <color indexed="32"/>
            <rFont val="Meiryo UI"/>
            <family val="3"/>
            <charset val="128"/>
          </rPr>
          <t xml:space="preserve">むね上げ導体の可燃物との距離は、0.3 ｍ以下とする。
        アルミニウムの場合50 sqmm 以上。
   </t>
        </r>
        <r>
          <rPr>
            <b/>
            <sz val="7.5"/>
            <color indexed="81"/>
            <rFont val="Meiryo UI"/>
            <family val="3"/>
            <charset val="128"/>
          </rPr>
          <t>3</t>
        </r>
        <r>
          <rPr>
            <sz val="7.5"/>
            <color indexed="81"/>
            <rFont val="Meiryo UI"/>
            <family val="3"/>
            <charset val="128"/>
          </rPr>
          <t>.</t>
        </r>
        <r>
          <rPr>
            <sz val="7.5"/>
            <color indexed="32"/>
            <rFont val="Meiryo UI"/>
            <family val="3"/>
            <charset val="128"/>
          </rPr>
          <t xml:space="preserve"> むね上げ導体は、陸屋根に設置に設置された手すり、フェンスな 
        どの金属体（直径 12mm以上の銅棒、又はこれと同等以上
        のもの）をもって代えてもよい。   ただし、金属体相互は電気的
        に完全に接続する。</t>
        </r>
        <r>
          <rPr>
            <sz val="7.5"/>
            <color indexed="9"/>
            <rFont val="Meiryo UI"/>
            <family val="3"/>
            <charset val="128"/>
          </rPr>
          <t xml:space="preserve">
 </t>
        </r>
      </text>
    </comment>
    <comment ref="D18" authorId="0">
      <text>
        <r>
          <rPr>
            <b/>
            <sz val="9"/>
            <color indexed="81"/>
            <rFont val="ＭＳ Ｐゴシック"/>
            <family val="3"/>
            <charset val="128"/>
          </rPr>
          <t>　</t>
        </r>
        <r>
          <rPr>
            <b/>
            <sz val="9"/>
            <color indexed="81"/>
            <rFont val="ＭＳ Ｐ明朝"/>
            <family val="1"/>
            <charset val="128"/>
          </rPr>
          <t xml:space="preserve">  </t>
        </r>
        <r>
          <rPr>
            <b/>
            <sz val="9"/>
            <color indexed="32"/>
            <rFont val="ＭＳ Ｐゴシック"/>
            <family val="3"/>
            <charset val="128"/>
          </rPr>
          <t>　</t>
        </r>
        <r>
          <rPr>
            <b/>
            <sz val="11"/>
            <color indexed="37"/>
            <rFont val="ＭＳ Ｐ明朝"/>
            <family val="1"/>
            <charset val="128"/>
          </rPr>
          <t>避雷導線</t>
        </r>
        <r>
          <rPr>
            <b/>
            <sz val="18"/>
            <color indexed="32"/>
            <rFont val="ＭＳ Ｐ明朝"/>
            <family val="1"/>
            <charset val="128"/>
          </rPr>
          <t xml:space="preserve"> </t>
        </r>
        <r>
          <rPr>
            <b/>
            <sz val="9"/>
            <color indexed="81"/>
            <rFont val="ＭＳ Ｐゴシック"/>
            <family val="3"/>
            <charset val="128"/>
          </rPr>
          <t xml:space="preserve">
</t>
        </r>
        <r>
          <rPr>
            <sz val="7.5"/>
            <color indexed="32"/>
            <rFont val="Meiryo UI"/>
            <family val="3"/>
            <charset val="128"/>
          </rPr>
          <t xml:space="preserve">  </t>
        </r>
        <r>
          <rPr>
            <sz val="7.5"/>
            <color indexed="81"/>
            <rFont val="Meiryo UI"/>
            <family val="3"/>
            <charset val="128"/>
          </rPr>
          <t xml:space="preserve"> </t>
        </r>
        <r>
          <rPr>
            <b/>
            <sz val="7.5"/>
            <color indexed="81"/>
            <rFont val="Meiryo UI"/>
            <family val="3"/>
            <charset val="128"/>
          </rPr>
          <t>1</t>
        </r>
        <r>
          <rPr>
            <sz val="7.5"/>
            <color indexed="81"/>
            <rFont val="Meiryo UI"/>
            <family val="3"/>
            <charset val="128"/>
          </rPr>
          <t xml:space="preserve">. </t>
        </r>
        <r>
          <rPr>
            <sz val="7.5"/>
            <color indexed="32"/>
            <rFont val="Meiryo UI"/>
            <family val="3"/>
            <charset val="128"/>
          </rPr>
          <t xml:space="preserve">引下げ導線の数は、一つの被保護物について２条以上とする。         </t>
        </r>
        <r>
          <rPr>
            <b/>
            <sz val="7.5"/>
            <color indexed="81"/>
            <rFont val="Meiryo UI"/>
            <family val="3"/>
            <charset val="128"/>
          </rPr>
          <t>6</t>
        </r>
        <r>
          <rPr>
            <sz val="7.5"/>
            <color indexed="81"/>
            <rFont val="Meiryo UI"/>
            <family val="3"/>
            <charset val="128"/>
          </rPr>
          <t xml:space="preserve">. </t>
        </r>
        <r>
          <rPr>
            <sz val="7.5"/>
            <color indexed="32"/>
            <rFont val="Meiryo UI"/>
            <family val="3"/>
            <charset val="128"/>
          </rPr>
          <t>避雷導線は、銅、黄銅又はアルミニウムの止め金具を使用して</t>
        </r>
        <r>
          <rPr>
            <sz val="11"/>
            <color indexed="32"/>
            <rFont val="Meiryo UI"/>
            <family val="3"/>
            <charset val="128"/>
          </rPr>
          <t xml:space="preserve"> </t>
        </r>
        <r>
          <rPr>
            <sz val="7.5"/>
            <color indexed="32"/>
            <rFont val="Meiryo UI"/>
            <family val="3"/>
            <charset val="128"/>
          </rPr>
          <t xml:space="preserve">
       ただし、被保護物の水平投影面積が 50㎡ 以下のものについ                堅固に取付ける。
       ては１条でよい。                                                                    </t>
        </r>
        <r>
          <rPr>
            <b/>
            <sz val="7.5"/>
            <color indexed="81"/>
            <rFont val="Meiryo UI"/>
            <family val="3"/>
            <charset val="128"/>
          </rPr>
          <t>7</t>
        </r>
        <r>
          <rPr>
            <sz val="7.5"/>
            <color indexed="81"/>
            <rFont val="Meiryo UI"/>
            <family val="3"/>
            <charset val="128"/>
          </rPr>
          <t>.</t>
        </r>
        <r>
          <rPr>
            <sz val="7.5"/>
            <color indexed="32"/>
            <rFont val="Meiryo UI"/>
            <family val="3"/>
            <charset val="128"/>
          </rPr>
          <t xml:space="preserve"> 引下げ導線が地上から地中に入る部分は、硬質ビニル管又は非
   </t>
        </r>
        <r>
          <rPr>
            <b/>
            <sz val="7.5"/>
            <color indexed="81"/>
            <rFont val="Meiryo UI"/>
            <family val="3"/>
            <charset val="128"/>
          </rPr>
          <t>2</t>
        </r>
        <r>
          <rPr>
            <sz val="7.5"/>
            <color indexed="81"/>
            <rFont val="Meiryo UI"/>
            <family val="3"/>
            <charset val="128"/>
          </rPr>
          <t>.</t>
        </r>
        <r>
          <rPr>
            <sz val="7.5"/>
            <color indexed="32"/>
            <rFont val="Meiryo UI"/>
            <family val="3"/>
            <charset val="128"/>
          </rPr>
          <t xml:space="preserve"> 被保護物の外周に沿って測った引下げ導線の間隔は、原則と                磁性金属菅内を通じて、地上2.5ｍ以上のところから地下0.3ｍ
        して 50ｍ 以内とする。                                                                以上を機械的に保護する。
   </t>
        </r>
        <r>
          <rPr>
            <b/>
            <sz val="7.5"/>
            <color indexed="81"/>
            <rFont val="Meiryo UI"/>
            <family val="3"/>
            <charset val="128"/>
          </rPr>
          <t>3</t>
        </r>
        <r>
          <rPr>
            <sz val="7.5"/>
            <color indexed="81"/>
            <rFont val="Meiryo UI"/>
            <family val="3"/>
            <charset val="128"/>
          </rPr>
          <t>.</t>
        </r>
        <r>
          <rPr>
            <sz val="7.5"/>
            <color indexed="32"/>
            <rFont val="Meiryo UI"/>
            <family val="3"/>
            <charset val="128"/>
          </rPr>
          <t xml:space="preserve"> 引下げ導線は、被保護物の外周にほぼ均等に、かつ、できる            </t>
        </r>
        <r>
          <rPr>
            <b/>
            <sz val="7.5"/>
            <color indexed="81"/>
            <rFont val="Meiryo UI"/>
            <family val="3"/>
            <charset val="128"/>
          </rPr>
          <t>8</t>
        </r>
        <r>
          <rPr>
            <sz val="7.5"/>
            <color indexed="81"/>
            <rFont val="Meiryo UI"/>
            <family val="3"/>
            <charset val="128"/>
          </rPr>
          <t xml:space="preserve">. </t>
        </r>
        <r>
          <rPr>
            <sz val="7.5"/>
            <color indexed="32"/>
            <rFont val="Meiryo UI"/>
            <family val="3"/>
            <charset val="128"/>
          </rPr>
          <t xml:space="preserve">避雷導線は、電灯線、電話線又はガス管から 1.5ｍ以上離す。
       だけ突角部に近く配置する。                                                     </t>
        </r>
        <r>
          <rPr>
            <sz val="3"/>
            <color indexed="32"/>
            <rFont val="Meiryo UI"/>
            <family val="3"/>
            <charset val="128"/>
          </rPr>
          <t xml:space="preserve"> </t>
        </r>
        <r>
          <rPr>
            <b/>
            <sz val="7.5"/>
            <color indexed="81"/>
            <rFont val="Meiryo UI"/>
            <family val="3"/>
            <charset val="128"/>
          </rPr>
          <t>9</t>
        </r>
        <r>
          <rPr>
            <sz val="7.5"/>
            <color indexed="81"/>
            <rFont val="Meiryo UI"/>
            <family val="3"/>
            <charset val="128"/>
          </rPr>
          <t>.</t>
        </r>
        <r>
          <rPr>
            <sz val="7.5"/>
            <color indexed="32"/>
            <rFont val="Meiryo UI"/>
            <family val="3"/>
            <charset val="128"/>
          </rPr>
          <t xml:space="preserve"> 避雷導線から距離 1.5ｍ以内に接近する鉄はしご等の金属体は
   </t>
        </r>
        <r>
          <rPr>
            <b/>
            <sz val="7.5"/>
            <color indexed="81"/>
            <rFont val="Meiryo UI"/>
            <family val="3"/>
            <charset val="128"/>
          </rPr>
          <t>4</t>
        </r>
        <r>
          <rPr>
            <sz val="7.5"/>
            <color indexed="81"/>
            <rFont val="Meiryo UI"/>
            <family val="3"/>
            <charset val="128"/>
          </rPr>
          <t xml:space="preserve">. </t>
        </r>
        <r>
          <rPr>
            <sz val="7.5"/>
            <color indexed="32"/>
            <rFont val="Meiryo UI"/>
            <family val="3"/>
            <charset val="128"/>
          </rPr>
          <t xml:space="preserve">受雷部が２以上ある場合は、避雷導線により連接するかループ             接地する。
       状に接続する。                                                                    </t>
        </r>
        <r>
          <rPr>
            <b/>
            <sz val="7.5"/>
            <color indexed="81"/>
            <rFont val="Meiryo UI"/>
            <family val="3"/>
            <charset val="128"/>
          </rPr>
          <t>10</t>
        </r>
        <r>
          <rPr>
            <sz val="7.5"/>
            <color indexed="81"/>
            <rFont val="Meiryo UI"/>
            <family val="3"/>
            <charset val="128"/>
          </rPr>
          <t>.</t>
        </r>
        <r>
          <rPr>
            <sz val="7.5"/>
            <color indexed="32"/>
            <rFont val="Meiryo UI"/>
            <family val="3"/>
            <charset val="128"/>
          </rPr>
          <t xml:space="preserve"> Ｓ造、ＳＲＣ造、ＲＣ造の場合は、鉄骨・鉄筋(２条以上)をも
  </t>
        </r>
        <r>
          <rPr>
            <sz val="7.5"/>
            <color indexed="81"/>
            <rFont val="Meiryo UI"/>
            <family val="3"/>
            <charset val="128"/>
          </rPr>
          <t xml:space="preserve"> </t>
        </r>
        <r>
          <rPr>
            <b/>
            <sz val="7.5"/>
            <color indexed="81"/>
            <rFont val="Meiryo UI"/>
            <family val="3"/>
            <charset val="128"/>
          </rPr>
          <t>5</t>
        </r>
        <r>
          <rPr>
            <sz val="7.5"/>
            <color indexed="81"/>
            <rFont val="Meiryo UI"/>
            <family val="3"/>
            <charset val="128"/>
          </rPr>
          <t xml:space="preserve">. </t>
        </r>
        <r>
          <rPr>
            <sz val="7.5"/>
            <color indexed="32"/>
            <rFont val="Meiryo UI"/>
            <family val="3"/>
            <charset val="128"/>
          </rPr>
          <t>避雷導線の材料は、銅又はアルミニウムの単線、より線、平角               って引下げ導線に代えてもよい。(</t>
        </r>
        <r>
          <rPr>
            <sz val="7.5"/>
            <color indexed="81"/>
            <rFont val="Meiryo UI"/>
            <family val="3"/>
            <charset val="128"/>
          </rPr>
          <t>簡略法</t>
        </r>
        <r>
          <rPr>
            <sz val="7.5"/>
            <color indexed="32"/>
            <rFont val="Meiryo UI"/>
            <family val="3"/>
            <charset val="128"/>
          </rPr>
          <t>)
       線若しくは菅とする。断面積は、銅の場合３０sqmm以上、アル
       ミニウムの場合 50 sqmm 以上。</t>
        </r>
        <r>
          <rPr>
            <b/>
            <sz val="7"/>
            <color indexed="9"/>
            <rFont val="ＭＳ 明朝"/>
            <family val="1"/>
            <charset val="128"/>
          </rPr>
          <t xml:space="preserve">
 </t>
        </r>
      </text>
    </comment>
    <comment ref="AL18" authorId="0">
      <text>
        <r>
          <rPr>
            <b/>
            <sz val="9"/>
            <color indexed="81"/>
            <rFont val="ＭＳ Ｐゴシック"/>
            <family val="3"/>
            <charset val="128"/>
          </rPr>
          <t xml:space="preserve">   </t>
        </r>
        <r>
          <rPr>
            <b/>
            <sz val="11"/>
            <color indexed="37"/>
            <rFont val="ＭＳ Ｐ明朝"/>
            <family val="1"/>
            <charset val="128"/>
          </rPr>
          <t>導線取付金物</t>
        </r>
        <r>
          <rPr>
            <b/>
            <sz val="18"/>
            <color indexed="32"/>
            <rFont val="ＭＳ Ｐ明朝"/>
            <family val="1"/>
            <charset val="128"/>
          </rPr>
          <t xml:space="preserve"> </t>
        </r>
        <r>
          <rPr>
            <b/>
            <sz val="9"/>
            <color indexed="81"/>
            <rFont val="ＭＳ Ｐゴシック"/>
            <family val="3"/>
            <charset val="128"/>
          </rPr>
          <t xml:space="preserve">
</t>
        </r>
        <r>
          <rPr>
            <b/>
            <sz val="7"/>
            <color indexed="81"/>
            <rFont val="ＭＳ Ｐ明朝"/>
            <family val="1"/>
            <charset val="128"/>
          </rPr>
          <t xml:space="preserve">   </t>
        </r>
        <r>
          <rPr>
            <sz val="8"/>
            <color indexed="32"/>
            <rFont val="Meiryo UI"/>
            <family val="3"/>
            <charset val="128"/>
          </rPr>
          <t>取付間隔：600[mm]</t>
        </r>
        <r>
          <rPr>
            <b/>
            <sz val="12"/>
            <color indexed="32"/>
            <rFont val="ＭＳ Ｐゴシック"/>
            <family val="3"/>
            <charset val="128"/>
          </rPr>
          <t xml:space="preserve"> </t>
        </r>
        <r>
          <rPr>
            <b/>
            <sz val="7"/>
            <color indexed="9"/>
            <rFont val="ＭＳ 明朝"/>
            <family val="1"/>
            <charset val="128"/>
          </rPr>
          <t xml:space="preserve">
</t>
        </r>
        <r>
          <rPr>
            <b/>
            <sz val="7"/>
            <color indexed="9"/>
            <rFont val="ＭＳ Ｐゴシック"/>
            <family val="3"/>
            <charset val="128"/>
          </rPr>
          <t xml:space="preserve"> </t>
        </r>
      </text>
    </comment>
    <comment ref="BG18" authorId="0">
      <text>
        <r>
          <rPr>
            <b/>
            <sz val="9"/>
            <color indexed="81"/>
            <rFont val="ＭＳ Ｐゴシック"/>
            <family val="3"/>
            <charset val="128"/>
          </rPr>
          <t>　　</t>
        </r>
        <r>
          <rPr>
            <b/>
            <sz val="11"/>
            <color indexed="37"/>
            <rFont val="ＭＳ Ｐ明朝"/>
            <family val="1"/>
            <charset val="128"/>
          </rPr>
          <t>保護角余裕度</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TV.Ant 素子 を 保護角内に</t>
        </r>
        <r>
          <rPr>
            <sz val="12"/>
            <color indexed="32"/>
            <rFont val="Meiryo UI"/>
            <family val="3"/>
            <charset val="128"/>
          </rPr>
          <t xml:space="preserve"> </t>
        </r>
        <r>
          <rPr>
            <sz val="8"/>
            <color indexed="32"/>
            <rFont val="Meiryo UI"/>
            <family val="3"/>
            <charset val="128"/>
          </rPr>
          <t xml:space="preserve">
   入れるために TVポールの頂部
   から上を何ｍ保護角内とするか
   で決まる数値です。</t>
        </r>
        <r>
          <rPr>
            <b/>
            <sz val="7"/>
            <color indexed="9"/>
            <rFont val="ＭＳ 明朝"/>
            <family val="1"/>
            <charset val="128"/>
          </rPr>
          <t xml:space="preserve">
    </t>
        </r>
        <r>
          <rPr>
            <sz val="8"/>
            <color indexed="81"/>
            <rFont val="Meiryo UI"/>
            <family val="3"/>
            <charset val="128"/>
          </rPr>
          <t>初期設定値：１[ｍ]</t>
        </r>
        <r>
          <rPr>
            <b/>
            <sz val="12"/>
            <color indexed="9"/>
            <rFont val="ＭＳ 明朝"/>
            <family val="1"/>
            <charset val="128"/>
          </rPr>
          <t xml:space="preserve"> </t>
        </r>
        <r>
          <rPr>
            <b/>
            <sz val="10"/>
            <color indexed="9"/>
            <rFont val="ＭＳ 明朝"/>
            <family val="1"/>
            <charset val="128"/>
          </rPr>
          <t xml:space="preserve">
 </t>
        </r>
      </text>
    </comment>
    <comment ref="J20" authorId="0">
      <text>
        <r>
          <rPr>
            <b/>
            <sz val="9"/>
            <color indexed="81"/>
            <rFont val="ＭＳ Ｐゴシック"/>
            <family val="3"/>
            <charset val="128"/>
          </rPr>
          <t xml:space="preserve">　     </t>
        </r>
        <r>
          <rPr>
            <b/>
            <sz val="11"/>
            <color indexed="37"/>
            <rFont val="ＭＳ Ｐ明朝"/>
            <family val="1"/>
            <charset val="128"/>
          </rPr>
          <t>建物外周</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建物１階部分の通り芯</t>
        </r>
        <r>
          <rPr>
            <sz val="12"/>
            <color indexed="32"/>
            <rFont val="Meiryo UI"/>
            <family val="3"/>
            <charset val="128"/>
          </rPr>
          <t>　</t>
        </r>
        <r>
          <rPr>
            <sz val="8"/>
            <color indexed="32"/>
            <rFont val="Meiryo UI"/>
            <family val="3"/>
            <charset val="128"/>
          </rPr>
          <t xml:space="preserve">
   外周長[ｍ]＋４[ｍ] 
  </t>
        </r>
        <r>
          <rPr>
            <sz val="8"/>
            <color indexed="81"/>
            <rFont val="Meiryo UI"/>
            <family val="3"/>
            <charset val="128"/>
          </rPr>
          <t xml:space="preserve"> (注) </t>
        </r>
        <r>
          <rPr>
            <sz val="8"/>
            <color indexed="32"/>
            <rFont val="Meiryo UI"/>
            <family val="3"/>
            <charset val="128"/>
          </rPr>
          <t>４[ｍ]＝0.5×2×4</t>
        </r>
        <r>
          <rPr>
            <sz val="14"/>
            <color indexed="32"/>
            <rFont val="Meiryo UI"/>
            <family val="3"/>
            <charset val="128"/>
          </rPr>
          <t xml:space="preserve"> </t>
        </r>
        <r>
          <rPr>
            <b/>
            <sz val="14"/>
            <color indexed="9"/>
            <rFont val="ＭＳ Ｐ明朝"/>
            <family val="1"/>
            <charset val="128"/>
          </rPr>
          <t xml:space="preserve">
</t>
        </r>
        <r>
          <rPr>
            <b/>
            <sz val="14"/>
            <color indexed="9"/>
            <rFont val="Meiryo UI"/>
            <family val="3"/>
            <charset val="128"/>
          </rPr>
          <t xml:space="preserve"> </t>
        </r>
      </text>
    </comment>
    <comment ref="AH20" authorId="0">
      <text>
        <r>
          <rPr>
            <b/>
            <sz val="9"/>
            <color indexed="81"/>
            <rFont val="ＭＳ Ｐゴシック"/>
            <family val="3"/>
            <charset val="128"/>
          </rPr>
          <t xml:space="preserve">　    </t>
        </r>
        <r>
          <rPr>
            <b/>
            <sz val="9"/>
            <color indexed="81"/>
            <rFont val="ＭＳ Ｐ明朝"/>
            <family val="1"/>
            <charset val="128"/>
          </rPr>
          <t xml:space="preserve"> </t>
        </r>
        <r>
          <rPr>
            <b/>
            <sz val="11"/>
            <color indexed="37"/>
            <rFont val="ＭＳ Ｐ明朝"/>
            <family val="1"/>
            <charset val="128"/>
          </rPr>
          <t>避雷接地用端子箱記号</t>
        </r>
        <r>
          <rPr>
            <b/>
            <sz val="18"/>
            <color indexed="32"/>
            <rFont val="ＭＳ Ｐ明朝"/>
            <family val="1"/>
            <charset val="128"/>
          </rPr>
          <t xml:space="preserve"> </t>
        </r>
        <r>
          <rPr>
            <b/>
            <sz val="9"/>
            <color indexed="81"/>
            <rFont val="ＭＳ Ｐゴシック"/>
            <family val="3"/>
            <charset val="128"/>
          </rPr>
          <t xml:space="preserve">
</t>
        </r>
        <r>
          <rPr>
            <b/>
            <sz val="7"/>
            <color indexed="32"/>
            <rFont val="ＭＳ Ｐゴシック"/>
            <family val="3"/>
            <charset val="128"/>
          </rPr>
          <t xml:space="preserve">  </t>
        </r>
        <r>
          <rPr>
            <b/>
            <u/>
            <sz val="7"/>
            <color indexed="32"/>
            <rFont val="ＭＳ Ｐゴシック"/>
            <family val="3"/>
            <charset val="128"/>
          </rPr>
          <t xml:space="preserve"> </t>
        </r>
        <r>
          <rPr>
            <u/>
            <sz val="8"/>
            <color indexed="32"/>
            <rFont val="Meiryo UI"/>
            <family val="3"/>
            <charset val="128"/>
          </rPr>
          <t>箱：</t>
        </r>
        <r>
          <rPr>
            <u/>
            <sz val="8"/>
            <color indexed="81"/>
            <rFont val="Meiryo UI"/>
            <family val="3"/>
            <charset val="128"/>
          </rPr>
          <t>ＴＢ</t>
        </r>
        <r>
          <rPr>
            <b/>
            <u/>
            <sz val="7"/>
            <color indexed="32"/>
            <rFont val="ＭＳ Ｐゴシック"/>
            <family val="3"/>
            <charset val="128"/>
          </rPr>
          <t xml:space="preserve">                                                </t>
        </r>
        <r>
          <rPr>
            <b/>
            <sz val="12"/>
            <color indexed="32"/>
            <rFont val="ＭＳ Ｐゴシック"/>
            <family val="3"/>
            <charset val="128"/>
          </rPr>
          <t xml:space="preserve"> </t>
        </r>
        <r>
          <rPr>
            <b/>
            <sz val="7"/>
            <color indexed="32"/>
            <rFont val="ＭＳ Ｐゴシック"/>
            <family val="3"/>
            <charset val="128"/>
          </rPr>
          <t xml:space="preserve">
  </t>
        </r>
        <r>
          <rPr>
            <b/>
            <u/>
            <sz val="7"/>
            <color indexed="32"/>
            <rFont val="ＭＳ Ｐゴシック"/>
            <family val="3"/>
            <charset val="128"/>
          </rPr>
          <t xml:space="preserve"> </t>
        </r>
        <r>
          <rPr>
            <u/>
            <sz val="8"/>
            <color indexed="32"/>
            <rFont val="Meiryo UI"/>
            <family val="3"/>
            <charset val="128"/>
          </rPr>
          <t xml:space="preserve">材  質：  </t>
        </r>
        <r>
          <rPr>
            <u/>
            <sz val="8"/>
            <color indexed="81"/>
            <rFont val="Meiryo UI"/>
            <family val="3"/>
            <charset val="128"/>
          </rPr>
          <t>Ａ</t>
        </r>
        <r>
          <rPr>
            <u/>
            <sz val="8"/>
            <color indexed="32"/>
            <rFont val="Meiryo UI"/>
            <family val="3"/>
            <charset val="128"/>
          </rPr>
          <t>-黄銅製</t>
        </r>
        <r>
          <rPr>
            <b/>
            <u/>
            <sz val="7"/>
            <color indexed="32"/>
            <rFont val="ＭＳ Ｐゴシック"/>
            <family val="3"/>
            <charset val="128"/>
          </rPr>
          <t xml:space="preserve">       </t>
        </r>
        <r>
          <rPr>
            <u/>
            <sz val="6"/>
            <color indexed="32"/>
            <rFont val="ＭＳ Ｐゴシック"/>
            <family val="3"/>
            <charset val="128"/>
          </rPr>
          <t xml:space="preserve">  </t>
        </r>
        <r>
          <rPr>
            <u/>
            <sz val="7"/>
            <color indexed="32"/>
            <rFont val="ＭＳ Ｐゴシック"/>
            <family val="3"/>
            <charset val="128"/>
          </rPr>
          <t xml:space="preserve"> | </t>
        </r>
        <r>
          <rPr>
            <b/>
            <u/>
            <sz val="7"/>
            <color indexed="32"/>
            <rFont val="ＭＳ Ｐゴシック"/>
            <family val="3"/>
            <charset val="128"/>
          </rPr>
          <t xml:space="preserve">    </t>
        </r>
        <r>
          <rPr>
            <u/>
            <sz val="8"/>
            <color indexed="81"/>
            <rFont val="Meiryo UI"/>
            <family val="3"/>
            <charset val="128"/>
          </rPr>
          <t>Ｓ</t>
        </r>
        <r>
          <rPr>
            <u/>
            <sz val="8"/>
            <color indexed="32"/>
            <rFont val="Meiryo UI"/>
            <family val="3"/>
            <charset val="128"/>
          </rPr>
          <t>-ステンレス</t>
        </r>
        <r>
          <rPr>
            <b/>
            <u/>
            <sz val="7"/>
            <color indexed="32"/>
            <rFont val="ＭＳ Ｐゴシック"/>
            <family val="3"/>
            <charset val="128"/>
          </rPr>
          <t xml:space="preserve">     </t>
        </r>
        <r>
          <rPr>
            <b/>
            <u/>
            <sz val="1"/>
            <color indexed="32"/>
            <rFont val="ＭＳ Ｐゴシック"/>
            <family val="3"/>
            <charset val="128"/>
          </rPr>
          <t>.</t>
        </r>
        <r>
          <rPr>
            <b/>
            <sz val="7"/>
            <color indexed="32"/>
            <rFont val="ＭＳ Ｐゴシック"/>
            <family val="3"/>
            <charset val="128"/>
          </rPr>
          <t xml:space="preserve">
   </t>
        </r>
        <r>
          <rPr>
            <sz val="8"/>
            <color indexed="32"/>
            <rFont val="Meiryo UI"/>
            <family val="3"/>
            <charset val="128"/>
          </rPr>
          <t>箱形式：</t>
        </r>
        <r>
          <rPr>
            <sz val="8"/>
            <color indexed="81"/>
            <rFont val="Meiryo UI"/>
            <family val="3"/>
            <charset val="128"/>
          </rPr>
          <t>Ｆ</t>
        </r>
        <r>
          <rPr>
            <sz val="8"/>
            <color indexed="32"/>
            <rFont val="Meiryo UI"/>
            <family val="3"/>
            <charset val="128"/>
          </rPr>
          <t>-埋込形平板式</t>
        </r>
        <r>
          <rPr>
            <b/>
            <sz val="7"/>
            <color indexed="32"/>
            <rFont val="ＭＳ Ｐゴシック"/>
            <family val="3"/>
            <charset val="128"/>
          </rPr>
          <t xml:space="preserve">  </t>
        </r>
        <r>
          <rPr>
            <sz val="7"/>
            <color indexed="32"/>
            <rFont val="ＭＳ Ｐゴシック"/>
            <family val="3"/>
            <charset val="128"/>
          </rPr>
          <t xml:space="preserve">| </t>
        </r>
        <r>
          <rPr>
            <b/>
            <sz val="7"/>
            <color indexed="32"/>
            <rFont val="ＭＳ Ｐゴシック"/>
            <family val="3"/>
            <charset val="128"/>
          </rPr>
          <t xml:space="preserve"> </t>
        </r>
        <r>
          <rPr>
            <sz val="8"/>
            <color indexed="81"/>
            <rFont val="Meiryo UI"/>
            <family val="3"/>
            <charset val="128"/>
          </rPr>
          <t>Ｇ</t>
        </r>
        <r>
          <rPr>
            <sz val="8"/>
            <color indexed="32"/>
            <rFont val="Meiryo UI"/>
            <family val="3"/>
            <charset val="128"/>
          </rPr>
          <t>-埋込形折曲式</t>
        </r>
        <r>
          <rPr>
            <b/>
            <sz val="7"/>
            <color indexed="32"/>
            <rFont val="ＭＳ Ｐゴシック"/>
            <family val="3"/>
            <charset val="128"/>
          </rPr>
          <t xml:space="preserve">
</t>
        </r>
        <r>
          <rPr>
            <sz val="7"/>
            <color indexed="32"/>
            <rFont val="ＭＳ Ｐゴシック"/>
            <family val="3"/>
            <charset val="128"/>
          </rPr>
          <t xml:space="preserve">  </t>
        </r>
        <r>
          <rPr>
            <u/>
            <sz val="7"/>
            <color indexed="32"/>
            <rFont val="ＭＳ Ｐゴシック"/>
            <family val="3"/>
            <charset val="128"/>
          </rPr>
          <t xml:space="preserve">   </t>
        </r>
        <r>
          <rPr>
            <b/>
            <u/>
            <sz val="7"/>
            <color indexed="32"/>
            <rFont val="ＭＳ Ｐゴシック"/>
            <family val="3"/>
            <charset val="128"/>
          </rPr>
          <t xml:space="preserve">  </t>
        </r>
        <r>
          <rPr>
            <b/>
            <u/>
            <sz val="8"/>
            <color indexed="32"/>
            <rFont val="ＭＳ Ｐゴシック"/>
            <family val="3"/>
            <charset val="128"/>
          </rPr>
          <t xml:space="preserve">    </t>
        </r>
        <r>
          <rPr>
            <b/>
            <u/>
            <sz val="7"/>
            <color indexed="32"/>
            <rFont val="ＭＳ Ｐゴシック"/>
            <family val="3"/>
            <charset val="128"/>
          </rPr>
          <t xml:space="preserve">  </t>
        </r>
        <r>
          <rPr>
            <u/>
            <sz val="8"/>
            <color indexed="81"/>
            <rFont val="Meiryo UI"/>
            <family val="3"/>
            <charset val="128"/>
          </rPr>
          <t>Ｓ</t>
        </r>
        <r>
          <rPr>
            <u/>
            <sz val="8"/>
            <color indexed="32"/>
            <rFont val="Meiryo UI"/>
            <family val="3"/>
            <charset val="128"/>
          </rPr>
          <t xml:space="preserve">-露出形平板式  </t>
        </r>
        <r>
          <rPr>
            <b/>
            <u/>
            <sz val="7"/>
            <color indexed="32"/>
            <rFont val="ＭＳ Ｐゴシック"/>
            <family val="3"/>
            <charset val="128"/>
          </rPr>
          <t xml:space="preserve">  </t>
        </r>
        <r>
          <rPr>
            <u/>
            <sz val="7"/>
            <color indexed="32"/>
            <rFont val="ＭＳ Ｐゴシック"/>
            <family val="3"/>
            <charset val="128"/>
          </rPr>
          <t xml:space="preserve">| </t>
        </r>
        <r>
          <rPr>
            <b/>
            <u/>
            <sz val="7"/>
            <color indexed="32"/>
            <rFont val="ＭＳ Ｐゴシック"/>
            <family val="3"/>
            <charset val="128"/>
          </rPr>
          <t xml:space="preserve"> </t>
        </r>
        <r>
          <rPr>
            <u/>
            <sz val="8"/>
            <color indexed="81"/>
            <rFont val="Meiryo UI"/>
            <family val="3"/>
            <charset val="128"/>
          </rPr>
          <t>Ｔ</t>
        </r>
        <r>
          <rPr>
            <u/>
            <sz val="8"/>
            <color indexed="32"/>
            <rFont val="Meiryo UI"/>
            <family val="3"/>
            <charset val="128"/>
          </rPr>
          <t>-露出形折曲式</t>
        </r>
        <r>
          <rPr>
            <b/>
            <u/>
            <sz val="7"/>
            <color indexed="32"/>
            <rFont val="ＭＳ Ｐゴシック"/>
            <family val="3"/>
            <charset val="128"/>
          </rPr>
          <t xml:space="preserve">   </t>
        </r>
        <r>
          <rPr>
            <b/>
            <u/>
            <sz val="1"/>
            <color indexed="32"/>
            <rFont val="ＭＳ Ｐゴシック"/>
            <family val="3"/>
            <charset val="128"/>
          </rPr>
          <t>.</t>
        </r>
        <r>
          <rPr>
            <b/>
            <sz val="7"/>
            <color indexed="32"/>
            <rFont val="ＭＳ Ｐゴシック"/>
            <family val="3"/>
            <charset val="128"/>
          </rPr>
          <t xml:space="preserve">
   </t>
        </r>
        <r>
          <rPr>
            <sz val="8"/>
            <color indexed="32"/>
            <rFont val="Meiryo UI"/>
            <family val="3"/>
            <charset val="128"/>
          </rPr>
          <t>端子数：</t>
        </r>
        <r>
          <rPr>
            <sz val="8"/>
            <color indexed="81"/>
            <rFont val="Meiryo UI"/>
            <family val="3"/>
            <charset val="128"/>
          </rPr>
          <t>１</t>
        </r>
        <r>
          <rPr>
            <sz val="8"/>
            <color indexed="32"/>
            <rFont val="Meiryo UI"/>
            <family val="3"/>
            <charset val="128"/>
          </rPr>
          <t xml:space="preserve">-１組
           </t>
        </r>
        <r>
          <rPr>
            <sz val="8"/>
            <color indexed="81"/>
            <rFont val="Meiryo UI"/>
            <family val="3"/>
            <charset val="128"/>
          </rPr>
          <t>１Ａ</t>
        </r>
        <r>
          <rPr>
            <sz val="8"/>
            <color indexed="32"/>
            <rFont val="Meiryo UI"/>
            <family val="3"/>
            <charset val="128"/>
          </rPr>
          <t xml:space="preserve">-１組 ＋ 測定用１組
             </t>
        </r>
        <r>
          <rPr>
            <sz val="8"/>
            <color indexed="81"/>
            <rFont val="Meiryo UI"/>
            <family val="3"/>
            <charset val="128"/>
          </rPr>
          <t xml:space="preserve"> Ｙ</t>
        </r>
        <r>
          <rPr>
            <sz val="8"/>
            <color indexed="32"/>
            <rFont val="Meiryo UI"/>
            <family val="3"/>
            <charset val="128"/>
          </rPr>
          <t xml:space="preserve">-３方分岐１組
              </t>
        </r>
        <r>
          <rPr>
            <sz val="8"/>
            <color indexed="81"/>
            <rFont val="Meiryo UI"/>
            <family val="3"/>
            <charset val="128"/>
          </rPr>
          <t>２</t>
        </r>
        <r>
          <rPr>
            <sz val="8"/>
            <color indexed="32"/>
            <rFont val="Meiryo UI"/>
            <family val="3"/>
            <charset val="128"/>
          </rPr>
          <t xml:space="preserve">-２組
           </t>
        </r>
        <r>
          <rPr>
            <sz val="8"/>
            <color indexed="81"/>
            <rFont val="Meiryo UI"/>
            <family val="3"/>
            <charset val="128"/>
          </rPr>
          <t>２Ａ</t>
        </r>
        <r>
          <rPr>
            <sz val="8"/>
            <color indexed="32"/>
            <rFont val="Meiryo UI"/>
            <family val="3"/>
            <charset val="128"/>
          </rPr>
          <t>-２組 ＋ 測定用１組</t>
        </r>
        <r>
          <rPr>
            <b/>
            <sz val="7"/>
            <color indexed="9"/>
            <rFont val="ＭＳ 明朝"/>
            <family val="1"/>
            <charset val="128"/>
          </rPr>
          <t xml:space="preserve">
</t>
        </r>
        <r>
          <rPr>
            <b/>
            <sz val="7"/>
            <color indexed="9"/>
            <rFont val="ＭＳ Ｐ明朝"/>
            <family val="1"/>
            <charset val="128"/>
          </rPr>
          <t xml:space="preserve"> </t>
        </r>
      </text>
    </comment>
    <comment ref="BG20" authorId="0">
      <text>
        <r>
          <rPr>
            <b/>
            <sz val="9"/>
            <color indexed="81"/>
            <rFont val="ＭＳ Ｐゴシック"/>
            <family val="3"/>
            <charset val="128"/>
          </rPr>
          <t>　</t>
        </r>
        <r>
          <rPr>
            <b/>
            <sz val="11"/>
            <color indexed="37"/>
            <rFont val="ＭＳ Ｐ明朝"/>
            <family val="1"/>
            <charset val="128"/>
          </rPr>
          <t>TV.Ant.ポール高さ</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明朝"/>
            <family val="1"/>
            <charset val="128"/>
          </rPr>
          <t xml:space="preserve">    </t>
        </r>
        <r>
          <rPr>
            <sz val="8"/>
            <color indexed="32"/>
            <rFont val="Meiryo UI"/>
            <family val="3"/>
            <charset val="128"/>
          </rPr>
          <t>TV.Ant ポール長（自立型）</t>
        </r>
        <r>
          <rPr>
            <sz val="12"/>
            <color indexed="32"/>
            <rFont val="Meiryo UI"/>
            <family val="3"/>
            <charset val="128"/>
          </rPr>
          <t xml:space="preserve"> </t>
        </r>
        <r>
          <rPr>
            <sz val="8"/>
            <color indexed="32"/>
            <rFont val="Meiryo UI"/>
            <family val="3"/>
            <charset val="128"/>
          </rPr>
          <t xml:space="preserve">
   ＋ コンクリート基礎高(0.5 ｍ)</t>
        </r>
        <r>
          <rPr>
            <b/>
            <sz val="7"/>
            <color indexed="9"/>
            <rFont val="ＭＳ Ｐ明朝"/>
            <family val="1"/>
            <charset val="128"/>
          </rPr>
          <t xml:space="preserve">
</t>
        </r>
        <r>
          <rPr>
            <sz val="9"/>
            <color indexed="9"/>
            <rFont val="ＭＳ Ｐ明朝"/>
            <family val="1"/>
            <charset val="128"/>
          </rPr>
          <t xml:space="preserve">
</t>
        </r>
        <r>
          <rPr>
            <sz val="8"/>
            <color indexed="9"/>
            <rFont val="Meiryo UI"/>
            <family val="3"/>
            <charset val="128"/>
          </rPr>
          <t xml:space="preserve"> </t>
        </r>
        <r>
          <rPr>
            <sz val="8"/>
            <color indexed="81"/>
            <rFont val="Meiryo UI"/>
            <family val="3"/>
            <charset val="128"/>
          </rPr>
          <t xml:space="preserve">  自立型／外壁取付 の 選択は、
   テレビ共聴設備工事[基本設定]
   で"変更"して下さい。</t>
        </r>
        <r>
          <rPr>
            <b/>
            <sz val="7"/>
            <color indexed="9"/>
            <rFont val="ＭＳ Ｐ明朝"/>
            <family val="1"/>
            <charset val="128"/>
          </rPr>
          <t xml:space="preserve">
</t>
        </r>
        <r>
          <rPr>
            <b/>
            <sz val="7"/>
            <color indexed="9"/>
            <rFont val="Meiryo UI"/>
            <family val="3"/>
            <charset val="128"/>
          </rPr>
          <t xml:space="preserve"> </t>
        </r>
      </text>
    </comment>
    <comment ref="D22" authorId="0">
      <text>
        <r>
          <rPr>
            <b/>
            <sz val="9"/>
            <color indexed="81"/>
            <rFont val="ＭＳ Ｐ明朝"/>
            <family val="1"/>
            <charset val="128"/>
          </rPr>
          <t xml:space="preserve">      </t>
        </r>
        <r>
          <rPr>
            <b/>
            <sz val="11"/>
            <color indexed="37"/>
            <rFont val="ＭＳ Ｐ明朝"/>
            <family val="1"/>
            <charset val="128"/>
          </rPr>
          <t>接地極</t>
        </r>
        <r>
          <rPr>
            <b/>
            <sz val="18"/>
            <color indexed="32"/>
            <rFont val="ＭＳ Ｐ明朝"/>
            <family val="1"/>
            <charset val="128"/>
          </rPr>
          <t xml:space="preserve"> </t>
        </r>
        <r>
          <rPr>
            <b/>
            <sz val="9"/>
            <color indexed="81"/>
            <rFont val="ＭＳ Ｐゴシック"/>
            <family val="3"/>
            <charset val="128"/>
          </rPr>
          <t xml:space="preserve">
</t>
        </r>
        <r>
          <rPr>
            <sz val="7.5"/>
            <color indexed="32"/>
            <rFont val="Meiryo UI"/>
            <family val="3"/>
            <charset val="128"/>
          </rPr>
          <t xml:space="preserve">   </t>
        </r>
        <r>
          <rPr>
            <b/>
            <sz val="7.5"/>
            <color indexed="81"/>
            <rFont val="Meiryo UI"/>
            <family val="3"/>
            <charset val="128"/>
          </rPr>
          <t>1</t>
        </r>
        <r>
          <rPr>
            <sz val="7.5"/>
            <color indexed="81"/>
            <rFont val="Meiryo UI"/>
            <family val="3"/>
            <charset val="128"/>
          </rPr>
          <t>.</t>
        </r>
        <r>
          <rPr>
            <sz val="7.5"/>
            <color indexed="32"/>
            <rFont val="Meiryo UI"/>
            <family val="3"/>
            <charset val="128"/>
          </rPr>
          <t xml:space="preserve"> 接地極は、各引下げ導線に１個以上接続する。                       </t>
        </r>
        <r>
          <rPr>
            <b/>
            <sz val="7.5"/>
            <color indexed="81"/>
            <rFont val="Meiryo UI"/>
            <family val="3"/>
            <charset val="128"/>
          </rPr>
          <t>5</t>
        </r>
        <r>
          <rPr>
            <sz val="7.5"/>
            <color indexed="81"/>
            <rFont val="Meiryo UI"/>
            <family val="3"/>
            <charset val="128"/>
          </rPr>
          <t>.</t>
        </r>
        <r>
          <rPr>
            <sz val="7.5"/>
            <color indexed="32"/>
            <rFont val="Meiryo UI"/>
            <family val="3"/>
            <charset val="128"/>
          </rPr>
          <t xml:space="preserve"> 接地極又は埋設地線は、なるべく 1.5ｍ以上離す。</t>
        </r>
        <r>
          <rPr>
            <sz val="12"/>
            <color indexed="32"/>
            <rFont val="Meiryo UI"/>
            <family val="3"/>
            <charset val="128"/>
          </rPr>
          <t xml:space="preserve"> </t>
        </r>
        <r>
          <rPr>
            <sz val="7.5"/>
            <color indexed="32"/>
            <rFont val="Meiryo UI"/>
            <family val="3"/>
            <charset val="128"/>
          </rPr>
          <t xml:space="preserve">
   </t>
        </r>
        <r>
          <rPr>
            <b/>
            <sz val="7.5"/>
            <color indexed="81"/>
            <rFont val="Meiryo UI"/>
            <family val="3"/>
            <charset val="128"/>
          </rPr>
          <t>2</t>
        </r>
        <r>
          <rPr>
            <sz val="7.5"/>
            <color indexed="81"/>
            <rFont val="Meiryo UI"/>
            <family val="3"/>
            <charset val="128"/>
          </rPr>
          <t xml:space="preserve">. </t>
        </r>
        <r>
          <rPr>
            <sz val="7.5"/>
            <color indexed="32"/>
            <rFont val="Meiryo UI"/>
            <family val="3"/>
            <charset val="128"/>
          </rPr>
          <t xml:space="preserve">接地極は、長さ 1.5ｍ以上、外径12mm以上の溶融亜鉛         </t>
        </r>
        <r>
          <rPr>
            <b/>
            <sz val="7.5"/>
            <color indexed="81"/>
            <rFont val="Meiryo UI"/>
            <family val="3"/>
            <charset val="128"/>
          </rPr>
          <t>6</t>
        </r>
        <r>
          <rPr>
            <sz val="7.5"/>
            <color indexed="81"/>
            <rFont val="Meiryo UI"/>
            <family val="3"/>
            <charset val="128"/>
          </rPr>
          <t xml:space="preserve">. </t>
        </r>
        <r>
          <rPr>
            <sz val="7.5"/>
            <color indexed="32"/>
            <rFont val="Meiryo UI"/>
            <family val="3"/>
            <charset val="128"/>
          </rPr>
          <t xml:space="preserve">非保護物の基礎の接地抵抗値が５Ω以下の場合、接地極
       めっき銅棒、銅被鋼棒、銅棒等又は面積が片面 0.35[㎡]              を省略してもよい。
       以上の銅板（厚さ 1.4mm以上）等を使用する。                    </t>
        </r>
        <r>
          <rPr>
            <b/>
            <sz val="7.5"/>
            <color indexed="81"/>
            <rFont val="Meiryo UI"/>
            <family val="3"/>
            <charset val="128"/>
          </rPr>
          <t>7</t>
        </r>
        <r>
          <rPr>
            <sz val="7.5"/>
            <color indexed="81"/>
            <rFont val="Meiryo UI"/>
            <family val="3"/>
            <charset val="128"/>
          </rPr>
          <t>.</t>
        </r>
        <r>
          <rPr>
            <sz val="7.5"/>
            <color indexed="32"/>
            <rFont val="Meiryo UI"/>
            <family val="3"/>
            <charset val="128"/>
          </rPr>
          <t xml:space="preserve"> 建築物の地下部分(くい等を除く)の表面積Ａ[㎡]が
   </t>
        </r>
        <r>
          <rPr>
            <b/>
            <sz val="7.5"/>
            <color indexed="81"/>
            <rFont val="Meiryo UI"/>
            <family val="3"/>
            <charset val="128"/>
          </rPr>
          <t>3</t>
        </r>
        <r>
          <rPr>
            <sz val="7.5"/>
            <color indexed="81"/>
            <rFont val="Meiryo UI"/>
            <family val="3"/>
            <charset val="128"/>
          </rPr>
          <t>.</t>
        </r>
        <r>
          <rPr>
            <sz val="7.5"/>
            <color indexed="32"/>
            <rFont val="Meiryo UI"/>
            <family val="3"/>
            <charset val="128"/>
          </rPr>
          <t xml:space="preserve"> 接地極は、地下 0.5ｍ 以上の深さに埋設する。                           Ａ≧0.0576×ρ2場合は、接地極を省略できる。
   </t>
        </r>
        <r>
          <rPr>
            <b/>
            <sz val="7.5"/>
            <color indexed="81"/>
            <rFont val="Meiryo UI"/>
            <family val="3"/>
            <charset val="128"/>
          </rPr>
          <t>4</t>
        </r>
        <r>
          <rPr>
            <sz val="7.5"/>
            <color indexed="81"/>
            <rFont val="Meiryo UI"/>
            <family val="3"/>
            <charset val="128"/>
          </rPr>
          <t xml:space="preserve">. </t>
        </r>
        <r>
          <rPr>
            <sz val="7.5"/>
            <color indexed="32"/>
            <rFont val="Meiryo UI"/>
            <family val="3"/>
            <charset val="128"/>
          </rPr>
          <t>総合接地抵抗は、10 Ω 以下とする。なお各引下げ導線                    ρ：大地抵抗率[Ω・ｍ]
       の単独接地抵抗は 50 Ω 以下とする。</t>
        </r>
        <r>
          <rPr>
            <b/>
            <sz val="7"/>
            <color indexed="9"/>
            <rFont val="ＭＳ 明朝"/>
            <family val="1"/>
            <charset val="128"/>
          </rPr>
          <t xml:space="preserve"> 
 </t>
        </r>
      </text>
    </comment>
    <comment ref="AS22" authorId="0">
      <text>
        <r>
          <rPr>
            <b/>
            <sz val="9"/>
            <color indexed="81"/>
            <rFont val="ＭＳ Ｐゴシック"/>
            <family val="3"/>
            <charset val="128"/>
          </rPr>
          <t xml:space="preserve">　         </t>
        </r>
        <r>
          <rPr>
            <b/>
            <sz val="11"/>
            <color indexed="37"/>
            <rFont val="ＭＳ Ｐ明朝"/>
            <family val="1"/>
            <charset val="128"/>
          </rPr>
          <t>水切端子</t>
        </r>
        <r>
          <rPr>
            <b/>
            <sz val="16"/>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水切-1：接続端子 水切型 パラペット</t>
        </r>
        <r>
          <rPr>
            <sz val="12"/>
            <color indexed="32"/>
            <rFont val="Meiryo UI"/>
            <family val="3"/>
            <charset val="128"/>
          </rPr>
          <t>　</t>
        </r>
        <r>
          <rPr>
            <sz val="8"/>
            <color indexed="32"/>
            <rFont val="Meiryo UI"/>
            <family val="3"/>
            <charset val="128"/>
          </rPr>
          <t xml:space="preserve">
   水切-2：接続端子 水切型 ツバ付</t>
        </r>
        <r>
          <rPr>
            <b/>
            <sz val="7"/>
            <color indexed="9"/>
            <rFont val="ＭＳ 明朝"/>
            <family val="1"/>
            <charset val="128"/>
          </rPr>
          <t xml:space="preserve">
</t>
        </r>
        <r>
          <rPr>
            <b/>
            <sz val="7"/>
            <color indexed="9"/>
            <rFont val="Meiryo UI"/>
            <family val="3"/>
            <charset val="128"/>
          </rPr>
          <t xml:space="preserve"> </t>
        </r>
      </text>
    </comment>
    <comment ref="C64"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配管配線材料</t>
        </r>
        <r>
          <rPr>
            <b/>
            <sz val="16"/>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小計金額の120％を計上</t>
        </r>
        <r>
          <rPr>
            <sz val="10"/>
            <color indexed="9"/>
            <rFont val="Meiryo UI"/>
            <family val="3"/>
            <charset val="128"/>
          </rPr>
          <t xml:space="preserve"> 
</t>
        </r>
      </text>
    </comment>
    <comment ref="AK64" authorId="0">
      <text>
        <r>
          <rPr>
            <b/>
            <sz val="9"/>
            <color indexed="81"/>
            <rFont val="ＭＳ Ｐゴシック"/>
            <family val="3"/>
            <charset val="128"/>
          </rPr>
          <t xml:space="preserve">　 </t>
        </r>
        <r>
          <rPr>
            <b/>
            <sz val="11"/>
            <color indexed="37"/>
            <rFont val="ＭＳ Ｐ明朝"/>
            <family val="1"/>
            <charset val="128"/>
          </rPr>
          <t>実工数電工単価（円）</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シート"原価"： </t>
        </r>
        <r>
          <rPr>
            <sz val="8"/>
            <color indexed="81"/>
            <rFont val="Meiryo UI"/>
            <family val="3"/>
            <charset val="128"/>
          </rPr>
          <t xml:space="preserve">電工単価 </t>
        </r>
        <r>
          <rPr>
            <sz val="8"/>
            <color indexed="32"/>
            <rFont val="Meiryo UI"/>
            <family val="3"/>
            <charset val="128"/>
          </rPr>
          <t>参照</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 xml:space="preserve">    標準電工単価：</t>
        </r>
        <r>
          <rPr>
            <b/>
            <sz val="9"/>
            <color indexed="81"/>
            <rFont val="Times New Roman"/>
            <family val="1"/>
          </rPr>
          <t>6,000,-</t>
        </r>
        <r>
          <rPr>
            <sz val="8"/>
            <color indexed="32"/>
            <rFont val="Meiryo UI"/>
            <family val="3"/>
            <charset val="128"/>
          </rPr>
          <t>(円)</t>
        </r>
      </text>
    </comment>
    <comment ref="C65"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機　器　類</t>
        </r>
        <r>
          <rPr>
            <b/>
            <sz val="16"/>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小計金額の110％を計上</t>
        </r>
        <r>
          <rPr>
            <sz val="10"/>
            <color indexed="32"/>
            <rFont val="Meiryo UI"/>
            <family val="3"/>
            <charset val="128"/>
          </rPr>
          <t xml:space="preserve"> </t>
        </r>
        <r>
          <rPr>
            <sz val="10"/>
            <color indexed="9"/>
            <rFont val="Meiryo UI"/>
            <family val="3"/>
            <charset val="128"/>
          </rPr>
          <t xml:space="preserve">
</t>
        </r>
      </text>
    </comment>
    <comment ref="C66"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電 工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小計金額の115％を計上</t>
        </r>
        <r>
          <rPr>
            <sz val="10"/>
            <color indexed="32"/>
            <rFont val="Meiryo UI"/>
            <family val="3"/>
            <charset val="128"/>
          </rPr>
          <t xml:space="preserve"> </t>
        </r>
        <r>
          <rPr>
            <sz val="10"/>
            <color indexed="9"/>
            <rFont val="Meiryo UI"/>
            <family val="3"/>
            <charset val="128"/>
          </rPr>
          <t xml:space="preserve">
</t>
        </r>
      </text>
    </comment>
    <comment ref="AK66" authorId="0">
      <text>
        <r>
          <rPr>
            <b/>
            <sz val="9"/>
            <color indexed="81"/>
            <rFont val="ＭＳ Ｐゴシック"/>
            <family val="3"/>
            <charset val="128"/>
          </rPr>
          <t>　</t>
        </r>
        <r>
          <rPr>
            <b/>
            <sz val="11"/>
            <color indexed="37"/>
            <rFont val="ＭＳ Ｐ明朝"/>
            <family val="1"/>
            <charset val="128"/>
          </rPr>
          <t>単価設定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単価-1：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単価-2,3,4：ユーザ登録</t>
        </r>
      </text>
    </comment>
    <comment ref="AK67" authorId="0">
      <text>
        <r>
          <rPr>
            <b/>
            <sz val="9"/>
            <color indexed="81"/>
            <rFont val="ＭＳ Ｐゴシック"/>
            <family val="3"/>
            <charset val="128"/>
          </rPr>
          <t>　</t>
        </r>
        <r>
          <rPr>
            <b/>
            <sz val="11"/>
            <color indexed="37"/>
            <rFont val="ＭＳ Ｐ明朝"/>
            <family val="1"/>
            <charset val="128"/>
          </rPr>
          <t>歩掛設定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歩掛-1：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歩掛-2,3：ユーザ登録</t>
        </r>
      </text>
    </comment>
  </commentList>
</comments>
</file>

<file path=xl/comments4.xml><?xml version="1.0" encoding="utf-8"?>
<comments xmlns="http://schemas.openxmlformats.org/spreadsheetml/2006/main">
  <authors>
    <author>ESE Service</author>
  </authors>
  <commentList>
    <comment ref="AQ6" authorId="0">
      <text>
        <r>
          <rPr>
            <b/>
            <sz val="9"/>
            <color indexed="81"/>
            <rFont val="ＭＳ Ｐゴシック"/>
            <family val="3"/>
            <charset val="128"/>
          </rPr>
          <t xml:space="preserve">           </t>
        </r>
        <r>
          <rPr>
            <b/>
            <sz val="11"/>
            <color indexed="37"/>
            <rFont val="ＭＳ Ｐ明朝"/>
            <family val="1"/>
            <charset val="128"/>
          </rPr>
          <t>天井内配線の位置</t>
        </r>
        <r>
          <rPr>
            <b/>
            <sz val="18"/>
            <color indexed="37"/>
            <rFont val="ＭＳ Ｐゴシック"/>
            <family val="3"/>
            <charset val="128"/>
          </rPr>
          <t xml:space="preserve"> </t>
        </r>
        <r>
          <rPr>
            <b/>
            <sz val="12"/>
            <color indexed="81"/>
            <rFont val="ＭＳ Ｐゴシック"/>
            <family val="3"/>
            <charset val="128"/>
          </rPr>
          <t xml:space="preserve">
</t>
        </r>
        <r>
          <rPr>
            <sz val="12"/>
            <color indexed="9"/>
            <rFont val="ＭＳ ゴシック"/>
            <family val="3"/>
            <charset val="128"/>
          </rPr>
          <t xml:space="preserve">                  </t>
        </r>
        <r>
          <rPr>
            <b/>
            <vertAlign val="subscript"/>
            <sz val="12"/>
            <color indexed="32"/>
            <rFont val="Meiryo UI"/>
            <family val="3"/>
            <charset val="128"/>
          </rPr>
          <t xml:space="preserve">▽FL </t>
        </r>
        <r>
          <rPr>
            <sz val="12"/>
            <color indexed="9"/>
            <rFont val="ＭＳ ゴシック"/>
            <family val="3"/>
            <charset val="128"/>
          </rPr>
          <t xml:space="preserve">
</t>
        </r>
        <r>
          <rPr>
            <sz val="9"/>
            <color indexed="9"/>
            <rFont val="ＭＳ ゴシック"/>
            <family val="3"/>
            <charset val="128"/>
          </rPr>
          <t xml:space="preserve">  </t>
        </r>
        <r>
          <rPr>
            <sz val="9"/>
            <color indexed="32"/>
            <rFont val="Meiryo UI"/>
            <family val="3"/>
            <charset val="128"/>
          </rPr>
          <t>▀▀▀▀▀▀▀▀▀▀▀▀▀▀▀▀▀▀▀</t>
        </r>
        <r>
          <rPr>
            <sz val="9"/>
            <color indexed="9"/>
            <rFont val="ＭＳ ゴシック"/>
            <family val="3"/>
            <charset val="128"/>
          </rPr>
          <t xml:space="preserve">
  </t>
        </r>
        <r>
          <rPr>
            <sz val="9"/>
            <color indexed="32"/>
            <rFont val="ＭＳ ゴシック"/>
            <family val="3"/>
            <charset val="128"/>
          </rPr>
          <t xml:space="preserve">                     </t>
        </r>
        <r>
          <rPr>
            <sz val="9"/>
            <color indexed="32"/>
            <rFont val="Meiryo UI"/>
            <family val="3"/>
            <charset val="128"/>
          </rPr>
          <t>スラブ</t>
        </r>
        <r>
          <rPr>
            <sz val="9"/>
            <color indexed="81"/>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xml:space="preserve">    </t>
        </r>
        <r>
          <rPr>
            <sz val="9"/>
            <color indexed="32"/>
            <rFont val="Meiryo UI"/>
            <family val="3"/>
            <charset val="128"/>
          </rPr>
          <t>ケーブル配線</t>
        </r>
        <r>
          <rPr>
            <sz val="6"/>
            <color indexed="81"/>
            <rFont val="ＭＳ ゴシック"/>
            <family val="3"/>
            <charset val="128"/>
          </rPr>
          <t xml:space="preserve"> </t>
        </r>
        <r>
          <rPr>
            <sz val="9"/>
            <color indexed="81"/>
            <rFont val="ＭＳ ゴシック"/>
            <family val="3"/>
            <charset val="128"/>
          </rPr>
          <t xml:space="preserve">   │</t>
        </r>
        <r>
          <rPr>
            <sz val="10"/>
            <color indexed="32"/>
            <rFont val="Meiryo UI"/>
            <family val="3"/>
            <charset val="128"/>
          </rPr>
          <t>0.1m</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 ▀▀▀▀▀▀ ▀ ▀▀▀</t>
        </r>
        <r>
          <rPr>
            <sz val="9"/>
            <color indexed="32"/>
            <rFont val="ＭＳ ゴシック"/>
            <family val="3"/>
            <charset val="128"/>
          </rPr>
          <t xml:space="preserve"> ┴</t>
        </r>
        <r>
          <rPr>
            <sz val="9"/>
            <color indexed="32"/>
            <rFont val="Meiryo UI"/>
            <family val="3"/>
            <charset val="128"/>
          </rPr>
          <t>(スラブ下)</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t>
        </r>
        <r>
          <rPr>
            <sz val="9"/>
            <color indexed="81"/>
            <rFont val="ＭＳ ゴシック"/>
            <family val="3"/>
            <charset val="128"/>
          </rPr>
          <t xml:space="preserve">
</t>
        </r>
        <r>
          <rPr>
            <sz val="9"/>
            <color indexed="32"/>
            <rFont val="ＭＳ ゴシック"/>
            <family val="3"/>
            <charset val="128"/>
          </rPr>
          <t xml:space="preserve">  ┬┬┬┬┬┬┬┬┬┬┬┬┬┬┬</t>
        </r>
        <r>
          <rPr>
            <sz val="9"/>
            <color indexed="81"/>
            <rFont val="ＭＳ ゴシック"/>
            <family val="3"/>
            <charset val="128"/>
          </rPr>
          <t xml:space="preserve">
  </t>
        </r>
        <r>
          <rPr>
            <sz val="9"/>
            <color indexed="32"/>
            <rFont val="ＭＳ ゴシック"/>
            <family val="3"/>
            <charset val="128"/>
          </rPr>
          <t>╧╧╧╧╧╧╧╧╧╧╧╧╧╧╧╧╧╧╧╧╧╧╧╧╧╧╧╧╧╧ (天井材)</t>
        </r>
        <r>
          <rPr>
            <sz val="9"/>
            <color indexed="81"/>
            <rFont val="ＭＳ ゴシック"/>
            <family val="3"/>
            <charset val="128"/>
          </rPr>
          <t xml:space="preserve">
　       　   </t>
        </r>
        <r>
          <rPr>
            <b/>
            <sz val="8"/>
            <color indexed="32"/>
            <rFont val="Meiryo UI"/>
            <family val="3"/>
            <charset val="128"/>
          </rPr>
          <t xml:space="preserve">△Ch
 </t>
        </r>
      </text>
    </comment>
    <comment ref="AQ8"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梁巻き配線長［ｍ］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t>
        </r>
        <r>
          <rPr>
            <sz val="8"/>
            <color indexed="32"/>
            <rFont val="ＭＳ Ｐ明朝"/>
            <family val="1"/>
            <charset val="128"/>
          </rPr>
          <t xml:space="preserve"> </t>
        </r>
        <r>
          <rPr>
            <sz val="8"/>
            <color indexed="32"/>
            <rFont val="Meiryo UI"/>
            <family val="3"/>
            <charset val="128"/>
          </rPr>
          <t>梁成="０" にすると梁巻き配線長は、</t>
        </r>
        <r>
          <rPr>
            <sz val="12"/>
            <color indexed="32"/>
            <rFont val="Meiryo UI"/>
            <family val="3"/>
            <charset val="128"/>
          </rPr>
          <t xml:space="preserve"> </t>
        </r>
        <r>
          <rPr>
            <sz val="8"/>
            <color indexed="32"/>
            <rFont val="Meiryo UI"/>
            <family val="3"/>
            <charset val="128"/>
          </rPr>
          <t xml:space="preserve">
　 計上されません。
 </t>
        </r>
      </text>
    </comment>
    <comment ref="BP11" authorId="0">
      <text>
        <r>
          <rPr>
            <b/>
            <sz val="9"/>
            <color indexed="81"/>
            <rFont val="ＭＳ Ｐゴシック"/>
            <family val="3"/>
            <charset val="128"/>
          </rPr>
          <t xml:space="preserve">　　　　　　　　 </t>
        </r>
        <r>
          <rPr>
            <b/>
            <sz val="12"/>
            <color indexed="37"/>
            <rFont val="ＭＳ Ｐ明朝"/>
            <family val="1"/>
            <charset val="128"/>
          </rPr>
          <t>端子盤の設置場所入力</t>
        </r>
        <r>
          <rPr>
            <b/>
            <sz val="18"/>
            <color indexed="81"/>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t>
        </r>
        <r>
          <rPr>
            <sz val="9"/>
            <color indexed="32"/>
            <rFont val="Meiryo UI"/>
            <family val="3"/>
            <charset val="128"/>
          </rPr>
          <t>の中から端子盤位置の番号を選択 して下さい。</t>
        </r>
        <r>
          <rPr>
            <sz val="12"/>
            <color indexed="32"/>
            <rFont val="Meiryo UI"/>
            <family val="3"/>
            <charset val="128"/>
          </rPr>
          <t>　</t>
        </r>
        <r>
          <rPr>
            <sz val="9"/>
            <color indexed="32"/>
            <rFont val="Meiryo UI"/>
            <family val="3"/>
            <charset val="128"/>
          </rPr>
          <t xml:space="preserve">
　　　　標準設定値は"</t>
        </r>
        <r>
          <rPr>
            <b/>
            <sz val="10"/>
            <color indexed="81"/>
            <rFont val="Meiryo UI"/>
            <family val="3"/>
            <charset val="128"/>
          </rPr>
          <t>Ⓖ</t>
        </r>
        <r>
          <rPr>
            <sz val="9"/>
            <color indexed="32"/>
            <rFont val="Meiryo UI"/>
            <family val="3"/>
            <charset val="128"/>
          </rPr>
          <t>"です。</t>
        </r>
        <r>
          <rPr>
            <sz val="11"/>
            <color indexed="9"/>
            <rFont val="Meiryo UI"/>
            <family val="3"/>
            <charset val="128"/>
          </rPr>
          <t xml:space="preserve">
</t>
        </r>
        <r>
          <rPr>
            <sz val="10"/>
            <color indexed="35"/>
            <rFont val="Meiryo UI"/>
            <family val="3"/>
            <charset val="128"/>
          </rPr>
          <t xml:space="preserve"> </t>
        </r>
        <r>
          <rPr>
            <sz val="9"/>
            <color indexed="81"/>
            <rFont val="ＭＳ ゴシック"/>
            <family val="3"/>
            <charset val="128"/>
          </rPr>
          <t xml:space="preserve">   </t>
        </r>
        <r>
          <rPr>
            <b/>
            <sz val="10"/>
            <color indexed="32"/>
            <rFont val="ＭＳ Ｐゴシック"/>
            <family val="3"/>
            <charset val="128"/>
          </rPr>
          <t>Ly</t>
        </r>
        <r>
          <rPr>
            <b/>
            <sz val="3"/>
            <color indexed="32"/>
            <rFont val="ＭＳ Ｐゴシック"/>
            <family val="3"/>
            <charset val="128"/>
          </rPr>
          <t xml:space="preserve"> </t>
        </r>
        <r>
          <rPr>
            <sz val="9"/>
            <color indexed="81"/>
            <rFont val="Meiryo UI"/>
            <family val="3"/>
            <charset val="128"/>
          </rPr>
          <t xml:space="preserve">
</t>
        </r>
        <r>
          <rPr>
            <sz val="9"/>
            <color indexed="81"/>
            <rFont val="ＭＳ ゴシック"/>
            <family val="3"/>
            <charset val="128"/>
          </rPr>
          <t xml:space="preserve">   </t>
        </r>
        <r>
          <rPr>
            <sz val="8"/>
            <color indexed="81"/>
            <rFont val="ＭＳ ゴシック"/>
            <family val="3"/>
            <charset val="128"/>
          </rPr>
          <t xml:space="preserve"> </t>
        </r>
        <r>
          <rPr>
            <b/>
            <sz val="9"/>
            <color indexed="39"/>
            <rFont val="ＭＳ ゴシック"/>
            <family val="3"/>
            <charset val="128"/>
          </rPr>
          <t>↑</t>
        </r>
        <r>
          <rPr>
            <sz val="9"/>
            <color indexed="81"/>
            <rFont val="ＭＳ ゴシック"/>
            <family val="3"/>
            <charset val="128"/>
          </rPr>
          <t>■━━━━■━━━━■━━━━■━━━━■
　　　┃　　　　　　　　　　　　　　　　　　　┃
　　　■        ■　　　  ■　　　　■        ■
　　　┃   　　　　　　　　　　　　　　　　   ┃
　　　</t>
        </r>
        <r>
          <rPr>
            <sz val="9"/>
            <color indexed="81"/>
            <rFont val="Meiryo UI"/>
            <family val="3"/>
            <charset val="128"/>
          </rPr>
          <t>Ⓖ</t>
        </r>
        <r>
          <rPr>
            <sz val="9"/>
            <color indexed="81"/>
            <rFont val="ＭＳ ゴシック"/>
            <family val="3"/>
            <charset val="128"/>
          </rPr>
          <t xml:space="preserve">      　</t>
        </r>
        <r>
          <rPr>
            <sz val="9"/>
            <color indexed="81"/>
            <rFont val="Meiryo UI"/>
            <family val="3"/>
            <charset val="128"/>
          </rPr>
          <t>Ⓗ</t>
        </r>
        <r>
          <rPr>
            <sz val="9"/>
            <color indexed="81"/>
            <rFont val="ＭＳ ゴシック"/>
            <family val="3"/>
            <charset val="128"/>
          </rPr>
          <t>　　　　</t>
        </r>
        <r>
          <rPr>
            <sz val="9"/>
            <color indexed="81"/>
            <rFont val="Meiryo UI"/>
            <family val="3"/>
            <charset val="128"/>
          </rPr>
          <t>Ⓘ</t>
        </r>
        <r>
          <rPr>
            <sz val="9"/>
            <color indexed="81"/>
            <rFont val="ＭＳ ゴシック"/>
            <family val="3"/>
            <charset val="128"/>
          </rPr>
          <t xml:space="preserve">　　　　■　　 　 ■
　　　┃　　　　　　　　　　　　　　　 </t>
        </r>
        <r>
          <rPr>
            <sz val="9"/>
            <color indexed="10"/>
            <rFont val="ＭＳ ゴシック"/>
            <family val="3"/>
            <charset val="128"/>
          </rPr>
          <t>　</t>
        </r>
        <r>
          <rPr>
            <sz val="9"/>
            <color indexed="81"/>
            <rFont val="ＭＳ ゴシック"/>
            <family val="3"/>
            <charset val="128"/>
          </rPr>
          <t>　 　┃ 
　　　</t>
        </r>
        <r>
          <rPr>
            <sz val="9"/>
            <color indexed="81"/>
            <rFont val="Meiryo UI"/>
            <family val="3"/>
            <charset val="128"/>
          </rPr>
          <t>Ⓓ</t>
        </r>
        <r>
          <rPr>
            <sz val="9"/>
            <color indexed="81"/>
            <rFont val="ＭＳ ゴシック"/>
            <family val="3"/>
            <charset val="128"/>
          </rPr>
          <t xml:space="preserve">      　</t>
        </r>
        <r>
          <rPr>
            <sz val="9"/>
            <color indexed="81"/>
            <rFont val="Meiryo UI"/>
            <family val="3"/>
            <charset val="128"/>
          </rPr>
          <t>Ⓔ</t>
        </r>
        <r>
          <rPr>
            <sz val="9"/>
            <color indexed="81"/>
            <rFont val="ＭＳ ゴシック"/>
            <family val="3"/>
            <charset val="128"/>
          </rPr>
          <t>　　　　</t>
        </r>
        <r>
          <rPr>
            <sz val="9"/>
            <color indexed="81"/>
            <rFont val="Meiryo UI"/>
            <family val="3"/>
            <charset val="128"/>
          </rPr>
          <t>Ⓕ</t>
        </r>
        <r>
          <rPr>
            <sz val="9"/>
            <color indexed="81"/>
            <rFont val="ＭＳ ゴシック"/>
            <family val="3"/>
            <charset val="128"/>
          </rPr>
          <t>　　　　■　</t>
        </r>
        <r>
          <rPr>
            <sz val="9"/>
            <color indexed="10"/>
            <rFont val="ＭＳ ゴシック"/>
            <family val="3"/>
            <charset val="128"/>
          </rPr>
          <t>　</t>
        </r>
        <r>
          <rPr>
            <sz val="9"/>
            <color indexed="81"/>
            <rFont val="ＭＳ ゴシック"/>
            <family val="3"/>
            <charset val="128"/>
          </rPr>
          <t xml:space="preserve"> 　 ■
　　　┃　　　　　　　　　　　　　　　　　　　┃ 
　    </t>
        </r>
        <r>
          <rPr>
            <sz val="9"/>
            <color indexed="81"/>
            <rFont val="Meiryo UI"/>
            <family val="3"/>
            <charset val="128"/>
          </rPr>
          <t>Ⓐ</t>
        </r>
        <r>
          <rPr>
            <sz val="9"/>
            <color indexed="81"/>
            <rFont val="ＭＳ ゴシック"/>
            <family val="3"/>
            <charset val="128"/>
          </rPr>
          <t>━━━━</t>
        </r>
        <r>
          <rPr>
            <sz val="9"/>
            <color indexed="81"/>
            <rFont val="Meiryo UI"/>
            <family val="3"/>
            <charset val="128"/>
          </rPr>
          <t>Ⓑ</t>
        </r>
        <r>
          <rPr>
            <sz val="9"/>
            <color indexed="81"/>
            <rFont val="ＭＳ ゴシック"/>
            <family val="3"/>
            <charset val="128"/>
          </rPr>
          <t>━━━━</t>
        </r>
        <r>
          <rPr>
            <sz val="9"/>
            <color indexed="81"/>
            <rFont val="Meiryo UI"/>
            <family val="3"/>
            <charset val="128"/>
          </rPr>
          <t>Ⓒ</t>
        </r>
        <r>
          <rPr>
            <sz val="9"/>
            <color indexed="81"/>
            <rFont val="ＭＳ ゴシック"/>
            <family val="3"/>
            <charset val="128"/>
          </rPr>
          <t xml:space="preserve">━━━━■━━━━■ 
                                       </t>
        </r>
        <r>
          <rPr>
            <sz val="9"/>
            <color indexed="35"/>
            <rFont val="ＭＳ ゴシック"/>
            <family val="3"/>
            <charset val="128"/>
          </rPr>
          <t xml:space="preserve">　　   </t>
        </r>
        <r>
          <rPr>
            <b/>
            <sz val="10"/>
            <color indexed="39"/>
            <rFont val="ＭＳ ゴシック"/>
            <family val="3"/>
            <charset val="128"/>
          </rPr>
          <t>→ Lx</t>
        </r>
        <r>
          <rPr>
            <sz val="9"/>
            <color indexed="35"/>
            <rFont val="ＭＳ ゴシック"/>
            <family val="3"/>
            <charset val="128"/>
          </rPr>
          <t xml:space="preserve">
 </t>
        </r>
      </text>
    </comment>
    <comment ref="AL20"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総合端子盤内容</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この階の第１番目端子盤</t>
        </r>
        <r>
          <rPr>
            <sz val="12"/>
            <color indexed="81"/>
            <rFont val="Meiryo UI"/>
            <family val="3"/>
            <charset val="128"/>
          </rPr>
          <t xml:space="preserve"> </t>
        </r>
        <r>
          <rPr>
            <sz val="8"/>
            <color indexed="81"/>
            <rFont val="Meiryo UI"/>
            <family val="3"/>
            <charset val="128"/>
          </rPr>
          <t xml:space="preserve">
　　　電話、放送、TV機器スペース、LAN
　第２番目以降の端子盤
　　　電話</t>
        </r>
        <r>
          <rPr>
            <sz val="8"/>
            <color indexed="32"/>
            <rFont val="Meiryo UI"/>
            <family val="3"/>
            <charset val="128"/>
          </rPr>
          <t xml:space="preserve">
 　</t>
        </r>
      </text>
    </comment>
    <comment ref="AL28"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総合端子盤内容</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この階の第１番目端子盤</t>
        </r>
        <r>
          <rPr>
            <sz val="12"/>
            <color indexed="81"/>
            <rFont val="Meiryo UI"/>
            <family val="3"/>
            <charset val="128"/>
          </rPr>
          <t xml:space="preserve"> </t>
        </r>
        <r>
          <rPr>
            <sz val="8"/>
            <color indexed="81"/>
            <rFont val="Meiryo UI"/>
            <family val="3"/>
            <charset val="128"/>
          </rPr>
          <t xml:space="preserve">
　　　電話、放送、TV機器スペース、LAN
　第２番目以降の端子盤
　　　電話</t>
        </r>
        <r>
          <rPr>
            <sz val="8"/>
            <color indexed="32"/>
            <rFont val="Meiryo UI"/>
            <family val="3"/>
            <charset val="128"/>
          </rPr>
          <t xml:space="preserve">
 　</t>
        </r>
      </text>
    </comment>
    <comment ref="AL85"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総合端子盤内容</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この階の第１番目端子盤</t>
        </r>
        <r>
          <rPr>
            <sz val="12"/>
            <color indexed="81"/>
            <rFont val="Meiryo UI"/>
            <family val="3"/>
            <charset val="128"/>
          </rPr>
          <t xml:space="preserve"> </t>
        </r>
        <r>
          <rPr>
            <sz val="8"/>
            <color indexed="81"/>
            <rFont val="Meiryo UI"/>
            <family val="3"/>
            <charset val="128"/>
          </rPr>
          <t xml:space="preserve">
　　　電話、放送、TV機器スペース、LAN
　第２番目以降の端子盤
　　　電話</t>
        </r>
        <r>
          <rPr>
            <sz val="8"/>
            <color indexed="32"/>
            <rFont val="Meiryo UI"/>
            <family val="3"/>
            <charset val="128"/>
          </rPr>
          <t xml:space="preserve">
 　</t>
        </r>
      </text>
    </comment>
    <comment ref="AL160"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総合端子盤内容</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この階の第１番目端子盤</t>
        </r>
        <r>
          <rPr>
            <sz val="12"/>
            <color indexed="81"/>
            <rFont val="Meiryo UI"/>
            <family val="3"/>
            <charset val="128"/>
          </rPr>
          <t xml:space="preserve"> </t>
        </r>
        <r>
          <rPr>
            <sz val="8"/>
            <color indexed="81"/>
            <rFont val="Meiryo UI"/>
            <family val="3"/>
            <charset val="128"/>
          </rPr>
          <t xml:space="preserve">
　　　電話、放送、TV機器スペース、LAN
　第２番目以降の端子盤
　　　電話</t>
        </r>
        <r>
          <rPr>
            <sz val="8"/>
            <color indexed="32"/>
            <rFont val="Meiryo UI"/>
            <family val="3"/>
            <charset val="128"/>
          </rPr>
          <t xml:space="preserve">
 　</t>
        </r>
      </text>
    </comment>
    <comment ref="AU296" authorId="0">
      <text>
        <r>
          <rPr>
            <b/>
            <sz val="9"/>
            <color indexed="81"/>
            <rFont val="ＭＳ Ｐゴシック"/>
            <family val="3"/>
            <charset val="128"/>
          </rPr>
          <t xml:space="preserve">　 </t>
        </r>
        <r>
          <rPr>
            <b/>
            <sz val="11"/>
            <color indexed="37"/>
            <rFont val="ＭＳ Ｐ明朝"/>
            <family val="1"/>
            <charset val="128"/>
          </rPr>
          <t>実工数電工単価（円）</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シート"原価"： </t>
        </r>
        <r>
          <rPr>
            <sz val="8"/>
            <color indexed="81"/>
            <rFont val="Meiryo UI"/>
            <family val="3"/>
            <charset val="128"/>
          </rPr>
          <t xml:space="preserve">電工単価 </t>
        </r>
        <r>
          <rPr>
            <sz val="8"/>
            <color indexed="32"/>
            <rFont val="Meiryo UI"/>
            <family val="3"/>
            <charset val="128"/>
          </rPr>
          <t>参照</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 xml:space="preserve">    標準電工単価：</t>
        </r>
        <r>
          <rPr>
            <b/>
            <sz val="9"/>
            <color indexed="81"/>
            <rFont val="Times New Roman"/>
            <family val="1"/>
          </rPr>
          <t>6,000,-</t>
        </r>
        <r>
          <rPr>
            <sz val="8"/>
            <color indexed="32"/>
            <rFont val="Meiryo UI"/>
            <family val="3"/>
            <charset val="128"/>
          </rPr>
          <t>(円)</t>
        </r>
      </text>
    </comment>
    <comment ref="C297"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配管配線材料</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小計金額の130％を計上</t>
        </r>
        <r>
          <rPr>
            <sz val="12"/>
            <color indexed="32"/>
            <rFont val="Meiryo UI"/>
            <family val="3"/>
            <charset val="128"/>
          </rPr>
          <t xml:space="preserve"> </t>
        </r>
        <r>
          <rPr>
            <sz val="10"/>
            <color indexed="9"/>
            <rFont val="Meiryo UI"/>
            <family val="3"/>
            <charset val="128"/>
          </rPr>
          <t xml:space="preserve">
</t>
        </r>
      </text>
    </comment>
    <comment ref="C298"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機　器　類</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小計金額の110％を計上</t>
        </r>
        <r>
          <rPr>
            <sz val="12"/>
            <color indexed="9"/>
            <rFont val="Meiryo UI"/>
            <family val="3"/>
            <charset val="128"/>
          </rPr>
          <t xml:space="preserve"> </t>
        </r>
        <r>
          <rPr>
            <sz val="10"/>
            <color indexed="9"/>
            <rFont val="Meiryo UI"/>
            <family val="3"/>
            <charset val="128"/>
          </rPr>
          <t xml:space="preserve">
</t>
        </r>
      </text>
    </comment>
    <comment ref="AU298" authorId="0">
      <text>
        <r>
          <rPr>
            <b/>
            <sz val="9"/>
            <color indexed="81"/>
            <rFont val="ＭＳ Ｐゴシック"/>
            <family val="3"/>
            <charset val="128"/>
          </rPr>
          <t>　</t>
        </r>
        <r>
          <rPr>
            <b/>
            <sz val="11"/>
            <color indexed="37"/>
            <rFont val="ＭＳ Ｐ明朝"/>
            <family val="1"/>
            <charset val="128"/>
          </rPr>
          <t>単価設定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単価-1：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単価-2,3,4：ユーザ登録</t>
        </r>
      </text>
    </comment>
    <comment ref="C299"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機　器　類</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小計金額の110％を計上</t>
        </r>
        <r>
          <rPr>
            <sz val="12"/>
            <color indexed="9"/>
            <rFont val="Meiryo UI"/>
            <family val="3"/>
            <charset val="128"/>
          </rPr>
          <t xml:space="preserve"> </t>
        </r>
        <r>
          <rPr>
            <sz val="10"/>
            <color indexed="9"/>
            <rFont val="Meiryo UI"/>
            <family val="3"/>
            <charset val="128"/>
          </rPr>
          <t xml:space="preserve">
</t>
        </r>
      </text>
    </comment>
    <comment ref="AU299" authorId="0">
      <text>
        <r>
          <rPr>
            <b/>
            <sz val="9"/>
            <color indexed="81"/>
            <rFont val="ＭＳ Ｐゴシック"/>
            <family val="3"/>
            <charset val="128"/>
          </rPr>
          <t>　</t>
        </r>
        <r>
          <rPr>
            <b/>
            <sz val="11"/>
            <color indexed="37"/>
            <rFont val="ＭＳ Ｐ明朝"/>
            <family val="1"/>
            <charset val="128"/>
          </rPr>
          <t>歩掛設定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歩掛-1：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歩掛-2,3：ユーザ登録</t>
        </r>
      </text>
    </comment>
    <comment ref="C300"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電 工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小計金額の115％を計上</t>
        </r>
        <r>
          <rPr>
            <sz val="12"/>
            <color indexed="32"/>
            <rFont val="Meiryo UI"/>
            <family val="3"/>
            <charset val="128"/>
          </rPr>
          <t xml:space="preserve"> </t>
        </r>
        <r>
          <rPr>
            <sz val="10"/>
            <color indexed="9"/>
            <rFont val="Meiryo UI"/>
            <family val="3"/>
            <charset val="128"/>
          </rPr>
          <t xml:space="preserve">
</t>
        </r>
      </text>
    </comment>
  </commentList>
</comments>
</file>

<file path=xl/comments5.xml><?xml version="1.0" encoding="utf-8"?>
<comments xmlns="http://schemas.openxmlformats.org/spreadsheetml/2006/main">
  <authors>
    <author>ESE Service</author>
  </authors>
  <commentList>
    <comment ref="AW6" authorId="0">
      <text>
        <r>
          <rPr>
            <b/>
            <sz val="9"/>
            <color indexed="81"/>
            <rFont val="ＭＳ Ｐゴシック"/>
            <family val="3"/>
            <charset val="128"/>
          </rPr>
          <t xml:space="preserve">           </t>
        </r>
        <r>
          <rPr>
            <b/>
            <sz val="11"/>
            <color indexed="37"/>
            <rFont val="ＭＳ Ｐ明朝"/>
            <family val="1"/>
            <charset val="128"/>
          </rPr>
          <t>天井内配線の位置</t>
        </r>
        <r>
          <rPr>
            <b/>
            <sz val="18"/>
            <color indexed="37"/>
            <rFont val="ＭＳ Ｐゴシック"/>
            <family val="3"/>
            <charset val="128"/>
          </rPr>
          <t xml:space="preserve"> </t>
        </r>
        <r>
          <rPr>
            <b/>
            <sz val="12"/>
            <color indexed="81"/>
            <rFont val="ＭＳ Ｐゴシック"/>
            <family val="3"/>
            <charset val="128"/>
          </rPr>
          <t xml:space="preserve">
</t>
        </r>
        <r>
          <rPr>
            <sz val="12"/>
            <color indexed="9"/>
            <rFont val="ＭＳ ゴシック"/>
            <family val="3"/>
            <charset val="128"/>
          </rPr>
          <t xml:space="preserve">                  </t>
        </r>
        <r>
          <rPr>
            <b/>
            <vertAlign val="subscript"/>
            <sz val="12"/>
            <color indexed="32"/>
            <rFont val="Meiryo UI"/>
            <family val="3"/>
            <charset val="128"/>
          </rPr>
          <t xml:space="preserve">▽FL </t>
        </r>
        <r>
          <rPr>
            <sz val="12"/>
            <color indexed="9"/>
            <rFont val="ＭＳ ゴシック"/>
            <family val="3"/>
            <charset val="128"/>
          </rPr>
          <t xml:space="preserve">
</t>
        </r>
        <r>
          <rPr>
            <sz val="9"/>
            <color indexed="9"/>
            <rFont val="ＭＳ ゴシック"/>
            <family val="3"/>
            <charset val="128"/>
          </rPr>
          <t xml:space="preserve">  </t>
        </r>
        <r>
          <rPr>
            <sz val="9"/>
            <color indexed="32"/>
            <rFont val="Meiryo UI"/>
            <family val="3"/>
            <charset val="128"/>
          </rPr>
          <t>▀▀▀▀▀▀▀▀▀▀▀▀▀▀▀▀▀▀▀</t>
        </r>
        <r>
          <rPr>
            <sz val="9"/>
            <color indexed="9"/>
            <rFont val="ＭＳ ゴシック"/>
            <family val="3"/>
            <charset val="128"/>
          </rPr>
          <t xml:space="preserve">
  </t>
        </r>
        <r>
          <rPr>
            <sz val="9"/>
            <color indexed="32"/>
            <rFont val="ＭＳ ゴシック"/>
            <family val="3"/>
            <charset val="128"/>
          </rPr>
          <t xml:space="preserve">                     </t>
        </r>
        <r>
          <rPr>
            <sz val="9"/>
            <color indexed="32"/>
            <rFont val="Meiryo UI"/>
            <family val="3"/>
            <charset val="128"/>
          </rPr>
          <t>スラブ</t>
        </r>
        <r>
          <rPr>
            <sz val="9"/>
            <color indexed="81"/>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xml:space="preserve">  </t>
        </r>
        <r>
          <rPr>
            <sz val="8"/>
            <color indexed="81"/>
            <rFont val="ＭＳ ゴシック"/>
            <family val="3"/>
            <charset val="128"/>
          </rPr>
          <t xml:space="preserve">  </t>
        </r>
        <r>
          <rPr>
            <sz val="7"/>
            <color indexed="81"/>
            <rFont val="ＭＳ ゴシック"/>
            <family val="3"/>
            <charset val="128"/>
          </rPr>
          <t xml:space="preserve"> </t>
        </r>
        <r>
          <rPr>
            <sz val="9"/>
            <color indexed="32"/>
            <rFont val="Meiryo UI"/>
            <family val="3"/>
            <charset val="128"/>
          </rPr>
          <t>ケーブル配線</t>
        </r>
        <r>
          <rPr>
            <sz val="6"/>
            <color indexed="81"/>
            <rFont val="ＭＳ ゴシック"/>
            <family val="3"/>
            <charset val="128"/>
          </rPr>
          <t xml:space="preserve"> </t>
        </r>
        <r>
          <rPr>
            <sz val="9"/>
            <color indexed="81"/>
            <rFont val="ＭＳ ゴシック"/>
            <family val="3"/>
            <charset val="128"/>
          </rPr>
          <t xml:space="preserve">   │</t>
        </r>
        <r>
          <rPr>
            <sz val="10"/>
            <color indexed="32"/>
            <rFont val="Meiryo UI"/>
            <family val="3"/>
            <charset val="128"/>
          </rPr>
          <t>0.1m</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 ▀▀▀▀▀▀ ▀ ▀▀▀</t>
        </r>
        <r>
          <rPr>
            <sz val="9"/>
            <color indexed="32"/>
            <rFont val="ＭＳ ゴシック"/>
            <family val="3"/>
            <charset val="128"/>
          </rPr>
          <t xml:space="preserve"> ┴</t>
        </r>
        <r>
          <rPr>
            <sz val="9"/>
            <color indexed="32"/>
            <rFont val="Meiryo UI"/>
            <family val="3"/>
            <charset val="128"/>
          </rPr>
          <t>(スラブ下)</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t>
        </r>
        <r>
          <rPr>
            <sz val="9"/>
            <color indexed="81"/>
            <rFont val="ＭＳ ゴシック"/>
            <family val="3"/>
            <charset val="128"/>
          </rPr>
          <t xml:space="preserve">
</t>
        </r>
        <r>
          <rPr>
            <sz val="9"/>
            <color indexed="32"/>
            <rFont val="ＭＳ ゴシック"/>
            <family val="3"/>
            <charset val="128"/>
          </rPr>
          <t xml:space="preserve">  ┬┬┬┬┬┬┬┬┬┬┬┬┬┬┬</t>
        </r>
        <r>
          <rPr>
            <sz val="9"/>
            <color indexed="81"/>
            <rFont val="ＭＳ ゴシック"/>
            <family val="3"/>
            <charset val="128"/>
          </rPr>
          <t xml:space="preserve">
  </t>
        </r>
        <r>
          <rPr>
            <sz val="9"/>
            <color indexed="32"/>
            <rFont val="ＭＳ ゴシック"/>
            <family val="3"/>
            <charset val="128"/>
          </rPr>
          <t>╧╧╧╧╧╧╧╧╧╧╧╧╧╧╧╧╧╧╧╧╧╧╧╧╧╧╧╧╧╧ (天井材)</t>
        </r>
        <r>
          <rPr>
            <sz val="9"/>
            <color indexed="81"/>
            <rFont val="ＭＳ ゴシック"/>
            <family val="3"/>
            <charset val="128"/>
          </rPr>
          <t xml:space="preserve">
　       　   </t>
        </r>
        <r>
          <rPr>
            <b/>
            <sz val="8"/>
            <color indexed="32"/>
            <rFont val="Meiryo UI"/>
            <family val="3"/>
            <charset val="128"/>
          </rPr>
          <t xml:space="preserve">△Ch
 </t>
        </r>
      </text>
    </comment>
    <comment ref="AX8"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梁巻き配線長［ｍ］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t>
        </r>
        <r>
          <rPr>
            <sz val="8"/>
            <color indexed="32"/>
            <rFont val="ＭＳ Ｐ明朝"/>
            <family val="1"/>
            <charset val="128"/>
          </rPr>
          <t xml:space="preserve"> </t>
        </r>
        <r>
          <rPr>
            <sz val="8"/>
            <color indexed="32"/>
            <rFont val="Meiryo UI"/>
            <family val="3"/>
            <charset val="128"/>
          </rPr>
          <t>梁成="０" にすると梁巻き配線長は、</t>
        </r>
        <r>
          <rPr>
            <sz val="12"/>
            <color indexed="32"/>
            <rFont val="Meiryo UI"/>
            <family val="3"/>
            <charset val="128"/>
          </rPr>
          <t xml:space="preserve"> </t>
        </r>
        <r>
          <rPr>
            <sz val="8"/>
            <color indexed="32"/>
            <rFont val="Meiryo UI"/>
            <family val="3"/>
            <charset val="128"/>
          </rPr>
          <t xml:space="preserve">
　 計上されません。
 </t>
        </r>
      </text>
    </comment>
    <comment ref="AG14"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AG15"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AS15" authorId="0">
      <text>
        <r>
          <rPr>
            <b/>
            <sz val="9"/>
            <color indexed="81"/>
            <rFont val="ＭＳ Ｐ明朝"/>
            <family val="1"/>
            <charset val="128"/>
          </rPr>
          <t xml:space="preserve">   </t>
        </r>
        <r>
          <rPr>
            <b/>
            <sz val="11"/>
            <color indexed="37"/>
            <rFont val="ＭＳ Ｐ明朝"/>
            <family val="1"/>
            <charset val="128"/>
          </rPr>
          <t>スピーカ：Ｓ１</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天井付け、出力３Ｗ</t>
        </r>
      </text>
    </comment>
    <comment ref="AU15" authorId="0">
      <text>
        <r>
          <rPr>
            <b/>
            <sz val="9"/>
            <color indexed="81"/>
            <rFont val="ＭＳ Ｐ明朝"/>
            <family val="1"/>
            <charset val="128"/>
          </rPr>
          <t xml:space="preserve">  </t>
        </r>
        <r>
          <rPr>
            <b/>
            <sz val="11"/>
            <color indexed="37"/>
            <rFont val="ＭＳ Ｐ明朝"/>
            <family val="1"/>
            <charset val="128"/>
          </rPr>
          <t>スピーカ：Ｓ２</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天井付け、出力６Ｗ</t>
        </r>
      </text>
    </comment>
    <comment ref="AY15" authorId="0">
      <text>
        <r>
          <rPr>
            <b/>
            <sz val="9"/>
            <color indexed="81"/>
            <rFont val="ＭＳ Ｐ明朝"/>
            <family val="1"/>
            <charset val="128"/>
          </rPr>
          <t xml:space="preserve">   　 </t>
        </r>
        <r>
          <rPr>
            <b/>
            <sz val="11"/>
            <color indexed="37"/>
            <rFont val="ＭＳ Ｐ明朝"/>
            <family val="1"/>
            <charset val="128"/>
          </rPr>
          <t>スピーカ：Ｓ３</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壁掛型、出力３Ｗ、Ａｔｔ付</t>
        </r>
      </text>
    </comment>
    <comment ref="BA15" authorId="0">
      <text>
        <r>
          <rPr>
            <b/>
            <sz val="9"/>
            <color indexed="81"/>
            <rFont val="ＭＳ Ｐ明朝"/>
            <family val="1"/>
            <charset val="128"/>
          </rPr>
          <t xml:space="preserve">  　　</t>
        </r>
        <r>
          <rPr>
            <b/>
            <sz val="11"/>
            <color indexed="37"/>
            <rFont val="ＭＳ Ｐ明朝"/>
            <family val="1"/>
            <charset val="128"/>
          </rPr>
          <t>スピーカ：Ｓ４</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壁掛型、出力５Ｗ、Ａｔｔ付</t>
        </r>
      </text>
    </comment>
    <comment ref="BC15" authorId="0">
      <text>
        <r>
          <rPr>
            <b/>
            <sz val="9"/>
            <color indexed="81"/>
            <rFont val="ＭＳ Ｐ明朝"/>
            <family val="1"/>
            <charset val="128"/>
          </rPr>
          <t xml:space="preserve">   </t>
        </r>
        <r>
          <rPr>
            <b/>
            <sz val="11"/>
            <color indexed="37"/>
            <rFont val="ＭＳ Ｐ明朝"/>
            <family val="1"/>
            <charset val="128"/>
          </rPr>
          <t>スピーカ：ＰＳ</t>
        </r>
        <r>
          <rPr>
            <b/>
            <sz val="18"/>
            <color indexed="32"/>
            <rFont val="ＭＳ Ｐ明朝"/>
            <family val="1"/>
            <charset val="128"/>
          </rPr>
          <t xml:space="preserve"> 　</t>
        </r>
        <r>
          <rPr>
            <b/>
            <sz val="8"/>
            <color indexed="81"/>
            <rFont val="Meiryo UI"/>
            <family val="3"/>
            <charset val="128"/>
          </rPr>
          <t xml:space="preserve">
</t>
        </r>
        <r>
          <rPr>
            <sz val="8"/>
            <color indexed="32"/>
            <rFont val="Meiryo UI"/>
            <family val="3"/>
            <charset val="128"/>
          </rPr>
          <t>　 プロセニアム・スピーカ
　 壁掛型、出力２０Ｗ</t>
        </r>
      </text>
    </comment>
    <comment ref="BE15" authorId="0">
      <text>
        <r>
          <rPr>
            <b/>
            <sz val="9"/>
            <color indexed="81"/>
            <rFont val="ＭＳ Ｐ明朝"/>
            <family val="1"/>
            <charset val="128"/>
          </rPr>
          <t xml:space="preserve">   </t>
        </r>
        <r>
          <rPr>
            <b/>
            <sz val="11"/>
            <color indexed="37"/>
            <rFont val="ＭＳ Ｐ明朝"/>
            <family val="1"/>
            <charset val="128"/>
          </rPr>
          <t>スピーカ：ＰＳ</t>
        </r>
        <r>
          <rPr>
            <b/>
            <sz val="18"/>
            <color indexed="32"/>
            <rFont val="ＭＳ Ｐ明朝"/>
            <family val="1"/>
            <charset val="128"/>
          </rPr>
          <t xml:space="preserve"> 　</t>
        </r>
        <r>
          <rPr>
            <b/>
            <sz val="8"/>
            <color indexed="81"/>
            <rFont val="Meiryo UI"/>
            <family val="3"/>
            <charset val="128"/>
          </rPr>
          <t xml:space="preserve">
</t>
        </r>
        <r>
          <rPr>
            <sz val="8"/>
            <color indexed="32"/>
            <rFont val="Meiryo UI"/>
            <family val="3"/>
            <charset val="128"/>
          </rPr>
          <t>　 ソノライン・スピーカ
　 壁掛型、出力２０Ｗ</t>
        </r>
      </text>
    </comment>
    <comment ref="L17"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W17"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AG80"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AG81"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AS81" authorId="0">
      <text>
        <r>
          <rPr>
            <b/>
            <sz val="9"/>
            <color indexed="81"/>
            <rFont val="ＭＳ Ｐ明朝"/>
            <family val="1"/>
            <charset val="128"/>
          </rPr>
          <t xml:space="preserve">   </t>
        </r>
        <r>
          <rPr>
            <b/>
            <sz val="11"/>
            <color indexed="37"/>
            <rFont val="ＭＳ Ｐ明朝"/>
            <family val="1"/>
            <charset val="128"/>
          </rPr>
          <t>スピーカ：Ｓ１</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天井付け、出力３Ｗ</t>
        </r>
      </text>
    </comment>
    <comment ref="AU81" authorId="0">
      <text>
        <r>
          <rPr>
            <b/>
            <sz val="9"/>
            <color indexed="81"/>
            <rFont val="ＭＳ Ｐ明朝"/>
            <family val="1"/>
            <charset val="128"/>
          </rPr>
          <t xml:space="preserve">  </t>
        </r>
        <r>
          <rPr>
            <b/>
            <sz val="11"/>
            <color indexed="37"/>
            <rFont val="ＭＳ Ｐ明朝"/>
            <family val="1"/>
            <charset val="128"/>
          </rPr>
          <t>スピーカ：Ｓ２</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天井付け、出力６Ｗ</t>
        </r>
      </text>
    </comment>
    <comment ref="AY81" authorId="0">
      <text>
        <r>
          <rPr>
            <b/>
            <sz val="9"/>
            <color indexed="81"/>
            <rFont val="ＭＳ Ｐ明朝"/>
            <family val="1"/>
            <charset val="128"/>
          </rPr>
          <t xml:space="preserve">   　 </t>
        </r>
        <r>
          <rPr>
            <b/>
            <sz val="11"/>
            <color indexed="37"/>
            <rFont val="ＭＳ Ｐ明朝"/>
            <family val="1"/>
            <charset val="128"/>
          </rPr>
          <t>スピーカ：Ｓ３</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壁掛型、出力３Ｗ、Ａｔｔ付</t>
        </r>
      </text>
    </comment>
    <comment ref="BA81" authorId="0">
      <text>
        <r>
          <rPr>
            <b/>
            <sz val="9"/>
            <color indexed="81"/>
            <rFont val="ＭＳ Ｐ明朝"/>
            <family val="1"/>
            <charset val="128"/>
          </rPr>
          <t xml:space="preserve">  　　</t>
        </r>
        <r>
          <rPr>
            <b/>
            <sz val="11"/>
            <color indexed="37"/>
            <rFont val="ＭＳ Ｐ明朝"/>
            <family val="1"/>
            <charset val="128"/>
          </rPr>
          <t>スピーカ：Ｓ４</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壁掛型、出力５Ｗ、Ａｔｔ付</t>
        </r>
      </text>
    </comment>
    <comment ref="BC81" authorId="0">
      <text>
        <r>
          <rPr>
            <b/>
            <sz val="9"/>
            <color indexed="81"/>
            <rFont val="ＭＳ Ｐ明朝"/>
            <family val="1"/>
            <charset val="128"/>
          </rPr>
          <t xml:space="preserve">   </t>
        </r>
        <r>
          <rPr>
            <b/>
            <sz val="11"/>
            <color indexed="37"/>
            <rFont val="ＭＳ Ｐ明朝"/>
            <family val="1"/>
            <charset val="128"/>
          </rPr>
          <t>スピーカ：ＰＳ</t>
        </r>
        <r>
          <rPr>
            <b/>
            <sz val="18"/>
            <color indexed="32"/>
            <rFont val="ＭＳ Ｐ明朝"/>
            <family val="1"/>
            <charset val="128"/>
          </rPr>
          <t xml:space="preserve"> 　</t>
        </r>
        <r>
          <rPr>
            <b/>
            <sz val="8"/>
            <color indexed="81"/>
            <rFont val="Meiryo UI"/>
            <family val="3"/>
            <charset val="128"/>
          </rPr>
          <t xml:space="preserve">
</t>
        </r>
        <r>
          <rPr>
            <sz val="8"/>
            <color indexed="32"/>
            <rFont val="Meiryo UI"/>
            <family val="3"/>
            <charset val="128"/>
          </rPr>
          <t>　 プロセニアム・スピーカ
　 壁掛型、出力２０Ｗ</t>
        </r>
      </text>
    </comment>
    <comment ref="BE81" authorId="0">
      <text>
        <r>
          <rPr>
            <b/>
            <sz val="9"/>
            <color indexed="81"/>
            <rFont val="ＭＳ Ｐ明朝"/>
            <family val="1"/>
            <charset val="128"/>
          </rPr>
          <t xml:space="preserve">   </t>
        </r>
        <r>
          <rPr>
            <b/>
            <sz val="11"/>
            <color indexed="37"/>
            <rFont val="ＭＳ Ｐ明朝"/>
            <family val="1"/>
            <charset val="128"/>
          </rPr>
          <t>スピーカ：ＰＳ</t>
        </r>
        <r>
          <rPr>
            <b/>
            <sz val="18"/>
            <color indexed="32"/>
            <rFont val="ＭＳ Ｐ明朝"/>
            <family val="1"/>
            <charset val="128"/>
          </rPr>
          <t xml:space="preserve"> 　</t>
        </r>
        <r>
          <rPr>
            <b/>
            <sz val="8"/>
            <color indexed="81"/>
            <rFont val="Meiryo UI"/>
            <family val="3"/>
            <charset val="128"/>
          </rPr>
          <t xml:space="preserve">
</t>
        </r>
        <r>
          <rPr>
            <sz val="8"/>
            <color indexed="32"/>
            <rFont val="Meiryo UI"/>
            <family val="3"/>
            <charset val="128"/>
          </rPr>
          <t>　 ソノライン・スピーカ
　 壁掛型、出力２０Ｗ</t>
        </r>
      </text>
    </comment>
    <comment ref="L83"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W83"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AG155" authorId="0">
      <text>
        <r>
          <rPr>
            <b/>
            <sz val="9"/>
            <color indexed="81"/>
            <rFont val="ＭＳ Ｐ明朝"/>
            <family val="1"/>
            <charset val="128"/>
          </rPr>
          <t xml:space="preserve">   </t>
        </r>
        <r>
          <rPr>
            <b/>
            <sz val="11"/>
            <color indexed="37"/>
            <rFont val="ＭＳ Ｐ明朝"/>
            <family val="1"/>
            <charset val="128"/>
          </rPr>
          <t>専用部室平均面積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専用部床面積／室数(専)</t>
        </r>
      </text>
    </comment>
    <comment ref="AG156" authorId="0">
      <text>
        <r>
          <rPr>
            <b/>
            <sz val="9"/>
            <color indexed="81"/>
            <rFont val="ＭＳ Ｐ明朝"/>
            <family val="1"/>
            <charset val="128"/>
          </rPr>
          <t xml:space="preserve">   </t>
        </r>
        <r>
          <rPr>
            <b/>
            <sz val="11"/>
            <color indexed="37"/>
            <rFont val="ＭＳ Ｐ明朝"/>
            <family val="1"/>
            <charset val="128"/>
          </rPr>
          <t>共用部室平均面積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共用部床面積／室数(共)</t>
        </r>
      </text>
    </comment>
    <comment ref="AS156" authorId="0">
      <text>
        <r>
          <rPr>
            <b/>
            <sz val="9"/>
            <color indexed="81"/>
            <rFont val="ＭＳ Ｐ明朝"/>
            <family val="1"/>
            <charset val="128"/>
          </rPr>
          <t xml:space="preserve">   </t>
        </r>
        <r>
          <rPr>
            <b/>
            <sz val="11"/>
            <color indexed="37"/>
            <rFont val="ＭＳ Ｐ明朝"/>
            <family val="1"/>
            <charset val="128"/>
          </rPr>
          <t>スピーカ：Ｓ１</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天井付け、出力３Ｗ</t>
        </r>
      </text>
    </comment>
    <comment ref="AU156" authorId="0">
      <text>
        <r>
          <rPr>
            <b/>
            <sz val="9"/>
            <color indexed="81"/>
            <rFont val="ＭＳ Ｐ明朝"/>
            <family val="1"/>
            <charset val="128"/>
          </rPr>
          <t xml:space="preserve">  </t>
        </r>
        <r>
          <rPr>
            <b/>
            <sz val="11"/>
            <color indexed="37"/>
            <rFont val="ＭＳ Ｐ明朝"/>
            <family val="1"/>
            <charset val="128"/>
          </rPr>
          <t>スピーカ：Ｓ２</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天井付け、出力６Ｗ</t>
        </r>
      </text>
    </comment>
    <comment ref="AY156" authorId="0">
      <text>
        <r>
          <rPr>
            <b/>
            <sz val="9"/>
            <color indexed="81"/>
            <rFont val="ＭＳ Ｐ明朝"/>
            <family val="1"/>
            <charset val="128"/>
          </rPr>
          <t xml:space="preserve">   　 </t>
        </r>
        <r>
          <rPr>
            <b/>
            <sz val="11"/>
            <color indexed="37"/>
            <rFont val="ＭＳ Ｐ明朝"/>
            <family val="1"/>
            <charset val="128"/>
          </rPr>
          <t>スピーカ：Ｓ３</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壁掛型、出力３Ｗ、Ａｔｔ付</t>
        </r>
      </text>
    </comment>
    <comment ref="BA156" authorId="0">
      <text>
        <r>
          <rPr>
            <b/>
            <sz val="9"/>
            <color indexed="81"/>
            <rFont val="ＭＳ Ｐ明朝"/>
            <family val="1"/>
            <charset val="128"/>
          </rPr>
          <t xml:space="preserve">  　　</t>
        </r>
        <r>
          <rPr>
            <b/>
            <sz val="11"/>
            <color indexed="37"/>
            <rFont val="ＭＳ Ｐ明朝"/>
            <family val="1"/>
            <charset val="128"/>
          </rPr>
          <t>スピーカ：Ｓ４</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壁掛型、出力５Ｗ、Ａｔｔ付</t>
        </r>
      </text>
    </comment>
    <comment ref="BC156" authorId="0">
      <text>
        <r>
          <rPr>
            <b/>
            <sz val="9"/>
            <color indexed="81"/>
            <rFont val="ＭＳ Ｐ明朝"/>
            <family val="1"/>
            <charset val="128"/>
          </rPr>
          <t xml:space="preserve">   </t>
        </r>
        <r>
          <rPr>
            <b/>
            <sz val="11"/>
            <color indexed="37"/>
            <rFont val="ＭＳ Ｐ明朝"/>
            <family val="1"/>
            <charset val="128"/>
          </rPr>
          <t>スピーカ：ＰＳ</t>
        </r>
        <r>
          <rPr>
            <b/>
            <sz val="18"/>
            <color indexed="32"/>
            <rFont val="ＭＳ Ｐ明朝"/>
            <family val="1"/>
            <charset val="128"/>
          </rPr>
          <t xml:space="preserve"> 　</t>
        </r>
        <r>
          <rPr>
            <b/>
            <sz val="8"/>
            <color indexed="81"/>
            <rFont val="Meiryo UI"/>
            <family val="3"/>
            <charset val="128"/>
          </rPr>
          <t xml:space="preserve">
</t>
        </r>
        <r>
          <rPr>
            <sz val="8"/>
            <color indexed="32"/>
            <rFont val="Meiryo UI"/>
            <family val="3"/>
            <charset val="128"/>
          </rPr>
          <t>　 プロセニアム・スピーカ
　 壁掛型、出力２０Ｗ</t>
        </r>
      </text>
    </comment>
    <comment ref="BE156" authorId="0">
      <text>
        <r>
          <rPr>
            <b/>
            <sz val="9"/>
            <color indexed="81"/>
            <rFont val="ＭＳ Ｐ明朝"/>
            <family val="1"/>
            <charset val="128"/>
          </rPr>
          <t xml:space="preserve">   </t>
        </r>
        <r>
          <rPr>
            <b/>
            <sz val="11"/>
            <color indexed="37"/>
            <rFont val="ＭＳ Ｐ明朝"/>
            <family val="1"/>
            <charset val="128"/>
          </rPr>
          <t>スピーカ：ＰＳ</t>
        </r>
        <r>
          <rPr>
            <b/>
            <sz val="18"/>
            <color indexed="32"/>
            <rFont val="ＭＳ Ｐ明朝"/>
            <family val="1"/>
            <charset val="128"/>
          </rPr>
          <t xml:space="preserve"> 　</t>
        </r>
        <r>
          <rPr>
            <b/>
            <sz val="8"/>
            <color indexed="81"/>
            <rFont val="Meiryo UI"/>
            <family val="3"/>
            <charset val="128"/>
          </rPr>
          <t xml:space="preserve">
</t>
        </r>
        <r>
          <rPr>
            <sz val="8"/>
            <color indexed="32"/>
            <rFont val="Meiryo UI"/>
            <family val="3"/>
            <charset val="128"/>
          </rPr>
          <t>　 ソノライン・スピーカ
　 壁掛型、出力２０Ｗ</t>
        </r>
      </text>
    </comment>
    <comment ref="L158"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W158" authorId="0">
      <text>
        <r>
          <rPr>
            <b/>
            <sz val="9"/>
            <color indexed="81"/>
            <rFont val="ＭＳ Ｐ明朝"/>
            <family val="1"/>
            <charset val="128"/>
          </rPr>
          <t xml:space="preserve">    </t>
        </r>
        <r>
          <rPr>
            <b/>
            <sz val="11"/>
            <color indexed="37"/>
            <rFont val="ＭＳ Ｐ明朝"/>
            <family val="1"/>
            <charset val="128"/>
          </rPr>
          <t>分電盤の位置修正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ＭＳ Ｐゴシック"/>
            <family val="3"/>
            <charset val="128"/>
          </rPr>
          <t>　 照明コンセント設備工事の項目で</t>
        </r>
        <r>
          <rPr>
            <sz val="12"/>
            <color indexed="32"/>
            <rFont val="ＭＳ Ｐゴシック"/>
            <family val="3"/>
            <charset val="128"/>
          </rPr>
          <t xml:space="preserve"> </t>
        </r>
        <r>
          <rPr>
            <sz val="8"/>
            <color indexed="32"/>
            <rFont val="ＭＳ Ｐゴシック"/>
            <family val="3"/>
            <charset val="128"/>
          </rPr>
          <t xml:space="preserve">
　 修正して下さい。</t>
        </r>
      </text>
    </comment>
    <comment ref="AT232" authorId="0">
      <text>
        <r>
          <rPr>
            <b/>
            <sz val="9"/>
            <color indexed="81"/>
            <rFont val="ＭＳ Ｐゴシック"/>
            <family val="3"/>
            <charset val="128"/>
          </rPr>
          <t xml:space="preserve">　 </t>
        </r>
        <r>
          <rPr>
            <b/>
            <sz val="11"/>
            <color indexed="37"/>
            <rFont val="ＭＳ Ｐ明朝"/>
            <family val="1"/>
            <charset val="128"/>
          </rPr>
          <t>実工数電工単価（円）</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シート"原価"： </t>
        </r>
        <r>
          <rPr>
            <sz val="8"/>
            <color indexed="81"/>
            <rFont val="Meiryo UI"/>
            <family val="3"/>
            <charset val="128"/>
          </rPr>
          <t xml:space="preserve">電工単価 </t>
        </r>
        <r>
          <rPr>
            <sz val="8"/>
            <color indexed="32"/>
            <rFont val="Meiryo UI"/>
            <family val="3"/>
            <charset val="128"/>
          </rPr>
          <t>参照</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 xml:space="preserve">    標準電工単価：</t>
        </r>
        <r>
          <rPr>
            <b/>
            <sz val="9"/>
            <color indexed="81"/>
            <rFont val="Times New Roman"/>
            <family val="1"/>
          </rPr>
          <t>6,000,-</t>
        </r>
        <r>
          <rPr>
            <sz val="8"/>
            <color indexed="32"/>
            <rFont val="Meiryo UI"/>
            <family val="3"/>
            <charset val="128"/>
          </rPr>
          <t>(円)</t>
        </r>
      </text>
    </comment>
    <comment ref="AT235"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配管配線材料</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小計金額の130％を計上</t>
        </r>
        <r>
          <rPr>
            <sz val="12"/>
            <color indexed="9"/>
            <rFont val="Meiryo UI"/>
            <family val="3"/>
            <charset val="128"/>
          </rPr>
          <t xml:space="preserve"> </t>
        </r>
        <r>
          <rPr>
            <sz val="10"/>
            <color indexed="9"/>
            <rFont val="Meiryo UI"/>
            <family val="3"/>
            <charset val="128"/>
          </rPr>
          <t xml:space="preserve">
</t>
        </r>
      </text>
    </comment>
    <comment ref="AT237"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電 工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小計金額の115％を計上</t>
        </r>
        <r>
          <rPr>
            <sz val="12"/>
            <color indexed="32"/>
            <rFont val="Meiryo UI"/>
            <family val="3"/>
            <charset val="128"/>
          </rPr>
          <t xml:space="preserve"> </t>
        </r>
        <r>
          <rPr>
            <sz val="10"/>
            <color indexed="9"/>
            <rFont val="Meiryo UI"/>
            <family val="3"/>
            <charset val="128"/>
          </rPr>
          <t xml:space="preserve">
</t>
        </r>
      </text>
    </comment>
    <comment ref="AT238"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電 工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小計金額の115％を計上</t>
        </r>
        <r>
          <rPr>
            <sz val="12"/>
            <color indexed="32"/>
            <rFont val="Meiryo UI"/>
            <family val="3"/>
            <charset val="128"/>
          </rPr>
          <t xml:space="preserve"> </t>
        </r>
        <r>
          <rPr>
            <sz val="10"/>
            <color indexed="9"/>
            <rFont val="Meiryo UI"/>
            <family val="3"/>
            <charset val="128"/>
          </rPr>
          <t xml:space="preserve">
</t>
        </r>
      </text>
    </comment>
    <comment ref="AT245" authorId="0">
      <text>
        <r>
          <rPr>
            <b/>
            <sz val="9"/>
            <color indexed="81"/>
            <rFont val="ＭＳ Ｐゴシック"/>
            <family val="3"/>
            <charset val="128"/>
          </rPr>
          <t>　</t>
        </r>
        <r>
          <rPr>
            <b/>
            <sz val="11"/>
            <color indexed="37"/>
            <rFont val="ＭＳ Ｐ明朝"/>
            <family val="1"/>
            <charset val="128"/>
          </rPr>
          <t>単価設定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単価-1：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単価-2,3,4：ユーザ登録</t>
        </r>
      </text>
    </comment>
    <comment ref="AT246" authorId="0">
      <text>
        <r>
          <rPr>
            <b/>
            <sz val="9"/>
            <color indexed="81"/>
            <rFont val="ＭＳ Ｐゴシック"/>
            <family val="3"/>
            <charset val="128"/>
          </rPr>
          <t>　</t>
        </r>
        <r>
          <rPr>
            <b/>
            <sz val="11"/>
            <color indexed="37"/>
            <rFont val="ＭＳ Ｐ明朝"/>
            <family val="1"/>
            <charset val="128"/>
          </rPr>
          <t>歩掛設定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歩掛-1：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歩掛-2,3：ユーザ登録</t>
        </r>
      </text>
    </comment>
  </commentList>
</comments>
</file>

<file path=xl/comments6.xml><?xml version="1.0" encoding="utf-8"?>
<comments xmlns="http://schemas.openxmlformats.org/spreadsheetml/2006/main">
  <authors>
    <author>ESE Service</author>
  </authors>
  <commentList>
    <comment ref="BN5" authorId="0">
      <text>
        <r>
          <rPr>
            <b/>
            <sz val="9"/>
            <color indexed="81"/>
            <rFont val="ＭＳ Ｐゴシック"/>
            <family val="3"/>
            <charset val="128"/>
          </rPr>
          <t xml:space="preserve">　　　　　　　　 </t>
        </r>
        <r>
          <rPr>
            <b/>
            <sz val="12"/>
            <color indexed="37"/>
            <rFont val="ＭＳ Ｐ明朝"/>
            <family val="1"/>
            <charset val="128"/>
          </rPr>
          <t>端子盤の設置場所入力</t>
        </r>
        <r>
          <rPr>
            <b/>
            <sz val="18"/>
            <color indexed="81"/>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①～⑨</t>
        </r>
        <r>
          <rPr>
            <sz val="9"/>
            <color indexed="32"/>
            <rFont val="Meiryo UI"/>
            <family val="3"/>
            <charset val="128"/>
          </rPr>
          <t>の中から端子盤位置の番号を選択 して下さい。</t>
        </r>
        <r>
          <rPr>
            <sz val="12"/>
            <color indexed="32"/>
            <rFont val="Meiryo UI"/>
            <family val="3"/>
            <charset val="128"/>
          </rPr>
          <t>　</t>
        </r>
        <r>
          <rPr>
            <sz val="9"/>
            <color indexed="32"/>
            <rFont val="Meiryo UI"/>
            <family val="3"/>
            <charset val="128"/>
          </rPr>
          <t xml:space="preserve">
　　　　標準設定値は"</t>
        </r>
        <r>
          <rPr>
            <b/>
            <sz val="10"/>
            <color indexed="81"/>
            <rFont val="Meiryo UI"/>
            <family val="3"/>
            <charset val="128"/>
          </rPr>
          <t>⑦</t>
        </r>
        <r>
          <rPr>
            <sz val="9"/>
            <color indexed="32"/>
            <rFont val="Meiryo UI"/>
            <family val="3"/>
            <charset val="128"/>
          </rPr>
          <t>"です。</t>
        </r>
        <r>
          <rPr>
            <sz val="11"/>
            <color indexed="9"/>
            <rFont val="Meiryo UI"/>
            <family val="3"/>
            <charset val="128"/>
          </rPr>
          <t xml:space="preserve">
</t>
        </r>
        <r>
          <rPr>
            <sz val="10"/>
            <color indexed="35"/>
            <rFont val="Meiryo UI"/>
            <family val="3"/>
            <charset val="128"/>
          </rPr>
          <t xml:space="preserve"> </t>
        </r>
        <r>
          <rPr>
            <sz val="9"/>
            <color indexed="81"/>
            <rFont val="ＭＳ ゴシック"/>
            <family val="3"/>
            <charset val="128"/>
          </rPr>
          <t xml:space="preserve">   </t>
        </r>
        <r>
          <rPr>
            <b/>
            <sz val="10"/>
            <color indexed="32"/>
            <rFont val="ＭＳ Ｐゴシック"/>
            <family val="3"/>
            <charset val="128"/>
          </rPr>
          <t>Ly</t>
        </r>
        <r>
          <rPr>
            <b/>
            <sz val="3"/>
            <color indexed="32"/>
            <rFont val="ＭＳ Ｐゴシック"/>
            <family val="3"/>
            <charset val="128"/>
          </rPr>
          <t xml:space="preserve"> </t>
        </r>
        <r>
          <rPr>
            <sz val="9"/>
            <color indexed="81"/>
            <rFont val="Meiryo UI"/>
            <family val="3"/>
            <charset val="128"/>
          </rPr>
          <t xml:space="preserve">
</t>
        </r>
        <r>
          <rPr>
            <sz val="9"/>
            <color indexed="81"/>
            <rFont val="ＭＳ ゴシック"/>
            <family val="3"/>
            <charset val="128"/>
          </rPr>
          <t xml:space="preserve">   </t>
        </r>
        <r>
          <rPr>
            <sz val="8"/>
            <color indexed="81"/>
            <rFont val="ＭＳ ゴシック"/>
            <family val="3"/>
            <charset val="128"/>
          </rPr>
          <t xml:space="preserve"> </t>
        </r>
        <r>
          <rPr>
            <b/>
            <sz val="9"/>
            <color indexed="39"/>
            <rFont val="ＭＳ ゴシック"/>
            <family val="3"/>
            <charset val="128"/>
          </rPr>
          <t>↑</t>
        </r>
        <r>
          <rPr>
            <sz val="9"/>
            <color indexed="81"/>
            <rFont val="ＭＳ ゴシック"/>
            <family val="3"/>
            <charset val="128"/>
          </rPr>
          <t>■━━━━■━━━━■━━━━■━━━━■
　　　┃　　　　　　　　　　　　　　　　　　　┃
　　　■        ■　　　  ■　　　　■        ■
　　　┃   　　　　　　　　　　　　　　　　   ┃
　　　</t>
        </r>
        <r>
          <rPr>
            <sz val="9"/>
            <color indexed="81"/>
            <rFont val="Meiryo UI"/>
            <family val="3"/>
            <charset val="128"/>
          </rPr>
          <t>⑦</t>
        </r>
        <r>
          <rPr>
            <sz val="9"/>
            <color indexed="81"/>
            <rFont val="ＭＳ ゴシック"/>
            <family val="3"/>
            <charset val="128"/>
          </rPr>
          <t xml:space="preserve">      　</t>
        </r>
        <r>
          <rPr>
            <sz val="9"/>
            <color indexed="81"/>
            <rFont val="Meiryo UI"/>
            <family val="3"/>
            <charset val="128"/>
          </rPr>
          <t>⑧</t>
        </r>
        <r>
          <rPr>
            <sz val="9"/>
            <color indexed="81"/>
            <rFont val="ＭＳ ゴシック"/>
            <family val="3"/>
            <charset val="128"/>
          </rPr>
          <t>　　　　</t>
        </r>
        <r>
          <rPr>
            <sz val="9"/>
            <color indexed="81"/>
            <rFont val="Meiryo UI"/>
            <family val="3"/>
            <charset val="128"/>
          </rPr>
          <t>⑨</t>
        </r>
        <r>
          <rPr>
            <sz val="9"/>
            <color indexed="81"/>
            <rFont val="ＭＳ ゴシック"/>
            <family val="3"/>
            <charset val="128"/>
          </rPr>
          <t xml:space="preserve">　　　　■　　 　 ■
　　　┃　　　　　　　　　　　　　　　 </t>
        </r>
        <r>
          <rPr>
            <sz val="9"/>
            <color indexed="10"/>
            <rFont val="ＭＳ ゴシック"/>
            <family val="3"/>
            <charset val="128"/>
          </rPr>
          <t>　</t>
        </r>
        <r>
          <rPr>
            <sz val="9"/>
            <color indexed="81"/>
            <rFont val="ＭＳ ゴシック"/>
            <family val="3"/>
            <charset val="128"/>
          </rPr>
          <t>　 　┃ 
　　　</t>
        </r>
        <r>
          <rPr>
            <sz val="9"/>
            <color indexed="81"/>
            <rFont val="Meiryo UI"/>
            <family val="3"/>
            <charset val="128"/>
          </rPr>
          <t>④</t>
        </r>
        <r>
          <rPr>
            <sz val="9"/>
            <color indexed="81"/>
            <rFont val="ＭＳ ゴシック"/>
            <family val="3"/>
            <charset val="128"/>
          </rPr>
          <t xml:space="preserve">      　</t>
        </r>
        <r>
          <rPr>
            <sz val="9"/>
            <color indexed="81"/>
            <rFont val="Meiryo UI"/>
            <family val="3"/>
            <charset val="128"/>
          </rPr>
          <t>⑤</t>
        </r>
        <r>
          <rPr>
            <sz val="9"/>
            <color indexed="81"/>
            <rFont val="ＭＳ ゴシック"/>
            <family val="3"/>
            <charset val="128"/>
          </rPr>
          <t>　　　　</t>
        </r>
        <r>
          <rPr>
            <sz val="9"/>
            <color indexed="81"/>
            <rFont val="Meiryo UI"/>
            <family val="3"/>
            <charset val="128"/>
          </rPr>
          <t>⑥</t>
        </r>
        <r>
          <rPr>
            <sz val="9"/>
            <color indexed="81"/>
            <rFont val="ＭＳ ゴシック"/>
            <family val="3"/>
            <charset val="128"/>
          </rPr>
          <t>　　　　■　</t>
        </r>
        <r>
          <rPr>
            <sz val="9"/>
            <color indexed="10"/>
            <rFont val="ＭＳ ゴシック"/>
            <family val="3"/>
            <charset val="128"/>
          </rPr>
          <t>　</t>
        </r>
        <r>
          <rPr>
            <sz val="9"/>
            <color indexed="81"/>
            <rFont val="ＭＳ ゴシック"/>
            <family val="3"/>
            <charset val="128"/>
          </rPr>
          <t xml:space="preserve"> 　 ■
　　　┃　　　　　　　　　　　　　　　　　　　┃ 
　    </t>
        </r>
        <r>
          <rPr>
            <sz val="9"/>
            <color indexed="81"/>
            <rFont val="Meiryo UI"/>
            <family val="3"/>
            <charset val="128"/>
          </rPr>
          <t>①</t>
        </r>
        <r>
          <rPr>
            <sz val="9"/>
            <color indexed="81"/>
            <rFont val="ＭＳ ゴシック"/>
            <family val="3"/>
            <charset val="128"/>
          </rPr>
          <t>━━━━</t>
        </r>
        <r>
          <rPr>
            <sz val="9"/>
            <color indexed="81"/>
            <rFont val="Meiryo UI"/>
            <family val="3"/>
            <charset val="128"/>
          </rPr>
          <t>②</t>
        </r>
        <r>
          <rPr>
            <sz val="9"/>
            <color indexed="81"/>
            <rFont val="ＭＳ ゴシック"/>
            <family val="3"/>
            <charset val="128"/>
          </rPr>
          <t>━━━━</t>
        </r>
        <r>
          <rPr>
            <sz val="9"/>
            <color indexed="81"/>
            <rFont val="Meiryo UI"/>
            <family val="3"/>
            <charset val="128"/>
          </rPr>
          <t>③</t>
        </r>
        <r>
          <rPr>
            <sz val="9"/>
            <color indexed="81"/>
            <rFont val="ＭＳ ゴシック"/>
            <family val="3"/>
            <charset val="128"/>
          </rPr>
          <t xml:space="preserve">━━━━■━━━━■ 
                                       </t>
        </r>
        <r>
          <rPr>
            <sz val="9"/>
            <color indexed="35"/>
            <rFont val="ＭＳ ゴシック"/>
            <family val="3"/>
            <charset val="128"/>
          </rPr>
          <t xml:space="preserve">　　   </t>
        </r>
        <r>
          <rPr>
            <b/>
            <sz val="10"/>
            <color indexed="39"/>
            <rFont val="ＭＳ ゴシック"/>
            <family val="3"/>
            <charset val="128"/>
          </rPr>
          <t>→ Lx</t>
        </r>
        <r>
          <rPr>
            <sz val="9"/>
            <color indexed="35"/>
            <rFont val="ＭＳ ゴシック"/>
            <family val="3"/>
            <charset val="128"/>
          </rPr>
          <t xml:space="preserve">
 </t>
        </r>
      </text>
    </comment>
    <comment ref="AV6" authorId="0">
      <text>
        <r>
          <rPr>
            <b/>
            <sz val="9"/>
            <color indexed="81"/>
            <rFont val="ＭＳ Ｐゴシック"/>
            <family val="3"/>
            <charset val="128"/>
          </rPr>
          <t xml:space="preserve">              </t>
        </r>
        <r>
          <rPr>
            <b/>
            <sz val="11"/>
            <color indexed="37"/>
            <rFont val="ＭＳ Ｐ明朝"/>
            <family val="1"/>
            <charset val="128"/>
          </rPr>
          <t>天井内配線の位置</t>
        </r>
        <r>
          <rPr>
            <b/>
            <sz val="11"/>
            <color indexed="81"/>
            <rFont val="ＭＳ Ｐゴシック"/>
            <family val="3"/>
            <charset val="128"/>
          </rPr>
          <t xml:space="preserve">  </t>
        </r>
        <r>
          <rPr>
            <b/>
            <sz val="12"/>
            <color indexed="81"/>
            <rFont val="ＭＳ Ｐゴシック"/>
            <family val="3"/>
            <charset val="128"/>
          </rPr>
          <t xml:space="preserve">
</t>
        </r>
        <r>
          <rPr>
            <sz val="12"/>
            <color indexed="9"/>
            <rFont val="ＭＳ ゴシック"/>
            <family val="3"/>
            <charset val="128"/>
          </rPr>
          <t xml:space="preserve">                  </t>
        </r>
        <r>
          <rPr>
            <b/>
            <vertAlign val="subscript"/>
            <sz val="12"/>
            <color indexed="32"/>
            <rFont val="Meiryo UI"/>
            <family val="3"/>
            <charset val="128"/>
          </rPr>
          <t>▽FL</t>
        </r>
        <r>
          <rPr>
            <sz val="12"/>
            <color indexed="9"/>
            <rFont val="ＭＳ ゴシック"/>
            <family val="3"/>
            <charset val="128"/>
          </rPr>
          <t xml:space="preserve">
</t>
        </r>
        <r>
          <rPr>
            <sz val="9"/>
            <color indexed="9"/>
            <rFont val="ＭＳ ゴシック"/>
            <family val="3"/>
            <charset val="128"/>
          </rPr>
          <t xml:space="preserve">  </t>
        </r>
        <r>
          <rPr>
            <sz val="9"/>
            <color indexed="32"/>
            <rFont val="Meiryo UI"/>
            <family val="3"/>
            <charset val="128"/>
          </rPr>
          <t>▀▀▀▀▀▀▀▀▀▀▀▀▀▀▀▀▀▀▀</t>
        </r>
        <r>
          <rPr>
            <sz val="9"/>
            <color indexed="9"/>
            <rFont val="ＭＳ ゴシック"/>
            <family val="3"/>
            <charset val="128"/>
          </rPr>
          <t xml:space="preserve">
  </t>
        </r>
        <r>
          <rPr>
            <sz val="9"/>
            <color indexed="32"/>
            <rFont val="ＭＳ ゴシック"/>
            <family val="3"/>
            <charset val="128"/>
          </rPr>
          <t xml:space="preserve">                     </t>
        </r>
        <r>
          <rPr>
            <sz val="9"/>
            <color indexed="32"/>
            <rFont val="Meiryo UI"/>
            <family val="3"/>
            <charset val="128"/>
          </rPr>
          <t>スラブ</t>
        </r>
        <r>
          <rPr>
            <sz val="9"/>
            <color indexed="81"/>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xml:space="preserve">  </t>
        </r>
        <r>
          <rPr>
            <sz val="8"/>
            <color indexed="81"/>
            <rFont val="ＭＳ ゴシック"/>
            <family val="3"/>
            <charset val="128"/>
          </rPr>
          <t xml:space="preserve"> </t>
        </r>
        <r>
          <rPr>
            <sz val="7"/>
            <color indexed="81"/>
            <rFont val="ＭＳ ゴシック"/>
            <family val="3"/>
            <charset val="128"/>
          </rPr>
          <t xml:space="preserve"> </t>
        </r>
        <r>
          <rPr>
            <sz val="8"/>
            <color indexed="81"/>
            <rFont val="ＭＳ ゴシック"/>
            <family val="3"/>
            <charset val="128"/>
          </rPr>
          <t xml:space="preserve"> </t>
        </r>
        <r>
          <rPr>
            <sz val="9"/>
            <color indexed="32"/>
            <rFont val="Meiryo UI"/>
            <family val="3"/>
            <charset val="128"/>
          </rPr>
          <t>ケーブル配線</t>
        </r>
        <r>
          <rPr>
            <sz val="6"/>
            <color indexed="81"/>
            <rFont val="ＭＳ ゴシック"/>
            <family val="3"/>
            <charset val="128"/>
          </rPr>
          <t xml:space="preserve"> </t>
        </r>
        <r>
          <rPr>
            <sz val="9"/>
            <color indexed="81"/>
            <rFont val="ＭＳ ゴシック"/>
            <family val="3"/>
            <charset val="128"/>
          </rPr>
          <t xml:space="preserve">   │</t>
        </r>
        <r>
          <rPr>
            <sz val="10"/>
            <color indexed="32"/>
            <rFont val="Meiryo UI"/>
            <family val="3"/>
            <charset val="128"/>
          </rPr>
          <t>0.1m</t>
        </r>
        <r>
          <rPr>
            <sz val="9"/>
            <color indexed="9"/>
            <rFont val="ＭＳ ゴシック"/>
            <family val="3"/>
            <charset val="128"/>
          </rPr>
          <t xml:space="preserve">
    </t>
        </r>
        <r>
          <rPr>
            <sz val="9"/>
            <color indexed="32"/>
            <rFont val="ＭＳ ゴシック"/>
            <family val="3"/>
            <charset val="128"/>
          </rPr>
          <t>┃      ┃</t>
        </r>
        <r>
          <rPr>
            <sz val="9"/>
            <color indexed="81"/>
            <rFont val="ＭＳ ゴシック"/>
            <family val="3"/>
            <charset val="128"/>
          </rPr>
          <t>▀▀ ▀ ▀▀▀▀▀▀ ▀ ▀▀▀</t>
        </r>
        <r>
          <rPr>
            <sz val="9"/>
            <color indexed="32"/>
            <rFont val="ＭＳ ゴシック"/>
            <family val="3"/>
            <charset val="128"/>
          </rPr>
          <t xml:space="preserve"> ┴</t>
        </r>
        <r>
          <rPr>
            <sz val="9"/>
            <color indexed="32"/>
            <rFont val="Meiryo UI"/>
            <family val="3"/>
            <charset val="128"/>
          </rPr>
          <t>(スラブ下)</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      ┃</t>
        </r>
        <r>
          <rPr>
            <sz val="9"/>
            <color indexed="9"/>
            <rFont val="ＭＳ ゴシック"/>
            <family val="3"/>
            <charset val="128"/>
          </rPr>
          <t xml:space="preserve">
    </t>
        </r>
        <r>
          <rPr>
            <sz val="9"/>
            <color indexed="32"/>
            <rFont val="ＭＳ ゴシック"/>
            <family val="3"/>
            <charset val="128"/>
          </rPr>
          <t>┗━━━┛</t>
        </r>
        <r>
          <rPr>
            <sz val="9"/>
            <color indexed="81"/>
            <rFont val="ＭＳ ゴシック"/>
            <family val="3"/>
            <charset val="128"/>
          </rPr>
          <t xml:space="preserve">
</t>
        </r>
        <r>
          <rPr>
            <sz val="9"/>
            <color indexed="32"/>
            <rFont val="ＭＳ ゴシック"/>
            <family val="3"/>
            <charset val="128"/>
          </rPr>
          <t xml:space="preserve">  ┬┬┬┬┬┬┬┬┬┬┬┬┬┬┬</t>
        </r>
        <r>
          <rPr>
            <sz val="9"/>
            <color indexed="81"/>
            <rFont val="ＭＳ ゴシック"/>
            <family val="3"/>
            <charset val="128"/>
          </rPr>
          <t xml:space="preserve">
  </t>
        </r>
        <r>
          <rPr>
            <sz val="9"/>
            <color indexed="32"/>
            <rFont val="ＭＳ ゴシック"/>
            <family val="3"/>
            <charset val="128"/>
          </rPr>
          <t>╧╧╧╧╧╧╧╧╧╧╧╧╧╧╧╧╧╧╧╧╧╧╧╧╧╧╧╧╧╧ (天井材)</t>
        </r>
        <r>
          <rPr>
            <sz val="9"/>
            <color indexed="81"/>
            <rFont val="ＭＳ ゴシック"/>
            <family val="3"/>
            <charset val="128"/>
          </rPr>
          <t xml:space="preserve">
　       　   </t>
        </r>
        <r>
          <rPr>
            <b/>
            <sz val="8"/>
            <color indexed="32"/>
            <rFont val="Meiryo UI"/>
            <family val="3"/>
            <charset val="128"/>
          </rPr>
          <t xml:space="preserve">△Ch
</t>
        </r>
      </text>
    </comment>
    <comment ref="AW8"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梁巻き配線長［ｍ］</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t>
        </r>
        <r>
          <rPr>
            <sz val="8"/>
            <color indexed="32"/>
            <rFont val="ＭＳ Ｐ明朝"/>
            <family val="1"/>
            <charset val="128"/>
          </rPr>
          <t xml:space="preserve"> </t>
        </r>
        <r>
          <rPr>
            <sz val="8"/>
            <color indexed="32"/>
            <rFont val="Meiryo UI"/>
            <family val="3"/>
            <charset val="128"/>
          </rPr>
          <t>梁成="０" にすると梁巻き配線長は、</t>
        </r>
        <r>
          <rPr>
            <sz val="12"/>
            <color indexed="32"/>
            <rFont val="Meiryo UI"/>
            <family val="3"/>
            <charset val="128"/>
          </rPr>
          <t xml:space="preserve"> </t>
        </r>
        <r>
          <rPr>
            <sz val="8"/>
            <color indexed="32"/>
            <rFont val="Meiryo UI"/>
            <family val="3"/>
            <charset val="128"/>
          </rPr>
          <t xml:space="preserve">
　 計上されません。
 </t>
        </r>
      </text>
    </comment>
    <comment ref="V15"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t>
        </r>
        <r>
          <rPr>
            <b/>
            <sz val="12"/>
            <color indexed="37"/>
            <rFont val="ＭＳ Ｐ明朝"/>
            <family val="1"/>
            <charset val="128"/>
          </rPr>
          <t>受信電界強度の目安</t>
        </r>
        <r>
          <rPr>
            <b/>
            <sz val="18"/>
            <color indexed="32"/>
            <rFont val="ＭＳ Ｐ明朝"/>
            <family val="1"/>
            <charset val="128"/>
          </rPr>
          <t xml:space="preserve"> </t>
        </r>
        <r>
          <rPr>
            <b/>
            <sz val="9"/>
            <color indexed="81"/>
            <rFont val="ＭＳ Ｐゴシック"/>
            <family val="3"/>
            <charset val="128"/>
          </rPr>
          <t xml:space="preserve">
</t>
        </r>
        <r>
          <rPr>
            <sz val="9"/>
            <color indexed="81"/>
            <rFont val="ＭＳ ゴシック"/>
            <family val="3"/>
            <charset val="128"/>
          </rPr>
          <t>　</t>
        </r>
        <r>
          <rPr>
            <sz val="9"/>
            <color indexed="32"/>
            <rFont val="Meiryo UI"/>
            <family val="3"/>
            <charset val="128"/>
          </rPr>
          <t>強電界地域</t>
        </r>
        <r>
          <rPr>
            <sz val="9"/>
            <color indexed="32"/>
            <rFont val="ＭＳ Ｐ明朝"/>
            <family val="1"/>
            <charset val="128"/>
          </rPr>
          <t xml:space="preserve">    </t>
        </r>
        <r>
          <rPr>
            <sz val="9"/>
            <color indexed="32"/>
            <rFont val="Meiryo UI"/>
            <family val="3"/>
            <charset val="128"/>
          </rPr>
          <t>：</t>
        </r>
        <r>
          <rPr>
            <b/>
            <sz val="9"/>
            <color indexed="81"/>
            <rFont val="ＭＳ ゴシック"/>
            <family val="3"/>
            <charset val="128"/>
          </rPr>
          <t>80</t>
        </r>
        <r>
          <rPr>
            <sz val="9"/>
            <color indexed="18"/>
            <rFont val="ＭＳ ゴシック"/>
            <family val="3"/>
            <charset val="128"/>
          </rPr>
          <t xml:space="preserve"> </t>
        </r>
        <r>
          <rPr>
            <b/>
            <sz val="9"/>
            <color indexed="56"/>
            <rFont val="ＭＳ ゴシック"/>
            <family val="3"/>
            <charset val="128"/>
          </rPr>
          <t>[dBμＶ/ｍ]</t>
        </r>
        <r>
          <rPr>
            <sz val="9"/>
            <color indexed="9"/>
            <rFont val="ＭＳ ゴシック"/>
            <family val="3"/>
            <charset val="128"/>
          </rPr>
          <t>　</t>
        </r>
        <r>
          <rPr>
            <sz val="9"/>
            <color indexed="81"/>
            <rFont val="Meiryo UI"/>
            <family val="3"/>
            <charset val="128"/>
          </rPr>
          <t>共聴アンテナ</t>
        </r>
        <r>
          <rPr>
            <sz val="9"/>
            <color indexed="81"/>
            <rFont val="ＭＳ ゴシック"/>
            <family val="3"/>
            <charset val="128"/>
          </rPr>
          <t xml:space="preserve"> </t>
        </r>
        <r>
          <rPr>
            <sz val="9"/>
            <color indexed="81"/>
            <rFont val="Meiryo UI"/>
            <family val="3"/>
            <charset val="128"/>
          </rPr>
          <t>推奨</t>
        </r>
        <r>
          <rPr>
            <sz val="16"/>
            <color indexed="9"/>
            <rFont val="ＭＳ ゴシック"/>
            <family val="3"/>
            <charset val="128"/>
          </rPr>
          <t xml:space="preserve"> </t>
        </r>
        <r>
          <rPr>
            <sz val="9"/>
            <color indexed="9"/>
            <rFont val="ＭＳ ゴシック"/>
            <family val="3"/>
            <charset val="128"/>
          </rPr>
          <t xml:space="preserve">
　</t>
        </r>
        <r>
          <rPr>
            <sz val="9"/>
            <color indexed="32"/>
            <rFont val="Meiryo UI"/>
            <family val="3"/>
            <charset val="128"/>
          </rPr>
          <t>中電界地域</t>
        </r>
        <r>
          <rPr>
            <sz val="9"/>
            <color indexed="32"/>
            <rFont val="ＭＳ ゴシック"/>
            <family val="3"/>
            <charset val="128"/>
          </rPr>
          <t xml:space="preserve"> </t>
        </r>
        <r>
          <rPr>
            <sz val="9"/>
            <color indexed="32"/>
            <rFont val="Meiryo UI"/>
            <family val="3"/>
            <charset val="128"/>
          </rPr>
          <t>　：</t>
        </r>
        <r>
          <rPr>
            <b/>
            <sz val="9"/>
            <color indexed="81"/>
            <rFont val="ＭＳ ゴシック"/>
            <family val="3"/>
            <charset val="128"/>
          </rPr>
          <t>70</t>
        </r>
        <r>
          <rPr>
            <sz val="9"/>
            <color indexed="9"/>
            <rFont val="ＭＳ ゴシック"/>
            <family val="3"/>
            <charset val="128"/>
          </rPr>
          <t xml:space="preserve"> </t>
        </r>
        <r>
          <rPr>
            <b/>
            <sz val="9"/>
            <color indexed="56"/>
            <rFont val="ＭＳ ゴシック"/>
            <family val="3"/>
            <charset val="128"/>
          </rPr>
          <t>[dBμＶ/ｍ]</t>
        </r>
        <r>
          <rPr>
            <sz val="9"/>
            <color indexed="9"/>
            <rFont val="ＭＳ ゴシック"/>
            <family val="3"/>
            <charset val="128"/>
          </rPr>
          <t>　</t>
        </r>
        <r>
          <rPr>
            <sz val="9"/>
            <color indexed="81"/>
            <rFont val="Meiryo UI"/>
            <family val="3"/>
            <charset val="128"/>
          </rPr>
          <t>共聴アンテナ</t>
        </r>
        <r>
          <rPr>
            <sz val="9"/>
            <color indexed="81"/>
            <rFont val="ＭＳ ゴシック"/>
            <family val="3"/>
            <charset val="128"/>
          </rPr>
          <t xml:space="preserve"> </t>
        </r>
        <r>
          <rPr>
            <sz val="9"/>
            <color indexed="81"/>
            <rFont val="Meiryo UI"/>
            <family val="3"/>
            <charset val="128"/>
          </rPr>
          <t>推奨</t>
        </r>
        <r>
          <rPr>
            <sz val="9"/>
            <color indexed="9"/>
            <rFont val="ＭＳ ゴシック"/>
            <family val="3"/>
            <charset val="128"/>
          </rPr>
          <t xml:space="preserve">
　</t>
        </r>
        <r>
          <rPr>
            <sz val="9"/>
            <color indexed="32"/>
            <rFont val="Meiryo UI"/>
            <family val="3"/>
            <charset val="128"/>
          </rPr>
          <t>放送区域の端 ：</t>
        </r>
        <r>
          <rPr>
            <b/>
            <sz val="9"/>
            <color indexed="81"/>
            <rFont val="ＭＳ ゴシック"/>
            <family val="3"/>
            <charset val="128"/>
          </rPr>
          <t>60</t>
        </r>
        <r>
          <rPr>
            <sz val="9"/>
            <color indexed="9"/>
            <rFont val="ＭＳ ゴシック"/>
            <family val="3"/>
            <charset val="128"/>
          </rPr>
          <t xml:space="preserve"> </t>
        </r>
        <r>
          <rPr>
            <b/>
            <sz val="9"/>
            <color indexed="56"/>
            <rFont val="ＭＳ ゴシック"/>
            <family val="3"/>
            <charset val="128"/>
          </rPr>
          <t>[dBμＶ/ｍ]</t>
        </r>
        <r>
          <rPr>
            <sz val="9"/>
            <color indexed="9"/>
            <rFont val="ＭＳ ゴシック"/>
            <family val="3"/>
            <charset val="128"/>
          </rPr>
          <t>　</t>
        </r>
        <r>
          <rPr>
            <sz val="9"/>
            <color indexed="81"/>
            <rFont val="Meiryo UI"/>
            <family val="3"/>
            <charset val="128"/>
          </rPr>
          <t>受信方式</t>
        </r>
        <r>
          <rPr>
            <sz val="9"/>
            <color indexed="81"/>
            <rFont val="ＭＳ ゴシック"/>
            <family val="3"/>
            <charset val="128"/>
          </rPr>
          <t xml:space="preserve"> </t>
        </r>
        <r>
          <rPr>
            <sz val="9"/>
            <color indexed="81"/>
            <rFont val="Meiryo UI"/>
            <family val="3"/>
            <charset val="128"/>
          </rPr>
          <t>要検討</t>
        </r>
        <r>
          <rPr>
            <sz val="9"/>
            <color indexed="9"/>
            <rFont val="ＭＳ ゴシック"/>
            <family val="3"/>
            <charset val="128"/>
          </rPr>
          <t xml:space="preserve">
　</t>
        </r>
        <r>
          <rPr>
            <sz val="9"/>
            <color indexed="32"/>
            <rFont val="Meiryo UI"/>
            <family val="3"/>
            <charset val="128"/>
          </rPr>
          <t>放送区域外　</t>
        </r>
        <r>
          <rPr>
            <sz val="9"/>
            <color indexed="32"/>
            <rFont val="ＭＳ ゴシック"/>
            <family val="3"/>
            <charset val="128"/>
          </rPr>
          <t xml:space="preserve"> </t>
        </r>
        <r>
          <rPr>
            <sz val="9"/>
            <color indexed="32"/>
            <rFont val="Meiryo UI"/>
            <family val="3"/>
            <charset val="128"/>
          </rPr>
          <t>：</t>
        </r>
        <r>
          <rPr>
            <b/>
            <sz val="9"/>
            <color indexed="81"/>
            <rFont val="ＭＳ ゴシック"/>
            <family val="3"/>
            <charset val="128"/>
          </rPr>
          <t>55</t>
        </r>
        <r>
          <rPr>
            <sz val="9"/>
            <color indexed="9"/>
            <rFont val="ＭＳ ゴシック"/>
            <family val="3"/>
            <charset val="128"/>
          </rPr>
          <t xml:space="preserve"> </t>
        </r>
        <r>
          <rPr>
            <b/>
            <sz val="9"/>
            <color indexed="56"/>
            <rFont val="ＭＳ ゴシック"/>
            <family val="3"/>
            <charset val="128"/>
          </rPr>
          <t>[dBμＶ/ｍ]</t>
        </r>
        <r>
          <rPr>
            <sz val="9"/>
            <color indexed="9"/>
            <rFont val="ＭＳ ゴシック"/>
            <family val="3"/>
            <charset val="128"/>
          </rPr>
          <t>　</t>
        </r>
        <r>
          <rPr>
            <sz val="9"/>
            <color indexed="81"/>
            <rFont val="Meiryo UI"/>
            <family val="3"/>
            <charset val="128"/>
          </rPr>
          <t xml:space="preserve">CATV受信 推奨
</t>
        </r>
        <r>
          <rPr>
            <sz val="8.5"/>
            <color indexed="81"/>
            <rFont val="Meiryo UI"/>
            <family val="3"/>
            <charset val="128"/>
          </rPr>
          <t xml:space="preserve">         基本設定値：</t>
        </r>
        <r>
          <rPr>
            <b/>
            <sz val="8.5"/>
            <color indexed="32"/>
            <rFont val="Meiryo UI"/>
            <family val="3"/>
            <charset val="128"/>
          </rPr>
          <t>65</t>
        </r>
        <r>
          <rPr>
            <sz val="8.5"/>
            <color indexed="81"/>
            <rFont val="Meiryo UI"/>
            <family val="3"/>
            <charset val="128"/>
          </rPr>
          <t xml:space="preserve"> [dBμV/m] ・・・・・ 共聴アンテナ</t>
        </r>
        <r>
          <rPr>
            <sz val="12"/>
            <color indexed="81"/>
            <rFont val="Meiryo UI"/>
            <family val="3"/>
            <charset val="128"/>
          </rPr>
          <t xml:space="preserve"> </t>
        </r>
        <r>
          <rPr>
            <sz val="8.5"/>
            <color indexed="81"/>
            <rFont val="Meiryo UI"/>
            <family val="3"/>
            <charset val="128"/>
          </rPr>
          <t xml:space="preserve">
         基本設定値：</t>
        </r>
        <r>
          <rPr>
            <b/>
            <sz val="8.5"/>
            <color indexed="32"/>
            <rFont val="Meiryo UI"/>
            <family val="3"/>
            <charset val="128"/>
          </rPr>
          <t>75</t>
        </r>
        <r>
          <rPr>
            <b/>
            <sz val="8.5"/>
            <color indexed="81"/>
            <rFont val="Meiryo UI"/>
            <family val="3"/>
            <charset val="128"/>
          </rPr>
          <t xml:space="preserve"> </t>
        </r>
        <r>
          <rPr>
            <sz val="8.5"/>
            <color indexed="81"/>
            <rFont val="Meiryo UI"/>
            <family val="3"/>
            <charset val="128"/>
          </rPr>
          <t>[dBμV/m] ・・・・・ CATV</t>
        </r>
        <r>
          <rPr>
            <sz val="9"/>
            <color indexed="81"/>
            <rFont val="Meiryo UI"/>
            <family val="3"/>
            <charset val="128"/>
          </rPr>
          <t xml:space="preserve">
</t>
        </r>
        <r>
          <rPr>
            <sz val="9"/>
            <color indexed="32"/>
            <rFont val="Meiryo UI"/>
            <family val="3"/>
            <charset val="128"/>
          </rPr>
          <t xml:space="preserve">   (注) </t>
        </r>
        <r>
          <rPr>
            <sz val="8.5"/>
            <color indexed="32"/>
            <rFont val="Meiryo UI"/>
            <family val="3"/>
            <charset val="128"/>
          </rPr>
          <t>受信電界強度は、NHK 又は 専門業者に依頼し、正確な</t>
        </r>
        <r>
          <rPr>
            <sz val="12"/>
            <color indexed="32"/>
            <rFont val="Meiryo UI"/>
            <family val="3"/>
            <charset val="128"/>
          </rPr>
          <t xml:space="preserve"> </t>
        </r>
        <r>
          <rPr>
            <sz val="8.5"/>
            <color indexed="32"/>
            <rFont val="Meiryo UI"/>
            <family val="3"/>
            <charset val="128"/>
          </rPr>
          <t xml:space="preserve">
           値を把握することをお奨めします。山影、ビル影等が原因で
           受信電界強度の低下が予想される場合、実測(測定費用
           は、原則有料)する必要があります。</t>
        </r>
      </text>
    </comment>
    <comment ref="R19"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配線方式（Ａ）</t>
        </r>
        <r>
          <rPr>
            <b/>
            <sz val="18"/>
            <color indexed="32"/>
            <rFont val="ＭＳ Ｐ明朝"/>
            <family val="1"/>
            <charset val="128"/>
          </rPr>
          <t xml:space="preserve"> </t>
        </r>
        <r>
          <rPr>
            <b/>
            <sz val="9"/>
            <color indexed="81"/>
            <rFont val="ＭＳ Ｐゴシック"/>
            <family val="3"/>
            <charset val="128"/>
          </rPr>
          <t xml:space="preserve">
</t>
        </r>
        <r>
          <rPr>
            <sz val="9"/>
            <color indexed="81"/>
            <rFont val="ＭＳ ゴシック"/>
            <family val="3"/>
            <charset val="128"/>
          </rPr>
          <t>　　</t>
        </r>
        <r>
          <rPr>
            <sz val="9"/>
            <color indexed="81"/>
            <rFont val="ＭＳ Ｐ明朝"/>
            <family val="1"/>
            <charset val="128"/>
          </rPr>
          <t xml:space="preserve"> </t>
        </r>
        <r>
          <rPr>
            <sz val="9"/>
            <color indexed="81"/>
            <rFont val="Meiryo UI"/>
            <family val="3"/>
            <charset val="128"/>
          </rPr>
          <t>階の直列ユニット数：</t>
        </r>
        <r>
          <rPr>
            <b/>
            <sz val="10"/>
            <color indexed="18"/>
            <rFont val="Meiryo UI"/>
            <family val="3"/>
            <charset val="128"/>
          </rPr>
          <t>24</t>
        </r>
        <r>
          <rPr>
            <sz val="9"/>
            <color indexed="81"/>
            <rFont val="Meiryo UI"/>
            <family val="3"/>
            <charset val="128"/>
          </rPr>
          <t xml:space="preserve">以下
</t>
        </r>
        <r>
          <rPr>
            <sz val="9"/>
            <color indexed="9"/>
            <rFont val="ＭＳ ゴシック"/>
            <family val="3"/>
            <charset val="128"/>
          </rPr>
          <t>　</t>
        </r>
        <r>
          <rPr>
            <sz val="9"/>
            <color indexed="9"/>
            <rFont val="Meiryo UI"/>
            <family val="3"/>
            <charset val="128"/>
          </rPr>
          <t xml:space="preserve">           </t>
        </r>
        <r>
          <rPr>
            <sz val="9"/>
            <color indexed="32"/>
            <rFont val="ＭＳ ゴシック"/>
            <family val="3"/>
            <charset val="128"/>
          </rPr>
          <t>▽</t>
        </r>
        <r>
          <rPr>
            <sz val="9"/>
            <color indexed="32"/>
            <rFont val="ＭＳ Ｐゴシック"/>
            <family val="3"/>
            <charset val="128"/>
          </rPr>
          <t>：</t>
        </r>
        <r>
          <rPr>
            <sz val="9"/>
            <color indexed="32"/>
            <rFont val="Meiryo UI"/>
            <family val="3"/>
            <charset val="128"/>
          </rPr>
          <t>増幅器 (2段)</t>
        </r>
        <r>
          <rPr>
            <sz val="12"/>
            <color indexed="9"/>
            <rFont val="Meiryo UI"/>
            <family val="3"/>
            <charset val="128"/>
          </rPr>
          <t xml:space="preserve"> </t>
        </r>
        <r>
          <rPr>
            <sz val="9"/>
            <color indexed="9"/>
            <rFont val="Meiryo UI"/>
            <family val="3"/>
            <charset val="128"/>
          </rPr>
          <t xml:space="preserve">
</t>
        </r>
        <r>
          <rPr>
            <sz val="9"/>
            <color indexed="9"/>
            <rFont val="ＭＳ ゴシック"/>
            <family val="3"/>
            <charset val="128"/>
          </rPr>
          <t xml:space="preserve">  </t>
        </r>
        <r>
          <rPr>
            <sz val="9"/>
            <color indexed="32"/>
            <rFont val="ＭＳ ゴシック"/>
            <family val="3"/>
            <charset val="128"/>
          </rPr>
          <t>┌</t>
        </r>
        <r>
          <rPr>
            <sz val="9"/>
            <color indexed="81"/>
            <rFont val="ＭＳ ゴシック"/>
            <family val="3"/>
            <charset val="128"/>
          </rPr>
          <t>┃</t>
        </r>
        <r>
          <rPr>
            <sz val="9"/>
            <color indexed="32"/>
            <rFont val="ＭＳ ゴシック"/>
            <family val="3"/>
            <charset val="128"/>
          </rPr>
          <t>───┐</t>
        </r>
        <r>
          <rPr>
            <sz val="9"/>
            <color indexed="9"/>
            <rFont val="ＭＳ ゴシック"/>
            <family val="3"/>
            <charset val="128"/>
          </rPr>
          <t xml:space="preserve">
</t>
        </r>
        <r>
          <rPr>
            <sz val="9"/>
            <color indexed="32"/>
            <rFont val="ＭＳ ゴシック"/>
            <family val="3"/>
            <charset val="128"/>
          </rPr>
          <t>　│</t>
        </r>
        <r>
          <rPr>
            <sz val="9"/>
            <color indexed="10"/>
            <rFont val="ＭＳ ゴシック"/>
            <family val="3"/>
            <charset val="128"/>
          </rPr>
          <t>┣</t>
        </r>
        <r>
          <rPr>
            <sz val="9"/>
            <color indexed="81"/>
            <rFont val="ＭＳ ゴシック"/>
            <family val="3"/>
            <charset val="128"/>
          </rPr>
          <t>▽</t>
        </r>
        <r>
          <rPr>
            <sz val="9"/>
            <color indexed="32"/>
            <rFont val="ＭＳ ゴシック"/>
            <family val="3"/>
            <charset val="128"/>
          </rPr>
          <t>●</t>
        </r>
        <r>
          <rPr>
            <sz val="9"/>
            <color indexed="81"/>
            <rFont val="ＭＳ ゴシック"/>
            <family val="3"/>
            <charset val="128"/>
          </rPr>
          <t>┓</t>
        </r>
        <r>
          <rPr>
            <sz val="9"/>
            <color indexed="32"/>
            <rFont val="ＭＳ Ｐゴシック"/>
            <family val="3"/>
            <charset val="128"/>
          </rPr>
          <t>│</t>
        </r>
        <r>
          <rPr>
            <sz val="9"/>
            <color indexed="32"/>
            <rFont val="Meiryo UI"/>
            <family val="3"/>
            <charset val="128"/>
          </rPr>
          <t>共聴機器</t>
        </r>
        <r>
          <rPr>
            <sz val="9"/>
            <color indexed="32"/>
            <rFont val="ＭＳ ゴシック"/>
            <family val="3"/>
            <charset val="128"/>
          </rPr>
          <t xml:space="preserve">
　└</t>
        </r>
        <r>
          <rPr>
            <sz val="9"/>
            <color indexed="81"/>
            <rFont val="ＭＳ ゴシック"/>
            <family val="3"/>
            <charset val="128"/>
          </rPr>
          <t>┃</t>
        </r>
        <r>
          <rPr>
            <sz val="9"/>
            <color indexed="32"/>
            <rFont val="ＭＳ ゴシック"/>
            <family val="3"/>
            <charset val="128"/>
          </rPr>
          <t>──</t>
        </r>
        <r>
          <rPr>
            <sz val="9"/>
            <color indexed="81"/>
            <rFont val="ＭＳ ゴシック"/>
            <family val="3"/>
            <charset val="128"/>
          </rPr>
          <t>┃</t>
        </r>
        <r>
          <rPr>
            <sz val="9"/>
            <color indexed="32"/>
            <rFont val="ＭＳ ゴシック"/>
            <family val="3"/>
            <charset val="128"/>
          </rPr>
          <t>┘
　　</t>
        </r>
        <r>
          <rPr>
            <sz val="9"/>
            <color indexed="81"/>
            <rFont val="ＭＳ ゴシック"/>
            <family val="3"/>
            <charset val="128"/>
          </rPr>
          <t>┃  　┗━┓━━━━┓</t>
        </r>
        <r>
          <rPr>
            <sz val="9"/>
            <color indexed="60"/>
            <rFont val="ＭＳ ゴシック"/>
            <family val="3"/>
            <charset val="128"/>
          </rPr>
          <t xml:space="preserve">
　　　　  　　</t>
        </r>
        <r>
          <rPr>
            <sz val="9"/>
            <color indexed="81"/>
            <rFont val="ＭＳ ゴシック"/>
            <family val="3"/>
            <charset val="128"/>
          </rPr>
          <t>┃　　　　┃</t>
        </r>
        <r>
          <rPr>
            <sz val="9"/>
            <color indexed="32"/>
            <rFont val="ＭＳ ゴシック"/>
            <family val="3"/>
            <charset val="128"/>
          </rPr>
          <t xml:space="preserve">
　　　　  　　◎</t>
        </r>
        <r>
          <rPr>
            <sz val="9"/>
            <color indexed="81"/>
            <rFont val="ＭＳ ゴシック"/>
            <family val="3"/>
            <charset val="128"/>
          </rPr>
          <t>━</t>
        </r>
        <r>
          <rPr>
            <sz val="9"/>
            <color indexed="32"/>
            <rFont val="ＭＳ ゴシック"/>
            <family val="3"/>
            <charset val="128"/>
          </rPr>
          <t>◎　　◎</t>
        </r>
        <r>
          <rPr>
            <sz val="9"/>
            <color indexed="81"/>
            <rFont val="ＭＳ ゴシック"/>
            <family val="3"/>
            <charset val="128"/>
          </rPr>
          <t>━</t>
        </r>
        <r>
          <rPr>
            <sz val="9"/>
            <color indexed="32"/>
            <rFont val="ＭＳ ゴシック"/>
            <family val="3"/>
            <charset val="128"/>
          </rPr>
          <t>◎
　　　　  　　</t>
        </r>
        <r>
          <rPr>
            <sz val="9"/>
            <color indexed="32"/>
            <rFont val="Meiryo UI"/>
            <family val="3"/>
            <charset val="128"/>
          </rPr>
          <t xml:space="preserve">  各直列ユニットへ</t>
        </r>
        <r>
          <rPr>
            <sz val="12"/>
            <color indexed="9"/>
            <rFont val="Meiryo UI"/>
            <family val="3"/>
            <charset val="128"/>
          </rPr>
          <t xml:space="preserve"> </t>
        </r>
        <r>
          <rPr>
            <sz val="9"/>
            <color indexed="32"/>
            <rFont val="ＭＳ ゴシック"/>
            <family val="3"/>
            <charset val="128"/>
          </rPr>
          <t xml:space="preserve">
　　　</t>
        </r>
        <r>
          <rPr>
            <sz val="9"/>
            <color indexed="10"/>
            <rFont val="ＭＳ ゴシック"/>
            <family val="3"/>
            <charset val="128"/>
          </rPr>
          <t>┣</t>
        </r>
        <r>
          <rPr>
            <sz val="9"/>
            <color indexed="32"/>
            <rFont val="Meiryo UI"/>
            <family val="3"/>
            <charset val="128"/>
          </rPr>
          <t>：分岐器 (1,2Ｃ)</t>
        </r>
        <r>
          <rPr>
            <sz val="9"/>
            <color indexed="32"/>
            <rFont val="ＭＳ ゴシック"/>
            <family val="3"/>
            <charset val="128"/>
          </rPr>
          <t xml:space="preserve">
　　　●</t>
        </r>
        <r>
          <rPr>
            <sz val="9"/>
            <color indexed="32"/>
            <rFont val="Meiryo UI"/>
            <family val="3"/>
            <charset val="128"/>
          </rPr>
          <t xml:space="preserve">：分配器 (2D,4D,6Ｄ)
 </t>
        </r>
      </text>
    </comment>
    <comment ref="S19"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配線方式（Ｂ）</t>
        </r>
        <r>
          <rPr>
            <b/>
            <sz val="18"/>
            <color indexed="32"/>
            <rFont val="ＭＳ Ｐ明朝"/>
            <family val="1"/>
            <charset val="128"/>
          </rPr>
          <t xml:space="preserve"> </t>
        </r>
        <r>
          <rPr>
            <b/>
            <sz val="9"/>
            <color indexed="81"/>
            <rFont val="ＭＳ Ｐゴシック"/>
            <family val="3"/>
            <charset val="128"/>
          </rPr>
          <t xml:space="preserve">
</t>
        </r>
        <r>
          <rPr>
            <sz val="9"/>
            <color indexed="81"/>
            <rFont val="ＭＳ ゴシック"/>
            <family val="3"/>
            <charset val="128"/>
          </rPr>
          <t xml:space="preserve">　　 </t>
        </r>
        <r>
          <rPr>
            <sz val="9"/>
            <color indexed="81"/>
            <rFont val="Meiryo UI"/>
            <family val="3"/>
            <charset val="128"/>
          </rPr>
          <t>階の直列ユニット数：</t>
        </r>
        <r>
          <rPr>
            <b/>
            <sz val="10"/>
            <color indexed="18"/>
            <rFont val="Meiryo UI"/>
            <family val="3"/>
            <charset val="128"/>
          </rPr>
          <t>12</t>
        </r>
        <r>
          <rPr>
            <sz val="9"/>
            <color indexed="81"/>
            <rFont val="Meiryo UI"/>
            <family val="3"/>
            <charset val="128"/>
          </rPr>
          <t>以下</t>
        </r>
        <r>
          <rPr>
            <sz val="9"/>
            <color indexed="9"/>
            <rFont val="ＭＳ ゴシック"/>
            <family val="3"/>
            <charset val="128"/>
          </rPr>
          <t xml:space="preserve">
　　　　　</t>
        </r>
        <r>
          <rPr>
            <sz val="9"/>
            <color indexed="81"/>
            <rFont val="ＭＳ ゴシック"/>
            <family val="3"/>
            <charset val="128"/>
          </rPr>
          <t>▽</t>
        </r>
        <r>
          <rPr>
            <sz val="9"/>
            <color indexed="32"/>
            <rFont val="Meiryo UI"/>
            <family val="3"/>
            <charset val="128"/>
          </rPr>
          <t>：増幅器 (2段)</t>
        </r>
        <r>
          <rPr>
            <sz val="12"/>
            <color indexed="9"/>
            <rFont val="Meiryo UI"/>
            <family val="3"/>
            <charset val="128"/>
          </rPr>
          <t xml:space="preserve"> </t>
        </r>
        <r>
          <rPr>
            <sz val="9"/>
            <color indexed="9"/>
            <rFont val="ＭＳ ゴシック"/>
            <family val="3"/>
            <charset val="128"/>
          </rPr>
          <t xml:space="preserve">
　</t>
        </r>
        <r>
          <rPr>
            <sz val="9"/>
            <color indexed="32"/>
            <rFont val="ＭＳ ゴシック"/>
            <family val="3"/>
            <charset val="128"/>
          </rPr>
          <t>┌</t>
        </r>
        <r>
          <rPr>
            <sz val="9"/>
            <color indexed="81"/>
            <rFont val="ＭＳ ゴシック"/>
            <family val="3"/>
            <charset val="128"/>
          </rPr>
          <t>┃</t>
        </r>
        <r>
          <rPr>
            <sz val="9"/>
            <color indexed="32"/>
            <rFont val="ＭＳ ゴシック"/>
            <family val="3"/>
            <charset val="128"/>
          </rPr>
          <t>───┐</t>
        </r>
        <r>
          <rPr>
            <sz val="9"/>
            <color indexed="9"/>
            <rFont val="ＭＳ ゴシック"/>
            <family val="3"/>
            <charset val="128"/>
          </rPr>
          <t xml:space="preserve">
</t>
        </r>
        <r>
          <rPr>
            <sz val="9"/>
            <color indexed="32"/>
            <rFont val="ＭＳ ゴシック"/>
            <family val="3"/>
            <charset val="128"/>
          </rPr>
          <t>　│</t>
        </r>
        <r>
          <rPr>
            <sz val="9"/>
            <color indexed="10"/>
            <rFont val="ＭＳ ゴシック"/>
            <family val="3"/>
            <charset val="128"/>
          </rPr>
          <t>┣</t>
        </r>
        <r>
          <rPr>
            <sz val="9"/>
            <color indexed="81"/>
            <rFont val="ＭＳ ゴシック"/>
            <family val="3"/>
            <charset val="128"/>
          </rPr>
          <t>▽</t>
        </r>
        <r>
          <rPr>
            <sz val="9"/>
            <color indexed="32"/>
            <rFont val="ＭＳ ゴシック"/>
            <family val="3"/>
            <charset val="128"/>
          </rPr>
          <t>●</t>
        </r>
        <r>
          <rPr>
            <sz val="9"/>
            <color indexed="81"/>
            <rFont val="ＭＳ ゴシック"/>
            <family val="3"/>
            <charset val="128"/>
          </rPr>
          <t>┓</t>
        </r>
        <r>
          <rPr>
            <sz val="9"/>
            <color indexed="32"/>
            <rFont val="ＭＳ Ｐゴシック"/>
            <family val="3"/>
            <charset val="128"/>
          </rPr>
          <t>│</t>
        </r>
        <r>
          <rPr>
            <sz val="9"/>
            <color indexed="32"/>
            <rFont val="Meiryo UI"/>
            <family val="3"/>
            <charset val="128"/>
          </rPr>
          <t>共聴機器</t>
        </r>
        <r>
          <rPr>
            <sz val="9"/>
            <color indexed="32"/>
            <rFont val="ＭＳ ゴシック"/>
            <family val="3"/>
            <charset val="128"/>
          </rPr>
          <t xml:space="preserve">
　└</t>
        </r>
        <r>
          <rPr>
            <sz val="9"/>
            <color indexed="81"/>
            <rFont val="ＭＳ ゴシック"/>
            <family val="3"/>
            <charset val="128"/>
          </rPr>
          <t>┃</t>
        </r>
        <r>
          <rPr>
            <sz val="9"/>
            <color indexed="32"/>
            <rFont val="ＭＳ ゴシック"/>
            <family val="3"/>
            <charset val="128"/>
          </rPr>
          <t>──</t>
        </r>
        <r>
          <rPr>
            <sz val="9"/>
            <color indexed="81"/>
            <rFont val="ＭＳ ゴシック"/>
            <family val="3"/>
            <charset val="128"/>
          </rPr>
          <t>┃</t>
        </r>
        <r>
          <rPr>
            <sz val="9"/>
            <color indexed="32"/>
            <rFont val="ＭＳ ゴシック"/>
            <family val="3"/>
            <charset val="128"/>
          </rPr>
          <t>┘
　　</t>
        </r>
        <r>
          <rPr>
            <sz val="9"/>
            <color indexed="81"/>
            <rFont val="ＭＳ ゴシック"/>
            <family val="3"/>
            <charset val="128"/>
          </rPr>
          <t>┃　　┗━┓━━━━┓
　　　　　　　┃　　　　┃</t>
        </r>
        <r>
          <rPr>
            <sz val="9"/>
            <color indexed="32"/>
            <rFont val="ＭＳ ゴシック"/>
            <family val="3"/>
            <charset val="128"/>
          </rPr>
          <t xml:space="preserve">
　　　　　　 </t>
        </r>
        <r>
          <rPr>
            <sz val="9"/>
            <color indexed="32"/>
            <rFont val="Meiryo UI"/>
            <family val="3"/>
            <charset val="128"/>
          </rPr>
          <t>各直列ユニットへ</t>
        </r>
        <r>
          <rPr>
            <sz val="11"/>
            <color indexed="9"/>
            <rFont val="Meiryo UI"/>
            <family val="3"/>
            <charset val="128"/>
          </rPr>
          <t xml:space="preserve"> </t>
        </r>
        <r>
          <rPr>
            <sz val="9"/>
            <color indexed="32"/>
            <rFont val="Meiryo UI"/>
            <family val="3"/>
            <charset val="128"/>
          </rPr>
          <t xml:space="preserve">
</t>
        </r>
        <r>
          <rPr>
            <sz val="9"/>
            <color indexed="32"/>
            <rFont val="ＭＳ ゴシック"/>
            <family val="3"/>
            <charset val="128"/>
          </rPr>
          <t xml:space="preserve">
　　　</t>
        </r>
        <r>
          <rPr>
            <sz val="9"/>
            <color indexed="10"/>
            <rFont val="ＭＳ ゴシック"/>
            <family val="3"/>
            <charset val="128"/>
          </rPr>
          <t>┣</t>
        </r>
        <r>
          <rPr>
            <sz val="9"/>
            <color indexed="32"/>
            <rFont val="Meiryo UI"/>
            <family val="3"/>
            <charset val="128"/>
          </rPr>
          <t>：分岐器 (1,2Ｃ)</t>
        </r>
        <r>
          <rPr>
            <sz val="9"/>
            <color indexed="32"/>
            <rFont val="ＭＳ ゴシック"/>
            <family val="3"/>
            <charset val="128"/>
          </rPr>
          <t xml:space="preserve">
　　　●</t>
        </r>
        <r>
          <rPr>
            <sz val="9"/>
            <color indexed="32"/>
            <rFont val="Meiryo UI"/>
            <family val="3"/>
            <charset val="128"/>
          </rPr>
          <t xml:space="preserve">：分配器 (2D,4D,6Ｄ)　
 </t>
        </r>
      </text>
    </comment>
    <comment ref="T19"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t>
        </r>
        <r>
          <rPr>
            <b/>
            <sz val="11"/>
            <color indexed="37"/>
            <rFont val="ＭＳ Ｐ明朝"/>
            <family val="1"/>
            <charset val="128"/>
          </rPr>
          <t>配線方式（Ｃ）</t>
        </r>
        <r>
          <rPr>
            <b/>
            <sz val="18"/>
            <color indexed="32"/>
            <rFont val="ＭＳ Ｐ明朝"/>
            <family val="1"/>
            <charset val="128"/>
          </rPr>
          <t xml:space="preserve"> </t>
        </r>
        <r>
          <rPr>
            <b/>
            <sz val="16"/>
            <color indexed="32"/>
            <rFont val="ＭＳ Ｐ明朝"/>
            <family val="1"/>
            <charset val="128"/>
          </rPr>
          <t xml:space="preserve">
</t>
        </r>
        <r>
          <rPr>
            <sz val="9"/>
            <color indexed="32"/>
            <rFont val="Meiryo UI"/>
            <family val="3"/>
            <charset val="128"/>
          </rPr>
          <t>　　　　　</t>
        </r>
        <r>
          <rPr>
            <sz val="10"/>
            <color indexed="81"/>
            <rFont val="Meiryo UI"/>
            <family val="3"/>
            <charset val="128"/>
          </rPr>
          <t>階の直列ユニット数：</t>
        </r>
        <r>
          <rPr>
            <b/>
            <sz val="10"/>
            <color indexed="18"/>
            <rFont val="Meiryo UI"/>
            <family val="3"/>
            <charset val="128"/>
          </rPr>
          <t>180</t>
        </r>
        <r>
          <rPr>
            <sz val="10"/>
            <color indexed="81"/>
            <rFont val="Meiryo UI"/>
            <family val="3"/>
            <charset val="128"/>
          </rPr>
          <t>以下</t>
        </r>
        <r>
          <rPr>
            <b/>
            <sz val="9"/>
            <color indexed="81"/>
            <rFont val="ＭＳ Ｐゴシック"/>
            <family val="3"/>
            <charset val="128"/>
          </rPr>
          <t xml:space="preserve">
</t>
        </r>
        <r>
          <rPr>
            <sz val="9"/>
            <color indexed="81"/>
            <rFont val="ＭＳ ゴシック"/>
            <family val="3"/>
            <charset val="128"/>
          </rPr>
          <t>　　　　　　▽</t>
        </r>
        <r>
          <rPr>
            <sz val="9"/>
            <color indexed="32"/>
            <rFont val="Meiryo UI"/>
            <family val="3"/>
            <charset val="128"/>
          </rPr>
          <t>：増幅器 (2段)</t>
        </r>
        <r>
          <rPr>
            <sz val="12"/>
            <color indexed="32"/>
            <rFont val="Meiryo UI"/>
            <family val="3"/>
            <charset val="128"/>
          </rPr>
          <t xml:space="preserve"> </t>
        </r>
        <r>
          <rPr>
            <sz val="9"/>
            <color indexed="9"/>
            <rFont val="ＭＳ ゴシック"/>
            <family val="3"/>
            <charset val="128"/>
          </rPr>
          <t xml:space="preserve">
</t>
        </r>
        <r>
          <rPr>
            <sz val="9"/>
            <color indexed="81"/>
            <rFont val="ＭＳ ゴシック"/>
            <family val="3"/>
            <charset val="128"/>
          </rPr>
          <t>　</t>
        </r>
        <r>
          <rPr>
            <sz val="9"/>
            <color indexed="32"/>
            <rFont val="ＭＳ ゴシック"/>
            <family val="3"/>
            <charset val="128"/>
          </rPr>
          <t>┌─</t>
        </r>
        <r>
          <rPr>
            <sz val="9"/>
            <color indexed="81"/>
            <rFont val="ＭＳ ゴシック"/>
            <family val="3"/>
            <charset val="128"/>
          </rPr>
          <t>┃</t>
        </r>
        <r>
          <rPr>
            <sz val="9"/>
            <color indexed="32"/>
            <rFont val="ＭＳ ゴシック"/>
            <family val="3"/>
            <charset val="128"/>
          </rPr>
          <t>───┐
　│</t>
        </r>
        <r>
          <rPr>
            <sz val="9"/>
            <color indexed="18"/>
            <rFont val="ＭＳ ゴシック"/>
            <family val="3"/>
            <charset val="128"/>
          </rPr>
          <t>1C</t>
        </r>
        <r>
          <rPr>
            <sz val="9"/>
            <color indexed="10"/>
            <rFont val="ＭＳ ゴシック"/>
            <family val="3"/>
            <charset val="128"/>
          </rPr>
          <t>┣</t>
        </r>
        <r>
          <rPr>
            <sz val="9"/>
            <color indexed="32"/>
            <rFont val="ＭＳ ゴシック"/>
            <family val="3"/>
            <charset val="128"/>
          </rPr>
          <t>▽●</t>
        </r>
        <r>
          <rPr>
            <sz val="9"/>
            <color indexed="81"/>
            <rFont val="ＭＳ ゴシック"/>
            <family val="3"/>
            <charset val="128"/>
          </rPr>
          <t>┓</t>
        </r>
        <r>
          <rPr>
            <sz val="9"/>
            <color indexed="32"/>
            <rFont val="ＭＳ Ｐゴシック"/>
            <family val="3"/>
            <charset val="128"/>
          </rPr>
          <t>│</t>
        </r>
        <r>
          <rPr>
            <sz val="9"/>
            <color indexed="32"/>
            <rFont val="Meiryo UI"/>
            <family val="3"/>
            <charset val="128"/>
          </rPr>
          <t>共聴機器</t>
        </r>
        <r>
          <rPr>
            <sz val="9"/>
            <color indexed="32"/>
            <rFont val="ＭＳ ゴシック"/>
            <family val="3"/>
            <charset val="128"/>
          </rPr>
          <t xml:space="preserve">
　└─</t>
        </r>
        <r>
          <rPr>
            <sz val="9"/>
            <color indexed="81"/>
            <rFont val="ＭＳ ゴシック"/>
            <family val="3"/>
            <charset val="128"/>
          </rPr>
          <t>┃──┃</t>
        </r>
        <r>
          <rPr>
            <sz val="9"/>
            <color indexed="32"/>
            <rFont val="ＭＳ ゴシック"/>
            <family val="3"/>
            <charset val="128"/>
          </rPr>
          <t>┘
　　　</t>
        </r>
        <r>
          <rPr>
            <sz val="9"/>
            <color indexed="81"/>
            <rFont val="ＭＳ ゴシック"/>
            <family val="3"/>
            <charset val="128"/>
          </rPr>
          <t>┃　　┗━</t>
        </r>
        <r>
          <rPr>
            <sz val="9"/>
            <color indexed="10"/>
            <rFont val="ＭＳ ゴシック"/>
            <family val="3"/>
            <charset val="128"/>
          </rPr>
          <t>┳</t>
        </r>
        <r>
          <rPr>
            <sz val="9"/>
            <color indexed="81"/>
            <rFont val="ＭＳ ゴシック"/>
            <family val="3"/>
            <charset val="128"/>
          </rPr>
          <t>━━━</t>
        </r>
        <r>
          <rPr>
            <sz val="9"/>
            <color indexed="10"/>
            <rFont val="ＭＳ ゴシック"/>
            <family val="3"/>
            <charset val="128"/>
          </rPr>
          <t>┳</t>
        </r>
        <r>
          <rPr>
            <sz val="9"/>
            <color indexed="81"/>
            <rFont val="ＭＳ ゴシック"/>
            <family val="3"/>
            <charset val="128"/>
          </rPr>
          <t>━━</t>
        </r>
        <r>
          <rPr>
            <b/>
            <sz val="9"/>
            <color indexed="81"/>
            <rFont val="ＭＳ Ｐ明朝"/>
            <family val="1"/>
            <charset val="128"/>
          </rPr>
          <t>/</t>
        </r>
        <r>
          <rPr>
            <sz val="9"/>
            <color indexed="32"/>
            <rFont val="ＭＳ ゴシック"/>
            <family val="3"/>
            <charset val="128"/>
          </rPr>
          <t xml:space="preserve">
　　　　　　　　●　　　●
　　　　　　　　</t>
        </r>
        <r>
          <rPr>
            <sz val="9"/>
            <color indexed="81"/>
            <rFont val="ＭＳ ゴシック"/>
            <family val="3"/>
            <charset val="128"/>
          </rPr>
          <t>┃　　　┃</t>
        </r>
        <r>
          <rPr>
            <sz val="9"/>
            <color indexed="32"/>
            <rFont val="ＭＳ ゴシック"/>
            <family val="3"/>
            <charset val="128"/>
          </rPr>
          <t xml:space="preserve">
　       　    </t>
        </r>
        <r>
          <rPr>
            <sz val="9"/>
            <color indexed="32"/>
            <rFont val="Meiryo UI"/>
            <family val="3"/>
            <charset val="128"/>
          </rPr>
          <t>各直列ユニットへ</t>
        </r>
        <r>
          <rPr>
            <sz val="12"/>
            <color indexed="32"/>
            <rFont val="Meiryo UI"/>
            <family val="3"/>
            <charset val="128"/>
          </rPr>
          <t xml:space="preserve"> </t>
        </r>
        <r>
          <rPr>
            <sz val="9"/>
            <color indexed="32"/>
            <rFont val="ＭＳ ゴシック"/>
            <family val="3"/>
            <charset val="128"/>
          </rPr>
          <t xml:space="preserve">
　</t>
        </r>
        <r>
          <rPr>
            <sz val="9"/>
            <color indexed="32"/>
            <rFont val="Meiryo UI"/>
            <family val="3"/>
            <charset val="128"/>
          </rPr>
          <t xml:space="preserve">  </t>
        </r>
        <r>
          <rPr>
            <sz val="9"/>
            <color indexed="32"/>
            <rFont val="ＭＳ ゴシック"/>
            <family val="3"/>
            <charset val="128"/>
          </rPr>
          <t>　　</t>
        </r>
        <r>
          <rPr>
            <sz val="9"/>
            <color indexed="10"/>
            <rFont val="ＭＳ ゴシック"/>
            <family val="3"/>
            <charset val="128"/>
          </rPr>
          <t>┣</t>
        </r>
        <r>
          <rPr>
            <sz val="9"/>
            <color indexed="32"/>
            <rFont val="Meiryo UI"/>
            <family val="3"/>
            <charset val="128"/>
          </rPr>
          <t>：分岐器 (1Ｃ)</t>
        </r>
        <r>
          <rPr>
            <sz val="9"/>
            <color indexed="32"/>
            <rFont val="ＭＳ ゴシック"/>
            <family val="3"/>
            <charset val="128"/>
          </rPr>
          <t xml:space="preserve">
　</t>
        </r>
        <r>
          <rPr>
            <sz val="9"/>
            <color indexed="32"/>
            <rFont val="Meiryo UI"/>
            <family val="3"/>
            <charset val="128"/>
          </rPr>
          <t xml:space="preserve">  </t>
        </r>
        <r>
          <rPr>
            <sz val="9"/>
            <color indexed="32"/>
            <rFont val="ＭＳ ゴシック"/>
            <family val="3"/>
            <charset val="128"/>
          </rPr>
          <t>　　●</t>
        </r>
        <r>
          <rPr>
            <sz val="9"/>
            <color indexed="32"/>
            <rFont val="Meiryo UI"/>
            <family val="3"/>
            <charset val="128"/>
          </rPr>
          <t>：分配器 (2D,4D,6Ｄ)</t>
        </r>
        <r>
          <rPr>
            <sz val="9"/>
            <color indexed="32"/>
            <rFont val="ＭＳ ゴシック"/>
            <family val="3"/>
            <charset val="128"/>
          </rPr>
          <t xml:space="preserve">　
</t>
        </r>
        <r>
          <rPr>
            <sz val="9"/>
            <color indexed="32"/>
            <rFont val="Meiryo UI"/>
            <family val="3"/>
            <charset val="128"/>
          </rPr>
          <t xml:space="preserve"> </t>
        </r>
      </text>
    </comment>
    <comment ref="U26" authorId="0">
      <text>
        <r>
          <rPr>
            <b/>
            <sz val="9"/>
            <color indexed="81"/>
            <rFont val="ＭＳ Ｐゴシック"/>
            <family val="3"/>
            <charset val="128"/>
          </rPr>
          <t>　</t>
        </r>
        <r>
          <rPr>
            <b/>
            <sz val="11"/>
            <color indexed="37"/>
            <rFont val="ＭＳ Ｐ明朝"/>
            <family val="1"/>
            <charset val="128"/>
          </rPr>
          <t>この階の共聴機器設置の有無</t>
        </r>
        <r>
          <rPr>
            <b/>
            <sz val="16"/>
            <color indexed="32"/>
            <rFont val="ＭＳ Ｐ明朝"/>
            <family val="1"/>
            <charset val="128"/>
          </rPr>
          <t xml:space="preserve"> </t>
        </r>
        <r>
          <rPr>
            <b/>
            <sz val="9"/>
            <color indexed="81"/>
            <rFont val="ＭＳ Ｐゴシック"/>
            <family val="3"/>
            <charset val="128"/>
          </rPr>
          <t xml:space="preserve">
</t>
        </r>
        <r>
          <rPr>
            <sz val="8.5"/>
            <color indexed="32"/>
            <rFont val="Meiryo UI"/>
            <family val="3"/>
            <charset val="128"/>
          </rPr>
          <t xml:space="preserve">   Pull Down List から"設置"または"不要"</t>
        </r>
        <r>
          <rPr>
            <sz val="12"/>
            <color indexed="32"/>
            <rFont val="Meiryo UI"/>
            <family val="3"/>
            <charset val="128"/>
          </rPr>
          <t xml:space="preserve"> </t>
        </r>
        <r>
          <rPr>
            <sz val="8.5"/>
            <color indexed="32"/>
            <rFont val="Meiryo UI"/>
            <family val="3"/>
            <charset val="128"/>
          </rPr>
          <t xml:space="preserve">
　 の何れかを選択して入力して下さい。</t>
        </r>
      </text>
    </comment>
    <comment ref="AI30"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照明コンセント設備工事の</t>
        </r>
        <r>
          <rPr>
            <sz val="12"/>
            <color indexed="32"/>
            <rFont val="Meiryo UI"/>
            <family val="3"/>
            <charset val="128"/>
          </rPr>
          <t xml:space="preserve"> </t>
        </r>
        <r>
          <rPr>
            <sz val="8"/>
            <color indexed="32"/>
            <rFont val="Meiryo UI"/>
            <family val="3"/>
            <charset val="128"/>
          </rPr>
          <t xml:space="preserve">
　 項目で修正して下さい。</t>
        </r>
      </text>
    </comment>
    <comment ref="U81" authorId="0">
      <text>
        <r>
          <rPr>
            <b/>
            <sz val="9"/>
            <color indexed="81"/>
            <rFont val="ＭＳ Ｐゴシック"/>
            <family val="3"/>
            <charset val="128"/>
          </rPr>
          <t>　</t>
        </r>
        <r>
          <rPr>
            <b/>
            <sz val="11"/>
            <color indexed="37"/>
            <rFont val="ＭＳ Ｐ明朝"/>
            <family val="1"/>
            <charset val="128"/>
          </rPr>
          <t>この階の共聴機器設置の有無</t>
        </r>
        <r>
          <rPr>
            <b/>
            <sz val="16"/>
            <color indexed="32"/>
            <rFont val="ＭＳ Ｐ明朝"/>
            <family val="1"/>
            <charset val="128"/>
          </rPr>
          <t xml:space="preserve"> </t>
        </r>
        <r>
          <rPr>
            <b/>
            <sz val="9"/>
            <color indexed="81"/>
            <rFont val="ＭＳ Ｐゴシック"/>
            <family val="3"/>
            <charset val="128"/>
          </rPr>
          <t xml:space="preserve">
</t>
        </r>
        <r>
          <rPr>
            <sz val="8.5"/>
            <color indexed="32"/>
            <rFont val="Meiryo UI"/>
            <family val="3"/>
            <charset val="128"/>
          </rPr>
          <t xml:space="preserve">   Pull Down List から"設置"または"不要"</t>
        </r>
        <r>
          <rPr>
            <sz val="12"/>
            <color indexed="32"/>
            <rFont val="Meiryo UI"/>
            <family val="3"/>
            <charset val="128"/>
          </rPr>
          <t xml:space="preserve"> </t>
        </r>
        <r>
          <rPr>
            <sz val="8.5"/>
            <color indexed="32"/>
            <rFont val="Meiryo UI"/>
            <family val="3"/>
            <charset val="128"/>
          </rPr>
          <t xml:space="preserve">
　 の何れかを選択して入力して下さい。</t>
        </r>
      </text>
    </comment>
    <comment ref="AI85"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照明コンセント設備工事の</t>
        </r>
        <r>
          <rPr>
            <sz val="12"/>
            <color indexed="32"/>
            <rFont val="Meiryo UI"/>
            <family val="3"/>
            <charset val="128"/>
          </rPr>
          <t xml:space="preserve"> </t>
        </r>
        <r>
          <rPr>
            <sz val="8"/>
            <color indexed="32"/>
            <rFont val="Meiryo UI"/>
            <family val="3"/>
            <charset val="128"/>
          </rPr>
          <t xml:space="preserve">
　 項目で修正して下さい。</t>
        </r>
      </text>
    </comment>
    <comment ref="U154" authorId="0">
      <text>
        <r>
          <rPr>
            <b/>
            <sz val="9"/>
            <color indexed="81"/>
            <rFont val="ＭＳ Ｐゴシック"/>
            <family val="3"/>
            <charset val="128"/>
          </rPr>
          <t>　</t>
        </r>
        <r>
          <rPr>
            <b/>
            <sz val="11"/>
            <color indexed="37"/>
            <rFont val="ＭＳ Ｐ明朝"/>
            <family val="1"/>
            <charset val="128"/>
          </rPr>
          <t>この階の共聴機器設置の有無</t>
        </r>
        <r>
          <rPr>
            <b/>
            <sz val="16"/>
            <color indexed="32"/>
            <rFont val="ＭＳ Ｐ明朝"/>
            <family val="1"/>
            <charset val="128"/>
          </rPr>
          <t xml:space="preserve"> </t>
        </r>
        <r>
          <rPr>
            <b/>
            <sz val="9"/>
            <color indexed="81"/>
            <rFont val="ＭＳ Ｐゴシック"/>
            <family val="3"/>
            <charset val="128"/>
          </rPr>
          <t xml:space="preserve">
</t>
        </r>
        <r>
          <rPr>
            <sz val="8.5"/>
            <color indexed="32"/>
            <rFont val="Meiryo UI"/>
            <family val="3"/>
            <charset val="128"/>
          </rPr>
          <t xml:space="preserve">   Pull Down List から"設置"または"不要"</t>
        </r>
        <r>
          <rPr>
            <sz val="12"/>
            <color indexed="32"/>
            <rFont val="Meiryo UI"/>
            <family val="3"/>
            <charset val="128"/>
          </rPr>
          <t xml:space="preserve"> </t>
        </r>
        <r>
          <rPr>
            <sz val="8.5"/>
            <color indexed="32"/>
            <rFont val="Meiryo UI"/>
            <family val="3"/>
            <charset val="128"/>
          </rPr>
          <t xml:space="preserve">
　 の何れかを選択して入力して下さい。</t>
        </r>
      </text>
    </comment>
    <comment ref="AI158" authorId="0">
      <text>
        <r>
          <rPr>
            <b/>
            <sz val="9"/>
            <color indexed="81"/>
            <rFont val="ＭＳ Ｐ明朝"/>
            <family val="1"/>
            <charset val="128"/>
          </rPr>
          <t xml:space="preserve">  </t>
        </r>
        <r>
          <rPr>
            <b/>
            <sz val="11"/>
            <color indexed="37"/>
            <rFont val="ＭＳ Ｐ明朝"/>
            <family val="1"/>
            <charset val="128"/>
          </rPr>
          <t>建物形状係数の修正</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照明コンセント設備工事の</t>
        </r>
        <r>
          <rPr>
            <sz val="12"/>
            <color indexed="32"/>
            <rFont val="Meiryo UI"/>
            <family val="3"/>
            <charset val="128"/>
          </rPr>
          <t xml:space="preserve"> </t>
        </r>
        <r>
          <rPr>
            <sz val="8"/>
            <color indexed="32"/>
            <rFont val="Meiryo UI"/>
            <family val="3"/>
            <charset val="128"/>
          </rPr>
          <t xml:space="preserve">
　 項目で修正して下さい。</t>
        </r>
      </text>
    </comment>
    <comment ref="BS230" authorId="0">
      <text>
        <r>
          <rPr>
            <b/>
            <sz val="9"/>
            <color indexed="81"/>
            <rFont val="ＭＳ Ｐゴシック"/>
            <family val="3"/>
            <charset val="128"/>
          </rPr>
          <t xml:space="preserve">　 </t>
        </r>
        <r>
          <rPr>
            <b/>
            <sz val="11"/>
            <color indexed="32"/>
            <rFont val="ＭＳ Ｐゴシック"/>
            <family val="3"/>
            <charset val="128"/>
          </rPr>
          <t xml:space="preserve"> </t>
        </r>
        <r>
          <rPr>
            <b/>
            <sz val="10"/>
            <color indexed="37"/>
            <rFont val="Meiryo UI"/>
            <family val="3"/>
            <charset val="128"/>
          </rPr>
          <t>TV-Input</t>
        </r>
        <r>
          <rPr>
            <sz val="10"/>
            <color indexed="37"/>
            <rFont val="Meiryo UI"/>
            <family val="3"/>
            <charset val="128"/>
          </rPr>
          <t>[dBμV]</t>
        </r>
        <r>
          <rPr>
            <b/>
            <sz val="18"/>
            <color indexed="32"/>
            <rFont val="ＭＳ Ｐ明朝"/>
            <family val="1"/>
            <charset val="128"/>
          </rPr>
          <t xml:space="preserve"> </t>
        </r>
        <r>
          <rPr>
            <b/>
            <sz val="9"/>
            <color indexed="81"/>
            <rFont val="ＭＳ Ｐゴシック"/>
            <family val="3"/>
            <charset val="128"/>
          </rPr>
          <t xml:space="preserve">
</t>
        </r>
        <r>
          <rPr>
            <sz val="9"/>
            <color indexed="32"/>
            <rFont val="ＭＳ Ｐ明朝"/>
            <family val="1"/>
            <charset val="128"/>
          </rPr>
          <t xml:space="preserve">      </t>
        </r>
        <r>
          <rPr>
            <sz val="9"/>
            <color indexed="32"/>
            <rFont val="Meiryo UI"/>
            <family val="3"/>
            <charset val="128"/>
          </rPr>
          <t>50[dB]以上："</t>
        </r>
        <r>
          <rPr>
            <sz val="9"/>
            <color indexed="81"/>
            <rFont val="Meiryo UI"/>
            <family val="3"/>
            <charset val="128"/>
          </rPr>
          <t>良</t>
        </r>
        <r>
          <rPr>
            <sz val="9"/>
            <color indexed="32"/>
            <rFont val="Meiryo UI"/>
            <family val="3"/>
            <charset val="128"/>
          </rPr>
          <t>"</t>
        </r>
        <r>
          <rPr>
            <sz val="12"/>
            <color indexed="32"/>
            <rFont val="Meiryo UI"/>
            <family val="3"/>
            <charset val="128"/>
          </rPr>
          <t xml:space="preserve"> </t>
        </r>
        <r>
          <rPr>
            <sz val="10"/>
            <color indexed="32"/>
            <rFont val="Meiryo UI"/>
            <family val="3"/>
            <charset val="128"/>
          </rPr>
          <t xml:space="preserve">
</t>
        </r>
        <r>
          <rPr>
            <sz val="9"/>
            <color indexed="32"/>
            <rFont val="Meiryo UI"/>
            <family val="3"/>
            <charset val="128"/>
          </rPr>
          <t>　   50[dB]未満："</t>
        </r>
        <r>
          <rPr>
            <sz val="9"/>
            <color indexed="81"/>
            <rFont val="Meiryo UI"/>
            <family val="3"/>
            <charset val="128"/>
          </rPr>
          <t>非</t>
        </r>
        <r>
          <rPr>
            <sz val="9"/>
            <color indexed="32"/>
            <rFont val="Meiryo UI"/>
            <family val="3"/>
            <charset val="128"/>
          </rPr>
          <t>"</t>
        </r>
      </text>
    </comment>
    <comment ref="AU359" authorId="0">
      <text>
        <r>
          <rPr>
            <b/>
            <sz val="9"/>
            <color indexed="81"/>
            <rFont val="ＭＳ Ｐゴシック"/>
            <family val="3"/>
            <charset val="128"/>
          </rPr>
          <t xml:space="preserve">　 </t>
        </r>
        <r>
          <rPr>
            <b/>
            <sz val="11"/>
            <color indexed="37"/>
            <rFont val="ＭＳ Ｐ明朝"/>
            <family val="1"/>
            <charset val="128"/>
          </rPr>
          <t>実工数電工単価（円）</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シート"原価"： </t>
        </r>
        <r>
          <rPr>
            <sz val="8"/>
            <color indexed="81"/>
            <rFont val="Meiryo UI"/>
            <family val="3"/>
            <charset val="128"/>
          </rPr>
          <t xml:space="preserve">電工単価 </t>
        </r>
        <r>
          <rPr>
            <sz val="8"/>
            <color indexed="32"/>
            <rFont val="Meiryo UI"/>
            <family val="3"/>
            <charset val="128"/>
          </rPr>
          <t>参照</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 xml:space="preserve">    標準電工単価：</t>
        </r>
        <r>
          <rPr>
            <b/>
            <sz val="9"/>
            <color indexed="81"/>
            <rFont val="Times New Roman"/>
            <family val="1"/>
          </rPr>
          <t>6,000,-</t>
        </r>
        <r>
          <rPr>
            <sz val="8"/>
            <color indexed="32"/>
            <rFont val="Meiryo UI"/>
            <family val="3"/>
            <charset val="128"/>
          </rPr>
          <t>(円)</t>
        </r>
      </text>
    </comment>
    <comment ref="AU361" authorId="0">
      <text>
        <r>
          <rPr>
            <b/>
            <sz val="9"/>
            <color indexed="81"/>
            <rFont val="ＭＳ Ｐゴシック"/>
            <family val="3"/>
            <charset val="128"/>
          </rPr>
          <t>　</t>
        </r>
        <r>
          <rPr>
            <b/>
            <sz val="11"/>
            <color indexed="37"/>
            <rFont val="ＭＳ Ｐ明朝"/>
            <family val="1"/>
            <charset val="128"/>
          </rPr>
          <t>単価設定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単価-1：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単価-2,3,4：ユーザ登録</t>
        </r>
      </text>
    </comment>
    <comment ref="C362"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配管配線材料</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小計金額の130％を計上</t>
        </r>
        <r>
          <rPr>
            <sz val="12"/>
            <color indexed="32"/>
            <rFont val="Meiryo UI"/>
            <family val="3"/>
            <charset val="128"/>
          </rPr>
          <t xml:space="preserve"> </t>
        </r>
        <r>
          <rPr>
            <sz val="10"/>
            <color indexed="9"/>
            <rFont val="Meiryo UI"/>
            <family val="3"/>
            <charset val="128"/>
          </rPr>
          <t xml:space="preserve">
</t>
        </r>
      </text>
    </comment>
    <comment ref="AU362" authorId="0">
      <text>
        <r>
          <rPr>
            <b/>
            <sz val="9"/>
            <color indexed="81"/>
            <rFont val="ＭＳ Ｐゴシック"/>
            <family val="3"/>
            <charset val="128"/>
          </rPr>
          <t>　</t>
        </r>
        <r>
          <rPr>
            <b/>
            <sz val="11"/>
            <color indexed="37"/>
            <rFont val="ＭＳ Ｐ明朝"/>
            <family val="1"/>
            <charset val="128"/>
          </rPr>
          <t>歩掛設定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歩掛-1：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歩掛-2,3：ユーザ登録</t>
        </r>
      </text>
    </comment>
    <comment ref="C363"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機　器　類</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小計金額の110％を計上</t>
        </r>
        <r>
          <rPr>
            <sz val="12"/>
            <color indexed="9"/>
            <rFont val="Meiryo UI"/>
            <family val="3"/>
            <charset val="128"/>
          </rPr>
          <t xml:space="preserve"> </t>
        </r>
        <r>
          <rPr>
            <sz val="10"/>
            <color indexed="9"/>
            <rFont val="Meiryo UI"/>
            <family val="3"/>
            <charset val="128"/>
          </rPr>
          <t xml:space="preserve">
</t>
        </r>
      </text>
    </comment>
    <comment ref="C364"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電 工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小計金額の115％を計上</t>
        </r>
        <r>
          <rPr>
            <sz val="12"/>
            <color indexed="32"/>
            <rFont val="Meiryo UI"/>
            <family val="3"/>
            <charset val="128"/>
          </rPr>
          <t xml:space="preserve"> </t>
        </r>
        <r>
          <rPr>
            <sz val="10"/>
            <color indexed="9"/>
            <rFont val="Meiryo UI"/>
            <family val="3"/>
            <charset val="128"/>
          </rPr>
          <t xml:space="preserve">
</t>
        </r>
      </text>
    </comment>
  </commentList>
</comments>
</file>

<file path=xl/comments7.xml><?xml version="1.0" encoding="utf-8"?>
<comments xmlns="http://schemas.openxmlformats.org/spreadsheetml/2006/main">
  <authors>
    <author>ESE SERVICE</author>
  </authors>
  <commentList>
    <comment ref="C5" authorId="0">
      <text>
        <r>
          <rPr>
            <sz val="9"/>
            <color indexed="32"/>
            <rFont val="Meiryo UI"/>
            <family val="3"/>
            <charset val="128"/>
          </rPr>
          <t xml:space="preserve">   電線・ケーブルの歩掛りは</t>
        </r>
        <r>
          <rPr>
            <sz val="18"/>
            <color indexed="32"/>
            <rFont val="Meiryo UI"/>
            <family val="3"/>
            <charset val="128"/>
          </rPr>
          <t>　</t>
        </r>
        <r>
          <rPr>
            <sz val="9"/>
            <color indexed="32"/>
            <rFont val="Meiryo UI"/>
            <family val="3"/>
            <charset val="128"/>
          </rPr>
          <t xml:space="preserve">
   管内入線(人／ｍ)の値です。
</t>
        </r>
        <r>
          <rPr>
            <sz val="9"/>
            <color indexed="81"/>
            <rFont val="HG明朝B"/>
            <family val="1"/>
            <charset val="128"/>
          </rPr>
          <t xml:space="preserve">    ケーブルラック：×1.2</t>
        </r>
        <r>
          <rPr>
            <sz val="12"/>
            <color indexed="81"/>
            <rFont val="HG明朝B"/>
            <family val="1"/>
            <charset val="128"/>
          </rPr>
          <t xml:space="preserve"> </t>
        </r>
        <r>
          <rPr>
            <sz val="9"/>
            <color indexed="81"/>
            <rFont val="HG明朝B"/>
            <family val="1"/>
            <charset val="128"/>
          </rPr>
          <t xml:space="preserve">
    天 井 内 工 事：×0.8
    ピ ッ ト 配 線：×0.7
    盤  内  配  線：×1.5</t>
        </r>
        <r>
          <rPr>
            <sz val="9"/>
            <color indexed="81"/>
            <rFont val="Meiryo UI"/>
            <family val="3"/>
            <charset val="128"/>
          </rPr>
          <t xml:space="preserve">
   </t>
        </r>
      </text>
    </comment>
    <comment ref="K5" authorId="0">
      <text>
        <r>
          <rPr>
            <sz val="10"/>
            <color indexed="32"/>
            <rFont val="Meiryo UI"/>
            <family val="3"/>
            <charset val="128"/>
          </rPr>
          <t xml:space="preserve">   配管の歩掛りは、</t>
        </r>
        <r>
          <rPr>
            <sz val="18"/>
            <color indexed="32"/>
            <rFont val="Meiryo UI"/>
            <family val="3"/>
            <charset val="128"/>
          </rPr>
          <t>　</t>
        </r>
        <r>
          <rPr>
            <sz val="10"/>
            <color indexed="32"/>
            <rFont val="Meiryo UI"/>
            <family val="3"/>
            <charset val="128"/>
          </rPr>
          <t xml:space="preserve">
   隠ぺい配管(人／ｍ)の値です。
     </t>
        </r>
        <r>
          <rPr>
            <sz val="10"/>
            <color indexed="81"/>
            <rFont val="Meiryo UI"/>
            <family val="3"/>
            <charset val="128"/>
          </rPr>
          <t>露出配管：×1.2</t>
        </r>
        <r>
          <rPr>
            <sz val="14"/>
            <color indexed="81"/>
            <rFont val="Meiryo UI"/>
            <family val="3"/>
            <charset val="128"/>
          </rPr>
          <t xml:space="preserve"> </t>
        </r>
        <r>
          <rPr>
            <sz val="10"/>
            <color indexed="32"/>
            <rFont val="Meiryo UI"/>
            <family val="3"/>
            <charset val="128"/>
          </rPr>
          <t xml:space="preserve">
</t>
        </r>
        <r>
          <rPr>
            <sz val="10"/>
            <color indexed="81"/>
            <rFont val="Meiryo UI"/>
            <family val="3"/>
            <charset val="128"/>
          </rPr>
          <t xml:space="preserve">     地中配管：×0.7</t>
        </r>
        <r>
          <rPr>
            <sz val="10"/>
            <color indexed="32"/>
            <rFont val="Meiryo UI"/>
            <family val="3"/>
            <charset val="128"/>
          </rPr>
          <t xml:space="preserve">
 </t>
        </r>
      </text>
    </comment>
    <comment ref="C6" authorId="0">
      <text>
        <r>
          <rPr>
            <b/>
            <sz val="10"/>
            <color indexed="81"/>
            <rFont val="ＭＳ 明朝"/>
            <family val="1"/>
            <charset val="128"/>
          </rPr>
          <t xml:space="preserve"> </t>
        </r>
        <r>
          <rPr>
            <b/>
            <sz val="6"/>
            <color indexed="81"/>
            <rFont val="ＭＳ 明朝"/>
            <family val="1"/>
            <charset val="128"/>
          </rPr>
          <t xml:space="preserve"> </t>
        </r>
        <r>
          <rPr>
            <b/>
            <sz val="10"/>
            <color indexed="16"/>
            <rFont val="ＭＳ 明朝"/>
            <family val="1"/>
            <charset val="128"/>
          </rPr>
          <t>600V</t>
        </r>
        <r>
          <rPr>
            <b/>
            <sz val="6"/>
            <color indexed="16"/>
            <rFont val="ＭＳ 明朝"/>
            <family val="1"/>
            <charset val="128"/>
          </rPr>
          <t xml:space="preserve"> </t>
        </r>
        <r>
          <rPr>
            <b/>
            <sz val="12"/>
            <color indexed="16"/>
            <rFont val="ＭＳ 明朝"/>
            <family val="1"/>
            <charset val="128"/>
          </rPr>
          <t>IV</t>
        </r>
        <r>
          <rPr>
            <sz val="10"/>
            <color indexed="16"/>
            <rFont val="ＭＳ 明朝"/>
            <family val="1"/>
            <charset val="128"/>
          </rPr>
          <t>/</t>
        </r>
        <r>
          <rPr>
            <sz val="6"/>
            <color indexed="16"/>
            <rFont val="ＭＳ 明朝"/>
            <family val="1"/>
            <charset val="128"/>
          </rPr>
          <t xml:space="preserve"> </t>
        </r>
        <r>
          <rPr>
            <b/>
            <sz val="12"/>
            <color indexed="16"/>
            <rFont val="ＭＳ 明朝"/>
            <family val="1"/>
            <charset val="128"/>
          </rPr>
          <t>HIV</t>
        </r>
        <r>
          <rPr>
            <b/>
            <sz val="16"/>
            <color indexed="12"/>
            <rFont val="ＭＳ 明朝"/>
            <family val="1"/>
            <charset val="128"/>
          </rPr>
          <t xml:space="preserve"> </t>
        </r>
        <r>
          <rPr>
            <b/>
            <sz val="10"/>
            <color indexed="81"/>
            <rFont val="ＭＳ 明朝"/>
            <family val="1"/>
            <charset val="128"/>
          </rPr>
          <t xml:space="preserve">
</t>
        </r>
        <r>
          <rPr>
            <b/>
            <sz val="10"/>
            <color indexed="32"/>
            <rFont val="ＭＳ 明朝"/>
            <family val="1"/>
            <charset val="128"/>
          </rPr>
          <t xml:space="preserve"> 1.0</t>
        </r>
        <r>
          <rPr>
            <sz val="10"/>
            <color indexed="32"/>
            <rFont val="ＭＳ 明朝"/>
            <family val="1"/>
            <charset val="128"/>
          </rPr>
          <t>mm</t>
        </r>
        <r>
          <rPr>
            <b/>
            <sz val="10"/>
            <color indexed="32"/>
            <rFont val="ＭＳ 明朝"/>
            <family val="1"/>
            <charset val="128"/>
          </rPr>
          <t xml:space="preserve"> : 0.009</t>
        </r>
        <r>
          <rPr>
            <b/>
            <sz val="14"/>
            <color indexed="32"/>
            <rFont val="ＭＳ 明朝"/>
            <family val="1"/>
            <charset val="128"/>
          </rPr>
          <t xml:space="preserve"> </t>
        </r>
        <r>
          <rPr>
            <b/>
            <sz val="10"/>
            <color indexed="32"/>
            <rFont val="ＭＳ 明朝"/>
            <family val="1"/>
            <charset val="128"/>
          </rPr>
          <t xml:space="preserve">
 1.2</t>
        </r>
        <r>
          <rPr>
            <sz val="10"/>
            <color indexed="32"/>
            <rFont val="ＭＳ 明朝"/>
            <family val="1"/>
            <charset val="128"/>
          </rPr>
          <t>mm</t>
        </r>
        <r>
          <rPr>
            <b/>
            <sz val="10"/>
            <color indexed="32"/>
            <rFont val="ＭＳ 明朝"/>
            <family val="1"/>
            <charset val="128"/>
          </rPr>
          <t xml:space="preserve"> : 0.010
 1.6</t>
        </r>
        <r>
          <rPr>
            <sz val="10"/>
            <color indexed="32"/>
            <rFont val="ＭＳ 明朝"/>
            <family val="1"/>
            <charset val="128"/>
          </rPr>
          <t>mm</t>
        </r>
        <r>
          <rPr>
            <b/>
            <sz val="10"/>
            <color indexed="32"/>
            <rFont val="ＭＳ 明朝"/>
            <family val="1"/>
            <charset val="128"/>
          </rPr>
          <t xml:space="preserve"> : 0.010
 2.0</t>
        </r>
        <r>
          <rPr>
            <sz val="10"/>
            <color indexed="32"/>
            <rFont val="ＭＳ 明朝"/>
            <family val="1"/>
            <charset val="128"/>
          </rPr>
          <t>mm</t>
        </r>
        <r>
          <rPr>
            <b/>
            <sz val="10"/>
            <color indexed="32"/>
            <rFont val="ＭＳ 明朝"/>
            <family val="1"/>
            <charset val="128"/>
          </rPr>
          <t xml:space="preserve"> : 0.011
   5.5</t>
        </r>
        <r>
          <rPr>
            <sz val="10"/>
            <color indexed="32"/>
            <rFont val="ＭＳ 明朝"/>
            <family val="1"/>
            <charset val="128"/>
          </rPr>
          <t xml:space="preserve"> </t>
        </r>
        <r>
          <rPr>
            <b/>
            <sz val="10"/>
            <color indexed="32"/>
            <rFont val="ＭＳ 明朝"/>
            <family val="1"/>
            <charset val="128"/>
          </rPr>
          <t>: 0.014</t>
        </r>
        <r>
          <rPr>
            <b/>
            <sz val="12"/>
            <color indexed="32"/>
            <rFont val="ＭＳ 明朝"/>
            <family val="1"/>
            <charset val="128"/>
          </rPr>
          <t xml:space="preserve"> </t>
        </r>
        <r>
          <rPr>
            <b/>
            <sz val="10"/>
            <color indexed="32"/>
            <rFont val="ＭＳ 明朝"/>
            <family val="1"/>
            <charset val="128"/>
          </rPr>
          <t xml:space="preserve">
   8  </t>
        </r>
        <r>
          <rPr>
            <sz val="10"/>
            <color indexed="32"/>
            <rFont val="ＭＳ 明朝"/>
            <family val="1"/>
            <charset val="128"/>
          </rPr>
          <t xml:space="preserve"> </t>
        </r>
        <r>
          <rPr>
            <b/>
            <sz val="10"/>
            <color indexed="32"/>
            <rFont val="ＭＳ 明朝"/>
            <family val="1"/>
            <charset val="128"/>
          </rPr>
          <t xml:space="preserve">: 0.016
  14  </t>
        </r>
        <r>
          <rPr>
            <sz val="10"/>
            <color indexed="32"/>
            <rFont val="ＭＳ 明朝"/>
            <family val="1"/>
            <charset val="128"/>
          </rPr>
          <t xml:space="preserve"> </t>
        </r>
        <r>
          <rPr>
            <b/>
            <sz val="10"/>
            <color indexed="32"/>
            <rFont val="ＭＳ 明朝"/>
            <family val="1"/>
            <charset val="128"/>
          </rPr>
          <t xml:space="preserve">: 0.020
  22  </t>
        </r>
        <r>
          <rPr>
            <sz val="10"/>
            <color indexed="32"/>
            <rFont val="ＭＳ 明朝"/>
            <family val="1"/>
            <charset val="128"/>
          </rPr>
          <t xml:space="preserve"> </t>
        </r>
        <r>
          <rPr>
            <b/>
            <sz val="10"/>
            <color indexed="32"/>
            <rFont val="ＭＳ 明朝"/>
            <family val="1"/>
            <charset val="128"/>
          </rPr>
          <t xml:space="preserve">: 0.024
  30  </t>
        </r>
        <r>
          <rPr>
            <sz val="10"/>
            <color indexed="32"/>
            <rFont val="ＭＳ 明朝"/>
            <family val="1"/>
            <charset val="128"/>
          </rPr>
          <t xml:space="preserve"> </t>
        </r>
        <r>
          <rPr>
            <b/>
            <sz val="10"/>
            <color indexed="32"/>
            <rFont val="ＭＳ 明朝"/>
            <family val="1"/>
            <charset val="128"/>
          </rPr>
          <t xml:space="preserve">: 0.029
  38  </t>
        </r>
        <r>
          <rPr>
            <sz val="10"/>
            <color indexed="32"/>
            <rFont val="ＭＳ 明朝"/>
            <family val="1"/>
            <charset val="128"/>
          </rPr>
          <t xml:space="preserve"> </t>
        </r>
        <r>
          <rPr>
            <b/>
            <sz val="10"/>
            <color indexed="32"/>
            <rFont val="ＭＳ 明朝"/>
            <family val="1"/>
            <charset val="128"/>
          </rPr>
          <t xml:space="preserve">: 0.032
  50  </t>
        </r>
        <r>
          <rPr>
            <sz val="10"/>
            <color indexed="32"/>
            <rFont val="ＭＳ 明朝"/>
            <family val="1"/>
            <charset val="128"/>
          </rPr>
          <t xml:space="preserve"> </t>
        </r>
        <r>
          <rPr>
            <b/>
            <sz val="10"/>
            <color indexed="32"/>
            <rFont val="ＭＳ 明朝"/>
            <family val="1"/>
            <charset val="128"/>
          </rPr>
          <t xml:space="preserve">: 0.037
  60  </t>
        </r>
        <r>
          <rPr>
            <sz val="10"/>
            <color indexed="32"/>
            <rFont val="ＭＳ 明朝"/>
            <family val="1"/>
            <charset val="128"/>
          </rPr>
          <t xml:space="preserve"> </t>
        </r>
        <r>
          <rPr>
            <b/>
            <sz val="10"/>
            <color indexed="32"/>
            <rFont val="ＭＳ 明朝"/>
            <family val="1"/>
            <charset val="128"/>
          </rPr>
          <t xml:space="preserve">: 0.042
  80  </t>
        </r>
        <r>
          <rPr>
            <sz val="10"/>
            <color indexed="32"/>
            <rFont val="ＭＳ 明朝"/>
            <family val="1"/>
            <charset val="128"/>
          </rPr>
          <t xml:space="preserve"> </t>
        </r>
        <r>
          <rPr>
            <b/>
            <sz val="10"/>
            <color indexed="32"/>
            <rFont val="ＭＳ 明朝"/>
            <family val="1"/>
            <charset val="128"/>
          </rPr>
          <t xml:space="preserve">: 0.049
 100  </t>
        </r>
        <r>
          <rPr>
            <sz val="10"/>
            <color indexed="32"/>
            <rFont val="ＭＳ 明朝"/>
            <family val="1"/>
            <charset val="128"/>
          </rPr>
          <t xml:space="preserve"> </t>
        </r>
        <r>
          <rPr>
            <b/>
            <sz val="10"/>
            <color indexed="32"/>
            <rFont val="ＭＳ 明朝"/>
            <family val="1"/>
            <charset val="128"/>
          </rPr>
          <t xml:space="preserve">: 0.056
 125  </t>
        </r>
        <r>
          <rPr>
            <sz val="10"/>
            <color indexed="32"/>
            <rFont val="ＭＳ 明朝"/>
            <family val="1"/>
            <charset val="128"/>
          </rPr>
          <t xml:space="preserve"> </t>
        </r>
        <r>
          <rPr>
            <b/>
            <sz val="10"/>
            <color indexed="32"/>
            <rFont val="ＭＳ 明朝"/>
            <family val="1"/>
            <charset val="128"/>
          </rPr>
          <t xml:space="preserve">: 0.063
 150  </t>
        </r>
        <r>
          <rPr>
            <sz val="10"/>
            <color indexed="32"/>
            <rFont val="ＭＳ 明朝"/>
            <family val="1"/>
            <charset val="128"/>
          </rPr>
          <t xml:space="preserve"> </t>
        </r>
        <r>
          <rPr>
            <b/>
            <sz val="10"/>
            <color indexed="32"/>
            <rFont val="ＭＳ 明朝"/>
            <family val="1"/>
            <charset val="128"/>
          </rPr>
          <t xml:space="preserve">: 0.073
 200  </t>
        </r>
        <r>
          <rPr>
            <sz val="10"/>
            <color indexed="32"/>
            <rFont val="ＭＳ 明朝"/>
            <family val="1"/>
            <charset val="128"/>
          </rPr>
          <t xml:space="preserve"> </t>
        </r>
        <r>
          <rPr>
            <b/>
            <sz val="10"/>
            <color indexed="32"/>
            <rFont val="ＭＳ 明朝"/>
            <family val="1"/>
            <charset val="128"/>
          </rPr>
          <t xml:space="preserve">: 0.083
 250  </t>
        </r>
        <r>
          <rPr>
            <sz val="10"/>
            <color indexed="32"/>
            <rFont val="ＭＳ 明朝"/>
            <family val="1"/>
            <charset val="128"/>
          </rPr>
          <t xml:space="preserve"> </t>
        </r>
        <r>
          <rPr>
            <b/>
            <sz val="10"/>
            <color indexed="32"/>
            <rFont val="ＭＳ 明朝"/>
            <family val="1"/>
            <charset val="128"/>
          </rPr>
          <t xml:space="preserve">: 0.098
 325  </t>
        </r>
        <r>
          <rPr>
            <sz val="10"/>
            <color indexed="32"/>
            <rFont val="ＭＳ 明朝"/>
            <family val="1"/>
            <charset val="128"/>
          </rPr>
          <t xml:space="preserve"> </t>
        </r>
        <r>
          <rPr>
            <b/>
            <sz val="10"/>
            <color indexed="32"/>
            <rFont val="ＭＳ 明朝"/>
            <family val="1"/>
            <charset val="128"/>
          </rPr>
          <t xml:space="preserve">: 0.117
 </t>
        </r>
      </text>
    </comment>
    <comment ref="G6" authorId="0">
      <text>
        <r>
          <rPr>
            <b/>
            <sz val="3"/>
            <color indexed="81"/>
            <rFont val="ＭＳ 明朝"/>
            <family val="1"/>
            <charset val="128"/>
          </rPr>
          <t xml:space="preserve">   
</t>
        </r>
        <r>
          <rPr>
            <b/>
            <sz val="10"/>
            <color indexed="81"/>
            <rFont val="ＭＳ 明朝"/>
            <family val="1"/>
            <charset val="128"/>
          </rPr>
          <t xml:space="preserve">         </t>
        </r>
        <r>
          <rPr>
            <b/>
            <sz val="10"/>
            <color indexed="12"/>
            <rFont val="ＭＳ 明朝"/>
            <family val="1"/>
            <charset val="128"/>
          </rPr>
          <t xml:space="preserve"> </t>
        </r>
        <r>
          <rPr>
            <b/>
            <sz val="12"/>
            <color indexed="16"/>
            <rFont val="ＭＳ 明朝"/>
            <family val="1"/>
            <charset val="128"/>
          </rPr>
          <t xml:space="preserve">ＣＶＶ  </t>
        </r>
        <r>
          <rPr>
            <sz val="12"/>
            <color indexed="16"/>
            <rFont val="ＭＳ 明朝"/>
            <family val="1"/>
            <charset val="128"/>
          </rPr>
          <t>/</t>
        </r>
        <r>
          <rPr>
            <b/>
            <sz val="12"/>
            <color indexed="16"/>
            <rFont val="ＭＳ 明朝"/>
            <family val="1"/>
            <charset val="128"/>
          </rPr>
          <t xml:space="preserve">  ＣＶＶＳ</t>
        </r>
        <r>
          <rPr>
            <b/>
            <sz val="12"/>
            <color indexed="12"/>
            <rFont val="ＭＳ 明朝"/>
            <family val="1"/>
            <charset val="128"/>
          </rPr>
          <t>　</t>
        </r>
        <r>
          <rPr>
            <b/>
            <sz val="10"/>
            <color indexed="81"/>
            <rFont val="ＭＳ 明朝"/>
            <family val="1"/>
            <charset val="128"/>
          </rPr>
          <t xml:space="preserve">
</t>
        </r>
        <r>
          <rPr>
            <b/>
            <sz val="14"/>
            <color indexed="9"/>
            <rFont val="ＭＳ Ｐゴシック"/>
            <family val="3"/>
            <charset val="128"/>
          </rPr>
          <t xml:space="preserve"> </t>
        </r>
        <r>
          <rPr>
            <b/>
            <sz val="10"/>
            <color indexed="9"/>
            <rFont val="ＭＳ Ｐゴシック"/>
            <family val="3"/>
            <charset val="128"/>
          </rPr>
          <t xml:space="preserve">                  1.25          2       3.5 [sqmm] </t>
        </r>
        <r>
          <rPr>
            <b/>
            <sz val="10"/>
            <color indexed="10"/>
            <rFont val="ＭＳ 明朝"/>
            <family val="1"/>
            <charset val="128"/>
          </rPr>
          <t xml:space="preserve">
</t>
        </r>
        <r>
          <rPr>
            <sz val="10"/>
            <color indexed="32"/>
            <rFont val="ＭＳ 明朝"/>
            <family val="1"/>
            <charset val="128"/>
          </rPr>
          <t xml:space="preserve">     </t>
        </r>
        <r>
          <rPr>
            <sz val="9"/>
            <color indexed="32"/>
            <rFont val="ＭＳ 明朝"/>
            <family val="1"/>
            <charset val="128"/>
          </rPr>
          <t xml:space="preserve"> </t>
        </r>
        <r>
          <rPr>
            <b/>
            <sz val="10"/>
            <color indexed="32"/>
            <rFont val="ＭＳ 明朝"/>
            <family val="1"/>
            <charset val="128"/>
          </rPr>
          <t xml:space="preserve">2C     0.015    0.017    0.018
</t>
        </r>
        <r>
          <rPr>
            <sz val="10"/>
            <color indexed="32"/>
            <rFont val="ＭＳ 明朝"/>
            <family val="1"/>
            <charset val="128"/>
          </rPr>
          <t xml:space="preserve">     </t>
        </r>
        <r>
          <rPr>
            <sz val="9"/>
            <color indexed="32"/>
            <rFont val="ＭＳ 明朝"/>
            <family val="1"/>
            <charset val="128"/>
          </rPr>
          <t xml:space="preserve"> </t>
        </r>
        <r>
          <rPr>
            <b/>
            <sz val="10"/>
            <color indexed="32"/>
            <rFont val="ＭＳ 明朝"/>
            <family val="1"/>
            <charset val="128"/>
          </rPr>
          <t xml:space="preserve">3C     0.017    0.019    0.021
</t>
        </r>
        <r>
          <rPr>
            <sz val="10"/>
            <color indexed="32"/>
            <rFont val="ＭＳ 明朝"/>
            <family val="1"/>
            <charset val="128"/>
          </rPr>
          <t xml:space="preserve">     </t>
        </r>
        <r>
          <rPr>
            <sz val="9"/>
            <color indexed="32"/>
            <rFont val="ＭＳ 明朝"/>
            <family val="1"/>
            <charset val="128"/>
          </rPr>
          <t xml:space="preserve"> </t>
        </r>
        <r>
          <rPr>
            <b/>
            <sz val="10"/>
            <color indexed="32"/>
            <rFont val="ＭＳ 明朝"/>
            <family val="1"/>
            <charset val="128"/>
          </rPr>
          <t>4C     0.019    0.022    0.023
   5</t>
        </r>
        <r>
          <rPr>
            <sz val="10"/>
            <color indexed="32"/>
            <rFont val="ＭＳ 明朝"/>
            <family val="1"/>
            <charset val="128"/>
          </rPr>
          <t>C～</t>
        </r>
        <r>
          <rPr>
            <b/>
            <sz val="10"/>
            <color indexed="32"/>
            <rFont val="ＭＳ 明朝"/>
            <family val="1"/>
            <charset val="128"/>
          </rPr>
          <t xml:space="preserve"> 6</t>
        </r>
        <r>
          <rPr>
            <sz val="10"/>
            <color indexed="32"/>
            <rFont val="ＭＳ 明朝"/>
            <family val="1"/>
            <charset val="128"/>
          </rPr>
          <t xml:space="preserve">C   </t>
        </r>
        <r>
          <rPr>
            <b/>
            <sz val="10"/>
            <color indexed="32"/>
            <rFont val="ＭＳ 明朝"/>
            <family val="1"/>
            <charset val="128"/>
          </rPr>
          <t>0.025    0.028    0.030
   7</t>
        </r>
        <r>
          <rPr>
            <sz val="10"/>
            <color indexed="32"/>
            <rFont val="ＭＳ 明朝"/>
            <family val="1"/>
            <charset val="128"/>
          </rPr>
          <t>C～</t>
        </r>
        <r>
          <rPr>
            <b/>
            <sz val="10"/>
            <color indexed="32"/>
            <rFont val="ＭＳ 明朝"/>
            <family val="1"/>
            <charset val="128"/>
          </rPr>
          <t xml:space="preserve"> 8</t>
        </r>
        <r>
          <rPr>
            <sz val="10"/>
            <color indexed="32"/>
            <rFont val="ＭＳ 明朝"/>
            <family val="1"/>
            <charset val="128"/>
          </rPr>
          <t xml:space="preserve">C   </t>
        </r>
        <r>
          <rPr>
            <b/>
            <sz val="10"/>
            <color indexed="32"/>
            <rFont val="ＭＳ 明朝"/>
            <family val="1"/>
            <charset val="128"/>
          </rPr>
          <t>0.030    0.034    0.037
   9</t>
        </r>
        <r>
          <rPr>
            <sz val="10"/>
            <color indexed="32"/>
            <rFont val="ＭＳ 明朝"/>
            <family val="1"/>
            <charset val="128"/>
          </rPr>
          <t>C～</t>
        </r>
        <r>
          <rPr>
            <b/>
            <sz val="10"/>
            <color indexed="32"/>
            <rFont val="ＭＳ 明朝"/>
            <family val="1"/>
            <charset val="128"/>
          </rPr>
          <t>10</t>
        </r>
        <r>
          <rPr>
            <sz val="10"/>
            <color indexed="32"/>
            <rFont val="ＭＳ 明朝"/>
            <family val="1"/>
            <charset val="128"/>
          </rPr>
          <t xml:space="preserve">C   </t>
        </r>
        <r>
          <rPr>
            <b/>
            <sz val="10"/>
            <color indexed="32"/>
            <rFont val="ＭＳ 明朝"/>
            <family val="1"/>
            <charset val="128"/>
          </rPr>
          <t>0.037    0.042    0.045
  11</t>
        </r>
        <r>
          <rPr>
            <sz val="10"/>
            <color indexed="32"/>
            <rFont val="ＭＳ 明朝"/>
            <family val="1"/>
            <charset val="128"/>
          </rPr>
          <t>C～</t>
        </r>
        <r>
          <rPr>
            <b/>
            <sz val="10"/>
            <color indexed="32"/>
            <rFont val="ＭＳ 明朝"/>
            <family val="1"/>
            <charset val="128"/>
          </rPr>
          <t>12</t>
        </r>
        <r>
          <rPr>
            <sz val="10"/>
            <color indexed="32"/>
            <rFont val="ＭＳ 明朝"/>
            <family val="1"/>
            <charset val="128"/>
          </rPr>
          <t xml:space="preserve">C   </t>
        </r>
        <r>
          <rPr>
            <b/>
            <sz val="10"/>
            <color indexed="32"/>
            <rFont val="ＭＳ 明朝"/>
            <family val="1"/>
            <charset val="128"/>
          </rPr>
          <t>0.043    0.048    0.053
  13</t>
        </r>
        <r>
          <rPr>
            <sz val="10"/>
            <color indexed="32"/>
            <rFont val="ＭＳ 明朝"/>
            <family val="1"/>
            <charset val="128"/>
          </rPr>
          <t>C～</t>
        </r>
        <r>
          <rPr>
            <b/>
            <sz val="10"/>
            <color indexed="32"/>
            <rFont val="ＭＳ 明朝"/>
            <family val="1"/>
            <charset val="128"/>
          </rPr>
          <t>14</t>
        </r>
        <r>
          <rPr>
            <sz val="10"/>
            <color indexed="32"/>
            <rFont val="ＭＳ 明朝"/>
            <family val="1"/>
            <charset val="128"/>
          </rPr>
          <t xml:space="preserve">C   </t>
        </r>
        <r>
          <rPr>
            <b/>
            <sz val="10"/>
            <color indexed="32"/>
            <rFont val="ＭＳ 明朝"/>
            <family val="1"/>
            <charset val="128"/>
          </rPr>
          <t>0.048    0.053    0.058
  15</t>
        </r>
        <r>
          <rPr>
            <sz val="10"/>
            <color indexed="32"/>
            <rFont val="ＭＳ 明朝"/>
            <family val="1"/>
            <charset val="128"/>
          </rPr>
          <t>C～</t>
        </r>
        <r>
          <rPr>
            <b/>
            <sz val="10"/>
            <color indexed="32"/>
            <rFont val="ＭＳ 明朝"/>
            <family val="1"/>
            <charset val="128"/>
          </rPr>
          <t>16</t>
        </r>
        <r>
          <rPr>
            <sz val="10"/>
            <color indexed="32"/>
            <rFont val="ＭＳ 明朝"/>
            <family val="1"/>
            <charset val="128"/>
          </rPr>
          <t xml:space="preserve">C   </t>
        </r>
        <r>
          <rPr>
            <b/>
            <sz val="10"/>
            <color indexed="32"/>
            <rFont val="ＭＳ 明朝"/>
            <family val="1"/>
            <charset val="128"/>
          </rPr>
          <t>0.054    0.060    0.066
  17</t>
        </r>
        <r>
          <rPr>
            <sz val="10"/>
            <color indexed="32"/>
            <rFont val="ＭＳ 明朝"/>
            <family val="1"/>
            <charset val="128"/>
          </rPr>
          <t>C～</t>
        </r>
        <r>
          <rPr>
            <b/>
            <sz val="10"/>
            <color indexed="32"/>
            <rFont val="ＭＳ 明朝"/>
            <family val="1"/>
            <charset val="128"/>
          </rPr>
          <t>18</t>
        </r>
        <r>
          <rPr>
            <sz val="10"/>
            <color indexed="32"/>
            <rFont val="ＭＳ 明朝"/>
            <family val="1"/>
            <charset val="128"/>
          </rPr>
          <t xml:space="preserve">C   </t>
        </r>
        <r>
          <rPr>
            <b/>
            <sz val="10"/>
            <color indexed="32"/>
            <rFont val="ＭＳ 明朝"/>
            <family val="1"/>
            <charset val="128"/>
          </rPr>
          <t>0.059    0.065    0.072
  19</t>
        </r>
        <r>
          <rPr>
            <sz val="10"/>
            <color indexed="32"/>
            <rFont val="ＭＳ 明朝"/>
            <family val="1"/>
            <charset val="128"/>
          </rPr>
          <t>C～</t>
        </r>
        <r>
          <rPr>
            <b/>
            <sz val="10"/>
            <color indexed="32"/>
            <rFont val="ＭＳ 明朝"/>
            <family val="1"/>
            <charset val="128"/>
          </rPr>
          <t>20</t>
        </r>
        <r>
          <rPr>
            <sz val="10"/>
            <color indexed="32"/>
            <rFont val="ＭＳ 明朝"/>
            <family val="1"/>
            <charset val="128"/>
          </rPr>
          <t xml:space="preserve">C   </t>
        </r>
        <r>
          <rPr>
            <b/>
            <sz val="10"/>
            <color indexed="32"/>
            <rFont val="ＭＳ 明朝"/>
            <family val="1"/>
            <charset val="128"/>
          </rPr>
          <t>0.063    0.070    0.077
  21</t>
        </r>
        <r>
          <rPr>
            <sz val="10"/>
            <color indexed="32"/>
            <rFont val="ＭＳ 明朝"/>
            <family val="1"/>
            <charset val="128"/>
          </rPr>
          <t>C～</t>
        </r>
        <r>
          <rPr>
            <b/>
            <sz val="10"/>
            <color indexed="32"/>
            <rFont val="ＭＳ 明朝"/>
            <family val="1"/>
            <charset val="128"/>
          </rPr>
          <t>22</t>
        </r>
        <r>
          <rPr>
            <sz val="10"/>
            <color indexed="32"/>
            <rFont val="ＭＳ 明朝"/>
            <family val="1"/>
            <charset val="128"/>
          </rPr>
          <t xml:space="preserve">C   </t>
        </r>
        <r>
          <rPr>
            <b/>
            <sz val="10"/>
            <color indexed="32"/>
            <rFont val="ＭＳ 明朝"/>
            <family val="1"/>
            <charset val="128"/>
          </rPr>
          <t>0.068    0.076    0.083
  23</t>
        </r>
        <r>
          <rPr>
            <sz val="10"/>
            <color indexed="32"/>
            <rFont val="ＭＳ 明朝"/>
            <family val="1"/>
            <charset val="128"/>
          </rPr>
          <t>C～</t>
        </r>
        <r>
          <rPr>
            <b/>
            <sz val="10"/>
            <color indexed="32"/>
            <rFont val="ＭＳ 明朝"/>
            <family val="1"/>
            <charset val="128"/>
          </rPr>
          <t>24</t>
        </r>
        <r>
          <rPr>
            <sz val="10"/>
            <color indexed="32"/>
            <rFont val="ＭＳ 明朝"/>
            <family val="1"/>
            <charset val="128"/>
          </rPr>
          <t xml:space="preserve">C   </t>
        </r>
        <r>
          <rPr>
            <b/>
            <sz val="10"/>
            <color indexed="32"/>
            <rFont val="ＭＳ 明朝"/>
            <family val="1"/>
            <charset val="128"/>
          </rPr>
          <t>0.072    0.080    0.088
  25</t>
        </r>
        <r>
          <rPr>
            <sz val="10"/>
            <color indexed="32"/>
            <rFont val="ＭＳ 明朝"/>
            <family val="1"/>
            <charset val="128"/>
          </rPr>
          <t>C～</t>
        </r>
        <r>
          <rPr>
            <b/>
            <sz val="10"/>
            <color indexed="32"/>
            <rFont val="ＭＳ 明朝"/>
            <family val="1"/>
            <charset val="128"/>
          </rPr>
          <t>30</t>
        </r>
        <r>
          <rPr>
            <sz val="10"/>
            <color indexed="32"/>
            <rFont val="ＭＳ 明朝"/>
            <family val="1"/>
            <charset val="128"/>
          </rPr>
          <t xml:space="preserve">C   </t>
        </r>
        <r>
          <rPr>
            <b/>
            <sz val="10"/>
            <color indexed="32"/>
            <rFont val="ＭＳ 明朝"/>
            <family val="1"/>
            <charset val="128"/>
          </rPr>
          <t xml:space="preserve">0.075    0.083    0.091
 </t>
        </r>
      </text>
    </comment>
    <comment ref="K6" authorId="0">
      <text>
        <r>
          <rPr>
            <sz val="11"/>
            <color indexed="60"/>
            <rFont val="ＭＳ 明朝"/>
            <family val="1"/>
            <charset val="128"/>
          </rPr>
          <t>　</t>
        </r>
        <r>
          <rPr>
            <sz val="9"/>
            <color indexed="60"/>
            <rFont val="ＭＳ 明朝"/>
            <family val="1"/>
            <charset val="128"/>
          </rPr>
          <t xml:space="preserve"> </t>
        </r>
        <r>
          <rPr>
            <b/>
            <sz val="12"/>
            <color indexed="60"/>
            <rFont val="ＭＳ 明朝"/>
            <family val="1"/>
            <charset val="128"/>
          </rPr>
          <t>薄綱電線管</t>
        </r>
        <r>
          <rPr>
            <sz val="16"/>
            <color indexed="81"/>
            <rFont val="ＭＳ 明朝"/>
            <family val="1"/>
            <charset val="128"/>
          </rPr>
          <t xml:space="preserve"> </t>
        </r>
        <r>
          <rPr>
            <b/>
            <sz val="12"/>
            <color indexed="81"/>
            <rFont val="ＭＳ 明朝"/>
            <family val="1"/>
            <charset val="128"/>
          </rPr>
          <t>　</t>
        </r>
        <r>
          <rPr>
            <b/>
            <sz val="3"/>
            <color indexed="81"/>
            <rFont val="ＭＳ 明朝"/>
            <family val="1"/>
            <charset val="128"/>
          </rPr>
          <t xml:space="preserve">
</t>
        </r>
        <r>
          <rPr>
            <b/>
            <sz val="10"/>
            <color indexed="32"/>
            <rFont val="ＭＳ 明朝"/>
            <family val="1"/>
            <charset val="128"/>
          </rPr>
          <t xml:space="preserve">  C 19 : 0.052</t>
        </r>
        <r>
          <rPr>
            <b/>
            <sz val="14"/>
            <color indexed="32"/>
            <rFont val="ＭＳ 明朝"/>
            <family val="1"/>
            <charset val="128"/>
          </rPr>
          <t xml:space="preserve"> </t>
        </r>
        <r>
          <rPr>
            <b/>
            <sz val="10"/>
            <color indexed="32"/>
            <rFont val="ＭＳ 明朝"/>
            <family val="1"/>
            <charset val="128"/>
          </rPr>
          <t xml:space="preserve">
  C 25 : 0.070
  C 31 : 0.089
  C 39 : 0.109
  C 51 : 0.147
  C 63 : 0.198
  C 75 : 0.231</t>
        </r>
        <r>
          <rPr>
            <b/>
            <sz val="10"/>
            <color indexed="81"/>
            <rFont val="ＭＳ 明朝"/>
            <family val="1"/>
            <charset val="128"/>
          </rPr>
          <t xml:space="preserve">
</t>
        </r>
        <r>
          <rPr>
            <sz val="11"/>
            <color indexed="81"/>
            <rFont val="ＭＳ 明朝"/>
            <family val="1"/>
            <charset val="128"/>
          </rPr>
          <t>　</t>
        </r>
        <r>
          <rPr>
            <sz val="9"/>
            <color indexed="81"/>
            <rFont val="ＭＳ 明朝"/>
            <family val="1"/>
            <charset val="128"/>
          </rPr>
          <t xml:space="preserve"> </t>
        </r>
        <r>
          <rPr>
            <b/>
            <sz val="12"/>
            <color indexed="60"/>
            <rFont val="ＭＳ 明朝"/>
            <family val="1"/>
            <charset val="128"/>
          </rPr>
          <t>厚綱電線管</t>
        </r>
        <r>
          <rPr>
            <sz val="16"/>
            <color indexed="81"/>
            <rFont val="ＭＳ 明朝"/>
            <family val="1"/>
            <charset val="128"/>
          </rPr>
          <t xml:space="preserve"> </t>
        </r>
        <r>
          <rPr>
            <b/>
            <sz val="10"/>
            <color indexed="81"/>
            <rFont val="ＭＳ 明朝"/>
            <family val="1"/>
            <charset val="128"/>
          </rPr>
          <t xml:space="preserve">　
</t>
        </r>
        <r>
          <rPr>
            <b/>
            <sz val="10"/>
            <color indexed="32"/>
            <rFont val="ＭＳ 明朝"/>
            <family val="1"/>
            <charset val="128"/>
          </rPr>
          <t xml:space="preserve">  G 16 : 0.060</t>
        </r>
        <r>
          <rPr>
            <b/>
            <sz val="14"/>
            <color indexed="32"/>
            <rFont val="ＭＳ 明朝"/>
            <family val="1"/>
            <charset val="128"/>
          </rPr>
          <t xml:space="preserve"> </t>
        </r>
        <r>
          <rPr>
            <b/>
            <sz val="10"/>
            <color indexed="32"/>
            <rFont val="ＭＳ 明朝"/>
            <family val="1"/>
            <charset val="128"/>
          </rPr>
          <t xml:space="preserve">
  G 22 : 0.080
  G 28 : 0.103
  G 36 : 0.124
  G 42 : 0.170
  G 54 : 0.229
  G 70 : 0.266
  G 82 : 0.323
  G 92 : 0.360
  G104 : 0.402 </t>
        </r>
      </text>
    </comment>
    <comment ref="O6" authorId="0">
      <text>
        <r>
          <rPr>
            <sz val="9"/>
            <color indexed="81"/>
            <rFont val="ＭＳ 明朝"/>
            <family val="1"/>
            <charset val="128"/>
          </rPr>
          <t xml:space="preserve">    </t>
        </r>
        <r>
          <rPr>
            <b/>
            <sz val="11"/>
            <color indexed="60"/>
            <rFont val="ＭＳ Ｐ明朝"/>
            <family val="1"/>
            <charset val="128"/>
          </rPr>
          <t>ケーブル･ラック</t>
        </r>
        <r>
          <rPr>
            <sz val="16"/>
            <color indexed="81"/>
            <rFont val="ＭＳ 明朝"/>
            <family val="1"/>
            <charset val="128"/>
          </rPr>
          <t xml:space="preserve"> </t>
        </r>
        <r>
          <rPr>
            <sz val="11"/>
            <color indexed="81"/>
            <rFont val="ＭＳ 明朝"/>
            <family val="1"/>
            <charset val="128"/>
          </rPr>
          <t xml:space="preserve">
</t>
        </r>
        <r>
          <rPr>
            <b/>
            <sz val="10"/>
            <color indexed="32"/>
            <rFont val="ＭＳ Ｐゴシック"/>
            <family val="3"/>
            <charset val="128"/>
          </rPr>
          <t xml:space="preserve">   Ｗ= 100</t>
        </r>
        <r>
          <rPr>
            <sz val="10"/>
            <color indexed="32"/>
            <rFont val="ＭＳ Ｐゴシック"/>
            <family val="3"/>
            <charset val="128"/>
          </rPr>
          <t>mm</t>
        </r>
        <r>
          <rPr>
            <b/>
            <sz val="10"/>
            <color indexed="32"/>
            <rFont val="ＭＳ Ｐゴシック"/>
            <family val="3"/>
            <charset val="128"/>
          </rPr>
          <t xml:space="preserve"> : 0.130</t>
        </r>
        <r>
          <rPr>
            <b/>
            <sz val="14"/>
            <color indexed="32"/>
            <rFont val="ＭＳ Ｐゴシック"/>
            <family val="3"/>
            <charset val="128"/>
          </rPr>
          <t xml:space="preserve"> </t>
        </r>
        <r>
          <rPr>
            <b/>
            <sz val="10"/>
            <color indexed="32"/>
            <rFont val="ＭＳ Ｐゴシック"/>
            <family val="3"/>
            <charset val="128"/>
          </rPr>
          <t xml:space="preserve">
   Ｗ= 200</t>
        </r>
        <r>
          <rPr>
            <sz val="10"/>
            <color indexed="32"/>
            <rFont val="ＭＳ Ｐゴシック"/>
            <family val="3"/>
            <charset val="128"/>
          </rPr>
          <t>mm</t>
        </r>
        <r>
          <rPr>
            <b/>
            <sz val="10"/>
            <color indexed="32"/>
            <rFont val="ＭＳ Ｐゴシック"/>
            <family val="3"/>
            <charset val="128"/>
          </rPr>
          <t xml:space="preserve"> : 0.183
   Ｗ= 300</t>
        </r>
        <r>
          <rPr>
            <sz val="10"/>
            <color indexed="32"/>
            <rFont val="ＭＳ Ｐゴシック"/>
            <family val="3"/>
            <charset val="128"/>
          </rPr>
          <t>mm</t>
        </r>
        <r>
          <rPr>
            <b/>
            <sz val="10"/>
            <color indexed="32"/>
            <rFont val="ＭＳ Ｐゴシック"/>
            <family val="3"/>
            <charset val="128"/>
          </rPr>
          <t xml:space="preserve"> : 0.243
   Ｗ= 400</t>
        </r>
        <r>
          <rPr>
            <sz val="10"/>
            <color indexed="32"/>
            <rFont val="ＭＳ Ｐゴシック"/>
            <family val="3"/>
            <charset val="128"/>
          </rPr>
          <t>mm</t>
        </r>
        <r>
          <rPr>
            <b/>
            <sz val="10"/>
            <color indexed="32"/>
            <rFont val="ＭＳ Ｐゴシック"/>
            <family val="3"/>
            <charset val="128"/>
          </rPr>
          <t xml:space="preserve"> : 0.296
   Ｗ= 500</t>
        </r>
        <r>
          <rPr>
            <sz val="10"/>
            <color indexed="32"/>
            <rFont val="ＭＳ Ｐゴシック"/>
            <family val="3"/>
            <charset val="128"/>
          </rPr>
          <t>mm</t>
        </r>
        <r>
          <rPr>
            <b/>
            <sz val="10"/>
            <color indexed="32"/>
            <rFont val="ＭＳ Ｐゴシック"/>
            <family val="3"/>
            <charset val="128"/>
          </rPr>
          <t xml:space="preserve"> : 0.339
   Ｗ= 600</t>
        </r>
        <r>
          <rPr>
            <sz val="10"/>
            <color indexed="32"/>
            <rFont val="ＭＳ Ｐゴシック"/>
            <family val="3"/>
            <charset val="128"/>
          </rPr>
          <t>mm</t>
        </r>
        <r>
          <rPr>
            <b/>
            <sz val="10"/>
            <color indexed="32"/>
            <rFont val="ＭＳ Ｐゴシック"/>
            <family val="3"/>
            <charset val="128"/>
          </rPr>
          <t xml:space="preserve"> : 0.365
   Ｗ= 800</t>
        </r>
        <r>
          <rPr>
            <sz val="10"/>
            <color indexed="32"/>
            <rFont val="ＭＳ Ｐゴシック"/>
            <family val="3"/>
            <charset val="128"/>
          </rPr>
          <t>mm</t>
        </r>
        <r>
          <rPr>
            <b/>
            <sz val="10"/>
            <color indexed="32"/>
            <rFont val="ＭＳ Ｐゴシック"/>
            <family val="3"/>
            <charset val="128"/>
          </rPr>
          <t xml:space="preserve"> : 0.496
   Ｗ=1000</t>
        </r>
        <r>
          <rPr>
            <sz val="10"/>
            <color indexed="32"/>
            <rFont val="ＭＳ Ｐゴシック"/>
            <family val="3"/>
            <charset val="128"/>
          </rPr>
          <t>mm</t>
        </r>
        <r>
          <rPr>
            <sz val="6"/>
            <color indexed="32"/>
            <rFont val="ＭＳ Ｐゴシック"/>
            <family val="3"/>
            <charset val="128"/>
          </rPr>
          <t xml:space="preserve"> </t>
        </r>
        <r>
          <rPr>
            <b/>
            <sz val="10"/>
            <color indexed="32"/>
            <rFont val="ＭＳ Ｐゴシック"/>
            <family val="3"/>
            <charset val="128"/>
          </rPr>
          <t xml:space="preserve">: 0.617 </t>
        </r>
      </text>
    </comment>
    <comment ref="S6" authorId="0">
      <text>
        <r>
          <rPr>
            <sz val="11"/>
            <color indexed="81"/>
            <rFont val="ＭＳ 明朝"/>
            <family val="1"/>
            <charset val="128"/>
          </rPr>
          <t xml:space="preserve">      </t>
        </r>
        <r>
          <rPr>
            <b/>
            <sz val="12"/>
            <color indexed="60"/>
            <rFont val="ＭＳ 明朝"/>
            <family val="1"/>
            <charset val="128"/>
          </rPr>
          <t>受 配 電 盤</t>
        </r>
        <r>
          <rPr>
            <sz val="16"/>
            <color indexed="81"/>
            <rFont val="ＭＳ 明朝"/>
            <family val="1"/>
            <charset val="128"/>
          </rPr>
          <t xml:space="preserve"> </t>
        </r>
        <r>
          <rPr>
            <sz val="11"/>
            <color indexed="81"/>
            <rFont val="ＭＳ 明朝"/>
            <family val="1"/>
            <charset val="128"/>
          </rPr>
          <t xml:space="preserve"> </t>
        </r>
        <r>
          <rPr>
            <b/>
            <sz val="11"/>
            <color indexed="81"/>
            <rFont val="ＭＳ 明朝"/>
            <family val="1"/>
            <charset val="128"/>
          </rPr>
          <t xml:space="preserve">
</t>
        </r>
        <r>
          <rPr>
            <sz val="10"/>
            <color indexed="32"/>
            <rFont val="ＭＳ 明朝"/>
            <family val="1"/>
            <charset val="128"/>
          </rPr>
          <t>　</t>
        </r>
        <r>
          <rPr>
            <sz val="10"/>
            <color indexed="9"/>
            <rFont val="Meiryo UI"/>
            <family val="3"/>
            <charset val="128"/>
          </rPr>
          <t xml:space="preserve">(開放垂直形)                      </t>
        </r>
        <r>
          <rPr>
            <sz val="10"/>
            <color indexed="9"/>
            <rFont val="ＭＳ Ｐ明朝"/>
            <family val="1"/>
            <charset val="128"/>
          </rPr>
          <t>電 工  　普通作業員</t>
        </r>
        <r>
          <rPr>
            <sz val="14"/>
            <color indexed="9"/>
            <rFont val="ＭＳ Ｐ明朝"/>
            <family val="1"/>
            <charset val="128"/>
          </rPr>
          <t xml:space="preserve"> </t>
        </r>
        <r>
          <rPr>
            <sz val="10"/>
            <color indexed="32"/>
            <rFont val="ＭＳ 明朝"/>
            <family val="1"/>
            <charset val="128"/>
          </rPr>
          <t xml:space="preserve">
　 受配電盤 7.2KV 4.0KA</t>
        </r>
        <r>
          <rPr>
            <b/>
            <sz val="10"/>
            <color indexed="32"/>
            <rFont val="ＭＳ 明朝"/>
            <family val="1"/>
            <charset val="128"/>
          </rPr>
          <t xml:space="preserve">  </t>
        </r>
        <r>
          <rPr>
            <b/>
            <sz val="9"/>
            <color indexed="32"/>
            <rFont val="ＭＳ 明朝"/>
            <family val="1"/>
            <charset val="128"/>
          </rPr>
          <t xml:space="preserve"> </t>
        </r>
        <r>
          <rPr>
            <b/>
            <sz val="8"/>
            <color indexed="32"/>
            <rFont val="ＭＳ 明朝"/>
            <family val="1"/>
            <charset val="128"/>
          </rPr>
          <t xml:space="preserve"> </t>
        </r>
        <r>
          <rPr>
            <b/>
            <sz val="10"/>
            <color indexed="32"/>
            <rFont val="ＭＳ 明朝"/>
            <family val="1"/>
            <charset val="128"/>
          </rPr>
          <t>4.16    1.68</t>
        </r>
        <r>
          <rPr>
            <b/>
            <sz val="14"/>
            <color indexed="32"/>
            <rFont val="ＭＳ 明朝"/>
            <family val="1"/>
            <charset val="128"/>
          </rPr>
          <t xml:space="preserve"> </t>
        </r>
        <r>
          <rPr>
            <sz val="10"/>
            <color indexed="32"/>
            <rFont val="ＭＳ 明朝"/>
            <family val="1"/>
            <charset val="128"/>
          </rPr>
          <t xml:space="preserve">
　 　　　　 7.2KV 8.0KA</t>
        </r>
        <r>
          <rPr>
            <b/>
            <sz val="10"/>
            <color indexed="32"/>
            <rFont val="ＭＳ 明朝"/>
            <family val="1"/>
            <charset val="128"/>
          </rPr>
          <t xml:space="preserve">   </t>
        </r>
        <r>
          <rPr>
            <b/>
            <sz val="6"/>
            <color indexed="32"/>
            <rFont val="ＭＳ 明朝"/>
            <family val="1"/>
            <charset val="128"/>
          </rPr>
          <t xml:space="preserve"> </t>
        </r>
        <r>
          <rPr>
            <b/>
            <sz val="10"/>
            <color indexed="32"/>
            <rFont val="ＭＳ 明朝"/>
            <family val="1"/>
            <charset val="128"/>
          </rPr>
          <t>5.04    2.04</t>
        </r>
        <r>
          <rPr>
            <sz val="10"/>
            <color indexed="32"/>
            <rFont val="ＭＳ 明朝"/>
            <family val="1"/>
            <charset val="128"/>
          </rPr>
          <t xml:space="preserve">
　 低圧盤　 盤幅 800以下   </t>
        </r>
        <r>
          <rPr>
            <b/>
            <sz val="10"/>
            <color indexed="32"/>
            <rFont val="ＭＳ 明朝"/>
            <family val="1"/>
            <charset val="128"/>
          </rPr>
          <t>2.65    2.12</t>
        </r>
        <r>
          <rPr>
            <sz val="10"/>
            <color indexed="32"/>
            <rFont val="ＭＳ 明朝"/>
            <family val="1"/>
            <charset val="128"/>
          </rPr>
          <t xml:space="preserve">
　 　　　　 盤幅 800超過   </t>
        </r>
        <r>
          <rPr>
            <b/>
            <sz val="10"/>
            <color indexed="32"/>
            <rFont val="ＭＳ 明朝"/>
            <family val="1"/>
            <charset val="128"/>
          </rPr>
          <t>3.54    2.65</t>
        </r>
        <r>
          <rPr>
            <sz val="10"/>
            <color indexed="32"/>
            <rFont val="ＭＳ 明朝"/>
            <family val="1"/>
            <charset val="128"/>
          </rPr>
          <t xml:space="preserve">
　</t>
        </r>
        <r>
          <rPr>
            <sz val="10"/>
            <color indexed="9"/>
            <rFont val="Meiryo UI"/>
            <family val="3"/>
            <charset val="128"/>
          </rPr>
          <t>(閉　鎖　形)</t>
        </r>
        <r>
          <rPr>
            <sz val="14"/>
            <color indexed="32"/>
            <rFont val="ＭＳ 明朝"/>
            <family val="1"/>
            <charset val="128"/>
          </rPr>
          <t xml:space="preserve"> </t>
        </r>
        <r>
          <rPr>
            <sz val="10"/>
            <color indexed="32"/>
            <rFont val="ＭＳ 明朝"/>
            <family val="1"/>
            <charset val="128"/>
          </rPr>
          <t xml:space="preserve">
　 受配電盤 7.2KV 4.0KA</t>
        </r>
        <r>
          <rPr>
            <b/>
            <sz val="10"/>
            <color indexed="32"/>
            <rFont val="ＭＳ 明朝"/>
            <family val="1"/>
            <charset val="128"/>
          </rPr>
          <t xml:space="preserve">   </t>
        </r>
        <r>
          <rPr>
            <b/>
            <sz val="6"/>
            <color indexed="32"/>
            <rFont val="ＭＳ 明朝"/>
            <family val="1"/>
            <charset val="128"/>
          </rPr>
          <t xml:space="preserve"> </t>
        </r>
        <r>
          <rPr>
            <b/>
            <sz val="10"/>
            <color indexed="32"/>
            <rFont val="ＭＳ 明朝"/>
            <family val="1"/>
            <charset val="128"/>
          </rPr>
          <t>4.78    1.86</t>
        </r>
        <r>
          <rPr>
            <sz val="10"/>
            <color indexed="32"/>
            <rFont val="ＭＳ 明朝"/>
            <family val="1"/>
            <charset val="128"/>
          </rPr>
          <t xml:space="preserve">
　 　　　　 7.2KV 8.0KA</t>
        </r>
        <r>
          <rPr>
            <b/>
            <sz val="10"/>
            <color indexed="32"/>
            <rFont val="ＭＳ 明朝"/>
            <family val="1"/>
            <charset val="128"/>
          </rPr>
          <t xml:space="preserve">   </t>
        </r>
        <r>
          <rPr>
            <b/>
            <sz val="6"/>
            <color indexed="32"/>
            <rFont val="ＭＳ 明朝"/>
            <family val="1"/>
            <charset val="128"/>
          </rPr>
          <t xml:space="preserve"> </t>
        </r>
        <r>
          <rPr>
            <b/>
            <sz val="10"/>
            <color indexed="32"/>
            <rFont val="ＭＳ 明朝"/>
            <family val="1"/>
            <charset val="128"/>
          </rPr>
          <t>5.40    2.21</t>
        </r>
        <r>
          <rPr>
            <sz val="10"/>
            <color indexed="32"/>
            <rFont val="ＭＳ 明朝"/>
            <family val="1"/>
            <charset val="128"/>
          </rPr>
          <t xml:space="preserve">
　 低圧盤　 盤幅 800以下  </t>
        </r>
        <r>
          <rPr>
            <b/>
            <sz val="10"/>
            <color indexed="32"/>
            <rFont val="ＭＳ 明朝"/>
            <family val="1"/>
            <charset val="128"/>
          </rPr>
          <t xml:space="preserve"> 3.98    2.12</t>
        </r>
        <r>
          <rPr>
            <sz val="10"/>
            <color indexed="32"/>
            <rFont val="ＭＳ 明朝"/>
            <family val="1"/>
            <charset val="128"/>
          </rPr>
          <t xml:space="preserve">
　 　　　　 盤幅 800超過  </t>
        </r>
        <r>
          <rPr>
            <b/>
            <sz val="10"/>
            <color indexed="32"/>
            <rFont val="ＭＳ 明朝"/>
            <family val="1"/>
            <charset val="128"/>
          </rPr>
          <t xml:space="preserve"> 5.31    2.65
　　</t>
        </r>
        <r>
          <rPr>
            <b/>
            <sz val="12"/>
            <color indexed="32"/>
            <rFont val="ＭＳ 明朝"/>
            <family val="1"/>
            <charset val="128"/>
          </rPr>
          <t>　</t>
        </r>
        <r>
          <rPr>
            <b/>
            <sz val="12"/>
            <color indexed="60"/>
            <rFont val="ＭＳ 明朝"/>
            <family val="1"/>
            <charset val="128"/>
          </rPr>
          <t>開　閉　器</t>
        </r>
        <r>
          <rPr>
            <b/>
            <sz val="16"/>
            <color indexed="32"/>
            <rFont val="ＭＳ 明朝"/>
            <family val="1"/>
            <charset val="128"/>
          </rPr>
          <t xml:space="preserve"> </t>
        </r>
        <r>
          <rPr>
            <b/>
            <sz val="14"/>
            <color indexed="32"/>
            <rFont val="ＭＳ 明朝"/>
            <family val="1"/>
            <charset val="128"/>
          </rPr>
          <t xml:space="preserve">
</t>
        </r>
        <r>
          <rPr>
            <sz val="10"/>
            <color indexed="32"/>
            <rFont val="ＭＳ 明朝"/>
            <family val="1"/>
            <charset val="128"/>
          </rPr>
          <t>　 高圧気中開閉器</t>
        </r>
        <r>
          <rPr>
            <sz val="14"/>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3P-100A</t>
        </r>
        <r>
          <rPr>
            <sz val="10"/>
            <color indexed="32"/>
            <rFont val="ＭＳ 明朝"/>
            <family val="1"/>
            <charset val="128"/>
          </rPr>
          <t>　　　　</t>
        </r>
        <r>
          <rPr>
            <b/>
            <sz val="10"/>
            <color indexed="32"/>
            <rFont val="ＭＳ 明朝"/>
            <family val="1"/>
            <charset val="128"/>
          </rPr>
          <t>0.690
　　　　　3P-200A</t>
        </r>
        <r>
          <rPr>
            <sz val="10"/>
            <color indexed="32"/>
            <rFont val="ＭＳ 明朝"/>
            <family val="1"/>
            <charset val="128"/>
          </rPr>
          <t>　　　　</t>
        </r>
        <r>
          <rPr>
            <b/>
            <sz val="10"/>
            <color indexed="32"/>
            <rFont val="ＭＳ 明朝"/>
            <family val="1"/>
            <charset val="128"/>
          </rPr>
          <t>0.823
　　　　　3P-300A</t>
        </r>
        <r>
          <rPr>
            <sz val="10"/>
            <color indexed="32"/>
            <rFont val="ＭＳ 明朝"/>
            <family val="1"/>
            <charset val="128"/>
          </rPr>
          <t>　　　　</t>
        </r>
        <r>
          <rPr>
            <b/>
            <sz val="10"/>
            <color indexed="32"/>
            <rFont val="ＭＳ 明朝"/>
            <family val="1"/>
            <charset val="128"/>
          </rPr>
          <t xml:space="preserve">0.920
</t>
        </r>
        <r>
          <rPr>
            <sz val="10"/>
            <color indexed="32"/>
            <rFont val="ＭＳ 明朝"/>
            <family val="1"/>
            <charset val="128"/>
          </rPr>
          <t>　 高圧気中開閉器(DGR付)</t>
        </r>
        <r>
          <rPr>
            <sz val="14"/>
            <color indexed="32"/>
            <rFont val="ＭＳ 明朝"/>
            <family val="1"/>
            <charset val="128"/>
          </rPr>
          <t xml:space="preserve"> </t>
        </r>
        <r>
          <rPr>
            <b/>
            <sz val="10"/>
            <color indexed="32"/>
            <rFont val="ＭＳ 明朝"/>
            <family val="1"/>
            <charset val="128"/>
          </rPr>
          <t xml:space="preserve">
　　　　　3P-100A</t>
        </r>
        <r>
          <rPr>
            <sz val="10"/>
            <color indexed="32"/>
            <rFont val="ＭＳ 明朝"/>
            <family val="1"/>
            <charset val="128"/>
          </rPr>
          <t>　　　　</t>
        </r>
        <r>
          <rPr>
            <b/>
            <sz val="10"/>
            <color indexed="32"/>
            <rFont val="ＭＳ 明朝"/>
            <family val="1"/>
            <charset val="128"/>
          </rPr>
          <t>0.794
　　　　　3P-200A</t>
        </r>
        <r>
          <rPr>
            <sz val="10"/>
            <color indexed="32"/>
            <rFont val="ＭＳ 明朝"/>
            <family val="1"/>
            <charset val="128"/>
          </rPr>
          <t>　　　　</t>
        </r>
        <r>
          <rPr>
            <b/>
            <sz val="10"/>
            <color indexed="32"/>
            <rFont val="ＭＳ 明朝"/>
            <family val="1"/>
            <charset val="128"/>
          </rPr>
          <t>0.946
　　　　　3P-300A</t>
        </r>
        <r>
          <rPr>
            <sz val="10"/>
            <color indexed="32"/>
            <rFont val="ＭＳ 明朝"/>
            <family val="1"/>
            <charset val="128"/>
          </rPr>
          <t>　　　　</t>
        </r>
        <r>
          <rPr>
            <b/>
            <sz val="10"/>
            <color indexed="32"/>
            <rFont val="ＭＳ 明朝"/>
            <family val="1"/>
            <charset val="128"/>
          </rPr>
          <t>1.05</t>
        </r>
        <r>
          <rPr>
            <b/>
            <sz val="10"/>
            <color indexed="81"/>
            <rFont val="ＭＳ 明朝"/>
            <family val="1"/>
            <charset val="128"/>
          </rPr>
          <t xml:space="preserve">
</t>
        </r>
      </text>
    </comment>
    <comment ref="W6" authorId="0">
      <text>
        <r>
          <rPr>
            <b/>
            <sz val="10"/>
            <color indexed="81"/>
            <rFont val="ＭＳ 明朝"/>
            <family val="1"/>
            <charset val="128"/>
          </rPr>
          <t>　　　　</t>
        </r>
        <r>
          <rPr>
            <b/>
            <sz val="12"/>
            <color indexed="60"/>
            <rFont val="ＭＳ 明朝"/>
            <family val="1"/>
            <charset val="128"/>
          </rPr>
          <t>建　柱</t>
        </r>
        <r>
          <rPr>
            <sz val="11"/>
            <color indexed="60"/>
            <rFont val="ＭＳ 明朝"/>
            <family val="1"/>
            <charset val="128"/>
          </rPr>
          <t>(</t>
        </r>
        <r>
          <rPr>
            <b/>
            <sz val="11"/>
            <color indexed="60"/>
            <rFont val="ＭＳ 明朝"/>
            <family val="1"/>
            <charset val="128"/>
          </rPr>
          <t>建柱車</t>
        </r>
        <r>
          <rPr>
            <sz val="11"/>
            <color indexed="60"/>
            <rFont val="ＭＳ 明朝"/>
            <family val="1"/>
            <charset val="128"/>
          </rPr>
          <t>)</t>
        </r>
        <r>
          <rPr>
            <sz val="16"/>
            <color indexed="53"/>
            <rFont val="ＭＳ 明朝"/>
            <family val="1"/>
            <charset val="128"/>
          </rPr>
          <t xml:space="preserve"> </t>
        </r>
        <r>
          <rPr>
            <b/>
            <sz val="14"/>
            <color indexed="53"/>
            <rFont val="ＭＳ 明朝"/>
            <family val="1"/>
            <charset val="128"/>
          </rPr>
          <t xml:space="preserve">
</t>
        </r>
        <r>
          <rPr>
            <sz val="11"/>
            <color indexed="53"/>
            <rFont val="ＭＳ 明朝"/>
            <family val="1"/>
            <charset val="128"/>
          </rPr>
          <t>　　　　　　　</t>
        </r>
        <r>
          <rPr>
            <sz val="10"/>
            <color indexed="9"/>
            <rFont val="ＭＳ 明朝"/>
            <family val="1"/>
            <charset val="128"/>
          </rPr>
          <t>電 工　普通作業員</t>
        </r>
        <r>
          <rPr>
            <b/>
            <sz val="10"/>
            <color indexed="81"/>
            <rFont val="ＭＳ 明朝"/>
            <family val="1"/>
            <charset val="128"/>
          </rPr>
          <t xml:space="preserve">
</t>
        </r>
        <r>
          <rPr>
            <b/>
            <sz val="10"/>
            <color indexed="32"/>
            <rFont val="ＭＳ 明朝"/>
            <family val="1"/>
            <charset val="128"/>
          </rPr>
          <t xml:space="preserve">  </t>
        </r>
        <r>
          <rPr>
            <sz val="11"/>
            <color indexed="9"/>
            <rFont val="Meiryo UI"/>
            <family val="3"/>
            <charset val="128"/>
          </rPr>
          <t>コンクリート柱</t>
        </r>
        <r>
          <rPr>
            <sz val="10"/>
            <color indexed="32"/>
            <rFont val="ＭＳ 明朝"/>
            <family val="1"/>
            <charset val="128"/>
          </rPr>
          <t xml:space="preserve">
</t>
        </r>
        <r>
          <rPr>
            <b/>
            <sz val="10"/>
            <color indexed="32"/>
            <rFont val="ＭＳ 明朝"/>
            <family val="1"/>
            <charset val="128"/>
          </rPr>
          <t xml:space="preserve">        8</t>
        </r>
        <r>
          <rPr>
            <sz val="10"/>
            <color indexed="32"/>
            <rFont val="ＭＳ 明朝"/>
            <family val="1"/>
            <charset val="128"/>
          </rPr>
          <t>ｍ</t>
        </r>
        <r>
          <rPr>
            <b/>
            <sz val="10"/>
            <color indexed="32"/>
            <rFont val="ＭＳ 明朝"/>
            <family val="1"/>
            <charset val="128"/>
          </rPr>
          <t xml:space="preserve">   0.348   0.130
        9</t>
        </r>
        <r>
          <rPr>
            <sz val="10"/>
            <color indexed="32"/>
            <rFont val="ＭＳ 明朝"/>
            <family val="1"/>
            <charset val="128"/>
          </rPr>
          <t>ｍ</t>
        </r>
        <r>
          <rPr>
            <b/>
            <sz val="10"/>
            <color indexed="32"/>
            <rFont val="ＭＳ 明朝"/>
            <family val="1"/>
            <charset val="128"/>
          </rPr>
          <t xml:space="preserve">   0.348   0.130
       10</t>
        </r>
        <r>
          <rPr>
            <sz val="10"/>
            <color indexed="32"/>
            <rFont val="ＭＳ 明朝"/>
            <family val="1"/>
            <charset val="128"/>
          </rPr>
          <t>ｍ</t>
        </r>
        <r>
          <rPr>
            <b/>
            <sz val="10"/>
            <color indexed="32"/>
            <rFont val="ＭＳ 明朝"/>
            <family val="1"/>
            <charset val="128"/>
          </rPr>
          <t xml:space="preserve">   0.435   0.157
       11</t>
        </r>
        <r>
          <rPr>
            <sz val="10"/>
            <color indexed="32"/>
            <rFont val="ＭＳ 明朝"/>
            <family val="1"/>
            <charset val="128"/>
          </rPr>
          <t>ｍ</t>
        </r>
        <r>
          <rPr>
            <b/>
            <sz val="10"/>
            <color indexed="32"/>
            <rFont val="ＭＳ 明朝"/>
            <family val="1"/>
            <charset val="128"/>
          </rPr>
          <t xml:space="preserve">   0.435   0.157
       12</t>
        </r>
        <r>
          <rPr>
            <sz val="10"/>
            <color indexed="32"/>
            <rFont val="ＭＳ 明朝"/>
            <family val="1"/>
            <charset val="128"/>
          </rPr>
          <t>ｍ</t>
        </r>
        <r>
          <rPr>
            <b/>
            <sz val="10"/>
            <color indexed="32"/>
            <rFont val="ＭＳ 明朝"/>
            <family val="1"/>
            <charset val="128"/>
          </rPr>
          <t xml:space="preserve">   0.435   0.157
       13</t>
        </r>
        <r>
          <rPr>
            <sz val="10"/>
            <color indexed="32"/>
            <rFont val="ＭＳ 明朝"/>
            <family val="1"/>
            <charset val="128"/>
          </rPr>
          <t>ｍ</t>
        </r>
        <r>
          <rPr>
            <b/>
            <sz val="10"/>
            <color indexed="32"/>
            <rFont val="ＭＳ 明朝"/>
            <family val="1"/>
            <charset val="128"/>
          </rPr>
          <t xml:space="preserve">   0.521   0.174
       14</t>
        </r>
        <r>
          <rPr>
            <sz val="10"/>
            <color indexed="32"/>
            <rFont val="ＭＳ 明朝"/>
            <family val="1"/>
            <charset val="128"/>
          </rPr>
          <t>ｍ</t>
        </r>
        <r>
          <rPr>
            <b/>
            <sz val="10"/>
            <color indexed="32"/>
            <rFont val="ＭＳ 明朝"/>
            <family val="1"/>
            <charset val="128"/>
          </rPr>
          <t xml:space="preserve">   0.521   0.174
       15</t>
        </r>
        <r>
          <rPr>
            <sz val="10"/>
            <color indexed="32"/>
            <rFont val="ＭＳ 明朝"/>
            <family val="1"/>
            <charset val="128"/>
          </rPr>
          <t>ｍ</t>
        </r>
        <r>
          <rPr>
            <b/>
            <sz val="10"/>
            <color indexed="32"/>
            <rFont val="ＭＳ 明朝"/>
            <family val="1"/>
            <charset val="128"/>
          </rPr>
          <t xml:space="preserve">   0.521   0.174
  </t>
        </r>
        <r>
          <rPr>
            <sz val="11"/>
            <color indexed="9"/>
            <rFont val="Meiryo UI"/>
            <family val="3"/>
            <charset val="128"/>
          </rPr>
          <t>木　　柱</t>
        </r>
        <r>
          <rPr>
            <sz val="10"/>
            <color indexed="32"/>
            <rFont val="ＭＳ 明朝"/>
            <family val="1"/>
            <charset val="128"/>
          </rPr>
          <t xml:space="preserve">
</t>
        </r>
        <r>
          <rPr>
            <b/>
            <sz val="10"/>
            <color indexed="32"/>
            <rFont val="ＭＳ 明朝"/>
            <family val="1"/>
            <charset val="128"/>
          </rPr>
          <t xml:space="preserve">        6</t>
        </r>
        <r>
          <rPr>
            <sz val="10"/>
            <color indexed="32"/>
            <rFont val="ＭＳ 明朝"/>
            <family val="1"/>
            <charset val="128"/>
          </rPr>
          <t>ｍ</t>
        </r>
        <r>
          <rPr>
            <b/>
            <sz val="10"/>
            <color indexed="32"/>
            <rFont val="ＭＳ 明朝"/>
            <family val="1"/>
            <charset val="128"/>
          </rPr>
          <t xml:space="preserve">   0.270   0.099
        7</t>
        </r>
        <r>
          <rPr>
            <sz val="10"/>
            <color indexed="32"/>
            <rFont val="ＭＳ 明朝"/>
            <family val="1"/>
            <charset val="128"/>
          </rPr>
          <t>ｍ</t>
        </r>
        <r>
          <rPr>
            <b/>
            <sz val="10"/>
            <color indexed="32"/>
            <rFont val="ＭＳ 明朝"/>
            <family val="1"/>
            <charset val="128"/>
          </rPr>
          <t xml:space="preserve">   0.270   0.099
        8</t>
        </r>
        <r>
          <rPr>
            <sz val="10"/>
            <color indexed="32"/>
            <rFont val="ＭＳ 明朝"/>
            <family val="1"/>
            <charset val="128"/>
          </rPr>
          <t>ｍ</t>
        </r>
        <r>
          <rPr>
            <b/>
            <sz val="10"/>
            <color indexed="32"/>
            <rFont val="ＭＳ 明朝"/>
            <family val="1"/>
            <charset val="128"/>
          </rPr>
          <t xml:space="preserve">   0.313   0.117
        9</t>
        </r>
        <r>
          <rPr>
            <sz val="10"/>
            <color indexed="32"/>
            <rFont val="ＭＳ 明朝"/>
            <family val="1"/>
            <charset val="128"/>
          </rPr>
          <t>ｍ</t>
        </r>
        <r>
          <rPr>
            <b/>
            <sz val="10"/>
            <color indexed="32"/>
            <rFont val="ＭＳ 明朝"/>
            <family val="1"/>
            <charset val="128"/>
          </rPr>
          <t xml:space="preserve">   0.313   0.117
       10</t>
        </r>
        <r>
          <rPr>
            <sz val="10"/>
            <color indexed="32"/>
            <rFont val="ＭＳ 明朝"/>
            <family val="1"/>
            <charset val="128"/>
          </rPr>
          <t>ｍ</t>
        </r>
        <r>
          <rPr>
            <b/>
            <sz val="10"/>
            <color indexed="32"/>
            <rFont val="ＭＳ 明朝"/>
            <family val="1"/>
            <charset val="128"/>
          </rPr>
          <t xml:space="preserve">   0.391   0.141</t>
        </r>
      </text>
    </comment>
    <comment ref="AA6" authorId="0">
      <text>
        <r>
          <rPr>
            <sz val="11"/>
            <color indexed="81"/>
            <rFont val="ＭＳ 明朝"/>
            <family val="1"/>
            <charset val="128"/>
          </rPr>
          <t xml:space="preserve">     　</t>
        </r>
        <r>
          <rPr>
            <b/>
            <sz val="12"/>
            <color indexed="16"/>
            <rFont val="ＭＳ 明朝"/>
            <family val="1"/>
            <charset val="128"/>
          </rPr>
          <t>電　　 　話</t>
        </r>
        <r>
          <rPr>
            <b/>
            <sz val="16"/>
            <color indexed="81"/>
            <rFont val="ＭＳ 明朝"/>
            <family val="1"/>
            <charset val="128"/>
          </rPr>
          <t xml:space="preserve"> </t>
        </r>
        <r>
          <rPr>
            <sz val="11"/>
            <color indexed="81"/>
            <rFont val="ＭＳ 明朝"/>
            <family val="1"/>
            <charset val="128"/>
          </rPr>
          <t xml:space="preserve"> </t>
        </r>
        <r>
          <rPr>
            <b/>
            <sz val="11"/>
            <color indexed="81"/>
            <rFont val="ＭＳ 明朝"/>
            <family val="1"/>
            <charset val="128"/>
          </rPr>
          <t xml:space="preserve">
</t>
        </r>
        <r>
          <rPr>
            <sz val="10"/>
            <color indexed="32"/>
            <rFont val="ＭＳ 明朝"/>
            <family val="1"/>
            <charset val="128"/>
          </rPr>
          <t xml:space="preserve">　電 　話　 機　　　　　 </t>
        </r>
        <r>
          <rPr>
            <b/>
            <sz val="10"/>
            <color indexed="32"/>
            <rFont val="ＭＳ 明朝"/>
            <family val="1"/>
            <charset val="128"/>
          </rPr>
          <t>: 0.168</t>
        </r>
        <r>
          <rPr>
            <sz val="14"/>
            <color indexed="32"/>
            <rFont val="ＭＳ 明朝"/>
            <family val="1"/>
            <charset val="128"/>
          </rPr>
          <t xml:space="preserve"> </t>
        </r>
        <r>
          <rPr>
            <sz val="10"/>
            <color indexed="32"/>
            <rFont val="ＭＳ 明朝"/>
            <family val="1"/>
            <charset val="128"/>
          </rPr>
          <t xml:space="preserve">
　加入者保安器  　　　　 </t>
        </r>
        <r>
          <rPr>
            <b/>
            <sz val="10"/>
            <color indexed="32"/>
            <rFont val="ＭＳ 明朝"/>
            <family val="1"/>
            <charset val="128"/>
          </rPr>
          <t>: 0.142</t>
        </r>
        <r>
          <rPr>
            <sz val="10"/>
            <color indexed="32"/>
            <rFont val="ＭＳ 明朝"/>
            <family val="1"/>
            <charset val="128"/>
          </rPr>
          <t xml:space="preserve">
　ローテンションスタット</t>
        </r>
        <r>
          <rPr>
            <b/>
            <sz val="9"/>
            <color indexed="32"/>
            <rFont val="ＭＳ 明朝"/>
            <family val="1"/>
            <charset val="128"/>
          </rPr>
          <t xml:space="preserve"> </t>
        </r>
        <r>
          <rPr>
            <b/>
            <sz val="10"/>
            <color indexed="32"/>
            <rFont val="ＭＳ 明朝"/>
            <family val="1"/>
            <charset val="128"/>
          </rPr>
          <t>: 0.062</t>
        </r>
        <r>
          <rPr>
            <sz val="10"/>
            <color indexed="32"/>
            <rFont val="ＭＳ 明朝"/>
            <family val="1"/>
            <charset val="128"/>
          </rPr>
          <t xml:space="preserve">
　はとめプレート　　　　</t>
        </r>
        <r>
          <rPr>
            <b/>
            <sz val="9"/>
            <color indexed="32"/>
            <rFont val="ＭＳ 明朝"/>
            <family val="1"/>
            <charset val="128"/>
          </rPr>
          <t xml:space="preserve"> </t>
        </r>
        <r>
          <rPr>
            <b/>
            <sz val="10"/>
            <color indexed="32"/>
            <rFont val="ＭＳ 明朝"/>
            <family val="1"/>
            <charset val="128"/>
          </rPr>
          <t>: 0.019</t>
        </r>
        <r>
          <rPr>
            <sz val="10"/>
            <color indexed="32"/>
            <rFont val="ＭＳ 明朝"/>
            <family val="1"/>
            <charset val="128"/>
          </rPr>
          <t xml:space="preserve">
　　　  </t>
        </r>
        <r>
          <rPr>
            <b/>
            <sz val="12"/>
            <color indexed="60"/>
            <rFont val="ＭＳ 明朝"/>
            <family val="1"/>
            <charset val="128"/>
          </rPr>
          <t>インターホン</t>
        </r>
        <r>
          <rPr>
            <b/>
            <sz val="16"/>
            <color indexed="32"/>
            <rFont val="ＭＳ 明朝"/>
            <family val="1"/>
            <charset val="128"/>
          </rPr>
          <t>　</t>
        </r>
        <r>
          <rPr>
            <b/>
            <sz val="11"/>
            <color indexed="32"/>
            <rFont val="ＭＳ 明朝"/>
            <family val="1"/>
            <charset val="128"/>
          </rPr>
          <t xml:space="preserve">
</t>
        </r>
        <r>
          <rPr>
            <sz val="10"/>
            <color indexed="32"/>
            <rFont val="ＭＳ 明朝"/>
            <family val="1"/>
            <charset val="128"/>
          </rPr>
          <t xml:space="preserve">　 </t>
        </r>
        <r>
          <rPr>
            <sz val="10"/>
            <color indexed="9"/>
            <rFont val="Meiryo UI"/>
            <family val="3"/>
            <charset val="128"/>
          </rPr>
          <t>親　機</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2</t>
        </r>
        <r>
          <rPr>
            <sz val="10"/>
            <color indexed="32"/>
            <rFont val="ＭＳ 明朝"/>
            <family val="1"/>
            <charset val="128"/>
          </rPr>
          <t>局用　</t>
        </r>
        <r>
          <rPr>
            <b/>
            <sz val="10"/>
            <color indexed="32"/>
            <rFont val="ＭＳ 明朝"/>
            <family val="1"/>
            <charset val="128"/>
          </rPr>
          <t>: 0.195</t>
        </r>
        <r>
          <rPr>
            <b/>
            <sz val="12"/>
            <color indexed="32"/>
            <rFont val="ＭＳ 明朝"/>
            <family val="1"/>
            <charset val="128"/>
          </rPr>
          <t>　</t>
        </r>
        <r>
          <rPr>
            <b/>
            <sz val="10"/>
            <color indexed="32"/>
            <rFont val="ＭＳ 明朝"/>
            <family val="1"/>
            <charset val="128"/>
          </rPr>
          <t xml:space="preserve">
</t>
        </r>
        <r>
          <rPr>
            <sz val="10"/>
            <color indexed="32"/>
            <rFont val="ＭＳ 明朝"/>
            <family val="1"/>
            <charset val="128"/>
          </rPr>
          <t>　 　　　　</t>
        </r>
        <r>
          <rPr>
            <b/>
            <sz val="10"/>
            <color indexed="32"/>
            <rFont val="ＭＳ 明朝"/>
            <family val="1"/>
            <charset val="128"/>
          </rPr>
          <t xml:space="preserve"> 3</t>
        </r>
        <r>
          <rPr>
            <sz val="10"/>
            <color indexed="32"/>
            <rFont val="ＭＳ 明朝"/>
            <family val="1"/>
            <charset val="128"/>
          </rPr>
          <t>局用　</t>
        </r>
        <r>
          <rPr>
            <b/>
            <sz val="10"/>
            <color indexed="32"/>
            <rFont val="ＭＳ 明朝"/>
            <family val="1"/>
            <charset val="128"/>
          </rPr>
          <t xml:space="preserve">: 0.292
</t>
        </r>
        <r>
          <rPr>
            <sz val="10"/>
            <color indexed="32"/>
            <rFont val="ＭＳ 明朝"/>
            <family val="1"/>
            <charset val="128"/>
          </rPr>
          <t>　 　　　　</t>
        </r>
        <r>
          <rPr>
            <b/>
            <sz val="10"/>
            <color indexed="32"/>
            <rFont val="ＭＳ 明朝"/>
            <family val="1"/>
            <charset val="128"/>
          </rPr>
          <t xml:space="preserve"> 5</t>
        </r>
        <r>
          <rPr>
            <sz val="10"/>
            <color indexed="32"/>
            <rFont val="ＭＳ 明朝"/>
            <family val="1"/>
            <charset val="128"/>
          </rPr>
          <t>局用　</t>
        </r>
        <r>
          <rPr>
            <b/>
            <sz val="10"/>
            <color indexed="32"/>
            <rFont val="ＭＳ 明朝"/>
            <family val="1"/>
            <charset val="128"/>
          </rPr>
          <t xml:space="preserve">: 0.496
</t>
        </r>
        <r>
          <rPr>
            <sz val="10"/>
            <color indexed="32"/>
            <rFont val="ＭＳ 明朝"/>
            <family val="1"/>
            <charset val="128"/>
          </rPr>
          <t>　 　　　　</t>
        </r>
        <r>
          <rPr>
            <b/>
            <sz val="10"/>
            <color indexed="32"/>
            <rFont val="ＭＳ 明朝"/>
            <family val="1"/>
            <charset val="128"/>
          </rPr>
          <t xml:space="preserve"> 6</t>
        </r>
        <r>
          <rPr>
            <sz val="10"/>
            <color indexed="32"/>
            <rFont val="ＭＳ 明朝"/>
            <family val="1"/>
            <charset val="128"/>
          </rPr>
          <t>局用　</t>
        </r>
        <r>
          <rPr>
            <b/>
            <sz val="10"/>
            <color indexed="32"/>
            <rFont val="ＭＳ 明朝"/>
            <family val="1"/>
            <charset val="128"/>
          </rPr>
          <t xml:space="preserve">: 0.593
</t>
        </r>
        <r>
          <rPr>
            <sz val="10"/>
            <color indexed="32"/>
            <rFont val="ＭＳ 明朝"/>
            <family val="1"/>
            <charset val="128"/>
          </rPr>
          <t>　 　　　　</t>
        </r>
        <r>
          <rPr>
            <b/>
            <sz val="10"/>
            <color indexed="32"/>
            <rFont val="ＭＳ 明朝"/>
            <family val="1"/>
            <charset val="128"/>
          </rPr>
          <t>10</t>
        </r>
        <r>
          <rPr>
            <sz val="10"/>
            <color indexed="32"/>
            <rFont val="ＭＳ 明朝"/>
            <family val="1"/>
            <charset val="128"/>
          </rPr>
          <t>局用　</t>
        </r>
        <r>
          <rPr>
            <b/>
            <sz val="10"/>
            <color indexed="32"/>
            <rFont val="ＭＳ 明朝"/>
            <family val="1"/>
            <charset val="128"/>
          </rPr>
          <t xml:space="preserve">: 1.00
</t>
        </r>
        <r>
          <rPr>
            <sz val="10"/>
            <color indexed="32"/>
            <rFont val="ＭＳ 明朝"/>
            <family val="1"/>
            <charset val="128"/>
          </rPr>
          <t>　 　　　　</t>
        </r>
        <r>
          <rPr>
            <b/>
            <sz val="10"/>
            <color indexed="32"/>
            <rFont val="ＭＳ 明朝"/>
            <family val="1"/>
            <charset val="128"/>
          </rPr>
          <t>12</t>
        </r>
        <r>
          <rPr>
            <sz val="10"/>
            <color indexed="32"/>
            <rFont val="ＭＳ 明朝"/>
            <family val="1"/>
            <charset val="128"/>
          </rPr>
          <t>局用　</t>
        </r>
        <r>
          <rPr>
            <b/>
            <sz val="10"/>
            <color indexed="32"/>
            <rFont val="ＭＳ 明朝"/>
            <family val="1"/>
            <charset val="128"/>
          </rPr>
          <t xml:space="preserve">: 1.10
</t>
        </r>
        <r>
          <rPr>
            <sz val="10"/>
            <color indexed="32"/>
            <rFont val="ＭＳ 明朝"/>
            <family val="1"/>
            <charset val="128"/>
          </rPr>
          <t>　 　　　　</t>
        </r>
        <r>
          <rPr>
            <b/>
            <sz val="10"/>
            <color indexed="32"/>
            <rFont val="ＭＳ 明朝"/>
            <family val="1"/>
            <charset val="128"/>
          </rPr>
          <t>20</t>
        </r>
        <r>
          <rPr>
            <sz val="10"/>
            <color indexed="32"/>
            <rFont val="ＭＳ 明朝"/>
            <family val="1"/>
            <charset val="128"/>
          </rPr>
          <t>局用　</t>
        </r>
        <r>
          <rPr>
            <b/>
            <sz val="10"/>
            <color indexed="32"/>
            <rFont val="ＭＳ 明朝"/>
            <family val="1"/>
            <charset val="128"/>
          </rPr>
          <t xml:space="preserve">: 1.50
</t>
        </r>
        <r>
          <rPr>
            <sz val="10"/>
            <color indexed="32"/>
            <rFont val="ＭＳ 明朝"/>
            <family val="1"/>
            <charset val="128"/>
          </rPr>
          <t>　 　　　　</t>
        </r>
        <r>
          <rPr>
            <b/>
            <sz val="10"/>
            <color indexed="32"/>
            <rFont val="ＭＳ 明朝"/>
            <family val="1"/>
            <charset val="128"/>
          </rPr>
          <t>24</t>
        </r>
        <r>
          <rPr>
            <sz val="10"/>
            <color indexed="32"/>
            <rFont val="ＭＳ 明朝"/>
            <family val="1"/>
            <charset val="128"/>
          </rPr>
          <t>局用　</t>
        </r>
        <r>
          <rPr>
            <b/>
            <sz val="10"/>
            <color indexed="32"/>
            <rFont val="ＭＳ 明朝"/>
            <family val="1"/>
            <charset val="128"/>
          </rPr>
          <t xml:space="preserve">: 1.70
</t>
        </r>
        <r>
          <rPr>
            <sz val="10"/>
            <color indexed="32"/>
            <rFont val="ＭＳ 明朝"/>
            <family val="1"/>
            <charset val="128"/>
          </rPr>
          <t>　 　　　　</t>
        </r>
        <r>
          <rPr>
            <b/>
            <sz val="10"/>
            <color indexed="32"/>
            <rFont val="ＭＳ 明朝"/>
            <family val="1"/>
            <charset val="128"/>
          </rPr>
          <t>30</t>
        </r>
        <r>
          <rPr>
            <sz val="10"/>
            <color indexed="32"/>
            <rFont val="ＭＳ 明朝"/>
            <family val="1"/>
            <charset val="128"/>
          </rPr>
          <t>局用　</t>
        </r>
        <r>
          <rPr>
            <b/>
            <sz val="10"/>
            <color indexed="32"/>
            <rFont val="ＭＳ 明朝"/>
            <family val="1"/>
            <charset val="128"/>
          </rPr>
          <t xml:space="preserve">: 2.00
</t>
        </r>
        <r>
          <rPr>
            <sz val="10"/>
            <color indexed="32"/>
            <rFont val="ＭＳ 明朝"/>
            <family val="1"/>
            <charset val="128"/>
          </rPr>
          <t xml:space="preserve">　 </t>
        </r>
        <r>
          <rPr>
            <sz val="10"/>
            <color indexed="9"/>
            <rFont val="Meiryo UI"/>
            <family val="3"/>
            <charset val="128"/>
          </rPr>
          <t>子　機</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0.115</t>
        </r>
        <r>
          <rPr>
            <b/>
            <sz val="12"/>
            <color indexed="32"/>
            <rFont val="ＭＳ 明朝"/>
            <family val="1"/>
            <charset val="128"/>
          </rPr>
          <t xml:space="preserve"> </t>
        </r>
        <r>
          <rPr>
            <b/>
            <sz val="10"/>
            <color indexed="81"/>
            <rFont val="ＭＳ 明朝"/>
            <family val="1"/>
            <charset val="128"/>
          </rPr>
          <t xml:space="preserve">
</t>
        </r>
      </text>
    </comment>
    <comment ref="AE6" authorId="0">
      <text>
        <r>
          <rPr>
            <sz val="11"/>
            <color indexed="81"/>
            <rFont val="ＭＳ 明朝"/>
            <family val="1"/>
            <charset val="128"/>
          </rPr>
          <t xml:space="preserve">    　  </t>
        </r>
        <r>
          <rPr>
            <b/>
            <sz val="11"/>
            <color indexed="16"/>
            <rFont val="ＭＳ Ｐ明朝"/>
            <family val="1"/>
            <charset val="128"/>
          </rPr>
          <t>スイッチ</t>
        </r>
        <r>
          <rPr>
            <sz val="16"/>
            <color indexed="81"/>
            <rFont val="ＭＳ 明朝"/>
            <family val="1"/>
            <charset val="128"/>
          </rPr>
          <t xml:space="preserve"> </t>
        </r>
        <r>
          <rPr>
            <sz val="11"/>
            <color indexed="81"/>
            <rFont val="ＭＳ 明朝"/>
            <family val="1"/>
            <charset val="128"/>
          </rPr>
          <t xml:space="preserve"> 
</t>
        </r>
        <r>
          <rPr>
            <b/>
            <sz val="10"/>
            <color indexed="32"/>
            <rFont val="ＭＳ 明朝"/>
            <family val="1"/>
            <charset val="128"/>
          </rPr>
          <t xml:space="preserve">   1P-10A,-15A : 0.054</t>
        </r>
        <r>
          <rPr>
            <sz val="10"/>
            <color indexed="32"/>
            <rFont val="ＭＳ 明朝"/>
            <family val="1"/>
            <charset val="128"/>
          </rPr>
          <t xml:space="preserve"> </t>
        </r>
        <r>
          <rPr>
            <b/>
            <sz val="10"/>
            <color indexed="32"/>
            <rFont val="ＭＳ 明朝"/>
            <family val="1"/>
            <charset val="128"/>
          </rPr>
          <t xml:space="preserve">
   2P-10A,-15A : 0.070
   3W-10A,-15A : 0.070
   4W-10A,-15A : 0.070
    Pilot Lamp : 0.054
       </t>
        </r>
        <r>
          <rPr>
            <b/>
            <sz val="11"/>
            <color indexed="16"/>
            <rFont val="ＭＳ Ｐ明朝"/>
            <family val="1"/>
            <charset val="128"/>
          </rPr>
          <t>コンセント</t>
        </r>
        <r>
          <rPr>
            <b/>
            <sz val="14"/>
            <color indexed="32"/>
            <rFont val="ＭＳ 明朝"/>
            <family val="1"/>
            <charset val="128"/>
          </rPr>
          <t xml:space="preserve"> </t>
        </r>
        <r>
          <rPr>
            <b/>
            <sz val="11"/>
            <color indexed="32"/>
            <rFont val="ＭＳ 明朝"/>
            <family val="1"/>
            <charset val="128"/>
          </rPr>
          <t xml:space="preserve">
</t>
        </r>
        <r>
          <rPr>
            <sz val="10"/>
            <color indexed="32"/>
            <rFont val="ＭＳ 明朝"/>
            <family val="1"/>
            <charset val="128"/>
          </rPr>
          <t xml:space="preserve"> </t>
        </r>
        <r>
          <rPr>
            <sz val="6"/>
            <color indexed="32"/>
            <rFont val="ＭＳ 明朝"/>
            <family val="1"/>
            <charset val="128"/>
          </rPr>
          <t xml:space="preserve"> </t>
        </r>
        <r>
          <rPr>
            <sz val="10"/>
            <color indexed="32"/>
            <rFont val="ＭＳ 明朝"/>
            <family val="1"/>
            <charset val="128"/>
          </rPr>
          <t>連用</t>
        </r>
        <r>
          <rPr>
            <b/>
            <sz val="10"/>
            <color indexed="32"/>
            <rFont val="ＭＳ 明朝"/>
            <family val="1"/>
            <charset val="128"/>
          </rPr>
          <t>2P-15A×1 : 0.054</t>
        </r>
        <r>
          <rPr>
            <sz val="10"/>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sz val="6"/>
            <color indexed="32"/>
            <rFont val="ＭＳ 明朝"/>
            <family val="1"/>
            <charset val="128"/>
          </rPr>
          <t xml:space="preserve"> </t>
        </r>
        <r>
          <rPr>
            <sz val="10"/>
            <color indexed="32"/>
            <rFont val="ＭＳ 明朝"/>
            <family val="1"/>
            <charset val="128"/>
          </rPr>
          <t>連用</t>
        </r>
        <r>
          <rPr>
            <b/>
            <sz val="10"/>
            <color indexed="32"/>
            <rFont val="ＭＳ 明朝"/>
            <family val="1"/>
            <charset val="128"/>
          </rPr>
          <t xml:space="preserve">2P-15A×2 : 0.054
     2P-20A×1 : 0.065
     2P-30A×1 : 0.091
     3P-15A×1 : 0.080
     3P-20A×1 : 0.083
     3P-30A×1 : 0.122
  </t>
        </r>
        <r>
          <rPr>
            <b/>
            <sz val="3"/>
            <color indexed="32"/>
            <rFont val="ＭＳ 明朝"/>
            <family val="1"/>
            <charset val="128"/>
          </rPr>
          <t xml:space="preserve"> </t>
        </r>
        <r>
          <rPr>
            <b/>
            <sz val="11"/>
            <color indexed="16"/>
            <rFont val="ＭＳ Ｐ明朝"/>
            <family val="1"/>
            <charset val="128"/>
          </rPr>
          <t>コンセント</t>
        </r>
        <r>
          <rPr>
            <sz val="11"/>
            <color indexed="16"/>
            <rFont val="ＭＳ Ｐゴシック"/>
            <family val="3"/>
            <charset val="128"/>
          </rPr>
          <t>(接地極付)</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連用</t>
        </r>
        <r>
          <rPr>
            <b/>
            <sz val="10"/>
            <color indexed="32"/>
            <rFont val="ＭＳ 明朝"/>
            <family val="1"/>
            <charset val="128"/>
          </rPr>
          <t>2P-15A×1 : 0.067</t>
        </r>
        <r>
          <rPr>
            <sz val="10"/>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連用</t>
        </r>
        <r>
          <rPr>
            <b/>
            <sz val="10"/>
            <color indexed="32"/>
            <rFont val="ＭＳ 明朝"/>
            <family val="1"/>
            <charset val="128"/>
          </rPr>
          <t xml:space="preserve">2P-15A×2 : 0.067
   </t>
        </r>
        <r>
          <rPr>
            <b/>
            <sz val="11"/>
            <color indexed="16"/>
            <rFont val="ＭＳ Ｐ明朝"/>
            <family val="1"/>
            <charset val="128"/>
          </rPr>
          <t>フロァ･コンセント</t>
        </r>
        <r>
          <rPr>
            <sz val="14"/>
            <color indexed="32"/>
            <rFont val="ＭＳ 明朝"/>
            <family val="1"/>
            <charset val="128"/>
          </rPr>
          <t xml:space="preserve"> </t>
        </r>
        <r>
          <rPr>
            <b/>
            <sz val="14"/>
            <color indexed="32"/>
            <rFont val="ＭＳ 明朝"/>
            <family val="1"/>
            <charset val="128"/>
          </rPr>
          <t xml:space="preserve">
</t>
        </r>
        <r>
          <rPr>
            <sz val="10"/>
            <color indexed="32"/>
            <rFont val="ＭＳ 明朝"/>
            <family val="1"/>
            <charset val="128"/>
          </rPr>
          <t xml:space="preserve">   ハイテンション</t>
        </r>
        <r>
          <rPr>
            <b/>
            <sz val="10"/>
            <color indexed="32"/>
            <rFont val="ＭＳ 明朝"/>
            <family val="1"/>
            <charset val="128"/>
          </rPr>
          <t xml:space="preserve">: 0.096
</t>
        </r>
        <r>
          <rPr>
            <sz val="10"/>
            <color indexed="32"/>
            <rFont val="ＭＳ 明朝"/>
            <family val="1"/>
            <charset val="128"/>
          </rPr>
          <t xml:space="preserve">   フロァプレート</t>
        </r>
        <r>
          <rPr>
            <b/>
            <sz val="10"/>
            <color indexed="32"/>
            <rFont val="ＭＳ 明朝"/>
            <family val="1"/>
            <charset val="128"/>
          </rPr>
          <t>: 0.087</t>
        </r>
      </text>
    </comment>
    <comment ref="C7" authorId="0">
      <text>
        <r>
          <rPr>
            <b/>
            <sz val="10"/>
            <color indexed="10"/>
            <rFont val="ＭＳ 明朝"/>
            <family val="1"/>
            <charset val="128"/>
          </rPr>
          <t xml:space="preserve"> </t>
        </r>
        <r>
          <rPr>
            <b/>
            <sz val="14"/>
            <color indexed="10"/>
            <rFont val="ＭＳ 明朝"/>
            <family val="1"/>
            <charset val="128"/>
          </rPr>
          <t xml:space="preserve"> 　　　</t>
        </r>
        <r>
          <rPr>
            <b/>
            <sz val="10"/>
            <color indexed="10"/>
            <rFont val="ＭＳ 明朝"/>
            <family val="1"/>
            <charset val="128"/>
          </rPr>
          <t xml:space="preserve">  </t>
        </r>
        <r>
          <rPr>
            <b/>
            <sz val="12"/>
            <color indexed="16"/>
            <rFont val="ＭＳ 明朝"/>
            <family val="1"/>
            <charset val="128"/>
          </rPr>
          <t>ＶＶＦ</t>
        </r>
        <r>
          <rPr>
            <b/>
            <sz val="16"/>
            <color indexed="53"/>
            <rFont val="ＭＳ 明朝"/>
            <family val="1"/>
            <charset val="128"/>
          </rPr>
          <t xml:space="preserve"> </t>
        </r>
        <r>
          <rPr>
            <sz val="10"/>
            <color indexed="81"/>
            <rFont val="ＭＳ 明朝"/>
            <family val="1"/>
            <charset val="128"/>
          </rPr>
          <t xml:space="preserve">
</t>
        </r>
        <r>
          <rPr>
            <sz val="14"/>
            <color indexed="9"/>
            <rFont val="ＭＳ 明朝"/>
            <family val="1"/>
            <charset val="128"/>
          </rPr>
          <t xml:space="preserve"> </t>
        </r>
        <r>
          <rPr>
            <sz val="10"/>
            <color indexed="9"/>
            <rFont val="ＭＳ 明朝"/>
            <family val="1"/>
            <charset val="128"/>
          </rPr>
          <t xml:space="preserve"> --</t>
        </r>
        <r>
          <rPr>
            <b/>
            <sz val="10"/>
            <color indexed="9"/>
            <rFont val="ＭＳ 明朝"/>
            <family val="1"/>
            <charset val="128"/>
          </rPr>
          <t>--------管内入線-----------</t>
        </r>
        <r>
          <rPr>
            <b/>
            <sz val="10"/>
            <color indexed="32"/>
            <rFont val="ＭＳ 明朝"/>
            <family val="1"/>
            <charset val="128"/>
          </rPr>
          <t xml:space="preserve">
            2C     3C     4C
   1.6</t>
        </r>
        <r>
          <rPr>
            <sz val="10"/>
            <color indexed="32"/>
            <rFont val="ＭＳ 明朝"/>
            <family val="1"/>
            <charset val="128"/>
          </rPr>
          <t>mm</t>
        </r>
        <r>
          <rPr>
            <b/>
            <sz val="10"/>
            <color indexed="32"/>
            <rFont val="ＭＳ 明朝"/>
            <family val="1"/>
            <charset val="128"/>
          </rPr>
          <t xml:space="preserve">   0.013  0.017  0.020
   2.0</t>
        </r>
        <r>
          <rPr>
            <sz val="10"/>
            <color indexed="32"/>
            <rFont val="ＭＳ 明朝"/>
            <family val="1"/>
            <charset val="128"/>
          </rPr>
          <t>mm</t>
        </r>
        <r>
          <rPr>
            <b/>
            <sz val="10"/>
            <color indexed="32"/>
            <rFont val="ＭＳ 明朝"/>
            <family val="1"/>
            <charset val="128"/>
          </rPr>
          <t xml:space="preserve">   0.017  0.021  0.024
   2.6</t>
        </r>
        <r>
          <rPr>
            <sz val="10"/>
            <color indexed="32"/>
            <rFont val="ＭＳ 明朝"/>
            <family val="1"/>
            <charset val="128"/>
          </rPr>
          <t>mm</t>
        </r>
        <r>
          <rPr>
            <b/>
            <sz val="10"/>
            <color indexed="32"/>
            <rFont val="ＭＳ 明朝"/>
            <family val="1"/>
            <charset val="128"/>
          </rPr>
          <t xml:space="preserve">   0.021  0.026  0.030
</t>
        </r>
        <r>
          <rPr>
            <b/>
            <sz val="10"/>
            <color indexed="9"/>
            <rFont val="ＭＳ 明朝"/>
            <family val="1"/>
            <charset val="128"/>
          </rPr>
          <t xml:space="preserve">  --------サドル止め-----------</t>
        </r>
        <r>
          <rPr>
            <b/>
            <sz val="10"/>
            <color indexed="32"/>
            <rFont val="ＭＳ 明朝"/>
            <family val="1"/>
            <charset val="128"/>
          </rPr>
          <t xml:space="preserve">
              2C       3C
   1.6</t>
        </r>
        <r>
          <rPr>
            <sz val="10"/>
            <color indexed="32"/>
            <rFont val="ＭＳ 明朝"/>
            <family val="1"/>
            <charset val="128"/>
          </rPr>
          <t>mm</t>
        </r>
        <r>
          <rPr>
            <b/>
            <sz val="10"/>
            <color indexed="32"/>
            <rFont val="ＭＳ 明朝"/>
            <family val="1"/>
            <charset val="128"/>
          </rPr>
          <t xml:space="preserve">     0.020    0.025
   2.0</t>
        </r>
        <r>
          <rPr>
            <sz val="10"/>
            <color indexed="32"/>
            <rFont val="ＭＳ 明朝"/>
            <family val="1"/>
            <charset val="128"/>
          </rPr>
          <t>mm</t>
        </r>
        <r>
          <rPr>
            <b/>
            <sz val="10"/>
            <color indexed="32"/>
            <rFont val="ＭＳ 明朝"/>
            <family val="1"/>
            <charset val="128"/>
          </rPr>
          <t xml:space="preserve">     0.025    0.030
   2.6</t>
        </r>
        <r>
          <rPr>
            <sz val="10"/>
            <color indexed="32"/>
            <rFont val="ＭＳ 明朝"/>
            <family val="1"/>
            <charset val="128"/>
          </rPr>
          <t>mm</t>
        </r>
        <r>
          <rPr>
            <b/>
            <sz val="10"/>
            <color indexed="32"/>
            <rFont val="ＭＳ 明朝"/>
            <family val="1"/>
            <charset val="128"/>
          </rPr>
          <t xml:space="preserve">     0.031    0.038
</t>
        </r>
        <r>
          <rPr>
            <b/>
            <sz val="10"/>
            <color indexed="9"/>
            <rFont val="ＭＳ 明朝"/>
            <family val="1"/>
            <charset val="128"/>
          </rPr>
          <t xml:space="preserve">  -------天井内，ピット内-------</t>
        </r>
        <r>
          <rPr>
            <b/>
            <sz val="10"/>
            <color indexed="32"/>
            <rFont val="ＭＳ 明朝"/>
            <family val="1"/>
            <charset val="128"/>
          </rPr>
          <t xml:space="preserve">
              2C       3C
   1.6</t>
        </r>
        <r>
          <rPr>
            <sz val="10"/>
            <color indexed="32"/>
            <rFont val="ＭＳ 明朝"/>
            <family val="1"/>
            <charset val="128"/>
          </rPr>
          <t>mm</t>
        </r>
        <r>
          <rPr>
            <b/>
            <sz val="10"/>
            <color indexed="32"/>
            <rFont val="ＭＳ 明朝"/>
            <family val="1"/>
            <charset val="128"/>
          </rPr>
          <t xml:space="preserve">     0.010    0.013
   2.0</t>
        </r>
        <r>
          <rPr>
            <sz val="10"/>
            <color indexed="32"/>
            <rFont val="ＭＳ 明朝"/>
            <family val="1"/>
            <charset val="128"/>
          </rPr>
          <t>mm</t>
        </r>
        <r>
          <rPr>
            <b/>
            <sz val="10"/>
            <color indexed="32"/>
            <rFont val="ＭＳ 明朝"/>
            <family val="1"/>
            <charset val="128"/>
          </rPr>
          <t xml:space="preserve">     0.013    0.017
   2.6</t>
        </r>
        <r>
          <rPr>
            <sz val="10"/>
            <color indexed="32"/>
            <rFont val="ＭＳ 明朝"/>
            <family val="1"/>
            <charset val="128"/>
          </rPr>
          <t>mm</t>
        </r>
        <r>
          <rPr>
            <b/>
            <sz val="10"/>
            <color indexed="32"/>
            <rFont val="ＭＳ 明朝"/>
            <family val="1"/>
            <charset val="128"/>
          </rPr>
          <t xml:space="preserve">     0.017    0.021
 </t>
        </r>
      </text>
    </comment>
    <comment ref="G7" authorId="0">
      <text>
        <r>
          <rPr>
            <b/>
            <sz val="3"/>
            <color indexed="81"/>
            <rFont val="ＭＳ 明朝"/>
            <family val="1"/>
            <charset val="128"/>
          </rPr>
          <t xml:space="preserve">   
</t>
        </r>
        <r>
          <rPr>
            <b/>
            <sz val="10"/>
            <color indexed="81"/>
            <rFont val="ＭＳ 明朝"/>
            <family val="1"/>
            <charset val="128"/>
          </rPr>
          <t xml:space="preserve">     </t>
        </r>
        <r>
          <rPr>
            <b/>
            <sz val="12"/>
            <color indexed="16"/>
            <rFont val="ＭＳ 明朝"/>
            <family val="1"/>
            <charset val="128"/>
          </rPr>
          <t xml:space="preserve">ＣＶＶ </t>
        </r>
        <r>
          <rPr>
            <sz val="12"/>
            <color indexed="16"/>
            <rFont val="ＭＳ 明朝"/>
            <family val="1"/>
            <charset val="128"/>
          </rPr>
          <t>/</t>
        </r>
        <r>
          <rPr>
            <b/>
            <sz val="12"/>
            <color indexed="16"/>
            <rFont val="ＭＳ 明朝"/>
            <family val="1"/>
            <charset val="128"/>
          </rPr>
          <t xml:space="preserve"> ＣＶＶＳ</t>
        </r>
        <r>
          <rPr>
            <b/>
            <sz val="12"/>
            <color indexed="12"/>
            <rFont val="ＭＳ 明朝"/>
            <family val="1"/>
            <charset val="128"/>
          </rPr>
          <t>　</t>
        </r>
        <r>
          <rPr>
            <b/>
            <sz val="10"/>
            <color indexed="81"/>
            <rFont val="ＭＳ 明朝"/>
            <family val="1"/>
            <charset val="128"/>
          </rPr>
          <t xml:space="preserve">
</t>
        </r>
        <r>
          <rPr>
            <b/>
            <sz val="14"/>
            <color indexed="9"/>
            <rFont val="ＭＳ Ｐゴシック"/>
            <family val="3"/>
            <charset val="128"/>
          </rPr>
          <t xml:space="preserve"> </t>
        </r>
        <r>
          <rPr>
            <b/>
            <sz val="10"/>
            <color indexed="9"/>
            <rFont val="ＭＳ Ｐゴシック"/>
            <family val="3"/>
            <charset val="128"/>
          </rPr>
          <t xml:space="preserve">                   5.5      8 [sqmm] </t>
        </r>
        <r>
          <rPr>
            <b/>
            <sz val="10"/>
            <color indexed="10"/>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2C     0.021   0.026
</t>
        </r>
        <r>
          <rPr>
            <sz val="10"/>
            <color indexed="32"/>
            <rFont val="ＭＳ 明朝"/>
            <family val="1"/>
            <charset val="128"/>
          </rPr>
          <t xml:space="preserve">      </t>
        </r>
        <r>
          <rPr>
            <b/>
            <sz val="10"/>
            <color indexed="32"/>
            <rFont val="ＭＳ 明朝"/>
            <family val="1"/>
            <charset val="128"/>
          </rPr>
          <t xml:space="preserve">3C     0.024   0.030
</t>
        </r>
        <r>
          <rPr>
            <sz val="10"/>
            <color indexed="32"/>
            <rFont val="ＭＳ 明朝"/>
            <family val="1"/>
            <charset val="128"/>
          </rPr>
          <t xml:space="preserve">      </t>
        </r>
        <r>
          <rPr>
            <b/>
            <sz val="10"/>
            <color indexed="32"/>
            <rFont val="ＭＳ 明朝"/>
            <family val="1"/>
            <charset val="128"/>
          </rPr>
          <t>4C     0.028   0.034
   5</t>
        </r>
        <r>
          <rPr>
            <sz val="10"/>
            <color indexed="32"/>
            <rFont val="ＭＳ 明朝"/>
            <family val="1"/>
            <charset val="128"/>
          </rPr>
          <t>C～</t>
        </r>
        <r>
          <rPr>
            <b/>
            <sz val="10"/>
            <color indexed="32"/>
            <rFont val="ＭＳ 明朝"/>
            <family val="1"/>
            <charset val="128"/>
          </rPr>
          <t xml:space="preserve"> 6</t>
        </r>
        <r>
          <rPr>
            <sz val="10"/>
            <color indexed="32"/>
            <rFont val="ＭＳ 明朝"/>
            <family val="1"/>
            <charset val="128"/>
          </rPr>
          <t xml:space="preserve">C   </t>
        </r>
        <r>
          <rPr>
            <b/>
            <sz val="10"/>
            <color indexed="32"/>
            <rFont val="ＭＳ 明朝"/>
            <family val="1"/>
            <charset val="128"/>
          </rPr>
          <t>0.037   0.044
   7</t>
        </r>
        <r>
          <rPr>
            <sz val="10"/>
            <color indexed="32"/>
            <rFont val="ＭＳ 明朝"/>
            <family val="1"/>
            <charset val="128"/>
          </rPr>
          <t>C～</t>
        </r>
        <r>
          <rPr>
            <b/>
            <sz val="10"/>
            <color indexed="32"/>
            <rFont val="ＭＳ 明朝"/>
            <family val="1"/>
            <charset val="128"/>
          </rPr>
          <t xml:space="preserve"> 8</t>
        </r>
        <r>
          <rPr>
            <sz val="10"/>
            <color indexed="32"/>
            <rFont val="ＭＳ 明朝"/>
            <family val="1"/>
            <charset val="128"/>
          </rPr>
          <t xml:space="preserve">C   </t>
        </r>
        <r>
          <rPr>
            <b/>
            <sz val="10"/>
            <color indexed="32"/>
            <rFont val="ＭＳ 明朝"/>
            <family val="1"/>
            <charset val="128"/>
          </rPr>
          <t>0.044   0.054
   9</t>
        </r>
        <r>
          <rPr>
            <sz val="10"/>
            <color indexed="32"/>
            <rFont val="ＭＳ 明朝"/>
            <family val="1"/>
            <charset val="128"/>
          </rPr>
          <t>C～</t>
        </r>
        <r>
          <rPr>
            <b/>
            <sz val="10"/>
            <color indexed="32"/>
            <rFont val="ＭＳ 明朝"/>
            <family val="1"/>
            <charset val="128"/>
          </rPr>
          <t>10</t>
        </r>
        <r>
          <rPr>
            <sz val="10"/>
            <color indexed="32"/>
            <rFont val="ＭＳ 明朝"/>
            <family val="1"/>
            <charset val="128"/>
          </rPr>
          <t xml:space="preserve">C   </t>
        </r>
        <r>
          <rPr>
            <b/>
            <sz val="10"/>
            <color indexed="32"/>
            <rFont val="ＭＳ 明朝"/>
            <family val="1"/>
            <charset val="128"/>
          </rPr>
          <t>0.054   0.066
  11</t>
        </r>
        <r>
          <rPr>
            <sz val="10"/>
            <color indexed="32"/>
            <rFont val="ＭＳ 明朝"/>
            <family val="1"/>
            <charset val="128"/>
          </rPr>
          <t>C～</t>
        </r>
        <r>
          <rPr>
            <b/>
            <sz val="10"/>
            <color indexed="32"/>
            <rFont val="ＭＳ 明朝"/>
            <family val="1"/>
            <charset val="128"/>
          </rPr>
          <t>12</t>
        </r>
        <r>
          <rPr>
            <sz val="10"/>
            <color indexed="32"/>
            <rFont val="ＭＳ 明朝"/>
            <family val="1"/>
            <charset val="128"/>
          </rPr>
          <t xml:space="preserve">C   </t>
        </r>
        <r>
          <rPr>
            <b/>
            <sz val="10"/>
            <color indexed="32"/>
            <rFont val="ＭＳ 明朝"/>
            <family val="1"/>
            <charset val="128"/>
          </rPr>
          <t>0.063   0.077
  13</t>
        </r>
        <r>
          <rPr>
            <sz val="10"/>
            <color indexed="32"/>
            <rFont val="ＭＳ 明朝"/>
            <family val="1"/>
            <charset val="128"/>
          </rPr>
          <t>C～</t>
        </r>
        <r>
          <rPr>
            <b/>
            <sz val="10"/>
            <color indexed="32"/>
            <rFont val="ＭＳ 明朝"/>
            <family val="1"/>
            <charset val="128"/>
          </rPr>
          <t>14</t>
        </r>
        <r>
          <rPr>
            <sz val="10"/>
            <color indexed="32"/>
            <rFont val="ＭＳ 明朝"/>
            <family val="1"/>
            <charset val="128"/>
          </rPr>
          <t xml:space="preserve">C   </t>
        </r>
        <r>
          <rPr>
            <b/>
            <sz val="10"/>
            <color indexed="32"/>
            <rFont val="ＭＳ 明朝"/>
            <family val="1"/>
            <charset val="128"/>
          </rPr>
          <t>0.069   0.085
  15</t>
        </r>
        <r>
          <rPr>
            <sz val="10"/>
            <color indexed="32"/>
            <rFont val="ＭＳ 明朝"/>
            <family val="1"/>
            <charset val="128"/>
          </rPr>
          <t>C～</t>
        </r>
        <r>
          <rPr>
            <b/>
            <sz val="10"/>
            <color indexed="32"/>
            <rFont val="ＭＳ 明朝"/>
            <family val="1"/>
            <charset val="128"/>
          </rPr>
          <t>16</t>
        </r>
        <r>
          <rPr>
            <sz val="10"/>
            <color indexed="32"/>
            <rFont val="ＭＳ 明朝"/>
            <family val="1"/>
            <charset val="128"/>
          </rPr>
          <t xml:space="preserve">C   </t>
        </r>
        <r>
          <rPr>
            <b/>
            <sz val="10"/>
            <color indexed="32"/>
            <rFont val="ＭＳ 明朝"/>
            <family val="1"/>
            <charset val="128"/>
          </rPr>
          <t>0.078   0.096
  17</t>
        </r>
        <r>
          <rPr>
            <sz val="10"/>
            <color indexed="32"/>
            <rFont val="ＭＳ 明朝"/>
            <family val="1"/>
            <charset val="128"/>
          </rPr>
          <t>C～</t>
        </r>
        <r>
          <rPr>
            <b/>
            <sz val="10"/>
            <color indexed="32"/>
            <rFont val="ＭＳ 明朝"/>
            <family val="1"/>
            <charset val="128"/>
          </rPr>
          <t>18</t>
        </r>
        <r>
          <rPr>
            <sz val="10"/>
            <color indexed="32"/>
            <rFont val="ＭＳ 明朝"/>
            <family val="1"/>
            <charset val="128"/>
          </rPr>
          <t xml:space="preserve">C   </t>
        </r>
        <r>
          <rPr>
            <b/>
            <sz val="10"/>
            <color indexed="32"/>
            <rFont val="ＭＳ 明朝"/>
            <family val="1"/>
            <charset val="128"/>
          </rPr>
          <t>0.085   0.104
  19</t>
        </r>
        <r>
          <rPr>
            <sz val="10"/>
            <color indexed="32"/>
            <rFont val="ＭＳ 明朝"/>
            <family val="1"/>
            <charset val="128"/>
          </rPr>
          <t>C～</t>
        </r>
        <r>
          <rPr>
            <b/>
            <sz val="10"/>
            <color indexed="32"/>
            <rFont val="ＭＳ 明朝"/>
            <family val="1"/>
            <charset val="128"/>
          </rPr>
          <t>20</t>
        </r>
        <r>
          <rPr>
            <sz val="10"/>
            <color indexed="32"/>
            <rFont val="ＭＳ 明朝"/>
            <family val="1"/>
            <charset val="128"/>
          </rPr>
          <t xml:space="preserve">C   </t>
        </r>
        <r>
          <rPr>
            <b/>
            <sz val="10"/>
            <color indexed="32"/>
            <rFont val="ＭＳ 明朝"/>
            <family val="1"/>
            <charset val="128"/>
          </rPr>
          <t>0.091   0.113
  21</t>
        </r>
        <r>
          <rPr>
            <sz val="10"/>
            <color indexed="32"/>
            <rFont val="ＭＳ 明朝"/>
            <family val="1"/>
            <charset val="128"/>
          </rPr>
          <t>C～</t>
        </r>
        <r>
          <rPr>
            <b/>
            <sz val="10"/>
            <color indexed="32"/>
            <rFont val="ＭＳ 明朝"/>
            <family val="1"/>
            <charset val="128"/>
          </rPr>
          <t>22</t>
        </r>
        <r>
          <rPr>
            <sz val="10"/>
            <color indexed="32"/>
            <rFont val="ＭＳ 明朝"/>
            <family val="1"/>
            <charset val="128"/>
          </rPr>
          <t xml:space="preserve">C   </t>
        </r>
        <r>
          <rPr>
            <b/>
            <sz val="10"/>
            <color indexed="32"/>
            <rFont val="ＭＳ 明朝"/>
            <family val="1"/>
            <charset val="128"/>
          </rPr>
          <t>0.098   0.121
  23</t>
        </r>
        <r>
          <rPr>
            <sz val="10"/>
            <color indexed="32"/>
            <rFont val="ＭＳ 明朝"/>
            <family val="1"/>
            <charset val="128"/>
          </rPr>
          <t>C～</t>
        </r>
        <r>
          <rPr>
            <b/>
            <sz val="10"/>
            <color indexed="32"/>
            <rFont val="ＭＳ 明朝"/>
            <family val="1"/>
            <charset val="128"/>
          </rPr>
          <t>24</t>
        </r>
        <r>
          <rPr>
            <sz val="10"/>
            <color indexed="32"/>
            <rFont val="ＭＳ 明朝"/>
            <family val="1"/>
            <charset val="128"/>
          </rPr>
          <t xml:space="preserve">C   </t>
        </r>
        <r>
          <rPr>
            <b/>
            <sz val="10"/>
            <color indexed="32"/>
            <rFont val="ＭＳ 明朝"/>
            <family val="1"/>
            <charset val="128"/>
          </rPr>
          <t>0.104   0.128
  25</t>
        </r>
        <r>
          <rPr>
            <sz val="10"/>
            <color indexed="32"/>
            <rFont val="ＭＳ 明朝"/>
            <family val="1"/>
            <charset val="128"/>
          </rPr>
          <t>C～</t>
        </r>
        <r>
          <rPr>
            <b/>
            <sz val="10"/>
            <color indexed="32"/>
            <rFont val="ＭＳ 明朝"/>
            <family val="1"/>
            <charset val="128"/>
          </rPr>
          <t>30</t>
        </r>
        <r>
          <rPr>
            <sz val="10"/>
            <color indexed="32"/>
            <rFont val="ＭＳ 明朝"/>
            <family val="1"/>
            <charset val="128"/>
          </rPr>
          <t xml:space="preserve">C   </t>
        </r>
        <r>
          <rPr>
            <b/>
            <sz val="10"/>
            <color indexed="32"/>
            <rFont val="ＭＳ 明朝"/>
            <family val="1"/>
            <charset val="128"/>
          </rPr>
          <t>0.108   0.132</t>
        </r>
        <r>
          <rPr>
            <b/>
            <sz val="10"/>
            <color indexed="81"/>
            <rFont val="ＭＳ 明朝"/>
            <family val="1"/>
            <charset val="128"/>
          </rPr>
          <t xml:space="preserve">
 </t>
        </r>
      </text>
    </comment>
    <comment ref="K7" authorId="0">
      <text>
        <r>
          <rPr>
            <sz val="8"/>
            <color indexed="81"/>
            <rFont val="ＭＳ 明朝"/>
            <family val="1"/>
            <charset val="128"/>
          </rPr>
          <t xml:space="preserve">  </t>
        </r>
        <r>
          <rPr>
            <b/>
            <sz val="12"/>
            <color indexed="60"/>
            <rFont val="ＭＳ 明朝"/>
            <family val="1"/>
            <charset val="128"/>
          </rPr>
          <t>ネジ無電線管</t>
        </r>
        <r>
          <rPr>
            <sz val="16"/>
            <color indexed="81"/>
            <rFont val="ＭＳ 明朝"/>
            <family val="1"/>
            <charset val="128"/>
          </rPr>
          <t xml:space="preserve"> </t>
        </r>
        <r>
          <rPr>
            <b/>
            <sz val="11"/>
            <color indexed="81"/>
            <rFont val="ＭＳ 明朝"/>
            <family val="1"/>
            <charset val="128"/>
          </rPr>
          <t xml:space="preserve">
</t>
        </r>
        <r>
          <rPr>
            <b/>
            <sz val="10"/>
            <color indexed="32"/>
            <rFont val="ＭＳ 明朝"/>
            <family val="1"/>
            <charset val="128"/>
          </rPr>
          <t xml:space="preserve">  E19 : 0.042</t>
        </r>
        <r>
          <rPr>
            <b/>
            <sz val="12"/>
            <color indexed="32"/>
            <rFont val="ＭＳ 明朝"/>
            <family val="1"/>
            <charset val="128"/>
          </rPr>
          <t>　</t>
        </r>
        <r>
          <rPr>
            <b/>
            <sz val="10"/>
            <color indexed="32"/>
            <rFont val="ＭＳ 明朝"/>
            <family val="1"/>
            <charset val="128"/>
          </rPr>
          <t xml:space="preserve">
  E25 : 0.056
  E31 : 0.071
  E39 : 0.087
  E51 : 0.118
  E63 : 0.159</t>
        </r>
        <r>
          <rPr>
            <b/>
            <sz val="10"/>
            <color indexed="81"/>
            <rFont val="ＭＳ 明朝"/>
            <family val="1"/>
            <charset val="128"/>
          </rPr>
          <t xml:space="preserve">
 </t>
        </r>
        <r>
          <rPr>
            <b/>
            <sz val="10"/>
            <color indexed="32"/>
            <rFont val="ＭＳ 明朝"/>
            <family val="1"/>
            <charset val="128"/>
          </rPr>
          <t xml:space="preserve"> E75 : 0.185</t>
        </r>
        <r>
          <rPr>
            <b/>
            <sz val="10"/>
            <color indexed="81"/>
            <rFont val="ＭＳ 明朝"/>
            <family val="1"/>
            <charset val="128"/>
          </rPr>
          <t xml:space="preserve">
</t>
        </r>
      </text>
    </comment>
    <comment ref="O7" authorId="0">
      <text>
        <r>
          <rPr>
            <b/>
            <sz val="10"/>
            <color indexed="81"/>
            <rFont val="ＭＳ 明朝"/>
            <family val="1"/>
            <charset val="128"/>
          </rPr>
          <t xml:space="preserve">　　　 </t>
        </r>
        <r>
          <rPr>
            <b/>
            <sz val="12"/>
            <color indexed="60"/>
            <rFont val="ＭＳ 明朝"/>
            <family val="1"/>
            <charset val="128"/>
          </rPr>
          <t>金属ダクト</t>
        </r>
        <r>
          <rPr>
            <sz val="16"/>
            <color indexed="12"/>
            <rFont val="ＭＳ 明朝"/>
            <family val="1"/>
            <charset val="128"/>
          </rPr>
          <t xml:space="preserve"> </t>
        </r>
        <r>
          <rPr>
            <sz val="11"/>
            <color indexed="12"/>
            <rFont val="ＭＳ 明朝"/>
            <family val="1"/>
            <charset val="128"/>
          </rPr>
          <t xml:space="preserve">
</t>
        </r>
        <r>
          <rPr>
            <b/>
            <sz val="11"/>
            <color indexed="32"/>
            <rFont val="ＭＳ 明朝"/>
            <family val="1"/>
            <charset val="128"/>
          </rPr>
          <t xml:space="preserve">   20×10</t>
        </r>
        <r>
          <rPr>
            <sz val="11"/>
            <color indexed="32"/>
            <rFont val="ＭＳ 明朝"/>
            <family val="1"/>
            <charset val="128"/>
          </rPr>
          <t>cm</t>
        </r>
        <r>
          <rPr>
            <b/>
            <sz val="11"/>
            <color indexed="32"/>
            <rFont val="ＭＳ 明朝"/>
            <family val="1"/>
            <charset val="128"/>
          </rPr>
          <t xml:space="preserve"> : 0.52</t>
        </r>
        <r>
          <rPr>
            <b/>
            <sz val="14"/>
            <color indexed="32"/>
            <rFont val="ＭＳ 明朝"/>
            <family val="1"/>
            <charset val="128"/>
          </rPr>
          <t xml:space="preserve"> </t>
        </r>
        <r>
          <rPr>
            <b/>
            <sz val="11"/>
            <color indexed="32"/>
            <rFont val="ＭＳ 明朝"/>
            <family val="1"/>
            <charset val="128"/>
          </rPr>
          <t xml:space="preserve">
   25×10</t>
        </r>
        <r>
          <rPr>
            <sz val="11"/>
            <color indexed="32"/>
            <rFont val="ＭＳ 明朝"/>
            <family val="1"/>
            <charset val="128"/>
          </rPr>
          <t>cm</t>
        </r>
        <r>
          <rPr>
            <b/>
            <sz val="11"/>
            <color indexed="32"/>
            <rFont val="ＭＳ 明朝"/>
            <family val="1"/>
            <charset val="128"/>
          </rPr>
          <t xml:space="preserve"> : 0.54
   30×10</t>
        </r>
        <r>
          <rPr>
            <sz val="11"/>
            <color indexed="32"/>
            <rFont val="ＭＳ 明朝"/>
            <family val="1"/>
            <charset val="128"/>
          </rPr>
          <t>cm</t>
        </r>
        <r>
          <rPr>
            <b/>
            <sz val="11"/>
            <color indexed="32"/>
            <rFont val="ＭＳ 明朝"/>
            <family val="1"/>
            <charset val="128"/>
          </rPr>
          <t xml:space="preserve"> : 0.56
   40×15</t>
        </r>
        <r>
          <rPr>
            <sz val="11"/>
            <color indexed="32"/>
            <rFont val="ＭＳ 明朝"/>
            <family val="1"/>
            <charset val="128"/>
          </rPr>
          <t>cm</t>
        </r>
        <r>
          <rPr>
            <b/>
            <sz val="11"/>
            <color indexed="32"/>
            <rFont val="ＭＳ 明朝"/>
            <family val="1"/>
            <charset val="128"/>
          </rPr>
          <t xml:space="preserve"> : 0.62
   50×15</t>
        </r>
        <r>
          <rPr>
            <sz val="11"/>
            <color indexed="32"/>
            <rFont val="ＭＳ 明朝"/>
            <family val="1"/>
            <charset val="128"/>
          </rPr>
          <t>cm</t>
        </r>
        <r>
          <rPr>
            <b/>
            <sz val="11"/>
            <color indexed="32"/>
            <rFont val="ＭＳ 明朝"/>
            <family val="1"/>
            <charset val="128"/>
          </rPr>
          <t xml:space="preserve"> : 0.66
   50×20</t>
        </r>
        <r>
          <rPr>
            <sz val="11"/>
            <color indexed="32"/>
            <rFont val="ＭＳ 明朝"/>
            <family val="1"/>
            <charset val="128"/>
          </rPr>
          <t>cm</t>
        </r>
        <r>
          <rPr>
            <b/>
            <sz val="11"/>
            <color indexed="32"/>
            <rFont val="ＭＳ 明朝"/>
            <family val="1"/>
            <charset val="128"/>
          </rPr>
          <t xml:space="preserve"> : 0.68
   60×25</t>
        </r>
        <r>
          <rPr>
            <sz val="11"/>
            <color indexed="32"/>
            <rFont val="ＭＳ 明朝"/>
            <family val="1"/>
            <charset val="128"/>
          </rPr>
          <t>cm</t>
        </r>
        <r>
          <rPr>
            <b/>
            <sz val="11"/>
            <color indexed="32"/>
            <rFont val="ＭＳ 明朝"/>
            <family val="1"/>
            <charset val="128"/>
          </rPr>
          <t xml:space="preserve"> : 0.74
   60×30</t>
        </r>
        <r>
          <rPr>
            <sz val="11"/>
            <color indexed="32"/>
            <rFont val="ＭＳ 明朝"/>
            <family val="1"/>
            <charset val="128"/>
          </rPr>
          <t>cm</t>
        </r>
        <r>
          <rPr>
            <b/>
            <sz val="11"/>
            <color indexed="32"/>
            <rFont val="ＭＳ 明朝"/>
            <family val="1"/>
            <charset val="128"/>
          </rPr>
          <t xml:space="preserve"> : 0.76
   80×25</t>
        </r>
        <r>
          <rPr>
            <sz val="11"/>
            <color indexed="32"/>
            <rFont val="ＭＳ 明朝"/>
            <family val="1"/>
            <charset val="128"/>
          </rPr>
          <t>cm</t>
        </r>
        <r>
          <rPr>
            <b/>
            <sz val="11"/>
            <color indexed="32"/>
            <rFont val="ＭＳ 明朝"/>
            <family val="1"/>
            <charset val="128"/>
          </rPr>
          <t xml:space="preserve"> : 0.82
   80×30</t>
        </r>
        <r>
          <rPr>
            <sz val="11"/>
            <color indexed="32"/>
            <rFont val="ＭＳ 明朝"/>
            <family val="1"/>
            <charset val="128"/>
          </rPr>
          <t>cm</t>
        </r>
        <r>
          <rPr>
            <b/>
            <sz val="11"/>
            <color indexed="32"/>
            <rFont val="ＭＳ 明朝"/>
            <family val="1"/>
            <charset val="128"/>
          </rPr>
          <t xml:space="preserve"> : 0.84
   80×40</t>
        </r>
        <r>
          <rPr>
            <sz val="11"/>
            <color indexed="32"/>
            <rFont val="ＭＳ 明朝"/>
            <family val="1"/>
            <charset val="128"/>
          </rPr>
          <t>cm</t>
        </r>
        <r>
          <rPr>
            <b/>
            <sz val="11"/>
            <color indexed="32"/>
            <rFont val="ＭＳ 明朝"/>
            <family val="1"/>
            <charset val="128"/>
          </rPr>
          <t xml:space="preserve"> : 0.88</t>
        </r>
        <r>
          <rPr>
            <b/>
            <sz val="11"/>
            <color indexed="81"/>
            <rFont val="ＭＳ 明朝"/>
            <family val="1"/>
            <charset val="128"/>
          </rPr>
          <t xml:space="preserve">
</t>
        </r>
        <r>
          <rPr>
            <sz val="11"/>
            <color indexed="81"/>
            <rFont val="ＭＳ 明朝"/>
            <family val="1"/>
            <charset val="128"/>
          </rPr>
          <t xml:space="preserve"> </t>
        </r>
        <r>
          <rPr>
            <sz val="10"/>
            <color indexed="9"/>
            <rFont val="Meiryo UI"/>
            <family val="3"/>
            <charset val="128"/>
          </rPr>
          <t>(100+縦cm+横cm)×0.004</t>
        </r>
        <r>
          <rPr>
            <sz val="14"/>
            <color indexed="14"/>
            <rFont val="ＭＳ 明朝"/>
            <family val="1"/>
            <charset val="128"/>
          </rPr>
          <t xml:space="preserve"> </t>
        </r>
        <r>
          <rPr>
            <sz val="11"/>
            <color indexed="12"/>
            <rFont val="ＭＳ 明朝"/>
            <family val="1"/>
            <charset val="128"/>
          </rPr>
          <t xml:space="preserve">
</t>
        </r>
      </text>
    </comment>
    <comment ref="S7" authorId="0">
      <text>
        <r>
          <rPr>
            <b/>
            <sz val="10"/>
            <color indexed="17"/>
            <rFont val="ＭＳ 明朝"/>
            <family val="1"/>
            <charset val="128"/>
          </rPr>
          <t>　　</t>
        </r>
        <r>
          <rPr>
            <b/>
            <sz val="12"/>
            <color indexed="53"/>
            <rFont val="ＭＳ 明朝"/>
            <family val="1"/>
            <charset val="128"/>
          </rPr>
          <t>　</t>
        </r>
        <r>
          <rPr>
            <b/>
            <sz val="12"/>
            <color indexed="60"/>
            <rFont val="ＭＳ 明朝"/>
            <family val="1"/>
            <charset val="128"/>
          </rPr>
          <t>断 路 器、その他</t>
        </r>
        <r>
          <rPr>
            <b/>
            <sz val="16"/>
            <color indexed="17"/>
            <rFont val="ＭＳ 明朝"/>
            <family val="1"/>
            <charset val="128"/>
          </rPr>
          <t xml:space="preserve"> </t>
        </r>
        <r>
          <rPr>
            <b/>
            <sz val="14"/>
            <color indexed="17"/>
            <rFont val="ＭＳ 明朝"/>
            <family val="1"/>
            <charset val="128"/>
          </rPr>
          <t xml:space="preserve">
</t>
        </r>
        <r>
          <rPr>
            <sz val="10"/>
            <color indexed="32"/>
            <rFont val="ＭＳ ゴシック"/>
            <family val="3"/>
            <charset val="128"/>
          </rPr>
          <t xml:space="preserve">　 </t>
        </r>
        <r>
          <rPr>
            <sz val="10"/>
            <color indexed="9"/>
            <rFont val="Meiryo UI"/>
            <family val="3"/>
            <charset val="128"/>
          </rPr>
          <t>断　路　器(単極単投)</t>
        </r>
        <r>
          <rPr>
            <sz val="14"/>
            <color indexed="32"/>
            <rFont val="ＭＳ ゴシック"/>
            <family val="3"/>
            <charset val="128"/>
          </rPr>
          <t xml:space="preserve"> </t>
        </r>
        <r>
          <rPr>
            <sz val="10"/>
            <color indexed="32"/>
            <rFont val="ＭＳ ゴシック"/>
            <family val="3"/>
            <charset val="128"/>
          </rPr>
          <t xml:space="preserve">
　　　 　　　　　</t>
        </r>
        <r>
          <rPr>
            <b/>
            <sz val="10"/>
            <color indexed="32"/>
            <rFont val="ＭＳ ゴシック"/>
            <family val="3"/>
            <charset val="128"/>
          </rPr>
          <t>100A</t>
        </r>
        <r>
          <rPr>
            <sz val="10"/>
            <color indexed="32"/>
            <rFont val="ＭＳ ゴシック"/>
            <family val="3"/>
            <charset val="128"/>
          </rPr>
          <t>　　　</t>
        </r>
        <r>
          <rPr>
            <b/>
            <sz val="10"/>
            <color indexed="32"/>
            <rFont val="ＭＳ ゴシック"/>
            <family val="3"/>
            <charset val="128"/>
          </rPr>
          <t xml:space="preserve">0.275
</t>
        </r>
        <r>
          <rPr>
            <sz val="10"/>
            <color indexed="32"/>
            <rFont val="ＭＳ ゴシック"/>
            <family val="3"/>
            <charset val="128"/>
          </rPr>
          <t xml:space="preserve">　　　　　　　　 </t>
        </r>
        <r>
          <rPr>
            <b/>
            <sz val="10"/>
            <color indexed="32"/>
            <rFont val="ＭＳ ゴシック"/>
            <family val="3"/>
            <charset val="128"/>
          </rPr>
          <t>200A</t>
        </r>
        <r>
          <rPr>
            <sz val="10"/>
            <color indexed="32"/>
            <rFont val="ＭＳ ゴシック"/>
            <family val="3"/>
            <charset val="128"/>
          </rPr>
          <t>　　　</t>
        </r>
        <r>
          <rPr>
            <b/>
            <sz val="10"/>
            <color indexed="32"/>
            <rFont val="ＭＳ ゴシック"/>
            <family val="3"/>
            <charset val="128"/>
          </rPr>
          <t xml:space="preserve">0.412
</t>
        </r>
        <r>
          <rPr>
            <sz val="10"/>
            <color indexed="32"/>
            <rFont val="ＭＳ ゴシック"/>
            <family val="3"/>
            <charset val="128"/>
          </rPr>
          <t xml:space="preserve">　　　　　　　　 </t>
        </r>
        <r>
          <rPr>
            <b/>
            <sz val="10"/>
            <color indexed="32"/>
            <rFont val="ＭＳ ゴシック"/>
            <family val="3"/>
            <charset val="128"/>
          </rPr>
          <t>300A</t>
        </r>
        <r>
          <rPr>
            <sz val="10"/>
            <color indexed="32"/>
            <rFont val="ＭＳ ゴシック"/>
            <family val="3"/>
            <charset val="128"/>
          </rPr>
          <t>　　　</t>
        </r>
        <r>
          <rPr>
            <b/>
            <sz val="10"/>
            <color indexed="32"/>
            <rFont val="ＭＳ ゴシック"/>
            <family val="3"/>
            <charset val="128"/>
          </rPr>
          <t xml:space="preserve">0.530
</t>
        </r>
        <r>
          <rPr>
            <sz val="10"/>
            <color indexed="32"/>
            <rFont val="ＭＳ ゴシック"/>
            <family val="3"/>
            <charset val="128"/>
          </rPr>
          <t xml:space="preserve">　 </t>
        </r>
        <r>
          <rPr>
            <sz val="10"/>
            <color indexed="9"/>
            <rFont val="Meiryo UI"/>
            <family val="3"/>
            <charset val="128"/>
          </rPr>
          <t>断　路　器(３極単投)</t>
        </r>
        <r>
          <rPr>
            <sz val="14"/>
            <color indexed="9"/>
            <rFont val="Meiryo UI"/>
            <family val="3"/>
            <charset val="128"/>
          </rPr>
          <t xml:space="preserve"> </t>
        </r>
        <r>
          <rPr>
            <b/>
            <sz val="10"/>
            <color indexed="32"/>
            <rFont val="ＭＳ ゴシック"/>
            <family val="3"/>
            <charset val="128"/>
          </rPr>
          <t xml:space="preserve">
</t>
        </r>
        <r>
          <rPr>
            <sz val="10"/>
            <color indexed="32"/>
            <rFont val="ＭＳ ゴシック"/>
            <family val="3"/>
            <charset val="128"/>
          </rPr>
          <t xml:space="preserve">　　　　　　　　 </t>
        </r>
        <r>
          <rPr>
            <b/>
            <sz val="10"/>
            <color indexed="32"/>
            <rFont val="ＭＳ ゴシック"/>
            <family val="3"/>
            <charset val="128"/>
          </rPr>
          <t>100A</t>
        </r>
        <r>
          <rPr>
            <sz val="10"/>
            <color indexed="32"/>
            <rFont val="ＭＳ ゴシック"/>
            <family val="3"/>
            <charset val="128"/>
          </rPr>
          <t>　　　</t>
        </r>
        <r>
          <rPr>
            <b/>
            <sz val="10"/>
            <color indexed="32"/>
            <rFont val="ＭＳ ゴシック"/>
            <family val="3"/>
            <charset val="128"/>
          </rPr>
          <t xml:space="preserve">0.549
</t>
        </r>
        <r>
          <rPr>
            <sz val="10"/>
            <color indexed="32"/>
            <rFont val="ＭＳ ゴシック"/>
            <family val="3"/>
            <charset val="128"/>
          </rPr>
          <t xml:space="preserve">　               </t>
        </r>
        <r>
          <rPr>
            <b/>
            <sz val="10"/>
            <color indexed="32"/>
            <rFont val="ＭＳ ゴシック"/>
            <family val="3"/>
            <charset val="128"/>
          </rPr>
          <t>200A</t>
        </r>
        <r>
          <rPr>
            <sz val="10"/>
            <color indexed="32"/>
            <rFont val="ＭＳ ゴシック"/>
            <family val="3"/>
            <charset val="128"/>
          </rPr>
          <t>　　　</t>
        </r>
        <r>
          <rPr>
            <b/>
            <sz val="10"/>
            <color indexed="32"/>
            <rFont val="ＭＳ ゴシック"/>
            <family val="3"/>
            <charset val="128"/>
          </rPr>
          <t xml:space="preserve">0.823
</t>
        </r>
        <r>
          <rPr>
            <sz val="10"/>
            <color indexed="32"/>
            <rFont val="ＭＳ ゴシック"/>
            <family val="3"/>
            <charset val="128"/>
          </rPr>
          <t xml:space="preserve">　               </t>
        </r>
        <r>
          <rPr>
            <b/>
            <sz val="10"/>
            <color indexed="32"/>
            <rFont val="ＭＳ ゴシック"/>
            <family val="3"/>
            <charset val="128"/>
          </rPr>
          <t>300A</t>
        </r>
        <r>
          <rPr>
            <sz val="10"/>
            <color indexed="32"/>
            <rFont val="ＭＳ ゴシック"/>
            <family val="3"/>
            <charset val="128"/>
          </rPr>
          <t>　　　</t>
        </r>
        <r>
          <rPr>
            <b/>
            <sz val="10"/>
            <color indexed="32"/>
            <rFont val="ＭＳ ゴシック"/>
            <family val="3"/>
            <charset val="128"/>
          </rPr>
          <t xml:space="preserve">1.06
</t>
        </r>
        <r>
          <rPr>
            <sz val="10"/>
            <color indexed="32"/>
            <rFont val="ＭＳ ゴシック"/>
            <family val="3"/>
            <charset val="128"/>
          </rPr>
          <t xml:space="preserve"> 　</t>
        </r>
        <r>
          <rPr>
            <sz val="10"/>
            <color indexed="9"/>
            <rFont val="Meiryo UI"/>
            <family val="3"/>
            <charset val="128"/>
          </rPr>
          <t>プライマリ・カットアウト・スイッチ</t>
        </r>
        <r>
          <rPr>
            <sz val="14"/>
            <color indexed="9"/>
            <rFont val="ＭＳ ゴシック"/>
            <family val="3"/>
            <charset val="128"/>
          </rPr>
          <t xml:space="preserve"> </t>
        </r>
        <r>
          <rPr>
            <sz val="10"/>
            <color indexed="32"/>
            <rFont val="ＭＳ ゴシック"/>
            <family val="3"/>
            <charset val="128"/>
          </rPr>
          <t xml:space="preserve">
　　　　　　　　  </t>
        </r>
        <r>
          <rPr>
            <b/>
            <sz val="10"/>
            <color indexed="32"/>
            <rFont val="ＭＳ ゴシック"/>
            <family val="3"/>
            <charset val="128"/>
          </rPr>
          <t>50A</t>
        </r>
        <r>
          <rPr>
            <sz val="10"/>
            <color indexed="32"/>
            <rFont val="ＭＳ ゴシック"/>
            <family val="3"/>
            <charset val="128"/>
          </rPr>
          <t>　　　</t>
        </r>
        <r>
          <rPr>
            <b/>
            <sz val="10"/>
            <color indexed="32"/>
            <rFont val="ＭＳ ゴシック"/>
            <family val="3"/>
            <charset val="128"/>
          </rPr>
          <t xml:space="preserve">0.159
</t>
        </r>
        <r>
          <rPr>
            <sz val="10"/>
            <color indexed="32"/>
            <rFont val="ＭＳ ゴシック"/>
            <family val="3"/>
            <charset val="128"/>
          </rPr>
          <t xml:space="preserve"> 　</t>
        </r>
        <r>
          <rPr>
            <sz val="10"/>
            <color indexed="9"/>
            <rFont val="ＭＳ ゴシック"/>
            <family val="3"/>
            <charset val="128"/>
          </rPr>
          <t>電力ヒューズ</t>
        </r>
        <r>
          <rPr>
            <sz val="10"/>
            <color indexed="32"/>
            <rFont val="ＭＳ ゴシック"/>
            <family val="3"/>
            <charset val="128"/>
          </rPr>
          <t xml:space="preserve">   </t>
        </r>
        <r>
          <rPr>
            <b/>
            <sz val="10"/>
            <color indexed="32"/>
            <rFont val="ＭＳ ゴシック"/>
            <family val="3"/>
            <charset val="128"/>
          </rPr>
          <t xml:space="preserve">    </t>
        </r>
        <r>
          <rPr>
            <sz val="10"/>
            <color indexed="32"/>
            <rFont val="ＭＳ ゴシック"/>
            <family val="3"/>
            <charset val="128"/>
          </rPr>
          <t xml:space="preserve">     </t>
        </r>
        <r>
          <rPr>
            <b/>
            <sz val="10"/>
            <color indexed="32"/>
            <rFont val="ＭＳ ゴシック"/>
            <family val="3"/>
            <charset val="128"/>
          </rPr>
          <t>0.250</t>
        </r>
        <r>
          <rPr>
            <b/>
            <sz val="14"/>
            <color indexed="32"/>
            <rFont val="ＭＳ ゴシック"/>
            <family val="3"/>
            <charset val="128"/>
          </rPr>
          <t xml:space="preserve"> </t>
        </r>
        <r>
          <rPr>
            <sz val="10"/>
            <color indexed="32"/>
            <rFont val="ＭＳ ゴシック"/>
            <family val="3"/>
            <charset val="128"/>
          </rPr>
          <t xml:space="preserve">
 　</t>
        </r>
        <r>
          <rPr>
            <sz val="10"/>
            <color indexed="9"/>
            <rFont val="ＭＳ ゴシック"/>
            <family val="3"/>
            <charset val="128"/>
          </rPr>
          <t>計器用変圧器</t>
        </r>
        <r>
          <rPr>
            <sz val="10"/>
            <color indexed="32"/>
            <rFont val="ＭＳ ゴシック"/>
            <family val="3"/>
            <charset val="128"/>
          </rPr>
          <t xml:space="preserve">   </t>
        </r>
        <r>
          <rPr>
            <b/>
            <sz val="10"/>
            <color indexed="32"/>
            <rFont val="ＭＳ ゴシック"/>
            <family val="3"/>
            <charset val="128"/>
          </rPr>
          <t xml:space="preserve">   </t>
        </r>
        <r>
          <rPr>
            <sz val="10"/>
            <color indexed="32"/>
            <rFont val="ＭＳ ゴシック"/>
            <family val="3"/>
            <charset val="128"/>
          </rPr>
          <t xml:space="preserve">      </t>
        </r>
        <r>
          <rPr>
            <b/>
            <sz val="10"/>
            <color indexed="32"/>
            <rFont val="ＭＳ ゴシック"/>
            <family val="3"/>
            <charset val="128"/>
          </rPr>
          <t>0.168</t>
        </r>
        <r>
          <rPr>
            <sz val="10"/>
            <color indexed="32"/>
            <rFont val="ＭＳ ゴシック"/>
            <family val="3"/>
            <charset val="128"/>
          </rPr>
          <t xml:space="preserve">
 　</t>
        </r>
        <r>
          <rPr>
            <sz val="10"/>
            <color indexed="9"/>
            <rFont val="ＭＳ ゴシック"/>
            <family val="3"/>
            <charset val="128"/>
          </rPr>
          <t>計器用変流器</t>
        </r>
        <r>
          <rPr>
            <sz val="10"/>
            <color indexed="32"/>
            <rFont val="ＭＳ ゴシック"/>
            <family val="3"/>
            <charset val="128"/>
          </rPr>
          <t xml:space="preserve">   </t>
        </r>
        <r>
          <rPr>
            <b/>
            <sz val="10"/>
            <color indexed="32"/>
            <rFont val="ＭＳ ゴシック"/>
            <family val="3"/>
            <charset val="128"/>
          </rPr>
          <t xml:space="preserve">   </t>
        </r>
        <r>
          <rPr>
            <sz val="10"/>
            <color indexed="32"/>
            <rFont val="ＭＳ ゴシック"/>
            <family val="3"/>
            <charset val="128"/>
          </rPr>
          <t xml:space="preserve">      </t>
        </r>
        <r>
          <rPr>
            <b/>
            <sz val="10"/>
            <color indexed="32"/>
            <rFont val="ＭＳ ゴシック"/>
            <family val="3"/>
            <charset val="128"/>
          </rPr>
          <t>0.168</t>
        </r>
        <r>
          <rPr>
            <sz val="10"/>
            <color indexed="32"/>
            <rFont val="ＭＳ ゴシック"/>
            <family val="3"/>
            <charset val="128"/>
          </rPr>
          <t xml:space="preserve">
　 </t>
        </r>
        <r>
          <rPr>
            <sz val="10"/>
            <color indexed="9"/>
            <rFont val="ＭＳ ゴシック"/>
            <family val="3"/>
            <charset val="128"/>
          </rPr>
          <t>変 成 器　函</t>
        </r>
        <r>
          <rPr>
            <sz val="10"/>
            <color indexed="32"/>
            <rFont val="ＭＳ ゴシック"/>
            <family val="3"/>
            <charset val="128"/>
          </rPr>
          <t xml:space="preserve">   </t>
        </r>
        <r>
          <rPr>
            <b/>
            <sz val="10"/>
            <color indexed="32"/>
            <rFont val="ＭＳ ゴシック"/>
            <family val="3"/>
            <charset val="128"/>
          </rPr>
          <t xml:space="preserve">   </t>
        </r>
        <r>
          <rPr>
            <sz val="10"/>
            <color indexed="32"/>
            <rFont val="ＭＳ ゴシック"/>
            <family val="3"/>
            <charset val="128"/>
          </rPr>
          <t xml:space="preserve">      </t>
        </r>
        <r>
          <rPr>
            <b/>
            <sz val="10"/>
            <color indexed="32"/>
            <rFont val="ＭＳ ゴシック"/>
            <family val="3"/>
            <charset val="128"/>
          </rPr>
          <t>0.681</t>
        </r>
        <r>
          <rPr>
            <sz val="10"/>
            <color indexed="32"/>
            <rFont val="ＭＳ ゴシック"/>
            <family val="3"/>
            <charset val="128"/>
          </rPr>
          <t xml:space="preserve">
　 </t>
        </r>
        <r>
          <rPr>
            <sz val="10"/>
            <color indexed="9"/>
            <rFont val="ＭＳ ゴシック"/>
            <family val="3"/>
            <charset val="128"/>
          </rPr>
          <t>避　 雷 　器</t>
        </r>
        <r>
          <rPr>
            <sz val="10"/>
            <color indexed="32"/>
            <rFont val="ＭＳ ゴシック"/>
            <family val="3"/>
            <charset val="128"/>
          </rPr>
          <t xml:space="preserve">   </t>
        </r>
        <r>
          <rPr>
            <b/>
            <sz val="10"/>
            <color indexed="32"/>
            <rFont val="ＭＳ ゴシック"/>
            <family val="3"/>
            <charset val="128"/>
          </rPr>
          <t xml:space="preserve">   </t>
        </r>
        <r>
          <rPr>
            <sz val="10"/>
            <color indexed="32"/>
            <rFont val="ＭＳ ゴシック"/>
            <family val="3"/>
            <charset val="128"/>
          </rPr>
          <t xml:space="preserve">      </t>
        </r>
        <r>
          <rPr>
            <b/>
            <sz val="10"/>
            <color indexed="32"/>
            <rFont val="ＭＳ ゴシック"/>
            <family val="3"/>
            <charset val="128"/>
          </rPr>
          <t>0.159</t>
        </r>
      </text>
    </comment>
    <comment ref="W7" authorId="0">
      <text>
        <r>
          <rPr>
            <b/>
            <sz val="10"/>
            <color indexed="81"/>
            <rFont val="ＭＳ 明朝"/>
            <family val="1"/>
            <charset val="128"/>
          </rPr>
          <t>　　　　</t>
        </r>
        <r>
          <rPr>
            <b/>
            <sz val="12"/>
            <color indexed="60"/>
            <rFont val="ＭＳ 明朝"/>
            <family val="1"/>
            <charset val="128"/>
          </rPr>
          <t>建　柱</t>
        </r>
        <r>
          <rPr>
            <sz val="11"/>
            <color indexed="60"/>
            <rFont val="ＭＳ 明朝"/>
            <family val="1"/>
            <charset val="128"/>
          </rPr>
          <t>(</t>
        </r>
        <r>
          <rPr>
            <b/>
            <sz val="11"/>
            <color indexed="60"/>
            <rFont val="ＭＳ 明朝"/>
            <family val="1"/>
            <charset val="128"/>
          </rPr>
          <t>人 力</t>
        </r>
        <r>
          <rPr>
            <sz val="11"/>
            <color indexed="60"/>
            <rFont val="ＭＳ 明朝"/>
            <family val="1"/>
            <charset val="128"/>
          </rPr>
          <t>)</t>
        </r>
        <r>
          <rPr>
            <sz val="16"/>
            <color indexed="53"/>
            <rFont val="ＭＳ 明朝"/>
            <family val="1"/>
            <charset val="128"/>
          </rPr>
          <t xml:space="preserve"> </t>
        </r>
        <r>
          <rPr>
            <b/>
            <sz val="14"/>
            <color indexed="53"/>
            <rFont val="ＭＳ 明朝"/>
            <family val="1"/>
            <charset val="128"/>
          </rPr>
          <t xml:space="preserve">
</t>
        </r>
        <r>
          <rPr>
            <sz val="11"/>
            <color indexed="53"/>
            <rFont val="ＭＳ 明朝"/>
            <family val="1"/>
            <charset val="128"/>
          </rPr>
          <t>　　　　　　　</t>
        </r>
        <r>
          <rPr>
            <sz val="10"/>
            <color indexed="9"/>
            <rFont val="ＭＳ 明朝"/>
            <family val="1"/>
            <charset val="128"/>
          </rPr>
          <t>電 工　普通作業員</t>
        </r>
        <r>
          <rPr>
            <b/>
            <sz val="10"/>
            <color indexed="81"/>
            <rFont val="ＭＳ 明朝"/>
            <family val="1"/>
            <charset val="128"/>
          </rPr>
          <t xml:space="preserve">
</t>
        </r>
        <r>
          <rPr>
            <b/>
            <sz val="10"/>
            <color indexed="32"/>
            <rFont val="ＭＳ 明朝"/>
            <family val="1"/>
            <charset val="128"/>
          </rPr>
          <t xml:space="preserve">  </t>
        </r>
        <r>
          <rPr>
            <sz val="11"/>
            <color indexed="9"/>
            <rFont val="Meiryo UI"/>
            <family val="3"/>
            <charset val="128"/>
          </rPr>
          <t>コンクリート柱</t>
        </r>
        <r>
          <rPr>
            <sz val="10"/>
            <color indexed="32"/>
            <rFont val="ＭＳ 明朝"/>
            <family val="1"/>
            <charset val="128"/>
          </rPr>
          <t xml:space="preserve">
</t>
        </r>
        <r>
          <rPr>
            <b/>
            <sz val="10"/>
            <color indexed="32"/>
            <rFont val="ＭＳ 明朝"/>
            <family val="1"/>
            <charset val="128"/>
          </rPr>
          <t xml:space="preserve">        8</t>
        </r>
        <r>
          <rPr>
            <sz val="10"/>
            <color indexed="32"/>
            <rFont val="ＭＳ 明朝"/>
            <family val="1"/>
            <charset val="128"/>
          </rPr>
          <t>ｍ</t>
        </r>
        <r>
          <rPr>
            <b/>
            <sz val="10"/>
            <color indexed="32"/>
            <rFont val="ＭＳ 明朝"/>
            <family val="1"/>
            <charset val="128"/>
          </rPr>
          <t xml:space="preserve">   1.74    0.957
        9</t>
        </r>
        <r>
          <rPr>
            <sz val="10"/>
            <color indexed="32"/>
            <rFont val="ＭＳ 明朝"/>
            <family val="1"/>
            <charset val="128"/>
          </rPr>
          <t>ｍ</t>
        </r>
        <r>
          <rPr>
            <b/>
            <sz val="10"/>
            <color indexed="32"/>
            <rFont val="ＭＳ 明朝"/>
            <family val="1"/>
            <charset val="128"/>
          </rPr>
          <t xml:space="preserve">   2.17    1.04
       10</t>
        </r>
        <r>
          <rPr>
            <sz val="10"/>
            <color indexed="32"/>
            <rFont val="ＭＳ 明朝"/>
            <family val="1"/>
            <charset val="128"/>
          </rPr>
          <t>ｍ</t>
        </r>
        <r>
          <rPr>
            <b/>
            <sz val="10"/>
            <color indexed="32"/>
            <rFont val="ＭＳ 明朝"/>
            <family val="1"/>
            <charset val="128"/>
          </rPr>
          <t xml:space="preserve">   2.61    1.04
       11</t>
        </r>
        <r>
          <rPr>
            <sz val="10"/>
            <color indexed="32"/>
            <rFont val="ＭＳ 明朝"/>
            <family val="1"/>
            <charset val="128"/>
          </rPr>
          <t>ｍ</t>
        </r>
        <r>
          <rPr>
            <b/>
            <sz val="10"/>
            <color indexed="32"/>
            <rFont val="ＭＳ 明朝"/>
            <family val="1"/>
            <charset val="128"/>
          </rPr>
          <t xml:space="preserve">   3.04    1.22
       12</t>
        </r>
        <r>
          <rPr>
            <sz val="10"/>
            <color indexed="32"/>
            <rFont val="ＭＳ 明朝"/>
            <family val="1"/>
            <charset val="128"/>
          </rPr>
          <t>ｍ</t>
        </r>
        <r>
          <rPr>
            <b/>
            <sz val="10"/>
            <color indexed="32"/>
            <rFont val="ＭＳ 明朝"/>
            <family val="1"/>
            <charset val="128"/>
          </rPr>
          <t xml:space="preserve">   3.48    1.74
       13</t>
        </r>
        <r>
          <rPr>
            <sz val="10"/>
            <color indexed="32"/>
            <rFont val="ＭＳ 明朝"/>
            <family val="1"/>
            <charset val="128"/>
          </rPr>
          <t>ｍ</t>
        </r>
        <r>
          <rPr>
            <b/>
            <sz val="10"/>
            <color indexed="32"/>
            <rFont val="ＭＳ 明朝"/>
            <family val="1"/>
            <charset val="128"/>
          </rPr>
          <t xml:space="preserve">   3.91    1.91
       14</t>
        </r>
        <r>
          <rPr>
            <sz val="10"/>
            <color indexed="32"/>
            <rFont val="ＭＳ 明朝"/>
            <family val="1"/>
            <charset val="128"/>
          </rPr>
          <t>ｍ</t>
        </r>
        <r>
          <rPr>
            <b/>
            <sz val="10"/>
            <color indexed="32"/>
            <rFont val="ＭＳ 明朝"/>
            <family val="1"/>
            <charset val="128"/>
          </rPr>
          <t xml:space="preserve">   4.35    2.09
       15</t>
        </r>
        <r>
          <rPr>
            <sz val="10"/>
            <color indexed="32"/>
            <rFont val="ＭＳ 明朝"/>
            <family val="1"/>
            <charset val="128"/>
          </rPr>
          <t>ｍ</t>
        </r>
        <r>
          <rPr>
            <b/>
            <sz val="10"/>
            <color indexed="32"/>
            <rFont val="ＭＳ 明朝"/>
            <family val="1"/>
            <charset val="128"/>
          </rPr>
          <t xml:space="preserve">   4.78    2.43
  </t>
        </r>
        <r>
          <rPr>
            <sz val="11"/>
            <color indexed="9"/>
            <rFont val="Meiryo UI"/>
            <family val="3"/>
            <charset val="128"/>
          </rPr>
          <t>木　　柱</t>
        </r>
        <r>
          <rPr>
            <sz val="10"/>
            <color indexed="32"/>
            <rFont val="ＭＳ 明朝"/>
            <family val="1"/>
            <charset val="128"/>
          </rPr>
          <t xml:space="preserve">
</t>
        </r>
        <r>
          <rPr>
            <b/>
            <sz val="10"/>
            <color indexed="32"/>
            <rFont val="ＭＳ 明朝"/>
            <family val="1"/>
            <charset val="128"/>
          </rPr>
          <t xml:space="preserve">        6</t>
        </r>
        <r>
          <rPr>
            <sz val="10"/>
            <color indexed="32"/>
            <rFont val="ＭＳ 明朝"/>
            <family val="1"/>
            <charset val="128"/>
          </rPr>
          <t>ｍ</t>
        </r>
        <r>
          <rPr>
            <b/>
            <sz val="10"/>
            <color indexed="32"/>
            <rFont val="ＭＳ 明朝"/>
            <family val="1"/>
            <charset val="128"/>
          </rPr>
          <t xml:space="preserve">   0.461   0.252
        7</t>
        </r>
        <r>
          <rPr>
            <sz val="10"/>
            <color indexed="32"/>
            <rFont val="ＭＳ 明朝"/>
            <family val="1"/>
            <charset val="128"/>
          </rPr>
          <t>ｍ</t>
        </r>
        <r>
          <rPr>
            <b/>
            <sz val="10"/>
            <color indexed="32"/>
            <rFont val="ＭＳ 明朝"/>
            <family val="1"/>
            <charset val="128"/>
          </rPr>
          <t xml:space="preserve">   0.565   0.296
        8</t>
        </r>
        <r>
          <rPr>
            <sz val="10"/>
            <color indexed="32"/>
            <rFont val="ＭＳ 明朝"/>
            <family val="1"/>
            <charset val="128"/>
          </rPr>
          <t>ｍ</t>
        </r>
        <r>
          <rPr>
            <b/>
            <sz val="10"/>
            <color indexed="32"/>
            <rFont val="ＭＳ 明朝"/>
            <family val="1"/>
            <charset val="128"/>
          </rPr>
          <t xml:space="preserve">   0.696   0.339
        9</t>
        </r>
        <r>
          <rPr>
            <sz val="10"/>
            <color indexed="32"/>
            <rFont val="ＭＳ 明朝"/>
            <family val="1"/>
            <charset val="128"/>
          </rPr>
          <t>ｍ</t>
        </r>
        <r>
          <rPr>
            <b/>
            <sz val="10"/>
            <color indexed="32"/>
            <rFont val="ＭＳ 明朝"/>
            <family val="1"/>
            <charset val="128"/>
          </rPr>
          <t xml:space="preserve">   0.809   0.426
       10</t>
        </r>
        <r>
          <rPr>
            <sz val="10"/>
            <color indexed="32"/>
            <rFont val="ＭＳ 明朝"/>
            <family val="1"/>
            <charset val="128"/>
          </rPr>
          <t>ｍ</t>
        </r>
        <r>
          <rPr>
            <b/>
            <sz val="10"/>
            <color indexed="32"/>
            <rFont val="ＭＳ 明朝"/>
            <family val="1"/>
            <charset val="128"/>
          </rPr>
          <t xml:space="preserve">   1.05    0.539</t>
        </r>
        <r>
          <rPr>
            <b/>
            <sz val="10"/>
            <color indexed="81"/>
            <rFont val="ＭＳ 明朝"/>
            <family val="1"/>
            <charset val="128"/>
          </rPr>
          <t xml:space="preserve">
  </t>
        </r>
        <r>
          <rPr>
            <sz val="10"/>
            <color indexed="9"/>
            <rFont val="Meiryo UI"/>
            <family val="3"/>
            <charset val="128"/>
          </rPr>
          <t>(注) パンザマストは、コンクリート柱</t>
        </r>
        <r>
          <rPr>
            <sz val="14"/>
            <color indexed="9"/>
            <rFont val="Meiryo UI"/>
            <family val="3"/>
            <charset val="128"/>
          </rPr>
          <t xml:space="preserve"> </t>
        </r>
        <r>
          <rPr>
            <sz val="10"/>
            <color indexed="9"/>
            <rFont val="Meiryo UI"/>
            <family val="3"/>
            <charset val="128"/>
          </rPr>
          <t xml:space="preserve">
</t>
        </r>
        <r>
          <rPr>
            <b/>
            <sz val="10"/>
            <color indexed="9"/>
            <rFont val="Meiryo UI"/>
            <family val="3"/>
            <charset val="128"/>
          </rPr>
          <t>　</t>
        </r>
        <r>
          <rPr>
            <sz val="10"/>
            <color indexed="9"/>
            <rFont val="Meiryo UI"/>
            <family val="3"/>
            <charset val="128"/>
          </rPr>
          <t xml:space="preserve">　    </t>
        </r>
        <r>
          <rPr>
            <sz val="8"/>
            <color indexed="9"/>
            <rFont val="Meiryo UI"/>
            <family val="3"/>
            <charset val="128"/>
          </rPr>
          <t xml:space="preserve">   </t>
        </r>
        <r>
          <rPr>
            <sz val="10"/>
            <color indexed="9"/>
            <rFont val="Meiryo UI"/>
            <family val="3"/>
            <charset val="128"/>
          </rPr>
          <t>の 0.5倍とする。</t>
        </r>
      </text>
    </comment>
    <comment ref="AA7" authorId="0">
      <text>
        <r>
          <rPr>
            <sz val="11"/>
            <color indexed="81"/>
            <rFont val="ＭＳ 明朝"/>
            <family val="1"/>
            <charset val="128"/>
          </rPr>
          <t xml:space="preserve">     　</t>
        </r>
        <r>
          <rPr>
            <b/>
            <sz val="12"/>
            <color indexed="16"/>
            <rFont val="ＭＳ 明朝"/>
            <family val="1"/>
            <charset val="128"/>
          </rPr>
          <t>放　　　 送</t>
        </r>
        <r>
          <rPr>
            <sz val="16"/>
            <color indexed="81"/>
            <rFont val="ＭＳ 明朝"/>
            <family val="1"/>
            <charset val="128"/>
          </rPr>
          <t xml:space="preserve"> </t>
        </r>
        <r>
          <rPr>
            <b/>
            <sz val="11"/>
            <color indexed="81"/>
            <rFont val="ＭＳ 明朝"/>
            <family val="1"/>
            <charset val="128"/>
          </rPr>
          <t xml:space="preserve">
</t>
        </r>
        <r>
          <rPr>
            <sz val="10"/>
            <color indexed="32"/>
            <rFont val="ＭＳ 明朝"/>
            <family val="1"/>
            <charset val="128"/>
          </rPr>
          <t>　</t>
        </r>
        <r>
          <rPr>
            <sz val="10"/>
            <color indexed="9"/>
            <rFont val="Meiryo UI"/>
            <family val="3"/>
            <charset val="128"/>
          </rPr>
          <t>増　幅　器</t>
        </r>
        <r>
          <rPr>
            <sz val="14"/>
            <color indexed="9"/>
            <rFont val="ＭＳ 明朝"/>
            <family val="1"/>
            <charset val="128"/>
          </rPr>
          <t xml:space="preserve"> </t>
        </r>
        <r>
          <rPr>
            <sz val="10"/>
            <color indexed="32"/>
            <rFont val="ＭＳ 明朝"/>
            <family val="1"/>
            <charset val="128"/>
          </rPr>
          <t xml:space="preserve">
　　卓上形 30Ｗ 以下 </t>
        </r>
        <r>
          <rPr>
            <b/>
            <sz val="10"/>
            <color indexed="32"/>
            <rFont val="ＭＳ 明朝"/>
            <family val="1"/>
            <charset val="128"/>
          </rPr>
          <t>: 0.965</t>
        </r>
        <r>
          <rPr>
            <sz val="10"/>
            <color indexed="32"/>
            <rFont val="ＭＳ 明朝"/>
            <family val="1"/>
            <charset val="128"/>
          </rPr>
          <t xml:space="preserve">
　　据置形 60Ｗ 以下 </t>
        </r>
        <r>
          <rPr>
            <b/>
            <sz val="10"/>
            <color indexed="32"/>
            <rFont val="ＭＳ 明朝"/>
            <family val="1"/>
            <charset val="128"/>
          </rPr>
          <t>: 1.51</t>
        </r>
        <r>
          <rPr>
            <sz val="10"/>
            <color indexed="32"/>
            <rFont val="ＭＳ 明朝"/>
            <family val="1"/>
            <charset val="128"/>
          </rPr>
          <t xml:space="preserve">
　　　　　100Ｗ 以下 </t>
        </r>
        <r>
          <rPr>
            <b/>
            <sz val="10"/>
            <color indexed="32"/>
            <rFont val="ＭＳ 明朝"/>
            <family val="1"/>
            <charset val="128"/>
          </rPr>
          <t>: 2.87</t>
        </r>
        <r>
          <rPr>
            <sz val="10"/>
            <color indexed="32"/>
            <rFont val="ＭＳ 明朝"/>
            <family val="1"/>
            <charset val="128"/>
          </rPr>
          <t xml:space="preserve">
　　　　　200Ｗ 以下 </t>
        </r>
        <r>
          <rPr>
            <b/>
            <sz val="10"/>
            <color indexed="32"/>
            <rFont val="ＭＳ 明朝"/>
            <family val="1"/>
            <charset val="128"/>
          </rPr>
          <t xml:space="preserve">: 4.03
</t>
        </r>
        <r>
          <rPr>
            <sz val="10"/>
            <color indexed="32"/>
            <rFont val="ＭＳ 明朝"/>
            <family val="1"/>
            <charset val="128"/>
          </rPr>
          <t>　</t>
        </r>
        <r>
          <rPr>
            <sz val="10"/>
            <color indexed="9"/>
            <rFont val="Meiryo UI"/>
            <family val="3"/>
            <charset val="128"/>
          </rPr>
          <t>スピーカ</t>
        </r>
        <r>
          <rPr>
            <sz val="10"/>
            <color indexed="32"/>
            <rFont val="ＭＳ 明朝"/>
            <family val="1"/>
            <charset val="128"/>
          </rPr>
          <t xml:space="preserve">
　　壁　掛　形　　   </t>
        </r>
        <r>
          <rPr>
            <b/>
            <sz val="10"/>
            <color indexed="32"/>
            <rFont val="ＭＳ 明朝"/>
            <family val="1"/>
            <charset val="128"/>
          </rPr>
          <t xml:space="preserve">: 0.097
</t>
        </r>
        <r>
          <rPr>
            <sz val="10"/>
            <color indexed="32"/>
            <rFont val="ＭＳ 明朝"/>
            <family val="1"/>
            <charset val="128"/>
          </rPr>
          <t xml:space="preserve">　　天井埋込形　　   </t>
        </r>
        <r>
          <rPr>
            <b/>
            <sz val="10"/>
            <color indexed="32"/>
            <rFont val="ＭＳ 明朝"/>
            <family val="1"/>
            <charset val="128"/>
          </rPr>
          <t xml:space="preserve">: 0.195
</t>
        </r>
        <r>
          <rPr>
            <sz val="10"/>
            <color indexed="32"/>
            <rFont val="ＭＳ 明朝"/>
            <family val="1"/>
            <charset val="128"/>
          </rPr>
          <t xml:space="preserve">　　天井吊下形　　   </t>
        </r>
        <r>
          <rPr>
            <b/>
            <sz val="10"/>
            <color indexed="32"/>
            <rFont val="ＭＳ 明朝"/>
            <family val="1"/>
            <charset val="128"/>
          </rPr>
          <t xml:space="preserve">: 0.195
</t>
        </r>
        <r>
          <rPr>
            <sz val="10"/>
            <color indexed="32"/>
            <rFont val="ＭＳ 明朝"/>
            <family val="1"/>
            <charset val="128"/>
          </rPr>
          <t xml:space="preserve">　　ホーン　形　　   </t>
        </r>
        <r>
          <rPr>
            <b/>
            <sz val="10"/>
            <color indexed="32"/>
            <rFont val="ＭＳ 明朝"/>
            <family val="1"/>
            <charset val="128"/>
          </rPr>
          <t xml:space="preserve">: 0.159
</t>
        </r>
        <r>
          <rPr>
            <sz val="10"/>
            <color indexed="32"/>
            <rFont val="ＭＳ 明朝"/>
            <family val="1"/>
            <charset val="128"/>
          </rPr>
          <t>　</t>
        </r>
        <r>
          <rPr>
            <sz val="10"/>
            <color indexed="9"/>
            <rFont val="Meiryo UI"/>
            <family val="3"/>
            <charset val="128"/>
          </rPr>
          <t>アッテネータ</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0.053
</t>
        </r>
        <r>
          <rPr>
            <sz val="10"/>
            <color indexed="32"/>
            <rFont val="ＭＳ 明朝"/>
            <family val="1"/>
            <charset val="128"/>
          </rPr>
          <t>　</t>
        </r>
        <r>
          <rPr>
            <sz val="10"/>
            <color indexed="9"/>
            <rFont val="Meiryo UI"/>
            <family val="3"/>
            <charset val="128"/>
          </rPr>
          <t>ワイヤレスアンテナ</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0.50
</t>
        </r>
        <r>
          <rPr>
            <b/>
            <sz val="12"/>
            <color indexed="32"/>
            <rFont val="ＭＳ 明朝"/>
            <family val="1"/>
            <charset val="128"/>
          </rPr>
          <t>　　　</t>
        </r>
        <r>
          <rPr>
            <b/>
            <sz val="12"/>
            <color indexed="16"/>
            <rFont val="ＭＳ 明朝"/>
            <family val="1"/>
            <charset val="128"/>
          </rPr>
          <t>電　気　時　計</t>
        </r>
        <r>
          <rPr>
            <b/>
            <sz val="20"/>
            <color indexed="32"/>
            <rFont val="ＭＳ 明朝"/>
            <family val="1"/>
            <charset val="128"/>
          </rPr>
          <t xml:space="preserve"> </t>
        </r>
        <r>
          <rPr>
            <b/>
            <sz val="16"/>
            <color indexed="32"/>
            <rFont val="ＭＳ 明朝"/>
            <family val="1"/>
            <charset val="128"/>
          </rPr>
          <t xml:space="preserve">
</t>
        </r>
        <r>
          <rPr>
            <sz val="10"/>
            <color indexed="32"/>
            <rFont val="ＭＳ 明朝"/>
            <family val="1"/>
            <charset val="128"/>
          </rPr>
          <t>　</t>
        </r>
        <r>
          <rPr>
            <sz val="10"/>
            <color indexed="9"/>
            <rFont val="Meiryo UI"/>
            <family val="3"/>
            <charset val="128"/>
          </rPr>
          <t>親時計(水晶式)</t>
        </r>
        <r>
          <rPr>
            <sz val="10"/>
            <color indexed="32"/>
            <rFont val="ＭＳ 明朝"/>
            <family val="1"/>
            <charset val="128"/>
          </rPr>
          <t xml:space="preserve">
　　壁掛形 3回線以下 </t>
        </r>
        <r>
          <rPr>
            <b/>
            <sz val="10"/>
            <color indexed="32"/>
            <rFont val="ＭＳ 明朝"/>
            <family val="1"/>
            <charset val="128"/>
          </rPr>
          <t xml:space="preserve">: 1.46
</t>
        </r>
        <r>
          <rPr>
            <sz val="10"/>
            <color indexed="32"/>
            <rFont val="ＭＳ 明朝"/>
            <family val="1"/>
            <charset val="128"/>
          </rPr>
          <t xml:space="preserve">　　自立形 6回線以下 </t>
        </r>
        <r>
          <rPr>
            <b/>
            <sz val="10"/>
            <color indexed="32"/>
            <rFont val="ＭＳ 明朝"/>
            <family val="1"/>
            <charset val="128"/>
          </rPr>
          <t xml:space="preserve">: 2.90
</t>
        </r>
        <r>
          <rPr>
            <sz val="10"/>
            <color indexed="32"/>
            <rFont val="ＭＳ 明朝"/>
            <family val="1"/>
            <charset val="128"/>
          </rPr>
          <t>　</t>
        </r>
        <r>
          <rPr>
            <sz val="10"/>
            <color indexed="9"/>
            <rFont val="Meiryo UI"/>
            <family val="3"/>
            <charset val="128"/>
          </rPr>
          <t>子時計</t>
        </r>
        <r>
          <rPr>
            <sz val="10"/>
            <color indexed="32"/>
            <rFont val="ＭＳ 明朝"/>
            <family val="1"/>
            <charset val="128"/>
          </rPr>
          <t xml:space="preserve">
　　壁掛形</t>
        </r>
        <r>
          <rPr>
            <sz val="7"/>
            <color indexed="32"/>
            <rFont val="ＭＳ 明朝"/>
            <family val="1"/>
            <charset val="128"/>
          </rPr>
          <t xml:space="preserve"> </t>
        </r>
        <r>
          <rPr>
            <sz val="10"/>
            <color indexed="32"/>
            <rFont val="ＭＳ 明朝"/>
            <family val="1"/>
            <charset val="128"/>
          </rPr>
          <t xml:space="preserve">400mm以下 </t>
        </r>
        <r>
          <rPr>
            <b/>
            <sz val="10"/>
            <color indexed="32"/>
            <rFont val="ＭＳ 明朝"/>
            <family val="1"/>
            <charset val="128"/>
          </rPr>
          <t xml:space="preserve">: 0.097
</t>
        </r>
        <r>
          <rPr>
            <sz val="10"/>
            <color indexed="32"/>
            <rFont val="ＭＳ 明朝"/>
            <family val="1"/>
            <charset val="128"/>
          </rPr>
          <t>　　半埋込形    　　</t>
        </r>
        <r>
          <rPr>
            <sz val="9"/>
            <color indexed="32"/>
            <rFont val="ＭＳ 明朝"/>
            <family val="1"/>
            <charset val="128"/>
          </rPr>
          <t xml:space="preserve"> </t>
        </r>
        <r>
          <rPr>
            <b/>
            <sz val="10"/>
            <color indexed="32"/>
            <rFont val="ＭＳ 明朝"/>
            <family val="1"/>
            <charset val="128"/>
          </rPr>
          <t xml:space="preserve">: 0.195
</t>
        </r>
        <r>
          <rPr>
            <sz val="10"/>
            <color indexed="32"/>
            <rFont val="ＭＳ 明朝"/>
            <family val="1"/>
            <charset val="128"/>
          </rPr>
          <t xml:space="preserve">　　機体埋込形  　　 </t>
        </r>
        <r>
          <rPr>
            <b/>
            <sz val="10"/>
            <color indexed="32"/>
            <rFont val="ＭＳ 明朝"/>
            <family val="1"/>
            <charset val="128"/>
          </rPr>
          <t>: 0.248</t>
        </r>
        <r>
          <rPr>
            <b/>
            <sz val="10"/>
            <color indexed="81"/>
            <rFont val="ＭＳ 明朝"/>
            <family val="1"/>
            <charset val="128"/>
          </rPr>
          <t xml:space="preserve">
</t>
        </r>
      </text>
    </comment>
    <comment ref="AE7" authorId="0">
      <text>
        <r>
          <rPr>
            <sz val="10"/>
            <color indexed="81"/>
            <rFont val="ＭＳ 明朝"/>
            <family val="1"/>
            <charset val="128"/>
          </rPr>
          <t>　　　　</t>
        </r>
        <r>
          <rPr>
            <b/>
            <sz val="12"/>
            <color indexed="16"/>
            <rFont val="ＭＳ 明朝"/>
            <family val="1"/>
            <charset val="128"/>
          </rPr>
          <t>配 線 器 具</t>
        </r>
        <r>
          <rPr>
            <b/>
            <sz val="16"/>
            <color indexed="12"/>
            <rFont val="ＭＳ 明朝"/>
            <family val="1"/>
            <charset val="128"/>
          </rPr>
          <t xml:space="preserve"> </t>
        </r>
        <r>
          <rPr>
            <sz val="10"/>
            <color indexed="81"/>
            <rFont val="ＭＳ 明朝"/>
            <family val="1"/>
            <charset val="128"/>
          </rPr>
          <t xml:space="preserve">
</t>
        </r>
        <r>
          <rPr>
            <sz val="10"/>
            <color indexed="32"/>
            <rFont val="ＭＳ 明朝"/>
            <family val="1"/>
            <charset val="128"/>
          </rPr>
          <t xml:space="preserve">  プルスイッチ     </t>
        </r>
        <r>
          <rPr>
            <b/>
            <sz val="10"/>
            <color indexed="32"/>
            <rFont val="ＭＳ 明朝"/>
            <family val="1"/>
            <charset val="128"/>
          </rPr>
          <t>: 0.081</t>
        </r>
        <r>
          <rPr>
            <b/>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押釦スイッチ     </t>
        </r>
        <r>
          <rPr>
            <b/>
            <sz val="10"/>
            <color indexed="32"/>
            <rFont val="ＭＳ 明朝"/>
            <family val="1"/>
            <charset val="128"/>
          </rPr>
          <t xml:space="preserve">: 0.054
</t>
        </r>
        <r>
          <rPr>
            <sz val="10"/>
            <color indexed="32"/>
            <rFont val="ＭＳ 明朝"/>
            <family val="1"/>
            <charset val="128"/>
          </rPr>
          <t xml:space="preserve">  ブ　 ザ　 ー     </t>
        </r>
        <r>
          <rPr>
            <b/>
            <sz val="10"/>
            <color indexed="32"/>
            <rFont val="ＭＳ 明朝"/>
            <family val="1"/>
            <charset val="128"/>
          </rPr>
          <t xml:space="preserve">: 0.081
</t>
        </r>
        <r>
          <rPr>
            <sz val="10"/>
            <color indexed="32"/>
            <rFont val="ＭＳ 明朝"/>
            <family val="1"/>
            <charset val="128"/>
          </rPr>
          <t xml:space="preserve">  自動点滅器       </t>
        </r>
        <r>
          <rPr>
            <b/>
            <sz val="10"/>
            <color indexed="32"/>
            <rFont val="ＭＳ 明朝"/>
            <family val="1"/>
            <charset val="128"/>
          </rPr>
          <t xml:space="preserve">: 0.163
</t>
        </r>
        <r>
          <rPr>
            <sz val="10"/>
            <color indexed="32"/>
            <rFont val="ＭＳ 明朝"/>
            <family val="1"/>
            <charset val="128"/>
          </rPr>
          <t xml:space="preserve">  リモコンスイッチ </t>
        </r>
        <r>
          <rPr>
            <b/>
            <sz val="10"/>
            <color indexed="32"/>
            <rFont val="ＭＳ 明朝"/>
            <family val="1"/>
            <charset val="128"/>
          </rPr>
          <t xml:space="preserve">: 0.054
</t>
        </r>
        <r>
          <rPr>
            <sz val="10"/>
            <color indexed="32"/>
            <rFont val="ＭＳ 明朝"/>
            <family val="1"/>
            <charset val="128"/>
          </rPr>
          <t xml:space="preserve">  ﾘﾓｺﾝ･ｾﾚｸﾀ SW </t>
        </r>
        <r>
          <rPr>
            <b/>
            <sz val="10"/>
            <color indexed="32"/>
            <rFont val="ＭＳ 明朝"/>
            <family val="1"/>
            <charset val="128"/>
          </rPr>
          <t>6L</t>
        </r>
        <r>
          <rPr>
            <sz val="10"/>
            <color indexed="32"/>
            <rFont val="ＭＳ 明朝"/>
            <family val="1"/>
            <charset val="128"/>
          </rPr>
          <t xml:space="preserve"> </t>
        </r>
        <r>
          <rPr>
            <sz val="8"/>
            <color indexed="32"/>
            <rFont val="ＭＳ 明朝"/>
            <family val="1"/>
            <charset val="128"/>
          </rPr>
          <t xml:space="preserve"> </t>
        </r>
        <r>
          <rPr>
            <b/>
            <sz val="10"/>
            <color indexed="32"/>
            <rFont val="ＭＳ 明朝"/>
            <family val="1"/>
            <charset val="128"/>
          </rPr>
          <t xml:space="preserve">: 0.083
</t>
        </r>
        <r>
          <rPr>
            <sz val="10"/>
            <color indexed="32"/>
            <rFont val="ＭＳ 明朝"/>
            <family val="1"/>
            <charset val="128"/>
          </rPr>
          <t xml:space="preserve">  ﾘﾓｺﾝ･ｾﾚｸﾀ SW</t>
        </r>
        <r>
          <rPr>
            <b/>
            <sz val="10"/>
            <color indexed="32"/>
            <rFont val="ＭＳ 明朝"/>
            <family val="1"/>
            <charset val="128"/>
          </rPr>
          <t xml:space="preserve">12L </t>
        </r>
        <r>
          <rPr>
            <sz val="6"/>
            <color indexed="32"/>
            <rFont val="ＭＳ 明朝"/>
            <family val="1"/>
            <charset val="128"/>
          </rPr>
          <t xml:space="preserve"> </t>
        </r>
        <r>
          <rPr>
            <b/>
            <sz val="10"/>
            <color indexed="32"/>
            <rFont val="ＭＳ 明朝"/>
            <family val="1"/>
            <charset val="128"/>
          </rPr>
          <t xml:space="preserve">: 0.122
</t>
        </r>
        <r>
          <rPr>
            <sz val="10"/>
            <color indexed="32"/>
            <rFont val="ＭＳ 明朝"/>
            <family val="1"/>
            <charset val="128"/>
          </rPr>
          <t xml:space="preserve">  ﾘﾓｺﾝ･ﾘﾚｰ       </t>
        </r>
        <r>
          <rPr>
            <b/>
            <sz val="10"/>
            <color indexed="32"/>
            <rFont val="ＭＳ 明朝"/>
            <family val="1"/>
            <charset val="128"/>
          </rPr>
          <t xml:space="preserve"> </t>
        </r>
        <r>
          <rPr>
            <b/>
            <sz val="8"/>
            <color indexed="32"/>
            <rFont val="ＭＳ 明朝"/>
            <family val="1"/>
            <charset val="128"/>
          </rPr>
          <t xml:space="preserve"> </t>
        </r>
        <r>
          <rPr>
            <b/>
            <sz val="10"/>
            <color indexed="32"/>
            <rFont val="ＭＳ 明朝"/>
            <family val="1"/>
            <charset val="128"/>
          </rPr>
          <t xml:space="preserve">: 0.168
</t>
        </r>
        <r>
          <rPr>
            <sz val="10"/>
            <color indexed="32"/>
            <rFont val="ＭＳ 明朝"/>
            <family val="1"/>
            <charset val="128"/>
          </rPr>
          <t xml:space="preserve">  ﾘﾓｺﾝ･ﾄﾗﾝｽ      </t>
        </r>
        <r>
          <rPr>
            <b/>
            <sz val="10"/>
            <color indexed="32"/>
            <rFont val="ＭＳ 明朝"/>
            <family val="1"/>
            <charset val="128"/>
          </rPr>
          <t xml:space="preserve"> </t>
        </r>
        <r>
          <rPr>
            <b/>
            <sz val="8"/>
            <color indexed="32"/>
            <rFont val="ＭＳ 明朝"/>
            <family val="1"/>
            <charset val="128"/>
          </rPr>
          <t xml:space="preserve"> </t>
        </r>
        <r>
          <rPr>
            <b/>
            <sz val="10"/>
            <color indexed="32"/>
            <rFont val="ＭＳ 明朝"/>
            <family val="1"/>
            <charset val="128"/>
          </rPr>
          <t xml:space="preserve">: 0.168
</t>
        </r>
        <r>
          <rPr>
            <sz val="10"/>
            <color indexed="32"/>
            <rFont val="ＭＳ 明朝"/>
            <family val="1"/>
            <charset val="128"/>
          </rPr>
          <t xml:space="preserve">  電力量計箱       </t>
        </r>
        <r>
          <rPr>
            <b/>
            <sz val="10"/>
            <color indexed="32"/>
            <rFont val="ＭＳ 明朝"/>
            <family val="1"/>
            <charset val="128"/>
          </rPr>
          <t xml:space="preserve">: 0.174
</t>
        </r>
        <r>
          <rPr>
            <sz val="10"/>
            <color indexed="32"/>
            <rFont val="ＭＳ 明朝"/>
            <family val="1"/>
            <charset val="128"/>
          </rPr>
          <t xml:space="preserve">  電力量計         </t>
        </r>
        <r>
          <rPr>
            <b/>
            <sz val="10"/>
            <color indexed="32"/>
            <rFont val="ＭＳ 明朝"/>
            <family val="1"/>
            <charset val="128"/>
          </rPr>
          <t xml:space="preserve">: 0.435
</t>
        </r>
        <r>
          <rPr>
            <sz val="10"/>
            <color indexed="32"/>
            <rFont val="ＭＳ 明朝"/>
            <family val="1"/>
            <charset val="128"/>
          </rPr>
          <t xml:space="preserve">  プレート類       </t>
        </r>
        <r>
          <rPr>
            <b/>
            <sz val="10"/>
            <color indexed="32"/>
            <rFont val="ＭＳ 明朝"/>
            <family val="1"/>
            <charset val="128"/>
          </rPr>
          <t xml:space="preserve">: 0.020
</t>
        </r>
        <r>
          <rPr>
            <sz val="10"/>
            <color indexed="32"/>
            <rFont val="ＭＳ 明朝"/>
            <family val="1"/>
            <charset val="128"/>
          </rPr>
          <t xml:space="preserve">      </t>
        </r>
        <r>
          <rPr>
            <b/>
            <sz val="11"/>
            <color indexed="16"/>
            <rFont val="ＭＳ Ｐ明朝"/>
            <family val="1"/>
            <charset val="128"/>
          </rPr>
          <t>ライティング・ダクト</t>
        </r>
        <r>
          <rPr>
            <b/>
            <sz val="18"/>
            <color indexed="32"/>
            <rFont val="ＭＳ 明朝"/>
            <family val="1"/>
            <charset val="128"/>
          </rPr>
          <t>　</t>
        </r>
        <r>
          <rPr>
            <b/>
            <sz val="11"/>
            <color indexed="32"/>
            <rFont val="ＭＳ 明朝"/>
            <family val="1"/>
            <charset val="128"/>
          </rPr>
          <t xml:space="preserve">
</t>
        </r>
        <r>
          <rPr>
            <b/>
            <sz val="10"/>
            <color indexed="32"/>
            <rFont val="ＭＳ 明朝"/>
            <family val="1"/>
            <charset val="128"/>
          </rPr>
          <t xml:space="preserve">    2Ｗ-15A   : 0.100 
    2Ｗ-20A   : 0.105
    2Ｗ-30A   : 0.110</t>
        </r>
        <r>
          <rPr>
            <b/>
            <sz val="10"/>
            <color indexed="53"/>
            <rFont val="ＭＳ 明朝"/>
            <family val="1"/>
            <charset val="128"/>
          </rPr>
          <t xml:space="preserve">
</t>
        </r>
      </text>
    </comment>
    <comment ref="C8" authorId="0">
      <text>
        <r>
          <rPr>
            <b/>
            <sz val="3"/>
            <color indexed="81"/>
            <rFont val="ＭＳ 明朝"/>
            <family val="1"/>
            <charset val="128"/>
          </rPr>
          <t xml:space="preserve">   
</t>
        </r>
        <r>
          <rPr>
            <b/>
            <sz val="10"/>
            <color indexed="81"/>
            <rFont val="ＭＳ 明朝"/>
            <family val="1"/>
            <charset val="128"/>
          </rPr>
          <t xml:space="preserve">      </t>
        </r>
        <r>
          <rPr>
            <b/>
            <sz val="10"/>
            <color indexed="16"/>
            <rFont val="ＭＳ Ｐ明朝"/>
            <family val="1"/>
            <charset val="128"/>
          </rPr>
          <t xml:space="preserve">600V </t>
        </r>
        <r>
          <rPr>
            <b/>
            <sz val="12"/>
            <color indexed="16"/>
            <rFont val="ＭＳ Ｐ明朝"/>
            <family val="1"/>
            <charset val="128"/>
          </rPr>
          <t>CV</t>
        </r>
        <r>
          <rPr>
            <b/>
            <sz val="6"/>
            <color indexed="16"/>
            <rFont val="ＭＳ Ｐ明朝"/>
            <family val="1"/>
            <charset val="128"/>
          </rPr>
          <t xml:space="preserve"> </t>
        </r>
        <r>
          <rPr>
            <sz val="10"/>
            <color indexed="16"/>
            <rFont val="ＭＳ Ｐ明朝"/>
            <family val="1"/>
            <charset val="128"/>
          </rPr>
          <t>/</t>
        </r>
        <r>
          <rPr>
            <sz val="6"/>
            <color indexed="16"/>
            <rFont val="ＭＳ Ｐ明朝"/>
            <family val="1"/>
            <charset val="128"/>
          </rPr>
          <t xml:space="preserve"> </t>
        </r>
        <r>
          <rPr>
            <b/>
            <sz val="12"/>
            <color indexed="16"/>
            <rFont val="ＭＳ Ｐ明朝"/>
            <family val="1"/>
            <charset val="128"/>
          </rPr>
          <t>CV-T</t>
        </r>
        <r>
          <rPr>
            <b/>
            <sz val="6"/>
            <color indexed="16"/>
            <rFont val="ＭＳ Ｐ明朝"/>
            <family val="1"/>
            <charset val="128"/>
          </rPr>
          <t xml:space="preserve"> </t>
        </r>
        <r>
          <rPr>
            <sz val="10"/>
            <color indexed="16"/>
            <rFont val="ＭＳ Ｐ明朝"/>
            <family val="1"/>
            <charset val="128"/>
          </rPr>
          <t>/</t>
        </r>
        <r>
          <rPr>
            <sz val="6"/>
            <color indexed="16"/>
            <rFont val="ＭＳ Ｐ明朝"/>
            <family val="1"/>
            <charset val="128"/>
          </rPr>
          <t xml:space="preserve"> </t>
        </r>
        <r>
          <rPr>
            <b/>
            <sz val="12"/>
            <color indexed="16"/>
            <rFont val="ＭＳ Ｐ明朝"/>
            <family val="1"/>
            <charset val="128"/>
          </rPr>
          <t>VV-R</t>
        </r>
        <r>
          <rPr>
            <b/>
            <sz val="6"/>
            <color indexed="16"/>
            <rFont val="ＭＳ Ｐ明朝"/>
            <family val="1"/>
            <charset val="128"/>
          </rPr>
          <t xml:space="preserve"> </t>
        </r>
        <r>
          <rPr>
            <sz val="10"/>
            <color indexed="16"/>
            <rFont val="ＭＳ Ｐ明朝"/>
            <family val="1"/>
            <charset val="128"/>
          </rPr>
          <t>/</t>
        </r>
        <r>
          <rPr>
            <sz val="6"/>
            <color indexed="16"/>
            <rFont val="ＭＳ Ｐ明朝"/>
            <family val="1"/>
            <charset val="128"/>
          </rPr>
          <t xml:space="preserve"> </t>
        </r>
        <r>
          <rPr>
            <b/>
            <sz val="12"/>
            <color indexed="16"/>
            <rFont val="ＭＳ Ｐ明朝"/>
            <family val="1"/>
            <charset val="128"/>
          </rPr>
          <t>VV-F</t>
        </r>
        <r>
          <rPr>
            <b/>
            <sz val="16"/>
            <color indexed="53"/>
            <rFont val="ＭＳ 明朝"/>
            <family val="1"/>
            <charset val="128"/>
          </rPr>
          <t xml:space="preserve"> </t>
        </r>
        <r>
          <rPr>
            <b/>
            <sz val="10"/>
            <color indexed="81"/>
            <rFont val="ＭＳ 明朝"/>
            <family val="1"/>
            <charset val="128"/>
          </rPr>
          <t xml:space="preserve">
</t>
        </r>
        <r>
          <rPr>
            <b/>
            <sz val="10"/>
            <color indexed="9"/>
            <rFont val="ＭＳ 明朝"/>
            <family val="1"/>
            <charset val="128"/>
          </rPr>
          <t xml:space="preserve">            1C     2C     3C     4C</t>
        </r>
        <r>
          <rPr>
            <b/>
            <sz val="14"/>
            <color indexed="9"/>
            <rFont val="ＭＳ 明朝"/>
            <family val="1"/>
            <charset val="128"/>
          </rPr>
          <t xml:space="preserve"> </t>
        </r>
        <r>
          <rPr>
            <b/>
            <sz val="10"/>
            <color indexed="81"/>
            <rFont val="ＭＳ 明朝"/>
            <family val="1"/>
            <charset val="128"/>
          </rPr>
          <t xml:space="preserve">
</t>
        </r>
        <r>
          <rPr>
            <b/>
            <sz val="10"/>
            <color indexed="32"/>
            <rFont val="ＭＳ 明朝"/>
            <family val="1"/>
            <charset val="128"/>
          </rPr>
          <t xml:space="preserve">    2   : 0.010  0.013  0.017  0.020
    3.5 : 0.012  0.017  0.021  0.024
    5.5 : 0.016  0.021  0.026  0.030
    8   : 0.017  0.023  0.029  0.035
   14   : 0.022  0.029  0.037  0.043
   22   : 0.029  0.037  0.047  0.056
   30   : 0.032  0.043  0.054  0.064
   38   : 0.037  0.050  0.062  0.074
   50   : 0.044  0.059  0.074  0.089
   60   : 0.049  0.065  0.082  0.098
   80   : 0.057  0.075  0.094  0.113
  100   : 0.067  0.090  0.112  0.134
  125   : 0.076  0.101  0.126  0.150
  150   : 0.083  0.110  0.137  0.165
  200   : 0.102  0.136  0.170  0.204
  250   : 0.117  0.157  0.196  0.235
  325   : 0.149  0.198  0.248  0.297
 </t>
        </r>
      </text>
    </comment>
    <comment ref="G8" authorId="0">
      <text>
        <r>
          <rPr>
            <b/>
            <sz val="3"/>
            <color indexed="81"/>
            <rFont val="ＭＳ 明朝"/>
            <family val="1"/>
            <charset val="128"/>
          </rPr>
          <t xml:space="preserve">   
</t>
        </r>
        <r>
          <rPr>
            <b/>
            <sz val="10"/>
            <color indexed="16"/>
            <rFont val="ＭＳ 明朝"/>
            <family val="1"/>
            <charset val="128"/>
          </rPr>
          <t xml:space="preserve">  </t>
        </r>
        <r>
          <rPr>
            <b/>
            <sz val="12"/>
            <color indexed="16"/>
            <rFont val="ＭＳ Ｐ明朝"/>
            <family val="1"/>
            <charset val="128"/>
          </rPr>
          <t>CCP</t>
        </r>
        <r>
          <rPr>
            <sz val="6"/>
            <color indexed="16"/>
            <rFont val="ＭＳ Ｐ明朝"/>
            <family val="1"/>
            <charset val="128"/>
          </rPr>
          <t xml:space="preserve"> </t>
        </r>
        <r>
          <rPr>
            <sz val="12"/>
            <color indexed="16"/>
            <rFont val="ＭＳ Ｐ明朝"/>
            <family val="1"/>
            <charset val="128"/>
          </rPr>
          <t xml:space="preserve">/ </t>
        </r>
        <r>
          <rPr>
            <b/>
            <sz val="12"/>
            <color indexed="16"/>
            <rFont val="ＭＳ Ｐ明朝"/>
            <family val="1"/>
            <charset val="128"/>
          </rPr>
          <t xml:space="preserve">CPEV </t>
        </r>
        <r>
          <rPr>
            <sz val="12"/>
            <color indexed="16"/>
            <rFont val="ＭＳ Ｐ明朝"/>
            <family val="1"/>
            <charset val="128"/>
          </rPr>
          <t xml:space="preserve">/ </t>
        </r>
        <r>
          <rPr>
            <b/>
            <sz val="12"/>
            <color indexed="16"/>
            <rFont val="ＭＳ Ｐ明朝"/>
            <family val="1"/>
            <charset val="128"/>
          </rPr>
          <t xml:space="preserve">FCPEV </t>
        </r>
        <r>
          <rPr>
            <sz val="12"/>
            <color indexed="16"/>
            <rFont val="ＭＳ Ｐ明朝"/>
            <family val="1"/>
            <charset val="128"/>
          </rPr>
          <t xml:space="preserve">/ </t>
        </r>
        <r>
          <rPr>
            <b/>
            <sz val="12"/>
            <color indexed="16"/>
            <rFont val="ＭＳ Ｐ明朝"/>
            <family val="1"/>
            <charset val="128"/>
          </rPr>
          <t>TKEV</t>
        </r>
        <r>
          <rPr>
            <b/>
            <sz val="16"/>
            <color indexed="12"/>
            <rFont val="ＭＳ 明朝"/>
            <family val="1"/>
            <charset val="128"/>
          </rPr>
          <t xml:space="preserve"> </t>
        </r>
        <r>
          <rPr>
            <b/>
            <sz val="10"/>
            <color indexed="81"/>
            <rFont val="ＭＳ 明朝"/>
            <family val="1"/>
            <charset val="128"/>
          </rPr>
          <t xml:space="preserve">
</t>
        </r>
        <r>
          <rPr>
            <b/>
            <sz val="14"/>
            <color indexed="9"/>
            <rFont val="ＭＳ Ｐゴシック"/>
            <family val="3"/>
            <charset val="128"/>
          </rPr>
          <t xml:space="preserve">     </t>
        </r>
        <r>
          <rPr>
            <b/>
            <sz val="10"/>
            <color indexed="9"/>
            <rFont val="ＭＳ Ｐゴシック"/>
            <family val="3"/>
            <charset val="128"/>
          </rPr>
          <t xml:space="preserve">        0.5mm    0.9mm    1.2mm
             (0.65mm</t>
        </r>
        <r>
          <rPr>
            <sz val="10"/>
            <color indexed="9"/>
            <rFont val="ＭＳ Ｐゴシック"/>
            <family val="3"/>
            <charset val="128"/>
          </rPr>
          <t>)</t>
        </r>
        <r>
          <rPr>
            <b/>
            <sz val="10"/>
            <color indexed="10"/>
            <rFont val="ＭＳ 明朝"/>
            <family val="1"/>
            <charset val="128"/>
          </rPr>
          <t xml:space="preserve">
</t>
        </r>
        <r>
          <rPr>
            <b/>
            <sz val="10"/>
            <color indexed="32"/>
            <rFont val="ＭＳ 明朝"/>
            <family val="1"/>
            <charset val="128"/>
          </rPr>
          <t xml:space="preserve">    5</t>
        </r>
        <r>
          <rPr>
            <sz val="10"/>
            <color indexed="32"/>
            <rFont val="ＭＳ 明朝"/>
            <family val="1"/>
            <charset val="128"/>
          </rPr>
          <t>Pr</t>
        </r>
        <r>
          <rPr>
            <b/>
            <sz val="10"/>
            <color indexed="32"/>
            <rFont val="ＭＳ 明朝"/>
            <family val="1"/>
            <charset val="128"/>
          </rPr>
          <t xml:space="preserve">  0.017   0.022   0.027</t>
        </r>
        <r>
          <rPr>
            <b/>
            <sz val="14"/>
            <color indexed="32"/>
            <rFont val="ＭＳ 明朝"/>
            <family val="1"/>
            <charset val="128"/>
          </rPr>
          <t xml:space="preserve"> </t>
        </r>
        <r>
          <rPr>
            <b/>
            <sz val="10"/>
            <color indexed="32"/>
            <rFont val="ＭＳ 明朝"/>
            <family val="1"/>
            <charset val="128"/>
          </rPr>
          <t xml:space="preserve">
   10</t>
        </r>
        <r>
          <rPr>
            <sz val="10"/>
            <color indexed="32"/>
            <rFont val="ＭＳ 明朝"/>
            <family val="1"/>
            <charset val="128"/>
          </rPr>
          <t>Pr</t>
        </r>
        <r>
          <rPr>
            <b/>
            <sz val="10"/>
            <color indexed="32"/>
            <rFont val="ＭＳ 明朝"/>
            <family val="1"/>
            <charset val="128"/>
          </rPr>
          <t xml:space="preserve">  0.020   0.025   0.031
   15</t>
        </r>
        <r>
          <rPr>
            <sz val="10"/>
            <color indexed="32"/>
            <rFont val="ＭＳ 明朝"/>
            <family val="1"/>
            <charset val="128"/>
          </rPr>
          <t>Pr</t>
        </r>
        <r>
          <rPr>
            <b/>
            <sz val="10"/>
            <color indexed="32"/>
            <rFont val="ＭＳ 明朝"/>
            <family val="1"/>
            <charset val="128"/>
          </rPr>
          <t xml:space="preserve">  0.022   0.028   0.034
   20</t>
        </r>
        <r>
          <rPr>
            <sz val="10"/>
            <color indexed="32"/>
            <rFont val="ＭＳ 明朝"/>
            <family val="1"/>
            <charset val="128"/>
          </rPr>
          <t>Pr</t>
        </r>
        <r>
          <rPr>
            <b/>
            <sz val="10"/>
            <color indexed="32"/>
            <rFont val="ＭＳ 明朝"/>
            <family val="1"/>
            <charset val="128"/>
          </rPr>
          <t xml:space="preserve">  0.024   0.031   0.039
   25</t>
        </r>
        <r>
          <rPr>
            <sz val="10"/>
            <color indexed="32"/>
            <rFont val="ＭＳ 明朝"/>
            <family val="1"/>
            <charset val="128"/>
          </rPr>
          <t>Pr</t>
        </r>
        <r>
          <rPr>
            <b/>
            <sz val="10"/>
            <color indexed="32"/>
            <rFont val="ＭＳ 明朝"/>
            <family val="1"/>
            <charset val="128"/>
          </rPr>
          <t xml:space="preserve">  0.027   0.035   0.043
   30</t>
        </r>
        <r>
          <rPr>
            <sz val="10"/>
            <color indexed="32"/>
            <rFont val="ＭＳ 明朝"/>
            <family val="1"/>
            <charset val="128"/>
          </rPr>
          <t>Pr</t>
        </r>
        <r>
          <rPr>
            <b/>
            <sz val="10"/>
            <color indexed="32"/>
            <rFont val="ＭＳ 明朝"/>
            <family val="1"/>
            <charset val="128"/>
          </rPr>
          <t xml:space="preserve">  0.029   0.037   0.046
   50</t>
        </r>
        <r>
          <rPr>
            <sz val="10"/>
            <color indexed="32"/>
            <rFont val="ＭＳ 明朝"/>
            <family val="1"/>
            <charset val="128"/>
          </rPr>
          <t>Pr</t>
        </r>
        <r>
          <rPr>
            <b/>
            <sz val="10"/>
            <color indexed="32"/>
            <rFont val="ＭＳ 明朝"/>
            <family val="1"/>
            <charset val="128"/>
          </rPr>
          <t xml:space="preserve">  0.039   0.050   0.062
  100</t>
        </r>
        <r>
          <rPr>
            <sz val="10"/>
            <color indexed="32"/>
            <rFont val="ＭＳ 明朝"/>
            <family val="1"/>
            <charset val="128"/>
          </rPr>
          <t>Pr</t>
        </r>
        <r>
          <rPr>
            <b/>
            <sz val="10"/>
            <color indexed="32"/>
            <rFont val="ＭＳ 明朝"/>
            <family val="1"/>
            <charset val="128"/>
          </rPr>
          <t xml:space="preserve">  0.064   0.083   0.103
  150</t>
        </r>
        <r>
          <rPr>
            <sz val="10"/>
            <color indexed="32"/>
            <rFont val="ＭＳ 明朝"/>
            <family val="1"/>
            <charset val="128"/>
          </rPr>
          <t>Pr</t>
        </r>
        <r>
          <rPr>
            <b/>
            <sz val="10"/>
            <color indexed="32"/>
            <rFont val="ＭＳ 明朝"/>
            <family val="1"/>
            <charset val="128"/>
          </rPr>
          <t xml:space="preserve">  0.083   0.108   0.133
  200</t>
        </r>
        <r>
          <rPr>
            <sz val="10"/>
            <color indexed="32"/>
            <rFont val="ＭＳ 明朝"/>
            <family val="1"/>
            <charset val="128"/>
          </rPr>
          <t>Pr</t>
        </r>
        <r>
          <rPr>
            <b/>
            <sz val="10"/>
            <color indexed="32"/>
            <rFont val="ＭＳ 明朝"/>
            <family val="1"/>
            <charset val="128"/>
          </rPr>
          <t xml:space="preserve">  0.095   0.123   0.151
 </t>
        </r>
      </text>
    </comment>
    <comment ref="K8" authorId="0">
      <text>
        <r>
          <rPr>
            <sz val="8"/>
            <color indexed="81"/>
            <rFont val="ＭＳ 明朝"/>
            <family val="1"/>
            <charset val="128"/>
          </rPr>
          <t xml:space="preserve">   </t>
        </r>
        <r>
          <rPr>
            <b/>
            <sz val="12"/>
            <color indexed="60"/>
            <rFont val="ＭＳ 明朝"/>
            <family val="1"/>
            <charset val="128"/>
          </rPr>
          <t>硬質ビニール電線管</t>
        </r>
        <r>
          <rPr>
            <sz val="16"/>
            <color indexed="81"/>
            <rFont val="ＭＳ 明朝"/>
            <family val="1"/>
            <charset val="128"/>
          </rPr>
          <t xml:space="preserve"> </t>
        </r>
        <r>
          <rPr>
            <sz val="11"/>
            <color indexed="81"/>
            <rFont val="ＭＳ 明朝"/>
            <family val="1"/>
            <charset val="128"/>
          </rPr>
          <t xml:space="preserve">
</t>
        </r>
        <r>
          <rPr>
            <sz val="11"/>
            <color indexed="32"/>
            <rFont val="ＭＳ 明朝"/>
            <family val="1"/>
            <charset val="128"/>
          </rPr>
          <t xml:space="preserve"> </t>
        </r>
        <r>
          <rPr>
            <b/>
            <sz val="10"/>
            <color indexed="32"/>
            <rFont val="ＭＳ 明朝"/>
            <family val="1"/>
            <charset val="128"/>
          </rPr>
          <t xml:space="preserve">    VE16 : 0.044</t>
        </r>
        <r>
          <rPr>
            <b/>
            <sz val="14"/>
            <color indexed="32"/>
            <rFont val="ＭＳ 明朝"/>
            <family val="1"/>
            <charset val="128"/>
          </rPr>
          <t xml:space="preserve"> </t>
        </r>
        <r>
          <rPr>
            <b/>
            <sz val="10"/>
            <color indexed="32"/>
            <rFont val="ＭＳ 明朝"/>
            <family val="1"/>
            <charset val="128"/>
          </rPr>
          <t xml:space="preserve">
     VE22 : 0.054
     VE28 : 0.064
     VE36 : 0.086
     VE42 : 0.108
     VE54 : 0.130
     VE70 : 0.162
     VE82 : 0.194</t>
        </r>
        <r>
          <rPr>
            <b/>
            <sz val="10"/>
            <color indexed="81"/>
            <rFont val="ＭＳ 明朝"/>
            <family val="1"/>
            <charset val="128"/>
          </rPr>
          <t xml:space="preserve">
  </t>
        </r>
      </text>
    </comment>
    <comment ref="O8" authorId="0">
      <text>
        <r>
          <rPr>
            <b/>
            <sz val="10"/>
            <color indexed="53"/>
            <rFont val="ＭＳ 明朝"/>
            <family val="1"/>
            <charset val="128"/>
          </rPr>
          <t xml:space="preserve"> </t>
        </r>
        <r>
          <rPr>
            <b/>
            <sz val="10"/>
            <color indexed="60"/>
            <rFont val="ＭＳ 明朝"/>
            <family val="1"/>
            <charset val="128"/>
          </rPr>
          <t>---</t>
        </r>
        <r>
          <rPr>
            <b/>
            <sz val="11"/>
            <color indexed="60"/>
            <rFont val="ＭＳ 明朝"/>
            <family val="1"/>
            <charset val="128"/>
          </rPr>
          <t>第２種金属線ぴ</t>
        </r>
        <r>
          <rPr>
            <sz val="11"/>
            <color indexed="60"/>
            <rFont val="ＭＳ 明朝"/>
            <family val="1"/>
            <charset val="128"/>
          </rPr>
          <t>---</t>
        </r>
        <r>
          <rPr>
            <sz val="16"/>
            <color indexed="12"/>
            <rFont val="ＭＳ 明朝"/>
            <family val="1"/>
            <charset val="128"/>
          </rPr>
          <t xml:space="preserve"> </t>
        </r>
        <r>
          <rPr>
            <sz val="14"/>
            <color indexed="12"/>
            <rFont val="ＭＳ 明朝"/>
            <family val="1"/>
            <charset val="128"/>
          </rPr>
          <t xml:space="preserve"> </t>
        </r>
        <r>
          <rPr>
            <sz val="11"/>
            <color indexed="12"/>
            <rFont val="ＭＳ 明朝"/>
            <family val="1"/>
            <charset val="128"/>
          </rPr>
          <t xml:space="preserve">
</t>
        </r>
        <r>
          <rPr>
            <b/>
            <sz val="10"/>
            <color indexed="32"/>
            <rFont val="ＭＳ 明朝"/>
            <family val="1"/>
            <charset val="128"/>
          </rPr>
          <t xml:space="preserve">    40×30</t>
        </r>
        <r>
          <rPr>
            <sz val="10"/>
            <color indexed="32"/>
            <rFont val="ＭＳ 明朝"/>
            <family val="1"/>
            <charset val="128"/>
          </rPr>
          <t>mm</t>
        </r>
        <r>
          <rPr>
            <b/>
            <sz val="10"/>
            <color indexed="32"/>
            <rFont val="ＭＳ 明朝"/>
            <family val="1"/>
            <charset val="128"/>
          </rPr>
          <t xml:space="preserve"> : 0.09</t>
        </r>
        <r>
          <rPr>
            <b/>
            <sz val="14"/>
            <color indexed="32"/>
            <rFont val="ＭＳ 明朝"/>
            <family val="1"/>
            <charset val="128"/>
          </rPr>
          <t xml:space="preserve"> </t>
        </r>
        <r>
          <rPr>
            <b/>
            <sz val="10"/>
            <color indexed="32"/>
            <rFont val="ＭＳ 明朝"/>
            <family val="1"/>
            <charset val="128"/>
          </rPr>
          <t xml:space="preserve">
    40×40</t>
        </r>
        <r>
          <rPr>
            <sz val="10"/>
            <color indexed="32"/>
            <rFont val="ＭＳ 明朝"/>
            <family val="1"/>
            <charset val="128"/>
          </rPr>
          <t>mm</t>
        </r>
        <r>
          <rPr>
            <b/>
            <sz val="10"/>
            <color indexed="32"/>
            <rFont val="ＭＳ 明朝"/>
            <family val="1"/>
            <charset val="128"/>
          </rPr>
          <t xml:space="preserve"> : 0.11
    45×30</t>
        </r>
        <r>
          <rPr>
            <sz val="10"/>
            <color indexed="32"/>
            <rFont val="ＭＳ 明朝"/>
            <family val="1"/>
            <charset val="128"/>
          </rPr>
          <t>mm</t>
        </r>
        <r>
          <rPr>
            <b/>
            <sz val="10"/>
            <color indexed="32"/>
            <rFont val="ＭＳ 明朝"/>
            <family val="1"/>
            <charset val="128"/>
          </rPr>
          <t xml:space="preserve"> : 0.11
    45×40</t>
        </r>
        <r>
          <rPr>
            <sz val="10"/>
            <color indexed="32"/>
            <rFont val="ＭＳ 明朝"/>
            <family val="1"/>
            <charset val="128"/>
          </rPr>
          <t>mm</t>
        </r>
        <r>
          <rPr>
            <b/>
            <sz val="10"/>
            <color indexed="32"/>
            <rFont val="ＭＳ 明朝"/>
            <family val="1"/>
            <charset val="128"/>
          </rPr>
          <t xml:space="preserve"> : 0.12
    45×45</t>
        </r>
        <r>
          <rPr>
            <sz val="10"/>
            <color indexed="32"/>
            <rFont val="ＭＳ 明朝"/>
            <family val="1"/>
            <charset val="128"/>
          </rPr>
          <t>mm</t>
        </r>
        <r>
          <rPr>
            <b/>
            <sz val="10"/>
            <color indexed="32"/>
            <rFont val="ＭＳ 明朝"/>
            <family val="1"/>
            <charset val="128"/>
          </rPr>
          <t xml:space="preserve"> : 0.13</t>
        </r>
        <r>
          <rPr>
            <b/>
            <sz val="11"/>
            <color indexed="32"/>
            <rFont val="ＭＳ 明朝"/>
            <family val="1"/>
            <charset val="128"/>
          </rPr>
          <t xml:space="preserve">
</t>
        </r>
        <r>
          <rPr>
            <sz val="11"/>
            <color indexed="9"/>
            <rFont val="ＭＳ 明朝"/>
            <family val="1"/>
            <charset val="128"/>
          </rPr>
          <t xml:space="preserve"> </t>
        </r>
        <r>
          <rPr>
            <sz val="11"/>
            <color indexed="16"/>
            <rFont val="ＭＳ 明朝"/>
            <family val="1"/>
            <charset val="128"/>
          </rPr>
          <t>---</t>
        </r>
        <r>
          <rPr>
            <b/>
            <sz val="11"/>
            <color indexed="16"/>
            <rFont val="ＭＳ 明朝"/>
            <family val="1"/>
            <charset val="128"/>
          </rPr>
          <t>第１種金属線ぴ</t>
        </r>
        <r>
          <rPr>
            <sz val="11"/>
            <color indexed="16"/>
            <rFont val="ＭＳ 明朝"/>
            <family val="1"/>
            <charset val="128"/>
          </rPr>
          <t>---</t>
        </r>
        <r>
          <rPr>
            <sz val="14"/>
            <color indexed="32"/>
            <rFont val="ＭＳ 明朝"/>
            <family val="1"/>
            <charset val="128"/>
          </rPr>
          <t>　</t>
        </r>
        <r>
          <rPr>
            <sz val="11"/>
            <color indexed="32"/>
            <rFont val="ＭＳ 明朝"/>
            <family val="1"/>
            <charset val="128"/>
          </rPr>
          <t xml:space="preserve"> </t>
        </r>
        <r>
          <rPr>
            <b/>
            <sz val="11"/>
            <color indexed="32"/>
            <rFont val="ＭＳ 明朝"/>
            <family val="1"/>
            <charset val="128"/>
          </rPr>
          <t xml:space="preserve">
</t>
        </r>
        <r>
          <rPr>
            <b/>
            <sz val="10"/>
            <color indexed="32"/>
            <rFont val="ＭＳ 明朝"/>
            <family val="1"/>
            <charset val="128"/>
          </rPr>
          <t xml:space="preserve">   25.4×12.5</t>
        </r>
        <r>
          <rPr>
            <sz val="10"/>
            <color indexed="32"/>
            <rFont val="ＭＳ 明朝"/>
            <family val="1"/>
            <charset val="128"/>
          </rPr>
          <t xml:space="preserve">mm </t>
        </r>
        <r>
          <rPr>
            <b/>
            <sz val="10"/>
            <color indexed="32"/>
            <rFont val="ＭＳ 明朝"/>
            <family val="1"/>
            <charset val="128"/>
          </rPr>
          <t>:</t>
        </r>
        <r>
          <rPr>
            <sz val="10"/>
            <color indexed="32"/>
            <rFont val="ＭＳ 明朝"/>
            <family val="1"/>
            <charset val="128"/>
          </rPr>
          <t xml:space="preserve"> </t>
        </r>
        <r>
          <rPr>
            <b/>
            <sz val="10"/>
            <color indexed="32"/>
            <rFont val="ＭＳ 明朝"/>
            <family val="1"/>
            <charset val="128"/>
          </rPr>
          <t>0.07</t>
        </r>
        <r>
          <rPr>
            <b/>
            <sz val="14"/>
            <color indexed="32"/>
            <rFont val="ＭＳ 明朝"/>
            <family val="1"/>
            <charset val="128"/>
          </rPr>
          <t xml:space="preserve"> </t>
        </r>
        <r>
          <rPr>
            <b/>
            <sz val="10"/>
            <color indexed="32"/>
            <rFont val="ＭＳ 明朝"/>
            <family val="1"/>
            <charset val="128"/>
          </rPr>
          <t xml:space="preserve">
   40  ×20  </t>
        </r>
        <r>
          <rPr>
            <sz val="10"/>
            <color indexed="32"/>
            <rFont val="ＭＳ 明朝"/>
            <family val="1"/>
            <charset val="128"/>
          </rPr>
          <t xml:space="preserve">mm </t>
        </r>
        <r>
          <rPr>
            <b/>
            <sz val="10"/>
            <color indexed="32"/>
            <rFont val="ＭＳ 明朝"/>
            <family val="1"/>
            <charset val="128"/>
          </rPr>
          <t>:</t>
        </r>
        <r>
          <rPr>
            <sz val="10"/>
            <color indexed="32"/>
            <rFont val="ＭＳ 明朝"/>
            <family val="1"/>
            <charset val="128"/>
          </rPr>
          <t xml:space="preserve"> </t>
        </r>
        <r>
          <rPr>
            <b/>
            <sz val="10"/>
            <color indexed="32"/>
            <rFont val="ＭＳ 明朝"/>
            <family val="1"/>
            <charset val="128"/>
          </rPr>
          <t>0.08</t>
        </r>
        <r>
          <rPr>
            <b/>
            <sz val="11"/>
            <color indexed="32"/>
            <rFont val="ＭＳ 明朝"/>
            <family val="1"/>
            <charset val="128"/>
          </rPr>
          <t xml:space="preserve">
</t>
        </r>
        <r>
          <rPr>
            <sz val="11"/>
            <color indexed="9"/>
            <rFont val="ＭＳ 明朝"/>
            <family val="1"/>
            <charset val="128"/>
          </rPr>
          <t xml:space="preserve"> </t>
        </r>
        <r>
          <rPr>
            <sz val="11"/>
            <color indexed="16"/>
            <rFont val="ＭＳ 明朝"/>
            <family val="1"/>
            <charset val="128"/>
          </rPr>
          <t>----</t>
        </r>
        <r>
          <rPr>
            <b/>
            <sz val="11"/>
            <color indexed="16"/>
            <rFont val="ＭＳ 明朝"/>
            <family val="1"/>
            <charset val="128"/>
          </rPr>
          <t>合成樹脂線ぴ</t>
        </r>
        <r>
          <rPr>
            <sz val="11"/>
            <color indexed="16"/>
            <rFont val="ＭＳ 明朝"/>
            <family val="1"/>
            <charset val="128"/>
          </rPr>
          <t>----</t>
        </r>
        <r>
          <rPr>
            <sz val="14"/>
            <color indexed="32"/>
            <rFont val="ＭＳ 明朝"/>
            <family val="1"/>
            <charset val="128"/>
          </rPr>
          <t xml:space="preserve"> </t>
        </r>
        <r>
          <rPr>
            <sz val="11"/>
            <color indexed="32"/>
            <rFont val="ＭＳ 明朝"/>
            <family val="1"/>
            <charset val="128"/>
          </rPr>
          <t xml:space="preserve">
</t>
        </r>
        <r>
          <rPr>
            <b/>
            <sz val="10"/>
            <color indexed="32"/>
            <rFont val="ＭＳ 明朝"/>
            <family val="1"/>
            <charset val="128"/>
          </rPr>
          <t xml:space="preserve">    25×18</t>
        </r>
        <r>
          <rPr>
            <sz val="10"/>
            <color indexed="32"/>
            <rFont val="ＭＳ 明朝"/>
            <family val="1"/>
            <charset val="128"/>
          </rPr>
          <t>mm</t>
        </r>
        <r>
          <rPr>
            <b/>
            <sz val="10"/>
            <color indexed="32"/>
            <rFont val="ＭＳ 明朝"/>
            <family val="1"/>
            <charset val="128"/>
          </rPr>
          <t xml:space="preserve"> : 0.07</t>
        </r>
        <r>
          <rPr>
            <b/>
            <sz val="14"/>
            <color indexed="32"/>
            <rFont val="ＭＳ 明朝"/>
            <family val="1"/>
            <charset val="128"/>
          </rPr>
          <t xml:space="preserve"> </t>
        </r>
        <r>
          <rPr>
            <b/>
            <sz val="10"/>
            <color indexed="32"/>
            <rFont val="ＭＳ 明朝"/>
            <family val="1"/>
            <charset val="128"/>
          </rPr>
          <t xml:space="preserve">
    35×18</t>
        </r>
        <r>
          <rPr>
            <sz val="10"/>
            <color indexed="32"/>
            <rFont val="ＭＳ 明朝"/>
            <family val="1"/>
            <charset val="128"/>
          </rPr>
          <t>mm</t>
        </r>
        <r>
          <rPr>
            <b/>
            <sz val="10"/>
            <color indexed="32"/>
            <rFont val="ＭＳ 明朝"/>
            <family val="1"/>
            <charset val="128"/>
          </rPr>
          <t xml:space="preserve"> : 0.08
    60×18</t>
        </r>
        <r>
          <rPr>
            <sz val="10"/>
            <color indexed="32"/>
            <rFont val="ＭＳ 明朝"/>
            <family val="1"/>
            <charset val="128"/>
          </rPr>
          <t>mm</t>
        </r>
        <r>
          <rPr>
            <b/>
            <sz val="10"/>
            <color indexed="32"/>
            <rFont val="ＭＳ 明朝"/>
            <family val="1"/>
            <charset val="128"/>
          </rPr>
          <t xml:space="preserve"> : 0.09</t>
        </r>
        <r>
          <rPr>
            <b/>
            <sz val="11"/>
            <color indexed="32"/>
            <rFont val="ＭＳ 明朝"/>
            <family val="1"/>
            <charset val="128"/>
          </rPr>
          <t xml:space="preserve">
</t>
        </r>
        <r>
          <rPr>
            <sz val="11"/>
            <color indexed="32"/>
            <rFont val="ＭＳ 明朝"/>
            <family val="1"/>
            <charset val="128"/>
          </rPr>
          <t xml:space="preserve"> </t>
        </r>
        <r>
          <rPr>
            <sz val="11"/>
            <color indexed="16"/>
            <rFont val="ＭＳ Ｐゴシック"/>
            <family val="3"/>
            <charset val="128"/>
          </rPr>
          <t>----</t>
        </r>
        <r>
          <rPr>
            <b/>
            <sz val="11"/>
            <color indexed="16"/>
            <rFont val="ＭＳ Ｐ明朝"/>
            <family val="1"/>
            <charset val="128"/>
          </rPr>
          <t>ワイャプロテクタ</t>
        </r>
        <r>
          <rPr>
            <sz val="11"/>
            <color indexed="16"/>
            <rFont val="ＭＳ Ｐゴシック"/>
            <family val="3"/>
            <charset val="128"/>
          </rPr>
          <t>----</t>
        </r>
        <r>
          <rPr>
            <sz val="14"/>
            <color indexed="32"/>
            <rFont val="ＭＳ 明朝"/>
            <family val="1"/>
            <charset val="128"/>
          </rPr>
          <t xml:space="preserve"> </t>
        </r>
        <r>
          <rPr>
            <b/>
            <sz val="11"/>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 0.05</t>
        </r>
        <r>
          <rPr>
            <b/>
            <sz val="12"/>
            <color indexed="32"/>
            <rFont val="ＭＳ 明朝"/>
            <family val="1"/>
            <charset val="128"/>
          </rPr>
          <t xml:space="preserve"> </t>
        </r>
      </text>
    </comment>
    <comment ref="S8" authorId="0">
      <text>
        <r>
          <rPr>
            <sz val="11"/>
            <color indexed="81"/>
            <rFont val="ＭＳ 明朝"/>
            <family val="1"/>
            <charset val="128"/>
          </rPr>
          <t xml:space="preserve">        </t>
        </r>
        <r>
          <rPr>
            <b/>
            <sz val="12"/>
            <color indexed="60"/>
            <rFont val="ＭＳ 明朝"/>
            <family val="1"/>
            <charset val="128"/>
          </rPr>
          <t>変　圧　器</t>
        </r>
        <r>
          <rPr>
            <sz val="16"/>
            <color indexed="81"/>
            <rFont val="ＭＳ 明朝"/>
            <family val="1"/>
            <charset val="128"/>
          </rPr>
          <t xml:space="preserve"> </t>
        </r>
        <r>
          <rPr>
            <sz val="11"/>
            <color indexed="81"/>
            <rFont val="ＭＳ 明朝"/>
            <family val="1"/>
            <charset val="128"/>
          </rPr>
          <t xml:space="preserve"> </t>
        </r>
        <r>
          <rPr>
            <b/>
            <sz val="11"/>
            <color indexed="81"/>
            <rFont val="ＭＳ 明朝"/>
            <family val="1"/>
            <charset val="128"/>
          </rPr>
          <t xml:space="preserve">
           </t>
        </r>
        <r>
          <rPr>
            <sz val="10"/>
            <color indexed="9"/>
            <rFont val="ＭＳ Ｐ明朝"/>
            <family val="1"/>
            <charset val="128"/>
          </rPr>
          <t>電 工 普通作業員</t>
        </r>
        <r>
          <rPr>
            <b/>
            <sz val="11"/>
            <color indexed="81"/>
            <rFont val="ＭＳ 明朝"/>
            <family val="1"/>
            <charset val="128"/>
          </rPr>
          <t xml:space="preserve">
</t>
        </r>
        <r>
          <rPr>
            <sz val="10"/>
            <color indexed="53"/>
            <rFont val="ＭＳ 明朝"/>
            <family val="1"/>
            <charset val="128"/>
          </rPr>
          <t>　</t>
        </r>
        <r>
          <rPr>
            <sz val="10"/>
            <color indexed="9"/>
            <rFont val="Meiryo UI"/>
            <family val="3"/>
            <charset val="128"/>
          </rPr>
          <t>(6KV／3KV 単相)</t>
        </r>
        <r>
          <rPr>
            <sz val="10"/>
            <color indexed="12"/>
            <rFont val="ＭＳ 明朝"/>
            <family val="1"/>
            <charset val="128"/>
          </rPr>
          <t xml:space="preserve">
</t>
        </r>
        <r>
          <rPr>
            <b/>
            <sz val="9"/>
            <color indexed="32"/>
            <rFont val="ＭＳ 明朝"/>
            <family val="1"/>
            <charset val="128"/>
          </rPr>
          <t xml:space="preserve">       10 </t>
        </r>
        <r>
          <rPr>
            <sz val="9"/>
            <color indexed="32"/>
            <rFont val="ＭＳ 明朝"/>
            <family val="1"/>
            <charset val="128"/>
          </rPr>
          <t>KVA</t>
        </r>
        <r>
          <rPr>
            <b/>
            <sz val="9"/>
            <color indexed="32"/>
            <rFont val="ＭＳ 明朝"/>
            <family val="1"/>
            <charset val="128"/>
          </rPr>
          <t xml:space="preserve">  0.460    0.460
       20 </t>
        </r>
        <r>
          <rPr>
            <sz val="9"/>
            <color indexed="32"/>
            <rFont val="ＭＳ 明朝"/>
            <family val="1"/>
            <charset val="128"/>
          </rPr>
          <t>KVA</t>
        </r>
        <r>
          <rPr>
            <b/>
            <sz val="9"/>
            <color indexed="32"/>
            <rFont val="ＭＳ 明朝"/>
            <family val="1"/>
            <charset val="128"/>
          </rPr>
          <t xml:space="preserve">  0.779    0.779
       30 </t>
        </r>
        <r>
          <rPr>
            <sz val="9"/>
            <color indexed="32"/>
            <rFont val="ＭＳ 明朝"/>
            <family val="1"/>
            <charset val="128"/>
          </rPr>
          <t>KVA</t>
        </r>
        <r>
          <rPr>
            <b/>
            <sz val="9"/>
            <color indexed="32"/>
            <rFont val="ＭＳ 明朝"/>
            <family val="1"/>
            <charset val="128"/>
          </rPr>
          <t xml:space="preserve">  0.823    0.823
       50 </t>
        </r>
        <r>
          <rPr>
            <sz val="9"/>
            <color indexed="32"/>
            <rFont val="ＭＳ 明朝"/>
            <family val="1"/>
            <charset val="128"/>
          </rPr>
          <t>KVA</t>
        </r>
        <r>
          <rPr>
            <b/>
            <sz val="9"/>
            <color indexed="32"/>
            <rFont val="ＭＳ 明朝"/>
            <family val="1"/>
            <charset val="128"/>
          </rPr>
          <t xml:space="preserve">  0.973    0.973
       75 </t>
        </r>
        <r>
          <rPr>
            <sz val="9"/>
            <color indexed="32"/>
            <rFont val="ＭＳ 明朝"/>
            <family val="1"/>
            <charset val="128"/>
          </rPr>
          <t>KVA</t>
        </r>
        <r>
          <rPr>
            <b/>
            <sz val="9"/>
            <color indexed="32"/>
            <rFont val="ＭＳ 明朝"/>
            <family val="1"/>
            <charset val="128"/>
          </rPr>
          <t xml:space="preserve">  1.60     1.60
      100 </t>
        </r>
        <r>
          <rPr>
            <sz val="9"/>
            <color indexed="32"/>
            <rFont val="ＭＳ 明朝"/>
            <family val="1"/>
            <charset val="128"/>
          </rPr>
          <t>KVA</t>
        </r>
        <r>
          <rPr>
            <b/>
            <sz val="9"/>
            <color indexed="32"/>
            <rFont val="ＭＳ 明朝"/>
            <family val="1"/>
            <charset val="128"/>
          </rPr>
          <t xml:space="preserve">  1.71     1.71
      150 </t>
        </r>
        <r>
          <rPr>
            <sz val="9"/>
            <color indexed="32"/>
            <rFont val="ＭＳ 明朝"/>
            <family val="1"/>
            <charset val="128"/>
          </rPr>
          <t>KVA</t>
        </r>
        <r>
          <rPr>
            <b/>
            <sz val="9"/>
            <color indexed="32"/>
            <rFont val="ＭＳ 明朝"/>
            <family val="1"/>
            <charset val="128"/>
          </rPr>
          <t xml:space="preserve">  2.12     2.50
      200 </t>
        </r>
        <r>
          <rPr>
            <sz val="9"/>
            <color indexed="32"/>
            <rFont val="ＭＳ 明朝"/>
            <family val="1"/>
            <charset val="128"/>
          </rPr>
          <t>KVA</t>
        </r>
        <r>
          <rPr>
            <b/>
            <sz val="9"/>
            <color indexed="32"/>
            <rFont val="ＭＳ 明朝"/>
            <family val="1"/>
            <charset val="128"/>
          </rPr>
          <t xml:space="preserve">  2.25     2.65
      250 </t>
        </r>
        <r>
          <rPr>
            <sz val="9"/>
            <color indexed="32"/>
            <rFont val="ＭＳ 明朝"/>
            <family val="1"/>
            <charset val="128"/>
          </rPr>
          <t>KVA</t>
        </r>
        <r>
          <rPr>
            <b/>
            <sz val="9"/>
            <color indexed="32"/>
            <rFont val="ＭＳ 明朝"/>
            <family val="1"/>
            <charset val="128"/>
          </rPr>
          <t xml:space="preserve">  2.59     2.98
      300 </t>
        </r>
        <r>
          <rPr>
            <sz val="9"/>
            <color indexed="32"/>
            <rFont val="ＭＳ 明朝"/>
            <family val="1"/>
            <charset val="128"/>
          </rPr>
          <t>KVA</t>
        </r>
        <r>
          <rPr>
            <b/>
            <sz val="9"/>
            <color indexed="32"/>
            <rFont val="ＭＳ 明朝"/>
            <family val="1"/>
            <charset val="128"/>
          </rPr>
          <t xml:space="preserve">  2.90     3.37
      400 </t>
        </r>
        <r>
          <rPr>
            <sz val="9"/>
            <color indexed="32"/>
            <rFont val="ＭＳ 明朝"/>
            <family val="1"/>
            <charset val="128"/>
          </rPr>
          <t>KVA</t>
        </r>
        <r>
          <rPr>
            <b/>
            <sz val="9"/>
            <color indexed="32"/>
            <rFont val="ＭＳ 明朝"/>
            <family val="1"/>
            <charset val="128"/>
          </rPr>
          <t xml:space="preserve">  3.41     4.29
      500 </t>
        </r>
        <r>
          <rPr>
            <sz val="9"/>
            <color indexed="32"/>
            <rFont val="ＭＳ 明朝"/>
            <family val="1"/>
            <charset val="128"/>
          </rPr>
          <t>KVA</t>
        </r>
        <r>
          <rPr>
            <b/>
            <sz val="9"/>
            <color indexed="32"/>
            <rFont val="ＭＳ 明朝"/>
            <family val="1"/>
            <charset val="128"/>
          </rPr>
          <t xml:space="preserve">  3.81     4.68
</t>
        </r>
        <r>
          <rPr>
            <sz val="9"/>
            <color indexed="32"/>
            <rFont val="ＭＳ 明朝"/>
            <family val="1"/>
            <charset val="128"/>
          </rPr>
          <t>　</t>
        </r>
        <r>
          <rPr>
            <sz val="9"/>
            <color indexed="9"/>
            <rFont val="Meiryo UI"/>
            <family val="3"/>
            <charset val="128"/>
          </rPr>
          <t>(6KV／3KV 三相)</t>
        </r>
        <r>
          <rPr>
            <sz val="14"/>
            <color indexed="9"/>
            <rFont val="Meiryo UI"/>
            <family val="3"/>
            <charset val="128"/>
          </rPr>
          <t xml:space="preserve"> </t>
        </r>
        <r>
          <rPr>
            <sz val="9"/>
            <color indexed="32"/>
            <rFont val="ＭＳ 明朝"/>
            <family val="1"/>
            <charset val="128"/>
          </rPr>
          <t xml:space="preserve">
</t>
        </r>
        <r>
          <rPr>
            <b/>
            <sz val="9"/>
            <color indexed="32"/>
            <rFont val="ＭＳ 明朝"/>
            <family val="1"/>
            <charset val="128"/>
          </rPr>
          <t xml:space="preserve">       10 </t>
        </r>
        <r>
          <rPr>
            <sz val="9"/>
            <color indexed="32"/>
            <rFont val="ＭＳ 明朝"/>
            <family val="1"/>
            <charset val="128"/>
          </rPr>
          <t>KVA</t>
        </r>
        <r>
          <rPr>
            <b/>
            <sz val="9"/>
            <color indexed="32"/>
            <rFont val="ＭＳ 明朝"/>
            <family val="1"/>
            <charset val="128"/>
          </rPr>
          <t xml:space="preserve">  0.584    0.584
       20 </t>
        </r>
        <r>
          <rPr>
            <sz val="9"/>
            <color indexed="32"/>
            <rFont val="ＭＳ 明朝"/>
            <family val="1"/>
            <charset val="128"/>
          </rPr>
          <t>KVA</t>
        </r>
        <r>
          <rPr>
            <b/>
            <sz val="9"/>
            <color indexed="32"/>
            <rFont val="ＭＳ 明朝"/>
            <family val="1"/>
            <charset val="128"/>
          </rPr>
          <t xml:space="preserve">  0.947    0.947
       30 </t>
        </r>
        <r>
          <rPr>
            <sz val="9"/>
            <color indexed="32"/>
            <rFont val="ＭＳ 明朝"/>
            <family val="1"/>
            <charset val="128"/>
          </rPr>
          <t>KVA</t>
        </r>
        <r>
          <rPr>
            <b/>
            <sz val="9"/>
            <color indexed="32"/>
            <rFont val="ＭＳ 明朝"/>
            <family val="1"/>
            <charset val="128"/>
          </rPr>
          <t xml:space="preserve">  1.04     1.04
       50 </t>
        </r>
        <r>
          <rPr>
            <sz val="9"/>
            <color indexed="32"/>
            <rFont val="ＭＳ 明朝"/>
            <family val="1"/>
            <charset val="128"/>
          </rPr>
          <t>KVA</t>
        </r>
        <r>
          <rPr>
            <b/>
            <sz val="9"/>
            <color indexed="32"/>
            <rFont val="ＭＳ 明朝"/>
            <family val="1"/>
            <charset val="128"/>
          </rPr>
          <t xml:space="preserve">  1.22     1.22
       75 </t>
        </r>
        <r>
          <rPr>
            <sz val="9"/>
            <color indexed="32"/>
            <rFont val="ＭＳ 明朝"/>
            <family val="1"/>
            <charset val="128"/>
          </rPr>
          <t>KVA</t>
        </r>
        <r>
          <rPr>
            <b/>
            <sz val="9"/>
            <color indexed="32"/>
            <rFont val="ＭＳ 明朝"/>
            <family val="1"/>
            <charset val="128"/>
          </rPr>
          <t xml:space="preserve">  1.81     1.81
      100 </t>
        </r>
        <r>
          <rPr>
            <sz val="9"/>
            <color indexed="32"/>
            <rFont val="ＭＳ 明朝"/>
            <family val="1"/>
            <charset val="128"/>
          </rPr>
          <t>KVA</t>
        </r>
        <r>
          <rPr>
            <b/>
            <sz val="9"/>
            <color indexed="32"/>
            <rFont val="ＭＳ 明朝"/>
            <family val="1"/>
            <charset val="128"/>
          </rPr>
          <t xml:space="preserve">  2.01     2.01
      150 </t>
        </r>
        <r>
          <rPr>
            <sz val="9"/>
            <color indexed="32"/>
            <rFont val="ＭＳ 明朝"/>
            <family val="1"/>
            <charset val="128"/>
          </rPr>
          <t>KVA</t>
        </r>
        <r>
          <rPr>
            <b/>
            <sz val="9"/>
            <color indexed="32"/>
            <rFont val="ＭＳ 明朝"/>
            <family val="1"/>
            <charset val="128"/>
          </rPr>
          <t xml:space="preserve">  2.47     2.84
      200 </t>
        </r>
        <r>
          <rPr>
            <sz val="9"/>
            <color indexed="32"/>
            <rFont val="ＭＳ 明朝"/>
            <family val="1"/>
            <charset val="128"/>
          </rPr>
          <t>KVA</t>
        </r>
        <r>
          <rPr>
            <b/>
            <sz val="9"/>
            <color indexed="32"/>
            <rFont val="ＭＳ 明朝"/>
            <family val="1"/>
            <charset val="128"/>
          </rPr>
          <t xml:space="preserve">  2.74     3.15
      250 </t>
        </r>
        <r>
          <rPr>
            <sz val="9"/>
            <color indexed="32"/>
            <rFont val="ＭＳ 明朝"/>
            <family val="1"/>
            <charset val="128"/>
          </rPr>
          <t>KVA</t>
        </r>
        <r>
          <rPr>
            <b/>
            <sz val="9"/>
            <color indexed="32"/>
            <rFont val="ＭＳ 明朝"/>
            <family val="1"/>
            <charset val="128"/>
          </rPr>
          <t xml:space="preserve">  3.09     3.58
      300 </t>
        </r>
        <r>
          <rPr>
            <sz val="9"/>
            <color indexed="32"/>
            <rFont val="ＭＳ 明朝"/>
            <family val="1"/>
            <charset val="128"/>
          </rPr>
          <t>KVA</t>
        </r>
        <r>
          <rPr>
            <b/>
            <sz val="9"/>
            <color indexed="32"/>
            <rFont val="ＭＳ 明朝"/>
            <family val="1"/>
            <charset val="128"/>
          </rPr>
          <t xml:space="preserve">  3.55     3.95
      400 </t>
        </r>
        <r>
          <rPr>
            <sz val="9"/>
            <color indexed="32"/>
            <rFont val="ＭＳ 明朝"/>
            <family val="1"/>
            <charset val="128"/>
          </rPr>
          <t>KVA</t>
        </r>
        <r>
          <rPr>
            <b/>
            <sz val="9"/>
            <color indexed="32"/>
            <rFont val="ＭＳ 明朝"/>
            <family val="1"/>
            <charset val="128"/>
          </rPr>
          <t xml:space="preserve">  3.89     4.79
      500 </t>
        </r>
        <r>
          <rPr>
            <sz val="9"/>
            <color indexed="32"/>
            <rFont val="ＭＳ 明朝"/>
            <family val="1"/>
            <charset val="128"/>
          </rPr>
          <t>KVA</t>
        </r>
        <r>
          <rPr>
            <b/>
            <sz val="9"/>
            <color indexed="32"/>
            <rFont val="ＭＳ 明朝"/>
            <family val="1"/>
            <charset val="128"/>
          </rPr>
          <t xml:space="preserve">  4.37     5.25</t>
        </r>
      </text>
    </comment>
    <comment ref="W8" authorId="0">
      <text>
        <r>
          <rPr>
            <b/>
            <sz val="10"/>
            <color indexed="81"/>
            <rFont val="ＭＳ 明朝"/>
            <family val="1"/>
            <charset val="128"/>
          </rPr>
          <t>　　　</t>
        </r>
        <r>
          <rPr>
            <b/>
            <sz val="12"/>
            <color indexed="60"/>
            <rFont val="ＭＳ 明朝"/>
            <family val="1"/>
            <charset val="128"/>
          </rPr>
          <t>腕　　金        保安開閉装置</t>
        </r>
        <r>
          <rPr>
            <sz val="11"/>
            <color indexed="60"/>
            <rFont val="ＭＳ 明朝"/>
            <family val="1"/>
            <charset val="128"/>
          </rPr>
          <t>(</t>
        </r>
        <r>
          <rPr>
            <sz val="11"/>
            <color indexed="60"/>
            <rFont val="ＭＳ Ｐ明朝"/>
            <family val="1"/>
            <charset val="128"/>
          </rPr>
          <t>電柱取付</t>
        </r>
        <r>
          <rPr>
            <sz val="11"/>
            <color indexed="60"/>
            <rFont val="ＭＳ 明朝"/>
            <family val="1"/>
            <charset val="128"/>
          </rPr>
          <t>)</t>
        </r>
        <r>
          <rPr>
            <sz val="16"/>
            <color indexed="53"/>
            <rFont val="ＭＳ 明朝"/>
            <family val="1"/>
            <charset val="128"/>
          </rPr>
          <t xml:space="preserve"> </t>
        </r>
        <r>
          <rPr>
            <b/>
            <sz val="14"/>
            <color indexed="53"/>
            <rFont val="ＭＳ 明朝"/>
            <family val="1"/>
            <charset val="128"/>
          </rPr>
          <t xml:space="preserve">
</t>
        </r>
        <r>
          <rPr>
            <sz val="11"/>
            <color indexed="53"/>
            <rFont val="ＭＳ 明朝"/>
            <family val="1"/>
            <charset val="128"/>
          </rPr>
          <t xml:space="preserve">            </t>
        </r>
        <r>
          <rPr>
            <sz val="10"/>
            <color indexed="9"/>
            <rFont val="ＭＳ 明朝"/>
            <family val="1"/>
            <charset val="128"/>
          </rPr>
          <t xml:space="preserve">電 工                   </t>
        </r>
        <r>
          <rPr>
            <b/>
            <sz val="10"/>
            <color indexed="9"/>
            <rFont val="ＭＳ 明朝"/>
            <family val="1"/>
            <charset val="128"/>
          </rPr>
          <t xml:space="preserve"> </t>
        </r>
        <r>
          <rPr>
            <sz val="10"/>
            <color indexed="9"/>
            <rFont val="ＭＳ 明朝"/>
            <family val="1"/>
            <charset val="128"/>
          </rPr>
          <t xml:space="preserve">電 工  </t>
        </r>
        <r>
          <rPr>
            <sz val="10"/>
            <color indexed="9"/>
            <rFont val="ＭＳ Ｐ明朝"/>
            <family val="1"/>
            <charset val="128"/>
          </rPr>
          <t xml:space="preserve"> </t>
        </r>
        <r>
          <rPr>
            <sz val="10"/>
            <color indexed="9"/>
            <rFont val="ＭＳ 明朝"/>
            <family val="1"/>
            <charset val="128"/>
          </rPr>
          <t>普通作業員</t>
        </r>
        <r>
          <rPr>
            <b/>
            <sz val="14"/>
            <color indexed="53"/>
            <rFont val="ＭＳ 明朝"/>
            <family val="1"/>
            <charset val="128"/>
          </rPr>
          <t xml:space="preserve">
</t>
        </r>
        <r>
          <rPr>
            <b/>
            <sz val="10"/>
            <color indexed="32"/>
            <rFont val="ＭＳ 明朝"/>
            <family val="1"/>
            <charset val="128"/>
          </rPr>
          <t xml:space="preserve">   900 </t>
        </r>
        <r>
          <rPr>
            <sz val="10"/>
            <color indexed="32"/>
            <rFont val="ＭＳ 明朝"/>
            <family val="1"/>
            <charset val="128"/>
          </rPr>
          <t>mm</t>
        </r>
        <r>
          <rPr>
            <b/>
            <sz val="10"/>
            <color indexed="32"/>
            <rFont val="ＭＳ 明朝"/>
            <family val="1"/>
            <charset val="128"/>
          </rPr>
          <t xml:space="preserve">   0.130</t>
        </r>
        <r>
          <rPr>
            <sz val="10"/>
            <color indexed="32"/>
            <rFont val="ＭＳ 明朝"/>
            <family val="1"/>
            <charset val="128"/>
          </rPr>
          <t>　　</t>
        </r>
        <r>
          <rPr>
            <sz val="10"/>
            <color indexed="9"/>
            <rFont val="Meiryo UI"/>
            <family val="3"/>
            <charset val="128"/>
          </rPr>
          <t>高圧気中開閉器</t>
        </r>
        <r>
          <rPr>
            <b/>
            <sz val="10"/>
            <color indexed="32"/>
            <rFont val="ＭＳ 明朝"/>
            <family val="1"/>
            <charset val="128"/>
          </rPr>
          <t xml:space="preserve">
  1200 </t>
        </r>
        <r>
          <rPr>
            <sz val="10"/>
            <color indexed="32"/>
            <rFont val="ＭＳ 明朝"/>
            <family val="1"/>
            <charset val="128"/>
          </rPr>
          <t>mm</t>
        </r>
        <r>
          <rPr>
            <b/>
            <sz val="10"/>
            <color indexed="32"/>
            <rFont val="ＭＳ 明朝"/>
            <family val="1"/>
            <charset val="128"/>
          </rPr>
          <t xml:space="preserve">   0.174</t>
        </r>
        <r>
          <rPr>
            <sz val="10"/>
            <color indexed="32"/>
            <rFont val="ＭＳ 明朝"/>
            <family val="1"/>
            <charset val="128"/>
          </rPr>
          <t xml:space="preserve">　 　    </t>
        </r>
        <r>
          <rPr>
            <b/>
            <sz val="10"/>
            <color indexed="32"/>
            <rFont val="ＭＳ 明朝"/>
            <family val="1"/>
            <charset val="128"/>
          </rPr>
          <t xml:space="preserve">3P-100A : 0.966   0.483
  1500 </t>
        </r>
        <r>
          <rPr>
            <sz val="10"/>
            <color indexed="32"/>
            <rFont val="ＭＳ 明朝"/>
            <family val="1"/>
            <charset val="128"/>
          </rPr>
          <t>mm</t>
        </r>
        <r>
          <rPr>
            <b/>
            <sz val="10"/>
            <color indexed="32"/>
            <rFont val="ＭＳ 明朝"/>
            <family val="1"/>
            <charset val="128"/>
          </rPr>
          <t xml:space="preserve">   0.209</t>
        </r>
        <r>
          <rPr>
            <sz val="10"/>
            <color indexed="32"/>
            <rFont val="ＭＳ 明朝"/>
            <family val="1"/>
            <charset val="128"/>
          </rPr>
          <t xml:space="preserve">　　     </t>
        </r>
        <r>
          <rPr>
            <b/>
            <sz val="10"/>
            <color indexed="32"/>
            <rFont val="ＭＳ 明朝"/>
            <family val="1"/>
            <charset val="128"/>
          </rPr>
          <t xml:space="preserve">3P-200A : 1.15    0.576
  1800 </t>
        </r>
        <r>
          <rPr>
            <sz val="10"/>
            <color indexed="32"/>
            <rFont val="ＭＳ 明朝"/>
            <family val="1"/>
            <charset val="128"/>
          </rPr>
          <t>mm</t>
        </r>
        <r>
          <rPr>
            <b/>
            <sz val="10"/>
            <color indexed="32"/>
            <rFont val="ＭＳ 明朝"/>
            <family val="1"/>
            <charset val="128"/>
          </rPr>
          <t xml:space="preserve">   0.270</t>
        </r>
        <r>
          <rPr>
            <sz val="10"/>
            <color indexed="32"/>
            <rFont val="ＭＳ 明朝"/>
            <family val="1"/>
            <charset val="128"/>
          </rPr>
          <t xml:space="preserve">         </t>
        </r>
        <r>
          <rPr>
            <b/>
            <sz val="10"/>
            <color indexed="32"/>
            <rFont val="ＭＳ 明朝"/>
            <family val="1"/>
            <charset val="128"/>
          </rPr>
          <t xml:space="preserve">3P-300A : 1.28    0.644
  2700 </t>
        </r>
        <r>
          <rPr>
            <sz val="10"/>
            <color indexed="32"/>
            <rFont val="ＭＳ 明朝"/>
            <family val="1"/>
            <charset val="128"/>
          </rPr>
          <t>mm</t>
        </r>
        <r>
          <rPr>
            <b/>
            <sz val="10"/>
            <color indexed="32"/>
            <rFont val="ＭＳ 明朝"/>
            <family val="1"/>
            <charset val="128"/>
          </rPr>
          <t xml:space="preserve">   0.461</t>
        </r>
        <r>
          <rPr>
            <sz val="8"/>
            <color indexed="32"/>
            <rFont val="ＭＳ 明朝"/>
            <family val="1"/>
            <charset val="128"/>
          </rPr>
          <t xml:space="preserve">            </t>
        </r>
        <r>
          <rPr>
            <b/>
            <sz val="10"/>
            <color indexed="32"/>
            <rFont val="ＭＳ 明朝"/>
            <family val="1"/>
            <charset val="128"/>
          </rPr>
          <t xml:space="preserve">3P-400A : 1.32    0.661
       </t>
        </r>
        <r>
          <rPr>
            <sz val="10"/>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sz val="10"/>
            <color indexed="9"/>
            <rFont val="Meiryo UI"/>
            <family val="3"/>
            <charset val="128"/>
          </rPr>
          <t>高圧気中開閉器(DGR付)</t>
        </r>
        <r>
          <rPr>
            <sz val="14"/>
            <color indexed="9"/>
            <rFont val="ＭＳ 明朝"/>
            <family val="1"/>
            <charset val="128"/>
          </rPr>
          <t xml:space="preserve"> </t>
        </r>
        <r>
          <rPr>
            <sz val="10"/>
            <color indexed="32"/>
            <rFont val="ＭＳ 明朝"/>
            <family val="1"/>
            <charset val="128"/>
          </rPr>
          <t xml:space="preserve">
  </t>
        </r>
        <r>
          <rPr>
            <sz val="10"/>
            <color indexed="81"/>
            <rFont val="ＭＳ 明朝"/>
            <family val="1"/>
            <charset val="128"/>
          </rPr>
          <t>(注)碍子取付を含む</t>
        </r>
        <r>
          <rPr>
            <sz val="10"/>
            <color indexed="32"/>
            <rFont val="ＭＳ 明朝"/>
            <family val="1"/>
            <charset val="128"/>
          </rPr>
          <t xml:space="preserve">      　</t>
        </r>
        <r>
          <rPr>
            <b/>
            <sz val="10"/>
            <color indexed="32"/>
            <rFont val="ＭＳ 明朝"/>
            <family val="1"/>
            <charset val="128"/>
          </rPr>
          <t xml:space="preserve">3P-100A : 1.11    0.555
</t>
        </r>
        <r>
          <rPr>
            <sz val="10"/>
            <color indexed="32"/>
            <rFont val="ＭＳ 明朝"/>
            <family val="1"/>
            <charset val="128"/>
          </rPr>
          <t xml:space="preserve">                            </t>
        </r>
        <r>
          <rPr>
            <b/>
            <sz val="10"/>
            <color indexed="32"/>
            <rFont val="ＭＳ 明朝"/>
            <family val="1"/>
            <charset val="128"/>
          </rPr>
          <t xml:space="preserve">3P-200A : 1.32    0.662
</t>
        </r>
        <r>
          <rPr>
            <sz val="10"/>
            <color indexed="32"/>
            <rFont val="ＭＳ 明朝"/>
            <family val="1"/>
            <charset val="128"/>
          </rPr>
          <t xml:space="preserve">  　 　　　　　 　　 　　 　</t>
        </r>
        <r>
          <rPr>
            <b/>
            <sz val="10"/>
            <color indexed="32"/>
            <rFont val="ＭＳ 明朝"/>
            <family val="1"/>
            <charset val="128"/>
          </rPr>
          <t>3P-300A : 1.48    0.740</t>
        </r>
        <r>
          <rPr>
            <sz val="10"/>
            <color indexed="32"/>
            <rFont val="ＭＳ 明朝"/>
            <family val="1"/>
            <charset val="128"/>
          </rPr>
          <t xml:space="preserve">
 　 　　　　　　　　 　　　 </t>
        </r>
        <r>
          <rPr>
            <b/>
            <sz val="10"/>
            <color indexed="32"/>
            <rFont val="ＭＳ 明朝"/>
            <family val="1"/>
            <charset val="128"/>
          </rPr>
          <t>3P-400A : 1.52    0.760</t>
        </r>
        <r>
          <rPr>
            <sz val="10"/>
            <color indexed="32"/>
            <rFont val="ＭＳ 明朝"/>
            <family val="1"/>
            <charset val="128"/>
          </rPr>
          <t xml:space="preserve">
                       </t>
        </r>
        <r>
          <rPr>
            <sz val="10"/>
            <color indexed="9"/>
            <rFont val="Meiryo UI"/>
            <family val="3"/>
            <charset val="128"/>
          </rPr>
          <t>プライマリ・カットアウト・スイッチ</t>
        </r>
        <r>
          <rPr>
            <sz val="14"/>
            <color indexed="9"/>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50A : 0.22
</t>
        </r>
        <r>
          <rPr>
            <sz val="10"/>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100A : 0.24
</t>
        </r>
        <r>
          <rPr>
            <sz val="10"/>
            <color indexed="32"/>
            <rFont val="ＭＳ 明朝"/>
            <family val="1"/>
            <charset val="128"/>
          </rPr>
          <t xml:space="preserve">　　　　　　　　　　  </t>
        </r>
        <r>
          <rPr>
            <sz val="6"/>
            <color indexed="32"/>
            <rFont val="ＭＳ 明朝"/>
            <family val="1"/>
            <charset val="128"/>
          </rPr>
          <t xml:space="preserve"> </t>
        </r>
        <r>
          <rPr>
            <sz val="10"/>
            <color indexed="9"/>
            <rFont val="Meiryo UI"/>
            <family val="3"/>
            <charset val="128"/>
          </rPr>
          <t>避雷器</t>
        </r>
        <r>
          <rPr>
            <sz val="11"/>
            <color indexed="32"/>
            <rFont val="Meiryo UI"/>
            <family val="3"/>
            <charset val="128"/>
          </rPr>
          <t xml:space="preserve">   </t>
        </r>
        <r>
          <rPr>
            <b/>
            <sz val="10"/>
            <color indexed="32"/>
            <rFont val="ＭＳ 明朝"/>
            <family val="1"/>
            <charset val="128"/>
          </rPr>
          <t>2500A : 0.22</t>
        </r>
        <r>
          <rPr>
            <b/>
            <sz val="14"/>
            <color indexed="32"/>
            <rFont val="ＭＳ 明朝"/>
            <family val="1"/>
            <charset val="128"/>
          </rPr>
          <t xml:space="preserve"> </t>
        </r>
      </text>
    </comment>
    <comment ref="AA8" authorId="0">
      <text>
        <r>
          <rPr>
            <sz val="11"/>
            <color indexed="81"/>
            <rFont val="ＭＳ 明朝"/>
            <family val="1"/>
            <charset val="128"/>
          </rPr>
          <t xml:space="preserve">      </t>
        </r>
        <r>
          <rPr>
            <b/>
            <sz val="12"/>
            <color indexed="37"/>
            <rFont val="ＭＳ 明朝"/>
            <family val="1"/>
            <charset val="128"/>
          </rPr>
          <t>テレビ共聴</t>
        </r>
        <r>
          <rPr>
            <sz val="16"/>
            <color indexed="81"/>
            <rFont val="ＭＳ 明朝"/>
            <family val="1"/>
            <charset val="128"/>
          </rPr>
          <t xml:space="preserve"> </t>
        </r>
        <r>
          <rPr>
            <b/>
            <sz val="11"/>
            <color indexed="81"/>
            <rFont val="ＭＳ 明朝"/>
            <family val="1"/>
            <charset val="128"/>
          </rPr>
          <t xml:space="preserve">
</t>
        </r>
        <r>
          <rPr>
            <sz val="10"/>
            <color indexed="32"/>
            <rFont val="ＭＳ 明朝"/>
            <family val="1"/>
            <charset val="128"/>
          </rPr>
          <t>　</t>
        </r>
        <r>
          <rPr>
            <sz val="10"/>
            <color indexed="9"/>
            <rFont val="ＭＳ 明朝"/>
            <family val="1"/>
            <charset val="128"/>
          </rPr>
          <t>アンテナ</t>
        </r>
        <r>
          <rPr>
            <sz val="14"/>
            <color indexed="9"/>
            <rFont val="ＭＳ 明朝"/>
            <family val="1"/>
            <charset val="128"/>
          </rPr>
          <t xml:space="preserve"> </t>
        </r>
        <r>
          <rPr>
            <sz val="10"/>
            <color indexed="32"/>
            <rFont val="ＭＳ 明朝"/>
            <family val="1"/>
            <charset val="128"/>
          </rPr>
          <t xml:space="preserve">
　　素　子 １段  </t>
        </r>
        <r>
          <rPr>
            <b/>
            <sz val="10"/>
            <color indexed="32"/>
            <rFont val="ＭＳ 明朝"/>
            <family val="1"/>
            <charset val="128"/>
          </rPr>
          <t>: 1.56</t>
        </r>
        <r>
          <rPr>
            <sz val="10"/>
            <color indexed="32"/>
            <rFont val="ＭＳ 明朝"/>
            <family val="1"/>
            <charset val="128"/>
          </rPr>
          <t xml:space="preserve">
　　　　　 ２段  </t>
        </r>
        <r>
          <rPr>
            <b/>
            <sz val="10"/>
            <color indexed="32"/>
            <rFont val="ＭＳ 明朝"/>
            <family val="1"/>
            <charset val="128"/>
          </rPr>
          <t>: 1.99</t>
        </r>
        <r>
          <rPr>
            <sz val="10"/>
            <color indexed="32"/>
            <rFont val="ＭＳ 明朝"/>
            <family val="1"/>
            <charset val="128"/>
          </rPr>
          <t xml:space="preserve">
　　マスト 自立  </t>
        </r>
        <r>
          <rPr>
            <b/>
            <sz val="10"/>
            <color indexed="32"/>
            <rFont val="ＭＳ 明朝"/>
            <family val="1"/>
            <charset val="128"/>
          </rPr>
          <t>: 1.41</t>
        </r>
        <r>
          <rPr>
            <sz val="10"/>
            <color indexed="32"/>
            <rFont val="ＭＳ 明朝"/>
            <family val="1"/>
            <charset val="128"/>
          </rPr>
          <t xml:space="preserve">
　　　　　 壁付  </t>
        </r>
        <r>
          <rPr>
            <b/>
            <sz val="10"/>
            <color indexed="32"/>
            <rFont val="ＭＳ 明朝"/>
            <family val="1"/>
            <charset val="128"/>
          </rPr>
          <t>: 1.94</t>
        </r>
        <r>
          <rPr>
            <sz val="10"/>
            <color indexed="32"/>
            <rFont val="ＭＳ 明朝"/>
            <family val="1"/>
            <charset val="128"/>
          </rPr>
          <t xml:space="preserve">
　</t>
        </r>
        <r>
          <rPr>
            <sz val="10"/>
            <color indexed="9"/>
            <rFont val="ＭＳ 明朝"/>
            <family val="1"/>
            <charset val="128"/>
          </rPr>
          <t>機器収容函</t>
        </r>
        <r>
          <rPr>
            <sz val="14"/>
            <color indexed="9"/>
            <rFont val="ＭＳ 明朝"/>
            <family val="1"/>
            <charset val="128"/>
          </rPr>
          <t xml:space="preserve"> </t>
        </r>
        <r>
          <rPr>
            <sz val="10"/>
            <color indexed="32"/>
            <rFont val="ＭＳ 明朝"/>
            <family val="1"/>
            <charset val="128"/>
          </rPr>
          <t xml:space="preserve">
　　　  ＴＶ－１ </t>
        </r>
        <r>
          <rPr>
            <b/>
            <sz val="10"/>
            <color indexed="32"/>
            <rFont val="ＭＳ 明朝"/>
            <family val="1"/>
            <charset val="128"/>
          </rPr>
          <t>: 0.363</t>
        </r>
        <r>
          <rPr>
            <sz val="10"/>
            <color indexed="32"/>
            <rFont val="ＭＳ 明朝"/>
            <family val="1"/>
            <charset val="128"/>
          </rPr>
          <t xml:space="preserve">
　　　  ＴＶ－２ </t>
        </r>
        <r>
          <rPr>
            <b/>
            <sz val="10"/>
            <color indexed="32"/>
            <rFont val="ＭＳ 明朝"/>
            <family val="1"/>
            <charset val="128"/>
          </rPr>
          <t xml:space="preserve">: 0.407
</t>
        </r>
        <r>
          <rPr>
            <sz val="10"/>
            <color indexed="32"/>
            <rFont val="ＭＳ 明朝"/>
            <family val="1"/>
            <charset val="128"/>
          </rPr>
          <t xml:space="preserve">　　　  ＴＶ－３ </t>
        </r>
        <r>
          <rPr>
            <b/>
            <sz val="10"/>
            <color indexed="32"/>
            <rFont val="ＭＳ 明朝"/>
            <family val="1"/>
            <charset val="128"/>
          </rPr>
          <t xml:space="preserve">: 0.504
</t>
        </r>
        <r>
          <rPr>
            <sz val="10"/>
            <color indexed="32"/>
            <rFont val="ＭＳ 明朝"/>
            <family val="1"/>
            <charset val="128"/>
          </rPr>
          <t xml:space="preserve">　　　  ＴＶ－４ </t>
        </r>
        <r>
          <rPr>
            <b/>
            <sz val="10"/>
            <color indexed="32"/>
            <rFont val="ＭＳ 明朝"/>
            <family val="1"/>
            <charset val="128"/>
          </rPr>
          <t xml:space="preserve">: 0.566
</t>
        </r>
        <r>
          <rPr>
            <sz val="10"/>
            <color indexed="32"/>
            <rFont val="ＭＳ 明朝"/>
            <family val="1"/>
            <charset val="128"/>
          </rPr>
          <t xml:space="preserve">　　　  ＴＶ－５ </t>
        </r>
        <r>
          <rPr>
            <b/>
            <sz val="10"/>
            <color indexed="32"/>
            <rFont val="ＭＳ 明朝"/>
            <family val="1"/>
            <charset val="128"/>
          </rPr>
          <t xml:space="preserve">: 0.637
</t>
        </r>
        <r>
          <rPr>
            <sz val="10"/>
            <color indexed="32"/>
            <rFont val="ＭＳ 明朝"/>
            <family val="1"/>
            <charset val="128"/>
          </rPr>
          <t>　</t>
        </r>
        <r>
          <rPr>
            <sz val="10"/>
            <color indexed="9"/>
            <rFont val="ＭＳ 明朝"/>
            <family val="1"/>
            <charset val="128"/>
          </rPr>
          <t>分岐器</t>
        </r>
        <r>
          <rPr>
            <sz val="10"/>
            <color indexed="32"/>
            <rFont val="ＭＳ 明朝"/>
            <family val="1"/>
            <charset val="128"/>
          </rPr>
          <t xml:space="preserve">  ２分岐 </t>
        </r>
        <r>
          <rPr>
            <b/>
            <sz val="10"/>
            <color indexed="32"/>
            <rFont val="ＭＳ 明朝"/>
            <family val="1"/>
            <charset val="128"/>
          </rPr>
          <t>: 0.212</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４分岐 </t>
        </r>
        <r>
          <rPr>
            <b/>
            <sz val="10"/>
            <color indexed="32"/>
            <rFont val="ＭＳ 明朝"/>
            <family val="1"/>
            <charset val="128"/>
          </rPr>
          <t xml:space="preserve">: 0.265
</t>
        </r>
        <r>
          <rPr>
            <sz val="10"/>
            <color indexed="32"/>
            <rFont val="ＭＳ 明朝"/>
            <family val="1"/>
            <charset val="128"/>
          </rPr>
          <t>　</t>
        </r>
        <r>
          <rPr>
            <sz val="10"/>
            <color indexed="9"/>
            <rFont val="ＭＳ 明朝"/>
            <family val="1"/>
            <charset val="128"/>
          </rPr>
          <t>分配器</t>
        </r>
        <r>
          <rPr>
            <sz val="10"/>
            <color indexed="32"/>
            <rFont val="ＭＳ 明朝"/>
            <family val="1"/>
            <charset val="128"/>
          </rPr>
          <t xml:space="preserve">  ２分配 </t>
        </r>
        <r>
          <rPr>
            <b/>
            <sz val="10"/>
            <color indexed="32"/>
            <rFont val="ＭＳ 明朝"/>
            <family val="1"/>
            <charset val="128"/>
          </rPr>
          <t>: 0.186</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４分配 </t>
        </r>
        <r>
          <rPr>
            <b/>
            <sz val="10"/>
            <color indexed="32"/>
            <rFont val="ＭＳ 明朝"/>
            <family val="1"/>
            <charset val="128"/>
          </rPr>
          <t xml:space="preserve">: 0.239
</t>
        </r>
        <r>
          <rPr>
            <sz val="10"/>
            <color indexed="32"/>
            <rFont val="ＭＳ 明朝"/>
            <family val="1"/>
            <charset val="128"/>
          </rPr>
          <t>　</t>
        </r>
        <r>
          <rPr>
            <sz val="10"/>
            <color indexed="9"/>
            <rFont val="ＭＳ 明朝"/>
            <family val="1"/>
            <charset val="128"/>
          </rPr>
          <t>増幅器</t>
        </r>
        <r>
          <rPr>
            <sz val="10"/>
            <color indexed="32"/>
            <rFont val="ＭＳ 明朝"/>
            <family val="1"/>
            <charset val="128"/>
          </rPr>
          <t xml:space="preserve">  　　　 </t>
        </r>
        <r>
          <rPr>
            <b/>
            <sz val="10"/>
            <color indexed="32"/>
            <rFont val="ＭＳ 明朝"/>
            <family val="1"/>
            <charset val="128"/>
          </rPr>
          <t>: 1.14</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t>
        </r>
        <r>
          <rPr>
            <sz val="10"/>
            <color indexed="9"/>
            <rFont val="ＭＳ 明朝"/>
            <family val="1"/>
            <charset val="128"/>
          </rPr>
          <t>混合器</t>
        </r>
        <r>
          <rPr>
            <sz val="10"/>
            <color indexed="32"/>
            <rFont val="ＭＳ 明朝"/>
            <family val="1"/>
            <charset val="128"/>
          </rPr>
          <t xml:space="preserve">  　　　 </t>
        </r>
        <r>
          <rPr>
            <b/>
            <sz val="10"/>
            <color indexed="32"/>
            <rFont val="ＭＳ 明朝"/>
            <family val="1"/>
            <charset val="128"/>
          </rPr>
          <t xml:space="preserve">: 0.23
</t>
        </r>
        <r>
          <rPr>
            <sz val="10"/>
            <color indexed="32"/>
            <rFont val="ＭＳ 明朝"/>
            <family val="1"/>
            <charset val="128"/>
          </rPr>
          <t>　</t>
        </r>
        <r>
          <rPr>
            <sz val="10"/>
            <color indexed="9"/>
            <rFont val="ＭＳ 明朝"/>
            <family val="1"/>
            <charset val="128"/>
          </rPr>
          <t>直列ユニット</t>
        </r>
        <r>
          <rPr>
            <sz val="14"/>
            <color indexed="9"/>
            <rFont val="ＭＳ 明朝"/>
            <family val="1"/>
            <charset val="128"/>
          </rPr>
          <t xml:space="preserve"> </t>
        </r>
        <r>
          <rPr>
            <sz val="10"/>
            <color indexed="32"/>
            <rFont val="ＭＳ 明朝"/>
            <family val="1"/>
            <charset val="128"/>
          </rPr>
          <t xml:space="preserve">
　　　　  中　間 </t>
        </r>
        <r>
          <rPr>
            <b/>
            <sz val="10"/>
            <color indexed="32"/>
            <rFont val="ＭＳ 明朝"/>
            <family val="1"/>
            <charset val="128"/>
          </rPr>
          <t>: 0.150</t>
        </r>
        <r>
          <rPr>
            <sz val="10"/>
            <color indexed="32"/>
            <rFont val="ＭＳ 明朝"/>
            <family val="1"/>
            <charset val="128"/>
          </rPr>
          <t xml:space="preserve">
　　　　  端　末 </t>
        </r>
        <r>
          <rPr>
            <b/>
            <sz val="10"/>
            <color indexed="32"/>
            <rFont val="ＭＳ 明朝"/>
            <family val="1"/>
            <charset val="128"/>
          </rPr>
          <t>: 0.133</t>
        </r>
        <r>
          <rPr>
            <b/>
            <sz val="10"/>
            <color indexed="81"/>
            <rFont val="ＭＳ 明朝"/>
            <family val="1"/>
            <charset val="128"/>
          </rPr>
          <t xml:space="preserve">
 </t>
        </r>
      </text>
    </comment>
    <comment ref="AE8" authorId="0">
      <text>
        <r>
          <rPr>
            <b/>
            <sz val="11"/>
            <color indexed="10"/>
            <rFont val="ＭＳ 明朝"/>
            <family val="1"/>
            <charset val="128"/>
          </rPr>
          <t xml:space="preserve"> </t>
        </r>
        <r>
          <rPr>
            <b/>
            <sz val="6"/>
            <color indexed="10"/>
            <rFont val="ＭＳ 明朝"/>
            <family val="1"/>
            <charset val="128"/>
          </rPr>
          <t xml:space="preserve"> </t>
        </r>
        <r>
          <rPr>
            <b/>
            <sz val="12"/>
            <color indexed="16"/>
            <rFont val="ＭＳ 明朝"/>
            <family val="1"/>
            <charset val="128"/>
          </rPr>
          <t>蛍 光 灯</t>
        </r>
        <r>
          <rPr>
            <sz val="10"/>
            <color indexed="16"/>
            <rFont val="ＭＳ 明朝"/>
            <family val="1"/>
            <charset val="128"/>
          </rPr>
          <t xml:space="preserve">　 </t>
        </r>
        <r>
          <rPr>
            <b/>
            <sz val="11"/>
            <color indexed="16"/>
            <rFont val="ＭＳ 明朝"/>
            <family val="1"/>
            <charset val="128"/>
          </rPr>
          <t>露出形</t>
        </r>
        <r>
          <rPr>
            <sz val="10"/>
            <color indexed="16"/>
            <rFont val="ＭＳ 明朝"/>
            <family val="1"/>
            <charset val="128"/>
          </rPr>
          <t>　</t>
        </r>
        <r>
          <rPr>
            <b/>
            <sz val="11"/>
            <color indexed="16"/>
            <rFont val="ＭＳ 明朝"/>
            <family val="1"/>
            <charset val="128"/>
          </rPr>
          <t>埋込形</t>
        </r>
        <r>
          <rPr>
            <sz val="9"/>
            <color indexed="16"/>
            <rFont val="ＭＳ 明朝"/>
            <family val="1"/>
            <charset val="128"/>
          </rPr>
          <t>　</t>
        </r>
        <r>
          <rPr>
            <b/>
            <sz val="11"/>
            <color indexed="16"/>
            <rFont val="ＭＳ 明朝"/>
            <family val="1"/>
            <charset val="128"/>
          </rPr>
          <t>吊下形</t>
        </r>
        <r>
          <rPr>
            <b/>
            <sz val="16"/>
            <color indexed="10"/>
            <rFont val="ＭＳ 明朝"/>
            <family val="1"/>
            <charset val="128"/>
          </rPr>
          <t xml:space="preserve"> </t>
        </r>
        <r>
          <rPr>
            <b/>
            <sz val="14"/>
            <color indexed="10"/>
            <rFont val="ＭＳ 明朝"/>
            <family val="1"/>
            <charset val="128"/>
          </rPr>
          <t xml:space="preserve"> </t>
        </r>
        <r>
          <rPr>
            <b/>
            <sz val="11"/>
            <color indexed="10"/>
            <rFont val="ＭＳ 明朝"/>
            <family val="1"/>
            <charset val="128"/>
          </rPr>
          <t xml:space="preserve">
</t>
        </r>
        <r>
          <rPr>
            <b/>
            <sz val="9"/>
            <color indexed="32"/>
            <rFont val="ＭＳ 明朝"/>
            <family val="1"/>
            <charset val="128"/>
          </rPr>
          <t>　FL  10Ｗ-1    0.113    0.174    0.139</t>
        </r>
        <r>
          <rPr>
            <b/>
            <sz val="14"/>
            <color indexed="32"/>
            <rFont val="ＭＳ 明朝"/>
            <family val="1"/>
            <charset val="128"/>
          </rPr>
          <t xml:space="preserve"> </t>
        </r>
        <r>
          <rPr>
            <b/>
            <sz val="9"/>
            <color indexed="32"/>
            <rFont val="ＭＳ 明朝"/>
            <family val="1"/>
            <charset val="128"/>
          </rPr>
          <t xml:space="preserve"> 
　FL  15Ｗ-1    0.120
　FL  20Ｗ-1    0.130    0.200    0.157
　FL  30Ｗ-1    0.139    0.209    0.165
　FL  40Ｗ-1    0.209    0.313    0.252
　FL 110Ｗ-1    0.391    0.591    0.470
</t>
        </r>
        <r>
          <rPr>
            <b/>
            <sz val="9"/>
            <color indexed="9"/>
            <rFont val="ＭＳ 明朝"/>
            <family val="1"/>
            <charset val="128"/>
          </rPr>
          <t>　FL  10Ｗ-2    0.139    0.209    0.165</t>
        </r>
        <r>
          <rPr>
            <b/>
            <sz val="14"/>
            <color indexed="9"/>
            <rFont val="ＭＳ 明朝"/>
            <family val="1"/>
            <charset val="128"/>
          </rPr>
          <t xml:space="preserve"> </t>
        </r>
        <r>
          <rPr>
            <b/>
            <sz val="9"/>
            <color indexed="9"/>
            <rFont val="ＭＳ 明朝"/>
            <family val="1"/>
            <charset val="128"/>
          </rPr>
          <t>　　
　FL  20Ｗ-2    0.165    0.252    0.200
　FL  30Ｗ-2    0.183    0.278    0.217
　FL  40Ｗ-2    0.261    0.391    0.313
　FL 110Ｗ-2    0.478    0.722    0.574</t>
        </r>
        <r>
          <rPr>
            <b/>
            <sz val="9"/>
            <color indexed="32"/>
            <rFont val="ＭＳ 明朝"/>
            <family val="1"/>
            <charset val="128"/>
          </rPr>
          <t xml:space="preserve">
　FL  10Ｗ-3    0.174    0.261    0.209</t>
        </r>
        <r>
          <rPr>
            <b/>
            <sz val="14"/>
            <color indexed="32"/>
            <rFont val="ＭＳ 明朝"/>
            <family val="1"/>
            <charset val="128"/>
          </rPr>
          <t xml:space="preserve"> </t>
        </r>
        <r>
          <rPr>
            <b/>
            <sz val="9"/>
            <color indexed="32"/>
            <rFont val="ＭＳ 明朝"/>
            <family val="1"/>
            <charset val="128"/>
          </rPr>
          <t xml:space="preserve">
　FL  20Ｗ-3    0.209    0.313    0.252
　FL  40Ｗ-3    0.339    0.513    0.409
　FL 110Ｗ-3    0.609    0.913    0.730</t>
        </r>
        <r>
          <rPr>
            <b/>
            <sz val="10"/>
            <color indexed="32"/>
            <rFont val="ＭＳ 明朝"/>
            <family val="1"/>
            <charset val="128"/>
          </rPr>
          <t xml:space="preserve">
</t>
        </r>
        <r>
          <rPr>
            <b/>
            <sz val="9"/>
            <color indexed="9"/>
            <rFont val="ＭＳ 明朝"/>
            <family val="1"/>
            <charset val="128"/>
          </rPr>
          <t>　FL  10Ｗ-4    0.243</t>
        </r>
        <r>
          <rPr>
            <b/>
            <sz val="14"/>
            <color indexed="9"/>
            <rFont val="ＭＳ 明朝"/>
            <family val="1"/>
            <charset val="128"/>
          </rPr>
          <t xml:space="preserve"> </t>
        </r>
        <r>
          <rPr>
            <b/>
            <sz val="9"/>
            <color indexed="9"/>
            <rFont val="ＭＳ 明朝"/>
            <family val="1"/>
            <charset val="128"/>
          </rPr>
          <t xml:space="preserve">
　FL  20Ｗ-4    0.304    0.461    0.365
　FL  40Ｗ-4    0.443    0.670    0.530
　FL 110Ｗ-4    0.870    1.300    1.040</t>
        </r>
        <r>
          <rPr>
            <b/>
            <sz val="9"/>
            <color indexed="32"/>
            <rFont val="ＭＳ 明朝"/>
            <family val="1"/>
            <charset val="128"/>
          </rPr>
          <t xml:space="preserve">
　FL  20Ｗ-5    0.304    0.461    0.365</t>
        </r>
        <r>
          <rPr>
            <b/>
            <sz val="14"/>
            <color indexed="32"/>
            <rFont val="ＭＳ 明朝"/>
            <family val="1"/>
            <charset val="128"/>
          </rPr>
          <t xml:space="preserve"> </t>
        </r>
        <r>
          <rPr>
            <b/>
            <sz val="9"/>
            <color indexed="32"/>
            <rFont val="ＭＳ 明朝"/>
            <family val="1"/>
            <charset val="128"/>
          </rPr>
          <t xml:space="preserve">
　FL  40Ｗ-5    0.443    0.670    0.530
　FL 110Ｗ-5    0.870    1.300    1.040
</t>
        </r>
        <r>
          <rPr>
            <b/>
            <sz val="9"/>
            <color indexed="9"/>
            <rFont val="ＭＳ 明朝"/>
            <family val="1"/>
            <charset val="128"/>
          </rPr>
          <t>　FL  20Ｗ-6    0.304    0.461    0.365</t>
        </r>
        <r>
          <rPr>
            <b/>
            <sz val="14"/>
            <color indexed="9"/>
            <rFont val="ＭＳ 明朝"/>
            <family val="1"/>
            <charset val="128"/>
          </rPr>
          <t xml:space="preserve"> </t>
        </r>
        <r>
          <rPr>
            <b/>
            <sz val="9"/>
            <color indexed="9"/>
            <rFont val="ＭＳ 明朝"/>
            <family val="1"/>
            <charset val="128"/>
          </rPr>
          <t xml:space="preserve">
　FL  40Ｗ-6    0.443    0.670    0.530
　FL 110Ｗ-6    0.870    1.300    1.040</t>
        </r>
        <r>
          <rPr>
            <b/>
            <sz val="10"/>
            <color indexed="81"/>
            <rFont val="ＭＳ 明朝"/>
            <family val="1"/>
            <charset val="128"/>
          </rPr>
          <t xml:space="preserve">　　  </t>
        </r>
      </text>
    </comment>
    <comment ref="C9" authorId="0">
      <text>
        <r>
          <rPr>
            <b/>
            <sz val="3"/>
            <color indexed="81"/>
            <rFont val="ＭＳ 明朝"/>
            <family val="1"/>
            <charset val="128"/>
          </rPr>
          <t xml:space="preserve">   
</t>
        </r>
        <r>
          <rPr>
            <b/>
            <sz val="10"/>
            <color indexed="81"/>
            <rFont val="ＭＳ 明朝"/>
            <family val="1"/>
            <charset val="128"/>
          </rPr>
          <t xml:space="preserve">  </t>
        </r>
        <r>
          <rPr>
            <b/>
            <sz val="6"/>
            <color indexed="81"/>
            <rFont val="ＭＳ 明朝"/>
            <family val="1"/>
            <charset val="128"/>
          </rPr>
          <t xml:space="preserve"> </t>
        </r>
        <r>
          <rPr>
            <b/>
            <sz val="6"/>
            <color indexed="16"/>
            <rFont val="ＭＳ 明朝"/>
            <family val="1"/>
            <charset val="128"/>
          </rPr>
          <t xml:space="preserve"> </t>
        </r>
        <r>
          <rPr>
            <b/>
            <sz val="10"/>
            <color indexed="16"/>
            <rFont val="ＭＳ Ｐ明朝"/>
            <family val="1"/>
            <charset val="128"/>
          </rPr>
          <t xml:space="preserve">3KV、6KV </t>
        </r>
        <r>
          <rPr>
            <b/>
            <sz val="12"/>
            <color indexed="16"/>
            <rFont val="ＭＳ Ｐ明朝"/>
            <family val="1"/>
            <charset val="128"/>
          </rPr>
          <t>CV</t>
        </r>
        <r>
          <rPr>
            <b/>
            <sz val="6"/>
            <color indexed="16"/>
            <rFont val="ＭＳ Ｐ明朝"/>
            <family val="1"/>
            <charset val="128"/>
          </rPr>
          <t xml:space="preserve"> </t>
        </r>
        <r>
          <rPr>
            <sz val="10"/>
            <color indexed="16"/>
            <rFont val="ＭＳ Ｐ明朝"/>
            <family val="1"/>
            <charset val="128"/>
          </rPr>
          <t>/</t>
        </r>
        <r>
          <rPr>
            <b/>
            <sz val="6"/>
            <color indexed="16"/>
            <rFont val="ＭＳ Ｐ明朝"/>
            <family val="1"/>
            <charset val="128"/>
          </rPr>
          <t xml:space="preserve"> </t>
        </r>
        <r>
          <rPr>
            <b/>
            <sz val="12"/>
            <color indexed="16"/>
            <rFont val="ＭＳ Ｐ明朝"/>
            <family val="1"/>
            <charset val="128"/>
          </rPr>
          <t>CV-T</t>
        </r>
        <r>
          <rPr>
            <b/>
            <sz val="10"/>
            <color indexed="81"/>
            <rFont val="ＭＳ 明朝"/>
            <family val="1"/>
            <charset val="128"/>
          </rPr>
          <t xml:space="preserve">
</t>
        </r>
        <r>
          <rPr>
            <b/>
            <sz val="20"/>
            <color indexed="9"/>
            <rFont val="ＭＳ 明朝"/>
            <family val="1"/>
            <charset val="128"/>
          </rPr>
          <t xml:space="preserve"> </t>
        </r>
        <r>
          <rPr>
            <b/>
            <sz val="10"/>
            <color indexed="9"/>
            <rFont val="ＭＳ 明朝"/>
            <family val="1"/>
            <charset val="128"/>
          </rPr>
          <t xml:space="preserve">   </t>
        </r>
        <r>
          <rPr>
            <b/>
            <sz val="14"/>
            <color indexed="9"/>
            <rFont val="ＭＳ 明朝"/>
            <family val="1"/>
            <charset val="128"/>
          </rPr>
          <t xml:space="preserve"> </t>
        </r>
        <r>
          <rPr>
            <b/>
            <sz val="10"/>
            <color indexed="9"/>
            <rFont val="ＭＳ 明朝"/>
            <family val="1"/>
            <charset val="128"/>
          </rPr>
          <t xml:space="preserve">    1C     CV-T</t>
        </r>
        <r>
          <rPr>
            <b/>
            <sz val="10"/>
            <color indexed="81"/>
            <rFont val="ＭＳ 明朝"/>
            <family val="1"/>
            <charset val="128"/>
          </rPr>
          <t xml:space="preserve">
</t>
        </r>
        <r>
          <rPr>
            <b/>
            <sz val="10"/>
            <color indexed="32"/>
            <rFont val="ＭＳ 明朝"/>
            <family val="1"/>
            <charset val="128"/>
          </rPr>
          <t xml:space="preserve">    8  : 0.019   0.032
   14  : 0.024   0.040
   22  : 0.031   0.052
   30  : 0.035   0.059
   38  : 0.041   0.068
   50  : 0.049   0.081
   60  : 0.054   0.090
   80  : 0.062   0.104
  100  : 0.074   0.124
  125  : 0.083   0.139
  150  : 0.091   0.151
  200  : 0.112   0.188
  250  : 0.129   0.216
  325  : 0.164   0.273</t>
        </r>
      </text>
    </comment>
    <comment ref="G9" authorId="0">
      <text>
        <r>
          <rPr>
            <b/>
            <sz val="10"/>
            <color indexed="10"/>
            <rFont val="ＭＳ 明朝"/>
            <family val="1"/>
            <charset val="128"/>
          </rPr>
          <t xml:space="preserve"> </t>
        </r>
        <r>
          <rPr>
            <b/>
            <sz val="14"/>
            <color indexed="10"/>
            <rFont val="ＭＳ 明朝"/>
            <family val="1"/>
            <charset val="128"/>
          </rPr>
          <t xml:space="preserve">   </t>
        </r>
        <r>
          <rPr>
            <b/>
            <sz val="12"/>
            <color indexed="16"/>
            <rFont val="ＭＳ Ｐ明朝"/>
            <family val="1"/>
            <charset val="128"/>
          </rPr>
          <t>TIV</t>
        </r>
        <r>
          <rPr>
            <b/>
            <sz val="12"/>
            <color indexed="16"/>
            <rFont val="ＭＳ 明朝"/>
            <family val="1"/>
            <charset val="128"/>
          </rPr>
          <t xml:space="preserve"> / </t>
        </r>
        <r>
          <rPr>
            <b/>
            <sz val="12"/>
            <color indexed="16"/>
            <rFont val="ＭＳ Ｐ明朝"/>
            <family val="1"/>
            <charset val="128"/>
          </rPr>
          <t>TIVF</t>
        </r>
        <r>
          <rPr>
            <b/>
            <sz val="16"/>
            <color indexed="12"/>
            <rFont val="ＭＳ 明朝"/>
            <family val="1"/>
            <charset val="128"/>
          </rPr>
          <t xml:space="preserve"> </t>
        </r>
        <r>
          <rPr>
            <sz val="10"/>
            <color indexed="81"/>
            <rFont val="ＭＳ 明朝"/>
            <family val="1"/>
            <charset val="128"/>
          </rPr>
          <t xml:space="preserve">
</t>
        </r>
        <r>
          <rPr>
            <b/>
            <sz val="10"/>
            <color indexed="32"/>
            <rFont val="ＭＳ 明朝"/>
            <family val="1"/>
            <charset val="128"/>
          </rPr>
          <t xml:space="preserve">  0.5 </t>
        </r>
        <r>
          <rPr>
            <sz val="10"/>
            <color indexed="32"/>
            <rFont val="ＭＳ 明朝"/>
            <family val="1"/>
            <charset val="128"/>
          </rPr>
          <t>mm</t>
        </r>
        <r>
          <rPr>
            <b/>
            <sz val="10"/>
            <color indexed="32"/>
            <rFont val="ＭＳ 明朝"/>
            <family val="1"/>
            <charset val="128"/>
          </rPr>
          <t>-2C   0.010</t>
        </r>
        <r>
          <rPr>
            <b/>
            <sz val="14"/>
            <color indexed="32"/>
            <rFont val="ＭＳ 明朝"/>
            <family val="1"/>
            <charset val="128"/>
          </rPr>
          <t xml:space="preserve"> </t>
        </r>
        <r>
          <rPr>
            <b/>
            <sz val="10"/>
            <color indexed="32"/>
            <rFont val="ＭＳ 明朝"/>
            <family val="1"/>
            <charset val="128"/>
          </rPr>
          <t xml:space="preserve">
  0.65</t>
        </r>
        <r>
          <rPr>
            <sz val="10"/>
            <color indexed="32"/>
            <rFont val="ＭＳ 明朝"/>
            <family val="1"/>
            <charset val="128"/>
          </rPr>
          <t>mm</t>
        </r>
        <r>
          <rPr>
            <b/>
            <sz val="10"/>
            <color indexed="32"/>
            <rFont val="ＭＳ 明朝"/>
            <family val="1"/>
            <charset val="128"/>
          </rPr>
          <t xml:space="preserve">-2C   0.012
  0.8 </t>
        </r>
        <r>
          <rPr>
            <sz val="10"/>
            <color indexed="32"/>
            <rFont val="ＭＳ 明朝"/>
            <family val="1"/>
            <charset val="128"/>
          </rPr>
          <t>mm</t>
        </r>
        <r>
          <rPr>
            <b/>
            <sz val="10"/>
            <color indexed="32"/>
            <rFont val="ＭＳ 明朝"/>
            <family val="1"/>
            <charset val="128"/>
          </rPr>
          <t xml:space="preserve">-2C   0.012
 </t>
        </r>
      </text>
    </comment>
    <comment ref="K9" authorId="0">
      <text>
        <r>
          <rPr>
            <sz val="11"/>
            <color indexed="81"/>
            <rFont val="ＭＳ 明朝"/>
            <family val="1"/>
            <charset val="128"/>
          </rPr>
          <t xml:space="preserve">   </t>
        </r>
        <r>
          <rPr>
            <b/>
            <sz val="12"/>
            <color indexed="60"/>
            <rFont val="ＭＳ 明朝"/>
            <family val="1"/>
            <charset val="128"/>
          </rPr>
          <t>波付硬質ＦＥＰ管</t>
        </r>
        <r>
          <rPr>
            <sz val="16"/>
            <color indexed="81"/>
            <rFont val="ＭＳ 明朝"/>
            <family val="1"/>
            <charset val="128"/>
          </rPr>
          <t xml:space="preserve"> </t>
        </r>
        <r>
          <rPr>
            <sz val="11"/>
            <color indexed="81"/>
            <rFont val="ＭＳ 明朝"/>
            <family val="1"/>
            <charset val="128"/>
          </rPr>
          <t xml:space="preserve">
</t>
        </r>
        <r>
          <rPr>
            <b/>
            <sz val="10"/>
            <color indexed="32"/>
            <rFont val="ＭＳ 明朝"/>
            <family val="1"/>
            <charset val="128"/>
          </rPr>
          <t xml:space="preserve">    FEP  30 : 0.037</t>
        </r>
        <r>
          <rPr>
            <b/>
            <sz val="14"/>
            <color indexed="32"/>
            <rFont val="ＭＳ 明朝"/>
            <family val="1"/>
            <charset val="128"/>
          </rPr>
          <t xml:space="preserve"> </t>
        </r>
        <r>
          <rPr>
            <b/>
            <sz val="10"/>
            <color indexed="32"/>
            <rFont val="ＭＳ 明朝"/>
            <family val="1"/>
            <charset val="128"/>
          </rPr>
          <t xml:space="preserve">
    FEP  40 : 0.044
    FEP  50 : 0.050
    FEP  65 : 0.057
    FEP  80 : 0.064
    FEP 100 : 0.086
    FEP 125 : 0.094
    FEP 150 : 0.103
    FEP 200 : 0.150
</t>
        </r>
        <r>
          <rPr>
            <sz val="10"/>
            <color indexed="32"/>
            <rFont val="ＭＳ 明朝"/>
            <family val="1"/>
            <charset val="128"/>
          </rPr>
          <t xml:space="preserve">  地 中 埋 設 標 </t>
        </r>
        <r>
          <rPr>
            <b/>
            <sz val="10"/>
            <color indexed="32"/>
            <rFont val="ＭＳ 明朝"/>
            <family val="1"/>
            <charset val="128"/>
          </rPr>
          <t xml:space="preserve">:0.200
</t>
        </r>
        <r>
          <rPr>
            <sz val="10"/>
            <color indexed="32"/>
            <rFont val="ＭＳ 明朝"/>
            <family val="1"/>
            <charset val="128"/>
          </rPr>
          <t xml:space="preserve">  埋設標識テープ</t>
        </r>
        <r>
          <rPr>
            <b/>
            <sz val="10"/>
            <color indexed="32"/>
            <rFont val="ＭＳ 明朝"/>
            <family val="1"/>
            <charset val="128"/>
          </rPr>
          <t xml:space="preserve"> :0.004
</t>
        </r>
        <r>
          <rPr>
            <sz val="10"/>
            <color indexed="32"/>
            <rFont val="ＭＳ 明朝"/>
            <family val="1"/>
            <charset val="128"/>
          </rPr>
          <t xml:space="preserve">  導　入　線     </t>
        </r>
        <r>
          <rPr>
            <b/>
            <sz val="10"/>
            <color indexed="32"/>
            <rFont val="ＭＳ 明朝"/>
            <family val="1"/>
            <charset val="128"/>
          </rPr>
          <t>:0.005</t>
        </r>
      </text>
    </comment>
    <comment ref="O9" authorId="0">
      <text>
        <r>
          <rPr>
            <b/>
            <sz val="10"/>
            <color indexed="81"/>
            <rFont val="ＭＳ 明朝"/>
            <family val="1"/>
            <charset val="128"/>
          </rPr>
          <t>　</t>
        </r>
        <r>
          <rPr>
            <b/>
            <sz val="10"/>
            <color indexed="60"/>
            <rFont val="ＭＳ 明朝"/>
            <family val="1"/>
            <charset val="128"/>
          </rPr>
          <t>----</t>
        </r>
        <r>
          <rPr>
            <b/>
            <sz val="11"/>
            <color indexed="60"/>
            <rFont val="ＭＳ 明朝"/>
            <family val="1"/>
            <charset val="128"/>
          </rPr>
          <t>フロァダクト</t>
        </r>
        <r>
          <rPr>
            <sz val="11"/>
            <color indexed="60"/>
            <rFont val="ＭＳ 明朝"/>
            <family val="1"/>
            <charset val="128"/>
          </rPr>
          <t>----</t>
        </r>
        <r>
          <rPr>
            <sz val="16"/>
            <color indexed="12"/>
            <rFont val="ＭＳ 明朝"/>
            <family val="1"/>
            <charset val="128"/>
          </rPr>
          <t xml:space="preserve"> </t>
        </r>
        <r>
          <rPr>
            <sz val="11"/>
            <color indexed="12"/>
            <rFont val="ＭＳ 明朝"/>
            <family val="1"/>
            <charset val="128"/>
          </rPr>
          <t xml:space="preserve">
</t>
        </r>
        <r>
          <rPr>
            <b/>
            <sz val="11"/>
            <color indexed="32"/>
            <rFont val="ＭＳ 明朝"/>
            <family val="1"/>
            <charset val="128"/>
          </rPr>
          <t xml:space="preserve">   F-5    : 0.313</t>
        </r>
        <r>
          <rPr>
            <sz val="12"/>
            <color indexed="32"/>
            <rFont val="ＭＳ 明朝"/>
            <family val="1"/>
            <charset val="128"/>
          </rPr>
          <t xml:space="preserve"> </t>
        </r>
        <r>
          <rPr>
            <b/>
            <sz val="11"/>
            <color indexed="32"/>
            <rFont val="ＭＳ 明朝"/>
            <family val="1"/>
            <charset val="128"/>
          </rPr>
          <t xml:space="preserve">
   F-7    : 0.383
   FC-6   : 0.348
   FC-8   : 0.374
</t>
        </r>
        <r>
          <rPr>
            <sz val="11"/>
            <color indexed="9"/>
            <rFont val="ＭＳ 明朝"/>
            <family val="1"/>
            <charset val="128"/>
          </rPr>
          <t xml:space="preserve">  </t>
        </r>
        <r>
          <rPr>
            <sz val="11"/>
            <color indexed="16"/>
            <rFont val="ＭＳ Ｐゴシック"/>
            <family val="3"/>
            <charset val="128"/>
          </rPr>
          <t>-</t>
        </r>
        <r>
          <rPr>
            <b/>
            <sz val="11"/>
            <color indexed="16"/>
            <rFont val="ＭＳ Ｐ明朝"/>
            <family val="1"/>
            <charset val="128"/>
          </rPr>
          <t>ジャンクション･ボックス</t>
        </r>
        <r>
          <rPr>
            <sz val="11"/>
            <color indexed="16"/>
            <rFont val="ＭＳ Ｐゴシック"/>
            <family val="3"/>
            <charset val="128"/>
          </rPr>
          <t>-</t>
        </r>
        <r>
          <rPr>
            <sz val="16"/>
            <color indexed="16"/>
            <rFont val="ＭＳ Ｐゴシック"/>
            <family val="3"/>
            <charset val="128"/>
          </rPr>
          <t xml:space="preserve"> </t>
        </r>
        <r>
          <rPr>
            <sz val="11"/>
            <color indexed="32"/>
            <rFont val="ＭＳ 明朝"/>
            <family val="1"/>
            <charset val="128"/>
          </rPr>
          <t xml:space="preserve">
</t>
        </r>
        <r>
          <rPr>
            <b/>
            <sz val="11"/>
            <color indexed="32"/>
            <rFont val="ＭＳ 明朝"/>
            <family val="1"/>
            <charset val="128"/>
          </rPr>
          <t xml:space="preserve">  1-Duct</t>
        </r>
        <r>
          <rPr>
            <sz val="11"/>
            <color indexed="32"/>
            <rFont val="ＭＳ 明朝"/>
            <family val="1"/>
            <charset val="128"/>
          </rPr>
          <t>用</t>
        </r>
        <r>
          <rPr>
            <b/>
            <sz val="11"/>
            <color indexed="32"/>
            <rFont val="ＭＳ 明朝"/>
            <family val="1"/>
            <charset val="128"/>
          </rPr>
          <t xml:space="preserve"> : 0.261</t>
        </r>
        <r>
          <rPr>
            <sz val="12"/>
            <color indexed="32"/>
            <rFont val="ＭＳ 明朝"/>
            <family val="1"/>
            <charset val="128"/>
          </rPr>
          <t xml:space="preserve"> </t>
        </r>
        <r>
          <rPr>
            <b/>
            <sz val="11"/>
            <color indexed="32"/>
            <rFont val="ＭＳ 明朝"/>
            <family val="1"/>
            <charset val="128"/>
          </rPr>
          <t xml:space="preserve">
  2-Duct</t>
        </r>
        <r>
          <rPr>
            <sz val="11"/>
            <color indexed="32"/>
            <rFont val="ＭＳ 明朝"/>
            <family val="1"/>
            <charset val="128"/>
          </rPr>
          <t>用</t>
        </r>
        <r>
          <rPr>
            <b/>
            <sz val="11"/>
            <color indexed="32"/>
            <rFont val="ＭＳ 明朝"/>
            <family val="1"/>
            <charset val="128"/>
          </rPr>
          <t xml:space="preserve"> : 0.278
  3-Duct</t>
        </r>
        <r>
          <rPr>
            <sz val="11"/>
            <color indexed="32"/>
            <rFont val="ＭＳ 明朝"/>
            <family val="1"/>
            <charset val="128"/>
          </rPr>
          <t>用</t>
        </r>
        <r>
          <rPr>
            <b/>
            <sz val="11"/>
            <color indexed="32"/>
            <rFont val="ＭＳ 明朝"/>
            <family val="1"/>
            <charset val="128"/>
          </rPr>
          <t xml:space="preserve"> : 0.296</t>
        </r>
      </text>
    </comment>
    <comment ref="S9" authorId="0">
      <text>
        <r>
          <rPr>
            <sz val="11"/>
            <color indexed="81"/>
            <rFont val="ＭＳ 明朝"/>
            <family val="1"/>
            <charset val="128"/>
          </rPr>
          <t xml:space="preserve">      </t>
        </r>
        <r>
          <rPr>
            <b/>
            <sz val="12"/>
            <color indexed="60"/>
            <rFont val="ＭＳ 明朝"/>
            <family val="1"/>
            <charset val="128"/>
          </rPr>
          <t>進相コンデンサ</t>
        </r>
        <r>
          <rPr>
            <sz val="16"/>
            <color indexed="81"/>
            <rFont val="ＭＳ 明朝"/>
            <family val="1"/>
            <charset val="128"/>
          </rPr>
          <t xml:space="preserve"> </t>
        </r>
        <r>
          <rPr>
            <b/>
            <sz val="11"/>
            <color indexed="81"/>
            <rFont val="ＭＳ 明朝"/>
            <family val="1"/>
            <charset val="128"/>
          </rPr>
          <t xml:space="preserve">
           </t>
        </r>
        <r>
          <rPr>
            <sz val="10"/>
            <color indexed="9"/>
            <rFont val="ＭＳ 明朝"/>
            <family val="1"/>
            <charset val="128"/>
          </rPr>
          <t>電 工 普通作業員</t>
        </r>
        <r>
          <rPr>
            <b/>
            <sz val="11"/>
            <color indexed="81"/>
            <rFont val="ＭＳ 明朝"/>
            <family val="1"/>
            <charset val="128"/>
          </rPr>
          <t xml:space="preserve">
</t>
        </r>
        <r>
          <rPr>
            <sz val="10"/>
            <color indexed="9"/>
            <rFont val="ＭＳ 明朝"/>
            <family val="1"/>
            <charset val="128"/>
          </rPr>
          <t>　(6KV／3KV 三相)</t>
        </r>
        <r>
          <rPr>
            <sz val="10"/>
            <color indexed="12"/>
            <rFont val="ＭＳ 明朝"/>
            <family val="1"/>
            <charset val="128"/>
          </rPr>
          <t xml:space="preserve">
</t>
        </r>
        <r>
          <rPr>
            <b/>
            <sz val="9"/>
            <color indexed="32"/>
            <rFont val="ＭＳ 明朝"/>
            <family val="1"/>
            <charset val="128"/>
          </rPr>
          <t xml:space="preserve">      10 </t>
        </r>
        <r>
          <rPr>
            <sz val="9"/>
            <color indexed="32"/>
            <rFont val="ＭＳ 明朝"/>
            <family val="1"/>
            <charset val="128"/>
          </rPr>
          <t>KVar</t>
        </r>
        <r>
          <rPr>
            <b/>
            <sz val="9"/>
            <color indexed="32"/>
            <rFont val="ＭＳ 明朝"/>
            <family val="1"/>
            <charset val="128"/>
          </rPr>
          <t xml:space="preserve">  0.248    0.248
      15 </t>
        </r>
        <r>
          <rPr>
            <sz val="9"/>
            <color indexed="32"/>
            <rFont val="ＭＳ 明朝"/>
            <family val="1"/>
            <charset val="128"/>
          </rPr>
          <t>KVar</t>
        </r>
        <r>
          <rPr>
            <b/>
            <sz val="9"/>
            <color indexed="32"/>
            <rFont val="ＭＳ 明朝"/>
            <family val="1"/>
            <charset val="128"/>
          </rPr>
          <t xml:space="preserve">  0.301    0.301
      20 </t>
        </r>
        <r>
          <rPr>
            <sz val="9"/>
            <color indexed="32"/>
            <rFont val="ＭＳ 明朝"/>
            <family val="1"/>
            <charset val="128"/>
          </rPr>
          <t>KVar</t>
        </r>
        <r>
          <rPr>
            <b/>
            <sz val="9"/>
            <color indexed="32"/>
            <rFont val="ＭＳ 明朝"/>
            <family val="1"/>
            <charset val="128"/>
          </rPr>
          <t xml:space="preserve">  0.442    0.442
      25 </t>
        </r>
        <r>
          <rPr>
            <sz val="9"/>
            <color indexed="32"/>
            <rFont val="ＭＳ 明朝"/>
            <family val="1"/>
            <charset val="128"/>
          </rPr>
          <t>KVar</t>
        </r>
        <r>
          <rPr>
            <b/>
            <sz val="9"/>
            <color indexed="32"/>
            <rFont val="ＭＳ 明朝"/>
            <family val="1"/>
            <charset val="128"/>
          </rPr>
          <t xml:space="preserve">  0.558    0.558
      30 </t>
        </r>
        <r>
          <rPr>
            <sz val="9"/>
            <color indexed="32"/>
            <rFont val="ＭＳ 明朝"/>
            <family val="1"/>
            <charset val="128"/>
          </rPr>
          <t>KVar</t>
        </r>
        <r>
          <rPr>
            <b/>
            <sz val="9"/>
            <color indexed="32"/>
            <rFont val="ＭＳ 明朝"/>
            <family val="1"/>
            <charset val="128"/>
          </rPr>
          <t xml:space="preserve">  0.575    0.575
      50 </t>
        </r>
        <r>
          <rPr>
            <sz val="9"/>
            <color indexed="32"/>
            <rFont val="ＭＳ 明朝"/>
            <family val="1"/>
            <charset val="128"/>
          </rPr>
          <t>KVar</t>
        </r>
        <r>
          <rPr>
            <b/>
            <sz val="9"/>
            <color indexed="32"/>
            <rFont val="ＭＳ 明朝"/>
            <family val="1"/>
            <charset val="128"/>
          </rPr>
          <t xml:space="preserve">  0.655    0.655
      75 </t>
        </r>
        <r>
          <rPr>
            <sz val="9"/>
            <color indexed="32"/>
            <rFont val="ＭＳ 明朝"/>
            <family val="1"/>
            <charset val="128"/>
          </rPr>
          <t>KVar</t>
        </r>
        <r>
          <rPr>
            <b/>
            <sz val="9"/>
            <color indexed="32"/>
            <rFont val="ＭＳ 明朝"/>
            <family val="1"/>
            <charset val="128"/>
          </rPr>
          <t xml:space="preserve">  1.13     1.13
     100 </t>
        </r>
        <r>
          <rPr>
            <sz val="9"/>
            <color indexed="32"/>
            <rFont val="ＭＳ 明朝"/>
            <family val="1"/>
            <charset val="128"/>
          </rPr>
          <t>KVar</t>
        </r>
        <r>
          <rPr>
            <b/>
            <sz val="9"/>
            <color indexed="32"/>
            <rFont val="ＭＳ 明朝"/>
            <family val="1"/>
            <charset val="128"/>
          </rPr>
          <t xml:space="preserve">  1.26     1.26
     150 </t>
        </r>
        <r>
          <rPr>
            <sz val="9"/>
            <color indexed="32"/>
            <rFont val="ＭＳ 明朝"/>
            <family val="1"/>
            <charset val="128"/>
          </rPr>
          <t>KVar</t>
        </r>
        <r>
          <rPr>
            <b/>
            <sz val="9"/>
            <color indexed="32"/>
            <rFont val="ＭＳ 明朝"/>
            <family val="1"/>
            <charset val="128"/>
          </rPr>
          <t xml:space="preserve">  1.59     1.59
     200</t>
        </r>
        <r>
          <rPr>
            <sz val="9"/>
            <color indexed="32"/>
            <rFont val="ＭＳ 明朝"/>
            <family val="1"/>
            <charset val="128"/>
          </rPr>
          <t xml:space="preserve"> KVar</t>
        </r>
        <r>
          <rPr>
            <b/>
            <sz val="9"/>
            <color indexed="32"/>
            <rFont val="ＭＳ 明朝"/>
            <family val="1"/>
            <charset val="128"/>
          </rPr>
          <t xml:space="preserve">  1.78     1.78
    　 </t>
        </r>
        <r>
          <rPr>
            <b/>
            <sz val="12"/>
            <color indexed="60"/>
            <rFont val="ＭＳ 明朝"/>
            <family val="1"/>
            <charset val="128"/>
          </rPr>
          <t>直列リアクトル</t>
        </r>
        <r>
          <rPr>
            <b/>
            <sz val="16"/>
            <color indexed="32"/>
            <rFont val="ＭＳ 明朝"/>
            <family val="1"/>
            <charset val="128"/>
          </rPr>
          <t>　</t>
        </r>
        <r>
          <rPr>
            <b/>
            <sz val="9"/>
            <color indexed="32"/>
            <rFont val="ＭＳ 明朝"/>
            <family val="1"/>
            <charset val="128"/>
          </rPr>
          <t xml:space="preserve">
</t>
        </r>
        <r>
          <rPr>
            <sz val="9"/>
            <color indexed="32"/>
            <rFont val="ＭＳ 明朝"/>
            <family val="1"/>
            <charset val="128"/>
          </rPr>
          <t>　</t>
        </r>
        <r>
          <rPr>
            <sz val="9"/>
            <color indexed="9"/>
            <rFont val="ＭＳ 明朝"/>
            <family val="1"/>
            <charset val="128"/>
          </rPr>
          <t>(6KV／3KV 三相)</t>
        </r>
        <r>
          <rPr>
            <sz val="9"/>
            <color indexed="32"/>
            <rFont val="ＭＳ 明朝"/>
            <family val="1"/>
            <charset val="128"/>
          </rPr>
          <t xml:space="preserve">
</t>
        </r>
        <r>
          <rPr>
            <b/>
            <sz val="9"/>
            <color indexed="32"/>
            <rFont val="ＭＳ 明朝"/>
            <family val="1"/>
            <charset val="128"/>
          </rPr>
          <t xml:space="preserve">     3   </t>
        </r>
        <r>
          <rPr>
            <sz val="9"/>
            <color indexed="32"/>
            <rFont val="ＭＳ 明朝"/>
            <family val="1"/>
            <charset val="128"/>
          </rPr>
          <t>KVar</t>
        </r>
        <r>
          <rPr>
            <b/>
            <sz val="9"/>
            <color indexed="32"/>
            <rFont val="ＭＳ 明朝"/>
            <family val="1"/>
            <charset val="128"/>
          </rPr>
          <t xml:space="preserve">  0.629    0.629
     4.5 </t>
        </r>
        <r>
          <rPr>
            <sz val="9"/>
            <color indexed="32"/>
            <rFont val="ＭＳ 明朝"/>
            <family val="1"/>
            <charset val="128"/>
          </rPr>
          <t>KVar</t>
        </r>
        <r>
          <rPr>
            <b/>
            <sz val="9"/>
            <color indexed="32"/>
            <rFont val="ＭＳ 明朝"/>
            <family val="1"/>
            <charset val="128"/>
          </rPr>
          <t xml:space="preserve">  0.682    0.682
     6   </t>
        </r>
        <r>
          <rPr>
            <sz val="9"/>
            <color indexed="32"/>
            <rFont val="ＭＳ 明朝"/>
            <family val="1"/>
            <charset val="128"/>
          </rPr>
          <t>KVar</t>
        </r>
        <r>
          <rPr>
            <b/>
            <sz val="9"/>
            <color indexed="32"/>
            <rFont val="ＭＳ 明朝"/>
            <family val="1"/>
            <charset val="128"/>
          </rPr>
          <t xml:space="preserve">  0.823    0.823
     9   </t>
        </r>
        <r>
          <rPr>
            <sz val="9"/>
            <color indexed="32"/>
            <rFont val="ＭＳ 明朝"/>
            <family val="1"/>
            <charset val="128"/>
          </rPr>
          <t>KVar</t>
        </r>
        <r>
          <rPr>
            <b/>
            <sz val="9"/>
            <color indexed="32"/>
            <rFont val="ＭＳ 明朝"/>
            <family val="1"/>
            <charset val="128"/>
          </rPr>
          <t xml:space="preserve">  0.911    0.911
    12   </t>
        </r>
        <r>
          <rPr>
            <sz val="9"/>
            <color indexed="32"/>
            <rFont val="ＭＳ 明朝"/>
            <family val="1"/>
            <charset val="128"/>
          </rPr>
          <t>KVar</t>
        </r>
        <r>
          <rPr>
            <b/>
            <sz val="9"/>
            <color indexed="32"/>
            <rFont val="ＭＳ 明朝"/>
            <family val="1"/>
            <charset val="128"/>
          </rPr>
          <t xml:space="preserve">  0.973    0.973</t>
        </r>
        <r>
          <rPr>
            <b/>
            <sz val="9"/>
            <color indexed="17"/>
            <rFont val="ＭＳ 明朝"/>
            <family val="1"/>
            <charset val="128"/>
          </rPr>
          <t xml:space="preserve">
</t>
        </r>
      </text>
    </comment>
    <comment ref="W9" authorId="0">
      <text>
        <r>
          <rPr>
            <b/>
            <sz val="10"/>
            <color indexed="81"/>
            <rFont val="ＭＳ 明朝"/>
            <family val="1"/>
            <charset val="128"/>
          </rPr>
          <t xml:space="preserve">　　　　 　 </t>
        </r>
        <r>
          <rPr>
            <b/>
            <sz val="12"/>
            <color indexed="60"/>
            <rFont val="ＭＳ 明朝"/>
            <family val="1"/>
            <charset val="128"/>
          </rPr>
          <t xml:space="preserve">支 　線 </t>
        </r>
        <r>
          <rPr>
            <sz val="11"/>
            <color indexed="60"/>
            <rFont val="ＭＳ 明朝"/>
            <family val="1"/>
            <charset val="128"/>
          </rPr>
          <t>(Stay)</t>
        </r>
        <r>
          <rPr>
            <b/>
            <sz val="16"/>
            <color indexed="53"/>
            <rFont val="ＭＳ 明朝"/>
            <family val="1"/>
            <charset val="128"/>
          </rPr>
          <t xml:space="preserve">　
</t>
        </r>
        <r>
          <rPr>
            <sz val="11"/>
            <color indexed="32"/>
            <rFont val="ＭＳ 明朝"/>
            <family val="1"/>
            <charset val="128"/>
          </rPr>
          <t xml:space="preserve">              </t>
        </r>
        <r>
          <rPr>
            <b/>
            <sz val="11"/>
            <color indexed="32"/>
            <rFont val="ＭＳ 明朝"/>
            <family val="1"/>
            <charset val="128"/>
          </rPr>
          <t xml:space="preserve">    </t>
        </r>
        <r>
          <rPr>
            <sz val="10"/>
            <color indexed="9"/>
            <rFont val="ＭＳ Ｐ明朝"/>
            <family val="1"/>
            <charset val="128"/>
          </rPr>
          <t>電 工</t>
        </r>
        <r>
          <rPr>
            <b/>
            <sz val="10"/>
            <color indexed="9"/>
            <rFont val="ＭＳ Ｐ明朝"/>
            <family val="1"/>
            <charset val="128"/>
          </rPr>
          <t xml:space="preserve"> </t>
        </r>
        <r>
          <rPr>
            <sz val="10"/>
            <color indexed="9"/>
            <rFont val="ＭＳ Ｐ明朝"/>
            <family val="1"/>
            <charset val="128"/>
          </rPr>
          <t xml:space="preserve"> </t>
        </r>
        <r>
          <rPr>
            <b/>
            <sz val="10"/>
            <color indexed="9"/>
            <rFont val="ＭＳ Ｐ明朝"/>
            <family val="1"/>
            <charset val="128"/>
          </rPr>
          <t xml:space="preserve">  </t>
        </r>
        <r>
          <rPr>
            <sz val="10"/>
            <color indexed="9"/>
            <rFont val="ＭＳ Ｐ明朝"/>
            <family val="1"/>
            <charset val="128"/>
          </rPr>
          <t xml:space="preserve"> 普通作業員</t>
        </r>
        <r>
          <rPr>
            <b/>
            <sz val="14"/>
            <color indexed="32"/>
            <rFont val="ＭＳ 明朝"/>
            <family val="1"/>
            <charset val="128"/>
          </rPr>
          <t xml:space="preserve">
</t>
        </r>
        <r>
          <rPr>
            <b/>
            <sz val="10"/>
            <color indexed="32"/>
            <rFont val="ＭＳ 明朝"/>
            <family val="1"/>
            <charset val="128"/>
          </rPr>
          <t xml:space="preserve">  22</t>
        </r>
        <r>
          <rPr>
            <sz val="10"/>
            <color indexed="32"/>
            <rFont val="ＭＳ 明朝"/>
            <family val="1"/>
            <charset val="128"/>
          </rPr>
          <t>sqmm～</t>
        </r>
        <r>
          <rPr>
            <b/>
            <sz val="10"/>
            <color indexed="32"/>
            <rFont val="ＭＳ 明朝"/>
            <family val="1"/>
            <charset val="128"/>
          </rPr>
          <t xml:space="preserve"> 30</t>
        </r>
        <r>
          <rPr>
            <sz val="10"/>
            <color indexed="32"/>
            <rFont val="ＭＳ 明朝"/>
            <family val="1"/>
            <charset val="128"/>
          </rPr>
          <t>sqmm</t>
        </r>
        <r>
          <rPr>
            <b/>
            <sz val="10"/>
            <color indexed="32"/>
            <rFont val="ＭＳ 明朝"/>
            <family val="1"/>
            <charset val="128"/>
          </rPr>
          <t xml:space="preserve">  0.548    0.235
  38</t>
        </r>
        <r>
          <rPr>
            <sz val="10"/>
            <color indexed="32"/>
            <rFont val="ＭＳ 明朝"/>
            <family val="1"/>
            <charset val="128"/>
          </rPr>
          <t>sqmm～</t>
        </r>
        <r>
          <rPr>
            <b/>
            <sz val="10"/>
            <color indexed="32"/>
            <rFont val="ＭＳ 明朝"/>
            <family val="1"/>
            <charset val="128"/>
          </rPr>
          <t xml:space="preserve"> 45</t>
        </r>
        <r>
          <rPr>
            <sz val="10"/>
            <color indexed="32"/>
            <rFont val="ＭＳ 明朝"/>
            <family val="1"/>
            <charset val="128"/>
          </rPr>
          <t>sqmm</t>
        </r>
        <r>
          <rPr>
            <b/>
            <sz val="10"/>
            <color indexed="32"/>
            <rFont val="ＭＳ 明朝"/>
            <family val="1"/>
            <charset val="128"/>
          </rPr>
          <t xml:space="preserve">  0.670    0.261
  55</t>
        </r>
        <r>
          <rPr>
            <sz val="10"/>
            <color indexed="32"/>
            <rFont val="ＭＳ 明朝"/>
            <family val="1"/>
            <charset val="128"/>
          </rPr>
          <t>sqmm～</t>
        </r>
        <r>
          <rPr>
            <b/>
            <sz val="10"/>
            <color indexed="32"/>
            <rFont val="ＭＳ 明朝"/>
            <family val="1"/>
            <charset val="128"/>
          </rPr>
          <t xml:space="preserve"> 70</t>
        </r>
        <r>
          <rPr>
            <sz val="10"/>
            <color indexed="32"/>
            <rFont val="ＭＳ 明朝"/>
            <family val="1"/>
            <charset val="128"/>
          </rPr>
          <t>sqmm</t>
        </r>
        <r>
          <rPr>
            <b/>
            <sz val="10"/>
            <color indexed="32"/>
            <rFont val="ＭＳ 明朝"/>
            <family val="1"/>
            <charset val="128"/>
          </rPr>
          <t xml:space="preserve">  0.757    0.296
  90</t>
        </r>
        <r>
          <rPr>
            <sz val="10"/>
            <color indexed="32"/>
            <rFont val="ＭＳ 明朝"/>
            <family val="1"/>
            <charset val="128"/>
          </rPr>
          <t>sqmm～</t>
        </r>
        <r>
          <rPr>
            <b/>
            <sz val="10"/>
            <color indexed="32"/>
            <rFont val="ＭＳ 明朝"/>
            <family val="1"/>
            <charset val="128"/>
          </rPr>
          <t>110</t>
        </r>
        <r>
          <rPr>
            <sz val="10"/>
            <color indexed="32"/>
            <rFont val="ＭＳ 明朝"/>
            <family val="1"/>
            <charset val="128"/>
          </rPr>
          <t>sqmm</t>
        </r>
        <r>
          <rPr>
            <b/>
            <sz val="10"/>
            <color indexed="32"/>
            <rFont val="ＭＳ 明朝"/>
            <family val="1"/>
            <charset val="128"/>
          </rPr>
          <t xml:space="preserve">  0.843    0.339
    </t>
        </r>
        <r>
          <rPr>
            <sz val="10"/>
            <color indexed="32"/>
            <rFont val="ＭＳ 明朝"/>
            <family val="1"/>
            <charset val="128"/>
          </rPr>
          <t xml:space="preserve">    　</t>
        </r>
        <r>
          <rPr>
            <b/>
            <sz val="10"/>
            <color indexed="32"/>
            <rFont val="ＭＳ 明朝"/>
            <family val="1"/>
            <charset val="128"/>
          </rPr>
          <t>135</t>
        </r>
        <r>
          <rPr>
            <sz val="10"/>
            <color indexed="32"/>
            <rFont val="ＭＳ 明朝"/>
            <family val="1"/>
            <charset val="128"/>
          </rPr>
          <t>sqmm</t>
        </r>
        <r>
          <rPr>
            <b/>
            <sz val="10"/>
            <color indexed="32"/>
            <rFont val="ＭＳ 明朝"/>
            <family val="1"/>
            <charset val="128"/>
          </rPr>
          <t xml:space="preserve">  1.070    0.461
</t>
        </r>
        <r>
          <rPr>
            <b/>
            <sz val="9"/>
            <color indexed="32"/>
            <rFont val="ＭＳ 明朝"/>
            <family val="1"/>
            <charset val="128"/>
          </rPr>
          <t xml:space="preserve"> </t>
        </r>
        <r>
          <rPr>
            <b/>
            <sz val="9"/>
            <color indexed="9"/>
            <rFont val="Meiryo UI"/>
            <family val="3"/>
            <charset val="128"/>
          </rPr>
          <t xml:space="preserve">  </t>
        </r>
        <r>
          <rPr>
            <sz val="9"/>
            <color indexed="9"/>
            <rFont val="Meiryo UI"/>
            <family val="3"/>
            <charset val="128"/>
          </rPr>
          <t>(注)　Ｙ支線の場合は、1.5倍とする。</t>
        </r>
        <r>
          <rPr>
            <sz val="14"/>
            <color indexed="9"/>
            <rFont val="Meiryo UI"/>
            <family val="3"/>
            <charset val="128"/>
          </rPr>
          <t>　</t>
        </r>
        <r>
          <rPr>
            <sz val="9"/>
            <color indexed="9"/>
            <rFont val="Meiryo UI"/>
            <family val="3"/>
            <charset val="128"/>
          </rPr>
          <t xml:space="preserve">
</t>
        </r>
        <r>
          <rPr>
            <sz val="10"/>
            <color indexed="9"/>
            <rFont val="Meiryo UI"/>
            <family val="3"/>
            <charset val="128"/>
          </rPr>
          <t xml:space="preserve"> 　    　　</t>
        </r>
        <r>
          <rPr>
            <sz val="9"/>
            <color indexed="9"/>
            <rFont val="Meiryo UI"/>
            <family val="3"/>
            <charset val="128"/>
          </rPr>
          <t>水平支線の場合は、0.5倍とする。</t>
        </r>
      </text>
    </comment>
    <comment ref="AA9" authorId="0">
      <text>
        <r>
          <rPr>
            <sz val="11"/>
            <color indexed="32"/>
            <rFont val="ＭＳ 明朝"/>
            <family val="1"/>
            <charset val="128"/>
          </rPr>
          <t xml:space="preserve">      　　　　 </t>
        </r>
        <r>
          <rPr>
            <b/>
            <sz val="12"/>
            <color indexed="16"/>
            <rFont val="ＭＳ 明朝"/>
            <family val="1"/>
            <charset val="128"/>
          </rPr>
          <t>自　火　報・防　排　煙</t>
        </r>
        <r>
          <rPr>
            <sz val="16"/>
            <color indexed="32"/>
            <rFont val="ＭＳ 明朝"/>
            <family val="1"/>
            <charset val="128"/>
          </rPr>
          <t xml:space="preserve"> </t>
        </r>
        <r>
          <rPr>
            <b/>
            <sz val="11"/>
            <color indexed="32"/>
            <rFont val="ＭＳ 明朝"/>
            <family val="1"/>
            <charset val="128"/>
          </rPr>
          <t xml:space="preserve">
</t>
        </r>
        <r>
          <rPr>
            <sz val="10"/>
            <color indexed="32"/>
            <rFont val="ＭＳ 明朝"/>
            <family val="1"/>
            <charset val="128"/>
          </rPr>
          <t>　</t>
        </r>
        <r>
          <rPr>
            <sz val="10"/>
            <color indexed="9"/>
            <rFont val="Meiryo UI"/>
            <family val="3"/>
            <charset val="128"/>
          </rPr>
          <t>受信機(Ｐ型１級)/複合盤       感  知 器</t>
        </r>
        <r>
          <rPr>
            <sz val="14"/>
            <color indexed="9"/>
            <rFont val="Meiryo UI"/>
            <family val="3"/>
            <charset val="128"/>
          </rPr>
          <t xml:space="preserve"> </t>
        </r>
        <r>
          <rPr>
            <sz val="10"/>
            <color indexed="32"/>
            <rFont val="ＭＳ 明朝"/>
            <family val="1"/>
            <charset val="128"/>
          </rPr>
          <t xml:space="preserve">
　　 </t>
        </r>
        <r>
          <rPr>
            <b/>
            <sz val="10"/>
            <color indexed="32"/>
            <rFont val="ＭＳ 明朝"/>
            <family val="1"/>
            <charset val="128"/>
          </rPr>
          <t xml:space="preserve"> 5</t>
        </r>
        <r>
          <rPr>
            <sz val="10"/>
            <color indexed="32"/>
            <rFont val="ＭＳ 明朝"/>
            <family val="1"/>
            <charset val="128"/>
          </rPr>
          <t xml:space="preserve"> 回線 </t>
        </r>
        <r>
          <rPr>
            <b/>
            <sz val="10"/>
            <color indexed="32"/>
            <rFont val="ＭＳ 明朝"/>
            <family val="1"/>
            <charset val="128"/>
          </rPr>
          <t>:  5.31</t>
        </r>
        <r>
          <rPr>
            <sz val="10"/>
            <color indexed="32"/>
            <rFont val="ＭＳ 明朝"/>
            <family val="1"/>
            <charset val="128"/>
          </rPr>
          <t xml:space="preserve">      スポット形 定温式   </t>
        </r>
        <r>
          <rPr>
            <b/>
            <sz val="10"/>
            <color indexed="32"/>
            <rFont val="ＭＳ 明朝"/>
            <family val="1"/>
            <charset val="128"/>
          </rPr>
          <t>: 0.133</t>
        </r>
        <r>
          <rPr>
            <sz val="10"/>
            <color indexed="32"/>
            <rFont val="ＭＳ 明朝"/>
            <family val="1"/>
            <charset val="128"/>
          </rPr>
          <t xml:space="preserve">
　　 </t>
        </r>
        <r>
          <rPr>
            <b/>
            <sz val="10"/>
            <color indexed="32"/>
            <rFont val="ＭＳ 明朝"/>
            <family val="1"/>
            <charset val="128"/>
          </rPr>
          <t xml:space="preserve"> 6</t>
        </r>
        <r>
          <rPr>
            <sz val="10"/>
            <color indexed="32"/>
            <rFont val="ＭＳ 明朝"/>
            <family val="1"/>
            <charset val="128"/>
          </rPr>
          <t xml:space="preserve"> 回線 </t>
        </r>
        <r>
          <rPr>
            <b/>
            <sz val="10"/>
            <color indexed="32"/>
            <rFont val="ＭＳ 明朝"/>
            <family val="1"/>
            <charset val="128"/>
          </rPr>
          <t>:  5.58</t>
        </r>
        <r>
          <rPr>
            <sz val="10"/>
            <color indexed="32"/>
            <rFont val="ＭＳ 明朝"/>
            <family val="1"/>
            <charset val="128"/>
          </rPr>
          <t xml:space="preserve">      スポット形 差動式   </t>
        </r>
        <r>
          <rPr>
            <b/>
            <sz val="10"/>
            <color indexed="32"/>
            <rFont val="ＭＳ 明朝"/>
            <family val="1"/>
            <charset val="128"/>
          </rPr>
          <t>: 0.133</t>
        </r>
        <r>
          <rPr>
            <sz val="10"/>
            <color indexed="32"/>
            <rFont val="ＭＳ 明朝"/>
            <family val="1"/>
            <charset val="128"/>
          </rPr>
          <t xml:space="preserve">
　　 </t>
        </r>
        <r>
          <rPr>
            <b/>
            <sz val="10"/>
            <color indexed="32"/>
            <rFont val="ＭＳ 明朝"/>
            <family val="1"/>
            <charset val="128"/>
          </rPr>
          <t xml:space="preserve"> 8</t>
        </r>
        <r>
          <rPr>
            <sz val="10"/>
            <color indexed="32"/>
            <rFont val="ＭＳ 明朝"/>
            <family val="1"/>
            <charset val="128"/>
          </rPr>
          <t xml:space="preserve"> 回線 </t>
        </r>
        <r>
          <rPr>
            <b/>
            <sz val="10"/>
            <color indexed="32"/>
            <rFont val="ＭＳ 明朝"/>
            <family val="1"/>
            <charset val="128"/>
          </rPr>
          <t>:  6.11</t>
        </r>
        <r>
          <rPr>
            <sz val="10"/>
            <color indexed="32"/>
            <rFont val="ＭＳ 明朝"/>
            <family val="1"/>
            <charset val="128"/>
          </rPr>
          <t xml:space="preserve">      煙感知器　   　　　 </t>
        </r>
        <r>
          <rPr>
            <b/>
            <sz val="10"/>
            <color indexed="32"/>
            <rFont val="ＭＳ 明朝"/>
            <family val="1"/>
            <charset val="128"/>
          </rPr>
          <t>: 0.159</t>
        </r>
        <r>
          <rPr>
            <sz val="10"/>
            <color indexed="32"/>
            <rFont val="ＭＳ 明朝"/>
            <family val="1"/>
            <charset val="128"/>
          </rPr>
          <t xml:space="preserve">
　　 </t>
        </r>
        <r>
          <rPr>
            <b/>
            <sz val="10"/>
            <color indexed="32"/>
            <rFont val="ＭＳ 明朝"/>
            <family val="1"/>
            <charset val="128"/>
          </rPr>
          <t>10</t>
        </r>
        <r>
          <rPr>
            <sz val="10"/>
            <color indexed="32"/>
            <rFont val="ＭＳ 明朝"/>
            <family val="1"/>
            <charset val="128"/>
          </rPr>
          <t xml:space="preserve"> 回線 </t>
        </r>
        <r>
          <rPr>
            <b/>
            <sz val="10"/>
            <color indexed="32"/>
            <rFont val="ＭＳ 明朝"/>
            <family val="1"/>
            <charset val="128"/>
          </rPr>
          <t>:  6.64</t>
        </r>
        <r>
          <rPr>
            <sz val="10"/>
            <color indexed="32"/>
            <rFont val="ＭＳ 明朝"/>
            <family val="1"/>
            <charset val="128"/>
          </rPr>
          <t xml:space="preserve">      分布形　 １個用 　  </t>
        </r>
        <r>
          <rPr>
            <b/>
            <sz val="10"/>
            <color indexed="32"/>
            <rFont val="ＭＳ 明朝"/>
            <family val="1"/>
            <charset val="128"/>
          </rPr>
          <t>: 0.416</t>
        </r>
        <r>
          <rPr>
            <sz val="10"/>
            <color indexed="32"/>
            <rFont val="ＭＳ 明朝"/>
            <family val="1"/>
            <charset val="128"/>
          </rPr>
          <t xml:space="preserve">
　　 </t>
        </r>
        <r>
          <rPr>
            <b/>
            <sz val="10"/>
            <color indexed="32"/>
            <rFont val="ＭＳ 明朝"/>
            <family val="1"/>
            <charset val="128"/>
          </rPr>
          <t>12</t>
        </r>
        <r>
          <rPr>
            <sz val="10"/>
            <color indexed="32"/>
            <rFont val="ＭＳ 明朝"/>
            <family val="1"/>
            <charset val="128"/>
          </rPr>
          <t xml:space="preserve"> 回線 </t>
        </r>
        <r>
          <rPr>
            <b/>
            <sz val="10"/>
            <color indexed="32"/>
            <rFont val="ＭＳ 明朝"/>
            <family val="1"/>
            <charset val="128"/>
          </rPr>
          <t>:  7.17</t>
        </r>
        <r>
          <rPr>
            <sz val="10"/>
            <color indexed="32"/>
            <rFont val="ＭＳ 明朝"/>
            <family val="1"/>
            <charset val="128"/>
          </rPr>
          <t xml:space="preserve">       　　　　２個用 　  </t>
        </r>
        <r>
          <rPr>
            <b/>
            <sz val="10"/>
            <color indexed="32"/>
            <rFont val="ＭＳ 明朝"/>
            <family val="1"/>
            <charset val="128"/>
          </rPr>
          <t>: 0.681</t>
        </r>
        <r>
          <rPr>
            <sz val="10"/>
            <color indexed="32"/>
            <rFont val="ＭＳ 明朝"/>
            <family val="1"/>
            <charset val="128"/>
          </rPr>
          <t xml:space="preserve">
　　 </t>
        </r>
        <r>
          <rPr>
            <b/>
            <sz val="10"/>
            <color indexed="32"/>
            <rFont val="ＭＳ 明朝"/>
            <family val="1"/>
            <charset val="128"/>
          </rPr>
          <t>15</t>
        </r>
        <r>
          <rPr>
            <sz val="10"/>
            <color indexed="32"/>
            <rFont val="ＭＳ 明朝"/>
            <family val="1"/>
            <charset val="128"/>
          </rPr>
          <t xml:space="preserve"> 回線 </t>
        </r>
        <r>
          <rPr>
            <b/>
            <sz val="10"/>
            <color indexed="32"/>
            <rFont val="ＭＳ 明朝"/>
            <family val="1"/>
            <charset val="128"/>
          </rPr>
          <t>:  7.96</t>
        </r>
        <r>
          <rPr>
            <sz val="10"/>
            <color indexed="32"/>
            <rFont val="ＭＳ 明朝"/>
            <family val="1"/>
            <charset val="128"/>
          </rPr>
          <t xml:space="preserve">       　　　　３個用　   </t>
        </r>
        <r>
          <rPr>
            <b/>
            <sz val="10"/>
            <color indexed="32"/>
            <rFont val="ＭＳ 明朝"/>
            <family val="1"/>
            <charset val="128"/>
          </rPr>
          <t xml:space="preserve">: 0.912
</t>
        </r>
        <r>
          <rPr>
            <sz val="10"/>
            <color indexed="32"/>
            <rFont val="ＭＳ 明朝"/>
            <family val="1"/>
            <charset val="128"/>
          </rPr>
          <t xml:space="preserve">　　 </t>
        </r>
        <r>
          <rPr>
            <b/>
            <sz val="10"/>
            <color indexed="32"/>
            <rFont val="ＭＳ 明朝"/>
            <family val="1"/>
            <charset val="128"/>
          </rPr>
          <t>20</t>
        </r>
        <r>
          <rPr>
            <sz val="10"/>
            <color indexed="32"/>
            <rFont val="ＭＳ 明朝"/>
            <family val="1"/>
            <charset val="128"/>
          </rPr>
          <t xml:space="preserve"> 回線 </t>
        </r>
        <r>
          <rPr>
            <b/>
            <sz val="10"/>
            <color indexed="32"/>
            <rFont val="ＭＳ 明朝"/>
            <family val="1"/>
            <charset val="128"/>
          </rPr>
          <t>:  9.29</t>
        </r>
        <r>
          <rPr>
            <sz val="10"/>
            <color indexed="32"/>
            <rFont val="ＭＳ 明朝"/>
            <family val="1"/>
            <charset val="128"/>
          </rPr>
          <t xml:space="preserve">      空気管(木造)　　  　</t>
        </r>
        <r>
          <rPr>
            <b/>
            <sz val="10"/>
            <color indexed="32"/>
            <rFont val="ＭＳ 明朝"/>
            <family val="1"/>
            <charset val="128"/>
          </rPr>
          <t xml:space="preserve">: 0.027
</t>
        </r>
        <r>
          <rPr>
            <sz val="10"/>
            <color indexed="32"/>
            <rFont val="ＭＳ 明朝"/>
            <family val="1"/>
            <charset val="128"/>
          </rPr>
          <t xml:space="preserve">　　 </t>
        </r>
        <r>
          <rPr>
            <b/>
            <sz val="10"/>
            <color indexed="32"/>
            <rFont val="ＭＳ 明朝"/>
            <family val="1"/>
            <charset val="128"/>
          </rPr>
          <t>25</t>
        </r>
        <r>
          <rPr>
            <sz val="10"/>
            <color indexed="32"/>
            <rFont val="ＭＳ 明朝"/>
            <family val="1"/>
            <charset val="128"/>
          </rPr>
          <t xml:space="preserve"> 回線 </t>
        </r>
        <r>
          <rPr>
            <b/>
            <sz val="10"/>
            <color indexed="32"/>
            <rFont val="ＭＳ 明朝"/>
            <family val="1"/>
            <charset val="128"/>
          </rPr>
          <t xml:space="preserve">: 10.6 </t>
        </r>
        <r>
          <rPr>
            <sz val="10"/>
            <color indexed="32"/>
            <rFont val="ＭＳ 明朝"/>
            <family val="1"/>
            <charset val="128"/>
          </rPr>
          <t xml:space="preserve">      　　　(ＲＣ)　  　　</t>
        </r>
        <r>
          <rPr>
            <b/>
            <sz val="10"/>
            <color indexed="32"/>
            <rFont val="ＭＳ 明朝"/>
            <family val="1"/>
            <charset val="128"/>
          </rPr>
          <t xml:space="preserve">: 0.035
</t>
        </r>
        <r>
          <rPr>
            <sz val="10"/>
            <color indexed="32"/>
            <rFont val="ＭＳ 明朝"/>
            <family val="1"/>
            <charset val="128"/>
          </rPr>
          <t xml:space="preserve">　　 </t>
        </r>
        <r>
          <rPr>
            <b/>
            <sz val="10"/>
            <color indexed="32"/>
            <rFont val="ＭＳ 明朝"/>
            <family val="1"/>
            <charset val="128"/>
          </rPr>
          <t>30</t>
        </r>
        <r>
          <rPr>
            <sz val="10"/>
            <color indexed="32"/>
            <rFont val="ＭＳ 明朝"/>
            <family val="1"/>
            <charset val="128"/>
          </rPr>
          <t xml:space="preserve"> 回線 </t>
        </r>
        <r>
          <rPr>
            <b/>
            <sz val="10"/>
            <color indexed="32"/>
            <rFont val="ＭＳ 明朝"/>
            <family val="1"/>
            <charset val="128"/>
          </rPr>
          <t>: 11.9</t>
        </r>
        <r>
          <rPr>
            <sz val="10"/>
            <color indexed="32"/>
            <rFont val="ＭＳ 明朝"/>
            <family val="1"/>
            <charset val="128"/>
          </rPr>
          <t xml:space="preserve">       差動スポット用試験器</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35</t>
        </r>
        <r>
          <rPr>
            <sz val="10"/>
            <color indexed="32"/>
            <rFont val="ＭＳ 明朝"/>
            <family val="1"/>
            <charset val="128"/>
          </rPr>
          <t xml:space="preserve"> 回線 </t>
        </r>
        <r>
          <rPr>
            <b/>
            <sz val="10"/>
            <color indexed="32"/>
            <rFont val="ＭＳ 明朝"/>
            <family val="1"/>
            <charset val="128"/>
          </rPr>
          <t>: 13.3</t>
        </r>
        <r>
          <rPr>
            <sz val="10"/>
            <color indexed="32"/>
            <rFont val="ＭＳ 明朝"/>
            <family val="1"/>
            <charset val="128"/>
          </rPr>
          <t xml:space="preserve">         　　　　１個用　　</t>
        </r>
        <r>
          <rPr>
            <b/>
            <sz val="10"/>
            <color indexed="32"/>
            <rFont val="ＭＳ 明朝"/>
            <family val="1"/>
            <charset val="128"/>
          </rPr>
          <t xml:space="preserve">: 0.115
</t>
        </r>
        <r>
          <rPr>
            <sz val="10"/>
            <color indexed="32"/>
            <rFont val="ＭＳ 明朝"/>
            <family val="1"/>
            <charset val="128"/>
          </rPr>
          <t xml:space="preserve">　　 </t>
        </r>
        <r>
          <rPr>
            <b/>
            <sz val="10"/>
            <color indexed="32"/>
            <rFont val="ＭＳ 明朝"/>
            <family val="1"/>
            <charset val="128"/>
          </rPr>
          <t>40</t>
        </r>
        <r>
          <rPr>
            <sz val="10"/>
            <color indexed="32"/>
            <rFont val="ＭＳ 明朝"/>
            <family val="1"/>
            <charset val="128"/>
          </rPr>
          <t xml:space="preserve"> 回線 </t>
        </r>
        <r>
          <rPr>
            <b/>
            <sz val="10"/>
            <color indexed="32"/>
            <rFont val="ＭＳ 明朝"/>
            <family val="1"/>
            <charset val="128"/>
          </rPr>
          <t>: 14.6</t>
        </r>
        <r>
          <rPr>
            <sz val="10"/>
            <color indexed="32"/>
            <rFont val="ＭＳ 明朝"/>
            <family val="1"/>
            <charset val="128"/>
          </rPr>
          <t xml:space="preserve">         　　　　２個用　　</t>
        </r>
        <r>
          <rPr>
            <b/>
            <sz val="10"/>
            <color indexed="32"/>
            <rFont val="ＭＳ 明朝"/>
            <family val="1"/>
            <charset val="128"/>
          </rPr>
          <t xml:space="preserve">: 0.212
</t>
        </r>
        <r>
          <rPr>
            <sz val="10"/>
            <color indexed="32"/>
            <rFont val="ＭＳ 明朝"/>
            <family val="1"/>
            <charset val="128"/>
          </rPr>
          <t xml:space="preserve">　　 </t>
        </r>
        <r>
          <rPr>
            <b/>
            <sz val="10"/>
            <color indexed="32"/>
            <rFont val="ＭＳ 明朝"/>
            <family val="1"/>
            <charset val="128"/>
          </rPr>
          <t>50</t>
        </r>
        <r>
          <rPr>
            <sz val="10"/>
            <color indexed="32"/>
            <rFont val="ＭＳ 明朝"/>
            <family val="1"/>
            <charset val="128"/>
          </rPr>
          <t xml:space="preserve"> 回線 </t>
        </r>
        <r>
          <rPr>
            <b/>
            <sz val="10"/>
            <color indexed="32"/>
            <rFont val="ＭＳ 明朝"/>
            <family val="1"/>
            <charset val="128"/>
          </rPr>
          <t>: 17.3</t>
        </r>
        <r>
          <rPr>
            <sz val="10"/>
            <color indexed="32"/>
            <rFont val="ＭＳ 明朝"/>
            <family val="1"/>
            <charset val="128"/>
          </rPr>
          <t xml:space="preserve">         　　　　３個用　　</t>
        </r>
        <r>
          <rPr>
            <b/>
            <sz val="10"/>
            <color indexed="32"/>
            <rFont val="ＭＳ 明朝"/>
            <family val="1"/>
            <charset val="128"/>
          </rPr>
          <t xml:space="preserve">: 0.310
</t>
        </r>
        <r>
          <rPr>
            <sz val="10"/>
            <color indexed="32"/>
            <rFont val="ＭＳ 明朝"/>
            <family val="1"/>
            <charset val="128"/>
          </rPr>
          <t>　</t>
        </r>
        <r>
          <rPr>
            <sz val="10"/>
            <color indexed="9"/>
            <rFont val="Meiryo UI"/>
            <family val="3"/>
            <charset val="128"/>
          </rPr>
          <t>受信機(Ｐ型２級)</t>
        </r>
        <r>
          <rPr>
            <b/>
            <sz val="10"/>
            <color indexed="32"/>
            <rFont val="Meiryo UI"/>
            <family val="3"/>
            <charset val="128"/>
          </rPr>
          <t xml:space="preserve">            </t>
        </r>
        <r>
          <rPr>
            <sz val="10"/>
            <color indexed="32"/>
            <rFont val="Meiryo UI"/>
            <family val="3"/>
            <charset val="128"/>
          </rPr>
          <t xml:space="preserve">   </t>
        </r>
        <r>
          <rPr>
            <sz val="6"/>
            <color indexed="32"/>
            <rFont val="Meiryo UI"/>
            <family val="3"/>
            <charset val="128"/>
          </rPr>
          <t xml:space="preserve"> </t>
        </r>
        <r>
          <rPr>
            <sz val="10"/>
            <color indexed="32"/>
            <rFont val="Meiryo UI"/>
            <family val="3"/>
            <charset val="128"/>
          </rPr>
          <t xml:space="preserve"> </t>
        </r>
        <r>
          <rPr>
            <sz val="10"/>
            <color indexed="32"/>
            <rFont val="ＭＳ 明朝"/>
            <family val="1"/>
            <charset val="128"/>
          </rPr>
          <t xml:space="preserve">総合盤(露出/埋込)   </t>
        </r>
        <r>
          <rPr>
            <sz val="8"/>
            <color indexed="32"/>
            <rFont val="ＭＳ 明朝"/>
            <family val="1"/>
            <charset val="128"/>
          </rPr>
          <t xml:space="preserve"> </t>
        </r>
        <r>
          <rPr>
            <b/>
            <sz val="10"/>
            <color indexed="32"/>
            <rFont val="ＭＳ 明朝"/>
            <family val="1"/>
            <charset val="128"/>
          </rPr>
          <t>: 0.619</t>
        </r>
        <r>
          <rPr>
            <sz val="10"/>
            <color indexed="32"/>
            <rFont val="ＭＳ 明朝"/>
            <family val="1"/>
            <charset val="128"/>
          </rPr>
          <t>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1</t>
        </r>
        <r>
          <rPr>
            <sz val="10"/>
            <color indexed="32"/>
            <rFont val="ＭＳ 明朝"/>
            <family val="1"/>
            <charset val="128"/>
          </rPr>
          <t xml:space="preserve"> 回線 </t>
        </r>
        <r>
          <rPr>
            <b/>
            <sz val="10"/>
            <color indexed="32"/>
            <rFont val="ＭＳ 明朝"/>
            <family val="1"/>
            <charset val="128"/>
          </rPr>
          <t>:  2.39</t>
        </r>
        <r>
          <rPr>
            <sz val="10"/>
            <color indexed="32"/>
            <rFont val="ＭＳ 明朝"/>
            <family val="1"/>
            <charset val="128"/>
          </rPr>
          <t xml:space="preserve"> 　 　    　(消火栓組込)</t>
        </r>
        <r>
          <rPr>
            <sz val="9"/>
            <color indexed="32"/>
            <rFont val="ＭＳ 明朝"/>
            <family val="1"/>
            <charset val="128"/>
          </rPr>
          <t xml:space="preserve">  </t>
        </r>
        <r>
          <rPr>
            <b/>
            <sz val="10"/>
            <color indexed="32"/>
            <rFont val="ＭＳ 明朝"/>
            <family val="1"/>
            <charset val="128"/>
          </rPr>
          <t xml:space="preserve">: 0.496
</t>
        </r>
        <r>
          <rPr>
            <sz val="10"/>
            <color indexed="32"/>
            <rFont val="ＭＳ 明朝"/>
            <family val="1"/>
            <charset val="128"/>
          </rPr>
          <t xml:space="preserve">　　 </t>
        </r>
        <r>
          <rPr>
            <b/>
            <sz val="10"/>
            <color indexed="32"/>
            <rFont val="ＭＳ 明朝"/>
            <family val="1"/>
            <charset val="128"/>
          </rPr>
          <t xml:space="preserve"> 5</t>
        </r>
        <r>
          <rPr>
            <sz val="10"/>
            <color indexed="32"/>
            <rFont val="ＭＳ 明朝"/>
            <family val="1"/>
            <charset val="128"/>
          </rPr>
          <t xml:space="preserve"> 回線 </t>
        </r>
        <r>
          <rPr>
            <b/>
            <sz val="10"/>
            <color indexed="32"/>
            <rFont val="ＭＳ 明朝"/>
            <family val="1"/>
            <charset val="128"/>
          </rPr>
          <t>:  3.10</t>
        </r>
        <r>
          <rPr>
            <sz val="10"/>
            <color indexed="32"/>
            <rFont val="ＭＳ 明朝"/>
            <family val="1"/>
            <charset val="128"/>
          </rPr>
          <t xml:space="preserve">      発信機　Ｐ形１級　</t>
        </r>
        <r>
          <rPr>
            <sz val="9"/>
            <color indexed="32"/>
            <rFont val="ＭＳ 明朝"/>
            <family val="1"/>
            <charset val="128"/>
          </rPr>
          <t xml:space="preserve">  </t>
        </r>
        <r>
          <rPr>
            <b/>
            <sz val="10"/>
            <color indexed="32"/>
            <rFont val="ＭＳ 明朝"/>
            <family val="1"/>
            <charset val="128"/>
          </rPr>
          <t>: 0.283</t>
        </r>
        <r>
          <rPr>
            <sz val="10"/>
            <color indexed="32"/>
            <rFont val="ＭＳ 明朝"/>
            <family val="1"/>
            <charset val="128"/>
          </rPr>
          <t xml:space="preserve">
　</t>
        </r>
        <r>
          <rPr>
            <sz val="10"/>
            <color indexed="9"/>
            <rFont val="Meiryo UI"/>
            <family val="3"/>
            <charset val="128"/>
          </rPr>
          <t>副受信機</t>
        </r>
        <r>
          <rPr>
            <b/>
            <sz val="10"/>
            <color indexed="32"/>
            <rFont val="ＭＳ 明朝"/>
            <family val="1"/>
            <charset val="128"/>
          </rPr>
          <t>　　　</t>
        </r>
        <r>
          <rPr>
            <sz val="10"/>
            <color indexed="32"/>
            <rFont val="ＭＳ 明朝"/>
            <family val="1"/>
            <charset val="128"/>
          </rPr>
          <t>　　　               Ｐ形２級　</t>
        </r>
        <r>
          <rPr>
            <b/>
            <sz val="10"/>
            <color indexed="32"/>
            <rFont val="ＭＳ 明朝"/>
            <family val="1"/>
            <charset val="128"/>
          </rPr>
          <t>: 0.177</t>
        </r>
        <r>
          <rPr>
            <sz val="10"/>
            <color indexed="32"/>
            <rFont val="ＭＳ 明朝"/>
            <family val="1"/>
            <charset val="128"/>
          </rPr>
          <t xml:space="preserve">
　　 </t>
        </r>
        <r>
          <rPr>
            <b/>
            <sz val="10"/>
            <color indexed="32"/>
            <rFont val="ＭＳ 明朝"/>
            <family val="1"/>
            <charset val="128"/>
          </rPr>
          <t xml:space="preserve"> 5</t>
        </r>
        <r>
          <rPr>
            <sz val="10"/>
            <color indexed="32"/>
            <rFont val="ＭＳ 明朝"/>
            <family val="1"/>
            <charset val="128"/>
          </rPr>
          <t xml:space="preserve"> 回線 </t>
        </r>
        <r>
          <rPr>
            <b/>
            <sz val="10"/>
            <color indexed="32"/>
            <rFont val="ＭＳ 明朝"/>
            <family val="1"/>
            <charset val="128"/>
          </rPr>
          <t>:  0.42</t>
        </r>
        <r>
          <rPr>
            <sz val="10"/>
            <color indexed="32"/>
            <rFont val="ＭＳ 明朝"/>
            <family val="1"/>
            <charset val="128"/>
          </rPr>
          <t xml:space="preserve">      その他
　　 </t>
        </r>
        <r>
          <rPr>
            <b/>
            <sz val="10"/>
            <color indexed="32"/>
            <rFont val="ＭＳ 明朝"/>
            <family val="1"/>
            <charset val="128"/>
          </rPr>
          <t>10</t>
        </r>
        <r>
          <rPr>
            <sz val="10"/>
            <color indexed="32"/>
            <rFont val="ＭＳ 明朝"/>
            <family val="1"/>
            <charset val="128"/>
          </rPr>
          <t xml:space="preserve"> 回線 </t>
        </r>
        <r>
          <rPr>
            <b/>
            <sz val="10"/>
            <color indexed="32"/>
            <rFont val="ＭＳ 明朝"/>
            <family val="1"/>
            <charset val="128"/>
          </rPr>
          <t>:  0.86</t>
        </r>
        <r>
          <rPr>
            <sz val="9"/>
            <color indexed="32"/>
            <rFont val="ＭＳ 明朝"/>
            <family val="1"/>
            <charset val="128"/>
          </rPr>
          <t xml:space="preserve">  </t>
        </r>
        <r>
          <rPr>
            <sz val="10"/>
            <color indexed="32"/>
            <rFont val="ＭＳ 明朝"/>
            <family val="1"/>
            <charset val="128"/>
          </rPr>
          <t xml:space="preserve">          標　識　板    </t>
        </r>
        <r>
          <rPr>
            <b/>
            <sz val="10"/>
            <color indexed="32"/>
            <rFont val="ＭＳ 明朝"/>
            <family val="1"/>
            <charset val="128"/>
          </rPr>
          <t>: 0.08</t>
        </r>
        <r>
          <rPr>
            <sz val="10"/>
            <color indexed="32"/>
            <rFont val="ＭＳ 明朝"/>
            <family val="1"/>
            <charset val="128"/>
          </rPr>
          <t xml:space="preserve">
　　 </t>
        </r>
        <r>
          <rPr>
            <b/>
            <sz val="10"/>
            <color indexed="32"/>
            <rFont val="ＭＳ 明朝"/>
            <family val="1"/>
            <charset val="128"/>
          </rPr>
          <t>15</t>
        </r>
        <r>
          <rPr>
            <sz val="10"/>
            <color indexed="32"/>
            <rFont val="ＭＳ 明朝"/>
            <family val="1"/>
            <charset val="128"/>
          </rPr>
          <t xml:space="preserve"> 回線 </t>
        </r>
        <r>
          <rPr>
            <b/>
            <sz val="10"/>
            <color indexed="32"/>
            <rFont val="ＭＳ 明朝"/>
            <family val="1"/>
            <charset val="128"/>
          </rPr>
          <t>:  1.30</t>
        </r>
        <r>
          <rPr>
            <sz val="9"/>
            <color indexed="32"/>
            <rFont val="ＭＳ 明朝"/>
            <family val="1"/>
            <charset val="128"/>
          </rPr>
          <t xml:space="preserve">  </t>
        </r>
        <r>
          <rPr>
            <sz val="10"/>
            <color indexed="32"/>
            <rFont val="ＭＳ 明朝"/>
            <family val="1"/>
            <charset val="128"/>
          </rPr>
          <t xml:space="preserve">      　　電　　　鈴　　</t>
        </r>
        <r>
          <rPr>
            <b/>
            <sz val="10"/>
            <color indexed="32"/>
            <rFont val="ＭＳ 明朝"/>
            <family val="1"/>
            <charset val="128"/>
          </rPr>
          <t>: 0.124</t>
        </r>
        <r>
          <rPr>
            <sz val="10"/>
            <color indexed="32"/>
            <rFont val="ＭＳ 明朝"/>
            <family val="1"/>
            <charset val="128"/>
          </rPr>
          <t xml:space="preserve">
　　 </t>
        </r>
        <r>
          <rPr>
            <b/>
            <sz val="10"/>
            <color indexed="32"/>
            <rFont val="ＭＳ 明朝"/>
            <family val="1"/>
            <charset val="128"/>
          </rPr>
          <t>20</t>
        </r>
        <r>
          <rPr>
            <sz val="10"/>
            <color indexed="32"/>
            <rFont val="ＭＳ 明朝"/>
            <family val="1"/>
            <charset val="128"/>
          </rPr>
          <t xml:space="preserve"> 回線 </t>
        </r>
        <r>
          <rPr>
            <b/>
            <sz val="10"/>
            <color indexed="32"/>
            <rFont val="ＭＳ 明朝"/>
            <family val="1"/>
            <charset val="128"/>
          </rPr>
          <t>:  1.75</t>
        </r>
        <r>
          <rPr>
            <sz val="9"/>
            <color indexed="32"/>
            <rFont val="ＭＳ 明朝"/>
            <family val="1"/>
            <charset val="128"/>
          </rPr>
          <t xml:space="preserve">  </t>
        </r>
        <r>
          <rPr>
            <sz val="10"/>
            <color indexed="32"/>
            <rFont val="ＭＳ 明朝"/>
            <family val="1"/>
            <charset val="128"/>
          </rPr>
          <t xml:space="preserve">      　　電磁レリーズ　</t>
        </r>
        <r>
          <rPr>
            <b/>
            <sz val="10"/>
            <color indexed="32"/>
            <rFont val="ＭＳ 明朝"/>
            <family val="1"/>
            <charset val="128"/>
          </rPr>
          <t>: 0.336</t>
        </r>
        <r>
          <rPr>
            <sz val="10"/>
            <color indexed="32"/>
            <rFont val="ＭＳ 明朝"/>
            <family val="1"/>
            <charset val="128"/>
          </rPr>
          <t xml:space="preserve">
　　 </t>
        </r>
        <r>
          <rPr>
            <b/>
            <sz val="10"/>
            <color indexed="32"/>
            <rFont val="ＭＳ 明朝"/>
            <family val="1"/>
            <charset val="128"/>
          </rPr>
          <t>25</t>
        </r>
        <r>
          <rPr>
            <sz val="10"/>
            <color indexed="32"/>
            <rFont val="ＭＳ 明朝"/>
            <family val="1"/>
            <charset val="128"/>
          </rPr>
          <t xml:space="preserve"> 回線 </t>
        </r>
        <r>
          <rPr>
            <b/>
            <sz val="10"/>
            <color indexed="32"/>
            <rFont val="ＭＳ 明朝"/>
            <family val="1"/>
            <charset val="128"/>
          </rPr>
          <t>:  2.15</t>
        </r>
        <r>
          <rPr>
            <sz val="10"/>
            <color indexed="32"/>
            <rFont val="ＭＳ 明朝"/>
            <family val="1"/>
            <charset val="128"/>
          </rPr>
          <t xml:space="preserve">
　　 </t>
        </r>
        <r>
          <rPr>
            <b/>
            <sz val="10"/>
            <color indexed="32"/>
            <rFont val="ＭＳ 明朝"/>
            <family val="1"/>
            <charset val="128"/>
          </rPr>
          <t>30</t>
        </r>
        <r>
          <rPr>
            <sz val="10"/>
            <color indexed="32"/>
            <rFont val="ＭＳ 明朝"/>
            <family val="1"/>
            <charset val="128"/>
          </rPr>
          <t xml:space="preserve"> 回線 </t>
        </r>
        <r>
          <rPr>
            <b/>
            <sz val="10"/>
            <color indexed="32"/>
            <rFont val="ＭＳ 明朝"/>
            <family val="1"/>
            <charset val="128"/>
          </rPr>
          <t>:  2.55</t>
        </r>
        <r>
          <rPr>
            <sz val="9"/>
            <color indexed="32"/>
            <rFont val="ＭＳ 明朝"/>
            <family val="1"/>
            <charset val="128"/>
          </rPr>
          <t xml:space="preserve">  </t>
        </r>
        <r>
          <rPr>
            <sz val="10"/>
            <color indexed="32"/>
            <rFont val="ＭＳ 明朝"/>
            <family val="1"/>
            <charset val="128"/>
          </rPr>
          <t xml:space="preserve">  </t>
        </r>
        <r>
          <rPr>
            <sz val="10"/>
            <color indexed="9"/>
            <rFont val="Meiryo UI"/>
            <family val="3"/>
            <charset val="128"/>
          </rPr>
          <t>(注) 50回線以上は、下記による。</t>
        </r>
        <r>
          <rPr>
            <sz val="10"/>
            <color indexed="32"/>
            <rFont val="ＭＳ 明朝"/>
            <family val="1"/>
            <charset val="128"/>
          </rPr>
          <t xml:space="preserve">
　　 </t>
        </r>
        <r>
          <rPr>
            <b/>
            <sz val="10"/>
            <color indexed="32"/>
            <rFont val="ＭＳ 明朝"/>
            <family val="1"/>
            <charset val="128"/>
          </rPr>
          <t>40</t>
        </r>
        <r>
          <rPr>
            <sz val="10"/>
            <color indexed="32"/>
            <rFont val="ＭＳ 明朝"/>
            <family val="1"/>
            <charset val="128"/>
          </rPr>
          <t xml:space="preserve"> 回線 </t>
        </r>
        <r>
          <rPr>
            <b/>
            <sz val="10"/>
            <color indexed="32"/>
            <rFont val="ＭＳ 明朝"/>
            <family val="1"/>
            <charset val="128"/>
          </rPr>
          <t>:  3.40</t>
        </r>
        <r>
          <rPr>
            <sz val="10"/>
            <color indexed="32"/>
            <rFont val="ＭＳ 明朝"/>
            <family val="1"/>
            <charset val="128"/>
          </rPr>
          <t xml:space="preserve">        </t>
        </r>
        <r>
          <rPr>
            <sz val="10"/>
            <color indexed="9"/>
            <rFont val="Meiryo UI"/>
            <family val="3"/>
            <charset val="128"/>
          </rPr>
          <t>P形1級 受信機：(3.80+0.27Ｌ)</t>
        </r>
        <r>
          <rPr>
            <sz val="10"/>
            <color indexed="32"/>
            <rFont val="ＭＳ 明朝"/>
            <family val="1"/>
            <charset val="128"/>
          </rPr>
          <t xml:space="preserve">
　　 </t>
        </r>
        <r>
          <rPr>
            <b/>
            <sz val="10"/>
            <color indexed="32"/>
            <rFont val="ＭＳ 明朝"/>
            <family val="1"/>
            <charset val="128"/>
          </rPr>
          <t>50</t>
        </r>
        <r>
          <rPr>
            <sz val="10"/>
            <color indexed="32"/>
            <rFont val="ＭＳ 明朝"/>
            <family val="1"/>
            <charset val="128"/>
          </rPr>
          <t xml:space="preserve"> 回線 </t>
        </r>
        <r>
          <rPr>
            <b/>
            <sz val="10"/>
            <color indexed="32"/>
            <rFont val="ＭＳ 明朝"/>
            <family val="1"/>
            <charset val="128"/>
          </rPr>
          <t>:  4.25</t>
        </r>
        <r>
          <rPr>
            <sz val="10"/>
            <color indexed="32"/>
            <rFont val="ＭＳ 明朝"/>
            <family val="1"/>
            <charset val="128"/>
          </rPr>
          <t xml:space="preserve">        </t>
        </r>
        <r>
          <rPr>
            <sz val="10"/>
            <color indexed="9"/>
            <rFont val="Meiryo UI"/>
            <family val="3"/>
            <charset val="128"/>
          </rPr>
          <t>副受信機：(1.75+0.05Ｌ)</t>
        </r>
      </text>
    </comment>
    <comment ref="AE9" authorId="0">
      <text>
        <r>
          <rPr>
            <sz val="10"/>
            <color indexed="81"/>
            <rFont val="ＭＳ 明朝"/>
            <family val="1"/>
            <charset val="128"/>
          </rPr>
          <t>　　　　　　　</t>
        </r>
        <r>
          <rPr>
            <b/>
            <sz val="12"/>
            <color indexed="16"/>
            <rFont val="ＭＳ 明朝"/>
            <family val="1"/>
            <charset val="128"/>
          </rPr>
          <t>ＨＩＤ　灯</t>
        </r>
        <r>
          <rPr>
            <sz val="16"/>
            <color indexed="12"/>
            <rFont val="ＭＳ 明朝"/>
            <family val="1"/>
            <charset val="128"/>
          </rPr>
          <t xml:space="preserve"> </t>
        </r>
        <r>
          <rPr>
            <sz val="10"/>
            <color indexed="81"/>
            <rFont val="ＭＳ 明朝"/>
            <family val="1"/>
            <charset val="128"/>
          </rPr>
          <t xml:space="preserve">
</t>
        </r>
        <r>
          <rPr>
            <sz val="10"/>
            <color indexed="32"/>
            <rFont val="ＭＳ 明朝"/>
            <family val="1"/>
            <charset val="128"/>
          </rPr>
          <t xml:space="preserve">  </t>
        </r>
        <r>
          <rPr>
            <sz val="10"/>
            <color indexed="9"/>
            <rFont val="ＭＳ 明朝"/>
            <family val="1"/>
            <charset val="128"/>
          </rPr>
          <t>投　光　器</t>
        </r>
        <r>
          <rPr>
            <sz val="10"/>
            <color indexed="32"/>
            <rFont val="ＭＳ 明朝"/>
            <family val="1"/>
            <charset val="128"/>
          </rPr>
          <t xml:space="preserve">　  　 </t>
        </r>
        <r>
          <rPr>
            <b/>
            <sz val="10"/>
            <color indexed="32"/>
            <rFont val="ＭＳ 明朝"/>
            <family val="1"/>
            <charset val="128"/>
          </rPr>
          <t>300～ 400Ｗ : 1.430</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700～1000Ｗ : 1.740
</t>
        </r>
        <r>
          <rPr>
            <sz val="10"/>
            <color indexed="32"/>
            <rFont val="ＭＳ 明朝"/>
            <family val="1"/>
            <charset val="128"/>
          </rPr>
          <t xml:space="preserve">  </t>
        </r>
        <r>
          <rPr>
            <sz val="10"/>
            <color indexed="9"/>
            <rFont val="ＭＳ 明朝"/>
            <family val="1"/>
            <charset val="128"/>
          </rPr>
          <t>直　付　灯</t>
        </r>
        <r>
          <rPr>
            <sz val="10"/>
            <color indexed="32"/>
            <rFont val="ＭＳ 明朝"/>
            <family val="1"/>
            <charset val="128"/>
          </rPr>
          <t xml:space="preserve">       </t>
        </r>
        <r>
          <rPr>
            <b/>
            <sz val="10"/>
            <color indexed="32"/>
            <rFont val="ＭＳ 明朝"/>
            <family val="1"/>
            <charset val="128"/>
          </rPr>
          <t>200～ 250Ｗ : 0.304</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300～ 400Ｗ : 0.348
</t>
        </r>
        <r>
          <rPr>
            <sz val="10"/>
            <color indexed="32"/>
            <rFont val="ＭＳ 明朝"/>
            <family val="1"/>
            <charset val="128"/>
          </rPr>
          <t xml:space="preserve">　　　　　　　　　 </t>
        </r>
        <r>
          <rPr>
            <b/>
            <sz val="10"/>
            <color indexed="32"/>
            <rFont val="ＭＳ 明朝"/>
            <family val="1"/>
            <charset val="128"/>
          </rPr>
          <t xml:space="preserve">700～1000Ｗ : 0.417
</t>
        </r>
        <r>
          <rPr>
            <sz val="10"/>
            <color indexed="32"/>
            <rFont val="ＭＳ 明朝"/>
            <family val="1"/>
            <charset val="128"/>
          </rPr>
          <t xml:space="preserve">  </t>
        </r>
        <r>
          <rPr>
            <sz val="10"/>
            <color indexed="9"/>
            <rFont val="ＭＳ 明朝"/>
            <family val="1"/>
            <charset val="128"/>
          </rPr>
          <t>パイプペンダント</t>
        </r>
        <r>
          <rPr>
            <sz val="9"/>
            <color indexed="32"/>
            <rFont val="ＭＳ 明朝"/>
            <family val="1"/>
            <charset val="128"/>
          </rPr>
          <t xml:space="preserve"> </t>
        </r>
        <r>
          <rPr>
            <b/>
            <sz val="10"/>
            <color indexed="32"/>
            <rFont val="ＭＳ 明朝"/>
            <family val="1"/>
            <charset val="128"/>
          </rPr>
          <t>200～ 250Ｗ : 0.330</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300～ 400Ｗ</t>
        </r>
        <r>
          <rPr>
            <sz val="10"/>
            <color indexed="32"/>
            <rFont val="ＭＳ 明朝"/>
            <family val="1"/>
            <charset val="128"/>
          </rPr>
          <t xml:space="preserve"> </t>
        </r>
        <r>
          <rPr>
            <b/>
            <sz val="10"/>
            <color indexed="32"/>
            <rFont val="ＭＳ 明朝"/>
            <family val="1"/>
            <charset val="128"/>
          </rPr>
          <t xml:space="preserve">: 0.391
</t>
        </r>
        <r>
          <rPr>
            <sz val="10"/>
            <color indexed="32"/>
            <rFont val="ＭＳ 明朝"/>
            <family val="1"/>
            <charset val="128"/>
          </rPr>
          <t xml:space="preserve">　　　　　　　　　 </t>
        </r>
        <r>
          <rPr>
            <b/>
            <sz val="10"/>
            <color indexed="32"/>
            <rFont val="ＭＳ 明朝"/>
            <family val="1"/>
            <charset val="128"/>
          </rPr>
          <t>700～1000Ｗ</t>
        </r>
        <r>
          <rPr>
            <sz val="10"/>
            <color indexed="32"/>
            <rFont val="ＭＳ 明朝"/>
            <family val="1"/>
            <charset val="128"/>
          </rPr>
          <t xml:space="preserve"> </t>
        </r>
        <r>
          <rPr>
            <b/>
            <sz val="10"/>
            <color indexed="32"/>
            <rFont val="ＭＳ 明朝"/>
            <family val="1"/>
            <charset val="128"/>
          </rPr>
          <t xml:space="preserve">: 0.470
</t>
        </r>
        <r>
          <rPr>
            <sz val="10"/>
            <color indexed="32"/>
            <rFont val="ＭＳ 明朝"/>
            <family val="1"/>
            <charset val="128"/>
          </rPr>
          <t xml:space="preserve">  </t>
        </r>
        <r>
          <rPr>
            <sz val="10"/>
            <color indexed="9"/>
            <rFont val="ＭＳ 明朝"/>
            <family val="1"/>
            <charset val="128"/>
          </rPr>
          <t>埋　込　灯</t>
        </r>
        <r>
          <rPr>
            <sz val="10"/>
            <color indexed="32"/>
            <rFont val="ＭＳ 明朝"/>
            <family val="1"/>
            <charset val="128"/>
          </rPr>
          <t xml:space="preserve">  　　 </t>
        </r>
        <r>
          <rPr>
            <b/>
            <sz val="10"/>
            <color indexed="32"/>
            <rFont val="ＭＳ 明朝"/>
            <family val="1"/>
            <charset val="128"/>
          </rPr>
          <t>200～ 250Ｗ</t>
        </r>
        <r>
          <rPr>
            <b/>
            <sz val="9"/>
            <color indexed="32"/>
            <rFont val="ＭＳ 明朝"/>
            <family val="1"/>
            <charset val="128"/>
          </rPr>
          <t xml:space="preserve"> </t>
        </r>
        <r>
          <rPr>
            <b/>
            <sz val="10"/>
            <color indexed="32"/>
            <rFont val="ＭＳ 明朝"/>
            <family val="1"/>
            <charset val="128"/>
          </rPr>
          <t>: 0.357</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300～ 400Ｗ</t>
        </r>
        <r>
          <rPr>
            <b/>
            <sz val="9"/>
            <color indexed="32"/>
            <rFont val="ＭＳ 明朝"/>
            <family val="1"/>
            <charset val="128"/>
          </rPr>
          <t xml:space="preserve"> </t>
        </r>
        <r>
          <rPr>
            <b/>
            <sz val="10"/>
            <color indexed="32"/>
            <rFont val="ＭＳ 明朝"/>
            <family val="1"/>
            <charset val="128"/>
          </rPr>
          <t xml:space="preserve">: 0.409
</t>
        </r>
        <r>
          <rPr>
            <sz val="10"/>
            <color indexed="32"/>
            <rFont val="ＭＳ 明朝"/>
            <family val="1"/>
            <charset val="128"/>
          </rPr>
          <t>　</t>
        </r>
        <r>
          <rPr>
            <sz val="10"/>
            <color indexed="9"/>
            <rFont val="ＭＳ 明朝"/>
            <family val="1"/>
            <charset val="128"/>
          </rPr>
          <t>灯具昇降装置(手動)</t>
        </r>
        <r>
          <rPr>
            <sz val="10"/>
            <color indexed="32"/>
            <rFont val="ＭＳ 明朝"/>
            <family val="1"/>
            <charset val="128"/>
          </rPr>
          <t xml:space="preserve">  巻取り器 </t>
        </r>
        <r>
          <rPr>
            <b/>
            <sz val="10"/>
            <color indexed="32"/>
            <rFont val="ＭＳ 明朝"/>
            <family val="1"/>
            <charset val="128"/>
          </rPr>
          <t xml:space="preserve"> : 0.200</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滑  　車 </t>
        </r>
        <r>
          <rPr>
            <b/>
            <sz val="10"/>
            <color indexed="32"/>
            <rFont val="ＭＳ 明朝"/>
            <family val="1"/>
            <charset val="128"/>
          </rPr>
          <t xml:space="preserve"> : 0.080
</t>
        </r>
        <r>
          <rPr>
            <sz val="10"/>
            <color indexed="32"/>
            <rFont val="ＭＳ 明朝"/>
            <family val="1"/>
            <charset val="128"/>
          </rPr>
          <t xml:space="preserve">　　　　　　　 　　   ワイヤー  </t>
        </r>
        <r>
          <rPr>
            <b/>
            <sz val="10"/>
            <color indexed="32"/>
            <rFont val="ＭＳ 明朝"/>
            <family val="1"/>
            <charset val="128"/>
          </rPr>
          <t>: 0.020</t>
        </r>
      </text>
    </comment>
    <comment ref="C10" authorId="0">
      <text>
        <r>
          <rPr>
            <b/>
            <sz val="9"/>
            <color indexed="10"/>
            <rFont val="ＭＳ 明朝"/>
            <family val="1"/>
            <charset val="128"/>
          </rPr>
          <t xml:space="preserve">    </t>
        </r>
        <r>
          <rPr>
            <b/>
            <sz val="10"/>
            <color indexed="16"/>
            <rFont val="ＭＳ Ｐ明朝"/>
            <family val="1"/>
            <charset val="128"/>
          </rPr>
          <t>3KV、6KV</t>
        </r>
        <r>
          <rPr>
            <b/>
            <sz val="10"/>
            <color indexed="16"/>
            <rFont val="ＭＳ 明朝"/>
            <family val="1"/>
            <charset val="128"/>
          </rPr>
          <t xml:space="preserve"> </t>
        </r>
        <r>
          <rPr>
            <b/>
            <sz val="11"/>
            <color indexed="16"/>
            <rFont val="ＭＳ 明朝"/>
            <family val="1"/>
            <charset val="128"/>
          </rPr>
          <t>端末処理</t>
        </r>
        <r>
          <rPr>
            <sz val="10"/>
            <color indexed="16"/>
            <rFont val="ＭＳ 明朝"/>
            <family val="1"/>
            <charset val="128"/>
          </rPr>
          <t>(</t>
        </r>
        <r>
          <rPr>
            <sz val="10"/>
            <color indexed="16"/>
            <rFont val="ＭＳ Ｐ明朝"/>
            <family val="1"/>
            <charset val="128"/>
          </rPr>
          <t>プレハブ</t>
        </r>
        <r>
          <rPr>
            <sz val="10"/>
            <color indexed="16"/>
            <rFont val="ＭＳ 明朝"/>
            <family val="1"/>
            <charset val="128"/>
          </rPr>
          <t>)</t>
        </r>
        <r>
          <rPr>
            <sz val="16"/>
            <color indexed="53"/>
            <rFont val="ＭＳ 明朝"/>
            <family val="1"/>
            <charset val="128"/>
          </rPr>
          <t xml:space="preserve"> </t>
        </r>
        <r>
          <rPr>
            <sz val="10"/>
            <color indexed="81"/>
            <rFont val="ＭＳ 明朝"/>
            <family val="1"/>
            <charset val="128"/>
          </rPr>
          <t xml:space="preserve">
</t>
        </r>
        <r>
          <rPr>
            <sz val="10"/>
            <color indexed="9"/>
            <rFont val="ＭＳ Ｐゴシック"/>
            <family val="3"/>
            <charset val="128"/>
          </rPr>
          <t xml:space="preserve">                    </t>
        </r>
        <r>
          <rPr>
            <b/>
            <sz val="10"/>
            <color indexed="9"/>
            <rFont val="ＭＳ Ｐゴシック"/>
            <family val="3"/>
            <charset val="128"/>
          </rPr>
          <t>1C         3C      3C</t>
        </r>
        <r>
          <rPr>
            <sz val="10"/>
            <color indexed="9"/>
            <rFont val="ＭＳ Ｐゴシック"/>
            <family val="3"/>
            <charset val="128"/>
          </rPr>
          <t>(耐塩)</t>
        </r>
        <r>
          <rPr>
            <b/>
            <sz val="14"/>
            <color indexed="9"/>
            <rFont val="ＭＳ Ｐゴシック"/>
            <family val="3"/>
            <charset val="128"/>
          </rPr>
          <t xml:space="preserve"> </t>
        </r>
        <r>
          <rPr>
            <sz val="10"/>
            <color indexed="81"/>
            <rFont val="ＭＳ 明朝"/>
            <family val="1"/>
            <charset val="128"/>
          </rPr>
          <t xml:space="preserve">
</t>
        </r>
        <r>
          <rPr>
            <sz val="10"/>
            <color indexed="32"/>
            <rFont val="ＭＳ ゴシック"/>
            <family val="3"/>
            <charset val="128"/>
          </rPr>
          <t xml:space="preserve"> </t>
        </r>
        <r>
          <rPr>
            <b/>
            <sz val="10"/>
            <color indexed="32"/>
            <rFont val="ＭＳ ゴシック"/>
            <family val="3"/>
            <charset val="128"/>
          </rPr>
          <t xml:space="preserve">  14</t>
        </r>
        <r>
          <rPr>
            <sz val="10"/>
            <color indexed="32"/>
            <rFont val="ＭＳ ゴシック"/>
            <family val="3"/>
            <charset val="128"/>
          </rPr>
          <t>以下</t>
        </r>
        <r>
          <rPr>
            <b/>
            <sz val="10"/>
            <color indexed="32"/>
            <rFont val="ＭＳ ゴシック"/>
            <family val="3"/>
            <charset val="128"/>
          </rPr>
          <t xml:space="preserve">  0.11    0.19    0.20
   38</t>
        </r>
        <r>
          <rPr>
            <sz val="10"/>
            <color indexed="32"/>
            <rFont val="ＭＳ ゴシック"/>
            <family val="3"/>
            <charset val="128"/>
          </rPr>
          <t>以下</t>
        </r>
        <r>
          <rPr>
            <b/>
            <sz val="10"/>
            <color indexed="32"/>
            <rFont val="ＭＳ ゴシック"/>
            <family val="3"/>
            <charset val="128"/>
          </rPr>
          <t xml:space="preserve">  0.21    0.35    0.41
   60</t>
        </r>
        <r>
          <rPr>
            <sz val="10"/>
            <color indexed="32"/>
            <rFont val="ＭＳ ゴシック"/>
            <family val="3"/>
            <charset val="128"/>
          </rPr>
          <t>以下</t>
        </r>
        <r>
          <rPr>
            <b/>
            <sz val="10"/>
            <color indexed="32"/>
            <rFont val="ＭＳ ゴシック"/>
            <family val="3"/>
            <charset val="128"/>
          </rPr>
          <t xml:space="preserve">  0.31    0.52    0.62
  100</t>
        </r>
        <r>
          <rPr>
            <sz val="10"/>
            <color indexed="32"/>
            <rFont val="ＭＳ ゴシック"/>
            <family val="3"/>
            <charset val="128"/>
          </rPr>
          <t>以下</t>
        </r>
        <r>
          <rPr>
            <b/>
            <sz val="10"/>
            <color indexed="32"/>
            <rFont val="ＭＳ ゴシック"/>
            <family val="3"/>
            <charset val="128"/>
          </rPr>
          <t xml:space="preserve">  0.39    0.65    0.78
  150</t>
        </r>
        <r>
          <rPr>
            <sz val="10"/>
            <color indexed="32"/>
            <rFont val="ＭＳ ゴシック"/>
            <family val="3"/>
            <charset val="128"/>
          </rPr>
          <t>以下</t>
        </r>
        <r>
          <rPr>
            <b/>
            <sz val="10"/>
            <color indexed="32"/>
            <rFont val="ＭＳ ゴシック"/>
            <family val="3"/>
            <charset val="128"/>
          </rPr>
          <t xml:space="preserve">  0.52    0.87    1.04
  200</t>
        </r>
        <r>
          <rPr>
            <sz val="10"/>
            <color indexed="32"/>
            <rFont val="ＭＳ ゴシック"/>
            <family val="3"/>
            <charset val="128"/>
          </rPr>
          <t>以下</t>
        </r>
        <r>
          <rPr>
            <b/>
            <sz val="10"/>
            <color indexed="32"/>
            <rFont val="ＭＳ ゴシック"/>
            <family val="3"/>
            <charset val="128"/>
          </rPr>
          <t xml:space="preserve">  0.60    1.00    1.20</t>
        </r>
        <r>
          <rPr>
            <b/>
            <sz val="10"/>
            <color indexed="81"/>
            <rFont val="ＭＳ Ｐ明朝"/>
            <family val="1"/>
            <charset val="128"/>
          </rPr>
          <t xml:space="preserve">
  </t>
        </r>
      </text>
    </comment>
    <comment ref="G10" authorId="0">
      <text>
        <r>
          <rPr>
            <b/>
            <sz val="10"/>
            <color indexed="16"/>
            <rFont val="ＭＳ 明朝"/>
            <family val="1"/>
            <charset val="128"/>
          </rPr>
          <t xml:space="preserve">   </t>
        </r>
        <r>
          <rPr>
            <b/>
            <sz val="13"/>
            <color indexed="16"/>
            <rFont val="ＭＳ 明朝"/>
            <family val="1"/>
            <charset val="128"/>
          </rPr>
          <t>-2V，-FB</t>
        </r>
        <r>
          <rPr>
            <b/>
            <sz val="16"/>
            <color indexed="81"/>
            <rFont val="ＭＳ 明朝"/>
            <family val="1"/>
            <charset val="128"/>
          </rPr>
          <t xml:space="preserve"> </t>
        </r>
        <r>
          <rPr>
            <b/>
            <sz val="10"/>
            <color indexed="81"/>
            <rFont val="ＭＳ 明朝"/>
            <family val="1"/>
            <charset val="128"/>
          </rPr>
          <t xml:space="preserve">
</t>
        </r>
        <r>
          <rPr>
            <b/>
            <sz val="10"/>
            <color indexed="32"/>
            <rFont val="ＭＳ 明朝"/>
            <family val="1"/>
            <charset val="128"/>
          </rPr>
          <t xml:space="preserve">   3C-  0.017</t>
        </r>
        <r>
          <rPr>
            <b/>
            <sz val="12"/>
            <color indexed="32"/>
            <rFont val="ＭＳ 明朝"/>
            <family val="1"/>
            <charset val="128"/>
          </rPr>
          <t xml:space="preserve"> </t>
        </r>
        <r>
          <rPr>
            <b/>
            <sz val="10"/>
            <color indexed="32"/>
            <rFont val="ＭＳ 明朝"/>
            <family val="1"/>
            <charset val="128"/>
          </rPr>
          <t xml:space="preserve">
   5C-  0.020
   7C-  0.027
  10C-  0.034
 </t>
        </r>
      </text>
    </comment>
    <comment ref="K10" authorId="0">
      <text>
        <r>
          <rPr>
            <sz val="11"/>
            <color indexed="81"/>
            <rFont val="ＭＳ 明朝"/>
            <family val="1"/>
            <charset val="128"/>
          </rPr>
          <t xml:space="preserve">  </t>
        </r>
        <r>
          <rPr>
            <b/>
            <sz val="12"/>
            <color indexed="60"/>
            <rFont val="ＭＳ 明朝"/>
            <family val="1"/>
            <charset val="128"/>
          </rPr>
          <t>配管用炭素綱鋼管</t>
        </r>
        <r>
          <rPr>
            <sz val="18"/>
            <color indexed="81"/>
            <rFont val="ＭＳ 明朝"/>
            <family val="1"/>
            <charset val="128"/>
          </rPr>
          <t xml:space="preserve"> </t>
        </r>
        <r>
          <rPr>
            <sz val="11"/>
            <color indexed="81"/>
            <rFont val="ＭＳ 明朝"/>
            <family val="1"/>
            <charset val="128"/>
          </rPr>
          <t xml:space="preserve">
</t>
        </r>
        <r>
          <rPr>
            <b/>
            <sz val="10"/>
            <color indexed="32"/>
            <rFont val="ＭＳ 明朝"/>
            <family val="1"/>
            <charset val="128"/>
          </rPr>
          <t xml:space="preserve"> GP/SGP  25A : 0.100</t>
        </r>
        <r>
          <rPr>
            <b/>
            <sz val="14"/>
            <color indexed="32"/>
            <rFont val="ＭＳ 明朝"/>
            <family val="1"/>
            <charset val="128"/>
          </rPr>
          <t xml:space="preserve"> </t>
        </r>
        <r>
          <rPr>
            <b/>
            <sz val="10"/>
            <color indexed="32"/>
            <rFont val="ＭＳ 明朝"/>
            <family val="1"/>
            <charset val="128"/>
          </rPr>
          <t xml:space="preserve">
 GP/SGP  32A : 0.124
 GP/SGP  40A : 0.137
 GP/SGP  50A : 0.161
 GP/SGP  65A : 0.199
 GP/SGP  80A : 0.261
 GP/SGP 100A : 0.347
 GP/SGP 125A : 0.410
 GP/SGP 150A : 0.497
 </t>
        </r>
      </text>
    </comment>
    <comment ref="S10" authorId="0">
      <text>
        <r>
          <rPr>
            <sz val="11"/>
            <color indexed="81"/>
            <rFont val="ＭＳ 明朝"/>
            <family val="1"/>
            <charset val="128"/>
          </rPr>
          <t xml:space="preserve">     </t>
        </r>
        <r>
          <rPr>
            <b/>
            <sz val="12"/>
            <color indexed="60"/>
            <rFont val="ＭＳ 明朝"/>
            <family val="1"/>
            <charset val="128"/>
          </rPr>
          <t>銅　 　帯</t>
        </r>
        <r>
          <rPr>
            <sz val="12"/>
            <color indexed="60"/>
            <rFont val="ＭＳ 明朝"/>
            <family val="1"/>
            <charset val="128"/>
          </rPr>
          <t>　　　　</t>
        </r>
        <r>
          <rPr>
            <b/>
            <sz val="12"/>
            <color indexed="60"/>
            <rFont val="ＭＳ 明朝"/>
            <family val="1"/>
            <charset val="128"/>
          </rPr>
          <t>銅 　棒　　　 電 　線</t>
        </r>
        <r>
          <rPr>
            <sz val="16"/>
            <color indexed="81"/>
            <rFont val="ＭＳ 明朝"/>
            <family val="1"/>
            <charset val="128"/>
          </rPr>
          <t xml:space="preserve"> </t>
        </r>
        <r>
          <rPr>
            <b/>
            <sz val="11"/>
            <color indexed="81"/>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(3x 25mm)x1 </t>
        </r>
        <r>
          <rPr>
            <b/>
            <sz val="10"/>
            <color indexed="32"/>
            <rFont val="ＭＳ 明朝"/>
            <family val="1"/>
            <charset val="128"/>
          </rPr>
          <t>:0.088   4</t>
        </r>
        <r>
          <rPr>
            <sz val="10"/>
            <color indexed="32"/>
            <rFont val="ＭＳ 明朝"/>
            <family val="1"/>
            <charset val="128"/>
          </rPr>
          <t xml:space="preserve">mmφ </t>
        </r>
        <r>
          <rPr>
            <b/>
            <sz val="10"/>
            <color indexed="32"/>
            <rFont val="ＭＳ 明朝"/>
            <family val="1"/>
            <charset val="128"/>
          </rPr>
          <t>:0.097    8</t>
        </r>
        <r>
          <rPr>
            <sz val="10"/>
            <color indexed="32"/>
            <rFont val="ＭＳ 明朝"/>
            <family val="1"/>
            <charset val="128"/>
          </rPr>
          <t xml:space="preserve">sqmm </t>
        </r>
        <r>
          <rPr>
            <b/>
            <sz val="10"/>
            <color indexed="32"/>
            <rFont val="ＭＳ 明朝"/>
            <family val="1"/>
            <charset val="128"/>
          </rPr>
          <t>:0.036</t>
        </r>
        <r>
          <rPr>
            <b/>
            <sz val="12"/>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(3x 25mm)x2 </t>
        </r>
        <r>
          <rPr>
            <b/>
            <sz val="10"/>
            <color indexed="32"/>
            <rFont val="ＭＳ 明朝"/>
            <family val="1"/>
            <charset val="128"/>
          </rPr>
          <t>:0.176   5</t>
        </r>
        <r>
          <rPr>
            <sz val="10"/>
            <color indexed="32"/>
            <rFont val="ＭＳ 明朝"/>
            <family val="1"/>
            <charset val="128"/>
          </rPr>
          <t xml:space="preserve">mmφ </t>
        </r>
        <r>
          <rPr>
            <b/>
            <sz val="10"/>
            <color indexed="32"/>
            <rFont val="ＭＳ 明朝"/>
            <family val="1"/>
            <charset val="128"/>
          </rPr>
          <t>:0.097   14</t>
        </r>
        <r>
          <rPr>
            <sz val="10"/>
            <color indexed="32"/>
            <rFont val="ＭＳ 明朝"/>
            <family val="1"/>
            <charset val="128"/>
          </rPr>
          <t xml:space="preserve">sqmm </t>
        </r>
        <r>
          <rPr>
            <b/>
            <sz val="10"/>
            <color indexed="32"/>
            <rFont val="ＭＳ 明朝"/>
            <family val="1"/>
            <charset val="128"/>
          </rPr>
          <t xml:space="preserve">:0.042
 </t>
        </r>
        <r>
          <rPr>
            <sz val="10"/>
            <color indexed="32"/>
            <rFont val="ＭＳ 明朝"/>
            <family val="1"/>
            <charset val="128"/>
          </rPr>
          <t xml:space="preserve">(3x 50mm)x1 </t>
        </r>
        <r>
          <rPr>
            <b/>
            <sz val="10"/>
            <color indexed="32"/>
            <rFont val="ＭＳ 明朝"/>
            <family val="1"/>
            <charset val="128"/>
          </rPr>
          <t>:0.137   6</t>
        </r>
        <r>
          <rPr>
            <sz val="10"/>
            <color indexed="32"/>
            <rFont val="ＭＳ 明朝"/>
            <family val="1"/>
            <charset val="128"/>
          </rPr>
          <t xml:space="preserve">mmφ </t>
        </r>
        <r>
          <rPr>
            <b/>
            <sz val="10"/>
            <color indexed="32"/>
            <rFont val="ＭＳ 明朝"/>
            <family val="1"/>
            <charset val="128"/>
          </rPr>
          <t>:0.097   22</t>
        </r>
        <r>
          <rPr>
            <sz val="10"/>
            <color indexed="32"/>
            <rFont val="ＭＳ 明朝"/>
            <family val="1"/>
            <charset val="128"/>
          </rPr>
          <t xml:space="preserve">sqmm </t>
        </r>
        <r>
          <rPr>
            <b/>
            <sz val="10"/>
            <color indexed="32"/>
            <rFont val="ＭＳ 明朝"/>
            <family val="1"/>
            <charset val="128"/>
          </rPr>
          <t xml:space="preserve">:0.042
 </t>
        </r>
        <r>
          <rPr>
            <sz val="10"/>
            <color indexed="32"/>
            <rFont val="ＭＳ 明朝"/>
            <family val="1"/>
            <charset val="128"/>
          </rPr>
          <t xml:space="preserve">(3x 50mm)x2 </t>
        </r>
        <r>
          <rPr>
            <b/>
            <sz val="10"/>
            <color indexed="32"/>
            <rFont val="ＭＳ 明朝"/>
            <family val="1"/>
            <charset val="128"/>
          </rPr>
          <t>:0.274   7</t>
        </r>
        <r>
          <rPr>
            <sz val="10"/>
            <color indexed="32"/>
            <rFont val="ＭＳ 明朝"/>
            <family val="1"/>
            <charset val="128"/>
          </rPr>
          <t xml:space="preserve">mmφ </t>
        </r>
        <r>
          <rPr>
            <b/>
            <sz val="10"/>
            <color indexed="32"/>
            <rFont val="ＭＳ 明朝"/>
            <family val="1"/>
            <charset val="128"/>
          </rPr>
          <t>:0.097   38</t>
        </r>
        <r>
          <rPr>
            <sz val="10"/>
            <color indexed="32"/>
            <rFont val="ＭＳ 明朝"/>
            <family val="1"/>
            <charset val="128"/>
          </rPr>
          <t xml:space="preserve">sqmm </t>
        </r>
        <r>
          <rPr>
            <b/>
            <sz val="10"/>
            <color indexed="32"/>
            <rFont val="ＭＳ 明朝"/>
            <family val="1"/>
            <charset val="128"/>
          </rPr>
          <t xml:space="preserve">:0.063
 </t>
        </r>
        <r>
          <rPr>
            <sz val="10"/>
            <color indexed="32"/>
            <rFont val="ＭＳ 明朝"/>
            <family val="1"/>
            <charset val="128"/>
          </rPr>
          <t xml:space="preserve">(6x 50mm)x1 </t>
        </r>
        <r>
          <rPr>
            <b/>
            <sz val="10"/>
            <color indexed="32"/>
            <rFont val="ＭＳ 明朝"/>
            <family val="1"/>
            <charset val="128"/>
          </rPr>
          <t>:0.239   8</t>
        </r>
        <r>
          <rPr>
            <sz val="10"/>
            <color indexed="32"/>
            <rFont val="ＭＳ 明朝"/>
            <family val="1"/>
            <charset val="128"/>
          </rPr>
          <t xml:space="preserve">mmφ </t>
        </r>
        <r>
          <rPr>
            <b/>
            <sz val="10"/>
            <color indexed="32"/>
            <rFont val="ＭＳ 明朝"/>
            <family val="1"/>
            <charset val="128"/>
          </rPr>
          <t>:0.097   60</t>
        </r>
        <r>
          <rPr>
            <sz val="10"/>
            <color indexed="32"/>
            <rFont val="ＭＳ 明朝"/>
            <family val="1"/>
            <charset val="128"/>
          </rPr>
          <t xml:space="preserve">sqmm </t>
        </r>
        <r>
          <rPr>
            <b/>
            <sz val="10"/>
            <color indexed="32"/>
            <rFont val="ＭＳ 明朝"/>
            <family val="1"/>
            <charset val="128"/>
          </rPr>
          <t xml:space="preserve">:0.082
 </t>
        </r>
        <r>
          <rPr>
            <sz val="10"/>
            <color indexed="32"/>
            <rFont val="ＭＳ 明朝"/>
            <family val="1"/>
            <charset val="128"/>
          </rPr>
          <t xml:space="preserve">(6x 50mm)x2 </t>
        </r>
        <r>
          <rPr>
            <b/>
            <sz val="10"/>
            <color indexed="32"/>
            <rFont val="ＭＳ 明朝"/>
            <family val="1"/>
            <charset val="128"/>
          </rPr>
          <t>:0.478   9</t>
        </r>
        <r>
          <rPr>
            <sz val="10"/>
            <color indexed="32"/>
            <rFont val="ＭＳ 明朝"/>
            <family val="1"/>
            <charset val="128"/>
          </rPr>
          <t xml:space="preserve">mmφ </t>
        </r>
        <r>
          <rPr>
            <b/>
            <sz val="10"/>
            <color indexed="32"/>
            <rFont val="ＭＳ 明朝"/>
            <family val="1"/>
            <charset val="128"/>
          </rPr>
          <t>:0.097  100</t>
        </r>
        <r>
          <rPr>
            <sz val="10"/>
            <color indexed="32"/>
            <rFont val="ＭＳ 明朝"/>
            <family val="1"/>
            <charset val="128"/>
          </rPr>
          <t xml:space="preserve">sqmm </t>
        </r>
        <r>
          <rPr>
            <b/>
            <sz val="10"/>
            <color indexed="32"/>
            <rFont val="ＭＳ 明朝"/>
            <family val="1"/>
            <charset val="128"/>
          </rPr>
          <t xml:space="preserve">:0.082
 </t>
        </r>
        <r>
          <rPr>
            <sz val="10"/>
            <color indexed="32"/>
            <rFont val="ＭＳ 明朝"/>
            <family val="1"/>
            <charset val="128"/>
          </rPr>
          <t xml:space="preserve">(6x 75mm)x1 </t>
        </r>
        <r>
          <rPr>
            <b/>
            <sz val="10"/>
            <color indexed="32"/>
            <rFont val="ＭＳ 明朝"/>
            <family val="1"/>
            <charset val="128"/>
          </rPr>
          <t>:0.274  10</t>
        </r>
        <r>
          <rPr>
            <sz val="10"/>
            <color indexed="32"/>
            <rFont val="ＭＳ 明朝"/>
            <family val="1"/>
            <charset val="128"/>
          </rPr>
          <t xml:space="preserve">mmφ </t>
        </r>
        <r>
          <rPr>
            <b/>
            <sz val="10"/>
            <color indexed="32"/>
            <rFont val="ＭＳ 明朝"/>
            <family val="1"/>
            <charset val="128"/>
          </rPr>
          <t>:0.124  150</t>
        </r>
        <r>
          <rPr>
            <sz val="10"/>
            <color indexed="32"/>
            <rFont val="ＭＳ 明朝"/>
            <family val="1"/>
            <charset val="128"/>
          </rPr>
          <t xml:space="preserve">sqmm </t>
        </r>
        <r>
          <rPr>
            <b/>
            <sz val="10"/>
            <color indexed="32"/>
            <rFont val="ＭＳ 明朝"/>
            <family val="1"/>
            <charset val="128"/>
          </rPr>
          <t xml:space="preserve">:0.140
 </t>
        </r>
        <r>
          <rPr>
            <sz val="10"/>
            <color indexed="32"/>
            <rFont val="ＭＳ 明朝"/>
            <family val="1"/>
            <charset val="128"/>
          </rPr>
          <t xml:space="preserve">(6x 75mm)x2 </t>
        </r>
        <r>
          <rPr>
            <b/>
            <sz val="10"/>
            <color indexed="32"/>
            <rFont val="ＭＳ 明朝"/>
            <family val="1"/>
            <charset val="128"/>
          </rPr>
          <t>:0.548  11</t>
        </r>
        <r>
          <rPr>
            <sz val="10"/>
            <color indexed="32"/>
            <rFont val="ＭＳ 明朝"/>
            <family val="1"/>
            <charset val="128"/>
          </rPr>
          <t xml:space="preserve">mmφ </t>
        </r>
        <r>
          <rPr>
            <b/>
            <sz val="10"/>
            <color indexed="32"/>
            <rFont val="ＭＳ 明朝"/>
            <family val="1"/>
            <charset val="128"/>
          </rPr>
          <t>:0.124  200</t>
        </r>
        <r>
          <rPr>
            <sz val="10"/>
            <color indexed="32"/>
            <rFont val="ＭＳ 明朝"/>
            <family val="1"/>
            <charset val="128"/>
          </rPr>
          <t xml:space="preserve">sqmm </t>
        </r>
        <r>
          <rPr>
            <b/>
            <sz val="10"/>
            <color indexed="32"/>
            <rFont val="ＭＳ 明朝"/>
            <family val="1"/>
            <charset val="128"/>
          </rPr>
          <t xml:space="preserve">:0.140
 </t>
        </r>
        <r>
          <rPr>
            <sz val="10"/>
            <color indexed="32"/>
            <rFont val="ＭＳ 明朝"/>
            <family val="1"/>
            <charset val="128"/>
          </rPr>
          <t xml:space="preserve">(6x100mm)x1 </t>
        </r>
        <r>
          <rPr>
            <b/>
            <sz val="10"/>
            <color indexed="32"/>
            <rFont val="ＭＳ 明朝"/>
            <family val="1"/>
            <charset val="128"/>
          </rPr>
          <t>:0.407  12</t>
        </r>
        <r>
          <rPr>
            <sz val="10"/>
            <color indexed="32"/>
            <rFont val="ＭＳ 明朝"/>
            <family val="1"/>
            <charset val="128"/>
          </rPr>
          <t xml:space="preserve">mmφ </t>
        </r>
        <r>
          <rPr>
            <b/>
            <sz val="10"/>
            <color indexed="32"/>
            <rFont val="ＭＳ 明朝"/>
            <family val="1"/>
            <charset val="128"/>
          </rPr>
          <t>:0.124  250</t>
        </r>
        <r>
          <rPr>
            <sz val="10"/>
            <color indexed="32"/>
            <rFont val="ＭＳ 明朝"/>
            <family val="1"/>
            <charset val="128"/>
          </rPr>
          <t xml:space="preserve">sqmm </t>
        </r>
        <r>
          <rPr>
            <b/>
            <sz val="10"/>
            <color indexed="32"/>
            <rFont val="ＭＳ 明朝"/>
            <family val="1"/>
            <charset val="128"/>
          </rPr>
          <t xml:space="preserve">:0.140
 </t>
        </r>
        <r>
          <rPr>
            <sz val="10"/>
            <color indexed="32"/>
            <rFont val="ＭＳ 明朝"/>
            <family val="1"/>
            <charset val="128"/>
          </rPr>
          <t xml:space="preserve">(6x100mm)x2 </t>
        </r>
        <r>
          <rPr>
            <b/>
            <sz val="10"/>
            <color indexed="32"/>
            <rFont val="ＭＳ 明朝"/>
            <family val="1"/>
            <charset val="128"/>
          </rPr>
          <t>:0.814</t>
        </r>
        <r>
          <rPr>
            <b/>
            <sz val="10"/>
            <color indexed="81"/>
            <rFont val="ＭＳ 明朝"/>
            <family val="1"/>
            <charset val="128"/>
          </rPr>
          <t xml:space="preserve"> </t>
        </r>
        <r>
          <rPr>
            <b/>
            <sz val="9"/>
            <color indexed="17"/>
            <rFont val="ＭＳ 明朝"/>
            <family val="1"/>
            <charset val="128"/>
          </rPr>
          <t xml:space="preserve">
    　</t>
        </r>
        <r>
          <rPr>
            <b/>
            <sz val="12"/>
            <color indexed="60"/>
            <rFont val="ＭＳ 明朝"/>
            <family val="1"/>
            <charset val="128"/>
          </rPr>
          <t>鋼　材　類</t>
        </r>
        <r>
          <rPr>
            <b/>
            <sz val="9"/>
            <color indexed="17"/>
            <rFont val="ＭＳ 明朝"/>
            <family val="1"/>
            <charset val="128"/>
          </rPr>
          <t xml:space="preserve">
</t>
        </r>
        <r>
          <rPr>
            <sz val="10"/>
            <color indexed="32"/>
            <rFont val="ＭＳ 明朝"/>
            <family val="1"/>
            <charset val="128"/>
          </rPr>
          <t xml:space="preserve">  平綱 25～50mm x3t 　　 </t>
        </r>
        <r>
          <rPr>
            <b/>
            <sz val="10"/>
            <color indexed="32"/>
            <rFont val="ＭＳ 明朝"/>
            <family val="1"/>
            <charset val="128"/>
          </rPr>
          <t>:0.168</t>
        </r>
        <r>
          <rPr>
            <sz val="10"/>
            <color indexed="32"/>
            <rFont val="ＭＳ 明朝"/>
            <family val="1"/>
            <charset val="128"/>
          </rPr>
          <t xml:space="preserve">
  　　   　50mm x6t 以下 </t>
        </r>
        <r>
          <rPr>
            <b/>
            <sz val="10"/>
            <color indexed="32"/>
            <rFont val="ＭＳ 明朝"/>
            <family val="1"/>
            <charset val="128"/>
          </rPr>
          <t xml:space="preserve">:0.195
</t>
        </r>
        <r>
          <rPr>
            <sz val="10"/>
            <color indexed="32"/>
            <rFont val="ＭＳ 明朝"/>
            <family val="1"/>
            <charset val="128"/>
          </rPr>
          <t xml:space="preserve">  Ｌ綱 30～50mm x3t 　　 </t>
        </r>
        <r>
          <rPr>
            <b/>
            <sz val="10"/>
            <color indexed="32"/>
            <rFont val="ＭＳ 明朝"/>
            <family val="1"/>
            <charset val="128"/>
          </rPr>
          <t>:0.177</t>
        </r>
        <r>
          <rPr>
            <sz val="10"/>
            <color indexed="32"/>
            <rFont val="ＭＳ 明朝"/>
            <family val="1"/>
            <charset val="128"/>
          </rPr>
          <t xml:space="preserve">
  　　   　50mm x6t 以下 </t>
        </r>
        <r>
          <rPr>
            <b/>
            <sz val="10"/>
            <color indexed="32"/>
            <rFont val="ＭＳ 明朝"/>
            <family val="1"/>
            <charset val="128"/>
          </rPr>
          <t xml:space="preserve">:0.195
</t>
        </r>
        <r>
          <rPr>
            <sz val="10"/>
            <color indexed="32"/>
            <rFont val="ＭＳ 明朝"/>
            <family val="1"/>
            <charset val="128"/>
          </rPr>
          <t xml:space="preserve">  フレームパイプ 32A   </t>
        </r>
        <r>
          <rPr>
            <b/>
            <sz val="10"/>
            <color indexed="32"/>
            <rFont val="ＭＳ 明朝"/>
            <family val="1"/>
            <charset val="128"/>
          </rPr>
          <t xml:space="preserve"> </t>
        </r>
        <r>
          <rPr>
            <b/>
            <sz val="9"/>
            <color indexed="32"/>
            <rFont val="ＭＳ 明朝"/>
            <family val="1"/>
            <charset val="128"/>
          </rPr>
          <t xml:space="preserve"> </t>
        </r>
        <r>
          <rPr>
            <b/>
            <sz val="10"/>
            <color indexed="32"/>
            <rFont val="ＭＳ 明朝"/>
            <family val="1"/>
            <charset val="128"/>
          </rPr>
          <t>:0.150</t>
        </r>
        <r>
          <rPr>
            <sz val="10"/>
            <color indexed="32"/>
            <rFont val="ＭＳ 明朝"/>
            <family val="1"/>
            <charset val="128"/>
          </rPr>
          <t xml:space="preserve">
  保 護 金 網 (／㎡)    </t>
        </r>
        <r>
          <rPr>
            <b/>
            <sz val="10"/>
            <color indexed="32"/>
            <rFont val="ＭＳ 明朝"/>
            <family val="1"/>
            <charset val="128"/>
          </rPr>
          <t xml:space="preserve"> :0.177</t>
        </r>
      </text>
    </comment>
    <comment ref="W10" authorId="0">
      <text>
        <r>
          <rPr>
            <b/>
            <sz val="10"/>
            <color indexed="81"/>
            <rFont val="ＭＳ 明朝"/>
            <family val="1"/>
            <charset val="128"/>
          </rPr>
          <t xml:space="preserve">　　　　　 </t>
        </r>
        <r>
          <rPr>
            <b/>
            <sz val="12"/>
            <color indexed="60"/>
            <rFont val="ＭＳ 明朝"/>
            <family val="1"/>
            <charset val="128"/>
          </rPr>
          <t>架　　　線</t>
        </r>
        <r>
          <rPr>
            <sz val="16"/>
            <color indexed="53"/>
            <rFont val="ＭＳ 明朝"/>
            <family val="1"/>
            <charset val="128"/>
          </rPr>
          <t xml:space="preserve"> </t>
        </r>
        <r>
          <rPr>
            <b/>
            <sz val="16"/>
            <color indexed="53"/>
            <rFont val="ＭＳ 明朝"/>
            <family val="1"/>
            <charset val="128"/>
          </rPr>
          <t xml:space="preserve">
</t>
        </r>
        <r>
          <rPr>
            <sz val="11"/>
            <color indexed="53"/>
            <rFont val="ＭＳ 明朝"/>
            <family val="1"/>
            <charset val="128"/>
          </rPr>
          <t xml:space="preserve">  </t>
        </r>
        <r>
          <rPr>
            <b/>
            <sz val="11"/>
            <color indexed="9"/>
            <rFont val="ＭＳ Ｐ明朝"/>
            <family val="1"/>
            <charset val="128"/>
          </rPr>
          <t>ＯＷ</t>
        </r>
        <r>
          <rPr>
            <b/>
            <sz val="11"/>
            <color indexed="9"/>
            <rFont val="ＭＳ 明朝"/>
            <family val="1"/>
            <charset val="128"/>
          </rPr>
          <t>・</t>
        </r>
        <r>
          <rPr>
            <b/>
            <sz val="11"/>
            <color indexed="9"/>
            <rFont val="ＭＳ Ｐ明朝"/>
            <family val="1"/>
            <charset val="128"/>
          </rPr>
          <t>ＯＣ</t>
        </r>
        <r>
          <rPr>
            <b/>
            <sz val="11"/>
            <color indexed="9"/>
            <rFont val="ＭＳ 明朝"/>
            <family val="1"/>
            <charset val="128"/>
          </rPr>
          <t>・</t>
        </r>
        <r>
          <rPr>
            <b/>
            <sz val="11"/>
            <color indexed="9"/>
            <rFont val="ＭＳ Ｐ明朝"/>
            <family val="1"/>
            <charset val="128"/>
          </rPr>
          <t>ＯＥ</t>
        </r>
        <r>
          <rPr>
            <sz val="11"/>
            <color indexed="9"/>
            <rFont val="ＭＳ 明朝"/>
            <family val="1"/>
            <charset val="128"/>
          </rPr>
          <t>電線(１条１径間)</t>
        </r>
        <r>
          <rPr>
            <b/>
            <sz val="14"/>
            <color indexed="53"/>
            <rFont val="ＭＳ 明朝"/>
            <family val="1"/>
            <charset val="128"/>
          </rPr>
          <t xml:space="preserve">
</t>
        </r>
        <r>
          <rPr>
            <sz val="10"/>
            <color indexed="32"/>
            <rFont val="ＭＳ 明朝"/>
            <family val="1"/>
            <charset val="128"/>
          </rPr>
          <t>　　　　　　</t>
        </r>
        <r>
          <rPr>
            <b/>
            <sz val="9"/>
            <color indexed="32"/>
            <rFont val="ＭＳ 明朝"/>
            <family val="1"/>
            <charset val="128"/>
          </rPr>
          <t xml:space="preserve">  2.6</t>
        </r>
        <r>
          <rPr>
            <sz val="9"/>
            <color indexed="32"/>
            <rFont val="ＭＳ 明朝"/>
            <family val="1"/>
            <charset val="128"/>
          </rPr>
          <t xml:space="preserve">mm </t>
        </r>
        <r>
          <rPr>
            <b/>
            <sz val="9"/>
            <color indexed="32"/>
            <rFont val="ＭＳ 明朝"/>
            <family val="1"/>
            <charset val="128"/>
          </rPr>
          <t xml:space="preserve">  3.2</t>
        </r>
        <r>
          <rPr>
            <sz val="9"/>
            <color indexed="32"/>
            <rFont val="ＭＳ 明朝"/>
            <family val="1"/>
            <charset val="128"/>
          </rPr>
          <t>mm</t>
        </r>
        <r>
          <rPr>
            <b/>
            <sz val="9"/>
            <color indexed="32"/>
            <rFont val="ＭＳ 明朝"/>
            <family val="1"/>
            <charset val="128"/>
          </rPr>
          <t xml:space="preserve">  4.0</t>
        </r>
        <r>
          <rPr>
            <sz val="9"/>
            <color indexed="32"/>
            <rFont val="ＭＳ 明朝"/>
            <family val="1"/>
            <charset val="128"/>
          </rPr>
          <t>mm</t>
        </r>
        <r>
          <rPr>
            <b/>
            <sz val="9"/>
            <color indexed="32"/>
            <rFont val="ＭＳ 明朝"/>
            <family val="1"/>
            <charset val="128"/>
          </rPr>
          <t xml:space="preserve">  22</t>
        </r>
        <r>
          <rPr>
            <sz val="9"/>
            <color indexed="32"/>
            <rFont val="ＭＳ 明朝"/>
            <family val="1"/>
            <charset val="128"/>
          </rPr>
          <t>sqmm</t>
        </r>
        <r>
          <rPr>
            <b/>
            <sz val="9"/>
            <color indexed="32"/>
            <rFont val="ＭＳ 明朝"/>
            <family val="1"/>
            <charset val="128"/>
          </rPr>
          <t xml:space="preserve">  30</t>
        </r>
        <r>
          <rPr>
            <sz val="9"/>
            <color indexed="32"/>
            <rFont val="ＭＳ 明朝"/>
            <family val="1"/>
            <charset val="128"/>
          </rPr>
          <t xml:space="preserve">sqmm  </t>
        </r>
        <r>
          <rPr>
            <b/>
            <sz val="9"/>
            <color indexed="32"/>
            <rFont val="ＭＳ 明朝"/>
            <family val="1"/>
            <charset val="128"/>
          </rPr>
          <t>38</t>
        </r>
        <r>
          <rPr>
            <sz val="9"/>
            <color indexed="32"/>
            <rFont val="ＭＳ 明朝"/>
            <family val="1"/>
            <charset val="128"/>
          </rPr>
          <t xml:space="preserve">sqmm  </t>
        </r>
        <r>
          <rPr>
            <b/>
            <sz val="9"/>
            <color indexed="32"/>
            <rFont val="ＭＳ 明朝"/>
            <family val="1"/>
            <charset val="128"/>
          </rPr>
          <t>50</t>
        </r>
        <r>
          <rPr>
            <sz val="9"/>
            <color indexed="32"/>
            <rFont val="ＭＳ 明朝"/>
            <family val="1"/>
            <charset val="128"/>
          </rPr>
          <t xml:space="preserve">sqmm  </t>
        </r>
        <r>
          <rPr>
            <b/>
            <sz val="9"/>
            <color indexed="32"/>
            <rFont val="ＭＳ 明朝"/>
            <family val="1"/>
            <charset val="128"/>
          </rPr>
          <t>60</t>
        </r>
        <r>
          <rPr>
            <sz val="9"/>
            <color indexed="32"/>
            <rFont val="ＭＳ 明朝"/>
            <family val="1"/>
            <charset val="128"/>
          </rPr>
          <t xml:space="preserve">sqmm  </t>
        </r>
        <r>
          <rPr>
            <b/>
            <sz val="9"/>
            <color indexed="32"/>
            <rFont val="ＭＳ 明朝"/>
            <family val="1"/>
            <charset val="128"/>
          </rPr>
          <t>80</t>
        </r>
        <r>
          <rPr>
            <sz val="9"/>
            <color indexed="32"/>
            <rFont val="ＭＳ 明朝"/>
            <family val="1"/>
            <charset val="128"/>
          </rPr>
          <t xml:space="preserve">sqmm </t>
        </r>
        <r>
          <rPr>
            <b/>
            <sz val="9"/>
            <color indexed="32"/>
            <rFont val="ＭＳ 明朝"/>
            <family val="1"/>
            <charset val="128"/>
          </rPr>
          <t>100</t>
        </r>
        <r>
          <rPr>
            <sz val="9"/>
            <color indexed="32"/>
            <rFont val="ＭＳ 明朝"/>
            <family val="1"/>
            <charset val="128"/>
          </rPr>
          <t xml:space="preserve">sqmm </t>
        </r>
        <r>
          <rPr>
            <b/>
            <sz val="9"/>
            <color indexed="32"/>
            <rFont val="ＭＳ 明朝"/>
            <family val="1"/>
            <charset val="128"/>
          </rPr>
          <t>125</t>
        </r>
        <r>
          <rPr>
            <sz val="9"/>
            <color indexed="32"/>
            <rFont val="ＭＳ 明朝"/>
            <family val="1"/>
            <charset val="128"/>
          </rPr>
          <t xml:space="preserve">sqmm </t>
        </r>
        <r>
          <rPr>
            <b/>
            <sz val="9"/>
            <color indexed="32"/>
            <rFont val="ＭＳ 明朝"/>
            <family val="1"/>
            <charset val="128"/>
          </rPr>
          <t>150</t>
        </r>
        <r>
          <rPr>
            <sz val="9"/>
            <color indexed="32"/>
            <rFont val="ＭＳ 明朝"/>
            <family val="1"/>
            <charset val="128"/>
          </rPr>
          <t>sqmm</t>
        </r>
        <r>
          <rPr>
            <sz val="10"/>
            <color indexed="32"/>
            <rFont val="ＭＳ 明朝"/>
            <family val="1"/>
            <charset val="128"/>
          </rPr>
          <t xml:space="preserve">
　電　　　工</t>
        </r>
        <r>
          <rPr>
            <b/>
            <sz val="9"/>
            <color indexed="32"/>
            <rFont val="ＭＳ 明朝"/>
            <family val="1"/>
            <charset val="128"/>
          </rPr>
          <t xml:space="preserve">  0.113  0.130  0.209  0.287   0.348  0.391  0.443   0.487  0.565  0.626  0.704   0.765</t>
        </r>
        <r>
          <rPr>
            <sz val="10"/>
            <color indexed="32"/>
            <rFont val="ＭＳ 明朝"/>
            <family val="1"/>
            <charset val="128"/>
          </rPr>
          <t xml:space="preserve">
　普通作業員</t>
        </r>
        <r>
          <rPr>
            <b/>
            <sz val="9"/>
            <color indexed="32"/>
            <rFont val="ＭＳ 明朝"/>
            <family val="1"/>
            <charset val="128"/>
          </rPr>
          <t xml:space="preserve">  0.061  0.070  0.104  0.149   0.174  0.191  0.226   0.243  0.287  0.313  0.348   0.383
</t>
        </r>
        <r>
          <rPr>
            <b/>
            <sz val="10"/>
            <color indexed="9"/>
            <rFont val="Meiryo UI"/>
            <family val="3"/>
            <charset val="128"/>
          </rPr>
          <t xml:space="preserve">  </t>
        </r>
        <r>
          <rPr>
            <sz val="10"/>
            <color indexed="9"/>
            <rFont val="Meiryo UI"/>
            <family val="3"/>
            <charset val="128"/>
          </rPr>
          <t>(注) 径間は、20～40ｍとする。</t>
        </r>
        <r>
          <rPr>
            <sz val="14"/>
            <color indexed="9"/>
            <rFont val="Meiryo UI"/>
            <family val="3"/>
            <charset val="128"/>
          </rPr>
          <t xml:space="preserve"> </t>
        </r>
        <r>
          <rPr>
            <sz val="14"/>
            <color indexed="53"/>
            <rFont val="ＭＳ 明朝"/>
            <family val="1"/>
            <charset val="128"/>
          </rPr>
          <t xml:space="preserve">
</t>
        </r>
      </text>
    </comment>
    <comment ref="AA10" authorId="0">
      <text>
        <r>
          <rPr>
            <sz val="10"/>
            <color indexed="81"/>
            <rFont val="ＭＳ 明朝"/>
            <family val="1"/>
            <charset val="128"/>
          </rPr>
          <t xml:space="preserve">　      </t>
        </r>
        <r>
          <rPr>
            <b/>
            <sz val="12"/>
            <color indexed="16"/>
            <rFont val="ＭＳ 明朝"/>
            <family val="1"/>
            <charset val="128"/>
          </rPr>
          <t>避 雷 針 工 事</t>
        </r>
        <r>
          <rPr>
            <sz val="16"/>
            <color indexed="53"/>
            <rFont val="ＭＳ 明朝"/>
            <family val="1"/>
            <charset val="128"/>
          </rPr>
          <t xml:space="preserve"> </t>
        </r>
        <r>
          <rPr>
            <sz val="10"/>
            <color indexed="81"/>
            <rFont val="ＭＳ 明朝"/>
            <family val="1"/>
            <charset val="128"/>
          </rPr>
          <t xml:space="preserve">
</t>
        </r>
        <r>
          <rPr>
            <b/>
            <sz val="10"/>
            <color indexed="32"/>
            <rFont val="ＭＳ 明朝"/>
            <family val="1"/>
            <charset val="128"/>
          </rPr>
          <t xml:space="preserve">  </t>
        </r>
        <r>
          <rPr>
            <sz val="10"/>
            <color indexed="9"/>
            <rFont val="ＭＳ 明朝"/>
            <family val="1"/>
            <charset val="128"/>
          </rPr>
          <t>突　　　針</t>
        </r>
        <r>
          <rPr>
            <b/>
            <sz val="10"/>
            <color indexed="32"/>
            <rFont val="ＭＳ 明朝"/>
            <family val="1"/>
            <charset val="128"/>
          </rPr>
          <t xml:space="preserve">  : 2.70</t>
        </r>
        <r>
          <rPr>
            <sz val="14"/>
            <color indexed="32"/>
            <rFont val="ＭＳ 明朝"/>
            <family val="1"/>
            <charset val="128"/>
          </rPr>
          <t xml:space="preserve"> </t>
        </r>
        <r>
          <rPr>
            <b/>
            <sz val="10"/>
            <color indexed="32"/>
            <rFont val="ＭＳ 明朝"/>
            <family val="1"/>
            <charset val="128"/>
          </rPr>
          <t xml:space="preserve">
  </t>
        </r>
        <r>
          <rPr>
            <sz val="10"/>
            <color indexed="9"/>
            <rFont val="ＭＳ 明朝"/>
            <family val="1"/>
            <charset val="128"/>
          </rPr>
          <t>導　　　線</t>
        </r>
        <r>
          <rPr>
            <b/>
            <sz val="10"/>
            <color indexed="32"/>
            <rFont val="ＭＳ 明朝"/>
            <family val="1"/>
            <charset val="128"/>
          </rPr>
          <t xml:space="preserve">  : 0.122 </t>
        </r>
        <r>
          <rPr>
            <sz val="10"/>
            <color indexed="32"/>
            <rFont val="ＭＳ 明朝"/>
            <family val="1"/>
            <charset val="128"/>
          </rPr>
          <t>(2.6/ 7)</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0.160 </t>
        </r>
        <r>
          <rPr>
            <sz val="10"/>
            <color indexed="32"/>
            <rFont val="ＭＳ 明朝"/>
            <family val="1"/>
            <charset val="128"/>
          </rPr>
          <t xml:space="preserve">(2.0/19)
</t>
        </r>
        <r>
          <rPr>
            <b/>
            <sz val="10"/>
            <color indexed="32"/>
            <rFont val="ＭＳ 明朝"/>
            <family val="1"/>
            <charset val="128"/>
          </rPr>
          <t xml:space="preserve">  </t>
        </r>
        <r>
          <rPr>
            <sz val="10"/>
            <color indexed="9"/>
            <rFont val="ＭＳ 明朝"/>
            <family val="1"/>
            <charset val="128"/>
          </rPr>
          <t>むね上導体</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0.200 </t>
        </r>
        <r>
          <rPr>
            <sz val="10"/>
            <color indexed="32"/>
            <rFont val="ＭＳ 明朝"/>
            <family val="1"/>
            <charset val="128"/>
          </rPr>
          <t>(2.6/ 7)</t>
        </r>
        <r>
          <rPr>
            <b/>
            <sz val="10"/>
            <color indexed="32"/>
            <rFont val="ＭＳ 明朝"/>
            <family val="1"/>
            <charset val="128"/>
          </rPr>
          <t xml:space="preserve">
  </t>
        </r>
        <r>
          <rPr>
            <sz val="10"/>
            <color indexed="32"/>
            <rFont val="ＭＳ 明朝"/>
            <family val="1"/>
            <charset val="128"/>
          </rPr>
          <t>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0.262 </t>
        </r>
        <r>
          <rPr>
            <sz val="10"/>
            <color indexed="32"/>
            <rFont val="ＭＳ 明朝"/>
            <family val="1"/>
            <charset val="128"/>
          </rPr>
          <t>(2.0/19)</t>
        </r>
        <r>
          <rPr>
            <b/>
            <sz val="10"/>
            <color indexed="32"/>
            <rFont val="ＭＳ 明朝"/>
            <family val="1"/>
            <charset val="128"/>
          </rPr>
          <t xml:space="preserve">
  </t>
        </r>
        <r>
          <rPr>
            <sz val="10"/>
            <color indexed="9"/>
            <rFont val="ＭＳ 明朝"/>
            <family val="1"/>
            <charset val="128"/>
          </rPr>
          <t>接地埋設標</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0.113 </t>
        </r>
        <r>
          <rPr>
            <sz val="10"/>
            <color indexed="32"/>
            <rFont val="ＭＳ 明朝"/>
            <family val="1"/>
            <charset val="128"/>
          </rPr>
          <t>(埋設標)</t>
        </r>
        <r>
          <rPr>
            <b/>
            <sz val="10"/>
            <color indexed="32"/>
            <rFont val="ＭＳ 明朝"/>
            <family val="1"/>
            <charset val="128"/>
          </rPr>
          <t xml:space="preserve">
  </t>
        </r>
        <r>
          <rPr>
            <sz val="10"/>
            <color indexed="32"/>
            <rFont val="ＭＳ 明朝"/>
            <family val="1"/>
            <charset val="128"/>
          </rPr>
          <t>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0.4   </t>
        </r>
        <r>
          <rPr>
            <sz val="10"/>
            <color indexed="32"/>
            <rFont val="ＭＳ 明朝"/>
            <family val="1"/>
            <charset val="128"/>
          </rPr>
          <t xml:space="preserve">(測定)
</t>
        </r>
        <r>
          <rPr>
            <b/>
            <sz val="10"/>
            <color indexed="32"/>
            <rFont val="ＭＳ 明朝"/>
            <family val="1"/>
            <charset val="128"/>
          </rPr>
          <t xml:space="preserve">  </t>
        </r>
        <r>
          <rPr>
            <sz val="10"/>
            <color indexed="9"/>
            <rFont val="ＭＳ 明朝"/>
            <family val="1"/>
            <charset val="128"/>
          </rPr>
          <t>測定端子箱</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0.250 </t>
        </r>
        <r>
          <rPr>
            <sz val="10"/>
            <color indexed="32"/>
            <rFont val="ＭＳ 明朝"/>
            <family val="1"/>
            <charset val="128"/>
          </rPr>
          <t>(1､2端子)</t>
        </r>
        <r>
          <rPr>
            <b/>
            <sz val="10"/>
            <color indexed="32"/>
            <rFont val="ＭＳ 明朝"/>
            <family val="1"/>
            <charset val="128"/>
          </rPr>
          <t xml:space="preserve">
  </t>
        </r>
        <r>
          <rPr>
            <sz val="10"/>
            <color indexed="32"/>
            <rFont val="ＭＳ 明朝"/>
            <family val="1"/>
            <charset val="128"/>
          </rPr>
          <t>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0.440 </t>
        </r>
        <r>
          <rPr>
            <sz val="10"/>
            <color indexed="32"/>
            <rFont val="ＭＳ 明朝"/>
            <family val="1"/>
            <charset val="128"/>
          </rPr>
          <t>(3､4端子)</t>
        </r>
        <r>
          <rPr>
            <b/>
            <sz val="10"/>
            <color indexed="32"/>
            <rFont val="ＭＳ 明朝"/>
            <family val="1"/>
            <charset val="128"/>
          </rPr>
          <t xml:space="preserve">
  </t>
        </r>
        <r>
          <rPr>
            <sz val="10"/>
            <color indexed="32"/>
            <rFont val="ＭＳ 明朝"/>
            <family val="1"/>
            <charset val="128"/>
          </rPr>
          <t>　　　　　</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 xml:space="preserve">: 0.600 </t>
        </r>
        <r>
          <rPr>
            <sz val="10"/>
            <color indexed="32"/>
            <rFont val="ＭＳ 明朝"/>
            <family val="1"/>
            <charset val="128"/>
          </rPr>
          <t>(5､6端子)</t>
        </r>
      </text>
    </comment>
    <comment ref="AE10" authorId="0">
      <text>
        <r>
          <rPr>
            <sz val="10"/>
            <color indexed="32"/>
            <rFont val="ＭＳ 明朝"/>
            <family val="1"/>
            <charset val="128"/>
          </rPr>
          <t>　　　 　</t>
        </r>
        <r>
          <rPr>
            <b/>
            <sz val="12"/>
            <color indexed="16"/>
            <rFont val="ＭＳ 明朝"/>
            <family val="1"/>
            <charset val="128"/>
          </rPr>
          <t>白　熱　灯</t>
        </r>
        <r>
          <rPr>
            <sz val="16"/>
            <color indexed="32"/>
            <rFont val="ＭＳ 明朝"/>
            <family val="1"/>
            <charset val="128"/>
          </rPr>
          <t xml:space="preserve"> </t>
        </r>
        <r>
          <rPr>
            <sz val="10"/>
            <color indexed="32"/>
            <rFont val="ＭＳ 明朝"/>
            <family val="1"/>
            <charset val="128"/>
          </rPr>
          <t xml:space="preserve">
  </t>
        </r>
        <r>
          <rPr>
            <sz val="10"/>
            <color indexed="9"/>
            <rFont val="ＭＳ 明朝"/>
            <family val="1"/>
            <charset val="128"/>
          </rPr>
          <t>コードペンダント</t>
        </r>
        <r>
          <rPr>
            <sz val="10"/>
            <color indexed="32"/>
            <rFont val="ＭＳ 明朝"/>
            <family val="1"/>
            <charset val="128"/>
          </rPr>
          <t xml:space="preserve"> </t>
        </r>
        <r>
          <rPr>
            <b/>
            <sz val="10"/>
            <color indexed="32"/>
            <rFont val="ＭＳ 明朝"/>
            <family val="1"/>
            <charset val="128"/>
          </rPr>
          <t>: 0.120</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t>
        </r>
        <r>
          <rPr>
            <sz val="10"/>
            <color indexed="9"/>
            <rFont val="ＭＳ 明朝"/>
            <family val="1"/>
            <charset val="128"/>
          </rPr>
          <t>パイプペンダント</t>
        </r>
        <r>
          <rPr>
            <sz val="10"/>
            <color indexed="32"/>
            <rFont val="ＭＳ 明朝"/>
            <family val="1"/>
            <charset val="128"/>
          </rPr>
          <t xml:space="preserve"> </t>
        </r>
        <r>
          <rPr>
            <b/>
            <sz val="10"/>
            <color indexed="32"/>
            <rFont val="ＭＳ 明朝"/>
            <family val="1"/>
            <charset val="128"/>
          </rPr>
          <t xml:space="preserve">: 0.144
</t>
        </r>
        <r>
          <rPr>
            <sz val="10"/>
            <color indexed="32"/>
            <rFont val="ＭＳ 明朝"/>
            <family val="1"/>
            <charset val="128"/>
          </rPr>
          <t xml:space="preserve">  </t>
        </r>
        <r>
          <rPr>
            <sz val="10"/>
            <color indexed="9"/>
            <rFont val="ＭＳ 明朝"/>
            <family val="1"/>
            <charset val="128"/>
          </rPr>
          <t>チェンペンダント</t>
        </r>
        <r>
          <rPr>
            <sz val="10"/>
            <color indexed="32"/>
            <rFont val="ＭＳ 明朝"/>
            <family val="1"/>
            <charset val="128"/>
          </rPr>
          <t xml:space="preserve"> </t>
        </r>
        <r>
          <rPr>
            <b/>
            <sz val="10"/>
            <color indexed="32"/>
            <rFont val="ＭＳ 明朝"/>
            <family val="1"/>
            <charset val="128"/>
          </rPr>
          <t xml:space="preserve">: 0.144
</t>
        </r>
        <r>
          <rPr>
            <sz val="10"/>
            <color indexed="32"/>
            <rFont val="ＭＳ 明朝"/>
            <family val="1"/>
            <charset val="128"/>
          </rPr>
          <t xml:space="preserve">  </t>
        </r>
        <r>
          <rPr>
            <sz val="10"/>
            <color indexed="9"/>
            <rFont val="ＭＳ 明朝"/>
            <family val="1"/>
            <charset val="128"/>
          </rPr>
          <t>シーリングライト</t>
        </r>
        <r>
          <rPr>
            <sz val="10"/>
            <color indexed="32"/>
            <rFont val="ＭＳ 明朝"/>
            <family val="1"/>
            <charset val="128"/>
          </rPr>
          <t xml:space="preserve"> </t>
        </r>
        <r>
          <rPr>
            <b/>
            <sz val="10"/>
            <color indexed="32"/>
            <rFont val="ＭＳ 明朝"/>
            <family val="1"/>
            <charset val="128"/>
          </rPr>
          <t xml:space="preserve">: 0.153
</t>
        </r>
        <r>
          <rPr>
            <sz val="10"/>
            <color indexed="32"/>
            <rFont val="ＭＳ 明朝"/>
            <family val="1"/>
            <charset val="128"/>
          </rPr>
          <t xml:space="preserve">  </t>
        </r>
        <r>
          <rPr>
            <sz val="10"/>
            <color indexed="9"/>
            <rFont val="ＭＳ 明朝"/>
            <family val="1"/>
            <charset val="128"/>
          </rPr>
          <t>埋　　 込 　　灯</t>
        </r>
        <r>
          <rPr>
            <sz val="10"/>
            <color indexed="32"/>
            <rFont val="ＭＳ 明朝"/>
            <family val="1"/>
            <charset val="128"/>
          </rPr>
          <t xml:space="preserve"> </t>
        </r>
        <r>
          <rPr>
            <b/>
            <sz val="10"/>
            <color indexed="32"/>
            <rFont val="ＭＳ 明朝"/>
            <family val="1"/>
            <charset val="128"/>
          </rPr>
          <t xml:space="preserve">: 0.209
</t>
        </r>
        <r>
          <rPr>
            <sz val="10"/>
            <color indexed="32"/>
            <rFont val="ＭＳ 明朝"/>
            <family val="1"/>
            <charset val="128"/>
          </rPr>
          <t xml:space="preserve">  </t>
        </r>
        <r>
          <rPr>
            <sz val="10"/>
            <color indexed="9"/>
            <rFont val="ＭＳ 明朝"/>
            <family val="1"/>
            <charset val="128"/>
          </rPr>
          <t>ブラケットライト</t>
        </r>
        <r>
          <rPr>
            <sz val="10"/>
            <color indexed="32"/>
            <rFont val="ＭＳ 明朝"/>
            <family val="1"/>
            <charset val="128"/>
          </rPr>
          <t xml:space="preserve"> </t>
        </r>
        <r>
          <rPr>
            <b/>
            <sz val="10"/>
            <color indexed="32"/>
            <rFont val="ＭＳ 明朝"/>
            <family val="1"/>
            <charset val="128"/>
          </rPr>
          <t xml:space="preserve">: 0.130
</t>
        </r>
        <r>
          <rPr>
            <sz val="10"/>
            <color indexed="32"/>
            <rFont val="ＭＳ 明朝"/>
            <family val="1"/>
            <charset val="128"/>
          </rPr>
          <t xml:space="preserve">  </t>
        </r>
        <r>
          <rPr>
            <sz val="10"/>
            <color indexed="9"/>
            <rFont val="ＭＳ 明朝"/>
            <family val="1"/>
            <charset val="128"/>
          </rPr>
          <t>レセプタクル</t>
        </r>
        <r>
          <rPr>
            <sz val="10"/>
            <color indexed="32"/>
            <rFont val="ＭＳ 明朝"/>
            <family val="1"/>
            <charset val="128"/>
          </rPr>
          <t xml:space="preserve">     </t>
        </r>
        <r>
          <rPr>
            <b/>
            <sz val="10"/>
            <color indexed="32"/>
            <rFont val="ＭＳ 明朝"/>
            <family val="1"/>
            <charset val="128"/>
          </rPr>
          <t>: 0.087</t>
        </r>
      </text>
    </comment>
    <comment ref="G11" authorId="0">
      <text>
        <r>
          <rPr>
            <b/>
            <sz val="12"/>
            <color indexed="81"/>
            <rFont val="ＭＳ 明朝"/>
            <family val="1"/>
            <charset val="128"/>
          </rPr>
          <t xml:space="preserve"> </t>
        </r>
        <r>
          <rPr>
            <b/>
            <sz val="12"/>
            <color indexed="16"/>
            <rFont val="ＭＳ 明朝"/>
            <family val="1"/>
            <charset val="128"/>
          </rPr>
          <t>ＭＶＶＳ，ＨＭＶＶＳ</t>
        </r>
        <r>
          <rPr>
            <sz val="16"/>
            <color indexed="16"/>
            <rFont val="ＭＳ 明朝"/>
            <family val="1"/>
            <charset val="128"/>
          </rPr>
          <t xml:space="preserve"> </t>
        </r>
        <r>
          <rPr>
            <b/>
            <sz val="10"/>
            <color indexed="81"/>
            <rFont val="ＭＳ 明朝"/>
            <family val="1"/>
            <charset val="128"/>
          </rPr>
          <t xml:space="preserve">
</t>
        </r>
        <r>
          <rPr>
            <b/>
            <sz val="10"/>
            <color indexed="32"/>
            <rFont val="ＭＳ 明朝"/>
            <family val="1"/>
            <charset val="128"/>
          </rPr>
          <t>　</t>
        </r>
        <r>
          <rPr>
            <b/>
            <sz val="12"/>
            <color indexed="32"/>
            <rFont val="ＭＳ 明朝"/>
            <family val="1"/>
            <charset val="128"/>
          </rPr>
          <t xml:space="preserve"> </t>
        </r>
        <r>
          <rPr>
            <b/>
            <sz val="10"/>
            <color indexed="32"/>
            <rFont val="ＭＳ 明朝"/>
            <family val="1"/>
            <charset val="128"/>
          </rPr>
          <t xml:space="preserve">0.5 </t>
        </r>
        <r>
          <rPr>
            <sz val="10"/>
            <color indexed="32"/>
            <rFont val="ＭＳ 明朝"/>
            <family val="1"/>
            <charset val="128"/>
          </rPr>
          <t>sqmm</t>
        </r>
        <r>
          <rPr>
            <b/>
            <sz val="10"/>
            <color indexed="32"/>
            <rFont val="ＭＳ 明朝"/>
            <family val="1"/>
            <charset val="128"/>
          </rPr>
          <t>-1C  0.013</t>
        </r>
        <r>
          <rPr>
            <b/>
            <sz val="16"/>
            <color indexed="32"/>
            <rFont val="ＭＳ 明朝"/>
            <family val="1"/>
            <charset val="128"/>
          </rPr>
          <t xml:space="preserve"> </t>
        </r>
        <r>
          <rPr>
            <b/>
            <sz val="10"/>
            <color indexed="32"/>
            <rFont val="ＭＳ 明朝"/>
            <family val="1"/>
            <charset val="128"/>
          </rPr>
          <t xml:space="preserve">
   0.5 </t>
        </r>
        <r>
          <rPr>
            <sz val="10"/>
            <color indexed="32"/>
            <rFont val="ＭＳ 明朝"/>
            <family val="1"/>
            <charset val="128"/>
          </rPr>
          <t>sqmm</t>
        </r>
        <r>
          <rPr>
            <b/>
            <sz val="10"/>
            <color indexed="32"/>
            <rFont val="ＭＳ 明朝"/>
            <family val="1"/>
            <charset val="128"/>
          </rPr>
          <t xml:space="preserve">-2C  0.015
   0.5 </t>
        </r>
        <r>
          <rPr>
            <sz val="10"/>
            <color indexed="32"/>
            <rFont val="ＭＳ 明朝"/>
            <family val="1"/>
            <charset val="128"/>
          </rPr>
          <t>sqmm</t>
        </r>
        <r>
          <rPr>
            <b/>
            <sz val="10"/>
            <color indexed="32"/>
            <rFont val="ＭＳ 明朝"/>
            <family val="1"/>
            <charset val="128"/>
          </rPr>
          <t>-3C  0.016
   0.75</t>
        </r>
        <r>
          <rPr>
            <sz val="10"/>
            <color indexed="32"/>
            <rFont val="ＭＳ 明朝"/>
            <family val="1"/>
            <charset val="128"/>
          </rPr>
          <t>sqmm</t>
        </r>
        <r>
          <rPr>
            <b/>
            <sz val="10"/>
            <color indexed="32"/>
            <rFont val="ＭＳ 明朝"/>
            <family val="1"/>
            <charset val="128"/>
          </rPr>
          <t>-2C  0.016
   0.75</t>
        </r>
        <r>
          <rPr>
            <sz val="10"/>
            <color indexed="32"/>
            <rFont val="ＭＳ 明朝"/>
            <family val="1"/>
            <charset val="128"/>
          </rPr>
          <t>sqmm</t>
        </r>
        <r>
          <rPr>
            <b/>
            <sz val="10"/>
            <color indexed="32"/>
            <rFont val="ＭＳ 明朝"/>
            <family val="1"/>
            <charset val="128"/>
          </rPr>
          <t xml:space="preserve">-3C  0.017 </t>
        </r>
      </text>
    </comment>
    <comment ref="K11" authorId="0">
      <text>
        <r>
          <rPr>
            <sz val="8"/>
            <color indexed="81"/>
            <rFont val="ＭＳ 明朝"/>
            <family val="1"/>
            <charset val="128"/>
          </rPr>
          <t xml:space="preserve">  </t>
        </r>
        <r>
          <rPr>
            <b/>
            <sz val="12"/>
            <color indexed="60"/>
            <rFont val="ＭＳ 明朝"/>
            <family val="1"/>
            <charset val="128"/>
          </rPr>
          <t>合成樹脂製可とう電線管</t>
        </r>
        <r>
          <rPr>
            <sz val="16"/>
            <color indexed="81"/>
            <rFont val="ＭＳ 明朝"/>
            <family val="1"/>
            <charset val="128"/>
          </rPr>
          <t xml:space="preserve"> </t>
        </r>
        <r>
          <rPr>
            <sz val="11"/>
            <color indexed="81"/>
            <rFont val="ＭＳ 明朝"/>
            <family val="1"/>
            <charset val="128"/>
          </rPr>
          <t xml:space="preserve">
</t>
        </r>
        <r>
          <rPr>
            <sz val="11"/>
            <color indexed="32"/>
            <rFont val="ＭＳ 明朝"/>
            <family val="1"/>
            <charset val="128"/>
          </rPr>
          <t xml:space="preserve"> </t>
        </r>
        <r>
          <rPr>
            <b/>
            <sz val="10"/>
            <color indexed="32"/>
            <rFont val="ＭＳ 明朝"/>
            <family val="1"/>
            <charset val="128"/>
          </rPr>
          <t xml:space="preserve">   PF16 CD16 : 0.031</t>
        </r>
        <r>
          <rPr>
            <b/>
            <sz val="14"/>
            <color indexed="32"/>
            <rFont val="ＭＳ 明朝"/>
            <family val="1"/>
            <charset val="128"/>
          </rPr>
          <t xml:space="preserve"> </t>
        </r>
        <r>
          <rPr>
            <b/>
            <sz val="10"/>
            <color indexed="32"/>
            <rFont val="ＭＳ 明朝"/>
            <family val="1"/>
            <charset val="128"/>
          </rPr>
          <t xml:space="preserve">
    PF22 CD22 : 0.041
    PF28 CD28 : 0.052
 </t>
        </r>
      </text>
    </comment>
    <comment ref="O11" authorId="0">
      <text>
        <r>
          <rPr>
            <sz val="8"/>
            <color indexed="81"/>
            <rFont val="ＭＳ 明朝"/>
            <family val="1"/>
            <charset val="128"/>
          </rPr>
          <t xml:space="preserve"> 　　       </t>
        </r>
        <r>
          <rPr>
            <b/>
            <sz val="12"/>
            <color indexed="60"/>
            <rFont val="ＭＳ 明朝"/>
            <family val="1"/>
            <charset val="128"/>
          </rPr>
          <t>位置ボックス</t>
        </r>
        <r>
          <rPr>
            <sz val="18"/>
            <color indexed="81"/>
            <rFont val="ＭＳ 明朝"/>
            <family val="1"/>
            <charset val="128"/>
          </rPr>
          <t xml:space="preserve"> </t>
        </r>
        <r>
          <rPr>
            <sz val="11"/>
            <color indexed="81"/>
            <rFont val="ＭＳ 明朝"/>
            <family val="1"/>
            <charset val="128"/>
          </rPr>
          <t xml:space="preserve">
</t>
        </r>
        <r>
          <rPr>
            <b/>
            <sz val="10"/>
            <color indexed="32"/>
            <rFont val="ＭＳ 明朝"/>
            <family val="1"/>
            <charset val="128"/>
          </rPr>
          <t xml:space="preserve">        Outlet-Box : 0.10</t>
        </r>
        <r>
          <rPr>
            <b/>
            <sz val="12"/>
            <color indexed="32"/>
            <rFont val="ＭＳ 明朝"/>
            <family val="1"/>
            <charset val="128"/>
          </rPr>
          <t xml:space="preserve"> </t>
        </r>
        <r>
          <rPr>
            <b/>
            <sz val="10"/>
            <color indexed="32"/>
            <rFont val="ＭＳ 明朝"/>
            <family val="1"/>
            <charset val="128"/>
          </rPr>
          <t xml:space="preserve">　
      Concrete-Box : 0.12
        Switch-Box : 0.10
             Elbow : 0.05
</t>
        </r>
        <r>
          <rPr>
            <b/>
            <sz val="11"/>
            <color indexed="32"/>
            <rFont val="ＭＳ 明朝"/>
            <family val="1"/>
            <charset val="128"/>
          </rPr>
          <t xml:space="preserve">  </t>
        </r>
        <r>
          <rPr>
            <b/>
            <sz val="10"/>
            <color indexed="32"/>
            <rFont val="ＭＳ 明朝"/>
            <family val="1"/>
            <charset val="128"/>
          </rPr>
          <t xml:space="preserve">安増Junction-Box : 0.20
</t>
        </r>
        <r>
          <rPr>
            <b/>
            <sz val="11"/>
            <color indexed="32"/>
            <rFont val="ＭＳ 明朝"/>
            <family val="1"/>
            <charset val="128"/>
          </rPr>
          <t xml:space="preserve">  </t>
        </r>
        <r>
          <rPr>
            <b/>
            <sz val="10"/>
            <color indexed="32"/>
            <rFont val="ＭＳ 明朝"/>
            <family val="1"/>
            <charset val="128"/>
          </rPr>
          <t xml:space="preserve">耐圧Junction-Box : 0.20
   Sealing Fitting : 0.15
     Drain Fitting : 0.15
 </t>
        </r>
      </text>
    </comment>
    <comment ref="S11" authorId="0">
      <text>
        <r>
          <rPr>
            <sz val="10"/>
            <color indexed="81"/>
            <rFont val="ＭＳ 明朝"/>
            <family val="1"/>
            <charset val="128"/>
          </rPr>
          <t xml:space="preserve">　　　      </t>
        </r>
        <r>
          <rPr>
            <b/>
            <sz val="12"/>
            <color indexed="60"/>
            <rFont val="ＭＳ Ｐ明朝"/>
            <family val="1"/>
            <charset val="128"/>
          </rPr>
          <t>ＭＣＣＢ，</t>
        </r>
        <r>
          <rPr>
            <b/>
            <sz val="12"/>
            <color indexed="60"/>
            <rFont val="ＭＳ 明朝"/>
            <family val="1"/>
            <charset val="128"/>
          </rPr>
          <t xml:space="preserve"> </t>
        </r>
        <r>
          <rPr>
            <b/>
            <sz val="12"/>
            <color indexed="60"/>
            <rFont val="ＭＳ Ｐ明朝"/>
            <family val="1"/>
            <charset val="128"/>
          </rPr>
          <t>ＭＳ，</t>
        </r>
        <r>
          <rPr>
            <b/>
            <sz val="12"/>
            <color indexed="60"/>
            <rFont val="ＭＳ 明朝"/>
            <family val="1"/>
            <charset val="128"/>
          </rPr>
          <t xml:space="preserve"> </t>
        </r>
        <r>
          <rPr>
            <b/>
            <sz val="12"/>
            <color indexed="60"/>
            <rFont val="ＭＳ Ｐ明朝"/>
            <family val="1"/>
            <charset val="128"/>
          </rPr>
          <t>Ｍｃｔｔ</t>
        </r>
        <r>
          <rPr>
            <b/>
            <sz val="16"/>
            <color indexed="12"/>
            <rFont val="ＭＳ 明朝"/>
            <family val="1"/>
            <charset val="128"/>
          </rPr>
          <t xml:space="preserve"> </t>
        </r>
        <r>
          <rPr>
            <sz val="10"/>
            <color indexed="81"/>
            <rFont val="ＭＳ 明朝"/>
            <family val="1"/>
            <charset val="128"/>
          </rPr>
          <t xml:space="preserve">
</t>
        </r>
        <r>
          <rPr>
            <b/>
            <sz val="10"/>
            <color indexed="81"/>
            <rFont val="ＭＳ 明朝"/>
            <family val="1"/>
            <charset val="128"/>
          </rPr>
          <t xml:space="preserve">             </t>
        </r>
        <r>
          <rPr>
            <b/>
            <sz val="10"/>
            <color indexed="9"/>
            <rFont val="ＭＳ 明朝"/>
            <family val="1"/>
            <charset val="128"/>
          </rPr>
          <t>1P     2P     3P     4P</t>
        </r>
        <r>
          <rPr>
            <b/>
            <sz val="14"/>
            <color indexed="9"/>
            <rFont val="ＭＳ 明朝"/>
            <family val="1"/>
            <charset val="128"/>
          </rPr>
          <t xml:space="preserve"> </t>
        </r>
        <r>
          <rPr>
            <b/>
            <sz val="10"/>
            <color indexed="81"/>
            <rFont val="ＭＳ 明朝"/>
            <family val="1"/>
            <charset val="128"/>
          </rPr>
          <t xml:space="preserve">
</t>
        </r>
        <r>
          <rPr>
            <b/>
            <sz val="10"/>
            <color indexed="32"/>
            <rFont val="ＭＳ 明朝"/>
            <family val="1"/>
            <charset val="128"/>
          </rPr>
          <t xml:space="preserve">   30 AF   0.211  0.264  0.387  0.503 
   50 AF   0.302  0.380  0.558  0.725
  100 AF          0.526  0.708  0.920
  225 AF          0.741  1.040  1.352
  400 AF          0.894  1.260  1.638</t>
        </r>
      </text>
    </comment>
    <comment ref="C12" authorId="0">
      <text>
        <r>
          <rPr>
            <b/>
            <sz val="3"/>
            <color indexed="81"/>
            <rFont val="ＭＳ 明朝"/>
            <family val="1"/>
            <charset val="128"/>
          </rPr>
          <t xml:space="preserve">   
</t>
        </r>
        <r>
          <rPr>
            <b/>
            <sz val="10"/>
            <color indexed="81"/>
            <rFont val="ＭＳ 明朝"/>
            <family val="1"/>
            <charset val="128"/>
          </rPr>
          <t xml:space="preserve">    　  　　　</t>
        </r>
        <r>
          <rPr>
            <b/>
            <sz val="10"/>
            <color indexed="16"/>
            <rFont val="ＭＳ 明朝"/>
            <family val="1"/>
            <charset val="128"/>
          </rPr>
          <t xml:space="preserve">600V </t>
        </r>
        <r>
          <rPr>
            <b/>
            <sz val="12"/>
            <color indexed="16"/>
            <rFont val="ＭＳ 明朝"/>
            <family val="1"/>
            <charset val="128"/>
          </rPr>
          <t>ＦＰ</t>
        </r>
        <r>
          <rPr>
            <b/>
            <sz val="14"/>
            <color indexed="12"/>
            <rFont val="ＭＳ 明朝"/>
            <family val="1"/>
            <charset val="128"/>
          </rPr>
          <t>　</t>
        </r>
        <r>
          <rPr>
            <b/>
            <sz val="10"/>
            <color indexed="81"/>
            <rFont val="ＭＳ 明朝"/>
            <family val="1"/>
            <charset val="128"/>
          </rPr>
          <t xml:space="preserve">
</t>
        </r>
        <r>
          <rPr>
            <b/>
            <sz val="14"/>
            <color indexed="9"/>
            <rFont val="ＭＳ 明朝"/>
            <family val="1"/>
            <charset val="128"/>
          </rPr>
          <t xml:space="preserve"> </t>
        </r>
        <r>
          <rPr>
            <b/>
            <sz val="10"/>
            <color indexed="9"/>
            <rFont val="ＭＳ 明朝"/>
            <family val="1"/>
            <charset val="128"/>
          </rPr>
          <t xml:space="preserve">          1C     2C     3C     4C</t>
        </r>
        <r>
          <rPr>
            <b/>
            <sz val="10"/>
            <color indexed="10"/>
            <rFont val="ＭＳ 明朝"/>
            <family val="1"/>
            <charset val="128"/>
          </rPr>
          <t xml:space="preserve">
</t>
        </r>
        <r>
          <rPr>
            <b/>
            <sz val="11"/>
            <color indexed="32"/>
            <rFont val="ＭＳ 明朝"/>
            <family val="1"/>
            <charset val="128"/>
          </rPr>
          <t xml:space="preserve">  </t>
        </r>
        <r>
          <rPr>
            <b/>
            <sz val="10"/>
            <color indexed="32"/>
            <rFont val="ＭＳ 明朝"/>
            <family val="1"/>
            <charset val="128"/>
          </rPr>
          <t>1.2</t>
        </r>
        <r>
          <rPr>
            <sz val="10"/>
            <color indexed="32"/>
            <rFont val="ＭＳ 明朝"/>
            <family val="1"/>
            <charset val="128"/>
          </rPr>
          <t>mm</t>
        </r>
        <r>
          <rPr>
            <b/>
            <sz val="10"/>
            <color indexed="32"/>
            <rFont val="ＭＳ 明朝"/>
            <family val="1"/>
            <charset val="128"/>
          </rPr>
          <t xml:space="preserve"> : 0.012  0.015  0.017  0.021
</t>
        </r>
        <r>
          <rPr>
            <b/>
            <sz val="11"/>
            <color indexed="32"/>
            <rFont val="ＭＳ 明朝"/>
            <family val="1"/>
            <charset val="128"/>
          </rPr>
          <t xml:space="preserve">  </t>
        </r>
        <r>
          <rPr>
            <b/>
            <sz val="10"/>
            <color indexed="32"/>
            <rFont val="ＭＳ 明朝"/>
            <family val="1"/>
            <charset val="128"/>
          </rPr>
          <t>1.6</t>
        </r>
        <r>
          <rPr>
            <sz val="10"/>
            <color indexed="32"/>
            <rFont val="ＭＳ 明朝"/>
            <family val="1"/>
            <charset val="128"/>
          </rPr>
          <t>mm</t>
        </r>
        <r>
          <rPr>
            <b/>
            <sz val="10"/>
            <color indexed="32"/>
            <rFont val="ＭＳ 明朝"/>
            <family val="1"/>
            <charset val="128"/>
          </rPr>
          <t xml:space="preserve"> : 0.013  0.017  0.020  0.024
</t>
        </r>
        <r>
          <rPr>
            <b/>
            <sz val="11"/>
            <color indexed="32"/>
            <rFont val="ＭＳ 明朝"/>
            <family val="1"/>
            <charset val="128"/>
          </rPr>
          <t xml:space="preserve">  </t>
        </r>
        <r>
          <rPr>
            <b/>
            <sz val="10"/>
            <color indexed="32"/>
            <rFont val="ＭＳ 明朝"/>
            <family val="1"/>
            <charset val="128"/>
          </rPr>
          <t>2.0</t>
        </r>
        <r>
          <rPr>
            <sz val="10"/>
            <color indexed="32"/>
            <rFont val="ＭＳ 明朝"/>
            <family val="1"/>
            <charset val="128"/>
          </rPr>
          <t>mm</t>
        </r>
        <r>
          <rPr>
            <b/>
            <sz val="10"/>
            <color indexed="32"/>
            <rFont val="ＭＳ 明朝"/>
            <family val="1"/>
            <charset val="128"/>
          </rPr>
          <t xml:space="preserve"> : 0.015  0.020  0.024  0.030
</t>
        </r>
        <r>
          <rPr>
            <b/>
            <sz val="11"/>
            <color indexed="32"/>
            <rFont val="ＭＳ 明朝"/>
            <family val="1"/>
            <charset val="128"/>
          </rPr>
          <t xml:space="preserve">  </t>
        </r>
        <r>
          <rPr>
            <b/>
            <sz val="10"/>
            <color indexed="32"/>
            <rFont val="ＭＳ 明朝"/>
            <family val="1"/>
            <charset val="128"/>
          </rPr>
          <t>2.6</t>
        </r>
        <r>
          <rPr>
            <sz val="10"/>
            <color indexed="32"/>
            <rFont val="ＭＳ 明朝"/>
            <family val="1"/>
            <charset val="128"/>
          </rPr>
          <t>mm</t>
        </r>
        <r>
          <rPr>
            <b/>
            <sz val="10"/>
            <color indexed="32"/>
            <rFont val="ＭＳ 明朝"/>
            <family val="1"/>
            <charset val="128"/>
          </rPr>
          <t xml:space="preserve"> : 0.019  0.025  0.030  0.037
    2   : 0.011  0.017  0.020  0.024
    3.5 : 0.015  0.020  0.024  0.030
    5.5 : 0.019  0.025  0.030  0.037
    8   : 0.021  0.027  0.035  0.042
   14   : 0.026  0.035  0.043  0.052
   22   : 0.033  0.045  0.056  0.067
   30   : 0.038  0.052  0.064  0.077
   38   : 0.045  0.059  0.074  0.089
   50   : 0.053  0.071  0.089  0.106
   60   : 0.058  0.078  0.098  0.118
   80   : 0.068  0.090  0.113  0.136
  100   : 0.080  0.108  0.134  0.161
  125   : 0.090  0.121  0.150  0.181
  150   : 0.099  0.131  0.165  0.198
  200   : 0.122  0.163  0.204  0.245</t>
        </r>
      </text>
    </comment>
    <comment ref="S12" authorId="0">
      <text>
        <r>
          <rPr>
            <sz val="10"/>
            <color indexed="81"/>
            <rFont val="ＭＳ 明朝"/>
            <family val="1"/>
            <charset val="128"/>
          </rPr>
          <t xml:space="preserve">　　　  </t>
        </r>
        <r>
          <rPr>
            <b/>
            <sz val="12"/>
            <color indexed="60"/>
            <rFont val="ＭＳ 明朝"/>
            <family val="1"/>
            <charset val="128"/>
          </rPr>
          <t>制 御 盤</t>
        </r>
        <r>
          <rPr>
            <b/>
            <sz val="16"/>
            <color indexed="12"/>
            <rFont val="ＭＳ 明朝"/>
            <family val="1"/>
            <charset val="128"/>
          </rPr>
          <t xml:space="preserve"> </t>
        </r>
        <r>
          <rPr>
            <sz val="10"/>
            <color indexed="81"/>
            <rFont val="ＭＳ 明朝"/>
            <family val="1"/>
            <charset val="128"/>
          </rPr>
          <t xml:space="preserve">
</t>
        </r>
        <r>
          <rPr>
            <b/>
            <sz val="10"/>
            <color indexed="81"/>
            <rFont val="ＭＳ 明朝"/>
            <family val="1"/>
            <charset val="128"/>
          </rPr>
          <t xml:space="preserve">   </t>
        </r>
        <r>
          <rPr>
            <sz val="10"/>
            <color indexed="9"/>
            <rFont val="Meiryo UI"/>
            <family val="3"/>
            <charset val="128"/>
          </rPr>
          <t>負荷／回路</t>
        </r>
        <r>
          <rPr>
            <sz val="14"/>
            <color indexed="53"/>
            <rFont val="ＭＳ 明朝"/>
            <family val="1"/>
            <charset val="128"/>
          </rPr>
          <t xml:space="preserve"> </t>
        </r>
        <r>
          <rPr>
            <b/>
            <sz val="10"/>
            <color indexed="81"/>
            <rFont val="ＭＳ 明朝"/>
            <family val="1"/>
            <charset val="128"/>
          </rPr>
          <t xml:space="preserve">
</t>
        </r>
        <r>
          <rPr>
            <b/>
            <sz val="10"/>
            <color indexed="32"/>
            <rFont val="ＭＳ 明朝"/>
            <family val="1"/>
            <charset val="128"/>
          </rPr>
          <t xml:space="preserve">   2.2 </t>
        </r>
        <r>
          <rPr>
            <sz val="10"/>
            <color indexed="32"/>
            <rFont val="ＭＳ 明朝"/>
            <family val="1"/>
            <charset val="128"/>
          </rPr>
          <t>KW以下</t>
        </r>
        <r>
          <rPr>
            <b/>
            <sz val="10"/>
            <color indexed="32"/>
            <rFont val="ＭＳ 明朝"/>
            <family val="1"/>
            <charset val="128"/>
          </rPr>
          <t xml:space="preserve">  : 1.59
   3.7 </t>
        </r>
        <r>
          <rPr>
            <sz val="10"/>
            <color indexed="32"/>
            <rFont val="ＭＳ 明朝"/>
            <family val="1"/>
            <charset val="128"/>
          </rPr>
          <t>KW以下</t>
        </r>
        <r>
          <rPr>
            <b/>
            <sz val="10"/>
            <color indexed="32"/>
            <rFont val="ＭＳ 明朝"/>
            <family val="1"/>
            <charset val="128"/>
          </rPr>
          <t xml:space="preserve">  : 1.77
   5.5 </t>
        </r>
        <r>
          <rPr>
            <sz val="10"/>
            <color indexed="32"/>
            <rFont val="ＭＳ 明朝"/>
            <family val="1"/>
            <charset val="128"/>
          </rPr>
          <t>KW以下</t>
        </r>
        <r>
          <rPr>
            <b/>
            <sz val="10"/>
            <color indexed="32"/>
            <rFont val="ＭＳ 明朝"/>
            <family val="1"/>
            <charset val="128"/>
          </rPr>
          <t xml:space="preserve">  : 1.86
   7.5 </t>
        </r>
        <r>
          <rPr>
            <sz val="10"/>
            <color indexed="32"/>
            <rFont val="ＭＳ 明朝"/>
            <family val="1"/>
            <charset val="128"/>
          </rPr>
          <t>KW以下</t>
        </r>
        <r>
          <rPr>
            <b/>
            <sz val="10"/>
            <color indexed="32"/>
            <rFont val="ＭＳ 明朝"/>
            <family val="1"/>
            <charset val="128"/>
          </rPr>
          <t xml:space="preserve">  : 1.95</t>
        </r>
        <r>
          <rPr>
            <b/>
            <sz val="14"/>
            <color indexed="32"/>
            <rFont val="ＭＳ 明朝"/>
            <family val="1"/>
            <charset val="128"/>
          </rPr>
          <t xml:space="preserve"> </t>
        </r>
        <r>
          <rPr>
            <b/>
            <sz val="10"/>
            <color indexed="32"/>
            <rFont val="ＭＳ 明朝"/>
            <family val="1"/>
            <charset val="128"/>
          </rPr>
          <t xml:space="preserve">
  11.0 </t>
        </r>
        <r>
          <rPr>
            <sz val="10"/>
            <color indexed="32"/>
            <rFont val="ＭＳ 明朝"/>
            <family val="1"/>
            <charset val="128"/>
          </rPr>
          <t>KW以下</t>
        </r>
        <r>
          <rPr>
            <b/>
            <sz val="10"/>
            <color indexed="32"/>
            <rFont val="ＭＳ 明朝"/>
            <family val="1"/>
            <charset val="128"/>
          </rPr>
          <t xml:space="preserve">  : 2.12
  15.0 </t>
        </r>
        <r>
          <rPr>
            <sz val="10"/>
            <color indexed="32"/>
            <rFont val="ＭＳ 明朝"/>
            <family val="1"/>
            <charset val="128"/>
          </rPr>
          <t>KW以下</t>
        </r>
        <r>
          <rPr>
            <b/>
            <sz val="10"/>
            <color indexed="32"/>
            <rFont val="ＭＳ 明朝"/>
            <family val="1"/>
            <charset val="128"/>
          </rPr>
          <t xml:space="preserve">  : 2.30
  22.0 </t>
        </r>
        <r>
          <rPr>
            <sz val="10"/>
            <color indexed="32"/>
            <rFont val="ＭＳ 明朝"/>
            <family val="1"/>
            <charset val="128"/>
          </rPr>
          <t>KW以下</t>
        </r>
        <r>
          <rPr>
            <b/>
            <sz val="10"/>
            <color indexed="32"/>
            <rFont val="ＭＳ 明朝"/>
            <family val="1"/>
            <charset val="128"/>
          </rPr>
          <t xml:space="preserve">  : 2.57</t>
        </r>
        <r>
          <rPr>
            <b/>
            <sz val="14"/>
            <color indexed="32"/>
            <rFont val="ＭＳ 明朝"/>
            <family val="1"/>
            <charset val="128"/>
          </rPr>
          <t xml:space="preserve"> </t>
        </r>
        <r>
          <rPr>
            <b/>
            <sz val="10"/>
            <color indexed="32"/>
            <rFont val="ＭＳ 明朝"/>
            <family val="1"/>
            <charset val="128"/>
          </rPr>
          <t xml:space="preserve">
  30.0 </t>
        </r>
        <r>
          <rPr>
            <sz val="10"/>
            <color indexed="32"/>
            <rFont val="ＭＳ 明朝"/>
            <family val="1"/>
            <charset val="128"/>
          </rPr>
          <t>KW以下</t>
        </r>
        <r>
          <rPr>
            <b/>
            <sz val="10"/>
            <color indexed="32"/>
            <rFont val="ＭＳ 明朝"/>
            <family val="1"/>
            <charset val="128"/>
          </rPr>
          <t xml:space="preserve">  : 2.92
  37.0 </t>
        </r>
        <r>
          <rPr>
            <sz val="10"/>
            <color indexed="32"/>
            <rFont val="ＭＳ 明朝"/>
            <family val="1"/>
            <charset val="128"/>
          </rPr>
          <t>KW以下</t>
        </r>
        <r>
          <rPr>
            <b/>
            <sz val="10"/>
            <color indexed="32"/>
            <rFont val="ＭＳ 明朝"/>
            <family val="1"/>
            <charset val="128"/>
          </rPr>
          <t xml:space="preserve">  : 3.10
  45.0 </t>
        </r>
        <r>
          <rPr>
            <sz val="10"/>
            <color indexed="32"/>
            <rFont val="ＭＳ 明朝"/>
            <family val="1"/>
            <charset val="128"/>
          </rPr>
          <t>KW以下</t>
        </r>
        <r>
          <rPr>
            <b/>
            <sz val="10"/>
            <color indexed="32"/>
            <rFont val="ＭＳ 明朝"/>
            <family val="1"/>
            <charset val="128"/>
          </rPr>
          <t xml:space="preserve">  : 3.19</t>
        </r>
        <r>
          <rPr>
            <b/>
            <sz val="14"/>
            <color indexed="32"/>
            <rFont val="ＭＳ 明朝"/>
            <family val="1"/>
            <charset val="128"/>
          </rPr>
          <t xml:space="preserve"> </t>
        </r>
        <r>
          <rPr>
            <b/>
            <sz val="10"/>
            <color indexed="32"/>
            <rFont val="ＭＳ 明朝"/>
            <family val="1"/>
            <charset val="128"/>
          </rPr>
          <t xml:space="preserve">
  55.0 </t>
        </r>
        <r>
          <rPr>
            <sz val="10"/>
            <color indexed="32"/>
            <rFont val="ＭＳ 明朝"/>
            <family val="1"/>
            <charset val="128"/>
          </rPr>
          <t>KW以下</t>
        </r>
        <r>
          <rPr>
            <b/>
            <sz val="10"/>
            <color indexed="32"/>
            <rFont val="ＭＳ 明朝"/>
            <family val="1"/>
            <charset val="128"/>
          </rPr>
          <t xml:space="preserve">  : 3.27</t>
        </r>
      </text>
    </comment>
    <comment ref="W12" authorId="0">
      <text>
        <r>
          <rPr>
            <sz val="10"/>
            <color indexed="81"/>
            <rFont val="ＭＳ 明朝"/>
            <family val="1"/>
            <charset val="128"/>
          </rPr>
          <t xml:space="preserve">　           </t>
        </r>
        <r>
          <rPr>
            <b/>
            <sz val="12"/>
            <color indexed="60"/>
            <rFont val="ＭＳ 明朝"/>
            <family val="1"/>
            <charset val="128"/>
          </rPr>
          <t>接　地　工　事</t>
        </r>
        <r>
          <rPr>
            <sz val="16"/>
            <color indexed="53"/>
            <rFont val="ＭＳ 明朝"/>
            <family val="1"/>
            <charset val="128"/>
          </rPr>
          <t xml:space="preserve"> </t>
        </r>
        <r>
          <rPr>
            <sz val="10"/>
            <color indexed="81"/>
            <rFont val="ＭＳ 明朝"/>
            <family val="1"/>
            <charset val="128"/>
          </rPr>
          <t xml:space="preserve">
</t>
        </r>
        <r>
          <rPr>
            <b/>
            <sz val="10"/>
            <color indexed="32"/>
            <rFont val="ＭＳ 明朝"/>
            <family val="1"/>
            <charset val="128"/>
          </rPr>
          <t xml:space="preserve">  </t>
        </r>
        <r>
          <rPr>
            <sz val="10"/>
            <color indexed="9"/>
            <rFont val="Meiryo UI"/>
            <family val="3"/>
            <charset val="128"/>
          </rPr>
          <t>銅　板　式</t>
        </r>
        <r>
          <rPr>
            <sz val="10"/>
            <color indexed="32"/>
            <rFont val="ＭＳ 明朝"/>
            <family val="1"/>
            <charset val="128"/>
          </rPr>
          <t>　         　　</t>
        </r>
        <r>
          <rPr>
            <b/>
            <sz val="10"/>
            <color indexed="32"/>
            <rFont val="ＭＳ 明朝"/>
            <family val="1"/>
            <charset val="128"/>
          </rPr>
          <t>　</t>
        </r>
        <r>
          <rPr>
            <sz val="10"/>
            <color indexed="9"/>
            <rFont val="ＭＳ 明朝"/>
            <family val="1"/>
            <charset val="128"/>
          </rPr>
          <t>電 工　普通作業員</t>
        </r>
        <r>
          <rPr>
            <b/>
            <sz val="14"/>
            <color indexed="32"/>
            <rFont val="ＭＳ 明朝"/>
            <family val="1"/>
            <charset val="128"/>
          </rPr>
          <t>　</t>
        </r>
        <r>
          <rPr>
            <b/>
            <sz val="10"/>
            <color indexed="32"/>
            <rFont val="ＭＳ 明朝"/>
            <family val="1"/>
            <charset val="128"/>
          </rPr>
          <t xml:space="preserve">
  </t>
        </r>
        <r>
          <rPr>
            <sz val="10"/>
            <color indexed="32"/>
            <rFont val="ＭＳ 明朝"/>
            <family val="1"/>
            <charset val="128"/>
          </rPr>
          <t xml:space="preserve">接地銅板 900x900x1.5t  </t>
        </r>
        <r>
          <rPr>
            <b/>
            <sz val="10"/>
            <color indexed="32"/>
            <rFont val="ＭＳ 明朝"/>
            <family val="1"/>
            <charset val="128"/>
          </rPr>
          <t xml:space="preserve">: 0.153   3.58
  </t>
        </r>
        <r>
          <rPr>
            <sz val="10"/>
            <color indexed="32"/>
            <rFont val="ＭＳ 明朝"/>
            <family val="1"/>
            <charset val="128"/>
          </rPr>
          <t xml:space="preserve">　　　　 500x500x1.5t  </t>
        </r>
        <r>
          <rPr>
            <b/>
            <sz val="10"/>
            <color indexed="32"/>
            <rFont val="ＭＳ 明朝"/>
            <family val="1"/>
            <charset val="128"/>
          </rPr>
          <t xml:space="preserve">: 0.826   1.20
  </t>
        </r>
        <r>
          <rPr>
            <sz val="10"/>
            <color indexed="32"/>
            <rFont val="ＭＳ 明朝"/>
            <family val="1"/>
            <charset val="128"/>
          </rPr>
          <t xml:space="preserve">　　　　 500x250x1.5t  </t>
        </r>
        <r>
          <rPr>
            <b/>
            <sz val="10"/>
            <color indexed="32"/>
            <rFont val="ＭＳ 明朝"/>
            <family val="1"/>
            <charset val="128"/>
          </rPr>
          <t xml:space="preserve">: 0.609   1.03
  </t>
        </r>
        <r>
          <rPr>
            <sz val="10"/>
            <color indexed="9"/>
            <rFont val="Meiryo UI"/>
            <family val="3"/>
            <charset val="128"/>
          </rPr>
          <t>打　込　式</t>
        </r>
        <r>
          <rPr>
            <b/>
            <sz val="10"/>
            <color indexed="32"/>
            <rFont val="ＭＳ 明朝"/>
            <family val="1"/>
            <charset val="128"/>
          </rPr>
          <t xml:space="preserve">
　</t>
        </r>
        <r>
          <rPr>
            <sz val="10"/>
            <color indexed="32"/>
            <rFont val="ＭＳ 明朝"/>
            <family val="1"/>
            <charset val="128"/>
          </rPr>
          <t>連 接 棒 　単　独 打込</t>
        </r>
        <r>
          <rPr>
            <b/>
            <sz val="10"/>
            <color indexed="32"/>
            <rFont val="ＭＳ 明朝"/>
            <family val="1"/>
            <charset val="128"/>
          </rPr>
          <t xml:space="preserve"> : 0.183</t>
        </r>
        <r>
          <rPr>
            <sz val="10"/>
            <color indexed="32"/>
            <rFont val="ＭＳ 明朝"/>
            <family val="1"/>
            <charset val="128"/>
          </rPr>
          <t xml:space="preserve">
</t>
        </r>
        <r>
          <rPr>
            <b/>
            <sz val="10"/>
            <color indexed="32"/>
            <rFont val="ＭＳ 明朝"/>
            <family val="1"/>
            <charset val="128"/>
          </rPr>
          <t>　</t>
        </r>
        <r>
          <rPr>
            <sz val="10"/>
            <color indexed="32"/>
            <rFont val="ＭＳ 明朝"/>
            <family val="1"/>
            <charset val="128"/>
          </rPr>
          <t>　　　　　 ２連結 打込</t>
        </r>
        <r>
          <rPr>
            <b/>
            <sz val="10"/>
            <color indexed="32"/>
            <rFont val="ＭＳ 明朝"/>
            <family val="1"/>
            <charset val="128"/>
          </rPr>
          <t xml:space="preserve"> : 0.287</t>
        </r>
        <r>
          <rPr>
            <sz val="10"/>
            <color indexed="32"/>
            <rFont val="ＭＳ 明朝"/>
            <family val="1"/>
            <charset val="128"/>
          </rPr>
          <t xml:space="preserve">
</t>
        </r>
        <r>
          <rPr>
            <b/>
            <sz val="10"/>
            <color indexed="32"/>
            <rFont val="ＭＳ 明朝"/>
            <family val="1"/>
            <charset val="128"/>
          </rPr>
          <t>　</t>
        </r>
        <r>
          <rPr>
            <sz val="10"/>
            <color indexed="32"/>
            <rFont val="ＭＳ 明朝"/>
            <family val="1"/>
            <charset val="128"/>
          </rPr>
          <t>　　　　　 ３連結 打込</t>
        </r>
        <r>
          <rPr>
            <b/>
            <sz val="10"/>
            <color indexed="32"/>
            <rFont val="ＭＳ 明朝"/>
            <family val="1"/>
            <charset val="128"/>
          </rPr>
          <t xml:space="preserve"> : 0.383</t>
        </r>
        <r>
          <rPr>
            <sz val="10"/>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接地埋設標(埋設標)     </t>
        </r>
        <r>
          <rPr>
            <b/>
            <sz val="10"/>
            <color indexed="32"/>
            <rFont val="ＭＳ 明朝"/>
            <family val="1"/>
            <charset val="128"/>
          </rPr>
          <t>: 0.113</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(測　定)     </t>
        </r>
        <r>
          <rPr>
            <b/>
            <sz val="10"/>
            <color indexed="32"/>
            <rFont val="ＭＳ 明朝"/>
            <family val="1"/>
            <charset val="128"/>
          </rPr>
          <t>: 0.400</t>
        </r>
        <r>
          <rPr>
            <sz val="10"/>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測定端子箱(1､2端子)    </t>
        </r>
        <r>
          <rPr>
            <b/>
            <sz val="10"/>
            <color indexed="32"/>
            <rFont val="ＭＳ 明朝"/>
            <family val="1"/>
            <charset val="128"/>
          </rPr>
          <t>: 0.250</t>
        </r>
        <r>
          <rPr>
            <sz val="14"/>
            <color indexed="32"/>
            <rFont val="ＭＳ 明朝"/>
            <family val="1"/>
            <charset val="128"/>
          </rPr>
          <t xml:space="preserve"> </t>
        </r>
        <r>
          <rPr>
            <b/>
            <sz val="10"/>
            <color indexed="32"/>
            <rFont val="ＭＳ 明朝"/>
            <family val="1"/>
            <charset val="128"/>
          </rPr>
          <t xml:space="preserve">
  </t>
        </r>
        <r>
          <rPr>
            <sz val="10"/>
            <color indexed="32"/>
            <rFont val="ＭＳ 明朝"/>
            <family val="1"/>
            <charset val="128"/>
          </rPr>
          <t xml:space="preserve">　　　　　(3､4端子)    </t>
        </r>
        <r>
          <rPr>
            <b/>
            <sz val="10"/>
            <color indexed="32"/>
            <rFont val="ＭＳ 明朝"/>
            <family val="1"/>
            <charset val="128"/>
          </rPr>
          <t xml:space="preserve">: 0.440 
  </t>
        </r>
        <r>
          <rPr>
            <sz val="10"/>
            <color indexed="32"/>
            <rFont val="ＭＳ 明朝"/>
            <family val="1"/>
            <charset val="128"/>
          </rPr>
          <t xml:space="preserve">　　　　　(5､6端子)    </t>
        </r>
        <r>
          <rPr>
            <b/>
            <sz val="10"/>
            <color indexed="32"/>
            <rFont val="ＭＳ 明朝"/>
            <family val="1"/>
            <charset val="128"/>
          </rPr>
          <t>: 0.600</t>
        </r>
      </text>
    </comment>
    <comment ref="AE12" authorId="0">
      <text>
        <r>
          <rPr>
            <sz val="11"/>
            <color indexed="32"/>
            <rFont val="ＭＳ 明朝"/>
            <family val="1"/>
            <charset val="128"/>
          </rPr>
          <t xml:space="preserve">     　 </t>
        </r>
        <r>
          <rPr>
            <b/>
            <sz val="12"/>
            <color indexed="16"/>
            <rFont val="ＭＳ 明朝"/>
            <family val="1"/>
            <charset val="128"/>
          </rPr>
          <t>端　子　盤</t>
        </r>
        <r>
          <rPr>
            <sz val="16"/>
            <color indexed="32"/>
            <rFont val="ＭＳ 明朝"/>
            <family val="1"/>
            <charset val="128"/>
          </rPr>
          <t>　</t>
        </r>
        <r>
          <rPr>
            <sz val="11"/>
            <color indexed="32"/>
            <rFont val="ＭＳ 明朝"/>
            <family val="1"/>
            <charset val="128"/>
          </rPr>
          <t xml:space="preserve"> </t>
        </r>
        <r>
          <rPr>
            <b/>
            <sz val="11"/>
            <color indexed="32"/>
            <rFont val="ＭＳ 明朝"/>
            <family val="1"/>
            <charset val="128"/>
          </rPr>
          <t xml:space="preserve">
</t>
        </r>
        <r>
          <rPr>
            <sz val="10"/>
            <color indexed="32"/>
            <rFont val="ＭＳ 明朝"/>
            <family val="1"/>
            <charset val="128"/>
          </rPr>
          <t xml:space="preserve">    </t>
        </r>
        <r>
          <rPr>
            <sz val="10"/>
            <color indexed="9"/>
            <rFont val="ＭＳ 明朝"/>
            <family val="1"/>
            <charset val="128"/>
          </rPr>
          <t xml:space="preserve"> Pr.  </t>
        </r>
        <r>
          <rPr>
            <sz val="9"/>
            <color indexed="9"/>
            <rFont val="ＭＳ 明朝"/>
            <family val="1"/>
            <charset val="128"/>
          </rPr>
          <t>　</t>
        </r>
        <r>
          <rPr>
            <sz val="10"/>
            <color indexed="9"/>
            <rFont val="ＭＳ 明朝"/>
            <family val="1"/>
            <charset val="128"/>
          </rPr>
          <t>取付のみ　結線含む</t>
        </r>
        <r>
          <rPr>
            <b/>
            <sz val="11"/>
            <color indexed="32"/>
            <rFont val="ＭＳ 明朝"/>
            <family val="1"/>
            <charset val="128"/>
          </rPr>
          <t xml:space="preserve">
</t>
        </r>
        <r>
          <rPr>
            <b/>
            <sz val="10"/>
            <color indexed="32"/>
            <rFont val="ＭＳ 明朝"/>
            <family val="1"/>
            <charset val="128"/>
          </rPr>
          <t xml:space="preserve">   10/ 10   0.154   0.513
   20/ 20   0.191   0.637
   30/ 30   0.226   0.752
   40/ 40   0.292   0.973
   60/ 60   0.354   1.18
   80/ 80   0.417   1.39
  100/100   0.477   1.59
  120/120   0.558   1.86
  150/150   0.651   2.17
  200/200   0.771   2.57
  250/250   0.93    3.10
  300/300   1.128   3.76
</t>
        </r>
        <r>
          <rPr>
            <sz val="8"/>
            <color indexed="32"/>
            <rFont val="ＭＳ 明朝"/>
            <family val="1"/>
            <charset val="128"/>
          </rPr>
          <t xml:space="preserve">　  　 </t>
        </r>
        <r>
          <rPr>
            <b/>
            <sz val="12"/>
            <color indexed="16"/>
            <rFont val="ＭＳ 明朝"/>
            <family val="1"/>
            <charset val="128"/>
          </rPr>
          <t>集</t>
        </r>
        <r>
          <rPr>
            <sz val="12"/>
            <color indexed="16"/>
            <rFont val="ＭＳ 明朝"/>
            <family val="1"/>
            <charset val="128"/>
          </rPr>
          <t xml:space="preserve"> </t>
        </r>
        <r>
          <rPr>
            <b/>
            <sz val="12"/>
            <color indexed="16"/>
            <rFont val="ＭＳ 明朝"/>
            <family val="1"/>
            <charset val="128"/>
          </rPr>
          <t>合</t>
        </r>
        <r>
          <rPr>
            <sz val="12"/>
            <color indexed="16"/>
            <rFont val="ＭＳ 明朝"/>
            <family val="1"/>
            <charset val="128"/>
          </rPr>
          <t xml:space="preserve"> </t>
        </r>
        <r>
          <rPr>
            <b/>
            <sz val="12"/>
            <color indexed="16"/>
            <rFont val="ＭＳ 明朝"/>
            <family val="1"/>
            <charset val="128"/>
          </rPr>
          <t>保</t>
        </r>
        <r>
          <rPr>
            <sz val="12"/>
            <color indexed="16"/>
            <rFont val="ＭＳ 明朝"/>
            <family val="1"/>
            <charset val="128"/>
          </rPr>
          <t xml:space="preserve"> </t>
        </r>
        <r>
          <rPr>
            <b/>
            <sz val="12"/>
            <color indexed="16"/>
            <rFont val="ＭＳ 明朝"/>
            <family val="1"/>
            <charset val="128"/>
          </rPr>
          <t>安</t>
        </r>
        <r>
          <rPr>
            <sz val="12"/>
            <color indexed="16"/>
            <rFont val="ＭＳ 明朝"/>
            <family val="1"/>
            <charset val="128"/>
          </rPr>
          <t xml:space="preserve"> </t>
        </r>
        <r>
          <rPr>
            <b/>
            <sz val="12"/>
            <color indexed="16"/>
            <rFont val="ＭＳ 明朝"/>
            <family val="1"/>
            <charset val="128"/>
          </rPr>
          <t>器</t>
        </r>
        <r>
          <rPr>
            <sz val="12"/>
            <color indexed="16"/>
            <rFont val="ＭＳ 明朝"/>
            <family val="1"/>
            <charset val="128"/>
          </rPr>
          <t xml:space="preserve"> </t>
        </r>
        <r>
          <rPr>
            <b/>
            <sz val="12"/>
            <color indexed="16"/>
            <rFont val="ＭＳ 明朝"/>
            <family val="1"/>
            <charset val="128"/>
          </rPr>
          <t>函</t>
        </r>
        <r>
          <rPr>
            <b/>
            <sz val="16"/>
            <color indexed="32"/>
            <rFont val="ＭＳ 明朝"/>
            <family val="1"/>
            <charset val="128"/>
          </rPr>
          <t xml:space="preserve"> 
</t>
        </r>
        <r>
          <rPr>
            <b/>
            <sz val="10"/>
            <color indexed="32"/>
            <rFont val="ＭＳ 明朝"/>
            <family val="1"/>
            <charset val="128"/>
          </rPr>
          <t xml:space="preserve">    5 Pr    0.104   0.345</t>
        </r>
        <r>
          <rPr>
            <b/>
            <sz val="12"/>
            <color indexed="32"/>
            <rFont val="ＭＳ 明朝"/>
            <family val="1"/>
            <charset val="128"/>
          </rPr>
          <t xml:space="preserve"> </t>
        </r>
        <r>
          <rPr>
            <b/>
            <sz val="10"/>
            <color indexed="32"/>
            <rFont val="ＭＳ 明朝"/>
            <family val="1"/>
            <charset val="128"/>
          </rPr>
          <t xml:space="preserve">
   10 Pr    0.135   0.451
   20 Pr    0.165   0.549
   30 Pr    0.186   0.619</t>
        </r>
      </text>
    </comment>
    <comment ref="C13" authorId="0">
      <text>
        <r>
          <rPr>
            <b/>
            <sz val="3"/>
            <color indexed="81"/>
            <rFont val="ＭＳ 明朝"/>
            <family val="1"/>
            <charset val="128"/>
          </rPr>
          <t xml:space="preserve">   
</t>
        </r>
        <r>
          <rPr>
            <b/>
            <sz val="10"/>
            <color indexed="81"/>
            <rFont val="ＭＳ 明朝"/>
            <family val="1"/>
            <charset val="128"/>
          </rPr>
          <t xml:space="preserve">    　   </t>
        </r>
        <r>
          <rPr>
            <b/>
            <sz val="10"/>
            <color indexed="16"/>
            <rFont val="ＭＳ Ｐ明朝"/>
            <family val="1"/>
            <charset val="128"/>
          </rPr>
          <t>600V</t>
        </r>
        <r>
          <rPr>
            <b/>
            <sz val="10"/>
            <color indexed="16"/>
            <rFont val="ＭＳ 明朝"/>
            <family val="1"/>
            <charset val="128"/>
          </rPr>
          <t xml:space="preserve"> </t>
        </r>
        <r>
          <rPr>
            <b/>
            <sz val="12"/>
            <color indexed="16"/>
            <rFont val="ＭＳ 明朝"/>
            <family val="1"/>
            <charset val="128"/>
          </rPr>
          <t>ＨＰ</t>
        </r>
        <r>
          <rPr>
            <sz val="10"/>
            <color indexed="16"/>
            <rFont val="ＭＳ 明朝"/>
            <family val="1"/>
            <charset val="128"/>
          </rPr>
          <t>/</t>
        </r>
        <r>
          <rPr>
            <sz val="6"/>
            <color indexed="16"/>
            <rFont val="ＭＳ 明朝"/>
            <family val="1"/>
            <charset val="128"/>
          </rPr>
          <t xml:space="preserve"> </t>
        </r>
        <r>
          <rPr>
            <b/>
            <sz val="12"/>
            <color indexed="16"/>
            <rFont val="ＭＳ 明朝"/>
            <family val="1"/>
            <charset val="128"/>
          </rPr>
          <t>ＡＥ</t>
        </r>
        <r>
          <rPr>
            <b/>
            <sz val="12"/>
            <color indexed="12"/>
            <rFont val="ＭＳ 明朝"/>
            <family val="1"/>
            <charset val="128"/>
          </rPr>
          <t>　</t>
        </r>
        <r>
          <rPr>
            <b/>
            <sz val="10"/>
            <color indexed="81"/>
            <rFont val="ＭＳ 明朝"/>
            <family val="1"/>
            <charset val="128"/>
          </rPr>
          <t xml:space="preserve">
</t>
        </r>
        <r>
          <rPr>
            <b/>
            <sz val="14"/>
            <color indexed="9"/>
            <rFont val="ＭＳ Ｐゴシック"/>
            <family val="3"/>
            <charset val="128"/>
          </rPr>
          <t xml:space="preserve"> </t>
        </r>
        <r>
          <rPr>
            <b/>
            <sz val="10"/>
            <color indexed="9"/>
            <rFont val="ＭＳ Ｐゴシック"/>
            <family val="3"/>
            <charset val="128"/>
          </rPr>
          <t xml:space="preserve">           0.65mm    0.9mm    1.2mm</t>
        </r>
        <r>
          <rPr>
            <b/>
            <sz val="10"/>
            <color indexed="10"/>
            <rFont val="ＭＳ 明朝"/>
            <family val="1"/>
            <charset val="128"/>
          </rPr>
          <t xml:space="preserve"> 
</t>
        </r>
        <r>
          <rPr>
            <b/>
            <sz val="10"/>
            <color indexed="32"/>
            <rFont val="ＭＳ 明朝"/>
            <family val="1"/>
            <charset val="128"/>
          </rPr>
          <t xml:space="preserve">     2</t>
        </r>
        <r>
          <rPr>
            <sz val="10"/>
            <color indexed="32"/>
            <rFont val="ＭＳ 明朝"/>
            <family val="1"/>
            <charset val="128"/>
          </rPr>
          <t>C</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0.013   0.014   0.015
     3</t>
        </r>
        <r>
          <rPr>
            <sz val="10"/>
            <color indexed="32"/>
            <rFont val="ＭＳ 明朝"/>
            <family val="1"/>
            <charset val="128"/>
          </rPr>
          <t>C</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0.014   0.016   0.017
     4</t>
        </r>
        <r>
          <rPr>
            <sz val="10"/>
            <color indexed="32"/>
            <rFont val="ＭＳ 明朝"/>
            <family val="1"/>
            <charset val="128"/>
          </rPr>
          <t>C</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0.014   0.017   0.018
     5</t>
        </r>
        <r>
          <rPr>
            <sz val="10"/>
            <color indexed="32"/>
            <rFont val="ＭＳ 明朝"/>
            <family val="1"/>
            <charset val="128"/>
          </rPr>
          <t>C</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0.015   0.019   0.020
     6</t>
        </r>
        <r>
          <rPr>
            <sz val="10"/>
            <color indexed="32"/>
            <rFont val="ＭＳ 明朝"/>
            <family val="1"/>
            <charset val="128"/>
          </rPr>
          <t>C</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0.015   0.019   0.020
     7</t>
        </r>
        <r>
          <rPr>
            <sz val="10"/>
            <color indexed="32"/>
            <rFont val="ＭＳ 明朝"/>
            <family val="1"/>
            <charset val="128"/>
          </rPr>
          <t>C</t>
        </r>
        <r>
          <rPr>
            <b/>
            <sz val="10"/>
            <color indexed="32"/>
            <rFont val="ＭＳ 明朝"/>
            <family val="1"/>
            <charset val="128"/>
          </rPr>
          <t xml:space="preserve"> </t>
        </r>
        <r>
          <rPr>
            <sz val="10"/>
            <color indexed="32"/>
            <rFont val="ＭＳ 明朝"/>
            <family val="1"/>
            <charset val="128"/>
          </rPr>
          <t xml:space="preserve"> </t>
        </r>
        <r>
          <rPr>
            <b/>
            <sz val="10"/>
            <color indexed="32"/>
            <rFont val="ＭＳ 明朝"/>
            <family val="1"/>
            <charset val="128"/>
          </rPr>
          <t>0.016   0.020   0.022
    5</t>
        </r>
        <r>
          <rPr>
            <sz val="10"/>
            <color indexed="32"/>
            <rFont val="ＭＳ 明朝"/>
            <family val="1"/>
            <charset val="128"/>
          </rPr>
          <t>Pr</t>
        </r>
        <r>
          <rPr>
            <b/>
            <sz val="10"/>
            <color indexed="32"/>
            <rFont val="ＭＳ 明朝"/>
            <family val="1"/>
            <charset val="128"/>
          </rPr>
          <t xml:space="preserve">  0.017   0.022   0.027
   10</t>
        </r>
        <r>
          <rPr>
            <sz val="10"/>
            <color indexed="32"/>
            <rFont val="ＭＳ 明朝"/>
            <family val="1"/>
            <charset val="128"/>
          </rPr>
          <t>Pr</t>
        </r>
        <r>
          <rPr>
            <b/>
            <sz val="10"/>
            <color indexed="32"/>
            <rFont val="ＭＳ 明朝"/>
            <family val="1"/>
            <charset val="128"/>
          </rPr>
          <t xml:space="preserve">  0.020   0.025   0.031
   15</t>
        </r>
        <r>
          <rPr>
            <sz val="10"/>
            <color indexed="32"/>
            <rFont val="ＭＳ 明朝"/>
            <family val="1"/>
            <charset val="128"/>
          </rPr>
          <t>Pr</t>
        </r>
        <r>
          <rPr>
            <b/>
            <sz val="10"/>
            <color indexed="32"/>
            <rFont val="ＭＳ 明朝"/>
            <family val="1"/>
            <charset val="128"/>
          </rPr>
          <t xml:space="preserve">  0.022   0.028   0.034
   20</t>
        </r>
        <r>
          <rPr>
            <sz val="10"/>
            <color indexed="32"/>
            <rFont val="ＭＳ 明朝"/>
            <family val="1"/>
            <charset val="128"/>
          </rPr>
          <t>Pr</t>
        </r>
        <r>
          <rPr>
            <b/>
            <sz val="10"/>
            <color indexed="32"/>
            <rFont val="ＭＳ 明朝"/>
            <family val="1"/>
            <charset val="128"/>
          </rPr>
          <t xml:space="preserve">  0.024   0.031   0.039
   25</t>
        </r>
        <r>
          <rPr>
            <sz val="10"/>
            <color indexed="32"/>
            <rFont val="ＭＳ 明朝"/>
            <family val="1"/>
            <charset val="128"/>
          </rPr>
          <t>Pr</t>
        </r>
        <r>
          <rPr>
            <b/>
            <sz val="10"/>
            <color indexed="32"/>
            <rFont val="ＭＳ 明朝"/>
            <family val="1"/>
            <charset val="128"/>
          </rPr>
          <t xml:space="preserve">  0.027   0.035   0.043
   30</t>
        </r>
        <r>
          <rPr>
            <sz val="10"/>
            <color indexed="32"/>
            <rFont val="ＭＳ 明朝"/>
            <family val="1"/>
            <charset val="128"/>
          </rPr>
          <t>Pr</t>
        </r>
        <r>
          <rPr>
            <b/>
            <sz val="10"/>
            <color indexed="32"/>
            <rFont val="ＭＳ 明朝"/>
            <family val="1"/>
            <charset val="128"/>
          </rPr>
          <t xml:space="preserve">  0.029   0.037   0.046
   50</t>
        </r>
        <r>
          <rPr>
            <sz val="10"/>
            <color indexed="32"/>
            <rFont val="ＭＳ 明朝"/>
            <family val="1"/>
            <charset val="128"/>
          </rPr>
          <t>Pr</t>
        </r>
        <r>
          <rPr>
            <b/>
            <sz val="10"/>
            <color indexed="32"/>
            <rFont val="ＭＳ 明朝"/>
            <family val="1"/>
            <charset val="128"/>
          </rPr>
          <t xml:space="preserve">  0.039   0.050   0.062
  100</t>
        </r>
        <r>
          <rPr>
            <sz val="10"/>
            <color indexed="32"/>
            <rFont val="ＭＳ 明朝"/>
            <family val="1"/>
            <charset val="128"/>
          </rPr>
          <t>Pr</t>
        </r>
        <r>
          <rPr>
            <b/>
            <sz val="10"/>
            <color indexed="32"/>
            <rFont val="ＭＳ 明朝"/>
            <family val="1"/>
            <charset val="128"/>
          </rPr>
          <t xml:space="preserve">  0.064   0.083   0.103
  150</t>
        </r>
        <r>
          <rPr>
            <sz val="10"/>
            <color indexed="32"/>
            <rFont val="ＭＳ 明朝"/>
            <family val="1"/>
            <charset val="128"/>
          </rPr>
          <t>Pr</t>
        </r>
        <r>
          <rPr>
            <b/>
            <sz val="10"/>
            <color indexed="32"/>
            <rFont val="ＭＳ 明朝"/>
            <family val="1"/>
            <charset val="128"/>
          </rPr>
          <t xml:space="preserve">  0.083   0.108   0.133
  200</t>
        </r>
        <r>
          <rPr>
            <sz val="10"/>
            <color indexed="32"/>
            <rFont val="ＭＳ 明朝"/>
            <family val="1"/>
            <charset val="128"/>
          </rPr>
          <t>Pr</t>
        </r>
        <r>
          <rPr>
            <b/>
            <sz val="10"/>
            <color indexed="32"/>
            <rFont val="ＭＳ 明朝"/>
            <family val="1"/>
            <charset val="128"/>
          </rPr>
          <t xml:space="preserve">  0.095   0.123   0.151</t>
        </r>
      </text>
    </comment>
    <comment ref="G13" authorId="0">
      <text>
        <r>
          <rPr>
            <b/>
            <sz val="12"/>
            <color indexed="81"/>
            <rFont val="ＭＳ 明朝"/>
            <family val="1"/>
            <charset val="128"/>
          </rPr>
          <t xml:space="preserve">             </t>
        </r>
        <r>
          <rPr>
            <b/>
            <sz val="12"/>
            <color indexed="60"/>
            <rFont val="ＭＳ 明朝"/>
            <family val="1"/>
            <charset val="128"/>
          </rPr>
          <t>バス・ダクト</t>
        </r>
        <r>
          <rPr>
            <sz val="16"/>
            <color indexed="12"/>
            <rFont val="ＭＳ 明朝"/>
            <family val="1"/>
            <charset val="128"/>
          </rPr>
          <t xml:space="preserve"> </t>
        </r>
        <r>
          <rPr>
            <b/>
            <sz val="12"/>
            <color indexed="81"/>
            <rFont val="ＭＳ 明朝"/>
            <family val="1"/>
            <charset val="128"/>
          </rPr>
          <t xml:space="preserve"> </t>
        </r>
        <r>
          <rPr>
            <b/>
            <sz val="10"/>
            <color indexed="81"/>
            <rFont val="ＭＳ 明朝"/>
            <family val="1"/>
            <charset val="128"/>
          </rPr>
          <t xml:space="preserve">  
</t>
        </r>
        <r>
          <rPr>
            <sz val="10"/>
            <color indexed="32"/>
            <rFont val="ＭＳ 明朝"/>
            <family val="1"/>
            <charset val="128"/>
          </rPr>
          <t>　　　 　　　ｱﾙﾐ-ｱﾙﾐ,ｱﾙﾐ-鉄　　  　銅-鉄</t>
        </r>
        <r>
          <rPr>
            <sz val="14"/>
            <color indexed="32"/>
            <rFont val="ＭＳ 明朝"/>
            <family val="1"/>
            <charset val="128"/>
          </rPr>
          <t xml:space="preserve"> </t>
        </r>
        <r>
          <rPr>
            <sz val="10"/>
            <color indexed="32"/>
            <rFont val="ＭＳ 明朝"/>
            <family val="1"/>
            <charset val="128"/>
          </rPr>
          <t xml:space="preserve">
　　 　　　　絶縁バスダクト</t>
        </r>
        <r>
          <rPr>
            <b/>
            <sz val="10"/>
            <color indexed="81"/>
            <rFont val="ＭＳ 明朝"/>
            <family val="1"/>
            <charset val="128"/>
          </rPr>
          <t xml:space="preserve">
</t>
        </r>
        <r>
          <rPr>
            <sz val="10"/>
            <color indexed="9"/>
            <rFont val="ＭＳ 明朝"/>
            <family val="1"/>
            <charset val="128"/>
          </rPr>
          <t xml:space="preserve">     　 　  </t>
        </r>
        <r>
          <rPr>
            <b/>
            <sz val="10"/>
            <color indexed="9"/>
            <rFont val="ＭＳ 明朝"/>
            <family val="1"/>
            <charset val="128"/>
          </rPr>
          <t>３</t>
        </r>
        <r>
          <rPr>
            <sz val="10"/>
            <color indexed="9"/>
            <rFont val="ＭＳ 明朝"/>
            <family val="1"/>
            <charset val="128"/>
          </rPr>
          <t xml:space="preserve">線式   </t>
        </r>
        <r>
          <rPr>
            <b/>
            <sz val="10"/>
            <color indexed="9"/>
            <rFont val="ＭＳ 明朝"/>
            <family val="1"/>
            <charset val="128"/>
          </rPr>
          <t>４</t>
        </r>
        <r>
          <rPr>
            <sz val="10"/>
            <color indexed="9"/>
            <rFont val="ＭＳ 明朝"/>
            <family val="1"/>
            <charset val="128"/>
          </rPr>
          <t xml:space="preserve">線式　 </t>
        </r>
        <r>
          <rPr>
            <b/>
            <sz val="10"/>
            <color indexed="9"/>
            <rFont val="ＭＳ 明朝"/>
            <family val="1"/>
            <charset val="128"/>
          </rPr>
          <t>３</t>
        </r>
        <r>
          <rPr>
            <sz val="10"/>
            <color indexed="9"/>
            <rFont val="ＭＳ 明朝"/>
            <family val="1"/>
            <charset val="128"/>
          </rPr>
          <t xml:space="preserve">線式   </t>
        </r>
        <r>
          <rPr>
            <b/>
            <sz val="10"/>
            <color indexed="9"/>
            <rFont val="ＭＳ 明朝"/>
            <family val="1"/>
            <charset val="128"/>
          </rPr>
          <t>４</t>
        </r>
        <r>
          <rPr>
            <sz val="10"/>
            <color indexed="9"/>
            <rFont val="ＭＳ 明朝"/>
            <family val="1"/>
            <charset val="128"/>
          </rPr>
          <t>線式</t>
        </r>
        <r>
          <rPr>
            <b/>
            <sz val="10"/>
            <color indexed="81"/>
            <rFont val="ＭＳ 明朝"/>
            <family val="1"/>
            <charset val="128"/>
          </rPr>
          <t xml:space="preserve">
</t>
        </r>
        <r>
          <rPr>
            <b/>
            <sz val="10"/>
            <color indexed="32"/>
            <rFont val="ＭＳ 明朝"/>
            <family val="1"/>
            <charset val="128"/>
          </rPr>
          <t xml:space="preserve">   200 A   0.261   0.313   0.287   0.344</t>
        </r>
        <r>
          <rPr>
            <b/>
            <sz val="12"/>
            <color indexed="32"/>
            <rFont val="ＭＳ 明朝"/>
            <family val="1"/>
            <charset val="128"/>
          </rPr>
          <t xml:space="preserve"> </t>
        </r>
        <r>
          <rPr>
            <b/>
            <sz val="10"/>
            <color indexed="32"/>
            <rFont val="ＭＳ 明朝"/>
            <family val="1"/>
            <charset val="128"/>
          </rPr>
          <t xml:space="preserve">
   400 A   0.348   0.417   0.383   0.459
   600 A   0.435   0.522   0.479   0.574
   800 A   0.565   0.678   0.622   0.746
  1000 A   0.739   0.887   0.813   0.876
  1200 A   0.913   1.10    1.004   1.21 
  1500 A   1.09    1.30    1.199   1.43 
  2000 A   1.30    1.55    1.43    1.705</t>
        </r>
      </text>
    </comment>
    <comment ref="K13" authorId="0">
      <text>
        <r>
          <rPr>
            <b/>
            <sz val="10"/>
            <color indexed="81"/>
            <rFont val="ＭＳ 明朝"/>
            <family val="1"/>
            <charset val="128"/>
          </rPr>
          <t xml:space="preserve">　　　 </t>
        </r>
        <r>
          <rPr>
            <b/>
            <sz val="12"/>
            <color indexed="16"/>
            <rFont val="ＭＳ 明朝"/>
            <family val="1"/>
            <charset val="128"/>
          </rPr>
          <t>プルボックス</t>
        </r>
        <r>
          <rPr>
            <sz val="18"/>
            <color indexed="12"/>
            <rFont val="ＭＳ 明朝"/>
            <family val="1"/>
            <charset val="128"/>
          </rPr>
          <t xml:space="preserve"> </t>
        </r>
        <r>
          <rPr>
            <sz val="11"/>
            <color indexed="12"/>
            <rFont val="ＭＳ 明朝"/>
            <family val="1"/>
            <charset val="128"/>
          </rPr>
          <t xml:space="preserve">
</t>
        </r>
        <r>
          <rPr>
            <b/>
            <sz val="10"/>
            <color indexed="32"/>
            <rFont val="ＭＳ 明朝"/>
            <family val="1"/>
            <charset val="128"/>
          </rPr>
          <t xml:space="preserve">  150×150×100</t>
        </r>
        <r>
          <rPr>
            <sz val="10"/>
            <color indexed="32"/>
            <rFont val="ＭＳ 明朝"/>
            <family val="1"/>
            <charset val="128"/>
          </rPr>
          <t>mm</t>
        </r>
        <r>
          <rPr>
            <b/>
            <sz val="10"/>
            <color indexed="32"/>
            <rFont val="ＭＳ 明朝"/>
            <family val="1"/>
            <charset val="128"/>
          </rPr>
          <t xml:space="preserve"> : 0.20</t>
        </r>
        <r>
          <rPr>
            <b/>
            <sz val="12"/>
            <color indexed="32"/>
            <rFont val="ＭＳ 明朝"/>
            <family val="1"/>
            <charset val="128"/>
          </rPr>
          <t xml:space="preserve"> </t>
        </r>
        <r>
          <rPr>
            <b/>
            <sz val="10"/>
            <color indexed="32"/>
            <rFont val="ＭＳ 明朝"/>
            <family val="1"/>
            <charset val="128"/>
          </rPr>
          <t xml:space="preserve">
  200×200×100</t>
        </r>
        <r>
          <rPr>
            <sz val="10"/>
            <color indexed="32"/>
            <rFont val="ＭＳ 明朝"/>
            <family val="1"/>
            <charset val="128"/>
          </rPr>
          <t>mm</t>
        </r>
        <r>
          <rPr>
            <b/>
            <sz val="10"/>
            <color indexed="32"/>
            <rFont val="ＭＳ 明朝"/>
            <family val="1"/>
            <charset val="128"/>
          </rPr>
          <t xml:space="preserve"> : 0.25
  250×250×100</t>
        </r>
        <r>
          <rPr>
            <sz val="10"/>
            <color indexed="32"/>
            <rFont val="ＭＳ 明朝"/>
            <family val="1"/>
            <charset val="128"/>
          </rPr>
          <t>mm</t>
        </r>
        <r>
          <rPr>
            <b/>
            <sz val="10"/>
            <color indexed="32"/>
            <rFont val="ＭＳ 明朝"/>
            <family val="1"/>
            <charset val="128"/>
          </rPr>
          <t xml:space="preserve"> : 0.30
  300×300×200</t>
        </r>
        <r>
          <rPr>
            <sz val="10"/>
            <color indexed="32"/>
            <rFont val="ＭＳ 明朝"/>
            <family val="1"/>
            <charset val="128"/>
          </rPr>
          <t>mm</t>
        </r>
        <r>
          <rPr>
            <b/>
            <sz val="10"/>
            <color indexed="32"/>
            <rFont val="ＭＳ 明朝"/>
            <family val="1"/>
            <charset val="128"/>
          </rPr>
          <t xml:space="preserve"> : 0.40
  350×350×200</t>
        </r>
        <r>
          <rPr>
            <sz val="10"/>
            <color indexed="32"/>
            <rFont val="ＭＳ 明朝"/>
            <family val="1"/>
            <charset val="128"/>
          </rPr>
          <t>mm</t>
        </r>
        <r>
          <rPr>
            <b/>
            <sz val="10"/>
            <color indexed="32"/>
            <rFont val="ＭＳ 明朝"/>
            <family val="1"/>
            <charset val="128"/>
          </rPr>
          <t xml:space="preserve"> : 0.45
  400×400×200</t>
        </r>
        <r>
          <rPr>
            <sz val="10"/>
            <color indexed="32"/>
            <rFont val="ＭＳ 明朝"/>
            <family val="1"/>
            <charset val="128"/>
          </rPr>
          <t>mm</t>
        </r>
        <r>
          <rPr>
            <b/>
            <sz val="10"/>
            <color indexed="32"/>
            <rFont val="ＭＳ 明朝"/>
            <family val="1"/>
            <charset val="128"/>
          </rPr>
          <t xml:space="preserve"> : 0.50
  450×450×200</t>
        </r>
        <r>
          <rPr>
            <sz val="10"/>
            <color indexed="32"/>
            <rFont val="ＭＳ 明朝"/>
            <family val="1"/>
            <charset val="128"/>
          </rPr>
          <t>mm</t>
        </r>
        <r>
          <rPr>
            <b/>
            <sz val="10"/>
            <color indexed="32"/>
            <rFont val="ＭＳ 明朝"/>
            <family val="1"/>
            <charset val="128"/>
          </rPr>
          <t xml:space="preserve"> : 0.55
  500×500×300</t>
        </r>
        <r>
          <rPr>
            <sz val="10"/>
            <color indexed="32"/>
            <rFont val="ＭＳ 明朝"/>
            <family val="1"/>
            <charset val="128"/>
          </rPr>
          <t>mm</t>
        </r>
        <r>
          <rPr>
            <b/>
            <sz val="10"/>
            <color indexed="32"/>
            <rFont val="ＭＳ 明朝"/>
            <family val="1"/>
            <charset val="128"/>
          </rPr>
          <t xml:space="preserve"> : 0.65
  550×550×300</t>
        </r>
        <r>
          <rPr>
            <sz val="10"/>
            <color indexed="32"/>
            <rFont val="ＭＳ 明朝"/>
            <family val="1"/>
            <charset val="128"/>
          </rPr>
          <t>mm</t>
        </r>
        <r>
          <rPr>
            <b/>
            <sz val="10"/>
            <color indexed="32"/>
            <rFont val="ＭＳ 明朝"/>
            <family val="1"/>
            <charset val="128"/>
          </rPr>
          <t xml:space="preserve"> : 0.70
  600×600×300</t>
        </r>
        <r>
          <rPr>
            <sz val="10"/>
            <color indexed="32"/>
            <rFont val="ＭＳ 明朝"/>
            <family val="1"/>
            <charset val="128"/>
          </rPr>
          <t>mm</t>
        </r>
        <r>
          <rPr>
            <b/>
            <sz val="10"/>
            <color indexed="32"/>
            <rFont val="ＭＳ 明朝"/>
            <family val="1"/>
            <charset val="128"/>
          </rPr>
          <t xml:space="preserve"> : 0.75
  650×650×300</t>
        </r>
        <r>
          <rPr>
            <sz val="10"/>
            <color indexed="32"/>
            <rFont val="ＭＳ 明朝"/>
            <family val="1"/>
            <charset val="128"/>
          </rPr>
          <t>mm</t>
        </r>
        <r>
          <rPr>
            <b/>
            <sz val="10"/>
            <color indexed="32"/>
            <rFont val="ＭＳ 明朝"/>
            <family val="1"/>
            <charset val="128"/>
          </rPr>
          <t xml:space="preserve"> : 0.80
  700×700×300</t>
        </r>
        <r>
          <rPr>
            <sz val="10"/>
            <color indexed="32"/>
            <rFont val="ＭＳ 明朝"/>
            <family val="1"/>
            <charset val="128"/>
          </rPr>
          <t>mm</t>
        </r>
        <r>
          <rPr>
            <b/>
            <sz val="10"/>
            <color indexed="32"/>
            <rFont val="ＭＳ 明朝"/>
            <family val="1"/>
            <charset val="128"/>
          </rPr>
          <t xml:space="preserve"> : 0.85
  800×800×400</t>
        </r>
        <r>
          <rPr>
            <sz val="10"/>
            <color indexed="32"/>
            <rFont val="ＭＳ 明朝"/>
            <family val="1"/>
            <charset val="128"/>
          </rPr>
          <t>mm</t>
        </r>
        <r>
          <rPr>
            <b/>
            <sz val="10"/>
            <color indexed="32"/>
            <rFont val="ＭＳ 明朝"/>
            <family val="1"/>
            <charset val="128"/>
          </rPr>
          <t xml:space="preserve"> : 1.00</t>
        </r>
        <r>
          <rPr>
            <b/>
            <sz val="11"/>
            <color indexed="81"/>
            <rFont val="ＭＳ 明朝"/>
            <family val="1"/>
            <charset val="128"/>
          </rPr>
          <t xml:space="preserve">
</t>
        </r>
        <r>
          <rPr>
            <sz val="10"/>
            <color indexed="9"/>
            <rFont val="Meiryo UI"/>
            <family val="3"/>
            <charset val="128"/>
          </rPr>
          <t xml:space="preserve">   (縦cm+横cm+高さcm)×0.005</t>
        </r>
        <r>
          <rPr>
            <sz val="16"/>
            <color indexed="9"/>
            <rFont val="Meiryo UI"/>
            <family val="3"/>
            <charset val="128"/>
          </rPr>
          <t xml:space="preserve"> 
</t>
        </r>
        <r>
          <rPr>
            <sz val="8"/>
            <color indexed="9"/>
            <rFont val="Meiryo UI"/>
            <family val="3"/>
            <charset val="128"/>
          </rPr>
          <t xml:space="preserve"> </t>
        </r>
      </text>
    </comment>
    <comment ref="S13" authorId="0">
      <text>
        <r>
          <rPr>
            <sz val="10"/>
            <color indexed="81"/>
            <rFont val="ＭＳ 明朝"/>
            <family val="1"/>
            <charset val="128"/>
          </rPr>
          <t xml:space="preserve">　   </t>
        </r>
        <r>
          <rPr>
            <b/>
            <sz val="12"/>
            <color indexed="60"/>
            <rFont val="ＭＳ 明朝"/>
            <family val="1"/>
            <charset val="128"/>
          </rPr>
          <t>電動機 結 線</t>
        </r>
        <r>
          <rPr>
            <sz val="16"/>
            <color indexed="53"/>
            <rFont val="ＭＳ 明朝"/>
            <family val="1"/>
            <charset val="128"/>
          </rPr>
          <t xml:space="preserve"> </t>
        </r>
        <r>
          <rPr>
            <sz val="10"/>
            <color indexed="81"/>
            <rFont val="ＭＳ 明朝"/>
            <family val="1"/>
            <charset val="128"/>
          </rPr>
          <t xml:space="preserve">
</t>
        </r>
        <r>
          <rPr>
            <b/>
            <sz val="10"/>
            <color indexed="32"/>
            <rFont val="ＭＳ 明朝"/>
            <family val="1"/>
            <charset val="128"/>
          </rPr>
          <t xml:space="preserve">  7.5 </t>
        </r>
        <r>
          <rPr>
            <sz val="10"/>
            <color indexed="32"/>
            <rFont val="ＭＳ 明朝"/>
            <family val="1"/>
            <charset val="128"/>
          </rPr>
          <t xml:space="preserve">KW以下 </t>
        </r>
        <r>
          <rPr>
            <b/>
            <sz val="10"/>
            <color indexed="32"/>
            <rFont val="ＭＳ 明朝"/>
            <family val="1"/>
            <charset val="128"/>
          </rPr>
          <t xml:space="preserve">  : 0.174</t>
        </r>
        <r>
          <rPr>
            <b/>
            <sz val="14"/>
            <color indexed="32"/>
            <rFont val="ＭＳ 明朝"/>
            <family val="1"/>
            <charset val="128"/>
          </rPr>
          <t xml:space="preserve"> </t>
        </r>
        <r>
          <rPr>
            <b/>
            <sz val="10"/>
            <color indexed="32"/>
            <rFont val="ＭＳ 明朝"/>
            <family val="1"/>
            <charset val="128"/>
          </rPr>
          <t xml:space="preserve">
 11.0 </t>
        </r>
        <r>
          <rPr>
            <sz val="10"/>
            <color indexed="32"/>
            <rFont val="ＭＳ 明朝"/>
            <family val="1"/>
            <charset val="128"/>
          </rPr>
          <t xml:space="preserve">KW以上 </t>
        </r>
        <r>
          <rPr>
            <b/>
            <sz val="10"/>
            <color indexed="32"/>
            <rFont val="ＭＳ 明朝"/>
            <family val="1"/>
            <charset val="128"/>
          </rPr>
          <t xml:space="preserve">  : 0.348
 </t>
        </r>
        <r>
          <rPr>
            <sz val="10"/>
            <color indexed="32"/>
            <rFont val="ＭＳ 明朝"/>
            <family val="1"/>
            <charset val="128"/>
          </rPr>
          <t xml:space="preserve">低圧コンデンサ </t>
        </r>
        <r>
          <rPr>
            <b/>
            <sz val="10"/>
            <color indexed="32"/>
            <rFont val="ＭＳ 明朝"/>
            <family val="1"/>
            <charset val="128"/>
          </rPr>
          <t xml:space="preserve">: 0.261
 </t>
        </r>
        <r>
          <rPr>
            <sz val="10"/>
            <color indexed="32"/>
            <rFont val="ＭＳ 明朝"/>
            <family val="1"/>
            <charset val="128"/>
          </rPr>
          <t xml:space="preserve">水位電極結線　 </t>
        </r>
        <r>
          <rPr>
            <b/>
            <sz val="10"/>
            <color indexed="32"/>
            <rFont val="ＭＳ 明朝"/>
            <family val="1"/>
            <charset val="128"/>
          </rPr>
          <t xml:space="preserve">: 0.20 </t>
        </r>
      </text>
    </comment>
    <comment ref="AE13" authorId="0">
      <text>
        <r>
          <rPr>
            <sz val="11"/>
            <color indexed="32"/>
            <rFont val="ＭＳ 明朝"/>
            <family val="1"/>
            <charset val="128"/>
          </rPr>
          <t xml:space="preserve">    </t>
        </r>
        <r>
          <rPr>
            <b/>
            <sz val="12"/>
            <color indexed="16"/>
            <rFont val="ＭＳ 明朝"/>
            <family val="1"/>
            <charset val="128"/>
          </rPr>
          <t>表　示　器</t>
        </r>
        <r>
          <rPr>
            <sz val="16"/>
            <color indexed="32"/>
            <rFont val="ＭＳ 明朝"/>
            <family val="1"/>
            <charset val="128"/>
          </rPr>
          <t xml:space="preserve"> </t>
        </r>
        <r>
          <rPr>
            <sz val="11"/>
            <color indexed="32"/>
            <rFont val="ＭＳ 明朝"/>
            <family val="1"/>
            <charset val="128"/>
          </rPr>
          <t xml:space="preserve"> </t>
        </r>
        <r>
          <rPr>
            <b/>
            <sz val="11"/>
            <color indexed="32"/>
            <rFont val="ＭＳ 明朝"/>
            <family val="1"/>
            <charset val="128"/>
          </rPr>
          <t xml:space="preserve">
</t>
        </r>
        <r>
          <rPr>
            <sz val="10"/>
            <color indexed="32"/>
            <rFont val="ＭＳ 明朝"/>
            <family val="1"/>
            <charset val="128"/>
          </rPr>
          <t xml:space="preserve">   </t>
        </r>
        <r>
          <rPr>
            <sz val="10"/>
            <color indexed="9"/>
            <rFont val="Meiryo UI"/>
            <family val="3"/>
            <charset val="128"/>
          </rPr>
          <t>表示盤</t>
        </r>
        <r>
          <rPr>
            <b/>
            <sz val="11"/>
            <color indexed="32"/>
            <rFont val="ＭＳ 明朝"/>
            <family val="1"/>
            <charset val="128"/>
          </rPr>
          <t xml:space="preserve">
</t>
        </r>
        <r>
          <rPr>
            <b/>
            <sz val="10"/>
            <color indexed="32"/>
            <rFont val="ＭＳ 明朝"/>
            <family val="1"/>
            <charset val="128"/>
          </rPr>
          <t xml:space="preserve">   2</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0.168</t>
        </r>
        <r>
          <rPr>
            <b/>
            <sz val="10"/>
            <color indexed="32"/>
            <rFont val="ＭＳ 明朝"/>
            <family val="1"/>
            <charset val="128"/>
          </rPr>
          <t xml:space="preserve">
   3</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0.257</t>
        </r>
        <r>
          <rPr>
            <b/>
            <sz val="10"/>
            <color indexed="32"/>
            <rFont val="ＭＳ 明朝"/>
            <family val="1"/>
            <charset val="128"/>
          </rPr>
          <t xml:space="preserve">
   4</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0.336</t>
        </r>
        <r>
          <rPr>
            <b/>
            <sz val="10"/>
            <color indexed="32"/>
            <rFont val="ＭＳ 明朝"/>
            <family val="1"/>
            <charset val="128"/>
          </rPr>
          <t xml:space="preserve">
   5</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0.416</t>
        </r>
        <r>
          <rPr>
            <b/>
            <sz val="10"/>
            <color indexed="32"/>
            <rFont val="ＭＳ 明朝"/>
            <family val="1"/>
            <charset val="128"/>
          </rPr>
          <t xml:space="preserve">
   6</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0.504</t>
        </r>
        <r>
          <rPr>
            <b/>
            <sz val="10"/>
            <color indexed="32"/>
            <rFont val="ＭＳ 明朝"/>
            <family val="1"/>
            <charset val="128"/>
          </rPr>
          <t xml:space="preserve">
   7</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0.593</t>
        </r>
        <r>
          <rPr>
            <b/>
            <sz val="10"/>
            <color indexed="32"/>
            <rFont val="ＭＳ 明朝"/>
            <family val="1"/>
            <charset val="128"/>
          </rPr>
          <t xml:space="preserve">
   8</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0.673</t>
        </r>
        <r>
          <rPr>
            <b/>
            <sz val="10"/>
            <color indexed="32"/>
            <rFont val="ＭＳ 明朝"/>
            <family val="1"/>
            <charset val="128"/>
          </rPr>
          <t xml:space="preserve">
   9</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0.761</t>
        </r>
        <r>
          <rPr>
            <b/>
            <sz val="10"/>
            <color indexed="32"/>
            <rFont val="ＭＳ 明朝"/>
            <family val="1"/>
            <charset val="128"/>
          </rPr>
          <t xml:space="preserve">
  10</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0.850</t>
        </r>
        <r>
          <rPr>
            <b/>
            <sz val="10"/>
            <color indexed="32"/>
            <rFont val="ＭＳ 明朝"/>
            <family val="1"/>
            <charset val="128"/>
          </rPr>
          <t xml:space="preserve">
  12</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1.02</t>
        </r>
        <r>
          <rPr>
            <b/>
            <sz val="10"/>
            <color indexed="32"/>
            <rFont val="ＭＳ 明朝"/>
            <family val="1"/>
            <charset val="128"/>
          </rPr>
          <t xml:space="preserve">
  14</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1.19</t>
        </r>
        <r>
          <rPr>
            <b/>
            <sz val="10"/>
            <color indexed="32"/>
            <rFont val="ＭＳ 明朝"/>
            <family val="1"/>
            <charset val="128"/>
          </rPr>
          <t xml:space="preserve">
  16</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1.35</t>
        </r>
        <r>
          <rPr>
            <b/>
            <sz val="10"/>
            <color indexed="32"/>
            <rFont val="ＭＳ 明朝"/>
            <family val="1"/>
            <charset val="128"/>
          </rPr>
          <t xml:space="preserve">
  18</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1.53</t>
        </r>
        <r>
          <rPr>
            <b/>
            <sz val="10"/>
            <color indexed="32"/>
            <rFont val="ＭＳ 明朝"/>
            <family val="1"/>
            <charset val="128"/>
          </rPr>
          <t xml:space="preserve">
  20</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1.70</t>
        </r>
        <r>
          <rPr>
            <b/>
            <sz val="10"/>
            <color indexed="32"/>
            <rFont val="ＭＳ 明朝"/>
            <family val="1"/>
            <charset val="128"/>
          </rPr>
          <t xml:space="preserve">
  25</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2.10</t>
        </r>
        <r>
          <rPr>
            <b/>
            <sz val="10"/>
            <color indexed="32"/>
            <rFont val="ＭＳ 明朝"/>
            <family val="1"/>
            <charset val="128"/>
          </rPr>
          <t xml:space="preserve">
  30</t>
        </r>
        <r>
          <rPr>
            <sz val="10"/>
            <color indexed="32"/>
            <rFont val="ＭＳ 明朝"/>
            <family val="1"/>
            <charset val="128"/>
          </rPr>
          <t>窓用</t>
        </r>
        <r>
          <rPr>
            <b/>
            <sz val="10"/>
            <color indexed="32"/>
            <rFont val="ＭＳ 明朝"/>
            <family val="1"/>
            <charset val="128"/>
          </rPr>
          <t xml:space="preserve"> : </t>
        </r>
        <r>
          <rPr>
            <b/>
            <sz val="10"/>
            <color indexed="32"/>
            <rFont val="Times New Roman"/>
            <family val="1"/>
          </rPr>
          <t>2.50</t>
        </r>
      </text>
    </comment>
  </commentList>
</comments>
</file>

<file path=xl/comments8.xml><?xml version="1.0" encoding="utf-8"?>
<comments xmlns="http://schemas.openxmlformats.org/spreadsheetml/2006/main">
  <authors>
    <author>ESE Service</author>
  </authors>
  <commentList>
    <comment ref="C5" authorId="0">
      <text>
        <r>
          <rPr>
            <b/>
            <sz val="12"/>
            <color indexed="81"/>
            <rFont val="HGPｺﾞｼｯｸE"/>
            <family val="3"/>
            <charset val="128"/>
          </rPr>
          <t xml:space="preserve"> </t>
        </r>
        <r>
          <rPr>
            <b/>
            <sz val="14"/>
            <color indexed="18"/>
            <rFont val="HGPｺﾞｼｯｸE"/>
            <family val="3"/>
            <charset val="128"/>
          </rPr>
          <t xml:space="preserve">　　　　　　 </t>
        </r>
        <r>
          <rPr>
            <b/>
            <sz val="12"/>
            <color indexed="37"/>
            <rFont val="ＭＳ Ｐ明朝"/>
            <family val="1"/>
            <charset val="128"/>
          </rPr>
          <t xml:space="preserve">簡易照度計算 </t>
        </r>
        <r>
          <rPr>
            <b/>
            <sz val="11"/>
            <color indexed="37"/>
            <rFont val="ＭＳ Ｐ明朝"/>
            <family val="1"/>
            <charset val="128"/>
          </rPr>
          <t>（平均照度法）</t>
        </r>
        <r>
          <rPr>
            <sz val="18"/>
            <color indexed="18"/>
            <rFont val="HGPｺﾞｼｯｸE"/>
            <family val="3"/>
            <charset val="128"/>
          </rPr>
          <t>　</t>
        </r>
        <r>
          <rPr>
            <b/>
            <sz val="9"/>
            <color indexed="81"/>
            <rFont val="HGPｺﾞｼｯｸE"/>
            <family val="3"/>
            <charset val="128"/>
          </rPr>
          <t xml:space="preserve">
</t>
        </r>
        <r>
          <rPr>
            <b/>
            <sz val="9"/>
            <color indexed="32"/>
            <rFont val="Meiryo UI"/>
            <family val="3"/>
            <charset val="128"/>
          </rPr>
          <t>　　</t>
        </r>
        <r>
          <rPr>
            <sz val="9"/>
            <color indexed="32"/>
            <rFont val="Meiryo UI"/>
            <family val="3"/>
            <charset val="128"/>
          </rPr>
          <t>概算照明率：Ｕ＝(１＋Ｋ</t>
        </r>
        <r>
          <rPr>
            <vertAlign val="superscript"/>
            <sz val="11"/>
            <color indexed="32"/>
            <rFont val="Meiryo UI"/>
            <family val="3"/>
            <charset val="128"/>
          </rPr>
          <t>-2</t>
        </r>
        <r>
          <rPr>
            <sz val="9"/>
            <color indexed="32"/>
            <rFont val="Meiryo UI"/>
            <family val="3"/>
            <charset val="128"/>
          </rPr>
          <t>)</t>
        </r>
        <r>
          <rPr>
            <vertAlign val="superscript"/>
            <sz val="11"/>
            <color indexed="32"/>
            <rFont val="Meiryo UI"/>
            <family val="3"/>
            <charset val="128"/>
          </rPr>
          <t>0.5</t>
        </r>
        <r>
          <rPr>
            <sz val="9"/>
            <color indexed="32"/>
            <rFont val="Meiryo UI"/>
            <family val="3"/>
            <charset val="128"/>
          </rPr>
          <t>－Ｋ</t>
        </r>
        <r>
          <rPr>
            <vertAlign val="superscript"/>
            <sz val="11"/>
            <color indexed="32"/>
            <rFont val="Meiryo UI"/>
            <family val="3"/>
            <charset val="128"/>
          </rPr>
          <t>-1</t>
        </r>
        <r>
          <rPr>
            <sz val="14"/>
            <color indexed="32"/>
            <rFont val="Meiryo UI"/>
            <family val="3"/>
            <charset val="128"/>
          </rPr>
          <t xml:space="preserve"> </t>
        </r>
        <r>
          <rPr>
            <sz val="9"/>
            <color indexed="32"/>
            <rFont val="Meiryo UI"/>
            <family val="3"/>
            <charset val="128"/>
          </rPr>
          <t xml:space="preserve">
　　　　　　　  </t>
        </r>
        <r>
          <rPr>
            <sz val="8"/>
            <color indexed="32"/>
            <rFont val="Meiryo UI"/>
            <family val="3"/>
            <charset val="128"/>
          </rPr>
          <t xml:space="preserve"> Ｋ：室指数　　　Ｋ</t>
        </r>
        <r>
          <rPr>
            <b/>
            <vertAlign val="superscript"/>
            <sz val="8"/>
            <color indexed="32"/>
            <rFont val="Meiryo UI"/>
            <family val="3"/>
            <charset val="128"/>
          </rPr>
          <t>-1</t>
        </r>
        <r>
          <rPr>
            <sz val="8"/>
            <color indexed="32"/>
            <rFont val="Meiryo UI"/>
            <family val="3"/>
            <charset val="128"/>
          </rPr>
          <t>＝(間口＋奥行) × 天井高 ／ (間口×奥行)</t>
        </r>
        <r>
          <rPr>
            <sz val="9"/>
            <color indexed="32"/>
            <rFont val="Meiryo UI"/>
            <family val="3"/>
            <charset val="128"/>
          </rPr>
          <t xml:space="preserve">
　　　　　反射率：ρc＝天井面反射率、 ρw＝壁面反射率、 ρf＝床面反射率より</t>
        </r>
        <r>
          <rPr>
            <sz val="12"/>
            <color indexed="32"/>
            <rFont val="Meiryo UI"/>
            <family val="3"/>
            <charset val="128"/>
          </rPr>
          <t xml:space="preserve"> </t>
        </r>
        <r>
          <rPr>
            <sz val="9"/>
            <color indexed="32"/>
            <rFont val="Meiryo UI"/>
            <family val="3"/>
            <charset val="128"/>
          </rPr>
          <t xml:space="preserve">
　　　　　４回反射までを考慮した照明率</t>
        </r>
        <r>
          <rPr>
            <sz val="6"/>
            <color indexed="32"/>
            <rFont val="Meiryo UI"/>
            <family val="3"/>
            <charset val="128"/>
          </rPr>
          <t xml:space="preserve"> </t>
        </r>
        <r>
          <rPr>
            <sz val="9"/>
            <color indexed="32"/>
            <rFont val="Meiryo UI"/>
            <family val="3"/>
            <charset val="128"/>
          </rPr>
          <t>Ｕt は、</t>
        </r>
        <r>
          <rPr>
            <sz val="10"/>
            <color indexed="32"/>
            <rFont val="Meiryo UI"/>
            <family val="3"/>
            <charset val="128"/>
          </rPr>
          <t>　</t>
        </r>
        <r>
          <rPr>
            <sz val="9"/>
            <color indexed="32"/>
            <rFont val="Meiryo UI"/>
            <family val="3"/>
            <charset val="128"/>
          </rPr>
          <t xml:space="preserve">
　   　　Ｕt</t>
        </r>
        <r>
          <rPr>
            <sz val="8"/>
            <color indexed="32"/>
            <rFont val="Meiryo UI"/>
            <family val="3"/>
            <charset val="128"/>
          </rPr>
          <t>≒</t>
        </r>
        <r>
          <rPr>
            <sz val="9"/>
            <color indexed="32"/>
            <rFont val="Meiryo UI"/>
            <family val="3"/>
            <charset val="128"/>
          </rPr>
          <t>ｆ</t>
        </r>
        <r>
          <rPr>
            <sz val="8"/>
            <color indexed="32"/>
            <rFont val="Meiryo UI"/>
            <family val="3"/>
            <charset val="128"/>
          </rPr>
          <t>(Ｕ)・</t>
        </r>
        <r>
          <rPr>
            <sz val="9"/>
            <color indexed="32"/>
            <rFont val="Meiryo UI"/>
            <family val="3"/>
            <charset val="128"/>
          </rPr>
          <t>[ｆ(ρ)・(</t>
        </r>
        <r>
          <rPr>
            <sz val="8"/>
            <color indexed="32"/>
            <rFont val="Meiryo UI"/>
            <family val="3"/>
            <charset val="128"/>
          </rPr>
          <t>ρc・ρf＋ρc</t>
        </r>
        <r>
          <rPr>
            <vertAlign val="superscript"/>
            <sz val="11"/>
            <color indexed="32"/>
            <rFont val="Meiryo UI"/>
            <family val="3"/>
            <charset val="128"/>
          </rPr>
          <t>2</t>
        </r>
        <r>
          <rPr>
            <sz val="8"/>
            <color indexed="32"/>
            <rFont val="Meiryo UI"/>
            <family val="3"/>
            <charset val="128"/>
          </rPr>
          <t>・ρf</t>
        </r>
        <r>
          <rPr>
            <vertAlign val="superscript"/>
            <sz val="11"/>
            <color indexed="32"/>
            <rFont val="Meiryo UI"/>
            <family val="3"/>
            <charset val="128"/>
          </rPr>
          <t>2</t>
        </r>
        <r>
          <rPr>
            <sz val="11"/>
            <color indexed="32"/>
            <rFont val="Meiryo UI"/>
            <family val="3"/>
            <charset val="128"/>
          </rPr>
          <t>)</t>
        </r>
        <r>
          <rPr>
            <sz val="9"/>
            <color indexed="32"/>
            <rFont val="Meiryo UI"/>
            <family val="3"/>
            <charset val="128"/>
          </rPr>
          <t>]</t>
        </r>
        <r>
          <rPr>
            <sz val="8"/>
            <color indexed="32"/>
            <rFont val="Meiryo UI"/>
            <family val="3"/>
            <charset val="128"/>
          </rPr>
          <t>＋</t>
        </r>
        <r>
          <rPr>
            <sz val="9"/>
            <color indexed="32"/>
            <rFont val="Meiryo UI"/>
            <family val="3"/>
            <charset val="128"/>
          </rPr>
          <t>ｆ(K)・[</t>
        </r>
        <r>
          <rPr>
            <sz val="8"/>
            <color indexed="32"/>
            <rFont val="Meiryo UI"/>
            <family val="3"/>
            <charset val="128"/>
          </rPr>
          <t>ρw＋ρc・ρw＋ρc・ρf・ρw</t>
        </r>
        <r>
          <rPr>
            <sz val="9"/>
            <color indexed="32"/>
            <rFont val="Meiryo UI"/>
            <family val="3"/>
            <charset val="128"/>
          </rPr>
          <t>］
　　　   　　</t>
        </r>
        <r>
          <rPr>
            <sz val="8"/>
            <color indexed="32"/>
            <rFont val="Meiryo UI"/>
            <family val="3"/>
            <charset val="128"/>
          </rPr>
          <t xml:space="preserve">ただし、 </t>
        </r>
        <r>
          <rPr>
            <sz val="9"/>
            <color indexed="32"/>
            <rFont val="Meiryo UI"/>
            <family val="3"/>
            <charset val="128"/>
          </rPr>
          <t>ｆ</t>
        </r>
        <r>
          <rPr>
            <sz val="8"/>
            <color indexed="32"/>
            <rFont val="Meiryo UI"/>
            <family val="3"/>
            <charset val="128"/>
          </rPr>
          <t>(Ｕ)，</t>
        </r>
        <r>
          <rPr>
            <sz val="9"/>
            <color indexed="32"/>
            <rFont val="Meiryo UI"/>
            <family val="3"/>
            <charset val="128"/>
          </rPr>
          <t>ｆ</t>
        </r>
        <r>
          <rPr>
            <sz val="8"/>
            <color indexed="32"/>
            <rFont val="Meiryo UI"/>
            <family val="3"/>
            <charset val="128"/>
          </rPr>
          <t>(ρ)，ｆ(Ｋ) ：Ｕ，ρ，Ｋ に関する函数。</t>
        </r>
        <r>
          <rPr>
            <sz val="9"/>
            <color indexed="32"/>
            <rFont val="Meiryo UI"/>
            <family val="3"/>
            <charset val="128"/>
          </rPr>
          <t xml:space="preserve">
　　　　　Ｎ＝Ｅ・Ａ／(Ｍ・Ｕt・Ｆ・n)
</t>
        </r>
        <r>
          <rPr>
            <sz val="8"/>
            <color indexed="32"/>
            <rFont val="ＭＳ 明朝"/>
            <family val="1"/>
            <charset val="128"/>
          </rPr>
          <t>　　</t>
        </r>
        <r>
          <rPr>
            <sz val="8"/>
            <color indexed="32"/>
            <rFont val="Meiryo UI"/>
            <family val="3"/>
            <charset val="128"/>
          </rPr>
          <t xml:space="preserve">   </t>
        </r>
        <r>
          <rPr>
            <sz val="8"/>
            <color indexed="32"/>
            <rFont val="ＭＳ 明朝"/>
            <family val="1"/>
            <charset val="128"/>
          </rPr>
          <t xml:space="preserve">   　　</t>
        </r>
        <r>
          <rPr>
            <sz val="8"/>
            <color indexed="32"/>
            <rFont val="Meiryo UI"/>
            <family val="3"/>
            <charset val="128"/>
          </rPr>
          <t>Ｎ：照明器具台数</t>
        </r>
        <r>
          <rPr>
            <sz val="8"/>
            <color indexed="32"/>
            <rFont val="ＭＳ 明朝"/>
            <family val="1"/>
            <charset val="128"/>
          </rPr>
          <t xml:space="preserve">    </t>
        </r>
        <r>
          <rPr>
            <sz val="8"/>
            <color indexed="32"/>
            <rFont val="Meiryo UI"/>
            <family val="3"/>
            <charset val="128"/>
          </rPr>
          <t>Ｅ：設計照度 [Lx]    Ｍ：保守率    Ｕ</t>
        </r>
        <r>
          <rPr>
            <sz val="9"/>
            <color indexed="32"/>
            <rFont val="Meiryo UI"/>
            <family val="3"/>
            <charset val="128"/>
          </rPr>
          <t>t</t>
        </r>
        <r>
          <rPr>
            <sz val="8"/>
            <color indexed="32"/>
            <rFont val="Meiryo UI"/>
            <family val="3"/>
            <charset val="128"/>
          </rPr>
          <t xml:space="preserve">：照明率
</t>
        </r>
        <r>
          <rPr>
            <sz val="8"/>
            <color indexed="32"/>
            <rFont val="ＭＳ 明朝"/>
            <family val="1"/>
            <charset val="128"/>
          </rPr>
          <t xml:space="preserve">　　　       </t>
        </r>
        <r>
          <rPr>
            <sz val="8"/>
            <color indexed="32"/>
            <rFont val="Meiryo UI"/>
            <family val="3"/>
            <charset val="128"/>
          </rPr>
          <t>Ｆ：ランプ１本あたりの光束 [lm]　　　ｎ：ランプ本数／器具１台</t>
        </r>
        <r>
          <rPr>
            <sz val="9"/>
            <color indexed="81"/>
            <rFont val="HGPｺﾞｼｯｸE"/>
            <family val="3"/>
            <charset val="128"/>
          </rPr>
          <t xml:space="preserve">
</t>
        </r>
        <r>
          <rPr>
            <sz val="9"/>
            <color indexed="12"/>
            <rFont val="HGPｺﾞｼｯｸE"/>
            <family val="3"/>
            <charset val="128"/>
          </rPr>
          <t xml:space="preserve">
</t>
        </r>
        <r>
          <rPr>
            <sz val="8"/>
            <color indexed="12"/>
            <rFont val="Meiryo UI"/>
            <family val="3"/>
            <charset val="128"/>
          </rPr>
          <t>　　　</t>
        </r>
        <r>
          <rPr>
            <sz val="8"/>
            <color indexed="81"/>
            <rFont val="Meiryo UI"/>
            <family val="3"/>
            <charset val="128"/>
          </rPr>
          <t xml:space="preserve">床面の反射率について </t>
        </r>
        <r>
          <rPr>
            <b/>
            <sz val="8"/>
            <color indexed="81"/>
            <rFont val="Meiryo UI"/>
            <family val="3"/>
            <charset val="128"/>
          </rPr>
          <t>：</t>
        </r>
        <r>
          <rPr>
            <sz val="8"/>
            <color indexed="18"/>
            <rFont val="Meiryo UI"/>
            <family val="3"/>
            <charset val="128"/>
          </rPr>
          <t xml:space="preserve"> </t>
        </r>
        <r>
          <rPr>
            <sz val="8"/>
            <color indexed="81"/>
            <rFont val="Meiryo UI"/>
            <family val="3"/>
            <charset val="128"/>
          </rPr>
          <t>各メーカの照明率資料は、床面の反射率が 10％ の値です。
　　　　　　　　　　　　　 　　　　　</t>
        </r>
        <r>
          <rPr>
            <b/>
            <sz val="8"/>
            <color indexed="81"/>
            <rFont val="Meiryo UI"/>
            <family val="3"/>
            <charset val="128"/>
          </rPr>
          <t>　</t>
        </r>
        <r>
          <rPr>
            <sz val="8"/>
            <color indexed="81"/>
            <rFont val="Meiryo UI"/>
            <family val="3"/>
            <charset val="128"/>
          </rPr>
          <t xml:space="preserve">この反射率を 15～20 ％ に変更可能なら、必要器具台数
　　　　　　　　　　　　　　　　　　 </t>
        </r>
        <r>
          <rPr>
            <b/>
            <sz val="8"/>
            <color indexed="81"/>
            <rFont val="Meiryo UI"/>
            <family val="3"/>
            <charset val="128"/>
          </rPr>
          <t>　</t>
        </r>
        <r>
          <rPr>
            <sz val="8"/>
            <color indexed="81"/>
            <rFont val="Meiryo UI"/>
            <family val="3"/>
            <charset val="128"/>
          </rPr>
          <t>を 数パーセント 以上少なくすることが可能です</t>
        </r>
        <r>
          <rPr>
            <sz val="8"/>
            <color indexed="18"/>
            <rFont val="Meiryo UI"/>
            <family val="3"/>
            <charset val="128"/>
          </rPr>
          <t>。</t>
        </r>
        <r>
          <rPr>
            <sz val="9"/>
            <color indexed="81"/>
            <rFont val="HGPｺﾞｼｯｸE"/>
            <family val="3"/>
            <charset val="128"/>
          </rPr>
          <t xml:space="preserve">
</t>
        </r>
        <r>
          <rPr>
            <b/>
            <sz val="9"/>
            <color indexed="81"/>
            <rFont val="HGPｺﾞｼｯｸE"/>
            <family val="3"/>
            <charset val="128"/>
          </rPr>
          <t>　　　　　　　　　　　　　　　　　</t>
        </r>
        <r>
          <rPr>
            <b/>
            <sz val="9"/>
            <color indexed="81"/>
            <rFont val="Meiryo UI"/>
            <family val="3"/>
            <charset val="128"/>
          </rPr>
          <t xml:space="preserve">    </t>
        </r>
        <r>
          <rPr>
            <b/>
            <sz val="9"/>
            <color indexed="81"/>
            <rFont val="HGPｺﾞｼｯｸE"/>
            <family val="3"/>
            <charset val="128"/>
          </rPr>
          <t>　　　　　　　　　　　</t>
        </r>
        <r>
          <rPr>
            <b/>
            <sz val="9"/>
            <color indexed="18"/>
            <rFont val="Times New Roman"/>
            <family val="1"/>
          </rPr>
          <t xml:space="preserve">2010. 03. 28   </t>
        </r>
        <r>
          <rPr>
            <b/>
            <i/>
            <sz val="9"/>
            <color indexed="18"/>
            <rFont val="Times New Roman"/>
            <family val="1"/>
          </rPr>
          <t>ESE  Service</t>
        </r>
        <r>
          <rPr>
            <b/>
            <sz val="9"/>
            <color indexed="18"/>
            <rFont val="Times New Roman"/>
            <family val="1"/>
          </rPr>
          <t xml:space="preserve">
 </t>
        </r>
      </text>
    </comment>
    <comment ref="S6" authorId="0">
      <text>
        <r>
          <rPr>
            <b/>
            <sz val="12"/>
            <color indexed="81"/>
            <rFont val="ＭＳ Ｐ明朝"/>
            <family val="1"/>
            <charset val="128"/>
          </rPr>
          <t xml:space="preserve">    　　　　</t>
        </r>
        <r>
          <rPr>
            <b/>
            <sz val="11"/>
            <color indexed="37"/>
            <rFont val="ＭＳ Ｐ明朝"/>
            <family val="1"/>
            <charset val="128"/>
          </rPr>
          <t>ランプ光束 [ｌｍ]</t>
        </r>
        <r>
          <rPr>
            <sz val="18"/>
            <color theme="1"/>
            <rFont val="ＭＳ Ｐゴシック"/>
            <family val="3"/>
            <charset val="128"/>
            <scheme val="minor"/>
          </rPr>
          <t xml:space="preserve"> </t>
        </r>
        <r>
          <rPr>
            <b/>
            <sz val="9"/>
            <color indexed="81"/>
            <rFont val="ＭＳ Ｐ明朝"/>
            <family val="1"/>
            <charset val="128"/>
          </rPr>
          <t xml:space="preserve">
</t>
        </r>
        <r>
          <rPr>
            <sz val="8"/>
            <color indexed="32"/>
            <rFont val="ＭＳ Ｐ明朝"/>
            <family val="1"/>
            <charset val="128"/>
          </rPr>
          <t xml:space="preserve"> </t>
        </r>
        <r>
          <rPr>
            <sz val="10"/>
            <color theme="1"/>
            <rFont val="ＭＳ Ｐゴシック"/>
            <family val="2"/>
            <charset val="128"/>
            <scheme val="minor"/>
          </rPr>
          <t xml:space="preserve">            </t>
        </r>
        <r>
          <rPr>
            <sz val="10"/>
            <color indexed="81"/>
            <rFont val="ＭＳ Ｐゴシック"/>
            <family val="3"/>
            <charset val="128"/>
            <scheme val="minor"/>
          </rPr>
          <t xml:space="preserve">FPL </t>
        </r>
        <r>
          <rPr>
            <sz val="11"/>
            <color indexed="81"/>
            <rFont val="ＭＳ Ｐゴシック"/>
            <family val="3"/>
            <charset val="128"/>
            <scheme val="minor"/>
          </rPr>
          <t xml:space="preserve">            </t>
        </r>
        <r>
          <rPr>
            <sz val="10"/>
            <color indexed="81"/>
            <rFont val="ＭＳ Ｐゴシック"/>
            <family val="3"/>
            <charset val="128"/>
            <scheme val="minor"/>
          </rPr>
          <t>FML</t>
        </r>
        <r>
          <rPr>
            <sz val="11"/>
            <color indexed="81"/>
            <rFont val="ＭＳ Ｐゴシック"/>
            <family val="3"/>
            <charset val="128"/>
            <scheme val="minor"/>
          </rPr>
          <t xml:space="preserve">           </t>
        </r>
        <r>
          <rPr>
            <sz val="10"/>
            <color indexed="81"/>
            <rFont val="ＭＳ Ｐゴシック"/>
            <family val="3"/>
            <charset val="128"/>
            <scheme val="minor"/>
          </rPr>
          <t>FDL</t>
        </r>
        <r>
          <rPr>
            <sz val="10"/>
            <color theme="1"/>
            <rFont val="ＭＳ Ｐゴシック"/>
            <family val="2"/>
            <charset val="128"/>
            <scheme val="minor"/>
          </rPr>
          <t xml:space="preserve"> </t>
        </r>
        <r>
          <rPr>
            <sz val="12"/>
            <color theme="1"/>
            <rFont val="ＭＳ Ｐゴシック"/>
            <family val="3"/>
            <charset val="128"/>
            <scheme val="minor"/>
          </rPr>
          <t xml:space="preserve"> </t>
        </r>
        <r>
          <rPr>
            <sz val="8"/>
            <color indexed="32"/>
            <rFont val="ＭＳ ゴシック"/>
            <family val="3"/>
            <charset val="128"/>
          </rPr>
          <t xml:space="preserve">
    9W     </t>
        </r>
        <r>
          <rPr>
            <b/>
            <sz val="8"/>
            <color indexed="32"/>
            <rFont val="ＭＳ ゴシック"/>
            <family val="3"/>
            <charset val="128"/>
          </rPr>
          <t xml:space="preserve"> 540</t>
        </r>
        <r>
          <rPr>
            <sz val="8"/>
            <color indexed="32"/>
            <rFont val="ＭＳ ゴシック"/>
            <family val="3"/>
            <charset val="128"/>
          </rPr>
          <t xml:space="preserve">                        </t>
        </r>
        <r>
          <rPr>
            <b/>
            <sz val="8"/>
            <color indexed="32"/>
            <rFont val="ＭＳ ゴシック"/>
            <family val="3"/>
            <charset val="128"/>
          </rPr>
          <t>520</t>
        </r>
        <r>
          <rPr>
            <sz val="8"/>
            <color indexed="32"/>
            <rFont val="ＭＳ ゴシック"/>
            <family val="3"/>
            <charset val="128"/>
          </rPr>
          <t xml:space="preserve">
   13W  </t>
        </r>
        <r>
          <rPr>
            <b/>
            <sz val="8"/>
            <color indexed="32"/>
            <rFont val="ＭＳ ゴシック"/>
            <family val="3"/>
            <charset val="128"/>
          </rPr>
          <t xml:space="preserve"> 790</t>
        </r>
        <r>
          <rPr>
            <sz val="8"/>
            <color indexed="32"/>
            <rFont val="ＭＳ ゴシック"/>
            <family val="3"/>
            <charset val="128"/>
          </rPr>
          <t>～</t>
        </r>
        <r>
          <rPr>
            <b/>
            <sz val="8"/>
            <color indexed="32"/>
            <rFont val="ＭＳ ゴシック"/>
            <family val="3"/>
            <charset val="128"/>
          </rPr>
          <t xml:space="preserve"> 840</t>
        </r>
        <r>
          <rPr>
            <sz val="8"/>
            <color indexed="32"/>
            <rFont val="ＭＳ ゴシック"/>
            <family val="3"/>
            <charset val="128"/>
          </rPr>
          <t xml:space="preserve">       </t>
        </r>
        <r>
          <rPr>
            <b/>
            <sz val="8"/>
            <color indexed="32"/>
            <rFont val="ＭＳ ゴシック"/>
            <family val="3"/>
            <charset val="128"/>
          </rPr>
          <t xml:space="preserve">850     </t>
        </r>
        <r>
          <rPr>
            <sz val="8"/>
            <color indexed="32"/>
            <rFont val="ＭＳ ゴシック"/>
            <family val="3"/>
            <charset val="128"/>
          </rPr>
          <t xml:space="preserve">  </t>
        </r>
        <r>
          <rPr>
            <b/>
            <sz val="8"/>
            <color indexed="32"/>
            <rFont val="ＭＳ ゴシック"/>
            <family val="3"/>
            <charset val="128"/>
          </rPr>
          <t>750</t>
        </r>
        <r>
          <rPr>
            <sz val="8"/>
            <color indexed="32"/>
            <rFont val="ＭＳ ゴシック"/>
            <family val="3"/>
            <charset val="128"/>
          </rPr>
          <t>～</t>
        </r>
        <r>
          <rPr>
            <b/>
            <sz val="8"/>
            <color indexed="32"/>
            <rFont val="ＭＳ ゴシック"/>
            <family val="3"/>
            <charset val="128"/>
          </rPr>
          <t xml:space="preserve"> 800</t>
        </r>
        <r>
          <rPr>
            <sz val="8"/>
            <color indexed="32"/>
            <rFont val="ＭＳ ゴシック"/>
            <family val="3"/>
            <charset val="128"/>
          </rPr>
          <t xml:space="preserve">
   18W  </t>
        </r>
        <r>
          <rPr>
            <b/>
            <sz val="8"/>
            <color indexed="32"/>
            <rFont val="ＭＳ ゴシック"/>
            <family val="3"/>
            <charset val="128"/>
          </rPr>
          <t>1050</t>
        </r>
        <r>
          <rPr>
            <sz val="8"/>
            <color indexed="32"/>
            <rFont val="ＭＳ ゴシック"/>
            <family val="3"/>
            <charset val="128"/>
          </rPr>
          <t>～</t>
        </r>
        <r>
          <rPr>
            <b/>
            <sz val="8"/>
            <color indexed="32"/>
            <rFont val="ＭＳ ゴシック"/>
            <family val="3"/>
            <charset val="128"/>
          </rPr>
          <t>1120</t>
        </r>
        <r>
          <rPr>
            <sz val="8"/>
            <color indexed="32"/>
            <rFont val="ＭＳ ゴシック"/>
            <family val="3"/>
            <charset val="128"/>
          </rPr>
          <t xml:space="preserve">   </t>
        </r>
        <r>
          <rPr>
            <b/>
            <sz val="8"/>
            <color indexed="32"/>
            <rFont val="ＭＳ ゴシック"/>
            <family val="3"/>
            <charset val="128"/>
          </rPr>
          <t>1030</t>
        </r>
        <r>
          <rPr>
            <sz val="8"/>
            <color indexed="32"/>
            <rFont val="ＭＳ ゴシック"/>
            <family val="3"/>
            <charset val="128"/>
          </rPr>
          <t>～</t>
        </r>
        <r>
          <rPr>
            <b/>
            <sz val="8"/>
            <color indexed="32"/>
            <rFont val="ＭＳ ゴシック"/>
            <family val="3"/>
            <charset val="128"/>
          </rPr>
          <t>1100</t>
        </r>
        <r>
          <rPr>
            <sz val="8"/>
            <color indexed="32"/>
            <rFont val="ＭＳ ゴシック"/>
            <family val="3"/>
            <charset val="128"/>
          </rPr>
          <t xml:space="preserve">   </t>
        </r>
        <r>
          <rPr>
            <b/>
            <sz val="8"/>
            <color indexed="32"/>
            <rFont val="ＭＳ ゴシック"/>
            <family val="3"/>
            <charset val="128"/>
          </rPr>
          <t>1000</t>
        </r>
        <r>
          <rPr>
            <sz val="8"/>
            <color indexed="32"/>
            <rFont val="ＭＳ ゴシック"/>
            <family val="3"/>
            <charset val="128"/>
          </rPr>
          <t>～</t>
        </r>
        <r>
          <rPr>
            <b/>
            <sz val="8"/>
            <color indexed="32"/>
            <rFont val="ＭＳ ゴシック"/>
            <family val="3"/>
            <charset val="128"/>
          </rPr>
          <t>1070</t>
        </r>
        <r>
          <rPr>
            <sz val="8"/>
            <color indexed="32"/>
            <rFont val="ＭＳ ゴシック"/>
            <family val="3"/>
            <charset val="128"/>
          </rPr>
          <t xml:space="preserve">
   27W  </t>
        </r>
        <r>
          <rPr>
            <b/>
            <sz val="8"/>
            <color indexed="32"/>
            <rFont val="ＭＳ ゴシック"/>
            <family val="3"/>
            <charset val="128"/>
          </rPr>
          <t>1690</t>
        </r>
        <r>
          <rPr>
            <sz val="8"/>
            <color indexed="32"/>
            <rFont val="ＭＳ ゴシック"/>
            <family val="3"/>
            <charset val="128"/>
          </rPr>
          <t>～</t>
        </r>
        <r>
          <rPr>
            <b/>
            <sz val="8"/>
            <color indexed="32"/>
            <rFont val="ＭＳ ゴシック"/>
            <family val="3"/>
            <charset val="128"/>
          </rPr>
          <t>1855</t>
        </r>
        <r>
          <rPr>
            <sz val="8"/>
            <color indexed="32"/>
            <rFont val="ＭＳ ゴシック"/>
            <family val="3"/>
            <charset val="128"/>
          </rPr>
          <t xml:space="preserve">   </t>
        </r>
        <r>
          <rPr>
            <b/>
            <sz val="8"/>
            <color indexed="32"/>
            <rFont val="ＭＳ ゴシック"/>
            <family val="3"/>
            <charset val="128"/>
          </rPr>
          <t>1480</t>
        </r>
        <r>
          <rPr>
            <sz val="8"/>
            <color indexed="32"/>
            <rFont val="ＭＳ ゴシック"/>
            <family val="3"/>
            <charset val="128"/>
          </rPr>
          <t>～</t>
        </r>
        <r>
          <rPr>
            <b/>
            <sz val="8"/>
            <color indexed="32"/>
            <rFont val="ＭＳ ゴシック"/>
            <family val="3"/>
            <charset val="128"/>
          </rPr>
          <t>1600</t>
        </r>
        <r>
          <rPr>
            <sz val="8"/>
            <color indexed="32"/>
            <rFont val="ＭＳ ゴシック"/>
            <family val="3"/>
            <charset val="128"/>
          </rPr>
          <t xml:space="preserve">   </t>
        </r>
        <r>
          <rPr>
            <b/>
            <sz val="8"/>
            <color indexed="32"/>
            <rFont val="ＭＳ ゴシック"/>
            <family val="3"/>
            <charset val="128"/>
          </rPr>
          <t>1450</t>
        </r>
        <r>
          <rPr>
            <sz val="8"/>
            <color indexed="32"/>
            <rFont val="ＭＳ ゴシック"/>
            <family val="3"/>
            <charset val="128"/>
          </rPr>
          <t>～</t>
        </r>
        <r>
          <rPr>
            <b/>
            <sz val="8"/>
            <color indexed="32"/>
            <rFont val="ＭＳ ゴシック"/>
            <family val="3"/>
            <charset val="128"/>
          </rPr>
          <t>1550</t>
        </r>
        <r>
          <rPr>
            <sz val="8"/>
            <color indexed="32"/>
            <rFont val="ＭＳ ゴシック"/>
            <family val="3"/>
            <charset val="128"/>
          </rPr>
          <t xml:space="preserve">
   28W  </t>
        </r>
        <r>
          <rPr>
            <b/>
            <sz val="8"/>
            <color indexed="32"/>
            <rFont val="ＭＳ ゴシック"/>
            <family val="3"/>
            <charset val="128"/>
          </rPr>
          <t>1970</t>
        </r>
        <r>
          <rPr>
            <sz val="8"/>
            <color indexed="32"/>
            <rFont val="ＭＳ ゴシック"/>
            <family val="3"/>
            <charset val="128"/>
          </rPr>
          <t>～</t>
        </r>
        <r>
          <rPr>
            <b/>
            <sz val="8"/>
            <color indexed="32"/>
            <rFont val="ＭＳ ゴシック"/>
            <family val="3"/>
            <charset val="128"/>
          </rPr>
          <t>2100</t>
        </r>
        <r>
          <rPr>
            <sz val="8"/>
            <color indexed="32"/>
            <rFont val="ＭＳ ゴシック"/>
            <family val="3"/>
            <charset val="128"/>
          </rPr>
          <t xml:space="preserve">
   36W  </t>
        </r>
        <r>
          <rPr>
            <b/>
            <sz val="8"/>
            <color indexed="32"/>
            <rFont val="ＭＳ ゴシック"/>
            <family val="3"/>
            <charset val="128"/>
          </rPr>
          <t>2720</t>
        </r>
        <r>
          <rPr>
            <sz val="8"/>
            <color indexed="32"/>
            <rFont val="ＭＳ ゴシック"/>
            <family val="3"/>
            <charset val="128"/>
          </rPr>
          <t>～</t>
        </r>
        <r>
          <rPr>
            <b/>
            <sz val="8"/>
            <color indexed="32"/>
            <rFont val="ＭＳ ゴシック"/>
            <family val="3"/>
            <charset val="128"/>
          </rPr>
          <t>2900</t>
        </r>
        <r>
          <rPr>
            <sz val="8"/>
            <color indexed="32"/>
            <rFont val="ＭＳ ゴシック"/>
            <family val="3"/>
            <charset val="128"/>
          </rPr>
          <t xml:space="preserve">      </t>
        </r>
        <r>
          <rPr>
            <b/>
            <sz val="8"/>
            <color indexed="32"/>
            <rFont val="ＭＳ ゴシック"/>
            <family val="3"/>
            <charset val="128"/>
          </rPr>
          <t>2900</t>
        </r>
        <r>
          <rPr>
            <sz val="8"/>
            <color indexed="32"/>
            <rFont val="ＭＳ ゴシック"/>
            <family val="3"/>
            <charset val="128"/>
          </rPr>
          <t xml:space="preserve">
   55W  </t>
        </r>
        <r>
          <rPr>
            <b/>
            <sz val="8"/>
            <color indexed="32"/>
            <rFont val="ＭＳ ゴシック"/>
            <family val="3"/>
            <charset val="128"/>
          </rPr>
          <t>4230</t>
        </r>
        <r>
          <rPr>
            <sz val="8"/>
            <color indexed="32"/>
            <rFont val="ＭＳ ゴシック"/>
            <family val="3"/>
            <charset val="128"/>
          </rPr>
          <t>～</t>
        </r>
        <r>
          <rPr>
            <b/>
            <sz val="8"/>
            <color indexed="32"/>
            <rFont val="ＭＳ ゴシック"/>
            <family val="3"/>
            <charset val="128"/>
          </rPr>
          <t>4500</t>
        </r>
        <r>
          <rPr>
            <sz val="8"/>
            <color indexed="32"/>
            <rFont val="ＭＳ ゴシック"/>
            <family val="3"/>
            <charset val="128"/>
          </rPr>
          <t xml:space="preserve">      </t>
        </r>
        <r>
          <rPr>
            <b/>
            <sz val="8"/>
            <color indexed="32"/>
            <rFont val="ＭＳ ゴシック"/>
            <family val="3"/>
            <charset val="128"/>
          </rPr>
          <t>4350</t>
        </r>
        <r>
          <rPr>
            <sz val="8"/>
            <color indexed="32"/>
            <rFont val="ＭＳ ゴシック"/>
            <family val="3"/>
            <charset val="128"/>
          </rPr>
          <t xml:space="preserve">
   96W  </t>
        </r>
        <r>
          <rPr>
            <b/>
            <sz val="8"/>
            <color indexed="32"/>
            <rFont val="ＭＳ ゴシック"/>
            <family val="3"/>
            <charset val="128"/>
          </rPr>
          <t>8100</t>
        </r>
        <r>
          <rPr>
            <sz val="8"/>
            <color indexed="32"/>
            <rFont val="ＭＳ ゴシック"/>
            <family val="3"/>
            <charset val="128"/>
          </rPr>
          <t>～</t>
        </r>
        <r>
          <rPr>
            <b/>
            <sz val="8"/>
            <color indexed="32"/>
            <rFont val="ＭＳ ゴシック"/>
            <family val="3"/>
            <charset val="128"/>
          </rPr>
          <t>8600</t>
        </r>
        <r>
          <rPr>
            <sz val="8"/>
            <color indexed="32"/>
            <rFont val="ＭＳ ゴシック"/>
            <family val="3"/>
            <charset val="128"/>
          </rPr>
          <t xml:space="preserve">      </t>
        </r>
        <r>
          <rPr>
            <b/>
            <sz val="8"/>
            <color indexed="32"/>
            <rFont val="ＭＳ ゴシック"/>
            <family val="3"/>
            <charset val="128"/>
          </rPr>
          <t>7500</t>
        </r>
        <r>
          <rPr>
            <sz val="8"/>
            <color indexed="32"/>
            <rFont val="ＭＳ ゴシック"/>
            <family val="3"/>
            <charset val="128"/>
          </rPr>
          <t xml:space="preserve">
 </t>
        </r>
        <r>
          <rPr>
            <sz val="10"/>
            <color theme="1"/>
            <rFont val="ＭＳ Ｐゴシック"/>
            <family val="2"/>
            <charset val="128"/>
            <scheme val="minor"/>
          </rPr>
          <t xml:space="preserve">      </t>
        </r>
        <r>
          <rPr>
            <sz val="10"/>
            <color indexed="81"/>
            <rFont val="ＭＳ Ｐゴシック"/>
            <family val="3"/>
            <charset val="128"/>
            <scheme val="minor"/>
          </rPr>
          <t>FHT</t>
        </r>
        <r>
          <rPr>
            <sz val="11"/>
            <color indexed="81"/>
            <rFont val="ＭＳ Ｐゴシック"/>
            <family val="3"/>
            <charset val="128"/>
            <scheme val="minor"/>
          </rPr>
          <t xml:space="preserve">              </t>
        </r>
        <r>
          <rPr>
            <sz val="10"/>
            <color indexed="81"/>
            <rFont val="ＭＳ Ｐゴシック"/>
            <family val="3"/>
            <charset val="128"/>
            <scheme val="minor"/>
          </rPr>
          <t>FHP</t>
        </r>
        <r>
          <rPr>
            <sz val="12"/>
            <color theme="1"/>
            <rFont val="ＭＳ Ｐゴシック"/>
            <family val="3"/>
            <charset val="128"/>
            <scheme val="minor"/>
          </rPr>
          <t xml:space="preserve"> </t>
        </r>
        <r>
          <rPr>
            <sz val="8"/>
            <color indexed="32"/>
            <rFont val="ＭＳ ゴシック"/>
            <family val="3"/>
            <charset val="128"/>
          </rPr>
          <t xml:space="preserve">
   16W  </t>
        </r>
        <r>
          <rPr>
            <b/>
            <sz val="8"/>
            <color indexed="32"/>
            <rFont val="ＭＳ ゴシック"/>
            <family val="3"/>
            <charset val="128"/>
          </rPr>
          <t>1200</t>
        </r>
        <r>
          <rPr>
            <sz val="8"/>
            <color indexed="32"/>
            <rFont val="ＭＳ ゴシック"/>
            <family val="3"/>
            <charset val="128"/>
          </rPr>
          <t xml:space="preserve">
   24W  </t>
        </r>
        <r>
          <rPr>
            <b/>
            <sz val="8"/>
            <color indexed="32"/>
            <rFont val="ＭＳ ゴシック"/>
            <family val="3"/>
            <charset val="128"/>
          </rPr>
          <t>1800</t>
        </r>
        <r>
          <rPr>
            <sz val="8"/>
            <color indexed="32"/>
            <rFont val="ＭＳ ゴシック"/>
            <family val="3"/>
            <charset val="128"/>
          </rPr>
          <t xml:space="preserve">     </t>
        </r>
        <r>
          <rPr>
            <b/>
            <sz val="8"/>
            <color indexed="32"/>
            <rFont val="ＭＳ ゴシック"/>
            <family val="3"/>
            <charset val="128"/>
          </rPr>
          <t xml:space="preserve">  </t>
        </r>
        <r>
          <rPr>
            <sz val="8"/>
            <color indexed="32"/>
            <rFont val="ＭＳ ゴシック"/>
            <family val="3"/>
            <charset val="128"/>
          </rPr>
          <t xml:space="preserve">23W  </t>
        </r>
        <r>
          <rPr>
            <b/>
            <sz val="8"/>
            <color indexed="32"/>
            <rFont val="ＭＳ ゴシック"/>
            <family val="3"/>
            <charset val="128"/>
          </rPr>
          <t>1770</t>
        </r>
        <r>
          <rPr>
            <sz val="8"/>
            <color indexed="32"/>
            <rFont val="ＭＳ ゴシック"/>
            <family val="3"/>
            <charset val="128"/>
          </rPr>
          <t xml:space="preserve">
   32W  </t>
        </r>
        <r>
          <rPr>
            <b/>
            <sz val="8"/>
            <color indexed="32"/>
            <rFont val="ＭＳ ゴシック"/>
            <family val="3"/>
            <charset val="128"/>
          </rPr>
          <t>2400</t>
        </r>
        <r>
          <rPr>
            <sz val="8"/>
            <color indexed="32"/>
            <rFont val="ＭＳ ゴシック"/>
            <family val="3"/>
            <charset val="128"/>
          </rPr>
          <t xml:space="preserve">     </t>
        </r>
        <r>
          <rPr>
            <b/>
            <sz val="8"/>
            <color indexed="32"/>
            <rFont val="ＭＳ ゴシック"/>
            <family val="3"/>
            <charset val="128"/>
          </rPr>
          <t xml:space="preserve">  </t>
        </r>
        <r>
          <rPr>
            <sz val="8"/>
            <color indexed="32"/>
            <rFont val="ＭＳ ゴシック"/>
            <family val="3"/>
            <charset val="128"/>
          </rPr>
          <t xml:space="preserve">32W  </t>
        </r>
        <r>
          <rPr>
            <b/>
            <sz val="8"/>
            <color indexed="32"/>
            <rFont val="ＭＳ ゴシック"/>
            <family val="3"/>
            <charset val="128"/>
          </rPr>
          <t>2900</t>
        </r>
        <r>
          <rPr>
            <sz val="8"/>
            <color indexed="32"/>
            <rFont val="ＭＳ ゴシック"/>
            <family val="3"/>
            <charset val="128"/>
          </rPr>
          <t xml:space="preserve">
   42W  </t>
        </r>
        <r>
          <rPr>
            <b/>
            <sz val="8"/>
            <color indexed="32"/>
            <rFont val="ＭＳ ゴシック"/>
            <family val="3"/>
            <charset val="128"/>
          </rPr>
          <t>3200</t>
        </r>
        <r>
          <rPr>
            <sz val="8"/>
            <color indexed="32"/>
            <rFont val="ＭＳ ゴシック"/>
            <family val="3"/>
            <charset val="128"/>
          </rPr>
          <t xml:space="preserve">     </t>
        </r>
        <r>
          <rPr>
            <b/>
            <sz val="8"/>
            <color indexed="32"/>
            <rFont val="ＭＳ ゴシック"/>
            <family val="3"/>
            <charset val="128"/>
          </rPr>
          <t xml:space="preserve">  </t>
        </r>
        <r>
          <rPr>
            <sz val="8"/>
            <color indexed="32"/>
            <rFont val="ＭＳ ゴシック"/>
            <family val="3"/>
            <charset val="128"/>
          </rPr>
          <t xml:space="preserve">45W  </t>
        </r>
        <r>
          <rPr>
            <b/>
            <sz val="8"/>
            <color indexed="32"/>
            <rFont val="ＭＳ ゴシック"/>
            <family val="3"/>
            <charset val="128"/>
          </rPr>
          <t>4350</t>
        </r>
      </text>
    </comment>
    <comment ref="U6" authorId="0">
      <text>
        <r>
          <rPr>
            <b/>
            <sz val="12"/>
            <color indexed="81"/>
            <rFont val="ＭＳ Ｐ明朝"/>
            <family val="1"/>
            <charset val="128"/>
          </rPr>
          <t xml:space="preserve">     　</t>
        </r>
        <r>
          <rPr>
            <b/>
            <sz val="11"/>
            <color indexed="37"/>
            <rFont val="ＭＳ Ｐ明朝"/>
            <family val="1"/>
            <charset val="128"/>
          </rPr>
          <t>ランプ光束 [ｌｍ]</t>
        </r>
        <r>
          <rPr>
            <sz val="18"/>
            <color theme="1"/>
            <rFont val="ＭＳ Ｐゴシック"/>
            <family val="3"/>
            <charset val="128"/>
            <scheme val="minor"/>
          </rPr>
          <t xml:space="preserve"> </t>
        </r>
        <r>
          <rPr>
            <b/>
            <sz val="9"/>
            <color indexed="81"/>
            <rFont val="ＭＳ Ｐ明朝"/>
            <family val="1"/>
            <charset val="128"/>
          </rPr>
          <t xml:space="preserve">
</t>
        </r>
        <r>
          <rPr>
            <sz val="8"/>
            <color indexed="32"/>
            <rFont val="ＭＳ ゴシック"/>
            <family val="3"/>
            <charset val="128"/>
          </rPr>
          <t xml:space="preserve">　           </t>
        </r>
        <r>
          <rPr>
            <sz val="10"/>
            <color indexed="81"/>
            <rFont val="ＭＳ Ｐゴシック"/>
            <family val="3"/>
            <charset val="128"/>
          </rPr>
          <t xml:space="preserve"> FCL   FCL(パルック)</t>
        </r>
        <r>
          <rPr>
            <sz val="12"/>
            <color indexed="32"/>
            <rFont val="ＭＳ ゴシック"/>
            <family val="3"/>
            <charset val="128"/>
          </rPr>
          <t xml:space="preserve"> </t>
        </r>
        <r>
          <rPr>
            <sz val="8"/>
            <color indexed="32"/>
            <rFont val="ＭＳ ゴシック"/>
            <family val="3"/>
            <charset val="128"/>
          </rPr>
          <t xml:space="preserve">
   30形(28W)  </t>
        </r>
        <r>
          <rPr>
            <b/>
            <sz val="8"/>
            <color indexed="32"/>
            <rFont val="ＭＳ ゴシック"/>
            <family val="3"/>
            <charset val="128"/>
          </rPr>
          <t>1600</t>
        </r>
        <r>
          <rPr>
            <sz val="8"/>
            <color indexed="32"/>
            <rFont val="ＭＳ ゴシック"/>
            <family val="3"/>
            <charset val="128"/>
          </rPr>
          <t xml:space="preserve">      </t>
        </r>
        <r>
          <rPr>
            <b/>
            <sz val="8"/>
            <color indexed="32"/>
            <rFont val="ＭＳ ゴシック"/>
            <family val="3"/>
            <charset val="128"/>
          </rPr>
          <t>2210</t>
        </r>
        <r>
          <rPr>
            <sz val="8"/>
            <color indexed="32"/>
            <rFont val="ＭＳ ゴシック"/>
            <family val="3"/>
            <charset val="128"/>
          </rPr>
          <t xml:space="preserve">
   32形(30W)  </t>
        </r>
        <r>
          <rPr>
            <b/>
            <sz val="8"/>
            <color indexed="32"/>
            <rFont val="ＭＳ ゴシック"/>
            <family val="3"/>
            <charset val="128"/>
          </rPr>
          <t>1960</t>
        </r>
        <r>
          <rPr>
            <sz val="8"/>
            <color indexed="32"/>
            <rFont val="ＭＳ ゴシック"/>
            <family val="3"/>
            <charset val="128"/>
          </rPr>
          <t xml:space="preserve">      </t>
        </r>
        <r>
          <rPr>
            <b/>
            <sz val="8"/>
            <color indexed="32"/>
            <rFont val="ＭＳ ゴシック"/>
            <family val="3"/>
            <charset val="128"/>
          </rPr>
          <t>2640</t>
        </r>
        <r>
          <rPr>
            <sz val="8"/>
            <color indexed="32"/>
            <rFont val="ＭＳ ゴシック"/>
            <family val="3"/>
            <charset val="128"/>
          </rPr>
          <t xml:space="preserve">
   40形(38W)  </t>
        </r>
        <r>
          <rPr>
            <b/>
            <sz val="8"/>
            <color indexed="32"/>
            <rFont val="ＭＳ ゴシック"/>
            <family val="3"/>
            <charset val="128"/>
          </rPr>
          <t>2680</t>
        </r>
        <r>
          <rPr>
            <sz val="8"/>
            <color indexed="32"/>
            <rFont val="ＭＳ ゴシック"/>
            <family val="3"/>
            <charset val="128"/>
          </rPr>
          <t xml:space="preserve">      </t>
        </r>
        <r>
          <rPr>
            <b/>
            <sz val="8"/>
            <color indexed="32"/>
            <rFont val="ＭＳ ゴシック"/>
            <family val="3"/>
            <charset val="128"/>
          </rPr>
          <t>3440</t>
        </r>
        <r>
          <rPr>
            <sz val="8"/>
            <color indexed="32"/>
            <rFont val="ＭＳ ゴシック"/>
            <family val="3"/>
            <charset val="128"/>
          </rPr>
          <t xml:space="preserve">
   </t>
        </r>
        <r>
          <rPr>
            <sz val="10"/>
            <color indexed="81"/>
            <rFont val="ＭＳ Ｐゴシック"/>
            <family val="3"/>
            <charset val="128"/>
          </rPr>
          <t>FHD(ツインパルック)</t>
        </r>
        <r>
          <rPr>
            <sz val="12"/>
            <color theme="1"/>
            <rFont val="ＭＳ Ｐゴシック"/>
            <family val="3"/>
            <charset val="128"/>
            <scheme val="minor"/>
          </rPr>
          <t xml:space="preserve"> </t>
        </r>
        <r>
          <rPr>
            <sz val="8"/>
            <color indexed="32"/>
            <rFont val="ＭＳ ゴシック"/>
            <family val="3"/>
            <charset val="128"/>
          </rPr>
          <t xml:space="preserve">
   40形(41W)  </t>
        </r>
        <r>
          <rPr>
            <b/>
            <sz val="8"/>
            <color indexed="32"/>
            <rFont val="ＭＳ ゴシック"/>
            <family val="3"/>
            <charset val="128"/>
          </rPr>
          <t>3210</t>
        </r>
        <r>
          <rPr>
            <sz val="8"/>
            <color indexed="32"/>
            <rFont val="ＭＳ ゴシック"/>
            <family val="3"/>
            <charset val="128"/>
          </rPr>
          <t>～</t>
        </r>
        <r>
          <rPr>
            <b/>
            <sz val="8"/>
            <color indexed="32"/>
            <rFont val="ＭＳ ゴシック"/>
            <family val="3"/>
            <charset val="128"/>
          </rPr>
          <t>3450</t>
        </r>
        <r>
          <rPr>
            <sz val="8"/>
            <color indexed="32"/>
            <rFont val="ＭＳ ゴシック"/>
            <family val="3"/>
            <charset val="128"/>
          </rPr>
          <t xml:space="preserve">
   70形(68W)  </t>
        </r>
        <r>
          <rPr>
            <b/>
            <sz val="8"/>
            <color indexed="32"/>
            <rFont val="ＭＳ ゴシック"/>
            <family val="3"/>
            <charset val="128"/>
          </rPr>
          <t>5750</t>
        </r>
        <r>
          <rPr>
            <sz val="8"/>
            <color indexed="32"/>
            <rFont val="ＭＳ ゴシック"/>
            <family val="3"/>
            <charset val="128"/>
          </rPr>
          <t>～</t>
        </r>
        <r>
          <rPr>
            <b/>
            <sz val="8"/>
            <color indexed="32"/>
            <rFont val="ＭＳ ゴシック"/>
            <family val="3"/>
            <charset val="128"/>
          </rPr>
          <t>6550</t>
        </r>
        <r>
          <rPr>
            <sz val="8"/>
            <color indexed="32"/>
            <rFont val="ＭＳ ゴシック"/>
            <family val="3"/>
            <charset val="128"/>
          </rPr>
          <t xml:space="preserve">
   85形(83W)  </t>
        </r>
        <r>
          <rPr>
            <b/>
            <sz val="8"/>
            <color indexed="32"/>
            <rFont val="ＭＳ ゴシック"/>
            <family val="3"/>
            <charset val="128"/>
          </rPr>
          <t>7100</t>
        </r>
        <r>
          <rPr>
            <sz val="8"/>
            <color indexed="32"/>
            <rFont val="ＭＳ ゴシック"/>
            <family val="3"/>
            <charset val="128"/>
          </rPr>
          <t>～</t>
        </r>
        <r>
          <rPr>
            <b/>
            <sz val="8"/>
            <color indexed="32"/>
            <rFont val="ＭＳ ゴシック"/>
            <family val="3"/>
            <charset val="128"/>
          </rPr>
          <t>8100</t>
        </r>
        <r>
          <rPr>
            <sz val="8"/>
            <color indexed="32"/>
            <rFont val="ＭＳ ゴシック"/>
            <family val="3"/>
            <charset val="128"/>
          </rPr>
          <t xml:space="preserve">
  100形(97W)  </t>
        </r>
        <r>
          <rPr>
            <b/>
            <sz val="8"/>
            <color indexed="32"/>
            <rFont val="ＭＳ ゴシック"/>
            <family val="3"/>
            <charset val="128"/>
          </rPr>
          <t>8620</t>
        </r>
        <r>
          <rPr>
            <sz val="8"/>
            <color indexed="32"/>
            <rFont val="ＭＳ ゴシック"/>
            <family val="3"/>
            <charset val="128"/>
          </rPr>
          <t>～</t>
        </r>
        <r>
          <rPr>
            <b/>
            <sz val="8"/>
            <color indexed="32"/>
            <rFont val="ＭＳ ゴシック"/>
            <family val="3"/>
            <charset val="128"/>
          </rPr>
          <t>9850</t>
        </r>
        <r>
          <rPr>
            <sz val="8"/>
            <color indexed="32"/>
            <rFont val="ＭＳ ゴシック"/>
            <family val="3"/>
            <charset val="128"/>
          </rPr>
          <t xml:space="preserve">
</t>
        </r>
        <r>
          <rPr>
            <sz val="10"/>
            <color theme="1"/>
            <rFont val="ＭＳ Ｐゴシック"/>
            <family val="2"/>
            <charset val="128"/>
            <scheme val="minor"/>
          </rPr>
          <t xml:space="preserve">　　 </t>
        </r>
        <r>
          <rPr>
            <sz val="10"/>
            <color theme="1"/>
            <rFont val="ＭＳ Ｐゴシック"/>
            <family val="3"/>
            <charset val="128"/>
            <scheme val="minor"/>
          </rPr>
          <t xml:space="preserve"> LED直管</t>
        </r>
        <r>
          <rPr>
            <sz val="10"/>
            <color theme="1"/>
            <rFont val="ＭＳ Ｐゴシック"/>
            <family val="2"/>
            <charset val="128"/>
            <scheme val="minor"/>
          </rPr>
          <t xml:space="preserve">　 　　 　   </t>
        </r>
        <r>
          <rPr>
            <sz val="10"/>
            <color theme="1"/>
            <rFont val="ＭＳ Ｐゴシック"/>
            <family val="3"/>
            <charset val="128"/>
            <scheme val="minor"/>
          </rPr>
          <t>LED電球             DL</t>
        </r>
        <r>
          <rPr>
            <sz val="12"/>
            <color theme="1"/>
            <rFont val="ＭＳ Ｐゴシック"/>
            <family val="3"/>
            <charset val="128"/>
            <scheme val="minor"/>
          </rPr>
          <t>　</t>
        </r>
        <r>
          <rPr>
            <sz val="10"/>
            <color theme="1"/>
            <rFont val="ＭＳ Ｐゴシック"/>
            <family val="2"/>
            <charset val="128"/>
            <scheme val="minor"/>
          </rPr>
          <t xml:space="preserve">
</t>
        </r>
        <r>
          <rPr>
            <sz val="8"/>
            <color indexed="32"/>
            <rFont val="ＭＳ ゴシック"/>
            <family val="3"/>
            <charset val="128"/>
          </rPr>
          <t xml:space="preserve">  20形(14.0W)  </t>
        </r>
        <r>
          <rPr>
            <b/>
            <sz val="8"/>
            <color indexed="32"/>
            <rFont val="ＭＳ ゴシック"/>
            <family val="3"/>
            <charset val="128"/>
          </rPr>
          <t>1200</t>
        </r>
        <r>
          <rPr>
            <sz val="8"/>
            <color indexed="32"/>
            <rFont val="ＭＳ ゴシック"/>
            <family val="3"/>
            <charset val="128"/>
          </rPr>
          <t xml:space="preserve">   (4.0W)  </t>
        </r>
        <r>
          <rPr>
            <b/>
            <sz val="8"/>
            <color indexed="32"/>
            <rFont val="ＭＳ ゴシック"/>
            <family val="3"/>
            <charset val="128"/>
          </rPr>
          <t>340</t>
        </r>
        <r>
          <rPr>
            <sz val="8"/>
            <color indexed="32"/>
            <rFont val="ＭＳ ゴシック"/>
            <family val="3"/>
            <charset val="128"/>
          </rPr>
          <t xml:space="preserve">     950LM:</t>
        </r>
        <r>
          <rPr>
            <b/>
            <sz val="8"/>
            <color indexed="32"/>
            <rFont val="ＭＳ ゴシック"/>
            <family val="3"/>
            <charset val="128"/>
          </rPr>
          <t>1015</t>
        </r>
        <r>
          <rPr>
            <sz val="8"/>
            <color indexed="32"/>
            <rFont val="ＭＳ ゴシック"/>
            <family val="3"/>
            <charset val="128"/>
          </rPr>
          <t xml:space="preserve">
  40形(27.2W)  </t>
        </r>
        <r>
          <rPr>
            <b/>
            <sz val="8"/>
            <color indexed="32"/>
            <rFont val="ＭＳ ゴシック"/>
            <family val="3"/>
            <charset val="128"/>
          </rPr>
          <t>2400</t>
        </r>
        <r>
          <rPr>
            <sz val="8"/>
            <color indexed="32"/>
            <rFont val="ＭＳ ゴシック"/>
            <family val="3"/>
            <charset val="128"/>
          </rPr>
          <t xml:space="preserve">   (6.9W)  </t>
        </r>
        <r>
          <rPr>
            <b/>
            <sz val="8"/>
            <color indexed="32"/>
            <rFont val="ＭＳ ゴシック"/>
            <family val="3"/>
            <charset val="128"/>
          </rPr>
          <t>570</t>
        </r>
        <r>
          <rPr>
            <sz val="8"/>
            <color indexed="32"/>
            <rFont val="ＭＳ ゴシック"/>
            <family val="3"/>
            <charset val="128"/>
          </rPr>
          <t xml:space="preserve">    1900LM:</t>
        </r>
        <r>
          <rPr>
            <b/>
            <sz val="8"/>
            <color indexed="32"/>
            <rFont val="ＭＳ ゴシック"/>
            <family val="3"/>
            <charset val="128"/>
          </rPr>
          <t>2200</t>
        </r>
        <r>
          <rPr>
            <sz val="8"/>
            <color indexed="32"/>
            <rFont val="ＭＳ ゴシック"/>
            <family val="3"/>
            <charset val="128"/>
          </rPr>
          <t xml:space="preserve">
               </t>
        </r>
        <r>
          <rPr>
            <b/>
            <sz val="8"/>
            <color indexed="32"/>
            <rFont val="ＭＳ ゴシック"/>
            <family val="3"/>
            <charset val="128"/>
          </rPr>
          <t xml:space="preserve">    </t>
        </r>
        <r>
          <rPr>
            <sz val="8"/>
            <color indexed="32"/>
            <rFont val="ＭＳ ゴシック"/>
            <family val="3"/>
            <charset val="128"/>
          </rPr>
          <t xml:space="preserve">   (9.2W)  </t>
        </r>
        <r>
          <rPr>
            <b/>
            <sz val="8"/>
            <color indexed="32"/>
            <rFont val="ＭＳ ゴシック"/>
            <family val="3"/>
            <charset val="128"/>
          </rPr>
          <t>825</t>
        </r>
        <r>
          <rPr>
            <sz val="8"/>
            <color indexed="32"/>
            <rFont val="ＭＳ ゴシック"/>
            <family val="3"/>
            <charset val="128"/>
          </rPr>
          <t xml:space="preserve">    3300LM:</t>
        </r>
        <r>
          <rPr>
            <b/>
            <sz val="8"/>
            <color indexed="32"/>
            <rFont val="ＭＳ ゴシック"/>
            <family val="3"/>
            <charset val="128"/>
          </rPr>
          <t>3705</t>
        </r>
        <r>
          <rPr>
            <sz val="8"/>
            <color indexed="32"/>
            <rFont val="ＭＳ ゴシック"/>
            <family val="3"/>
            <charset val="128"/>
          </rPr>
          <t xml:space="preserve">
  6300LM  </t>
        </r>
        <r>
          <rPr>
            <b/>
            <sz val="8"/>
            <color indexed="32"/>
            <rFont val="ＭＳ ゴシック"/>
            <family val="3"/>
            <charset val="128"/>
          </rPr>
          <t>6680</t>
        </r>
        <r>
          <rPr>
            <sz val="8"/>
            <color indexed="32"/>
            <rFont val="ＭＳ ゴシック"/>
            <family val="3"/>
            <charset val="128"/>
          </rPr>
          <t xml:space="preserve">        (7.2W)  </t>
        </r>
        <r>
          <rPr>
            <b/>
            <sz val="8"/>
            <color indexed="32"/>
            <rFont val="ＭＳ ゴシック"/>
            <family val="3"/>
            <charset val="128"/>
          </rPr>
          <t>485</t>
        </r>
        <r>
          <rPr>
            <sz val="8"/>
            <color indexed="32"/>
            <rFont val="ＭＳ ゴシック"/>
            <family val="3"/>
            <charset val="128"/>
          </rPr>
          <t xml:space="preserve">    6800LM:</t>
        </r>
        <r>
          <rPr>
            <b/>
            <sz val="8"/>
            <color indexed="32"/>
            <rFont val="ＭＳ ゴシック"/>
            <family val="3"/>
            <charset val="128"/>
          </rPr>
          <t>7820</t>
        </r>
        <r>
          <rPr>
            <sz val="8"/>
            <color indexed="32"/>
            <rFont val="ＭＳ ゴシック"/>
            <family val="3"/>
            <charset val="128"/>
          </rPr>
          <t xml:space="preserve">
  3151LM  </t>
        </r>
        <r>
          <rPr>
            <b/>
            <sz val="8"/>
            <color indexed="32"/>
            <rFont val="ＭＳ ゴシック"/>
            <family val="3"/>
            <charset val="128"/>
          </rPr>
          <t>3200</t>
        </r>
        <r>
          <rPr>
            <sz val="8"/>
            <color indexed="32"/>
            <rFont val="ＭＳ ゴシック"/>
            <family val="3"/>
            <charset val="128"/>
          </rPr>
          <t xml:space="preserve">        (7.6W)  </t>
        </r>
        <r>
          <rPr>
            <b/>
            <sz val="8"/>
            <color indexed="32"/>
            <rFont val="ＭＳ ゴシック"/>
            <family val="3"/>
            <charset val="128"/>
          </rPr>
          <t>530</t>
        </r>
        <r>
          <rPr>
            <sz val="8"/>
            <color indexed="32"/>
            <rFont val="ＭＳ ゴシック"/>
            <family val="3"/>
            <charset val="128"/>
          </rPr>
          <t xml:space="preserve">
               </t>
        </r>
        <r>
          <rPr>
            <b/>
            <sz val="8"/>
            <color indexed="32"/>
            <rFont val="ＭＳ ゴシック"/>
            <family val="3"/>
            <charset val="128"/>
          </rPr>
          <t xml:space="preserve">    </t>
        </r>
        <r>
          <rPr>
            <sz val="8"/>
            <color indexed="32"/>
            <rFont val="ＭＳ ゴシック"/>
            <family val="3"/>
            <charset val="128"/>
          </rPr>
          <t xml:space="preserve">   (6.0W)  </t>
        </r>
        <r>
          <rPr>
            <b/>
            <sz val="8"/>
            <color indexed="32"/>
            <rFont val="ＭＳ ゴシック"/>
            <family val="3"/>
            <charset val="128"/>
          </rPr>
          <t>480</t>
        </r>
        <r>
          <rPr>
            <sz val="8"/>
            <color indexed="32"/>
            <rFont val="ＭＳ ゴシック"/>
            <family val="3"/>
            <charset val="128"/>
          </rPr>
          <t xml:space="preserve">
               </t>
        </r>
        <r>
          <rPr>
            <b/>
            <sz val="8"/>
            <color indexed="32"/>
            <rFont val="ＭＳ ゴシック"/>
            <family val="3"/>
            <charset val="128"/>
          </rPr>
          <t xml:space="preserve">    </t>
        </r>
        <r>
          <rPr>
            <sz val="8"/>
            <color indexed="32"/>
            <rFont val="ＭＳ ゴシック"/>
            <family val="3"/>
            <charset val="128"/>
          </rPr>
          <t xml:space="preserve">   (6.4W)  </t>
        </r>
        <r>
          <rPr>
            <b/>
            <sz val="8"/>
            <color indexed="32"/>
            <rFont val="ＭＳ ゴシック"/>
            <family val="3"/>
            <charset val="128"/>
          </rPr>
          <t xml:space="preserve">450
 </t>
        </r>
      </text>
    </comment>
    <comment ref="X6" authorId="0">
      <text>
        <r>
          <rPr>
            <b/>
            <sz val="12"/>
            <color indexed="81"/>
            <rFont val="ＭＳ Ｐ明朝"/>
            <family val="1"/>
            <charset val="128"/>
          </rPr>
          <t xml:space="preserve">    　　　</t>
        </r>
        <r>
          <rPr>
            <b/>
            <sz val="11"/>
            <color indexed="37"/>
            <rFont val="ＭＳ Ｐ明朝"/>
            <family val="1"/>
            <charset val="128"/>
          </rPr>
          <t>ランプ光束 [ｌｍ]</t>
        </r>
        <r>
          <rPr>
            <sz val="18"/>
            <color theme="1"/>
            <rFont val="ＭＳ Ｐゴシック"/>
            <family val="3"/>
            <charset val="128"/>
            <scheme val="minor"/>
          </rPr>
          <t xml:space="preserve"> </t>
        </r>
        <r>
          <rPr>
            <b/>
            <sz val="9"/>
            <color indexed="81"/>
            <rFont val="ＭＳ Ｐ明朝"/>
            <family val="1"/>
            <charset val="128"/>
          </rPr>
          <t xml:space="preserve">
</t>
        </r>
        <r>
          <rPr>
            <sz val="8"/>
            <color indexed="32"/>
            <rFont val="ＭＳ ゴシック"/>
            <family val="3"/>
            <charset val="128"/>
          </rPr>
          <t>　</t>
        </r>
        <r>
          <rPr>
            <sz val="10"/>
            <color indexed="81"/>
            <rFont val="ＭＳ ゴシック"/>
            <family val="3"/>
            <charset val="128"/>
          </rPr>
          <t>G-Ｈf</t>
        </r>
        <r>
          <rPr>
            <sz val="8"/>
            <color indexed="32"/>
            <rFont val="ＭＳ ゴシック"/>
            <family val="3"/>
            <charset val="128"/>
          </rPr>
          <t xml:space="preserve"> 63形(63)W     </t>
        </r>
        <r>
          <rPr>
            <b/>
            <sz val="8"/>
            <color indexed="32"/>
            <rFont val="ＭＳ ゴシック"/>
            <family val="3"/>
            <charset val="128"/>
          </rPr>
          <t>6560</t>
        </r>
        <r>
          <rPr>
            <b/>
            <sz val="12"/>
            <color indexed="32"/>
            <rFont val="ＭＳ ゴシック"/>
            <family val="3"/>
            <charset val="128"/>
          </rPr>
          <t xml:space="preserve"> </t>
        </r>
        <r>
          <rPr>
            <sz val="8"/>
            <color indexed="32"/>
            <rFont val="ＭＳ ゴシック"/>
            <family val="3"/>
            <charset val="128"/>
          </rPr>
          <t xml:space="preserve">
　 </t>
        </r>
        <r>
          <rPr>
            <sz val="10"/>
            <color indexed="81"/>
            <rFont val="ＭＳ ゴシック"/>
            <family val="3"/>
            <charset val="128"/>
          </rPr>
          <t>Ｈf</t>
        </r>
        <r>
          <rPr>
            <sz val="8"/>
            <color indexed="32"/>
            <rFont val="ＭＳ ゴシック"/>
            <family val="3"/>
            <charset val="128"/>
          </rPr>
          <t xml:space="preserve">  16形(16W/23W) </t>
        </r>
        <r>
          <rPr>
            <b/>
            <sz val="8"/>
            <color indexed="32"/>
            <rFont val="ＭＳ ゴシック"/>
            <family val="3"/>
            <charset val="128"/>
          </rPr>
          <t>1470</t>
        </r>
        <r>
          <rPr>
            <sz val="8"/>
            <color indexed="32"/>
            <rFont val="ＭＳ ゴシック"/>
            <family val="3"/>
            <charset val="128"/>
          </rPr>
          <t>／</t>
        </r>
        <r>
          <rPr>
            <b/>
            <sz val="8"/>
            <color indexed="32"/>
            <rFont val="ＭＳ ゴシック"/>
            <family val="3"/>
            <charset val="128"/>
          </rPr>
          <t>2100</t>
        </r>
        <r>
          <rPr>
            <sz val="8"/>
            <color indexed="32"/>
            <rFont val="ＭＳ ゴシック"/>
            <family val="3"/>
            <charset val="128"/>
          </rPr>
          <t xml:space="preserve">
         32形(32W/45W) </t>
        </r>
        <r>
          <rPr>
            <b/>
            <sz val="8"/>
            <color indexed="32"/>
            <rFont val="ＭＳ ゴシック"/>
            <family val="3"/>
            <charset val="128"/>
          </rPr>
          <t>3520</t>
        </r>
        <r>
          <rPr>
            <sz val="8"/>
            <color indexed="32"/>
            <rFont val="ＭＳ ゴシック"/>
            <family val="3"/>
            <charset val="128"/>
          </rPr>
          <t>／</t>
        </r>
        <r>
          <rPr>
            <b/>
            <sz val="8"/>
            <color indexed="32"/>
            <rFont val="ＭＳ ゴシック"/>
            <family val="3"/>
            <charset val="128"/>
          </rPr>
          <t xml:space="preserve">4950
</t>
        </r>
        <r>
          <rPr>
            <sz val="8"/>
            <color indexed="32"/>
            <rFont val="ＭＳ ゴシック"/>
            <family val="3"/>
            <charset val="128"/>
          </rPr>
          <t xml:space="preserve">         50形(50W/65W) </t>
        </r>
        <r>
          <rPr>
            <b/>
            <sz val="8"/>
            <color indexed="32"/>
            <rFont val="ＭＳ ゴシック"/>
            <family val="3"/>
            <charset val="128"/>
          </rPr>
          <t>5200</t>
        </r>
        <r>
          <rPr>
            <sz val="8"/>
            <color indexed="32"/>
            <rFont val="ＭＳ ゴシック"/>
            <family val="3"/>
            <charset val="128"/>
          </rPr>
          <t>／</t>
        </r>
        <r>
          <rPr>
            <b/>
            <sz val="8"/>
            <color indexed="32"/>
            <rFont val="ＭＳ ゴシック"/>
            <family val="3"/>
            <charset val="128"/>
          </rPr>
          <t>6400</t>
        </r>
        <r>
          <rPr>
            <sz val="8"/>
            <color indexed="32"/>
            <rFont val="ＭＳ ゴシック"/>
            <family val="3"/>
            <charset val="128"/>
          </rPr>
          <t xml:space="preserve">
         86形(84W)     </t>
        </r>
        <r>
          <rPr>
            <b/>
            <sz val="8"/>
            <color indexed="32"/>
            <rFont val="ＭＳ ゴシック"/>
            <family val="3"/>
            <charset val="128"/>
          </rPr>
          <t>9200</t>
        </r>
        <r>
          <rPr>
            <sz val="8"/>
            <color indexed="32"/>
            <rFont val="ＭＳ ゴシック"/>
            <family val="3"/>
            <charset val="128"/>
          </rPr>
          <t xml:space="preserve">
 </t>
        </r>
        <r>
          <rPr>
            <sz val="10"/>
            <color theme="1"/>
            <rFont val="ＭＳ Ｐゴシック"/>
            <family val="2"/>
            <charset val="128"/>
            <scheme val="minor"/>
          </rPr>
          <t xml:space="preserve">          </t>
        </r>
        <r>
          <rPr>
            <sz val="10"/>
            <color theme="1"/>
            <rFont val="ＭＳ Ｐゴシック"/>
            <family val="3"/>
            <charset val="128"/>
            <scheme val="minor"/>
          </rPr>
          <t>FL(G)</t>
        </r>
        <r>
          <rPr>
            <sz val="10"/>
            <color theme="1"/>
            <rFont val="ＭＳ Ｐゴシック"/>
            <family val="2"/>
            <charset val="128"/>
            <scheme val="minor"/>
          </rPr>
          <t xml:space="preserve">             </t>
        </r>
        <r>
          <rPr>
            <sz val="10"/>
            <color theme="1"/>
            <rFont val="ＭＳ Ｐゴシック"/>
            <family val="3"/>
            <charset val="128"/>
            <scheme val="minor"/>
          </rPr>
          <t>FLR</t>
        </r>
        <r>
          <rPr>
            <sz val="12"/>
            <color theme="1"/>
            <rFont val="ＭＳ Ｐゴシック"/>
            <family val="3"/>
            <charset val="128"/>
            <scheme val="minor"/>
          </rPr>
          <t xml:space="preserve"> </t>
        </r>
        <r>
          <rPr>
            <sz val="8"/>
            <color indexed="32"/>
            <rFont val="ＭＳ ゴシック"/>
            <family val="3"/>
            <charset val="128"/>
          </rPr>
          <t xml:space="preserve">
     10形(10W) </t>
        </r>
        <r>
          <rPr>
            <b/>
            <sz val="8"/>
            <color indexed="32"/>
            <rFont val="ＭＳ ゴシック"/>
            <family val="3"/>
            <charset val="128"/>
          </rPr>
          <t xml:space="preserve"> 460</t>
        </r>
        <r>
          <rPr>
            <sz val="8"/>
            <color indexed="32"/>
            <rFont val="ＭＳ ゴシック"/>
            <family val="3"/>
            <charset val="128"/>
          </rPr>
          <t xml:space="preserve">
     15形(15W) </t>
        </r>
        <r>
          <rPr>
            <b/>
            <sz val="8"/>
            <color indexed="32"/>
            <rFont val="ＭＳ ゴシック"/>
            <family val="3"/>
            <charset val="128"/>
          </rPr>
          <t xml:space="preserve"> 820</t>
        </r>
        <r>
          <rPr>
            <sz val="8"/>
            <color indexed="32"/>
            <rFont val="ＭＳ ゴシック"/>
            <family val="3"/>
            <charset val="128"/>
          </rPr>
          <t xml:space="preserve">
     20形(18W) </t>
        </r>
        <r>
          <rPr>
            <b/>
            <sz val="8"/>
            <color indexed="32"/>
            <rFont val="ＭＳ ゴシック"/>
            <family val="3"/>
            <charset val="128"/>
          </rPr>
          <t>1170</t>
        </r>
        <r>
          <rPr>
            <sz val="8"/>
            <color indexed="32"/>
            <rFont val="ＭＳ ゴシック"/>
            <family val="3"/>
            <charset val="128"/>
          </rPr>
          <t xml:space="preserve">
     30形(30W) </t>
        </r>
        <r>
          <rPr>
            <b/>
            <sz val="8"/>
            <color indexed="32"/>
            <rFont val="ＭＳ ゴシック"/>
            <family val="3"/>
            <charset val="128"/>
          </rPr>
          <t>1700</t>
        </r>
        <r>
          <rPr>
            <sz val="8"/>
            <color indexed="32"/>
            <rFont val="ＭＳ ゴシック"/>
            <family val="3"/>
            <charset val="128"/>
          </rPr>
          <t xml:space="preserve">
     32形(32W) </t>
        </r>
        <r>
          <rPr>
            <b/>
            <sz val="8"/>
            <color indexed="32"/>
            <rFont val="ＭＳ ゴシック"/>
            <family val="3"/>
            <charset val="128"/>
          </rPr>
          <t>2090</t>
        </r>
        <r>
          <rPr>
            <sz val="8"/>
            <color indexed="32"/>
            <rFont val="ＭＳ ゴシック"/>
            <family val="3"/>
            <charset val="128"/>
          </rPr>
          <t xml:space="preserve">    (32W)      </t>
        </r>
        <r>
          <rPr>
            <b/>
            <sz val="8"/>
            <color indexed="32"/>
            <rFont val="ＭＳ ゴシック"/>
            <family val="3"/>
            <charset val="128"/>
          </rPr>
          <t>2000</t>
        </r>
        <r>
          <rPr>
            <sz val="8"/>
            <color indexed="32"/>
            <rFont val="ＭＳ ゴシック"/>
            <family val="3"/>
            <charset val="128"/>
          </rPr>
          <t xml:space="preserve">
     40形(37W) </t>
        </r>
        <r>
          <rPr>
            <b/>
            <sz val="8"/>
            <color indexed="32"/>
            <rFont val="ＭＳ ゴシック"/>
            <family val="3"/>
            <charset val="128"/>
          </rPr>
          <t>2950</t>
        </r>
        <r>
          <rPr>
            <sz val="8"/>
            <color indexed="32"/>
            <rFont val="ＭＳ ゴシック"/>
            <family val="3"/>
            <charset val="128"/>
          </rPr>
          <t xml:space="preserve">    (36～40W)  </t>
        </r>
        <r>
          <rPr>
            <b/>
            <sz val="8"/>
            <color indexed="32"/>
            <rFont val="ＭＳ ゴシック"/>
            <family val="3"/>
            <charset val="128"/>
          </rPr>
          <t>2850</t>
        </r>
        <r>
          <rPr>
            <sz val="8"/>
            <color indexed="32"/>
            <rFont val="ＭＳ ゴシック"/>
            <family val="3"/>
            <charset val="128"/>
          </rPr>
          <t xml:space="preserve">
    110形      </t>
        </r>
        <r>
          <rPr>
            <b/>
            <sz val="8"/>
            <color indexed="32"/>
            <rFont val="ＭＳ ゴシック"/>
            <family val="3"/>
            <charset val="128"/>
          </rPr>
          <t xml:space="preserve">    </t>
        </r>
        <r>
          <rPr>
            <sz val="8"/>
            <color indexed="32"/>
            <rFont val="ＭＳ ゴシック"/>
            <family val="3"/>
            <charset val="128"/>
          </rPr>
          <t xml:space="preserve">  (100～110W)  </t>
        </r>
        <r>
          <rPr>
            <b/>
            <sz val="8"/>
            <color indexed="32"/>
            <rFont val="ＭＳ ゴシック"/>
            <family val="3"/>
            <charset val="128"/>
          </rPr>
          <t xml:space="preserve">8500
 </t>
        </r>
      </text>
    </comment>
    <comment ref="C23" authorId="0">
      <text>
        <r>
          <rPr>
            <b/>
            <sz val="12"/>
            <color indexed="81"/>
            <rFont val="HGPｺﾞｼｯｸE"/>
            <family val="3"/>
            <charset val="128"/>
          </rPr>
          <t xml:space="preserve"> </t>
        </r>
        <r>
          <rPr>
            <b/>
            <sz val="14"/>
            <color indexed="18"/>
            <rFont val="HGPｺﾞｼｯｸE"/>
            <family val="3"/>
            <charset val="128"/>
          </rPr>
          <t xml:space="preserve">　　　　 　　　 </t>
        </r>
        <r>
          <rPr>
            <b/>
            <sz val="12"/>
            <color indexed="37"/>
            <rFont val="ＭＳ Ｐ明朝"/>
            <family val="1"/>
            <charset val="128"/>
          </rPr>
          <t>インピーダンス合成計算</t>
        </r>
        <r>
          <rPr>
            <b/>
            <sz val="18"/>
            <color indexed="18"/>
            <rFont val="HGPｺﾞｼｯｸE"/>
            <family val="3"/>
            <charset val="128"/>
          </rPr>
          <t xml:space="preserve"> </t>
        </r>
        <r>
          <rPr>
            <b/>
            <sz val="9"/>
            <color indexed="81"/>
            <rFont val="HGPｺﾞｼｯｸE"/>
            <family val="3"/>
            <charset val="128"/>
          </rPr>
          <t xml:space="preserve">
</t>
        </r>
        <r>
          <rPr>
            <b/>
            <sz val="9"/>
            <color indexed="81"/>
            <rFont val="Meiryo UI"/>
            <family val="3"/>
            <charset val="128"/>
          </rPr>
          <t>　</t>
        </r>
        <r>
          <rPr>
            <sz val="9"/>
            <color indexed="12"/>
            <rFont val="Meiryo UI"/>
            <family val="3"/>
            <charset val="128"/>
          </rPr>
          <t>　</t>
        </r>
        <r>
          <rPr>
            <sz val="9"/>
            <color indexed="32"/>
            <rFont val="Meiryo UI"/>
            <family val="3"/>
            <charset val="128"/>
          </rPr>
          <t>直列回路：Ｚ</t>
        </r>
        <r>
          <rPr>
            <vertAlign val="subscript"/>
            <sz val="11"/>
            <color indexed="32"/>
            <rFont val="Meiryo UI"/>
            <family val="3"/>
            <charset val="128"/>
          </rPr>
          <t>1</t>
        </r>
        <r>
          <rPr>
            <sz val="9"/>
            <color indexed="32"/>
            <rFont val="Meiryo UI"/>
            <family val="3"/>
            <charset val="128"/>
          </rPr>
          <t>=Ｒ</t>
        </r>
        <r>
          <rPr>
            <vertAlign val="subscript"/>
            <sz val="11"/>
            <color indexed="32"/>
            <rFont val="Meiryo UI"/>
            <family val="3"/>
            <charset val="128"/>
          </rPr>
          <t>1</t>
        </r>
        <r>
          <rPr>
            <sz val="9"/>
            <color indexed="32"/>
            <rFont val="Meiryo UI"/>
            <family val="3"/>
            <charset val="128"/>
          </rPr>
          <t>＋jＸ</t>
        </r>
        <r>
          <rPr>
            <vertAlign val="subscript"/>
            <sz val="11"/>
            <color indexed="32"/>
            <rFont val="Meiryo UI"/>
            <family val="3"/>
            <charset val="128"/>
          </rPr>
          <t>1</t>
        </r>
        <r>
          <rPr>
            <sz val="9"/>
            <color indexed="32"/>
            <rFont val="Meiryo UI"/>
            <family val="3"/>
            <charset val="128"/>
          </rPr>
          <t>、Ｚ</t>
        </r>
        <r>
          <rPr>
            <vertAlign val="subscript"/>
            <sz val="11"/>
            <color indexed="32"/>
            <rFont val="Meiryo UI"/>
            <family val="3"/>
            <charset val="128"/>
          </rPr>
          <t>2</t>
        </r>
        <r>
          <rPr>
            <sz val="9"/>
            <color indexed="32"/>
            <rFont val="Meiryo UI"/>
            <family val="3"/>
            <charset val="128"/>
          </rPr>
          <t>=Ｒ</t>
        </r>
        <r>
          <rPr>
            <vertAlign val="subscript"/>
            <sz val="11"/>
            <color indexed="32"/>
            <rFont val="Meiryo UI"/>
            <family val="3"/>
            <charset val="128"/>
          </rPr>
          <t>2</t>
        </r>
        <r>
          <rPr>
            <sz val="9"/>
            <color indexed="32"/>
            <rFont val="Meiryo UI"/>
            <family val="3"/>
            <charset val="128"/>
          </rPr>
          <t>＋jＸ</t>
        </r>
        <r>
          <rPr>
            <vertAlign val="subscript"/>
            <sz val="11"/>
            <color indexed="32"/>
            <rFont val="Meiryo UI"/>
            <family val="3"/>
            <charset val="128"/>
          </rPr>
          <t>2</t>
        </r>
        <r>
          <rPr>
            <sz val="9"/>
            <color indexed="32"/>
            <rFont val="Meiryo UI"/>
            <family val="3"/>
            <charset val="128"/>
          </rPr>
          <t xml:space="preserve"> の合成インピーダンス Ｚは、</t>
        </r>
        <r>
          <rPr>
            <sz val="12"/>
            <color indexed="12"/>
            <rFont val="Meiryo UI"/>
            <family val="3"/>
            <charset val="128"/>
          </rPr>
          <t xml:space="preserve"> </t>
        </r>
        <r>
          <rPr>
            <sz val="9"/>
            <color indexed="12"/>
            <rFont val="Meiryo UI"/>
            <family val="3"/>
            <charset val="128"/>
          </rPr>
          <t xml:space="preserve">
　　　　　　　　   　</t>
        </r>
        <r>
          <rPr>
            <sz val="8"/>
            <color indexed="81"/>
            <rFont val="Meiryo UI"/>
            <family val="3"/>
            <charset val="128"/>
          </rPr>
          <t>Ｚ＝Ｚ</t>
        </r>
        <r>
          <rPr>
            <b/>
            <vertAlign val="subscript"/>
            <sz val="9"/>
            <color indexed="81"/>
            <rFont val="Meiryo UI"/>
            <family val="3"/>
            <charset val="128"/>
          </rPr>
          <t>1</t>
        </r>
        <r>
          <rPr>
            <sz val="8"/>
            <color indexed="81"/>
            <rFont val="Meiryo UI"/>
            <family val="3"/>
            <charset val="128"/>
          </rPr>
          <t>＋Ｚ</t>
        </r>
        <r>
          <rPr>
            <b/>
            <vertAlign val="subscript"/>
            <sz val="10"/>
            <color indexed="81"/>
            <rFont val="Meiryo UI"/>
            <family val="3"/>
            <charset val="128"/>
          </rPr>
          <t>2</t>
        </r>
        <r>
          <rPr>
            <sz val="8"/>
            <color indexed="81"/>
            <rFont val="Meiryo UI"/>
            <family val="3"/>
            <charset val="128"/>
          </rPr>
          <t>＝(Ｒ</t>
        </r>
        <r>
          <rPr>
            <b/>
            <vertAlign val="subscript"/>
            <sz val="9"/>
            <color indexed="81"/>
            <rFont val="Meiryo UI"/>
            <family val="3"/>
            <charset val="128"/>
          </rPr>
          <t>1</t>
        </r>
        <r>
          <rPr>
            <sz val="8"/>
            <color indexed="81"/>
            <rFont val="Meiryo UI"/>
            <family val="3"/>
            <charset val="128"/>
          </rPr>
          <t>＋Ｒ</t>
        </r>
        <r>
          <rPr>
            <b/>
            <vertAlign val="subscript"/>
            <sz val="10"/>
            <color indexed="81"/>
            <rFont val="Meiryo UI"/>
            <family val="3"/>
            <charset val="128"/>
          </rPr>
          <t>2</t>
        </r>
        <r>
          <rPr>
            <sz val="8"/>
            <color indexed="81"/>
            <rFont val="Meiryo UI"/>
            <family val="3"/>
            <charset val="128"/>
          </rPr>
          <t>)＋j(Ｘ</t>
        </r>
        <r>
          <rPr>
            <b/>
            <vertAlign val="subscript"/>
            <sz val="9"/>
            <color indexed="81"/>
            <rFont val="Meiryo UI"/>
            <family val="3"/>
            <charset val="128"/>
          </rPr>
          <t>1</t>
        </r>
        <r>
          <rPr>
            <sz val="8"/>
            <color indexed="81"/>
            <rFont val="Meiryo UI"/>
            <family val="3"/>
            <charset val="128"/>
          </rPr>
          <t>＋Ｘ</t>
        </r>
        <r>
          <rPr>
            <b/>
            <vertAlign val="subscript"/>
            <sz val="10"/>
            <color indexed="81"/>
            <rFont val="Meiryo UI"/>
            <family val="3"/>
            <charset val="128"/>
          </rPr>
          <t>2</t>
        </r>
        <r>
          <rPr>
            <sz val="8"/>
            <color indexed="81"/>
            <rFont val="Meiryo UI"/>
            <family val="3"/>
            <charset val="128"/>
          </rPr>
          <t>)　　cos φ＝(Ｒ</t>
        </r>
        <r>
          <rPr>
            <b/>
            <vertAlign val="subscript"/>
            <sz val="9"/>
            <color indexed="81"/>
            <rFont val="Meiryo UI"/>
            <family val="3"/>
            <charset val="128"/>
          </rPr>
          <t>1</t>
        </r>
        <r>
          <rPr>
            <sz val="8"/>
            <color indexed="81"/>
            <rFont val="Meiryo UI"/>
            <family val="3"/>
            <charset val="128"/>
          </rPr>
          <t>＋Ｒ</t>
        </r>
        <r>
          <rPr>
            <b/>
            <vertAlign val="subscript"/>
            <sz val="10"/>
            <color indexed="81"/>
            <rFont val="Meiryo UI"/>
            <family val="3"/>
            <charset val="128"/>
          </rPr>
          <t>2</t>
        </r>
        <r>
          <rPr>
            <sz val="8"/>
            <color indexed="81"/>
            <rFont val="Meiryo UI"/>
            <family val="3"/>
            <charset val="128"/>
          </rPr>
          <t>)／Ｚ
　　　　　　 　　  　　</t>
        </r>
        <r>
          <rPr>
            <sz val="9"/>
            <color indexed="32"/>
            <rFont val="Meiryo UI"/>
            <family val="3"/>
            <charset val="128"/>
          </rPr>
          <t>Ｚ</t>
        </r>
        <r>
          <rPr>
            <b/>
            <vertAlign val="subscript"/>
            <sz val="9"/>
            <color indexed="32"/>
            <rFont val="Meiryo UI"/>
            <family val="3"/>
            <charset val="128"/>
          </rPr>
          <t>1</t>
        </r>
        <r>
          <rPr>
            <sz val="9"/>
            <color indexed="32"/>
            <rFont val="Meiryo UI"/>
            <family val="3"/>
            <charset val="128"/>
          </rPr>
          <t>=Ｒ</t>
        </r>
        <r>
          <rPr>
            <b/>
            <vertAlign val="subscript"/>
            <sz val="9"/>
            <color indexed="32"/>
            <rFont val="Meiryo UI"/>
            <family val="3"/>
            <charset val="128"/>
          </rPr>
          <t>1</t>
        </r>
        <r>
          <rPr>
            <sz val="9"/>
            <color indexed="32"/>
            <rFont val="Meiryo UI"/>
            <family val="3"/>
            <charset val="128"/>
          </rPr>
          <t>＋jＸ</t>
        </r>
        <r>
          <rPr>
            <b/>
            <vertAlign val="subscript"/>
            <sz val="9"/>
            <color indexed="32"/>
            <rFont val="Meiryo UI"/>
            <family val="3"/>
            <charset val="128"/>
          </rPr>
          <t>1</t>
        </r>
        <r>
          <rPr>
            <sz val="9"/>
            <color indexed="32"/>
            <rFont val="Meiryo UI"/>
            <family val="3"/>
            <charset val="128"/>
          </rPr>
          <t>、Ｚ</t>
        </r>
        <r>
          <rPr>
            <b/>
            <vertAlign val="subscript"/>
            <sz val="10"/>
            <color indexed="32"/>
            <rFont val="Meiryo UI"/>
            <family val="3"/>
            <charset val="128"/>
          </rPr>
          <t>2</t>
        </r>
        <r>
          <rPr>
            <sz val="9"/>
            <color indexed="32"/>
            <rFont val="Meiryo UI"/>
            <family val="3"/>
            <charset val="128"/>
          </rPr>
          <t>=１／jＸ</t>
        </r>
        <r>
          <rPr>
            <b/>
            <vertAlign val="subscript"/>
            <sz val="9"/>
            <color indexed="32"/>
            <rFont val="Meiryo UI"/>
            <family val="3"/>
            <charset val="128"/>
          </rPr>
          <t>C</t>
        </r>
        <r>
          <rPr>
            <sz val="9"/>
            <color indexed="32"/>
            <rFont val="Meiryo UI"/>
            <family val="3"/>
            <charset val="128"/>
          </rPr>
          <t xml:space="preserve"> の合成インピーダンス Ｚは、</t>
        </r>
        <r>
          <rPr>
            <sz val="12"/>
            <color indexed="12"/>
            <rFont val="Meiryo UI"/>
            <family val="3"/>
            <charset val="128"/>
          </rPr>
          <t xml:space="preserve"> </t>
        </r>
        <r>
          <rPr>
            <sz val="8"/>
            <color indexed="81"/>
            <rFont val="Meiryo UI"/>
            <family val="3"/>
            <charset val="128"/>
          </rPr>
          <t xml:space="preserve">
</t>
        </r>
        <r>
          <rPr>
            <sz val="8"/>
            <color indexed="12"/>
            <rFont val="Meiryo UI"/>
            <family val="3"/>
            <charset val="128"/>
          </rPr>
          <t>　　　　　　　　　 　　　</t>
        </r>
        <r>
          <rPr>
            <sz val="8"/>
            <color indexed="81"/>
            <rFont val="Meiryo UI"/>
            <family val="3"/>
            <charset val="128"/>
          </rPr>
          <t>Ｚ＝Ｒ</t>
        </r>
        <r>
          <rPr>
            <b/>
            <vertAlign val="subscript"/>
            <sz val="9"/>
            <color indexed="81"/>
            <rFont val="Meiryo UI"/>
            <family val="3"/>
            <charset val="128"/>
          </rPr>
          <t>1</t>
        </r>
        <r>
          <rPr>
            <sz val="8"/>
            <color indexed="81"/>
            <rFont val="Meiryo UI"/>
            <family val="3"/>
            <charset val="128"/>
          </rPr>
          <t>＋j(Ｘ</t>
        </r>
        <r>
          <rPr>
            <b/>
            <vertAlign val="subscript"/>
            <sz val="9"/>
            <color indexed="81"/>
            <rFont val="Meiryo UI"/>
            <family val="3"/>
            <charset val="128"/>
          </rPr>
          <t>1</t>
        </r>
        <r>
          <rPr>
            <sz val="8"/>
            <color indexed="81"/>
            <rFont val="Meiryo UI"/>
            <family val="3"/>
            <charset val="128"/>
          </rPr>
          <t>－１／Ｘ</t>
        </r>
        <r>
          <rPr>
            <b/>
            <vertAlign val="subscript"/>
            <sz val="10"/>
            <color indexed="81"/>
            <rFont val="Meiryo UI"/>
            <family val="3"/>
            <charset val="128"/>
          </rPr>
          <t>C</t>
        </r>
        <r>
          <rPr>
            <sz val="8"/>
            <color indexed="81"/>
            <rFont val="Meiryo UI"/>
            <family val="3"/>
            <charset val="128"/>
          </rPr>
          <t>)　　　cos φ＝Ｒ</t>
        </r>
        <r>
          <rPr>
            <b/>
            <vertAlign val="subscript"/>
            <sz val="9"/>
            <color indexed="81"/>
            <rFont val="Meiryo UI"/>
            <family val="3"/>
            <charset val="128"/>
          </rPr>
          <t>1</t>
        </r>
        <r>
          <rPr>
            <sz val="8"/>
            <color indexed="81"/>
            <rFont val="Meiryo UI"/>
            <family val="3"/>
            <charset val="128"/>
          </rPr>
          <t>／Ｚ</t>
        </r>
        <r>
          <rPr>
            <sz val="9"/>
            <color indexed="12"/>
            <rFont val="Meiryo UI"/>
            <family val="3"/>
            <charset val="128"/>
          </rPr>
          <t xml:space="preserve">
</t>
        </r>
        <r>
          <rPr>
            <sz val="9"/>
            <color indexed="32"/>
            <rFont val="Meiryo UI"/>
            <family val="3"/>
            <charset val="128"/>
          </rPr>
          <t xml:space="preserve">
　　並列回路：Ｚ</t>
        </r>
        <r>
          <rPr>
            <vertAlign val="subscript"/>
            <sz val="11"/>
            <color indexed="32"/>
            <rFont val="Meiryo UI"/>
            <family val="3"/>
            <charset val="128"/>
          </rPr>
          <t>1</t>
        </r>
        <r>
          <rPr>
            <sz val="9"/>
            <color indexed="32"/>
            <rFont val="Meiryo UI"/>
            <family val="3"/>
            <charset val="128"/>
          </rPr>
          <t>=Ｒ</t>
        </r>
        <r>
          <rPr>
            <vertAlign val="subscript"/>
            <sz val="11"/>
            <color indexed="32"/>
            <rFont val="Meiryo UI"/>
            <family val="3"/>
            <charset val="128"/>
          </rPr>
          <t>1</t>
        </r>
        <r>
          <rPr>
            <sz val="9"/>
            <color indexed="32"/>
            <rFont val="Meiryo UI"/>
            <family val="3"/>
            <charset val="128"/>
          </rPr>
          <t>＋jＸ</t>
        </r>
        <r>
          <rPr>
            <vertAlign val="subscript"/>
            <sz val="11"/>
            <color indexed="32"/>
            <rFont val="Meiryo UI"/>
            <family val="3"/>
            <charset val="128"/>
          </rPr>
          <t>1</t>
        </r>
        <r>
          <rPr>
            <sz val="9"/>
            <color indexed="32"/>
            <rFont val="Meiryo UI"/>
            <family val="3"/>
            <charset val="128"/>
          </rPr>
          <t>、Ｚ</t>
        </r>
        <r>
          <rPr>
            <vertAlign val="subscript"/>
            <sz val="11"/>
            <color indexed="32"/>
            <rFont val="Meiryo UI"/>
            <family val="3"/>
            <charset val="128"/>
          </rPr>
          <t>2</t>
        </r>
        <r>
          <rPr>
            <sz val="9"/>
            <color indexed="32"/>
            <rFont val="Meiryo UI"/>
            <family val="3"/>
            <charset val="128"/>
          </rPr>
          <t>=Ｒ</t>
        </r>
        <r>
          <rPr>
            <vertAlign val="subscript"/>
            <sz val="11"/>
            <color indexed="32"/>
            <rFont val="Meiryo UI"/>
            <family val="3"/>
            <charset val="128"/>
          </rPr>
          <t>2</t>
        </r>
        <r>
          <rPr>
            <sz val="9"/>
            <color indexed="32"/>
            <rFont val="Meiryo UI"/>
            <family val="3"/>
            <charset val="128"/>
          </rPr>
          <t>＋jＸ</t>
        </r>
        <r>
          <rPr>
            <vertAlign val="subscript"/>
            <sz val="11"/>
            <color indexed="32"/>
            <rFont val="Meiryo UI"/>
            <family val="3"/>
            <charset val="128"/>
          </rPr>
          <t>2</t>
        </r>
        <r>
          <rPr>
            <sz val="9"/>
            <color indexed="32"/>
            <rFont val="Meiryo UI"/>
            <family val="3"/>
            <charset val="128"/>
          </rPr>
          <t xml:space="preserve"> (又は １／ｊＸ</t>
        </r>
        <r>
          <rPr>
            <vertAlign val="subscript"/>
            <sz val="11"/>
            <color indexed="32"/>
            <rFont val="Meiryo UI"/>
            <family val="3"/>
            <charset val="128"/>
          </rPr>
          <t>C</t>
        </r>
        <r>
          <rPr>
            <sz val="9"/>
            <color indexed="32"/>
            <rFont val="Meiryo UI"/>
            <family val="3"/>
            <charset val="128"/>
          </rPr>
          <t>) の合成
                    インピーダンス Ｚは、</t>
        </r>
        <r>
          <rPr>
            <sz val="9"/>
            <color indexed="12"/>
            <rFont val="Meiryo UI"/>
            <family val="3"/>
            <charset val="128"/>
          </rPr>
          <t xml:space="preserve">
　　　　　　   　　　</t>
        </r>
        <r>
          <rPr>
            <sz val="8"/>
            <color indexed="12"/>
            <rFont val="Meiryo UI"/>
            <family val="3"/>
            <charset val="128"/>
          </rPr>
          <t xml:space="preserve"> </t>
        </r>
        <r>
          <rPr>
            <sz val="8"/>
            <color indexed="81"/>
            <rFont val="Meiryo UI"/>
            <family val="3"/>
            <charset val="128"/>
          </rPr>
          <t>１／Ｚ＝１／Ｚ</t>
        </r>
        <r>
          <rPr>
            <b/>
            <vertAlign val="subscript"/>
            <sz val="9"/>
            <color indexed="81"/>
            <rFont val="Meiryo UI"/>
            <family val="3"/>
            <charset val="128"/>
          </rPr>
          <t>1</t>
        </r>
        <r>
          <rPr>
            <sz val="8"/>
            <color indexed="81"/>
            <rFont val="Meiryo UI"/>
            <family val="3"/>
            <charset val="128"/>
          </rPr>
          <t>＋１／Ｚ</t>
        </r>
        <r>
          <rPr>
            <b/>
            <vertAlign val="subscript"/>
            <sz val="10"/>
            <color indexed="81"/>
            <rFont val="Meiryo UI"/>
            <family val="3"/>
            <charset val="128"/>
          </rPr>
          <t>2</t>
        </r>
        <r>
          <rPr>
            <sz val="8"/>
            <color indexed="81"/>
            <rFont val="Meiryo UI"/>
            <family val="3"/>
            <charset val="128"/>
          </rPr>
          <t>　　　　cos φ＝Ｒｚ／Ｚ</t>
        </r>
        <r>
          <rPr>
            <sz val="9"/>
            <color indexed="81"/>
            <rFont val="Meiryo UI"/>
            <family val="3"/>
            <charset val="128"/>
          </rPr>
          <t xml:space="preserve">
</t>
        </r>
        <r>
          <rPr>
            <sz val="9"/>
            <color indexed="12"/>
            <rFont val="Meiryo UI"/>
            <family val="3"/>
            <charset val="128"/>
          </rPr>
          <t xml:space="preserve">
　　　</t>
        </r>
        <r>
          <rPr>
            <sz val="9"/>
            <color indexed="37"/>
            <rFont val="Meiryo UI"/>
            <family val="3"/>
            <charset val="128"/>
          </rPr>
          <t>実務例</t>
        </r>
        <r>
          <rPr>
            <sz val="8"/>
            <color indexed="12"/>
            <rFont val="Meiryo UI"/>
            <family val="3"/>
            <charset val="128"/>
          </rPr>
          <t>：</t>
        </r>
        <r>
          <rPr>
            <sz val="8"/>
            <color indexed="32"/>
            <rFont val="Meiryo UI"/>
            <family val="3"/>
            <charset val="128"/>
          </rPr>
          <t>直列回路 Ｚ</t>
        </r>
        <r>
          <rPr>
            <b/>
            <vertAlign val="subscript"/>
            <sz val="9"/>
            <color indexed="32"/>
            <rFont val="Meiryo UI"/>
            <family val="3"/>
            <charset val="128"/>
          </rPr>
          <t>1</t>
        </r>
        <r>
          <rPr>
            <sz val="8"/>
            <color indexed="32"/>
            <rFont val="Meiryo UI"/>
            <family val="3"/>
            <charset val="128"/>
          </rPr>
          <t>、Ｚ</t>
        </r>
        <r>
          <rPr>
            <b/>
            <vertAlign val="subscript"/>
            <sz val="10"/>
            <color indexed="32"/>
            <rFont val="Meiryo UI"/>
            <family val="3"/>
            <charset val="128"/>
          </rPr>
          <t xml:space="preserve">2 </t>
        </r>
        <r>
          <rPr>
            <sz val="8"/>
            <color indexed="32"/>
            <rFont val="Meiryo UI"/>
            <family val="3"/>
            <charset val="128"/>
          </rPr>
          <t>= １／ｊＸ</t>
        </r>
        <r>
          <rPr>
            <b/>
            <vertAlign val="subscript"/>
            <sz val="10"/>
            <color indexed="32"/>
            <rFont val="Meiryo UI"/>
            <family val="3"/>
            <charset val="128"/>
          </rPr>
          <t>C</t>
        </r>
        <r>
          <rPr>
            <sz val="8"/>
            <color indexed="32"/>
            <rFont val="Meiryo UI"/>
            <family val="3"/>
            <charset val="128"/>
          </rPr>
          <t xml:space="preserve"> … 直列リアクトル ＋ 進相コンデンサ
　　　　　　　 </t>
        </r>
        <r>
          <rPr>
            <sz val="7"/>
            <color indexed="32"/>
            <rFont val="Meiryo UI"/>
            <family val="3"/>
            <charset val="128"/>
          </rPr>
          <t>　　　</t>
        </r>
        <r>
          <rPr>
            <sz val="3"/>
            <color indexed="32"/>
            <rFont val="Meiryo UI"/>
            <family val="3"/>
            <charset val="128"/>
          </rPr>
          <t xml:space="preserve"> </t>
        </r>
        <r>
          <rPr>
            <sz val="8"/>
            <color indexed="32"/>
            <rFont val="Meiryo UI"/>
            <family val="3"/>
            <charset val="128"/>
          </rPr>
          <t>並列回路 Ｚ</t>
        </r>
        <r>
          <rPr>
            <b/>
            <vertAlign val="subscript"/>
            <sz val="9"/>
            <color indexed="32"/>
            <rFont val="Meiryo UI"/>
            <family val="3"/>
            <charset val="128"/>
          </rPr>
          <t>1</t>
        </r>
        <r>
          <rPr>
            <sz val="8"/>
            <color indexed="32"/>
            <rFont val="Meiryo UI"/>
            <family val="3"/>
            <charset val="128"/>
          </rPr>
          <t>、Ｚ</t>
        </r>
        <r>
          <rPr>
            <b/>
            <vertAlign val="subscript"/>
            <sz val="10"/>
            <color indexed="32"/>
            <rFont val="Meiryo UI"/>
            <family val="3"/>
            <charset val="128"/>
          </rPr>
          <t>2</t>
        </r>
        <r>
          <rPr>
            <sz val="8"/>
            <color indexed="32"/>
            <rFont val="Meiryo UI"/>
            <family val="3"/>
            <charset val="128"/>
          </rPr>
          <t xml:space="preserve"> ………………… 変圧器の並列運転、多条布設ケーブル</t>
        </r>
        <r>
          <rPr>
            <sz val="9"/>
            <color indexed="32"/>
            <rFont val="ＭＳ Ｐゴシック"/>
            <family val="3"/>
            <charset val="128"/>
          </rPr>
          <t xml:space="preserve">
</t>
        </r>
        <r>
          <rPr>
            <sz val="9"/>
            <color indexed="12"/>
            <rFont val="HGPｺﾞｼｯｸE"/>
            <family val="3"/>
            <charset val="128"/>
          </rPr>
          <t xml:space="preserve">
</t>
        </r>
        <r>
          <rPr>
            <b/>
            <sz val="9"/>
            <color indexed="12"/>
            <rFont val="HGPｺﾞｼｯｸE"/>
            <family val="3"/>
            <charset val="128"/>
          </rPr>
          <t>　　　</t>
        </r>
        <r>
          <rPr>
            <b/>
            <sz val="9"/>
            <color indexed="81"/>
            <rFont val="HGPｺﾞｼｯｸE"/>
            <family val="3"/>
            <charset val="128"/>
          </rPr>
          <t>　　　　　　　　　　　　　　　</t>
        </r>
        <r>
          <rPr>
            <b/>
            <sz val="9"/>
            <color indexed="81"/>
            <rFont val="Meiryo UI"/>
            <family val="3"/>
            <charset val="128"/>
          </rPr>
          <t xml:space="preserve">    </t>
        </r>
        <r>
          <rPr>
            <b/>
            <sz val="9"/>
            <color indexed="81"/>
            <rFont val="HGPｺﾞｼｯｸE"/>
            <family val="3"/>
            <charset val="128"/>
          </rPr>
          <t>　　　　　　　　　　</t>
        </r>
        <r>
          <rPr>
            <b/>
            <sz val="9"/>
            <color indexed="18"/>
            <rFont val="Times New Roman"/>
            <family val="1"/>
          </rPr>
          <t xml:space="preserve">2010. 03. 28   </t>
        </r>
        <r>
          <rPr>
            <b/>
            <i/>
            <sz val="9"/>
            <color indexed="18"/>
            <rFont val="Times New Roman"/>
            <family val="1"/>
          </rPr>
          <t xml:space="preserve">ESE  Service
 </t>
        </r>
      </text>
    </comment>
    <comment ref="C68" authorId="0">
      <text>
        <r>
          <rPr>
            <b/>
            <sz val="12"/>
            <color indexed="81"/>
            <rFont val="HGPｺﾞｼｯｸE"/>
            <family val="3"/>
            <charset val="128"/>
          </rPr>
          <t xml:space="preserve"> </t>
        </r>
        <r>
          <rPr>
            <b/>
            <sz val="14"/>
            <color indexed="18"/>
            <rFont val="HGPｺﾞｼｯｸE"/>
            <family val="3"/>
            <charset val="128"/>
          </rPr>
          <t>　　　　　 　　</t>
        </r>
        <r>
          <rPr>
            <b/>
            <sz val="12"/>
            <color indexed="37"/>
            <rFont val="ＭＳ Ｐ明朝"/>
            <family val="1"/>
            <charset val="128"/>
          </rPr>
          <t>低圧電力幹線の諸計算</t>
        </r>
        <r>
          <rPr>
            <b/>
            <sz val="18"/>
            <color indexed="18"/>
            <rFont val="HGPｺﾞｼｯｸE"/>
            <family val="3"/>
            <charset val="128"/>
          </rPr>
          <t xml:space="preserve"> </t>
        </r>
        <r>
          <rPr>
            <b/>
            <sz val="11"/>
            <color indexed="18"/>
            <rFont val="HGPｺﾞｼｯｸE"/>
            <family val="3"/>
            <charset val="128"/>
          </rPr>
          <t xml:space="preserve">
</t>
        </r>
        <r>
          <rPr>
            <sz val="9"/>
            <color indexed="32"/>
            <rFont val="Meiryo UI"/>
            <family val="3"/>
            <charset val="128"/>
          </rPr>
          <t xml:space="preserve"> 　 No.2 インピーダンス合成計算の公式（</t>
        </r>
        <r>
          <rPr>
            <b/>
            <sz val="9"/>
            <color indexed="37"/>
            <rFont val="Meiryo UI"/>
            <family val="3"/>
            <charset val="128"/>
          </rPr>
          <t>F-1</t>
        </r>
        <r>
          <rPr>
            <sz val="9"/>
            <color indexed="37"/>
            <rFont val="Meiryo UI"/>
            <family val="3"/>
            <charset val="128"/>
          </rPr>
          <t>～</t>
        </r>
        <r>
          <rPr>
            <b/>
            <sz val="9"/>
            <color indexed="37"/>
            <rFont val="Meiryo UI"/>
            <family val="3"/>
            <charset val="128"/>
          </rPr>
          <t>4</t>
        </r>
        <r>
          <rPr>
            <sz val="9"/>
            <color indexed="32"/>
            <rFont val="Meiryo UI"/>
            <family val="3"/>
            <charset val="128"/>
          </rPr>
          <t>）により、構内配電網を</t>
        </r>
        <r>
          <rPr>
            <sz val="12"/>
            <color indexed="32"/>
            <rFont val="Meiryo UI"/>
            <family val="3"/>
            <charset val="128"/>
          </rPr>
          <t xml:space="preserve"> 
</t>
        </r>
        <r>
          <rPr>
            <sz val="9"/>
            <color indexed="32"/>
            <rFont val="Meiryo UI"/>
            <family val="3"/>
            <charset val="128"/>
          </rPr>
          <t>　　合成して回路の解析ができます。</t>
        </r>
        <r>
          <rPr>
            <sz val="9"/>
            <color indexed="12"/>
            <rFont val="Meiryo UI"/>
            <family val="3"/>
            <charset val="128"/>
          </rPr>
          <t xml:space="preserve">
</t>
        </r>
        <r>
          <rPr>
            <sz val="8"/>
            <color indexed="81"/>
            <rFont val="Meiryo UI"/>
            <family val="3"/>
            <charset val="128"/>
          </rPr>
          <t>　　   　解析項目 ： 変圧器電圧変動率、変圧器負荷率、変圧器定格電流、進相
　　　　　　　　　 　　　　コンデンサの設置</t>
        </r>
        <r>
          <rPr>
            <sz val="6"/>
            <color indexed="81"/>
            <rFont val="Meiryo UI"/>
            <family val="3"/>
            <charset val="128"/>
          </rPr>
          <t xml:space="preserve"> </t>
        </r>
        <r>
          <rPr>
            <sz val="8"/>
            <color indexed="81"/>
            <rFont val="Meiryo UI"/>
            <family val="3"/>
            <charset val="128"/>
          </rPr>
          <t>（配電側、負荷側）</t>
        </r>
        <r>
          <rPr>
            <sz val="6"/>
            <color indexed="81"/>
            <rFont val="Meiryo UI"/>
            <family val="3"/>
            <charset val="128"/>
          </rPr>
          <t xml:space="preserve"> </t>
        </r>
        <r>
          <rPr>
            <sz val="8"/>
            <color indexed="81"/>
            <rFont val="Meiryo UI"/>
            <family val="3"/>
            <charset val="128"/>
          </rPr>
          <t>による力率計算、単独
　　　　　　　　　　 　　　幹線</t>
        </r>
        <r>
          <rPr>
            <sz val="3"/>
            <color indexed="81"/>
            <rFont val="Meiryo UI"/>
            <family val="3"/>
            <charset val="128"/>
          </rPr>
          <t xml:space="preserve"> </t>
        </r>
        <r>
          <rPr>
            <sz val="8"/>
            <color indexed="81"/>
            <rFont val="Meiryo UI"/>
            <family val="3"/>
            <charset val="128"/>
          </rPr>
          <t>・</t>
        </r>
        <r>
          <rPr>
            <sz val="3"/>
            <color indexed="81"/>
            <rFont val="Meiryo UI"/>
            <family val="3"/>
            <charset val="128"/>
          </rPr>
          <t xml:space="preserve"> </t>
        </r>
        <r>
          <rPr>
            <sz val="8"/>
            <color indexed="81"/>
            <rFont val="Meiryo UI"/>
            <family val="3"/>
            <charset val="128"/>
          </rPr>
          <t xml:space="preserve">分岐幹線の構築と使用ケーブルの選定、全負荷電流・
                   </t>
        </r>
        <r>
          <rPr>
            <sz val="7"/>
            <color indexed="81"/>
            <rFont val="Meiryo UI"/>
            <family val="3"/>
            <charset val="128"/>
          </rPr>
          <t xml:space="preserve">    </t>
        </r>
        <r>
          <rPr>
            <sz val="8"/>
            <color indexed="81"/>
            <rFont val="Meiryo UI"/>
            <family val="3"/>
            <charset val="128"/>
          </rPr>
          <t xml:space="preserve">  変圧器電流</t>
        </r>
        <r>
          <rPr>
            <sz val="3"/>
            <color indexed="81"/>
            <rFont val="Meiryo UI"/>
            <family val="3"/>
            <charset val="128"/>
          </rPr>
          <t xml:space="preserve"> </t>
        </r>
        <r>
          <rPr>
            <sz val="8"/>
            <color indexed="81"/>
            <rFont val="Meiryo UI"/>
            <family val="3"/>
            <charset val="128"/>
          </rPr>
          <t>・</t>
        </r>
        <r>
          <rPr>
            <sz val="3"/>
            <color indexed="81"/>
            <rFont val="Meiryo UI"/>
            <family val="3"/>
            <charset val="128"/>
          </rPr>
          <t xml:space="preserve"> </t>
        </r>
        <r>
          <rPr>
            <sz val="8"/>
            <color indexed="81"/>
            <rFont val="Meiryo UI"/>
            <family val="3"/>
            <charset val="128"/>
          </rPr>
          <t>配電側電圧、負荷側（幹線単位）電流</t>
        </r>
        <r>
          <rPr>
            <sz val="3"/>
            <color indexed="81"/>
            <rFont val="Meiryo UI"/>
            <family val="3"/>
            <charset val="128"/>
          </rPr>
          <t xml:space="preserve"> </t>
        </r>
        <r>
          <rPr>
            <sz val="8"/>
            <color indexed="81"/>
            <rFont val="Meiryo UI"/>
            <family val="3"/>
            <charset val="128"/>
          </rPr>
          <t>・</t>
        </r>
        <r>
          <rPr>
            <sz val="3"/>
            <color indexed="81"/>
            <rFont val="Meiryo UI"/>
            <family val="3"/>
            <charset val="128"/>
          </rPr>
          <t xml:space="preserve"> </t>
        </r>
        <r>
          <rPr>
            <sz val="8"/>
            <color indexed="81"/>
            <rFont val="Meiryo UI"/>
            <family val="3"/>
            <charset val="128"/>
          </rPr>
          <t>電圧 ・
　　　　　　　　　　　</t>
        </r>
        <r>
          <rPr>
            <sz val="7"/>
            <color indexed="81"/>
            <rFont val="Meiryo UI"/>
            <family val="3"/>
            <charset val="128"/>
          </rPr>
          <t xml:space="preserve"> </t>
        </r>
        <r>
          <rPr>
            <sz val="8"/>
            <color indexed="81"/>
            <rFont val="Meiryo UI"/>
            <family val="3"/>
            <charset val="128"/>
          </rPr>
          <t xml:space="preserve">　 </t>
        </r>
        <r>
          <rPr>
            <sz val="7"/>
            <color indexed="81"/>
            <rFont val="Meiryo UI"/>
            <family val="3"/>
            <charset val="128"/>
          </rPr>
          <t xml:space="preserve"> </t>
        </r>
        <r>
          <rPr>
            <sz val="8"/>
            <color indexed="81"/>
            <rFont val="Meiryo UI"/>
            <family val="3"/>
            <charset val="128"/>
          </rPr>
          <t>力率、幹線毎の対称値短絡電流、対称値母線短絡電流</t>
        </r>
        <r>
          <rPr>
            <sz val="8"/>
            <color indexed="18"/>
            <rFont val="Meiryo UI"/>
            <family val="3"/>
            <charset val="128"/>
          </rPr>
          <t xml:space="preserve">
</t>
        </r>
        <r>
          <rPr>
            <sz val="9"/>
            <color indexed="32"/>
            <rFont val="Meiryo UI"/>
            <family val="3"/>
            <charset val="128"/>
          </rPr>
          <t>　　この「低圧電力幹線の簡易計算」では、上記解析項目のうち、3φ、1φの
　　電気方式、配電用変圧器の定格容量、配電側進相コンデンサ設置、幹線
    ケーブルの選定、負荷入力内容による負荷側電圧、負荷側電流、負荷側
    短絡電流（対称値）、母線短絡電流（対称値）の計算を行います。</t>
        </r>
        <r>
          <rPr>
            <sz val="9"/>
            <color indexed="12"/>
            <rFont val="HGPｺﾞｼｯｸE"/>
            <family val="3"/>
            <charset val="128"/>
          </rPr>
          <t xml:space="preserve">
</t>
        </r>
        <r>
          <rPr>
            <b/>
            <sz val="9"/>
            <color indexed="81"/>
            <rFont val="HGPｺﾞｼｯｸE"/>
            <family val="3"/>
            <charset val="128"/>
          </rPr>
          <t>　　　　　　　　　　　　　　　　　　　</t>
        </r>
        <r>
          <rPr>
            <b/>
            <sz val="9"/>
            <color indexed="81"/>
            <rFont val="Meiryo UI"/>
            <family val="3"/>
            <charset val="128"/>
          </rPr>
          <t xml:space="preserve">     </t>
        </r>
        <r>
          <rPr>
            <b/>
            <sz val="9"/>
            <color indexed="81"/>
            <rFont val="HGPｺﾞｼｯｸE"/>
            <family val="3"/>
            <charset val="128"/>
          </rPr>
          <t>　　　　　</t>
        </r>
        <r>
          <rPr>
            <b/>
            <sz val="9"/>
            <color indexed="18"/>
            <rFont val="Times New Roman"/>
            <family val="1"/>
          </rPr>
          <t xml:space="preserve">2010. 03. 28   </t>
        </r>
        <r>
          <rPr>
            <b/>
            <i/>
            <sz val="9"/>
            <color indexed="18"/>
            <rFont val="Times New Roman"/>
            <family val="1"/>
          </rPr>
          <t xml:space="preserve">ESE  Service
 </t>
        </r>
      </text>
    </comment>
    <comment ref="C93" authorId="0">
      <text>
        <r>
          <rPr>
            <b/>
            <sz val="9"/>
            <color indexed="81"/>
            <rFont val="HGPｺﾞｼｯｸE"/>
            <family val="3"/>
            <charset val="128"/>
          </rPr>
          <t xml:space="preserve"> </t>
        </r>
        <r>
          <rPr>
            <b/>
            <sz val="9"/>
            <color indexed="18"/>
            <rFont val="HGPｺﾞｼｯｸE"/>
            <family val="3"/>
            <charset val="128"/>
          </rPr>
          <t xml:space="preserve">　　　　　                </t>
        </r>
        <r>
          <rPr>
            <b/>
            <sz val="11"/>
            <color indexed="37"/>
            <rFont val="ＭＳ Ｐ明朝"/>
            <family val="1"/>
            <charset val="128"/>
          </rPr>
          <t>二次方程式の解</t>
        </r>
        <r>
          <rPr>
            <b/>
            <sz val="18"/>
            <color indexed="37"/>
            <rFont val="ＭＳ Ｐ明朝"/>
            <family val="1"/>
            <charset val="128"/>
          </rPr>
          <t xml:space="preserve"> </t>
        </r>
        <r>
          <rPr>
            <b/>
            <sz val="9"/>
            <color indexed="81"/>
            <rFont val="HGPｺﾞｼｯｸE"/>
            <family val="3"/>
            <charset val="128"/>
          </rPr>
          <t xml:space="preserve">
</t>
        </r>
        <r>
          <rPr>
            <b/>
            <sz val="9"/>
            <color indexed="32"/>
            <rFont val="Meiryo UI"/>
            <family val="3"/>
            <charset val="128"/>
          </rPr>
          <t xml:space="preserve">      </t>
        </r>
        <r>
          <rPr>
            <sz val="9"/>
            <color indexed="32"/>
            <rFont val="Meiryo UI"/>
            <family val="3"/>
            <charset val="128"/>
          </rPr>
          <t xml:space="preserve">二次方程式 </t>
        </r>
        <r>
          <rPr>
            <b/>
            <sz val="10"/>
            <color indexed="32"/>
            <rFont val="Meiryo UI"/>
            <family val="3"/>
            <charset val="128"/>
          </rPr>
          <t>ｆ</t>
        </r>
        <r>
          <rPr>
            <sz val="9"/>
            <color indexed="32"/>
            <rFont val="Meiryo UI"/>
            <family val="3"/>
            <charset val="128"/>
          </rPr>
          <t>(Ｘ)を</t>
        </r>
        <r>
          <rPr>
            <b/>
            <sz val="10"/>
            <color indexed="32"/>
            <rFont val="Meiryo UI"/>
            <family val="3"/>
            <charset val="128"/>
          </rPr>
          <t>ｆ</t>
        </r>
        <r>
          <rPr>
            <sz val="9"/>
            <color indexed="32"/>
            <rFont val="Meiryo UI"/>
            <family val="3"/>
            <charset val="128"/>
          </rPr>
          <t>(Ｘ)＝ＡＸ</t>
        </r>
        <r>
          <rPr>
            <b/>
            <vertAlign val="superscript"/>
            <sz val="10"/>
            <color indexed="32"/>
            <rFont val="Meiryo UI"/>
            <family val="3"/>
            <charset val="128"/>
          </rPr>
          <t>２</t>
        </r>
        <r>
          <rPr>
            <sz val="9"/>
            <color indexed="32"/>
            <rFont val="Meiryo UI"/>
            <family val="3"/>
            <charset val="128"/>
          </rPr>
          <t xml:space="preserve">+ＢＸ+Ｃ (ただし、Ａ≠０ ) とすると、
     </t>
        </r>
        <r>
          <rPr>
            <b/>
            <sz val="10"/>
            <color indexed="32"/>
            <rFont val="Meiryo UI"/>
            <family val="3"/>
            <charset val="128"/>
          </rPr>
          <t>ｆ</t>
        </r>
        <r>
          <rPr>
            <sz val="9"/>
            <color indexed="32"/>
            <rFont val="Meiryo UI"/>
            <family val="3"/>
            <charset val="128"/>
          </rPr>
          <t xml:space="preserve">(Ｘ)＝０ の解、Ｘａ，Ｘｂ を求めるとき、係数Ａ、Ｂ、Ｃ を数値入力しま
　　  す。　"Ａ", "Ｂ", "Ｃ" を "入力セル" に入力すると、計算を行います。
     </t>
        </r>
        <r>
          <rPr>
            <b/>
            <sz val="10"/>
            <color indexed="32"/>
            <rFont val="Meiryo UI"/>
            <family val="3"/>
            <charset val="128"/>
          </rPr>
          <t>ｆ</t>
        </r>
        <r>
          <rPr>
            <sz val="9"/>
            <color indexed="32"/>
            <rFont val="Meiryo UI"/>
            <family val="3"/>
            <charset val="128"/>
          </rPr>
          <t xml:space="preserve">(Ｘ)の一次導函数 </t>
        </r>
        <r>
          <rPr>
            <b/>
            <sz val="10"/>
            <color indexed="32"/>
            <rFont val="Meiryo UI"/>
            <family val="3"/>
            <charset val="128"/>
          </rPr>
          <t>ｆ</t>
        </r>
        <r>
          <rPr>
            <sz val="9"/>
            <color indexed="32"/>
            <rFont val="Meiryo UI"/>
            <family val="3"/>
            <charset val="128"/>
          </rPr>
          <t>’(Ｘ)＝０ より、極大値 又は 極小値 (Ｘ</t>
        </r>
        <r>
          <rPr>
            <vertAlign val="subscript"/>
            <sz val="10"/>
            <color indexed="32"/>
            <rFont val="Meiryo UI"/>
            <family val="3"/>
            <charset val="128"/>
          </rPr>
          <t>０</t>
        </r>
        <r>
          <rPr>
            <sz val="9"/>
            <color indexed="32"/>
            <rFont val="Meiryo UI"/>
            <family val="3"/>
            <charset val="128"/>
          </rPr>
          <t>) を求め
　　  ます。　ここで、判別式 D＝B</t>
        </r>
        <r>
          <rPr>
            <b/>
            <vertAlign val="superscript"/>
            <sz val="10"/>
            <color indexed="32"/>
            <rFont val="Meiryo UI"/>
            <family val="3"/>
            <charset val="128"/>
          </rPr>
          <t>２</t>
        </r>
        <r>
          <rPr>
            <sz val="9"/>
            <color indexed="32"/>
            <rFont val="Meiryo UI"/>
            <family val="3"/>
            <charset val="128"/>
          </rPr>
          <t>－４AC　 D＜０ のときは、</t>
        </r>
        <r>
          <rPr>
            <sz val="9"/>
            <color indexed="81"/>
            <rFont val="Meiryo UI"/>
            <family val="3"/>
            <charset val="128"/>
          </rPr>
          <t>ABS</t>
        </r>
        <r>
          <rPr>
            <sz val="9"/>
            <color indexed="32"/>
            <rFont val="Meiryo UI"/>
            <family val="3"/>
            <charset val="128"/>
          </rPr>
          <t>(Ｄ)で計算し、
      虚大値 又は 虚小値 (Ｘ</t>
        </r>
        <r>
          <rPr>
            <vertAlign val="subscript"/>
            <sz val="10"/>
            <color indexed="32"/>
            <rFont val="Meiryo UI"/>
            <family val="3"/>
            <charset val="128"/>
          </rPr>
          <t>０</t>
        </r>
        <r>
          <rPr>
            <sz val="9"/>
            <color indexed="32"/>
            <rFont val="Meiryo UI"/>
            <family val="3"/>
            <charset val="128"/>
          </rPr>
          <t xml:space="preserve">) と表示します。
         </t>
        </r>
        <r>
          <rPr>
            <sz val="9"/>
            <color indexed="81"/>
            <rFont val="Meiryo UI"/>
            <family val="3"/>
            <charset val="128"/>
          </rPr>
          <t>ABS</t>
        </r>
        <r>
          <rPr>
            <sz val="9"/>
            <color indexed="32"/>
            <rFont val="Meiryo UI"/>
            <family val="3"/>
            <charset val="128"/>
          </rPr>
          <t>：絶対値 (</t>
        </r>
        <r>
          <rPr>
            <b/>
            <sz val="9"/>
            <color indexed="32"/>
            <rFont val="Meiryo UI"/>
            <family val="3"/>
            <charset val="128"/>
          </rPr>
          <t>Abs</t>
        </r>
        <r>
          <rPr>
            <sz val="9"/>
            <color indexed="32"/>
            <rFont val="Meiryo UI"/>
            <family val="3"/>
            <charset val="128"/>
          </rPr>
          <t>olute vallue) 　[ |D| → D≧0：D，D＜0：D ]</t>
        </r>
        <r>
          <rPr>
            <sz val="14"/>
            <color indexed="32"/>
            <rFont val="Meiryo UI"/>
            <family val="3"/>
            <charset val="128"/>
          </rPr>
          <t xml:space="preserve"> </t>
        </r>
        <r>
          <rPr>
            <sz val="9"/>
            <color indexed="81"/>
            <rFont val="Meiryo UI"/>
            <family val="3"/>
            <charset val="128"/>
          </rPr>
          <t xml:space="preserve">
　　　Xa、Xb 解計算は、実根 又は 複素数 で計算します。[ｊ(ｎ)：虚数</t>
        </r>
        <r>
          <rPr>
            <sz val="6"/>
            <color indexed="81"/>
            <rFont val="Meiryo UI"/>
            <family val="3"/>
            <charset val="128"/>
          </rPr>
          <t xml:space="preserve"> </t>
        </r>
        <r>
          <rPr>
            <sz val="9"/>
            <color indexed="81"/>
            <rFont val="Meiryo UI"/>
            <family val="3"/>
            <charset val="128"/>
          </rPr>
          <t>]、重根
　  　の場合は、これを表示します。</t>
        </r>
        <r>
          <rPr>
            <b/>
            <sz val="9"/>
            <color indexed="12"/>
            <rFont val="HGPｺﾞｼｯｸE"/>
            <family val="3"/>
            <charset val="128"/>
          </rPr>
          <t xml:space="preserve">
</t>
        </r>
        <r>
          <rPr>
            <b/>
            <sz val="9"/>
            <color indexed="81"/>
            <rFont val="HGPｺﾞｼｯｸE"/>
            <family val="3"/>
            <charset val="128"/>
          </rPr>
          <t xml:space="preserve">
　　　　　　　　　　　　　　　　</t>
        </r>
        <r>
          <rPr>
            <b/>
            <sz val="9"/>
            <color indexed="81"/>
            <rFont val="Meiryo UI"/>
            <family val="3"/>
            <charset val="128"/>
          </rPr>
          <t xml:space="preserve">      </t>
        </r>
        <r>
          <rPr>
            <b/>
            <sz val="9"/>
            <color indexed="81"/>
            <rFont val="HGPｺﾞｼｯｸE"/>
            <family val="3"/>
            <charset val="128"/>
          </rPr>
          <t>　　　　　　</t>
        </r>
        <r>
          <rPr>
            <b/>
            <sz val="9"/>
            <color indexed="81"/>
            <rFont val="Meiryo UI"/>
            <family val="3"/>
            <charset val="128"/>
          </rPr>
          <t xml:space="preserve">       </t>
        </r>
        <r>
          <rPr>
            <b/>
            <sz val="9"/>
            <color indexed="81"/>
            <rFont val="HGPｺﾞｼｯｸE"/>
            <family val="3"/>
            <charset val="128"/>
          </rPr>
          <t>　　</t>
        </r>
        <r>
          <rPr>
            <b/>
            <sz val="9"/>
            <color indexed="18"/>
            <rFont val="Times New Roman"/>
            <family val="1"/>
          </rPr>
          <t xml:space="preserve">2010. 03. 22   </t>
        </r>
        <r>
          <rPr>
            <b/>
            <i/>
            <sz val="9"/>
            <color indexed="18"/>
            <rFont val="Times New Roman"/>
            <family val="1"/>
          </rPr>
          <t>ESE  Service</t>
        </r>
        <r>
          <rPr>
            <b/>
            <sz val="9"/>
            <color indexed="18"/>
            <rFont val="HGPｺﾞｼｯｸE"/>
            <family val="3"/>
            <charset val="128"/>
          </rPr>
          <t xml:space="preserve">　
</t>
        </r>
        <r>
          <rPr>
            <b/>
            <sz val="9"/>
            <color indexed="18"/>
            <rFont val="Times New Roman"/>
            <family val="1"/>
          </rPr>
          <t xml:space="preserve"> </t>
        </r>
      </text>
    </comment>
    <comment ref="C110" authorId="0">
      <text>
        <r>
          <rPr>
            <b/>
            <sz val="12"/>
            <color indexed="81"/>
            <rFont val="HGPｺﾞｼｯｸE"/>
            <family val="3"/>
            <charset val="128"/>
          </rPr>
          <t xml:space="preserve"> </t>
        </r>
        <r>
          <rPr>
            <b/>
            <sz val="14"/>
            <color indexed="18"/>
            <rFont val="HGPｺﾞｼｯｸE"/>
            <family val="3"/>
            <charset val="128"/>
          </rPr>
          <t>　　　　</t>
        </r>
        <r>
          <rPr>
            <b/>
            <sz val="11"/>
            <color indexed="37"/>
            <rFont val="ＭＳ Ｐ明朝"/>
            <family val="1"/>
            <charset val="128"/>
          </rPr>
          <t>三次方程式の実根解</t>
        </r>
        <r>
          <rPr>
            <b/>
            <sz val="10"/>
            <color indexed="37"/>
            <rFont val="ＭＳ Ｐ明朝"/>
            <family val="1"/>
            <charset val="128"/>
          </rPr>
          <t xml:space="preserve"> (ニュートン微分法)</t>
        </r>
        <r>
          <rPr>
            <b/>
            <sz val="18"/>
            <color indexed="18"/>
            <rFont val="HGPｺﾞｼｯｸE"/>
            <family val="3"/>
            <charset val="128"/>
          </rPr>
          <t xml:space="preserve"> </t>
        </r>
        <r>
          <rPr>
            <b/>
            <sz val="9"/>
            <color indexed="81"/>
            <rFont val="HGPｺﾞｼｯｸE"/>
            <family val="3"/>
            <charset val="128"/>
          </rPr>
          <t xml:space="preserve">
</t>
        </r>
        <r>
          <rPr>
            <sz val="9"/>
            <color indexed="32"/>
            <rFont val="Meiryo UI"/>
            <family val="3"/>
            <charset val="128"/>
          </rPr>
          <t xml:space="preserve">    三次方程式 ｆ(X) をｆ(X)＝AX</t>
        </r>
        <r>
          <rPr>
            <vertAlign val="superscript"/>
            <sz val="11"/>
            <color indexed="32"/>
            <rFont val="Meiryo UI"/>
            <family val="3"/>
            <charset val="128"/>
          </rPr>
          <t>３</t>
        </r>
        <r>
          <rPr>
            <sz val="9"/>
            <color indexed="32"/>
            <rFont val="Meiryo UI"/>
            <family val="3"/>
            <charset val="128"/>
          </rPr>
          <t>+BX</t>
        </r>
        <r>
          <rPr>
            <vertAlign val="superscript"/>
            <sz val="11"/>
            <color indexed="32"/>
            <rFont val="Meiryo UI"/>
            <family val="3"/>
            <charset val="128"/>
          </rPr>
          <t>２</t>
        </r>
        <r>
          <rPr>
            <sz val="9"/>
            <color indexed="32"/>
            <rFont val="Meiryo UI"/>
            <family val="3"/>
            <charset val="128"/>
          </rPr>
          <t>+CX+D (ただし、Ａ≠０) とする</t>
        </r>
        <r>
          <rPr>
            <sz val="12"/>
            <color indexed="32"/>
            <rFont val="Meiryo UI"/>
            <family val="3"/>
            <charset val="128"/>
          </rPr>
          <t xml:space="preserve"> </t>
        </r>
        <r>
          <rPr>
            <sz val="14"/>
            <color indexed="32"/>
            <rFont val="Meiryo UI"/>
            <family val="3"/>
            <charset val="128"/>
          </rPr>
          <t xml:space="preserve">
</t>
        </r>
        <r>
          <rPr>
            <sz val="9"/>
            <color indexed="32"/>
            <rFont val="Meiryo UI"/>
            <family val="3"/>
            <charset val="128"/>
          </rPr>
          <t xml:space="preserve">    と、ｆ(X)＝０ の解、 Xa、Xb、Xc を求めるとき、係数 A、B、C、D を数値入
    力をします。    係数 "Ａ", "Ｂ", "Ｃ", "Ｄ" を入力すると、計算を行います。
　　　ｆ(X)の一次導函数 ｆ’(X)＝０ より、極大値、極小値 (X</t>
        </r>
        <r>
          <rPr>
            <vertAlign val="subscript"/>
            <sz val="11"/>
            <color indexed="32"/>
            <rFont val="Meiryo UI"/>
            <family val="3"/>
            <charset val="128"/>
          </rPr>
          <t>１</t>
        </r>
        <r>
          <rPr>
            <sz val="9"/>
            <color indexed="32"/>
            <rFont val="Meiryo UI"/>
            <family val="3"/>
            <charset val="128"/>
          </rPr>
          <t>、X</t>
        </r>
        <r>
          <rPr>
            <vertAlign val="subscript"/>
            <sz val="11"/>
            <color indexed="32"/>
            <rFont val="Meiryo UI"/>
            <family val="3"/>
            <charset val="128"/>
          </rPr>
          <t>２</t>
        </r>
        <r>
          <rPr>
            <sz val="9"/>
            <color indexed="32"/>
            <rFont val="Meiryo UI"/>
            <family val="3"/>
            <charset val="128"/>
          </rPr>
          <t>) を求め</t>
        </r>
        <r>
          <rPr>
            <sz val="16"/>
            <color indexed="32"/>
            <rFont val="Meiryo UI"/>
            <family val="3"/>
            <charset val="128"/>
          </rPr>
          <t xml:space="preserve"> </t>
        </r>
        <r>
          <rPr>
            <sz val="9"/>
            <color indexed="32"/>
            <rFont val="Meiryo UI"/>
            <family val="3"/>
            <charset val="128"/>
          </rPr>
          <t xml:space="preserve">
      ます。  ここで、ｆ’(X)＝０ の判別式 D＜０ のときは、ABS(Ｄ)で 計算し、
      虚大値、虚小値 (X</t>
        </r>
        <r>
          <rPr>
            <vertAlign val="subscript"/>
            <sz val="9"/>
            <color indexed="32"/>
            <rFont val="Meiryo UI"/>
            <family val="3"/>
            <charset val="128"/>
          </rPr>
          <t>１</t>
        </r>
        <r>
          <rPr>
            <sz val="9"/>
            <color indexed="32"/>
            <rFont val="Meiryo UI"/>
            <family val="3"/>
            <charset val="128"/>
          </rPr>
          <t>、X</t>
        </r>
        <r>
          <rPr>
            <vertAlign val="subscript"/>
            <sz val="9"/>
            <color indexed="32"/>
            <rFont val="Meiryo UI"/>
            <family val="3"/>
            <charset val="128"/>
          </rPr>
          <t>２</t>
        </r>
        <r>
          <rPr>
            <sz val="9"/>
            <color indexed="32"/>
            <rFont val="Meiryo UI"/>
            <family val="3"/>
            <charset val="128"/>
          </rPr>
          <t>) を表示します。</t>
        </r>
        <r>
          <rPr>
            <sz val="9"/>
            <color indexed="12"/>
            <rFont val="Meiryo UI"/>
            <family val="3"/>
            <charset val="128"/>
          </rPr>
          <t xml:space="preserve">
</t>
        </r>
        <r>
          <rPr>
            <sz val="9"/>
            <color indexed="32"/>
            <rFont val="Meiryo UI"/>
            <family val="3"/>
            <charset val="128"/>
          </rPr>
          <t xml:space="preserve">    次に、二次導函数 ｆ”(Ｘ)＝０ より、変曲点 X</t>
        </r>
        <r>
          <rPr>
            <vertAlign val="subscript"/>
            <sz val="10"/>
            <color indexed="32"/>
            <rFont val="Meiryo UI"/>
            <family val="3"/>
            <charset val="128"/>
          </rPr>
          <t>０</t>
        </r>
        <r>
          <rPr>
            <sz val="9"/>
            <color indexed="32"/>
            <rFont val="Meiryo UI"/>
            <family val="3"/>
            <charset val="128"/>
          </rPr>
          <t xml:space="preserve"> を求めます。</t>
        </r>
        <r>
          <rPr>
            <sz val="16"/>
            <color indexed="32"/>
            <rFont val="Meiryo UI"/>
            <family val="3"/>
            <charset val="128"/>
          </rPr>
          <t xml:space="preserve"> </t>
        </r>
        <r>
          <rPr>
            <sz val="9"/>
            <color indexed="32"/>
            <rFont val="Meiryo UI"/>
            <family val="3"/>
            <charset val="128"/>
          </rPr>
          <t xml:space="preserve">
　 　　Xa、Xb、Xc 解計算の 近似初期値を Ａ､ｆ'(X</t>
        </r>
        <r>
          <rPr>
            <vertAlign val="subscript"/>
            <sz val="9"/>
            <color indexed="32"/>
            <rFont val="Meiryo UI"/>
            <family val="3"/>
            <charset val="128"/>
          </rPr>
          <t>１</t>
        </r>
        <r>
          <rPr>
            <sz val="9"/>
            <color indexed="32"/>
            <rFont val="Meiryo UI"/>
            <family val="3"/>
            <charset val="128"/>
          </rPr>
          <t>)､ｆ'(X</t>
        </r>
        <r>
          <rPr>
            <vertAlign val="subscript"/>
            <sz val="9"/>
            <color indexed="32"/>
            <rFont val="Meiryo UI"/>
            <family val="3"/>
            <charset val="128"/>
          </rPr>
          <t>２</t>
        </r>
        <r>
          <rPr>
            <sz val="9"/>
            <color indexed="32"/>
            <rFont val="Meiryo UI"/>
            <family val="3"/>
            <charset val="128"/>
          </rPr>
          <t>)､ｆ"(X</t>
        </r>
        <r>
          <rPr>
            <vertAlign val="subscript"/>
            <sz val="9"/>
            <color indexed="32"/>
            <rFont val="Meiryo UI"/>
            <family val="3"/>
            <charset val="128"/>
          </rPr>
          <t>０</t>
        </r>
        <r>
          <rPr>
            <sz val="9"/>
            <color indexed="32"/>
            <rFont val="Meiryo UI"/>
            <family val="3"/>
            <charset val="128"/>
          </rPr>
          <t>) の 
      "正"・"零"・"負" から判断・決定して 実根解 を計算します。重根の場合は、
      これを表示します。</t>
        </r>
        <r>
          <rPr>
            <sz val="9"/>
            <color indexed="81"/>
            <rFont val="Meiryo UI"/>
            <family val="3"/>
            <charset val="128"/>
          </rPr>
          <t xml:space="preserve">
          </t>
        </r>
        <r>
          <rPr>
            <sz val="8.5"/>
            <color indexed="37"/>
            <rFont val="Meiryo UI"/>
            <family val="3"/>
            <charset val="128"/>
          </rPr>
          <t>実務例：架線弛度計算</t>
        </r>
        <r>
          <rPr>
            <sz val="16"/>
            <color indexed="81"/>
            <rFont val="Meiryo UI"/>
            <family val="3"/>
            <charset val="128"/>
          </rPr>
          <t xml:space="preserve"> </t>
        </r>
        <r>
          <rPr>
            <b/>
            <sz val="9"/>
            <color indexed="81"/>
            <rFont val="HGPｺﾞｼｯｸE"/>
            <family val="3"/>
            <charset val="128"/>
          </rPr>
          <t xml:space="preserve">
　　　　　　　　　　　　　　　　　　　　　　</t>
        </r>
        <r>
          <rPr>
            <b/>
            <sz val="9"/>
            <color indexed="81"/>
            <rFont val="Meiryo UI"/>
            <family val="3"/>
            <charset val="128"/>
          </rPr>
          <t xml:space="preserve">           </t>
        </r>
        <r>
          <rPr>
            <b/>
            <sz val="9"/>
            <color indexed="81"/>
            <rFont val="HGPｺﾞｼｯｸE"/>
            <family val="3"/>
            <charset val="128"/>
          </rPr>
          <t>　　</t>
        </r>
        <r>
          <rPr>
            <b/>
            <sz val="9"/>
            <color indexed="18"/>
            <rFont val="Times New Roman"/>
            <family val="1"/>
          </rPr>
          <t xml:space="preserve">2010. 03. 22   </t>
        </r>
        <r>
          <rPr>
            <b/>
            <i/>
            <sz val="9"/>
            <color indexed="18"/>
            <rFont val="Times New Roman"/>
            <family val="1"/>
          </rPr>
          <t xml:space="preserve">ESE  Service
 </t>
        </r>
      </text>
    </comment>
  </commentList>
</comments>
</file>

<file path=xl/sharedStrings.xml><?xml version="1.0" encoding="utf-8"?>
<sst xmlns="http://schemas.openxmlformats.org/spreadsheetml/2006/main" count="11973" uniqueCount="2260">
  <si>
    <t>一般</t>
    <rPh sb="0" eb="2">
      <t>イッパン</t>
    </rPh>
    <phoneticPr fontId="1"/>
  </si>
  <si>
    <t>専用</t>
    <rPh sb="0" eb="2">
      <t>センヨウ</t>
    </rPh>
    <phoneticPr fontId="1"/>
  </si>
  <si>
    <t>▼</t>
    <phoneticPr fontId="1"/>
  </si>
  <si>
    <t>修正</t>
    <rPh sb="0" eb="2">
      <t>シュウセイ</t>
    </rPh>
    <phoneticPr fontId="1"/>
  </si>
  <si>
    <t>階
名称</t>
    <rPh sb="0" eb="1">
      <t>カイ</t>
    </rPh>
    <rPh sb="2" eb="4">
      <t>メイショウ</t>
    </rPh>
    <phoneticPr fontId="1"/>
  </si>
  <si>
    <t>天井高</t>
    <rPh sb="0" eb="2">
      <t>テンジョウ</t>
    </rPh>
    <rPh sb="2" eb="3">
      <t>タカ</t>
    </rPh>
    <phoneticPr fontId="1"/>
  </si>
  <si>
    <t>床面積</t>
    <rPh sb="0" eb="1">
      <t>ユカ</t>
    </rPh>
    <rPh sb="1" eb="3">
      <t>メンセキ</t>
    </rPh>
    <phoneticPr fontId="1"/>
  </si>
  <si>
    <t>専用部</t>
    <rPh sb="0" eb="2">
      <t>センヨウ</t>
    </rPh>
    <rPh sb="2" eb="3">
      <t>ブ</t>
    </rPh>
    <phoneticPr fontId="1"/>
  </si>
  <si>
    <t>共用部</t>
    <rPh sb="0" eb="2">
      <t>キョウヨウ</t>
    </rPh>
    <rPh sb="2" eb="3">
      <t>ブ</t>
    </rPh>
    <phoneticPr fontId="1"/>
  </si>
  <si>
    <t>室数</t>
    <rPh sb="0" eb="1">
      <t>シツ</t>
    </rPh>
    <rPh sb="1" eb="2">
      <t>スウ</t>
    </rPh>
    <phoneticPr fontId="1"/>
  </si>
  <si>
    <t>非常</t>
    <rPh sb="0" eb="2">
      <t>ヒジョウ</t>
    </rPh>
    <phoneticPr fontId="1"/>
  </si>
  <si>
    <t>標準</t>
    <rPh sb="0" eb="2">
      <t>ヒョウジュン</t>
    </rPh>
    <phoneticPr fontId="1"/>
  </si>
  <si>
    <t>感知器</t>
    <rPh sb="0" eb="3">
      <t>カンチキ</t>
    </rPh>
    <phoneticPr fontId="1"/>
  </si>
  <si>
    <t>Help</t>
  </si>
  <si>
    <t>数量</t>
    <rPh sb="0" eb="2">
      <t>スウリョウ</t>
    </rPh>
    <phoneticPr fontId="1"/>
  </si>
  <si>
    <t>呼称</t>
    <rPh sb="0" eb="2">
      <t>コショウ</t>
    </rPh>
    <phoneticPr fontId="1"/>
  </si>
  <si>
    <t>階</t>
    <rPh sb="0" eb="1">
      <t>カイ</t>
    </rPh>
    <phoneticPr fontId="1"/>
  </si>
  <si>
    <t>[m]</t>
    <phoneticPr fontId="1"/>
  </si>
  <si>
    <t>非常照明</t>
    <rPh sb="0" eb="2">
      <t>ヒジョウ</t>
    </rPh>
    <rPh sb="2" eb="4">
      <t>ショウメイ</t>
    </rPh>
    <phoneticPr fontId="1"/>
  </si>
  <si>
    <t>戻 る</t>
    <rPh sb="0" eb="1">
      <t>モド</t>
    </rPh>
    <phoneticPr fontId="1"/>
  </si>
  <si>
    <t>建物形状</t>
    <rPh sb="0" eb="2">
      <t>タテモノ</t>
    </rPh>
    <rPh sb="2" eb="4">
      <t>ケイジョウ</t>
    </rPh>
    <phoneticPr fontId="1"/>
  </si>
  <si>
    <t/>
  </si>
  <si>
    <t>階高</t>
    <rPh sb="0" eb="1">
      <t>カイ</t>
    </rPh>
    <rPh sb="1" eb="2">
      <t>タカ</t>
    </rPh>
    <phoneticPr fontId="1"/>
  </si>
  <si>
    <t>情報端子盤リスト</t>
    <rPh sb="0" eb="2">
      <t>ジョウホウ</t>
    </rPh>
    <rPh sb="2" eb="5">
      <t>タンシバン</t>
    </rPh>
    <phoneticPr fontId="1"/>
  </si>
  <si>
    <t>E-75mm</t>
    <phoneticPr fontId="1"/>
  </si>
  <si>
    <t>E-63mm</t>
    <phoneticPr fontId="1"/>
  </si>
  <si>
    <t>E-51mm</t>
    <phoneticPr fontId="1"/>
  </si>
  <si>
    <t>E-51mm</t>
    <phoneticPr fontId="1"/>
  </si>
  <si>
    <t>E-39mm</t>
    <phoneticPr fontId="1"/>
  </si>
  <si>
    <t>E-31mm</t>
    <phoneticPr fontId="1"/>
  </si>
  <si>
    <t>E-25mm</t>
    <phoneticPr fontId="1"/>
  </si>
  <si>
    <t>E-19mm</t>
    <phoneticPr fontId="1"/>
  </si>
  <si>
    <t>C-75mm</t>
    <phoneticPr fontId="1"/>
  </si>
  <si>
    <t>C-63mm</t>
    <phoneticPr fontId="1"/>
  </si>
  <si>
    <t>▼</t>
    <phoneticPr fontId="1"/>
  </si>
  <si>
    <t>C-51mm</t>
    <phoneticPr fontId="1"/>
  </si>
  <si>
    <t>C-39mm</t>
    <phoneticPr fontId="1"/>
  </si>
  <si>
    <t>C-31mm</t>
    <phoneticPr fontId="1"/>
  </si>
  <si>
    <t>C-25mm</t>
    <phoneticPr fontId="1"/>
  </si>
  <si>
    <t>C-19mm</t>
    <phoneticPr fontId="1"/>
  </si>
  <si>
    <t>G-70mm</t>
    <phoneticPr fontId="1"/>
  </si>
  <si>
    <t>G-54mm</t>
    <phoneticPr fontId="1"/>
  </si>
  <si>
    <t>G-16mm</t>
    <phoneticPr fontId="1"/>
  </si>
  <si>
    <t>電工数</t>
    <rPh sb="0" eb="2">
      <t>デンコウ</t>
    </rPh>
    <rPh sb="2" eb="3">
      <t>スウ</t>
    </rPh>
    <phoneticPr fontId="1"/>
  </si>
  <si>
    <t>歩掛(人)</t>
    <rPh sb="0" eb="1">
      <t>ホ</t>
    </rPh>
    <rPh sb="1" eb="2">
      <t>カカリ</t>
    </rPh>
    <rPh sb="3" eb="4">
      <t>ジン</t>
    </rPh>
    <phoneticPr fontId="1"/>
  </si>
  <si>
    <t>F-FEP- 80mm</t>
    <phoneticPr fontId="1"/>
  </si>
  <si>
    <t>F-FEP- 65mm</t>
    <phoneticPr fontId="1"/>
  </si>
  <si>
    <t>KK 1000×1000×1200</t>
    <phoneticPr fontId="1"/>
  </si>
  <si>
    <t>F-FEP- 50mm</t>
    <phoneticPr fontId="1"/>
  </si>
  <si>
    <t>KK 1000×1000×900</t>
    <phoneticPr fontId="1"/>
  </si>
  <si>
    <t>FEP-200mm</t>
    <phoneticPr fontId="1"/>
  </si>
  <si>
    <t>KK 900×900×1200</t>
    <phoneticPr fontId="1"/>
  </si>
  <si>
    <t>FEP-150mm</t>
    <phoneticPr fontId="1"/>
  </si>
  <si>
    <t>KK 800×800×1500</t>
    <phoneticPr fontId="1"/>
  </si>
  <si>
    <t>FEP-125mm</t>
    <phoneticPr fontId="1"/>
  </si>
  <si>
    <t>KK 800×800×1200</t>
    <phoneticPr fontId="1"/>
  </si>
  <si>
    <t>FEP-100mm</t>
    <phoneticPr fontId="1"/>
  </si>
  <si>
    <t>KK 800×800×900</t>
    <phoneticPr fontId="1"/>
  </si>
  <si>
    <t>FEP- 80mm</t>
    <phoneticPr fontId="1"/>
  </si>
  <si>
    <t>KK 750×750×1500</t>
    <phoneticPr fontId="1"/>
  </si>
  <si>
    <t>FEP- 65mm</t>
    <phoneticPr fontId="1"/>
  </si>
  <si>
    <t>KK 750×750×1200</t>
    <phoneticPr fontId="1"/>
  </si>
  <si>
    <t>FEP- 50mm</t>
    <phoneticPr fontId="1"/>
  </si>
  <si>
    <t>KK 750×750×900</t>
    <phoneticPr fontId="1"/>
  </si>
  <si>
    <t>FEP- 40mm</t>
    <phoneticPr fontId="1"/>
  </si>
  <si>
    <t>KK 600×600×1200</t>
    <phoneticPr fontId="1"/>
  </si>
  <si>
    <t>FEP- 30mm</t>
    <phoneticPr fontId="1"/>
  </si>
  <si>
    <t>KK 600×600×700</t>
    <phoneticPr fontId="1"/>
  </si>
  <si>
    <t>▼</t>
    <phoneticPr fontId="1"/>
  </si>
  <si>
    <t>SumIF</t>
    <phoneticPr fontId="1"/>
  </si>
  <si>
    <t>CountIF</t>
    <phoneticPr fontId="1"/>
  </si>
  <si>
    <t>Y</t>
    <phoneticPr fontId="1"/>
  </si>
  <si>
    <t>Y/2</t>
    <phoneticPr fontId="1"/>
  </si>
  <si>
    <t>X/2</t>
    <phoneticPr fontId="1"/>
  </si>
  <si>
    <t>－</t>
    <phoneticPr fontId="1"/>
  </si>
  <si>
    <t>－</t>
    <phoneticPr fontId="1"/>
  </si>
  <si>
    <t>C</t>
    <phoneticPr fontId="1"/>
  </si>
  <si>
    <t>Y</t>
    <phoneticPr fontId="1"/>
  </si>
  <si>
    <t>X</t>
    <phoneticPr fontId="1"/>
  </si>
  <si>
    <t>X</t>
    <phoneticPr fontId="1"/>
  </si>
  <si>
    <t>C</t>
    <phoneticPr fontId="1"/>
  </si>
  <si>
    <t>C</t>
    <phoneticPr fontId="1"/>
  </si>
  <si>
    <t>引込点</t>
    <rPh sb="0" eb="2">
      <t>ヒキコミ</t>
    </rPh>
    <rPh sb="2" eb="3">
      <t>テン</t>
    </rPh>
    <phoneticPr fontId="1"/>
  </si>
  <si>
    <t>A</t>
    <phoneticPr fontId="1"/>
  </si>
  <si>
    <t>Help</t>
    <phoneticPr fontId="1"/>
  </si>
  <si>
    <t>TopPage</t>
    <phoneticPr fontId="1"/>
  </si>
  <si>
    <t>▼</t>
    <phoneticPr fontId="1"/>
  </si>
  <si>
    <t>計</t>
    <rPh sb="0" eb="1">
      <t>ケイ</t>
    </rPh>
    <phoneticPr fontId="1"/>
  </si>
  <si>
    <t>Top</t>
    <phoneticPr fontId="1"/>
  </si>
  <si>
    <t>電工</t>
    <rPh sb="0" eb="2">
      <t>デンコウ</t>
    </rPh>
    <phoneticPr fontId="1"/>
  </si>
  <si>
    <t>台数</t>
    <rPh sb="0" eb="2">
      <t>ダイスウ</t>
    </rPh>
    <phoneticPr fontId="1"/>
  </si>
  <si>
    <t>集計表</t>
    <rPh sb="0" eb="1">
      <t>シュウ</t>
    </rPh>
    <rPh sb="1" eb="2">
      <t>ケイ</t>
    </rPh>
    <rPh sb="2" eb="3">
      <t>ヒョウ</t>
    </rPh>
    <phoneticPr fontId="1"/>
  </si>
  <si>
    <t>数　　量</t>
    <rPh sb="0" eb="1">
      <t>スウ</t>
    </rPh>
    <rPh sb="3" eb="4">
      <t>リョウ</t>
    </rPh>
    <phoneticPr fontId="1"/>
  </si>
  <si>
    <t>材 料 名 称</t>
    <rPh sb="0" eb="1">
      <t>ザイ</t>
    </rPh>
    <rPh sb="2" eb="3">
      <t>リョウ</t>
    </rPh>
    <rPh sb="4" eb="5">
      <t>ナ</t>
    </rPh>
    <rPh sb="6" eb="7">
      <t>ショウ</t>
    </rPh>
    <phoneticPr fontId="1"/>
  </si>
  <si>
    <t>歩掛り</t>
    <rPh sb="0" eb="2">
      <t>ブガカ</t>
    </rPh>
    <phoneticPr fontId="1"/>
  </si>
  <si>
    <t>設置階</t>
    <rPh sb="0" eb="2">
      <t>セッチ</t>
    </rPh>
    <rPh sb="2" eb="3">
      <t>カイ</t>
    </rPh>
    <phoneticPr fontId="1"/>
  </si>
  <si>
    <t>---</t>
    <phoneticPr fontId="1"/>
  </si>
  <si>
    <t>面</t>
    <rPh sb="0" eb="1">
      <t>メン</t>
    </rPh>
    <phoneticPr fontId="1"/>
  </si>
  <si>
    <t>---</t>
    <phoneticPr fontId="1"/>
  </si>
  <si>
    <t>CVT</t>
  </si>
  <si>
    <t>Y/2</t>
    <phoneticPr fontId="1"/>
  </si>
  <si>
    <t>X/2</t>
    <phoneticPr fontId="1"/>
  </si>
  <si>
    <t>▼</t>
    <phoneticPr fontId="1"/>
  </si>
  <si>
    <t>▼</t>
    <phoneticPr fontId="1"/>
  </si>
  <si>
    <t>配管工事</t>
    <rPh sb="0" eb="2">
      <t>ハイカン</t>
    </rPh>
    <rPh sb="2" eb="4">
      <t>コウジ</t>
    </rPh>
    <phoneticPr fontId="1"/>
  </si>
  <si>
    <t>配線工事</t>
    <rPh sb="0" eb="2">
      <t>ハイセン</t>
    </rPh>
    <rPh sb="2" eb="4">
      <t>コウジ</t>
    </rPh>
    <phoneticPr fontId="1"/>
  </si>
  <si>
    <t>▼</t>
    <phoneticPr fontId="1"/>
  </si>
  <si>
    <t>集 計 表</t>
    <rPh sb="0" eb="1">
      <t>シュウ</t>
    </rPh>
    <rPh sb="2" eb="3">
      <t>ケイ</t>
    </rPh>
    <rPh sb="4" eb="5">
      <t>ヒョウ</t>
    </rPh>
    <phoneticPr fontId="1"/>
  </si>
  <si>
    <t>SumIF</t>
    <phoneticPr fontId="1"/>
  </si>
  <si>
    <t>CountIF</t>
    <phoneticPr fontId="1"/>
  </si>
  <si>
    <t>(共)</t>
    <rPh sb="1" eb="2">
      <t>トモ</t>
    </rPh>
    <phoneticPr fontId="1"/>
  </si>
  <si>
    <t>(専)</t>
    <rPh sb="1" eb="2">
      <t>セン</t>
    </rPh>
    <phoneticPr fontId="1"/>
  </si>
  <si>
    <t>消法令別表</t>
    <rPh sb="0" eb="1">
      <t>ショウ</t>
    </rPh>
    <rPh sb="1" eb="3">
      <t>ホウレイ</t>
    </rPh>
    <rPh sb="3" eb="5">
      <t>ベッピョウ</t>
    </rPh>
    <phoneticPr fontId="1"/>
  </si>
  <si>
    <t>[m]</t>
    <phoneticPr fontId="1"/>
  </si>
  <si>
    <t>---</t>
    <phoneticPr fontId="1"/>
  </si>
  <si>
    <t>(共)</t>
    <rPh sb="1" eb="2">
      <t>キョウ</t>
    </rPh>
    <phoneticPr fontId="1"/>
  </si>
  <si>
    <t>天井ケーブル</t>
    <rPh sb="0" eb="2">
      <t>テンジョウ</t>
    </rPh>
    <phoneticPr fontId="1"/>
  </si>
  <si>
    <t>歩掛</t>
    <rPh sb="0" eb="1">
      <t>ホ</t>
    </rPh>
    <rPh sb="1" eb="2">
      <t>カカリ</t>
    </rPh>
    <phoneticPr fontId="1"/>
  </si>
  <si>
    <t>金　　額 (円)</t>
    <rPh sb="0" eb="1">
      <t>キン</t>
    </rPh>
    <rPh sb="3" eb="4">
      <t>ガク</t>
    </rPh>
    <rPh sb="6" eb="7">
      <t>エン</t>
    </rPh>
    <phoneticPr fontId="1"/>
  </si>
  <si>
    <t>単 価(円)</t>
    <rPh sb="0" eb="1">
      <t>タン</t>
    </rPh>
    <rPh sb="2" eb="3">
      <t>アタイ</t>
    </rPh>
    <rPh sb="4" eb="5">
      <t>エン</t>
    </rPh>
    <phoneticPr fontId="1"/>
  </si>
  <si>
    <t>VV-F 2.0mm-3C</t>
    <phoneticPr fontId="1"/>
  </si>
  <si>
    <t>梁巻</t>
    <rPh sb="0" eb="1">
      <t>ハリ</t>
    </rPh>
    <rPh sb="1" eb="2">
      <t>マキ</t>
    </rPh>
    <phoneticPr fontId="1"/>
  </si>
  <si>
    <t>VV-F 1.6mm-2C</t>
    <phoneticPr fontId="1"/>
  </si>
  <si>
    <t>配管-垂直距離</t>
    <rPh sb="0" eb="2">
      <t>ハイカン</t>
    </rPh>
    <rPh sb="3" eb="5">
      <t>スイチョク</t>
    </rPh>
    <rPh sb="5" eb="7">
      <t>キョリ</t>
    </rPh>
    <phoneticPr fontId="1"/>
  </si>
  <si>
    <t>配管-平面距離</t>
    <rPh sb="0" eb="2">
      <t>ハイカン</t>
    </rPh>
    <rPh sb="3" eb="5">
      <t>ヘイメン</t>
    </rPh>
    <rPh sb="5" eb="7">
      <t>キョリ</t>
    </rPh>
    <phoneticPr fontId="1"/>
  </si>
  <si>
    <t>配線-垂直距離</t>
    <rPh sb="0" eb="2">
      <t>ハイセン</t>
    </rPh>
    <rPh sb="3" eb="5">
      <t>スイチョク</t>
    </rPh>
    <rPh sb="5" eb="7">
      <t>キョリ</t>
    </rPh>
    <phoneticPr fontId="1"/>
  </si>
  <si>
    <t>配線-平面距離</t>
    <rPh sb="0" eb="2">
      <t>ハイセン</t>
    </rPh>
    <rPh sb="3" eb="5">
      <t>ヘイメン</t>
    </rPh>
    <rPh sb="5" eb="7">
      <t>キョリ</t>
    </rPh>
    <phoneticPr fontId="1"/>
  </si>
  <si>
    <t>照明</t>
    <rPh sb="0" eb="2">
      <t>ショウメイ</t>
    </rPh>
    <phoneticPr fontId="1"/>
  </si>
  <si>
    <r>
      <t>[m</t>
    </r>
    <r>
      <rPr>
        <vertAlign val="superscript"/>
        <sz val="9"/>
        <color theme="1"/>
        <rFont val="Meiryo UI"/>
        <family val="3"/>
        <charset val="128"/>
      </rPr>
      <t>2</t>
    </r>
    <r>
      <rPr>
        <sz val="9"/>
        <color theme="1"/>
        <rFont val="Meiryo UI"/>
        <family val="3"/>
        <charset val="128"/>
      </rPr>
      <t>]</t>
    </r>
  </si>
  <si>
    <t>器具</t>
    <rPh sb="0" eb="2">
      <t>キグ</t>
    </rPh>
    <phoneticPr fontId="1"/>
  </si>
  <si>
    <t>回　路　数</t>
    <rPh sb="0" eb="1">
      <t>カイ</t>
    </rPh>
    <rPh sb="2" eb="3">
      <t>ロ</t>
    </rPh>
    <rPh sb="4" eb="5">
      <t>スウ</t>
    </rPh>
    <phoneticPr fontId="1"/>
  </si>
  <si>
    <t>床 面 積</t>
    <phoneticPr fontId="1"/>
  </si>
  <si>
    <t>天高</t>
    <rPh sb="0" eb="1">
      <t>テン</t>
    </rPh>
    <rPh sb="1" eb="2">
      <t>タカ</t>
    </rPh>
    <phoneticPr fontId="1"/>
  </si>
  <si>
    <t>床 面 積</t>
    <phoneticPr fontId="1"/>
  </si>
  <si>
    <t>▼</t>
    <phoneticPr fontId="1"/>
  </si>
  <si>
    <t>施工方法</t>
    <rPh sb="0" eb="2">
      <t>セコウ</t>
    </rPh>
    <rPh sb="2" eb="4">
      <t>ホウホウ</t>
    </rPh>
    <phoneticPr fontId="1"/>
  </si>
  <si>
    <t>照明器具</t>
    <rPh sb="0" eb="2">
      <t>ショウメイ</t>
    </rPh>
    <rPh sb="2" eb="4">
      <t>キグ</t>
    </rPh>
    <phoneticPr fontId="1"/>
  </si>
  <si>
    <t>分電盤内</t>
    <rPh sb="0" eb="3">
      <t>ブン</t>
    </rPh>
    <rPh sb="3" eb="4">
      <t>ナイ</t>
    </rPh>
    <phoneticPr fontId="1"/>
  </si>
  <si>
    <t>分電盤の下端</t>
    <rPh sb="0" eb="3">
      <t>ブン</t>
    </rPh>
    <rPh sb="4" eb="6">
      <t>シタバ</t>
    </rPh>
    <phoneticPr fontId="1"/>
  </si>
  <si>
    <t>修正</t>
    <phoneticPr fontId="1"/>
  </si>
  <si>
    <t>梁間隔</t>
    <rPh sb="0" eb="1">
      <t>ハリ</t>
    </rPh>
    <rPh sb="1" eb="3">
      <t>カンカク</t>
    </rPh>
    <phoneticPr fontId="1"/>
  </si>
  <si>
    <t>分電盤の上端</t>
    <rPh sb="0" eb="3">
      <t>ブン</t>
    </rPh>
    <rPh sb="4" eb="6">
      <t>ウワバ</t>
    </rPh>
    <phoneticPr fontId="1"/>
  </si>
  <si>
    <t>梁成</t>
    <rPh sb="0" eb="2">
      <t>ハリセイ</t>
    </rPh>
    <phoneticPr fontId="1"/>
  </si>
  <si>
    <t>FP 8sq-3C</t>
    <phoneticPr fontId="1"/>
  </si>
  <si>
    <t>FP 5.5sq-3C</t>
    <phoneticPr fontId="1"/>
  </si>
  <si>
    <t>FP 3.5sq-3C</t>
    <phoneticPr fontId="1"/>
  </si>
  <si>
    <t>FP 2sq-3C</t>
    <phoneticPr fontId="1"/>
  </si>
  <si>
    <t>FP 2.6mm-3C</t>
    <phoneticPr fontId="1"/>
  </si>
  <si>
    <t>FP 2.0mm-3C</t>
    <phoneticPr fontId="1"/>
  </si>
  <si>
    <t>FP 1.6mm-3C</t>
    <phoneticPr fontId="1"/>
  </si>
  <si>
    <t>FP 1.2mm-3C</t>
    <phoneticPr fontId="1"/>
  </si>
  <si>
    <t>FP 8sq-2C</t>
    <phoneticPr fontId="1"/>
  </si>
  <si>
    <t>FP 5.5sq-2C</t>
    <phoneticPr fontId="1"/>
  </si>
  <si>
    <t>FP 3.5sq-2C</t>
    <phoneticPr fontId="1"/>
  </si>
  <si>
    <t>FP 2sq-2C</t>
    <phoneticPr fontId="1"/>
  </si>
  <si>
    <t>FP 2.6mm-2C</t>
    <phoneticPr fontId="1"/>
  </si>
  <si>
    <t>FP 2.0mm-2C</t>
    <phoneticPr fontId="1"/>
  </si>
  <si>
    <t>FP 1.6mm-2C</t>
    <phoneticPr fontId="1"/>
  </si>
  <si>
    <t>FP 1.2mm-2C</t>
    <phoneticPr fontId="1"/>
  </si>
  <si>
    <t>CE  8sq-3C</t>
    <phoneticPr fontId="1"/>
  </si>
  <si>
    <t>CE5.5sq-3C</t>
    <phoneticPr fontId="1"/>
  </si>
  <si>
    <t>CE3.5sq-3C</t>
    <phoneticPr fontId="1"/>
  </si>
  <si>
    <t>CE  2sq-3C</t>
    <phoneticPr fontId="1"/>
  </si>
  <si>
    <t>CE 8sq-2C</t>
    <phoneticPr fontId="1"/>
  </si>
  <si>
    <t>CE 5.5sq-2C</t>
    <phoneticPr fontId="1"/>
  </si>
  <si>
    <t>CE 3.5sq-2C</t>
    <phoneticPr fontId="1"/>
  </si>
  <si>
    <t>CE 2sq-2C</t>
    <phoneticPr fontId="1"/>
  </si>
  <si>
    <t>CV  8sq-3C</t>
    <phoneticPr fontId="1"/>
  </si>
  <si>
    <t>CV5.5sq-3C</t>
    <phoneticPr fontId="1"/>
  </si>
  <si>
    <t>CV3.5sq-3C</t>
    <phoneticPr fontId="1"/>
  </si>
  <si>
    <t>CV  2sq-3C</t>
    <phoneticPr fontId="1"/>
  </si>
  <si>
    <t>CV 8sq-2C</t>
    <phoneticPr fontId="1"/>
  </si>
  <si>
    <t>CV 5.5sq-2C</t>
    <phoneticPr fontId="1"/>
  </si>
  <si>
    <t>CV 3.5sq-2C</t>
    <phoneticPr fontId="1"/>
  </si>
  <si>
    <t>CV 2sq-2C</t>
    <phoneticPr fontId="1"/>
  </si>
  <si>
    <t>EE-F 2.6mm-3C</t>
    <phoneticPr fontId="1"/>
  </si>
  <si>
    <t>EE-F 2.0mm-3C</t>
    <phoneticPr fontId="1"/>
  </si>
  <si>
    <t>EE-F 1.6mm-3C</t>
    <phoneticPr fontId="1"/>
  </si>
  <si>
    <t>EE-F 2.6mm-2C</t>
    <phoneticPr fontId="1"/>
  </si>
  <si>
    <t>EE-F 2.0mm-2C</t>
    <phoneticPr fontId="1"/>
  </si>
  <si>
    <t>EE-F 1.6mm-2C</t>
    <phoneticPr fontId="1"/>
  </si>
  <si>
    <t>VV-F 2.0mm-4C</t>
    <phoneticPr fontId="1"/>
  </si>
  <si>
    <t>誘:天井(G管)</t>
    <rPh sb="2" eb="4">
      <t>テンジョウ</t>
    </rPh>
    <rPh sb="6" eb="7">
      <t>カン</t>
    </rPh>
    <phoneticPr fontId="1"/>
  </si>
  <si>
    <t>VV-F 1.6mm-4C</t>
    <phoneticPr fontId="1"/>
  </si>
  <si>
    <t>誘:天井(C管)</t>
    <rPh sb="0" eb="1">
      <t>ユウ</t>
    </rPh>
    <rPh sb="2" eb="4">
      <t>テンジョウ</t>
    </rPh>
    <rPh sb="6" eb="7">
      <t>カン</t>
    </rPh>
    <phoneticPr fontId="1"/>
  </si>
  <si>
    <t>VV-F 2.6mm-3C</t>
    <phoneticPr fontId="1"/>
  </si>
  <si>
    <t>誘:天井(PF管)</t>
    <rPh sb="2" eb="4">
      <t>テンジョウ</t>
    </rPh>
    <rPh sb="7" eb="8">
      <t>カン</t>
    </rPh>
    <phoneticPr fontId="1"/>
  </si>
  <si>
    <t>誘::天井ケーブル</t>
    <rPh sb="0" eb="1">
      <t>ユウ</t>
    </rPh>
    <rPh sb="3" eb="5">
      <t>テンジョウ</t>
    </rPh>
    <phoneticPr fontId="1"/>
  </si>
  <si>
    <t>VV-F 1.6mm-3C</t>
    <phoneticPr fontId="1"/>
  </si>
  <si>
    <t>非:天井(G管)</t>
    <rPh sb="2" eb="4">
      <t>テンジョウ</t>
    </rPh>
    <rPh sb="6" eb="7">
      <t>カン</t>
    </rPh>
    <phoneticPr fontId="1"/>
  </si>
  <si>
    <t>VV-F 2.6mm-2C</t>
    <phoneticPr fontId="1"/>
  </si>
  <si>
    <t>非:天井(C管)</t>
    <rPh sb="2" eb="4">
      <t>テンジョウ</t>
    </rPh>
    <rPh sb="6" eb="7">
      <t>カン</t>
    </rPh>
    <phoneticPr fontId="1"/>
  </si>
  <si>
    <t>VV-F 2.0mm-2C</t>
    <phoneticPr fontId="1"/>
  </si>
  <si>
    <t>非:天井(PF管)</t>
    <rPh sb="2" eb="4">
      <t>テンジョウ</t>
    </rPh>
    <rPh sb="7" eb="8">
      <t>カン</t>
    </rPh>
    <phoneticPr fontId="1"/>
  </si>
  <si>
    <t>非:天井ケーブル</t>
    <rPh sb="0" eb="1">
      <t>ヒ</t>
    </rPh>
    <rPh sb="2" eb="4">
      <t>テンジョウ</t>
    </rPh>
    <phoneticPr fontId="1"/>
  </si>
  <si>
    <t>SUM</t>
    <phoneticPr fontId="1"/>
  </si>
  <si>
    <t>Var</t>
    <phoneticPr fontId="1"/>
  </si>
  <si>
    <t>W</t>
    <phoneticPr fontId="1"/>
  </si>
  <si>
    <t>誘～</t>
    <rPh sb="0" eb="1">
      <t>ユウ</t>
    </rPh>
    <phoneticPr fontId="1"/>
  </si>
  <si>
    <t>誘1</t>
    <rPh sb="0" eb="1">
      <t>ユウ</t>
    </rPh>
    <phoneticPr fontId="1"/>
  </si>
  <si>
    <t>誘台</t>
    <rPh sb="0" eb="1">
      <t>ユウ</t>
    </rPh>
    <rPh sb="1" eb="2">
      <t>ダイ</t>
    </rPh>
    <phoneticPr fontId="1"/>
  </si>
  <si>
    <t>▼</t>
    <phoneticPr fontId="1"/>
  </si>
  <si>
    <t>非共</t>
    <rPh sb="0" eb="1">
      <t>ヒ</t>
    </rPh>
    <rPh sb="1" eb="2">
      <t>キョウ</t>
    </rPh>
    <phoneticPr fontId="1"/>
  </si>
  <si>
    <t>共～</t>
    <rPh sb="0" eb="1">
      <t>キョウ</t>
    </rPh>
    <phoneticPr fontId="1"/>
  </si>
  <si>
    <t>非専</t>
    <rPh sb="0" eb="1">
      <t>ヒ</t>
    </rPh>
    <rPh sb="1" eb="2">
      <t>セン</t>
    </rPh>
    <phoneticPr fontId="1"/>
  </si>
  <si>
    <t>専～</t>
    <rPh sb="0" eb="1">
      <t>セン</t>
    </rPh>
    <phoneticPr fontId="1"/>
  </si>
  <si>
    <t>Var</t>
    <phoneticPr fontId="1"/>
  </si>
  <si>
    <t>W</t>
    <phoneticPr fontId="1"/>
  </si>
  <si>
    <t>VA</t>
    <phoneticPr fontId="1"/>
  </si>
  <si>
    <t>Y/2</t>
    <phoneticPr fontId="1"/>
  </si>
  <si>
    <t>X/2</t>
    <phoneticPr fontId="1"/>
  </si>
  <si>
    <t>▼</t>
    <phoneticPr fontId="1"/>
  </si>
  <si>
    <t>誘 導 灯</t>
    <rPh sb="0" eb="1">
      <t>ユウ</t>
    </rPh>
    <rPh sb="2" eb="3">
      <t>シルベ</t>
    </rPh>
    <rPh sb="4" eb="5">
      <t>トウ</t>
    </rPh>
    <phoneticPr fontId="1"/>
  </si>
  <si>
    <t>分電盤 の 位置</t>
    <phoneticPr fontId="1"/>
  </si>
  <si>
    <t>建物形状係数</t>
    <rPh sb="4" eb="6">
      <t>ケイスウ</t>
    </rPh>
    <phoneticPr fontId="1"/>
  </si>
  <si>
    <t>非常照明(共用部)</t>
    <rPh sb="5" eb="7">
      <t>キョウヨウ</t>
    </rPh>
    <phoneticPr fontId="1"/>
  </si>
  <si>
    <t>非常照明(専用部)</t>
    <phoneticPr fontId="1"/>
  </si>
  <si>
    <t>建物形状</t>
    <phoneticPr fontId="1"/>
  </si>
  <si>
    <t>[m]</t>
    <phoneticPr fontId="1"/>
  </si>
  <si>
    <t>誘導灯器具</t>
    <rPh sb="0" eb="3">
      <t>ユウドウトウ</t>
    </rPh>
    <rPh sb="3" eb="5">
      <t>キグ</t>
    </rPh>
    <phoneticPr fontId="1"/>
  </si>
  <si>
    <t>誘導灯</t>
    <rPh sb="0" eb="2">
      <t>ユウドウ</t>
    </rPh>
    <rPh sb="2" eb="3">
      <t>トウ</t>
    </rPh>
    <phoneticPr fontId="1"/>
  </si>
  <si>
    <t>台数
修正</t>
    <rPh sb="0" eb="2">
      <t>ダイスウ</t>
    </rPh>
    <phoneticPr fontId="1"/>
  </si>
  <si>
    <t>器具
台数</t>
    <rPh sb="0" eb="2">
      <t>キグ</t>
    </rPh>
    <phoneticPr fontId="1"/>
  </si>
  <si>
    <t>床 面 積</t>
    <phoneticPr fontId="1"/>
  </si>
  <si>
    <t>床 面 積</t>
    <phoneticPr fontId="1"/>
  </si>
  <si>
    <t>Var</t>
    <phoneticPr fontId="1"/>
  </si>
  <si>
    <t>W</t>
    <phoneticPr fontId="1"/>
  </si>
  <si>
    <t>VA</t>
    <phoneticPr fontId="1"/>
  </si>
  <si>
    <t>Y/2</t>
    <phoneticPr fontId="1"/>
  </si>
  <si>
    <t>X/2</t>
    <phoneticPr fontId="1"/>
  </si>
  <si>
    <t>分電盤 の 位置</t>
    <phoneticPr fontId="1"/>
  </si>
  <si>
    <t>非常照明(専用部)</t>
    <phoneticPr fontId="1"/>
  </si>
  <si>
    <t>建物形状</t>
    <phoneticPr fontId="1"/>
  </si>
  <si>
    <t>SumIF</t>
    <phoneticPr fontId="1"/>
  </si>
  <si>
    <t>CountIF</t>
    <phoneticPr fontId="1"/>
  </si>
  <si>
    <t>[m]</t>
    <phoneticPr fontId="1"/>
  </si>
  <si>
    <t>床 面 積</t>
    <phoneticPr fontId="1"/>
  </si>
  <si>
    <t>分電盤の位置</t>
    <rPh sb="0" eb="3">
      <t>ブン</t>
    </rPh>
    <rPh sb="4" eb="6">
      <t>イチ</t>
    </rPh>
    <phoneticPr fontId="1"/>
  </si>
  <si>
    <t>▼</t>
    <phoneticPr fontId="1"/>
  </si>
  <si>
    <t xml:space="preserve"> 基 準 設 定</t>
    <rPh sb="1" eb="2">
      <t>モト</t>
    </rPh>
    <rPh sb="3" eb="4">
      <t>ジュン</t>
    </rPh>
    <phoneticPr fontId="1"/>
  </si>
  <si>
    <t>非照</t>
    <rPh sb="0" eb="1">
      <t>ヒ</t>
    </rPh>
    <rPh sb="1" eb="2">
      <t>ショウ</t>
    </rPh>
    <phoneticPr fontId="1"/>
  </si>
  <si>
    <t>③</t>
    <phoneticPr fontId="1"/>
  </si>
  <si>
    <t>I</t>
  </si>
  <si>
    <t>②</t>
    <phoneticPr fontId="1"/>
  </si>
  <si>
    <t>①</t>
    <phoneticPr fontId="1"/>
  </si>
  <si>
    <t>修正</t>
    <phoneticPr fontId="1"/>
  </si>
  <si>
    <t>⑥</t>
    <phoneticPr fontId="1"/>
  </si>
  <si>
    <t>⑤</t>
    <phoneticPr fontId="1"/>
  </si>
  <si>
    <t>④</t>
    <phoneticPr fontId="1"/>
  </si>
  <si>
    <t>⑨</t>
    <phoneticPr fontId="1"/>
  </si>
  <si>
    <t>I</t>
    <phoneticPr fontId="1"/>
  </si>
  <si>
    <t>⑧</t>
    <phoneticPr fontId="1"/>
  </si>
  <si>
    <t>⑦</t>
    <phoneticPr fontId="1"/>
  </si>
  <si>
    <t>梁巻配線長 [mm]</t>
    <rPh sb="0" eb="1">
      <t>ハリ</t>
    </rPh>
    <rPh sb="1" eb="2">
      <t>マキ</t>
    </rPh>
    <rPh sb="2" eb="4">
      <t>ハイセン</t>
    </rPh>
    <rPh sb="4" eb="5">
      <t>チョウ</t>
    </rPh>
    <phoneticPr fontId="1"/>
  </si>
  <si>
    <t>配線余長 [mm]</t>
    <rPh sb="0" eb="2">
      <t>ハイセン</t>
    </rPh>
    <rPh sb="2" eb="4">
      <t>ヨチョウ</t>
    </rPh>
    <phoneticPr fontId="1"/>
  </si>
  <si>
    <t>器具取付高さ [mm]</t>
    <rPh sb="0" eb="2">
      <t>キグ</t>
    </rPh>
    <rPh sb="2" eb="4">
      <t>トリツケ</t>
    </rPh>
    <rPh sb="4" eb="5">
      <t>タカ</t>
    </rPh>
    <phoneticPr fontId="1"/>
  </si>
  <si>
    <t>Sheet"照差"で修正</t>
    <phoneticPr fontId="1"/>
  </si>
  <si>
    <t>Help</t>
    <phoneticPr fontId="1"/>
  </si>
  <si>
    <t>TopPage</t>
    <phoneticPr fontId="1"/>
  </si>
  <si>
    <t>連動操作盤 180L自</t>
    <phoneticPr fontId="1"/>
  </si>
  <si>
    <t>P1副受信機 300L</t>
    <phoneticPr fontId="1"/>
  </si>
  <si>
    <t>連動操作盤 160L自</t>
    <phoneticPr fontId="1"/>
  </si>
  <si>
    <t>自火報 受信機</t>
    <phoneticPr fontId="1"/>
  </si>
  <si>
    <t>P1副受信機 200L</t>
    <phoneticPr fontId="1"/>
  </si>
  <si>
    <t>連動操作盤 140L自</t>
    <phoneticPr fontId="1"/>
  </si>
  <si>
    <t>P1受信機 200L自</t>
    <rPh sb="2" eb="5">
      <t>ジュシンキ</t>
    </rPh>
    <phoneticPr fontId="1"/>
  </si>
  <si>
    <t>自火報 副受信機</t>
    <rPh sb="4" eb="5">
      <t>フク</t>
    </rPh>
    <phoneticPr fontId="1"/>
  </si>
  <si>
    <t>P1副受信機 150L</t>
    <phoneticPr fontId="1"/>
  </si>
  <si>
    <t>連動操作盤 120L自</t>
    <phoneticPr fontId="1"/>
  </si>
  <si>
    <t>P1受信機 150L自</t>
    <rPh sb="2" eb="5">
      <t>ジュシンキ</t>
    </rPh>
    <phoneticPr fontId="1"/>
  </si>
  <si>
    <t>P1副受信機 120L</t>
    <phoneticPr fontId="1"/>
  </si>
  <si>
    <t>連動操作盤 100L自</t>
  </si>
  <si>
    <t>P1受信機 120L自</t>
    <rPh sb="2" eb="5">
      <t>ジュシンキ</t>
    </rPh>
    <phoneticPr fontId="1"/>
  </si>
  <si>
    <t>訂正金額</t>
    <rPh sb="0" eb="2">
      <t>テイセイ</t>
    </rPh>
    <rPh sb="2" eb="4">
      <t>キンガク</t>
    </rPh>
    <phoneticPr fontId="1"/>
  </si>
  <si>
    <t>P1副受信機 110L</t>
    <phoneticPr fontId="1"/>
  </si>
  <si>
    <t>連動操作盤 90L自</t>
  </si>
  <si>
    <t>P1受信機 110L自</t>
    <rPh sb="2" eb="5">
      <t>ジュシンキ</t>
    </rPh>
    <phoneticPr fontId="1"/>
  </si>
  <si>
    <t>P1副受信機 100L</t>
    <phoneticPr fontId="1"/>
  </si>
  <si>
    <t>連動操作盤 80L自</t>
  </si>
  <si>
    <t>P1受信機 100L自</t>
    <rPh sb="2" eb="5">
      <t>ジュシンキ</t>
    </rPh>
    <phoneticPr fontId="1"/>
  </si>
  <si>
    <t>P1副受信機 90L</t>
    <phoneticPr fontId="1"/>
  </si>
  <si>
    <t>連動操作盤 70L自</t>
  </si>
  <si>
    <t>P1受信機 90L自</t>
    <rPh sb="2" eb="5">
      <t>ジュシンキ</t>
    </rPh>
    <phoneticPr fontId="1"/>
  </si>
  <si>
    <t>P1副受信機 80L</t>
    <phoneticPr fontId="1"/>
  </si>
  <si>
    <t>連動操作盤 60L自</t>
  </si>
  <si>
    <t>P1受信機 80L自</t>
    <rPh sb="2" eb="5">
      <t>ジュシンキ</t>
    </rPh>
    <phoneticPr fontId="1"/>
  </si>
  <si>
    <t>P1副受信機 70L</t>
    <phoneticPr fontId="1"/>
  </si>
  <si>
    <t>連動操作盤 50L自</t>
  </si>
  <si>
    <t>P1受信機 70L自</t>
    <rPh sb="2" eb="5">
      <t>ジュシンキ</t>
    </rPh>
    <phoneticPr fontId="1"/>
  </si>
  <si>
    <t>P1副受信機 60L</t>
    <phoneticPr fontId="1"/>
  </si>
  <si>
    <t>連動操作盤 40L自</t>
  </si>
  <si>
    <t>P1受信機 60L自</t>
    <rPh sb="2" eb="5">
      <t>ジュシンキ</t>
    </rPh>
    <phoneticPr fontId="1"/>
  </si>
  <si>
    <t>P1副受信機 50L</t>
    <phoneticPr fontId="1"/>
  </si>
  <si>
    <t>連動操作盤 35L壁</t>
  </si>
  <si>
    <t>P1受信機 50L自</t>
    <rPh sb="2" eb="5">
      <t>ジュシンキ</t>
    </rPh>
    <phoneticPr fontId="1"/>
  </si>
  <si>
    <t>Top</t>
    <phoneticPr fontId="1"/>
  </si>
  <si>
    <t>P1副受信機 40L</t>
    <phoneticPr fontId="1"/>
  </si>
  <si>
    <t>連動操作盤 30L壁</t>
  </si>
  <si>
    <t>P1受信機 40L自</t>
    <rPh sb="2" eb="5">
      <t>ジュシンキ</t>
    </rPh>
    <rPh sb="9" eb="10">
      <t>ジ</t>
    </rPh>
    <phoneticPr fontId="1"/>
  </si>
  <si>
    <t>P1副受信機 30L</t>
    <phoneticPr fontId="1"/>
  </si>
  <si>
    <t>連動操作盤 25L壁</t>
  </si>
  <si>
    <t>P1受信機 30L壁</t>
    <rPh sb="2" eb="5">
      <t>ジュシンキ</t>
    </rPh>
    <phoneticPr fontId="1"/>
  </si>
  <si>
    <t>P1副受信機 25L</t>
    <phoneticPr fontId="1"/>
  </si>
  <si>
    <t>連動操作盤 20L壁</t>
  </si>
  <si>
    <t>P1受信機 25L壁</t>
    <rPh sb="2" eb="5">
      <t>ジュシンキ</t>
    </rPh>
    <phoneticPr fontId="1"/>
  </si>
  <si>
    <t>P1副受信機 20L</t>
    <phoneticPr fontId="1"/>
  </si>
  <si>
    <t>連動操作盤 15L壁</t>
  </si>
  <si>
    <t>P1受信機 20L壁</t>
    <rPh sb="2" eb="5">
      <t>ジュシンキ</t>
    </rPh>
    <phoneticPr fontId="1"/>
  </si>
  <si>
    <t>P1副受信機 15L</t>
    <phoneticPr fontId="1"/>
  </si>
  <si>
    <t>連動操作盤 10L壁</t>
  </si>
  <si>
    <t>P1受信機 15L壁</t>
    <rPh sb="2" eb="5">
      <t>ジュシンキ</t>
    </rPh>
    <phoneticPr fontId="1"/>
  </si>
  <si>
    <t>P1副受信機 10L</t>
    <phoneticPr fontId="1"/>
  </si>
  <si>
    <t>連動操作盤 5L壁</t>
  </si>
  <si>
    <t>P1受信機 10L壁</t>
    <rPh sb="2" eb="5">
      <t>ジュシンキ</t>
    </rPh>
    <phoneticPr fontId="1"/>
  </si>
  <si>
    <t>P1副受信機 5L</t>
    <phoneticPr fontId="1"/>
  </si>
  <si>
    <t>連動操作盤 3L壁</t>
  </si>
  <si>
    <t>P1受信機 5L壁</t>
    <rPh sb="2" eb="5">
      <t>ジュシンキ</t>
    </rPh>
    <rPh sb="8" eb="9">
      <t>カベ</t>
    </rPh>
    <phoneticPr fontId="1"/>
  </si>
  <si>
    <t>連</t>
  </si>
  <si>
    <t>HP 1.6mm-7C</t>
    <phoneticPr fontId="1"/>
  </si>
  <si>
    <t>副</t>
  </si>
  <si>
    <t>HP 1.6mm-6C</t>
    <phoneticPr fontId="1"/>
  </si>
  <si>
    <t>受</t>
  </si>
  <si>
    <t>HP 1.6mm-5C</t>
    <phoneticPr fontId="1"/>
  </si>
  <si>
    <t>HP 1.6mm-4C</t>
    <phoneticPr fontId="1"/>
  </si>
  <si>
    <t>HP 1.6mm-3C</t>
    <phoneticPr fontId="1"/>
  </si>
  <si>
    <t>HP 1.6mm-2C</t>
    <phoneticPr fontId="1"/>
  </si>
  <si>
    <t>HP 1.2mm-7C</t>
    <phoneticPr fontId="1"/>
  </si>
  <si>
    <t>HP 1.2mm-6C</t>
    <phoneticPr fontId="1"/>
  </si>
  <si>
    <t>HP 1.2mm-5C</t>
    <phoneticPr fontId="1"/>
  </si>
  <si>
    <t>HP 1.2mm-4C</t>
    <phoneticPr fontId="1"/>
  </si>
  <si>
    <t>HP 1.2mm-3C</t>
    <phoneticPr fontId="1"/>
  </si>
  <si>
    <t>HP 1.2mm-2C</t>
    <phoneticPr fontId="1"/>
  </si>
  <si>
    <t>HP 1.2mm-2C</t>
    <phoneticPr fontId="1"/>
  </si>
  <si>
    <t>HP 0.9mm-7C</t>
    <phoneticPr fontId="1"/>
  </si>
  <si>
    <t>HP 0.9mm-6C</t>
    <phoneticPr fontId="1"/>
  </si>
  <si>
    <t>HP 0.9mm-5C</t>
    <phoneticPr fontId="1"/>
  </si>
  <si>
    <t>HP 0.9mm-4C</t>
    <phoneticPr fontId="1"/>
  </si>
  <si>
    <t>HP 0.9mm-3C</t>
    <phoneticPr fontId="1"/>
  </si>
  <si>
    <t>HP 0.9mm-2C</t>
    <phoneticPr fontId="1"/>
  </si>
  <si>
    <t>AE 1.2mm-6C</t>
    <phoneticPr fontId="1"/>
  </si>
  <si>
    <t>AE 1.2mm-4C</t>
    <phoneticPr fontId="1"/>
  </si>
  <si>
    <t>AE 1.2mm-3C</t>
    <phoneticPr fontId="1"/>
  </si>
  <si>
    <t>AE 1.2mm-2C</t>
    <phoneticPr fontId="1"/>
  </si>
  <si>
    <t>AE 0.9mm-6C</t>
    <phoneticPr fontId="1"/>
  </si>
  <si>
    <t>AE 0.9mm-4C</t>
    <phoneticPr fontId="1"/>
  </si>
  <si>
    <t>AE 0.9mm-3C</t>
    <phoneticPr fontId="1"/>
  </si>
  <si>
    <t>AE 0.9mm-2C</t>
    <phoneticPr fontId="1"/>
  </si>
  <si>
    <t>総合</t>
    <rPh sb="0" eb="2">
      <t>ソウゴウ</t>
    </rPh>
    <phoneticPr fontId="1"/>
  </si>
  <si>
    <t>　　　　　</t>
  </si>
  <si>
    <t>警No</t>
    <rPh sb="0" eb="1">
      <t>ケイ</t>
    </rPh>
    <phoneticPr fontId="1"/>
  </si>
  <si>
    <t>Σ階高</t>
  </si>
  <si>
    <t>光電式煙2種埋</t>
  </si>
  <si>
    <t>総合盤</t>
    <rPh sb="0" eb="2">
      <t>ソウゴウ</t>
    </rPh>
    <rPh sb="2" eb="3">
      <t>バン</t>
    </rPh>
    <phoneticPr fontId="1"/>
  </si>
  <si>
    <t>F</t>
    <phoneticPr fontId="1"/>
  </si>
  <si>
    <t>L2</t>
    <phoneticPr fontId="1"/>
  </si>
  <si>
    <t>B2</t>
    <phoneticPr fontId="1"/>
  </si>
  <si>
    <t>T</t>
    <phoneticPr fontId="1"/>
  </si>
  <si>
    <t>N</t>
    <phoneticPr fontId="1"/>
  </si>
  <si>
    <t>防排</t>
    <rPh sb="0" eb="1">
      <t>ボウ</t>
    </rPh>
    <rPh sb="1" eb="2">
      <t>ハイ</t>
    </rPh>
    <phoneticPr fontId="1"/>
  </si>
  <si>
    <t>補償SP2種</t>
  </si>
  <si>
    <t>器数</t>
    <rPh sb="0" eb="1">
      <t>キ</t>
    </rPh>
    <rPh sb="1" eb="2">
      <t>スウ</t>
    </rPh>
    <phoneticPr fontId="1"/>
  </si>
  <si>
    <t>面積</t>
    <rPh sb="0" eb="2">
      <t>メンセキ</t>
    </rPh>
    <phoneticPr fontId="1"/>
  </si>
  <si>
    <t>定温SP1種WP</t>
  </si>
  <si>
    <t>防排煙</t>
    <rPh sb="0" eb="3">
      <t>ボウハイエン</t>
    </rPh>
    <phoneticPr fontId="1"/>
  </si>
  <si>
    <t>火報</t>
    <rPh sb="0" eb="1">
      <t>ヒ</t>
    </rPh>
    <rPh sb="1" eb="2">
      <t>ホウ</t>
    </rPh>
    <phoneticPr fontId="1"/>
  </si>
  <si>
    <t>差動SP2種埋</t>
  </si>
  <si>
    <t>自火報</t>
    <rPh sb="0" eb="3">
      <t>ジカホウ</t>
    </rPh>
    <phoneticPr fontId="1"/>
  </si>
  <si>
    <t>1～</t>
    <phoneticPr fontId="1"/>
  </si>
  <si>
    <t>～1</t>
    <phoneticPr fontId="1"/>
  </si>
  <si>
    <t>Y</t>
    <phoneticPr fontId="1"/>
  </si>
  <si>
    <t>X</t>
    <phoneticPr fontId="1"/>
  </si>
  <si>
    <t>防火戸警戒区域</t>
    <rPh sb="0" eb="3">
      <t>ボウカド</t>
    </rPh>
    <rPh sb="3" eb="5">
      <t>ケイカイ</t>
    </rPh>
    <rPh sb="5" eb="7">
      <t>クイキ</t>
    </rPh>
    <phoneticPr fontId="1"/>
  </si>
  <si>
    <t>縦穴</t>
    <rPh sb="0" eb="2">
      <t>タテアナ</t>
    </rPh>
    <phoneticPr fontId="1"/>
  </si>
  <si>
    <t>平面</t>
    <rPh sb="0" eb="2">
      <t>ヘイメン</t>
    </rPh>
    <phoneticPr fontId="1"/>
  </si>
  <si>
    <t>警戒区域</t>
    <rPh sb="0" eb="2">
      <t>ケイカイ</t>
    </rPh>
    <rPh sb="2" eb="4">
      <t>クイキ</t>
    </rPh>
    <phoneticPr fontId="1"/>
  </si>
  <si>
    <t>配管距離</t>
    <rPh sb="0" eb="2">
      <t>ハイカン</t>
    </rPh>
    <rPh sb="2" eb="4">
      <t>キョリ</t>
    </rPh>
    <phoneticPr fontId="1"/>
  </si>
  <si>
    <t>配線距離</t>
    <rPh sb="0" eb="2">
      <t>ハイセン</t>
    </rPh>
    <rPh sb="2" eb="4">
      <t>キョリ</t>
    </rPh>
    <phoneticPr fontId="1"/>
  </si>
  <si>
    <t>F</t>
    <phoneticPr fontId="1"/>
  </si>
  <si>
    <t>L2</t>
    <phoneticPr fontId="1"/>
  </si>
  <si>
    <t>B2</t>
    <phoneticPr fontId="1"/>
  </si>
  <si>
    <t>A</t>
    <phoneticPr fontId="1"/>
  </si>
  <si>
    <t>T</t>
    <phoneticPr fontId="1"/>
  </si>
  <si>
    <t>N</t>
    <phoneticPr fontId="1"/>
  </si>
  <si>
    <t>1～</t>
    <phoneticPr fontId="1"/>
  </si>
  <si>
    <t>～1</t>
    <phoneticPr fontId="1"/>
  </si>
  <si>
    <t>Y</t>
    <phoneticPr fontId="1"/>
  </si>
  <si>
    <t>X</t>
    <phoneticPr fontId="1"/>
  </si>
  <si>
    <t>▼</t>
    <phoneticPr fontId="1"/>
  </si>
  <si>
    <t>天井(C 管)</t>
    <rPh sb="0" eb="2">
      <t>テンジョウ</t>
    </rPh>
    <rPh sb="5" eb="6">
      <t>カン</t>
    </rPh>
    <phoneticPr fontId="1"/>
  </si>
  <si>
    <t>F</t>
    <phoneticPr fontId="1"/>
  </si>
  <si>
    <t>L2</t>
    <phoneticPr fontId="1"/>
  </si>
  <si>
    <t>B2</t>
    <phoneticPr fontId="1"/>
  </si>
  <si>
    <t>A</t>
    <phoneticPr fontId="1"/>
  </si>
  <si>
    <t>T</t>
    <phoneticPr fontId="1"/>
  </si>
  <si>
    <t>C</t>
    <phoneticPr fontId="1"/>
  </si>
  <si>
    <t>N</t>
    <phoneticPr fontId="1"/>
  </si>
  <si>
    <t>[m]</t>
    <phoneticPr fontId="1"/>
  </si>
  <si>
    <t>防排煙機器</t>
    <rPh sb="0" eb="3">
      <t>ボウハイエン</t>
    </rPh>
    <rPh sb="3" eb="5">
      <t>キキ</t>
    </rPh>
    <phoneticPr fontId="1"/>
  </si>
  <si>
    <t>自火報機器</t>
    <rPh sb="0" eb="3">
      <t>ジカホウ</t>
    </rPh>
    <rPh sb="3" eb="5">
      <t>キキ</t>
    </rPh>
    <phoneticPr fontId="1"/>
  </si>
  <si>
    <t>F</t>
    <phoneticPr fontId="1"/>
  </si>
  <si>
    <t>L2</t>
    <phoneticPr fontId="1"/>
  </si>
  <si>
    <t>B2</t>
    <phoneticPr fontId="1"/>
  </si>
  <si>
    <t>A</t>
    <phoneticPr fontId="1"/>
  </si>
  <si>
    <t>T</t>
    <phoneticPr fontId="1"/>
  </si>
  <si>
    <t>C</t>
    <phoneticPr fontId="1"/>
  </si>
  <si>
    <t>N</t>
    <phoneticPr fontId="1"/>
  </si>
  <si>
    <t>06</t>
  </si>
  <si>
    <t>　　　　　</t>
    <phoneticPr fontId="1"/>
  </si>
  <si>
    <t>Y/2</t>
    <phoneticPr fontId="1"/>
  </si>
  <si>
    <t>X/2</t>
    <phoneticPr fontId="1"/>
  </si>
  <si>
    <t>共用</t>
  </si>
  <si>
    <t>専用</t>
  </si>
  <si>
    <t>SumIF</t>
    <phoneticPr fontId="1"/>
  </si>
  <si>
    <t>CountIF</t>
    <phoneticPr fontId="1"/>
  </si>
  <si>
    <t>無窓</t>
  </si>
  <si>
    <t>有窓</t>
  </si>
  <si>
    <t>地階</t>
  </si>
  <si>
    <t>非耐火 N･P</t>
  </si>
  <si>
    <t>耐火 N･P</t>
  </si>
  <si>
    <t>耐火 Ｂ</t>
  </si>
  <si>
    <t>[m]</t>
    <phoneticPr fontId="1"/>
  </si>
  <si>
    <t>受信機の設置階</t>
    <rPh sb="0" eb="3">
      <t>ジュシンキ</t>
    </rPh>
    <rPh sb="4" eb="6">
      <t>セッチ</t>
    </rPh>
    <rPh sb="6" eb="7">
      <t>カイ</t>
    </rPh>
    <phoneticPr fontId="1"/>
  </si>
  <si>
    <t>器具
台数</t>
    <rPh sb="0" eb="2">
      <t>キグ</t>
    </rPh>
    <rPh sb="3" eb="5">
      <t>ダイスウ</t>
    </rPh>
    <phoneticPr fontId="1"/>
  </si>
  <si>
    <t>室数
(共)</t>
    <rPh sb="0" eb="1">
      <t>シツ</t>
    </rPh>
    <rPh sb="1" eb="2">
      <t>スウ</t>
    </rPh>
    <rPh sb="4" eb="5">
      <t>キョウ</t>
    </rPh>
    <phoneticPr fontId="1"/>
  </si>
  <si>
    <t>室数
(専)</t>
    <rPh sb="0" eb="1">
      <t>シツ</t>
    </rPh>
    <rPh sb="1" eb="2">
      <t>スウ</t>
    </rPh>
    <rPh sb="4" eb="5">
      <t>セン</t>
    </rPh>
    <phoneticPr fontId="1"/>
  </si>
  <si>
    <t>天井(G 管)</t>
    <rPh sb="0" eb="2">
      <t>テンジョウ</t>
    </rPh>
    <rPh sb="5" eb="6">
      <t>カン</t>
    </rPh>
    <phoneticPr fontId="1"/>
  </si>
  <si>
    <t>受信機(複合盤)の設置階</t>
    <rPh sb="0" eb="3">
      <t>ジュシンキ</t>
    </rPh>
    <rPh sb="4" eb="6">
      <t>フクゴウ</t>
    </rPh>
    <rPh sb="6" eb="7">
      <t>バン</t>
    </rPh>
    <rPh sb="9" eb="11">
      <t>セッチ</t>
    </rPh>
    <rPh sb="11" eb="12">
      <t>カイ</t>
    </rPh>
    <phoneticPr fontId="1"/>
  </si>
  <si>
    <t>受信機</t>
    <rPh sb="0" eb="3">
      <t>ジュシンキ</t>
    </rPh>
    <phoneticPr fontId="1"/>
  </si>
  <si>
    <t>起動押釦</t>
    <rPh sb="0" eb="2">
      <t>キドウ</t>
    </rPh>
    <rPh sb="2" eb="3">
      <t>オシ</t>
    </rPh>
    <rPh sb="3" eb="4">
      <t>ボタン</t>
    </rPh>
    <phoneticPr fontId="1"/>
  </si>
  <si>
    <t>電磁レリーズ</t>
    <rPh sb="0" eb="2">
      <t>デンジ</t>
    </rPh>
    <phoneticPr fontId="1"/>
  </si>
  <si>
    <t>電磁レリーズ(SS)</t>
    <rPh sb="0" eb="2">
      <t>デンジ</t>
    </rPh>
    <phoneticPr fontId="1"/>
  </si>
  <si>
    <t>天井(CD管)</t>
    <rPh sb="0" eb="2">
      <t>テンジョウ</t>
    </rPh>
    <rPh sb="5" eb="6">
      <t>カン</t>
    </rPh>
    <phoneticPr fontId="1"/>
  </si>
  <si>
    <t>総合盤内</t>
    <rPh sb="0" eb="2">
      <t>ソウゴウ</t>
    </rPh>
    <rPh sb="2" eb="4">
      <t>バンナイ</t>
    </rPh>
    <rPh sb="3" eb="4">
      <t>ナイ</t>
    </rPh>
    <phoneticPr fontId="1"/>
  </si>
  <si>
    <t>電磁レリーズ(扉)</t>
    <rPh sb="0" eb="2">
      <t>デンジ</t>
    </rPh>
    <rPh sb="7" eb="8">
      <t>トビラ</t>
    </rPh>
    <phoneticPr fontId="1"/>
  </si>
  <si>
    <t>天井(PF管)</t>
    <rPh sb="0" eb="2">
      <t>テンジョウ</t>
    </rPh>
    <rPh sb="5" eb="6">
      <t>カン</t>
    </rPh>
    <phoneticPr fontId="1"/>
  </si>
  <si>
    <t>金物集計</t>
    <rPh sb="0" eb="2">
      <t>カナモノ</t>
    </rPh>
    <rPh sb="2" eb="4">
      <t>シュウケイ</t>
    </rPh>
    <phoneticPr fontId="1"/>
  </si>
  <si>
    <t>簡略法</t>
    <rPh sb="0" eb="2">
      <t>カンリャク</t>
    </rPh>
    <rPh sb="2" eb="3">
      <t>ホウ</t>
    </rPh>
    <phoneticPr fontId="1"/>
  </si>
  <si>
    <t>導線</t>
    <rPh sb="0" eb="2">
      <t>ドウセン</t>
    </rPh>
    <phoneticPr fontId="1"/>
  </si>
  <si>
    <t>導線集計</t>
    <rPh sb="0" eb="2">
      <t>ドウセン</t>
    </rPh>
    <rPh sb="2" eb="4">
      <t>シュウケイ</t>
    </rPh>
    <phoneticPr fontId="1"/>
  </si>
  <si>
    <t>避雷導線-1F</t>
    <rPh sb="0" eb="2">
      <t>ヒライ</t>
    </rPh>
    <rPh sb="2" eb="4">
      <t>ドウセン</t>
    </rPh>
    <phoneticPr fontId="1"/>
  </si>
  <si>
    <t>避雷導線-引下</t>
    <rPh sb="0" eb="2">
      <t>ヒライ</t>
    </rPh>
    <rPh sb="2" eb="4">
      <t>ドウセン</t>
    </rPh>
    <rPh sb="5" eb="7">
      <t>ヒキサ</t>
    </rPh>
    <phoneticPr fontId="1"/>
  </si>
  <si>
    <t>避雷導線-RF</t>
    <rPh sb="0" eb="2">
      <t>ヒライ</t>
    </rPh>
    <rPh sb="2" eb="4">
      <t>ドウセン</t>
    </rPh>
    <phoneticPr fontId="1"/>
  </si>
  <si>
    <t>避雷導線-PH</t>
    <rPh sb="0" eb="2">
      <t>ヒライ</t>
    </rPh>
    <rPh sb="2" eb="4">
      <t>ドウセン</t>
    </rPh>
    <phoneticPr fontId="1"/>
  </si>
  <si>
    <t>取付金物</t>
    <rPh sb="0" eb="2">
      <t>トリツ</t>
    </rPh>
    <rPh sb="2" eb="4">
      <t>カナモノ</t>
    </rPh>
    <phoneticPr fontId="1"/>
  </si>
  <si>
    <t>n-Ly</t>
    <phoneticPr fontId="1"/>
  </si>
  <si>
    <t>n-Lx</t>
    <phoneticPr fontId="1"/>
  </si>
  <si>
    <t>機器</t>
    <rPh sb="0" eb="2">
      <t>キキ</t>
    </rPh>
    <phoneticPr fontId="1"/>
  </si>
  <si>
    <t>SumIF</t>
    <phoneticPr fontId="1"/>
  </si>
  <si>
    <t>CountIF</t>
    <phoneticPr fontId="1"/>
  </si>
  <si>
    <t>配管配線</t>
    <rPh sb="0" eb="2">
      <t>ハイカン</t>
    </rPh>
    <rPh sb="2" eb="4">
      <t>ハイセン</t>
    </rPh>
    <phoneticPr fontId="1"/>
  </si>
  <si>
    <t>LA⑨×1</t>
    <phoneticPr fontId="1"/>
  </si>
  <si>
    <t>LA⑧×1</t>
    <phoneticPr fontId="1"/>
  </si>
  <si>
    <t>LA⑦×1</t>
    <phoneticPr fontId="1"/>
  </si>
  <si>
    <t>LA⑥×1</t>
    <phoneticPr fontId="1"/>
  </si>
  <si>
    <t>LA⑤×1</t>
    <phoneticPr fontId="1"/>
  </si>
  <si>
    <t>LA④×1</t>
    <phoneticPr fontId="1"/>
  </si>
  <si>
    <t>LA③×1</t>
    <phoneticPr fontId="1"/>
  </si>
  <si>
    <t>LA②×1</t>
    <phoneticPr fontId="1"/>
  </si>
  <si>
    <t xml:space="preserve"> LA×1</t>
    <phoneticPr fontId="1"/>
  </si>
  <si>
    <t>LA①×1</t>
    <phoneticPr fontId="1"/>
  </si>
  <si>
    <t>CATV</t>
    <phoneticPr fontId="1"/>
  </si>
  <si>
    <t>Max</t>
    <phoneticPr fontId="1"/>
  </si>
  <si>
    <t>⑨</t>
    <phoneticPr fontId="1"/>
  </si>
  <si>
    <t>⑧</t>
    <phoneticPr fontId="1"/>
  </si>
  <si>
    <t>⑦</t>
    <phoneticPr fontId="1"/>
  </si>
  <si>
    <t>⑥</t>
    <phoneticPr fontId="1"/>
  </si>
  <si>
    <t>⑤</t>
    <phoneticPr fontId="1"/>
  </si>
  <si>
    <t>④</t>
    <phoneticPr fontId="1"/>
  </si>
  <si>
    <t>③</t>
    <phoneticPr fontId="1"/>
  </si>
  <si>
    <t>②</t>
    <phoneticPr fontId="1"/>
  </si>
  <si>
    <t>①</t>
    <phoneticPr fontId="1"/>
  </si>
  <si>
    <t>Ant ⇒</t>
    <phoneticPr fontId="1"/>
  </si>
  <si>
    <t xml:space="preserve"> LA×6</t>
    <phoneticPr fontId="1"/>
  </si>
  <si>
    <t>④-⑥-④'</t>
    <phoneticPr fontId="1"/>
  </si>
  <si>
    <t xml:space="preserve"> LA×3</t>
    <phoneticPr fontId="1"/>
  </si>
  <si>
    <t>⑦-⑨-⑦'</t>
    <phoneticPr fontId="1"/>
  </si>
  <si>
    <t xml:space="preserve"> LA×4</t>
    <phoneticPr fontId="1"/>
  </si>
  <si>
    <t>⑤⑤'-⑤⑤'</t>
    <phoneticPr fontId="1"/>
  </si>
  <si>
    <t xml:space="preserve"> LA×2</t>
    <phoneticPr fontId="1"/>
  </si>
  <si>
    <t>⑧-⑧'</t>
    <phoneticPr fontId="1"/>
  </si>
  <si>
    <t>電　工　数</t>
    <rPh sb="0" eb="1">
      <t>デン</t>
    </rPh>
    <rPh sb="2" eb="3">
      <t>コウ</t>
    </rPh>
    <rPh sb="4" eb="5">
      <t>スウ</t>
    </rPh>
    <phoneticPr fontId="1"/>
  </si>
  <si>
    <t>金　　　 額 (円)</t>
    <rPh sb="0" eb="1">
      <t>キン</t>
    </rPh>
    <rPh sb="5" eb="6">
      <t>ガク</t>
    </rPh>
    <rPh sb="8" eb="9">
      <t>エン</t>
    </rPh>
    <phoneticPr fontId="1"/>
  </si>
  <si>
    <t>単　価 (円)</t>
    <rPh sb="0" eb="1">
      <t>タン</t>
    </rPh>
    <rPh sb="2" eb="3">
      <t>アタイ</t>
    </rPh>
    <rPh sb="5" eb="6">
      <t>エン</t>
    </rPh>
    <phoneticPr fontId="1"/>
  </si>
  <si>
    <t>呼　称</t>
    <rPh sb="0" eb="1">
      <t>コ</t>
    </rPh>
    <rPh sb="2" eb="3">
      <t>ショウ</t>
    </rPh>
    <phoneticPr fontId="1"/>
  </si>
  <si>
    <t>数量修正</t>
    <rPh sb="0" eb="2">
      <t>スウリョウ</t>
    </rPh>
    <rPh sb="2" eb="3">
      <t>オサム</t>
    </rPh>
    <rPh sb="3" eb="4">
      <t>セイ</t>
    </rPh>
    <phoneticPr fontId="1"/>
  </si>
  <si>
    <t>材　　　　料　　　　名　　　　称</t>
    <rPh sb="0" eb="1">
      <t>ザイ</t>
    </rPh>
    <rPh sb="5" eb="6">
      <t>リョウ</t>
    </rPh>
    <rPh sb="10" eb="11">
      <t>ナ</t>
    </rPh>
    <rPh sb="15" eb="16">
      <t>ショウ</t>
    </rPh>
    <phoneticPr fontId="1"/>
  </si>
  <si>
    <t>TB-ST2A</t>
    <phoneticPr fontId="1"/>
  </si>
  <si>
    <t>TB-ST2</t>
    <phoneticPr fontId="1"/>
  </si>
  <si>
    <t>TB-STY</t>
    <phoneticPr fontId="1"/>
  </si>
  <si>
    <t>TB-ST1A</t>
    <phoneticPr fontId="1"/>
  </si>
  <si>
    <t>TB-ST1</t>
    <phoneticPr fontId="1"/>
  </si>
  <si>
    <t>TB-SG2A</t>
    <phoneticPr fontId="1"/>
  </si>
  <si>
    <t>TB-SG2</t>
    <phoneticPr fontId="1"/>
  </si>
  <si>
    <t>TB-SGY</t>
    <phoneticPr fontId="1"/>
  </si>
  <si>
    <t>TB-SG1A</t>
    <phoneticPr fontId="1"/>
  </si>
  <si>
    <t>TB-SG1</t>
    <phoneticPr fontId="1"/>
  </si>
  <si>
    <t>TB-AS2A</t>
    <phoneticPr fontId="1"/>
  </si>
  <si>
    <t>TB-AS2</t>
    <phoneticPr fontId="1"/>
  </si>
  <si>
    <t>Max.</t>
    <phoneticPr fontId="1"/>
  </si>
  <si>
    <t>TB-ASY</t>
    <phoneticPr fontId="1"/>
  </si>
  <si>
    <t>TB-AS1A</t>
    <phoneticPr fontId="1"/>
  </si>
  <si>
    <t>Margin</t>
    <phoneticPr fontId="1"/>
  </si>
  <si>
    <t>Ly／4</t>
    <phoneticPr fontId="1"/>
  </si>
  <si>
    <t>TB-AS1</t>
    <phoneticPr fontId="1"/>
  </si>
  <si>
    <t>TB-AF2A</t>
    <phoneticPr fontId="1"/>
  </si>
  <si>
    <t>RF-LA</t>
    <phoneticPr fontId="1"/>
  </si>
  <si>
    <t>VLOOKUP</t>
    <phoneticPr fontId="1"/>
  </si>
  <si>
    <t>保護角</t>
    <rPh sb="0" eb="2">
      <t>ホゴ</t>
    </rPh>
    <rPh sb="2" eb="3">
      <t>カク</t>
    </rPh>
    <phoneticPr fontId="1"/>
  </si>
  <si>
    <t>Lx／4</t>
    <phoneticPr fontId="1"/>
  </si>
  <si>
    <t>基 準 設 定</t>
    <phoneticPr fontId="1"/>
  </si>
  <si>
    <t>TB-AF2</t>
    <phoneticPr fontId="1"/>
  </si>
  <si>
    <t>TB-AFY</t>
    <phoneticPr fontId="1"/>
  </si>
  <si>
    <t>Ant.高</t>
    <rPh sb="4" eb="5">
      <t>タカ</t>
    </rPh>
    <phoneticPr fontId="1"/>
  </si>
  <si>
    <t>レベル</t>
    <phoneticPr fontId="1"/>
  </si>
  <si>
    <t>突針長</t>
    <rPh sb="0" eb="2">
      <t>トッシン</t>
    </rPh>
    <rPh sb="2" eb="3">
      <t>チョウ</t>
    </rPh>
    <phoneticPr fontId="1"/>
  </si>
  <si>
    <t>S</t>
    <phoneticPr fontId="1"/>
  </si>
  <si>
    <t>Ly/2</t>
    <phoneticPr fontId="1"/>
  </si>
  <si>
    <t>Lx/2</t>
    <phoneticPr fontId="1"/>
  </si>
  <si>
    <t>最大GL+</t>
    <rPh sb="0" eb="2">
      <t>サイダイ</t>
    </rPh>
    <phoneticPr fontId="1"/>
  </si>
  <si>
    <t>TB-AF1A</t>
    <phoneticPr fontId="1"/>
  </si>
  <si>
    <t>TV</t>
    <phoneticPr fontId="1"/>
  </si>
  <si>
    <t>棟上</t>
    <rPh sb="0" eb="2">
      <t>ムネア</t>
    </rPh>
    <phoneticPr fontId="1"/>
  </si>
  <si>
    <t>Lx／4</t>
    <phoneticPr fontId="1"/>
  </si>
  <si>
    <t>テレビ共聴設備</t>
  </si>
  <si>
    <t>TopPage</t>
    <phoneticPr fontId="1"/>
  </si>
  <si>
    <t>TB-AF1</t>
    <phoneticPr fontId="1"/>
  </si>
  <si>
    <t>LA</t>
    <phoneticPr fontId="1"/>
  </si>
  <si>
    <t>突針</t>
    <rPh sb="0" eb="2">
      <t>トッシン</t>
    </rPh>
    <phoneticPr fontId="1"/>
  </si>
  <si>
    <t>受雷部</t>
    <rPh sb="0" eb="1">
      <t>ジュ</t>
    </rPh>
    <rPh sb="1" eb="2">
      <t>ライ</t>
    </rPh>
    <rPh sb="2" eb="3">
      <t>ブ</t>
    </rPh>
    <phoneticPr fontId="1"/>
  </si>
  <si>
    <t>S</t>
    <phoneticPr fontId="1"/>
  </si>
  <si>
    <t>Ly/2</t>
    <phoneticPr fontId="1"/>
  </si>
  <si>
    <t>Lx/2</t>
    <phoneticPr fontId="1"/>
  </si>
  <si>
    <t>交換機</t>
    <phoneticPr fontId="1"/>
  </si>
  <si>
    <t>内線数</t>
    <rPh sb="0" eb="2">
      <t>ナイセン</t>
    </rPh>
    <rPh sb="2" eb="3">
      <t>スウ</t>
    </rPh>
    <phoneticPr fontId="1"/>
  </si>
  <si>
    <t>外線数</t>
    <rPh sb="0" eb="2">
      <t>ガイセン</t>
    </rPh>
    <rPh sb="2" eb="3">
      <t>スウ</t>
    </rPh>
    <phoneticPr fontId="1"/>
  </si>
  <si>
    <t>電話交換機</t>
    <rPh sb="0" eb="1">
      <t>デン</t>
    </rPh>
    <rPh sb="1" eb="2">
      <t>ハナシ</t>
    </rPh>
    <rPh sb="2" eb="3">
      <t>コウ</t>
    </rPh>
    <rPh sb="3" eb="4">
      <t>カン</t>
    </rPh>
    <rPh sb="4" eb="5">
      <t>キ</t>
    </rPh>
    <phoneticPr fontId="1"/>
  </si>
  <si>
    <t>Top</t>
  </si>
  <si>
    <t>歩　掛(人)</t>
    <rPh sb="0" eb="1">
      <t>ホ</t>
    </rPh>
    <rPh sb="2" eb="3">
      <t>カカリ</t>
    </rPh>
    <rPh sb="4" eb="5">
      <t>ジン</t>
    </rPh>
    <phoneticPr fontId="1"/>
  </si>
  <si>
    <t>電話機器</t>
    <rPh sb="0" eb="2">
      <t>デンワ</t>
    </rPh>
    <rPh sb="2" eb="4">
      <t>キキ</t>
    </rPh>
    <phoneticPr fontId="1"/>
  </si>
  <si>
    <t>PF-42mm</t>
    <phoneticPr fontId="1"/>
  </si>
  <si>
    <t>PF-36mm</t>
    <phoneticPr fontId="1"/>
  </si>
  <si>
    <t>PF-28mm</t>
    <phoneticPr fontId="1"/>
  </si>
  <si>
    <t>PF-22mm</t>
    <phoneticPr fontId="1"/>
  </si>
  <si>
    <t>PF-16mm</t>
    <phoneticPr fontId="1"/>
  </si>
  <si>
    <t>PF-14mm</t>
    <phoneticPr fontId="1"/>
  </si>
  <si>
    <t>PF-S-42mm</t>
    <phoneticPr fontId="1"/>
  </si>
  <si>
    <t>PF-S-36mm</t>
    <phoneticPr fontId="1"/>
  </si>
  <si>
    <t>PF-S-28mm</t>
  </si>
  <si>
    <t>PF-S-22mm</t>
  </si>
  <si>
    <t>PF-S-16mm</t>
  </si>
  <si>
    <t>SUS-G-104mm</t>
    <phoneticPr fontId="1"/>
  </si>
  <si>
    <t>PF-S-14mm</t>
  </si>
  <si>
    <t>SUS-G- 82mm</t>
    <phoneticPr fontId="1"/>
  </si>
  <si>
    <t>CD-42mm</t>
    <phoneticPr fontId="1"/>
  </si>
  <si>
    <t>SUS-G- 70mm</t>
    <phoneticPr fontId="1"/>
  </si>
  <si>
    <t>CD-36mm</t>
    <phoneticPr fontId="1"/>
  </si>
  <si>
    <t>TIVF 0.8-3C</t>
    <phoneticPr fontId="1"/>
  </si>
  <si>
    <t>SUS-G- 54mm</t>
    <phoneticPr fontId="1"/>
  </si>
  <si>
    <t>CD-28mm</t>
    <phoneticPr fontId="1"/>
  </si>
  <si>
    <t>TIVF 0.8-2C</t>
    <phoneticPr fontId="1"/>
  </si>
  <si>
    <t>SUS-G- 42mm</t>
    <phoneticPr fontId="1"/>
  </si>
  <si>
    <t>CD-22mm</t>
    <phoneticPr fontId="1"/>
  </si>
  <si>
    <t>TIVF 0.65-3C</t>
    <phoneticPr fontId="1"/>
  </si>
  <si>
    <t>SUS-G- 36mm</t>
    <phoneticPr fontId="1"/>
  </si>
  <si>
    <t>CD-16mm</t>
    <phoneticPr fontId="1"/>
  </si>
  <si>
    <t>TIVF 0.65-2C</t>
    <phoneticPr fontId="1"/>
  </si>
  <si>
    <t>SUS-G- 28mm</t>
    <phoneticPr fontId="1"/>
  </si>
  <si>
    <t>CD-14mm</t>
    <phoneticPr fontId="1"/>
  </si>
  <si>
    <t>電子釦 0.4-20Pr</t>
    <rPh sb="0" eb="2">
      <t>デンシ</t>
    </rPh>
    <rPh sb="2" eb="3">
      <t>ボタン</t>
    </rPh>
    <phoneticPr fontId="1"/>
  </si>
  <si>
    <t>SUS-G- 22mm</t>
    <phoneticPr fontId="1"/>
  </si>
  <si>
    <t>HIVE-82mm</t>
    <phoneticPr fontId="1"/>
  </si>
  <si>
    <t>電子釦 0.4-10Pr</t>
    <rPh sb="0" eb="2">
      <t>デンシ</t>
    </rPh>
    <rPh sb="2" eb="3">
      <t>ボタン</t>
    </rPh>
    <phoneticPr fontId="1"/>
  </si>
  <si>
    <t>SUS-G- 16mm</t>
    <phoneticPr fontId="1"/>
  </si>
  <si>
    <t>HIVE-70mm</t>
    <phoneticPr fontId="1"/>
  </si>
  <si>
    <t>電子釦 0.4- 4Pr</t>
    <rPh sb="0" eb="2">
      <t>デンシ</t>
    </rPh>
    <rPh sb="2" eb="3">
      <t>ボタン</t>
    </rPh>
    <phoneticPr fontId="1"/>
  </si>
  <si>
    <t>F1-PE-75mm</t>
    <phoneticPr fontId="1"/>
  </si>
  <si>
    <t>HIVE-54mm</t>
    <phoneticPr fontId="1"/>
  </si>
  <si>
    <t>電子釦 0.4- 3Pr</t>
    <rPh sb="0" eb="2">
      <t>デンシ</t>
    </rPh>
    <rPh sb="2" eb="3">
      <t>ボタン</t>
    </rPh>
    <phoneticPr fontId="1"/>
  </si>
  <si>
    <t>F1-PE-63mm</t>
    <phoneticPr fontId="1"/>
  </si>
  <si>
    <t>HIVE-42mm</t>
    <phoneticPr fontId="1"/>
  </si>
  <si>
    <t>電子釦 0.4- 2Pr</t>
    <rPh sb="0" eb="2">
      <t>デンシ</t>
    </rPh>
    <rPh sb="2" eb="3">
      <t>ボタン</t>
    </rPh>
    <phoneticPr fontId="1"/>
  </si>
  <si>
    <t>F1-PE-50mm</t>
    <phoneticPr fontId="1"/>
  </si>
  <si>
    <t>HIVE-36mm</t>
    <phoneticPr fontId="1"/>
  </si>
  <si>
    <t>釦電話 0.4-30Pr</t>
    <rPh sb="0" eb="1">
      <t>ボタン</t>
    </rPh>
    <rPh sb="1" eb="3">
      <t>デンワ</t>
    </rPh>
    <phoneticPr fontId="1"/>
  </si>
  <si>
    <t>F1-PE-42mm</t>
    <phoneticPr fontId="1"/>
  </si>
  <si>
    <t>HIVE-28mm</t>
    <phoneticPr fontId="1"/>
  </si>
  <si>
    <t>釦電話 0.4-20Pr</t>
    <rPh sb="0" eb="1">
      <t>ボタン</t>
    </rPh>
    <rPh sb="1" eb="3">
      <t>デンワ</t>
    </rPh>
    <phoneticPr fontId="1"/>
  </si>
  <si>
    <t>F1-PE-38mm</t>
    <phoneticPr fontId="1"/>
  </si>
  <si>
    <t>HIVE-22mm</t>
    <phoneticPr fontId="1"/>
  </si>
  <si>
    <t>釦電話 0.4-10Pr</t>
    <rPh sb="0" eb="1">
      <t>ボタン</t>
    </rPh>
    <rPh sb="1" eb="3">
      <t>デンワ</t>
    </rPh>
    <phoneticPr fontId="1"/>
  </si>
  <si>
    <t>F1-PE-32mm</t>
    <phoneticPr fontId="1"/>
  </si>
  <si>
    <t>HIVE-16mm</t>
    <phoneticPr fontId="1"/>
  </si>
  <si>
    <t>F1-PE-25mm</t>
    <phoneticPr fontId="1"/>
  </si>
  <si>
    <t>HIVE-14mm</t>
    <phoneticPr fontId="1"/>
  </si>
  <si>
    <t>CCP-P 0.65-200Pr</t>
    <phoneticPr fontId="1"/>
  </si>
  <si>
    <t>F1-PE-19mm</t>
    <phoneticPr fontId="1"/>
  </si>
  <si>
    <t>VE-82mm</t>
    <phoneticPr fontId="1"/>
  </si>
  <si>
    <t>端子盤</t>
    <rPh sb="0" eb="2">
      <t>タンシバン</t>
    </rPh>
    <phoneticPr fontId="1"/>
  </si>
  <si>
    <t>CCP-P 0.65-100Pr</t>
    <phoneticPr fontId="1"/>
  </si>
  <si>
    <t>F1-PE-16mm</t>
    <phoneticPr fontId="1"/>
  </si>
  <si>
    <t>VE-70mm</t>
    <phoneticPr fontId="1"/>
  </si>
  <si>
    <t>CCP-P 0.65- 50Pr</t>
    <phoneticPr fontId="1"/>
  </si>
  <si>
    <t>F1-F-75mm</t>
    <phoneticPr fontId="1"/>
  </si>
  <si>
    <t>VE-54mm</t>
    <phoneticPr fontId="1"/>
  </si>
  <si>
    <t>CCP-P 0.65- 30Pr</t>
    <phoneticPr fontId="1"/>
  </si>
  <si>
    <t>F1-F-63mm</t>
    <phoneticPr fontId="1"/>
  </si>
  <si>
    <t>VE-42mm</t>
    <phoneticPr fontId="1"/>
  </si>
  <si>
    <t>CCP-P 0.65- 10Pr</t>
    <phoneticPr fontId="1"/>
  </si>
  <si>
    <t>F1-F-50mm</t>
    <phoneticPr fontId="1"/>
  </si>
  <si>
    <t>VE-36mm</t>
    <phoneticPr fontId="1"/>
  </si>
  <si>
    <t>CCP-P 0.5-200Pr</t>
    <phoneticPr fontId="1"/>
  </si>
  <si>
    <t>F1-F-42mm</t>
    <phoneticPr fontId="1"/>
  </si>
  <si>
    <t>VE-28mm</t>
    <phoneticPr fontId="1"/>
  </si>
  <si>
    <t>CCP-P 0.5-100Pr</t>
    <phoneticPr fontId="1"/>
  </si>
  <si>
    <t>F1-F-38mm</t>
    <phoneticPr fontId="1"/>
  </si>
  <si>
    <t>VE-22mm</t>
    <phoneticPr fontId="1"/>
  </si>
  <si>
    <t>CCP-P 0.5- 50Pr</t>
    <phoneticPr fontId="1"/>
  </si>
  <si>
    <t>F1-F-32mm</t>
    <phoneticPr fontId="1"/>
  </si>
  <si>
    <t>VE-16mm</t>
    <phoneticPr fontId="1"/>
  </si>
  <si>
    <t>CCP-P 0.5- 30Pr</t>
    <phoneticPr fontId="1"/>
  </si>
  <si>
    <t>F1-F-25mm</t>
    <phoneticPr fontId="1"/>
  </si>
  <si>
    <t>VE-14mm</t>
    <phoneticPr fontId="1"/>
  </si>
  <si>
    <t>CCP-P 0.5- 10Pr</t>
    <phoneticPr fontId="1"/>
  </si>
  <si>
    <t>F1-F-19mm</t>
    <phoneticPr fontId="1"/>
  </si>
  <si>
    <t>CCP-P 0.4-200Pr</t>
    <phoneticPr fontId="1"/>
  </si>
  <si>
    <t>F1-F-16mm</t>
    <phoneticPr fontId="1"/>
  </si>
  <si>
    <t>G-92mm</t>
    <phoneticPr fontId="1"/>
  </si>
  <si>
    <t>CCP-P 0.4-100Pr</t>
    <phoneticPr fontId="1"/>
  </si>
  <si>
    <t>PE-104mm</t>
  </si>
  <si>
    <t>G-82mm</t>
    <phoneticPr fontId="1"/>
  </si>
  <si>
    <t>KK 2000×2000×2100</t>
    <phoneticPr fontId="1"/>
  </si>
  <si>
    <t>CCP-P 0.4- 50Pr</t>
    <phoneticPr fontId="1"/>
  </si>
  <si>
    <t>PE- 92mm</t>
  </si>
  <si>
    <t>G-70mm</t>
    <phoneticPr fontId="1"/>
  </si>
  <si>
    <t>KK 1800×1800×1500</t>
    <phoneticPr fontId="1"/>
  </si>
  <si>
    <t>CCP-P 0.4- 30Pr</t>
    <phoneticPr fontId="1"/>
  </si>
  <si>
    <t>PE- 82mm</t>
  </si>
  <si>
    <t>G-54mm</t>
    <phoneticPr fontId="1"/>
  </si>
  <si>
    <t>KK 1500×1500×1500</t>
    <phoneticPr fontId="1"/>
  </si>
  <si>
    <t>CCP-P 0.4- 10Pr</t>
    <phoneticPr fontId="1"/>
  </si>
  <si>
    <t>PE- 70mm</t>
  </si>
  <si>
    <t>G-42mm</t>
    <phoneticPr fontId="1"/>
  </si>
  <si>
    <t>KK 1500×1500×1200</t>
    <phoneticPr fontId="1"/>
  </si>
  <si>
    <t>FCPEV 0.9-200Pr</t>
    <phoneticPr fontId="1"/>
  </si>
  <si>
    <t>PE- 54mm</t>
  </si>
  <si>
    <t>G-36mm</t>
    <phoneticPr fontId="1"/>
  </si>
  <si>
    <t>F-FEP-200mm</t>
    <phoneticPr fontId="1"/>
  </si>
  <si>
    <t>KK 1500×1500×900</t>
    <phoneticPr fontId="1"/>
  </si>
  <si>
    <t>FCPEV 0.9-150Pr</t>
    <phoneticPr fontId="1"/>
  </si>
  <si>
    <t>PE- 42mm</t>
  </si>
  <si>
    <t>G-28mm</t>
    <phoneticPr fontId="1"/>
  </si>
  <si>
    <t>F-FEP-150mm</t>
    <phoneticPr fontId="1"/>
  </si>
  <si>
    <t>KK 1200×1200×1500</t>
    <phoneticPr fontId="1"/>
  </si>
  <si>
    <t>FCPEV 0.9-100Pr</t>
    <phoneticPr fontId="1"/>
  </si>
  <si>
    <t>PE- 36mm</t>
  </si>
  <si>
    <t>G-22mm</t>
    <phoneticPr fontId="1"/>
  </si>
  <si>
    <t>F-FEP-125mm</t>
    <phoneticPr fontId="1"/>
  </si>
  <si>
    <t>KK 1200×1200×1200</t>
    <phoneticPr fontId="1"/>
  </si>
  <si>
    <t>FCPEV 0.9- 70Pr</t>
    <phoneticPr fontId="1"/>
  </si>
  <si>
    <t>PE- 28mm</t>
  </si>
  <si>
    <t>G-16mm</t>
    <phoneticPr fontId="1"/>
  </si>
  <si>
    <t>F-FEP-100mm</t>
    <phoneticPr fontId="1"/>
  </si>
  <si>
    <t>KK 1200×1200×900</t>
    <phoneticPr fontId="1"/>
  </si>
  <si>
    <t>FCPEV 0.9- 50Pr</t>
    <phoneticPr fontId="1"/>
  </si>
  <si>
    <t>PE- 22mm</t>
  </si>
  <si>
    <t>KK 1000×1000×1500</t>
    <phoneticPr fontId="1"/>
  </si>
  <si>
    <t>FCPEV 0.9- 30Pr</t>
    <phoneticPr fontId="1"/>
  </si>
  <si>
    <t>PE- 16mm</t>
  </si>
  <si>
    <t>FCPEV 0.9- 20Pr</t>
    <phoneticPr fontId="1"/>
  </si>
  <si>
    <t>F2-V-101mm</t>
  </si>
  <si>
    <t>FCPEV 0.9- 15Pr</t>
    <phoneticPr fontId="1"/>
  </si>
  <si>
    <t>F2-V- 83mm</t>
  </si>
  <si>
    <t>F-FEP- 40mm</t>
    <phoneticPr fontId="1"/>
  </si>
  <si>
    <t>KK 900×900×1500</t>
    <phoneticPr fontId="1"/>
  </si>
  <si>
    <t>FCPEV 0.9- 10Pr</t>
    <phoneticPr fontId="1"/>
  </si>
  <si>
    <t>F2-V- 76mm</t>
  </si>
  <si>
    <t>F-FEP- 30mm</t>
    <phoneticPr fontId="1"/>
  </si>
  <si>
    <t>KK 900×900×1350</t>
    <phoneticPr fontId="1"/>
  </si>
  <si>
    <t>FCPEV 0.65-200Pr</t>
    <phoneticPr fontId="1"/>
  </si>
  <si>
    <t>F2-V- 63mm</t>
  </si>
  <si>
    <t>FCPEV 0.65-150Pr</t>
    <phoneticPr fontId="1"/>
  </si>
  <si>
    <t>F2-V- 50mm</t>
  </si>
  <si>
    <t>FCPEV 0.65-100Pr</t>
    <phoneticPr fontId="1"/>
  </si>
  <si>
    <t>F2-V- 38mm</t>
  </si>
  <si>
    <t>FCPEV 0.65- 70Pr</t>
    <phoneticPr fontId="1"/>
  </si>
  <si>
    <t>F2-V- 30mm</t>
  </si>
  <si>
    <t>FCPEV 0.65- 50Pr</t>
    <phoneticPr fontId="1"/>
  </si>
  <si>
    <t>F2-V- 24mm</t>
  </si>
  <si>
    <t>FCPEV 0.65- 30Pr</t>
    <phoneticPr fontId="1"/>
  </si>
  <si>
    <t>F2-V- 17mm</t>
  </si>
  <si>
    <t>FCPEV 0.65- 20Pr</t>
    <phoneticPr fontId="1"/>
  </si>
  <si>
    <t>F2-V- 15mm</t>
  </si>
  <si>
    <t>FCPEV 0.65- 15Pr</t>
    <phoneticPr fontId="1"/>
  </si>
  <si>
    <t>F2-V- 12mm</t>
  </si>
  <si>
    <t>数</t>
    <phoneticPr fontId="1"/>
  </si>
  <si>
    <t>電話</t>
    <rPh sb="0" eb="1">
      <t>デン</t>
    </rPh>
    <rPh sb="1" eb="2">
      <t>ハナシ</t>
    </rPh>
    <phoneticPr fontId="1"/>
  </si>
  <si>
    <t>LAN</t>
    <phoneticPr fontId="1"/>
  </si>
  <si>
    <t>Int.</t>
    <phoneticPr fontId="1"/>
  </si>
  <si>
    <t>TV.</t>
    <phoneticPr fontId="1"/>
  </si>
  <si>
    <t>放送</t>
    <rPh sb="0" eb="1">
      <t>ホウ</t>
    </rPh>
    <rPh sb="1" eb="2">
      <t>ソウ</t>
    </rPh>
    <phoneticPr fontId="1"/>
  </si>
  <si>
    <t>FCPEV 0.65- 10Pr</t>
    <phoneticPr fontId="1"/>
  </si>
  <si>
    <t>F2-V- 10mm</t>
  </si>
  <si>
    <t>備　　　　考</t>
    <rPh sb="0" eb="1">
      <t>ソナエ</t>
    </rPh>
    <rPh sb="5" eb="6">
      <t>コウ</t>
    </rPh>
    <phoneticPr fontId="1"/>
  </si>
  <si>
    <t>歩　 掛</t>
    <rPh sb="0" eb="1">
      <t>ホ</t>
    </rPh>
    <rPh sb="3" eb="4">
      <t>カカリ</t>
    </rPh>
    <phoneticPr fontId="1"/>
  </si>
  <si>
    <t>金 額 (円)</t>
    <rPh sb="0" eb="1">
      <t>キン</t>
    </rPh>
    <rPh sb="2" eb="3">
      <t>ガク</t>
    </rPh>
    <rPh sb="5" eb="6">
      <t>エン</t>
    </rPh>
    <phoneticPr fontId="1"/>
  </si>
  <si>
    <t>端子盤
単　 価</t>
    <rPh sb="0" eb="3">
      <t>タンシバン</t>
    </rPh>
    <rPh sb="4" eb="5">
      <t>タン</t>
    </rPh>
    <rPh sb="7" eb="8">
      <t>アタイ</t>
    </rPh>
    <phoneticPr fontId="1"/>
  </si>
  <si>
    <t>Pr.数</t>
    <phoneticPr fontId="1"/>
  </si>
  <si>
    <t>端子盤名称</t>
    <rPh sb="0" eb="3">
      <t>タンシバン</t>
    </rPh>
    <rPh sb="3" eb="5">
      <t>メイショウ</t>
    </rPh>
    <phoneticPr fontId="1"/>
  </si>
  <si>
    <t>端子盤 (Pr.数)</t>
    <rPh sb="0" eb="1">
      <t>ハシ</t>
    </rPh>
    <rPh sb="1" eb="2">
      <t>コ</t>
    </rPh>
    <rPh sb="2" eb="3">
      <t>バン</t>
    </rPh>
    <rPh sb="8" eb="9">
      <t>スウ</t>
    </rPh>
    <phoneticPr fontId="1"/>
  </si>
  <si>
    <t>フロアダクト FC-8</t>
    <phoneticPr fontId="1"/>
  </si>
  <si>
    <t>集計表</t>
    <rPh sb="0" eb="1">
      <t>シュウケイ</t>
    </rPh>
    <rPh sb="1" eb="2">
      <t>ヒョウ</t>
    </rPh>
    <phoneticPr fontId="1"/>
  </si>
  <si>
    <t>フロアダクト FC-6</t>
    <phoneticPr fontId="1"/>
  </si>
  <si>
    <t>フロアダクト F-7</t>
    <phoneticPr fontId="1"/>
  </si>
  <si>
    <t>フロアダクト F-5</t>
    <phoneticPr fontId="1"/>
  </si>
  <si>
    <t>O-Box</t>
    <phoneticPr fontId="1"/>
  </si>
  <si>
    <t>O-Box</t>
    <phoneticPr fontId="1"/>
  </si>
  <si>
    <t>管-梁巻</t>
    <rPh sb="0" eb="1">
      <t>カン</t>
    </rPh>
    <phoneticPr fontId="1"/>
  </si>
  <si>
    <t>PHS</t>
    <phoneticPr fontId="1"/>
  </si>
  <si>
    <t>PHS</t>
    <phoneticPr fontId="1"/>
  </si>
  <si>
    <t>[m]</t>
    <phoneticPr fontId="1"/>
  </si>
  <si>
    <t>共</t>
    <rPh sb="0" eb="1">
      <t>トモ</t>
    </rPh>
    <phoneticPr fontId="1"/>
  </si>
  <si>
    <t>F-Box</t>
    <phoneticPr fontId="1"/>
  </si>
  <si>
    <t>管(垂)</t>
    <rPh sb="0" eb="1">
      <t>カン</t>
    </rPh>
    <phoneticPr fontId="1"/>
  </si>
  <si>
    <t>内線用</t>
  </si>
  <si>
    <t>▼</t>
    <phoneticPr fontId="1"/>
  </si>
  <si>
    <t>亘長</t>
    <phoneticPr fontId="1"/>
  </si>
  <si>
    <t>亘長</t>
    <phoneticPr fontId="1"/>
  </si>
  <si>
    <t>TB以降</t>
    <rPh sb="2" eb="4">
      <t>イコウ</t>
    </rPh>
    <phoneticPr fontId="1"/>
  </si>
  <si>
    <t>専</t>
    <rPh sb="0" eb="1">
      <t>セン</t>
    </rPh>
    <phoneticPr fontId="1"/>
  </si>
  <si>
    <t>FDuct</t>
    <phoneticPr fontId="1"/>
  </si>
  <si>
    <t>管(平)</t>
    <rPh sb="0" eb="1">
      <t>カン</t>
    </rPh>
    <phoneticPr fontId="1"/>
  </si>
  <si>
    <t>多機能</t>
  </si>
  <si>
    <t>配管</t>
    <rPh sb="0" eb="2">
      <t>ハイカン</t>
    </rPh>
    <phoneticPr fontId="1"/>
  </si>
  <si>
    <t>配管
工事</t>
    <rPh sb="0" eb="2">
      <t>ハイカン</t>
    </rPh>
    <rPh sb="3" eb="5">
      <t>コウジ</t>
    </rPh>
    <phoneticPr fontId="1"/>
  </si>
  <si>
    <t>配線</t>
    <rPh sb="0" eb="2">
      <t>ハイセン</t>
    </rPh>
    <phoneticPr fontId="1"/>
  </si>
  <si>
    <t>配線
工事</t>
    <rPh sb="0" eb="2">
      <t>ハイセン</t>
    </rPh>
    <rPh sb="3" eb="5">
      <t>コウジ</t>
    </rPh>
    <phoneticPr fontId="1"/>
  </si>
  <si>
    <t>幹 　線</t>
    <rPh sb="0" eb="1">
      <t>ミキ</t>
    </rPh>
    <rPh sb="3" eb="4">
      <t>セン</t>
    </rPh>
    <phoneticPr fontId="1"/>
  </si>
  <si>
    <t>電話 要／不</t>
    <rPh sb="0" eb="2">
      <t>デンワ</t>
    </rPh>
    <rPh sb="3" eb="4">
      <t>ヨウ</t>
    </rPh>
    <rPh sb="5" eb="6">
      <t>フ</t>
    </rPh>
    <phoneticPr fontId="1"/>
  </si>
  <si>
    <t>線-梁巻</t>
    <rPh sb="0" eb="1">
      <t>セン</t>
    </rPh>
    <rPh sb="2" eb="3">
      <t>ハリ</t>
    </rPh>
    <rPh sb="3" eb="4">
      <t>マキ</t>
    </rPh>
    <phoneticPr fontId="1"/>
  </si>
  <si>
    <t>線(垂)</t>
    <phoneticPr fontId="1"/>
  </si>
  <si>
    <t>接地極</t>
    <rPh sb="0" eb="2">
      <t>セッチ</t>
    </rPh>
    <rPh sb="2" eb="3">
      <t>キョク</t>
    </rPh>
    <phoneticPr fontId="1"/>
  </si>
  <si>
    <t>内線用</t>
    <rPh sb="0" eb="1">
      <t>ウチ</t>
    </rPh>
    <rPh sb="1" eb="2">
      <t>セン</t>
    </rPh>
    <rPh sb="2" eb="3">
      <t>ヨウ</t>
    </rPh>
    <phoneticPr fontId="1"/>
  </si>
  <si>
    <t>多機能</t>
    <rPh sb="0" eb="3">
      <t>タキノウ</t>
    </rPh>
    <phoneticPr fontId="1"/>
  </si>
  <si>
    <t>床</t>
    <rPh sb="0" eb="1">
      <t>ユカ</t>
    </rPh>
    <phoneticPr fontId="1"/>
  </si>
  <si>
    <t>壁</t>
    <rPh sb="0" eb="1">
      <t>カベ</t>
    </rPh>
    <phoneticPr fontId="1"/>
  </si>
  <si>
    <t>LAN</t>
    <phoneticPr fontId="1"/>
  </si>
  <si>
    <t>Int.</t>
    <phoneticPr fontId="1"/>
  </si>
  <si>
    <t>TV.</t>
    <phoneticPr fontId="1"/>
  </si>
  <si>
    <r>
      <t>[m</t>
    </r>
    <r>
      <rPr>
        <vertAlign val="superscript"/>
        <sz val="8"/>
        <color theme="1"/>
        <rFont val="Meiryo UI"/>
        <family val="3"/>
        <charset val="128"/>
      </rPr>
      <t>2</t>
    </r>
    <r>
      <rPr>
        <sz val="8"/>
        <color theme="1"/>
        <rFont val="Meiryo UI"/>
        <family val="3"/>
        <charset val="128"/>
      </rPr>
      <t>]</t>
    </r>
    <phoneticPr fontId="1"/>
  </si>
  <si>
    <t>線(平)</t>
    <phoneticPr fontId="1"/>
  </si>
  <si>
    <t>電       話       機</t>
    <rPh sb="0" eb="1">
      <t>デン</t>
    </rPh>
    <rPh sb="8" eb="9">
      <t>ハナシ</t>
    </rPh>
    <rPh sb="16" eb="17">
      <t>キ</t>
    </rPh>
    <phoneticPr fontId="1"/>
  </si>
  <si>
    <t>電話用 Outlet Box</t>
    <phoneticPr fontId="1"/>
  </si>
  <si>
    <t>[1]～</t>
    <phoneticPr fontId="1"/>
  </si>
  <si>
    <t>TB～</t>
    <phoneticPr fontId="1"/>
  </si>
  <si>
    <t>幹線</t>
    <rPh sb="0" eb="2">
      <t>カンセン</t>
    </rPh>
    <phoneticPr fontId="1"/>
  </si>
  <si>
    <t>交換機</t>
    <rPh sb="0" eb="2">
      <t>コウカン</t>
    </rPh>
    <rPh sb="2" eb="3">
      <t>キ</t>
    </rPh>
    <phoneticPr fontId="1"/>
  </si>
  <si>
    <t>天井(C管)</t>
    <rPh sb="0" eb="2">
      <t>テンジョウ</t>
    </rPh>
    <rPh sb="4" eb="5">
      <t>カン</t>
    </rPh>
    <phoneticPr fontId="1"/>
  </si>
  <si>
    <t>室内施工方法</t>
    <rPh sb="0" eb="2">
      <t>シツナイ</t>
    </rPh>
    <rPh sb="2" eb="4">
      <t>セコウ</t>
    </rPh>
    <rPh sb="4" eb="6">
      <t>ホウホウ</t>
    </rPh>
    <phoneticPr fontId="1"/>
  </si>
  <si>
    <t>▼</t>
    <phoneticPr fontId="1"/>
  </si>
  <si>
    <t>端子盤</t>
    <rPh sb="0" eb="1">
      <t>ハシ</t>
    </rPh>
    <rPh sb="1" eb="2">
      <t>コ</t>
    </rPh>
    <rPh sb="2" eb="3">
      <t>バン</t>
    </rPh>
    <phoneticPr fontId="1"/>
  </si>
  <si>
    <t>形状係数</t>
    <rPh sb="2" eb="4">
      <t>ケイスウ</t>
    </rPh>
    <phoneticPr fontId="1"/>
  </si>
  <si>
    <t>建物形状</t>
    <phoneticPr fontId="1"/>
  </si>
  <si>
    <t>PHS</t>
    <phoneticPr fontId="1"/>
  </si>
  <si>
    <t>線(垂)</t>
    <phoneticPr fontId="1"/>
  </si>
  <si>
    <t>PHS</t>
    <phoneticPr fontId="1"/>
  </si>
  <si>
    <t>O-Box</t>
    <phoneticPr fontId="1"/>
  </si>
  <si>
    <t>PHS</t>
    <phoneticPr fontId="1"/>
  </si>
  <si>
    <t>引込配管長</t>
    <rPh sb="0" eb="2">
      <t>ヒキコミ</t>
    </rPh>
    <rPh sb="2" eb="4">
      <t>ハイカン</t>
    </rPh>
    <rPh sb="4" eb="5">
      <t>チョウ</t>
    </rPh>
    <phoneticPr fontId="1"/>
  </si>
  <si>
    <t>交換機の位置</t>
    <rPh sb="0" eb="2">
      <t>コウカン</t>
    </rPh>
    <rPh sb="2" eb="3">
      <t>キ</t>
    </rPh>
    <rPh sb="4" eb="6">
      <t>イチ</t>
    </rPh>
    <phoneticPr fontId="1"/>
  </si>
  <si>
    <t>交換機設置階</t>
    <rPh sb="0" eb="2">
      <t>コウカン</t>
    </rPh>
    <rPh sb="2" eb="3">
      <t>キ</t>
    </rPh>
    <rPh sb="3" eb="5">
      <t>セッチ</t>
    </rPh>
    <rPh sb="5" eb="6">
      <t>カイ</t>
    </rPh>
    <phoneticPr fontId="1"/>
  </si>
  <si>
    <t>床(G管)</t>
    <rPh sb="0" eb="1">
      <t>ユカ</t>
    </rPh>
    <rPh sb="3" eb="4">
      <t>カン</t>
    </rPh>
    <phoneticPr fontId="1"/>
  </si>
  <si>
    <t>交換機の設置階</t>
    <rPh sb="0" eb="3">
      <t>コウカンキ</t>
    </rPh>
    <rPh sb="4" eb="6">
      <t>セッチ</t>
    </rPh>
    <rPh sb="6" eb="7">
      <t>カイ</t>
    </rPh>
    <phoneticPr fontId="1"/>
  </si>
  <si>
    <t>▼</t>
    <phoneticPr fontId="1"/>
  </si>
  <si>
    <t>－</t>
    <phoneticPr fontId="1"/>
  </si>
  <si>
    <t>構内屋外配管</t>
    <rPh sb="0" eb="2">
      <t>コウナイ</t>
    </rPh>
    <rPh sb="2" eb="4">
      <t>オクガイ</t>
    </rPh>
    <rPh sb="4" eb="6">
      <t>ハイカン</t>
    </rPh>
    <phoneticPr fontId="1"/>
  </si>
  <si>
    <t>配管配線機器取付</t>
    <rPh sb="0" eb="2">
      <t>ハイカン</t>
    </rPh>
    <rPh sb="2" eb="4">
      <t>ハイセン</t>
    </rPh>
    <rPh sb="4" eb="6">
      <t>キキ</t>
    </rPh>
    <rPh sb="6" eb="8">
      <t>トリツ</t>
    </rPh>
    <phoneticPr fontId="1"/>
  </si>
  <si>
    <t>室内工事方法</t>
    <rPh sb="0" eb="2">
      <t>シツナイ</t>
    </rPh>
    <rPh sb="2" eb="4">
      <t>コウジ</t>
    </rPh>
    <rPh sb="4" eb="6">
      <t>ホウホウ</t>
    </rPh>
    <phoneticPr fontId="1"/>
  </si>
  <si>
    <t>床(C管)</t>
    <rPh sb="0" eb="1">
      <t>ユカ</t>
    </rPh>
    <rPh sb="3" eb="4">
      <t>カン</t>
    </rPh>
    <phoneticPr fontId="1"/>
  </si>
  <si>
    <t xml:space="preserve"> D</t>
    <phoneticPr fontId="1"/>
  </si>
  <si>
    <t>構内屋外工事</t>
    <rPh sb="0" eb="2">
      <t>コウナイ</t>
    </rPh>
    <rPh sb="2" eb="4">
      <t>オクガイ</t>
    </rPh>
    <rPh sb="4" eb="6">
      <t>コウジ</t>
    </rPh>
    <phoneticPr fontId="1"/>
  </si>
  <si>
    <t>床(CD管)</t>
    <rPh sb="0" eb="1">
      <t>ユカ</t>
    </rPh>
    <rPh sb="4" eb="5">
      <t>カン</t>
    </rPh>
    <phoneticPr fontId="1"/>
  </si>
  <si>
    <t>引込方式</t>
    <rPh sb="0" eb="2">
      <t>ヒキコミ</t>
    </rPh>
    <rPh sb="2" eb="4">
      <t>ホウシキ</t>
    </rPh>
    <phoneticPr fontId="1"/>
  </si>
  <si>
    <t>天井(G管)</t>
    <rPh sb="0" eb="2">
      <t>テンジョウ</t>
    </rPh>
    <rPh sb="4" eb="5">
      <t>カン</t>
    </rPh>
    <phoneticPr fontId="1"/>
  </si>
  <si>
    <t>端子盤
の位置</t>
    <rPh sb="0" eb="2">
      <t>タンシ</t>
    </rPh>
    <rPh sb="2" eb="3">
      <t>バン</t>
    </rPh>
    <rPh sb="5" eb="7">
      <t>イチ</t>
    </rPh>
    <phoneticPr fontId="1"/>
  </si>
  <si>
    <t>空 配 管 工 事</t>
    <rPh sb="0" eb="1">
      <t>カラ</t>
    </rPh>
    <rPh sb="2" eb="3">
      <t>ハイ</t>
    </rPh>
    <rPh sb="4" eb="5">
      <t>カン</t>
    </rPh>
    <rPh sb="6" eb="7">
      <t>コウ</t>
    </rPh>
    <rPh sb="8" eb="9">
      <t>コト</t>
    </rPh>
    <phoneticPr fontId="1"/>
  </si>
  <si>
    <t>交換機内</t>
    <rPh sb="0" eb="3">
      <t>コウカンキ</t>
    </rPh>
    <rPh sb="3" eb="4">
      <t>ナイ</t>
    </rPh>
    <phoneticPr fontId="1"/>
  </si>
  <si>
    <t>電話 O-Box</t>
    <rPh sb="0" eb="2">
      <t>デンワ</t>
    </rPh>
    <phoneticPr fontId="1"/>
  </si>
  <si>
    <t>配管配線 工事</t>
    <rPh sb="0" eb="2">
      <t>ハイカン</t>
    </rPh>
    <rPh sb="2" eb="4">
      <t>ハイセン</t>
    </rPh>
    <rPh sb="5" eb="7">
      <t>コウジ</t>
    </rPh>
    <phoneticPr fontId="1"/>
  </si>
  <si>
    <t>端子盤内</t>
    <rPh sb="0" eb="2">
      <t>タンシ</t>
    </rPh>
    <rPh sb="2" eb="3">
      <t>バン</t>
    </rPh>
    <rPh sb="3" eb="4">
      <t>ナイ</t>
    </rPh>
    <phoneticPr fontId="1"/>
  </si>
  <si>
    <t>端子盤の下端</t>
    <rPh sb="0" eb="2">
      <t>タンシ</t>
    </rPh>
    <rPh sb="2" eb="3">
      <t>バン</t>
    </rPh>
    <rPh sb="4" eb="6">
      <t>シタバ</t>
    </rPh>
    <phoneticPr fontId="1"/>
  </si>
  <si>
    <t>電話O-Box</t>
    <rPh sb="0" eb="2">
      <t>デンワ</t>
    </rPh>
    <phoneticPr fontId="1"/>
  </si>
  <si>
    <t>端子盤の上端</t>
    <rPh sb="0" eb="2">
      <t>タンシ</t>
    </rPh>
    <rPh sb="2" eb="3">
      <t>バン</t>
    </rPh>
    <rPh sb="4" eb="6">
      <t>ウワバ</t>
    </rPh>
    <phoneticPr fontId="1"/>
  </si>
  <si>
    <r>
      <t xml:space="preserve">梁巻配線長 </t>
    </r>
    <r>
      <rPr>
        <b/>
        <sz val="8"/>
        <color theme="0"/>
        <rFont val="ＭＳ Ｐ明朝"/>
        <family val="1"/>
        <charset val="128"/>
      </rPr>
      <t>[mm]</t>
    </r>
    <rPh sb="0" eb="1">
      <t>ハリ</t>
    </rPh>
    <rPh sb="1" eb="2">
      <t>マキ</t>
    </rPh>
    <rPh sb="2" eb="4">
      <t>ハイセン</t>
    </rPh>
    <rPh sb="4" eb="5">
      <t>チョウ</t>
    </rPh>
    <phoneticPr fontId="1"/>
  </si>
  <si>
    <t>修正</t>
    <phoneticPr fontId="1"/>
  </si>
  <si>
    <r>
      <t xml:space="preserve">配線余長 </t>
    </r>
    <r>
      <rPr>
        <b/>
        <sz val="8"/>
        <color theme="0"/>
        <rFont val="ＭＳ Ｐ明朝"/>
        <family val="1"/>
        <charset val="128"/>
      </rPr>
      <t>[mm]</t>
    </r>
    <rPh sb="0" eb="2">
      <t>ハイセン</t>
    </rPh>
    <rPh sb="2" eb="4">
      <t>ヨチョウ</t>
    </rPh>
    <phoneticPr fontId="1"/>
  </si>
  <si>
    <r>
      <t xml:space="preserve">器具取付高さ </t>
    </r>
    <r>
      <rPr>
        <b/>
        <sz val="8"/>
        <color theme="0"/>
        <rFont val="ＭＳ Ｐ明朝"/>
        <family val="1"/>
        <charset val="128"/>
      </rPr>
      <t>[mm]</t>
    </r>
    <rPh sb="0" eb="2">
      <t>キグ</t>
    </rPh>
    <rPh sb="2" eb="4">
      <t>トリツケ</t>
    </rPh>
    <rPh sb="4" eb="5">
      <t>タカ</t>
    </rPh>
    <phoneticPr fontId="1"/>
  </si>
  <si>
    <t>●</t>
    <phoneticPr fontId="1"/>
  </si>
  <si>
    <t>B</t>
    <phoneticPr fontId="1"/>
  </si>
  <si>
    <t>電力引込</t>
    <rPh sb="0" eb="2">
      <t>デンリョク</t>
    </rPh>
    <rPh sb="2" eb="4">
      <t>ヒキコミ</t>
    </rPh>
    <phoneticPr fontId="1"/>
  </si>
  <si>
    <t>Help</t>
    <phoneticPr fontId="1"/>
  </si>
  <si>
    <t>TopPage</t>
    <phoneticPr fontId="1"/>
  </si>
  <si>
    <t>PF-D-42mm</t>
    <phoneticPr fontId="1"/>
  </si>
  <si>
    <t>FCPEV 1.2-200Pr</t>
    <phoneticPr fontId="1"/>
  </si>
  <si>
    <t>PF-D-36mm</t>
    <phoneticPr fontId="1"/>
  </si>
  <si>
    <t>FCPEV 1.2-150Pr</t>
    <phoneticPr fontId="1"/>
  </si>
  <si>
    <t>PF-D-28mm</t>
    <phoneticPr fontId="1"/>
  </si>
  <si>
    <t>FCPEV 1.2-100Pr</t>
    <phoneticPr fontId="1"/>
  </si>
  <si>
    <t>PF-D-22mm</t>
    <phoneticPr fontId="1"/>
  </si>
  <si>
    <t>FCPEV 1.2- 70Pr</t>
    <phoneticPr fontId="1"/>
  </si>
  <si>
    <t>PF-D-16mm</t>
    <phoneticPr fontId="1"/>
  </si>
  <si>
    <t>FCPEV 1.2- 50Pr</t>
    <phoneticPr fontId="1"/>
  </si>
  <si>
    <t>PF-D-14mm</t>
    <phoneticPr fontId="1"/>
  </si>
  <si>
    <t>FCPEV 1.2- 30Pr</t>
    <phoneticPr fontId="1"/>
  </si>
  <si>
    <t>PF-S-42mm</t>
    <phoneticPr fontId="1"/>
  </si>
  <si>
    <t>FCPEV 1.2- 20Pr</t>
    <phoneticPr fontId="1"/>
  </si>
  <si>
    <t>PF-S-36mm</t>
    <phoneticPr fontId="1"/>
  </si>
  <si>
    <t>FCPEV 1.2- 15Pr</t>
    <phoneticPr fontId="1"/>
  </si>
  <si>
    <t>FCPEV 1.2- 10Pr</t>
    <phoneticPr fontId="1"/>
  </si>
  <si>
    <t>FCPEV 1.2-7Pr</t>
    <phoneticPr fontId="1"/>
  </si>
  <si>
    <t>FCPEV 1.2-5Pr</t>
    <phoneticPr fontId="1"/>
  </si>
  <si>
    <t>FCPEV 1.2-3Pr</t>
    <phoneticPr fontId="1"/>
  </si>
  <si>
    <t>CD-42mm</t>
    <phoneticPr fontId="1"/>
  </si>
  <si>
    <t>FCPEV 1.2-2Pr</t>
    <phoneticPr fontId="1"/>
  </si>
  <si>
    <t>CD-36mm</t>
    <phoneticPr fontId="1"/>
  </si>
  <si>
    <t>FCPEV 1.2-1Pr</t>
    <phoneticPr fontId="1"/>
  </si>
  <si>
    <t>CD-28mm</t>
    <phoneticPr fontId="1"/>
  </si>
  <si>
    <t>CD-22mm</t>
    <phoneticPr fontId="1"/>
  </si>
  <si>
    <t>HP 1.2mm-200Pr</t>
    <phoneticPr fontId="1"/>
  </si>
  <si>
    <t>CD-16mm</t>
    <phoneticPr fontId="1"/>
  </si>
  <si>
    <t>HP 1.2mm-100Pr</t>
    <phoneticPr fontId="1"/>
  </si>
  <si>
    <t>CD-14mm</t>
    <phoneticPr fontId="1"/>
  </si>
  <si>
    <t>HP 1.2mm-75Pr</t>
    <phoneticPr fontId="1"/>
  </si>
  <si>
    <t>HP 1.2mm-50Pr</t>
    <phoneticPr fontId="1"/>
  </si>
  <si>
    <t>HP 1.2mm-40Pr</t>
    <phoneticPr fontId="1"/>
  </si>
  <si>
    <t>HP 1.2mm-30Pr</t>
    <phoneticPr fontId="1"/>
  </si>
  <si>
    <t>HP 1.2mm-25Pr</t>
    <phoneticPr fontId="1"/>
  </si>
  <si>
    <t>HP 1.2mm-20Pr</t>
    <phoneticPr fontId="1"/>
  </si>
  <si>
    <t>FCPEV 1.2-7Pr</t>
    <phoneticPr fontId="1"/>
  </si>
  <si>
    <t>HP 1.2mm-15Pr</t>
    <phoneticPr fontId="1"/>
  </si>
  <si>
    <t>FCPEV 1.2-5Pr</t>
    <phoneticPr fontId="1"/>
  </si>
  <si>
    <t>HP 1.2mm-10Pr</t>
    <phoneticPr fontId="1"/>
  </si>
  <si>
    <t>FCPEV 1.2-3Pr</t>
    <phoneticPr fontId="1"/>
  </si>
  <si>
    <t>HP 1.2mm-7Pr</t>
    <phoneticPr fontId="1"/>
  </si>
  <si>
    <t>FCPEV 1.2-2Pr</t>
    <phoneticPr fontId="1"/>
  </si>
  <si>
    <t>HP 1.2mm-5Pr</t>
    <phoneticPr fontId="1"/>
  </si>
  <si>
    <t>FCPEV 1.2-1Pr</t>
    <phoneticPr fontId="1"/>
  </si>
  <si>
    <t>HP 1.2mm-3Pr</t>
    <phoneticPr fontId="1"/>
  </si>
  <si>
    <t>HP 1.2mm-7C</t>
    <phoneticPr fontId="1"/>
  </si>
  <si>
    <t>HP 1.2mm-5C</t>
    <phoneticPr fontId="1"/>
  </si>
  <si>
    <t>HP 1.2mm-6C</t>
    <phoneticPr fontId="1"/>
  </si>
  <si>
    <t>G-42mm</t>
    <phoneticPr fontId="1"/>
  </si>
  <si>
    <t>G-36mm</t>
    <phoneticPr fontId="1"/>
  </si>
  <si>
    <t>G-28mm</t>
    <phoneticPr fontId="1"/>
  </si>
  <si>
    <t>G-22mm</t>
    <phoneticPr fontId="1"/>
  </si>
  <si>
    <t>HP 1.2mm-1C</t>
    <phoneticPr fontId="1"/>
  </si>
  <si>
    <t>Att</t>
    <phoneticPr fontId="1"/>
  </si>
  <si>
    <t>管垂</t>
    <rPh sb="0" eb="1">
      <t>カン</t>
    </rPh>
    <rPh sb="1" eb="2">
      <t>タレ</t>
    </rPh>
    <phoneticPr fontId="1"/>
  </si>
  <si>
    <t>管平</t>
    <rPh sb="0" eb="1">
      <t>カン</t>
    </rPh>
    <rPh sb="1" eb="2">
      <t>ヒラ</t>
    </rPh>
    <phoneticPr fontId="1"/>
  </si>
  <si>
    <t>配垂</t>
    <rPh sb="0" eb="1">
      <t>ハイ</t>
    </rPh>
    <rPh sb="1" eb="2">
      <t>タレ</t>
    </rPh>
    <phoneticPr fontId="1"/>
  </si>
  <si>
    <t>配平</t>
    <rPh sb="0" eb="1">
      <t>ハイ</t>
    </rPh>
    <rPh sb="1" eb="2">
      <t>ヒラ</t>
    </rPh>
    <phoneticPr fontId="1"/>
  </si>
  <si>
    <t>TB～配管</t>
    <rPh sb="3" eb="5">
      <t>ハイカン</t>
    </rPh>
    <phoneticPr fontId="1"/>
  </si>
  <si>
    <t>TB～配線</t>
    <rPh sb="3" eb="5">
      <t>ハイセン</t>
    </rPh>
    <phoneticPr fontId="1"/>
  </si>
  <si>
    <t>SL</t>
    <phoneticPr fontId="1"/>
  </si>
  <si>
    <t>～TB</t>
    <phoneticPr fontId="1"/>
  </si>
  <si>
    <t>配管亘長</t>
    <rPh sb="0" eb="2">
      <t>ハイカン</t>
    </rPh>
    <rPh sb="2" eb="4">
      <t>コウチョウ</t>
    </rPh>
    <phoneticPr fontId="1"/>
  </si>
  <si>
    <t>幹線配管</t>
    <rPh sb="0" eb="2">
      <t>カンセン</t>
    </rPh>
    <rPh sb="2" eb="4">
      <t>ハイカン</t>
    </rPh>
    <phoneticPr fontId="1"/>
  </si>
  <si>
    <t>配線亘長</t>
    <rPh sb="0" eb="2">
      <t>ハイセン</t>
    </rPh>
    <rPh sb="2" eb="4">
      <t>コウチョウ</t>
    </rPh>
    <phoneticPr fontId="1"/>
  </si>
  <si>
    <t>幹線配線</t>
    <rPh sb="0" eb="2">
      <t>カンセン</t>
    </rPh>
    <rPh sb="2" eb="4">
      <t>ハイセン</t>
    </rPh>
    <phoneticPr fontId="1"/>
  </si>
  <si>
    <t>SP計</t>
    <rPh sb="2" eb="3">
      <t>ケイ</t>
    </rPh>
    <phoneticPr fontId="1"/>
  </si>
  <si>
    <t>S2 S3</t>
    <phoneticPr fontId="1"/>
  </si>
  <si>
    <t>Sub AMP</t>
    <phoneticPr fontId="1"/>
  </si>
  <si>
    <t>S1</t>
    <phoneticPr fontId="1"/>
  </si>
  <si>
    <t>Pr</t>
    <phoneticPr fontId="1"/>
  </si>
  <si>
    <t>回路数</t>
    <rPh sb="0" eb="2">
      <t>カイロ</t>
    </rPh>
    <rPh sb="2" eb="3">
      <t>スウ</t>
    </rPh>
    <phoneticPr fontId="1"/>
  </si>
  <si>
    <t>AMP 場所</t>
    <rPh sb="4" eb="6">
      <t>バショ</t>
    </rPh>
    <phoneticPr fontId="1"/>
  </si>
  <si>
    <t>端子盤の位置</t>
    <rPh sb="0" eb="2">
      <t>タンシ</t>
    </rPh>
    <phoneticPr fontId="1"/>
  </si>
  <si>
    <t>建物形状</t>
    <phoneticPr fontId="1"/>
  </si>
  <si>
    <t>共用</t>
    <rPh sb="0" eb="2">
      <t>キョウヨウ</t>
    </rPh>
    <phoneticPr fontId="1"/>
  </si>
  <si>
    <t>TB</t>
    <phoneticPr fontId="1"/>
  </si>
  <si>
    <t>付</t>
    <rPh sb="0" eb="1">
      <t>ツ</t>
    </rPh>
    <phoneticPr fontId="1"/>
  </si>
  <si>
    <t>6W</t>
    <phoneticPr fontId="1"/>
  </si>
  <si>
    <t>3W</t>
    <phoneticPr fontId="1"/>
  </si>
  <si>
    <t>クロ</t>
    <phoneticPr fontId="1"/>
  </si>
  <si>
    <t>20W</t>
    <phoneticPr fontId="1"/>
  </si>
  <si>
    <t>5W</t>
    <phoneticPr fontId="1"/>
  </si>
  <si>
    <t>3W</t>
    <phoneticPr fontId="1"/>
  </si>
  <si>
    <t>施工方法</t>
    <phoneticPr fontId="1"/>
  </si>
  <si>
    <t>出力</t>
    <rPh sb="0" eb="2">
      <t>シュツリョク</t>
    </rPh>
    <phoneticPr fontId="1"/>
  </si>
  <si>
    <t>マイ</t>
    <phoneticPr fontId="1"/>
  </si>
  <si>
    <t>SL</t>
    <phoneticPr fontId="1"/>
  </si>
  <si>
    <t>PS</t>
    <phoneticPr fontId="1"/>
  </si>
  <si>
    <t>S4</t>
    <phoneticPr fontId="1"/>
  </si>
  <si>
    <t>S3</t>
    <phoneticPr fontId="1"/>
  </si>
  <si>
    <t>S5</t>
    <phoneticPr fontId="1"/>
  </si>
  <si>
    <t>S2</t>
    <phoneticPr fontId="1"/>
  </si>
  <si>
    <t>S1</t>
    <phoneticPr fontId="1"/>
  </si>
  <si>
    <t>Lamp</t>
    <phoneticPr fontId="1"/>
  </si>
  <si>
    <t>SL</t>
    <phoneticPr fontId="1"/>
  </si>
  <si>
    <t>Ry</t>
    <phoneticPr fontId="1"/>
  </si>
  <si>
    <t>Local</t>
    <phoneticPr fontId="1"/>
  </si>
  <si>
    <t>Main</t>
    <phoneticPr fontId="1"/>
  </si>
  <si>
    <t>壁付</t>
    <rPh sb="0" eb="1">
      <t>カベ</t>
    </rPh>
    <rPh sb="1" eb="2">
      <t>ツ</t>
    </rPh>
    <phoneticPr fontId="1"/>
  </si>
  <si>
    <t>壁掛</t>
    <rPh sb="0" eb="1">
      <t>カベ</t>
    </rPh>
    <phoneticPr fontId="1"/>
  </si>
  <si>
    <t>天井付</t>
    <rPh sb="0" eb="2">
      <t>テンジョウ</t>
    </rPh>
    <rPh sb="2" eb="3">
      <t>ツ</t>
    </rPh>
    <phoneticPr fontId="1"/>
  </si>
  <si>
    <t>C-Ry</t>
    <phoneticPr fontId="1"/>
  </si>
  <si>
    <t>Lamp</t>
    <phoneticPr fontId="1"/>
  </si>
  <si>
    <t>Amp</t>
    <phoneticPr fontId="1"/>
  </si>
  <si>
    <t>Att</t>
    <phoneticPr fontId="1"/>
  </si>
  <si>
    <t>SP壁</t>
    <rPh sb="2" eb="3">
      <t>カベ</t>
    </rPh>
    <phoneticPr fontId="1"/>
  </si>
  <si>
    <t>SP天井</t>
    <rPh sb="2" eb="4">
      <t>テンジョウ</t>
    </rPh>
    <phoneticPr fontId="1"/>
  </si>
  <si>
    <t>Cut</t>
    <phoneticPr fontId="1"/>
  </si>
  <si>
    <t>Amplifier</t>
    <phoneticPr fontId="1"/>
  </si>
  <si>
    <t>スピーカ 他</t>
    <rPh sb="5" eb="6">
      <t>ホカ</t>
    </rPh>
    <phoneticPr fontId="1"/>
  </si>
  <si>
    <t>共用部</t>
    <rPh sb="0" eb="1">
      <t>キョウヨウ</t>
    </rPh>
    <rPh sb="2" eb="3">
      <t>ブ</t>
    </rPh>
    <phoneticPr fontId="1"/>
  </si>
  <si>
    <t>床 面 積</t>
    <phoneticPr fontId="1"/>
  </si>
  <si>
    <t>SumIF</t>
    <phoneticPr fontId="1"/>
  </si>
  <si>
    <t>CountIF</t>
    <phoneticPr fontId="1"/>
  </si>
  <si>
    <t>SL</t>
    <phoneticPr fontId="1"/>
  </si>
  <si>
    <t>～TB</t>
    <phoneticPr fontId="1"/>
  </si>
  <si>
    <t>S2 S3</t>
    <phoneticPr fontId="1"/>
  </si>
  <si>
    <t>Sub AMP</t>
    <phoneticPr fontId="1"/>
  </si>
  <si>
    <t>S1</t>
    <phoneticPr fontId="1"/>
  </si>
  <si>
    <t>Pr</t>
    <phoneticPr fontId="1"/>
  </si>
  <si>
    <t>建物形状</t>
    <phoneticPr fontId="1"/>
  </si>
  <si>
    <t>TB</t>
    <phoneticPr fontId="1"/>
  </si>
  <si>
    <t>▼</t>
    <phoneticPr fontId="1"/>
  </si>
  <si>
    <t>施工方法</t>
    <phoneticPr fontId="1"/>
  </si>
  <si>
    <t>Lamp</t>
    <phoneticPr fontId="1"/>
  </si>
  <si>
    <t>Ry</t>
    <phoneticPr fontId="1"/>
  </si>
  <si>
    <t>Local</t>
    <phoneticPr fontId="1"/>
  </si>
  <si>
    <t>Main</t>
    <phoneticPr fontId="1"/>
  </si>
  <si>
    <t>C-Ry</t>
    <phoneticPr fontId="1"/>
  </si>
  <si>
    <t>Lamp</t>
    <phoneticPr fontId="1"/>
  </si>
  <si>
    <t>Amp</t>
    <phoneticPr fontId="1"/>
  </si>
  <si>
    <t>Att</t>
    <phoneticPr fontId="1"/>
  </si>
  <si>
    <t>Cut</t>
    <phoneticPr fontId="1"/>
  </si>
  <si>
    <t>Amplifier</t>
    <phoneticPr fontId="1"/>
  </si>
  <si>
    <t>▼</t>
    <phoneticPr fontId="1"/>
  </si>
  <si>
    <t>床 面 積</t>
    <phoneticPr fontId="1"/>
  </si>
  <si>
    <t>Att</t>
    <phoneticPr fontId="1"/>
  </si>
  <si>
    <t>～TB</t>
    <phoneticPr fontId="1"/>
  </si>
  <si>
    <t>S2 S3</t>
    <phoneticPr fontId="1"/>
  </si>
  <si>
    <t>Sub AMP</t>
    <phoneticPr fontId="1"/>
  </si>
  <si>
    <t>Pr</t>
    <phoneticPr fontId="1"/>
  </si>
  <si>
    <t>TB</t>
    <phoneticPr fontId="1"/>
  </si>
  <si>
    <t>C-Ry</t>
    <phoneticPr fontId="1"/>
  </si>
  <si>
    <t>Lamp</t>
    <phoneticPr fontId="1"/>
  </si>
  <si>
    <t>Amp</t>
    <phoneticPr fontId="1"/>
  </si>
  <si>
    <t>Att</t>
    <phoneticPr fontId="1"/>
  </si>
  <si>
    <t>Cut</t>
    <phoneticPr fontId="1"/>
  </si>
  <si>
    <t>Amplifier</t>
    <phoneticPr fontId="1"/>
  </si>
  <si>
    <t>▼</t>
    <phoneticPr fontId="1"/>
  </si>
  <si>
    <t>床 面 積</t>
    <phoneticPr fontId="1"/>
  </si>
  <si>
    <t>SL</t>
    <phoneticPr fontId="1"/>
  </si>
  <si>
    <t>～TB</t>
    <phoneticPr fontId="1"/>
  </si>
  <si>
    <t>S2 S3</t>
    <phoneticPr fontId="1"/>
  </si>
  <si>
    <t>Sub AMP</t>
    <phoneticPr fontId="1"/>
  </si>
  <si>
    <t>S1</t>
    <phoneticPr fontId="1"/>
  </si>
  <si>
    <t>Pr</t>
    <phoneticPr fontId="1"/>
  </si>
  <si>
    <t>建物形状</t>
    <phoneticPr fontId="1"/>
  </si>
  <si>
    <t>Att</t>
    <phoneticPr fontId="1"/>
  </si>
  <si>
    <t>▼</t>
    <phoneticPr fontId="1"/>
  </si>
  <si>
    <t>[m]</t>
    <phoneticPr fontId="1"/>
  </si>
  <si>
    <t>S1</t>
    <phoneticPr fontId="1"/>
  </si>
  <si>
    <t>Pr</t>
    <phoneticPr fontId="1"/>
  </si>
  <si>
    <t>建物形状</t>
    <phoneticPr fontId="1"/>
  </si>
  <si>
    <t>TB</t>
    <phoneticPr fontId="1"/>
  </si>
  <si>
    <t>Y/2</t>
    <phoneticPr fontId="1"/>
  </si>
  <si>
    <t>X/2</t>
    <phoneticPr fontId="1"/>
  </si>
  <si>
    <t>Lamp</t>
    <phoneticPr fontId="1"/>
  </si>
  <si>
    <t>SL</t>
    <phoneticPr fontId="1"/>
  </si>
  <si>
    <t>Ry</t>
    <phoneticPr fontId="1"/>
  </si>
  <si>
    <t>Local</t>
    <phoneticPr fontId="1"/>
  </si>
  <si>
    <t>Main</t>
    <phoneticPr fontId="1"/>
  </si>
  <si>
    <t>C-Ry</t>
    <phoneticPr fontId="1"/>
  </si>
  <si>
    <t>Lamp</t>
    <phoneticPr fontId="1"/>
  </si>
  <si>
    <t>Amp</t>
    <phoneticPr fontId="1"/>
  </si>
  <si>
    <t>Cut</t>
    <phoneticPr fontId="1"/>
  </si>
  <si>
    <t>Amplifier</t>
    <phoneticPr fontId="1"/>
  </si>
  <si>
    <t>TB</t>
    <phoneticPr fontId="1"/>
  </si>
  <si>
    <t>Ry</t>
    <phoneticPr fontId="1"/>
  </si>
  <si>
    <t>Local</t>
    <phoneticPr fontId="1"/>
  </si>
  <si>
    <t>Main</t>
    <phoneticPr fontId="1"/>
  </si>
  <si>
    <t>Att</t>
    <phoneticPr fontId="1"/>
  </si>
  <si>
    <t>[m]</t>
    <phoneticPr fontId="1"/>
  </si>
  <si>
    <t>SL</t>
    <phoneticPr fontId="1"/>
  </si>
  <si>
    <t>～TB</t>
    <phoneticPr fontId="1"/>
  </si>
  <si>
    <t>S2 S3</t>
    <phoneticPr fontId="1"/>
  </si>
  <si>
    <t>Sub AMP</t>
    <phoneticPr fontId="1"/>
  </si>
  <si>
    <t>S1</t>
    <phoneticPr fontId="1"/>
  </si>
  <si>
    <t>Pr</t>
    <phoneticPr fontId="1"/>
  </si>
  <si>
    <t>建物形状</t>
    <phoneticPr fontId="1"/>
  </si>
  <si>
    <t>TB</t>
    <phoneticPr fontId="1"/>
  </si>
  <si>
    <t>C-Ry</t>
    <phoneticPr fontId="1"/>
  </si>
  <si>
    <t>Lamp</t>
    <phoneticPr fontId="1"/>
  </si>
  <si>
    <t>Amp</t>
    <phoneticPr fontId="1"/>
  </si>
  <si>
    <t>Att</t>
    <phoneticPr fontId="1"/>
  </si>
  <si>
    <t>Cut</t>
    <phoneticPr fontId="1"/>
  </si>
  <si>
    <t>Amplifier</t>
    <phoneticPr fontId="1"/>
  </si>
  <si>
    <t>▼</t>
    <phoneticPr fontId="1"/>
  </si>
  <si>
    <t>床 面 積</t>
    <phoneticPr fontId="1"/>
  </si>
  <si>
    <t>～TB</t>
    <phoneticPr fontId="1"/>
  </si>
  <si>
    <t>C-Ry</t>
    <phoneticPr fontId="1"/>
  </si>
  <si>
    <t>Amp</t>
    <phoneticPr fontId="1"/>
  </si>
  <si>
    <t>Cut</t>
    <phoneticPr fontId="1"/>
  </si>
  <si>
    <t>Amplifier</t>
    <phoneticPr fontId="1"/>
  </si>
  <si>
    <t xml:space="preserve"> </t>
    <phoneticPr fontId="1"/>
  </si>
  <si>
    <t>Amp TB-Pr</t>
    <phoneticPr fontId="1"/>
  </si>
  <si>
    <t>主増幅器の設置階</t>
    <rPh sb="0" eb="1">
      <t>シュ</t>
    </rPh>
    <rPh sb="1" eb="4">
      <t>ゾウフクキ</t>
    </rPh>
    <rPh sb="5" eb="7">
      <t>セッチ</t>
    </rPh>
    <rPh sb="7" eb="8">
      <t>カイ</t>
    </rPh>
    <phoneticPr fontId="1"/>
  </si>
  <si>
    <t>増幅器</t>
    <rPh sb="0" eb="3">
      <t>ゾウフクキ</t>
    </rPh>
    <phoneticPr fontId="1"/>
  </si>
  <si>
    <t>端子盤 上端</t>
    <rPh sb="0" eb="3">
      <t>タンシバン</t>
    </rPh>
    <rPh sb="4" eb="5">
      <t>ウエ</t>
    </rPh>
    <rPh sb="5" eb="6">
      <t>ハシ</t>
    </rPh>
    <phoneticPr fontId="1"/>
  </si>
  <si>
    <t>アッテネータ</t>
    <phoneticPr fontId="1"/>
  </si>
  <si>
    <t>カット・リレー</t>
    <phoneticPr fontId="1"/>
  </si>
  <si>
    <t>スピーカ</t>
    <phoneticPr fontId="1"/>
  </si>
  <si>
    <t>設置</t>
    <rPh sb="0" eb="2">
      <t>セッチ</t>
    </rPh>
    <phoneticPr fontId="1"/>
  </si>
  <si>
    <t>修正</t>
    <phoneticPr fontId="1"/>
  </si>
  <si>
    <t>端子盤内</t>
    <rPh sb="0" eb="2">
      <t>タンシ</t>
    </rPh>
    <rPh sb="2" eb="4">
      <t>バンナイ</t>
    </rPh>
    <rPh sb="3" eb="4">
      <t>ナイ</t>
    </rPh>
    <phoneticPr fontId="1"/>
  </si>
  <si>
    <t>壁掛スピーカ</t>
    <rPh sb="0" eb="2">
      <t>カベカケ</t>
    </rPh>
    <phoneticPr fontId="1"/>
  </si>
  <si>
    <t>基 準 設 定</t>
    <phoneticPr fontId="1"/>
  </si>
  <si>
    <t>Help</t>
    <phoneticPr fontId="1"/>
  </si>
  <si>
    <t>TopPage</t>
    <phoneticPr fontId="1"/>
  </si>
  <si>
    <t>共聴機器</t>
    <rPh sb="0" eb="2">
      <t>キョウチョウ</t>
    </rPh>
    <rPh sb="2" eb="4">
      <t>キキ</t>
    </rPh>
    <phoneticPr fontId="1"/>
  </si>
  <si>
    <t>減 衰 量</t>
  </si>
  <si>
    <t>dB</t>
    <phoneticPr fontId="1"/>
  </si>
  <si>
    <t>ch:</t>
    <phoneticPr fontId="1"/>
  </si>
  <si>
    <t>D</t>
    <phoneticPr fontId="1"/>
  </si>
  <si>
    <t>MHz</t>
    <phoneticPr fontId="1"/>
  </si>
  <si>
    <t>↓</t>
    <phoneticPr fontId="1"/>
  </si>
  <si>
    <t>10C</t>
    <phoneticPr fontId="1"/>
  </si>
  <si>
    <t>7C</t>
    <phoneticPr fontId="1"/>
  </si>
  <si>
    <t>5C</t>
    <phoneticPr fontId="1"/>
  </si>
  <si>
    <t>3C</t>
    <phoneticPr fontId="1"/>
  </si>
  <si>
    <t>2V/2W</t>
    <phoneticPr fontId="1"/>
  </si>
  <si>
    <t>12D</t>
    <phoneticPr fontId="1"/>
  </si>
  <si>
    <t>10D</t>
    <phoneticPr fontId="1"/>
  </si>
  <si>
    <t>8D</t>
    <phoneticPr fontId="1"/>
  </si>
  <si>
    <t>5D</t>
    <phoneticPr fontId="1"/>
  </si>
  <si>
    <t>FB</t>
    <phoneticPr fontId="1"/>
  </si>
  <si>
    <t>┃</t>
    <phoneticPr fontId="1"/>
  </si>
  <si>
    <t>┏</t>
    <phoneticPr fontId="1"/>
  </si>
  <si>
    <t>Min.</t>
    <phoneticPr fontId="1"/>
  </si>
  <si>
    <t>Min.</t>
    <phoneticPr fontId="1"/>
  </si>
  <si>
    <t>Att[dB]</t>
    <phoneticPr fontId="1"/>
  </si>
  <si>
    <t>Trunk</t>
    <phoneticPr fontId="1"/>
  </si>
  <si>
    <t>Unit</t>
    <phoneticPr fontId="1"/>
  </si>
  <si>
    <t>10C</t>
    <phoneticPr fontId="1"/>
  </si>
  <si>
    <t>6D</t>
    <phoneticPr fontId="1"/>
  </si>
  <si>
    <t>4D</t>
    <phoneticPr fontId="1"/>
  </si>
  <si>
    <t>2D</t>
    <phoneticPr fontId="1"/>
  </si>
  <si>
    <t>4C</t>
    <phoneticPr fontId="1"/>
  </si>
  <si>
    <t>2C</t>
    <phoneticPr fontId="1"/>
  </si>
  <si>
    <t>1C</t>
    <phoneticPr fontId="1"/>
  </si>
  <si>
    <t>２段</t>
    <rPh sb="1" eb="2">
      <t>ダン</t>
    </rPh>
    <phoneticPr fontId="1"/>
  </si>
  <si>
    <t>１段</t>
    <rPh sb="1" eb="2">
      <t>ダン</t>
    </rPh>
    <phoneticPr fontId="1"/>
  </si>
  <si>
    <t>Trunk</t>
    <phoneticPr fontId="1"/>
  </si>
  <si>
    <t>ABC</t>
    <phoneticPr fontId="1"/>
  </si>
  <si>
    <t>Ant</t>
    <phoneticPr fontId="1"/>
  </si>
  <si>
    <t>判定</t>
    <phoneticPr fontId="1"/>
  </si>
  <si>
    <t>Max.(損失)</t>
    <rPh sb="5" eb="7">
      <t>ソンシツ</t>
    </rPh>
    <phoneticPr fontId="1"/>
  </si>
  <si>
    <t>Min.(損失)</t>
    <rPh sb="5" eb="7">
      <t>ソンシツ</t>
    </rPh>
    <phoneticPr fontId="1"/>
  </si>
  <si>
    <t>Cables</t>
    <phoneticPr fontId="1"/>
  </si>
  <si>
    <t>Distributor(D)</t>
    <phoneticPr fontId="1"/>
  </si>
  <si>
    <t>Splitter(C)</t>
    <phoneticPr fontId="1"/>
  </si>
  <si>
    <t>受信
レベル</t>
    <rPh sb="0" eb="1">
      <t>ウケ</t>
    </rPh>
    <rPh sb="1" eb="2">
      <t>シン</t>
    </rPh>
    <phoneticPr fontId="1"/>
  </si>
  <si>
    <t>-2V/2W  Cables [m]</t>
    <phoneticPr fontId="1"/>
  </si>
  <si>
    <t>-FB  Cables [m]</t>
    <phoneticPr fontId="1"/>
  </si>
  <si>
    <t>TV-Input [dBμV]</t>
    <phoneticPr fontId="1"/>
  </si>
  <si>
    <t>Attenuation（減衰量）[dB]</t>
    <rPh sb="12" eb="13">
      <t>ゲン</t>
    </rPh>
    <rPh sb="13" eb="14">
      <t>スイ</t>
    </rPh>
    <rPh sb="14" eb="15">
      <t>リョウ</t>
    </rPh>
    <phoneticPr fontId="1"/>
  </si>
  <si>
    <t>電界強度[dB/dBμV]</t>
    <phoneticPr fontId="1"/>
  </si>
  <si>
    <t>配 線
方 式</t>
    <rPh sb="0" eb="1">
      <t>ハイ</t>
    </rPh>
    <rPh sb="2" eb="3">
      <t>セン</t>
    </rPh>
    <rPh sb="4" eb="5">
      <t>カタ</t>
    </rPh>
    <rPh sb="6" eb="7">
      <t>シキ</t>
    </rPh>
    <phoneticPr fontId="1"/>
  </si>
  <si>
    <t>階名</t>
    <rPh sb="0" eb="1">
      <t>カイ</t>
    </rPh>
    <rPh sb="1" eb="2">
      <t>メイ</t>
    </rPh>
    <phoneticPr fontId="1"/>
  </si>
  <si>
    <t>減衰量計算書</t>
    <rPh sb="0" eb="2">
      <t>ゲンスイ</t>
    </rPh>
    <rPh sb="2" eb="3">
      <t>リョウ</t>
    </rPh>
    <rPh sb="3" eb="5">
      <t>ケイサン</t>
    </rPh>
    <rPh sb="5" eb="6">
      <t>ショ</t>
    </rPh>
    <phoneticPr fontId="1"/>
  </si>
  <si>
    <t>配線方式確認↓</t>
    <rPh sb="0" eb="2">
      <t>ハイセン</t>
    </rPh>
    <rPh sb="2" eb="4">
      <t>ホウシキ</t>
    </rPh>
    <rPh sb="4" eb="6">
      <t>カクニン</t>
    </rPh>
    <phoneticPr fontId="1"/>
  </si>
  <si>
    <t>配線C部</t>
    <rPh sb="0" eb="2">
      <t>ハイセン</t>
    </rPh>
    <rPh sb="3" eb="4">
      <t>ブ</t>
    </rPh>
    <phoneticPr fontId="1"/>
  </si>
  <si>
    <t>幹　線　部</t>
    <rPh sb="0" eb="1">
      <t>ミキ</t>
    </rPh>
    <rPh sb="2" eb="3">
      <t>セン</t>
    </rPh>
    <rPh sb="4" eb="5">
      <t>ブ</t>
    </rPh>
    <phoneticPr fontId="1"/>
  </si>
  <si>
    <t>梁巻き余長</t>
    <rPh sb="0" eb="1">
      <t>ハリ</t>
    </rPh>
    <rPh sb="1" eb="2">
      <t>マ</t>
    </rPh>
    <rPh sb="3" eb="4">
      <t>ヨ</t>
    </rPh>
    <rPh sb="4" eb="5">
      <t>チョウ</t>
    </rPh>
    <phoneticPr fontId="1"/>
  </si>
  <si>
    <t>Wiring（C)</t>
    <phoneticPr fontId="1"/>
  </si>
  <si>
    <t>配線A/B部</t>
    <rPh sb="0" eb="2">
      <t>ハイセン</t>
    </rPh>
    <rPh sb="5" eb="6">
      <t>ブ</t>
    </rPh>
    <phoneticPr fontId="1"/>
  </si>
  <si>
    <t>Ⓒ</t>
    <phoneticPr fontId="1"/>
  </si>
  <si>
    <t>No.1Box</t>
    <phoneticPr fontId="1"/>
  </si>
  <si>
    <t>Wiring (A)(B)</t>
    <phoneticPr fontId="1"/>
  </si>
  <si>
    <t>端子盤の位置</t>
    <rPh sb="0" eb="3">
      <t>タンシバン</t>
    </rPh>
    <rPh sb="4" eb="6">
      <t>イチ</t>
    </rPh>
    <phoneticPr fontId="1"/>
  </si>
  <si>
    <t>配線方式</t>
    <rPh sb="0" eb="2">
      <t>ハイセン</t>
    </rPh>
    <rPh sb="2" eb="4">
      <t>ホウシキ</t>
    </rPh>
    <phoneticPr fontId="1"/>
  </si>
  <si>
    <t>6D</t>
    <phoneticPr fontId="1"/>
  </si>
  <si>
    <t>1C</t>
    <phoneticPr fontId="1"/>
  </si>
  <si>
    <t>dN-average</t>
    <phoneticPr fontId="1"/>
  </si>
  <si>
    <t>Trunk line</t>
    <phoneticPr fontId="1"/>
  </si>
  <si>
    <t>CATV引込</t>
    <rPh sb="4" eb="6">
      <t>ヒキコミ</t>
    </rPh>
    <phoneticPr fontId="1"/>
  </si>
  <si>
    <t>Ant.</t>
    <phoneticPr fontId="1"/>
  </si>
  <si>
    <t>--/5dB</t>
    <phoneticPr fontId="1"/>
  </si>
  <si>
    <t>--/3dB</t>
    <phoneticPr fontId="1"/>
  </si>
  <si>
    <t>3/12dB</t>
    <phoneticPr fontId="1"/>
  </si>
  <si>
    <t>3/10dB</t>
    <phoneticPr fontId="1"/>
  </si>
  <si>
    <t>12/--</t>
    <phoneticPr fontId="1"/>
  </si>
  <si>
    <t>12/--</t>
    <phoneticPr fontId="1"/>
  </si>
  <si>
    <t>8/--</t>
    <phoneticPr fontId="1"/>
  </si>
  <si>
    <t>4/--</t>
    <phoneticPr fontId="1"/>
  </si>
  <si>
    <t>4/--</t>
    <phoneticPr fontId="1"/>
  </si>
  <si>
    <t>5/11</t>
    <phoneticPr fontId="1"/>
  </si>
  <si>
    <t>3/11</t>
    <phoneticPr fontId="1"/>
  </si>
  <si>
    <t>3/11</t>
    <phoneticPr fontId="1"/>
  </si>
  <si>
    <t>2/11</t>
    <phoneticPr fontId="1"/>
  </si>
  <si>
    <t>(専)</t>
  </si>
  <si>
    <t>[m2]</t>
    <phoneticPr fontId="1"/>
  </si>
  <si>
    <t>4D</t>
    <phoneticPr fontId="1"/>
  </si>
  <si>
    <t>CS</t>
    <phoneticPr fontId="1"/>
  </si>
  <si>
    <t>BS</t>
    <phoneticPr fontId="1"/>
  </si>
  <si>
    <t>UHF</t>
    <phoneticPr fontId="1"/>
  </si>
  <si>
    <t>m</t>
    <phoneticPr fontId="1"/>
  </si>
  <si>
    <t>Piping</t>
    <phoneticPr fontId="1"/>
  </si>
  <si>
    <t>Cables</t>
    <phoneticPr fontId="1"/>
  </si>
  <si>
    <t>2-端子</t>
    <rPh sb="2" eb="4">
      <t>タンシ</t>
    </rPh>
    <phoneticPr fontId="1"/>
  </si>
  <si>
    <t>1-端子</t>
    <rPh sb="2" eb="4">
      <t>タンシ</t>
    </rPh>
    <phoneticPr fontId="1"/>
  </si>
  <si>
    <t>分配損失／結合損失[dB]</t>
    <rPh sb="0" eb="2">
      <t>ブンパイ</t>
    </rPh>
    <phoneticPr fontId="1"/>
  </si>
  <si>
    <t>分岐損失／結合損失[dB]</t>
    <rPh sb="0" eb="1">
      <t>ブン</t>
    </rPh>
    <rPh sb="1" eb="2">
      <t>チマタ</t>
    </rPh>
    <rPh sb="2" eb="4">
      <t>ソンシツ</t>
    </rPh>
    <rPh sb="5" eb="7">
      <t>ケツゴウ</t>
    </rPh>
    <rPh sb="7" eb="9">
      <t>ソンシツ</t>
    </rPh>
    <phoneticPr fontId="1"/>
  </si>
  <si>
    <t>室数</t>
    <phoneticPr fontId="1"/>
  </si>
  <si>
    <t>室数</t>
    <phoneticPr fontId="1"/>
  </si>
  <si>
    <t>床面積</t>
    <phoneticPr fontId="1"/>
  </si>
  <si>
    <t>Ⓒ</t>
    <phoneticPr fontId="1"/>
  </si>
  <si>
    <t>Ⓑ</t>
    <phoneticPr fontId="1"/>
  </si>
  <si>
    <t>Ⓐ</t>
    <phoneticPr fontId="1"/>
  </si>
  <si>
    <t>Ⓐ</t>
    <phoneticPr fontId="1"/>
  </si>
  <si>
    <t>終端端子</t>
    <rPh sb="0" eb="2">
      <t>シュウタン</t>
    </rPh>
    <rPh sb="2" eb="4">
      <t>タンシ</t>
    </rPh>
    <phoneticPr fontId="1"/>
  </si>
  <si>
    <t>中間端子</t>
    <rPh sb="0" eb="2">
      <t>チュウカン</t>
    </rPh>
    <rPh sb="2" eb="4">
      <t>タンシ</t>
    </rPh>
    <phoneticPr fontId="1"/>
  </si>
  <si>
    <t>4D</t>
    <phoneticPr fontId="1"/>
  </si>
  <si>
    <t>4C</t>
    <phoneticPr fontId="1"/>
  </si>
  <si>
    <t>2C</t>
    <phoneticPr fontId="1"/>
  </si>
  <si>
    <t>1C</t>
    <phoneticPr fontId="1"/>
  </si>
  <si>
    <t>dB／dBμV</t>
    <phoneticPr fontId="1"/>
  </si>
  <si>
    <t>UV-BC</t>
    <phoneticPr fontId="1"/>
  </si>
  <si>
    <t>UV-BC</t>
    <phoneticPr fontId="1"/>
  </si>
  <si>
    <t>BS-CS</t>
    <phoneticPr fontId="1"/>
  </si>
  <si>
    <t>U-U</t>
    <phoneticPr fontId="1"/>
  </si>
  <si>
    <t>2D</t>
    <phoneticPr fontId="1"/>
  </si>
  <si>
    <t>6D</t>
    <phoneticPr fontId="1"/>
  </si>
  <si>
    <t>S-Unit</t>
    <phoneticPr fontId="1"/>
  </si>
  <si>
    <t>S-Unit</t>
    <phoneticPr fontId="1"/>
  </si>
  <si>
    <t>直列ユニット[挿入損失/結合損失]</t>
    <rPh sb="0" eb="1">
      <t>チョク</t>
    </rPh>
    <rPh sb="1" eb="2">
      <t>レツ</t>
    </rPh>
    <rPh sb="7" eb="9">
      <t>ソウニュウ</t>
    </rPh>
    <rPh sb="9" eb="11">
      <t>ソンシツ</t>
    </rPh>
    <rPh sb="12" eb="14">
      <t>ケツゴウ</t>
    </rPh>
    <rPh sb="14" eb="16">
      <t>ソンシツ</t>
    </rPh>
    <phoneticPr fontId="1"/>
  </si>
  <si>
    <t>分　　　配　　　器</t>
    <rPh sb="0" eb="1">
      <t>ブン</t>
    </rPh>
    <rPh sb="4" eb="5">
      <t>ハイ</t>
    </rPh>
    <rPh sb="8" eb="9">
      <t>キ</t>
    </rPh>
    <phoneticPr fontId="1"/>
  </si>
  <si>
    <t>分　　岐　　器</t>
    <rPh sb="0" eb="1">
      <t>ブン</t>
    </rPh>
    <rPh sb="3" eb="4">
      <t>チマタ</t>
    </rPh>
    <rPh sb="6" eb="7">
      <t>ウツワ</t>
    </rPh>
    <phoneticPr fontId="1"/>
  </si>
  <si>
    <t>増 幅 器</t>
    <rPh sb="0" eb="1">
      <t>ゾウ</t>
    </rPh>
    <rPh sb="2" eb="3">
      <t>ハバ</t>
    </rPh>
    <rPh sb="4" eb="5">
      <t>キ</t>
    </rPh>
    <phoneticPr fontId="1"/>
  </si>
  <si>
    <t>混合器</t>
    <rPh sb="0" eb="3">
      <t>コンゴウキ</t>
    </rPh>
    <phoneticPr fontId="1"/>
  </si>
  <si>
    <t>消防法令別表第１</t>
    <rPh sb="0" eb="3">
      <t>ショウボウホウ</t>
    </rPh>
    <rPh sb="3" eb="4">
      <t>レイ</t>
    </rPh>
    <rPh sb="4" eb="6">
      <t>ベッピョウ</t>
    </rPh>
    <rPh sb="6" eb="7">
      <t>ダイ</t>
    </rPh>
    <phoneticPr fontId="1"/>
  </si>
  <si>
    <t>dN-average</t>
    <phoneticPr fontId="1"/>
  </si>
  <si>
    <t>Trunk line</t>
    <phoneticPr fontId="1"/>
  </si>
  <si>
    <t>8/--</t>
    <phoneticPr fontId="1"/>
  </si>
  <si>
    <t>4/--</t>
    <phoneticPr fontId="1"/>
  </si>
  <si>
    <t>5/11</t>
    <phoneticPr fontId="1"/>
  </si>
  <si>
    <t>3/11</t>
    <phoneticPr fontId="1"/>
  </si>
  <si>
    <t>2/11</t>
    <phoneticPr fontId="1"/>
  </si>
  <si>
    <t>[m2]</t>
    <phoneticPr fontId="1"/>
  </si>
  <si>
    <t>CS</t>
    <phoneticPr fontId="1"/>
  </si>
  <si>
    <t>UHF</t>
    <phoneticPr fontId="1"/>
  </si>
  <si>
    <t>Piping</t>
    <phoneticPr fontId="1"/>
  </si>
  <si>
    <t>Ⓒ</t>
    <phoneticPr fontId="1"/>
  </si>
  <si>
    <t>Ⓑ</t>
    <phoneticPr fontId="1"/>
  </si>
  <si>
    <t>dB／dBμV</t>
    <phoneticPr fontId="1"/>
  </si>
  <si>
    <t>BS-CS</t>
    <phoneticPr fontId="1"/>
  </si>
  <si>
    <t>U-U</t>
    <phoneticPr fontId="1"/>
  </si>
  <si>
    <t>Wiring（C)</t>
    <phoneticPr fontId="1"/>
  </si>
  <si>
    <t>Ⓒ</t>
    <phoneticPr fontId="1"/>
  </si>
  <si>
    <t>No.1Box</t>
    <phoneticPr fontId="1"/>
  </si>
  <si>
    <t>Wiring (A)(B)</t>
    <phoneticPr fontId="1"/>
  </si>
  <si>
    <t>▼</t>
    <phoneticPr fontId="1"/>
  </si>
  <si>
    <t>Ant.</t>
    <phoneticPr fontId="1"/>
  </si>
  <si>
    <t>--/5dB</t>
    <phoneticPr fontId="1"/>
  </si>
  <si>
    <t>--/3dB</t>
    <phoneticPr fontId="1"/>
  </si>
  <si>
    <t>3/12dB</t>
    <phoneticPr fontId="1"/>
  </si>
  <si>
    <t>3/10dB</t>
    <phoneticPr fontId="1"/>
  </si>
  <si>
    <t>12/--</t>
    <phoneticPr fontId="1"/>
  </si>
  <si>
    <t>CS</t>
    <phoneticPr fontId="1"/>
  </si>
  <si>
    <t>BS</t>
    <phoneticPr fontId="1"/>
  </si>
  <si>
    <t>UHF</t>
    <phoneticPr fontId="1"/>
  </si>
  <si>
    <t>m</t>
    <phoneticPr fontId="1"/>
  </si>
  <si>
    <t>Piping</t>
    <phoneticPr fontId="1"/>
  </si>
  <si>
    <t>室数</t>
    <phoneticPr fontId="1"/>
  </si>
  <si>
    <t>床面積</t>
    <phoneticPr fontId="1"/>
  </si>
  <si>
    <t>---</t>
    <phoneticPr fontId="1"/>
  </si>
  <si>
    <t>Ⓑ</t>
    <phoneticPr fontId="1"/>
  </si>
  <si>
    <t>Ⓐ</t>
    <phoneticPr fontId="1"/>
  </si>
  <si>
    <t>Wiring（C)</t>
    <phoneticPr fontId="1"/>
  </si>
  <si>
    <t>No.1Box</t>
    <phoneticPr fontId="1"/>
  </si>
  <si>
    <t>Wiring (A)(B)</t>
    <phoneticPr fontId="1"/>
  </si>
  <si>
    <t>6D</t>
    <phoneticPr fontId="1"/>
  </si>
  <si>
    <t>1C</t>
    <phoneticPr fontId="1"/>
  </si>
  <si>
    <t>dN-average</t>
    <phoneticPr fontId="1"/>
  </si>
  <si>
    <t>Trunk line</t>
    <phoneticPr fontId="1"/>
  </si>
  <si>
    <t>Ant.</t>
    <phoneticPr fontId="1"/>
  </si>
  <si>
    <t>--/5dB</t>
    <phoneticPr fontId="1"/>
  </si>
  <si>
    <t>--/3dB</t>
    <phoneticPr fontId="1"/>
  </si>
  <si>
    <t>3/12dB</t>
    <phoneticPr fontId="1"/>
  </si>
  <si>
    <t>3/10dB</t>
    <phoneticPr fontId="1"/>
  </si>
  <si>
    <t>8/--</t>
    <phoneticPr fontId="1"/>
  </si>
  <si>
    <t>5/11</t>
    <phoneticPr fontId="1"/>
  </si>
  <si>
    <t>2/11</t>
    <phoneticPr fontId="1"/>
  </si>
  <si>
    <t>[m2]</t>
    <phoneticPr fontId="1"/>
  </si>
  <si>
    <t>BS</t>
    <phoneticPr fontId="1"/>
  </si>
  <si>
    <t>m</t>
    <phoneticPr fontId="1"/>
  </si>
  <si>
    <t>Cables</t>
    <phoneticPr fontId="1"/>
  </si>
  <si>
    <t>床面積</t>
    <phoneticPr fontId="1"/>
  </si>
  <si>
    <t>4D</t>
    <phoneticPr fontId="1"/>
  </si>
  <si>
    <t>2D</t>
    <phoneticPr fontId="1"/>
  </si>
  <si>
    <t>4C</t>
    <phoneticPr fontId="1"/>
  </si>
  <si>
    <t>2C</t>
    <phoneticPr fontId="1"/>
  </si>
  <si>
    <t>dB／dBμV</t>
    <phoneticPr fontId="1"/>
  </si>
  <si>
    <t>UV-BC</t>
    <phoneticPr fontId="1"/>
  </si>
  <si>
    <t>BS-CS</t>
    <phoneticPr fontId="1"/>
  </si>
  <si>
    <t>U-U</t>
    <phoneticPr fontId="1"/>
  </si>
  <si>
    <t>2D</t>
    <phoneticPr fontId="1"/>
  </si>
  <si>
    <t>4C</t>
    <phoneticPr fontId="1"/>
  </si>
  <si>
    <t>2C</t>
    <phoneticPr fontId="1"/>
  </si>
  <si>
    <t>S-Unit</t>
    <phoneticPr fontId="1"/>
  </si>
  <si>
    <t>Wiring (A)(B)</t>
    <phoneticPr fontId="1"/>
  </si>
  <si>
    <t>Trunk line</t>
    <phoneticPr fontId="1"/>
  </si>
  <si>
    <t>dB／dBμV</t>
    <phoneticPr fontId="1"/>
  </si>
  <si>
    <t>UV-BC</t>
    <phoneticPr fontId="1"/>
  </si>
  <si>
    <t>BS-CS</t>
    <phoneticPr fontId="1"/>
  </si>
  <si>
    <t>U-U</t>
    <phoneticPr fontId="1"/>
  </si>
  <si>
    <t>No.1Box</t>
    <phoneticPr fontId="1"/>
  </si>
  <si>
    <t>dN-average</t>
    <phoneticPr fontId="1"/>
  </si>
  <si>
    <t>▼</t>
    <phoneticPr fontId="1"/>
  </si>
  <si>
    <t>Wiring（C)</t>
    <phoneticPr fontId="1"/>
  </si>
  <si>
    <t>Ⓒ</t>
    <phoneticPr fontId="1"/>
  </si>
  <si>
    <t>No.1Box</t>
    <phoneticPr fontId="1"/>
  </si>
  <si>
    <t>Wiring (A)(B)</t>
    <phoneticPr fontId="1"/>
  </si>
  <si>
    <t>6D</t>
    <phoneticPr fontId="1"/>
  </si>
  <si>
    <t>1C</t>
    <phoneticPr fontId="1"/>
  </si>
  <si>
    <t>dN-average</t>
    <phoneticPr fontId="1"/>
  </si>
  <si>
    <t>Trunk line</t>
    <phoneticPr fontId="1"/>
  </si>
  <si>
    <t>2D</t>
    <phoneticPr fontId="1"/>
  </si>
  <si>
    <t>6D</t>
    <phoneticPr fontId="1"/>
  </si>
  <si>
    <t>4D</t>
    <phoneticPr fontId="1"/>
  </si>
  <si>
    <t>1C</t>
    <phoneticPr fontId="1"/>
  </si>
  <si>
    <t>4C</t>
    <phoneticPr fontId="1"/>
  </si>
  <si>
    <t>2C</t>
    <phoneticPr fontId="1"/>
  </si>
  <si>
    <t>S-Unit</t>
    <phoneticPr fontId="1"/>
  </si>
  <si>
    <t>▼</t>
    <phoneticPr fontId="1"/>
  </si>
  <si>
    <t>Wiring（C)</t>
    <phoneticPr fontId="1"/>
  </si>
  <si>
    <t>Ⓒ</t>
    <phoneticPr fontId="1"/>
  </si>
  <si>
    <t>No.1Box</t>
    <phoneticPr fontId="1"/>
  </si>
  <si>
    <t>Wiring (A)(B)</t>
    <phoneticPr fontId="1"/>
  </si>
  <si>
    <t>dN-average</t>
    <phoneticPr fontId="1"/>
  </si>
  <si>
    <t>Trunk line</t>
    <phoneticPr fontId="1"/>
  </si>
  <si>
    <t>Ant.</t>
    <phoneticPr fontId="1"/>
  </si>
  <si>
    <t>--/5dB</t>
    <phoneticPr fontId="1"/>
  </si>
  <si>
    <t>--/3dB</t>
    <phoneticPr fontId="1"/>
  </si>
  <si>
    <t>3/12dB</t>
    <phoneticPr fontId="1"/>
  </si>
  <si>
    <t>3/10dB</t>
    <phoneticPr fontId="1"/>
  </si>
  <si>
    <t>12/--</t>
    <phoneticPr fontId="1"/>
  </si>
  <si>
    <t>8/--</t>
    <phoneticPr fontId="1"/>
  </si>
  <si>
    <t>4/--</t>
    <phoneticPr fontId="1"/>
  </si>
  <si>
    <t>5/11</t>
    <phoneticPr fontId="1"/>
  </si>
  <si>
    <t>3/11</t>
    <phoneticPr fontId="1"/>
  </si>
  <si>
    <t>2/11</t>
    <phoneticPr fontId="1"/>
  </si>
  <si>
    <t>[m2]</t>
    <phoneticPr fontId="1"/>
  </si>
  <si>
    <t>[m]</t>
    <phoneticPr fontId="1"/>
  </si>
  <si>
    <t>CS</t>
    <phoneticPr fontId="1"/>
  </si>
  <si>
    <t>BS</t>
    <phoneticPr fontId="1"/>
  </si>
  <si>
    <t>UHF</t>
    <phoneticPr fontId="1"/>
  </si>
  <si>
    <t>m</t>
    <phoneticPr fontId="1"/>
  </si>
  <si>
    <t>Piping</t>
    <phoneticPr fontId="1"/>
  </si>
  <si>
    <t>Cables</t>
    <phoneticPr fontId="1"/>
  </si>
  <si>
    <t>室数</t>
    <phoneticPr fontId="1"/>
  </si>
  <si>
    <t>床面積</t>
    <phoneticPr fontId="1"/>
  </si>
  <si>
    <t>---</t>
    <phoneticPr fontId="1"/>
  </si>
  <si>
    <t>Ⓑ</t>
    <phoneticPr fontId="1"/>
  </si>
  <si>
    <t>Ⓐ</t>
    <phoneticPr fontId="1"/>
  </si>
  <si>
    <t>Y</t>
    <phoneticPr fontId="1"/>
  </si>
  <si>
    <t>X</t>
    <phoneticPr fontId="1"/>
  </si>
  <si>
    <t>dB／dBμV</t>
    <phoneticPr fontId="1"/>
  </si>
  <si>
    <t>UV-BC</t>
    <phoneticPr fontId="1"/>
  </si>
  <si>
    <t>BS-CS</t>
    <phoneticPr fontId="1"/>
  </si>
  <si>
    <t>U-U</t>
    <phoneticPr fontId="1"/>
  </si>
  <si>
    <t>Wiring（C)</t>
    <phoneticPr fontId="1"/>
  </si>
  <si>
    <t>▼</t>
    <phoneticPr fontId="1"/>
  </si>
  <si>
    <t>6D</t>
    <phoneticPr fontId="1"/>
  </si>
  <si>
    <t>1C</t>
    <phoneticPr fontId="1"/>
  </si>
  <si>
    <t>dN-average</t>
    <phoneticPr fontId="1"/>
  </si>
  <si>
    <t>Trunk line</t>
    <phoneticPr fontId="1"/>
  </si>
  <si>
    <t>4D</t>
    <phoneticPr fontId="1"/>
  </si>
  <si>
    <t>6D</t>
    <phoneticPr fontId="1"/>
  </si>
  <si>
    <t>1C</t>
    <phoneticPr fontId="1"/>
  </si>
  <si>
    <t>CS</t>
    <phoneticPr fontId="1"/>
  </si>
  <si>
    <t>BS</t>
    <phoneticPr fontId="1"/>
  </si>
  <si>
    <t>UHF</t>
    <phoneticPr fontId="1"/>
  </si>
  <si>
    <t>m</t>
    <phoneticPr fontId="1"/>
  </si>
  <si>
    <t>Piping</t>
    <phoneticPr fontId="1"/>
  </si>
  <si>
    <t>Cables</t>
    <phoneticPr fontId="1"/>
  </si>
  <si>
    <t>室数</t>
    <phoneticPr fontId="1"/>
  </si>
  <si>
    <t>床面積</t>
    <phoneticPr fontId="1"/>
  </si>
  <si>
    <t>Ⓒ</t>
    <phoneticPr fontId="1"/>
  </si>
  <si>
    <t>Ⓑ</t>
    <phoneticPr fontId="1"/>
  </si>
  <si>
    <t>Ⓐ</t>
    <phoneticPr fontId="1"/>
  </si>
  <si>
    <t>Y</t>
    <phoneticPr fontId="1"/>
  </si>
  <si>
    <t>X</t>
    <phoneticPr fontId="1"/>
  </si>
  <si>
    <t>6D</t>
    <phoneticPr fontId="1"/>
  </si>
  <si>
    <t>4D</t>
    <phoneticPr fontId="1"/>
  </si>
  <si>
    <t>2D</t>
    <phoneticPr fontId="1"/>
  </si>
  <si>
    <t>4C</t>
    <phoneticPr fontId="1"/>
  </si>
  <si>
    <t>2C</t>
    <phoneticPr fontId="1"/>
  </si>
  <si>
    <t>1C</t>
    <phoneticPr fontId="1"/>
  </si>
  <si>
    <t>dB／dBμV</t>
    <phoneticPr fontId="1"/>
  </si>
  <si>
    <t>UV-BC</t>
    <phoneticPr fontId="1"/>
  </si>
  <si>
    <t>BS-CS</t>
    <phoneticPr fontId="1"/>
  </si>
  <si>
    <t>U-U</t>
    <phoneticPr fontId="1"/>
  </si>
  <si>
    <t>S-Unit</t>
    <phoneticPr fontId="1"/>
  </si>
  <si>
    <t>10C-2V</t>
    <phoneticPr fontId="1"/>
  </si>
  <si>
    <t>7C-2V</t>
    <phoneticPr fontId="1"/>
  </si>
  <si>
    <t>5C-2V</t>
    <phoneticPr fontId="1"/>
  </si>
  <si>
    <t>3C-2V</t>
    <phoneticPr fontId="1"/>
  </si>
  <si>
    <t>12D-FB</t>
    <phoneticPr fontId="1"/>
  </si>
  <si>
    <t>8D-FB</t>
    <phoneticPr fontId="1"/>
  </si>
  <si>
    <t>5D-FB</t>
    <phoneticPr fontId="1"/>
  </si>
  <si>
    <t>10C-FB</t>
    <phoneticPr fontId="1"/>
  </si>
  <si>
    <t>7C-FB</t>
    <phoneticPr fontId="1"/>
  </si>
  <si>
    <t>5C-FB</t>
    <phoneticPr fontId="1"/>
  </si>
  <si>
    <t>受信方式</t>
    <rPh sb="0" eb="2">
      <t>ジュシン</t>
    </rPh>
    <rPh sb="2" eb="4">
      <t>ホウシキ</t>
    </rPh>
    <phoneticPr fontId="1"/>
  </si>
  <si>
    <t>G-36mm</t>
    <phoneticPr fontId="1"/>
  </si>
  <si>
    <t>G-28mm</t>
    <phoneticPr fontId="1"/>
  </si>
  <si>
    <t>G-22mm</t>
    <phoneticPr fontId="1"/>
  </si>
  <si>
    <t>G-16mm</t>
    <phoneticPr fontId="1"/>
  </si>
  <si>
    <t>C-39mm</t>
    <phoneticPr fontId="1"/>
  </si>
  <si>
    <t>C-31mm</t>
    <phoneticPr fontId="1"/>
  </si>
  <si>
    <t>C-25mm</t>
    <phoneticPr fontId="1"/>
  </si>
  <si>
    <t>C-19mm</t>
    <phoneticPr fontId="1"/>
  </si>
  <si>
    <t>CD-16mm</t>
    <phoneticPr fontId="1"/>
  </si>
  <si>
    <t>PF-36mm</t>
    <phoneticPr fontId="1"/>
  </si>
  <si>
    <t>PF-28mm</t>
    <phoneticPr fontId="1"/>
  </si>
  <si>
    <t>PF-22mm</t>
    <phoneticPr fontId="1"/>
  </si>
  <si>
    <t>PF-16mm</t>
    <phoneticPr fontId="1"/>
  </si>
  <si>
    <t>基 　　準 　　設 　　定</t>
    <rPh sb="0" eb="1">
      <t>モト</t>
    </rPh>
    <rPh sb="4" eb="5">
      <t>ジュン</t>
    </rPh>
    <rPh sb="8" eb="9">
      <t>セツ</t>
    </rPh>
    <rPh sb="12" eb="13">
      <t>テイ</t>
    </rPh>
    <phoneticPr fontId="1"/>
  </si>
  <si>
    <t xml:space="preserve"> UHF×3，BS×1，CS×1</t>
    <phoneticPr fontId="1"/>
  </si>
  <si>
    <t>端子盤位置</t>
    <rPh sb="0" eb="3">
      <t>タンシバン</t>
    </rPh>
    <rPh sb="3" eb="5">
      <t>イチ</t>
    </rPh>
    <phoneticPr fontId="1"/>
  </si>
  <si>
    <t xml:space="preserve"> UHF×2，BS×1，CS×1</t>
    <phoneticPr fontId="1"/>
  </si>
  <si>
    <t>⑥</t>
    <phoneticPr fontId="1"/>
  </si>
  <si>
    <t>⑤</t>
    <phoneticPr fontId="1"/>
  </si>
  <si>
    <t>④</t>
    <phoneticPr fontId="1"/>
  </si>
  <si>
    <t>Cable</t>
    <phoneticPr fontId="1"/>
  </si>
  <si>
    <t xml:space="preserve"> UHF×1，BS×1，CS×1</t>
    <phoneticPr fontId="1"/>
  </si>
  <si>
    <t>⑨</t>
    <phoneticPr fontId="1"/>
  </si>
  <si>
    <t>I</t>
    <phoneticPr fontId="1"/>
  </si>
  <si>
    <t>⑧</t>
    <phoneticPr fontId="1"/>
  </si>
  <si>
    <t>⑦</t>
    <phoneticPr fontId="1"/>
  </si>
  <si>
    <t>修正</t>
    <phoneticPr fontId="1"/>
  </si>
  <si>
    <t>直列ユニット</t>
    <rPh sb="0" eb="2">
      <t>チョクレツ</t>
    </rPh>
    <phoneticPr fontId="1"/>
  </si>
  <si>
    <t xml:space="preserve"> UHF×3，BS×1</t>
    <phoneticPr fontId="1"/>
  </si>
  <si>
    <t>共聴機器</t>
    <rPh sb="0" eb="1">
      <t>トモ</t>
    </rPh>
    <rPh sb="1" eb="2">
      <t>テン</t>
    </rPh>
    <rPh sb="2" eb="4">
      <t>キキ</t>
    </rPh>
    <phoneticPr fontId="1"/>
  </si>
  <si>
    <t>天井-G 管</t>
    <rPh sb="0" eb="2">
      <t>テンジョウ</t>
    </rPh>
    <rPh sb="5" eb="6">
      <t>カン</t>
    </rPh>
    <phoneticPr fontId="1"/>
  </si>
  <si>
    <t xml:space="preserve"> UHF×2，BS×1</t>
    <phoneticPr fontId="1"/>
  </si>
  <si>
    <t>端子盤内</t>
    <rPh sb="0" eb="2">
      <t>タンシ</t>
    </rPh>
    <rPh sb="2" eb="4">
      <t>バンナイ</t>
    </rPh>
    <phoneticPr fontId="1"/>
  </si>
  <si>
    <t>端子盤の上端</t>
    <rPh sb="0" eb="3">
      <t>タンシバン</t>
    </rPh>
    <rPh sb="4" eb="6">
      <t>ウワバ</t>
    </rPh>
    <phoneticPr fontId="1"/>
  </si>
  <si>
    <t>基 準 設 定</t>
    <phoneticPr fontId="1"/>
  </si>
  <si>
    <t>天井-C 管</t>
    <rPh sb="0" eb="2">
      <t>テンジョウ</t>
    </rPh>
    <rPh sb="5" eb="6">
      <t>カン</t>
    </rPh>
    <phoneticPr fontId="1"/>
  </si>
  <si>
    <t xml:space="preserve"> UHF×1，BS×1</t>
    <phoneticPr fontId="1"/>
  </si>
  <si>
    <r>
      <t xml:space="preserve">梁巻配線長 </t>
    </r>
    <r>
      <rPr>
        <sz val="9"/>
        <color theme="0"/>
        <rFont val="ＭＳ Ｐ明朝"/>
        <family val="1"/>
        <charset val="128"/>
      </rPr>
      <t>[mm]</t>
    </r>
    <rPh sb="0" eb="1">
      <t>ハリ</t>
    </rPh>
    <rPh sb="1" eb="2">
      <t>マキ</t>
    </rPh>
    <rPh sb="2" eb="4">
      <t>ハイセン</t>
    </rPh>
    <rPh sb="4" eb="5">
      <t>チョウ</t>
    </rPh>
    <phoneticPr fontId="1"/>
  </si>
  <si>
    <r>
      <t xml:space="preserve">配線余長 </t>
    </r>
    <r>
      <rPr>
        <sz val="9"/>
        <color theme="0"/>
        <rFont val="ＭＳ Ｐ明朝"/>
        <family val="1"/>
        <charset val="128"/>
      </rPr>
      <t>[mm]</t>
    </r>
    <rPh sb="0" eb="2">
      <t>ハイセン</t>
    </rPh>
    <rPh sb="2" eb="4">
      <t>ヨチョウ</t>
    </rPh>
    <phoneticPr fontId="1"/>
  </si>
  <si>
    <r>
      <t xml:space="preserve">器具取付高さ </t>
    </r>
    <r>
      <rPr>
        <sz val="9"/>
        <color theme="0"/>
        <rFont val="ＭＳ Ｐ明朝"/>
        <family val="1"/>
        <charset val="128"/>
      </rPr>
      <t>[mm]</t>
    </r>
    <rPh sb="0" eb="2">
      <t>キグ</t>
    </rPh>
    <rPh sb="2" eb="4">
      <t>トリツケ</t>
    </rPh>
    <rPh sb="4" eb="5">
      <t>タカ</t>
    </rPh>
    <phoneticPr fontId="1"/>
  </si>
  <si>
    <t>天井-CD管</t>
    <rPh sb="0" eb="2">
      <t>テンジョウ</t>
    </rPh>
    <rPh sb="5" eb="6">
      <t>カン</t>
    </rPh>
    <phoneticPr fontId="1"/>
  </si>
  <si>
    <t xml:space="preserve"> UHF×3</t>
    <phoneticPr fontId="1"/>
  </si>
  <si>
    <t>天井-PF管</t>
    <rPh sb="0" eb="2">
      <t>テンジョウ</t>
    </rPh>
    <rPh sb="5" eb="6">
      <t>カン</t>
    </rPh>
    <phoneticPr fontId="1"/>
  </si>
  <si>
    <t xml:space="preserve"> UHF×2</t>
    <phoneticPr fontId="1"/>
  </si>
  <si>
    <t>雷保護設備</t>
    <rPh sb="0" eb="1">
      <t>ライ</t>
    </rPh>
    <rPh sb="1" eb="3">
      <t>ホゴ</t>
    </rPh>
    <rPh sb="3" eb="5">
      <t>セツビ</t>
    </rPh>
    <phoneticPr fontId="1"/>
  </si>
  <si>
    <t>Help</t>
    <phoneticPr fontId="1"/>
  </si>
  <si>
    <t>TopPage</t>
    <phoneticPr fontId="1"/>
  </si>
  <si>
    <t xml:space="preserve"> UHF×1</t>
    <phoneticPr fontId="1"/>
  </si>
  <si>
    <t xml:space="preserve">      +X3)・(Y1+Y2+Y3)－X2・Y2)</t>
    <phoneticPr fontId="1"/>
  </si>
  <si>
    <t xml:space="preserve">      －X3・Y2－X4・(Y2－Y5)－X5・(Y1+Y2－Y4))</t>
    <phoneticPr fontId="1"/>
  </si>
  <si>
    <r>
      <rPr>
        <b/>
        <sz val="5"/>
        <color rgb="FF002060"/>
        <rFont val="Meiryo UI"/>
        <family val="3"/>
        <charset val="128"/>
      </rPr>
      <t>ｎ</t>
    </r>
    <r>
      <rPr>
        <sz val="5"/>
        <color rgb="FF002060"/>
        <rFont val="Meiryo UI"/>
        <family val="3"/>
        <charset val="128"/>
      </rPr>
      <t>=(X1+X2+X3)^2／((X1+X2</t>
    </r>
    <phoneticPr fontId="1"/>
  </si>
  <si>
    <t xml:space="preserve">      +X3+X4+X5)・(Y1+Y2)－X1・Y2</t>
    <phoneticPr fontId="1"/>
  </si>
  <si>
    <r>
      <rPr>
        <b/>
        <sz val="5"/>
        <color rgb="FF002060"/>
        <rFont val="Meiryo UI"/>
        <family val="3"/>
        <charset val="128"/>
      </rPr>
      <t>ｎ</t>
    </r>
    <r>
      <rPr>
        <sz val="5"/>
        <color rgb="FF002060"/>
        <rFont val="Meiryo UI"/>
        <family val="3"/>
        <charset val="128"/>
      </rPr>
      <t>=(X1+X2+X3+X4+X5)^2／((X1+X2</t>
    </r>
    <phoneticPr fontId="1"/>
  </si>
  <si>
    <t>Y1</t>
    <phoneticPr fontId="1"/>
  </si>
  <si>
    <t>Y4</t>
    <phoneticPr fontId="1"/>
  </si>
  <si>
    <t>Y1</t>
    <phoneticPr fontId="1"/>
  </si>
  <si>
    <t>Y2</t>
    <phoneticPr fontId="1"/>
  </si>
  <si>
    <t>Y5</t>
    <phoneticPr fontId="1"/>
  </si>
  <si>
    <t>Y3</t>
    <phoneticPr fontId="1"/>
  </si>
  <si>
    <t>Y2</t>
    <phoneticPr fontId="1"/>
  </si>
  <si>
    <t>X3</t>
    <phoneticPr fontId="1"/>
  </si>
  <si>
    <t>X2</t>
    <phoneticPr fontId="1"/>
  </si>
  <si>
    <t>X1</t>
    <phoneticPr fontId="1"/>
  </si>
  <si>
    <t>X5</t>
    <phoneticPr fontId="1"/>
  </si>
  <si>
    <t>X5</t>
    <phoneticPr fontId="1"/>
  </si>
  <si>
    <t>X4</t>
    <phoneticPr fontId="1"/>
  </si>
  <si>
    <t>戻る</t>
    <rPh sb="0" eb="1">
      <t>モド</t>
    </rPh>
    <phoneticPr fontId="1"/>
  </si>
  <si>
    <t>type</t>
    <phoneticPr fontId="1"/>
  </si>
  <si>
    <t>Ｉ</t>
    <phoneticPr fontId="1"/>
  </si>
  <si>
    <t>Ｈ</t>
    <phoneticPr fontId="1"/>
  </si>
  <si>
    <t xml:space="preserve">      －Y4－Y5))</t>
    <phoneticPr fontId="1"/>
  </si>
  <si>
    <t xml:space="preserve">      －X4－X5)・Y3－X5・(Y3－Y5))</t>
    <phoneticPr fontId="1"/>
  </si>
  <si>
    <t xml:space="preserve">      X5)・Y5－X3・(Y1+Y2+Y3</t>
    <phoneticPr fontId="1"/>
  </si>
  <si>
    <t xml:space="preserve">      ・(Y1+Y2－Y3－Y4))</t>
    <phoneticPr fontId="1"/>
  </si>
  <si>
    <t xml:space="preserve">      －Y1)－X2・Y4－(X1+X2+X3</t>
    <phoneticPr fontId="1"/>
  </si>
  <si>
    <t xml:space="preserve">      －X4)・Y3－X1・Y2－(X3－</t>
    <phoneticPr fontId="1"/>
  </si>
  <si>
    <t xml:space="preserve">      －(X1+X2+X3－X4)</t>
    <phoneticPr fontId="1"/>
  </si>
  <si>
    <t xml:space="preserve">      －X1・Y1－X3・Y4)</t>
    <phoneticPr fontId="1"/>
  </si>
  <si>
    <t xml:space="preserve">      +X3)・(Y4+Y2+Y3)－X1・(Y4－</t>
    <phoneticPr fontId="1"/>
  </si>
  <si>
    <t xml:space="preserve">      +X3)・(Y1+Y2+Y3)－(X1－</t>
    <phoneticPr fontId="1"/>
  </si>
  <si>
    <t xml:space="preserve">      +X3)・(Y1+Y2)－X1・Y1－X3・Y3</t>
    <phoneticPr fontId="1"/>
  </si>
  <si>
    <t xml:space="preserve">      +X3)・(Y1+Y2+Y3)－X4・Y3</t>
    <phoneticPr fontId="1"/>
  </si>
  <si>
    <t>=</t>
    <phoneticPr fontId="1"/>
  </si>
  <si>
    <t>Y4</t>
    <phoneticPr fontId="1"/>
  </si>
  <si>
    <t>X3</t>
    <phoneticPr fontId="1"/>
  </si>
  <si>
    <t>X2</t>
    <phoneticPr fontId="1"/>
  </si>
  <si>
    <t>X1</t>
    <phoneticPr fontId="1"/>
  </si>
  <si>
    <t>=</t>
    <phoneticPr fontId="1"/>
  </si>
  <si>
    <t>Y3</t>
    <phoneticPr fontId="1"/>
  </si>
  <si>
    <t>I</t>
    <phoneticPr fontId="1"/>
  </si>
  <si>
    <t>H</t>
    <phoneticPr fontId="1"/>
  </si>
  <si>
    <t>G2</t>
    <phoneticPr fontId="1"/>
  </si>
  <si>
    <t>Y5</t>
    <phoneticPr fontId="1"/>
  </si>
  <si>
    <t>G1</t>
    <phoneticPr fontId="1"/>
  </si>
  <si>
    <t>F4</t>
    <phoneticPr fontId="1"/>
  </si>
  <si>
    <t>X4</t>
    <phoneticPr fontId="1"/>
  </si>
  <si>
    <t>F3</t>
    <phoneticPr fontId="1"/>
  </si>
  <si>
    <t>type</t>
    <phoneticPr fontId="1"/>
  </si>
  <si>
    <t>Ｇ２</t>
    <phoneticPr fontId="1"/>
  </si>
  <si>
    <t>Ｇ１</t>
    <phoneticPr fontId="1"/>
  </si>
  <si>
    <t>Ｆ４</t>
    <phoneticPr fontId="1"/>
  </si>
  <si>
    <t>Ｆ３</t>
    <phoneticPr fontId="1"/>
  </si>
  <si>
    <t>H</t>
    <phoneticPr fontId="1"/>
  </si>
  <si>
    <t>G2</t>
    <phoneticPr fontId="1"/>
  </si>
  <si>
    <t>G1</t>
    <phoneticPr fontId="1"/>
  </si>
  <si>
    <t xml:space="preserve">      ・(Y1+Y2+Y3－Y4))</t>
    <phoneticPr fontId="1"/>
  </si>
  <si>
    <t xml:space="preserve">      X1・Y1－(X1+X2－X3－X4)</t>
    <phoneticPr fontId="1"/>
  </si>
  <si>
    <t xml:space="preserve">      X2・Y3－(X1+X2－X3－X4)</t>
    <phoneticPr fontId="1"/>
  </si>
  <si>
    <t xml:space="preserve">      －X3)・(Y1+Y2－Y3))</t>
    <phoneticPr fontId="1"/>
  </si>
  <si>
    <t xml:space="preserve">      ・(Y1+Y2+Y3)－X3・Y3－</t>
    <phoneticPr fontId="1"/>
  </si>
  <si>
    <t xml:space="preserve">      ・(Y1+Y2)－X3・Y2－</t>
    <phoneticPr fontId="1"/>
  </si>
  <si>
    <t xml:space="preserve">      ・(Y1+Y2)－X1・Y1－(X1+X2</t>
    <phoneticPr fontId="1"/>
  </si>
  <si>
    <t xml:space="preserve">      ・(Y1+Y2)－X2・Y3－X3・Y2)</t>
    <phoneticPr fontId="1"/>
  </si>
  <si>
    <r>
      <rPr>
        <b/>
        <sz val="5"/>
        <color rgb="FF002060"/>
        <rFont val="Meiryo UI"/>
        <family val="3"/>
        <charset val="128"/>
      </rPr>
      <t>ｎ</t>
    </r>
    <r>
      <rPr>
        <sz val="5"/>
        <color rgb="FF002060"/>
        <rFont val="Meiryo UI"/>
        <family val="3"/>
        <charset val="128"/>
      </rPr>
      <t>=(X1+X2)^2／((X1+X2)</t>
    </r>
    <phoneticPr fontId="1"/>
  </si>
  <si>
    <t>Y2</t>
    <phoneticPr fontId="1"/>
  </si>
  <si>
    <t>F2</t>
    <phoneticPr fontId="1"/>
  </si>
  <si>
    <t>F1</t>
    <phoneticPr fontId="1"/>
  </si>
  <si>
    <t>E2</t>
    <phoneticPr fontId="1"/>
  </si>
  <si>
    <t>E1</t>
    <phoneticPr fontId="1"/>
  </si>
  <si>
    <t>Ｆ２</t>
    <phoneticPr fontId="1"/>
  </si>
  <si>
    <t>Ｆ１</t>
    <phoneticPr fontId="1"/>
  </si>
  <si>
    <t>Ｅ２</t>
    <phoneticPr fontId="1"/>
  </si>
  <si>
    <t>Ｅ１</t>
    <phoneticPr fontId="1"/>
  </si>
  <si>
    <t xml:space="preserve">      (X1+X2-X3)・Y3)</t>
    <phoneticPr fontId="1"/>
  </si>
  <si>
    <t xml:space="preserve">      (X2・Y1+(X1+X2)・Y2+</t>
    <phoneticPr fontId="1"/>
  </si>
  <si>
    <t xml:space="preserve">      (X1・Y1+(X1+X2)・Y2+X3・Y3)</t>
    <phoneticPr fontId="1"/>
  </si>
  <si>
    <t xml:space="preserve">     (X1・Y1+X2・Y3+(X1+X2+X3)・Y1)</t>
    <phoneticPr fontId="1"/>
  </si>
  <si>
    <t xml:space="preserve">     (X1・Y2+X2・(Y1+Y2)+X3・Y3)</t>
    <phoneticPr fontId="1"/>
  </si>
  <si>
    <r>
      <rPr>
        <b/>
        <sz val="5"/>
        <color rgb="FF002060"/>
        <rFont val="Meiryo UI"/>
        <family val="3"/>
        <charset val="128"/>
      </rPr>
      <t>ｎ</t>
    </r>
    <r>
      <rPr>
        <sz val="5"/>
        <color rgb="FF002060"/>
        <rFont val="Meiryo UI"/>
        <family val="3"/>
        <charset val="128"/>
      </rPr>
      <t>=(Y1+Y2+Y3)^2／</t>
    </r>
    <phoneticPr fontId="1"/>
  </si>
  <si>
    <r>
      <rPr>
        <b/>
        <sz val="5"/>
        <color rgb="FF002060"/>
        <rFont val="Meiryo UI"/>
        <family val="3"/>
        <charset val="128"/>
      </rPr>
      <t>ｎ</t>
    </r>
    <r>
      <rPr>
        <sz val="5"/>
        <color rgb="FF002060"/>
        <rFont val="Meiryo UI"/>
        <family val="3"/>
        <charset val="128"/>
      </rPr>
      <t>=(X1+X2+X3)^2／</t>
    </r>
    <phoneticPr fontId="1"/>
  </si>
  <si>
    <t>D4</t>
    <phoneticPr fontId="1"/>
  </si>
  <si>
    <t>D3</t>
    <phoneticPr fontId="1"/>
  </si>
  <si>
    <t>D2</t>
    <phoneticPr fontId="1"/>
  </si>
  <si>
    <t>D1</t>
    <phoneticPr fontId="1"/>
  </si>
  <si>
    <t>Ｄ４</t>
    <phoneticPr fontId="1"/>
  </si>
  <si>
    <t>Ｄ３</t>
    <phoneticPr fontId="1"/>
  </si>
  <si>
    <t>Ｄ２</t>
    <phoneticPr fontId="1"/>
  </si>
  <si>
    <t>Ｄ１</t>
    <phoneticPr fontId="1"/>
  </si>
  <si>
    <t xml:space="preserve">    ・Y3+ X1・Y2+X3・Y1)</t>
    <phoneticPr fontId="1"/>
  </si>
  <si>
    <t xml:space="preserve">      (X3・Y3+X2・Y2+(X1+X2)・Y1)</t>
    <phoneticPr fontId="1"/>
  </si>
  <si>
    <t xml:space="preserve">      (X1・Y1+X3・Y2+(X1+X2+X3)・Y3)</t>
    <phoneticPr fontId="1"/>
  </si>
  <si>
    <t xml:space="preserve">      (X1・Y2+X3・Y3+(X1+X2+X3)・Y1)</t>
    <phoneticPr fontId="1"/>
  </si>
  <si>
    <t xml:space="preserve"> </t>
    <phoneticPr fontId="1"/>
  </si>
  <si>
    <r>
      <rPr>
        <b/>
        <sz val="5"/>
        <color rgb="FF002060"/>
        <rFont val="Meiryo UI"/>
        <family val="3"/>
        <charset val="128"/>
      </rPr>
      <t>ｎ</t>
    </r>
    <r>
      <rPr>
        <sz val="5"/>
        <color rgb="FF002060"/>
        <rFont val="Meiryo UI"/>
        <family val="3"/>
        <charset val="128"/>
      </rPr>
      <t>=(Y1+Y2+Y3)^2／ ((X1+X2)</t>
    </r>
    <phoneticPr fontId="1"/>
  </si>
  <si>
    <r>
      <rPr>
        <b/>
        <sz val="5"/>
        <color rgb="FF002060"/>
        <rFont val="Meiryo UI"/>
        <family val="3"/>
        <charset val="128"/>
      </rPr>
      <t>ｎ</t>
    </r>
    <r>
      <rPr>
        <sz val="5"/>
        <color rgb="FF002060"/>
        <rFont val="Meiryo UI"/>
        <family val="3"/>
        <charset val="128"/>
      </rPr>
      <t>=(Y1+Y2+Y3)^2／</t>
    </r>
    <phoneticPr fontId="1"/>
  </si>
  <si>
    <r>
      <rPr>
        <b/>
        <sz val="5"/>
        <color rgb="FF002060"/>
        <rFont val="Meiryo UI"/>
        <family val="3"/>
        <charset val="128"/>
      </rPr>
      <t>ｎ</t>
    </r>
    <r>
      <rPr>
        <sz val="5"/>
        <color rgb="FF002060"/>
        <rFont val="Meiryo UI"/>
        <family val="3"/>
        <charset val="128"/>
      </rPr>
      <t>=(X1+X2+X3)^2／</t>
    </r>
    <phoneticPr fontId="1"/>
  </si>
  <si>
    <t>C4</t>
    <phoneticPr fontId="1"/>
  </si>
  <si>
    <t>C3</t>
    <phoneticPr fontId="1"/>
  </si>
  <si>
    <t>C2</t>
    <phoneticPr fontId="1"/>
  </si>
  <si>
    <t>C1</t>
    <phoneticPr fontId="1"/>
  </si>
  <si>
    <t>Ｃ４</t>
    <phoneticPr fontId="1"/>
  </si>
  <si>
    <t>Ｃ３</t>
    <phoneticPr fontId="1"/>
  </si>
  <si>
    <t>Ｃ２</t>
    <phoneticPr fontId="1"/>
  </si>
  <si>
    <t>Ｃ１</t>
    <phoneticPr fontId="1"/>
  </si>
  <si>
    <t>C4</t>
    <phoneticPr fontId="1"/>
  </si>
  <si>
    <t>C3</t>
    <phoneticPr fontId="1"/>
  </si>
  <si>
    <r>
      <t xml:space="preserve"> </t>
    </r>
    <r>
      <rPr>
        <b/>
        <sz val="5"/>
        <color rgb="FF002060"/>
        <rFont val="Meiryo UI"/>
        <family val="3"/>
        <charset val="128"/>
      </rPr>
      <t xml:space="preserve">    </t>
    </r>
    <r>
      <rPr>
        <sz val="5"/>
        <color rgb="FF002060"/>
        <rFont val="Meiryo UI"/>
        <family val="3"/>
        <charset val="128"/>
      </rPr>
      <t xml:space="preserve"> (X2・Y1+(X1+X2)・Y2)</t>
    </r>
    <phoneticPr fontId="1"/>
  </si>
  <si>
    <r>
      <t xml:space="preserve"> </t>
    </r>
    <r>
      <rPr>
        <b/>
        <sz val="5"/>
        <color rgb="FF002060"/>
        <rFont val="Meiryo UI"/>
        <family val="3"/>
        <charset val="128"/>
      </rPr>
      <t xml:space="preserve">    </t>
    </r>
    <r>
      <rPr>
        <sz val="5"/>
        <color rgb="FF002060"/>
        <rFont val="Meiryo UI"/>
        <family val="3"/>
        <charset val="128"/>
      </rPr>
      <t xml:space="preserve"> (X1・Y1+(X1+X2)・Y2)</t>
    </r>
    <phoneticPr fontId="1"/>
  </si>
  <si>
    <r>
      <t xml:space="preserve"> </t>
    </r>
    <r>
      <rPr>
        <b/>
        <sz val="5"/>
        <color rgb="FF002060"/>
        <rFont val="Meiryo UI"/>
        <family val="3"/>
        <charset val="128"/>
      </rPr>
      <t xml:space="preserve">    </t>
    </r>
    <r>
      <rPr>
        <sz val="5"/>
        <color rgb="FF002060"/>
        <rFont val="Meiryo UI"/>
        <family val="3"/>
        <charset val="128"/>
      </rPr>
      <t xml:space="preserve"> (X2・Y2+(X1+X2)・Y1)</t>
    </r>
    <phoneticPr fontId="1"/>
  </si>
  <si>
    <r>
      <t xml:space="preserve"> </t>
    </r>
    <r>
      <rPr>
        <b/>
        <sz val="5"/>
        <color rgb="FF002060"/>
        <rFont val="Meiryo UI"/>
        <family val="3"/>
        <charset val="128"/>
      </rPr>
      <t xml:space="preserve">    </t>
    </r>
    <r>
      <rPr>
        <sz val="5"/>
        <color rgb="FF002060"/>
        <rFont val="Meiryo UI"/>
        <family val="3"/>
        <charset val="128"/>
      </rPr>
      <t xml:space="preserve"> (X1・Y2+(X1+X2)・Y1)</t>
    </r>
    <phoneticPr fontId="1"/>
  </si>
  <si>
    <t>戻る
照明・差込</t>
    <rPh sb="0" eb="1">
      <t>モド</t>
    </rPh>
    <rPh sb="3" eb="5">
      <t>ショウメイ</t>
    </rPh>
    <rPh sb="6" eb="8">
      <t>サシコミ</t>
    </rPh>
    <phoneticPr fontId="1"/>
  </si>
  <si>
    <r>
      <rPr>
        <b/>
        <sz val="5"/>
        <color rgb="FF002060"/>
        <rFont val="Meiryo UI"/>
        <family val="3"/>
        <charset val="128"/>
      </rPr>
      <t>ｎ</t>
    </r>
    <r>
      <rPr>
        <sz val="5"/>
        <color rgb="FF002060"/>
        <rFont val="Meiryo UI"/>
        <family val="3"/>
        <charset val="128"/>
      </rPr>
      <t>=(X1+X2)^2/</t>
    </r>
    <phoneticPr fontId="1"/>
  </si>
  <si>
    <r>
      <rPr>
        <b/>
        <sz val="5"/>
        <color rgb="FF000099"/>
        <rFont val="Meiryo UI"/>
        <family val="3"/>
        <charset val="128"/>
      </rPr>
      <t>ｎ</t>
    </r>
    <r>
      <rPr>
        <sz val="5"/>
        <color rgb="FF000099"/>
        <rFont val="Meiryo UI"/>
        <family val="3"/>
        <charset val="128"/>
      </rPr>
      <t>=X1／Y1</t>
    </r>
    <phoneticPr fontId="1"/>
  </si>
  <si>
    <t>B4</t>
    <phoneticPr fontId="1"/>
  </si>
  <si>
    <t>B3</t>
    <phoneticPr fontId="1"/>
  </si>
  <si>
    <t>B2</t>
    <phoneticPr fontId="1"/>
  </si>
  <si>
    <t>B1</t>
    <phoneticPr fontId="1"/>
  </si>
  <si>
    <t>A</t>
    <phoneticPr fontId="1"/>
  </si>
  <si>
    <t>B3</t>
    <phoneticPr fontId="1"/>
  </si>
  <si>
    <t>B2</t>
    <phoneticPr fontId="1"/>
  </si>
  <si>
    <t>Ｂ４</t>
    <phoneticPr fontId="1"/>
  </si>
  <si>
    <t>Ｂ３</t>
    <phoneticPr fontId="1"/>
  </si>
  <si>
    <t>Ｂ２</t>
    <phoneticPr fontId="1"/>
  </si>
  <si>
    <t>Ｂ１</t>
    <phoneticPr fontId="1"/>
  </si>
  <si>
    <t>Ａ</t>
    <phoneticPr fontId="1"/>
  </si>
  <si>
    <t>Help</t>
    <phoneticPr fontId="1"/>
  </si>
  <si>
    <r>
      <t xml:space="preserve"> </t>
    </r>
    <r>
      <rPr>
        <sz val="7.5"/>
        <color rgb="FF000099"/>
        <rFont val="ＭＳ Ｐ明朝"/>
        <family val="1"/>
        <charset val="128"/>
      </rPr>
      <t>：</t>
    </r>
    <r>
      <rPr>
        <sz val="7.5"/>
        <color rgb="FF000099"/>
        <rFont val="Meiryo UI"/>
        <family val="3"/>
        <charset val="128"/>
      </rPr>
      <t>建物原点 (左下)</t>
    </r>
    <rPh sb="2" eb="4">
      <t>タテモノ</t>
    </rPh>
    <rPh sb="4" eb="6">
      <t>ゲンテン</t>
    </rPh>
    <rPh sb="8" eb="10">
      <t>ヒダリシタ</t>
    </rPh>
    <phoneticPr fontId="1"/>
  </si>
  <si>
    <t>形状係数 ｎ</t>
    <rPh sb="0" eb="2">
      <t>ケイジョウ</t>
    </rPh>
    <rPh sb="2" eb="4">
      <t>ケイスウ</t>
    </rPh>
    <phoneticPr fontId="1"/>
  </si>
  <si>
    <t>防滴</t>
    <rPh sb="0" eb="2">
      <t>ボウテキ</t>
    </rPh>
    <phoneticPr fontId="1"/>
  </si>
  <si>
    <t>カバ丸2</t>
    <rPh sb="2" eb="3">
      <t>マル</t>
    </rPh>
    <phoneticPr fontId="1"/>
  </si>
  <si>
    <t>カバ丸1</t>
    <rPh sb="2" eb="3">
      <t>マル</t>
    </rPh>
    <phoneticPr fontId="1"/>
  </si>
  <si>
    <t>カバ6連</t>
    <rPh sb="3" eb="4">
      <t>レン</t>
    </rPh>
    <phoneticPr fontId="1"/>
  </si>
  <si>
    <t>カバ5連</t>
    <rPh sb="3" eb="4">
      <t>レン</t>
    </rPh>
    <phoneticPr fontId="1"/>
  </si>
  <si>
    <t>Cn2PE-20A(250V)+ET</t>
    <phoneticPr fontId="1"/>
  </si>
  <si>
    <t>カバ4連</t>
    <rPh sb="3" eb="4">
      <t>レン</t>
    </rPh>
    <phoneticPr fontId="1"/>
  </si>
  <si>
    <t>Cn 2PE-20A(250V)</t>
    <phoneticPr fontId="1"/>
  </si>
  <si>
    <t>カバ3連</t>
    <rPh sb="3" eb="4">
      <t>レン</t>
    </rPh>
    <phoneticPr fontId="1"/>
  </si>
  <si>
    <t>Cn 2PE-20A(125V)+ET</t>
    <phoneticPr fontId="1"/>
  </si>
  <si>
    <t>カバ2連</t>
    <rPh sb="3" eb="4">
      <t>レン</t>
    </rPh>
    <phoneticPr fontId="1"/>
  </si>
  <si>
    <t>Cn 2PE-20A(125V)</t>
    <phoneticPr fontId="1"/>
  </si>
  <si>
    <t>カバ1連</t>
    <rPh sb="3" eb="4">
      <t>レン</t>
    </rPh>
    <phoneticPr fontId="1"/>
  </si>
  <si>
    <t>CnEL 2PE-15A(125V)</t>
    <phoneticPr fontId="1"/>
  </si>
  <si>
    <t>6連</t>
    <rPh sb="1" eb="2">
      <t>レン</t>
    </rPh>
    <phoneticPr fontId="1"/>
  </si>
  <si>
    <t>CnEL 2P-15A(125V)</t>
    <phoneticPr fontId="1"/>
  </si>
  <si>
    <t>5連</t>
    <rPh sb="1" eb="2">
      <t>レン</t>
    </rPh>
    <phoneticPr fontId="1"/>
  </si>
  <si>
    <t>Cn 2PE-15A(125V)</t>
    <phoneticPr fontId="1"/>
  </si>
  <si>
    <t>4連</t>
    <rPh sb="1" eb="2">
      <t>レン</t>
    </rPh>
    <phoneticPr fontId="1"/>
  </si>
  <si>
    <t>Cn 2P-15A(125V)</t>
    <phoneticPr fontId="1"/>
  </si>
  <si>
    <t>3連</t>
    <rPh sb="1" eb="2">
      <t>レン</t>
    </rPh>
    <phoneticPr fontId="1"/>
  </si>
  <si>
    <t>Cn3連 2P-15A(125V)</t>
    <rPh sb="3" eb="4">
      <t>レン</t>
    </rPh>
    <phoneticPr fontId="1"/>
  </si>
  <si>
    <t>2連</t>
    <rPh sb="1" eb="2">
      <t>レン</t>
    </rPh>
    <phoneticPr fontId="1"/>
  </si>
  <si>
    <t>Cn2連 2P-15A(125V)</t>
    <rPh sb="3" eb="4">
      <t>レン</t>
    </rPh>
    <phoneticPr fontId="1"/>
  </si>
  <si>
    <t>1連</t>
    <rPh sb="1" eb="2">
      <t>レン</t>
    </rPh>
    <phoneticPr fontId="1"/>
  </si>
  <si>
    <t>Sw 4HN-15A(200V)</t>
    <phoneticPr fontId="1"/>
  </si>
  <si>
    <t>Sw 3HN-15A(200V)</t>
    <phoneticPr fontId="1"/>
  </si>
  <si>
    <t>腰高</t>
    <rPh sb="0" eb="1">
      <t>コシ</t>
    </rPh>
    <rPh sb="1" eb="2">
      <t>タカ</t>
    </rPh>
    <phoneticPr fontId="1"/>
  </si>
  <si>
    <t>Sw 1HN-15A(200V)</t>
    <phoneticPr fontId="1"/>
  </si>
  <si>
    <t>カバ丸</t>
    <rPh sb="2" eb="3">
      <t>マル</t>
    </rPh>
    <phoneticPr fontId="1"/>
  </si>
  <si>
    <t>Sw 4HN-15A(100V)</t>
    <phoneticPr fontId="1"/>
  </si>
  <si>
    <t>カバ角</t>
    <rPh sb="2" eb="3">
      <t>カク</t>
    </rPh>
    <phoneticPr fontId="1"/>
  </si>
  <si>
    <t>Sw 3HN-15A(100V)</t>
    <phoneticPr fontId="1"/>
  </si>
  <si>
    <t>Sw 1HN-15A(100V)</t>
    <phoneticPr fontId="1"/>
  </si>
  <si>
    <t>Sw 4N-15A(300V)</t>
    <phoneticPr fontId="1"/>
  </si>
  <si>
    <t>Sw 3N-15A(300V)</t>
    <phoneticPr fontId="1"/>
  </si>
  <si>
    <t>Sw 2N-15A(300V)</t>
    <phoneticPr fontId="1"/>
  </si>
  <si>
    <t>Sw 1N-15A(300V)</t>
    <phoneticPr fontId="1"/>
  </si>
  <si>
    <t>プレート</t>
    <phoneticPr fontId="1"/>
  </si>
  <si>
    <t>Sw 4W-15A(300V)</t>
    <phoneticPr fontId="1"/>
  </si>
  <si>
    <t>取 付 枠</t>
    <rPh sb="0" eb="1">
      <t>トリ</t>
    </rPh>
    <rPh sb="2" eb="3">
      <t>ツキ</t>
    </rPh>
    <rPh sb="4" eb="5">
      <t>ワク</t>
    </rPh>
    <phoneticPr fontId="1"/>
  </si>
  <si>
    <t>絶縁2</t>
    <rPh sb="0" eb="2">
      <t>ゼツエン</t>
    </rPh>
    <phoneticPr fontId="1"/>
  </si>
  <si>
    <t>Sw 3W-15A(300V)</t>
    <phoneticPr fontId="1"/>
  </si>
  <si>
    <t>材料費</t>
    <rPh sb="0" eb="2">
      <t>ザイリョウ</t>
    </rPh>
    <rPh sb="2" eb="3">
      <t>ヒ</t>
    </rPh>
    <phoneticPr fontId="1"/>
  </si>
  <si>
    <t>配線器具</t>
    <rPh sb="0" eb="2">
      <t>ハイセン</t>
    </rPh>
    <rPh sb="2" eb="4">
      <t>キグ</t>
    </rPh>
    <phoneticPr fontId="1"/>
  </si>
  <si>
    <t>絶縁1</t>
    <rPh sb="0" eb="2">
      <t>ゼツエン</t>
    </rPh>
    <phoneticPr fontId="1"/>
  </si>
  <si>
    <t>Sw 2P-15A(300V)</t>
    <phoneticPr fontId="1"/>
  </si>
  <si>
    <t>Sw 1P-15A(300V)</t>
    <phoneticPr fontId="1"/>
  </si>
  <si>
    <t>修</t>
    <rPh sb="0" eb="1">
      <t>シュウ</t>
    </rPh>
    <phoneticPr fontId="1"/>
  </si>
  <si>
    <t>単　　価</t>
    <rPh sb="0" eb="1">
      <t>タン</t>
    </rPh>
    <rPh sb="3" eb="4">
      <t>アタイ</t>
    </rPh>
    <phoneticPr fontId="1"/>
  </si>
  <si>
    <t>規格</t>
    <rPh sb="0" eb="2">
      <t>キカク</t>
    </rPh>
    <phoneticPr fontId="1"/>
  </si>
  <si>
    <t>枚数</t>
    <rPh sb="0" eb="2">
      <t>マイスウ</t>
    </rPh>
    <phoneticPr fontId="1"/>
  </si>
  <si>
    <t>歩掛</t>
    <phoneticPr fontId="1"/>
  </si>
  <si>
    <t>単　価</t>
    <rPh sb="0" eb="1">
      <t>タン</t>
    </rPh>
    <rPh sb="2" eb="3">
      <t>アタイ</t>
    </rPh>
    <phoneticPr fontId="1"/>
  </si>
  <si>
    <t>名称・規格</t>
    <rPh sb="0" eb="2">
      <t>メイショウ</t>
    </rPh>
    <rPh sb="3" eb="5">
      <t>キカク</t>
    </rPh>
    <phoneticPr fontId="1"/>
  </si>
  <si>
    <t>SUSプレート</t>
    <phoneticPr fontId="1"/>
  </si>
  <si>
    <t>新金属プレート</t>
    <rPh sb="0" eb="1">
      <t>シン</t>
    </rPh>
    <rPh sb="1" eb="3">
      <t>キンゾク</t>
    </rPh>
    <phoneticPr fontId="1"/>
  </si>
  <si>
    <t>樹脂プレート</t>
    <rPh sb="0" eb="2">
      <t>ジュシ</t>
    </rPh>
    <phoneticPr fontId="1"/>
  </si>
  <si>
    <t>取　付　枠</t>
    <rPh sb="0" eb="1">
      <t>トリ</t>
    </rPh>
    <rPh sb="2" eb="3">
      <t>ツキ</t>
    </rPh>
    <rPh sb="4" eb="5">
      <t>ワク</t>
    </rPh>
    <phoneticPr fontId="1"/>
  </si>
  <si>
    <t>配　　　　線　　　　器　　　　具</t>
    <rPh sb="0" eb="1">
      <t>ハイ</t>
    </rPh>
    <rPh sb="5" eb="6">
      <t>セン</t>
    </rPh>
    <rPh sb="10" eb="11">
      <t>キ</t>
    </rPh>
    <rPh sb="15" eb="16">
      <t>グ</t>
    </rPh>
    <phoneticPr fontId="1"/>
  </si>
  <si>
    <t>⇒修正値⇒</t>
    <rPh sb="1" eb="3">
      <t>シュウセイ</t>
    </rPh>
    <rPh sb="3" eb="4">
      <t>チ</t>
    </rPh>
    <phoneticPr fontId="1"/>
  </si>
  <si>
    <t>盤工数</t>
    <rPh sb="0" eb="1">
      <t>バン</t>
    </rPh>
    <rPh sb="1" eb="3">
      <t>コウスウ</t>
    </rPh>
    <phoneticPr fontId="1"/>
  </si>
  <si>
    <t>MCCB 3P-400A</t>
    <phoneticPr fontId="1"/>
  </si>
  <si>
    <t>MCCB 4P-400A</t>
    <phoneticPr fontId="84"/>
  </si>
  <si>
    <t>MCCB 3P-250A</t>
    <phoneticPr fontId="1"/>
  </si>
  <si>
    <t>MCCB 4P-225A</t>
    <phoneticPr fontId="84"/>
  </si>
  <si>
    <t>MCCB 3P-225A</t>
    <phoneticPr fontId="1"/>
  </si>
  <si>
    <t>MCCB 4P-100A</t>
    <phoneticPr fontId="84"/>
  </si>
  <si>
    <t>MCCB 3P-100A</t>
    <phoneticPr fontId="1"/>
  </si>
  <si>
    <t>MCCB 4P- 50A</t>
    <phoneticPr fontId="84"/>
  </si>
  <si>
    <t>MCCB 3P- 50A</t>
    <phoneticPr fontId="1"/>
  </si>
  <si>
    <t>MCCB 4P- 30A</t>
    <phoneticPr fontId="84"/>
  </si>
  <si>
    <t>MCCB 2P- 50A</t>
    <phoneticPr fontId="1"/>
  </si>
  <si>
    <t>MCCB 3P-400A</t>
    <phoneticPr fontId="84"/>
  </si>
  <si>
    <t>負荷  55 KW以下</t>
    <rPh sb="0" eb="2">
      <t>フカ</t>
    </rPh>
    <rPh sb="9" eb="11">
      <t>イカ</t>
    </rPh>
    <phoneticPr fontId="84"/>
  </si>
  <si>
    <t>MCCB 3P-225A</t>
    <phoneticPr fontId="84"/>
  </si>
  <si>
    <t>負荷  45 KW以下</t>
    <rPh sb="0" eb="2">
      <t>フカ</t>
    </rPh>
    <rPh sb="9" eb="11">
      <t>イカ</t>
    </rPh>
    <phoneticPr fontId="84"/>
  </si>
  <si>
    <t>MCCB 3P-100A</t>
    <phoneticPr fontId="84"/>
  </si>
  <si>
    <t>負荷  37 KW以下</t>
    <rPh sb="0" eb="2">
      <t>フカ</t>
    </rPh>
    <rPh sb="9" eb="11">
      <t>イカ</t>
    </rPh>
    <phoneticPr fontId="84"/>
  </si>
  <si>
    <t>MCCB 3P- 50A</t>
    <phoneticPr fontId="84"/>
  </si>
  <si>
    <t>負荷  30 KW以下</t>
    <rPh sb="0" eb="2">
      <t>フカ</t>
    </rPh>
    <rPh sb="9" eb="11">
      <t>イカ</t>
    </rPh>
    <phoneticPr fontId="84"/>
  </si>
  <si>
    <t>MCCB 3P- 30A</t>
    <phoneticPr fontId="84"/>
  </si>
  <si>
    <t>負荷  22 KW以下</t>
    <rPh sb="0" eb="2">
      <t>フカ</t>
    </rPh>
    <rPh sb="9" eb="11">
      <t>イカ</t>
    </rPh>
    <phoneticPr fontId="84"/>
  </si>
  <si>
    <t>MCCB 2P-400A</t>
    <phoneticPr fontId="84"/>
  </si>
  <si>
    <t>負荷  15 KW以下</t>
    <rPh sb="0" eb="2">
      <t>フカ</t>
    </rPh>
    <rPh sb="9" eb="11">
      <t>イカ</t>
    </rPh>
    <phoneticPr fontId="84"/>
  </si>
  <si>
    <t>MCCB 2P-225A</t>
    <phoneticPr fontId="84"/>
  </si>
  <si>
    <t>負荷  11 KW以下</t>
    <rPh sb="0" eb="2">
      <t>フカ</t>
    </rPh>
    <rPh sb="9" eb="11">
      <t>イカ</t>
    </rPh>
    <phoneticPr fontId="84"/>
  </si>
  <si>
    <t>MCCB 2P-100A</t>
    <phoneticPr fontId="84"/>
  </si>
  <si>
    <t>負荷  7.5KW以下</t>
    <rPh sb="0" eb="2">
      <t>フカ</t>
    </rPh>
    <rPh sb="9" eb="11">
      <t>イカ</t>
    </rPh>
    <phoneticPr fontId="84"/>
  </si>
  <si>
    <t>MCCB 2P- 50A</t>
    <phoneticPr fontId="84"/>
  </si>
  <si>
    <t>負荷  5.5KW以下</t>
    <rPh sb="0" eb="2">
      <t>フカ</t>
    </rPh>
    <rPh sb="9" eb="11">
      <t>イカ</t>
    </rPh>
    <phoneticPr fontId="84"/>
  </si>
  <si>
    <t>MCCB 2P- 30A</t>
    <phoneticPr fontId="84"/>
  </si>
  <si>
    <t>負荷  3.7KW以下</t>
    <rPh sb="0" eb="2">
      <t>フカ</t>
    </rPh>
    <rPh sb="9" eb="11">
      <t>イカ</t>
    </rPh>
    <phoneticPr fontId="84"/>
  </si>
  <si>
    <t>MCCB 1P- 50A</t>
    <phoneticPr fontId="84"/>
  </si>
  <si>
    <t>負荷  2.2KW以下</t>
    <rPh sb="0" eb="2">
      <t>フカ</t>
    </rPh>
    <rPh sb="9" eb="11">
      <t>イカ</t>
    </rPh>
    <phoneticPr fontId="84"/>
  </si>
  <si>
    <t>MCCB 1P- 30A</t>
    <phoneticPr fontId="84"/>
  </si>
  <si>
    <t>歩 掛</t>
    <rPh sb="0" eb="1">
      <t>ホヘイ</t>
    </rPh>
    <rPh sb="2" eb="3">
      <t>カ</t>
    </rPh>
    <phoneticPr fontId="84"/>
  </si>
  <si>
    <t>数量</t>
    <rPh sb="0" eb="2">
      <t>スウリョウ</t>
    </rPh>
    <phoneticPr fontId="84"/>
  </si>
  <si>
    <t>制御盤工数</t>
    <rPh sb="0" eb="2">
      <t>セイギョ</t>
    </rPh>
    <rPh sb="2" eb="3">
      <t>バン</t>
    </rPh>
    <rPh sb="3" eb="5">
      <t>コウスウ</t>
    </rPh>
    <phoneticPr fontId="84"/>
  </si>
  <si>
    <t>分電盤工数</t>
    <rPh sb="0" eb="3">
      <t>ブン</t>
    </rPh>
    <rPh sb="3" eb="5">
      <t>コウスウ</t>
    </rPh>
    <phoneticPr fontId="84"/>
  </si>
  <si>
    <t>盤類工数</t>
    <rPh sb="0" eb="1">
      <t>バン</t>
    </rPh>
    <rPh sb="1" eb="2">
      <t>ルイ</t>
    </rPh>
    <rPh sb="2" eb="4">
      <t>コウスウ</t>
    </rPh>
    <phoneticPr fontId="1"/>
  </si>
  <si>
    <t>表 示 器</t>
    <rPh sb="0" eb="3">
      <t>ヒョウジ</t>
    </rPh>
    <rPh sb="4" eb="5">
      <t>キ</t>
    </rPh>
    <phoneticPr fontId="84"/>
  </si>
  <si>
    <t>電動機接続</t>
    <rPh sb="0" eb="3">
      <t>デンドウキ</t>
    </rPh>
    <rPh sb="3" eb="5">
      <t>セツゾク</t>
    </rPh>
    <phoneticPr fontId="84"/>
  </si>
  <si>
    <t>プルボックス</t>
    <phoneticPr fontId="84"/>
  </si>
  <si>
    <t>バスダクト</t>
    <phoneticPr fontId="84"/>
  </si>
  <si>
    <t>600V HP</t>
    <phoneticPr fontId="84"/>
  </si>
  <si>
    <t>端 子 盤</t>
    <rPh sb="0" eb="3">
      <t>タンシ</t>
    </rPh>
    <rPh sb="4" eb="5">
      <t>バン</t>
    </rPh>
    <phoneticPr fontId="84"/>
  </si>
  <si>
    <t>接地工事</t>
    <rPh sb="0" eb="2">
      <t>セッチ</t>
    </rPh>
    <rPh sb="2" eb="4">
      <t>コウジ</t>
    </rPh>
    <phoneticPr fontId="84"/>
  </si>
  <si>
    <t>制 御 盤</t>
    <rPh sb="0" eb="3">
      <t>セイギョ</t>
    </rPh>
    <rPh sb="4" eb="5">
      <t>バン</t>
    </rPh>
    <phoneticPr fontId="84"/>
  </si>
  <si>
    <t>600V FP</t>
    <phoneticPr fontId="84"/>
  </si>
  <si>
    <t>分 電 盤</t>
    <rPh sb="0" eb="1">
      <t>ブン</t>
    </rPh>
    <rPh sb="2" eb="3">
      <t>デン</t>
    </rPh>
    <rPh sb="4" eb="5">
      <t>バン</t>
    </rPh>
    <phoneticPr fontId="84"/>
  </si>
  <si>
    <t>位置ボックス</t>
    <rPh sb="0" eb="2">
      <t>イチ</t>
    </rPh>
    <phoneticPr fontId="84"/>
  </si>
  <si>
    <t>配管 PF/CD</t>
    <rPh sb="0" eb="2">
      <t>ハイカン</t>
    </rPh>
    <phoneticPr fontId="84"/>
  </si>
  <si>
    <t>シｰルド</t>
    <phoneticPr fontId="84"/>
  </si>
  <si>
    <t>照明器具-3</t>
    <rPh sb="0" eb="2">
      <t>ショウメイ</t>
    </rPh>
    <rPh sb="2" eb="4">
      <t>キグ</t>
    </rPh>
    <phoneticPr fontId="84"/>
  </si>
  <si>
    <t>避雷針工事</t>
    <rPh sb="0" eb="5">
      <t>デンドウキ</t>
    </rPh>
    <phoneticPr fontId="84"/>
  </si>
  <si>
    <t>架　線</t>
    <rPh sb="0" eb="3">
      <t>カセン</t>
    </rPh>
    <phoneticPr fontId="84"/>
  </si>
  <si>
    <t>受変電-５</t>
    <rPh sb="0" eb="1">
      <t>ジュ</t>
    </rPh>
    <rPh sb="1" eb="3">
      <t>ヘンデン</t>
    </rPh>
    <phoneticPr fontId="84"/>
  </si>
  <si>
    <t>配管(GP)</t>
    <rPh sb="0" eb="2">
      <t>ハイカン</t>
    </rPh>
    <phoneticPr fontId="84"/>
  </si>
  <si>
    <t>同軸</t>
    <rPh sb="0" eb="2">
      <t>ドウジク</t>
    </rPh>
    <phoneticPr fontId="84"/>
  </si>
  <si>
    <t>端末処理</t>
    <rPh sb="0" eb="2">
      <t>タンマツ</t>
    </rPh>
    <rPh sb="2" eb="4">
      <t>ショリ</t>
    </rPh>
    <phoneticPr fontId="84"/>
  </si>
  <si>
    <t>照明器具-2</t>
    <rPh sb="0" eb="2">
      <t>ショウメイ</t>
    </rPh>
    <rPh sb="2" eb="4">
      <t>キグ</t>
    </rPh>
    <phoneticPr fontId="84"/>
  </si>
  <si>
    <t>自火報 他</t>
    <rPh sb="0" eb="1">
      <t>ジ</t>
    </rPh>
    <rPh sb="1" eb="3">
      <t>カホウ</t>
    </rPh>
    <rPh sb="4" eb="5">
      <t>ホカ</t>
    </rPh>
    <phoneticPr fontId="84"/>
  </si>
  <si>
    <t>支　線</t>
    <rPh sb="0" eb="3">
      <t>シセン</t>
    </rPh>
    <phoneticPr fontId="84"/>
  </si>
  <si>
    <t>受変電-４</t>
    <rPh sb="0" eb="1">
      <t>ジュ</t>
    </rPh>
    <rPh sb="1" eb="3">
      <t>ヘンデン</t>
    </rPh>
    <phoneticPr fontId="84"/>
  </si>
  <si>
    <t>フロァダクト</t>
    <phoneticPr fontId="84"/>
  </si>
  <si>
    <t>配管(FEP)</t>
    <rPh sb="0" eb="2">
      <t>ハイカン</t>
    </rPh>
    <phoneticPr fontId="84"/>
  </si>
  <si>
    <t>TIVF</t>
    <phoneticPr fontId="84"/>
  </si>
  <si>
    <t>6KV CV-T</t>
    <phoneticPr fontId="84"/>
  </si>
  <si>
    <t>照明器具-1</t>
    <rPh sb="0" eb="2">
      <t>ショウメイ</t>
    </rPh>
    <rPh sb="2" eb="4">
      <t>キグ</t>
    </rPh>
    <phoneticPr fontId="84"/>
  </si>
  <si>
    <t>テレビ共聴</t>
    <rPh sb="3" eb="5">
      <t>キョウドウ</t>
    </rPh>
    <phoneticPr fontId="84"/>
  </si>
  <si>
    <t>装　柱</t>
    <rPh sb="0" eb="1">
      <t>ソウチ</t>
    </rPh>
    <rPh sb="2" eb="3">
      <t>ハシラ</t>
    </rPh>
    <phoneticPr fontId="84"/>
  </si>
  <si>
    <t>受変電-３</t>
    <rPh sb="0" eb="1">
      <t>ジュ</t>
    </rPh>
    <rPh sb="1" eb="3">
      <t>ヘンデン</t>
    </rPh>
    <phoneticPr fontId="84"/>
  </si>
  <si>
    <t>線 ぴ</t>
    <rPh sb="0" eb="1">
      <t>セン</t>
    </rPh>
    <phoneticPr fontId="84"/>
  </si>
  <si>
    <t>配管(VE)</t>
    <rPh sb="0" eb="2">
      <t>ハイカン</t>
    </rPh>
    <phoneticPr fontId="84"/>
  </si>
  <si>
    <t>CPEV</t>
    <phoneticPr fontId="84"/>
  </si>
  <si>
    <t>600V CV</t>
    <phoneticPr fontId="84"/>
  </si>
  <si>
    <t>配線器具-2</t>
    <rPh sb="0" eb="2">
      <t>ハイセン</t>
    </rPh>
    <rPh sb="2" eb="4">
      <t>キグ</t>
    </rPh>
    <phoneticPr fontId="84"/>
  </si>
  <si>
    <t>放送･時計</t>
    <rPh sb="0" eb="2">
      <t>ホウソウ</t>
    </rPh>
    <rPh sb="3" eb="5">
      <t>トケイ</t>
    </rPh>
    <phoneticPr fontId="84"/>
  </si>
  <si>
    <t>建柱-２</t>
    <rPh sb="0" eb="1">
      <t>ケン</t>
    </rPh>
    <rPh sb="1" eb="2">
      <t>ハシラ</t>
    </rPh>
    <phoneticPr fontId="84"/>
  </si>
  <si>
    <t>受変電-２</t>
    <rPh sb="0" eb="1">
      <t>ジュ</t>
    </rPh>
    <rPh sb="1" eb="3">
      <t>ヘンデン</t>
    </rPh>
    <phoneticPr fontId="84"/>
  </si>
  <si>
    <t>金属ダクト</t>
    <rPh sb="0" eb="2">
      <t>キンゾク</t>
    </rPh>
    <phoneticPr fontId="84"/>
  </si>
  <si>
    <t>配管(Ｅ)</t>
    <rPh sb="0" eb="2">
      <t>ハイカン</t>
    </rPh>
    <phoneticPr fontId="84"/>
  </si>
  <si>
    <t>CVV-2</t>
    <phoneticPr fontId="84"/>
  </si>
  <si>
    <t>ＶＶＦ</t>
    <phoneticPr fontId="84"/>
  </si>
  <si>
    <t>配線器具-1</t>
    <rPh sb="0" eb="2">
      <t>ハイセン</t>
    </rPh>
    <rPh sb="2" eb="4">
      <t>キグ</t>
    </rPh>
    <phoneticPr fontId="84"/>
  </si>
  <si>
    <t>電 話 他</t>
    <rPh sb="0" eb="3">
      <t>デンワ</t>
    </rPh>
    <rPh sb="4" eb="5">
      <t>ホカ</t>
    </rPh>
    <phoneticPr fontId="84"/>
  </si>
  <si>
    <t>建柱-１</t>
    <rPh sb="0" eb="1">
      <t>ケン</t>
    </rPh>
    <rPh sb="1" eb="2">
      <t>ハシラ</t>
    </rPh>
    <phoneticPr fontId="84"/>
  </si>
  <si>
    <t>受変電-１</t>
    <rPh sb="0" eb="1">
      <t>ジュ</t>
    </rPh>
    <rPh sb="1" eb="3">
      <t>ヘンデン</t>
    </rPh>
    <phoneticPr fontId="84"/>
  </si>
  <si>
    <t>ケーブルラック</t>
    <phoneticPr fontId="84"/>
  </si>
  <si>
    <t>配管(C,G)</t>
    <rPh sb="0" eb="2">
      <t>ハイカン</t>
    </rPh>
    <phoneticPr fontId="84"/>
  </si>
  <si>
    <t>CVV-1</t>
    <phoneticPr fontId="84"/>
  </si>
  <si>
    <t>ＩＶ</t>
    <phoneticPr fontId="84"/>
  </si>
  <si>
    <t>外注工事</t>
    <rPh sb="0" eb="2">
      <t>ガイチュウ</t>
    </rPh>
    <rPh sb="2" eb="4">
      <t>コウジ</t>
    </rPh>
    <phoneticPr fontId="84"/>
  </si>
  <si>
    <t>配　　　管</t>
    <rPh sb="0" eb="1">
      <t>ハイ</t>
    </rPh>
    <rPh sb="4" eb="5">
      <t>カン</t>
    </rPh>
    <phoneticPr fontId="84"/>
  </si>
  <si>
    <t>配　　　線</t>
    <rPh sb="0" eb="1">
      <t>ハイ</t>
    </rPh>
    <rPh sb="4" eb="5">
      <t>セン</t>
    </rPh>
    <phoneticPr fontId="84"/>
  </si>
  <si>
    <t>TopPage</t>
    <phoneticPr fontId="1"/>
  </si>
  <si>
    <t>Help</t>
    <phoneticPr fontId="1"/>
  </si>
  <si>
    <t>歩　掛　り</t>
    <rPh sb="0" eb="1">
      <t>ホ</t>
    </rPh>
    <rPh sb="2" eb="3">
      <t>カカリ</t>
    </rPh>
    <phoneticPr fontId="1"/>
  </si>
  <si>
    <t>ESE  Service</t>
    <phoneticPr fontId="84"/>
  </si>
  <si>
    <t xml:space="preserve"> </t>
    <phoneticPr fontId="84"/>
  </si>
  <si>
    <r>
      <t>Kg</t>
    </r>
    <r>
      <rPr>
        <b/>
        <sz val="9"/>
        <rFont val="ＭＳ Ｐ明朝"/>
        <family val="1"/>
        <charset val="128"/>
      </rPr>
      <t>／ｍ</t>
    </r>
    <r>
      <rPr>
        <b/>
        <vertAlign val="superscript"/>
        <sz val="11"/>
        <rFont val="Times New Roman"/>
        <family val="1"/>
      </rPr>
      <t>2</t>
    </r>
    <phoneticPr fontId="84"/>
  </si>
  <si>
    <r>
      <t>W</t>
    </r>
    <r>
      <rPr>
        <b/>
        <sz val="6"/>
        <rFont val="Times New Roman"/>
        <family val="1"/>
      </rPr>
      <t>B3</t>
    </r>
    <phoneticPr fontId="84"/>
  </si>
  <si>
    <t>-単位質量</t>
    <phoneticPr fontId="84"/>
  </si>
  <si>
    <r>
      <t>W</t>
    </r>
    <r>
      <rPr>
        <b/>
        <sz val="6"/>
        <rFont val="Times New Roman"/>
        <family val="1"/>
      </rPr>
      <t>B2</t>
    </r>
    <phoneticPr fontId="84"/>
  </si>
  <si>
    <t>9.5mm-単位質量</t>
    <rPh sb="6" eb="8">
      <t>タンイ</t>
    </rPh>
    <rPh sb="8" eb="10">
      <t>シツリョウ</t>
    </rPh>
    <phoneticPr fontId="84"/>
  </si>
  <si>
    <r>
      <t>F</t>
    </r>
    <r>
      <rPr>
        <b/>
        <vertAlign val="subscript"/>
        <sz val="8"/>
        <rFont val="Times New Roman"/>
        <family val="1"/>
      </rPr>
      <t>V</t>
    </r>
    <r>
      <rPr>
        <b/>
        <sz val="8"/>
        <rFont val="Times New Roman"/>
        <family val="1"/>
      </rPr>
      <t>=K</t>
    </r>
    <r>
      <rPr>
        <b/>
        <vertAlign val="subscript"/>
        <sz val="8"/>
        <rFont val="Times New Roman"/>
        <family val="1"/>
      </rPr>
      <t>V</t>
    </r>
    <r>
      <rPr>
        <b/>
        <sz val="8"/>
        <rFont val="ＭＳ Ｐ明朝"/>
        <family val="1"/>
        <charset val="128"/>
      </rPr>
      <t>・</t>
    </r>
    <r>
      <rPr>
        <b/>
        <sz val="8"/>
        <rFont val="Times New Roman"/>
        <family val="1"/>
      </rPr>
      <t>W</t>
    </r>
    <r>
      <rPr>
        <b/>
        <vertAlign val="subscript"/>
        <sz val="10"/>
        <rFont val="Times New Roman"/>
        <family val="1"/>
      </rPr>
      <t>t</t>
    </r>
    <phoneticPr fontId="84"/>
  </si>
  <si>
    <r>
      <t>F</t>
    </r>
    <r>
      <rPr>
        <b/>
        <vertAlign val="subscript"/>
        <sz val="9"/>
        <rFont val="Times New Roman"/>
        <family val="1"/>
      </rPr>
      <t>V</t>
    </r>
    <r>
      <rPr>
        <b/>
        <sz val="9"/>
        <rFont val="Times New Roman"/>
        <family val="1"/>
      </rPr>
      <t>=</t>
    </r>
    <phoneticPr fontId="84"/>
  </si>
  <si>
    <r>
      <t>F</t>
    </r>
    <r>
      <rPr>
        <b/>
        <vertAlign val="subscript"/>
        <sz val="9"/>
        <rFont val="Times New Roman"/>
        <family val="1"/>
      </rPr>
      <t>H</t>
    </r>
    <r>
      <rPr>
        <b/>
        <sz val="8"/>
        <rFont val="Times New Roman"/>
        <family val="1"/>
      </rPr>
      <t>=K</t>
    </r>
    <r>
      <rPr>
        <b/>
        <vertAlign val="subscript"/>
        <sz val="8"/>
        <rFont val="Times New Roman"/>
        <family val="1"/>
      </rPr>
      <t>H</t>
    </r>
    <r>
      <rPr>
        <b/>
        <sz val="8"/>
        <rFont val="ＭＳ Ｐゴシック"/>
        <family val="3"/>
        <charset val="128"/>
      </rPr>
      <t>・</t>
    </r>
    <r>
      <rPr>
        <b/>
        <sz val="8"/>
        <rFont val="Times New Roman"/>
        <family val="1"/>
      </rPr>
      <t>W</t>
    </r>
    <r>
      <rPr>
        <b/>
        <vertAlign val="subscript"/>
        <sz val="10"/>
        <rFont val="Times New Roman"/>
        <family val="1"/>
      </rPr>
      <t>t</t>
    </r>
    <phoneticPr fontId="84"/>
  </si>
  <si>
    <r>
      <t>F</t>
    </r>
    <r>
      <rPr>
        <b/>
        <vertAlign val="subscript"/>
        <sz val="9"/>
        <rFont val="Times New Roman"/>
        <family val="1"/>
      </rPr>
      <t>H</t>
    </r>
    <r>
      <rPr>
        <b/>
        <sz val="9"/>
        <rFont val="Times New Roman"/>
        <family val="1"/>
      </rPr>
      <t>=</t>
    </r>
    <phoneticPr fontId="84"/>
  </si>
  <si>
    <r>
      <t>K</t>
    </r>
    <r>
      <rPr>
        <b/>
        <vertAlign val="subscript"/>
        <sz val="9"/>
        <rFont val="Times New Roman"/>
        <family val="1"/>
      </rPr>
      <t>V</t>
    </r>
    <r>
      <rPr>
        <b/>
        <sz val="8"/>
        <rFont val="Times New Roman"/>
        <family val="1"/>
      </rPr>
      <t>=K</t>
    </r>
    <r>
      <rPr>
        <b/>
        <vertAlign val="subscript"/>
        <sz val="8"/>
        <rFont val="Times New Roman"/>
        <family val="1"/>
      </rPr>
      <t>H</t>
    </r>
    <r>
      <rPr>
        <b/>
        <sz val="8"/>
        <rFont val="ＭＳ Ｐゴシック"/>
        <family val="3"/>
        <charset val="128"/>
      </rPr>
      <t>・</t>
    </r>
    <r>
      <rPr>
        <b/>
        <sz val="8"/>
        <rFont val="Times New Roman"/>
        <family val="1"/>
      </rPr>
      <t>0.5</t>
    </r>
    <phoneticPr fontId="84"/>
  </si>
  <si>
    <r>
      <t>K</t>
    </r>
    <r>
      <rPr>
        <b/>
        <vertAlign val="subscript"/>
        <sz val="9"/>
        <rFont val="Times New Roman"/>
        <family val="1"/>
      </rPr>
      <t>V</t>
    </r>
    <r>
      <rPr>
        <sz val="9"/>
        <rFont val="Times New Roman"/>
        <family val="1"/>
      </rPr>
      <t>=</t>
    </r>
    <phoneticPr fontId="84"/>
  </si>
  <si>
    <r>
      <t>K</t>
    </r>
    <r>
      <rPr>
        <b/>
        <vertAlign val="subscript"/>
        <sz val="9"/>
        <rFont val="Times New Roman"/>
        <family val="1"/>
      </rPr>
      <t>H</t>
    </r>
    <r>
      <rPr>
        <b/>
        <sz val="9"/>
        <rFont val="Times New Roman"/>
        <family val="1"/>
      </rPr>
      <t>=Ks</t>
    </r>
    <r>
      <rPr>
        <b/>
        <sz val="9"/>
        <rFont val="ＭＳ Ｐゴシック"/>
        <family val="3"/>
        <charset val="128"/>
      </rPr>
      <t>・</t>
    </r>
    <r>
      <rPr>
        <b/>
        <sz val="9"/>
        <rFont val="Times New Roman"/>
        <family val="1"/>
      </rPr>
      <t>Z</t>
    </r>
    <phoneticPr fontId="84"/>
  </si>
  <si>
    <r>
      <t>K</t>
    </r>
    <r>
      <rPr>
        <b/>
        <vertAlign val="subscript"/>
        <sz val="9"/>
        <rFont val="Times New Roman"/>
        <family val="1"/>
      </rPr>
      <t>H</t>
    </r>
    <r>
      <rPr>
        <b/>
        <sz val="9"/>
        <rFont val="Times New Roman"/>
        <family val="1"/>
      </rPr>
      <t>=</t>
    </r>
    <phoneticPr fontId="84"/>
  </si>
  <si>
    <r>
      <t>W</t>
    </r>
    <r>
      <rPr>
        <b/>
        <sz val="6"/>
        <rFont val="Times New Roman"/>
        <family val="1"/>
      </rPr>
      <t>B1</t>
    </r>
    <phoneticPr fontId="84"/>
  </si>
  <si>
    <t>12.5mm-単位質量</t>
    <rPh sb="7" eb="9">
      <t>タンイ</t>
    </rPh>
    <rPh sb="9" eb="11">
      <t>シツリョウ</t>
    </rPh>
    <phoneticPr fontId="84"/>
  </si>
  <si>
    <r>
      <t>F</t>
    </r>
    <r>
      <rPr>
        <b/>
        <vertAlign val="subscript"/>
        <sz val="9"/>
        <rFont val="Times New Roman"/>
        <family val="1"/>
      </rPr>
      <t>V</t>
    </r>
    <r>
      <rPr>
        <b/>
        <sz val="8"/>
        <rFont val="Times New Roman"/>
        <family val="1"/>
      </rPr>
      <t>[Kgf]</t>
    </r>
    <phoneticPr fontId="84"/>
  </si>
  <si>
    <r>
      <t>F</t>
    </r>
    <r>
      <rPr>
        <b/>
        <vertAlign val="subscript"/>
        <sz val="9"/>
        <rFont val="Times New Roman"/>
        <family val="1"/>
      </rPr>
      <t>H</t>
    </r>
    <r>
      <rPr>
        <b/>
        <sz val="8"/>
        <rFont val="Times New Roman"/>
        <family val="1"/>
      </rPr>
      <t>[Kgf]</t>
    </r>
    <phoneticPr fontId="84"/>
  </si>
  <si>
    <t>寸　 　　法</t>
    <rPh sb="0" eb="1">
      <t>スン</t>
    </rPh>
    <rPh sb="5" eb="6">
      <t>ホウ</t>
    </rPh>
    <phoneticPr fontId="84"/>
  </si>
  <si>
    <t>鉛直地震力</t>
    <phoneticPr fontId="84"/>
  </si>
  <si>
    <t>水平地震力</t>
    <rPh sb="0" eb="2">
      <t>スイヘイ</t>
    </rPh>
    <rPh sb="2" eb="4">
      <t>ジシン</t>
    </rPh>
    <rPh sb="4" eb="5">
      <t>チカラ</t>
    </rPh>
    <phoneticPr fontId="84"/>
  </si>
  <si>
    <t>鉛直震度</t>
    <rPh sb="0" eb="2">
      <t>エンチョク</t>
    </rPh>
    <rPh sb="2" eb="4">
      <t>シンド</t>
    </rPh>
    <phoneticPr fontId="84"/>
  </si>
  <si>
    <t>水平震度</t>
    <rPh sb="0" eb="2">
      <t>スイヘイ</t>
    </rPh>
    <rPh sb="2" eb="4">
      <t>シンド</t>
    </rPh>
    <phoneticPr fontId="84"/>
  </si>
  <si>
    <t>　せっこうボード(GB-R)</t>
    <phoneticPr fontId="84"/>
  </si>
  <si>
    <t>名 　　　称</t>
    <rPh sb="0" eb="1">
      <t>ナ</t>
    </rPh>
    <rPh sb="5" eb="6">
      <t>ショウ</t>
    </rPh>
    <phoneticPr fontId="84"/>
  </si>
  <si>
    <t>設計用地震力</t>
    <rPh sb="0" eb="3">
      <t>セッケイヨウ</t>
    </rPh>
    <rPh sb="3" eb="5">
      <t>ジシン</t>
    </rPh>
    <rPh sb="5" eb="6">
      <t>リョク</t>
    </rPh>
    <phoneticPr fontId="84"/>
  </si>
  <si>
    <t>設計用震度</t>
    <rPh sb="0" eb="3">
      <t>セッケイヨウ</t>
    </rPh>
    <rPh sb="3" eb="5">
      <t>シンド</t>
    </rPh>
    <phoneticPr fontId="84"/>
  </si>
  <si>
    <t>製造業者名(吉野石膏)</t>
    <rPh sb="0" eb="2">
      <t>セイゾウ</t>
    </rPh>
    <rPh sb="2" eb="4">
      <t>ギョウシャ</t>
    </rPh>
    <rPh sb="4" eb="5">
      <t>メイ</t>
    </rPh>
    <rPh sb="6" eb="8">
      <t>ヨシノ</t>
    </rPh>
    <rPh sb="8" eb="10">
      <t>セッコウ</t>
    </rPh>
    <phoneticPr fontId="84"/>
  </si>
  <si>
    <t>ボード断面性能</t>
    <rPh sb="3" eb="5">
      <t>ダンメン</t>
    </rPh>
    <rPh sb="5" eb="7">
      <t>セイノウ</t>
    </rPh>
    <phoneticPr fontId="84"/>
  </si>
  <si>
    <r>
      <t>：スタッドの許容圧縮応力度[Kgf／mm</t>
    </r>
    <r>
      <rPr>
        <vertAlign val="superscript"/>
        <sz val="10"/>
        <rFont val="ＭＳ Ｐ明朝"/>
        <family val="1"/>
        <charset val="128"/>
      </rPr>
      <t>2</t>
    </r>
    <r>
      <rPr>
        <sz val="8.5"/>
        <rFont val="ＭＳ Ｐ明朝"/>
        <family val="1"/>
        <charset val="128"/>
      </rPr>
      <t>]</t>
    </r>
    <rPh sb="6" eb="8">
      <t>キョヨウ</t>
    </rPh>
    <rPh sb="8" eb="10">
      <t>アッシュク</t>
    </rPh>
    <rPh sb="10" eb="12">
      <t>オウリョク</t>
    </rPh>
    <rPh sb="12" eb="13">
      <t>ド</t>
    </rPh>
    <phoneticPr fontId="84"/>
  </si>
  <si>
    <r>
      <t>f</t>
    </r>
    <r>
      <rPr>
        <b/>
        <sz val="10"/>
        <rFont val="Times New Roman"/>
        <family val="1"/>
      </rPr>
      <t>c</t>
    </r>
    <phoneticPr fontId="84"/>
  </si>
  <si>
    <r>
      <t>L</t>
    </r>
    <r>
      <rPr>
        <b/>
        <sz val="6"/>
        <rFont val="Times New Roman"/>
        <family val="1"/>
      </rPr>
      <t>W2</t>
    </r>
    <phoneticPr fontId="84"/>
  </si>
  <si>
    <t>ＬＧＳ上部 高さ  mm</t>
    <phoneticPr fontId="84"/>
  </si>
  <si>
    <r>
      <t>：スタッドの許容曲げ応力度[Kgf／mm</t>
    </r>
    <r>
      <rPr>
        <vertAlign val="superscript"/>
        <sz val="10"/>
        <rFont val="ＭＳ Ｐ明朝"/>
        <family val="1"/>
        <charset val="128"/>
      </rPr>
      <t>2</t>
    </r>
    <r>
      <rPr>
        <sz val="8.5"/>
        <rFont val="ＭＳ Ｐ明朝"/>
        <family val="1"/>
        <charset val="128"/>
      </rPr>
      <t>]</t>
    </r>
    <rPh sb="6" eb="8">
      <t>キョヨウ</t>
    </rPh>
    <rPh sb="8" eb="9">
      <t>マ</t>
    </rPh>
    <rPh sb="10" eb="12">
      <t>オウリョク</t>
    </rPh>
    <rPh sb="12" eb="13">
      <t>ド</t>
    </rPh>
    <phoneticPr fontId="84"/>
  </si>
  <si>
    <r>
      <t>f</t>
    </r>
    <r>
      <rPr>
        <b/>
        <sz val="10"/>
        <rFont val="Times New Roman"/>
        <family val="1"/>
      </rPr>
      <t>b</t>
    </r>
    <phoneticPr fontId="84"/>
  </si>
  <si>
    <r>
      <t>Kgf</t>
    </r>
    <r>
      <rPr>
        <b/>
        <sz val="9"/>
        <rFont val="ＭＳ Ｐ明朝"/>
        <family val="1"/>
        <charset val="128"/>
      </rPr>
      <t>／</t>
    </r>
    <r>
      <rPr>
        <b/>
        <sz val="9"/>
        <rFont val="Times New Roman"/>
        <family val="1"/>
      </rPr>
      <t>cm</t>
    </r>
    <r>
      <rPr>
        <b/>
        <vertAlign val="superscript"/>
        <sz val="11"/>
        <rFont val="Times New Roman"/>
        <family val="1"/>
      </rPr>
      <t>2</t>
    </r>
    <phoneticPr fontId="84"/>
  </si>
  <si>
    <r>
      <t>f</t>
    </r>
    <r>
      <rPr>
        <b/>
        <sz val="8"/>
        <rFont val="ＭＳ 明朝"/>
        <family val="1"/>
        <charset val="128"/>
      </rPr>
      <t>c</t>
    </r>
    <phoneticPr fontId="84"/>
  </si>
  <si>
    <t>許容圧縮応力度</t>
    <rPh sb="0" eb="2">
      <t>キョヨウ</t>
    </rPh>
    <rPh sb="2" eb="4">
      <t>アッシュク</t>
    </rPh>
    <rPh sb="4" eb="6">
      <t>オウリョク</t>
    </rPh>
    <rPh sb="6" eb="7">
      <t>ド</t>
    </rPh>
    <phoneticPr fontId="84"/>
  </si>
  <si>
    <r>
      <t>L</t>
    </r>
    <r>
      <rPr>
        <b/>
        <sz val="6"/>
        <rFont val="Times New Roman"/>
        <family val="1"/>
      </rPr>
      <t>W</t>
    </r>
    <phoneticPr fontId="84"/>
  </si>
  <si>
    <r>
      <t>ＬＧＳ取付高さ</t>
    </r>
    <r>
      <rPr>
        <sz val="9"/>
        <rFont val="ＭＳ 明朝"/>
        <family val="1"/>
        <charset val="128"/>
      </rPr>
      <t xml:space="preserve"> FL＋mm</t>
    </r>
    <phoneticPr fontId="84"/>
  </si>
  <si>
    <r>
      <t>：スタッドの</t>
    </r>
    <r>
      <rPr>
        <sz val="8.5"/>
        <rFont val="ＭＳ 明朝"/>
        <family val="1"/>
        <charset val="128"/>
      </rPr>
      <t>断 面 積</t>
    </r>
    <r>
      <rPr>
        <sz val="8.5"/>
        <rFont val="ＭＳ Ｐ明朝"/>
        <family val="1"/>
        <charset val="128"/>
      </rPr>
      <t>[ｃｍ</t>
    </r>
    <r>
      <rPr>
        <vertAlign val="superscript"/>
        <sz val="10"/>
        <rFont val="ＭＳ Ｐ明朝"/>
        <family val="1"/>
        <charset val="128"/>
      </rPr>
      <t>2</t>
    </r>
    <r>
      <rPr>
        <sz val="8.5"/>
        <rFont val="ＭＳ Ｐ明朝"/>
        <family val="1"/>
        <charset val="128"/>
      </rPr>
      <t>]</t>
    </r>
    <rPh sb="6" eb="7">
      <t>ダン</t>
    </rPh>
    <rPh sb="8" eb="9">
      <t>メン</t>
    </rPh>
    <rPh sb="10" eb="11">
      <t>セキ</t>
    </rPh>
    <phoneticPr fontId="84"/>
  </si>
  <si>
    <t>A</t>
    <phoneticPr fontId="84"/>
  </si>
  <si>
    <r>
      <t>f</t>
    </r>
    <r>
      <rPr>
        <b/>
        <sz val="8"/>
        <rFont val="ＭＳ 明朝"/>
        <family val="1"/>
        <charset val="128"/>
      </rPr>
      <t>b</t>
    </r>
    <phoneticPr fontId="84"/>
  </si>
  <si>
    <t>許容曲げ応力度</t>
    <rPh sb="0" eb="2">
      <t>キョヨウ</t>
    </rPh>
    <rPh sb="2" eb="3">
      <t>マ</t>
    </rPh>
    <rPh sb="4" eb="6">
      <t>オウリョク</t>
    </rPh>
    <rPh sb="6" eb="7">
      <t>ド</t>
    </rPh>
    <phoneticPr fontId="84"/>
  </si>
  <si>
    <r>
      <t>L</t>
    </r>
    <r>
      <rPr>
        <b/>
        <sz val="6"/>
        <rFont val="Times New Roman"/>
        <family val="1"/>
      </rPr>
      <t>W1</t>
    </r>
    <phoneticPr fontId="84"/>
  </si>
  <si>
    <t>盤重心 位置  FL＋mm</t>
    <phoneticPr fontId="84"/>
  </si>
  <si>
    <r>
      <t>：スタッドの</t>
    </r>
    <r>
      <rPr>
        <sz val="8.5"/>
        <rFont val="ＭＳ 明朝"/>
        <family val="1"/>
        <charset val="128"/>
      </rPr>
      <t>断面係数</t>
    </r>
    <r>
      <rPr>
        <sz val="8.5"/>
        <rFont val="ＭＳ Ｐ明朝"/>
        <family val="1"/>
        <charset val="128"/>
      </rPr>
      <t>[ｃｍ</t>
    </r>
    <r>
      <rPr>
        <vertAlign val="superscript"/>
        <sz val="10"/>
        <rFont val="ＭＳ Ｐ明朝"/>
        <family val="1"/>
        <charset val="128"/>
      </rPr>
      <t>3</t>
    </r>
    <r>
      <rPr>
        <sz val="8.5"/>
        <rFont val="ＭＳ Ｐ明朝"/>
        <family val="1"/>
        <charset val="128"/>
      </rPr>
      <t>]</t>
    </r>
    <rPh sb="6" eb="8">
      <t>ダンメン</t>
    </rPh>
    <rPh sb="8" eb="10">
      <t>ケイスウ</t>
    </rPh>
    <phoneticPr fontId="84"/>
  </si>
  <si>
    <r>
      <t>Z</t>
    </r>
    <r>
      <rPr>
        <b/>
        <sz val="7"/>
        <rFont val="Times New Roman"/>
        <family val="1"/>
      </rPr>
      <t>Y</t>
    </r>
    <phoneticPr fontId="84"/>
  </si>
  <si>
    <t>mm</t>
    <phoneticPr fontId="84"/>
  </si>
  <si>
    <r>
      <t>W</t>
    </r>
    <r>
      <rPr>
        <b/>
        <sz val="6"/>
        <rFont val="Times New Roman"/>
        <family val="1"/>
      </rPr>
      <t>LGS</t>
    </r>
    <phoneticPr fontId="84"/>
  </si>
  <si>
    <t>取付間隔</t>
    <rPh sb="0" eb="2">
      <t>トリツケ</t>
    </rPh>
    <rPh sb="2" eb="4">
      <t>カンカク</t>
    </rPh>
    <phoneticPr fontId="84"/>
  </si>
  <si>
    <r>
      <t>H</t>
    </r>
    <r>
      <rPr>
        <b/>
        <sz val="7"/>
        <rFont val="Times New Roman"/>
        <family val="1"/>
      </rPr>
      <t>t</t>
    </r>
    <phoneticPr fontId="84"/>
  </si>
  <si>
    <t>盤取付 天端  FL＋mm</t>
    <phoneticPr fontId="84"/>
  </si>
  <si>
    <r>
      <t>：</t>
    </r>
    <r>
      <rPr>
        <b/>
        <sz val="11"/>
        <rFont val="Times New Roman"/>
        <family val="1"/>
      </rPr>
      <t>P</t>
    </r>
    <r>
      <rPr>
        <b/>
        <sz val="8.5"/>
        <rFont val="Times New Roman"/>
        <family val="1"/>
      </rPr>
      <t>t</t>
    </r>
    <r>
      <rPr>
        <sz val="8.5"/>
        <rFont val="ＭＳ Ｐ明朝"/>
        <family val="1"/>
        <charset val="128"/>
      </rPr>
      <t>＋</t>
    </r>
    <r>
      <rPr>
        <b/>
        <sz val="11"/>
        <rFont val="Times New Roman"/>
        <family val="1"/>
      </rPr>
      <t>P</t>
    </r>
    <r>
      <rPr>
        <b/>
        <sz val="7"/>
        <rFont val="Times New Roman"/>
        <family val="1"/>
      </rPr>
      <t>B1</t>
    </r>
    <r>
      <rPr>
        <sz val="8.5"/>
        <rFont val="ＭＳ Ｐ明朝"/>
        <family val="1"/>
        <charset val="128"/>
      </rPr>
      <t>＋</t>
    </r>
    <r>
      <rPr>
        <b/>
        <sz val="11"/>
        <rFont val="Times New Roman"/>
        <family val="1"/>
      </rPr>
      <t>P</t>
    </r>
    <r>
      <rPr>
        <b/>
        <sz val="7"/>
        <rFont val="Times New Roman"/>
        <family val="1"/>
      </rPr>
      <t>B2</t>
    </r>
    <r>
      <rPr>
        <sz val="8.5"/>
        <rFont val="ＭＳ Ｐ明朝"/>
        <family val="1"/>
        <charset val="128"/>
      </rPr>
      <t>＋・・・</t>
    </r>
    <phoneticPr fontId="84"/>
  </si>
  <si>
    <r>
      <t>∑</t>
    </r>
    <r>
      <rPr>
        <b/>
        <sz val="11"/>
        <rFont val="Times New Roman"/>
        <family val="1"/>
      </rPr>
      <t>P</t>
    </r>
    <phoneticPr fontId="84"/>
  </si>
  <si>
    <r>
      <t>cm</t>
    </r>
    <r>
      <rPr>
        <b/>
        <vertAlign val="superscript"/>
        <sz val="11"/>
        <rFont val="Times New Roman"/>
        <family val="1"/>
      </rPr>
      <t>2</t>
    </r>
    <phoneticPr fontId="84"/>
  </si>
  <si>
    <t>断　面　積</t>
    <rPh sb="0" eb="1">
      <t>ダン</t>
    </rPh>
    <rPh sb="2" eb="3">
      <t>メン</t>
    </rPh>
    <rPh sb="4" eb="5">
      <t>セキ</t>
    </rPh>
    <phoneticPr fontId="84"/>
  </si>
  <si>
    <r>
      <t>：</t>
    </r>
    <r>
      <rPr>
        <b/>
        <sz val="11"/>
        <rFont val="Times New Roman"/>
        <family val="1"/>
      </rPr>
      <t>M</t>
    </r>
    <r>
      <rPr>
        <b/>
        <sz val="8.5"/>
        <rFont val="Times New Roman"/>
        <family val="1"/>
      </rPr>
      <t>t</t>
    </r>
    <r>
      <rPr>
        <sz val="8.5"/>
        <rFont val="ＭＳ Ｐ明朝"/>
        <family val="1"/>
        <charset val="128"/>
      </rPr>
      <t>＋</t>
    </r>
    <r>
      <rPr>
        <b/>
        <sz val="11"/>
        <rFont val="Times New Roman"/>
        <family val="1"/>
      </rPr>
      <t>M</t>
    </r>
    <r>
      <rPr>
        <b/>
        <sz val="7"/>
        <rFont val="Times New Roman"/>
        <family val="1"/>
      </rPr>
      <t>B1</t>
    </r>
    <r>
      <rPr>
        <sz val="8.5"/>
        <rFont val="ＭＳ Ｐ明朝"/>
        <family val="1"/>
        <charset val="128"/>
      </rPr>
      <t>＋</t>
    </r>
    <r>
      <rPr>
        <b/>
        <sz val="11"/>
        <rFont val="Times New Roman"/>
        <family val="1"/>
      </rPr>
      <t>M</t>
    </r>
    <r>
      <rPr>
        <b/>
        <sz val="7"/>
        <rFont val="Times New Roman"/>
        <family val="1"/>
      </rPr>
      <t>B2</t>
    </r>
    <r>
      <rPr>
        <sz val="8.5"/>
        <rFont val="ＭＳ Ｐ明朝"/>
        <family val="1"/>
        <charset val="128"/>
      </rPr>
      <t>＋・・・</t>
    </r>
    <phoneticPr fontId="84"/>
  </si>
  <si>
    <r>
      <t>∑</t>
    </r>
    <r>
      <rPr>
        <b/>
        <sz val="11"/>
        <rFont val="Times New Roman"/>
        <family val="1"/>
      </rPr>
      <t>M</t>
    </r>
    <phoneticPr fontId="84"/>
  </si>
  <si>
    <r>
      <t>cm</t>
    </r>
    <r>
      <rPr>
        <b/>
        <vertAlign val="superscript"/>
        <sz val="11"/>
        <rFont val="Times New Roman"/>
        <family val="1"/>
      </rPr>
      <t>3</t>
    </r>
    <phoneticPr fontId="84"/>
  </si>
  <si>
    <t>断面係数</t>
    <rPh sb="0" eb="2">
      <t>ダンメン</t>
    </rPh>
    <rPh sb="2" eb="4">
      <t>ケイスウ</t>
    </rPh>
    <phoneticPr fontId="84"/>
  </si>
  <si>
    <r>
      <t>：</t>
    </r>
    <r>
      <rPr>
        <sz val="8.5"/>
        <rFont val="ＭＳ 明朝"/>
        <family val="1"/>
        <charset val="128"/>
      </rPr>
      <t>応力度</t>
    </r>
    <rPh sb="1" eb="3">
      <t>オウリョク</t>
    </rPh>
    <rPh sb="3" eb="4">
      <t>ド</t>
    </rPh>
    <phoneticPr fontId="84"/>
  </si>
  <si>
    <t>σ</t>
    <phoneticPr fontId="84"/>
  </si>
  <si>
    <t>　60×40×0.6mm</t>
    <phoneticPr fontId="84"/>
  </si>
  <si>
    <r>
      <t>W</t>
    </r>
    <r>
      <rPr>
        <b/>
        <vertAlign val="subscript"/>
        <sz val="11"/>
        <rFont val="Times New Roman"/>
        <family val="1"/>
      </rPr>
      <t>t</t>
    </r>
    <phoneticPr fontId="84"/>
  </si>
  <si>
    <t>H</t>
    <phoneticPr fontId="84"/>
  </si>
  <si>
    <t>D</t>
    <phoneticPr fontId="84"/>
  </si>
  <si>
    <t>W</t>
    <phoneticPr fontId="84"/>
  </si>
  <si>
    <t>　角スタッド</t>
    <rPh sb="1" eb="2">
      <t>カク</t>
    </rPh>
    <phoneticPr fontId="84"/>
  </si>
  <si>
    <t>製造業者名(　　　　　　　　)</t>
    <rPh sb="0" eb="2">
      <t>セイゾウ</t>
    </rPh>
    <rPh sb="2" eb="4">
      <t>ギョウシャ</t>
    </rPh>
    <rPh sb="4" eb="5">
      <t>メイ</t>
    </rPh>
    <phoneticPr fontId="84"/>
  </si>
  <si>
    <t>ＬＧＳ断面性能</t>
    <rPh sb="3" eb="5">
      <t>ダンメン</t>
    </rPh>
    <rPh sb="5" eb="7">
      <t>セイノウ</t>
    </rPh>
    <phoneticPr fontId="84"/>
  </si>
  <si>
    <t>機器質量</t>
    <phoneticPr fontId="84"/>
  </si>
  <si>
    <t>機　器　寸　法</t>
    <rPh sb="0" eb="1">
      <t>キ</t>
    </rPh>
    <rPh sb="2" eb="3">
      <t>ウツワ</t>
    </rPh>
    <rPh sb="4" eb="5">
      <t>スン</t>
    </rPh>
    <rPh sb="6" eb="7">
      <t>ホウ</t>
    </rPh>
    <phoneticPr fontId="84"/>
  </si>
  <si>
    <r>
      <t>：</t>
    </r>
    <r>
      <rPr>
        <sz val="8.5"/>
        <rFont val="ＭＳ 明朝"/>
        <family val="1"/>
        <charset val="128"/>
      </rPr>
      <t>ボ</t>
    </r>
    <r>
      <rPr>
        <sz val="8.5"/>
        <rFont val="ＭＳ Ｐ明朝"/>
        <family val="1"/>
        <charset val="128"/>
      </rPr>
      <t>ー</t>
    </r>
    <r>
      <rPr>
        <sz val="8.5"/>
        <rFont val="ＭＳ 明朝"/>
        <family val="1"/>
        <charset val="128"/>
      </rPr>
      <t>ド</t>
    </r>
    <r>
      <rPr>
        <sz val="8.5"/>
        <rFont val="ＭＳ Ｐ明朝"/>
        <family val="1"/>
        <charset val="128"/>
      </rPr>
      <t>の軸力[Kg]</t>
    </r>
    <rPh sb="5" eb="6">
      <t>ジク</t>
    </rPh>
    <rPh sb="6" eb="7">
      <t>リョク</t>
    </rPh>
    <phoneticPr fontId="84"/>
  </si>
  <si>
    <r>
      <t>P</t>
    </r>
    <r>
      <rPr>
        <b/>
        <sz val="6"/>
        <rFont val="Times New Roman"/>
        <family val="1"/>
      </rPr>
      <t>B</t>
    </r>
    <phoneticPr fontId="84"/>
  </si>
  <si>
    <t>：スタッドの軸力[Kg]</t>
    <rPh sb="6" eb="7">
      <t>ジク</t>
    </rPh>
    <rPh sb="7" eb="8">
      <t>リョク</t>
    </rPh>
    <phoneticPr fontId="84"/>
  </si>
  <si>
    <r>
      <t>P</t>
    </r>
    <r>
      <rPr>
        <b/>
        <sz val="7"/>
        <rFont val="Times New Roman"/>
        <family val="1"/>
      </rPr>
      <t>t</t>
    </r>
    <r>
      <rPr>
        <b/>
        <sz val="3"/>
        <color indexed="9"/>
        <rFont val="Times New Roman"/>
        <family val="1"/>
      </rPr>
      <t>1</t>
    </r>
    <phoneticPr fontId="84"/>
  </si>
  <si>
    <t xml:space="preserve"> Ｙ方向曲げモーメント[Kg-m]</t>
    <phoneticPr fontId="84"/>
  </si>
  <si>
    <r>
      <t>：</t>
    </r>
    <r>
      <rPr>
        <sz val="8.5"/>
        <rFont val="ＭＳ 明朝"/>
        <family val="1"/>
        <charset val="128"/>
      </rPr>
      <t>ボ</t>
    </r>
    <r>
      <rPr>
        <sz val="8.5"/>
        <rFont val="ＭＳ Ｐ明朝"/>
        <family val="1"/>
        <charset val="128"/>
      </rPr>
      <t>ー</t>
    </r>
    <r>
      <rPr>
        <sz val="8.5"/>
        <rFont val="ＭＳ 明朝"/>
        <family val="1"/>
        <charset val="128"/>
      </rPr>
      <t>ド</t>
    </r>
    <r>
      <rPr>
        <sz val="8.5"/>
        <rFont val="ＭＳ Ｐ明朝"/>
        <family val="1"/>
        <charset val="128"/>
      </rPr>
      <t>荷重による</t>
    </r>
    <rPh sb="4" eb="6">
      <t>カジュウ</t>
    </rPh>
    <phoneticPr fontId="84"/>
  </si>
  <si>
    <r>
      <t>M</t>
    </r>
    <r>
      <rPr>
        <b/>
        <sz val="6"/>
        <rFont val="Times New Roman"/>
        <family val="1"/>
      </rPr>
      <t>B</t>
    </r>
    <phoneticPr fontId="84"/>
  </si>
  <si>
    <t>：スタッド荷重による</t>
    <rPh sb="5" eb="7">
      <t>カジュウ</t>
    </rPh>
    <phoneticPr fontId="84"/>
  </si>
  <si>
    <r>
      <t>M</t>
    </r>
    <r>
      <rPr>
        <b/>
        <sz val="7"/>
        <rFont val="Times New Roman"/>
        <family val="1"/>
      </rPr>
      <t>t</t>
    </r>
    <r>
      <rPr>
        <b/>
        <sz val="3"/>
        <color indexed="9"/>
        <rFont val="Times New Roman"/>
        <family val="1"/>
      </rPr>
      <t>1</t>
    </r>
    <phoneticPr fontId="84"/>
  </si>
  <si>
    <r>
      <t xml:space="preserve"> </t>
    </r>
    <r>
      <rPr>
        <b/>
        <sz val="9"/>
        <rFont val="ＭＳ 明朝"/>
        <family val="1"/>
        <charset val="128"/>
      </rPr>
      <t>計算式は、下記による。</t>
    </r>
    <rPh sb="1" eb="3">
      <t>ケイサン</t>
    </rPh>
    <rPh sb="3" eb="4">
      <t>シキ</t>
    </rPh>
    <rPh sb="6" eb="8">
      <t>カキ</t>
    </rPh>
    <phoneticPr fontId="84"/>
  </si>
  <si>
    <r>
      <t xml:space="preserve">    </t>
    </r>
    <r>
      <rPr>
        <sz val="8"/>
        <rFont val="ＭＳ 明朝"/>
        <family val="1"/>
        <charset val="128"/>
      </rPr>
      <t>拘束されているものとする）</t>
    </r>
    <rPh sb="4" eb="6">
      <t>コウソク</t>
    </rPh>
    <phoneticPr fontId="84"/>
  </si>
  <si>
    <r>
      <t xml:space="preserve">    </t>
    </r>
    <r>
      <rPr>
        <sz val="8"/>
        <rFont val="ＭＳ 明朝"/>
        <family val="1"/>
        <charset val="128"/>
      </rPr>
      <t>Ｙ方向の計算（Ｘ方向は、ボードにより</t>
    </r>
    <rPh sb="5" eb="7">
      <t>ホウコウ</t>
    </rPh>
    <rPh sb="8" eb="10">
      <t>ケイサン</t>
    </rPh>
    <rPh sb="12" eb="14">
      <t>ホウコウ</t>
    </rPh>
    <phoneticPr fontId="84"/>
  </si>
  <si>
    <t xml:space="preserve">    曲げモーメント、軸力、応力度計算</t>
    <rPh sb="4" eb="5">
      <t>マ</t>
    </rPh>
    <rPh sb="12" eb="13">
      <t>ジク</t>
    </rPh>
    <rPh sb="13" eb="14">
      <t>リョク</t>
    </rPh>
    <rPh sb="15" eb="17">
      <t>オウリョク</t>
    </rPh>
    <rPh sb="17" eb="18">
      <t>ド</t>
    </rPh>
    <rPh sb="18" eb="20">
      <t>ケイサン</t>
    </rPh>
    <phoneticPr fontId="84"/>
  </si>
  <si>
    <r>
      <t xml:space="preserve"> </t>
    </r>
    <r>
      <rPr>
        <b/>
        <sz val="10"/>
        <rFont val="ＭＳ Ｐ明朝"/>
        <family val="1"/>
        <charset val="128"/>
      </rPr>
      <t>耐震措置計算書-[</t>
    </r>
    <r>
      <rPr>
        <b/>
        <sz val="10"/>
        <rFont val="ＭＳ Ｐゴシック"/>
        <family val="3"/>
        <charset val="128"/>
      </rPr>
      <t>2/2]</t>
    </r>
    <rPh sb="1" eb="3">
      <t>タイシン</t>
    </rPh>
    <rPh sb="3" eb="5">
      <t>ソチ</t>
    </rPh>
    <rPh sb="5" eb="7">
      <t>ケイサン</t>
    </rPh>
    <rPh sb="7" eb="8">
      <t>ショ</t>
    </rPh>
    <phoneticPr fontId="84"/>
  </si>
  <si>
    <t>普 通</t>
    <rPh sb="0" eb="1">
      <t>ススム</t>
    </rPh>
    <rPh sb="2" eb="3">
      <t>ツウ</t>
    </rPh>
    <phoneticPr fontId="84"/>
  </si>
  <si>
    <t>重要度</t>
  </si>
  <si>
    <t>設置場所</t>
    <rPh sb="0" eb="2">
      <t>セッチ</t>
    </rPh>
    <rPh sb="2" eb="4">
      <t>バショ</t>
    </rPh>
    <phoneticPr fontId="84"/>
  </si>
  <si>
    <r>
      <t xml:space="preserve">整理番号
</t>
    </r>
    <r>
      <rPr>
        <b/>
        <sz val="12"/>
        <rFont val="Times New Roman"/>
        <family val="1"/>
      </rPr>
      <t>E-001</t>
    </r>
    <rPh sb="0" eb="2">
      <t>セイリ</t>
    </rPh>
    <rPh sb="2" eb="4">
      <t>バンゴウ</t>
    </rPh>
    <phoneticPr fontId="84"/>
  </si>
  <si>
    <t>機器名称</t>
    <rPh sb="0" eb="2">
      <t>キキ</t>
    </rPh>
    <rPh sb="2" eb="4">
      <t>メイショウ</t>
    </rPh>
    <phoneticPr fontId="84"/>
  </si>
  <si>
    <t>物件名を入力
してください。</t>
    <rPh sb="0" eb="2">
      <t>ブッケン</t>
    </rPh>
    <rPh sb="2" eb="3">
      <t>メイ</t>
    </rPh>
    <rPh sb="4" eb="6">
      <t>ニュウリョク</t>
    </rPh>
    <phoneticPr fontId="84"/>
  </si>
  <si>
    <r>
      <t>耐震措置計算書</t>
    </r>
    <r>
      <rPr>
        <b/>
        <sz val="8"/>
        <rFont val="ＭＳ 明朝"/>
        <family val="1"/>
        <charset val="128"/>
      </rPr>
      <t xml:space="preserve">
</t>
    </r>
    <r>
      <rPr>
        <b/>
        <sz val="9"/>
        <rFont val="ＭＳ Ｐ明朝"/>
        <family val="1"/>
        <charset val="128"/>
      </rPr>
      <t>(ＬＧＳ壁面取付)-2/2</t>
    </r>
    <phoneticPr fontId="84"/>
  </si>
  <si>
    <t>△</t>
    <phoneticPr fontId="84"/>
  </si>
  <si>
    <t>ESE  Service</t>
    <phoneticPr fontId="84"/>
  </si>
  <si>
    <r>
      <t xml:space="preserve">  (</t>
    </r>
    <r>
      <rPr>
        <b/>
        <sz val="10"/>
        <rFont val="Times New Roman"/>
        <family val="1"/>
      </rPr>
      <t>W</t>
    </r>
    <r>
      <rPr>
        <b/>
        <vertAlign val="subscript"/>
        <sz val="11"/>
        <rFont val="Times New Roman"/>
        <family val="1"/>
      </rPr>
      <t>t</t>
    </r>
    <r>
      <rPr>
        <b/>
        <sz val="10"/>
        <rFont val="Times New Roman"/>
        <family val="1"/>
      </rPr>
      <t>+F</t>
    </r>
    <r>
      <rPr>
        <b/>
        <vertAlign val="subscript"/>
        <sz val="9"/>
        <rFont val="Times New Roman"/>
        <family val="1"/>
      </rPr>
      <t>V</t>
    </r>
    <r>
      <rPr>
        <sz val="9"/>
        <rFont val="Times New Roman"/>
        <family val="1"/>
      </rPr>
      <t>)</t>
    </r>
    <r>
      <rPr>
        <sz val="10"/>
        <rFont val="ＭＳ Ｐ明朝"/>
        <family val="1"/>
        <charset val="128"/>
      </rPr>
      <t>・</t>
    </r>
    <r>
      <rPr>
        <b/>
        <sz val="10"/>
        <rFont val="Times New Roman"/>
        <family val="1"/>
      </rPr>
      <t>L</t>
    </r>
    <r>
      <rPr>
        <b/>
        <sz val="9"/>
        <rFont val="Times New Roman"/>
        <family val="1"/>
      </rPr>
      <t>3g</t>
    </r>
    <phoneticPr fontId="84"/>
  </si>
  <si>
    <r>
      <t>F</t>
    </r>
    <r>
      <rPr>
        <b/>
        <sz val="9"/>
        <rFont val="Times New Roman"/>
        <family val="1"/>
      </rPr>
      <t>h</t>
    </r>
    <r>
      <rPr>
        <b/>
        <sz val="9"/>
        <rFont val="ＭＳ Ｐ明朝"/>
        <family val="1"/>
        <charset val="128"/>
      </rPr>
      <t>・</t>
    </r>
    <r>
      <rPr>
        <b/>
        <sz val="9"/>
        <rFont val="Times New Roman"/>
        <family val="1"/>
      </rPr>
      <t>(</t>
    </r>
    <r>
      <rPr>
        <b/>
        <sz val="11"/>
        <rFont val="Times New Roman"/>
        <family val="1"/>
      </rPr>
      <t>L</t>
    </r>
    <r>
      <rPr>
        <b/>
        <vertAlign val="subscript"/>
        <sz val="11"/>
        <rFont val="Times New Roman"/>
        <family val="1"/>
      </rPr>
      <t>2</t>
    </r>
    <r>
      <rPr>
        <b/>
        <sz val="8"/>
        <rFont val="ＭＳ Ｐ明朝"/>
        <family val="1"/>
        <charset val="128"/>
      </rPr>
      <t>－</t>
    </r>
    <r>
      <rPr>
        <b/>
        <sz val="11"/>
        <rFont val="Times New Roman"/>
        <family val="1"/>
      </rPr>
      <t>L</t>
    </r>
    <r>
      <rPr>
        <b/>
        <sz val="9"/>
        <rFont val="Times New Roman"/>
        <family val="1"/>
      </rPr>
      <t>2g)</t>
    </r>
    <phoneticPr fontId="84"/>
  </si>
  <si>
    <t xml:space="preserve"> </t>
    <phoneticPr fontId="84"/>
  </si>
  <si>
    <r>
      <t>　　</t>
    </r>
    <r>
      <rPr>
        <sz val="10"/>
        <rFont val="Times New Roman"/>
        <family val="1"/>
      </rPr>
      <t>(</t>
    </r>
    <r>
      <rPr>
        <b/>
        <sz val="10"/>
        <rFont val="Times New Roman"/>
        <family val="1"/>
      </rPr>
      <t>W</t>
    </r>
    <r>
      <rPr>
        <b/>
        <vertAlign val="subscript"/>
        <sz val="11"/>
        <rFont val="Times New Roman"/>
        <family val="1"/>
      </rPr>
      <t>t</t>
    </r>
    <r>
      <rPr>
        <b/>
        <sz val="10"/>
        <rFont val="Times New Roman"/>
        <family val="1"/>
      </rPr>
      <t>+F</t>
    </r>
    <r>
      <rPr>
        <b/>
        <vertAlign val="subscript"/>
        <sz val="9"/>
        <rFont val="Times New Roman"/>
        <family val="1"/>
      </rPr>
      <t>V</t>
    </r>
    <r>
      <rPr>
        <sz val="9"/>
        <rFont val="Times New Roman"/>
        <family val="1"/>
      </rPr>
      <t>)</t>
    </r>
    <r>
      <rPr>
        <sz val="10"/>
        <rFont val="ＭＳ Ｐ明朝"/>
        <family val="1"/>
        <charset val="128"/>
      </rPr>
      <t>・</t>
    </r>
    <r>
      <rPr>
        <b/>
        <sz val="10"/>
        <rFont val="Times New Roman"/>
        <family val="1"/>
      </rPr>
      <t>L</t>
    </r>
    <r>
      <rPr>
        <b/>
        <sz val="9"/>
        <rFont val="Times New Roman"/>
        <family val="1"/>
      </rPr>
      <t>3g</t>
    </r>
    <phoneticPr fontId="84"/>
  </si>
  <si>
    <r>
      <t>F</t>
    </r>
    <r>
      <rPr>
        <b/>
        <vertAlign val="subscript"/>
        <sz val="9"/>
        <rFont val="Times New Roman"/>
        <family val="1"/>
      </rPr>
      <t>H</t>
    </r>
    <r>
      <rPr>
        <b/>
        <sz val="9"/>
        <rFont val="ＭＳ 明朝"/>
        <family val="1"/>
        <charset val="128"/>
      </rPr>
      <t>・</t>
    </r>
    <r>
      <rPr>
        <b/>
        <sz val="10"/>
        <rFont val="Times New Roman"/>
        <family val="1"/>
      </rPr>
      <t>L</t>
    </r>
    <r>
      <rPr>
        <b/>
        <sz val="9"/>
        <rFont val="Times New Roman"/>
        <family val="1"/>
      </rPr>
      <t>3g</t>
    </r>
    <phoneticPr fontId="84"/>
  </si>
  <si>
    <t>強 度 判 定</t>
    <rPh sb="0" eb="1">
      <t>ツヨシ</t>
    </rPh>
    <rPh sb="2" eb="3">
      <t>ド</t>
    </rPh>
    <rPh sb="4" eb="5">
      <t>ハン</t>
    </rPh>
    <rPh sb="6" eb="7">
      <t>サダム</t>
    </rPh>
    <phoneticPr fontId="84"/>
  </si>
  <si>
    <r>
      <t>ボルト</t>
    </r>
    <r>
      <rPr>
        <b/>
        <sz val="10"/>
        <rFont val="ＭＳ 明朝"/>
        <family val="1"/>
        <charset val="128"/>
      </rPr>
      <t>せん断力</t>
    </r>
    <r>
      <rPr>
        <b/>
        <sz val="12"/>
        <rFont val="Times New Roman"/>
        <family val="1"/>
      </rPr>
      <t>τ</t>
    </r>
    <r>
      <rPr>
        <b/>
        <sz val="11"/>
        <rFont val="Times New Roman"/>
        <family val="1"/>
      </rPr>
      <t>[Kgf]</t>
    </r>
    <phoneticPr fontId="84"/>
  </si>
  <si>
    <r>
      <t>ボルト</t>
    </r>
    <r>
      <rPr>
        <b/>
        <sz val="10"/>
        <rFont val="ＭＳ 明朝"/>
        <family val="1"/>
        <charset val="128"/>
      </rPr>
      <t>引抜力</t>
    </r>
    <r>
      <rPr>
        <sz val="10"/>
        <rFont val="ＭＳ 明朝"/>
        <family val="1"/>
        <charset val="128"/>
      </rPr>
      <t xml:space="preserve"> </t>
    </r>
    <r>
      <rPr>
        <b/>
        <sz val="11"/>
        <rFont val="Times New Roman"/>
        <family val="1"/>
      </rPr>
      <t>Rb[Kgf]</t>
    </r>
    <rPh sb="3" eb="4">
      <t>ヒ</t>
    </rPh>
    <rPh sb="4" eb="5">
      <t>ヌ</t>
    </rPh>
    <rPh sb="5" eb="6">
      <t>リョク</t>
    </rPh>
    <phoneticPr fontId="84"/>
  </si>
  <si>
    <t>地階及び１階</t>
    <rPh sb="0" eb="2">
      <t>チカイ</t>
    </rPh>
    <rPh sb="2" eb="3">
      <t>オヨ</t>
    </rPh>
    <rPh sb="5" eb="6">
      <t>カイ</t>
    </rPh>
    <phoneticPr fontId="84"/>
  </si>
  <si>
    <r>
      <t>Kgf
/cm</t>
    </r>
    <r>
      <rPr>
        <vertAlign val="superscript"/>
        <sz val="8"/>
        <rFont val="Times New Roman"/>
        <family val="1"/>
      </rPr>
      <t>2</t>
    </r>
    <phoneticPr fontId="84"/>
  </si>
  <si>
    <r>
      <t>F</t>
    </r>
    <r>
      <rPr>
        <b/>
        <vertAlign val="subscript"/>
        <sz val="8"/>
        <rFont val="Times New Roman"/>
        <family val="1"/>
      </rPr>
      <t>V</t>
    </r>
    <r>
      <rPr>
        <b/>
        <sz val="8"/>
        <rFont val="Times New Roman"/>
        <family val="1"/>
      </rPr>
      <t>=K</t>
    </r>
    <r>
      <rPr>
        <b/>
        <vertAlign val="subscript"/>
        <sz val="8"/>
        <rFont val="Times New Roman"/>
        <family val="1"/>
      </rPr>
      <t>V</t>
    </r>
    <r>
      <rPr>
        <b/>
        <sz val="8"/>
        <rFont val="ＭＳ Ｐ明朝"/>
        <family val="1"/>
        <charset val="128"/>
      </rPr>
      <t>・</t>
    </r>
    <r>
      <rPr>
        <b/>
        <sz val="8"/>
        <rFont val="Times New Roman"/>
        <family val="1"/>
      </rPr>
      <t>W</t>
    </r>
    <r>
      <rPr>
        <b/>
        <vertAlign val="subscript"/>
        <sz val="10"/>
        <rFont val="Times New Roman"/>
        <family val="1"/>
      </rPr>
      <t>t</t>
    </r>
    <phoneticPr fontId="84"/>
  </si>
  <si>
    <r>
      <t>F</t>
    </r>
    <r>
      <rPr>
        <b/>
        <vertAlign val="subscript"/>
        <sz val="9"/>
        <rFont val="Times New Roman"/>
        <family val="1"/>
      </rPr>
      <t>H</t>
    </r>
    <r>
      <rPr>
        <b/>
        <sz val="8"/>
        <rFont val="Times New Roman"/>
        <family val="1"/>
      </rPr>
      <t>=K</t>
    </r>
    <r>
      <rPr>
        <b/>
        <vertAlign val="subscript"/>
        <sz val="8"/>
        <rFont val="Times New Roman"/>
        <family val="1"/>
      </rPr>
      <t>H</t>
    </r>
    <r>
      <rPr>
        <b/>
        <sz val="8"/>
        <rFont val="ＭＳ Ｐゴシック"/>
        <family val="3"/>
        <charset val="128"/>
      </rPr>
      <t>・</t>
    </r>
    <r>
      <rPr>
        <b/>
        <sz val="8"/>
        <rFont val="Times New Roman"/>
        <family val="1"/>
      </rPr>
      <t>W</t>
    </r>
    <r>
      <rPr>
        <b/>
        <vertAlign val="subscript"/>
        <sz val="10"/>
        <rFont val="Times New Roman"/>
        <family val="1"/>
      </rPr>
      <t>t</t>
    </r>
    <phoneticPr fontId="84"/>
  </si>
  <si>
    <r>
      <t>K</t>
    </r>
    <r>
      <rPr>
        <b/>
        <vertAlign val="subscript"/>
        <sz val="9"/>
        <rFont val="Times New Roman"/>
        <family val="1"/>
      </rPr>
      <t>V</t>
    </r>
    <r>
      <rPr>
        <b/>
        <sz val="8"/>
        <rFont val="Times New Roman"/>
        <family val="1"/>
      </rPr>
      <t>=K</t>
    </r>
    <r>
      <rPr>
        <b/>
        <vertAlign val="subscript"/>
        <sz val="8"/>
        <rFont val="Times New Roman"/>
        <family val="1"/>
      </rPr>
      <t>H</t>
    </r>
    <r>
      <rPr>
        <b/>
        <sz val="8"/>
        <rFont val="ＭＳ Ｐゴシック"/>
        <family val="3"/>
        <charset val="128"/>
      </rPr>
      <t>・</t>
    </r>
    <r>
      <rPr>
        <b/>
        <sz val="8"/>
        <rFont val="Times New Roman"/>
        <family val="1"/>
      </rPr>
      <t>0.5</t>
    </r>
    <phoneticPr fontId="84"/>
  </si>
  <si>
    <r>
      <t>K</t>
    </r>
    <r>
      <rPr>
        <b/>
        <vertAlign val="subscript"/>
        <sz val="8"/>
        <rFont val="Times New Roman"/>
        <family val="1"/>
      </rPr>
      <t>H</t>
    </r>
    <r>
      <rPr>
        <b/>
        <sz val="8"/>
        <rFont val="Times New Roman"/>
        <family val="1"/>
      </rPr>
      <t>=Ks</t>
    </r>
    <r>
      <rPr>
        <b/>
        <sz val="8"/>
        <rFont val="ＭＳ Ｐゴシック"/>
        <family val="3"/>
        <charset val="128"/>
      </rPr>
      <t>・</t>
    </r>
    <r>
      <rPr>
        <b/>
        <sz val="8"/>
        <rFont val="Times New Roman"/>
        <family val="1"/>
      </rPr>
      <t>Z</t>
    </r>
    <phoneticPr fontId="84"/>
  </si>
  <si>
    <t>中間階</t>
    <phoneticPr fontId="84"/>
  </si>
  <si>
    <t>Kgf</t>
    <phoneticPr fontId="84"/>
  </si>
  <si>
    <r>
      <t xml:space="preserve">短期許容引抜荷重 </t>
    </r>
    <r>
      <rPr>
        <b/>
        <sz val="8"/>
        <rFont val="ＭＳ Ｐ明朝"/>
        <family val="1"/>
        <charset val="128"/>
      </rPr>
      <t>Ｔａ</t>
    </r>
    <r>
      <rPr>
        <sz val="8"/>
        <rFont val="ＭＳ Ｐ明朝"/>
        <family val="1"/>
        <charset val="128"/>
      </rPr>
      <t>：</t>
    </r>
    <rPh sb="0" eb="8">
      <t>タンキキョヨウヒキヌキカジュウ</t>
    </rPh>
    <phoneticPr fontId="84"/>
  </si>
  <si>
    <r>
      <t>F</t>
    </r>
    <r>
      <rPr>
        <b/>
        <vertAlign val="subscript"/>
        <sz val="9"/>
        <rFont val="Times New Roman"/>
        <family val="1"/>
      </rPr>
      <t>V</t>
    </r>
    <r>
      <rPr>
        <b/>
        <sz val="9"/>
        <rFont val="Times New Roman"/>
        <family val="1"/>
      </rPr>
      <t>=</t>
    </r>
    <phoneticPr fontId="84"/>
  </si>
  <si>
    <r>
      <t>F</t>
    </r>
    <r>
      <rPr>
        <b/>
        <vertAlign val="subscript"/>
        <sz val="9"/>
        <rFont val="Times New Roman"/>
        <family val="1"/>
      </rPr>
      <t>H</t>
    </r>
    <r>
      <rPr>
        <b/>
        <sz val="9"/>
        <rFont val="Times New Roman"/>
        <family val="1"/>
      </rPr>
      <t>=</t>
    </r>
    <phoneticPr fontId="84"/>
  </si>
  <si>
    <r>
      <t>K</t>
    </r>
    <r>
      <rPr>
        <b/>
        <vertAlign val="subscript"/>
        <sz val="9"/>
        <rFont val="Times New Roman"/>
        <family val="1"/>
      </rPr>
      <t>V</t>
    </r>
    <r>
      <rPr>
        <sz val="9"/>
        <rFont val="Times New Roman"/>
        <family val="1"/>
      </rPr>
      <t>=</t>
    </r>
    <phoneticPr fontId="84"/>
  </si>
  <si>
    <r>
      <t>K</t>
    </r>
    <r>
      <rPr>
        <b/>
        <vertAlign val="subscript"/>
        <sz val="9"/>
        <rFont val="Times New Roman"/>
        <family val="1"/>
      </rPr>
      <t>H</t>
    </r>
    <r>
      <rPr>
        <b/>
        <sz val="9"/>
        <rFont val="Times New Roman"/>
        <family val="1"/>
      </rPr>
      <t>=</t>
    </r>
    <phoneticPr fontId="84"/>
  </si>
  <si>
    <t>及び塔屋</t>
    <phoneticPr fontId="84"/>
  </si>
  <si>
    <t>上層階､屋上</t>
    <rPh sb="0" eb="2">
      <t>ジョウソウ</t>
    </rPh>
    <rPh sb="2" eb="3">
      <t>カイ</t>
    </rPh>
    <rPh sb="4" eb="6">
      <t>オクジョウ</t>
    </rPh>
    <phoneticPr fontId="84"/>
  </si>
  <si>
    <r>
      <t>mm</t>
    </r>
    <r>
      <rPr>
        <b/>
        <vertAlign val="superscript"/>
        <sz val="10"/>
        <rFont val="Times New Roman"/>
        <family val="1"/>
      </rPr>
      <t>2</t>
    </r>
    <phoneticPr fontId="84"/>
  </si>
  <si>
    <r>
      <t xml:space="preserve">短期許容
せん断
応力度
</t>
    </r>
    <r>
      <rPr>
        <sz val="8"/>
        <rFont val="ＭＳ Ｐ明朝"/>
        <family val="1"/>
        <charset val="128"/>
      </rPr>
      <t>(</t>
    </r>
    <r>
      <rPr>
        <b/>
        <sz val="9"/>
        <rFont val="ＭＳ 明朝"/>
        <family val="1"/>
        <charset val="128"/>
      </rPr>
      <t>ｆ</t>
    </r>
    <r>
      <rPr>
        <b/>
        <sz val="9"/>
        <rFont val="Times New Roman"/>
        <family val="1"/>
      </rPr>
      <t>s</t>
    </r>
    <r>
      <rPr>
        <sz val="9"/>
        <rFont val="ＭＳ 明朝"/>
        <family val="1"/>
        <charset val="128"/>
      </rPr>
      <t>)</t>
    </r>
    <rPh sb="0" eb="2">
      <t>タンキ</t>
    </rPh>
    <rPh sb="2" eb="4">
      <t>キョヨウ</t>
    </rPh>
    <rPh sb="7" eb="8">
      <t>ダン</t>
    </rPh>
    <rPh sb="9" eb="11">
      <t>オウリョク</t>
    </rPh>
    <rPh sb="11" eb="12">
      <t>ド</t>
    </rPh>
    <phoneticPr fontId="84"/>
  </si>
  <si>
    <r>
      <t xml:space="preserve">短期許容
引　張
応力度
</t>
    </r>
    <r>
      <rPr>
        <sz val="8"/>
        <rFont val="ＭＳ Ｐ明朝"/>
        <family val="1"/>
        <charset val="128"/>
      </rPr>
      <t>(</t>
    </r>
    <r>
      <rPr>
        <b/>
        <sz val="9"/>
        <rFont val="ＭＳ 明朝"/>
        <family val="1"/>
        <charset val="128"/>
      </rPr>
      <t>ｆ</t>
    </r>
    <r>
      <rPr>
        <b/>
        <sz val="9"/>
        <rFont val="Times New Roman"/>
        <family val="1"/>
      </rPr>
      <t>t</t>
    </r>
    <r>
      <rPr>
        <sz val="9"/>
        <rFont val="ＭＳ 明朝"/>
        <family val="1"/>
        <charset val="128"/>
      </rPr>
      <t>)</t>
    </r>
    <rPh sb="0" eb="2">
      <t>タンキ</t>
    </rPh>
    <rPh sb="2" eb="4">
      <t>キョヨウ</t>
    </rPh>
    <rPh sb="5" eb="6">
      <t>イン</t>
    </rPh>
    <rPh sb="7" eb="8">
      <t>バリ</t>
    </rPh>
    <rPh sb="9" eb="11">
      <t>オウリョク</t>
    </rPh>
    <rPh sb="11" eb="12">
      <t>ド</t>
    </rPh>
    <phoneticPr fontId="84"/>
  </si>
  <si>
    <r>
      <t>有効断面積</t>
    </r>
    <r>
      <rPr>
        <sz val="8.5"/>
        <rFont val="ＭＳ Ｐ明朝"/>
        <family val="1"/>
        <charset val="128"/>
      </rPr>
      <t xml:space="preserve">
</t>
    </r>
    <r>
      <rPr>
        <b/>
        <sz val="9"/>
        <rFont val="Times New Roman"/>
        <family val="1"/>
      </rPr>
      <t>A</t>
    </r>
    <rPh sb="0" eb="2">
      <t>ユウコウ</t>
    </rPh>
    <rPh sb="2" eb="5">
      <t>ダンメンセキ</t>
    </rPh>
    <phoneticPr fontId="84"/>
  </si>
  <si>
    <t>サイズ
[mm]</t>
    <phoneticPr fontId="84"/>
  </si>
  <si>
    <t>材質</t>
    <rPh sb="0" eb="2">
      <t>ザイシツ</t>
    </rPh>
    <phoneticPr fontId="84"/>
  </si>
  <si>
    <t>Ｂ</t>
    <phoneticPr fontId="84"/>
  </si>
  <si>
    <t>Ａ</t>
    <phoneticPr fontId="84"/>
  </si>
  <si>
    <t>Ｓ</t>
    <phoneticPr fontId="84"/>
  </si>
  <si>
    <t>あと施工ＩＴハンガー</t>
    <rPh sb="2" eb="4">
      <t>セコウ</t>
    </rPh>
    <phoneticPr fontId="84"/>
  </si>
  <si>
    <t>地域
係数
Ｚ</t>
    <rPh sb="0" eb="2">
      <t>チイキ</t>
    </rPh>
    <rPh sb="3" eb="5">
      <t>ケイスウ</t>
    </rPh>
    <phoneticPr fontId="84"/>
  </si>
  <si>
    <r>
      <t xml:space="preserve">設計用標準震度 </t>
    </r>
    <r>
      <rPr>
        <b/>
        <sz val="9"/>
        <rFont val="ＭＳ Ｐ明朝"/>
        <family val="1"/>
        <charset val="128"/>
      </rPr>
      <t>Ｋs</t>
    </r>
    <rPh sb="0" eb="3">
      <t>セッケイヨウ</t>
    </rPh>
    <rPh sb="3" eb="5">
      <t>ヒョウジュン</t>
    </rPh>
    <rPh sb="5" eb="7">
      <t>シンド</t>
    </rPh>
    <phoneticPr fontId="84"/>
  </si>
  <si>
    <t>左右面のアンカボルトの片側の本数</t>
    <rPh sb="0" eb="2">
      <t>サユウ</t>
    </rPh>
    <rPh sb="2" eb="3">
      <t>メン</t>
    </rPh>
    <rPh sb="11" eb="13">
      <t>カタガワ</t>
    </rPh>
    <rPh sb="14" eb="16">
      <t>ホンスウ</t>
    </rPh>
    <phoneticPr fontId="84"/>
  </si>
  <si>
    <r>
      <t>n</t>
    </r>
    <r>
      <rPr>
        <b/>
        <vertAlign val="subscript"/>
        <sz val="8"/>
        <rFont val="Times New Roman"/>
        <family val="1"/>
      </rPr>
      <t>V</t>
    </r>
    <r>
      <rPr>
        <b/>
        <sz val="9"/>
        <rFont val="Times New Roman"/>
        <family val="1"/>
      </rPr>
      <t>:</t>
    </r>
    <phoneticPr fontId="84"/>
  </si>
  <si>
    <r>
      <t>n</t>
    </r>
    <r>
      <rPr>
        <sz val="8"/>
        <rFont val="ＭＳ Ｐ明朝"/>
        <family val="1"/>
        <charset val="128"/>
      </rPr>
      <t>(本)</t>
    </r>
    <rPh sb="2" eb="3">
      <t>ホン</t>
    </rPh>
    <phoneticPr fontId="84"/>
  </si>
  <si>
    <r>
      <t xml:space="preserve">鉛直方向 </t>
    </r>
    <r>
      <rPr>
        <b/>
        <sz val="11"/>
        <rFont val="Times New Roman"/>
        <family val="1"/>
      </rPr>
      <t>n</t>
    </r>
    <r>
      <rPr>
        <b/>
        <vertAlign val="subscript"/>
        <sz val="9"/>
        <rFont val="Times New Roman"/>
        <family val="1"/>
      </rPr>
      <t>V</t>
    </r>
    <rPh sb="0" eb="2">
      <t>エンチョク</t>
    </rPh>
    <rPh sb="2" eb="4">
      <t>ホウコウ</t>
    </rPh>
    <phoneticPr fontId="84"/>
  </si>
  <si>
    <r>
      <t xml:space="preserve">上下方向 </t>
    </r>
    <r>
      <rPr>
        <b/>
        <sz val="11"/>
        <rFont val="Times New Roman"/>
        <family val="1"/>
      </rPr>
      <t>n</t>
    </r>
    <r>
      <rPr>
        <b/>
        <vertAlign val="subscript"/>
        <sz val="9"/>
        <rFont val="Times New Roman"/>
        <family val="1"/>
      </rPr>
      <t>H</t>
    </r>
    <rPh sb="0" eb="2">
      <t>ジョウゲ</t>
    </rPh>
    <phoneticPr fontId="84"/>
  </si>
  <si>
    <r>
      <t>鉛直方向</t>
    </r>
    <r>
      <rPr>
        <sz val="8.5"/>
        <rFont val="Times New Roman"/>
        <family val="1"/>
      </rPr>
      <t xml:space="preserve"> </t>
    </r>
    <r>
      <rPr>
        <b/>
        <sz val="10"/>
        <rFont val="Times New Roman"/>
        <family val="1"/>
      </rPr>
      <t>L</t>
    </r>
    <r>
      <rPr>
        <b/>
        <vertAlign val="subscript"/>
        <sz val="11"/>
        <rFont val="Times New Roman"/>
        <family val="1"/>
      </rPr>
      <t>2</t>
    </r>
    <rPh sb="0" eb="2">
      <t>エンチョク</t>
    </rPh>
    <rPh sb="2" eb="4">
      <t>ホウコウ</t>
    </rPh>
    <phoneticPr fontId="84"/>
  </si>
  <si>
    <r>
      <t>水平方向</t>
    </r>
    <r>
      <rPr>
        <sz val="8.5"/>
        <rFont val="Times New Roman"/>
        <family val="1"/>
      </rPr>
      <t xml:space="preserve"> </t>
    </r>
    <r>
      <rPr>
        <b/>
        <sz val="10"/>
        <rFont val="Times New Roman"/>
        <family val="1"/>
      </rPr>
      <t>L</t>
    </r>
    <r>
      <rPr>
        <b/>
        <vertAlign val="subscript"/>
        <sz val="11"/>
        <rFont val="Times New Roman"/>
        <family val="1"/>
      </rPr>
      <t>1</t>
    </r>
    <rPh sb="0" eb="2">
      <t>スイヘイ</t>
    </rPh>
    <rPh sb="2" eb="4">
      <t>ホウコウ</t>
    </rPh>
    <phoneticPr fontId="84"/>
  </si>
  <si>
    <t>上下面のアンカボルトの片側の本数</t>
    <rPh sb="0" eb="2">
      <t>ジョウゲ</t>
    </rPh>
    <rPh sb="2" eb="3">
      <t>メン</t>
    </rPh>
    <rPh sb="11" eb="13">
      <t>カタガワ</t>
    </rPh>
    <rPh sb="14" eb="16">
      <t>ホンスウ</t>
    </rPh>
    <phoneticPr fontId="84"/>
  </si>
  <si>
    <r>
      <t>n</t>
    </r>
    <r>
      <rPr>
        <b/>
        <vertAlign val="subscript"/>
        <sz val="8"/>
        <rFont val="Times New Roman"/>
        <family val="1"/>
      </rPr>
      <t>H</t>
    </r>
    <r>
      <rPr>
        <b/>
        <sz val="9"/>
        <rFont val="Times New Roman"/>
        <family val="1"/>
      </rPr>
      <t>:</t>
    </r>
    <phoneticPr fontId="84"/>
  </si>
  <si>
    <t>ボルト合計</t>
    <rPh sb="3" eb="5">
      <t>ゴウケイ</t>
    </rPh>
    <phoneticPr fontId="84"/>
  </si>
  <si>
    <t>片側ボルト本数</t>
    <phoneticPr fontId="84"/>
  </si>
  <si>
    <t>ボルト・スパン</t>
    <phoneticPr fontId="84"/>
  </si>
  <si>
    <t>アンカボルトの総本数</t>
    <rPh sb="7" eb="8">
      <t>ソウ</t>
    </rPh>
    <rPh sb="8" eb="10">
      <t>ホンスウ</t>
    </rPh>
    <phoneticPr fontId="84"/>
  </si>
  <si>
    <r>
      <t>n</t>
    </r>
    <r>
      <rPr>
        <b/>
        <sz val="9"/>
        <rFont val="Times New Roman"/>
        <family val="1"/>
      </rPr>
      <t>:</t>
    </r>
    <phoneticPr fontId="84"/>
  </si>
  <si>
    <r>
      <t>L</t>
    </r>
    <r>
      <rPr>
        <b/>
        <sz val="7"/>
        <rFont val="Times New Roman"/>
        <family val="1"/>
      </rPr>
      <t>3g</t>
    </r>
    <phoneticPr fontId="84"/>
  </si>
  <si>
    <r>
      <t>L</t>
    </r>
    <r>
      <rPr>
        <b/>
        <sz val="7"/>
        <rFont val="Times New Roman"/>
        <family val="1"/>
      </rPr>
      <t>2g</t>
    </r>
    <phoneticPr fontId="84"/>
  </si>
  <si>
    <r>
      <t>L</t>
    </r>
    <r>
      <rPr>
        <b/>
        <sz val="7"/>
        <rFont val="Times New Roman"/>
        <family val="1"/>
      </rPr>
      <t>1g</t>
    </r>
    <phoneticPr fontId="84"/>
  </si>
  <si>
    <r>
      <t>W</t>
    </r>
    <r>
      <rPr>
        <b/>
        <vertAlign val="subscript"/>
        <sz val="11"/>
        <rFont val="Times New Roman"/>
        <family val="1"/>
      </rPr>
      <t>t</t>
    </r>
    <phoneticPr fontId="84"/>
  </si>
  <si>
    <t>H</t>
    <phoneticPr fontId="84"/>
  </si>
  <si>
    <t>D</t>
    <phoneticPr fontId="84"/>
  </si>
  <si>
    <t>W</t>
    <phoneticPr fontId="84"/>
  </si>
  <si>
    <t>壁面から重心までの距離</t>
    <rPh sb="0" eb="2">
      <t>ヘキメン</t>
    </rPh>
    <rPh sb="4" eb="6">
      <t>ジュウシン</t>
    </rPh>
    <rPh sb="9" eb="11">
      <t>キョリ</t>
    </rPh>
    <phoneticPr fontId="84"/>
  </si>
  <si>
    <r>
      <t>L</t>
    </r>
    <r>
      <rPr>
        <b/>
        <vertAlign val="subscript"/>
        <sz val="9"/>
        <rFont val="Times New Roman"/>
        <family val="1"/>
      </rPr>
      <t>3g</t>
    </r>
    <r>
      <rPr>
        <b/>
        <sz val="9"/>
        <rFont val="Times New Roman"/>
        <family val="1"/>
      </rPr>
      <t>:</t>
    </r>
    <phoneticPr fontId="84"/>
  </si>
  <si>
    <t>重心までの鉛直距離</t>
    <rPh sb="0" eb="2">
      <t>ジュウシン</t>
    </rPh>
    <rPh sb="5" eb="7">
      <t>エンチョク</t>
    </rPh>
    <rPh sb="7" eb="9">
      <t>キョリ</t>
    </rPh>
    <phoneticPr fontId="84"/>
  </si>
  <si>
    <r>
      <t>L</t>
    </r>
    <r>
      <rPr>
        <b/>
        <vertAlign val="subscript"/>
        <sz val="9"/>
        <rFont val="Times New Roman"/>
        <family val="1"/>
      </rPr>
      <t>2g</t>
    </r>
    <r>
      <rPr>
        <b/>
        <sz val="9"/>
        <rFont val="Times New Roman"/>
        <family val="1"/>
      </rPr>
      <t>:</t>
    </r>
    <phoneticPr fontId="84"/>
  </si>
  <si>
    <t>重心までの水平距離</t>
    <rPh sb="0" eb="2">
      <t>ジュウシン</t>
    </rPh>
    <rPh sb="5" eb="7">
      <t>スイヘイ</t>
    </rPh>
    <rPh sb="7" eb="9">
      <t>キョリ</t>
    </rPh>
    <phoneticPr fontId="84"/>
  </si>
  <si>
    <r>
      <t>L</t>
    </r>
    <r>
      <rPr>
        <b/>
        <vertAlign val="subscript"/>
        <sz val="9"/>
        <rFont val="Times New Roman"/>
        <family val="1"/>
      </rPr>
      <t>1g</t>
    </r>
    <r>
      <rPr>
        <b/>
        <sz val="9"/>
        <rFont val="Times New Roman"/>
        <family val="1"/>
      </rPr>
      <t>:</t>
    </r>
    <phoneticPr fontId="84"/>
  </si>
  <si>
    <t>壁面から
重心までの
距離</t>
    <rPh sb="0" eb="2">
      <t>ヘキメン</t>
    </rPh>
    <rPh sb="5" eb="7">
      <t>ジュウシン</t>
    </rPh>
    <rPh sb="11" eb="13">
      <t>キョリ</t>
    </rPh>
    <phoneticPr fontId="84"/>
  </si>
  <si>
    <t>重心までの
鉛直距離</t>
    <rPh sb="0" eb="2">
      <t>ジュウシン</t>
    </rPh>
    <rPh sb="6" eb="8">
      <t>エンチョク</t>
    </rPh>
    <rPh sb="8" eb="10">
      <t>キョリ</t>
    </rPh>
    <phoneticPr fontId="84"/>
  </si>
  <si>
    <t>重心までの
水平距離</t>
    <rPh sb="0" eb="2">
      <t>ジュウシン</t>
    </rPh>
    <rPh sb="6" eb="8">
      <t>スイヘイ</t>
    </rPh>
    <rPh sb="8" eb="10">
      <t>キョリ</t>
    </rPh>
    <phoneticPr fontId="84"/>
  </si>
  <si>
    <t>機器質量</t>
    <rPh sb="0" eb="2">
      <t>キキ</t>
    </rPh>
    <rPh sb="2" eb="4">
      <t>シツリョウ</t>
    </rPh>
    <phoneticPr fontId="84"/>
  </si>
  <si>
    <t>鉛直方向のアンカボルト・スパン</t>
    <rPh sb="0" eb="2">
      <t>エンチョク</t>
    </rPh>
    <rPh sb="2" eb="4">
      <t>ホウコウ</t>
    </rPh>
    <phoneticPr fontId="84"/>
  </si>
  <si>
    <r>
      <t>L</t>
    </r>
    <r>
      <rPr>
        <b/>
        <vertAlign val="subscript"/>
        <sz val="9"/>
        <rFont val="Times New Roman"/>
        <family val="1"/>
      </rPr>
      <t>2</t>
    </r>
    <r>
      <rPr>
        <b/>
        <sz val="9"/>
        <rFont val="Times New Roman"/>
        <family val="1"/>
      </rPr>
      <t>:</t>
    </r>
    <phoneticPr fontId="84"/>
  </si>
  <si>
    <t>水平方向のアンカボルト・スパン</t>
    <rPh sb="0" eb="2">
      <t>スイヘイ</t>
    </rPh>
    <rPh sb="2" eb="4">
      <t>ホウコウ</t>
    </rPh>
    <phoneticPr fontId="84"/>
  </si>
  <si>
    <r>
      <t>L</t>
    </r>
    <r>
      <rPr>
        <b/>
        <vertAlign val="subscript"/>
        <sz val="9"/>
        <rFont val="Times New Roman"/>
        <family val="1"/>
      </rPr>
      <t>1</t>
    </r>
    <r>
      <rPr>
        <b/>
        <sz val="9"/>
        <rFont val="Times New Roman"/>
        <family val="1"/>
      </rPr>
      <t>:</t>
    </r>
    <phoneticPr fontId="84"/>
  </si>
  <si>
    <t xml:space="preserve"> [下表参照]</t>
    <rPh sb="2" eb="4">
      <t>カヒョウ</t>
    </rPh>
    <rPh sb="4" eb="6">
      <t>サンショウ</t>
    </rPh>
    <phoneticPr fontId="84"/>
  </si>
  <si>
    <r>
      <t>Z</t>
    </r>
    <r>
      <rPr>
        <sz val="10"/>
        <rFont val="ＭＳ 明朝"/>
        <family val="1"/>
        <charset val="128"/>
      </rPr>
      <t>＝</t>
    </r>
    <phoneticPr fontId="84"/>
  </si>
  <si>
    <t>　　地　域　係　数</t>
    <rPh sb="2" eb="3">
      <t>チ</t>
    </rPh>
    <rPh sb="4" eb="5">
      <t>イキ</t>
    </rPh>
    <rPh sb="6" eb="7">
      <t>カカリ</t>
    </rPh>
    <rPh sb="8" eb="9">
      <t>カズ</t>
    </rPh>
    <phoneticPr fontId="84"/>
  </si>
  <si>
    <r>
      <t>Ks</t>
    </r>
    <r>
      <rPr>
        <sz val="10"/>
        <rFont val="ＭＳ 明朝"/>
        <family val="1"/>
        <charset val="128"/>
      </rPr>
      <t>＝</t>
    </r>
    <phoneticPr fontId="84"/>
  </si>
  <si>
    <t>　　設計用標準震度</t>
    <rPh sb="2" eb="5">
      <t>セッケイヨウ</t>
    </rPh>
    <rPh sb="5" eb="7">
      <t>ヒョウジュン</t>
    </rPh>
    <rPh sb="7" eb="9">
      <t>シンド</t>
    </rPh>
    <phoneticPr fontId="84"/>
  </si>
  <si>
    <r>
      <t>　</t>
    </r>
    <r>
      <rPr>
        <b/>
        <sz val="9"/>
        <rFont val="ＭＳ 明朝"/>
        <family val="1"/>
        <charset val="128"/>
      </rPr>
      <t>計算基礎条件入力</t>
    </r>
    <rPh sb="1" eb="3">
      <t>ケイサン</t>
    </rPh>
    <rPh sb="3" eb="5">
      <t>キソ</t>
    </rPh>
    <rPh sb="5" eb="7">
      <t>ジョウケン</t>
    </rPh>
    <rPh sb="7" eb="9">
      <t>ニュウリョク</t>
    </rPh>
    <phoneticPr fontId="84"/>
  </si>
  <si>
    <r>
      <t>　　｢第２章　各部の設計－</t>
    </r>
    <r>
      <rPr>
        <sz val="8"/>
        <rFont val="ＭＳ Ｐ明朝"/>
        <family val="1"/>
        <charset val="128"/>
      </rPr>
      <t xml:space="preserve">2.1 </t>
    </r>
    <r>
      <rPr>
        <sz val="8"/>
        <rFont val="ＭＳ 明朝"/>
        <family val="1"/>
        <charset val="128"/>
      </rPr>
      <t>アンカボルト｣</t>
    </r>
    <rPh sb="3" eb="4">
      <t>ダイ</t>
    </rPh>
    <rPh sb="5" eb="6">
      <t>ショウ</t>
    </rPh>
    <rPh sb="7" eb="9">
      <t>カクブ</t>
    </rPh>
    <rPh sb="10" eb="12">
      <t>セッケイ</t>
    </rPh>
    <phoneticPr fontId="84"/>
  </si>
  <si>
    <r>
      <t>　　建築設備耐震設計・施工指針</t>
    </r>
    <r>
      <rPr>
        <sz val="8"/>
        <rFont val="ＭＳ Ｐ明朝"/>
        <family val="1"/>
        <charset val="128"/>
      </rPr>
      <t>2005</t>
    </r>
    <r>
      <rPr>
        <sz val="8"/>
        <rFont val="ＭＳ 明朝"/>
        <family val="1"/>
        <charset val="128"/>
      </rPr>
      <t>年版</t>
    </r>
    <rPh sb="2" eb="4">
      <t>ケンチク</t>
    </rPh>
    <rPh sb="4" eb="6">
      <t>セツビ</t>
    </rPh>
    <rPh sb="6" eb="8">
      <t>タイシン</t>
    </rPh>
    <rPh sb="8" eb="10">
      <t>セッケイ</t>
    </rPh>
    <rPh sb="11" eb="13">
      <t>セコウ</t>
    </rPh>
    <rPh sb="13" eb="15">
      <t>シシン</t>
    </rPh>
    <rPh sb="19" eb="20">
      <t>ネン</t>
    </rPh>
    <rPh sb="20" eb="21">
      <t>ハン</t>
    </rPh>
    <phoneticPr fontId="84"/>
  </si>
  <si>
    <t>　　独立行政法人　建築研究所</t>
    <rPh sb="2" eb="4">
      <t>ドクリツ</t>
    </rPh>
    <rPh sb="4" eb="6">
      <t>ギョウセイ</t>
    </rPh>
    <rPh sb="6" eb="8">
      <t>ホウジン</t>
    </rPh>
    <rPh sb="9" eb="11">
      <t>ケンチク</t>
    </rPh>
    <rPh sb="11" eb="14">
      <t>ケンキュウショ</t>
    </rPh>
    <phoneticPr fontId="84"/>
  </si>
  <si>
    <t>　　国土交通省国土技術政策総合研究所</t>
    <rPh sb="2" eb="4">
      <t>コクド</t>
    </rPh>
    <rPh sb="4" eb="7">
      <t>コウツウショウ</t>
    </rPh>
    <rPh sb="7" eb="9">
      <t>コクド</t>
    </rPh>
    <rPh sb="9" eb="11">
      <t>ギジュツ</t>
    </rPh>
    <rPh sb="11" eb="13">
      <t>セイサク</t>
    </rPh>
    <rPh sb="13" eb="15">
      <t>ソウゴウ</t>
    </rPh>
    <rPh sb="15" eb="18">
      <t>ケンキュウショ</t>
    </rPh>
    <phoneticPr fontId="84"/>
  </si>
  <si>
    <t xml:space="preserve">    ボルト引抜力、引張応力、せん断応力</t>
    <rPh sb="7" eb="9">
      <t>ヒキヌキ</t>
    </rPh>
    <rPh sb="9" eb="10">
      <t>リョク</t>
    </rPh>
    <rPh sb="11" eb="13">
      <t>ヒッパ</t>
    </rPh>
    <rPh sb="13" eb="15">
      <t>オウリョク</t>
    </rPh>
    <rPh sb="18" eb="19">
      <t>ダン</t>
    </rPh>
    <rPh sb="19" eb="21">
      <t>オウリョク</t>
    </rPh>
    <phoneticPr fontId="84"/>
  </si>
  <si>
    <r>
      <t xml:space="preserve"> </t>
    </r>
    <r>
      <rPr>
        <b/>
        <sz val="10"/>
        <rFont val="ＭＳ Ｐ明朝"/>
        <family val="1"/>
        <charset val="128"/>
      </rPr>
      <t>耐震措置計算書-[</t>
    </r>
    <r>
      <rPr>
        <b/>
        <sz val="10"/>
        <rFont val="ＭＳ Ｐゴシック"/>
        <family val="3"/>
        <charset val="128"/>
      </rPr>
      <t>1/2]</t>
    </r>
    <rPh sb="1" eb="3">
      <t>タイシン</t>
    </rPh>
    <rPh sb="3" eb="5">
      <t>ソチ</t>
    </rPh>
    <rPh sb="5" eb="7">
      <t>ケイサン</t>
    </rPh>
    <rPh sb="7" eb="8">
      <t>ショ</t>
    </rPh>
    <phoneticPr fontId="84"/>
  </si>
  <si>
    <r>
      <t xml:space="preserve">整理番号
</t>
    </r>
    <r>
      <rPr>
        <b/>
        <sz val="12"/>
        <rFont val="Times New Roman"/>
        <family val="1"/>
      </rPr>
      <t>E-003</t>
    </r>
    <rPh sb="0" eb="2">
      <t>セイリ</t>
    </rPh>
    <rPh sb="2" eb="4">
      <t>バンゴウ</t>
    </rPh>
    <phoneticPr fontId="84"/>
  </si>
  <si>
    <r>
      <t>耐震措置計算書</t>
    </r>
    <r>
      <rPr>
        <b/>
        <sz val="8"/>
        <rFont val="ＭＳ 明朝"/>
        <family val="1"/>
        <charset val="128"/>
      </rPr>
      <t xml:space="preserve">
</t>
    </r>
    <r>
      <rPr>
        <b/>
        <sz val="9"/>
        <rFont val="ＭＳ Ｐ明朝"/>
        <family val="1"/>
        <charset val="128"/>
      </rPr>
      <t>(ＬＧＳ壁面取付)-1/2</t>
    </r>
    <phoneticPr fontId="84"/>
  </si>
  <si>
    <r>
      <t>E-mail</t>
    </r>
    <r>
      <rPr>
        <sz val="9"/>
        <rFont val="ＭＳ Ｐ明朝"/>
        <family val="1"/>
        <charset val="128"/>
      </rPr>
      <t>；</t>
    </r>
    <phoneticPr fontId="84"/>
  </si>
  <si>
    <t xml:space="preserve">No.      </t>
    <phoneticPr fontId="84"/>
  </si>
  <si>
    <t>△</t>
    <phoneticPr fontId="84"/>
  </si>
  <si>
    <r>
      <t>W</t>
    </r>
    <r>
      <rPr>
        <b/>
        <sz val="6"/>
        <rFont val="Times New Roman"/>
        <family val="1"/>
      </rPr>
      <t>B1</t>
    </r>
    <phoneticPr fontId="84"/>
  </si>
  <si>
    <r>
      <t>F</t>
    </r>
    <r>
      <rPr>
        <b/>
        <vertAlign val="subscript"/>
        <sz val="9"/>
        <rFont val="Times New Roman"/>
        <family val="1"/>
      </rPr>
      <t>V</t>
    </r>
    <r>
      <rPr>
        <b/>
        <sz val="8"/>
        <rFont val="Times New Roman"/>
        <family val="1"/>
      </rPr>
      <t>[Kgf]</t>
    </r>
    <phoneticPr fontId="84"/>
  </si>
  <si>
    <r>
      <t>F</t>
    </r>
    <r>
      <rPr>
        <b/>
        <vertAlign val="subscript"/>
        <sz val="9"/>
        <rFont val="Times New Roman"/>
        <family val="1"/>
      </rPr>
      <t>H</t>
    </r>
    <r>
      <rPr>
        <b/>
        <sz val="8"/>
        <rFont val="Times New Roman"/>
        <family val="1"/>
      </rPr>
      <t>[Kgf]</t>
    </r>
    <phoneticPr fontId="84"/>
  </si>
  <si>
    <t>鉛直地震力</t>
    <phoneticPr fontId="84"/>
  </si>
  <si>
    <r>
      <t>f</t>
    </r>
    <r>
      <rPr>
        <b/>
        <sz val="10"/>
        <rFont val="Times New Roman"/>
        <family val="1"/>
      </rPr>
      <t>c</t>
    </r>
    <phoneticPr fontId="84"/>
  </si>
  <si>
    <r>
      <t>L</t>
    </r>
    <r>
      <rPr>
        <b/>
        <sz val="6"/>
        <rFont val="Times New Roman"/>
        <family val="1"/>
      </rPr>
      <t>W2</t>
    </r>
    <phoneticPr fontId="84"/>
  </si>
  <si>
    <t>ＬＧＳ上部 高さ  mm</t>
    <phoneticPr fontId="84"/>
  </si>
  <si>
    <r>
      <t>f</t>
    </r>
    <r>
      <rPr>
        <b/>
        <sz val="10"/>
        <rFont val="Times New Roman"/>
        <family val="1"/>
      </rPr>
      <t>b</t>
    </r>
    <phoneticPr fontId="84"/>
  </si>
  <si>
    <r>
      <t>Kgf</t>
    </r>
    <r>
      <rPr>
        <b/>
        <sz val="9"/>
        <rFont val="ＭＳ Ｐ明朝"/>
        <family val="1"/>
        <charset val="128"/>
      </rPr>
      <t>／</t>
    </r>
    <r>
      <rPr>
        <b/>
        <sz val="9"/>
        <rFont val="Times New Roman"/>
        <family val="1"/>
      </rPr>
      <t>cm</t>
    </r>
    <r>
      <rPr>
        <b/>
        <vertAlign val="superscript"/>
        <sz val="11"/>
        <rFont val="Times New Roman"/>
        <family val="1"/>
      </rPr>
      <t>2</t>
    </r>
    <phoneticPr fontId="84"/>
  </si>
  <si>
    <r>
      <t>f</t>
    </r>
    <r>
      <rPr>
        <b/>
        <sz val="8"/>
        <rFont val="ＭＳ 明朝"/>
        <family val="1"/>
        <charset val="128"/>
      </rPr>
      <t>c</t>
    </r>
    <phoneticPr fontId="84"/>
  </si>
  <si>
    <r>
      <t>L</t>
    </r>
    <r>
      <rPr>
        <b/>
        <sz val="6"/>
        <rFont val="Times New Roman"/>
        <family val="1"/>
      </rPr>
      <t>W</t>
    </r>
    <phoneticPr fontId="84"/>
  </si>
  <si>
    <r>
      <t>ＬＧＳ取付高さ</t>
    </r>
    <r>
      <rPr>
        <sz val="9"/>
        <rFont val="ＭＳ 明朝"/>
        <family val="1"/>
        <charset val="128"/>
      </rPr>
      <t xml:space="preserve"> FL＋mm</t>
    </r>
    <phoneticPr fontId="84"/>
  </si>
  <si>
    <t>A</t>
    <phoneticPr fontId="84"/>
  </si>
  <si>
    <r>
      <t>f</t>
    </r>
    <r>
      <rPr>
        <b/>
        <sz val="8"/>
        <rFont val="ＭＳ 明朝"/>
        <family val="1"/>
        <charset val="128"/>
      </rPr>
      <t>b</t>
    </r>
    <phoneticPr fontId="84"/>
  </si>
  <si>
    <r>
      <t>L</t>
    </r>
    <r>
      <rPr>
        <b/>
        <sz val="6"/>
        <rFont val="Times New Roman"/>
        <family val="1"/>
      </rPr>
      <t>W1</t>
    </r>
    <phoneticPr fontId="84"/>
  </si>
  <si>
    <t>盤重心 位置  FL＋mm</t>
    <phoneticPr fontId="84"/>
  </si>
  <si>
    <r>
      <t>Z</t>
    </r>
    <r>
      <rPr>
        <b/>
        <sz val="7"/>
        <rFont val="Times New Roman"/>
        <family val="1"/>
      </rPr>
      <t>Y</t>
    </r>
    <phoneticPr fontId="84"/>
  </si>
  <si>
    <t>mm</t>
    <phoneticPr fontId="84"/>
  </si>
  <si>
    <r>
      <t>W</t>
    </r>
    <r>
      <rPr>
        <b/>
        <sz val="6"/>
        <rFont val="Times New Roman"/>
        <family val="1"/>
      </rPr>
      <t>LGS</t>
    </r>
    <phoneticPr fontId="84"/>
  </si>
  <si>
    <r>
      <t>H</t>
    </r>
    <r>
      <rPr>
        <b/>
        <sz val="7"/>
        <rFont val="Times New Roman"/>
        <family val="1"/>
      </rPr>
      <t>t</t>
    </r>
    <phoneticPr fontId="84"/>
  </si>
  <si>
    <t>盤取付 天端  FL＋mm</t>
    <phoneticPr fontId="84"/>
  </si>
  <si>
    <r>
      <t>：</t>
    </r>
    <r>
      <rPr>
        <b/>
        <sz val="11"/>
        <rFont val="Times New Roman"/>
        <family val="1"/>
      </rPr>
      <t>P</t>
    </r>
    <r>
      <rPr>
        <b/>
        <sz val="8.5"/>
        <rFont val="Times New Roman"/>
        <family val="1"/>
      </rPr>
      <t>t</t>
    </r>
    <r>
      <rPr>
        <sz val="8.5"/>
        <rFont val="ＭＳ Ｐ明朝"/>
        <family val="1"/>
        <charset val="128"/>
      </rPr>
      <t>＋</t>
    </r>
    <r>
      <rPr>
        <b/>
        <sz val="11"/>
        <rFont val="Times New Roman"/>
        <family val="1"/>
      </rPr>
      <t>P</t>
    </r>
    <r>
      <rPr>
        <b/>
        <sz val="7"/>
        <rFont val="Times New Roman"/>
        <family val="1"/>
      </rPr>
      <t>B1</t>
    </r>
    <r>
      <rPr>
        <sz val="8.5"/>
        <rFont val="ＭＳ Ｐ明朝"/>
        <family val="1"/>
        <charset val="128"/>
      </rPr>
      <t>＋</t>
    </r>
    <r>
      <rPr>
        <b/>
        <sz val="11"/>
        <rFont val="Times New Roman"/>
        <family val="1"/>
      </rPr>
      <t>P</t>
    </r>
    <r>
      <rPr>
        <b/>
        <sz val="7"/>
        <rFont val="Times New Roman"/>
        <family val="1"/>
      </rPr>
      <t>B2</t>
    </r>
    <r>
      <rPr>
        <sz val="8.5"/>
        <rFont val="ＭＳ Ｐ明朝"/>
        <family val="1"/>
        <charset val="128"/>
      </rPr>
      <t>＋・・・</t>
    </r>
    <phoneticPr fontId="84"/>
  </si>
  <si>
    <r>
      <t>∑</t>
    </r>
    <r>
      <rPr>
        <b/>
        <sz val="11"/>
        <rFont val="Times New Roman"/>
        <family val="1"/>
      </rPr>
      <t>P</t>
    </r>
    <phoneticPr fontId="84"/>
  </si>
  <si>
    <r>
      <t>cm</t>
    </r>
    <r>
      <rPr>
        <b/>
        <vertAlign val="superscript"/>
        <sz val="11"/>
        <rFont val="Times New Roman"/>
        <family val="1"/>
      </rPr>
      <t>2</t>
    </r>
    <phoneticPr fontId="84"/>
  </si>
  <si>
    <r>
      <t>：</t>
    </r>
    <r>
      <rPr>
        <b/>
        <sz val="11"/>
        <rFont val="Times New Roman"/>
        <family val="1"/>
      </rPr>
      <t>M</t>
    </r>
    <r>
      <rPr>
        <b/>
        <sz val="8.5"/>
        <rFont val="Times New Roman"/>
        <family val="1"/>
      </rPr>
      <t>t</t>
    </r>
    <r>
      <rPr>
        <sz val="8.5"/>
        <rFont val="ＭＳ Ｐ明朝"/>
        <family val="1"/>
        <charset val="128"/>
      </rPr>
      <t>＋</t>
    </r>
    <r>
      <rPr>
        <b/>
        <sz val="11"/>
        <rFont val="Times New Roman"/>
        <family val="1"/>
      </rPr>
      <t>M</t>
    </r>
    <r>
      <rPr>
        <b/>
        <sz val="7"/>
        <rFont val="Times New Roman"/>
        <family val="1"/>
      </rPr>
      <t>B1</t>
    </r>
    <r>
      <rPr>
        <sz val="8.5"/>
        <rFont val="ＭＳ Ｐ明朝"/>
        <family val="1"/>
        <charset val="128"/>
      </rPr>
      <t>＋</t>
    </r>
    <r>
      <rPr>
        <b/>
        <sz val="11"/>
        <rFont val="Times New Roman"/>
        <family val="1"/>
      </rPr>
      <t>M</t>
    </r>
    <r>
      <rPr>
        <b/>
        <sz val="7"/>
        <rFont val="Times New Roman"/>
        <family val="1"/>
      </rPr>
      <t>B2</t>
    </r>
    <r>
      <rPr>
        <sz val="8.5"/>
        <rFont val="ＭＳ Ｐ明朝"/>
        <family val="1"/>
        <charset val="128"/>
      </rPr>
      <t>＋・・・</t>
    </r>
    <phoneticPr fontId="84"/>
  </si>
  <si>
    <r>
      <t>∑</t>
    </r>
    <r>
      <rPr>
        <b/>
        <sz val="11"/>
        <rFont val="Times New Roman"/>
        <family val="1"/>
      </rPr>
      <t>M</t>
    </r>
    <phoneticPr fontId="84"/>
  </si>
  <si>
    <r>
      <t>cm</t>
    </r>
    <r>
      <rPr>
        <b/>
        <vertAlign val="superscript"/>
        <sz val="11"/>
        <rFont val="Times New Roman"/>
        <family val="1"/>
      </rPr>
      <t>3</t>
    </r>
    <phoneticPr fontId="84"/>
  </si>
  <si>
    <t>σ</t>
    <phoneticPr fontId="84"/>
  </si>
  <si>
    <t>　60×40×0.6mm</t>
    <phoneticPr fontId="84"/>
  </si>
  <si>
    <t>機器質量</t>
    <phoneticPr fontId="84"/>
  </si>
  <si>
    <r>
      <t>P</t>
    </r>
    <r>
      <rPr>
        <b/>
        <sz val="6"/>
        <rFont val="Times New Roman"/>
        <family val="1"/>
      </rPr>
      <t>B</t>
    </r>
    <phoneticPr fontId="84"/>
  </si>
  <si>
    <r>
      <t>P</t>
    </r>
    <r>
      <rPr>
        <b/>
        <sz val="7"/>
        <rFont val="Times New Roman"/>
        <family val="1"/>
      </rPr>
      <t>t</t>
    </r>
    <r>
      <rPr>
        <b/>
        <sz val="3"/>
        <color indexed="9"/>
        <rFont val="Times New Roman"/>
        <family val="1"/>
      </rPr>
      <t>1</t>
    </r>
    <phoneticPr fontId="84"/>
  </si>
  <si>
    <t xml:space="preserve"> Ｙ方向曲げモーメント[Kg-m]</t>
    <phoneticPr fontId="84"/>
  </si>
  <si>
    <r>
      <t>M</t>
    </r>
    <r>
      <rPr>
        <b/>
        <sz val="6"/>
        <rFont val="Times New Roman"/>
        <family val="1"/>
      </rPr>
      <t>B</t>
    </r>
    <phoneticPr fontId="84"/>
  </si>
  <si>
    <r>
      <t>M</t>
    </r>
    <r>
      <rPr>
        <b/>
        <sz val="7"/>
        <rFont val="Times New Roman"/>
        <family val="1"/>
      </rPr>
      <t>t</t>
    </r>
    <r>
      <rPr>
        <b/>
        <sz val="3"/>
        <color indexed="9"/>
        <rFont val="Times New Roman"/>
        <family val="1"/>
      </rPr>
      <t>1</t>
    </r>
    <phoneticPr fontId="84"/>
  </si>
  <si>
    <r>
      <t>耐震措置計算書</t>
    </r>
    <r>
      <rPr>
        <b/>
        <sz val="8"/>
        <rFont val="ＭＳ 明朝"/>
        <family val="1"/>
        <charset val="128"/>
      </rPr>
      <t xml:space="preserve">
</t>
    </r>
    <r>
      <rPr>
        <b/>
        <sz val="9"/>
        <rFont val="ＭＳ Ｐ明朝"/>
        <family val="1"/>
        <charset val="128"/>
      </rPr>
      <t>(ＬＧＳ壁面取付)-2/2</t>
    </r>
    <phoneticPr fontId="84"/>
  </si>
  <si>
    <r>
      <t xml:space="preserve">  (</t>
    </r>
    <r>
      <rPr>
        <b/>
        <sz val="10"/>
        <rFont val="Times New Roman"/>
        <family val="1"/>
      </rPr>
      <t>W</t>
    </r>
    <r>
      <rPr>
        <b/>
        <vertAlign val="subscript"/>
        <sz val="11"/>
        <rFont val="Times New Roman"/>
        <family val="1"/>
      </rPr>
      <t>t</t>
    </r>
    <r>
      <rPr>
        <b/>
        <sz val="10"/>
        <rFont val="Times New Roman"/>
        <family val="1"/>
      </rPr>
      <t>+F</t>
    </r>
    <r>
      <rPr>
        <b/>
        <vertAlign val="subscript"/>
        <sz val="9"/>
        <rFont val="Times New Roman"/>
        <family val="1"/>
      </rPr>
      <t>V</t>
    </r>
    <r>
      <rPr>
        <sz val="9"/>
        <rFont val="Times New Roman"/>
        <family val="1"/>
      </rPr>
      <t>)</t>
    </r>
    <r>
      <rPr>
        <sz val="10"/>
        <rFont val="ＭＳ Ｐ明朝"/>
        <family val="1"/>
        <charset val="128"/>
      </rPr>
      <t>・</t>
    </r>
    <r>
      <rPr>
        <b/>
        <sz val="10"/>
        <rFont val="Times New Roman"/>
        <family val="1"/>
      </rPr>
      <t>L</t>
    </r>
    <r>
      <rPr>
        <b/>
        <sz val="9"/>
        <rFont val="Times New Roman"/>
        <family val="1"/>
      </rPr>
      <t>3g</t>
    </r>
    <phoneticPr fontId="84"/>
  </si>
  <si>
    <r>
      <t>F</t>
    </r>
    <r>
      <rPr>
        <b/>
        <sz val="9"/>
        <rFont val="Times New Roman"/>
        <family val="1"/>
      </rPr>
      <t>h</t>
    </r>
    <r>
      <rPr>
        <b/>
        <sz val="9"/>
        <rFont val="ＭＳ Ｐ明朝"/>
        <family val="1"/>
        <charset val="128"/>
      </rPr>
      <t>・</t>
    </r>
    <r>
      <rPr>
        <b/>
        <sz val="9"/>
        <rFont val="Times New Roman"/>
        <family val="1"/>
      </rPr>
      <t>(</t>
    </r>
    <r>
      <rPr>
        <b/>
        <sz val="11"/>
        <rFont val="Times New Roman"/>
        <family val="1"/>
      </rPr>
      <t>L</t>
    </r>
    <r>
      <rPr>
        <b/>
        <vertAlign val="subscript"/>
        <sz val="11"/>
        <rFont val="Times New Roman"/>
        <family val="1"/>
      </rPr>
      <t>2</t>
    </r>
    <r>
      <rPr>
        <b/>
        <sz val="8"/>
        <rFont val="ＭＳ Ｐ明朝"/>
        <family val="1"/>
        <charset val="128"/>
      </rPr>
      <t>－</t>
    </r>
    <r>
      <rPr>
        <b/>
        <sz val="11"/>
        <rFont val="Times New Roman"/>
        <family val="1"/>
      </rPr>
      <t>L</t>
    </r>
    <r>
      <rPr>
        <b/>
        <sz val="9"/>
        <rFont val="Times New Roman"/>
        <family val="1"/>
      </rPr>
      <t>2g)</t>
    </r>
    <phoneticPr fontId="84"/>
  </si>
  <si>
    <r>
      <t>　　</t>
    </r>
    <r>
      <rPr>
        <sz val="10"/>
        <rFont val="Times New Roman"/>
        <family val="1"/>
      </rPr>
      <t>(</t>
    </r>
    <r>
      <rPr>
        <b/>
        <sz val="10"/>
        <rFont val="Times New Roman"/>
        <family val="1"/>
      </rPr>
      <t>W</t>
    </r>
    <r>
      <rPr>
        <b/>
        <vertAlign val="subscript"/>
        <sz val="11"/>
        <rFont val="Times New Roman"/>
        <family val="1"/>
      </rPr>
      <t>t</t>
    </r>
    <r>
      <rPr>
        <b/>
        <sz val="10"/>
        <rFont val="Times New Roman"/>
        <family val="1"/>
      </rPr>
      <t>+F</t>
    </r>
    <r>
      <rPr>
        <b/>
        <vertAlign val="subscript"/>
        <sz val="9"/>
        <rFont val="Times New Roman"/>
        <family val="1"/>
      </rPr>
      <t>V</t>
    </r>
    <r>
      <rPr>
        <sz val="9"/>
        <rFont val="Times New Roman"/>
        <family val="1"/>
      </rPr>
      <t>)</t>
    </r>
    <r>
      <rPr>
        <sz val="10"/>
        <rFont val="ＭＳ Ｐ明朝"/>
        <family val="1"/>
        <charset val="128"/>
      </rPr>
      <t>・</t>
    </r>
    <r>
      <rPr>
        <b/>
        <sz val="10"/>
        <rFont val="Times New Roman"/>
        <family val="1"/>
      </rPr>
      <t>L</t>
    </r>
    <r>
      <rPr>
        <b/>
        <sz val="9"/>
        <rFont val="Times New Roman"/>
        <family val="1"/>
      </rPr>
      <t>3g</t>
    </r>
    <phoneticPr fontId="84"/>
  </si>
  <si>
    <r>
      <t>F</t>
    </r>
    <r>
      <rPr>
        <b/>
        <vertAlign val="subscript"/>
        <sz val="9"/>
        <rFont val="Times New Roman"/>
        <family val="1"/>
      </rPr>
      <t>H</t>
    </r>
    <r>
      <rPr>
        <b/>
        <sz val="9"/>
        <rFont val="ＭＳ 明朝"/>
        <family val="1"/>
        <charset val="128"/>
      </rPr>
      <t>・</t>
    </r>
    <r>
      <rPr>
        <b/>
        <sz val="10"/>
        <rFont val="Times New Roman"/>
        <family val="1"/>
      </rPr>
      <t>L</t>
    </r>
    <r>
      <rPr>
        <b/>
        <sz val="9"/>
        <rFont val="Times New Roman"/>
        <family val="1"/>
      </rPr>
      <t>3g</t>
    </r>
    <phoneticPr fontId="84"/>
  </si>
  <si>
    <r>
      <t>ボルト</t>
    </r>
    <r>
      <rPr>
        <b/>
        <sz val="10"/>
        <rFont val="ＭＳ 明朝"/>
        <family val="1"/>
        <charset val="128"/>
      </rPr>
      <t>せん断力</t>
    </r>
    <r>
      <rPr>
        <b/>
        <sz val="12"/>
        <rFont val="Times New Roman"/>
        <family val="1"/>
      </rPr>
      <t>τ</t>
    </r>
    <r>
      <rPr>
        <b/>
        <sz val="11"/>
        <rFont val="Times New Roman"/>
        <family val="1"/>
      </rPr>
      <t>[Kgf]</t>
    </r>
    <phoneticPr fontId="84"/>
  </si>
  <si>
    <r>
      <t>Kgf
/cm</t>
    </r>
    <r>
      <rPr>
        <vertAlign val="superscript"/>
        <sz val="8"/>
        <rFont val="Times New Roman"/>
        <family val="1"/>
      </rPr>
      <t>2</t>
    </r>
    <phoneticPr fontId="84"/>
  </si>
  <si>
    <t>サンコーテクノ株式会社　カスタマーテクノ
センタ技術管理部発行　ts=380[N/sqmm]</t>
    <rPh sb="7" eb="11">
      <t>カブ</t>
    </rPh>
    <rPh sb="24" eb="26">
      <t>ギジュツ</t>
    </rPh>
    <rPh sb="26" eb="28">
      <t>カンリ</t>
    </rPh>
    <rPh sb="28" eb="29">
      <t>ブ</t>
    </rPh>
    <rPh sb="29" eb="31">
      <t>ハッコウ</t>
    </rPh>
    <phoneticPr fontId="84"/>
  </si>
  <si>
    <r>
      <t>K</t>
    </r>
    <r>
      <rPr>
        <b/>
        <vertAlign val="subscript"/>
        <sz val="8"/>
        <rFont val="Times New Roman"/>
        <family val="1"/>
      </rPr>
      <t>H</t>
    </r>
    <r>
      <rPr>
        <b/>
        <sz val="8"/>
        <rFont val="Times New Roman"/>
        <family val="1"/>
      </rPr>
      <t>=Ks</t>
    </r>
    <r>
      <rPr>
        <b/>
        <sz val="8"/>
        <rFont val="ＭＳ Ｐゴシック"/>
        <family val="3"/>
        <charset val="128"/>
      </rPr>
      <t>・</t>
    </r>
    <r>
      <rPr>
        <b/>
        <sz val="8"/>
        <rFont val="Times New Roman"/>
        <family val="1"/>
      </rPr>
      <t>Z</t>
    </r>
    <phoneticPr fontId="84"/>
  </si>
  <si>
    <t>中間階</t>
    <phoneticPr fontId="84"/>
  </si>
  <si>
    <t>Kgf</t>
    <phoneticPr fontId="84"/>
  </si>
  <si>
    <t>及び塔屋</t>
    <phoneticPr fontId="84"/>
  </si>
  <si>
    <r>
      <t>mm</t>
    </r>
    <r>
      <rPr>
        <b/>
        <vertAlign val="superscript"/>
        <sz val="10"/>
        <rFont val="Times New Roman"/>
        <family val="1"/>
      </rPr>
      <t>2</t>
    </r>
    <phoneticPr fontId="84"/>
  </si>
  <si>
    <t>M</t>
    <phoneticPr fontId="84"/>
  </si>
  <si>
    <r>
      <t>SUS</t>
    </r>
    <r>
      <rPr>
        <sz val="8.5"/>
        <rFont val="Times New Roman"/>
        <family val="1"/>
      </rPr>
      <t/>
    </r>
    <phoneticPr fontId="84"/>
  </si>
  <si>
    <t>サイズ
[mm]</t>
    <phoneticPr fontId="84"/>
  </si>
  <si>
    <t>Ｂ</t>
    <phoneticPr fontId="84"/>
  </si>
  <si>
    <t>Ａ</t>
    <phoneticPr fontId="84"/>
  </si>
  <si>
    <t>Ｓ</t>
    <phoneticPr fontId="84"/>
  </si>
  <si>
    <r>
      <t>n</t>
    </r>
    <r>
      <rPr>
        <b/>
        <vertAlign val="subscript"/>
        <sz val="8"/>
        <rFont val="Times New Roman"/>
        <family val="1"/>
      </rPr>
      <t>V</t>
    </r>
    <r>
      <rPr>
        <b/>
        <sz val="9"/>
        <rFont val="Times New Roman"/>
        <family val="1"/>
      </rPr>
      <t>:</t>
    </r>
    <phoneticPr fontId="84"/>
  </si>
  <si>
    <r>
      <t>n</t>
    </r>
    <r>
      <rPr>
        <b/>
        <vertAlign val="subscript"/>
        <sz val="8"/>
        <rFont val="Times New Roman"/>
        <family val="1"/>
      </rPr>
      <t>H</t>
    </r>
    <r>
      <rPr>
        <b/>
        <sz val="9"/>
        <rFont val="Times New Roman"/>
        <family val="1"/>
      </rPr>
      <t>:</t>
    </r>
    <phoneticPr fontId="84"/>
  </si>
  <si>
    <t>片側ボルト本数</t>
    <phoneticPr fontId="84"/>
  </si>
  <si>
    <t>ボルト・スパン</t>
    <phoneticPr fontId="84"/>
  </si>
  <si>
    <r>
      <t>n</t>
    </r>
    <r>
      <rPr>
        <b/>
        <sz val="9"/>
        <rFont val="Times New Roman"/>
        <family val="1"/>
      </rPr>
      <t>:</t>
    </r>
    <phoneticPr fontId="84"/>
  </si>
  <si>
    <t>LGS壁掛盤入力例</t>
    <rPh sb="3" eb="5">
      <t>カベカケ</t>
    </rPh>
    <rPh sb="5" eb="6">
      <t>バン</t>
    </rPh>
    <rPh sb="6" eb="8">
      <t>ニュウリョク</t>
    </rPh>
    <rPh sb="8" eb="9">
      <t>レイ</t>
    </rPh>
    <phoneticPr fontId="84"/>
  </si>
  <si>
    <t>　計算式は、下記による。</t>
    <rPh sb="1" eb="3">
      <t>ケイサン</t>
    </rPh>
    <rPh sb="3" eb="4">
      <t>シキ</t>
    </rPh>
    <rPh sb="6" eb="8">
      <t>カキ</t>
    </rPh>
    <phoneticPr fontId="84"/>
  </si>
  <si>
    <t>重 要</t>
    <rPh sb="0" eb="1">
      <t>シゲル</t>
    </rPh>
    <rPh sb="2" eb="3">
      <t>ヨウ</t>
    </rPh>
    <phoneticPr fontId="84"/>
  </si>
  <si>
    <t>機器の重要度</t>
    <phoneticPr fontId="84"/>
  </si>
  <si>
    <r>
      <t xml:space="preserve">整理番号
</t>
    </r>
    <r>
      <rPr>
        <b/>
        <sz val="12"/>
        <rFont val="Times New Roman"/>
        <family val="1"/>
      </rPr>
      <t>E-002</t>
    </r>
    <rPh sb="0" eb="2">
      <t>セイリ</t>
    </rPh>
    <rPh sb="2" eb="4">
      <t>バンゴウ</t>
    </rPh>
    <phoneticPr fontId="84"/>
  </si>
  <si>
    <r>
      <t xml:space="preserve">耐震措置計算書
</t>
    </r>
    <r>
      <rPr>
        <sz val="9"/>
        <rFont val="ＭＳ 明朝"/>
        <family val="1"/>
        <charset val="128"/>
      </rPr>
      <t>(ＲＣ壁面取付)</t>
    </r>
    <rPh sb="0" eb="2">
      <t>タイシン</t>
    </rPh>
    <rPh sb="2" eb="4">
      <t>ソチ</t>
    </rPh>
    <rPh sb="4" eb="6">
      <t>ケイサン</t>
    </rPh>
    <rPh sb="6" eb="7">
      <t>ショ</t>
    </rPh>
    <rPh sb="11" eb="13">
      <t>ヘキメン</t>
    </rPh>
    <rPh sb="13" eb="15">
      <t>トリツケ</t>
    </rPh>
    <phoneticPr fontId="84"/>
  </si>
  <si>
    <t>RC壁掛盤入力例</t>
    <rPh sb="2" eb="4">
      <t>カベカケ</t>
    </rPh>
    <rPh sb="4" eb="5">
      <t>バン</t>
    </rPh>
    <rPh sb="5" eb="7">
      <t>ニュウリョク</t>
    </rPh>
    <rPh sb="7" eb="8">
      <t>レイ</t>
    </rPh>
    <phoneticPr fontId="84"/>
  </si>
  <si>
    <t>τ</t>
    <phoneticPr fontId="84"/>
  </si>
  <si>
    <t>Rb</t>
    <phoneticPr fontId="84"/>
  </si>
  <si>
    <r>
      <t>f</t>
    </r>
    <r>
      <rPr>
        <b/>
        <sz val="9"/>
        <rFont val="Times New Roman"/>
        <family val="1"/>
      </rPr>
      <t>s</t>
    </r>
    <phoneticPr fontId="84"/>
  </si>
  <si>
    <r>
      <t>f</t>
    </r>
    <r>
      <rPr>
        <b/>
        <sz val="9"/>
        <rFont val="Times New Roman"/>
        <family val="1"/>
      </rPr>
      <t>t</t>
    </r>
    <phoneticPr fontId="84"/>
  </si>
  <si>
    <r>
      <t>T</t>
    </r>
    <r>
      <rPr>
        <b/>
        <sz val="9"/>
        <rFont val="Times New Roman"/>
        <family val="1"/>
      </rPr>
      <t>a</t>
    </r>
    <phoneticPr fontId="84"/>
  </si>
  <si>
    <r>
      <t xml:space="preserve"> 安 全 率 </t>
    </r>
    <r>
      <rPr>
        <b/>
        <sz val="8.5"/>
        <color indexed="62"/>
        <rFont val="ＭＳ Ｐ明朝"/>
        <family val="1"/>
        <charset val="128"/>
      </rPr>
      <t>Ｓfτ</t>
    </r>
    <rPh sb="1" eb="2">
      <t>ヤス</t>
    </rPh>
    <rPh sb="3" eb="4">
      <t>ゼン</t>
    </rPh>
    <rPh sb="5" eb="6">
      <t>リツ</t>
    </rPh>
    <phoneticPr fontId="84"/>
  </si>
  <si>
    <r>
      <t xml:space="preserve"> 安 全 率 </t>
    </r>
    <r>
      <rPr>
        <b/>
        <sz val="8.5"/>
        <color indexed="62"/>
        <rFont val="ＭＳ Ｐ明朝"/>
        <family val="1"/>
        <charset val="128"/>
      </rPr>
      <t>Ｓfσ</t>
    </r>
    <rPh sb="1" eb="2">
      <t>ヤス</t>
    </rPh>
    <rPh sb="3" eb="4">
      <t>ゼン</t>
    </rPh>
    <rPh sb="5" eb="6">
      <t>リツ</t>
    </rPh>
    <phoneticPr fontId="84"/>
  </si>
  <si>
    <r>
      <t xml:space="preserve"> 安 全 率 </t>
    </r>
    <r>
      <rPr>
        <b/>
        <sz val="8.5"/>
        <color indexed="62"/>
        <rFont val="ＭＳ Ｐ明朝"/>
        <family val="1"/>
        <charset val="128"/>
      </rPr>
      <t>Ｓ</t>
    </r>
    <r>
      <rPr>
        <b/>
        <sz val="8.5"/>
        <color indexed="62"/>
        <rFont val="ＭＳ 明朝"/>
        <family val="1"/>
        <charset val="128"/>
      </rPr>
      <t>f</t>
    </r>
    <r>
      <rPr>
        <b/>
        <sz val="8.5"/>
        <color indexed="62"/>
        <rFont val="ＭＳ Ｐ明朝"/>
        <family val="1"/>
        <charset val="128"/>
      </rPr>
      <t>Rb</t>
    </r>
    <rPh sb="1" eb="2">
      <t>ヤス</t>
    </rPh>
    <rPh sb="3" eb="4">
      <t>ゼン</t>
    </rPh>
    <rPh sb="5" eb="6">
      <t>リツ</t>
    </rPh>
    <phoneticPr fontId="84"/>
  </si>
  <si>
    <t>判定:</t>
    <rPh sb="0" eb="2">
      <t>ハンテイ</t>
    </rPh>
    <phoneticPr fontId="84"/>
  </si>
  <si>
    <r>
      <t xml:space="preserve">  τ</t>
    </r>
    <r>
      <rPr>
        <sz val="8.5"/>
        <rFont val="ＭＳ 明朝"/>
        <family val="1"/>
        <charset val="128"/>
      </rPr>
      <t>＝</t>
    </r>
    <phoneticPr fontId="84"/>
  </si>
  <si>
    <t xml:space="preserve"> 強度判定</t>
    <rPh sb="1" eb="3">
      <t>キョウド</t>
    </rPh>
    <rPh sb="3" eb="5">
      <t>ハンテイ</t>
    </rPh>
    <phoneticPr fontId="84"/>
  </si>
  <si>
    <r>
      <t>σ</t>
    </r>
    <r>
      <rPr>
        <sz val="8.5"/>
        <rFont val="ＭＳ Ｐ明朝"/>
        <family val="1"/>
        <charset val="128"/>
      </rPr>
      <t>＝</t>
    </r>
    <phoneticPr fontId="84"/>
  </si>
  <si>
    <t>強度判定</t>
    <rPh sb="0" eb="2">
      <t>キョウド</t>
    </rPh>
    <rPh sb="2" eb="4">
      <t>ハンテイ</t>
    </rPh>
    <phoneticPr fontId="84"/>
  </si>
  <si>
    <r>
      <t xml:space="preserve"> Rb</t>
    </r>
    <r>
      <rPr>
        <sz val="8.5"/>
        <rFont val="ＭＳ 明朝"/>
        <family val="1"/>
        <charset val="128"/>
      </rPr>
      <t>＝</t>
    </r>
    <phoneticPr fontId="84"/>
  </si>
  <si>
    <r>
      <t>n</t>
    </r>
    <r>
      <rPr>
        <b/>
        <sz val="9"/>
        <rFont val="ＭＳ Ｐ明朝"/>
        <family val="1"/>
        <charset val="128"/>
      </rPr>
      <t>･</t>
    </r>
    <r>
      <rPr>
        <b/>
        <sz val="9"/>
        <rFont val="Times New Roman"/>
        <family val="1"/>
      </rPr>
      <t>A</t>
    </r>
    <phoneticPr fontId="84"/>
  </si>
  <si>
    <r>
      <t>L</t>
    </r>
    <r>
      <rPr>
        <b/>
        <sz val="7"/>
        <rFont val="Times New Roman"/>
        <family val="1"/>
      </rPr>
      <t>2</t>
    </r>
    <r>
      <rPr>
        <b/>
        <sz val="9"/>
        <rFont val="ＭＳ Ｐゴシック"/>
        <family val="3"/>
        <charset val="128"/>
      </rPr>
      <t>・</t>
    </r>
    <r>
      <rPr>
        <b/>
        <sz val="10"/>
        <rFont val="Times New Roman"/>
        <family val="1"/>
      </rPr>
      <t>n</t>
    </r>
    <r>
      <rPr>
        <b/>
        <sz val="7"/>
        <rFont val="Times New Roman"/>
        <family val="1"/>
      </rPr>
      <t>1</t>
    </r>
    <phoneticPr fontId="84"/>
  </si>
  <si>
    <t>Fh</t>
    <phoneticPr fontId="84"/>
  </si>
  <si>
    <r>
      <t>Fh</t>
    </r>
    <r>
      <rPr>
        <b/>
        <sz val="9"/>
        <rFont val="ＭＳ ゴシック"/>
        <family val="3"/>
        <charset val="128"/>
      </rPr>
      <t>・</t>
    </r>
    <r>
      <rPr>
        <b/>
        <sz val="9"/>
        <rFont val="Times New Roman"/>
        <family val="1"/>
      </rPr>
      <t>Hg</t>
    </r>
    <r>
      <rPr>
        <b/>
        <sz val="9"/>
        <rFont val="ＭＳ ゴシック"/>
        <family val="3"/>
        <charset val="128"/>
      </rPr>
      <t>－</t>
    </r>
    <r>
      <rPr>
        <b/>
        <sz val="9"/>
        <rFont val="Times New Roman"/>
        <family val="1"/>
      </rPr>
      <t>(Wt</t>
    </r>
    <r>
      <rPr>
        <b/>
        <sz val="9"/>
        <rFont val="ＭＳ ゴシック"/>
        <family val="3"/>
        <charset val="128"/>
      </rPr>
      <t>－</t>
    </r>
    <r>
      <rPr>
        <b/>
        <sz val="9"/>
        <rFont val="Times New Roman"/>
        <family val="1"/>
      </rPr>
      <t>Fv)</t>
    </r>
    <r>
      <rPr>
        <b/>
        <sz val="9"/>
        <rFont val="ＭＳ ゴシック"/>
        <family val="3"/>
        <charset val="128"/>
      </rPr>
      <t>・</t>
    </r>
    <r>
      <rPr>
        <b/>
        <sz val="9"/>
        <rFont val="Times New Roman"/>
        <family val="1"/>
      </rPr>
      <t>L2g</t>
    </r>
    <phoneticPr fontId="84"/>
  </si>
  <si>
    <r>
      <t>ボルトせん断応力</t>
    </r>
    <r>
      <rPr>
        <sz val="10"/>
        <rFont val="ＭＳ 明朝"/>
        <family val="1"/>
        <charset val="128"/>
      </rPr>
      <t xml:space="preserve"> </t>
    </r>
    <r>
      <rPr>
        <b/>
        <sz val="12"/>
        <rFont val="Times New Roman"/>
        <family val="1"/>
      </rPr>
      <t>τ</t>
    </r>
    <r>
      <rPr>
        <b/>
        <sz val="10"/>
        <rFont val="Times New Roman"/>
        <family val="1"/>
      </rPr>
      <t>[Kgf/cm</t>
    </r>
    <r>
      <rPr>
        <b/>
        <vertAlign val="superscript"/>
        <sz val="10"/>
        <rFont val="Times New Roman"/>
        <family val="1"/>
      </rPr>
      <t>2</t>
    </r>
    <r>
      <rPr>
        <b/>
        <sz val="10"/>
        <rFont val="Times New Roman"/>
        <family val="1"/>
      </rPr>
      <t>]</t>
    </r>
    <rPh sb="5" eb="6">
      <t>ダン</t>
    </rPh>
    <rPh sb="6" eb="8">
      <t>オウリョク</t>
    </rPh>
    <phoneticPr fontId="84"/>
  </si>
  <si>
    <r>
      <t>ボルト引張応力</t>
    </r>
    <r>
      <rPr>
        <sz val="10"/>
        <rFont val="ＭＳ 明朝"/>
        <family val="1"/>
        <charset val="128"/>
      </rPr>
      <t xml:space="preserve"> </t>
    </r>
    <r>
      <rPr>
        <b/>
        <sz val="12"/>
        <rFont val="Times New Roman"/>
        <family val="1"/>
      </rPr>
      <t>σ</t>
    </r>
    <r>
      <rPr>
        <b/>
        <sz val="10"/>
        <rFont val="ＭＳ 明朝"/>
        <family val="1"/>
        <charset val="128"/>
      </rPr>
      <t>[Kgf/cm</t>
    </r>
    <r>
      <rPr>
        <b/>
        <vertAlign val="superscript"/>
        <sz val="10"/>
        <rFont val="ＭＳ 明朝"/>
        <family val="1"/>
        <charset val="128"/>
      </rPr>
      <t>2</t>
    </r>
    <r>
      <rPr>
        <b/>
        <sz val="10"/>
        <rFont val="ＭＳ 明朝"/>
        <family val="1"/>
        <charset val="128"/>
      </rPr>
      <t>]</t>
    </r>
    <rPh sb="3" eb="4">
      <t>ヒ</t>
    </rPh>
    <rPh sb="4" eb="5">
      <t>パ</t>
    </rPh>
    <rPh sb="5" eb="7">
      <t>オウリョク</t>
    </rPh>
    <rPh sb="16" eb="17">
      <t>２</t>
    </rPh>
    <phoneticPr fontId="84"/>
  </si>
  <si>
    <r>
      <t>ボルト引抜力</t>
    </r>
    <r>
      <rPr>
        <sz val="10"/>
        <rFont val="ＭＳ 明朝"/>
        <family val="1"/>
        <charset val="128"/>
      </rPr>
      <t xml:space="preserve"> </t>
    </r>
    <r>
      <rPr>
        <b/>
        <sz val="11"/>
        <rFont val="Times New Roman"/>
        <family val="1"/>
      </rPr>
      <t>Rb[Kgf]</t>
    </r>
    <rPh sb="3" eb="4">
      <t>ヒ</t>
    </rPh>
    <rPh sb="4" eb="5">
      <t>ヌ</t>
    </rPh>
    <rPh sb="5" eb="6">
      <t>リョク</t>
    </rPh>
    <phoneticPr fontId="84"/>
  </si>
  <si>
    <r>
      <t>Fv=Kv</t>
    </r>
    <r>
      <rPr>
        <b/>
        <sz val="8"/>
        <rFont val="ＭＳ Ｐ明朝"/>
        <family val="1"/>
        <charset val="128"/>
      </rPr>
      <t>・</t>
    </r>
    <r>
      <rPr>
        <b/>
        <sz val="8"/>
        <rFont val="Times New Roman"/>
        <family val="1"/>
      </rPr>
      <t>Wt</t>
    </r>
    <phoneticPr fontId="84"/>
  </si>
  <si>
    <r>
      <t>Fh=Kh</t>
    </r>
    <r>
      <rPr>
        <b/>
        <sz val="8"/>
        <rFont val="ＭＳ Ｐゴシック"/>
        <family val="3"/>
        <charset val="128"/>
      </rPr>
      <t>・</t>
    </r>
    <r>
      <rPr>
        <b/>
        <sz val="8"/>
        <rFont val="Times New Roman"/>
        <family val="1"/>
      </rPr>
      <t>Wt</t>
    </r>
    <phoneticPr fontId="84"/>
  </si>
  <si>
    <r>
      <t>Kv=Kh</t>
    </r>
    <r>
      <rPr>
        <b/>
        <sz val="8"/>
        <rFont val="ＭＳ Ｐゴシック"/>
        <family val="3"/>
        <charset val="128"/>
      </rPr>
      <t>・</t>
    </r>
    <r>
      <rPr>
        <b/>
        <sz val="8"/>
        <rFont val="Times New Roman"/>
        <family val="1"/>
      </rPr>
      <t>0.5</t>
    </r>
    <phoneticPr fontId="84"/>
  </si>
  <si>
    <r>
      <t>Kh=Ks</t>
    </r>
    <r>
      <rPr>
        <b/>
        <sz val="8"/>
        <rFont val="ＭＳ Ｐゴシック"/>
        <family val="3"/>
        <charset val="128"/>
      </rPr>
      <t>・</t>
    </r>
    <r>
      <rPr>
        <b/>
        <sz val="8"/>
        <rFont val="Times New Roman"/>
        <family val="1"/>
      </rPr>
      <t>Z</t>
    </r>
    <phoneticPr fontId="84"/>
  </si>
  <si>
    <t>Fv</t>
    <phoneticPr fontId="84"/>
  </si>
  <si>
    <r>
      <t>Kv</t>
    </r>
    <r>
      <rPr>
        <sz val="9"/>
        <rFont val="Times New Roman"/>
        <family val="1"/>
      </rPr>
      <t>=</t>
    </r>
    <phoneticPr fontId="84"/>
  </si>
  <si>
    <t>Kh=</t>
    <phoneticPr fontId="84"/>
  </si>
  <si>
    <r>
      <t>cm</t>
    </r>
    <r>
      <rPr>
        <b/>
        <vertAlign val="superscript"/>
        <sz val="10"/>
        <rFont val="Times New Roman"/>
        <family val="1"/>
      </rPr>
      <t>2</t>
    </r>
    <phoneticPr fontId="84"/>
  </si>
  <si>
    <t>Fv[Kgf]</t>
    <phoneticPr fontId="84"/>
  </si>
  <si>
    <t>Fh[Kgf]</t>
    <phoneticPr fontId="84"/>
  </si>
  <si>
    <t>サイズ</t>
    <phoneticPr fontId="84"/>
  </si>
  <si>
    <t>あと施工ケミカルアンカボルト</t>
    <rPh sb="2" eb="4">
      <t>セコウ</t>
    </rPh>
    <phoneticPr fontId="84"/>
  </si>
  <si>
    <t>地　域　係　数：</t>
    <phoneticPr fontId="84"/>
  </si>
  <si>
    <t>設計用標準震度：</t>
    <phoneticPr fontId="84"/>
  </si>
  <si>
    <r>
      <t xml:space="preserve">短辺方向 </t>
    </r>
    <r>
      <rPr>
        <b/>
        <sz val="11"/>
        <rFont val="Times New Roman"/>
        <family val="1"/>
      </rPr>
      <t>n</t>
    </r>
    <r>
      <rPr>
        <b/>
        <sz val="8.5"/>
        <rFont val="Times New Roman"/>
        <family val="1"/>
      </rPr>
      <t>2</t>
    </r>
    <phoneticPr fontId="84"/>
  </si>
  <si>
    <r>
      <t xml:space="preserve">長辺方向 </t>
    </r>
    <r>
      <rPr>
        <b/>
        <sz val="11"/>
        <rFont val="Times New Roman"/>
        <family val="1"/>
      </rPr>
      <t>n</t>
    </r>
    <r>
      <rPr>
        <b/>
        <sz val="7"/>
        <rFont val="Times New Roman"/>
        <family val="1"/>
      </rPr>
      <t>1</t>
    </r>
    <phoneticPr fontId="84"/>
  </si>
  <si>
    <r>
      <t>短辺方向</t>
    </r>
    <r>
      <rPr>
        <sz val="8.5"/>
        <rFont val="Times New Roman"/>
        <family val="1"/>
      </rPr>
      <t xml:space="preserve"> </t>
    </r>
    <r>
      <rPr>
        <b/>
        <sz val="10"/>
        <rFont val="Times New Roman"/>
        <family val="1"/>
      </rPr>
      <t>L</t>
    </r>
    <r>
      <rPr>
        <b/>
        <sz val="7"/>
        <rFont val="Times New Roman"/>
        <family val="1"/>
      </rPr>
      <t>2</t>
    </r>
    <rPh sb="0" eb="2">
      <t>タンペン</t>
    </rPh>
    <rPh sb="2" eb="4">
      <t>ホウコウ</t>
    </rPh>
    <phoneticPr fontId="84"/>
  </si>
  <si>
    <r>
      <t>長辺方向</t>
    </r>
    <r>
      <rPr>
        <sz val="8.5"/>
        <rFont val="Times New Roman"/>
        <family val="1"/>
      </rPr>
      <t xml:space="preserve"> </t>
    </r>
    <r>
      <rPr>
        <b/>
        <sz val="10"/>
        <rFont val="Times New Roman"/>
        <family val="1"/>
      </rPr>
      <t>L</t>
    </r>
    <r>
      <rPr>
        <b/>
        <sz val="7"/>
        <rFont val="Times New Roman"/>
        <family val="1"/>
      </rPr>
      <t>1</t>
    </r>
    <rPh sb="0" eb="2">
      <t>チョウヘン</t>
    </rPh>
    <rPh sb="2" eb="4">
      <t>ホウコウ</t>
    </rPh>
    <phoneticPr fontId="84"/>
  </si>
  <si>
    <t>る片側のボルト本数</t>
    <rPh sb="1" eb="3">
      <t>カタガワ</t>
    </rPh>
    <rPh sb="7" eb="9">
      <t>ホンスウ</t>
    </rPh>
    <phoneticPr fontId="84"/>
  </si>
  <si>
    <t>機器転倒を考えた場合の引張りを受け</t>
    <rPh sb="0" eb="2">
      <t>キキ</t>
    </rPh>
    <rPh sb="2" eb="4">
      <t>テントウ</t>
    </rPh>
    <rPh sb="5" eb="6">
      <t>カンガ</t>
    </rPh>
    <rPh sb="8" eb="10">
      <t>バアイ</t>
    </rPh>
    <rPh sb="11" eb="13">
      <t>ヒッパリ</t>
    </rPh>
    <rPh sb="15" eb="16">
      <t>ウ</t>
    </rPh>
    <phoneticPr fontId="84"/>
  </si>
  <si>
    <r>
      <t>n</t>
    </r>
    <r>
      <rPr>
        <b/>
        <vertAlign val="subscript"/>
        <sz val="9"/>
        <rFont val="Times New Roman"/>
        <family val="1"/>
      </rPr>
      <t>1</t>
    </r>
    <r>
      <rPr>
        <b/>
        <sz val="9"/>
        <rFont val="Times New Roman"/>
        <family val="1"/>
      </rPr>
      <t>,n</t>
    </r>
    <r>
      <rPr>
        <b/>
        <vertAlign val="subscript"/>
        <sz val="9"/>
        <rFont val="Times New Roman"/>
        <family val="1"/>
      </rPr>
      <t>2</t>
    </r>
    <r>
      <rPr>
        <b/>
        <sz val="9"/>
        <rFont val="Times New Roman"/>
        <family val="1"/>
      </rPr>
      <t>:</t>
    </r>
    <phoneticPr fontId="84"/>
  </si>
  <si>
    <t>ボルトの総本数</t>
    <rPh sb="4" eb="5">
      <t>ソウ</t>
    </rPh>
    <rPh sb="5" eb="7">
      <t>ホンスウ</t>
    </rPh>
    <phoneticPr fontId="84"/>
  </si>
  <si>
    <t>n:</t>
    <phoneticPr fontId="84"/>
  </si>
  <si>
    <r>
      <t>L</t>
    </r>
    <r>
      <rPr>
        <b/>
        <sz val="7"/>
        <rFont val="Times New Roman"/>
        <family val="1"/>
      </rPr>
      <t>2g</t>
    </r>
    <r>
      <rPr>
        <sz val="8"/>
        <rFont val="ＭＳ Ｐ明朝"/>
        <family val="1"/>
        <charset val="128"/>
      </rPr>
      <t>(短辺)</t>
    </r>
    <rPh sb="4" eb="6">
      <t>タンペン</t>
    </rPh>
    <phoneticPr fontId="84"/>
  </si>
  <si>
    <r>
      <t>L</t>
    </r>
    <r>
      <rPr>
        <b/>
        <sz val="7"/>
        <rFont val="Times New Roman"/>
        <family val="1"/>
      </rPr>
      <t>1g</t>
    </r>
    <r>
      <rPr>
        <sz val="8"/>
        <rFont val="ＭＳ Ｐ明朝"/>
        <family val="1"/>
        <charset val="128"/>
      </rPr>
      <t>(長辺)</t>
    </r>
    <rPh sb="4" eb="6">
      <t>チョウヘン</t>
    </rPh>
    <phoneticPr fontId="84"/>
  </si>
  <si>
    <t>Hg</t>
    <phoneticPr fontId="84"/>
  </si>
  <si>
    <t>Wt</t>
    <phoneticPr fontId="84"/>
  </si>
  <si>
    <t>機器重心までの距離</t>
    <rPh sb="0" eb="2">
      <t>キキ</t>
    </rPh>
    <rPh sb="2" eb="4">
      <t>ジュウシン</t>
    </rPh>
    <rPh sb="7" eb="9">
      <t>キョリ</t>
    </rPh>
    <phoneticPr fontId="84"/>
  </si>
  <si>
    <t>検討する方向からみたボルト中心から</t>
    <rPh sb="0" eb="2">
      <t>ケントウ</t>
    </rPh>
    <rPh sb="4" eb="6">
      <t>ホウコウ</t>
    </rPh>
    <rPh sb="13" eb="15">
      <t>チュウシン</t>
    </rPh>
    <phoneticPr fontId="84"/>
  </si>
  <si>
    <r>
      <t>L</t>
    </r>
    <r>
      <rPr>
        <b/>
        <vertAlign val="subscript"/>
        <sz val="9"/>
        <rFont val="Times New Roman"/>
        <family val="1"/>
      </rPr>
      <t>1g</t>
    </r>
    <r>
      <rPr>
        <b/>
        <sz val="9"/>
        <rFont val="Times New Roman"/>
        <family val="1"/>
      </rPr>
      <t>,L</t>
    </r>
    <r>
      <rPr>
        <b/>
        <vertAlign val="subscript"/>
        <sz val="9"/>
        <rFont val="Times New Roman"/>
        <family val="1"/>
      </rPr>
      <t>2g</t>
    </r>
    <r>
      <rPr>
        <b/>
        <sz val="9"/>
        <rFont val="Times New Roman"/>
        <family val="1"/>
      </rPr>
      <t>:</t>
    </r>
    <phoneticPr fontId="84"/>
  </si>
  <si>
    <t>ボルト中心から機器
重心までの水平距離</t>
    <rPh sb="3" eb="5">
      <t>チュウシン</t>
    </rPh>
    <rPh sb="7" eb="9">
      <t>キキ</t>
    </rPh>
    <rPh sb="10" eb="12">
      <t>ジュウシン</t>
    </rPh>
    <rPh sb="15" eb="17">
      <t>スイヘイ</t>
    </rPh>
    <rPh sb="17" eb="19">
      <t>キョリ</t>
    </rPh>
    <phoneticPr fontId="84"/>
  </si>
  <si>
    <t>機　　器
重心高さ</t>
    <rPh sb="0" eb="1">
      <t>キ</t>
    </rPh>
    <rPh sb="3" eb="4">
      <t>ウツワ</t>
    </rPh>
    <rPh sb="5" eb="7">
      <t>ジュウシン</t>
    </rPh>
    <rPh sb="7" eb="8">
      <t>タカ</t>
    </rPh>
    <phoneticPr fontId="84"/>
  </si>
  <si>
    <t>検討する方向からみたボルトスパン</t>
    <rPh sb="0" eb="2">
      <t>ケントウ</t>
    </rPh>
    <rPh sb="4" eb="6">
      <t>ホウコウ</t>
    </rPh>
    <phoneticPr fontId="84"/>
  </si>
  <si>
    <r>
      <t>L</t>
    </r>
    <r>
      <rPr>
        <b/>
        <vertAlign val="subscript"/>
        <sz val="9"/>
        <rFont val="Times New Roman"/>
        <family val="1"/>
      </rPr>
      <t>1</t>
    </r>
    <r>
      <rPr>
        <b/>
        <sz val="9"/>
        <rFont val="Times New Roman"/>
        <family val="1"/>
      </rPr>
      <t>,L</t>
    </r>
    <r>
      <rPr>
        <b/>
        <vertAlign val="subscript"/>
        <sz val="9"/>
        <rFont val="Times New Roman"/>
        <family val="1"/>
      </rPr>
      <t>2</t>
    </r>
    <r>
      <rPr>
        <b/>
        <sz val="9"/>
        <rFont val="Times New Roman"/>
        <family val="1"/>
      </rPr>
      <t>:</t>
    </r>
    <phoneticPr fontId="84"/>
  </si>
  <si>
    <t>据付面より機器重心までの高さ</t>
    <rPh sb="0" eb="2">
      <t>スエツケ</t>
    </rPh>
    <rPh sb="2" eb="3">
      <t>メン</t>
    </rPh>
    <rPh sb="5" eb="7">
      <t>キキ</t>
    </rPh>
    <rPh sb="7" eb="9">
      <t>ジュウシン</t>
    </rPh>
    <rPh sb="12" eb="13">
      <t>タカ</t>
    </rPh>
    <phoneticPr fontId="84"/>
  </si>
  <si>
    <t>Hg:</t>
    <phoneticPr fontId="84"/>
  </si>
  <si>
    <t>Wt:</t>
    <phoneticPr fontId="84"/>
  </si>
  <si>
    <t>機器重心位置</t>
    <rPh sb="0" eb="2">
      <t>キキ</t>
    </rPh>
    <rPh sb="2" eb="4">
      <t>ジュウシン</t>
    </rPh>
    <rPh sb="4" eb="6">
      <t>イチ</t>
    </rPh>
    <phoneticPr fontId="84"/>
  </si>
  <si>
    <t>G:</t>
    <phoneticPr fontId="84"/>
  </si>
  <si>
    <t>機器の重要度</t>
    <phoneticPr fontId="84"/>
  </si>
  <si>
    <t xml:space="preserve"> </t>
    <phoneticPr fontId="84"/>
  </si>
  <si>
    <r>
      <t xml:space="preserve">耐震措置計算書
</t>
    </r>
    <r>
      <rPr>
        <sz val="9"/>
        <rFont val="ＭＳ 明朝"/>
        <family val="1"/>
        <charset val="128"/>
      </rPr>
      <t>(矩形断面)</t>
    </r>
    <rPh sb="0" eb="2">
      <t>タイシン</t>
    </rPh>
    <rPh sb="2" eb="4">
      <t>ソチ</t>
    </rPh>
    <rPh sb="4" eb="6">
      <t>ケイサン</t>
    </rPh>
    <rPh sb="6" eb="7">
      <t>ショ</t>
    </rPh>
    <rPh sb="9" eb="11">
      <t>クケイ</t>
    </rPh>
    <rPh sb="11" eb="13">
      <t>ダンメン</t>
    </rPh>
    <phoneticPr fontId="84"/>
  </si>
  <si>
    <r>
      <t>E-mail</t>
    </r>
    <r>
      <rPr>
        <sz val="9"/>
        <rFont val="ＭＳ Ｐ明朝"/>
        <family val="1"/>
        <charset val="128"/>
      </rPr>
      <t>；</t>
    </r>
    <phoneticPr fontId="84"/>
  </si>
  <si>
    <t>　  　　　　　特定建設工事共同企業体</t>
    <rPh sb="8" eb="10">
      <t>トクテイ</t>
    </rPh>
    <rPh sb="10" eb="12">
      <t>ケンセツ</t>
    </rPh>
    <rPh sb="12" eb="14">
      <t>コウジ</t>
    </rPh>
    <rPh sb="14" eb="16">
      <t>キョウドウ</t>
    </rPh>
    <rPh sb="16" eb="19">
      <t>キギョウタイ</t>
    </rPh>
    <phoneticPr fontId="84"/>
  </si>
  <si>
    <t xml:space="preserve">No.      </t>
    <phoneticPr fontId="84"/>
  </si>
  <si>
    <t>△</t>
    <phoneticPr fontId="84"/>
  </si>
  <si>
    <t>ESE  Service</t>
    <phoneticPr fontId="84"/>
  </si>
  <si>
    <t>条件　埋込長さ:90mm、穿孔径:14.5mm
ｺﾝｸﾘｰﾄ厚さ：120～200mm</t>
    <phoneticPr fontId="84"/>
  </si>
  <si>
    <r>
      <t>L</t>
    </r>
    <r>
      <rPr>
        <b/>
        <vertAlign val="subscript"/>
        <sz val="9"/>
        <rFont val="Times New Roman"/>
        <family val="1"/>
      </rPr>
      <t>1</t>
    </r>
    <r>
      <rPr>
        <b/>
        <sz val="9"/>
        <rFont val="Times New Roman"/>
        <family val="1"/>
      </rPr>
      <t>,L</t>
    </r>
    <r>
      <rPr>
        <b/>
        <vertAlign val="subscript"/>
        <sz val="9"/>
        <rFont val="Times New Roman"/>
        <family val="1"/>
      </rPr>
      <t>2</t>
    </r>
    <r>
      <rPr>
        <b/>
        <sz val="9"/>
        <rFont val="Times New Roman"/>
        <family val="1"/>
      </rPr>
      <t>:</t>
    </r>
    <phoneticPr fontId="84"/>
  </si>
  <si>
    <t>Hg:</t>
    <phoneticPr fontId="84"/>
  </si>
  <si>
    <t>Wt:</t>
    <phoneticPr fontId="84"/>
  </si>
  <si>
    <t>G:</t>
    <phoneticPr fontId="84"/>
  </si>
  <si>
    <t>LGS盤</t>
    <rPh sb="3" eb="4">
      <t>バン</t>
    </rPh>
    <phoneticPr fontId="1"/>
  </si>
  <si>
    <t>LGS例</t>
    <rPh sb="3" eb="4">
      <t>レイ</t>
    </rPh>
    <phoneticPr fontId="1"/>
  </si>
  <si>
    <t>RC壁盤</t>
    <rPh sb="2" eb="3">
      <t>カベ</t>
    </rPh>
    <rPh sb="3" eb="4">
      <t>バン</t>
    </rPh>
    <phoneticPr fontId="1"/>
  </si>
  <si>
    <t>RC壁例</t>
    <rPh sb="2" eb="3">
      <t>カベ</t>
    </rPh>
    <rPh sb="3" eb="4">
      <t>レイ</t>
    </rPh>
    <phoneticPr fontId="1"/>
  </si>
  <si>
    <t>自立盤</t>
    <rPh sb="0" eb="2">
      <t>ジリツ</t>
    </rPh>
    <rPh sb="2" eb="3">
      <t>バン</t>
    </rPh>
    <phoneticPr fontId="1"/>
  </si>
  <si>
    <t>自立例</t>
    <rPh sb="0" eb="2">
      <t>ジリツ</t>
    </rPh>
    <rPh sb="2" eb="3">
      <t>レイ</t>
    </rPh>
    <phoneticPr fontId="1"/>
  </si>
  <si>
    <t>発電機設備</t>
    <rPh sb="0" eb="3">
      <t>ハツデンキ</t>
    </rPh>
    <rPh sb="3" eb="5">
      <t>セツビ</t>
    </rPh>
    <phoneticPr fontId="1"/>
  </si>
  <si>
    <t>受変電設備</t>
    <rPh sb="0" eb="3">
      <t>ジュヘンデン</t>
    </rPh>
    <rPh sb="3" eb="5">
      <t>セツビ</t>
    </rPh>
    <phoneticPr fontId="1"/>
  </si>
  <si>
    <t>0nn-nnnn-nnnn</t>
    <phoneticPr fontId="1"/>
  </si>
  <si>
    <t>　　FACSIMILE:</t>
    <phoneticPr fontId="84"/>
  </si>
  <si>
    <t>企業または現場住所を入力してください。</t>
    <rPh sb="0" eb="2">
      <t>キギョウ</t>
    </rPh>
    <rPh sb="5" eb="7">
      <t>ゲンバ</t>
    </rPh>
    <rPh sb="7" eb="9">
      <t>ジュウショ</t>
    </rPh>
    <rPh sb="10" eb="12">
      <t>ニュウリョク</t>
    </rPh>
    <phoneticPr fontId="84"/>
  </si>
  <si>
    <t xml:space="preserve">    TELEPHONE:</t>
    <phoneticPr fontId="84"/>
  </si>
  <si>
    <t>企業名-2を入力してください。</t>
    <phoneticPr fontId="84"/>
  </si>
  <si>
    <t>Date :</t>
    <phoneticPr fontId="84"/>
  </si>
  <si>
    <t>企業名-1を入力してください。</t>
    <rPh sb="0" eb="2">
      <t>キギョウ</t>
    </rPh>
    <rPh sb="2" eb="3">
      <t>メイ</t>
    </rPh>
    <rPh sb="6" eb="8">
      <t>ニュウリョク</t>
    </rPh>
    <phoneticPr fontId="84"/>
  </si>
  <si>
    <t>自立盤入力例</t>
    <rPh sb="0" eb="2">
      <t>ジリツ</t>
    </rPh>
    <rPh sb="2" eb="3">
      <t>バン</t>
    </rPh>
    <rPh sb="3" eb="5">
      <t>ニュウリョク</t>
    </rPh>
    <rPh sb="5" eb="6">
      <t>レイ</t>
    </rPh>
    <phoneticPr fontId="84"/>
  </si>
  <si>
    <t>　　　合成樹脂管にも適用</t>
    <rPh sb="3" eb="5">
      <t>ゴウセイ</t>
    </rPh>
    <rPh sb="5" eb="7">
      <t>ジュシ</t>
    </rPh>
    <rPh sb="7" eb="8">
      <t>カン</t>
    </rPh>
    <rPh sb="10" eb="12">
      <t>テキヨウ</t>
    </rPh>
    <phoneticPr fontId="488"/>
  </si>
  <si>
    <t>計算条件：気中(日射なし)</t>
    <rPh sb="0" eb="2">
      <t>ケイサン</t>
    </rPh>
    <rPh sb="2" eb="4">
      <t>ジョウケン</t>
    </rPh>
    <rPh sb="5" eb="7">
      <t>キチュウ</t>
    </rPh>
    <rPh sb="8" eb="10">
      <t>ニッシャ</t>
    </rPh>
    <phoneticPr fontId="488"/>
  </si>
  <si>
    <t xml:space="preserve">-------- </t>
  </si>
  <si>
    <t xml:space="preserve">-------- </t>
    <phoneticPr fontId="488"/>
  </si>
  <si>
    <t>３段  Ｓ=ｄ</t>
    <phoneticPr fontId="488"/>
  </si>
  <si>
    <t>CV 3C</t>
    <phoneticPr fontId="488"/>
  </si>
  <si>
    <t>CV 2C</t>
    <phoneticPr fontId="488"/>
  </si>
  <si>
    <t>CV-T</t>
    <phoneticPr fontId="488"/>
  </si>
  <si>
    <t>２段  Ｓ=ｄ</t>
    <phoneticPr fontId="488"/>
  </si>
  <si>
    <t>２段  Ｓ=ｄ</t>
  </si>
  <si>
    <t>電線管保護</t>
    <rPh sb="0" eb="2">
      <t>デンセン</t>
    </rPh>
    <rPh sb="2" eb="3">
      <t>カン</t>
    </rPh>
    <rPh sb="3" eb="5">
      <t>ホゴ</t>
    </rPh>
    <phoneticPr fontId="488"/>
  </si>
  <si>
    <t>CV 3C
1条</t>
    <rPh sb="7" eb="8">
      <t>ジョウ</t>
    </rPh>
    <phoneticPr fontId="488"/>
  </si>
  <si>
    <t>CV 2C
1条</t>
    <rPh sb="7" eb="8">
      <t>ジョウ</t>
    </rPh>
    <phoneticPr fontId="488"/>
  </si>
  <si>
    <t>CV-T
1条</t>
    <rPh sb="6" eb="7">
      <t>ジョウ</t>
    </rPh>
    <phoneticPr fontId="488"/>
  </si>
  <si>
    <t>１段  Ｓ=ｄ</t>
    <phoneticPr fontId="488"/>
  </si>
  <si>
    <t>ケーブル・ラック布設</t>
    <rPh sb="8" eb="10">
      <t>フセツ</t>
    </rPh>
    <phoneticPr fontId="488"/>
  </si>
  <si>
    <t>ケーブル布設（１条）</t>
    <rPh sb="4" eb="6">
      <t>フセツ</t>
    </rPh>
    <rPh sb="8" eb="9">
      <t>ジョウ</t>
    </rPh>
    <phoneticPr fontId="488"/>
  </si>
  <si>
    <t>公　称
断面積
[sqmm]</t>
    <phoneticPr fontId="488"/>
  </si>
  <si>
    <t>気中暗渠布設</t>
    <rPh sb="0" eb="2">
      <t>キチュウ</t>
    </rPh>
    <rPh sb="2" eb="4">
      <t>アンキョ</t>
    </rPh>
    <rPh sb="4" eb="6">
      <t>フセツ</t>
    </rPh>
    <phoneticPr fontId="488"/>
  </si>
  <si>
    <t>▼</t>
    <phoneticPr fontId="1"/>
  </si>
  <si>
    <r>
      <t>基底温度入力</t>
    </r>
    <r>
      <rPr>
        <b/>
        <sz val="11"/>
        <color rgb="FFFF0000"/>
        <rFont val="ＭＳ Ｐ明朝"/>
        <family val="1"/>
        <charset val="128"/>
      </rPr>
      <t>⇒</t>
    </r>
    <rPh sb="0" eb="2">
      <t>キテイ</t>
    </rPh>
    <rPh sb="2" eb="4">
      <t>オンド</t>
    </rPh>
    <rPh sb="4" eb="6">
      <t>ニュウリョク</t>
    </rPh>
    <phoneticPr fontId="488"/>
  </si>
  <si>
    <r>
      <t>連続許容電流値</t>
    </r>
    <r>
      <rPr>
        <sz val="11"/>
        <color rgb="FF002060"/>
        <rFont val="Meiryo UI"/>
        <family val="3"/>
        <charset val="128"/>
      </rPr>
      <t>(任意基底温度)</t>
    </r>
    <rPh sb="0" eb="2">
      <t>レンゾク</t>
    </rPh>
    <rPh sb="2" eb="4">
      <t>キョヨウ</t>
    </rPh>
    <rPh sb="4" eb="6">
      <t>デンリュウ</t>
    </rPh>
    <rPh sb="6" eb="7">
      <t>チ</t>
    </rPh>
    <rPh sb="8" eb="10">
      <t>ニンイ</t>
    </rPh>
    <rPh sb="10" eb="12">
      <t>キテイ</t>
    </rPh>
    <rPh sb="12" eb="14">
      <t>オンド</t>
    </rPh>
    <phoneticPr fontId="488"/>
  </si>
  <si>
    <r>
      <t>　管</t>
    </r>
    <r>
      <rPr>
        <sz val="8"/>
        <rFont val="HGS明朝B"/>
        <family val="1"/>
        <charset val="128"/>
      </rPr>
      <t>　</t>
    </r>
    <r>
      <rPr>
        <sz val="10"/>
        <rFont val="HGS明朝B"/>
        <family val="1"/>
        <charset val="128"/>
      </rPr>
      <t>路</t>
    </r>
    <r>
      <rPr>
        <sz val="8"/>
        <rFont val="HGS明朝B"/>
        <family val="1"/>
        <charset val="128"/>
      </rPr>
      <t>　</t>
    </r>
    <r>
      <rPr>
        <sz val="10"/>
        <rFont val="HGS明朝B"/>
        <family val="1"/>
        <charset val="128"/>
      </rPr>
      <t>布</t>
    </r>
    <r>
      <rPr>
        <sz val="9"/>
        <rFont val="HGS明朝B"/>
        <family val="1"/>
        <charset val="128"/>
      </rPr>
      <t>　</t>
    </r>
    <r>
      <rPr>
        <sz val="10"/>
        <rFont val="HGS明朝B"/>
        <family val="1"/>
        <charset val="128"/>
      </rPr>
      <t>設：埋設深さ＝1.4 [ｍ]、管路径100 [ｍ] (ケーブル外径75 [ｍｍ]以下)、管路間隔200 [ｍｍ]</t>
    </r>
    <rPh sb="1" eb="2">
      <t>カン</t>
    </rPh>
    <rPh sb="3" eb="4">
      <t>ロ</t>
    </rPh>
    <rPh sb="5" eb="6">
      <t>ヌノ</t>
    </rPh>
    <rPh sb="7" eb="8">
      <t>セツ</t>
    </rPh>
    <rPh sb="9" eb="11">
      <t>マイセツ</t>
    </rPh>
    <rPh sb="11" eb="12">
      <t>フカ</t>
    </rPh>
    <rPh sb="22" eb="24">
      <t>カンロ</t>
    </rPh>
    <rPh sb="24" eb="25">
      <t>ケイ</t>
    </rPh>
    <rPh sb="38" eb="40">
      <t>ガイケイ</t>
    </rPh>
    <rPh sb="47" eb="49">
      <t>イカ</t>
    </rPh>
    <rPh sb="51" eb="53">
      <t>カンロ</t>
    </rPh>
    <rPh sb="53" eb="55">
      <t>カンカク</t>
    </rPh>
    <phoneticPr fontId="488"/>
  </si>
  <si>
    <r>
      <t>　直</t>
    </r>
    <r>
      <rPr>
        <sz val="8"/>
        <rFont val="HGS明朝B"/>
        <family val="1"/>
        <charset val="128"/>
      </rPr>
      <t>　</t>
    </r>
    <r>
      <rPr>
        <sz val="10"/>
        <rFont val="HGS明朝B"/>
        <family val="1"/>
        <charset val="128"/>
      </rPr>
      <t>埋</t>
    </r>
    <r>
      <rPr>
        <sz val="8"/>
        <rFont val="HGS明朝B"/>
        <family val="1"/>
        <charset val="128"/>
      </rPr>
      <t>　</t>
    </r>
    <r>
      <rPr>
        <sz val="10"/>
        <rFont val="HGS明朝B"/>
        <family val="1"/>
        <charset val="128"/>
      </rPr>
      <t>布</t>
    </r>
    <r>
      <rPr>
        <sz val="9"/>
        <rFont val="HGS明朝B"/>
        <family val="1"/>
        <charset val="128"/>
      </rPr>
      <t>　</t>
    </r>
    <r>
      <rPr>
        <sz val="10"/>
        <rFont val="HGS明朝B"/>
        <family val="1"/>
        <charset val="128"/>
      </rPr>
      <t>設：埋設深さ＝1.4 [ｍ]、ケーブル間隔＝ケーブル外径の２倍</t>
    </r>
    <rPh sb="1" eb="2">
      <t>ジカ</t>
    </rPh>
    <rPh sb="3" eb="4">
      <t>マイ</t>
    </rPh>
    <rPh sb="5" eb="6">
      <t>ヌノ</t>
    </rPh>
    <rPh sb="7" eb="8">
      <t>セツ</t>
    </rPh>
    <rPh sb="9" eb="11">
      <t>マイセツ</t>
    </rPh>
    <rPh sb="11" eb="12">
      <t>フカ</t>
    </rPh>
    <phoneticPr fontId="488"/>
  </si>
  <si>
    <r>
      <t>　気中</t>
    </r>
    <r>
      <rPr>
        <sz val="12"/>
        <rFont val="HGS明朝B"/>
        <family val="1"/>
        <charset val="128"/>
      </rPr>
      <t>･</t>
    </r>
    <r>
      <rPr>
        <sz val="10"/>
        <rFont val="HGS明朝B"/>
        <family val="1"/>
        <charset val="128"/>
      </rPr>
      <t>暗渠布設：ケーブル間隔＝ケーブル外径の２倍</t>
    </r>
    <rPh sb="1" eb="3">
      <t>キチュウ</t>
    </rPh>
    <rPh sb="4" eb="6">
      <t>アンキョ</t>
    </rPh>
    <rPh sb="6" eb="8">
      <t>フセツ</t>
    </rPh>
    <rPh sb="13" eb="15">
      <t>カンカク</t>
    </rPh>
    <rPh sb="20" eb="22">
      <t>ガイケイ</t>
    </rPh>
    <rPh sb="24" eb="25">
      <t>バイ</t>
    </rPh>
    <phoneticPr fontId="488"/>
  </si>
  <si>
    <r>
      <t>　周波数：60[Hz]、　土壌固有熱抵抗：100 [</t>
    </r>
    <r>
      <rPr>
        <sz val="10"/>
        <rFont val="HGP明朝B"/>
        <family val="1"/>
        <charset val="128"/>
      </rPr>
      <t>℃・ｃｍ／Ｗ</t>
    </r>
    <r>
      <rPr>
        <sz val="10"/>
        <rFont val="HGS明朝B"/>
        <family val="1"/>
        <charset val="128"/>
      </rPr>
      <t>]、　損失率：1.0</t>
    </r>
    <phoneticPr fontId="1"/>
  </si>
  <si>
    <r>
      <t>　連続最高許容温度：</t>
    </r>
    <r>
      <rPr>
        <sz val="10"/>
        <rFont val="HGP明朝B"/>
        <family val="1"/>
        <charset val="128"/>
      </rPr>
      <t>９０</t>
    </r>
    <r>
      <rPr>
        <sz val="10"/>
        <rFont val="HGS明朝B"/>
        <family val="1"/>
        <charset val="128"/>
      </rPr>
      <t xml:space="preserve"> [℃]、  基底温度：</t>
    </r>
    <r>
      <rPr>
        <sz val="10"/>
        <rFont val="HGP明朝B"/>
        <family val="1"/>
        <charset val="128"/>
      </rPr>
      <t>４０</t>
    </r>
    <r>
      <rPr>
        <sz val="10"/>
        <rFont val="HGS明朝B"/>
        <family val="1"/>
        <charset val="128"/>
      </rPr>
      <t xml:space="preserve"> [℃] (気中･暗渠布設)、  </t>
    </r>
    <r>
      <rPr>
        <sz val="10"/>
        <rFont val="HGP明朝B"/>
        <family val="1"/>
        <charset val="128"/>
      </rPr>
      <t>２５</t>
    </r>
    <r>
      <rPr>
        <sz val="10"/>
        <rFont val="HGS明朝B"/>
        <family val="1"/>
        <charset val="128"/>
      </rPr>
      <t xml:space="preserve"> [℃] (直埋･管路布設)</t>
    </r>
    <rPh sb="1" eb="3">
      <t>レンゾク</t>
    </rPh>
    <rPh sb="3" eb="5">
      <t>サイコウ</t>
    </rPh>
    <rPh sb="5" eb="7">
      <t>キョヨウ</t>
    </rPh>
    <rPh sb="7" eb="9">
      <t>オンド</t>
    </rPh>
    <rPh sb="19" eb="21">
      <t>キテイ</t>
    </rPh>
    <rPh sb="21" eb="23">
      <t>オンド</t>
    </rPh>
    <rPh sb="32" eb="34">
      <t>キチュウ</t>
    </rPh>
    <rPh sb="35" eb="37">
      <t>アンキョ</t>
    </rPh>
    <rPh sb="37" eb="39">
      <t>フセツ</t>
    </rPh>
    <rPh sb="51" eb="52">
      <t>ジカ</t>
    </rPh>
    <rPh sb="52" eb="53">
      <t>マイ</t>
    </rPh>
    <rPh sb="54" eb="56">
      <t>カンロ</t>
    </rPh>
    <rPh sb="56" eb="58">
      <t>フセツ</t>
    </rPh>
    <phoneticPr fontId="488"/>
  </si>
  <si>
    <t>計算条件は、下記による。</t>
    <rPh sb="0" eb="2">
      <t>ケイサン</t>
    </rPh>
    <rPh sb="2" eb="4">
      <t>ジョウケン</t>
    </rPh>
    <rPh sb="6" eb="8">
      <t>カキ</t>
    </rPh>
    <phoneticPr fontId="488"/>
  </si>
  <si>
    <t>-------</t>
  </si>
  <si>
    <t>CV 1C
3条</t>
    <rPh sb="7" eb="8">
      <t>ジョウ</t>
    </rPh>
    <phoneticPr fontId="488"/>
  </si>
  <si>
    <t>地中管路布設</t>
    <rPh sb="0" eb="2">
      <t>チチュウ</t>
    </rPh>
    <rPh sb="2" eb="4">
      <t>カンロ</t>
    </rPh>
    <rPh sb="4" eb="6">
      <t>フセツ</t>
    </rPh>
    <phoneticPr fontId="488"/>
  </si>
  <si>
    <t>直接埋設布設</t>
    <rPh sb="0" eb="2">
      <t>チョクセツ</t>
    </rPh>
    <rPh sb="2" eb="4">
      <t>マイセツ</t>
    </rPh>
    <rPh sb="4" eb="6">
      <t>フセツ</t>
    </rPh>
    <phoneticPr fontId="488"/>
  </si>
  <si>
    <t>600V架橋ポリエチレン絶縁ビニールシースケーブル　（CV）</t>
    <rPh sb="4" eb="6">
      <t>カキョウ</t>
    </rPh>
    <rPh sb="12" eb="14">
      <t>ゼツエン</t>
    </rPh>
    <phoneticPr fontId="488"/>
  </si>
  <si>
    <t>公　称
断面積
[sqmm]</t>
  </si>
  <si>
    <t>JIS 168D-85  単位［Ａ］</t>
    <rPh sb="13" eb="15">
      <t>タンイ</t>
    </rPh>
    <phoneticPr fontId="488"/>
  </si>
  <si>
    <r>
      <t>連続許容電流値</t>
    </r>
    <r>
      <rPr>
        <sz val="11"/>
        <color rgb="FF002060"/>
        <rFont val="Meiryo UI"/>
        <family val="3"/>
        <charset val="128"/>
      </rPr>
      <t>(標準基底温度)</t>
    </r>
    <rPh sb="0" eb="2">
      <t>レンゾク</t>
    </rPh>
    <rPh sb="2" eb="4">
      <t>キョヨウ</t>
    </rPh>
    <rPh sb="4" eb="6">
      <t>デンリュウ</t>
    </rPh>
    <rPh sb="6" eb="7">
      <t>チ</t>
    </rPh>
    <rPh sb="8" eb="10">
      <t>ヒョウジュン</t>
    </rPh>
    <rPh sb="10" eb="12">
      <t>キテイ</t>
    </rPh>
    <rPh sb="12" eb="14">
      <t>オンド</t>
    </rPh>
    <phoneticPr fontId="488"/>
  </si>
  <si>
    <t>動力</t>
    <rPh sb="0" eb="2">
      <t>ドウリョク</t>
    </rPh>
    <phoneticPr fontId="1"/>
  </si>
  <si>
    <t>Help</t>
    <phoneticPr fontId="1"/>
  </si>
  <si>
    <r>
      <t>Ｘ－</t>
    </r>
    <r>
      <rPr>
        <b/>
        <sz val="11"/>
        <rFont val="ＭＳ Ｐ明朝"/>
        <family val="1"/>
        <charset val="128"/>
      </rPr>
      <t>ｆ</t>
    </r>
    <r>
      <rPr>
        <b/>
        <sz val="9"/>
        <rFont val="ＭＳ Ｐ明朝"/>
        <family val="1"/>
        <charset val="128"/>
      </rPr>
      <t>（Ｘ）／</t>
    </r>
    <r>
      <rPr>
        <b/>
        <sz val="11"/>
        <rFont val="ＭＳ Ｐ明朝"/>
        <family val="1"/>
        <charset val="128"/>
      </rPr>
      <t>ｆ</t>
    </r>
    <r>
      <rPr>
        <b/>
        <sz val="9"/>
        <rFont val="ＭＳ Ｐ明朝"/>
        <family val="1"/>
        <charset val="128"/>
      </rPr>
      <t>'（Ｘ）</t>
    </r>
    <phoneticPr fontId="84"/>
  </si>
  <si>
    <r>
      <t>ｆ</t>
    </r>
    <r>
      <rPr>
        <b/>
        <sz val="9"/>
        <rFont val="ＭＳ Ｐ明朝"/>
        <family val="1"/>
        <charset val="128"/>
      </rPr>
      <t>'（Ｘ）</t>
    </r>
    <phoneticPr fontId="84"/>
  </si>
  <si>
    <r>
      <t>ｆ</t>
    </r>
    <r>
      <rPr>
        <b/>
        <sz val="9"/>
        <rFont val="ＭＳ Ｐ明朝"/>
        <family val="1"/>
        <charset val="128"/>
      </rPr>
      <t>（Ｘ）</t>
    </r>
    <phoneticPr fontId="84"/>
  </si>
  <si>
    <t>Ｘ</t>
    <phoneticPr fontId="84"/>
  </si>
  <si>
    <t>Ｘc</t>
    <phoneticPr fontId="84"/>
  </si>
  <si>
    <r>
      <t>Ｘ－</t>
    </r>
    <r>
      <rPr>
        <b/>
        <sz val="11"/>
        <rFont val="ＭＳ Ｐ明朝"/>
        <family val="1"/>
        <charset val="128"/>
      </rPr>
      <t>ｆ</t>
    </r>
    <r>
      <rPr>
        <b/>
        <sz val="9"/>
        <rFont val="ＭＳ Ｐ明朝"/>
        <family val="1"/>
        <charset val="128"/>
      </rPr>
      <t>（Ｘ）／</t>
    </r>
    <r>
      <rPr>
        <b/>
        <sz val="11"/>
        <rFont val="ＭＳ Ｐ明朝"/>
        <family val="1"/>
        <charset val="128"/>
      </rPr>
      <t>ｆ</t>
    </r>
    <r>
      <rPr>
        <b/>
        <sz val="9"/>
        <rFont val="ＭＳ Ｐ明朝"/>
        <family val="1"/>
        <charset val="128"/>
      </rPr>
      <t>'（Ｘ）</t>
    </r>
    <phoneticPr fontId="84"/>
  </si>
  <si>
    <r>
      <t>ｆ</t>
    </r>
    <r>
      <rPr>
        <b/>
        <sz val="9"/>
        <rFont val="ＭＳ Ｐ明朝"/>
        <family val="1"/>
        <charset val="128"/>
      </rPr>
      <t>'（Ｘ）</t>
    </r>
    <phoneticPr fontId="84"/>
  </si>
  <si>
    <r>
      <t>ｆ</t>
    </r>
    <r>
      <rPr>
        <b/>
        <sz val="9"/>
        <rFont val="ＭＳ Ｐ明朝"/>
        <family val="1"/>
        <charset val="128"/>
      </rPr>
      <t>（Ｘ）</t>
    </r>
    <phoneticPr fontId="84"/>
  </si>
  <si>
    <t>Ｘ</t>
    <phoneticPr fontId="84"/>
  </si>
  <si>
    <t>Ｘb</t>
    <phoneticPr fontId="84"/>
  </si>
  <si>
    <r>
      <t>Ｘ－</t>
    </r>
    <r>
      <rPr>
        <b/>
        <sz val="11"/>
        <rFont val="ＭＳ Ｐ明朝"/>
        <family val="1"/>
        <charset val="128"/>
      </rPr>
      <t>ｆ</t>
    </r>
    <r>
      <rPr>
        <b/>
        <sz val="9"/>
        <rFont val="ＭＳ Ｐ明朝"/>
        <family val="1"/>
        <charset val="128"/>
      </rPr>
      <t>（Ｘ）／</t>
    </r>
    <r>
      <rPr>
        <b/>
        <sz val="11"/>
        <rFont val="ＭＳ Ｐ明朝"/>
        <family val="1"/>
        <charset val="128"/>
      </rPr>
      <t>ｆ</t>
    </r>
    <r>
      <rPr>
        <b/>
        <sz val="9"/>
        <rFont val="ＭＳ Ｐ明朝"/>
        <family val="1"/>
        <charset val="128"/>
      </rPr>
      <t>'（Ｘ）</t>
    </r>
    <phoneticPr fontId="84"/>
  </si>
  <si>
    <r>
      <t>ｆ</t>
    </r>
    <r>
      <rPr>
        <b/>
        <sz val="9"/>
        <rFont val="ＭＳ Ｐ明朝"/>
        <family val="1"/>
        <charset val="128"/>
      </rPr>
      <t>'（Ｘ）</t>
    </r>
    <phoneticPr fontId="84"/>
  </si>
  <si>
    <r>
      <t>ｆ</t>
    </r>
    <r>
      <rPr>
        <b/>
        <sz val="9"/>
        <rFont val="ＭＳ Ｐ明朝"/>
        <family val="1"/>
        <charset val="128"/>
      </rPr>
      <t>（Ｘ）</t>
    </r>
    <phoneticPr fontId="84"/>
  </si>
  <si>
    <t>Ｘ</t>
    <phoneticPr fontId="84"/>
  </si>
  <si>
    <t>Ｘａ</t>
    <phoneticPr fontId="84"/>
  </si>
  <si>
    <t>Ｘc＝</t>
    <phoneticPr fontId="84"/>
  </si>
  <si>
    <t>Ｘb＝</t>
    <phoneticPr fontId="84"/>
  </si>
  <si>
    <t>Ｘa＝</t>
    <phoneticPr fontId="84"/>
  </si>
  <si>
    <r>
      <t>Ｄ</t>
    </r>
    <r>
      <rPr>
        <b/>
        <sz val="9"/>
        <rFont val="HGPｺﾞｼｯｸE"/>
        <family val="3"/>
        <charset val="128"/>
      </rPr>
      <t>=</t>
    </r>
    <phoneticPr fontId="84"/>
  </si>
  <si>
    <r>
      <t>Ｃ</t>
    </r>
    <r>
      <rPr>
        <b/>
        <sz val="9"/>
        <rFont val="HGPｺﾞｼｯｸE"/>
        <family val="3"/>
        <charset val="128"/>
      </rPr>
      <t>=</t>
    </r>
    <phoneticPr fontId="84"/>
  </si>
  <si>
    <r>
      <t>Ｂ</t>
    </r>
    <r>
      <rPr>
        <b/>
        <sz val="9"/>
        <rFont val="HGPｺﾞｼｯｸE"/>
        <family val="3"/>
        <charset val="128"/>
      </rPr>
      <t>=</t>
    </r>
    <phoneticPr fontId="84"/>
  </si>
  <si>
    <r>
      <t>Ａ</t>
    </r>
    <r>
      <rPr>
        <b/>
        <sz val="9"/>
        <rFont val="HGPｺﾞｼｯｸE"/>
        <family val="3"/>
        <charset val="128"/>
      </rPr>
      <t>=</t>
    </r>
    <phoneticPr fontId="84"/>
  </si>
  <si>
    <r>
      <t xml:space="preserve"> Ｘ</t>
    </r>
    <r>
      <rPr>
        <b/>
        <vertAlign val="subscript"/>
        <sz val="10"/>
        <rFont val="ＭＳ 明朝"/>
        <family val="1"/>
        <charset val="128"/>
      </rPr>
      <t>０</t>
    </r>
    <r>
      <rPr>
        <b/>
        <sz val="10"/>
        <rFont val="ＭＳ Ｐ明朝"/>
        <family val="1"/>
        <charset val="128"/>
      </rPr>
      <t>＝－</t>
    </r>
    <r>
      <rPr>
        <b/>
        <sz val="10"/>
        <rFont val="HGPｺﾞｼｯｸE"/>
        <family val="3"/>
        <charset val="128"/>
      </rPr>
      <t>Ｂ</t>
    </r>
    <r>
      <rPr>
        <b/>
        <sz val="10"/>
        <rFont val="ＭＳ Ｐ明朝"/>
        <family val="1"/>
        <charset val="128"/>
      </rPr>
      <t>／３</t>
    </r>
    <r>
      <rPr>
        <b/>
        <sz val="10"/>
        <rFont val="HGPｺﾞｼｯｸE"/>
        <family val="3"/>
        <charset val="128"/>
      </rPr>
      <t>Ａ</t>
    </r>
    <r>
      <rPr>
        <b/>
        <sz val="10"/>
        <rFont val="ＭＳ Ｐ明朝"/>
        <family val="1"/>
        <charset val="128"/>
      </rPr>
      <t xml:space="preserve"> …………（変曲点）</t>
    </r>
    <rPh sb="15" eb="16">
      <t>ヘン</t>
    </rPh>
    <rPh sb="16" eb="17">
      <t>キョク</t>
    </rPh>
    <rPh sb="17" eb="18">
      <t>テン</t>
    </rPh>
    <phoneticPr fontId="84"/>
  </si>
  <si>
    <r>
      <t>　ｆ''（Ｘ）＝０</t>
    </r>
    <r>
      <rPr>
        <b/>
        <sz val="10"/>
        <rFont val="ＭＳ 明朝"/>
        <family val="1"/>
        <charset val="128"/>
      </rPr>
      <t xml:space="preserve"> より</t>
    </r>
    <phoneticPr fontId="84"/>
  </si>
  <si>
    <r>
      <t>ｆ''（Ｘ）＝６</t>
    </r>
    <r>
      <rPr>
        <b/>
        <sz val="10"/>
        <rFont val="HGPｺﾞｼｯｸE"/>
        <family val="3"/>
        <charset val="128"/>
      </rPr>
      <t>Ａ</t>
    </r>
    <r>
      <rPr>
        <b/>
        <sz val="10"/>
        <rFont val="ＭＳ Ｐ明朝"/>
        <family val="1"/>
        <charset val="128"/>
      </rPr>
      <t>Ｘ ＋ ２</t>
    </r>
    <r>
      <rPr>
        <b/>
        <sz val="10"/>
        <rFont val="HGPｺﾞｼｯｸE"/>
        <family val="3"/>
        <charset val="128"/>
      </rPr>
      <t>Ｂ</t>
    </r>
    <phoneticPr fontId="84"/>
  </si>
  <si>
    <r>
      <t xml:space="preserve"> Ｘ</t>
    </r>
    <r>
      <rPr>
        <b/>
        <vertAlign val="subscript"/>
        <sz val="9"/>
        <rFont val="ＭＳ 明朝"/>
        <family val="1"/>
        <charset val="128"/>
      </rPr>
      <t>２</t>
    </r>
    <r>
      <rPr>
        <b/>
        <sz val="9"/>
        <rFont val="ＭＳ Ｐ明朝"/>
        <family val="1"/>
        <charset val="128"/>
      </rPr>
      <t>＝｛－</t>
    </r>
    <r>
      <rPr>
        <b/>
        <sz val="9"/>
        <rFont val="HGPｺﾞｼｯｸE"/>
        <family val="3"/>
        <charset val="128"/>
      </rPr>
      <t>Ｂ</t>
    </r>
    <r>
      <rPr>
        <b/>
        <sz val="9"/>
        <rFont val="ＭＳ Ｐ明朝"/>
        <family val="1"/>
        <charset val="128"/>
      </rPr>
      <t>＋√(</t>
    </r>
    <r>
      <rPr>
        <b/>
        <sz val="9"/>
        <rFont val="HGPｺﾞｼｯｸE"/>
        <family val="3"/>
        <charset val="128"/>
      </rPr>
      <t>Ｂ</t>
    </r>
    <r>
      <rPr>
        <b/>
        <vertAlign val="superscript"/>
        <sz val="9"/>
        <rFont val="ＭＳ Ｐ明朝"/>
        <family val="1"/>
        <charset val="128"/>
      </rPr>
      <t>2</t>
    </r>
    <r>
      <rPr>
        <b/>
        <sz val="9"/>
        <rFont val="ＭＳ Ｐ明朝"/>
        <family val="1"/>
        <charset val="128"/>
      </rPr>
      <t>－３</t>
    </r>
    <r>
      <rPr>
        <b/>
        <sz val="9"/>
        <rFont val="HGPｺﾞｼｯｸE"/>
        <family val="3"/>
        <charset val="128"/>
      </rPr>
      <t>ＡＣ</t>
    </r>
    <r>
      <rPr>
        <b/>
        <sz val="9"/>
        <rFont val="ＭＳ Ｐ明朝"/>
        <family val="1"/>
        <charset val="128"/>
      </rPr>
      <t>)｝／３</t>
    </r>
    <r>
      <rPr>
        <b/>
        <sz val="9"/>
        <rFont val="HGPｺﾞｼｯｸE"/>
        <family val="3"/>
        <charset val="128"/>
      </rPr>
      <t>Ａ</t>
    </r>
    <phoneticPr fontId="84"/>
  </si>
  <si>
    <r>
      <t xml:space="preserve"> Ｘ</t>
    </r>
    <r>
      <rPr>
        <b/>
        <vertAlign val="subscript"/>
        <sz val="9"/>
        <rFont val="ＭＳ 明朝"/>
        <family val="1"/>
        <charset val="128"/>
      </rPr>
      <t>１</t>
    </r>
    <r>
      <rPr>
        <b/>
        <sz val="9"/>
        <rFont val="ＭＳ Ｐ明朝"/>
        <family val="1"/>
        <charset val="128"/>
      </rPr>
      <t>＝｛－</t>
    </r>
    <r>
      <rPr>
        <b/>
        <sz val="9"/>
        <rFont val="HGPｺﾞｼｯｸE"/>
        <family val="3"/>
        <charset val="128"/>
      </rPr>
      <t>Ｂ</t>
    </r>
    <r>
      <rPr>
        <b/>
        <sz val="9"/>
        <rFont val="ＭＳ Ｐ明朝"/>
        <family val="1"/>
        <charset val="128"/>
      </rPr>
      <t>－√(</t>
    </r>
    <r>
      <rPr>
        <b/>
        <sz val="9"/>
        <rFont val="HGPｺﾞｼｯｸE"/>
        <family val="3"/>
        <charset val="128"/>
      </rPr>
      <t>Ｂ</t>
    </r>
    <r>
      <rPr>
        <b/>
        <vertAlign val="superscript"/>
        <sz val="9"/>
        <rFont val="ＭＳ Ｐ明朝"/>
        <family val="1"/>
        <charset val="128"/>
      </rPr>
      <t>2</t>
    </r>
    <r>
      <rPr>
        <b/>
        <sz val="9"/>
        <rFont val="ＭＳ Ｐ明朝"/>
        <family val="1"/>
        <charset val="128"/>
      </rPr>
      <t>－３</t>
    </r>
    <r>
      <rPr>
        <b/>
        <sz val="9"/>
        <rFont val="HGPｺﾞｼｯｸE"/>
        <family val="3"/>
        <charset val="128"/>
      </rPr>
      <t>ＡＣ</t>
    </r>
    <r>
      <rPr>
        <b/>
        <sz val="9"/>
        <rFont val="ＭＳ Ｐ明朝"/>
        <family val="1"/>
        <charset val="128"/>
      </rPr>
      <t>)｝／３</t>
    </r>
    <r>
      <rPr>
        <b/>
        <sz val="9"/>
        <rFont val="HGPｺﾞｼｯｸE"/>
        <family val="3"/>
        <charset val="128"/>
      </rPr>
      <t>Ａ</t>
    </r>
    <phoneticPr fontId="84"/>
  </si>
  <si>
    <r>
      <t xml:space="preserve"> Ｘ＝｛－</t>
    </r>
    <r>
      <rPr>
        <b/>
        <sz val="9"/>
        <rFont val="HGPｺﾞｼｯｸE"/>
        <family val="3"/>
        <charset val="128"/>
      </rPr>
      <t>Ｂ</t>
    </r>
    <r>
      <rPr>
        <b/>
        <sz val="9"/>
        <rFont val="ＭＳ Ｐ明朝"/>
        <family val="1"/>
        <charset val="128"/>
      </rPr>
      <t>±√(</t>
    </r>
    <r>
      <rPr>
        <b/>
        <sz val="9"/>
        <rFont val="HGPｺﾞｼｯｸE"/>
        <family val="3"/>
        <charset val="128"/>
      </rPr>
      <t>Ｂ</t>
    </r>
    <r>
      <rPr>
        <b/>
        <vertAlign val="superscript"/>
        <sz val="11"/>
        <rFont val="ＭＳ Ｐ明朝"/>
        <family val="1"/>
        <charset val="128"/>
      </rPr>
      <t>2</t>
    </r>
    <r>
      <rPr>
        <b/>
        <sz val="9"/>
        <rFont val="ＭＳ Ｐ明朝"/>
        <family val="1"/>
        <charset val="128"/>
      </rPr>
      <t>－３</t>
    </r>
    <r>
      <rPr>
        <b/>
        <sz val="9"/>
        <rFont val="HGPｺﾞｼｯｸE"/>
        <family val="3"/>
        <charset val="128"/>
      </rPr>
      <t>ＡＣ</t>
    </r>
    <r>
      <rPr>
        <b/>
        <sz val="9"/>
        <rFont val="ＭＳ Ｐ明朝"/>
        <family val="1"/>
        <charset val="128"/>
      </rPr>
      <t>)｝／３</t>
    </r>
    <r>
      <rPr>
        <b/>
        <sz val="9"/>
        <rFont val="HGPｺﾞｼｯｸE"/>
        <family val="3"/>
        <charset val="128"/>
      </rPr>
      <t>Ａ</t>
    </r>
    <phoneticPr fontId="84"/>
  </si>
  <si>
    <r>
      <t>　ｆ</t>
    </r>
    <r>
      <rPr>
        <b/>
        <sz val="3"/>
        <rFont val="ＭＳ Ｐ明朝"/>
        <family val="1"/>
        <charset val="128"/>
      </rPr>
      <t xml:space="preserve"> </t>
    </r>
    <r>
      <rPr>
        <b/>
        <sz val="10"/>
        <rFont val="ＭＳ Ｐ明朝"/>
        <family val="1"/>
        <charset val="128"/>
      </rPr>
      <t>'</t>
    </r>
    <r>
      <rPr>
        <b/>
        <sz val="9"/>
        <rFont val="ＭＳ Ｐ明朝"/>
        <family val="1"/>
        <charset val="128"/>
      </rPr>
      <t>（Ｘ）＝０</t>
    </r>
    <r>
      <rPr>
        <b/>
        <sz val="9"/>
        <rFont val="ＭＳ 明朝"/>
        <family val="1"/>
        <charset val="128"/>
      </rPr>
      <t xml:space="preserve"> より</t>
    </r>
    <phoneticPr fontId="84"/>
  </si>
  <si>
    <r>
      <t>ｆ '（Ｘ）＝３</t>
    </r>
    <r>
      <rPr>
        <b/>
        <sz val="10"/>
        <rFont val="HGPｺﾞｼｯｸE"/>
        <family val="3"/>
        <charset val="128"/>
      </rPr>
      <t>Ａ</t>
    </r>
    <r>
      <rPr>
        <b/>
        <sz val="10"/>
        <rFont val="ＭＳ Ｐ明朝"/>
        <family val="1"/>
        <charset val="128"/>
      </rPr>
      <t>Ｘ</t>
    </r>
    <r>
      <rPr>
        <b/>
        <vertAlign val="superscript"/>
        <sz val="10"/>
        <rFont val="ＭＳ Ｐ明朝"/>
        <family val="1"/>
        <charset val="128"/>
      </rPr>
      <t>2</t>
    </r>
    <r>
      <rPr>
        <b/>
        <sz val="10"/>
        <rFont val="ＭＳ 明朝"/>
        <family val="1"/>
        <charset val="128"/>
      </rPr>
      <t>＋</t>
    </r>
    <r>
      <rPr>
        <b/>
        <sz val="10"/>
        <rFont val="ＭＳ Ｐ明朝"/>
        <family val="1"/>
        <charset val="128"/>
      </rPr>
      <t>２</t>
    </r>
    <r>
      <rPr>
        <b/>
        <sz val="10"/>
        <rFont val="HGPｺﾞｼｯｸE"/>
        <family val="3"/>
        <charset val="128"/>
      </rPr>
      <t>Ｂ</t>
    </r>
    <r>
      <rPr>
        <b/>
        <sz val="10"/>
        <rFont val="ＭＳ Ｐ明朝"/>
        <family val="1"/>
        <charset val="128"/>
      </rPr>
      <t>Ｘ</t>
    </r>
    <r>
      <rPr>
        <b/>
        <sz val="10"/>
        <rFont val="ＭＳ 明朝"/>
        <family val="1"/>
        <charset val="128"/>
      </rPr>
      <t>＋</t>
    </r>
    <r>
      <rPr>
        <b/>
        <sz val="10"/>
        <rFont val="HGPｺﾞｼｯｸE"/>
        <family val="3"/>
        <charset val="128"/>
      </rPr>
      <t>Ｃ</t>
    </r>
    <phoneticPr fontId="84"/>
  </si>
  <si>
    <r>
      <t>ｆ（Ｘ）  ＝</t>
    </r>
    <r>
      <rPr>
        <b/>
        <sz val="10"/>
        <rFont val="HGPｺﾞｼｯｸE"/>
        <family val="3"/>
        <charset val="128"/>
      </rPr>
      <t>Ａ</t>
    </r>
    <r>
      <rPr>
        <b/>
        <sz val="10"/>
        <rFont val="ＭＳ Ｐ明朝"/>
        <family val="1"/>
        <charset val="128"/>
      </rPr>
      <t xml:space="preserve"> Ｘ</t>
    </r>
    <r>
      <rPr>
        <b/>
        <vertAlign val="superscript"/>
        <sz val="10"/>
        <rFont val="ＭＳ Ｐ明朝"/>
        <family val="1"/>
        <charset val="128"/>
      </rPr>
      <t>3</t>
    </r>
    <r>
      <rPr>
        <b/>
        <sz val="10"/>
        <rFont val="ＭＳ 明朝"/>
        <family val="1"/>
        <charset val="128"/>
      </rPr>
      <t>＋</t>
    </r>
    <r>
      <rPr>
        <b/>
        <sz val="10"/>
        <rFont val="HGPｺﾞｼｯｸE"/>
        <family val="3"/>
        <charset val="128"/>
      </rPr>
      <t>Ｂ</t>
    </r>
    <r>
      <rPr>
        <b/>
        <sz val="10"/>
        <rFont val="ＭＳ Ｐ明朝"/>
        <family val="1"/>
        <charset val="128"/>
      </rPr>
      <t xml:space="preserve"> Ｘ</t>
    </r>
    <r>
      <rPr>
        <b/>
        <vertAlign val="superscript"/>
        <sz val="10"/>
        <rFont val="ＭＳ Ｐ明朝"/>
        <family val="1"/>
        <charset val="128"/>
      </rPr>
      <t>2</t>
    </r>
    <r>
      <rPr>
        <b/>
        <sz val="10"/>
        <rFont val="ＭＳ 明朝"/>
        <family val="1"/>
        <charset val="128"/>
      </rPr>
      <t>＋</t>
    </r>
    <r>
      <rPr>
        <b/>
        <sz val="10"/>
        <rFont val="HGPｺﾞｼｯｸE"/>
        <family val="3"/>
        <charset val="128"/>
      </rPr>
      <t>Ｃ</t>
    </r>
    <r>
      <rPr>
        <b/>
        <sz val="10"/>
        <rFont val="ＭＳ Ｐ明朝"/>
        <family val="1"/>
        <charset val="128"/>
      </rPr>
      <t xml:space="preserve"> Ｘ</t>
    </r>
    <r>
      <rPr>
        <b/>
        <sz val="10"/>
        <rFont val="ＭＳ 明朝"/>
        <family val="1"/>
        <charset val="128"/>
      </rPr>
      <t>＋</t>
    </r>
    <r>
      <rPr>
        <b/>
        <sz val="10"/>
        <rFont val="HGPｺﾞｼｯｸE"/>
        <family val="3"/>
        <charset val="128"/>
      </rPr>
      <t>Ｄ</t>
    </r>
    <r>
      <rPr>
        <b/>
        <sz val="10"/>
        <rFont val="ＭＳ Ｐ明朝"/>
        <family val="1"/>
        <charset val="128"/>
      </rPr>
      <t>　（</t>
    </r>
    <r>
      <rPr>
        <b/>
        <sz val="10"/>
        <rFont val="ＭＳ 明朝"/>
        <family val="1"/>
        <charset val="128"/>
      </rPr>
      <t>ただし、</t>
    </r>
    <r>
      <rPr>
        <b/>
        <sz val="10"/>
        <rFont val="HGPｺﾞｼｯｸE"/>
        <family val="3"/>
        <charset val="128"/>
      </rPr>
      <t>Ａ</t>
    </r>
    <r>
      <rPr>
        <b/>
        <sz val="10"/>
        <rFont val="ＭＳ Ｐ明朝"/>
        <family val="1"/>
        <charset val="128"/>
      </rPr>
      <t>≠０ )</t>
    </r>
    <phoneticPr fontId="84"/>
  </si>
  <si>
    <t>IV</t>
    <phoneticPr fontId="84"/>
  </si>
  <si>
    <t>CVT</t>
    <phoneticPr fontId="84"/>
  </si>
  <si>
    <r>
      <t xml:space="preserve">三次方程式 ｆ（Ｘ）＝０ の実根解 </t>
    </r>
    <r>
      <rPr>
        <b/>
        <sz val="12"/>
        <color indexed="18"/>
        <rFont val="HGP明朝E"/>
        <family val="1"/>
        <charset val="128"/>
      </rPr>
      <t>（ニュートン微分法）</t>
    </r>
    <rPh sb="0" eb="2">
      <t>サンジ</t>
    </rPh>
    <rPh sb="2" eb="5">
      <t>ホウテイシキ</t>
    </rPh>
    <rPh sb="14" eb="15">
      <t>ジツ</t>
    </rPh>
    <rPh sb="15" eb="16">
      <t>コン</t>
    </rPh>
    <rPh sb="16" eb="17">
      <t>カイ</t>
    </rPh>
    <rPh sb="24" eb="26">
      <t>ビブン</t>
    </rPh>
    <rPh sb="26" eb="27">
      <t>ホウ</t>
    </rPh>
    <phoneticPr fontId="84"/>
  </si>
  <si>
    <t>CV3C</t>
    <phoneticPr fontId="84"/>
  </si>
  <si>
    <t>ケーブル</t>
    <phoneticPr fontId="84"/>
  </si>
  <si>
    <t>Ｘo＝</t>
    <phoneticPr fontId="84"/>
  </si>
  <si>
    <r>
      <t>ｆ</t>
    </r>
    <r>
      <rPr>
        <b/>
        <sz val="9"/>
        <rFont val="メイリオ"/>
        <family val="3"/>
        <charset val="128"/>
      </rPr>
      <t>(Ｘo)＝</t>
    </r>
    <phoneticPr fontId="84"/>
  </si>
  <si>
    <r>
      <t>Ｃ</t>
    </r>
    <r>
      <rPr>
        <b/>
        <sz val="9"/>
        <rFont val="メイリオ"/>
        <family val="3"/>
        <charset val="128"/>
      </rPr>
      <t>=</t>
    </r>
    <phoneticPr fontId="84"/>
  </si>
  <si>
    <r>
      <t>Ｂ</t>
    </r>
    <r>
      <rPr>
        <b/>
        <sz val="9"/>
        <rFont val="メイリオ"/>
        <family val="3"/>
        <charset val="128"/>
      </rPr>
      <t>=</t>
    </r>
    <phoneticPr fontId="84"/>
  </si>
  <si>
    <r>
      <t>Ａ</t>
    </r>
    <r>
      <rPr>
        <b/>
        <sz val="9"/>
        <rFont val="メイリオ"/>
        <family val="3"/>
        <charset val="128"/>
      </rPr>
      <t>=</t>
    </r>
    <phoneticPr fontId="84"/>
  </si>
  <si>
    <r>
      <t xml:space="preserve"> </t>
    </r>
    <r>
      <rPr>
        <b/>
        <sz val="10"/>
        <rFont val="HGPｺﾞｼｯｸE"/>
        <family val="3"/>
        <charset val="128"/>
      </rPr>
      <t>Ｘ</t>
    </r>
    <r>
      <rPr>
        <b/>
        <vertAlign val="subscript"/>
        <sz val="10"/>
        <rFont val="HGPｺﾞｼｯｸE"/>
        <family val="3"/>
        <charset val="128"/>
      </rPr>
      <t>0</t>
    </r>
    <r>
      <rPr>
        <b/>
        <sz val="10"/>
        <rFont val="ＭＳ Ｐ明朝"/>
        <family val="1"/>
        <charset val="128"/>
      </rPr>
      <t>＝－</t>
    </r>
    <r>
      <rPr>
        <b/>
        <sz val="10"/>
        <rFont val="HGPｺﾞｼｯｸE"/>
        <family val="3"/>
        <charset val="128"/>
      </rPr>
      <t>Ｂ</t>
    </r>
    <r>
      <rPr>
        <b/>
        <sz val="10"/>
        <rFont val="ＭＳ Ｐ明朝"/>
        <family val="1"/>
        <charset val="128"/>
      </rPr>
      <t>／</t>
    </r>
    <r>
      <rPr>
        <b/>
        <sz val="10"/>
        <rFont val="HGPｺﾞｼｯｸE"/>
        <family val="3"/>
        <charset val="128"/>
      </rPr>
      <t>２Ａ</t>
    </r>
    <r>
      <rPr>
        <b/>
        <sz val="10"/>
        <rFont val="ＭＳ Ｐ明朝"/>
        <family val="1"/>
        <charset val="128"/>
      </rPr>
      <t xml:space="preserve"> …………（極小値</t>
    </r>
    <r>
      <rPr>
        <b/>
        <sz val="10"/>
        <rFont val="ＭＳ 明朝"/>
        <family val="1"/>
        <charset val="128"/>
      </rPr>
      <t>、</t>
    </r>
    <r>
      <rPr>
        <b/>
        <sz val="10"/>
        <rFont val="ＭＳ Ｐ明朝"/>
        <family val="1"/>
        <charset val="128"/>
      </rPr>
      <t>極大値）</t>
    </r>
    <rPh sb="15" eb="18">
      <t>キョクショウチ</t>
    </rPh>
    <rPh sb="19" eb="20">
      <t>キョク</t>
    </rPh>
    <rPh sb="20" eb="22">
      <t>ダイチ</t>
    </rPh>
    <phoneticPr fontId="84"/>
  </si>
  <si>
    <r>
      <t>　ｆ '（Ｘ）＝０</t>
    </r>
    <r>
      <rPr>
        <b/>
        <sz val="10"/>
        <rFont val="ＭＳ 明朝"/>
        <family val="1"/>
        <charset val="128"/>
      </rPr>
      <t xml:space="preserve"> より</t>
    </r>
    <phoneticPr fontId="84"/>
  </si>
  <si>
    <r>
      <t>ｆ '（Ｘ）＝</t>
    </r>
    <r>
      <rPr>
        <b/>
        <sz val="10"/>
        <rFont val="HGPｺﾞｼｯｸE"/>
        <family val="3"/>
        <charset val="128"/>
      </rPr>
      <t>２Ａ</t>
    </r>
    <r>
      <rPr>
        <b/>
        <sz val="10"/>
        <rFont val="ＭＳ Ｐ明朝"/>
        <family val="1"/>
        <charset val="128"/>
      </rPr>
      <t>Ｘ</t>
    </r>
    <r>
      <rPr>
        <b/>
        <sz val="10"/>
        <rFont val="ＭＳ 明朝"/>
        <family val="1"/>
        <charset val="128"/>
      </rPr>
      <t>＋</t>
    </r>
    <r>
      <rPr>
        <b/>
        <sz val="10"/>
        <rFont val="HGPｺﾞｼｯｸE"/>
        <family val="3"/>
        <charset val="128"/>
      </rPr>
      <t>Ｂ</t>
    </r>
    <phoneticPr fontId="84"/>
  </si>
  <si>
    <r>
      <t>　(</t>
    </r>
    <r>
      <rPr>
        <b/>
        <sz val="10"/>
        <rFont val="HGPｺﾞｼｯｸE"/>
        <family val="3"/>
        <charset val="128"/>
      </rPr>
      <t>Ｄ</t>
    </r>
    <r>
      <rPr>
        <b/>
        <sz val="10"/>
        <rFont val="ＭＳ Ｐゴシック"/>
        <family val="3"/>
        <charset val="128"/>
      </rPr>
      <t>＝</t>
    </r>
    <r>
      <rPr>
        <b/>
        <sz val="10"/>
        <rFont val="HGPｺﾞｼｯｸE"/>
        <family val="3"/>
        <charset val="128"/>
      </rPr>
      <t>Ｂ</t>
    </r>
    <r>
      <rPr>
        <b/>
        <vertAlign val="superscript"/>
        <sz val="10"/>
        <rFont val="ＭＳ Ｐゴシック"/>
        <family val="3"/>
        <charset val="128"/>
      </rPr>
      <t>2</t>
    </r>
    <r>
      <rPr>
        <b/>
        <sz val="10"/>
        <rFont val="ＭＳ Ｐゴシック"/>
        <family val="3"/>
        <charset val="128"/>
      </rPr>
      <t>－</t>
    </r>
    <r>
      <rPr>
        <b/>
        <sz val="10"/>
        <rFont val="HGPｺﾞｼｯｸE"/>
        <family val="3"/>
        <charset val="128"/>
      </rPr>
      <t>４ＡＣ</t>
    </r>
    <r>
      <rPr>
        <b/>
        <sz val="10"/>
        <rFont val="ＭＳ ゴシック"/>
        <family val="3"/>
        <charset val="128"/>
      </rPr>
      <t>)</t>
    </r>
    <phoneticPr fontId="84"/>
  </si>
  <si>
    <r>
      <t xml:space="preserve">    Ｘａ</t>
    </r>
    <r>
      <rPr>
        <b/>
        <sz val="10"/>
        <rFont val="ＭＳ Ｐゴシック"/>
        <family val="3"/>
        <charset val="128"/>
      </rPr>
      <t>＝</t>
    </r>
    <r>
      <rPr>
        <b/>
        <sz val="10"/>
        <rFont val="HGPｺﾞｼｯｸE"/>
        <family val="3"/>
        <charset val="128"/>
      </rPr>
      <t>Ｘ</t>
    </r>
    <r>
      <rPr>
        <b/>
        <vertAlign val="subscript"/>
        <sz val="10"/>
        <rFont val="HGPｺﾞｼｯｸE"/>
        <family val="3"/>
        <charset val="128"/>
      </rPr>
      <t>0</t>
    </r>
    <r>
      <rPr>
        <b/>
        <sz val="10"/>
        <rFont val="ＭＳ Ｐゴシック"/>
        <family val="3"/>
        <charset val="128"/>
      </rPr>
      <t>＋</t>
    </r>
    <r>
      <rPr>
        <b/>
        <sz val="10"/>
        <rFont val="HGPｺﾞｼｯｸE"/>
        <family val="3"/>
        <charset val="128"/>
      </rPr>
      <t>√Ｄ</t>
    </r>
    <r>
      <rPr>
        <b/>
        <sz val="10"/>
        <rFont val="ＭＳ Ｐゴシック"/>
        <family val="3"/>
        <charset val="128"/>
      </rPr>
      <t>／</t>
    </r>
    <r>
      <rPr>
        <b/>
        <sz val="10"/>
        <rFont val="HGPｺﾞｼｯｸE"/>
        <family val="3"/>
        <charset val="128"/>
      </rPr>
      <t>２Ａ</t>
    </r>
    <phoneticPr fontId="84"/>
  </si>
  <si>
    <r>
      <t xml:space="preserve">    Ｘａ</t>
    </r>
    <r>
      <rPr>
        <b/>
        <sz val="10"/>
        <rFont val="ＭＳ Ｐゴシック"/>
        <family val="3"/>
        <charset val="128"/>
      </rPr>
      <t>＝</t>
    </r>
    <r>
      <rPr>
        <b/>
        <sz val="10"/>
        <rFont val="HGPｺﾞｼｯｸE"/>
        <family val="3"/>
        <charset val="128"/>
      </rPr>
      <t>Ｘ</t>
    </r>
    <r>
      <rPr>
        <b/>
        <vertAlign val="subscript"/>
        <sz val="10"/>
        <rFont val="HGPｺﾞｼｯｸE"/>
        <family val="3"/>
        <charset val="128"/>
      </rPr>
      <t>0</t>
    </r>
    <r>
      <rPr>
        <b/>
        <sz val="10"/>
        <rFont val="ＭＳ Ｐゴシック"/>
        <family val="3"/>
        <charset val="128"/>
      </rPr>
      <t>－</t>
    </r>
    <r>
      <rPr>
        <b/>
        <sz val="10"/>
        <rFont val="HGPｺﾞｼｯｸE"/>
        <family val="3"/>
        <charset val="128"/>
      </rPr>
      <t>√Ｄ</t>
    </r>
    <r>
      <rPr>
        <b/>
        <sz val="10"/>
        <rFont val="ＭＳ Ｐゴシック"/>
        <family val="3"/>
        <charset val="128"/>
      </rPr>
      <t>／</t>
    </r>
    <r>
      <rPr>
        <b/>
        <sz val="10"/>
        <rFont val="HGPｺﾞｼｯｸE"/>
        <family val="3"/>
        <charset val="128"/>
      </rPr>
      <t>２Ａ</t>
    </r>
    <phoneticPr fontId="84"/>
  </si>
  <si>
    <r>
      <t>　</t>
    </r>
    <r>
      <rPr>
        <sz val="10"/>
        <rFont val="ＭＳ Ｐ明朝"/>
        <family val="1"/>
        <charset val="128"/>
      </rPr>
      <t xml:space="preserve">　  　 </t>
    </r>
    <r>
      <rPr>
        <b/>
        <sz val="10"/>
        <rFont val="ＭＳ Ｐ明朝"/>
        <family val="1"/>
        <charset val="128"/>
      </rPr>
      <t>＝｛Ｘ＋</t>
    </r>
    <r>
      <rPr>
        <b/>
        <sz val="10"/>
        <rFont val="HGPｺﾞｼｯｸE"/>
        <family val="3"/>
        <charset val="128"/>
      </rPr>
      <t>Ｂ</t>
    </r>
    <r>
      <rPr>
        <b/>
        <sz val="10"/>
        <rFont val="ＭＳ Ｐ明朝"/>
        <family val="1"/>
        <charset val="128"/>
      </rPr>
      <t>／</t>
    </r>
    <r>
      <rPr>
        <b/>
        <sz val="10"/>
        <rFont val="HGPｺﾞｼｯｸE"/>
        <family val="3"/>
        <charset val="128"/>
      </rPr>
      <t>２Ａ</t>
    </r>
    <r>
      <rPr>
        <b/>
        <sz val="10"/>
        <rFont val="ＭＳ Ｐ明朝"/>
        <family val="1"/>
        <charset val="128"/>
      </rPr>
      <t>－√(</t>
    </r>
    <r>
      <rPr>
        <b/>
        <sz val="10"/>
        <rFont val="HGPｺﾞｼｯｸE"/>
        <family val="3"/>
        <charset val="128"/>
      </rPr>
      <t>Ｂ</t>
    </r>
    <r>
      <rPr>
        <b/>
        <vertAlign val="superscript"/>
        <sz val="10"/>
        <rFont val="ＭＳ Ｐ明朝"/>
        <family val="1"/>
        <charset val="128"/>
      </rPr>
      <t>2</t>
    </r>
    <r>
      <rPr>
        <b/>
        <sz val="10"/>
        <rFont val="ＭＳ Ｐ明朝"/>
        <family val="1"/>
        <charset val="128"/>
      </rPr>
      <t>－</t>
    </r>
    <r>
      <rPr>
        <b/>
        <sz val="10"/>
        <rFont val="HGPｺﾞｼｯｸE"/>
        <family val="3"/>
        <charset val="128"/>
      </rPr>
      <t>４ＡＣ</t>
    </r>
    <r>
      <rPr>
        <b/>
        <sz val="10"/>
        <rFont val="ＭＳ Ｐ明朝"/>
        <family val="1"/>
        <charset val="128"/>
      </rPr>
      <t>)／</t>
    </r>
    <r>
      <rPr>
        <b/>
        <sz val="10"/>
        <rFont val="HGPｺﾞｼｯｸE"/>
        <family val="3"/>
        <charset val="128"/>
      </rPr>
      <t>２Ａ</t>
    </r>
    <r>
      <rPr>
        <b/>
        <sz val="10"/>
        <rFont val="ＭＳ Ｐ明朝"/>
        <family val="1"/>
        <charset val="128"/>
      </rPr>
      <t>｝・｛Ｘ＋</t>
    </r>
    <r>
      <rPr>
        <b/>
        <sz val="10"/>
        <rFont val="HGPｺﾞｼｯｸE"/>
        <family val="3"/>
        <charset val="128"/>
      </rPr>
      <t>Ｂ</t>
    </r>
    <r>
      <rPr>
        <b/>
        <sz val="10"/>
        <rFont val="ＭＳ Ｐ明朝"/>
        <family val="1"/>
        <charset val="128"/>
      </rPr>
      <t>／</t>
    </r>
    <r>
      <rPr>
        <b/>
        <sz val="10"/>
        <rFont val="HGPｺﾞｼｯｸE"/>
        <family val="3"/>
        <charset val="128"/>
      </rPr>
      <t>２Ａ</t>
    </r>
    <r>
      <rPr>
        <b/>
        <sz val="10"/>
        <rFont val="ＭＳ Ｐ明朝"/>
        <family val="1"/>
        <charset val="128"/>
      </rPr>
      <t>＋√(</t>
    </r>
    <r>
      <rPr>
        <b/>
        <sz val="10"/>
        <rFont val="HGPｺﾞｼｯｸE"/>
        <family val="3"/>
        <charset val="128"/>
      </rPr>
      <t>Ｂ</t>
    </r>
    <r>
      <rPr>
        <b/>
        <vertAlign val="superscript"/>
        <sz val="10"/>
        <rFont val="ＭＳ Ｐ明朝"/>
        <family val="1"/>
        <charset val="128"/>
      </rPr>
      <t>2</t>
    </r>
    <r>
      <rPr>
        <b/>
        <sz val="10"/>
        <rFont val="ＭＳ Ｐ明朝"/>
        <family val="1"/>
        <charset val="128"/>
      </rPr>
      <t>－</t>
    </r>
    <r>
      <rPr>
        <b/>
        <sz val="10"/>
        <rFont val="HGPｺﾞｼｯｸE"/>
        <family val="3"/>
        <charset val="128"/>
      </rPr>
      <t>４ＡＣ</t>
    </r>
    <r>
      <rPr>
        <b/>
        <sz val="10"/>
        <rFont val="ＭＳ Ｐ明朝"/>
        <family val="1"/>
        <charset val="128"/>
      </rPr>
      <t>)／</t>
    </r>
    <r>
      <rPr>
        <b/>
        <sz val="10"/>
        <rFont val="HGPｺﾞｼｯｸE"/>
        <family val="3"/>
        <charset val="128"/>
      </rPr>
      <t>２Ａ</t>
    </r>
    <r>
      <rPr>
        <b/>
        <sz val="10"/>
        <rFont val="ＭＳ Ｐ明朝"/>
        <family val="1"/>
        <charset val="128"/>
      </rPr>
      <t>｝</t>
    </r>
    <phoneticPr fontId="84"/>
  </si>
  <si>
    <r>
      <t xml:space="preserve"> 　　   ＝｛（Ｘ＋（</t>
    </r>
    <r>
      <rPr>
        <b/>
        <sz val="10"/>
        <rFont val="HGPｺﾞｼｯｸE"/>
        <family val="3"/>
        <charset val="128"/>
      </rPr>
      <t>Ｂ</t>
    </r>
    <r>
      <rPr>
        <b/>
        <sz val="10"/>
        <rFont val="ＭＳ Ｐ明朝"/>
        <family val="1"/>
        <charset val="128"/>
      </rPr>
      <t>／</t>
    </r>
    <r>
      <rPr>
        <b/>
        <sz val="10"/>
        <rFont val="HGPｺﾞｼｯｸE"/>
        <family val="3"/>
        <charset val="128"/>
      </rPr>
      <t>２Ａ</t>
    </r>
    <r>
      <rPr>
        <b/>
        <sz val="10"/>
        <rFont val="ＭＳ Ｐ明朝"/>
        <family val="1"/>
        <charset val="128"/>
      </rPr>
      <t>）｝</t>
    </r>
    <r>
      <rPr>
        <b/>
        <vertAlign val="superscript"/>
        <sz val="10"/>
        <rFont val="ＭＳ Ｐ明朝"/>
        <family val="1"/>
        <charset val="128"/>
      </rPr>
      <t>2</t>
    </r>
    <r>
      <rPr>
        <b/>
        <sz val="10"/>
        <rFont val="ＭＳ Ｐ明朝"/>
        <family val="1"/>
        <charset val="128"/>
      </rPr>
      <t>－｛√(</t>
    </r>
    <r>
      <rPr>
        <b/>
        <sz val="10"/>
        <rFont val="HGPｺﾞｼｯｸE"/>
        <family val="3"/>
        <charset val="128"/>
      </rPr>
      <t>Ｂ</t>
    </r>
    <r>
      <rPr>
        <b/>
        <vertAlign val="superscript"/>
        <sz val="10"/>
        <rFont val="ＭＳ Ｐ明朝"/>
        <family val="1"/>
        <charset val="128"/>
      </rPr>
      <t>2</t>
    </r>
    <r>
      <rPr>
        <b/>
        <sz val="10"/>
        <rFont val="ＭＳ Ｐ明朝"/>
        <family val="1"/>
        <charset val="128"/>
      </rPr>
      <t>－</t>
    </r>
    <r>
      <rPr>
        <b/>
        <sz val="10"/>
        <rFont val="HGPｺﾞｼｯｸE"/>
        <family val="3"/>
        <charset val="128"/>
      </rPr>
      <t>４ＡＣ</t>
    </r>
    <r>
      <rPr>
        <b/>
        <sz val="10"/>
        <rFont val="ＭＳ Ｐ明朝"/>
        <family val="1"/>
        <charset val="128"/>
      </rPr>
      <t>)／</t>
    </r>
    <r>
      <rPr>
        <b/>
        <sz val="10"/>
        <rFont val="HGPｺﾞｼｯｸE"/>
        <family val="3"/>
        <charset val="128"/>
      </rPr>
      <t>２Ａ</t>
    </r>
    <r>
      <rPr>
        <b/>
        <sz val="10"/>
        <rFont val="ＭＳ Ｐ明朝"/>
        <family val="1"/>
        <charset val="128"/>
      </rPr>
      <t>｝</t>
    </r>
    <r>
      <rPr>
        <b/>
        <vertAlign val="superscript"/>
        <sz val="10"/>
        <rFont val="ＭＳ Ｐ明朝"/>
        <family val="1"/>
        <charset val="128"/>
      </rPr>
      <t>2</t>
    </r>
    <phoneticPr fontId="84"/>
  </si>
  <si>
    <r>
      <t>ｆ（Ｘ）  ＝Ｘ</t>
    </r>
    <r>
      <rPr>
        <b/>
        <vertAlign val="superscript"/>
        <sz val="10"/>
        <rFont val="ＭＳ Ｐ明朝"/>
        <family val="1"/>
        <charset val="128"/>
      </rPr>
      <t>2</t>
    </r>
    <r>
      <rPr>
        <b/>
        <sz val="10"/>
        <rFont val="ＭＳ 明朝"/>
        <family val="1"/>
        <charset val="128"/>
      </rPr>
      <t>＋</t>
    </r>
    <r>
      <rPr>
        <b/>
        <sz val="10"/>
        <rFont val="ＭＳ Ｐ明朝"/>
        <family val="1"/>
        <charset val="128"/>
      </rPr>
      <t>（</t>
    </r>
    <r>
      <rPr>
        <b/>
        <sz val="10"/>
        <rFont val="HGPｺﾞｼｯｸE"/>
        <family val="3"/>
        <charset val="128"/>
      </rPr>
      <t>Ｂ</t>
    </r>
    <r>
      <rPr>
        <b/>
        <sz val="10"/>
        <rFont val="ＭＳ Ｐ明朝"/>
        <family val="1"/>
        <charset val="128"/>
      </rPr>
      <t>／</t>
    </r>
    <r>
      <rPr>
        <b/>
        <sz val="10"/>
        <rFont val="HGPｺﾞｼｯｸE"/>
        <family val="3"/>
        <charset val="128"/>
      </rPr>
      <t>Ａ</t>
    </r>
    <r>
      <rPr>
        <b/>
        <sz val="10"/>
        <rFont val="ＭＳ Ｐ明朝"/>
        <family val="1"/>
        <charset val="128"/>
      </rPr>
      <t>）Ｘ</t>
    </r>
    <r>
      <rPr>
        <b/>
        <sz val="10"/>
        <rFont val="ＭＳ 明朝"/>
        <family val="1"/>
        <charset val="128"/>
      </rPr>
      <t>＋</t>
    </r>
    <r>
      <rPr>
        <b/>
        <sz val="10"/>
        <rFont val="HGPｺﾞｼｯｸE"/>
        <family val="3"/>
        <charset val="128"/>
      </rPr>
      <t>Ｃ</t>
    </r>
    <r>
      <rPr>
        <b/>
        <sz val="10"/>
        <rFont val="ＭＳ Ｐ明朝"/>
        <family val="1"/>
        <charset val="128"/>
      </rPr>
      <t>／</t>
    </r>
    <r>
      <rPr>
        <b/>
        <sz val="10"/>
        <rFont val="HGPｺﾞｼｯｸE"/>
        <family val="3"/>
        <charset val="128"/>
      </rPr>
      <t>Ａ　</t>
    </r>
    <r>
      <rPr>
        <sz val="10"/>
        <rFont val="ＭＳ Ｐ明朝"/>
        <family val="1"/>
        <charset val="128"/>
      </rPr>
      <t>（</t>
    </r>
    <r>
      <rPr>
        <b/>
        <sz val="10"/>
        <rFont val="ＭＳ Ｐ明朝"/>
        <family val="1"/>
        <charset val="128"/>
      </rPr>
      <t xml:space="preserve"> ∵ Ａ≠０ </t>
    </r>
    <r>
      <rPr>
        <sz val="10"/>
        <rFont val="ＭＳ Ｐ明朝"/>
        <family val="1"/>
        <charset val="128"/>
      </rPr>
      <t>）</t>
    </r>
    <phoneticPr fontId="84"/>
  </si>
  <si>
    <t>[Ω/Km]</t>
    <phoneticPr fontId="84"/>
  </si>
  <si>
    <r>
      <t>ｆ（Ｘ）  ＝</t>
    </r>
    <r>
      <rPr>
        <b/>
        <sz val="10"/>
        <rFont val="HGPｺﾞｼｯｸE"/>
        <family val="3"/>
        <charset val="128"/>
      </rPr>
      <t>Ａ</t>
    </r>
    <r>
      <rPr>
        <b/>
        <sz val="10"/>
        <rFont val="ＭＳ Ｐ明朝"/>
        <family val="1"/>
        <charset val="128"/>
      </rPr>
      <t xml:space="preserve"> Ｘ</t>
    </r>
    <r>
      <rPr>
        <b/>
        <vertAlign val="superscript"/>
        <sz val="10"/>
        <rFont val="ＭＳ Ｐ明朝"/>
        <family val="1"/>
        <charset val="128"/>
      </rPr>
      <t>2</t>
    </r>
    <r>
      <rPr>
        <b/>
        <sz val="10"/>
        <rFont val="ＭＳ 明朝"/>
        <family val="1"/>
        <charset val="128"/>
      </rPr>
      <t>＋</t>
    </r>
    <r>
      <rPr>
        <b/>
        <sz val="10"/>
        <rFont val="HGPｺﾞｼｯｸE"/>
        <family val="3"/>
        <charset val="128"/>
      </rPr>
      <t>Ｂ</t>
    </r>
    <r>
      <rPr>
        <b/>
        <sz val="10"/>
        <rFont val="ＭＳ Ｐ明朝"/>
        <family val="1"/>
        <charset val="128"/>
      </rPr>
      <t>Ｘ</t>
    </r>
    <r>
      <rPr>
        <b/>
        <sz val="10"/>
        <rFont val="ＭＳ 明朝"/>
        <family val="1"/>
        <charset val="128"/>
      </rPr>
      <t>＋</t>
    </r>
    <r>
      <rPr>
        <b/>
        <sz val="10"/>
        <rFont val="HGPｺﾞｼｯｸE"/>
        <family val="3"/>
        <charset val="128"/>
      </rPr>
      <t>Ｃ</t>
    </r>
    <r>
      <rPr>
        <b/>
        <sz val="10"/>
        <rFont val="ＭＳ Ｐ明朝"/>
        <family val="1"/>
        <charset val="128"/>
      </rPr>
      <t xml:space="preserve">　 </t>
    </r>
    <r>
      <rPr>
        <sz val="10"/>
        <rFont val="ＭＳ Ｐ明朝"/>
        <family val="1"/>
        <charset val="128"/>
      </rPr>
      <t>（</t>
    </r>
    <r>
      <rPr>
        <b/>
        <sz val="10"/>
        <rFont val="ＭＳ 明朝"/>
        <family val="1"/>
        <charset val="128"/>
      </rPr>
      <t>ただし、</t>
    </r>
    <r>
      <rPr>
        <b/>
        <sz val="10"/>
        <rFont val="HGPｺﾞｼｯｸE"/>
        <family val="3"/>
        <charset val="128"/>
      </rPr>
      <t>Ａ</t>
    </r>
    <r>
      <rPr>
        <b/>
        <sz val="10"/>
        <rFont val="ＭＳ Ｐ明朝"/>
        <family val="1"/>
        <charset val="128"/>
      </rPr>
      <t xml:space="preserve">≠０ </t>
    </r>
    <r>
      <rPr>
        <sz val="10"/>
        <rFont val="ＭＳ Ｐ明朝"/>
        <family val="1"/>
        <charset val="128"/>
      </rPr>
      <t>)</t>
    </r>
    <phoneticPr fontId="84"/>
  </si>
  <si>
    <t>(５０Hz)</t>
    <phoneticPr fontId="84"/>
  </si>
  <si>
    <t>抵抗(90℃)</t>
    <rPh sb="0" eb="2">
      <t>テイコウ</t>
    </rPh>
    <phoneticPr fontId="84"/>
  </si>
  <si>
    <t>断面</t>
    <rPh sb="0" eb="2">
      <t>ダンメン</t>
    </rPh>
    <phoneticPr fontId="84"/>
  </si>
  <si>
    <t>抵抗(60℃)</t>
    <rPh sb="0" eb="2">
      <t>テイコウ</t>
    </rPh>
    <phoneticPr fontId="84"/>
  </si>
  <si>
    <t>ﾘｱｸﾀﾝｽ</t>
    <phoneticPr fontId="84"/>
  </si>
  <si>
    <t>交流導体</t>
    <rPh sb="0" eb="2">
      <t>コウリュウ</t>
    </rPh>
    <rPh sb="2" eb="4">
      <t>ドウタイ</t>
    </rPh>
    <phoneticPr fontId="84"/>
  </si>
  <si>
    <t>公称</t>
    <rPh sb="0" eb="2">
      <t>コウショウ</t>
    </rPh>
    <phoneticPr fontId="84"/>
  </si>
  <si>
    <t>二次方程式 ｆ（Ｘ）＝０ の解</t>
    <rPh sb="0" eb="1">
      <t>ニ</t>
    </rPh>
    <rPh sb="1" eb="2">
      <t>ジ</t>
    </rPh>
    <rPh sb="2" eb="5">
      <t>ホウテイシキ</t>
    </rPh>
    <rPh sb="14" eb="15">
      <t>カイ</t>
    </rPh>
    <phoneticPr fontId="84"/>
  </si>
  <si>
    <t>600V CV-T</t>
    <phoneticPr fontId="84"/>
  </si>
  <si>
    <t>600V CV-2C/3C</t>
    <phoneticPr fontId="84"/>
  </si>
  <si>
    <t>ＩＶ（電線管）</t>
    <rPh sb="3" eb="5">
      <t>デンセン</t>
    </rPh>
    <rPh sb="5" eb="6">
      <t>カン</t>
    </rPh>
    <phoneticPr fontId="84"/>
  </si>
  <si>
    <t>ＴＲ容量</t>
    <rPh sb="2" eb="4">
      <t>ヨウリョウ</t>
    </rPh>
    <phoneticPr fontId="84"/>
  </si>
  <si>
    <t>Cable</t>
    <phoneticPr fontId="84"/>
  </si>
  <si>
    <t>1M-4</t>
    <phoneticPr fontId="84"/>
  </si>
  <si>
    <t>3φ60Hz</t>
  </si>
  <si>
    <t>1M-3</t>
    <phoneticPr fontId="84"/>
  </si>
  <si>
    <t>1M-2</t>
    <phoneticPr fontId="84"/>
  </si>
  <si>
    <t>1M-1</t>
    <phoneticPr fontId="84"/>
  </si>
  <si>
    <t>2L-1</t>
    <phoneticPr fontId="84"/>
  </si>
  <si>
    <t>1φ60Hz</t>
  </si>
  <si>
    <t>1L-3</t>
    <phoneticPr fontId="84"/>
  </si>
  <si>
    <t>1L-2</t>
    <phoneticPr fontId="84"/>
  </si>
  <si>
    <t>CV3C</t>
  </si>
  <si>
    <t>1L-1</t>
    <phoneticPr fontId="84"/>
  </si>
  <si>
    <t>ＸL</t>
    <phoneticPr fontId="84"/>
  </si>
  <si>
    <t>ＲL</t>
    <phoneticPr fontId="84"/>
  </si>
  <si>
    <t>Ｒc</t>
    <phoneticPr fontId="84"/>
  </si>
  <si>
    <t>Ｘz1</t>
    <phoneticPr fontId="84"/>
  </si>
  <si>
    <t>Ｒz1</t>
    <phoneticPr fontId="84"/>
  </si>
  <si>
    <t>Ｘsc</t>
    <phoneticPr fontId="84"/>
  </si>
  <si>
    <t>Ｘz2</t>
    <phoneticPr fontId="84"/>
  </si>
  <si>
    <t>Ｒz2</t>
    <phoneticPr fontId="84"/>
  </si>
  <si>
    <t>ＸTR</t>
    <phoneticPr fontId="84"/>
  </si>
  <si>
    <t>ＲTR</t>
    <phoneticPr fontId="84"/>
  </si>
  <si>
    <t>Ｘz3</t>
    <phoneticPr fontId="84"/>
  </si>
  <si>
    <t>Ｒz3</t>
    <phoneticPr fontId="84"/>
  </si>
  <si>
    <t>ＥB</t>
    <phoneticPr fontId="84"/>
  </si>
  <si>
    <t>ＩL=EB/Z1</t>
    <phoneticPr fontId="84"/>
  </si>
  <si>
    <r>
      <t>電流</t>
    </r>
    <r>
      <rPr>
        <sz val="6"/>
        <rFont val="Meiryo UI"/>
        <family val="3"/>
        <charset val="128"/>
      </rPr>
      <t xml:space="preserve"> </t>
    </r>
    <r>
      <rPr>
        <b/>
        <sz val="9"/>
        <rFont val="Meiryo UI"/>
        <family val="3"/>
        <charset val="128"/>
      </rPr>
      <t>Ｉ</t>
    </r>
    <r>
      <rPr>
        <b/>
        <sz val="3"/>
        <rFont val="Meiryo UI"/>
        <family val="3"/>
        <charset val="128"/>
      </rPr>
      <t xml:space="preserve"> </t>
    </r>
    <r>
      <rPr>
        <sz val="9"/>
        <rFont val="Meiryo UI"/>
        <family val="3"/>
        <charset val="128"/>
      </rPr>
      <t>L</t>
    </r>
    <rPh sb="0" eb="2">
      <t>デンリュウ</t>
    </rPh>
    <phoneticPr fontId="84"/>
  </si>
  <si>
    <r>
      <t>電圧</t>
    </r>
    <r>
      <rPr>
        <b/>
        <sz val="9"/>
        <rFont val="Meiryo UI"/>
        <family val="3"/>
        <charset val="128"/>
      </rPr>
      <t>Ｅ</t>
    </r>
    <r>
      <rPr>
        <sz val="9"/>
        <rFont val="Meiryo UI"/>
        <family val="3"/>
        <charset val="128"/>
      </rPr>
      <t>L</t>
    </r>
    <rPh sb="0" eb="2">
      <t>デンアツ</t>
    </rPh>
    <phoneticPr fontId="84"/>
  </si>
  <si>
    <t>平均力率</t>
    <rPh sb="0" eb="2">
      <t>ヘイキン</t>
    </rPh>
    <rPh sb="2" eb="3">
      <t>リキ</t>
    </rPh>
    <rPh sb="3" eb="4">
      <t>リツ</t>
    </rPh>
    <phoneticPr fontId="84"/>
  </si>
  <si>
    <t>DM KW</t>
    <phoneticPr fontId="84"/>
  </si>
  <si>
    <t xml:space="preserve"> 現場盤名</t>
    <rPh sb="1" eb="3">
      <t>ゲンバ</t>
    </rPh>
    <rPh sb="3" eb="4">
      <t>バン</t>
    </rPh>
    <rPh sb="4" eb="5">
      <t>メイ</t>
    </rPh>
    <phoneticPr fontId="84"/>
  </si>
  <si>
    <t>亘　長</t>
    <rPh sb="0" eb="1">
      <t>ワタル</t>
    </rPh>
    <rPh sb="2" eb="3">
      <t>チョウ</t>
    </rPh>
    <phoneticPr fontId="84"/>
  </si>
  <si>
    <t>種　類</t>
    <rPh sb="0" eb="1">
      <t>シュ</t>
    </rPh>
    <rPh sb="2" eb="3">
      <t>タグイ</t>
    </rPh>
    <phoneticPr fontId="84"/>
  </si>
  <si>
    <r>
      <t>SC</t>
    </r>
    <r>
      <rPr>
        <sz val="8"/>
        <rFont val="Meiryo UI"/>
        <family val="3"/>
        <charset val="128"/>
      </rPr>
      <t>[KVar]</t>
    </r>
    <phoneticPr fontId="84"/>
  </si>
  <si>
    <t>二次電圧</t>
    <rPh sb="0" eb="2">
      <t>ニジ</t>
    </rPh>
    <rPh sb="2" eb="4">
      <t>デンアツ</t>
    </rPh>
    <phoneticPr fontId="84"/>
  </si>
  <si>
    <t>電気方式</t>
    <rPh sb="0" eb="2">
      <t>デンキ</t>
    </rPh>
    <rPh sb="2" eb="4">
      <t>ホウシキ</t>
    </rPh>
    <phoneticPr fontId="84"/>
  </si>
  <si>
    <t>負　荷</t>
    <rPh sb="0" eb="1">
      <t>フ</t>
    </rPh>
    <rPh sb="2" eb="3">
      <t>ニ</t>
    </rPh>
    <phoneticPr fontId="84"/>
  </si>
  <si>
    <t>ケーブル</t>
    <phoneticPr fontId="84"/>
  </si>
  <si>
    <r>
      <t>Ｚ</t>
    </r>
    <r>
      <rPr>
        <b/>
        <sz val="7"/>
        <color indexed="53"/>
        <rFont val="HGPｺﾞｼｯｸE"/>
        <family val="3"/>
        <charset val="128"/>
      </rPr>
      <t>1</t>
    </r>
    <phoneticPr fontId="84"/>
  </si>
  <si>
    <t>ＳＣ</t>
    <phoneticPr fontId="84"/>
  </si>
  <si>
    <r>
      <t>Ｚ</t>
    </r>
    <r>
      <rPr>
        <b/>
        <sz val="7"/>
        <color indexed="53"/>
        <rFont val="HGPｺﾞｼｯｸE"/>
        <family val="3"/>
        <charset val="128"/>
      </rPr>
      <t>2</t>
    </r>
    <phoneticPr fontId="84"/>
  </si>
  <si>
    <t>変 圧 器</t>
    <rPh sb="0" eb="1">
      <t>ヘン</t>
    </rPh>
    <rPh sb="2" eb="3">
      <t>アツ</t>
    </rPh>
    <rPh sb="4" eb="5">
      <t>ウツワ</t>
    </rPh>
    <phoneticPr fontId="84"/>
  </si>
  <si>
    <r>
      <t>Ｚ</t>
    </r>
    <r>
      <rPr>
        <b/>
        <sz val="7"/>
        <color indexed="53"/>
        <rFont val="HGPｺﾞｼｯｸE"/>
        <family val="3"/>
        <charset val="128"/>
      </rPr>
      <t>3</t>
    </r>
    <phoneticPr fontId="84"/>
  </si>
  <si>
    <t>負　　荷　　特　　性</t>
    <rPh sb="0" eb="1">
      <t>フ</t>
    </rPh>
    <rPh sb="3" eb="4">
      <t>ニ</t>
    </rPh>
    <rPh sb="6" eb="7">
      <t>トク</t>
    </rPh>
    <rPh sb="9" eb="10">
      <t>セイ</t>
    </rPh>
    <phoneticPr fontId="84"/>
  </si>
  <si>
    <t>幹 線 ケ ー ブ ル</t>
    <rPh sb="0" eb="1">
      <t>ミキ</t>
    </rPh>
    <rPh sb="2" eb="3">
      <t>セン</t>
    </rPh>
    <phoneticPr fontId="84"/>
  </si>
  <si>
    <t>変　圧　器 ・ 進相コンデンサ</t>
    <rPh sb="0" eb="1">
      <t>ヘン</t>
    </rPh>
    <rPh sb="2" eb="3">
      <t>アツ</t>
    </rPh>
    <rPh sb="4" eb="5">
      <t>ウツワ</t>
    </rPh>
    <rPh sb="8" eb="10">
      <t>シンソウ</t>
    </rPh>
    <phoneticPr fontId="84"/>
  </si>
  <si>
    <t>Ｎｏ.</t>
    <phoneticPr fontId="84"/>
  </si>
  <si>
    <t>F-3</t>
    <phoneticPr fontId="1"/>
  </si>
  <si>
    <r>
      <rPr>
        <sz val="9"/>
        <rFont val="Meiryo UI"/>
        <family val="3"/>
        <charset val="128"/>
      </rPr>
      <t xml:space="preserve"> (3) ポイント </t>
    </r>
    <r>
      <rPr>
        <sz val="9"/>
        <color indexed="12"/>
        <rFont val="Meiryo UI"/>
        <family val="3"/>
        <charset val="128"/>
      </rPr>
      <t>Z3</t>
    </r>
    <r>
      <rPr>
        <sz val="9"/>
        <rFont val="Meiryo UI"/>
        <family val="3"/>
        <charset val="128"/>
      </rPr>
      <t xml:space="preserve"> ： Z</t>
    </r>
    <r>
      <rPr>
        <vertAlign val="subscript"/>
        <sz val="11"/>
        <rFont val="Meiryo UI"/>
        <family val="3"/>
        <charset val="128"/>
      </rPr>
      <t>２</t>
    </r>
    <r>
      <rPr>
        <sz val="9"/>
        <rFont val="Meiryo UI"/>
        <family val="3"/>
        <charset val="128"/>
      </rPr>
      <t xml:space="preserve">、RTR＋ｊXTR   …… </t>
    </r>
    <r>
      <rPr>
        <sz val="6"/>
        <rFont val="Meiryo UI"/>
        <family val="3"/>
        <charset val="128"/>
      </rPr>
      <t xml:space="preserve"> </t>
    </r>
    <r>
      <rPr>
        <sz val="9"/>
        <rFont val="Meiryo UI"/>
        <family val="3"/>
        <charset val="128"/>
      </rPr>
      <t>合成式 ……</t>
    </r>
    <r>
      <rPr>
        <sz val="9"/>
        <rFont val="HGPｺﾞｼｯｸE"/>
        <family val="3"/>
        <charset val="128"/>
      </rPr>
      <t/>
    </r>
    <rPh sb="33" eb="35">
      <t>ゴウセイ</t>
    </rPh>
    <rPh sb="35" eb="36">
      <t>シキ</t>
    </rPh>
    <phoneticPr fontId="84"/>
  </si>
  <si>
    <t>F-4</t>
    <phoneticPr fontId="1"/>
  </si>
  <si>
    <r>
      <rPr>
        <sz val="9"/>
        <rFont val="Meiryo UI"/>
        <family val="3"/>
        <charset val="128"/>
      </rPr>
      <t xml:space="preserve"> (2) ポイント </t>
    </r>
    <r>
      <rPr>
        <sz val="9"/>
        <color indexed="12"/>
        <rFont val="Meiryo UI"/>
        <family val="3"/>
        <charset val="128"/>
      </rPr>
      <t>Z2</t>
    </r>
    <r>
      <rPr>
        <sz val="9"/>
        <rFont val="Meiryo UI"/>
        <family val="3"/>
        <charset val="128"/>
      </rPr>
      <t xml:space="preserve"> ： Z</t>
    </r>
    <r>
      <rPr>
        <vertAlign val="subscript"/>
        <sz val="11"/>
        <rFont val="Meiryo UI"/>
        <family val="3"/>
        <charset val="128"/>
      </rPr>
      <t>1</t>
    </r>
    <r>
      <rPr>
        <sz val="9"/>
        <rFont val="Meiryo UI"/>
        <family val="3"/>
        <charset val="128"/>
      </rPr>
      <t xml:space="preserve">、  </t>
    </r>
    <r>
      <rPr>
        <sz val="8"/>
        <rFont val="Meiryo UI"/>
        <family val="3"/>
        <charset val="128"/>
      </rPr>
      <t>－</t>
    </r>
    <r>
      <rPr>
        <sz val="9"/>
        <rFont val="Meiryo UI"/>
        <family val="3"/>
        <charset val="128"/>
      </rPr>
      <t>ｊ１／X</t>
    </r>
    <r>
      <rPr>
        <vertAlign val="subscript"/>
        <sz val="11"/>
        <rFont val="Meiryo UI"/>
        <family val="3"/>
        <charset val="128"/>
      </rPr>
      <t>C</t>
    </r>
    <r>
      <rPr>
        <sz val="9"/>
        <rFont val="Meiryo UI"/>
        <family val="3"/>
        <charset val="128"/>
      </rPr>
      <t>　　 …… 合成式 ……</t>
    </r>
    <r>
      <rPr>
        <sz val="9"/>
        <rFont val="HGPｺﾞｼｯｸE"/>
        <family val="3"/>
        <charset val="128"/>
      </rPr>
      <t xml:space="preserve"> </t>
    </r>
    <rPh sb="32" eb="34">
      <t>ゴウセイ</t>
    </rPh>
    <rPh sb="34" eb="35">
      <t>シキ</t>
    </rPh>
    <phoneticPr fontId="84"/>
  </si>
  <si>
    <t>F-1</t>
    <phoneticPr fontId="1"/>
  </si>
  <si>
    <r>
      <rPr>
        <sz val="9"/>
        <rFont val="Meiryo UI"/>
        <family val="3"/>
        <charset val="128"/>
      </rPr>
      <t xml:space="preserve">      合成式</t>
    </r>
    <r>
      <rPr>
        <b/>
        <sz val="9"/>
        <rFont val="Meiryo UI"/>
        <family val="3"/>
        <charset val="128"/>
      </rPr>
      <t>　</t>
    </r>
    <r>
      <rPr>
        <sz val="9"/>
        <rFont val="Meiryo UI"/>
        <family val="3"/>
        <charset val="128"/>
      </rPr>
      <t xml:space="preserve">No.2（インピーダンス合成計算） </t>
    </r>
    <r>
      <rPr>
        <b/>
        <sz val="9"/>
        <rFont val="Meiryo UI"/>
        <family val="3"/>
        <charset val="128"/>
      </rPr>
      <t xml:space="preserve">  </t>
    </r>
    <r>
      <rPr>
        <sz val="9"/>
        <rFont val="Meiryo UI"/>
        <family val="3"/>
        <charset val="128"/>
      </rPr>
      <t>……………</t>
    </r>
    <r>
      <rPr>
        <b/>
        <sz val="9"/>
        <rFont val="HGPｺﾞｼｯｸE"/>
        <family val="3"/>
        <charset val="128"/>
      </rPr>
      <t xml:space="preserve"> </t>
    </r>
    <rPh sb="6" eb="8">
      <t>ゴウセイ</t>
    </rPh>
    <rPh sb="8" eb="9">
      <t>シキ</t>
    </rPh>
    <phoneticPr fontId="84"/>
  </si>
  <si>
    <r>
      <t xml:space="preserve"> (1) ポイント </t>
    </r>
    <r>
      <rPr>
        <sz val="9"/>
        <color indexed="12"/>
        <rFont val="Meiryo UI"/>
        <family val="3"/>
        <charset val="128"/>
      </rPr>
      <t>Z1</t>
    </r>
    <r>
      <rPr>
        <sz val="9"/>
        <rFont val="Meiryo UI"/>
        <family val="3"/>
        <charset val="128"/>
      </rPr>
      <t>：R</t>
    </r>
    <r>
      <rPr>
        <vertAlign val="subscript"/>
        <sz val="11"/>
        <rFont val="Meiryo UI"/>
        <family val="3"/>
        <charset val="128"/>
      </rPr>
      <t>c</t>
    </r>
    <r>
      <rPr>
        <sz val="9"/>
        <rFont val="Meiryo UI"/>
        <family val="3"/>
        <charset val="128"/>
      </rPr>
      <t>＋ｊX</t>
    </r>
    <r>
      <rPr>
        <vertAlign val="subscript"/>
        <sz val="11"/>
        <rFont val="Meiryo UI"/>
        <family val="3"/>
        <charset val="128"/>
      </rPr>
      <t>c</t>
    </r>
    <r>
      <rPr>
        <sz val="9"/>
        <rFont val="Meiryo UI"/>
        <family val="3"/>
        <charset val="128"/>
      </rPr>
      <t>（幹線ケーブル）、RL＋ｊXL（負荷）</t>
    </r>
    <rPh sb="20" eb="22">
      <t>カンセン</t>
    </rPh>
    <phoneticPr fontId="84"/>
  </si>
  <si>
    <t>3φ50Hz</t>
    <phoneticPr fontId="84"/>
  </si>
  <si>
    <t>1φ50Hz</t>
    <phoneticPr fontId="84"/>
  </si>
  <si>
    <t>実行します。</t>
    <rPh sb="0" eb="2">
      <t>ジッコウ</t>
    </rPh>
    <phoneticPr fontId="84"/>
  </si>
  <si>
    <t>ケーブルを経由して負荷への接続までの回路網をインピーダンス合成して</t>
    <rPh sb="5" eb="7">
      <t>ケイユ</t>
    </rPh>
    <rPh sb="9" eb="11">
      <t>フカ</t>
    </rPh>
    <rPh sb="18" eb="20">
      <t>カイロ</t>
    </rPh>
    <rPh sb="20" eb="21">
      <t>アミ</t>
    </rPh>
    <phoneticPr fontId="84"/>
  </si>
  <si>
    <t>　</t>
    <phoneticPr fontId="84"/>
  </si>
  <si>
    <t>3φ60Hz</t>
    <phoneticPr fontId="84"/>
  </si>
  <si>
    <t>低圧電力幹線の諸計算について、変圧器・進相コンデンサ以降、幹線</t>
    <rPh sb="0" eb="2">
      <t>テイアツ</t>
    </rPh>
    <rPh sb="2" eb="4">
      <t>デンリョク</t>
    </rPh>
    <rPh sb="4" eb="6">
      <t>カンセン</t>
    </rPh>
    <rPh sb="7" eb="8">
      <t>ショ</t>
    </rPh>
    <rPh sb="8" eb="10">
      <t>ケイサン</t>
    </rPh>
    <rPh sb="15" eb="18">
      <t>ヘンアツキ</t>
    </rPh>
    <rPh sb="19" eb="21">
      <t>シンソウ</t>
    </rPh>
    <rPh sb="26" eb="28">
      <t>イコウ</t>
    </rPh>
    <rPh sb="29" eb="31">
      <t>カンセン</t>
    </rPh>
    <phoneticPr fontId="84"/>
  </si>
  <si>
    <t>1φ60Hz</t>
    <phoneticPr fontId="84"/>
  </si>
  <si>
    <r>
      <t xml:space="preserve">低圧電力幹線の簡易計算             </t>
    </r>
    <r>
      <rPr>
        <b/>
        <sz val="1"/>
        <color indexed="9"/>
        <rFont val="HGP明朝E"/>
        <family val="1"/>
        <charset val="128"/>
      </rPr>
      <t>.</t>
    </r>
    <rPh sb="0" eb="2">
      <t>テイアツ</t>
    </rPh>
    <rPh sb="2" eb="4">
      <t>デンリョク</t>
    </rPh>
    <rPh sb="4" eb="6">
      <t>カンセン</t>
    </rPh>
    <rPh sb="7" eb="9">
      <t>カンイ</t>
    </rPh>
    <rPh sb="9" eb="10">
      <t>ケイ</t>
    </rPh>
    <rPh sb="10" eb="11">
      <t>ザン</t>
    </rPh>
    <phoneticPr fontId="84"/>
  </si>
  <si>
    <t>Ｘc/Km</t>
    <phoneticPr fontId="84"/>
  </si>
  <si>
    <t>Ｒc/Km</t>
    <phoneticPr fontId="84"/>
  </si>
  <si>
    <t>％ＸTR</t>
    <phoneticPr fontId="84"/>
  </si>
  <si>
    <t>％ＲTR</t>
    <phoneticPr fontId="84"/>
  </si>
  <si>
    <t>SC容量</t>
    <rPh sb="2" eb="4">
      <t>ヨウリョウ</t>
    </rPh>
    <phoneticPr fontId="84"/>
  </si>
  <si>
    <t>X2</t>
    <phoneticPr fontId="84"/>
  </si>
  <si>
    <t>X1</t>
    <phoneticPr fontId="84"/>
  </si>
  <si>
    <t>R1</t>
    <phoneticPr fontId="84"/>
  </si>
  <si>
    <t>F-4</t>
    <phoneticPr fontId="84"/>
  </si>
  <si>
    <t>R2</t>
    <phoneticPr fontId="84"/>
  </si>
  <si>
    <t>F-3</t>
    <phoneticPr fontId="84"/>
  </si>
  <si>
    <t xml:space="preserve"> 並列回路の Impedance 合成計算</t>
    <rPh sb="1" eb="3">
      <t>ヘイレツ</t>
    </rPh>
    <rPh sb="19" eb="21">
      <t>ケイサン</t>
    </rPh>
    <phoneticPr fontId="84"/>
  </si>
  <si>
    <t>F-2</t>
    <phoneticPr fontId="84"/>
  </si>
  <si>
    <t>F-1</t>
    <phoneticPr fontId="84"/>
  </si>
  <si>
    <t xml:space="preserve"> 直列回路の Impedance 合成計算</t>
    <rPh sb="19" eb="21">
      <t>ケイサン</t>
    </rPh>
    <phoneticPr fontId="84"/>
  </si>
  <si>
    <t>％ Ｚ</t>
    <phoneticPr fontId="84"/>
  </si>
  <si>
    <t>％ Ｘ</t>
    <phoneticPr fontId="84"/>
  </si>
  <si>
    <t>％ Ｒ</t>
    <phoneticPr fontId="84"/>
  </si>
  <si>
    <t>容 量</t>
    <rPh sb="0" eb="3">
      <t>ヨウリョウ</t>
    </rPh>
    <phoneticPr fontId="84"/>
  </si>
  <si>
    <r>
      <t>1φ油入</t>
    </r>
    <r>
      <rPr>
        <sz val="9"/>
        <color indexed="10"/>
        <rFont val="ＭＳ Ｐゴシック"/>
        <family val="3"/>
        <charset val="128"/>
      </rPr>
      <t>[60Hz]</t>
    </r>
    <rPh sb="2" eb="3">
      <t>アブラ</t>
    </rPh>
    <rPh sb="3" eb="4">
      <t>イ</t>
    </rPh>
    <phoneticPr fontId="84"/>
  </si>
  <si>
    <t>変圧器</t>
    <rPh sb="0" eb="3">
      <t>ヘンアツキ</t>
    </rPh>
    <phoneticPr fontId="84"/>
  </si>
  <si>
    <r>
      <t>1φ油入</t>
    </r>
    <r>
      <rPr>
        <sz val="9"/>
        <color indexed="10"/>
        <rFont val="ＭＳ Ｐゴシック"/>
        <family val="3"/>
        <charset val="128"/>
      </rPr>
      <t>[50Hz]</t>
    </r>
    <rPh sb="2" eb="3">
      <t>アブラ</t>
    </rPh>
    <rPh sb="3" eb="4">
      <t>イ</t>
    </rPh>
    <phoneticPr fontId="84"/>
  </si>
  <si>
    <r>
      <t>3φ油入</t>
    </r>
    <r>
      <rPr>
        <sz val="9"/>
        <color indexed="10"/>
        <rFont val="ＭＳ Ｐゴシック"/>
        <family val="3"/>
        <charset val="128"/>
      </rPr>
      <t>[60Hz]</t>
    </r>
    <rPh sb="2" eb="3">
      <t>アブラ</t>
    </rPh>
    <rPh sb="3" eb="4">
      <t>イ</t>
    </rPh>
    <phoneticPr fontId="84"/>
  </si>
  <si>
    <r>
      <t>3φ油入</t>
    </r>
    <r>
      <rPr>
        <sz val="9"/>
        <color indexed="10"/>
        <rFont val="ＭＳ Ｐゴシック"/>
        <family val="3"/>
        <charset val="128"/>
      </rPr>
      <t>[50Hz]</t>
    </r>
    <rPh sb="2" eb="3">
      <t>アブラ</t>
    </rPh>
    <rPh sb="3" eb="4">
      <t>イ</t>
    </rPh>
    <phoneticPr fontId="84"/>
  </si>
  <si>
    <t>F-4</t>
  </si>
  <si>
    <r>
      <t>cosφ＝[Ｒ</t>
    </r>
    <r>
      <rPr>
        <b/>
        <vertAlign val="subscript"/>
        <sz val="11"/>
        <rFont val="ＭＳ Ｐ明朝"/>
        <family val="1"/>
        <charset val="128"/>
      </rPr>
      <t>1</t>
    </r>
    <r>
      <rPr>
        <b/>
        <sz val="9"/>
        <rFont val="ＭＳ Ｐ明朝"/>
        <family val="1"/>
        <charset val="128"/>
      </rPr>
      <t>／{(Ｒ</t>
    </r>
    <r>
      <rPr>
        <b/>
        <vertAlign val="subscript"/>
        <sz val="11"/>
        <rFont val="ＭＳ Ｐ明朝"/>
        <family val="1"/>
        <charset val="128"/>
      </rPr>
      <t>1</t>
    </r>
    <r>
      <rPr>
        <b/>
        <sz val="9"/>
        <rFont val="ＭＳ Ｐ明朝"/>
        <family val="1"/>
        <charset val="128"/>
      </rPr>
      <t>Ｘ</t>
    </r>
    <r>
      <rPr>
        <b/>
        <vertAlign val="subscript"/>
        <sz val="11"/>
        <rFont val="ＭＳ Ｐ明朝"/>
        <family val="1"/>
        <charset val="128"/>
      </rPr>
      <t>C</t>
    </r>
    <r>
      <rPr>
        <b/>
        <sz val="9"/>
        <rFont val="ＭＳ Ｐ明朝"/>
        <family val="1"/>
        <charset val="128"/>
      </rPr>
      <t>)</t>
    </r>
    <r>
      <rPr>
        <b/>
        <vertAlign val="superscript"/>
        <sz val="11"/>
        <rFont val="ＭＳ Ｐ明朝"/>
        <family val="1"/>
        <charset val="128"/>
      </rPr>
      <t>2</t>
    </r>
    <r>
      <rPr>
        <b/>
        <sz val="9"/>
        <rFont val="ＭＳ Ｐ明朝"/>
        <family val="1"/>
        <charset val="128"/>
      </rPr>
      <t>＋(Ｘ</t>
    </r>
    <r>
      <rPr>
        <b/>
        <vertAlign val="subscript"/>
        <sz val="11"/>
        <rFont val="ＭＳ Ｐ明朝"/>
        <family val="1"/>
        <charset val="128"/>
      </rPr>
      <t>C</t>
    </r>
    <r>
      <rPr>
        <b/>
        <sz val="9"/>
        <rFont val="ＭＳ Ｐ明朝"/>
        <family val="1"/>
        <charset val="128"/>
      </rPr>
      <t>Ｘ</t>
    </r>
    <r>
      <rPr>
        <b/>
        <vertAlign val="subscript"/>
        <sz val="11"/>
        <rFont val="ＭＳ Ｐ明朝"/>
        <family val="1"/>
        <charset val="128"/>
      </rPr>
      <t>1</t>
    </r>
    <r>
      <rPr>
        <b/>
        <sz val="9"/>
        <rFont val="ＭＳ Ｐ明朝"/>
        <family val="1"/>
        <charset val="128"/>
      </rPr>
      <t>－1)</t>
    </r>
    <r>
      <rPr>
        <b/>
        <vertAlign val="superscript"/>
        <sz val="11"/>
        <rFont val="ＭＳ Ｐ明朝"/>
        <family val="1"/>
        <charset val="128"/>
      </rPr>
      <t>2</t>
    </r>
    <r>
      <rPr>
        <b/>
        <sz val="9"/>
        <rFont val="ＭＳ Ｐ明朝"/>
        <family val="1"/>
        <charset val="128"/>
      </rPr>
      <t>}]／Ｚ</t>
    </r>
    <phoneticPr fontId="84"/>
  </si>
  <si>
    <r>
      <t>Ｚ</t>
    </r>
    <r>
      <rPr>
        <b/>
        <vertAlign val="subscript"/>
        <sz val="11"/>
        <rFont val="ＭＳ Ｐ明朝"/>
        <family val="1"/>
        <charset val="128"/>
      </rPr>
      <t>１</t>
    </r>
    <r>
      <rPr>
        <b/>
        <sz val="9"/>
        <rFont val="ＭＳ Ｐ明朝"/>
        <family val="1"/>
        <charset val="128"/>
      </rPr>
      <t>＝Ｒ</t>
    </r>
    <r>
      <rPr>
        <b/>
        <vertAlign val="subscript"/>
        <sz val="11"/>
        <rFont val="ＭＳ Ｐ明朝"/>
        <family val="1"/>
        <charset val="128"/>
      </rPr>
      <t>1</t>
    </r>
    <r>
      <rPr>
        <b/>
        <sz val="9"/>
        <rFont val="ＭＳ Ｐ明朝"/>
        <family val="1"/>
        <charset val="128"/>
      </rPr>
      <t>＋jＸ</t>
    </r>
    <r>
      <rPr>
        <b/>
        <vertAlign val="subscript"/>
        <sz val="11"/>
        <rFont val="ＭＳ Ｐ明朝"/>
        <family val="1"/>
        <charset val="128"/>
      </rPr>
      <t xml:space="preserve">1 </t>
    </r>
    <r>
      <rPr>
        <b/>
        <sz val="9"/>
        <rFont val="ＭＳ Ｐ明朝"/>
        <family val="1"/>
        <charset val="128"/>
      </rPr>
      <t>， Ｚ</t>
    </r>
    <r>
      <rPr>
        <b/>
        <vertAlign val="subscript"/>
        <sz val="11"/>
        <rFont val="ＭＳ Ｐ明朝"/>
        <family val="1"/>
        <charset val="128"/>
      </rPr>
      <t>2</t>
    </r>
    <r>
      <rPr>
        <b/>
        <sz val="9"/>
        <rFont val="ＭＳ Ｐ明朝"/>
        <family val="1"/>
        <charset val="128"/>
      </rPr>
      <t xml:space="preserve">＝1／jＸc     のとき </t>
    </r>
    <phoneticPr fontId="84"/>
  </si>
  <si>
    <t>F-3</t>
  </si>
  <si>
    <r>
      <t>cosφ＝[{R</t>
    </r>
    <r>
      <rPr>
        <b/>
        <vertAlign val="subscript"/>
        <sz val="11"/>
        <rFont val="ＭＳ Ｐ明朝"/>
        <family val="1"/>
        <charset val="128"/>
      </rPr>
      <t>1</t>
    </r>
    <r>
      <rPr>
        <b/>
        <sz val="9"/>
        <rFont val="ＭＳ Ｐ明朝"/>
        <family val="1"/>
        <charset val="128"/>
      </rPr>
      <t>(R</t>
    </r>
    <r>
      <rPr>
        <b/>
        <vertAlign val="subscript"/>
        <sz val="11"/>
        <rFont val="ＭＳ Ｐ明朝"/>
        <family val="1"/>
        <charset val="128"/>
      </rPr>
      <t>2</t>
    </r>
    <r>
      <rPr>
        <b/>
        <vertAlign val="superscript"/>
        <sz val="11"/>
        <rFont val="ＭＳ Ｐ明朝"/>
        <family val="1"/>
        <charset val="128"/>
      </rPr>
      <t>2</t>
    </r>
    <r>
      <rPr>
        <b/>
        <sz val="9"/>
        <rFont val="ＭＳ Ｐ明朝"/>
        <family val="1"/>
        <charset val="128"/>
      </rPr>
      <t>+X</t>
    </r>
    <r>
      <rPr>
        <b/>
        <vertAlign val="subscript"/>
        <sz val="11"/>
        <rFont val="ＭＳ Ｐ明朝"/>
        <family val="1"/>
        <charset val="128"/>
      </rPr>
      <t>2</t>
    </r>
    <r>
      <rPr>
        <b/>
        <vertAlign val="superscript"/>
        <sz val="11"/>
        <rFont val="ＭＳ Ｐ明朝"/>
        <family val="1"/>
        <charset val="128"/>
      </rPr>
      <t>2</t>
    </r>
    <r>
      <rPr>
        <b/>
        <sz val="9"/>
        <rFont val="ＭＳ Ｐ明朝"/>
        <family val="1"/>
        <charset val="128"/>
      </rPr>
      <t>)+R</t>
    </r>
    <r>
      <rPr>
        <b/>
        <vertAlign val="subscript"/>
        <sz val="11"/>
        <rFont val="ＭＳ Ｐ明朝"/>
        <family val="1"/>
        <charset val="128"/>
      </rPr>
      <t>2</t>
    </r>
    <r>
      <rPr>
        <b/>
        <sz val="9"/>
        <rFont val="ＭＳ Ｐ明朝"/>
        <family val="1"/>
        <charset val="128"/>
      </rPr>
      <t>(R</t>
    </r>
    <r>
      <rPr>
        <b/>
        <vertAlign val="subscript"/>
        <sz val="11"/>
        <rFont val="ＭＳ Ｐ明朝"/>
        <family val="1"/>
        <charset val="128"/>
      </rPr>
      <t>1</t>
    </r>
    <r>
      <rPr>
        <b/>
        <vertAlign val="superscript"/>
        <sz val="11"/>
        <rFont val="ＭＳ Ｐ明朝"/>
        <family val="1"/>
        <charset val="128"/>
      </rPr>
      <t>2</t>
    </r>
    <r>
      <rPr>
        <b/>
        <sz val="9"/>
        <rFont val="ＭＳ Ｐ明朝"/>
        <family val="1"/>
        <charset val="128"/>
      </rPr>
      <t>+X</t>
    </r>
    <r>
      <rPr>
        <b/>
        <vertAlign val="subscript"/>
        <sz val="11"/>
        <rFont val="ＭＳ Ｐ明朝"/>
        <family val="1"/>
        <charset val="128"/>
      </rPr>
      <t>1</t>
    </r>
    <r>
      <rPr>
        <b/>
        <vertAlign val="superscript"/>
        <sz val="11"/>
        <rFont val="ＭＳ Ｐ明朝"/>
        <family val="1"/>
        <charset val="128"/>
      </rPr>
      <t>2</t>
    </r>
    <r>
      <rPr>
        <b/>
        <sz val="9"/>
        <rFont val="ＭＳ Ｐ明朝"/>
        <family val="1"/>
        <charset val="128"/>
      </rPr>
      <t>)}／{(R</t>
    </r>
    <r>
      <rPr>
        <b/>
        <vertAlign val="subscript"/>
        <sz val="11"/>
        <rFont val="ＭＳ Ｐ明朝"/>
        <family val="1"/>
        <charset val="128"/>
      </rPr>
      <t>1</t>
    </r>
    <r>
      <rPr>
        <b/>
        <sz val="9"/>
        <rFont val="ＭＳ Ｐ明朝"/>
        <family val="1"/>
        <charset val="128"/>
      </rPr>
      <t>+R</t>
    </r>
    <r>
      <rPr>
        <b/>
        <vertAlign val="subscript"/>
        <sz val="11"/>
        <rFont val="ＭＳ Ｐ明朝"/>
        <family val="1"/>
        <charset val="128"/>
      </rPr>
      <t>2</t>
    </r>
    <r>
      <rPr>
        <b/>
        <sz val="9"/>
        <rFont val="ＭＳ Ｐ明朝"/>
        <family val="1"/>
        <charset val="128"/>
      </rPr>
      <t>)</t>
    </r>
    <r>
      <rPr>
        <b/>
        <vertAlign val="superscript"/>
        <sz val="11"/>
        <rFont val="ＭＳ Ｐ明朝"/>
        <family val="1"/>
        <charset val="128"/>
      </rPr>
      <t>2</t>
    </r>
    <r>
      <rPr>
        <b/>
        <sz val="9"/>
        <rFont val="ＭＳ Ｐ明朝"/>
        <family val="1"/>
        <charset val="128"/>
      </rPr>
      <t>+(X</t>
    </r>
    <r>
      <rPr>
        <b/>
        <vertAlign val="subscript"/>
        <sz val="11"/>
        <rFont val="ＭＳ Ｐ明朝"/>
        <family val="1"/>
        <charset val="128"/>
      </rPr>
      <t>1</t>
    </r>
    <r>
      <rPr>
        <b/>
        <sz val="9"/>
        <rFont val="ＭＳ Ｐ明朝"/>
        <family val="1"/>
        <charset val="128"/>
      </rPr>
      <t>+X</t>
    </r>
    <r>
      <rPr>
        <b/>
        <vertAlign val="subscript"/>
        <sz val="11"/>
        <rFont val="ＭＳ Ｐ明朝"/>
        <family val="1"/>
        <charset val="128"/>
      </rPr>
      <t>2</t>
    </r>
    <r>
      <rPr>
        <b/>
        <sz val="9"/>
        <rFont val="ＭＳ Ｐ明朝"/>
        <family val="1"/>
        <charset val="128"/>
      </rPr>
      <t>)</t>
    </r>
    <r>
      <rPr>
        <b/>
        <vertAlign val="superscript"/>
        <sz val="11"/>
        <rFont val="ＭＳ Ｐ明朝"/>
        <family val="1"/>
        <charset val="128"/>
      </rPr>
      <t>2</t>
    </r>
    <r>
      <rPr>
        <b/>
        <sz val="9"/>
        <rFont val="ＭＳ Ｐ明朝"/>
        <family val="1"/>
        <charset val="128"/>
      </rPr>
      <t>}]／Z</t>
    </r>
    <phoneticPr fontId="84"/>
  </si>
  <si>
    <r>
      <t>Ｚ</t>
    </r>
    <r>
      <rPr>
        <b/>
        <vertAlign val="subscript"/>
        <sz val="11"/>
        <rFont val="ＭＳ Ｐ明朝"/>
        <family val="1"/>
        <charset val="128"/>
      </rPr>
      <t>１</t>
    </r>
    <r>
      <rPr>
        <b/>
        <sz val="9"/>
        <rFont val="ＭＳ Ｐ明朝"/>
        <family val="1"/>
        <charset val="128"/>
      </rPr>
      <t>＝Ｒ</t>
    </r>
    <r>
      <rPr>
        <b/>
        <vertAlign val="subscript"/>
        <sz val="11"/>
        <rFont val="ＭＳ Ｐ明朝"/>
        <family val="1"/>
        <charset val="128"/>
      </rPr>
      <t>1</t>
    </r>
    <r>
      <rPr>
        <b/>
        <sz val="9"/>
        <rFont val="ＭＳ Ｐ明朝"/>
        <family val="1"/>
        <charset val="128"/>
      </rPr>
      <t>＋jＸ</t>
    </r>
    <r>
      <rPr>
        <b/>
        <vertAlign val="subscript"/>
        <sz val="11"/>
        <rFont val="ＭＳ Ｐ明朝"/>
        <family val="1"/>
        <charset val="128"/>
      </rPr>
      <t xml:space="preserve">1 </t>
    </r>
    <r>
      <rPr>
        <b/>
        <sz val="9"/>
        <rFont val="ＭＳ Ｐ明朝"/>
        <family val="1"/>
        <charset val="128"/>
      </rPr>
      <t>， Ｚ</t>
    </r>
    <r>
      <rPr>
        <b/>
        <vertAlign val="subscript"/>
        <sz val="11"/>
        <rFont val="ＭＳ Ｐ明朝"/>
        <family val="1"/>
        <charset val="128"/>
      </rPr>
      <t>2</t>
    </r>
    <r>
      <rPr>
        <b/>
        <sz val="9"/>
        <rFont val="ＭＳ Ｐ明朝"/>
        <family val="1"/>
        <charset val="128"/>
      </rPr>
      <t>＝Ｒ</t>
    </r>
    <r>
      <rPr>
        <b/>
        <vertAlign val="subscript"/>
        <sz val="11"/>
        <rFont val="ＭＳ Ｐ明朝"/>
        <family val="1"/>
        <charset val="128"/>
      </rPr>
      <t>2</t>
    </r>
    <r>
      <rPr>
        <b/>
        <sz val="9"/>
        <rFont val="ＭＳ Ｐ明朝"/>
        <family val="1"/>
        <charset val="128"/>
      </rPr>
      <t>＋jＸ</t>
    </r>
    <r>
      <rPr>
        <b/>
        <vertAlign val="subscript"/>
        <sz val="11"/>
        <rFont val="ＭＳ Ｐ明朝"/>
        <family val="1"/>
        <charset val="128"/>
      </rPr>
      <t>2　</t>
    </r>
    <r>
      <rPr>
        <b/>
        <sz val="9"/>
        <rFont val="ＭＳ Ｐ明朝"/>
        <family val="1"/>
        <charset val="128"/>
      </rPr>
      <t xml:space="preserve"> </t>
    </r>
    <r>
      <rPr>
        <b/>
        <sz val="6"/>
        <rFont val="ＭＳ Ｐ明朝"/>
        <family val="1"/>
        <charset val="128"/>
      </rPr>
      <t xml:space="preserve"> </t>
    </r>
    <r>
      <rPr>
        <b/>
        <sz val="9"/>
        <rFont val="ＭＳ Ｐ明朝"/>
        <family val="1"/>
        <charset val="128"/>
      </rPr>
      <t>のとき</t>
    </r>
    <phoneticPr fontId="84"/>
  </si>
  <si>
    <r>
      <t>並列回路の Impedance 合成 ： １／Ｚ＝１／Ｚ</t>
    </r>
    <r>
      <rPr>
        <b/>
        <vertAlign val="subscript"/>
        <sz val="11"/>
        <color indexed="12"/>
        <rFont val="ＭＳ Ｐ明朝"/>
        <family val="1"/>
        <charset val="128"/>
      </rPr>
      <t>1</t>
    </r>
    <r>
      <rPr>
        <b/>
        <sz val="9"/>
        <color indexed="12"/>
        <rFont val="ＭＳ Ｐ明朝"/>
        <family val="1"/>
        <charset val="128"/>
      </rPr>
      <t>＋１／Ｚ</t>
    </r>
    <r>
      <rPr>
        <b/>
        <vertAlign val="subscript"/>
        <sz val="11"/>
        <color indexed="12"/>
        <rFont val="ＭＳ Ｐ明朝"/>
        <family val="1"/>
        <charset val="128"/>
      </rPr>
      <t>2</t>
    </r>
    <rPh sb="0" eb="2">
      <t>ヘイレツ</t>
    </rPh>
    <rPh sb="16" eb="18">
      <t>ゴウセイ</t>
    </rPh>
    <phoneticPr fontId="84"/>
  </si>
  <si>
    <t>F-2</t>
  </si>
  <si>
    <r>
      <t>cosφ＝Ｒ</t>
    </r>
    <r>
      <rPr>
        <b/>
        <vertAlign val="subscript"/>
        <sz val="11"/>
        <rFont val="ＭＳ Ｐ明朝"/>
        <family val="1"/>
        <charset val="128"/>
      </rPr>
      <t>1</t>
    </r>
    <r>
      <rPr>
        <b/>
        <sz val="9"/>
        <rFont val="ＭＳ Ｐ明朝"/>
        <family val="1"/>
        <charset val="128"/>
      </rPr>
      <t>／Ｚ</t>
    </r>
    <phoneticPr fontId="84"/>
  </si>
  <si>
    <r>
      <t>Ｚ</t>
    </r>
    <r>
      <rPr>
        <b/>
        <vertAlign val="subscript"/>
        <sz val="11"/>
        <rFont val="ＭＳ Ｐ明朝"/>
        <family val="1"/>
        <charset val="128"/>
      </rPr>
      <t>１</t>
    </r>
    <r>
      <rPr>
        <b/>
        <sz val="9"/>
        <rFont val="ＭＳ Ｐ明朝"/>
        <family val="1"/>
        <charset val="128"/>
      </rPr>
      <t>＝Ｒ</t>
    </r>
    <r>
      <rPr>
        <b/>
        <vertAlign val="subscript"/>
        <sz val="11"/>
        <rFont val="ＭＳ Ｐ明朝"/>
        <family val="1"/>
        <charset val="128"/>
      </rPr>
      <t>1</t>
    </r>
    <r>
      <rPr>
        <b/>
        <sz val="9"/>
        <rFont val="ＭＳ Ｐ明朝"/>
        <family val="1"/>
        <charset val="128"/>
      </rPr>
      <t>＋jＸ</t>
    </r>
    <r>
      <rPr>
        <b/>
        <vertAlign val="subscript"/>
        <sz val="11"/>
        <rFont val="ＭＳ Ｐ明朝"/>
        <family val="1"/>
        <charset val="128"/>
      </rPr>
      <t xml:space="preserve">1 </t>
    </r>
    <r>
      <rPr>
        <b/>
        <sz val="9"/>
        <rFont val="ＭＳ Ｐ明朝"/>
        <family val="1"/>
        <charset val="128"/>
      </rPr>
      <t>， Ｚ</t>
    </r>
    <r>
      <rPr>
        <b/>
        <vertAlign val="subscript"/>
        <sz val="11"/>
        <rFont val="ＭＳ Ｐ明朝"/>
        <family val="1"/>
        <charset val="128"/>
      </rPr>
      <t>2</t>
    </r>
    <r>
      <rPr>
        <b/>
        <sz val="9"/>
        <rFont val="ＭＳ Ｐ明朝"/>
        <family val="1"/>
        <charset val="128"/>
      </rPr>
      <t>＝1／jＸ</t>
    </r>
    <r>
      <rPr>
        <b/>
        <vertAlign val="subscript"/>
        <sz val="11"/>
        <rFont val="ＭＳ Ｐ明朝"/>
        <family val="1"/>
        <charset val="128"/>
      </rPr>
      <t>C</t>
    </r>
    <r>
      <rPr>
        <b/>
        <sz val="9"/>
        <rFont val="ＭＳ Ｐ明朝"/>
        <family val="1"/>
        <charset val="128"/>
      </rPr>
      <t xml:space="preserve">     のとき　　Ｚ＝Ｒ</t>
    </r>
    <r>
      <rPr>
        <b/>
        <vertAlign val="subscript"/>
        <sz val="11"/>
        <rFont val="ＭＳ Ｐ明朝"/>
        <family val="1"/>
        <charset val="128"/>
      </rPr>
      <t>1</t>
    </r>
    <r>
      <rPr>
        <b/>
        <sz val="9"/>
        <rFont val="ＭＳ Ｐ明朝"/>
        <family val="1"/>
        <charset val="128"/>
      </rPr>
      <t>＋j｛Ｘ</t>
    </r>
    <r>
      <rPr>
        <b/>
        <vertAlign val="subscript"/>
        <sz val="11"/>
        <rFont val="ＭＳ Ｐ明朝"/>
        <family val="1"/>
        <charset val="128"/>
      </rPr>
      <t>1</t>
    </r>
    <r>
      <rPr>
        <b/>
        <sz val="9"/>
        <rFont val="ＭＳ Ｐ明朝"/>
        <family val="1"/>
        <charset val="128"/>
      </rPr>
      <t>-（１／Ｘ</t>
    </r>
    <r>
      <rPr>
        <b/>
        <vertAlign val="subscript"/>
        <sz val="11"/>
        <rFont val="ＭＳ Ｐ明朝"/>
        <family val="1"/>
        <charset val="128"/>
      </rPr>
      <t>C</t>
    </r>
    <r>
      <rPr>
        <b/>
        <sz val="9"/>
        <rFont val="ＭＳ Ｐ明朝"/>
        <family val="1"/>
        <charset val="128"/>
      </rPr>
      <t xml:space="preserve">）｝ </t>
    </r>
    <phoneticPr fontId="84"/>
  </si>
  <si>
    <t>F-1</t>
  </si>
  <si>
    <r>
      <t>cosφ＝(Ｒ</t>
    </r>
    <r>
      <rPr>
        <b/>
        <vertAlign val="subscript"/>
        <sz val="11"/>
        <rFont val="ＭＳ Ｐ明朝"/>
        <family val="1"/>
        <charset val="128"/>
      </rPr>
      <t>1</t>
    </r>
    <r>
      <rPr>
        <b/>
        <sz val="9"/>
        <rFont val="ＭＳ Ｐ明朝"/>
        <family val="1"/>
        <charset val="128"/>
      </rPr>
      <t>＋Ｒ</t>
    </r>
    <r>
      <rPr>
        <b/>
        <vertAlign val="subscript"/>
        <sz val="11"/>
        <rFont val="ＭＳ Ｐ明朝"/>
        <family val="1"/>
        <charset val="128"/>
      </rPr>
      <t>2</t>
    </r>
    <r>
      <rPr>
        <b/>
        <sz val="9"/>
        <rFont val="ＭＳ Ｐ明朝"/>
        <family val="1"/>
        <charset val="128"/>
      </rPr>
      <t>)／Ｚ</t>
    </r>
    <phoneticPr fontId="84"/>
  </si>
  <si>
    <r>
      <t>Ｚ</t>
    </r>
    <r>
      <rPr>
        <b/>
        <vertAlign val="subscript"/>
        <sz val="11"/>
        <rFont val="ＭＳ Ｐ明朝"/>
        <family val="1"/>
        <charset val="128"/>
      </rPr>
      <t>１</t>
    </r>
    <r>
      <rPr>
        <b/>
        <sz val="9"/>
        <rFont val="ＭＳ Ｐ明朝"/>
        <family val="1"/>
        <charset val="128"/>
      </rPr>
      <t>＝Ｒ</t>
    </r>
    <r>
      <rPr>
        <b/>
        <vertAlign val="subscript"/>
        <sz val="11"/>
        <rFont val="ＭＳ Ｐ明朝"/>
        <family val="1"/>
        <charset val="128"/>
      </rPr>
      <t>1</t>
    </r>
    <r>
      <rPr>
        <b/>
        <sz val="9"/>
        <rFont val="ＭＳ Ｐ明朝"/>
        <family val="1"/>
        <charset val="128"/>
      </rPr>
      <t>＋jＸ</t>
    </r>
    <r>
      <rPr>
        <b/>
        <vertAlign val="subscript"/>
        <sz val="11"/>
        <rFont val="ＭＳ Ｐ明朝"/>
        <family val="1"/>
        <charset val="128"/>
      </rPr>
      <t xml:space="preserve">1 </t>
    </r>
    <r>
      <rPr>
        <b/>
        <sz val="9"/>
        <rFont val="ＭＳ Ｐ明朝"/>
        <family val="1"/>
        <charset val="128"/>
      </rPr>
      <t>， Ｚ</t>
    </r>
    <r>
      <rPr>
        <b/>
        <vertAlign val="subscript"/>
        <sz val="11"/>
        <rFont val="ＭＳ Ｐ明朝"/>
        <family val="1"/>
        <charset val="128"/>
      </rPr>
      <t>2</t>
    </r>
    <r>
      <rPr>
        <b/>
        <sz val="9"/>
        <rFont val="ＭＳ Ｐ明朝"/>
        <family val="1"/>
        <charset val="128"/>
      </rPr>
      <t>＝Ｒ</t>
    </r>
    <r>
      <rPr>
        <b/>
        <vertAlign val="subscript"/>
        <sz val="11"/>
        <rFont val="ＭＳ Ｐ明朝"/>
        <family val="1"/>
        <charset val="128"/>
      </rPr>
      <t>2</t>
    </r>
    <r>
      <rPr>
        <b/>
        <sz val="9"/>
        <rFont val="ＭＳ Ｐ明朝"/>
        <family val="1"/>
        <charset val="128"/>
      </rPr>
      <t>＋jＸ</t>
    </r>
    <r>
      <rPr>
        <b/>
        <vertAlign val="subscript"/>
        <sz val="11"/>
        <rFont val="ＭＳ Ｐ明朝"/>
        <family val="1"/>
        <charset val="128"/>
      </rPr>
      <t>2　</t>
    </r>
    <r>
      <rPr>
        <b/>
        <sz val="9"/>
        <rFont val="ＭＳ Ｐ明朝"/>
        <family val="1"/>
        <charset val="128"/>
      </rPr>
      <t xml:space="preserve"> </t>
    </r>
    <r>
      <rPr>
        <b/>
        <sz val="6"/>
        <rFont val="ＭＳ Ｐ明朝"/>
        <family val="1"/>
        <charset val="128"/>
      </rPr>
      <t xml:space="preserve"> </t>
    </r>
    <r>
      <rPr>
        <b/>
        <sz val="9"/>
        <rFont val="ＭＳ Ｐ明朝"/>
        <family val="1"/>
        <charset val="128"/>
      </rPr>
      <t>のとき　　Ｚ＝(Ｒ</t>
    </r>
    <r>
      <rPr>
        <b/>
        <vertAlign val="subscript"/>
        <sz val="11"/>
        <rFont val="ＭＳ Ｐ明朝"/>
        <family val="1"/>
        <charset val="128"/>
      </rPr>
      <t>1</t>
    </r>
    <r>
      <rPr>
        <b/>
        <sz val="9"/>
        <rFont val="ＭＳ Ｐ明朝"/>
        <family val="1"/>
        <charset val="128"/>
      </rPr>
      <t>＋Ｒ</t>
    </r>
    <r>
      <rPr>
        <b/>
        <vertAlign val="subscript"/>
        <sz val="11"/>
        <rFont val="ＭＳ Ｐ明朝"/>
        <family val="1"/>
        <charset val="128"/>
      </rPr>
      <t>2</t>
    </r>
    <r>
      <rPr>
        <b/>
        <sz val="9"/>
        <rFont val="ＭＳ Ｐ明朝"/>
        <family val="1"/>
        <charset val="128"/>
      </rPr>
      <t>)＋j（Ｘ</t>
    </r>
    <r>
      <rPr>
        <b/>
        <vertAlign val="subscript"/>
        <sz val="11"/>
        <rFont val="ＭＳ Ｐ明朝"/>
        <family val="1"/>
        <charset val="128"/>
      </rPr>
      <t>1</t>
    </r>
    <r>
      <rPr>
        <b/>
        <sz val="9"/>
        <rFont val="ＭＳ Ｐ明朝"/>
        <family val="1"/>
        <charset val="128"/>
      </rPr>
      <t>＋Ｘ</t>
    </r>
    <r>
      <rPr>
        <b/>
        <vertAlign val="subscript"/>
        <sz val="11"/>
        <rFont val="ＭＳ Ｐ明朝"/>
        <family val="1"/>
        <charset val="128"/>
      </rPr>
      <t>2</t>
    </r>
    <r>
      <rPr>
        <b/>
        <sz val="9"/>
        <rFont val="ＭＳ Ｐ明朝"/>
        <family val="1"/>
        <charset val="128"/>
      </rPr>
      <t>）</t>
    </r>
    <phoneticPr fontId="84"/>
  </si>
  <si>
    <r>
      <t>直列回路の Impedance 合成 ： Ｚ＝Ｚ</t>
    </r>
    <r>
      <rPr>
        <b/>
        <vertAlign val="subscript"/>
        <sz val="11"/>
        <color indexed="12"/>
        <rFont val="ＭＳ Ｐ明朝"/>
        <family val="1"/>
        <charset val="128"/>
      </rPr>
      <t>1</t>
    </r>
    <r>
      <rPr>
        <b/>
        <sz val="9"/>
        <color indexed="12"/>
        <rFont val="ＭＳ Ｐ明朝"/>
        <family val="1"/>
        <charset val="128"/>
      </rPr>
      <t>＋Ｚ</t>
    </r>
    <r>
      <rPr>
        <b/>
        <vertAlign val="subscript"/>
        <sz val="11"/>
        <color indexed="12"/>
        <rFont val="ＭＳ Ｐ明朝"/>
        <family val="1"/>
        <charset val="128"/>
      </rPr>
      <t>2</t>
    </r>
    <rPh sb="16" eb="18">
      <t>ゴウセイ</t>
    </rPh>
    <phoneticPr fontId="84"/>
  </si>
  <si>
    <r>
      <t>Ｅ＝{(Ｅ／Ｚ</t>
    </r>
    <r>
      <rPr>
        <b/>
        <vertAlign val="subscript"/>
        <sz val="11"/>
        <rFont val="ＭＳ Ｐ明朝"/>
        <family val="1"/>
        <charset val="128"/>
      </rPr>
      <t>1</t>
    </r>
    <r>
      <rPr>
        <b/>
        <sz val="9"/>
        <rFont val="ＭＳ Ｐ明朝"/>
        <family val="1"/>
        <charset val="128"/>
      </rPr>
      <t>)＋(Ｅ／Ｚ</t>
    </r>
    <r>
      <rPr>
        <b/>
        <vertAlign val="subscript"/>
        <sz val="11"/>
        <rFont val="ＭＳ Ｐ明朝"/>
        <family val="1"/>
        <charset val="128"/>
      </rPr>
      <t>2</t>
    </r>
    <r>
      <rPr>
        <b/>
        <sz val="9"/>
        <rFont val="ＭＳ Ｐ明朝"/>
        <family val="1"/>
        <charset val="128"/>
      </rPr>
      <t>)}Ｚ であるから、１／Ｚ＝１／Ｚ</t>
    </r>
    <r>
      <rPr>
        <b/>
        <vertAlign val="subscript"/>
        <sz val="11"/>
        <rFont val="ＭＳ Ｐ明朝"/>
        <family val="1"/>
        <charset val="128"/>
      </rPr>
      <t>1</t>
    </r>
    <r>
      <rPr>
        <b/>
        <sz val="9"/>
        <rFont val="ＭＳ Ｐ明朝"/>
        <family val="1"/>
        <charset val="128"/>
      </rPr>
      <t>＋１／Ｚ</t>
    </r>
    <r>
      <rPr>
        <b/>
        <vertAlign val="subscript"/>
        <sz val="11"/>
        <rFont val="ＭＳ Ｐ明朝"/>
        <family val="1"/>
        <charset val="128"/>
      </rPr>
      <t>2</t>
    </r>
    <phoneticPr fontId="84"/>
  </si>
  <si>
    <r>
      <t>合成インピーダンスを Ｚ とすると、Ｅ＝ＩＺ より Ｉ＝Ｉ</t>
    </r>
    <r>
      <rPr>
        <b/>
        <vertAlign val="subscript"/>
        <sz val="11"/>
        <rFont val="ＭＳ Ｐ明朝"/>
        <family val="1"/>
        <charset val="128"/>
      </rPr>
      <t>1</t>
    </r>
    <r>
      <rPr>
        <b/>
        <sz val="9"/>
        <rFont val="ＭＳ Ｐ明朝"/>
        <family val="1"/>
        <charset val="128"/>
      </rPr>
      <t>＋Ｉ</t>
    </r>
    <r>
      <rPr>
        <b/>
        <vertAlign val="subscript"/>
        <sz val="11"/>
        <rFont val="ＭＳ Ｐ明朝"/>
        <family val="1"/>
        <charset val="128"/>
      </rPr>
      <t xml:space="preserve">2 </t>
    </r>
    <r>
      <rPr>
        <b/>
        <vertAlign val="subscript"/>
        <sz val="9"/>
        <rFont val="ＭＳ Ｐ明朝"/>
        <family val="1"/>
        <charset val="128"/>
      </rPr>
      <t xml:space="preserve">、 </t>
    </r>
    <r>
      <rPr>
        <b/>
        <sz val="9"/>
        <rFont val="ＭＳ Ｐ明朝"/>
        <family val="1"/>
        <charset val="128"/>
      </rPr>
      <t>ＩＺ＝(Ｉ</t>
    </r>
    <r>
      <rPr>
        <b/>
        <vertAlign val="subscript"/>
        <sz val="11"/>
        <rFont val="ＭＳ Ｐ明朝"/>
        <family val="1"/>
        <charset val="128"/>
      </rPr>
      <t>1</t>
    </r>
    <r>
      <rPr>
        <b/>
        <sz val="9"/>
        <rFont val="ＭＳ Ｐ明朝"/>
        <family val="1"/>
        <charset val="128"/>
      </rPr>
      <t>＋Ｉ</t>
    </r>
    <r>
      <rPr>
        <b/>
        <vertAlign val="subscript"/>
        <sz val="11"/>
        <rFont val="ＭＳ Ｐ明朝"/>
        <family val="1"/>
        <charset val="128"/>
      </rPr>
      <t>2</t>
    </r>
    <r>
      <rPr>
        <b/>
        <sz val="9"/>
        <rFont val="ＭＳ Ｐ明朝"/>
        <family val="1"/>
        <charset val="128"/>
      </rPr>
      <t>)Ｚ ，Ｉ</t>
    </r>
    <r>
      <rPr>
        <b/>
        <vertAlign val="subscript"/>
        <sz val="11"/>
        <rFont val="ＭＳ Ｐ明朝"/>
        <family val="1"/>
        <charset val="128"/>
      </rPr>
      <t>1</t>
    </r>
    <r>
      <rPr>
        <b/>
        <sz val="9"/>
        <rFont val="ＭＳ Ｐ明朝"/>
        <family val="1"/>
        <charset val="128"/>
      </rPr>
      <t>＝Ｅ／Ｚ</t>
    </r>
    <r>
      <rPr>
        <b/>
        <vertAlign val="subscript"/>
        <sz val="11"/>
        <rFont val="ＭＳ Ｐ明朝"/>
        <family val="1"/>
        <charset val="128"/>
      </rPr>
      <t>1</t>
    </r>
    <r>
      <rPr>
        <b/>
        <sz val="9"/>
        <rFont val="ＭＳ Ｐ明朝"/>
        <family val="1"/>
        <charset val="128"/>
      </rPr>
      <t xml:space="preserve"> ，Ｉ</t>
    </r>
    <r>
      <rPr>
        <b/>
        <vertAlign val="subscript"/>
        <sz val="11"/>
        <rFont val="ＭＳ Ｐ明朝"/>
        <family val="1"/>
        <charset val="128"/>
      </rPr>
      <t>2</t>
    </r>
    <r>
      <rPr>
        <b/>
        <sz val="9"/>
        <rFont val="ＭＳ Ｐ明朝"/>
        <family val="1"/>
        <charset val="128"/>
      </rPr>
      <t>＝Ｅ／Ｚ</t>
    </r>
    <r>
      <rPr>
        <b/>
        <vertAlign val="subscript"/>
        <sz val="11"/>
        <rFont val="ＭＳ Ｐ明朝"/>
        <family val="1"/>
        <charset val="128"/>
      </rPr>
      <t>2</t>
    </r>
    <r>
      <rPr>
        <b/>
        <sz val="9"/>
        <rFont val="ＭＳ Ｐ明朝"/>
        <family val="1"/>
        <charset val="128"/>
      </rPr>
      <t xml:space="preserve"> より</t>
    </r>
    <phoneticPr fontId="84"/>
  </si>
  <si>
    <r>
      <t xml:space="preserve">並列回路 （Parallel circuit) ……… </t>
    </r>
    <r>
      <rPr>
        <b/>
        <sz val="10"/>
        <color indexed="12"/>
        <rFont val="ＭＳ Ｐ明朝"/>
        <family val="1"/>
        <charset val="128"/>
      </rPr>
      <t>ｎ</t>
    </r>
    <r>
      <rPr>
        <b/>
        <sz val="9"/>
        <color indexed="12"/>
        <rFont val="ＭＳ Ｐ明朝"/>
        <family val="1"/>
        <charset val="128"/>
      </rPr>
      <t>＝-１</t>
    </r>
    <phoneticPr fontId="84"/>
  </si>
  <si>
    <r>
      <t>ＩＺ＝Ｅ</t>
    </r>
    <r>
      <rPr>
        <b/>
        <vertAlign val="subscript"/>
        <sz val="11"/>
        <rFont val="ＭＳ Ｐ明朝"/>
        <family val="1"/>
        <charset val="128"/>
      </rPr>
      <t>1</t>
    </r>
    <r>
      <rPr>
        <b/>
        <sz val="9"/>
        <rFont val="ＭＳ Ｐ明朝"/>
        <family val="1"/>
        <charset val="128"/>
      </rPr>
      <t>＋Ｅ</t>
    </r>
    <r>
      <rPr>
        <b/>
        <vertAlign val="subscript"/>
        <sz val="11"/>
        <rFont val="ＭＳ Ｐ明朝"/>
        <family val="1"/>
        <charset val="128"/>
      </rPr>
      <t>2</t>
    </r>
    <r>
      <rPr>
        <b/>
        <sz val="9"/>
        <rFont val="ＭＳ Ｐ明朝"/>
        <family val="1"/>
        <charset val="128"/>
      </rPr>
      <t>＝ＩＺ</t>
    </r>
    <r>
      <rPr>
        <b/>
        <vertAlign val="subscript"/>
        <sz val="11"/>
        <rFont val="ＭＳ Ｐ明朝"/>
        <family val="1"/>
        <charset val="128"/>
      </rPr>
      <t>1</t>
    </r>
    <r>
      <rPr>
        <b/>
        <sz val="9"/>
        <rFont val="ＭＳ Ｐ明朝"/>
        <family val="1"/>
        <charset val="128"/>
      </rPr>
      <t>＋ＩＺ</t>
    </r>
    <r>
      <rPr>
        <b/>
        <vertAlign val="subscript"/>
        <sz val="11"/>
        <rFont val="ＭＳ Ｐ明朝"/>
        <family val="1"/>
        <charset val="128"/>
      </rPr>
      <t>2</t>
    </r>
    <r>
      <rPr>
        <b/>
        <sz val="9"/>
        <rFont val="ＭＳ Ｐ明朝"/>
        <family val="1"/>
        <charset val="128"/>
      </rPr>
      <t xml:space="preserve"> であるから、Ｚ＝Ｚ</t>
    </r>
    <r>
      <rPr>
        <b/>
        <vertAlign val="subscript"/>
        <sz val="11"/>
        <rFont val="ＭＳ Ｐ明朝"/>
        <family val="1"/>
        <charset val="128"/>
      </rPr>
      <t>1</t>
    </r>
    <r>
      <rPr>
        <b/>
        <sz val="9"/>
        <rFont val="ＭＳ Ｐ明朝"/>
        <family val="1"/>
        <charset val="128"/>
      </rPr>
      <t>＋Ｚ</t>
    </r>
    <r>
      <rPr>
        <b/>
        <vertAlign val="subscript"/>
        <sz val="11"/>
        <rFont val="ＭＳ Ｐ明朝"/>
        <family val="1"/>
        <charset val="128"/>
      </rPr>
      <t>2</t>
    </r>
    <phoneticPr fontId="84"/>
  </si>
  <si>
    <t>並列回路</t>
    <phoneticPr fontId="1"/>
  </si>
  <si>
    <t>直列回路</t>
    <phoneticPr fontId="1"/>
  </si>
  <si>
    <r>
      <t>合成インピーダンスを Ｚ とすると、Ｅ＝ＩＺ より Ｅ＝Ｅ</t>
    </r>
    <r>
      <rPr>
        <b/>
        <vertAlign val="subscript"/>
        <sz val="11"/>
        <rFont val="ＭＳ Ｐ明朝"/>
        <family val="1"/>
        <charset val="128"/>
      </rPr>
      <t>1</t>
    </r>
    <r>
      <rPr>
        <b/>
        <sz val="9"/>
        <rFont val="ＭＳ Ｐ明朝"/>
        <family val="1"/>
        <charset val="128"/>
      </rPr>
      <t>＋Ｅ</t>
    </r>
    <r>
      <rPr>
        <b/>
        <vertAlign val="subscript"/>
        <sz val="11"/>
        <rFont val="ＭＳ Ｐ明朝"/>
        <family val="1"/>
        <charset val="128"/>
      </rPr>
      <t>2</t>
    </r>
    <phoneticPr fontId="84"/>
  </si>
  <si>
    <r>
      <t xml:space="preserve">直列回路 （Series　circuit) </t>
    </r>
    <r>
      <rPr>
        <b/>
        <sz val="6"/>
        <color indexed="12"/>
        <rFont val="ＭＳ Ｐ明朝"/>
        <family val="1"/>
        <charset val="128"/>
      </rPr>
      <t xml:space="preserve"> </t>
    </r>
    <r>
      <rPr>
        <b/>
        <sz val="9"/>
        <color indexed="12"/>
        <rFont val="ＭＳ Ｐ明朝"/>
        <family val="1"/>
        <charset val="128"/>
      </rPr>
      <t xml:space="preserve">……… </t>
    </r>
    <r>
      <rPr>
        <b/>
        <sz val="10"/>
        <color indexed="12"/>
        <rFont val="ＭＳ Ｐ明朝"/>
        <family val="1"/>
        <charset val="128"/>
      </rPr>
      <t>ｎ</t>
    </r>
    <r>
      <rPr>
        <b/>
        <sz val="9"/>
        <color indexed="12"/>
        <rFont val="ＭＳ Ｐ明朝"/>
        <family val="1"/>
        <charset val="128"/>
      </rPr>
      <t>＝１</t>
    </r>
    <phoneticPr fontId="84"/>
  </si>
  <si>
    <r>
      <t>（Ｚ）</t>
    </r>
    <r>
      <rPr>
        <b/>
        <vertAlign val="superscript"/>
        <sz val="11"/>
        <color rgb="FF0033CC"/>
        <rFont val="ＭＳ Ｐ明朝"/>
        <family val="1"/>
        <charset val="128"/>
      </rPr>
      <t>ｎ</t>
    </r>
    <r>
      <rPr>
        <b/>
        <sz val="9"/>
        <rFont val="ＭＳ Ｐ明朝"/>
        <family val="1"/>
        <charset val="128"/>
      </rPr>
      <t>＝（Ｚ</t>
    </r>
    <r>
      <rPr>
        <b/>
        <vertAlign val="subscript"/>
        <sz val="11"/>
        <rFont val="ＭＳ Ｐ明朝"/>
        <family val="1"/>
        <charset val="128"/>
      </rPr>
      <t>1</t>
    </r>
    <r>
      <rPr>
        <b/>
        <sz val="9"/>
        <rFont val="ＭＳ Ｐ明朝"/>
        <family val="1"/>
        <charset val="128"/>
      </rPr>
      <t>）</t>
    </r>
    <r>
      <rPr>
        <b/>
        <vertAlign val="superscript"/>
        <sz val="11"/>
        <color rgb="FF0033CC"/>
        <rFont val="ＭＳ Ｐ明朝"/>
        <family val="1"/>
        <charset val="128"/>
      </rPr>
      <t>ｎ</t>
    </r>
    <r>
      <rPr>
        <b/>
        <sz val="9"/>
        <rFont val="ＭＳ Ｐ明朝"/>
        <family val="1"/>
        <charset val="128"/>
      </rPr>
      <t>＋（Ｚ</t>
    </r>
    <r>
      <rPr>
        <b/>
        <vertAlign val="subscript"/>
        <sz val="11"/>
        <rFont val="ＭＳ Ｐ明朝"/>
        <family val="1"/>
        <charset val="128"/>
      </rPr>
      <t>2</t>
    </r>
    <r>
      <rPr>
        <b/>
        <sz val="9"/>
        <rFont val="ＭＳ Ｐ明朝"/>
        <family val="1"/>
        <charset val="128"/>
      </rPr>
      <t>）</t>
    </r>
    <r>
      <rPr>
        <b/>
        <vertAlign val="superscript"/>
        <sz val="11"/>
        <color rgb="FF0033CC"/>
        <rFont val="ＭＳ Ｐ明朝"/>
        <family val="1"/>
        <charset val="128"/>
      </rPr>
      <t>ｎ</t>
    </r>
    <rPh sb="1" eb="2">
      <t>・</t>
    </rPh>
    <phoneticPr fontId="84"/>
  </si>
  <si>
    <r>
      <t>インピーダンス合成計算　　　　　　</t>
    </r>
    <r>
      <rPr>
        <b/>
        <sz val="1"/>
        <color indexed="9"/>
        <rFont val="HGP明朝E"/>
        <family val="1"/>
        <charset val="128"/>
      </rPr>
      <t>.</t>
    </r>
    <r>
      <rPr>
        <b/>
        <sz val="6"/>
        <color indexed="18"/>
        <rFont val="HGP明朝E"/>
        <family val="1"/>
        <charset val="128"/>
      </rPr>
      <t/>
    </r>
    <rPh sb="7" eb="8">
      <t>ゴウ</t>
    </rPh>
    <rPh sb="8" eb="9">
      <t>シゲル</t>
    </rPh>
    <rPh sb="9" eb="11">
      <t>ケイサン</t>
    </rPh>
    <phoneticPr fontId="84"/>
  </si>
  <si>
    <t>d1-421</t>
    <phoneticPr fontId="84"/>
  </si>
  <si>
    <t>埋込ＤＬ</t>
    <rPh sb="0" eb="2">
      <t>ウメコミ</t>
    </rPh>
    <phoneticPr fontId="84"/>
  </si>
  <si>
    <t>ルーバー</t>
    <phoneticPr fontId="84"/>
  </si>
  <si>
    <t>d1-241</t>
    <phoneticPr fontId="84"/>
  </si>
  <si>
    <t>直付ＩＨＤ</t>
    <rPh sb="0" eb="1">
      <t>ジカ</t>
    </rPh>
    <rPh sb="1" eb="2">
      <t>ツ</t>
    </rPh>
    <phoneticPr fontId="84"/>
  </si>
  <si>
    <t>D-322H</t>
    <phoneticPr fontId="84"/>
  </si>
  <si>
    <t>ルーバー</t>
  </si>
  <si>
    <t>A-322H</t>
    <phoneticPr fontId="84"/>
  </si>
  <si>
    <t>埋込ＦＬ</t>
    <rPh sb="0" eb="2">
      <t>ウメコミ</t>
    </rPh>
    <phoneticPr fontId="84"/>
  </si>
  <si>
    <t>埋込Ｈｆ</t>
    <rPh sb="0" eb="2">
      <t>ウメコミ</t>
    </rPh>
    <phoneticPr fontId="84"/>
  </si>
  <si>
    <t>A-322</t>
    <phoneticPr fontId="84"/>
  </si>
  <si>
    <t>直付ＦＬ</t>
    <rPh sb="0" eb="1">
      <t>ジカ</t>
    </rPh>
    <rPh sb="1" eb="2">
      <t>ツ</t>
    </rPh>
    <phoneticPr fontId="84"/>
  </si>
  <si>
    <t>直付Ｈｆ</t>
    <rPh sb="0" eb="1">
      <t>ジカ</t>
    </rPh>
    <rPh sb="1" eb="2">
      <t>ツ</t>
    </rPh>
    <phoneticPr fontId="84"/>
  </si>
  <si>
    <t xml:space="preserve"> </t>
    <phoneticPr fontId="84"/>
  </si>
  <si>
    <t>器具種類</t>
    <rPh sb="0" eb="2">
      <t>キグ</t>
    </rPh>
    <rPh sb="2" eb="4">
      <t>シュルイ</t>
    </rPh>
    <phoneticPr fontId="84"/>
  </si>
  <si>
    <t>設計照度</t>
    <rPh sb="0" eb="2">
      <t>セッケイ</t>
    </rPh>
    <rPh sb="2" eb="4">
      <t>ショウド</t>
    </rPh>
    <phoneticPr fontId="84"/>
  </si>
  <si>
    <t>U</t>
    <phoneticPr fontId="84"/>
  </si>
  <si>
    <t>K</t>
    <phoneticPr fontId="84"/>
  </si>
  <si>
    <t>床</t>
    <rPh sb="0" eb="1">
      <t>ユカ</t>
    </rPh>
    <phoneticPr fontId="84"/>
  </si>
  <si>
    <t>壁</t>
    <rPh sb="0" eb="1">
      <t>カベ</t>
    </rPh>
    <phoneticPr fontId="84"/>
  </si>
  <si>
    <t>天井</t>
    <rPh sb="0" eb="1">
      <t>テン</t>
    </rPh>
    <rPh sb="1" eb="2">
      <t>セイ</t>
    </rPh>
    <phoneticPr fontId="84"/>
  </si>
  <si>
    <r>
      <t>［ｍ</t>
    </r>
    <r>
      <rPr>
        <vertAlign val="superscript"/>
        <sz val="8"/>
        <color indexed="18"/>
        <rFont val="Meiryo UI"/>
        <family val="3"/>
        <charset val="128"/>
      </rPr>
      <t>2</t>
    </r>
    <r>
      <rPr>
        <sz val="8"/>
        <color indexed="18"/>
        <rFont val="Meiryo UI"/>
        <family val="3"/>
        <charset val="128"/>
      </rPr>
      <t>］</t>
    </r>
    <phoneticPr fontId="84"/>
  </si>
  <si>
    <t>天高</t>
    <rPh sb="0" eb="1">
      <t>テン</t>
    </rPh>
    <rPh sb="1" eb="2">
      <t>タカ</t>
    </rPh>
    <phoneticPr fontId="84"/>
  </si>
  <si>
    <t>奥 行</t>
    <rPh sb="0" eb="1">
      <t>オク</t>
    </rPh>
    <rPh sb="2" eb="3">
      <t>ギョウ</t>
    </rPh>
    <phoneticPr fontId="84"/>
  </si>
  <si>
    <t>間 口</t>
    <rPh sb="0" eb="1">
      <t>カン</t>
    </rPh>
    <rPh sb="2" eb="3">
      <t>コウ</t>
    </rPh>
    <phoneticPr fontId="84"/>
  </si>
  <si>
    <r>
      <t xml:space="preserve">初期照度
</t>
    </r>
    <r>
      <rPr>
        <b/>
        <sz val="8"/>
        <color indexed="18"/>
        <rFont val="Meiryo UI"/>
        <family val="3"/>
        <charset val="128"/>
      </rPr>
      <t>Ｅ</t>
    </r>
    <r>
      <rPr>
        <sz val="6"/>
        <color indexed="18"/>
        <rFont val="Meiryo UI"/>
        <family val="3"/>
        <charset val="128"/>
      </rPr>
      <t xml:space="preserve"> </t>
    </r>
    <r>
      <rPr>
        <sz val="8"/>
        <color indexed="18"/>
        <rFont val="Meiryo UI"/>
        <family val="3"/>
        <charset val="128"/>
      </rPr>
      <t>[lx]</t>
    </r>
    <rPh sb="0" eb="2">
      <t>ショキ</t>
    </rPh>
    <rPh sb="2" eb="4">
      <t>ショウド</t>
    </rPh>
    <phoneticPr fontId="84"/>
  </si>
  <si>
    <r>
      <t xml:space="preserve">平均照度
</t>
    </r>
    <r>
      <rPr>
        <b/>
        <sz val="8"/>
        <color indexed="18"/>
        <rFont val="Meiryo UI"/>
        <family val="3"/>
        <charset val="128"/>
      </rPr>
      <t xml:space="preserve">Ｅ </t>
    </r>
    <r>
      <rPr>
        <sz val="8"/>
        <color indexed="18"/>
        <rFont val="Meiryo UI"/>
        <family val="3"/>
        <charset val="128"/>
      </rPr>
      <t>[lx]</t>
    </r>
    <rPh sb="0" eb="2">
      <t>ヘイキン</t>
    </rPh>
    <rPh sb="2" eb="4">
      <t>ショウド</t>
    </rPh>
    <phoneticPr fontId="84"/>
  </si>
  <si>
    <r>
      <t>Ｎ</t>
    </r>
    <r>
      <rPr>
        <b/>
        <sz val="6"/>
        <color indexed="18"/>
        <rFont val="Meiryo UI"/>
        <family val="3"/>
        <charset val="128"/>
      </rPr>
      <t>0</t>
    </r>
    <phoneticPr fontId="84"/>
  </si>
  <si>
    <t>Ｎ</t>
    <phoneticPr fontId="84"/>
  </si>
  <si>
    <r>
      <t xml:space="preserve">光 束
</t>
    </r>
    <r>
      <rPr>
        <b/>
        <sz val="8"/>
        <color indexed="18"/>
        <rFont val="Meiryo UI"/>
        <family val="3"/>
        <charset val="128"/>
      </rPr>
      <t>Ｆ</t>
    </r>
    <r>
      <rPr>
        <sz val="8"/>
        <color indexed="18"/>
        <rFont val="Meiryo UI"/>
        <family val="3"/>
        <charset val="128"/>
      </rPr>
      <t>[lm/本]</t>
    </r>
    <rPh sb="0" eb="1">
      <t>ヒカリ</t>
    </rPh>
    <rPh sb="2" eb="3">
      <t>タバ</t>
    </rPh>
    <rPh sb="9" eb="10">
      <t>ホン</t>
    </rPh>
    <phoneticPr fontId="84"/>
  </si>
  <si>
    <r>
      <t>Lamp</t>
    </r>
    <r>
      <rPr>
        <sz val="9"/>
        <color indexed="18"/>
        <rFont val="Meiryo UI"/>
        <family val="3"/>
        <charset val="128"/>
      </rPr>
      <t xml:space="preserve">
</t>
    </r>
    <r>
      <rPr>
        <b/>
        <sz val="8"/>
        <color indexed="18"/>
        <rFont val="Meiryo UI"/>
        <family val="3"/>
        <charset val="128"/>
      </rPr>
      <t>ｎ</t>
    </r>
    <phoneticPr fontId="84"/>
  </si>
  <si>
    <t>Ｍ</t>
    <phoneticPr fontId="84"/>
  </si>
  <si>
    <r>
      <t xml:space="preserve">Ｕｔ
</t>
    </r>
    <r>
      <rPr>
        <sz val="8"/>
        <color indexed="18"/>
        <rFont val="Meiryo UI"/>
        <family val="3"/>
        <charset val="128"/>
      </rPr>
      <t>[％]</t>
    </r>
    <phoneticPr fontId="84"/>
  </si>
  <si>
    <t>図面記号</t>
    <rPh sb="0" eb="2">
      <t>ズメン</t>
    </rPh>
    <rPh sb="2" eb="4">
      <t>キゴウ</t>
    </rPh>
    <phoneticPr fontId="84"/>
  </si>
  <si>
    <t>種 類</t>
    <phoneticPr fontId="84"/>
  </si>
  <si>
    <r>
      <t>反射率</t>
    </r>
    <r>
      <rPr>
        <b/>
        <sz val="8"/>
        <color indexed="18"/>
        <rFont val="Meiryo UI"/>
        <family val="3"/>
        <charset val="128"/>
      </rPr>
      <t>ρ</t>
    </r>
    <r>
      <rPr>
        <sz val="3"/>
        <color indexed="18"/>
        <rFont val="Meiryo UI"/>
        <family val="3"/>
        <charset val="128"/>
      </rPr>
      <t xml:space="preserve"> </t>
    </r>
    <r>
      <rPr>
        <sz val="8"/>
        <color indexed="18"/>
        <rFont val="Meiryo UI"/>
        <family val="3"/>
        <charset val="128"/>
      </rPr>
      <t>[％]</t>
    </r>
    <rPh sb="0" eb="1">
      <t>ハン</t>
    </rPh>
    <rPh sb="1" eb="2">
      <t>イ</t>
    </rPh>
    <rPh sb="2" eb="3">
      <t>リツ</t>
    </rPh>
    <phoneticPr fontId="84"/>
  </si>
  <si>
    <t>Ｋ</t>
    <phoneticPr fontId="84"/>
  </si>
  <si>
    <t>室面積</t>
    <rPh sb="0" eb="1">
      <t>シツ</t>
    </rPh>
    <rPh sb="1" eb="3">
      <t>メンセキ</t>
    </rPh>
    <phoneticPr fontId="84"/>
  </si>
  <si>
    <t>室の大きさ[ｍ]</t>
    <rPh sb="0" eb="1">
      <t>シツ</t>
    </rPh>
    <rPh sb="2" eb="3">
      <t>ダイ</t>
    </rPh>
    <phoneticPr fontId="84"/>
  </si>
  <si>
    <t>照　　　　　　　明　　　　　　　器　　　　　　　具</t>
    <rPh sb="0" eb="1">
      <t>テラシ</t>
    </rPh>
    <rPh sb="8" eb="9">
      <t>メイ</t>
    </rPh>
    <rPh sb="16" eb="17">
      <t>ウツワ</t>
    </rPh>
    <rPh sb="24" eb="25">
      <t>グ</t>
    </rPh>
    <phoneticPr fontId="84"/>
  </si>
  <si>
    <r>
      <t xml:space="preserve">設 計
照 度
</t>
    </r>
    <r>
      <rPr>
        <b/>
        <sz val="9"/>
        <color indexed="18"/>
        <rFont val="Meiryo UI"/>
        <family val="3"/>
        <charset val="128"/>
      </rPr>
      <t>Ｅ</t>
    </r>
    <r>
      <rPr>
        <sz val="8"/>
        <color indexed="18"/>
        <rFont val="Meiryo UI"/>
        <family val="3"/>
        <charset val="128"/>
      </rPr>
      <t>[lX]</t>
    </r>
    <rPh sb="0" eb="1">
      <t>セツ</t>
    </rPh>
    <rPh sb="2" eb="3">
      <t>ケイ</t>
    </rPh>
    <rPh sb="4" eb="5">
      <t>テル</t>
    </rPh>
    <rPh sb="6" eb="7">
      <t>ド</t>
    </rPh>
    <phoneticPr fontId="84"/>
  </si>
  <si>
    <t>室　　　　　　条　　　　　　件</t>
    <rPh sb="0" eb="1">
      <t>シツ</t>
    </rPh>
    <rPh sb="7" eb="8">
      <t>ジョウ</t>
    </rPh>
    <rPh sb="14" eb="15">
      <t>ケン</t>
    </rPh>
    <phoneticPr fontId="84"/>
  </si>
  <si>
    <t>室
No.</t>
    <rPh sb="0" eb="1">
      <t>シツ</t>
    </rPh>
    <phoneticPr fontId="84"/>
  </si>
  <si>
    <t>Hf,FL,FLR</t>
    <phoneticPr fontId="1"/>
  </si>
  <si>
    <t>FCL,LED</t>
    <phoneticPr fontId="1"/>
  </si>
  <si>
    <t>FPL etc.</t>
    <phoneticPr fontId="1"/>
  </si>
  <si>
    <t>：出力セル</t>
    <rPh sb="1" eb="3">
      <t>シュツリョク</t>
    </rPh>
    <phoneticPr fontId="84"/>
  </si>
  <si>
    <t>：入力セル</t>
    <rPh sb="1" eb="3">
      <t>ニュウリョク</t>
    </rPh>
    <phoneticPr fontId="84"/>
  </si>
  <si>
    <r>
      <t xml:space="preserve">簡易照度計算 </t>
    </r>
    <r>
      <rPr>
        <b/>
        <sz val="12"/>
        <color indexed="18"/>
        <rFont val="HGP明朝E"/>
        <family val="1"/>
        <charset val="128"/>
      </rPr>
      <t>（平均照度法）</t>
    </r>
    <r>
      <rPr>
        <b/>
        <sz val="6"/>
        <color indexed="18"/>
        <rFont val="HGP明朝E"/>
        <family val="1"/>
        <charset val="128"/>
      </rPr>
      <t xml:space="preserve"> 　　　</t>
    </r>
    <r>
      <rPr>
        <b/>
        <sz val="14"/>
        <color indexed="18"/>
        <rFont val="HGP明朝E"/>
        <family val="1"/>
        <charset val="128"/>
      </rPr>
      <t xml:space="preserve"> </t>
    </r>
    <r>
      <rPr>
        <b/>
        <sz val="1"/>
        <color indexed="9"/>
        <rFont val="HGP明朝E"/>
        <family val="1"/>
        <charset val="128"/>
      </rPr>
      <t>.</t>
    </r>
    <rPh sb="0" eb="2">
      <t>カンイ</t>
    </rPh>
    <rPh sb="2" eb="4">
      <t>ショウド</t>
    </rPh>
    <rPh sb="4" eb="6">
      <t>ケイサン</t>
    </rPh>
    <rPh sb="8" eb="10">
      <t>ヘイキン</t>
    </rPh>
    <rPh sb="10" eb="12">
      <t>ショウド</t>
    </rPh>
    <rPh sb="12" eb="13">
      <t>ホウ</t>
    </rPh>
    <phoneticPr fontId="84"/>
  </si>
  <si>
    <t>Calc 01　</t>
    <phoneticPr fontId="84"/>
  </si>
  <si>
    <r>
      <t xml:space="preserve">Calc </t>
    </r>
    <r>
      <rPr>
        <b/>
        <sz val="12"/>
        <color theme="0"/>
        <rFont val="HGPｺﾞｼｯｸE"/>
        <family val="3"/>
        <charset val="128"/>
      </rPr>
      <t>02</t>
    </r>
    <phoneticPr fontId="84"/>
  </si>
  <si>
    <r>
      <t xml:space="preserve">Calc </t>
    </r>
    <r>
      <rPr>
        <b/>
        <sz val="12"/>
        <color theme="0"/>
        <rFont val="HGPｺﾞｼｯｸE"/>
        <family val="3"/>
        <charset val="128"/>
      </rPr>
      <t>03</t>
    </r>
    <phoneticPr fontId="84"/>
  </si>
  <si>
    <r>
      <t xml:space="preserve">Calc </t>
    </r>
    <r>
      <rPr>
        <b/>
        <sz val="12"/>
        <color theme="0"/>
        <rFont val="HGPｺﾞｼｯｸE"/>
        <family val="3"/>
        <charset val="128"/>
      </rPr>
      <t>04</t>
    </r>
    <phoneticPr fontId="84"/>
  </si>
  <si>
    <r>
      <t xml:space="preserve">Calc </t>
    </r>
    <r>
      <rPr>
        <b/>
        <sz val="12"/>
        <color theme="0"/>
        <rFont val="HGPｺﾞｼｯｸE"/>
        <family val="3"/>
        <charset val="128"/>
      </rPr>
      <t>05</t>
    </r>
    <phoneticPr fontId="84"/>
  </si>
</sst>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176" formatCode="0_ "/>
    <numFmt numFmtId="177" formatCode="0_);[Red]\(0\)"/>
    <numFmt numFmtId="178" formatCode="#,##0.0_ "/>
    <numFmt numFmtId="179" formatCode="0.00_ "/>
    <numFmt numFmtId="180" formatCode="#,##0.00_ "/>
    <numFmt numFmtId="181" formatCode="0.0_ "/>
    <numFmt numFmtId="182" formatCode="#,##0_ "/>
    <numFmt numFmtId="183" formatCode="#,##0_);[Red]\(#,##0\)"/>
    <numFmt numFmtId="184" formatCode="0.000_ "/>
    <numFmt numFmtId="185" formatCode="0.00_);[Red]\(0.00\)"/>
    <numFmt numFmtId="186" formatCode="0.0_);[Red]\(0.0\)"/>
    <numFmt numFmtId="187" formatCode="#,##0.000_ "/>
    <numFmt numFmtId="188" formatCode="0.000_);[Red]\(0.000\)"/>
    <numFmt numFmtId="189" formatCode="0;[Red]0"/>
    <numFmt numFmtId="190" formatCode="0.0;[Red]0.0"/>
    <numFmt numFmtId="191" formatCode="0.0_ ;[Red]\-0.0\ "/>
    <numFmt numFmtId="192" formatCode="0.00000_ "/>
    <numFmt numFmtId="193" formatCode="0.0000_ "/>
    <numFmt numFmtId="194" formatCode="0.00000_);[Red]\(0.00000\)"/>
    <numFmt numFmtId="195" formatCode="0&quot; KVA&quot;"/>
    <numFmt numFmtId="196" formatCode="0.000000000_ "/>
    <numFmt numFmtId="197" formatCode="#,##0.0_ ;[Red]\-#,##0.0\ "/>
    <numFmt numFmtId="198" formatCode="0_ ;[Red]\-0\ "/>
    <numFmt numFmtId="199" formatCode="0_);\(0\)"/>
    <numFmt numFmtId="200" formatCode="#&quot;枚&quot;"/>
    <numFmt numFmtId="201" formatCode="#&quot; [mm]&quot;"/>
    <numFmt numFmtId="202" formatCode="#&quot;mm&quot;"/>
    <numFmt numFmtId="203" formatCode="#\ &quot;[℃] &quot;"/>
    <numFmt numFmtId="204" formatCode="0.000000000000_ "/>
    <numFmt numFmtId="205" formatCode="0.000000000000000_ "/>
    <numFmt numFmtId="206" formatCode="0.0000;[Red]0.0000"/>
    <numFmt numFmtId="207" formatCode="#\ &quot;[m] &quot;"/>
    <numFmt numFmtId="208" formatCode="0\ &quot;sq &quot;"/>
    <numFmt numFmtId="209" formatCode="0&quot; KVar&quot;"/>
    <numFmt numFmtId="210" formatCode="0\ &quot;[V] &quot;"/>
  </numFmts>
  <fonts count="621">
    <font>
      <sz val="10"/>
      <color theme="1"/>
      <name val="ＭＳ Ｐゴシック"/>
      <family val="2"/>
      <charset val="128"/>
      <scheme val="minor"/>
    </font>
    <font>
      <sz val="6"/>
      <name val="ＭＳ Ｐゴシック"/>
      <family val="2"/>
      <charset val="128"/>
      <scheme val="minor"/>
    </font>
    <font>
      <sz val="10"/>
      <color theme="1"/>
      <name val="Meiryo UI"/>
      <family val="3"/>
      <charset val="128"/>
    </font>
    <font>
      <sz val="9"/>
      <name val="ＭＳ Ｐ明朝"/>
      <family val="1"/>
      <charset val="128"/>
    </font>
    <font>
      <sz val="10"/>
      <color theme="0"/>
      <name val="Meiryo UI"/>
      <family val="3"/>
      <charset val="128"/>
    </font>
    <font>
      <sz val="11"/>
      <color theme="0"/>
      <name val="Times New Roman"/>
      <family val="1"/>
    </font>
    <font>
      <sz val="6"/>
      <name val="ＭＳ 明朝"/>
      <family val="1"/>
      <charset val="128"/>
    </font>
    <font>
      <sz val="10"/>
      <name val="Meiryo UI"/>
      <family val="3"/>
      <charset val="128"/>
    </font>
    <font>
      <sz val="6"/>
      <color theme="1"/>
      <name val="Meiryo UI"/>
      <family val="3"/>
      <charset val="128"/>
    </font>
    <font>
      <sz val="9"/>
      <color theme="1"/>
      <name val="Meiryo UI"/>
      <family val="3"/>
      <charset val="128"/>
    </font>
    <font>
      <sz val="9"/>
      <name val="Meiryo UI"/>
      <family val="3"/>
      <charset val="128"/>
    </font>
    <font>
      <sz val="9"/>
      <color rgb="FFFF0000"/>
      <name val="Meiryo UI"/>
      <family val="3"/>
      <charset val="128"/>
    </font>
    <font>
      <sz val="6"/>
      <name val="Meiryo UI"/>
      <family val="3"/>
      <charset val="128"/>
    </font>
    <font>
      <sz val="10"/>
      <color rgb="FFC00000"/>
      <name val="Meiryo UI"/>
      <family val="3"/>
      <charset val="128"/>
    </font>
    <font>
      <sz val="8"/>
      <color theme="0"/>
      <name val="Meiryo UI"/>
      <family val="3"/>
      <charset val="128"/>
    </font>
    <font>
      <sz val="7"/>
      <color theme="1"/>
      <name val="Meiryo UI"/>
      <family val="3"/>
      <charset val="128"/>
    </font>
    <font>
      <sz val="8"/>
      <name val="Meiryo UI"/>
      <family val="3"/>
      <charset val="128"/>
    </font>
    <font>
      <sz val="7"/>
      <color rgb="FF0033CC"/>
      <name val="Meiryo UI"/>
      <family val="3"/>
      <charset val="128"/>
    </font>
    <font>
      <sz val="8.5"/>
      <name val="Meiryo UI"/>
      <family val="3"/>
      <charset val="128"/>
    </font>
    <font>
      <u/>
      <sz val="11"/>
      <color theme="10"/>
      <name val="ＭＳ Ｐゴシック"/>
      <family val="2"/>
      <charset val="128"/>
      <scheme val="minor"/>
    </font>
    <font>
      <sz val="9"/>
      <color theme="0"/>
      <name val="Meiryo UI"/>
      <family val="3"/>
      <charset val="128"/>
    </font>
    <font>
      <sz val="9"/>
      <color rgb="FF000099"/>
      <name val="Meiryo UI"/>
      <family val="3"/>
      <charset val="128"/>
    </font>
    <font>
      <sz val="8"/>
      <color rgb="FFFF0000"/>
      <name val="Meiryo UI"/>
      <family val="3"/>
      <charset val="128"/>
    </font>
    <font>
      <sz val="9"/>
      <color rgb="FFC00000"/>
      <name val="Meiryo UI"/>
      <family val="3"/>
      <charset val="128"/>
    </font>
    <font>
      <sz val="8"/>
      <color rgb="FFC00000"/>
      <name val="Meiryo UI"/>
      <family val="3"/>
      <charset val="128"/>
    </font>
    <font>
      <sz val="1"/>
      <color rgb="FFE1E1AF"/>
      <name val="Meiryo UI"/>
      <family val="3"/>
      <charset val="128"/>
    </font>
    <font>
      <sz val="8"/>
      <color theme="3" tint="-0.249977111117893"/>
      <name val="Meiryo UI"/>
      <family val="3"/>
      <charset val="128"/>
    </font>
    <font>
      <b/>
      <sz val="8"/>
      <color rgb="FFFF0000"/>
      <name val="Meiryo UI"/>
      <family val="3"/>
      <charset val="128"/>
    </font>
    <font>
      <sz val="8.5"/>
      <color rgb="FF000099"/>
      <name val="Meiryo UI"/>
      <family val="3"/>
      <charset val="128"/>
    </font>
    <font>
      <sz val="8.5"/>
      <color theme="1"/>
      <name val="Meiryo UI"/>
      <family val="3"/>
      <charset val="128"/>
    </font>
    <font>
      <b/>
      <sz val="9"/>
      <name val="Meiryo UI"/>
      <family val="3"/>
      <charset val="128"/>
    </font>
    <font>
      <b/>
      <sz val="9"/>
      <color theme="1"/>
      <name val="Meiryo UI"/>
      <family val="3"/>
      <charset val="128"/>
    </font>
    <font>
      <sz val="7"/>
      <color rgb="FF000099"/>
      <name val="Meiryo UI"/>
      <family val="3"/>
      <charset val="128"/>
    </font>
    <font>
      <sz val="8"/>
      <color theme="1"/>
      <name val="Meiryo UI"/>
      <family val="3"/>
      <charset val="128"/>
    </font>
    <font>
      <sz val="7"/>
      <name val="Meiryo UI"/>
      <family val="3"/>
      <charset val="128"/>
    </font>
    <font>
      <sz val="8"/>
      <color rgb="FF000099"/>
      <name val="Meiryo UI"/>
      <family val="3"/>
      <charset val="128"/>
    </font>
    <font>
      <sz val="7"/>
      <color rgb="FF000099"/>
      <name val="HGPｺﾞｼｯｸE"/>
      <family val="3"/>
      <charset val="128"/>
    </font>
    <font>
      <sz val="8"/>
      <color rgb="FF002060"/>
      <name val="Meiryo UI"/>
      <family val="3"/>
      <charset val="128"/>
    </font>
    <font>
      <sz val="9"/>
      <color rgb="FF0000FF"/>
      <name val="Meiryo UI"/>
      <family val="3"/>
      <charset val="128"/>
    </font>
    <font>
      <b/>
      <sz val="9"/>
      <color indexed="32"/>
      <name val="ＭＳ Ｐゴシック"/>
      <family val="3"/>
      <charset val="128"/>
    </font>
    <font>
      <b/>
      <sz val="12"/>
      <color indexed="60"/>
      <name val="ＭＳ Ｐ明朝"/>
      <family val="1"/>
      <charset val="128"/>
    </font>
    <font>
      <b/>
      <sz val="12"/>
      <color indexed="32"/>
      <name val="ＭＳ Ｐゴシック"/>
      <family val="3"/>
      <charset val="128"/>
    </font>
    <font>
      <sz val="8"/>
      <color indexed="81"/>
      <name val="Meiryo UI"/>
      <family val="3"/>
      <charset val="128"/>
    </font>
    <font>
      <sz val="9"/>
      <color indexed="81"/>
      <name val="Meiryo UI"/>
      <family val="3"/>
      <charset val="128"/>
    </font>
    <font>
      <sz val="8.5"/>
      <color indexed="32"/>
      <name val="Meiryo UI"/>
      <family val="3"/>
      <charset val="128"/>
    </font>
    <font>
      <sz val="14"/>
      <color indexed="32"/>
      <name val="Meiryo UI"/>
      <family val="3"/>
      <charset val="128"/>
    </font>
    <font>
      <sz val="8"/>
      <color indexed="32"/>
      <name val="Meiryo UI"/>
      <family val="3"/>
      <charset val="128"/>
    </font>
    <font>
      <sz val="9"/>
      <color indexed="32"/>
      <name val="Meiryo UI"/>
      <family val="3"/>
      <charset val="128"/>
    </font>
    <font>
      <b/>
      <sz val="8"/>
      <color indexed="81"/>
      <name val="Meiryo UI"/>
      <family val="3"/>
      <charset val="128"/>
    </font>
    <font>
      <b/>
      <sz val="9"/>
      <color indexed="81"/>
      <name val="ＭＳ Ｐゴシック"/>
      <family val="3"/>
      <charset val="128"/>
    </font>
    <font>
      <b/>
      <sz val="12"/>
      <color indexed="81"/>
      <name val="ＭＳ Ｐ明朝"/>
      <family val="1"/>
      <charset val="128"/>
    </font>
    <font>
      <b/>
      <sz val="8"/>
      <color indexed="32"/>
      <name val="ＭＳ ゴシック"/>
      <family val="3"/>
      <charset val="128"/>
    </font>
    <font>
      <b/>
      <sz val="12"/>
      <color indexed="32"/>
      <name val="ＭＳ ゴシック"/>
      <family val="3"/>
      <charset val="128"/>
    </font>
    <font>
      <sz val="8"/>
      <color indexed="32"/>
      <name val="ＭＳ ゴシック"/>
      <family val="3"/>
      <charset val="128"/>
    </font>
    <font>
      <b/>
      <sz val="12"/>
      <color indexed="37"/>
      <name val="ＭＳ Ｐ明朝"/>
      <family val="1"/>
      <charset val="128"/>
    </font>
    <font>
      <sz val="12"/>
      <color indexed="32"/>
      <name val="Meiryo UI"/>
      <family val="3"/>
      <charset val="128"/>
    </font>
    <font>
      <b/>
      <sz val="9"/>
      <color indexed="32"/>
      <name val="Meiryo UI"/>
      <family val="3"/>
      <charset val="128"/>
    </font>
    <font>
      <sz val="12"/>
      <color indexed="81"/>
      <name val="Meiryo UI"/>
      <family val="3"/>
      <charset val="128"/>
    </font>
    <font>
      <sz val="8"/>
      <color indexed="9"/>
      <name val="Meiryo UI"/>
      <family val="3"/>
      <charset val="128"/>
    </font>
    <font>
      <sz val="9"/>
      <color indexed="9"/>
      <name val="Meiryo UI"/>
      <family val="3"/>
      <charset val="128"/>
    </font>
    <font>
      <b/>
      <sz val="8"/>
      <color indexed="32"/>
      <name val="Meiryo UI"/>
      <family val="3"/>
      <charset val="128"/>
    </font>
    <font>
      <sz val="8"/>
      <color indexed="32"/>
      <name val="ＭＳ Ｐゴシック"/>
      <family val="3"/>
      <charset val="128"/>
    </font>
    <font>
      <sz val="8"/>
      <color indexed="18"/>
      <name val="Meiryo UI"/>
      <family val="3"/>
      <charset val="128"/>
    </font>
    <font>
      <sz val="12"/>
      <color indexed="9"/>
      <name val="Meiryo UI"/>
      <family val="3"/>
      <charset val="128"/>
    </font>
    <font>
      <sz val="14"/>
      <color indexed="81"/>
      <name val="Meiryo UI"/>
      <family val="3"/>
      <charset val="128"/>
    </font>
    <font>
      <sz val="14"/>
      <color indexed="9"/>
      <name val="Meiryo UI"/>
      <family val="3"/>
      <charset val="128"/>
    </font>
    <font>
      <b/>
      <sz val="9"/>
      <color indexed="81"/>
      <name val="Times New Roman"/>
      <family val="1"/>
    </font>
    <font>
      <b/>
      <sz val="11"/>
      <color indexed="37"/>
      <name val="ＭＳ Ｐ明朝"/>
      <family val="1"/>
      <charset val="128"/>
    </font>
    <font>
      <b/>
      <sz val="10"/>
      <color indexed="37"/>
      <name val="ＭＳ Ｐ明朝"/>
      <family val="1"/>
      <charset val="128"/>
    </font>
    <font>
      <b/>
      <sz val="18"/>
      <color indexed="32"/>
      <name val="ＭＳ Ｐ明朝"/>
      <family val="1"/>
      <charset val="128"/>
    </font>
    <font>
      <sz val="10"/>
      <color indexed="81"/>
      <name val="Meiryo UI"/>
      <family val="3"/>
      <charset val="128"/>
    </font>
    <font>
      <sz val="10"/>
      <color indexed="9"/>
      <name val="Meiryo UI"/>
      <family val="3"/>
      <charset val="128"/>
    </font>
    <font>
      <b/>
      <sz val="9"/>
      <color indexed="81"/>
      <name val="ＭＳ Ｐ明朝"/>
      <family val="1"/>
      <charset val="128"/>
    </font>
    <font>
      <b/>
      <sz val="16"/>
      <color indexed="32"/>
      <name val="ＭＳ Ｐ明朝"/>
      <family val="1"/>
      <charset val="128"/>
    </font>
    <font>
      <sz val="11"/>
      <color indexed="32"/>
      <name val="Meiryo UI"/>
      <family val="3"/>
      <charset val="128"/>
    </font>
    <font>
      <sz val="16"/>
      <color indexed="9"/>
      <name val="Meiryo UI"/>
      <family val="3"/>
      <charset val="128"/>
    </font>
    <font>
      <sz val="12"/>
      <color indexed="32"/>
      <name val="ＭＳ Ｐゴシック"/>
      <family val="3"/>
      <charset val="128"/>
    </font>
    <font>
      <sz val="16"/>
      <color indexed="81"/>
      <name val="Meiryo UI"/>
      <family val="3"/>
      <charset val="128"/>
    </font>
    <font>
      <b/>
      <sz val="9"/>
      <color indexed="81"/>
      <name val="Meiryo UI"/>
      <family val="3"/>
      <charset val="128"/>
    </font>
    <font>
      <sz val="8"/>
      <color indexed="32"/>
      <name val="ＭＳ Ｐ明朝"/>
      <family val="1"/>
      <charset val="128"/>
    </font>
    <font>
      <sz val="7"/>
      <color indexed="32"/>
      <name val="Meiryo UI"/>
      <family val="3"/>
      <charset val="128"/>
    </font>
    <font>
      <sz val="6"/>
      <color indexed="32"/>
      <name val="Meiryo UI"/>
      <family val="3"/>
      <charset val="128"/>
    </font>
    <font>
      <sz val="10"/>
      <name val="ＭＳ 明朝"/>
      <family val="1"/>
      <charset val="128"/>
    </font>
    <font>
      <sz val="11"/>
      <name val="ＭＳ Ｐゴシック"/>
      <family val="3"/>
      <charset val="128"/>
    </font>
    <font>
      <sz val="6"/>
      <name val="ＭＳ Ｐゴシック"/>
      <family val="3"/>
      <charset val="128"/>
    </font>
    <font>
      <b/>
      <sz val="11"/>
      <name val="ＭＳ Ｐ明朝"/>
      <family val="1"/>
      <charset val="128"/>
    </font>
    <font>
      <sz val="10"/>
      <color rgb="FFFF0000"/>
      <name val="Meiryo UI"/>
      <family val="3"/>
      <charset val="128"/>
    </font>
    <font>
      <sz val="11"/>
      <name val="Meiryo UI"/>
      <family val="3"/>
      <charset val="128"/>
    </font>
    <font>
      <sz val="10"/>
      <color indexed="32"/>
      <name val="Meiryo UI"/>
      <family val="3"/>
      <charset val="128"/>
    </font>
    <font>
      <sz val="11"/>
      <color indexed="9"/>
      <name val="Meiryo UI"/>
      <family val="3"/>
      <charset val="128"/>
    </font>
    <font>
      <b/>
      <sz val="10"/>
      <color theme="1"/>
      <name val="Times New Roman"/>
      <family val="1"/>
    </font>
    <font>
      <sz val="7"/>
      <color rgb="FFFF6600"/>
      <name val="Meiryo UI"/>
      <family val="3"/>
      <charset val="128"/>
    </font>
    <font>
      <sz val="9"/>
      <color indexed="18"/>
      <name val="Meiryo UI"/>
      <family val="3"/>
      <charset val="128"/>
    </font>
    <font>
      <b/>
      <sz val="9"/>
      <color indexed="9"/>
      <name val="Meiryo UI"/>
      <family val="3"/>
      <charset val="128"/>
    </font>
    <font>
      <sz val="10"/>
      <color theme="1"/>
      <name val="ＭＳ 明朝"/>
      <family val="2"/>
      <charset val="128"/>
    </font>
    <font>
      <b/>
      <sz val="6"/>
      <name val="Meiryo UI"/>
      <family val="3"/>
      <charset val="128"/>
    </font>
    <font>
      <sz val="10"/>
      <color rgb="FF000099"/>
      <name val="Meiryo UI"/>
      <family val="3"/>
      <charset val="128"/>
    </font>
    <font>
      <sz val="10"/>
      <color rgb="FF002060"/>
      <name val="Meiryo UI"/>
      <family val="3"/>
      <charset val="128"/>
    </font>
    <font>
      <sz val="9"/>
      <color theme="1"/>
      <name val="Times New Roman"/>
      <family val="1"/>
    </font>
    <font>
      <sz val="9"/>
      <color theme="1" tint="4.9989318521683403E-2"/>
      <name val="Meiryo UI"/>
      <family val="3"/>
      <charset val="128"/>
    </font>
    <font>
      <b/>
      <sz val="9"/>
      <color theme="1"/>
      <name val="Times New Roman"/>
      <family val="1"/>
    </font>
    <font>
      <sz val="7"/>
      <color theme="0"/>
      <name val="Meiryo UI"/>
      <family val="3"/>
      <charset val="128"/>
    </font>
    <font>
      <b/>
      <sz val="9"/>
      <color rgb="FFC00000"/>
      <name val="Meiryo UI"/>
      <family val="3"/>
      <charset val="128"/>
    </font>
    <font>
      <b/>
      <sz val="10"/>
      <color indexed="18"/>
      <name val="Meiryo UI"/>
      <family val="3"/>
      <charset val="128"/>
    </font>
    <font>
      <b/>
      <sz val="8"/>
      <color rgb="FFC00000"/>
      <name val="Meiryo UI"/>
      <family val="3"/>
      <charset val="128"/>
    </font>
    <font>
      <b/>
      <sz val="10"/>
      <name val="Meiryo UI"/>
      <family val="3"/>
      <charset val="128"/>
    </font>
    <font>
      <sz val="11"/>
      <color theme="1"/>
      <name val="ＭＳ Ｐゴシック"/>
      <family val="3"/>
      <charset val="128"/>
      <scheme val="minor"/>
    </font>
    <font>
      <sz val="9"/>
      <color indexed="12"/>
      <name val="Meiryo UI"/>
      <family val="3"/>
      <charset val="128"/>
    </font>
    <font>
      <b/>
      <sz val="10"/>
      <color theme="0"/>
      <name val="Meiryo UI"/>
      <family val="3"/>
      <charset val="128"/>
    </font>
    <font>
      <b/>
      <sz val="11"/>
      <name val="Meiryo UI"/>
      <family val="3"/>
      <charset val="128"/>
    </font>
    <font>
      <sz val="10"/>
      <name val="HGP明朝B"/>
      <family val="1"/>
      <charset val="128"/>
    </font>
    <font>
      <sz val="10"/>
      <name val="HG明朝B"/>
      <family val="1"/>
      <charset val="128"/>
    </font>
    <font>
      <u/>
      <sz val="16.5"/>
      <color indexed="12"/>
      <name val="ＭＳ Ｐゴシック"/>
      <family val="3"/>
      <charset val="128"/>
    </font>
    <font>
      <b/>
      <sz val="9"/>
      <color theme="0"/>
      <name val="Meiryo UI"/>
      <family val="3"/>
      <charset val="128"/>
    </font>
    <font>
      <sz val="7"/>
      <color rgb="FF002060"/>
      <name val="Meiryo UI"/>
      <family val="3"/>
      <charset val="128"/>
    </font>
    <font>
      <b/>
      <sz val="10"/>
      <color indexed="32"/>
      <name val="ＭＳ Ｐゴシック"/>
      <family val="3"/>
      <charset val="128"/>
    </font>
    <font>
      <sz val="10"/>
      <color indexed="32"/>
      <name val="ＭＳ Ｐゴシック"/>
      <family val="3"/>
      <charset val="128"/>
    </font>
    <font>
      <sz val="10"/>
      <color indexed="81"/>
      <name val="ＭＳ Ｐゴシック"/>
      <family val="3"/>
      <charset val="128"/>
    </font>
    <font>
      <sz val="9"/>
      <name val="ＭＳ ゴシック"/>
      <family val="3"/>
      <charset val="128"/>
    </font>
    <font>
      <sz val="5"/>
      <color theme="1"/>
      <name val="Meiryo UI"/>
      <family val="3"/>
      <charset val="128"/>
    </font>
    <font>
      <b/>
      <sz val="10"/>
      <color theme="0"/>
      <name val="Times New Roman"/>
      <family val="1"/>
    </font>
    <font>
      <b/>
      <sz val="10"/>
      <name val="Times New Roman"/>
      <family val="1"/>
    </font>
    <font>
      <sz val="9"/>
      <color theme="1"/>
      <name val="メイリオ"/>
      <family val="3"/>
      <charset val="128"/>
    </font>
    <font>
      <sz val="9"/>
      <color rgb="FFFF3300"/>
      <name val="Meiryo UI"/>
      <family val="3"/>
      <charset val="128"/>
    </font>
    <font>
      <b/>
      <sz val="8"/>
      <color theme="1"/>
      <name val="Meiryo UI"/>
      <family val="3"/>
      <charset val="128"/>
    </font>
    <font>
      <sz val="6"/>
      <color rgb="FFC00000"/>
      <name val="Meiryo UI"/>
      <family val="3"/>
      <charset val="128"/>
    </font>
    <font>
      <b/>
      <sz val="9"/>
      <color theme="0"/>
      <name val="Times New Roman"/>
      <family val="1"/>
    </font>
    <font>
      <sz val="9"/>
      <color indexed="37"/>
      <name val="Meiryo UI"/>
      <family val="3"/>
      <charset val="128"/>
    </font>
    <font>
      <b/>
      <sz val="11"/>
      <color indexed="32"/>
      <name val="ＭＳ Ｐゴシック"/>
      <family val="3"/>
      <charset val="128"/>
    </font>
    <font>
      <b/>
      <sz val="9"/>
      <color indexed="32"/>
      <name val="ＭＳ Ｐ明朝"/>
      <family val="1"/>
      <charset val="128"/>
    </font>
    <font>
      <b/>
      <sz val="9"/>
      <color indexed="37"/>
      <name val="ＭＳ Ｐ明朝"/>
      <family val="1"/>
      <charset val="128"/>
    </font>
    <font>
      <b/>
      <sz val="18"/>
      <color indexed="81"/>
      <name val="ＭＳ Ｐゴシック"/>
      <family val="3"/>
      <charset val="128"/>
    </font>
    <font>
      <sz val="10"/>
      <color indexed="37"/>
      <name val="Meiryo UI"/>
      <family val="3"/>
      <charset val="128"/>
    </font>
    <font>
      <b/>
      <sz val="10"/>
      <color indexed="81"/>
      <name val="Meiryo UI"/>
      <family val="3"/>
      <charset val="128"/>
    </font>
    <font>
      <sz val="10"/>
      <color indexed="35"/>
      <name val="Meiryo UI"/>
      <family val="3"/>
      <charset val="128"/>
    </font>
    <font>
      <sz val="9"/>
      <color indexed="81"/>
      <name val="ＭＳ ゴシック"/>
      <family val="3"/>
      <charset val="128"/>
    </font>
    <font>
      <sz val="8"/>
      <color indexed="81"/>
      <name val="ＭＳ ゴシック"/>
      <family val="3"/>
      <charset val="128"/>
    </font>
    <font>
      <b/>
      <sz val="9"/>
      <color indexed="39"/>
      <name val="ＭＳ ゴシック"/>
      <family val="3"/>
      <charset val="128"/>
    </font>
    <font>
      <b/>
      <sz val="9"/>
      <color indexed="81"/>
      <name val="ＭＳ ゴシック"/>
      <family val="3"/>
      <charset val="128"/>
    </font>
    <font>
      <sz val="9"/>
      <color indexed="10"/>
      <name val="ＭＳ ゴシック"/>
      <family val="3"/>
      <charset val="128"/>
    </font>
    <font>
      <sz val="9"/>
      <color indexed="35"/>
      <name val="ＭＳ ゴシック"/>
      <family val="3"/>
      <charset val="128"/>
    </font>
    <font>
      <b/>
      <sz val="10"/>
      <color indexed="39"/>
      <name val="ＭＳ ゴシック"/>
      <family val="3"/>
      <charset val="128"/>
    </font>
    <font>
      <sz val="8"/>
      <color rgb="FF0033CC"/>
      <name val="Meiryo UI"/>
      <family val="3"/>
      <charset val="128"/>
    </font>
    <font>
      <sz val="1"/>
      <color rgb="FFFFFFCC"/>
      <name val="Meiryo UI"/>
      <family val="3"/>
      <charset val="128"/>
    </font>
    <font>
      <sz val="9"/>
      <color indexed="81"/>
      <name val="ＭＳ Ｐ明朝"/>
      <family val="1"/>
      <charset val="128"/>
    </font>
    <font>
      <b/>
      <sz val="9"/>
      <color indexed="37"/>
      <name val="Meiryo UI"/>
      <family val="3"/>
      <charset val="128"/>
    </font>
    <font>
      <sz val="8.5"/>
      <color indexed="81"/>
      <name val="Meiryo UI"/>
      <family val="3"/>
      <charset val="128"/>
    </font>
    <font>
      <sz val="8.5"/>
      <color indexed="37"/>
      <name val="Meiryo UI"/>
      <family val="3"/>
      <charset val="128"/>
    </font>
    <font>
      <b/>
      <sz val="8.5"/>
      <color indexed="81"/>
      <name val="Meiryo UI"/>
      <family val="3"/>
      <charset val="128"/>
    </font>
    <font>
      <sz val="3"/>
      <color indexed="32"/>
      <name val="Meiryo UI"/>
      <family val="3"/>
      <charset val="128"/>
    </font>
    <font>
      <b/>
      <sz val="10"/>
      <color indexed="37"/>
      <name val="Meiryo UI"/>
      <family val="3"/>
      <charset val="128"/>
    </font>
    <font>
      <b/>
      <sz val="12"/>
      <color indexed="81"/>
      <name val="ＭＳ Ｐゴシック"/>
      <family val="3"/>
      <charset val="128"/>
    </font>
    <font>
      <sz val="9"/>
      <color indexed="32"/>
      <name val="ＭＳ Ｐ明朝"/>
      <family val="1"/>
      <charset val="128"/>
    </font>
    <font>
      <sz val="9"/>
      <color indexed="9"/>
      <name val="ＭＳ Ｐ明朝"/>
      <family val="1"/>
      <charset val="128"/>
    </font>
    <font>
      <sz val="14"/>
      <color indexed="32"/>
      <name val="ＭＳ ゴシック"/>
      <family val="3"/>
      <charset val="128"/>
    </font>
    <font>
      <b/>
      <sz val="9"/>
      <color indexed="18"/>
      <name val="ＭＳ Ｐ明朝"/>
      <family val="1"/>
      <charset val="128"/>
    </font>
    <font>
      <sz val="6"/>
      <color indexed="81"/>
      <name val="Meiryo UI"/>
      <family val="3"/>
      <charset val="128"/>
    </font>
    <font>
      <sz val="7"/>
      <color indexed="81"/>
      <name val="Meiryo UI"/>
      <family val="3"/>
      <charset val="128"/>
    </font>
    <font>
      <sz val="10"/>
      <name val="ＭＳ Ｐ明朝"/>
      <family val="1"/>
      <charset val="128"/>
    </font>
    <font>
      <sz val="10"/>
      <name val="ＭＳ Ｐゴシック"/>
      <family val="3"/>
      <charset val="128"/>
    </font>
    <font>
      <sz val="9"/>
      <name val="ＭＳ 明朝"/>
      <family val="1"/>
      <charset val="128"/>
    </font>
    <font>
      <sz val="8"/>
      <name val="ＭＳ Ｐゴシック"/>
      <family val="3"/>
      <charset val="128"/>
    </font>
    <font>
      <sz val="9"/>
      <name val="ＭＳ Ｐゴシック"/>
      <family val="3"/>
      <charset val="128"/>
    </font>
    <font>
      <b/>
      <sz val="10"/>
      <name val="ＭＳ 明朝"/>
      <family val="1"/>
      <charset val="128"/>
    </font>
    <font>
      <sz val="11"/>
      <name val="ＭＳ 明朝"/>
      <family val="1"/>
      <charset val="128"/>
    </font>
    <font>
      <sz val="8"/>
      <name val="ＭＳ 明朝"/>
      <family val="1"/>
      <charset val="128"/>
    </font>
    <font>
      <b/>
      <sz val="11"/>
      <name val="ＭＳ 明朝"/>
      <family val="1"/>
      <charset val="128"/>
    </font>
    <font>
      <sz val="11"/>
      <color indexed="9"/>
      <name val="ＭＳ 明朝"/>
      <family val="1"/>
      <charset val="128"/>
    </font>
    <font>
      <b/>
      <sz val="12"/>
      <color indexed="9"/>
      <name val="ＭＳ 明朝"/>
      <family val="1"/>
      <charset val="128"/>
    </font>
    <font>
      <b/>
      <sz val="10"/>
      <name val="ＭＳ Ｐゴシック"/>
      <family val="3"/>
      <charset val="128"/>
    </font>
    <font>
      <b/>
      <sz val="11"/>
      <color indexed="10"/>
      <name val="ＭＳ 明朝"/>
      <family val="1"/>
      <charset val="128"/>
    </font>
    <font>
      <b/>
      <sz val="10"/>
      <name val="ＭＳ Ｐ明朝"/>
      <family val="1"/>
      <charset val="128"/>
    </font>
    <font>
      <u/>
      <sz val="11"/>
      <name val="ＭＳ 明朝"/>
      <family val="1"/>
      <charset val="128"/>
    </font>
    <font>
      <sz val="11"/>
      <name val="ＭＳ Ｐ明朝"/>
      <family val="1"/>
      <charset val="128"/>
    </font>
    <font>
      <b/>
      <sz val="12"/>
      <name val="Times New Roman"/>
      <family val="1"/>
    </font>
    <font>
      <sz val="6"/>
      <name val="ＭＳ Ｐ明朝"/>
      <family val="1"/>
      <charset val="128"/>
    </font>
    <font>
      <sz val="22"/>
      <color rgb="FFFF0000"/>
      <name val="Meiryo UI"/>
      <family val="3"/>
      <charset val="128"/>
    </font>
    <font>
      <b/>
      <sz val="8"/>
      <color theme="1"/>
      <name val="Times New Roman"/>
      <family val="1"/>
    </font>
    <font>
      <sz val="8.5"/>
      <color rgb="FFC00000"/>
      <name val="Meiryo UI"/>
      <family val="3"/>
      <charset val="128"/>
    </font>
    <font>
      <vertAlign val="superscript"/>
      <sz val="8"/>
      <color theme="1"/>
      <name val="Meiryo UI"/>
      <family val="3"/>
      <charset val="128"/>
    </font>
    <font>
      <b/>
      <sz val="6"/>
      <color theme="1"/>
      <name val="Meiryo UI"/>
      <family val="3"/>
      <charset val="128"/>
    </font>
    <font>
      <vertAlign val="superscript"/>
      <sz val="9"/>
      <color theme="1"/>
      <name val="Meiryo UI"/>
      <family val="3"/>
      <charset val="128"/>
    </font>
    <font>
      <b/>
      <sz val="10"/>
      <color indexed="81"/>
      <name val="ＭＳ Ｐ明朝"/>
      <family val="1"/>
      <charset val="128"/>
    </font>
    <font>
      <b/>
      <sz val="10"/>
      <color indexed="81"/>
      <name val="ＭＳ 明朝"/>
      <family val="1"/>
      <charset val="128"/>
    </font>
    <font>
      <b/>
      <sz val="10"/>
      <color indexed="12"/>
      <name val="ＭＳ 明朝"/>
      <family val="1"/>
      <charset val="128"/>
    </font>
    <font>
      <b/>
      <sz val="14"/>
      <color indexed="12"/>
      <name val="ＭＳ 明朝"/>
      <family val="1"/>
      <charset val="128"/>
    </font>
    <font>
      <sz val="10"/>
      <color indexed="81"/>
      <name val="ＭＳ 明朝"/>
      <family val="1"/>
      <charset val="128"/>
    </font>
    <font>
      <b/>
      <sz val="9"/>
      <color rgb="FF000099"/>
      <name val="Meiryo UI"/>
      <family val="3"/>
      <charset val="128"/>
    </font>
    <font>
      <sz val="26"/>
      <color rgb="FFFF0000"/>
      <name val="Meiryo UI"/>
      <family val="3"/>
      <charset val="128"/>
    </font>
    <font>
      <b/>
      <sz val="3"/>
      <color indexed="32"/>
      <name val="ＭＳ Ｐゴシック"/>
      <family val="3"/>
      <charset val="128"/>
    </font>
    <font>
      <b/>
      <sz val="9"/>
      <color indexed="32"/>
      <name val="ＭＳ ゴシック"/>
      <family val="3"/>
      <charset val="128"/>
    </font>
    <font>
      <b/>
      <sz val="11"/>
      <color indexed="81"/>
      <name val="ＭＳ Ｐゴシック"/>
      <family val="3"/>
      <charset val="128"/>
    </font>
    <font>
      <sz val="12"/>
      <color indexed="9"/>
      <name val="ＭＳ ゴシック"/>
      <family val="3"/>
      <charset val="128"/>
    </font>
    <font>
      <b/>
      <vertAlign val="subscript"/>
      <sz val="12"/>
      <color indexed="32"/>
      <name val="Meiryo UI"/>
      <family val="3"/>
      <charset val="128"/>
    </font>
    <font>
      <sz val="9"/>
      <color indexed="9"/>
      <name val="ＭＳ ゴシック"/>
      <family val="3"/>
      <charset val="128"/>
    </font>
    <font>
      <sz val="9"/>
      <color indexed="32"/>
      <name val="ＭＳ ゴシック"/>
      <family val="3"/>
      <charset val="128"/>
    </font>
    <font>
      <sz val="6"/>
      <color indexed="81"/>
      <name val="ＭＳ ゴシック"/>
      <family val="3"/>
      <charset val="128"/>
    </font>
    <font>
      <sz val="7"/>
      <color rgb="FFFF3300"/>
      <name val="Meiryo UI"/>
      <family val="3"/>
      <charset val="128"/>
    </font>
    <font>
      <b/>
      <sz val="9"/>
      <color rgb="FFCCECFF"/>
      <name val="Meiryo UI"/>
      <family val="3"/>
      <charset val="128"/>
    </font>
    <font>
      <sz val="9"/>
      <color theme="0" tint="-4.9989318521683403E-2"/>
      <name val="Meiryo UI"/>
      <family val="3"/>
      <charset val="128"/>
    </font>
    <font>
      <u/>
      <sz val="9"/>
      <color theme="0"/>
      <name val="Meiryo UI"/>
      <family val="3"/>
      <charset val="128"/>
    </font>
    <font>
      <u/>
      <sz val="8"/>
      <color theme="3" tint="-0.249977111117893"/>
      <name val="Meiryo UI"/>
      <family val="3"/>
      <charset val="128"/>
    </font>
    <font>
      <b/>
      <sz val="18"/>
      <color indexed="37"/>
      <name val="ＭＳ Ｐゴシック"/>
      <family val="3"/>
      <charset val="128"/>
    </font>
    <font>
      <sz val="8.5"/>
      <color rgb="FF002060"/>
      <name val="Meiryo UI"/>
      <family val="3"/>
      <charset val="128"/>
    </font>
    <font>
      <b/>
      <sz val="10"/>
      <color theme="0"/>
      <name val="HG明朝B"/>
      <family val="1"/>
      <charset val="128"/>
    </font>
    <font>
      <sz val="9"/>
      <color rgb="FF000099"/>
      <name val="ＭＳ Ｐゴシック"/>
      <family val="3"/>
      <charset val="128"/>
    </font>
    <font>
      <u/>
      <sz val="9"/>
      <color theme="1"/>
      <name val="Meiryo UI"/>
      <family val="3"/>
      <charset val="128"/>
    </font>
    <font>
      <b/>
      <sz val="9"/>
      <color rgb="FF000099"/>
      <name val="Times New Roman"/>
      <family val="1"/>
    </font>
    <font>
      <sz val="28"/>
      <color rgb="FFFF0000"/>
      <name val="HG明朝B"/>
      <family val="1"/>
      <charset val="128"/>
    </font>
    <font>
      <b/>
      <sz val="7"/>
      <color indexed="9"/>
      <name val="ＭＳ 明朝"/>
      <family val="1"/>
      <charset val="128"/>
    </font>
    <font>
      <b/>
      <sz val="7"/>
      <color indexed="9"/>
      <name val="Meiryo UI"/>
      <family val="3"/>
      <charset val="128"/>
    </font>
    <font>
      <sz val="7.5"/>
      <color indexed="32"/>
      <name val="Meiryo UI"/>
      <family val="3"/>
      <charset val="128"/>
    </font>
    <font>
      <b/>
      <sz val="7.5"/>
      <color indexed="81"/>
      <name val="Meiryo UI"/>
      <family val="3"/>
      <charset val="128"/>
    </font>
    <font>
      <sz val="7.5"/>
      <color indexed="81"/>
      <name val="Meiryo UI"/>
      <family val="3"/>
      <charset val="128"/>
    </font>
    <font>
      <b/>
      <sz val="7"/>
      <color indexed="9"/>
      <name val="ＭＳ Ｐ明朝"/>
      <family val="1"/>
      <charset val="128"/>
    </font>
    <font>
      <b/>
      <sz val="7"/>
      <color indexed="32"/>
      <name val="ＭＳ Ｐゴシック"/>
      <family val="3"/>
      <charset val="128"/>
    </font>
    <font>
      <b/>
      <u/>
      <sz val="7"/>
      <color indexed="32"/>
      <name val="ＭＳ Ｐゴシック"/>
      <family val="3"/>
      <charset val="128"/>
    </font>
    <font>
      <u/>
      <sz val="8"/>
      <color indexed="32"/>
      <name val="Meiryo UI"/>
      <family val="3"/>
      <charset val="128"/>
    </font>
    <font>
      <u/>
      <sz val="8"/>
      <color indexed="81"/>
      <name val="Meiryo UI"/>
      <family val="3"/>
      <charset val="128"/>
    </font>
    <font>
      <u/>
      <sz val="6"/>
      <color indexed="32"/>
      <name val="ＭＳ Ｐゴシック"/>
      <family val="3"/>
      <charset val="128"/>
    </font>
    <font>
      <u/>
      <sz val="7"/>
      <color indexed="32"/>
      <name val="ＭＳ Ｐゴシック"/>
      <family val="3"/>
      <charset val="128"/>
    </font>
    <font>
      <b/>
      <u/>
      <sz val="1"/>
      <color indexed="32"/>
      <name val="ＭＳ Ｐゴシック"/>
      <family val="3"/>
      <charset val="128"/>
    </font>
    <font>
      <sz val="7"/>
      <color indexed="32"/>
      <name val="ＭＳ Ｐゴシック"/>
      <family val="3"/>
      <charset val="128"/>
    </font>
    <font>
      <b/>
      <u/>
      <sz val="8"/>
      <color indexed="32"/>
      <name val="ＭＳ Ｐゴシック"/>
      <family val="3"/>
      <charset val="128"/>
    </font>
    <font>
      <b/>
      <sz val="14"/>
      <color indexed="9"/>
      <name val="ＭＳ Ｐ明朝"/>
      <family val="1"/>
      <charset val="128"/>
    </font>
    <font>
      <b/>
      <sz val="14"/>
      <color indexed="9"/>
      <name val="Meiryo UI"/>
      <family val="3"/>
      <charset val="128"/>
    </font>
    <font>
      <b/>
      <sz val="10"/>
      <color indexed="9"/>
      <name val="ＭＳ 明朝"/>
      <family val="1"/>
      <charset val="128"/>
    </font>
    <font>
      <b/>
      <sz val="7"/>
      <color indexed="81"/>
      <name val="ＭＳ Ｐ明朝"/>
      <family val="1"/>
      <charset val="128"/>
    </font>
    <font>
      <b/>
      <sz val="7"/>
      <color indexed="9"/>
      <name val="ＭＳ Ｐゴシック"/>
      <family val="3"/>
      <charset val="128"/>
    </font>
    <font>
      <sz val="7.5"/>
      <color indexed="9"/>
      <name val="Meiryo UI"/>
      <family val="3"/>
      <charset val="128"/>
    </font>
    <font>
      <b/>
      <sz val="7"/>
      <color indexed="32"/>
      <name val="ＭＳ 明朝"/>
      <family val="1"/>
      <charset val="128"/>
    </font>
    <font>
      <b/>
      <sz val="7"/>
      <color indexed="32"/>
      <name val="Meiryo UI"/>
      <family val="3"/>
      <charset val="128"/>
    </font>
    <font>
      <sz val="8"/>
      <color indexed="60"/>
      <name val="Meiryo UI"/>
      <family val="3"/>
      <charset val="128"/>
    </font>
    <font>
      <u/>
      <sz val="7"/>
      <color indexed="32"/>
      <name val="Meiryo UI"/>
      <family val="3"/>
      <charset val="128"/>
    </font>
    <font>
      <u/>
      <sz val="1"/>
      <color indexed="48"/>
      <name val="Meiryo UI"/>
      <family val="3"/>
      <charset val="128"/>
    </font>
    <font>
      <b/>
      <sz val="7"/>
      <color indexed="81"/>
      <name val="Meiryo UI"/>
      <family val="3"/>
      <charset val="128"/>
    </font>
    <font>
      <b/>
      <sz val="6.5"/>
      <color indexed="81"/>
      <name val="Meiryo UI"/>
      <family val="3"/>
      <charset val="128"/>
    </font>
    <font>
      <sz val="6.5"/>
      <color indexed="81"/>
      <name val="Meiryo UI"/>
      <family val="3"/>
      <charset val="128"/>
    </font>
    <font>
      <b/>
      <u/>
      <sz val="7"/>
      <color indexed="81"/>
      <name val="Meiryo UI"/>
      <family val="3"/>
      <charset val="128"/>
    </font>
    <font>
      <u/>
      <sz val="7"/>
      <color indexed="81"/>
      <name val="Meiryo UI"/>
      <family val="3"/>
      <charset val="128"/>
    </font>
    <font>
      <b/>
      <u/>
      <sz val="6.5"/>
      <color indexed="81"/>
      <name val="Meiryo UI"/>
      <family val="3"/>
      <charset val="128"/>
    </font>
    <font>
      <u/>
      <sz val="6.5"/>
      <color indexed="81"/>
      <name val="Meiryo UI"/>
      <family val="3"/>
      <charset val="128"/>
    </font>
    <font>
      <b/>
      <u/>
      <sz val="1"/>
      <color indexed="81"/>
      <name val="Meiryo UI"/>
      <family val="3"/>
      <charset val="128"/>
    </font>
    <font>
      <b/>
      <u/>
      <sz val="7"/>
      <color indexed="32"/>
      <name val="Meiryo UI"/>
      <family val="3"/>
      <charset val="128"/>
    </font>
    <font>
      <u/>
      <sz val="7.5"/>
      <color indexed="32"/>
      <name val="Meiryo UI"/>
      <family val="3"/>
      <charset val="128"/>
    </font>
    <font>
      <b/>
      <u/>
      <sz val="1"/>
      <color indexed="48"/>
      <name val="Meiryo UI"/>
      <family val="3"/>
      <charset val="128"/>
    </font>
    <font>
      <b/>
      <u/>
      <sz val="7.5"/>
      <color indexed="37"/>
      <name val="Meiryo UI"/>
      <family val="3"/>
      <charset val="128"/>
    </font>
    <font>
      <u/>
      <sz val="7.5"/>
      <color indexed="37"/>
      <name val="Meiryo UI"/>
      <family val="3"/>
      <charset val="128"/>
    </font>
    <font>
      <b/>
      <u/>
      <sz val="7.5"/>
      <color indexed="81"/>
      <name val="Meiryo UI"/>
      <family val="3"/>
      <charset val="128"/>
    </font>
    <font>
      <b/>
      <sz val="1"/>
      <color indexed="48"/>
      <name val="Meiryo UI"/>
      <family val="3"/>
      <charset val="128"/>
    </font>
    <font>
      <b/>
      <sz val="7.5"/>
      <color indexed="37"/>
      <name val="Meiryo UI"/>
      <family val="3"/>
      <charset val="128"/>
    </font>
    <font>
      <b/>
      <sz val="11"/>
      <color indexed="81"/>
      <name val="Meiryo UI"/>
      <family val="3"/>
      <charset val="128"/>
    </font>
    <font>
      <b/>
      <sz val="8.5"/>
      <name val="Times New Roman"/>
      <family val="1"/>
    </font>
    <font>
      <sz val="6"/>
      <color rgb="FFFF3300"/>
      <name val="Meiryo UI"/>
      <family val="3"/>
      <charset val="128"/>
    </font>
    <font>
      <b/>
      <sz val="8.5"/>
      <color theme="1"/>
      <name val="Times New Roman"/>
      <family val="1"/>
    </font>
    <font>
      <sz val="8.5"/>
      <color theme="1"/>
      <name val="Times New Roman"/>
      <family val="1"/>
    </font>
    <font>
      <sz val="8"/>
      <color theme="1"/>
      <name val="HGPｺﾞｼｯｸE"/>
      <family val="3"/>
      <charset val="128"/>
    </font>
    <font>
      <sz val="8"/>
      <color theme="1"/>
      <name val="HGSｺﾞｼｯｸE"/>
      <family val="3"/>
      <charset val="128"/>
    </font>
    <font>
      <b/>
      <sz val="8"/>
      <color rgb="FF0000FF"/>
      <name val="Times New Roman"/>
      <family val="1"/>
    </font>
    <font>
      <b/>
      <sz val="8"/>
      <name val="Times New Roman"/>
      <family val="1"/>
    </font>
    <font>
      <b/>
      <sz val="9"/>
      <name val="Times New Roman"/>
      <family val="1"/>
    </font>
    <font>
      <sz val="12"/>
      <color theme="1"/>
      <name val="ＭＳ 明朝"/>
      <family val="1"/>
      <charset val="128"/>
    </font>
    <font>
      <sz val="8"/>
      <name val="HGPｺﾞｼｯｸE"/>
      <family val="3"/>
      <charset val="128"/>
    </font>
    <font>
      <sz val="8"/>
      <color rgb="FFFFFFCC"/>
      <name val="HGPｺﾞｼｯｸE"/>
      <family val="3"/>
      <charset val="128"/>
    </font>
    <font>
      <b/>
      <sz val="9"/>
      <color rgb="FFCCECFF"/>
      <name val="ＭＳ Ｐ明朝"/>
      <family val="1"/>
      <charset val="128"/>
    </font>
    <font>
      <b/>
      <sz val="8"/>
      <color theme="0"/>
      <name val="ＭＳ Ｐ明朝"/>
      <family val="1"/>
      <charset val="128"/>
    </font>
    <font>
      <b/>
      <sz val="28"/>
      <color rgb="FFFF0000"/>
      <name val="ＭＳ Ｐ明朝"/>
      <family val="1"/>
      <charset val="128"/>
    </font>
    <font>
      <b/>
      <sz val="6"/>
      <color rgb="FFFF0000"/>
      <name val="Meiryo UI"/>
      <family val="3"/>
      <charset val="128"/>
    </font>
    <font>
      <b/>
      <sz val="12"/>
      <color rgb="FFFF0000"/>
      <name val="ＭＳ Ｐゴシック"/>
      <family val="3"/>
      <charset val="128"/>
      <scheme val="major"/>
    </font>
    <font>
      <b/>
      <sz val="6"/>
      <color rgb="FF0000FF"/>
      <name val="Meiryo UI"/>
      <family val="3"/>
      <charset val="128"/>
    </font>
    <font>
      <sz val="6.5"/>
      <color theme="1"/>
      <name val="Meiryo UI"/>
      <family val="3"/>
      <charset val="128"/>
    </font>
    <font>
      <b/>
      <sz val="7"/>
      <color rgb="FFFF6600"/>
      <name val="Meiryo UI"/>
      <family val="3"/>
      <charset val="128"/>
    </font>
    <font>
      <sz val="8"/>
      <color rgb="FFFF6600"/>
      <name val="Meiryo UI"/>
      <family val="3"/>
      <charset val="128"/>
    </font>
    <font>
      <b/>
      <sz val="8"/>
      <color rgb="FF0033CC"/>
      <name val="Times New Roman"/>
      <family val="1"/>
    </font>
    <font>
      <b/>
      <sz val="8"/>
      <color rgb="FFFF3300"/>
      <name val="Meiryo UI"/>
      <family val="3"/>
      <charset val="128"/>
    </font>
    <font>
      <b/>
      <sz val="10"/>
      <color rgb="FFFF3300"/>
      <name val="Meiryo UI"/>
      <family val="3"/>
      <charset val="128"/>
    </font>
    <font>
      <sz val="10"/>
      <color rgb="FFFF3300"/>
      <name val="Meiryo UI"/>
      <family val="3"/>
      <charset val="128"/>
    </font>
    <font>
      <sz val="8.5"/>
      <color rgb="FFFF0000"/>
      <name val="Meiryo UI"/>
      <family val="3"/>
      <charset val="128"/>
    </font>
    <font>
      <b/>
      <sz val="9"/>
      <color theme="1" tint="0.249977111117893"/>
      <name val="ＭＳ Ｐ明朝"/>
      <family val="1"/>
      <charset val="128"/>
    </font>
    <font>
      <sz val="8"/>
      <color theme="1"/>
      <name val="Impact"/>
      <family val="2"/>
    </font>
    <font>
      <sz val="9"/>
      <color theme="1"/>
      <name val="Impact"/>
      <family val="2"/>
    </font>
    <font>
      <sz val="26"/>
      <color rgb="FFFF0000"/>
      <name val="HGS明朝E"/>
      <family val="1"/>
      <charset val="128"/>
    </font>
    <font>
      <sz val="10"/>
      <color theme="0"/>
      <name val="HGS明朝E"/>
      <family val="1"/>
      <charset val="128"/>
    </font>
    <font>
      <sz val="9"/>
      <color theme="0"/>
      <name val="ＭＳ Ｐ明朝"/>
      <family val="1"/>
      <charset val="128"/>
    </font>
    <font>
      <sz val="9"/>
      <color indexed="18"/>
      <name val="ＭＳ ゴシック"/>
      <family val="3"/>
      <charset val="128"/>
    </font>
    <font>
      <sz val="9"/>
      <color indexed="32"/>
      <name val="ＭＳ Ｐゴシック"/>
      <family val="3"/>
      <charset val="128"/>
    </font>
    <font>
      <sz val="9"/>
      <color indexed="60"/>
      <name val="ＭＳ ゴシック"/>
      <family val="3"/>
      <charset val="128"/>
    </font>
    <font>
      <b/>
      <sz val="9"/>
      <color indexed="56"/>
      <name val="ＭＳ ゴシック"/>
      <family val="3"/>
      <charset val="128"/>
    </font>
    <font>
      <sz val="16"/>
      <color indexed="9"/>
      <name val="ＭＳ ゴシック"/>
      <family val="3"/>
      <charset val="128"/>
    </font>
    <font>
      <b/>
      <sz val="8.5"/>
      <color indexed="32"/>
      <name val="Meiryo UI"/>
      <family val="3"/>
      <charset val="128"/>
    </font>
    <font>
      <sz val="10"/>
      <color theme="1"/>
      <name val="ＭＳ Ｐゴシック"/>
      <family val="2"/>
      <charset val="128"/>
      <scheme val="minor"/>
    </font>
    <font>
      <sz val="5"/>
      <color rgb="FF000099"/>
      <name val="Meiryo UI"/>
      <family val="3"/>
      <charset val="128"/>
    </font>
    <font>
      <sz val="5"/>
      <color rgb="FF002060"/>
      <name val="Meiryo UI"/>
      <family val="3"/>
      <charset val="128"/>
    </font>
    <font>
      <b/>
      <sz val="5"/>
      <color rgb="FF002060"/>
      <name val="Meiryo UI"/>
      <family val="3"/>
      <charset val="128"/>
    </font>
    <font>
      <sz val="11"/>
      <color theme="0"/>
      <name val="HGPｺﾞｼｯｸE"/>
      <family val="3"/>
      <charset val="128"/>
    </font>
    <font>
      <sz val="6"/>
      <color rgb="FFFF0000"/>
      <name val="Meiryo UI"/>
      <family val="3"/>
      <charset val="128"/>
    </font>
    <font>
      <b/>
      <sz val="8.5"/>
      <color theme="1" tint="0.14999847407452621"/>
      <name val="Times New Roman"/>
      <family val="1"/>
    </font>
    <font>
      <b/>
      <sz val="7"/>
      <color theme="1" tint="0.14999847407452621"/>
      <name val="Times New Roman"/>
      <family val="1"/>
    </font>
    <font>
      <sz val="4"/>
      <color theme="1"/>
      <name val="Meiryo UI"/>
      <family val="3"/>
      <charset val="128"/>
    </font>
    <font>
      <b/>
      <sz val="10"/>
      <color rgb="FF002060"/>
      <name val="Times New Roman"/>
      <family val="1"/>
    </font>
    <font>
      <b/>
      <sz val="7"/>
      <color rgb="FFFF0066"/>
      <name val="Times New Roman"/>
      <family val="1"/>
    </font>
    <font>
      <sz val="6"/>
      <color rgb="FF000099"/>
      <name val="Meiryo UI"/>
      <family val="3"/>
      <charset val="128"/>
    </font>
    <font>
      <sz val="5"/>
      <color rgb="FF0033CC"/>
      <name val="Meiryo UI"/>
      <family val="3"/>
      <charset val="128"/>
    </font>
    <font>
      <sz val="6"/>
      <color rgb="FF0033CC"/>
      <name val="Meiryo UI"/>
      <family val="3"/>
      <charset val="128"/>
    </font>
    <font>
      <b/>
      <sz val="5"/>
      <color rgb="FF000099"/>
      <name val="Meiryo UI"/>
      <family val="3"/>
      <charset val="128"/>
    </font>
    <font>
      <sz val="7"/>
      <color theme="1"/>
      <name val="HGPｺﾞｼｯｸE"/>
      <family val="3"/>
      <charset val="128"/>
    </font>
    <font>
      <sz val="7.5"/>
      <color rgb="FF000099"/>
      <name val="Meiryo UI"/>
      <family val="3"/>
      <charset val="128"/>
    </font>
    <font>
      <b/>
      <sz val="9"/>
      <color rgb="FF002060"/>
      <name val="Meiryo UI"/>
      <family val="3"/>
      <charset val="128"/>
    </font>
    <font>
      <sz val="7.5"/>
      <color rgb="FF000099"/>
      <name val="ＭＳ Ｐ明朝"/>
      <family val="1"/>
      <charset val="128"/>
    </font>
    <font>
      <sz val="9"/>
      <color rgb="FF000099"/>
      <name val="HGPｺﾞｼｯｸE"/>
      <family val="3"/>
      <charset val="128"/>
    </font>
    <font>
      <sz val="10"/>
      <color rgb="FFFF0000"/>
      <name val="HGP明朝E"/>
      <family val="1"/>
      <charset val="128"/>
    </font>
    <font>
      <b/>
      <sz val="11"/>
      <color rgb="FFC00000"/>
      <name val="Times New Roman"/>
      <family val="1"/>
    </font>
    <font>
      <b/>
      <sz val="1"/>
      <color rgb="FFC8E1FF"/>
      <name val="Times New Roman"/>
      <family val="1"/>
    </font>
    <font>
      <sz val="1"/>
      <color rgb="FFC8E1FF"/>
      <name val="Meiryo UI"/>
      <family val="3"/>
      <charset val="128"/>
    </font>
    <font>
      <b/>
      <sz val="9"/>
      <color theme="1" tint="0.249977111117893"/>
      <name val="Times New Roman"/>
      <family val="1"/>
    </font>
    <font>
      <sz val="1"/>
      <color rgb="FFB8CCE4"/>
      <name val="Meiryo UI"/>
      <family val="3"/>
      <charset val="128"/>
    </font>
    <font>
      <b/>
      <sz val="10"/>
      <color rgb="FF000099"/>
      <name val="Times New Roman"/>
      <family val="1"/>
    </font>
    <font>
      <b/>
      <sz val="11"/>
      <name val="HGP明朝B"/>
      <family val="1"/>
      <charset val="128"/>
    </font>
    <font>
      <sz val="10"/>
      <color rgb="FFC8E1FF"/>
      <name val="Meiryo UI"/>
      <family val="3"/>
      <charset val="128"/>
    </font>
    <font>
      <sz val="10"/>
      <color indexed="16"/>
      <name val="Meiryo UI"/>
      <family val="3"/>
      <charset val="128"/>
    </font>
    <font>
      <sz val="11"/>
      <color indexed="32"/>
      <name val="ＭＳ 明朝"/>
      <family val="1"/>
      <charset val="128"/>
    </font>
    <font>
      <b/>
      <sz val="12"/>
      <color indexed="16"/>
      <name val="ＭＳ 明朝"/>
      <family val="1"/>
      <charset val="128"/>
    </font>
    <font>
      <sz val="16"/>
      <color indexed="32"/>
      <name val="ＭＳ 明朝"/>
      <family val="1"/>
      <charset val="128"/>
    </font>
    <font>
      <b/>
      <sz val="11"/>
      <color indexed="32"/>
      <name val="ＭＳ 明朝"/>
      <family val="1"/>
      <charset val="128"/>
    </font>
    <font>
      <sz val="10"/>
      <color indexed="32"/>
      <name val="ＭＳ 明朝"/>
      <family val="1"/>
      <charset val="128"/>
    </font>
    <font>
      <b/>
      <sz val="10"/>
      <color indexed="32"/>
      <name val="ＭＳ 明朝"/>
      <family val="1"/>
      <charset val="128"/>
    </font>
    <font>
      <b/>
      <sz val="10"/>
      <color indexed="32"/>
      <name val="Times New Roman"/>
      <family val="1"/>
    </font>
    <font>
      <b/>
      <sz val="12"/>
      <color indexed="60"/>
      <name val="ＭＳ 明朝"/>
      <family val="1"/>
      <charset val="128"/>
    </font>
    <font>
      <sz val="16"/>
      <color indexed="53"/>
      <name val="ＭＳ 明朝"/>
      <family val="1"/>
      <charset val="128"/>
    </font>
    <font>
      <b/>
      <sz val="14"/>
      <color indexed="32"/>
      <name val="ＭＳ 明朝"/>
      <family val="1"/>
      <charset val="128"/>
    </font>
    <font>
      <sz val="18"/>
      <color indexed="12"/>
      <name val="ＭＳ 明朝"/>
      <family val="1"/>
      <charset val="128"/>
    </font>
    <font>
      <sz val="11"/>
      <color indexed="12"/>
      <name val="ＭＳ 明朝"/>
      <family val="1"/>
      <charset val="128"/>
    </font>
    <font>
      <b/>
      <sz val="12"/>
      <color indexed="32"/>
      <name val="ＭＳ 明朝"/>
      <family val="1"/>
      <charset val="128"/>
    </font>
    <font>
      <b/>
      <sz val="11"/>
      <color indexed="81"/>
      <name val="ＭＳ 明朝"/>
      <family val="1"/>
      <charset val="128"/>
    </font>
    <font>
      <b/>
      <sz val="12"/>
      <color indexed="81"/>
      <name val="ＭＳ 明朝"/>
      <family val="1"/>
      <charset val="128"/>
    </font>
    <font>
      <sz val="16"/>
      <color indexed="12"/>
      <name val="ＭＳ 明朝"/>
      <family val="1"/>
      <charset val="128"/>
    </font>
    <font>
      <sz val="14"/>
      <color indexed="32"/>
      <name val="ＭＳ 明朝"/>
      <family val="1"/>
      <charset val="128"/>
    </font>
    <font>
      <sz val="10"/>
      <color indexed="9"/>
      <name val="ＭＳ 明朝"/>
      <family val="1"/>
      <charset val="128"/>
    </font>
    <font>
      <b/>
      <sz val="3"/>
      <color indexed="81"/>
      <name val="ＭＳ 明朝"/>
      <family val="1"/>
      <charset val="128"/>
    </font>
    <font>
      <b/>
      <sz val="10"/>
      <color indexed="16"/>
      <name val="ＭＳ Ｐ明朝"/>
      <family val="1"/>
      <charset val="128"/>
    </font>
    <font>
      <b/>
      <sz val="10"/>
      <color indexed="16"/>
      <name val="ＭＳ 明朝"/>
      <family val="1"/>
      <charset val="128"/>
    </font>
    <font>
      <sz val="10"/>
      <color indexed="16"/>
      <name val="ＭＳ 明朝"/>
      <family val="1"/>
      <charset val="128"/>
    </font>
    <font>
      <sz val="6"/>
      <color indexed="16"/>
      <name val="ＭＳ 明朝"/>
      <family val="1"/>
      <charset val="128"/>
    </font>
    <font>
      <b/>
      <sz val="12"/>
      <color indexed="12"/>
      <name val="ＭＳ 明朝"/>
      <family val="1"/>
      <charset val="128"/>
    </font>
    <font>
      <b/>
      <sz val="14"/>
      <color indexed="9"/>
      <name val="ＭＳ Ｐゴシック"/>
      <family val="3"/>
      <charset val="128"/>
    </font>
    <font>
      <b/>
      <sz val="10"/>
      <color indexed="9"/>
      <name val="ＭＳ Ｐゴシック"/>
      <family val="3"/>
      <charset val="128"/>
    </font>
    <font>
      <b/>
      <sz val="10"/>
      <color indexed="10"/>
      <name val="ＭＳ 明朝"/>
      <family val="1"/>
      <charset val="128"/>
    </font>
    <font>
      <sz val="9"/>
      <color indexed="9"/>
      <name val="ＭＳ 明朝"/>
      <family val="1"/>
      <charset val="128"/>
    </font>
    <font>
      <sz val="8"/>
      <color indexed="32"/>
      <name val="ＭＳ 明朝"/>
      <family val="1"/>
      <charset val="128"/>
    </font>
    <font>
      <sz val="12"/>
      <color indexed="16"/>
      <name val="ＭＳ 明朝"/>
      <family val="1"/>
      <charset val="128"/>
    </font>
    <font>
      <b/>
      <sz val="16"/>
      <color indexed="32"/>
      <name val="ＭＳ 明朝"/>
      <family val="1"/>
      <charset val="128"/>
    </font>
    <font>
      <b/>
      <sz val="16"/>
      <color indexed="12"/>
      <name val="ＭＳ 明朝"/>
      <family val="1"/>
      <charset val="128"/>
    </font>
    <font>
      <sz val="14"/>
      <color indexed="53"/>
      <name val="ＭＳ 明朝"/>
      <family val="1"/>
      <charset val="128"/>
    </font>
    <font>
      <b/>
      <sz val="14"/>
      <color indexed="9"/>
      <name val="ＭＳ 明朝"/>
      <family val="1"/>
      <charset val="128"/>
    </font>
    <font>
      <sz val="8"/>
      <color indexed="81"/>
      <name val="ＭＳ 明朝"/>
      <family val="1"/>
      <charset val="128"/>
    </font>
    <font>
      <sz val="18"/>
      <color indexed="81"/>
      <name val="ＭＳ 明朝"/>
      <family val="1"/>
      <charset val="128"/>
    </font>
    <font>
      <sz val="11"/>
      <color indexed="81"/>
      <name val="ＭＳ 明朝"/>
      <family val="1"/>
      <charset val="128"/>
    </font>
    <font>
      <sz val="16"/>
      <color indexed="81"/>
      <name val="ＭＳ 明朝"/>
      <family val="1"/>
      <charset val="128"/>
    </font>
    <font>
      <sz val="16"/>
      <color indexed="16"/>
      <name val="ＭＳ 明朝"/>
      <family val="1"/>
      <charset val="128"/>
    </font>
    <font>
      <b/>
      <sz val="16"/>
      <color indexed="53"/>
      <name val="ＭＳ 明朝"/>
      <family val="1"/>
      <charset val="128"/>
    </font>
    <font>
      <sz val="11"/>
      <color indexed="53"/>
      <name val="ＭＳ 明朝"/>
      <family val="1"/>
      <charset val="128"/>
    </font>
    <font>
      <b/>
      <sz val="11"/>
      <color indexed="9"/>
      <name val="ＭＳ Ｐ明朝"/>
      <family val="1"/>
      <charset val="128"/>
    </font>
    <font>
      <b/>
      <sz val="11"/>
      <color indexed="9"/>
      <name val="ＭＳ 明朝"/>
      <family val="1"/>
      <charset val="128"/>
    </font>
    <font>
      <b/>
      <sz val="14"/>
      <color indexed="53"/>
      <name val="ＭＳ 明朝"/>
      <family val="1"/>
      <charset val="128"/>
    </font>
    <font>
      <b/>
      <sz val="9"/>
      <color indexed="32"/>
      <name val="ＭＳ 明朝"/>
      <family val="1"/>
      <charset val="128"/>
    </font>
    <font>
      <sz val="9"/>
      <color indexed="32"/>
      <name val="ＭＳ 明朝"/>
      <family val="1"/>
      <charset val="128"/>
    </font>
    <font>
      <b/>
      <sz val="10"/>
      <color indexed="9"/>
      <name val="Meiryo UI"/>
      <family val="3"/>
      <charset val="128"/>
    </font>
    <font>
      <sz val="12"/>
      <color indexed="60"/>
      <name val="ＭＳ 明朝"/>
      <family val="1"/>
      <charset val="128"/>
    </font>
    <font>
      <b/>
      <sz val="9"/>
      <color indexed="17"/>
      <name val="ＭＳ 明朝"/>
      <family val="1"/>
      <charset val="128"/>
    </font>
    <font>
      <b/>
      <sz val="13"/>
      <color indexed="16"/>
      <name val="ＭＳ 明朝"/>
      <family val="1"/>
      <charset val="128"/>
    </font>
    <font>
      <b/>
      <sz val="16"/>
      <color indexed="81"/>
      <name val="ＭＳ 明朝"/>
      <family val="1"/>
      <charset val="128"/>
    </font>
    <font>
      <b/>
      <sz val="9"/>
      <color indexed="10"/>
      <name val="ＭＳ 明朝"/>
      <family val="1"/>
      <charset val="128"/>
    </font>
    <font>
      <b/>
      <sz val="11"/>
      <color indexed="16"/>
      <name val="ＭＳ 明朝"/>
      <family val="1"/>
      <charset val="128"/>
    </font>
    <font>
      <sz val="10"/>
      <color indexed="16"/>
      <name val="ＭＳ Ｐ明朝"/>
      <family val="1"/>
      <charset val="128"/>
    </font>
    <font>
      <sz val="10"/>
      <color indexed="9"/>
      <name val="ＭＳ Ｐゴシック"/>
      <family val="3"/>
      <charset val="128"/>
    </font>
    <font>
      <sz val="10"/>
      <color indexed="32"/>
      <name val="ＭＳ ゴシック"/>
      <family val="3"/>
      <charset val="128"/>
    </font>
    <font>
      <b/>
      <sz val="10"/>
      <color indexed="32"/>
      <name val="ＭＳ ゴシック"/>
      <family val="3"/>
      <charset val="128"/>
    </font>
    <font>
      <b/>
      <sz val="10"/>
      <color indexed="32"/>
      <name val="Meiryo UI"/>
      <family val="3"/>
      <charset val="128"/>
    </font>
    <font>
      <sz val="11"/>
      <color indexed="60"/>
      <name val="ＭＳ 明朝"/>
      <family val="1"/>
      <charset val="128"/>
    </font>
    <font>
      <sz val="10"/>
      <color indexed="9"/>
      <name val="ＭＳ Ｐ明朝"/>
      <family val="1"/>
      <charset val="128"/>
    </font>
    <font>
      <b/>
      <sz val="10"/>
      <color indexed="9"/>
      <name val="ＭＳ Ｐ明朝"/>
      <family val="1"/>
      <charset val="128"/>
    </font>
    <font>
      <sz val="10"/>
      <color indexed="12"/>
      <name val="ＭＳ 明朝"/>
      <family val="1"/>
      <charset val="128"/>
    </font>
    <font>
      <b/>
      <sz val="10"/>
      <color indexed="60"/>
      <name val="ＭＳ 明朝"/>
      <family val="1"/>
      <charset val="128"/>
    </font>
    <font>
      <b/>
      <sz val="11"/>
      <color indexed="60"/>
      <name val="ＭＳ 明朝"/>
      <family val="1"/>
      <charset val="128"/>
    </font>
    <font>
      <sz val="12"/>
      <color indexed="32"/>
      <name val="ＭＳ 明朝"/>
      <family val="1"/>
      <charset val="128"/>
    </font>
    <font>
      <sz val="11"/>
      <color indexed="16"/>
      <name val="ＭＳ Ｐゴシック"/>
      <family val="3"/>
      <charset val="128"/>
    </font>
    <font>
      <b/>
      <sz val="11"/>
      <color indexed="16"/>
      <name val="ＭＳ Ｐ明朝"/>
      <family val="1"/>
      <charset val="128"/>
    </font>
    <font>
      <sz val="16"/>
      <color indexed="16"/>
      <name val="ＭＳ Ｐゴシック"/>
      <family val="3"/>
      <charset val="128"/>
    </font>
    <font>
      <b/>
      <sz val="14"/>
      <color indexed="10"/>
      <name val="ＭＳ 明朝"/>
      <family val="1"/>
      <charset val="128"/>
    </font>
    <font>
      <b/>
      <sz val="12"/>
      <color indexed="16"/>
      <name val="ＭＳ Ｐ明朝"/>
      <family val="1"/>
      <charset val="128"/>
    </font>
    <font>
      <b/>
      <sz val="6"/>
      <color indexed="81"/>
      <name val="ＭＳ 明朝"/>
      <family val="1"/>
      <charset val="128"/>
    </font>
    <font>
      <b/>
      <sz val="6"/>
      <color indexed="16"/>
      <name val="ＭＳ 明朝"/>
      <family val="1"/>
      <charset val="128"/>
    </font>
    <font>
      <b/>
      <sz val="6"/>
      <color indexed="16"/>
      <name val="ＭＳ Ｐ明朝"/>
      <family val="1"/>
      <charset val="128"/>
    </font>
    <font>
      <b/>
      <sz val="20"/>
      <color indexed="9"/>
      <name val="ＭＳ 明朝"/>
      <family val="1"/>
      <charset val="128"/>
    </font>
    <font>
      <b/>
      <sz val="6"/>
      <color indexed="10"/>
      <name val="ＭＳ 明朝"/>
      <family val="1"/>
      <charset val="128"/>
    </font>
    <font>
      <sz val="9"/>
      <color indexed="16"/>
      <name val="ＭＳ 明朝"/>
      <family val="1"/>
      <charset val="128"/>
    </font>
    <font>
      <b/>
      <sz val="16"/>
      <color indexed="10"/>
      <name val="ＭＳ 明朝"/>
      <family val="1"/>
      <charset val="128"/>
    </font>
    <font>
      <b/>
      <sz val="9"/>
      <color indexed="9"/>
      <name val="ＭＳ 明朝"/>
      <family val="1"/>
      <charset val="128"/>
    </font>
    <font>
      <b/>
      <sz val="12"/>
      <color indexed="37"/>
      <name val="ＭＳ 明朝"/>
      <family val="1"/>
      <charset val="128"/>
    </font>
    <font>
      <sz val="14"/>
      <color indexed="9"/>
      <name val="ＭＳ 明朝"/>
      <family val="1"/>
      <charset val="128"/>
    </font>
    <font>
      <sz val="11"/>
      <color indexed="60"/>
      <name val="ＭＳ Ｐ明朝"/>
      <family val="1"/>
      <charset val="128"/>
    </font>
    <font>
      <sz val="6"/>
      <color indexed="32"/>
      <name val="ＭＳ 明朝"/>
      <family val="1"/>
      <charset val="128"/>
    </font>
    <font>
      <sz val="10"/>
      <color indexed="53"/>
      <name val="ＭＳ 明朝"/>
      <family val="1"/>
      <charset val="128"/>
    </font>
    <font>
      <b/>
      <sz val="10"/>
      <color indexed="53"/>
      <name val="ＭＳ 明朝"/>
      <family val="1"/>
      <charset val="128"/>
    </font>
    <font>
      <sz val="14"/>
      <color indexed="12"/>
      <name val="ＭＳ 明朝"/>
      <family val="1"/>
      <charset val="128"/>
    </font>
    <font>
      <sz val="11"/>
      <color indexed="16"/>
      <name val="ＭＳ 明朝"/>
      <family val="1"/>
      <charset val="128"/>
    </font>
    <font>
      <sz val="6"/>
      <color indexed="16"/>
      <name val="ＭＳ Ｐ明朝"/>
      <family val="1"/>
      <charset val="128"/>
    </font>
    <font>
      <sz val="12"/>
      <color indexed="16"/>
      <name val="ＭＳ Ｐ明朝"/>
      <family val="1"/>
      <charset val="128"/>
    </font>
    <font>
      <b/>
      <sz val="8"/>
      <color indexed="32"/>
      <name val="ＭＳ 明朝"/>
      <family val="1"/>
      <charset val="128"/>
    </font>
    <font>
      <b/>
      <sz val="18"/>
      <color indexed="32"/>
      <name val="ＭＳ 明朝"/>
      <family val="1"/>
      <charset val="128"/>
    </font>
    <font>
      <b/>
      <sz val="20"/>
      <color indexed="32"/>
      <name val="ＭＳ 明朝"/>
      <family val="1"/>
      <charset val="128"/>
    </font>
    <font>
      <sz val="7"/>
      <color indexed="32"/>
      <name val="ＭＳ 明朝"/>
      <family val="1"/>
      <charset val="128"/>
    </font>
    <font>
      <b/>
      <sz val="10"/>
      <color indexed="17"/>
      <name val="ＭＳ 明朝"/>
      <family val="1"/>
      <charset val="128"/>
    </font>
    <font>
      <b/>
      <sz val="12"/>
      <color indexed="53"/>
      <name val="ＭＳ 明朝"/>
      <family val="1"/>
      <charset val="128"/>
    </font>
    <font>
      <b/>
      <sz val="16"/>
      <color indexed="17"/>
      <name val="ＭＳ 明朝"/>
      <family val="1"/>
      <charset val="128"/>
    </font>
    <font>
      <b/>
      <sz val="14"/>
      <color indexed="17"/>
      <name val="ＭＳ 明朝"/>
      <family val="1"/>
      <charset val="128"/>
    </font>
    <font>
      <sz val="14"/>
      <color indexed="9"/>
      <name val="ＭＳ ゴシック"/>
      <family val="3"/>
      <charset val="128"/>
    </font>
    <font>
      <sz val="10"/>
      <color indexed="9"/>
      <name val="ＭＳ ゴシック"/>
      <family val="3"/>
      <charset val="128"/>
    </font>
    <font>
      <b/>
      <sz val="14"/>
      <color indexed="32"/>
      <name val="ＭＳ ゴシック"/>
      <family val="3"/>
      <charset val="128"/>
    </font>
    <font>
      <sz val="14"/>
      <color indexed="14"/>
      <name val="ＭＳ 明朝"/>
      <family val="1"/>
      <charset val="128"/>
    </font>
    <font>
      <b/>
      <sz val="3"/>
      <color indexed="32"/>
      <name val="ＭＳ 明朝"/>
      <family val="1"/>
      <charset val="128"/>
    </font>
    <font>
      <sz val="14"/>
      <color indexed="9"/>
      <name val="ＭＳ Ｐ明朝"/>
      <family val="1"/>
      <charset val="128"/>
    </font>
    <font>
      <b/>
      <sz val="6"/>
      <color indexed="32"/>
      <name val="ＭＳ 明朝"/>
      <family val="1"/>
      <charset val="128"/>
    </font>
    <font>
      <sz val="9"/>
      <color indexed="81"/>
      <name val="ＭＳ 明朝"/>
      <family val="1"/>
      <charset val="128"/>
    </font>
    <font>
      <b/>
      <sz val="11"/>
      <color indexed="60"/>
      <name val="ＭＳ Ｐ明朝"/>
      <family val="1"/>
      <charset val="128"/>
    </font>
    <font>
      <b/>
      <sz val="14"/>
      <color indexed="32"/>
      <name val="ＭＳ Ｐゴシック"/>
      <family val="3"/>
      <charset val="128"/>
    </font>
    <font>
      <sz val="6"/>
      <color indexed="32"/>
      <name val="ＭＳ Ｐゴシック"/>
      <family val="3"/>
      <charset val="128"/>
    </font>
    <font>
      <sz val="9"/>
      <color indexed="60"/>
      <name val="ＭＳ 明朝"/>
      <family val="1"/>
      <charset val="128"/>
    </font>
    <font>
      <sz val="18"/>
      <color indexed="32"/>
      <name val="Meiryo UI"/>
      <family val="3"/>
      <charset val="128"/>
    </font>
    <font>
      <sz val="9"/>
      <color indexed="81"/>
      <name val="HG明朝B"/>
      <family val="1"/>
      <charset val="128"/>
    </font>
    <font>
      <sz val="12"/>
      <color indexed="81"/>
      <name val="HG明朝B"/>
      <family val="1"/>
      <charset val="128"/>
    </font>
    <font>
      <sz val="11"/>
      <color rgb="FF0000FF"/>
      <name val="Meiryo UI"/>
      <family val="3"/>
      <charset val="128"/>
    </font>
    <font>
      <b/>
      <sz val="9"/>
      <color indexed="62"/>
      <name val="Times New Roman"/>
      <family val="1"/>
    </font>
    <font>
      <b/>
      <i/>
      <sz val="9"/>
      <color indexed="53"/>
      <name val="Times New Roman"/>
      <family val="1"/>
    </font>
    <font>
      <sz val="10"/>
      <name val="ＭＳ ゴシック"/>
      <family val="3"/>
      <charset val="128"/>
    </font>
    <font>
      <sz val="8.5"/>
      <name val="ＭＳ 明朝"/>
      <family val="1"/>
      <charset val="128"/>
    </font>
    <font>
      <sz val="5"/>
      <color indexed="12"/>
      <name val="ＭＳ Ｐゴシック"/>
      <family val="3"/>
      <charset val="128"/>
    </font>
    <font>
      <sz val="8"/>
      <name val="ＭＳ Ｐ明朝"/>
      <family val="1"/>
      <charset val="128"/>
    </font>
    <font>
      <sz val="8.5"/>
      <name val="ＭＳ Ｐゴシック"/>
      <family val="3"/>
      <charset val="128"/>
    </font>
    <font>
      <b/>
      <sz val="11"/>
      <name val="Times New Roman"/>
      <family val="1"/>
    </font>
    <font>
      <sz val="11"/>
      <name val="ＭＳ ゴシック"/>
      <family val="3"/>
      <charset val="128"/>
    </font>
    <font>
      <b/>
      <sz val="9"/>
      <color indexed="53"/>
      <name val="ＭＳ Ｐ明朝"/>
      <family val="1"/>
      <charset val="128"/>
    </font>
    <font>
      <sz val="8.5"/>
      <color indexed="62"/>
      <name val="ＭＳ 明朝"/>
      <family val="1"/>
      <charset val="128"/>
    </font>
    <font>
      <b/>
      <sz val="8.5"/>
      <color indexed="62"/>
      <name val="ＭＳ Ｐ明朝"/>
      <family val="1"/>
      <charset val="128"/>
    </font>
    <font>
      <b/>
      <vertAlign val="superscript"/>
      <sz val="11"/>
      <name val="Times New Roman"/>
      <family val="1"/>
    </font>
    <font>
      <sz val="10"/>
      <name val="Times New Roman"/>
      <family val="1"/>
    </font>
    <font>
      <sz val="6"/>
      <name val="ＭＳ ゴシック"/>
      <family val="3"/>
      <charset val="128"/>
    </font>
    <font>
      <b/>
      <sz val="8.5"/>
      <name val="ＭＳ Ｐ明朝"/>
      <family val="1"/>
      <charset val="128"/>
    </font>
    <font>
      <sz val="8.5"/>
      <name val="ＭＳ ゴシック"/>
      <family val="3"/>
      <charset val="128"/>
    </font>
    <font>
      <sz val="8.5"/>
      <name val="ＭＳ Ｐ明朝"/>
      <family val="1"/>
      <charset val="128"/>
    </font>
    <font>
      <b/>
      <sz val="7"/>
      <name val="Times New Roman"/>
      <family val="1"/>
    </font>
    <font>
      <b/>
      <sz val="9"/>
      <name val="ＭＳ Ｐ明朝"/>
      <family val="1"/>
      <charset val="128"/>
    </font>
    <font>
      <b/>
      <sz val="6"/>
      <name val="Times New Roman"/>
      <family val="1"/>
    </font>
    <font>
      <b/>
      <vertAlign val="subscript"/>
      <sz val="8"/>
      <name val="Times New Roman"/>
      <family val="1"/>
    </font>
    <font>
      <b/>
      <sz val="8"/>
      <name val="ＭＳ Ｐ明朝"/>
      <family val="1"/>
      <charset val="128"/>
    </font>
    <font>
      <b/>
      <vertAlign val="subscript"/>
      <sz val="10"/>
      <name val="Times New Roman"/>
      <family val="1"/>
    </font>
    <font>
      <b/>
      <vertAlign val="subscript"/>
      <sz val="9"/>
      <name val="Times New Roman"/>
      <family val="1"/>
    </font>
    <font>
      <b/>
      <sz val="8"/>
      <name val="ＭＳ Ｐゴシック"/>
      <family val="3"/>
      <charset val="128"/>
    </font>
    <font>
      <sz val="9"/>
      <name val="Times New Roman"/>
      <family val="1"/>
    </font>
    <font>
      <b/>
      <sz val="9"/>
      <name val="ＭＳ Ｐゴシック"/>
      <family val="3"/>
      <charset val="128"/>
    </font>
    <font>
      <b/>
      <sz val="9"/>
      <name val="ＭＳ 明朝"/>
      <family val="1"/>
      <charset val="128"/>
    </font>
    <font>
      <vertAlign val="superscript"/>
      <sz val="10"/>
      <name val="ＭＳ Ｐ明朝"/>
      <family val="1"/>
      <charset val="128"/>
    </font>
    <font>
      <b/>
      <sz val="8"/>
      <name val="ＭＳ 明朝"/>
      <family val="1"/>
      <charset val="128"/>
    </font>
    <font>
      <sz val="12"/>
      <name val="Times New Roman"/>
      <family val="1"/>
    </font>
    <font>
      <b/>
      <vertAlign val="subscript"/>
      <sz val="11"/>
      <name val="Times New Roman"/>
      <family val="1"/>
    </font>
    <font>
      <b/>
      <sz val="3"/>
      <color indexed="9"/>
      <name val="Times New Roman"/>
      <family val="1"/>
    </font>
    <font>
      <b/>
      <sz val="11"/>
      <name val="ＭＳ Ｐゴシック"/>
      <family val="3"/>
      <charset val="128"/>
    </font>
    <font>
      <b/>
      <sz val="16"/>
      <name val="ＭＳ 明朝"/>
      <family val="1"/>
      <charset val="128"/>
    </font>
    <font>
      <i/>
      <sz val="10"/>
      <name val="ＭＳ Ｐ明朝"/>
      <family val="1"/>
      <charset val="128"/>
    </font>
    <font>
      <i/>
      <sz val="8"/>
      <name val="ＭＳ Ｐゴシック"/>
      <family val="3"/>
      <charset val="128"/>
    </font>
    <font>
      <b/>
      <vertAlign val="superscript"/>
      <sz val="9"/>
      <name val="Times New Roman"/>
      <family val="1"/>
    </font>
    <font>
      <vertAlign val="superscript"/>
      <sz val="8"/>
      <name val="Times New Roman"/>
      <family val="1"/>
    </font>
    <font>
      <b/>
      <vertAlign val="superscript"/>
      <sz val="10"/>
      <name val="Times New Roman"/>
      <family val="1"/>
    </font>
    <font>
      <sz val="7.5"/>
      <name val="ＭＳ Ｐ明朝"/>
      <family val="1"/>
      <charset val="128"/>
    </font>
    <font>
      <sz val="8.5"/>
      <name val="Times New Roman"/>
      <family val="1"/>
    </font>
    <font>
      <b/>
      <sz val="9"/>
      <name val="ＭＳ ゴシック"/>
      <family val="3"/>
      <charset val="128"/>
    </font>
    <font>
      <sz val="8"/>
      <name val="HGP明朝E"/>
      <family val="1"/>
      <charset val="128"/>
    </font>
    <font>
      <sz val="9"/>
      <name val="HG明朝E"/>
      <family val="1"/>
      <charset val="128"/>
    </font>
    <font>
      <sz val="8"/>
      <name val="HG明朝E"/>
      <family val="1"/>
      <charset val="128"/>
    </font>
    <font>
      <b/>
      <sz val="12"/>
      <name val="ＭＳ 明朝"/>
      <family val="1"/>
      <charset val="128"/>
    </font>
    <font>
      <b/>
      <i/>
      <sz val="8"/>
      <color indexed="12"/>
      <name val="ＭＳ Ｐ明朝"/>
      <family val="1"/>
      <charset val="128"/>
    </font>
    <font>
      <b/>
      <sz val="16"/>
      <color rgb="FFC00000"/>
      <name val="ＭＳ 明朝"/>
      <family val="1"/>
      <charset val="128"/>
    </font>
    <font>
      <sz val="7"/>
      <name val="ＭＳ Ｐ明朝"/>
      <family val="1"/>
      <charset val="128"/>
    </font>
    <font>
      <b/>
      <sz val="10"/>
      <name val="ＭＳ ゴシック"/>
      <family val="3"/>
      <charset val="128"/>
    </font>
    <font>
      <b/>
      <sz val="14"/>
      <color rgb="FFC00000"/>
      <name val="ＭＳ 明朝"/>
      <family val="1"/>
      <charset val="128"/>
    </font>
    <font>
      <b/>
      <sz val="8.5"/>
      <color indexed="62"/>
      <name val="ＭＳ 明朝"/>
      <family val="1"/>
      <charset val="128"/>
    </font>
    <font>
      <b/>
      <sz val="12"/>
      <name val="ＭＳ Ｐ明朝"/>
      <family val="1"/>
      <charset val="128"/>
    </font>
    <font>
      <b/>
      <vertAlign val="superscript"/>
      <sz val="10"/>
      <name val="ＭＳ 明朝"/>
      <family val="1"/>
      <charset val="128"/>
    </font>
    <font>
      <sz val="6"/>
      <name val="ＭＳ 明朝"/>
      <family val="2"/>
      <charset val="128"/>
    </font>
    <font>
      <sz val="11"/>
      <color theme="0" tint="-0.14999847407452621"/>
      <name val="ＭＳ Ｐゴシック"/>
      <family val="3"/>
      <charset val="128"/>
    </font>
    <font>
      <sz val="1"/>
      <color theme="0" tint="-0.34998626667073579"/>
      <name val="ＭＳ Ｐゴシック"/>
      <family val="3"/>
      <charset val="128"/>
    </font>
    <font>
      <sz val="11"/>
      <name val="HGP明朝B"/>
      <family val="1"/>
      <charset val="128"/>
    </font>
    <font>
      <sz val="1"/>
      <color theme="0"/>
      <name val="ＭＳ 明朝"/>
      <family val="1"/>
      <charset val="128"/>
    </font>
    <font>
      <b/>
      <sz val="11"/>
      <color rgb="FFFF0000"/>
      <name val="ＭＳ Ｐ明朝"/>
      <family val="1"/>
      <charset val="128"/>
    </font>
    <font>
      <sz val="14"/>
      <color rgb="FF002060"/>
      <name val="Meiryo UI"/>
      <family val="3"/>
      <charset val="128"/>
    </font>
    <font>
      <sz val="11"/>
      <color rgb="FF002060"/>
      <name val="Meiryo UI"/>
      <family val="3"/>
      <charset val="128"/>
    </font>
    <font>
      <sz val="10"/>
      <name val="HGS明朝B"/>
      <family val="1"/>
      <charset val="128"/>
    </font>
    <font>
      <sz val="8"/>
      <name val="HGS明朝B"/>
      <family val="1"/>
      <charset val="128"/>
    </font>
    <font>
      <sz val="9"/>
      <name val="HGS明朝B"/>
      <family val="1"/>
      <charset val="128"/>
    </font>
    <font>
      <sz val="12"/>
      <name val="HGS明朝B"/>
      <family val="1"/>
      <charset val="128"/>
    </font>
    <font>
      <sz val="11"/>
      <name val="HGS明朝B"/>
      <family val="1"/>
      <charset val="128"/>
    </font>
    <font>
      <i/>
      <sz val="8"/>
      <name val="ＭＳ Ｐ明朝"/>
      <family val="1"/>
      <charset val="128"/>
    </font>
    <font>
      <u/>
      <sz val="11"/>
      <name val="ＭＳ Ｐゴシック"/>
      <family val="3"/>
      <charset val="128"/>
    </font>
    <font>
      <u/>
      <sz val="9"/>
      <name val="ＭＳ 明朝"/>
      <family val="1"/>
      <charset val="128"/>
    </font>
    <font>
      <b/>
      <sz val="9"/>
      <color indexed="12"/>
      <name val="ＭＳ Ｐ明朝"/>
      <family val="1"/>
      <charset val="128"/>
    </font>
    <font>
      <sz val="1"/>
      <color indexed="9"/>
      <name val="ＭＳ Ｐ明朝"/>
      <family val="1"/>
      <charset val="128"/>
    </font>
    <font>
      <b/>
      <sz val="9"/>
      <color indexed="14"/>
      <name val="ＭＳ Ｐ明朝"/>
      <family val="1"/>
      <charset val="128"/>
    </font>
    <font>
      <b/>
      <sz val="6"/>
      <color indexed="14"/>
      <name val="ＭＳ Ｐ明朝"/>
      <family val="1"/>
      <charset val="128"/>
    </font>
    <font>
      <b/>
      <sz val="8"/>
      <color indexed="14"/>
      <name val="ＭＳ Ｐ明朝"/>
      <family val="1"/>
      <charset val="128"/>
    </font>
    <font>
      <b/>
      <sz val="12"/>
      <color indexed="9"/>
      <name val="HGPｺﾞｼｯｸE"/>
      <family val="3"/>
      <charset val="128"/>
    </font>
    <font>
      <b/>
      <sz val="10"/>
      <name val="HGPｺﾞｼｯｸE"/>
      <family val="3"/>
      <charset val="128"/>
    </font>
    <font>
      <b/>
      <sz val="9"/>
      <color indexed="53"/>
      <name val="HGPｺﾞｼｯｸE"/>
      <family val="3"/>
      <charset val="128"/>
    </font>
    <font>
      <b/>
      <sz val="9"/>
      <name val="HGPｺﾞｼｯｸE"/>
      <family val="3"/>
      <charset val="128"/>
    </font>
    <font>
      <b/>
      <vertAlign val="subscript"/>
      <sz val="10"/>
      <name val="ＭＳ 明朝"/>
      <family val="1"/>
      <charset val="128"/>
    </font>
    <font>
      <b/>
      <vertAlign val="subscript"/>
      <sz val="9"/>
      <name val="ＭＳ 明朝"/>
      <family val="1"/>
      <charset val="128"/>
    </font>
    <font>
      <b/>
      <vertAlign val="superscript"/>
      <sz val="9"/>
      <name val="ＭＳ Ｐ明朝"/>
      <family val="1"/>
      <charset val="128"/>
    </font>
    <font>
      <b/>
      <vertAlign val="superscript"/>
      <sz val="11"/>
      <name val="ＭＳ Ｐ明朝"/>
      <family val="1"/>
      <charset val="128"/>
    </font>
    <font>
      <b/>
      <sz val="3"/>
      <name val="ＭＳ Ｐ明朝"/>
      <family val="1"/>
      <charset val="128"/>
    </font>
    <font>
      <b/>
      <vertAlign val="superscript"/>
      <sz val="10"/>
      <name val="ＭＳ Ｐ明朝"/>
      <family val="1"/>
      <charset val="128"/>
    </font>
    <font>
      <b/>
      <sz val="14"/>
      <name val="HGP明朝E"/>
      <family val="1"/>
      <charset val="128"/>
    </font>
    <font>
      <b/>
      <sz val="14"/>
      <color indexed="18"/>
      <name val="HGP明朝E"/>
      <family val="1"/>
      <charset val="128"/>
    </font>
    <font>
      <b/>
      <sz val="12"/>
      <color indexed="18"/>
      <name val="HGP明朝E"/>
      <family val="1"/>
      <charset val="128"/>
    </font>
    <font>
      <sz val="8"/>
      <color indexed="22"/>
      <name val="HGP創英角ﾎﾟｯﾌﾟ体"/>
      <family val="3"/>
      <charset val="128"/>
    </font>
    <font>
      <sz val="9"/>
      <color indexed="12"/>
      <name val="ＭＳ Ｐゴシック"/>
      <family val="3"/>
      <charset val="128"/>
    </font>
    <font>
      <b/>
      <sz val="10"/>
      <name val="メイリオ"/>
      <family val="3"/>
      <charset val="128"/>
    </font>
    <font>
      <b/>
      <sz val="11"/>
      <name val="メイリオ"/>
      <family val="3"/>
      <charset val="128"/>
    </font>
    <font>
      <b/>
      <sz val="9"/>
      <name val="メイリオ"/>
      <family val="3"/>
      <charset val="128"/>
    </font>
    <font>
      <b/>
      <sz val="9"/>
      <color indexed="53"/>
      <name val="メイリオ"/>
      <family val="3"/>
      <charset val="128"/>
    </font>
    <font>
      <b/>
      <vertAlign val="subscript"/>
      <sz val="10"/>
      <name val="HGPｺﾞｼｯｸE"/>
      <family val="3"/>
      <charset val="128"/>
    </font>
    <font>
      <b/>
      <vertAlign val="superscript"/>
      <sz val="10"/>
      <name val="ＭＳ Ｐゴシック"/>
      <family val="3"/>
      <charset val="128"/>
    </font>
    <font>
      <sz val="8"/>
      <color indexed="12"/>
      <name val="ＭＳ Ｐゴシック"/>
      <family val="3"/>
      <charset val="128"/>
    </font>
    <font>
      <sz val="9"/>
      <color indexed="10"/>
      <name val="ＭＳ Ｐゴシック"/>
      <family val="3"/>
      <charset val="128"/>
    </font>
    <font>
      <b/>
      <sz val="8"/>
      <name val="Constantia"/>
      <family val="1"/>
    </font>
    <font>
      <b/>
      <i/>
      <sz val="9"/>
      <name val="ＭＳ Ｐ明朝"/>
      <family val="1"/>
      <charset val="128"/>
    </font>
    <font>
      <sz val="9"/>
      <name val="HGPｺﾞｼｯｸE"/>
      <family val="3"/>
      <charset val="128"/>
    </font>
    <font>
      <b/>
      <sz val="3"/>
      <name val="Meiryo UI"/>
      <family val="3"/>
      <charset val="128"/>
    </font>
    <font>
      <sz val="8"/>
      <color indexed="18"/>
      <name val="HGPｺﾞｼｯｸE"/>
      <family val="3"/>
      <charset val="128"/>
    </font>
    <font>
      <sz val="10"/>
      <color indexed="53"/>
      <name val="HGPｺﾞｼｯｸE"/>
      <family val="3"/>
      <charset val="128"/>
    </font>
    <font>
      <b/>
      <sz val="10"/>
      <color indexed="53"/>
      <name val="HGPｺﾞｼｯｸE"/>
      <family val="3"/>
      <charset val="128"/>
    </font>
    <font>
      <b/>
      <sz val="7"/>
      <color indexed="53"/>
      <name val="HGPｺﾞｼｯｸE"/>
      <family val="3"/>
      <charset val="128"/>
    </font>
    <font>
      <b/>
      <sz val="11"/>
      <color theme="9" tint="-0.499984740745262"/>
      <name val="ＭＳ Ｐゴシック"/>
      <family val="3"/>
      <charset val="128"/>
    </font>
    <font>
      <b/>
      <sz val="11"/>
      <color theme="9" tint="-0.499984740745262"/>
      <name val="HGPｺﾞｼｯｸE"/>
      <family val="3"/>
      <charset val="128"/>
    </font>
    <font>
      <vertAlign val="subscript"/>
      <sz val="11"/>
      <name val="Meiryo UI"/>
      <family val="3"/>
      <charset val="128"/>
    </font>
    <font>
      <b/>
      <sz val="1"/>
      <color indexed="9"/>
      <name val="HGP明朝E"/>
      <family val="1"/>
      <charset val="128"/>
    </font>
    <font>
      <sz val="11"/>
      <name val="HGPｺﾞｼｯｸE"/>
      <family val="3"/>
      <charset val="128"/>
    </font>
    <font>
      <sz val="9"/>
      <color theme="0"/>
      <name val="ＭＳ Ｐゴシック"/>
      <family val="3"/>
      <charset val="128"/>
    </font>
    <font>
      <b/>
      <sz val="10"/>
      <color indexed="12"/>
      <name val="ＭＳ Ｐゴシック"/>
      <family val="3"/>
      <charset val="128"/>
    </font>
    <font>
      <b/>
      <sz val="8.5"/>
      <color indexed="18"/>
      <name val="HGPｺﾞｼｯｸE"/>
      <family val="3"/>
      <charset val="128"/>
    </font>
    <font>
      <b/>
      <sz val="8"/>
      <color rgb="FF000099"/>
      <name val="Times New Roman"/>
      <family val="1"/>
    </font>
    <font>
      <sz val="8"/>
      <color rgb="FF000099"/>
      <name val="Times New Roman"/>
      <family val="1"/>
    </font>
    <font>
      <i/>
      <sz val="8"/>
      <color rgb="FF000099"/>
      <name val="Times New Roman"/>
      <family val="1"/>
    </font>
    <font>
      <b/>
      <sz val="9.5"/>
      <name val="HGPｺﾞｼｯｸE"/>
      <family val="3"/>
      <charset val="128"/>
    </font>
    <font>
      <b/>
      <sz val="9"/>
      <color rgb="FFC00000"/>
      <name val="ＭＳ Ｐゴシック"/>
      <family val="3"/>
      <charset val="128"/>
    </font>
    <font>
      <sz val="11"/>
      <color rgb="FFC00000"/>
      <name val="ＭＳ Ｐゴシック"/>
      <family val="3"/>
      <charset val="128"/>
    </font>
    <font>
      <b/>
      <sz val="10"/>
      <color indexed="12"/>
      <name val="ＭＳ Ｐ明朝"/>
      <family val="1"/>
      <charset val="128"/>
    </font>
    <font>
      <b/>
      <sz val="9"/>
      <color rgb="FFC00000"/>
      <name val="HGPｺﾞｼｯｸE"/>
      <family val="3"/>
      <charset val="128"/>
    </font>
    <font>
      <b/>
      <vertAlign val="subscript"/>
      <sz val="11"/>
      <name val="ＭＳ Ｐ明朝"/>
      <family val="1"/>
      <charset val="128"/>
    </font>
    <font>
      <b/>
      <sz val="6"/>
      <name val="ＭＳ Ｐ明朝"/>
      <family val="1"/>
      <charset val="128"/>
    </font>
    <font>
      <b/>
      <vertAlign val="subscript"/>
      <sz val="11"/>
      <color indexed="12"/>
      <name val="ＭＳ Ｐ明朝"/>
      <family val="1"/>
      <charset val="128"/>
    </font>
    <font>
      <b/>
      <vertAlign val="subscript"/>
      <sz val="9"/>
      <name val="ＭＳ Ｐ明朝"/>
      <family val="1"/>
      <charset val="128"/>
    </font>
    <font>
      <b/>
      <sz val="6"/>
      <color indexed="12"/>
      <name val="ＭＳ Ｐ明朝"/>
      <family val="1"/>
      <charset val="128"/>
    </font>
    <font>
      <b/>
      <vertAlign val="superscript"/>
      <sz val="11"/>
      <color rgb="FF0033CC"/>
      <name val="ＭＳ Ｐ明朝"/>
      <family val="1"/>
      <charset val="128"/>
    </font>
    <font>
      <b/>
      <sz val="6"/>
      <color indexed="18"/>
      <name val="HGP明朝E"/>
      <family val="1"/>
      <charset val="128"/>
    </font>
    <font>
      <b/>
      <sz val="8"/>
      <color indexed="18"/>
      <name val="Times New Roman"/>
      <family val="1"/>
    </font>
    <font>
      <b/>
      <sz val="9"/>
      <color indexed="12"/>
      <name val="Times New Roman"/>
      <family val="1"/>
    </font>
    <font>
      <sz val="11"/>
      <name val="Constantia"/>
      <family val="1"/>
    </font>
    <font>
      <vertAlign val="superscript"/>
      <sz val="8"/>
      <color indexed="18"/>
      <name val="Meiryo UI"/>
      <family val="3"/>
      <charset val="128"/>
    </font>
    <font>
      <b/>
      <sz val="8"/>
      <color indexed="18"/>
      <name val="Meiryo UI"/>
      <family val="3"/>
      <charset val="128"/>
    </font>
    <font>
      <sz val="6"/>
      <color indexed="18"/>
      <name val="Meiryo UI"/>
      <family val="3"/>
      <charset val="128"/>
    </font>
    <font>
      <b/>
      <sz val="6"/>
      <color indexed="18"/>
      <name val="Meiryo UI"/>
      <family val="3"/>
      <charset val="128"/>
    </font>
    <font>
      <sz val="7"/>
      <color indexed="18"/>
      <name val="Meiryo UI"/>
      <family val="3"/>
      <charset val="128"/>
    </font>
    <font>
      <sz val="3"/>
      <color indexed="18"/>
      <name val="Meiryo UI"/>
      <family val="3"/>
      <charset val="128"/>
    </font>
    <font>
      <b/>
      <sz val="9"/>
      <color indexed="18"/>
      <name val="Meiryo UI"/>
      <family val="3"/>
      <charset val="128"/>
    </font>
    <font>
      <sz val="9"/>
      <color indexed="9"/>
      <name val="HGPｺﾞｼｯｸE"/>
      <family val="3"/>
      <charset val="128"/>
    </font>
    <font>
      <sz val="9"/>
      <color rgb="FF002060"/>
      <name val="HGPｺﾞｼｯｸE"/>
      <family val="3"/>
      <charset val="128"/>
    </font>
    <font>
      <b/>
      <sz val="8"/>
      <color indexed="18"/>
      <name val="ＭＳ Ｐ明朝"/>
      <family val="1"/>
      <charset val="128"/>
    </font>
    <font>
      <sz val="8"/>
      <color indexed="53"/>
      <name val="HGPｺﾞｼｯｸE"/>
      <family val="3"/>
      <charset val="128"/>
    </font>
    <font>
      <b/>
      <sz val="12"/>
      <color indexed="81"/>
      <name val="HGPｺﾞｼｯｸE"/>
      <family val="3"/>
      <charset val="128"/>
    </font>
    <font>
      <b/>
      <sz val="14"/>
      <color indexed="18"/>
      <name val="HGPｺﾞｼｯｸE"/>
      <family val="3"/>
      <charset val="128"/>
    </font>
    <font>
      <b/>
      <sz val="18"/>
      <color indexed="18"/>
      <name val="HGPｺﾞｼｯｸE"/>
      <family val="3"/>
      <charset val="128"/>
    </font>
    <font>
      <b/>
      <sz val="9"/>
      <color indexed="81"/>
      <name val="HGPｺﾞｼｯｸE"/>
      <family val="3"/>
      <charset val="128"/>
    </font>
    <font>
      <vertAlign val="superscript"/>
      <sz val="11"/>
      <color indexed="32"/>
      <name val="Meiryo UI"/>
      <family val="3"/>
      <charset val="128"/>
    </font>
    <font>
      <vertAlign val="subscript"/>
      <sz val="11"/>
      <color indexed="32"/>
      <name val="Meiryo UI"/>
      <family val="3"/>
      <charset val="128"/>
    </font>
    <font>
      <sz val="16"/>
      <color indexed="32"/>
      <name val="Meiryo UI"/>
      <family val="3"/>
      <charset val="128"/>
    </font>
    <font>
      <vertAlign val="subscript"/>
      <sz val="9"/>
      <color indexed="32"/>
      <name val="Meiryo UI"/>
      <family val="3"/>
      <charset val="128"/>
    </font>
    <font>
      <vertAlign val="subscript"/>
      <sz val="10"/>
      <color indexed="32"/>
      <name val="Meiryo UI"/>
      <family val="3"/>
      <charset val="128"/>
    </font>
    <font>
      <b/>
      <sz val="9"/>
      <color indexed="18"/>
      <name val="Times New Roman"/>
      <family val="1"/>
    </font>
    <font>
      <b/>
      <i/>
      <sz val="9"/>
      <color indexed="18"/>
      <name val="Times New Roman"/>
      <family val="1"/>
    </font>
    <font>
      <b/>
      <sz val="9"/>
      <color indexed="18"/>
      <name val="HGPｺﾞｼｯｸE"/>
      <family val="3"/>
      <charset val="128"/>
    </font>
    <font>
      <b/>
      <sz val="18"/>
      <color indexed="37"/>
      <name val="ＭＳ Ｐ明朝"/>
      <family val="1"/>
      <charset val="128"/>
    </font>
    <font>
      <b/>
      <vertAlign val="superscript"/>
      <sz val="10"/>
      <color indexed="32"/>
      <name val="Meiryo UI"/>
      <family val="3"/>
      <charset val="128"/>
    </font>
    <font>
      <b/>
      <sz val="9"/>
      <color indexed="12"/>
      <name val="HGPｺﾞｼｯｸE"/>
      <family val="3"/>
      <charset val="128"/>
    </font>
    <font>
      <b/>
      <sz val="11"/>
      <color indexed="18"/>
      <name val="HGPｺﾞｼｯｸE"/>
      <family val="3"/>
      <charset val="128"/>
    </font>
    <font>
      <sz val="3"/>
      <color indexed="81"/>
      <name val="Meiryo UI"/>
      <family val="3"/>
      <charset val="128"/>
    </font>
    <font>
      <sz val="9"/>
      <color indexed="12"/>
      <name val="HGPｺﾞｼｯｸE"/>
      <family val="3"/>
      <charset val="128"/>
    </font>
    <font>
      <sz val="12"/>
      <color indexed="12"/>
      <name val="Meiryo UI"/>
      <family val="3"/>
      <charset val="128"/>
    </font>
    <font>
      <b/>
      <vertAlign val="subscript"/>
      <sz val="9"/>
      <color indexed="81"/>
      <name val="Meiryo UI"/>
      <family val="3"/>
      <charset val="128"/>
    </font>
    <font>
      <b/>
      <vertAlign val="subscript"/>
      <sz val="10"/>
      <color indexed="81"/>
      <name val="Meiryo UI"/>
      <family val="3"/>
      <charset val="128"/>
    </font>
    <font>
      <b/>
      <vertAlign val="subscript"/>
      <sz val="9"/>
      <color indexed="32"/>
      <name val="Meiryo UI"/>
      <family val="3"/>
      <charset val="128"/>
    </font>
    <font>
      <b/>
      <vertAlign val="subscript"/>
      <sz val="10"/>
      <color indexed="32"/>
      <name val="Meiryo UI"/>
      <family val="3"/>
      <charset val="128"/>
    </font>
    <font>
      <sz val="8"/>
      <color indexed="12"/>
      <name val="Meiryo UI"/>
      <family val="3"/>
      <charset val="128"/>
    </font>
    <font>
      <sz val="18"/>
      <color theme="1"/>
      <name val="ＭＳ Ｐゴシック"/>
      <family val="3"/>
      <charset val="128"/>
      <scheme val="minor"/>
    </font>
    <font>
      <sz val="10"/>
      <color indexed="81"/>
      <name val="ＭＳ ゴシック"/>
      <family val="3"/>
      <charset val="128"/>
    </font>
    <font>
      <sz val="10"/>
      <color theme="1"/>
      <name val="ＭＳ Ｐゴシック"/>
      <family val="3"/>
      <charset val="128"/>
      <scheme val="minor"/>
    </font>
    <font>
      <sz val="12"/>
      <color theme="1"/>
      <name val="ＭＳ Ｐゴシック"/>
      <family val="3"/>
      <charset val="128"/>
      <scheme val="minor"/>
    </font>
    <font>
      <sz val="12"/>
      <color indexed="32"/>
      <name val="ＭＳ ゴシック"/>
      <family val="3"/>
      <charset val="128"/>
    </font>
    <font>
      <sz val="10"/>
      <color indexed="81"/>
      <name val="ＭＳ Ｐゴシック"/>
      <family val="3"/>
      <charset val="128"/>
      <scheme val="minor"/>
    </font>
    <font>
      <sz val="11"/>
      <color indexed="81"/>
      <name val="ＭＳ Ｐゴシック"/>
      <family val="3"/>
      <charset val="128"/>
      <scheme val="minor"/>
    </font>
    <font>
      <sz val="18"/>
      <color indexed="18"/>
      <name val="HGPｺﾞｼｯｸE"/>
      <family val="3"/>
      <charset val="128"/>
    </font>
    <font>
      <b/>
      <vertAlign val="superscript"/>
      <sz val="8"/>
      <color indexed="32"/>
      <name val="Meiryo UI"/>
      <family val="3"/>
      <charset val="128"/>
    </font>
    <font>
      <sz val="9"/>
      <color indexed="81"/>
      <name val="HGPｺﾞｼｯｸE"/>
      <family val="3"/>
      <charset val="128"/>
    </font>
    <font>
      <sz val="7"/>
      <color indexed="81"/>
      <name val="ＭＳ ゴシック"/>
      <family val="3"/>
      <charset val="128"/>
    </font>
    <font>
      <b/>
      <sz val="11"/>
      <color theme="1" tint="0.14999847407452621"/>
      <name val="Times New Roman"/>
      <family val="1"/>
    </font>
    <font>
      <sz val="9"/>
      <color theme="0"/>
      <name val="メイリオ"/>
      <family val="3"/>
      <charset val="128"/>
    </font>
    <font>
      <b/>
      <sz val="11"/>
      <color theme="1" tint="4.9989318521683403E-2"/>
      <name val="メイリオ"/>
      <family val="3"/>
      <charset val="128"/>
    </font>
    <font>
      <b/>
      <sz val="11"/>
      <color theme="1" tint="4.9989318521683403E-2"/>
      <name val="ＭＳ Ｐゴシック"/>
      <family val="3"/>
      <charset val="128"/>
      <scheme val="minor"/>
    </font>
    <font>
      <b/>
      <sz val="10"/>
      <color theme="1" tint="4.9989318521683403E-2"/>
      <name val="メイリオ"/>
      <family val="3"/>
      <charset val="128"/>
    </font>
    <font>
      <b/>
      <sz val="8"/>
      <color theme="1" tint="4.9989318521683403E-2"/>
      <name val="HG明朝B"/>
      <family val="1"/>
      <charset val="128"/>
    </font>
    <font>
      <sz val="12"/>
      <color theme="0"/>
      <name val="HGPｺﾞｼｯｸE"/>
      <family val="3"/>
      <charset val="128"/>
    </font>
    <font>
      <b/>
      <sz val="12"/>
      <color theme="0"/>
      <name val="HGPｺﾞｼｯｸE"/>
      <family val="3"/>
      <charset val="128"/>
    </font>
    <font>
      <b/>
      <sz val="11"/>
      <color theme="0" tint="-4.9989318521683403E-2"/>
      <name val="Times New Roman"/>
      <family val="1"/>
    </font>
  </fonts>
  <fills count="62">
    <fill>
      <patternFill patternType="none"/>
    </fill>
    <fill>
      <patternFill patternType="gray125"/>
    </fill>
    <fill>
      <patternFill patternType="solid">
        <fgColor theme="0" tint="-4.9989318521683403E-2"/>
        <bgColor rgb="FFF5F5F5"/>
      </patternFill>
    </fill>
    <fill>
      <patternFill patternType="solid">
        <fgColor theme="0" tint="-4.9989318521683403E-2"/>
        <bgColor indexed="64"/>
      </patternFill>
    </fill>
    <fill>
      <patternFill patternType="solid">
        <fgColor theme="0"/>
        <bgColor rgb="FFF5F5F5"/>
      </patternFill>
    </fill>
    <fill>
      <patternFill patternType="solid">
        <fgColor rgb="FFE1E1AF"/>
        <bgColor rgb="FFF5F5F5"/>
      </patternFill>
    </fill>
    <fill>
      <patternFill patternType="solid">
        <fgColor theme="0" tint="-0.14999847407452621"/>
        <bgColor indexed="64"/>
      </patternFill>
    </fill>
    <fill>
      <patternFill patternType="solid">
        <fgColor rgb="FFFFFFCC"/>
        <bgColor rgb="FFF5F5F5"/>
      </patternFill>
    </fill>
    <fill>
      <patternFill patternType="solid">
        <fgColor indexed="9"/>
        <bgColor indexed="64"/>
      </patternFill>
    </fill>
    <fill>
      <patternFill patternType="solid">
        <fgColor theme="0" tint="-0.14999847407452621"/>
        <bgColor rgb="FFF5F5F5"/>
      </patternFill>
    </fill>
    <fill>
      <patternFill patternType="solid">
        <fgColor rgb="FFE1FFFF"/>
        <bgColor rgb="FFF5F5F5"/>
      </patternFill>
    </fill>
    <fill>
      <patternFill patternType="solid">
        <fgColor rgb="FF0000FF"/>
        <bgColor indexed="64"/>
      </patternFill>
    </fill>
    <fill>
      <patternFill patternType="solid">
        <fgColor rgb="FF000099"/>
        <bgColor rgb="FFF5F5F5"/>
      </patternFill>
    </fill>
    <fill>
      <patternFill patternType="solid">
        <fgColor rgb="FFFFFFCC"/>
        <bgColor indexed="64"/>
      </patternFill>
    </fill>
    <fill>
      <patternFill patternType="solid">
        <fgColor indexed="55"/>
        <bgColor indexed="64"/>
      </patternFill>
    </fill>
    <fill>
      <patternFill patternType="solid">
        <fgColor rgb="FFE1E1AF"/>
        <bgColor indexed="64"/>
      </patternFill>
    </fill>
    <fill>
      <patternFill patternType="solid">
        <fgColor theme="0"/>
        <bgColor indexed="64"/>
      </patternFill>
    </fill>
    <fill>
      <patternFill patternType="solid">
        <fgColor theme="1" tint="0.499984740745262"/>
        <bgColor indexed="64"/>
      </patternFill>
    </fill>
    <fill>
      <patternFill patternType="solid">
        <fgColor rgb="FFCCECFF"/>
        <bgColor rgb="FFF5F5F5"/>
      </patternFill>
    </fill>
    <fill>
      <patternFill patternType="solid">
        <fgColor rgb="FFE1FFFF"/>
        <bgColor indexed="64"/>
      </patternFill>
    </fill>
    <fill>
      <patternFill patternType="solid">
        <fgColor rgb="FFCCFFFF"/>
        <bgColor indexed="64"/>
      </patternFill>
    </fill>
    <fill>
      <patternFill patternType="solid">
        <fgColor rgb="FF000099"/>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rgb="FF002060"/>
        <bgColor indexed="64"/>
      </patternFill>
    </fill>
    <fill>
      <patternFill patternType="solid">
        <fgColor rgb="FFFFFFB4"/>
        <bgColor indexed="64"/>
      </patternFill>
    </fill>
    <fill>
      <patternFill patternType="solid">
        <fgColor theme="0"/>
        <bgColor indexed="26"/>
      </patternFill>
    </fill>
    <fill>
      <patternFill patternType="solid">
        <fgColor theme="0"/>
        <bgColor theme="0"/>
      </patternFill>
    </fill>
    <fill>
      <patternFill patternType="solid">
        <fgColor indexed="31"/>
        <bgColor indexed="64"/>
      </patternFill>
    </fill>
    <fill>
      <patternFill patternType="solid">
        <fgColor rgb="FFCCECFF"/>
        <bgColor indexed="64"/>
      </patternFill>
    </fill>
    <fill>
      <patternFill patternType="solid">
        <fgColor indexed="26"/>
        <bgColor indexed="64"/>
      </patternFill>
    </fill>
    <fill>
      <patternFill patternType="solid">
        <fgColor rgb="FFFFFFFF"/>
        <bgColor indexed="64"/>
      </patternFill>
    </fill>
    <fill>
      <patternFill patternType="solid">
        <fgColor rgb="FF0033CC"/>
        <bgColor indexed="64"/>
      </patternFill>
    </fill>
    <fill>
      <patternFill patternType="solid">
        <fgColor theme="0" tint="-0.249977111117893"/>
        <bgColor indexed="64"/>
      </patternFill>
    </fill>
    <fill>
      <patternFill patternType="solid">
        <fgColor rgb="FFFFFFD2"/>
        <bgColor rgb="FFF5F5F5"/>
      </patternFill>
    </fill>
    <fill>
      <patternFill patternType="solid">
        <fgColor theme="4" tint="0.59996337778862885"/>
        <bgColor rgb="FFF5F5F5"/>
      </patternFill>
    </fill>
    <fill>
      <patternFill patternType="solid">
        <fgColor theme="0" tint="-0.499984740745262"/>
        <bgColor rgb="FFF5F5F5"/>
      </patternFill>
    </fill>
    <fill>
      <patternFill patternType="solid">
        <fgColor rgb="FFFFFFCC"/>
        <bgColor theme="0"/>
      </patternFill>
    </fill>
    <fill>
      <patternFill patternType="solid">
        <fgColor rgb="FFE1FFFF"/>
        <bgColor theme="0"/>
      </patternFill>
    </fill>
    <fill>
      <patternFill patternType="solid">
        <fgColor theme="0" tint="-0.14996795556505021"/>
        <bgColor rgb="FFF5F5F5"/>
      </patternFill>
    </fill>
    <fill>
      <patternFill patternType="solid">
        <fgColor theme="0" tint="-4.9989318521683403E-2"/>
        <bgColor theme="0"/>
      </patternFill>
    </fill>
    <fill>
      <patternFill patternType="solid">
        <fgColor rgb="FFFFFFCC"/>
        <bgColor indexed="41"/>
      </patternFill>
    </fill>
    <fill>
      <patternFill patternType="solid">
        <fgColor theme="0" tint="-4.9989318521683403E-2"/>
        <bgColor indexed="41"/>
      </patternFill>
    </fill>
    <fill>
      <patternFill patternType="solid">
        <fgColor theme="0" tint="-0.14999847407452621"/>
        <bgColor theme="0"/>
      </patternFill>
    </fill>
    <fill>
      <patternFill patternType="solid">
        <fgColor theme="0" tint="-0.14999847407452621"/>
        <bgColor indexed="41"/>
      </patternFill>
    </fill>
    <fill>
      <patternFill patternType="solid">
        <fgColor rgb="FF0066CC"/>
        <bgColor indexed="64"/>
      </patternFill>
    </fill>
    <fill>
      <patternFill patternType="solid">
        <fgColor indexed="9"/>
        <bgColor indexed="9"/>
      </patternFill>
    </fill>
    <fill>
      <patternFill patternType="solid">
        <fgColor indexed="31"/>
        <bgColor indexed="9"/>
      </patternFill>
    </fill>
    <fill>
      <patternFill patternType="solid">
        <fgColor indexed="9"/>
        <bgColor indexed="43"/>
      </patternFill>
    </fill>
    <fill>
      <patternFill patternType="solid">
        <fgColor indexed="8"/>
        <bgColor indexed="43"/>
      </patternFill>
    </fill>
    <fill>
      <patternFill patternType="solid">
        <fgColor theme="0" tint="-4.9989318521683403E-2"/>
        <bgColor indexed="26"/>
      </patternFill>
    </fill>
    <fill>
      <patternFill patternType="mediumGray">
        <fgColor indexed="26"/>
        <bgColor indexed="9"/>
      </patternFill>
    </fill>
    <fill>
      <patternFill patternType="mediumGray">
        <fgColor indexed="62"/>
        <bgColor indexed="56"/>
      </patternFill>
    </fill>
    <fill>
      <patternFill patternType="mediumGray">
        <fgColor indexed="26"/>
        <bgColor theme="0"/>
      </patternFill>
    </fill>
    <fill>
      <patternFill patternType="solid">
        <fgColor theme="3"/>
        <bgColor indexed="62"/>
      </patternFill>
    </fill>
    <fill>
      <patternFill patternType="solid">
        <fgColor rgb="FFFFFFCC"/>
        <bgColor indexed="9"/>
      </patternFill>
    </fill>
    <fill>
      <patternFill patternType="solid">
        <fgColor rgb="FFFFFFCC"/>
        <bgColor indexed="26"/>
      </patternFill>
    </fill>
    <fill>
      <patternFill patternType="solid">
        <fgColor rgb="FFE1FFFF"/>
        <bgColor rgb="FFE1FFFF"/>
      </patternFill>
    </fill>
    <fill>
      <patternFill patternType="solid">
        <fgColor theme="0" tint="-0.24994659260841701"/>
        <bgColor indexed="64"/>
      </patternFill>
    </fill>
    <fill>
      <patternFill patternType="solid">
        <fgColor rgb="FFCCCCFF"/>
        <bgColor indexed="64"/>
      </patternFill>
    </fill>
    <fill>
      <patternFill patternType="solid">
        <fgColor theme="3" tint="0.39994506668294322"/>
        <bgColor indexed="64"/>
      </patternFill>
    </fill>
    <fill>
      <patternFill patternType="mediumGray">
        <fgColor indexed="62"/>
        <bgColor rgb="FF0000FF"/>
      </patternFill>
    </fill>
  </fills>
  <borders count="655">
    <border>
      <left/>
      <right/>
      <top/>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99"/>
      </left>
      <right style="thin">
        <color rgb="FF000099"/>
      </right>
      <top style="thin">
        <color rgb="FF000099"/>
      </top>
      <bottom/>
      <diagonal/>
    </border>
    <border>
      <left style="thin">
        <color rgb="FF0033CC"/>
      </left>
      <right style="thin">
        <color rgb="FF0033CC"/>
      </right>
      <top style="thin">
        <color rgb="FF0033CC"/>
      </top>
      <bottom style="thin">
        <color rgb="FF0033CC"/>
      </bottom>
      <diagonal/>
    </border>
    <border>
      <left/>
      <right style="thin">
        <color rgb="FF0033CC"/>
      </right>
      <top style="thin">
        <color rgb="FF0033CC"/>
      </top>
      <bottom style="thin">
        <color rgb="FF0033CC"/>
      </bottom>
      <diagonal/>
    </border>
    <border>
      <left style="thin">
        <color rgb="FF0033CC"/>
      </left>
      <right/>
      <top/>
      <bottom style="thin">
        <color rgb="FF0033CC"/>
      </bottom>
      <diagonal/>
    </border>
    <border>
      <left/>
      <right/>
      <top/>
      <bottom style="thin">
        <color rgb="FF0070C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rgb="FF0070C0"/>
      </left>
      <right/>
      <top style="thin">
        <color rgb="FF0070C0"/>
      </top>
      <bottom/>
      <diagonal/>
    </border>
    <border>
      <left/>
      <right style="thin">
        <color rgb="FF0070C0"/>
      </right>
      <top style="thin">
        <color rgb="FF0070C0"/>
      </top>
      <bottom/>
      <diagonal/>
    </border>
    <border>
      <left/>
      <right/>
      <top style="thin">
        <color rgb="FF0070C0"/>
      </top>
      <bottom/>
      <diagonal/>
    </border>
    <border>
      <left/>
      <right style="thin">
        <color rgb="FF0070C0"/>
      </right>
      <top/>
      <bottom/>
      <diagonal/>
    </border>
    <border>
      <left style="thin">
        <color rgb="FF0070C0"/>
      </left>
      <right/>
      <top/>
      <bottom/>
      <diagonal/>
    </border>
    <border>
      <left style="thin">
        <color rgb="FF0070C0"/>
      </left>
      <right/>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right style="thin">
        <color rgb="FF0070C0"/>
      </right>
      <top/>
      <bottom style="thin">
        <color rgb="FF0070C0"/>
      </bottom>
      <diagonal/>
    </border>
    <border>
      <left style="thin">
        <color rgb="FF0070C0"/>
      </left>
      <right/>
      <top style="thin">
        <color rgb="FF0070C0"/>
      </top>
      <bottom style="thin">
        <color rgb="FF0070C0"/>
      </bottom>
      <diagonal/>
    </border>
    <border>
      <left style="thin">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diagonal/>
    </border>
    <border>
      <left style="thin">
        <color rgb="FF0070C0"/>
      </left>
      <right style="thin">
        <color rgb="FF0070C0"/>
      </right>
      <top style="thin">
        <color rgb="FF0070C0"/>
      </top>
      <bottom style="thin">
        <color rgb="FF0070C0"/>
      </bottom>
      <diagonal/>
    </border>
    <border>
      <left style="thin">
        <color rgb="FF000099"/>
      </left>
      <right/>
      <top style="thin">
        <color rgb="FF000099"/>
      </top>
      <bottom/>
      <diagonal/>
    </border>
    <border>
      <left/>
      <right/>
      <top style="thin">
        <color rgb="FF000099"/>
      </top>
      <bottom/>
      <diagonal/>
    </border>
    <border>
      <left style="thin">
        <color rgb="FF0070C0"/>
      </left>
      <right/>
      <top style="hair">
        <color rgb="FF0070C0"/>
      </top>
      <bottom style="hair">
        <color rgb="FF0070C0"/>
      </bottom>
      <diagonal/>
    </border>
    <border>
      <left/>
      <right style="thin">
        <color rgb="FF0070C0"/>
      </right>
      <top style="hair">
        <color rgb="FF0070C0"/>
      </top>
      <bottom style="hair">
        <color rgb="FF0070C0"/>
      </bottom>
      <diagonal/>
    </border>
    <border>
      <left/>
      <right/>
      <top style="hair">
        <color rgb="FF0070C0"/>
      </top>
      <bottom style="hair">
        <color rgb="FF0070C0"/>
      </bottom>
      <diagonal/>
    </border>
    <border>
      <left style="medium">
        <color theme="0"/>
      </left>
      <right style="medium">
        <color theme="0"/>
      </right>
      <top style="medium">
        <color theme="0"/>
      </top>
      <bottom style="medium">
        <color theme="0"/>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hair">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style="hair">
        <color auto="1"/>
      </left>
      <right style="thin">
        <color auto="1"/>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rgb="FF0000FF"/>
      </left>
      <right style="medium">
        <color rgb="FF0000FF"/>
      </right>
      <top style="medium">
        <color rgb="FF0000FF"/>
      </top>
      <bottom style="medium">
        <color rgb="FF0000FF"/>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hair">
        <color indexed="64"/>
      </bottom>
      <diagonal/>
    </border>
    <border>
      <left/>
      <right style="hair">
        <color indexed="64"/>
      </right>
      <top/>
      <bottom style="hair">
        <color indexed="64"/>
      </bottom>
      <diagonal/>
    </border>
    <border>
      <left style="thin">
        <color auto="1"/>
      </left>
      <right style="thin">
        <color auto="1"/>
      </right>
      <top/>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right style="medium">
        <color indexed="64"/>
      </right>
      <top style="hair">
        <color indexed="64"/>
      </top>
      <bottom/>
      <diagonal/>
    </border>
    <border>
      <left/>
      <right/>
      <top style="medium">
        <color auto="1"/>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thin">
        <color rgb="FF0033CC"/>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style="thin">
        <color rgb="FF0070C0"/>
      </left>
      <right style="thin">
        <color rgb="FF0070C0"/>
      </right>
      <top style="thin">
        <color rgb="FF0070C0"/>
      </top>
      <bottom style="hair">
        <color rgb="FF0070C0"/>
      </bottom>
      <diagonal/>
    </border>
    <border>
      <left style="thin">
        <color rgb="FF0070C0"/>
      </left>
      <right style="thin">
        <color rgb="FF0070C0"/>
      </right>
      <top style="hair">
        <color rgb="FF0070C0"/>
      </top>
      <bottom style="thin">
        <color rgb="FF0070C0"/>
      </bottom>
      <diagonal/>
    </border>
    <border>
      <left/>
      <right style="hair">
        <color indexed="64"/>
      </right>
      <top style="thin">
        <color indexed="64"/>
      </top>
      <bottom style="thin">
        <color indexed="64"/>
      </bottom>
      <diagonal/>
    </border>
    <border>
      <left/>
      <right/>
      <top/>
      <bottom style="thin">
        <color rgb="FF002060"/>
      </bottom>
      <diagonal/>
    </border>
    <border>
      <left/>
      <right style="medium">
        <color indexed="64"/>
      </right>
      <top style="thin">
        <color indexed="64"/>
      </top>
      <bottom style="hair">
        <color indexed="64"/>
      </bottom>
      <diagonal/>
    </border>
    <border>
      <left style="thin">
        <color rgb="FF0033CC"/>
      </left>
      <right/>
      <top style="thin">
        <color rgb="FF0033CC"/>
      </top>
      <bottom/>
      <diagonal/>
    </border>
    <border>
      <left/>
      <right/>
      <top style="thin">
        <color rgb="FF0033CC"/>
      </top>
      <bottom/>
      <diagonal/>
    </border>
    <border>
      <left/>
      <right style="thin">
        <color rgb="FF0033CC"/>
      </right>
      <top/>
      <bottom style="thin">
        <color rgb="FF0033CC"/>
      </bottom>
      <diagonal/>
    </border>
    <border>
      <left/>
      <right style="medium">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ck">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auto="1"/>
      </right>
      <top style="thin">
        <color indexed="64"/>
      </top>
      <bottom/>
      <diagonal/>
    </border>
    <border>
      <left style="hair">
        <color indexed="64"/>
      </left>
      <right style="thin">
        <color indexed="64"/>
      </right>
      <top style="thin">
        <color indexed="64"/>
      </top>
      <bottom style="thin">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hair">
        <color indexed="64"/>
      </top>
      <bottom/>
      <diagonal/>
    </border>
    <border>
      <left/>
      <right style="thin">
        <color rgb="FF000099"/>
      </right>
      <top style="thin">
        <color rgb="FF000099"/>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bottom/>
      <diagonal/>
    </border>
    <border>
      <left/>
      <right style="medium">
        <color theme="0"/>
      </right>
      <top/>
      <bottom/>
      <diagonal/>
    </border>
    <border>
      <left style="thin">
        <color rgb="FF0033CC"/>
      </left>
      <right style="thin">
        <color rgb="FF002060"/>
      </right>
      <top style="thin">
        <color rgb="FF0033CC"/>
      </top>
      <bottom style="thin">
        <color rgb="FF0033CC"/>
      </bottom>
      <diagonal/>
    </border>
    <border>
      <left style="thin">
        <color indexed="64"/>
      </left>
      <right style="thin">
        <color indexed="64"/>
      </right>
      <top style="medium">
        <color indexed="64"/>
      </top>
      <bottom style="thin">
        <color indexed="64"/>
      </bottom>
      <diagonal/>
    </border>
    <border>
      <left/>
      <right style="thin">
        <color rgb="FFC00000"/>
      </right>
      <top style="thin">
        <color indexed="64"/>
      </top>
      <bottom/>
      <diagonal/>
    </border>
    <border>
      <left style="thin">
        <color rgb="FFC00000"/>
      </left>
      <right/>
      <top style="thin">
        <color indexed="64"/>
      </top>
      <bottom/>
      <diagonal/>
    </border>
    <border>
      <left style="thin">
        <color rgb="FF00B0F0"/>
      </left>
      <right/>
      <top style="thin">
        <color rgb="FF00B0F0"/>
      </top>
      <bottom style="thin">
        <color rgb="FF00B0F0"/>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double">
        <color auto="1"/>
      </top>
      <bottom style="double">
        <color auto="1"/>
      </bottom>
      <diagonal/>
    </border>
    <border>
      <left style="double">
        <color auto="1"/>
      </left>
      <right/>
      <top style="double">
        <color auto="1"/>
      </top>
      <bottom style="double">
        <color auto="1"/>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auto="1"/>
      </bottom>
      <diagonal/>
    </border>
    <border>
      <left/>
      <right style="thin">
        <color indexed="64"/>
      </right>
      <top style="thin">
        <color auto="1"/>
      </top>
      <bottom style="medium">
        <color indexed="64"/>
      </bottom>
      <diagonal/>
    </border>
    <border>
      <left style="thin">
        <color indexed="64"/>
      </left>
      <right style="thin">
        <color indexed="64"/>
      </right>
      <top style="thin">
        <color indexed="64"/>
      </top>
      <bottom style="medium">
        <color auto="1"/>
      </bottom>
      <diagonal/>
    </border>
    <border>
      <left style="medium">
        <color auto="1"/>
      </left>
      <right style="thin">
        <color auto="1"/>
      </right>
      <top style="thin">
        <color auto="1"/>
      </top>
      <bottom style="medium">
        <color auto="1"/>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99"/>
      </left>
      <right/>
      <top style="thin">
        <color rgb="FF000099"/>
      </top>
      <bottom style="thin">
        <color rgb="FF000099"/>
      </bottom>
      <diagonal/>
    </border>
    <border>
      <left/>
      <right style="thin">
        <color rgb="FF000099"/>
      </right>
      <top/>
      <bottom style="thin">
        <color rgb="FF000099"/>
      </bottom>
      <diagonal/>
    </border>
    <border>
      <left/>
      <right/>
      <top/>
      <bottom style="thin">
        <color rgb="FF000099"/>
      </bottom>
      <diagonal/>
    </border>
    <border>
      <left/>
      <right style="thin">
        <color rgb="FF000099"/>
      </right>
      <top style="thin">
        <color indexed="64"/>
      </top>
      <bottom style="thin">
        <color indexed="64"/>
      </bottom>
      <diagonal/>
    </border>
    <border>
      <left/>
      <right style="thin">
        <color indexed="64"/>
      </right>
      <top style="thin">
        <color rgb="FF000099"/>
      </top>
      <bottom style="thin">
        <color rgb="FF000099"/>
      </bottom>
      <diagonal/>
    </border>
    <border>
      <left/>
      <right/>
      <top style="thin">
        <color rgb="FF000099"/>
      </top>
      <bottom style="thin">
        <color rgb="FF000099"/>
      </bottom>
      <diagonal/>
    </border>
    <border>
      <left style="thin">
        <color rgb="FF000099"/>
      </left>
      <right/>
      <top/>
      <bottom/>
      <diagonal/>
    </border>
    <border>
      <left/>
      <right style="thin">
        <color rgb="FF000099"/>
      </right>
      <top style="thin">
        <color rgb="FF000099"/>
      </top>
      <bottom style="thin">
        <color rgb="FF000099"/>
      </bottom>
      <diagonal/>
    </border>
    <border>
      <left/>
      <right style="thin">
        <color rgb="FF000099"/>
      </right>
      <top style="thin">
        <color indexed="64"/>
      </top>
      <bottom style="thin">
        <color rgb="FF000099"/>
      </bottom>
      <diagonal/>
    </border>
    <border>
      <left/>
      <right/>
      <top style="thin">
        <color indexed="64"/>
      </top>
      <bottom style="thin">
        <color rgb="FF000099"/>
      </bottom>
      <diagonal/>
    </border>
    <border>
      <left style="thin">
        <color rgb="FF000099"/>
      </left>
      <right/>
      <top style="thin">
        <color indexed="64"/>
      </top>
      <bottom style="thin">
        <color rgb="FF000099"/>
      </bottom>
      <diagonal/>
    </border>
    <border>
      <left style="thin">
        <color indexed="64"/>
      </left>
      <right/>
      <top style="thin">
        <color rgb="FF000099"/>
      </top>
      <bottom style="thin">
        <color rgb="FF000099"/>
      </bottom>
      <diagonal/>
    </border>
    <border>
      <left/>
      <right style="thin">
        <color rgb="FF000099"/>
      </right>
      <top/>
      <bottom/>
      <diagonal/>
    </border>
    <border>
      <left/>
      <right style="thin">
        <color rgb="FF000099"/>
      </right>
      <top style="thin">
        <color rgb="FF000099"/>
      </top>
      <bottom style="thin">
        <color indexed="64"/>
      </bottom>
      <diagonal/>
    </border>
    <border>
      <left/>
      <right/>
      <top style="thin">
        <color rgb="FF000099"/>
      </top>
      <bottom style="thin">
        <color indexed="64"/>
      </bottom>
      <diagonal/>
    </border>
    <border>
      <left style="thin">
        <color rgb="FF000099"/>
      </left>
      <right/>
      <top style="thin">
        <color rgb="FF000099"/>
      </top>
      <bottom style="thin">
        <color auto="1"/>
      </bottom>
      <diagonal/>
    </border>
    <border>
      <left style="dashDot">
        <color auto="1"/>
      </left>
      <right/>
      <top/>
      <bottom/>
      <diagonal/>
    </border>
    <border>
      <left/>
      <right style="dashDot">
        <color auto="1"/>
      </right>
      <top/>
      <bottom/>
      <diagonal/>
    </border>
    <border>
      <left style="dashDot">
        <color auto="1"/>
      </left>
      <right/>
      <top style="medium">
        <color auto="1"/>
      </top>
      <bottom/>
      <diagonal/>
    </border>
    <border>
      <left/>
      <right style="dashDot">
        <color auto="1"/>
      </right>
      <top style="medium">
        <color auto="1"/>
      </top>
      <bottom/>
      <diagonal/>
    </border>
    <border>
      <left style="medium">
        <color indexed="64"/>
      </left>
      <right/>
      <top/>
      <bottom style="medium">
        <color indexed="64"/>
      </bottom>
      <diagonal/>
    </border>
    <border>
      <left style="thin">
        <color rgb="FF0033CC"/>
      </left>
      <right style="medium">
        <color auto="1"/>
      </right>
      <top style="thin">
        <color rgb="FF0033CC"/>
      </top>
      <bottom style="thin">
        <color rgb="FF0033CC"/>
      </bottom>
      <diagonal/>
    </border>
    <border>
      <left style="thin">
        <color auto="1"/>
      </left>
      <right/>
      <top style="thin">
        <color auto="1"/>
      </top>
      <bottom style="thin">
        <color rgb="FF000099"/>
      </bottom>
      <diagonal/>
    </border>
    <border>
      <left style="medium">
        <color indexed="64"/>
      </left>
      <right/>
      <top/>
      <bottom/>
      <diagonal/>
    </border>
    <border>
      <left style="medium">
        <color auto="1"/>
      </left>
      <right style="thin">
        <color auto="1"/>
      </right>
      <top style="thin">
        <color auto="1"/>
      </top>
      <bottom/>
      <diagonal/>
    </border>
    <border>
      <left/>
      <right style="medium">
        <color indexed="64"/>
      </right>
      <top/>
      <bottom style="thin">
        <color rgb="FF0033CC"/>
      </bottom>
      <diagonal/>
    </border>
    <border>
      <left style="thin">
        <color auto="1"/>
      </left>
      <right style="medium">
        <color auto="1"/>
      </right>
      <top style="thin">
        <color auto="1"/>
      </top>
      <bottom style="thin">
        <color auto="1"/>
      </bottom>
      <diagonal/>
    </border>
    <border>
      <left/>
      <right style="medium">
        <color indexed="64"/>
      </right>
      <top style="dashDot">
        <color auto="1"/>
      </top>
      <bottom/>
      <diagonal/>
    </border>
    <border>
      <left/>
      <right/>
      <top style="dashDot">
        <color auto="1"/>
      </top>
      <bottom/>
      <diagonal/>
    </border>
    <border>
      <left style="medium">
        <color auto="1"/>
      </left>
      <right style="thin">
        <color auto="1"/>
      </right>
      <top style="thin">
        <color auto="1"/>
      </top>
      <bottom style="mediumDashDot">
        <color rgb="FFFF0000"/>
      </bottom>
      <diagonal/>
    </border>
    <border>
      <left style="thin">
        <color auto="1"/>
      </left>
      <right style="medium">
        <color auto="1"/>
      </right>
      <top style="medium">
        <color auto="1"/>
      </top>
      <bottom style="thin">
        <color auto="1"/>
      </bottom>
      <diagonal/>
    </border>
    <border>
      <left style="mediumDashDot">
        <color rgb="FFFF0000"/>
      </left>
      <right style="thin">
        <color auto="1"/>
      </right>
      <top style="medium">
        <color auto="1"/>
      </top>
      <bottom style="thin">
        <color auto="1"/>
      </bottom>
      <diagonal/>
    </border>
    <border>
      <left style="dashDot">
        <color indexed="64"/>
      </left>
      <right style="mediumDashDot">
        <color rgb="FFFF0000"/>
      </right>
      <top style="medium">
        <color auto="1"/>
      </top>
      <bottom style="thin">
        <color auto="1"/>
      </bottom>
      <diagonal/>
    </border>
    <border>
      <left style="thin">
        <color indexed="64"/>
      </left>
      <right style="dashDot">
        <color indexed="64"/>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bottom style="dashDot">
        <color auto="1"/>
      </bottom>
      <diagonal/>
    </border>
    <border>
      <left style="mediumDashDot">
        <color rgb="FFFF0000"/>
      </left>
      <right/>
      <top/>
      <bottom/>
      <diagonal/>
    </border>
    <border>
      <left/>
      <right style="dashDot">
        <color indexed="64"/>
      </right>
      <top/>
      <bottom style="medium">
        <color auto="1"/>
      </bottom>
      <diagonal/>
    </border>
    <border>
      <left/>
      <right style="mediumDashDot">
        <color rgb="FFFF0000"/>
      </right>
      <top/>
      <bottom/>
      <diagonal/>
    </border>
    <border>
      <left style="thin">
        <color rgb="FF0033CC"/>
      </left>
      <right/>
      <top/>
      <bottom/>
      <diagonal/>
    </border>
    <border>
      <left style="thin">
        <color rgb="FF000099"/>
      </left>
      <right style="thin">
        <color rgb="FF000099"/>
      </right>
      <top style="thin">
        <color rgb="FF000099"/>
      </top>
      <bottom style="thin">
        <color rgb="FF000099"/>
      </bottom>
      <diagonal/>
    </border>
    <border>
      <left style="medium">
        <color indexed="64"/>
      </left>
      <right style="thin">
        <color indexed="64"/>
      </right>
      <top/>
      <bottom/>
      <diagonal/>
    </border>
    <border>
      <left style="thin">
        <color indexed="64"/>
      </left>
      <right/>
      <top style="thin">
        <color rgb="FF000099"/>
      </top>
      <bottom/>
      <diagonal/>
    </border>
    <border>
      <left style="thin">
        <color rgb="FF000099"/>
      </left>
      <right/>
      <top/>
      <bottom style="thin">
        <color rgb="FF000099"/>
      </bottom>
      <diagonal/>
    </border>
    <border>
      <left style="thin">
        <color rgb="FF000099"/>
      </left>
      <right style="thin">
        <color rgb="FF000099"/>
      </right>
      <top/>
      <bottom style="thin">
        <color rgb="FF000099"/>
      </bottom>
      <diagonal/>
    </border>
    <border>
      <left/>
      <right style="medium">
        <color indexed="64"/>
      </right>
      <top style="medium">
        <color indexed="64"/>
      </top>
      <bottom/>
      <diagonal/>
    </border>
    <border>
      <left/>
      <right/>
      <top style="medium">
        <color auto="1"/>
      </top>
      <bottom style="mediumDashDot">
        <color rgb="FFFF0000"/>
      </bottom>
      <diagonal/>
    </border>
    <border>
      <left style="medium">
        <color indexed="64"/>
      </left>
      <right/>
      <top style="medium">
        <color indexed="64"/>
      </top>
      <bottom/>
      <diagonal/>
    </border>
    <border>
      <left style="double">
        <color auto="1"/>
      </left>
      <right/>
      <top/>
      <bottom/>
      <diagonal/>
    </border>
    <border>
      <left/>
      <right style="thin">
        <color auto="1"/>
      </right>
      <top style="thin">
        <color auto="1"/>
      </top>
      <bottom style="medium">
        <color rgb="FF0070C0"/>
      </bottom>
      <diagonal/>
    </border>
    <border>
      <left style="thin">
        <color indexed="64"/>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rgb="FFFF0000"/>
      </top>
      <bottom style="thin">
        <color rgb="FFFF0000"/>
      </bottom>
      <diagonal/>
    </border>
    <border>
      <left style="thin">
        <color indexed="64"/>
      </left>
      <right style="thin">
        <color indexed="64"/>
      </right>
      <top style="thin">
        <color indexed="64"/>
      </top>
      <bottom style="hair">
        <color indexed="64"/>
      </bottom>
      <diagonal/>
    </border>
    <border>
      <left/>
      <right style="thin">
        <color rgb="FFFF0000"/>
      </right>
      <top style="thin">
        <color rgb="FFFF0000"/>
      </top>
      <bottom style="thin">
        <color rgb="FFFF0000"/>
      </bottom>
      <diagonal/>
    </border>
    <border>
      <left style="thin">
        <color indexed="64"/>
      </left>
      <right/>
      <top style="thin">
        <color rgb="FFFF0000"/>
      </top>
      <bottom style="thin">
        <color rgb="FFFF0000"/>
      </bottom>
      <diagonal/>
    </border>
    <border>
      <left/>
      <right style="thin">
        <color indexed="64"/>
      </right>
      <top style="thin">
        <color rgb="FFFF0000"/>
      </top>
      <bottom style="thin">
        <color rgb="FFFF0000"/>
      </bottom>
      <diagonal/>
    </border>
    <border>
      <left style="thin">
        <color rgb="FFFF0000"/>
      </left>
      <right/>
      <top style="thin">
        <color rgb="FFFF0000"/>
      </top>
      <bottom style="thin">
        <color rgb="FFFF0000"/>
      </bottom>
      <diagonal/>
    </border>
    <border>
      <left style="hair">
        <color indexed="64"/>
      </left>
      <right style="hair">
        <color indexed="64"/>
      </right>
      <top/>
      <bottom/>
      <diagonal/>
    </border>
    <border>
      <left style="thin">
        <color indexed="64"/>
      </left>
      <right style="medium">
        <color indexed="64"/>
      </right>
      <top style="thin">
        <color indexed="64"/>
      </top>
      <bottom/>
      <diagonal/>
    </border>
    <border>
      <left/>
      <right style="thin">
        <color rgb="FF002060"/>
      </right>
      <top style="thin">
        <color rgb="FF002060"/>
      </top>
      <bottom style="thin">
        <color rgb="FF002060"/>
      </bottom>
      <diagonal/>
    </border>
    <border>
      <left/>
      <right/>
      <top style="thin">
        <color rgb="FF002060"/>
      </top>
      <bottom style="thin">
        <color rgb="FF002060"/>
      </bottom>
      <diagonal/>
    </border>
    <border>
      <left style="thin">
        <color rgb="FF002060"/>
      </left>
      <right/>
      <top style="thin">
        <color rgb="FF002060"/>
      </top>
      <bottom style="thin">
        <color rgb="FF002060"/>
      </bottom>
      <diagonal/>
    </border>
    <border>
      <left/>
      <right style="thin">
        <color auto="1"/>
      </right>
      <top style="medium">
        <color auto="1"/>
      </top>
      <bottom style="hair">
        <color indexed="64"/>
      </bottom>
      <diagonal/>
    </border>
    <border>
      <left/>
      <right/>
      <top style="medium">
        <color auto="1"/>
      </top>
      <bottom style="hair">
        <color indexed="64"/>
      </bottom>
      <diagonal/>
    </border>
    <border>
      <left style="thin">
        <color auto="1"/>
      </left>
      <right/>
      <top style="medium">
        <color indexed="64"/>
      </top>
      <bottom style="hair">
        <color indexed="64"/>
      </bottom>
      <diagonal/>
    </border>
    <border>
      <left style="thin">
        <color auto="1"/>
      </left>
      <right style="medium">
        <color auto="1"/>
      </right>
      <top style="thin">
        <color auto="1"/>
      </top>
      <bottom style="medium">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auto="1"/>
      </bottom>
      <diagonal/>
    </border>
    <border>
      <left/>
      <right style="medium">
        <color indexed="64"/>
      </right>
      <top style="thin">
        <color indexed="64"/>
      </top>
      <bottom/>
      <diagonal/>
    </border>
    <border>
      <left style="thin">
        <color rgb="FFFF0000"/>
      </left>
      <right/>
      <top style="thin">
        <color indexed="64"/>
      </top>
      <bottom style="thin">
        <color indexed="64"/>
      </bottom>
      <diagonal/>
    </border>
    <border>
      <left style="thin">
        <color rgb="FFFF0000"/>
      </left>
      <right/>
      <top/>
      <bottom style="thin">
        <color auto="1"/>
      </bottom>
      <diagonal/>
    </border>
    <border>
      <left/>
      <right style="thin">
        <color indexed="64"/>
      </right>
      <top style="thin">
        <color indexed="64"/>
      </top>
      <bottom style="thin">
        <color rgb="FFFF0000"/>
      </bottom>
      <diagonal/>
    </border>
    <border>
      <left/>
      <right/>
      <top style="thin">
        <color indexed="64"/>
      </top>
      <bottom style="thin">
        <color rgb="FFFF0000"/>
      </bottom>
      <diagonal/>
    </border>
    <border>
      <left style="thin">
        <color indexed="64"/>
      </left>
      <right/>
      <top style="thin">
        <color indexed="64"/>
      </top>
      <bottom style="thin">
        <color rgb="FFFF0000"/>
      </bottom>
      <diagonal/>
    </border>
    <border>
      <left/>
      <right style="thin">
        <color auto="1"/>
      </right>
      <top/>
      <bottom style="thin">
        <color rgb="FFFF0000"/>
      </bottom>
      <diagonal/>
    </border>
    <border>
      <left/>
      <right/>
      <top/>
      <bottom style="thin">
        <color rgb="FFFF0000"/>
      </bottom>
      <diagonal/>
    </border>
    <border>
      <left/>
      <right style="thin">
        <color rgb="FF002060"/>
      </right>
      <top/>
      <bottom/>
      <diagonal/>
    </border>
    <border>
      <left style="thin">
        <color rgb="FF002060"/>
      </left>
      <right/>
      <top/>
      <bottom/>
      <diagonal/>
    </border>
    <border>
      <left style="thin">
        <color rgb="FF002060"/>
      </left>
      <right style="thin">
        <color rgb="FF002060"/>
      </right>
      <top style="thin">
        <color rgb="FF002060"/>
      </top>
      <bottom/>
      <diagonal/>
    </border>
    <border>
      <left style="thin">
        <color rgb="FF002060"/>
      </left>
      <right style="thin">
        <color auto="1"/>
      </right>
      <top style="thin">
        <color rgb="FF002060"/>
      </top>
      <bottom/>
      <diagonal/>
    </border>
    <border>
      <left style="thin">
        <color rgb="FF002060"/>
      </left>
      <right style="thin">
        <color rgb="FF002060"/>
      </right>
      <top style="thin">
        <color rgb="FF002060"/>
      </top>
      <bottom style="thin">
        <color rgb="FF002060"/>
      </bottom>
      <diagonal/>
    </border>
    <border>
      <left style="hair">
        <color rgb="FF002060"/>
      </left>
      <right style="hair">
        <color rgb="FF002060"/>
      </right>
      <top style="thin">
        <color rgb="FF002060"/>
      </top>
      <bottom style="thin">
        <color rgb="FF002060"/>
      </bottom>
      <diagonal/>
    </border>
    <border>
      <left style="thin">
        <color rgb="FF002060"/>
      </left>
      <right style="hair">
        <color rgb="FF002060"/>
      </right>
      <top style="thin">
        <color rgb="FF002060"/>
      </top>
      <bottom style="thin">
        <color rgb="FF002060"/>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99"/>
      </left>
      <right style="thin">
        <color indexed="64"/>
      </right>
      <top style="thin">
        <color indexed="64"/>
      </top>
      <bottom style="thin">
        <color indexed="64"/>
      </bottom>
      <diagonal/>
    </border>
    <border>
      <left/>
      <right style="thin">
        <color auto="1"/>
      </right>
      <top/>
      <bottom style="thin">
        <color rgb="FF0070C0"/>
      </bottom>
      <diagonal/>
    </border>
    <border>
      <left style="thin">
        <color auto="1"/>
      </left>
      <right/>
      <top/>
      <bottom style="thin">
        <color rgb="FF0070C0"/>
      </bottom>
      <diagonal/>
    </border>
    <border>
      <left/>
      <right style="thin">
        <color auto="1"/>
      </right>
      <top style="thin">
        <color rgb="FF0070C0"/>
      </top>
      <bottom/>
      <diagonal/>
    </border>
    <border>
      <left style="thin">
        <color auto="1"/>
      </left>
      <right/>
      <top style="thin">
        <color rgb="FF0070C0"/>
      </top>
      <bottom/>
      <diagonal/>
    </border>
    <border>
      <left/>
      <right style="hair">
        <color indexed="64"/>
      </right>
      <top style="thin">
        <color indexed="64"/>
      </top>
      <bottom style="hair">
        <color indexed="64"/>
      </bottom>
      <diagonal/>
    </border>
    <border>
      <left style="hair">
        <color indexed="64"/>
      </left>
      <right/>
      <top/>
      <bottom style="thin">
        <color indexed="64"/>
      </bottom>
      <diagonal/>
    </border>
    <border>
      <left/>
      <right style="thin">
        <color rgb="FF000099"/>
      </right>
      <top style="thin">
        <color auto="1"/>
      </top>
      <bottom/>
      <diagonal/>
    </border>
    <border>
      <left/>
      <right style="thin">
        <color indexed="64"/>
      </right>
      <top style="medium">
        <color indexed="64"/>
      </top>
      <bottom/>
      <diagonal/>
    </border>
    <border>
      <left style="thin">
        <color rgb="FF000099"/>
      </left>
      <right style="thin">
        <color rgb="FF000099"/>
      </right>
      <top style="thin">
        <color indexed="64"/>
      </top>
      <bottom/>
      <diagonal/>
    </border>
    <border>
      <left style="thin">
        <color indexed="64"/>
      </left>
      <right/>
      <top style="medium">
        <color indexed="64"/>
      </top>
      <bottom/>
      <diagonal/>
    </border>
    <border>
      <left style="thin">
        <color auto="1"/>
      </left>
      <right/>
      <top/>
      <bottom style="thin">
        <color rgb="FF000099"/>
      </bottom>
      <diagonal/>
    </border>
    <border>
      <left/>
      <right style="thin">
        <color rgb="FF000099"/>
      </right>
      <top/>
      <bottom style="thin">
        <color auto="1"/>
      </bottom>
      <diagonal/>
    </border>
    <border>
      <left style="thin">
        <color rgb="FF000099"/>
      </left>
      <right/>
      <top style="thin">
        <color auto="1"/>
      </top>
      <bottom style="thin">
        <color auto="1"/>
      </bottom>
      <diagonal/>
    </border>
    <border>
      <left/>
      <right style="thin">
        <color indexed="64"/>
      </right>
      <top style="thin">
        <color rgb="FF000099"/>
      </top>
      <bottom/>
      <diagonal/>
    </border>
    <border>
      <left style="thin">
        <color rgb="FF000099"/>
      </left>
      <right style="thin">
        <color indexed="64"/>
      </right>
      <top style="thin">
        <color rgb="FF000099"/>
      </top>
      <bottom style="thin">
        <color rgb="FF000099"/>
      </bottom>
      <diagonal/>
    </border>
    <border>
      <left style="thin">
        <color rgb="FF000099"/>
      </left>
      <right style="thin">
        <color rgb="FF000099"/>
      </right>
      <top/>
      <bottom/>
      <diagonal/>
    </border>
    <border>
      <left style="thin">
        <color rgb="FF000099"/>
      </left>
      <right/>
      <top/>
      <bottom style="thin">
        <color indexed="64"/>
      </bottom>
      <diagonal/>
    </border>
    <border>
      <left/>
      <right style="thin">
        <color auto="1"/>
      </right>
      <top style="thin">
        <color rgb="FFFF0000"/>
      </top>
      <bottom style="thin">
        <color auto="1"/>
      </bottom>
      <diagonal/>
    </border>
    <border>
      <left/>
      <right/>
      <top style="thin">
        <color rgb="FFFF0000"/>
      </top>
      <bottom style="thin">
        <color auto="1"/>
      </bottom>
      <diagonal/>
    </border>
    <border>
      <left style="thin">
        <color auto="1"/>
      </left>
      <right/>
      <top style="thin">
        <color rgb="FFFF0000"/>
      </top>
      <bottom style="thin">
        <color auto="1"/>
      </bottom>
      <diagonal/>
    </border>
    <border>
      <left style="thin">
        <color rgb="FF000099"/>
      </left>
      <right/>
      <top style="thin">
        <color auto="1"/>
      </top>
      <bottom/>
      <diagonal/>
    </border>
    <border>
      <left style="thin">
        <color rgb="FF000099"/>
      </left>
      <right style="thin">
        <color rgb="FF000099"/>
      </right>
      <top style="hair">
        <color rgb="FF000066"/>
      </top>
      <bottom style="thin">
        <color rgb="FF000099"/>
      </bottom>
      <diagonal/>
    </border>
    <border>
      <left style="thin">
        <color auto="1"/>
      </left>
      <right style="thin">
        <color rgb="FF000099"/>
      </right>
      <top style="hair">
        <color rgb="FF000066"/>
      </top>
      <bottom style="thin">
        <color rgb="FF000099"/>
      </bottom>
      <diagonal/>
    </border>
    <border>
      <left style="thin">
        <color rgb="FF000099"/>
      </left>
      <right style="thin">
        <color rgb="FF000099"/>
      </right>
      <top style="thin">
        <color auto="1"/>
      </top>
      <bottom style="thin">
        <color rgb="FF000099"/>
      </bottom>
      <diagonal/>
    </border>
    <border>
      <left style="thin">
        <color rgb="FF0070C0"/>
      </left>
      <right style="thin">
        <color rgb="FF0070C0"/>
      </right>
      <top style="hair">
        <color rgb="FF0070C0"/>
      </top>
      <bottom style="hair">
        <color rgb="FF0070C0"/>
      </bottom>
      <diagonal/>
    </border>
    <border>
      <left style="hair">
        <color indexed="64"/>
      </left>
      <right style="medium">
        <color indexed="64"/>
      </right>
      <top style="thin">
        <color indexed="64"/>
      </top>
      <bottom/>
      <diagonal/>
    </border>
    <border>
      <left style="thin">
        <color rgb="FFC00000"/>
      </left>
      <right style="thin">
        <color indexed="64"/>
      </right>
      <top style="thin">
        <color indexed="64"/>
      </top>
      <bottom style="thin">
        <color auto="1"/>
      </bottom>
      <diagonal/>
    </border>
    <border>
      <left style="thin">
        <color indexed="64"/>
      </left>
      <right style="thin">
        <color indexed="64"/>
      </right>
      <top style="thin">
        <color rgb="FFFF0000"/>
      </top>
      <bottom style="thin">
        <color indexed="64"/>
      </bottom>
      <diagonal/>
    </border>
    <border>
      <left style="thin">
        <color indexed="64"/>
      </left>
      <right style="thin">
        <color indexed="64"/>
      </right>
      <top style="thin">
        <color indexed="64"/>
      </top>
      <bottom style="thin">
        <color rgb="FFFF0000"/>
      </bottom>
      <diagonal/>
    </border>
    <border>
      <left style="thin">
        <color rgb="FF002060"/>
      </left>
      <right style="thin">
        <color rgb="FF000099"/>
      </right>
      <top style="thin">
        <color rgb="FF000099"/>
      </top>
      <bottom style="thin">
        <color rgb="FF000099"/>
      </bottom>
      <diagonal/>
    </border>
    <border>
      <left style="thin">
        <color rgb="FF002060"/>
      </left>
      <right style="thin">
        <color rgb="FF002060"/>
      </right>
      <top style="thin">
        <color rgb="FF000099"/>
      </top>
      <bottom style="thin">
        <color rgb="FF000099"/>
      </bottom>
      <diagonal/>
    </border>
    <border>
      <left style="thin">
        <color rgb="FFC00000"/>
      </left>
      <right style="thin">
        <color rgb="FFC00000"/>
      </right>
      <top style="thin">
        <color indexed="64"/>
      </top>
      <bottom style="thin">
        <color indexed="64"/>
      </bottom>
      <diagonal/>
    </border>
    <border>
      <left/>
      <right style="thin">
        <color rgb="FF000099"/>
      </right>
      <top style="hair">
        <color rgb="FF000099"/>
      </top>
      <bottom/>
      <diagonal/>
    </border>
    <border>
      <left/>
      <right/>
      <top style="hair">
        <color rgb="FF000099"/>
      </top>
      <bottom/>
      <diagonal/>
    </border>
    <border>
      <left/>
      <right style="thin">
        <color rgb="FF000099"/>
      </right>
      <top style="thin">
        <color rgb="FF000099"/>
      </top>
      <bottom style="hair">
        <color rgb="FF000099"/>
      </bottom>
      <diagonal/>
    </border>
    <border>
      <left/>
      <right/>
      <top style="thin">
        <color rgb="FF000099"/>
      </top>
      <bottom style="hair">
        <color rgb="FF000099"/>
      </bottom>
      <diagonal/>
    </border>
    <border>
      <left style="thin">
        <color rgb="FFFF0000"/>
      </left>
      <right/>
      <top/>
      <bottom/>
      <diagonal/>
    </border>
    <border>
      <left style="thin">
        <color rgb="FF000099"/>
      </left>
      <right style="thin">
        <color rgb="FFFF0000"/>
      </right>
      <top style="thin">
        <color rgb="FF000099"/>
      </top>
      <bottom style="thin">
        <color rgb="FF000099"/>
      </bottom>
      <diagonal/>
    </border>
    <border>
      <left style="thin">
        <color rgb="FFFF0000"/>
      </left>
      <right style="thin">
        <color rgb="FFFF0000"/>
      </right>
      <top style="thin">
        <color rgb="FF000099"/>
      </top>
      <bottom style="thin">
        <color rgb="FF000099"/>
      </bottom>
      <diagonal/>
    </border>
    <border>
      <left/>
      <right style="thick">
        <color rgb="FF000099"/>
      </right>
      <top/>
      <bottom style="thick">
        <color rgb="FF000099"/>
      </bottom>
      <diagonal/>
    </border>
    <border>
      <left/>
      <right/>
      <top/>
      <bottom style="thick">
        <color rgb="FF000099"/>
      </bottom>
      <diagonal/>
    </border>
    <border>
      <left/>
      <right style="thick">
        <color rgb="FF000099"/>
      </right>
      <top/>
      <bottom/>
      <diagonal/>
    </border>
    <border>
      <left/>
      <right style="medium">
        <color theme="0" tint="-4.9989318521683403E-2"/>
      </right>
      <top style="medium">
        <color theme="0" tint="-4.9989318521683403E-2"/>
      </top>
      <bottom style="medium">
        <color theme="0" tint="-4.9989318521683403E-2"/>
      </bottom>
      <diagonal/>
    </border>
    <border>
      <left/>
      <right/>
      <top style="medium">
        <color theme="0" tint="-4.9989318521683403E-2"/>
      </top>
      <bottom style="medium">
        <color theme="0" tint="-4.9989318521683403E-2"/>
      </bottom>
      <diagonal/>
    </border>
    <border>
      <left style="medium">
        <color theme="0" tint="-4.9989318521683403E-2"/>
      </left>
      <right/>
      <top style="medium">
        <color theme="0" tint="-4.9989318521683403E-2"/>
      </top>
      <bottom style="medium">
        <color theme="0" tint="-4.9989318521683403E-2"/>
      </bottom>
      <diagonal/>
    </border>
    <border>
      <left/>
      <right/>
      <top style="medium">
        <color rgb="FF000099"/>
      </top>
      <bottom/>
      <diagonal/>
    </border>
    <border>
      <left/>
      <right/>
      <top style="thin">
        <color indexed="64"/>
      </top>
      <bottom style="medium">
        <color rgb="FF0070C0"/>
      </bottom>
      <diagonal/>
    </border>
    <border>
      <left style="thin">
        <color indexed="64"/>
      </left>
      <right/>
      <top style="thin">
        <color indexed="64"/>
      </top>
      <bottom style="medium">
        <color rgb="FF0070C0"/>
      </bottom>
      <diagonal/>
    </border>
    <border>
      <left style="thin">
        <color rgb="FF000099"/>
      </left>
      <right style="thin">
        <color rgb="FF000099"/>
      </right>
      <top style="thin">
        <color rgb="FF000099"/>
      </top>
      <bottom style="medium">
        <color rgb="FF000099"/>
      </bottom>
      <diagonal/>
    </border>
    <border>
      <left/>
      <right style="thin">
        <color rgb="FF000099"/>
      </right>
      <top/>
      <bottom style="medium">
        <color rgb="FF000099"/>
      </bottom>
      <diagonal/>
    </border>
    <border>
      <left/>
      <right/>
      <top/>
      <bottom style="medium">
        <color rgb="FF000099"/>
      </bottom>
      <diagonal/>
    </border>
    <border>
      <left style="thin">
        <color rgb="FF000099"/>
      </left>
      <right/>
      <top/>
      <bottom style="medium">
        <color rgb="FF000099"/>
      </bottom>
      <diagonal/>
    </border>
    <border>
      <left/>
      <right style="thin">
        <color rgb="FF000099"/>
      </right>
      <top style="thin">
        <color rgb="FF000099"/>
      </top>
      <bottom style="medium">
        <color rgb="FF000099"/>
      </bottom>
      <diagonal/>
    </border>
    <border>
      <left/>
      <right/>
      <top style="thin">
        <color rgb="FF000099"/>
      </top>
      <bottom style="medium">
        <color rgb="FF000099"/>
      </bottom>
      <diagonal/>
    </border>
    <border>
      <left style="thin">
        <color rgb="FF000099"/>
      </left>
      <right/>
      <top style="thin">
        <color rgb="FF000099"/>
      </top>
      <bottom style="medium">
        <color rgb="FF000099"/>
      </bottom>
      <diagonal/>
    </border>
    <border>
      <left style="thin">
        <color rgb="FF000099"/>
      </left>
      <right style="thin">
        <color rgb="FF000099"/>
      </right>
      <top style="thin">
        <color indexed="64"/>
      </top>
      <bottom style="thin">
        <color indexed="64"/>
      </bottom>
      <diagonal/>
    </border>
    <border>
      <left style="thin">
        <color indexed="64"/>
      </left>
      <right style="thin">
        <color rgb="FF000099"/>
      </right>
      <top style="thin">
        <color indexed="64"/>
      </top>
      <bottom style="thin">
        <color indexed="64"/>
      </bottom>
      <diagonal/>
    </border>
    <border>
      <left/>
      <right style="thin">
        <color rgb="FF000099"/>
      </right>
      <top style="thin">
        <color rgb="FF000099"/>
      </top>
      <bottom style="thin">
        <color rgb="FFC00000"/>
      </bottom>
      <diagonal/>
    </border>
    <border>
      <left/>
      <right/>
      <top style="thin">
        <color rgb="FF000099"/>
      </top>
      <bottom style="thin">
        <color rgb="FFC00000"/>
      </bottom>
      <diagonal/>
    </border>
    <border>
      <left style="thin">
        <color rgb="FF000099"/>
      </left>
      <right/>
      <top style="thin">
        <color rgb="FF000099"/>
      </top>
      <bottom style="thin">
        <color rgb="FFC00000"/>
      </bottom>
      <diagonal/>
    </border>
    <border>
      <left/>
      <right style="thin">
        <color rgb="FF000099"/>
      </right>
      <top style="medium">
        <color rgb="FF000099"/>
      </top>
      <bottom style="thin">
        <color rgb="FF000099"/>
      </bottom>
      <diagonal/>
    </border>
    <border>
      <left/>
      <right/>
      <top style="medium">
        <color rgb="FF000099"/>
      </top>
      <bottom style="thin">
        <color rgb="FF000099"/>
      </bottom>
      <diagonal/>
    </border>
    <border>
      <left style="thin">
        <color rgb="FF000099"/>
      </left>
      <right/>
      <top style="medium">
        <color rgb="FF000099"/>
      </top>
      <bottom style="thin">
        <color rgb="FF000099"/>
      </bottom>
      <diagonal/>
    </border>
    <border>
      <left/>
      <right style="thin">
        <color indexed="64"/>
      </right>
      <top style="medium">
        <color rgb="FF000099"/>
      </top>
      <bottom style="thin">
        <color indexed="64"/>
      </bottom>
      <diagonal/>
    </border>
    <border>
      <left/>
      <right/>
      <top style="medium">
        <color rgb="FF000099"/>
      </top>
      <bottom style="thin">
        <color auto="1"/>
      </bottom>
      <diagonal/>
    </border>
    <border>
      <left style="thin">
        <color indexed="64"/>
      </left>
      <right/>
      <top style="medium">
        <color rgb="FF000099"/>
      </top>
      <bottom style="thin">
        <color indexed="64"/>
      </bottom>
      <diagonal/>
    </border>
    <border>
      <left style="thin">
        <color rgb="FF000099"/>
      </left>
      <right style="thin">
        <color rgb="FF000099"/>
      </right>
      <top style="medium">
        <color rgb="FF000099"/>
      </top>
      <bottom style="thin">
        <color rgb="FF000099"/>
      </bottom>
      <diagonal/>
    </border>
    <border>
      <left/>
      <right style="thin">
        <color auto="1"/>
      </right>
      <top style="medium">
        <color rgb="FF000099"/>
      </top>
      <bottom style="thin">
        <color rgb="FF000099"/>
      </bottom>
      <diagonal/>
    </border>
    <border>
      <left style="thin">
        <color auto="1"/>
      </left>
      <right/>
      <top style="medium">
        <color rgb="FF000099"/>
      </top>
      <bottom style="thin">
        <color rgb="FF000099"/>
      </bottom>
      <diagonal/>
    </border>
    <border>
      <left style="thin">
        <color rgb="FF000099"/>
      </left>
      <right style="thin">
        <color rgb="FF000099"/>
      </right>
      <top/>
      <bottom style="medium">
        <color rgb="FF000099"/>
      </bottom>
      <diagonal/>
    </border>
    <border>
      <left style="thick">
        <color rgb="FF000099"/>
      </left>
      <right/>
      <top/>
      <bottom style="thick">
        <color rgb="FF000099"/>
      </bottom>
      <diagonal/>
    </border>
    <border>
      <left style="thick">
        <color rgb="FF000099"/>
      </left>
      <right/>
      <top/>
      <bottom/>
      <diagonal/>
    </border>
    <border>
      <left/>
      <right style="thick">
        <color rgb="FF000099"/>
      </right>
      <top style="thick">
        <color rgb="FF000099"/>
      </top>
      <bottom/>
      <diagonal/>
    </border>
    <border>
      <left/>
      <right/>
      <top style="thick">
        <color rgb="FF000099"/>
      </top>
      <bottom/>
      <diagonal/>
    </border>
    <border>
      <left style="thick">
        <color rgb="FF000099"/>
      </left>
      <right/>
      <top style="thick">
        <color rgb="FF000099"/>
      </top>
      <bottom/>
      <diagonal/>
    </border>
    <border>
      <left/>
      <right style="thin">
        <color indexed="64"/>
      </right>
      <top style="thin">
        <color indexed="64"/>
      </top>
      <bottom style="thin">
        <color rgb="FFFF3300"/>
      </bottom>
      <diagonal/>
    </border>
    <border>
      <left/>
      <right/>
      <top style="thin">
        <color indexed="64"/>
      </top>
      <bottom style="thin">
        <color rgb="FFFF3300"/>
      </bottom>
      <diagonal/>
    </border>
    <border>
      <left style="thin">
        <color indexed="64"/>
      </left>
      <right/>
      <top style="thin">
        <color indexed="64"/>
      </top>
      <bottom style="thin">
        <color rgb="FFFF3300"/>
      </bottom>
      <diagonal/>
    </border>
    <border>
      <left/>
      <right style="medium">
        <color rgb="FF002060"/>
      </right>
      <top style="thin">
        <color rgb="FF000099"/>
      </top>
      <bottom style="medium">
        <color rgb="FF000099"/>
      </bottom>
      <diagonal/>
    </border>
    <border>
      <left style="thin">
        <color indexed="64"/>
      </left>
      <right/>
      <top style="thin">
        <color rgb="FF000099"/>
      </top>
      <bottom style="medium">
        <color rgb="FF000099"/>
      </bottom>
      <diagonal/>
    </border>
    <border>
      <left/>
      <right style="thin">
        <color auto="1"/>
      </right>
      <top style="thin">
        <color rgb="FF000099"/>
      </top>
      <bottom style="medium">
        <color rgb="FF000099"/>
      </bottom>
      <diagonal/>
    </border>
    <border>
      <left style="medium">
        <color rgb="FF000099"/>
      </left>
      <right style="thin">
        <color rgb="FF000099"/>
      </right>
      <top style="thin">
        <color rgb="FF000099"/>
      </top>
      <bottom style="medium">
        <color rgb="FF000099"/>
      </bottom>
      <diagonal/>
    </border>
    <border>
      <left style="thin">
        <color rgb="FF000099"/>
      </left>
      <right style="thin">
        <color rgb="FF000099"/>
      </right>
      <top style="hair">
        <color rgb="FF000099"/>
      </top>
      <bottom style="medium">
        <color rgb="FF000099"/>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rgb="FFC00000"/>
      </right>
      <top style="thin">
        <color indexed="64"/>
      </top>
      <bottom style="thin">
        <color indexed="64"/>
      </bottom>
      <diagonal/>
    </border>
    <border>
      <left style="thin">
        <color rgb="FFC00000"/>
      </left>
      <right style="thin">
        <color indexed="64"/>
      </right>
      <top/>
      <bottom/>
      <diagonal/>
    </border>
    <border>
      <left style="thin">
        <color indexed="64"/>
      </left>
      <right style="thin">
        <color rgb="FFC00000"/>
      </right>
      <top style="thin">
        <color indexed="64"/>
      </top>
      <bottom style="thin">
        <color indexed="64"/>
      </bottom>
      <diagonal/>
    </border>
    <border>
      <left style="thin">
        <color rgb="FFC00000"/>
      </left>
      <right/>
      <top style="thin">
        <color indexed="64"/>
      </top>
      <bottom style="thin">
        <color indexed="64"/>
      </bottom>
      <diagonal/>
    </border>
    <border>
      <left/>
      <right style="medium">
        <color rgb="FF000099"/>
      </right>
      <top style="medium">
        <color rgb="FF000099"/>
      </top>
      <bottom style="thin">
        <color rgb="FF000099"/>
      </bottom>
      <diagonal/>
    </border>
    <border>
      <left style="thin">
        <color auto="1"/>
      </left>
      <right style="thin">
        <color rgb="FF000099"/>
      </right>
      <top style="medium">
        <color rgb="FF002060"/>
      </top>
      <bottom style="thin">
        <color rgb="FF000099"/>
      </bottom>
      <diagonal/>
    </border>
    <border>
      <left style="thin">
        <color auto="1"/>
      </left>
      <right style="thin">
        <color rgb="FF000099"/>
      </right>
      <top style="medium">
        <color rgb="FF000099"/>
      </top>
      <bottom style="thin">
        <color rgb="FF000099"/>
      </bottom>
      <diagonal/>
    </border>
    <border>
      <left style="medium">
        <color rgb="FF000099"/>
      </left>
      <right/>
      <top style="medium">
        <color rgb="FF000099"/>
      </top>
      <bottom style="thin">
        <color rgb="FF000099"/>
      </bottom>
      <diagonal/>
    </border>
    <border>
      <left style="thin">
        <color rgb="FF000099"/>
      </left>
      <right style="thin">
        <color rgb="FF000099"/>
      </right>
      <top style="thin">
        <color rgb="FF000099"/>
      </top>
      <bottom style="hair">
        <color rgb="FF000099"/>
      </bottom>
      <diagonal/>
    </border>
    <border>
      <left style="medium">
        <color rgb="FF000099"/>
      </left>
      <right style="thin">
        <color rgb="FF000099"/>
      </right>
      <top style="thin">
        <color rgb="FF000099"/>
      </top>
      <bottom style="thin">
        <color rgb="FF000099"/>
      </bottom>
      <diagonal/>
    </border>
    <border>
      <left style="medium">
        <color indexed="64"/>
      </left>
      <right style="thin">
        <color indexed="64"/>
      </right>
      <top style="medium">
        <color indexed="64"/>
      </top>
      <bottom/>
      <diagonal/>
    </border>
    <border>
      <left style="thin">
        <color rgb="FFC00000"/>
      </left>
      <right style="thin">
        <color indexed="64"/>
      </right>
      <top/>
      <bottom style="thin">
        <color indexed="64"/>
      </bottom>
      <diagonal/>
    </border>
    <border>
      <left style="thin">
        <color rgb="FFC00000"/>
      </left>
      <right/>
      <top/>
      <bottom style="thin">
        <color indexed="64"/>
      </bottom>
      <diagonal/>
    </border>
    <border>
      <left style="thin">
        <color rgb="FF000099"/>
      </left>
      <right style="medium">
        <color rgb="FF000099"/>
      </right>
      <top style="thin">
        <color rgb="FF000099"/>
      </top>
      <bottom/>
      <diagonal/>
    </border>
    <border>
      <left style="thin">
        <color rgb="FF000099"/>
      </left>
      <right style="thin">
        <color rgb="FF000099"/>
      </right>
      <top style="hair">
        <color rgb="FF000099"/>
      </top>
      <bottom style="thin">
        <color rgb="FF000099"/>
      </bottom>
      <diagonal/>
    </border>
    <border>
      <left style="thin">
        <color rgb="FFC00000"/>
      </left>
      <right style="thin">
        <color indexed="64"/>
      </right>
      <top style="thin">
        <color indexed="64"/>
      </top>
      <bottom/>
      <diagonal/>
    </border>
    <border>
      <left style="thin">
        <color rgb="FF000099"/>
      </left>
      <right style="medium">
        <color rgb="FF000099"/>
      </right>
      <top style="thin">
        <color rgb="FF000099"/>
      </top>
      <bottom style="thin">
        <color rgb="FF000099"/>
      </bottom>
      <diagonal/>
    </border>
    <border>
      <left style="thin">
        <color rgb="FF000099"/>
      </left>
      <right style="medium">
        <color rgb="FF000099"/>
      </right>
      <top style="thin">
        <color rgb="FFC00000"/>
      </top>
      <bottom style="thin">
        <color rgb="FF000099"/>
      </bottom>
      <diagonal/>
    </border>
    <border>
      <left style="thin">
        <color rgb="FF000099"/>
      </left>
      <right style="thin">
        <color rgb="FF000099"/>
      </right>
      <top style="thin">
        <color rgb="FFC00000"/>
      </top>
      <bottom style="thin">
        <color rgb="FF000099"/>
      </bottom>
      <diagonal/>
    </border>
    <border>
      <left style="medium">
        <color rgb="FF000099"/>
      </left>
      <right style="thin">
        <color rgb="FF000099"/>
      </right>
      <top style="thin">
        <color rgb="FFC00000"/>
      </top>
      <bottom style="thin">
        <color rgb="FF000099"/>
      </bottom>
      <diagonal/>
    </border>
    <border>
      <left style="thin">
        <color rgb="FF000099"/>
      </left>
      <right style="medium">
        <color rgb="FF000099"/>
      </right>
      <top style="thin">
        <color rgb="FF000099"/>
      </top>
      <bottom style="thin">
        <color rgb="FFC00000"/>
      </bottom>
      <diagonal/>
    </border>
    <border>
      <left style="thin">
        <color rgb="FF000099"/>
      </left>
      <right style="thin">
        <color rgb="FF000099"/>
      </right>
      <top style="thin">
        <color rgb="FF000099"/>
      </top>
      <bottom style="thin">
        <color rgb="FFC00000"/>
      </bottom>
      <diagonal/>
    </border>
    <border>
      <left style="medium">
        <color rgb="FF000099"/>
      </left>
      <right/>
      <top style="thin">
        <color rgb="FF000099"/>
      </top>
      <bottom style="thin">
        <color rgb="FFC00000"/>
      </bottom>
      <diagonal/>
    </border>
    <border>
      <left style="medium">
        <color rgb="FF000099"/>
      </left>
      <right/>
      <top style="thin">
        <color rgb="FF000099"/>
      </top>
      <bottom style="thin">
        <color rgb="FF000099"/>
      </bottom>
      <diagonal/>
    </border>
    <border>
      <left style="thin">
        <color rgb="FF000099"/>
      </left>
      <right/>
      <top style="thin">
        <color rgb="FF000099"/>
      </top>
      <bottom style="hair">
        <color rgb="FF000099"/>
      </bottom>
      <diagonal/>
    </border>
    <border>
      <left/>
      <right style="medium">
        <color rgb="FF000099"/>
      </right>
      <top/>
      <bottom/>
      <diagonal/>
    </border>
    <border>
      <left/>
      <right style="thin">
        <color rgb="FF000099"/>
      </right>
      <top/>
      <bottom style="thin">
        <color rgb="FF002060"/>
      </bottom>
      <diagonal/>
    </border>
    <border>
      <left style="thin">
        <color rgb="FF000099"/>
      </left>
      <right/>
      <top/>
      <bottom style="thin">
        <color rgb="FF002060"/>
      </bottom>
      <diagonal/>
    </border>
    <border>
      <left style="medium">
        <color rgb="FF000099"/>
      </left>
      <right/>
      <top/>
      <bottom style="thin">
        <color rgb="FF000099"/>
      </bottom>
      <diagonal/>
    </border>
    <border>
      <left style="medium">
        <color rgb="FF000099"/>
      </left>
      <right/>
      <top/>
      <bottom/>
      <diagonal/>
    </border>
    <border>
      <left/>
      <right style="medium">
        <color rgb="FF000099"/>
      </right>
      <top style="medium">
        <color rgb="FF000099"/>
      </top>
      <bottom/>
      <diagonal/>
    </border>
    <border>
      <left style="thin">
        <color rgb="FF000099"/>
      </left>
      <right/>
      <top style="medium">
        <color rgb="FF000099"/>
      </top>
      <bottom/>
      <diagonal/>
    </border>
    <border>
      <left/>
      <right style="thin">
        <color rgb="FF000099"/>
      </right>
      <top style="medium">
        <color rgb="FF000099"/>
      </top>
      <bottom/>
      <diagonal/>
    </border>
    <border>
      <left/>
      <right style="thin">
        <color rgb="FF000099"/>
      </right>
      <top style="medium">
        <color rgb="FF000099"/>
      </top>
      <bottom style="hair">
        <color rgb="FF000099"/>
      </bottom>
      <diagonal/>
    </border>
    <border>
      <left/>
      <right/>
      <top style="medium">
        <color rgb="FF000099"/>
      </top>
      <bottom style="hair">
        <color rgb="FF000099"/>
      </bottom>
      <diagonal/>
    </border>
    <border>
      <left style="thin">
        <color rgb="FF000099"/>
      </left>
      <right/>
      <top style="medium">
        <color rgb="FF000099"/>
      </top>
      <bottom style="hair">
        <color rgb="FF000099"/>
      </bottom>
      <diagonal/>
    </border>
    <border>
      <left style="medium">
        <color rgb="FF000099"/>
      </left>
      <right/>
      <top style="medium">
        <color rgb="FF000099"/>
      </top>
      <bottom/>
      <diagonal/>
    </border>
    <border>
      <left/>
      <right style="thin">
        <color rgb="FF0000FF"/>
      </right>
      <top style="thin">
        <color rgb="FF0000FF"/>
      </top>
      <bottom style="thin">
        <color rgb="FF0000FF"/>
      </bottom>
      <diagonal/>
    </border>
    <border>
      <left/>
      <right/>
      <top style="thin">
        <color rgb="FF0000FF"/>
      </top>
      <bottom style="thin">
        <color rgb="FF0000FF"/>
      </bottom>
      <diagonal/>
    </border>
    <border>
      <left/>
      <right style="medium">
        <color rgb="FF000099"/>
      </right>
      <top/>
      <bottom style="medium">
        <color rgb="FF000099"/>
      </bottom>
      <diagonal/>
    </border>
    <border>
      <left style="medium">
        <color rgb="FF000099"/>
      </left>
      <right/>
      <top/>
      <bottom style="medium">
        <color rgb="FF000099"/>
      </bottom>
      <diagonal/>
    </border>
    <border>
      <left style="double">
        <color indexed="64"/>
      </left>
      <right style="double">
        <color indexed="64"/>
      </right>
      <top style="double">
        <color indexed="64"/>
      </top>
      <bottom/>
      <diagonal/>
    </border>
    <border>
      <left/>
      <right style="thin">
        <color rgb="FFFF0000"/>
      </right>
      <top style="thin">
        <color indexed="64"/>
      </top>
      <bottom style="thin">
        <color indexed="64"/>
      </bottom>
      <diagonal/>
    </border>
    <border>
      <left style="thin">
        <color rgb="FFFF0000"/>
      </left>
      <right/>
      <top style="thin">
        <color indexed="64"/>
      </top>
      <bottom/>
      <diagonal/>
    </border>
    <border>
      <left style="thin">
        <color rgb="FFFF0000"/>
      </left>
      <right/>
      <top/>
      <bottom style="thin">
        <color rgb="FFFF0000"/>
      </bottom>
      <diagonal/>
    </border>
    <border>
      <left/>
      <right style="thin">
        <color rgb="FFFF0000"/>
      </right>
      <top style="thin">
        <color indexed="64"/>
      </top>
      <bottom style="thin">
        <color rgb="FFFF0000"/>
      </bottom>
      <diagonal/>
    </border>
    <border>
      <left style="thin">
        <color rgb="FFFF0000"/>
      </left>
      <right/>
      <top style="thin">
        <color rgb="FFFF0000"/>
      </top>
      <bottom style="thin">
        <color indexed="64"/>
      </bottom>
      <diagonal/>
    </border>
    <border>
      <left style="thin">
        <color indexed="64"/>
      </left>
      <right style="thin">
        <color indexed="64"/>
      </right>
      <top style="thin">
        <color rgb="FFFF0000"/>
      </top>
      <bottom style="thin">
        <color rgb="FFFF0000"/>
      </bottom>
      <diagonal/>
    </border>
    <border>
      <left style="thin">
        <color rgb="FFFF0000"/>
      </left>
      <right style="thin">
        <color indexed="64"/>
      </right>
      <top style="thin">
        <color indexed="64"/>
      </top>
      <bottom style="thin">
        <color rgb="FFFF0000"/>
      </bottom>
      <diagonal/>
    </border>
    <border>
      <left/>
      <right style="hair">
        <color indexed="64"/>
      </right>
      <top/>
      <bottom style="thin">
        <color indexed="64"/>
      </bottom>
      <diagonal/>
    </border>
    <border>
      <left style="thin">
        <color rgb="FFC00000"/>
      </left>
      <right style="thin">
        <color indexed="64"/>
      </right>
      <top style="thin">
        <color indexed="64"/>
      </top>
      <bottom style="thin">
        <color rgb="FF0033CC"/>
      </bottom>
      <diagonal/>
    </border>
    <border>
      <left style="thin">
        <color rgb="FFC00000"/>
      </left>
      <right style="thin">
        <color rgb="FFC00000"/>
      </right>
      <top style="thin">
        <color auto="1"/>
      </top>
      <bottom style="thin">
        <color rgb="FF0033CC"/>
      </bottom>
      <diagonal/>
    </border>
    <border>
      <left style="thin">
        <color rgb="FF000099"/>
      </left>
      <right style="thin">
        <color rgb="FF000099"/>
      </right>
      <top style="thin">
        <color rgb="FF000099"/>
      </top>
      <bottom style="thin">
        <color rgb="FF0033CC"/>
      </bottom>
      <diagonal/>
    </border>
    <border>
      <left style="thin">
        <color rgb="FF000099"/>
      </left>
      <right/>
      <top style="thin">
        <color rgb="FF000099"/>
      </top>
      <bottom style="thin">
        <color rgb="FF0033CC"/>
      </bottom>
      <diagonal/>
    </border>
    <border>
      <left style="dashDot">
        <color indexed="64"/>
      </left>
      <right/>
      <top/>
      <bottom style="medium">
        <color auto="1"/>
      </bottom>
      <diagonal/>
    </border>
    <border>
      <left style="medium">
        <color indexed="64"/>
      </left>
      <right/>
      <top style="thin">
        <color rgb="FF0033CC"/>
      </top>
      <bottom style="medium">
        <color indexed="64"/>
      </bottom>
      <diagonal/>
    </border>
    <border>
      <left style="thin">
        <color indexed="64"/>
      </left>
      <right style="thin">
        <color indexed="64"/>
      </right>
      <top style="thin">
        <color indexed="64"/>
      </top>
      <bottom style="thin">
        <color rgb="FF0070C0"/>
      </bottom>
      <diagonal/>
    </border>
    <border>
      <left style="medium">
        <color indexed="64"/>
      </left>
      <right/>
      <top style="dashDot">
        <color indexed="64"/>
      </top>
      <bottom/>
      <diagonal/>
    </border>
    <border>
      <left style="dashDot">
        <color indexed="64"/>
      </left>
      <right style="thin">
        <color indexed="64"/>
      </right>
      <top style="thin">
        <color auto="1"/>
      </top>
      <bottom style="medium">
        <color auto="1"/>
      </bottom>
      <diagonal/>
    </border>
    <border>
      <left style="thin">
        <color indexed="64"/>
      </left>
      <right style="dashDot">
        <color indexed="64"/>
      </right>
      <top style="thin">
        <color auto="1"/>
      </top>
      <bottom style="medium">
        <color auto="1"/>
      </bottom>
      <diagonal/>
    </border>
    <border>
      <left style="medium">
        <color indexed="64"/>
      </left>
      <right style="medium">
        <color indexed="64"/>
      </right>
      <top/>
      <bottom/>
      <diagonal/>
    </border>
    <border>
      <left/>
      <right style="thick">
        <color rgb="FF000099"/>
      </right>
      <top style="thin">
        <color indexed="64"/>
      </top>
      <bottom style="thin">
        <color indexed="64"/>
      </bottom>
      <diagonal/>
    </border>
    <border>
      <left style="medium">
        <color indexed="64"/>
      </left>
      <right/>
      <top style="dashDot">
        <color indexed="64"/>
      </top>
      <bottom style="dashDot">
        <color indexed="64"/>
      </bottom>
      <diagonal/>
    </border>
    <border>
      <left style="thin">
        <color auto="1"/>
      </left>
      <right style="medium">
        <color indexed="64"/>
      </right>
      <top/>
      <bottom style="thin">
        <color auto="1"/>
      </bottom>
      <diagonal/>
    </border>
    <border>
      <left style="dashDot">
        <color indexed="64"/>
      </left>
      <right style="thin">
        <color indexed="64"/>
      </right>
      <top/>
      <bottom style="thin">
        <color auto="1"/>
      </bottom>
      <diagonal/>
    </border>
    <border>
      <left style="thin">
        <color indexed="64"/>
      </left>
      <right style="dashDot">
        <color indexed="64"/>
      </right>
      <top/>
      <bottom style="thin">
        <color auto="1"/>
      </bottom>
      <diagonal/>
    </border>
    <border>
      <left style="medium">
        <color indexed="64"/>
      </left>
      <right style="thin">
        <color auto="1"/>
      </right>
      <top/>
      <bottom style="thin">
        <color auto="1"/>
      </bottom>
      <diagonal/>
    </border>
    <border>
      <left style="medium">
        <color indexed="64"/>
      </left>
      <right style="medium">
        <color indexed="64"/>
      </right>
      <top style="dashDot">
        <color auto="1"/>
      </top>
      <bottom/>
      <diagonal/>
    </border>
    <border>
      <left style="thin">
        <color auto="1"/>
      </left>
      <right style="medium">
        <color auto="1"/>
      </right>
      <top style="thin">
        <color auto="1"/>
      </top>
      <bottom style="dashDot">
        <color auto="1"/>
      </bottom>
      <diagonal/>
    </border>
    <border>
      <left style="thin">
        <color auto="1"/>
      </left>
      <right style="thin">
        <color auto="1"/>
      </right>
      <top style="thin">
        <color auto="1"/>
      </top>
      <bottom style="dashDot">
        <color auto="1"/>
      </bottom>
      <diagonal/>
    </border>
    <border>
      <left style="mediumDashDot">
        <color rgb="FFFF0000"/>
      </left>
      <right style="thin">
        <color auto="1"/>
      </right>
      <top style="thin">
        <color auto="1"/>
      </top>
      <bottom style="dashDot">
        <color auto="1"/>
      </bottom>
      <diagonal/>
    </border>
    <border>
      <left style="dashDot">
        <color indexed="64"/>
      </left>
      <right style="mediumDashDot">
        <color rgb="FFFF0000"/>
      </right>
      <top style="thin">
        <color auto="1"/>
      </top>
      <bottom style="mediumDashDot">
        <color rgb="FFFF0000"/>
      </bottom>
      <diagonal/>
    </border>
    <border>
      <left style="thin">
        <color indexed="64"/>
      </left>
      <right style="dashDot">
        <color indexed="64"/>
      </right>
      <top style="thin">
        <color auto="1"/>
      </top>
      <bottom style="mediumDashDot">
        <color rgb="FFFF0000"/>
      </bottom>
      <diagonal/>
    </border>
    <border>
      <left style="thin">
        <color auto="1"/>
      </left>
      <right style="thin">
        <color auto="1"/>
      </right>
      <top style="thin">
        <color auto="1"/>
      </top>
      <bottom style="mediumDashDot">
        <color rgb="FFFF0000"/>
      </bottom>
      <diagonal/>
    </border>
    <border>
      <left style="medium">
        <color auto="1"/>
      </left>
      <right/>
      <top/>
      <bottom style="dashDot">
        <color auto="1"/>
      </bottom>
      <diagonal/>
    </border>
    <border>
      <left style="dashDot">
        <color auto="1"/>
      </left>
      <right style="mediumDashDot">
        <color rgb="FFFF0000"/>
      </right>
      <top/>
      <bottom/>
      <diagonal/>
    </border>
    <border>
      <left style="medium">
        <color auto="1"/>
      </left>
      <right style="thin">
        <color rgb="FF0033CC"/>
      </right>
      <top/>
      <bottom/>
      <diagonal/>
    </border>
    <border>
      <left style="medium">
        <color auto="1"/>
      </left>
      <right style="thin">
        <color rgb="FF0033CC"/>
      </right>
      <top style="thin">
        <color rgb="FF0033CC"/>
      </top>
      <bottom/>
      <diagonal/>
    </border>
    <border>
      <left style="medium">
        <color indexed="64"/>
      </left>
      <right/>
      <top/>
      <bottom style="thin">
        <color rgb="FF0033CC"/>
      </bottom>
      <diagonal/>
    </border>
    <border>
      <left style="thick">
        <color rgb="FF000099"/>
      </left>
      <right/>
      <top style="thin">
        <color rgb="FF000099"/>
      </top>
      <bottom/>
      <diagonal/>
    </border>
    <border>
      <left style="medium">
        <color indexed="64"/>
      </left>
      <right style="medium">
        <color indexed="64"/>
      </right>
      <top style="medium">
        <color indexed="64"/>
      </top>
      <bottom/>
      <diagonal/>
    </border>
    <border>
      <left style="thin">
        <color auto="1"/>
      </left>
      <right style="thin">
        <color rgb="FF000099"/>
      </right>
      <top style="thin">
        <color rgb="FF000099"/>
      </top>
      <bottom style="thin">
        <color rgb="FF000099"/>
      </bottom>
      <diagonal/>
    </border>
    <border>
      <left style="medium">
        <color rgb="FF000099"/>
      </left>
      <right style="medium">
        <color rgb="FF000099"/>
      </right>
      <top style="thin">
        <color rgb="FF000099"/>
      </top>
      <bottom style="thin">
        <color rgb="FF000099"/>
      </bottom>
      <diagonal/>
    </border>
    <border>
      <left style="medium">
        <color rgb="FF000099"/>
      </left>
      <right style="thin">
        <color rgb="FF000099"/>
      </right>
      <top style="thin">
        <color rgb="FF000099"/>
      </top>
      <bottom/>
      <diagonal/>
    </border>
    <border>
      <left/>
      <right style="medium">
        <color rgb="FF000099"/>
      </right>
      <top style="thin">
        <color rgb="FF000099"/>
      </top>
      <bottom/>
      <diagonal/>
    </border>
    <border>
      <left/>
      <right style="thick">
        <color rgb="FF000099"/>
      </right>
      <top style="medium">
        <color rgb="FF000099"/>
      </top>
      <bottom/>
      <diagonal/>
    </border>
    <border>
      <left style="thin">
        <color auto="1"/>
      </left>
      <right style="medium">
        <color auto="1"/>
      </right>
      <top/>
      <bottom/>
      <diagonal/>
    </border>
    <border>
      <left style="thin">
        <color rgb="FFFF3300"/>
      </left>
      <right style="thin">
        <color rgb="FFFF3300"/>
      </right>
      <top style="thin">
        <color rgb="FFFF3300"/>
      </top>
      <bottom style="thin">
        <color rgb="FFFF3300"/>
      </bottom>
      <diagonal/>
    </border>
    <border>
      <left style="thin">
        <color indexed="64"/>
      </left>
      <right style="medium">
        <color auto="1"/>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thin">
        <color auto="1"/>
      </left>
      <right style="medium">
        <color auto="1"/>
      </right>
      <top style="thin">
        <color indexed="64"/>
      </top>
      <bottom style="hair">
        <color indexed="64"/>
      </bottom>
      <diagonal/>
    </border>
    <border>
      <left style="medium">
        <color auto="1"/>
      </left>
      <right style="hair">
        <color indexed="64"/>
      </right>
      <top style="thin">
        <color auto="1"/>
      </top>
      <bottom style="hair">
        <color indexed="64"/>
      </bottom>
      <diagonal/>
    </border>
    <border>
      <left style="thin">
        <color indexed="64"/>
      </left>
      <right style="medium">
        <color auto="1"/>
      </right>
      <top style="hair">
        <color indexed="64"/>
      </top>
      <bottom/>
      <diagonal/>
    </border>
    <border>
      <left style="medium">
        <color indexed="64"/>
      </left>
      <right style="hair">
        <color indexed="64"/>
      </right>
      <top style="hair">
        <color indexed="64"/>
      </top>
      <bottom/>
      <diagonal/>
    </border>
    <border>
      <left style="thin">
        <color indexed="64"/>
      </left>
      <right style="thin">
        <color indexed="64"/>
      </right>
      <top style="medium">
        <color auto="1"/>
      </top>
      <bottom style="hair">
        <color indexed="64"/>
      </bottom>
      <diagonal/>
    </border>
    <border>
      <left style="hair">
        <color indexed="64"/>
      </left>
      <right style="hair">
        <color indexed="64"/>
      </right>
      <top style="medium">
        <color auto="1"/>
      </top>
      <bottom style="hair">
        <color indexed="64"/>
      </bottom>
      <diagonal/>
    </border>
    <border>
      <left style="thin">
        <color auto="1"/>
      </left>
      <right style="medium">
        <color indexed="64"/>
      </right>
      <top style="medium">
        <color indexed="64"/>
      </top>
      <bottom style="hair">
        <color indexed="64"/>
      </bottom>
      <diagonal/>
    </border>
    <border>
      <left style="thin">
        <color indexed="64"/>
      </left>
      <right style="hair">
        <color indexed="64"/>
      </right>
      <top style="medium">
        <color auto="1"/>
      </top>
      <bottom style="hair">
        <color indexed="64"/>
      </bottom>
      <diagonal/>
    </border>
    <border>
      <left style="hair">
        <color indexed="64"/>
      </left>
      <right style="thin">
        <color indexed="64"/>
      </right>
      <top style="medium">
        <color auto="1"/>
      </top>
      <bottom style="hair">
        <color indexed="64"/>
      </bottom>
      <diagonal/>
    </border>
    <border>
      <left style="medium">
        <color indexed="64"/>
      </left>
      <right style="hair">
        <color indexed="64"/>
      </right>
      <top style="medium">
        <color indexed="64"/>
      </top>
      <bottom style="hair">
        <color indexed="64"/>
      </bottom>
      <diagonal/>
    </border>
    <border>
      <left/>
      <right style="medium">
        <color indexed="64"/>
      </right>
      <top style="medium">
        <color auto="1"/>
      </top>
      <bottom style="hair">
        <color indexed="64"/>
      </bottom>
      <diagonal/>
    </border>
    <border>
      <left style="hair">
        <color indexed="64"/>
      </left>
      <right/>
      <top style="medium">
        <color indexed="64"/>
      </top>
      <bottom style="hair">
        <color indexed="64"/>
      </bottom>
      <diagonal/>
    </border>
    <border>
      <left style="hair">
        <color auto="1"/>
      </left>
      <right style="hair">
        <color auto="1"/>
      </right>
      <top style="thin">
        <color auto="1"/>
      </top>
      <bottom style="medium">
        <color auto="1"/>
      </bottom>
      <diagonal/>
    </border>
    <border>
      <left/>
      <right style="hair">
        <color auto="1"/>
      </right>
      <top style="thin">
        <color auto="1"/>
      </top>
      <bottom style="medium">
        <color auto="1"/>
      </bottom>
      <diagonal/>
    </border>
    <border>
      <left style="hair">
        <color indexed="64"/>
      </left>
      <right/>
      <top style="thin">
        <color indexed="64"/>
      </top>
      <bottom style="medium">
        <color indexed="64"/>
      </bottom>
      <diagonal/>
    </border>
    <border>
      <left style="medium">
        <color auto="1"/>
      </left>
      <right style="hair">
        <color auto="1"/>
      </right>
      <top style="thin">
        <color auto="1"/>
      </top>
      <bottom style="thin">
        <color auto="1"/>
      </bottom>
      <diagonal/>
    </border>
    <border>
      <left/>
      <right style="hair">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rgb="FF0033CC"/>
      </left>
      <right style="thin">
        <color rgb="FF0033CC"/>
      </right>
      <top style="thin">
        <color rgb="FF0033CC"/>
      </top>
      <bottom style="thin">
        <color rgb="FF000099"/>
      </bottom>
      <diagonal/>
    </border>
    <border>
      <left style="thin">
        <color rgb="FF002060"/>
      </left>
      <right style="thin">
        <color rgb="FF0033CC"/>
      </right>
      <top style="thin">
        <color rgb="FF0033CC"/>
      </top>
      <bottom style="thin">
        <color rgb="FF000099"/>
      </bottom>
      <diagonal/>
    </border>
    <border>
      <left style="thin">
        <color rgb="FF002060"/>
      </left>
      <right style="thin">
        <color rgb="FF002060"/>
      </right>
      <top style="thin">
        <color rgb="FF002060"/>
      </top>
      <bottom style="thin">
        <color rgb="FF000099"/>
      </bottom>
      <diagonal/>
    </border>
    <border>
      <left style="thin">
        <color rgb="FF002060"/>
      </left>
      <right style="thin">
        <color rgb="FF0033CC"/>
      </right>
      <top style="thin">
        <color rgb="FF0033CC"/>
      </top>
      <bottom style="thin">
        <color rgb="FF0033CC"/>
      </bottom>
      <diagonal/>
    </border>
    <border>
      <left/>
      <right style="thin">
        <color rgb="FF000099"/>
      </right>
      <top style="thin">
        <color rgb="FF002060"/>
      </top>
      <bottom style="thin">
        <color rgb="FF002060"/>
      </bottom>
      <diagonal/>
    </border>
    <border>
      <left style="thin">
        <color rgb="FF000099"/>
      </left>
      <right/>
      <top style="thin">
        <color rgb="FF002060"/>
      </top>
      <bottom style="thin">
        <color rgb="FF002060"/>
      </bottom>
      <diagonal/>
    </border>
    <border>
      <left style="thin">
        <color rgb="FF000099"/>
      </left>
      <right style="thin">
        <color rgb="FF000099"/>
      </right>
      <top style="thin">
        <color rgb="FF002060"/>
      </top>
      <bottom style="thin">
        <color rgb="FF002060"/>
      </bottom>
      <diagonal/>
    </border>
    <border>
      <left style="medium">
        <color rgb="FF000099"/>
      </left>
      <right style="medium">
        <color rgb="FF000099"/>
      </right>
      <top/>
      <bottom/>
      <diagonal/>
    </border>
    <border>
      <left style="thin">
        <color rgb="FF000099"/>
      </left>
      <right style="medium">
        <color rgb="FF000099"/>
      </right>
      <top/>
      <bottom/>
      <diagonal/>
    </border>
    <border>
      <left style="hair">
        <color rgb="FF000099"/>
      </left>
      <right style="hair">
        <color rgb="FF000099"/>
      </right>
      <top style="thin">
        <color rgb="FF002060"/>
      </top>
      <bottom style="thin">
        <color rgb="FF002060"/>
      </bottom>
      <diagonal/>
    </border>
    <border>
      <left/>
      <right style="hair">
        <color rgb="FF000099"/>
      </right>
      <top style="thin">
        <color rgb="FF002060"/>
      </top>
      <bottom style="thin">
        <color rgb="FF002060"/>
      </bottom>
      <diagonal/>
    </border>
    <border>
      <left style="hair">
        <color rgb="FF000099"/>
      </left>
      <right style="thin">
        <color rgb="FF000099"/>
      </right>
      <top style="thin">
        <color rgb="FF002060"/>
      </top>
      <bottom style="thin">
        <color rgb="FF002060"/>
      </bottom>
      <diagonal/>
    </border>
    <border>
      <left style="thin">
        <color rgb="FF000099"/>
      </left>
      <right style="hair">
        <color rgb="FF000099"/>
      </right>
      <top style="thin">
        <color rgb="FF002060"/>
      </top>
      <bottom style="thin">
        <color rgb="FF002060"/>
      </bottom>
      <diagonal/>
    </border>
    <border>
      <left style="hair">
        <color rgb="FF0033CC"/>
      </left>
      <right style="thin">
        <color rgb="FF000099"/>
      </right>
      <top style="thin">
        <color rgb="FF0033CC"/>
      </top>
      <bottom style="thin">
        <color rgb="FF0033CC"/>
      </bottom>
      <diagonal/>
    </border>
    <border>
      <left style="hair">
        <color rgb="FF0033CC"/>
      </left>
      <right style="hair">
        <color rgb="FF0033CC"/>
      </right>
      <top style="thin">
        <color rgb="FF0033CC"/>
      </top>
      <bottom style="thin">
        <color rgb="FF0033CC"/>
      </bottom>
      <diagonal/>
    </border>
    <border>
      <left style="thin">
        <color rgb="FF0033CC"/>
      </left>
      <right style="hair">
        <color rgb="FF0033CC"/>
      </right>
      <top style="thin">
        <color rgb="FF0033CC"/>
      </top>
      <bottom style="thin">
        <color rgb="FF0033CC"/>
      </bottom>
      <diagonal/>
    </border>
    <border>
      <left style="hair">
        <color rgb="FF000099"/>
      </left>
      <right style="thin">
        <color rgb="FF0033CC"/>
      </right>
      <top/>
      <bottom/>
      <diagonal/>
    </border>
    <border>
      <left style="hair">
        <color rgb="FF000099"/>
      </left>
      <right style="hair">
        <color rgb="FF000099"/>
      </right>
      <top/>
      <bottom/>
      <diagonal/>
    </border>
    <border>
      <left style="thin">
        <color rgb="FF000099"/>
      </left>
      <right style="hair">
        <color rgb="FF000099"/>
      </right>
      <top/>
      <bottom/>
      <diagonal/>
    </border>
    <border>
      <left style="hair">
        <color rgb="FF000099"/>
      </left>
      <right style="thin">
        <color rgb="FF000099"/>
      </right>
      <top style="hair">
        <color rgb="FF000099"/>
      </top>
      <bottom/>
      <diagonal/>
    </border>
    <border>
      <left style="hair">
        <color rgb="FF000099"/>
      </left>
      <right style="hair">
        <color rgb="FF000099"/>
      </right>
      <top style="hair">
        <color rgb="FF000099"/>
      </top>
      <bottom/>
      <diagonal/>
    </border>
    <border>
      <left/>
      <right style="hair">
        <color rgb="FF000099"/>
      </right>
      <top style="hair">
        <color rgb="FF000099"/>
      </top>
      <bottom/>
      <diagonal/>
    </border>
    <border>
      <left style="hair">
        <color rgb="FF000099"/>
      </left>
      <right/>
      <top style="hair">
        <color rgb="FF000099"/>
      </top>
      <bottom/>
      <diagonal/>
    </border>
    <border>
      <left style="thin">
        <color rgb="FF000099"/>
      </left>
      <right/>
      <top style="hair">
        <color rgb="FF000099"/>
      </top>
      <bottom/>
      <diagonal/>
    </border>
    <border>
      <left style="hair">
        <color rgb="FF000099"/>
      </left>
      <right style="thin">
        <color rgb="FF000099"/>
      </right>
      <top/>
      <bottom/>
      <diagonal/>
    </border>
    <border>
      <left style="hair">
        <color rgb="FF000099"/>
      </left>
      <right style="hair">
        <color rgb="FF000099"/>
      </right>
      <top style="medium">
        <color rgb="FF000099"/>
      </top>
      <bottom/>
      <diagonal/>
    </border>
    <border>
      <left style="hair">
        <color rgb="FF000099"/>
      </left>
      <right style="thin">
        <color rgb="FF0033CC"/>
      </right>
      <top style="thin">
        <color rgb="FF000099"/>
      </top>
      <bottom style="hair">
        <color rgb="FF000099"/>
      </bottom>
      <diagonal/>
    </border>
    <border>
      <left style="hair">
        <color rgb="FF000099"/>
      </left>
      <right style="hair">
        <color rgb="FF000099"/>
      </right>
      <top style="thin">
        <color rgb="FF000099"/>
      </top>
      <bottom style="hair">
        <color rgb="FF000099"/>
      </bottom>
      <diagonal/>
    </border>
    <border>
      <left style="thin">
        <color rgb="FF000099"/>
      </left>
      <right style="hair">
        <color rgb="FF000099"/>
      </right>
      <top style="thin">
        <color rgb="FF000099"/>
      </top>
      <bottom style="hair">
        <color rgb="FF000099"/>
      </bottom>
      <diagonal/>
    </border>
    <border>
      <left/>
      <right style="thin">
        <color rgb="FF000099"/>
      </right>
      <top/>
      <bottom style="hair">
        <color rgb="FF000099"/>
      </bottom>
      <diagonal/>
    </border>
    <border>
      <left/>
      <right/>
      <top/>
      <bottom style="hair">
        <color rgb="FF000099"/>
      </bottom>
      <diagonal/>
    </border>
    <border>
      <left style="thin">
        <color rgb="FF000099"/>
      </left>
      <right/>
      <top/>
      <bottom style="hair">
        <color rgb="FF000099"/>
      </bottom>
      <diagonal/>
    </border>
    <border>
      <left style="hair">
        <color rgb="FF000099"/>
      </left>
      <right style="thin">
        <color rgb="FF000099"/>
      </right>
      <top style="thin">
        <color rgb="FF000099"/>
      </top>
      <bottom/>
      <diagonal/>
    </border>
    <border>
      <left style="hair">
        <color rgb="FF000099"/>
      </left>
      <right style="hair">
        <color rgb="FF000099"/>
      </right>
      <top style="thin">
        <color rgb="FF000099"/>
      </top>
      <bottom/>
      <diagonal/>
    </border>
    <border>
      <left style="thin">
        <color rgb="FF000099"/>
      </left>
      <right style="hair">
        <color rgb="FF000099"/>
      </right>
      <top style="thin">
        <color rgb="FF000099"/>
      </top>
      <bottom/>
      <diagonal/>
    </border>
    <border>
      <left/>
      <right style="thin">
        <color rgb="FF000099"/>
      </right>
      <top style="medium">
        <color rgb="FF000099"/>
      </top>
      <bottom style="medium">
        <color rgb="FF000099"/>
      </bottom>
      <diagonal/>
    </border>
    <border>
      <left style="hair">
        <color rgb="FF000099"/>
      </left>
      <right style="hair">
        <color rgb="FF000099"/>
      </right>
      <top style="medium">
        <color rgb="FF000099"/>
      </top>
      <bottom style="medium">
        <color rgb="FF000099"/>
      </bottom>
      <diagonal/>
    </border>
    <border>
      <left style="thin">
        <color rgb="FF000099"/>
      </left>
      <right/>
      <top style="medium">
        <color rgb="FF000099"/>
      </top>
      <bottom style="medium">
        <color rgb="FF000099"/>
      </bottom>
      <diagonal/>
    </border>
    <border>
      <left/>
      <right style="thin">
        <color rgb="FF0033CC"/>
      </right>
      <top style="hair">
        <color rgb="FF000099"/>
      </top>
      <bottom style="thin">
        <color rgb="FF000099"/>
      </bottom>
      <diagonal/>
    </border>
    <border>
      <left/>
      <right/>
      <top style="hair">
        <color rgb="FF000099"/>
      </top>
      <bottom style="thin">
        <color rgb="FF000099"/>
      </bottom>
      <diagonal/>
    </border>
    <border>
      <left style="hair">
        <color rgb="FF000099"/>
      </left>
      <right/>
      <top style="hair">
        <color rgb="FF000099"/>
      </top>
      <bottom style="thin">
        <color rgb="FF000099"/>
      </bottom>
      <diagonal/>
    </border>
    <border>
      <left/>
      <right style="hair">
        <color rgb="FF000099"/>
      </right>
      <top style="hair">
        <color rgb="FF000099"/>
      </top>
      <bottom style="thin">
        <color rgb="FF000099"/>
      </bottom>
      <diagonal/>
    </border>
    <border>
      <left style="thin">
        <color rgb="FF000099"/>
      </left>
      <right/>
      <top style="hair">
        <color rgb="FF000099"/>
      </top>
      <bottom style="thin">
        <color rgb="FF000099"/>
      </bottom>
      <diagonal/>
    </border>
    <border>
      <left/>
      <right style="thin">
        <color rgb="FF000099"/>
      </right>
      <top style="hair">
        <color rgb="FF000099"/>
      </top>
      <bottom style="thin">
        <color rgb="FF000099"/>
      </bottom>
      <diagonal/>
    </border>
    <border>
      <left style="hair">
        <color rgb="FF000099"/>
      </left>
      <right style="hair">
        <color rgb="FF000099"/>
      </right>
      <top/>
      <bottom style="medium">
        <color rgb="FF000099"/>
      </bottom>
      <diagonal/>
    </border>
    <border>
      <left/>
      <right style="thin">
        <color rgb="FF0033CC"/>
      </right>
      <top style="thin">
        <color rgb="FF000099"/>
      </top>
      <bottom style="hair">
        <color rgb="FF000099"/>
      </bottom>
      <diagonal/>
    </border>
    <border>
      <left style="thin">
        <color rgb="FF0033CC"/>
      </left>
      <right style="thin">
        <color rgb="FF002060"/>
      </right>
      <top style="thin">
        <color rgb="FF0033CC"/>
      </top>
      <bottom style="thin">
        <color rgb="FF002060"/>
      </bottom>
      <diagonal/>
    </border>
    <border>
      <left style="thin">
        <color rgb="FF0033CC"/>
      </left>
      <right style="thin">
        <color rgb="FF0033CC"/>
      </right>
      <top style="thin">
        <color rgb="FF0033CC"/>
      </top>
      <bottom style="thin">
        <color rgb="FF002060"/>
      </bottom>
      <diagonal/>
    </border>
    <border>
      <left style="hair">
        <color rgb="FF000099"/>
      </left>
      <right style="thin">
        <color rgb="FF002060"/>
      </right>
      <top/>
      <bottom/>
      <diagonal/>
    </border>
    <border>
      <left style="hair">
        <color rgb="FF000099"/>
      </left>
      <right style="thin">
        <color rgb="FF002060"/>
      </right>
      <top style="thin">
        <color rgb="FF000099"/>
      </top>
      <bottom style="hair">
        <color rgb="FF000099"/>
      </bottom>
      <diagonal/>
    </border>
    <border>
      <left/>
      <right style="thin">
        <color rgb="FF002060"/>
      </right>
      <top style="hair">
        <color rgb="FF000099"/>
      </top>
      <bottom style="thin">
        <color rgb="FF000099"/>
      </bottom>
      <diagonal/>
    </border>
    <border>
      <left/>
      <right style="thin">
        <color rgb="FF002060"/>
      </right>
      <top style="thin">
        <color rgb="FF000099"/>
      </top>
      <bottom style="hair">
        <color rgb="FF000099"/>
      </bottom>
      <diagonal/>
    </border>
    <border>
      <left style="thin">
        <color rgb="FF0033CC"/>
      </left>
      <right style="thin">
        <color auto="1"/>
      </right>
      <top style="thin">
        <color rgb="FF0033CC"/>
      </top>
      <bottom/>
      <diagonal/>
    </border>
    <border>
      <left style="thin">
        <color rgb="FF0033CC"/>
      </left>
      <right style="thin">
        <color rgb="FF0033CC"/>
      </right>
      <top style="thin">
        <color rgb="FF0033CC"/>
      </top>
      <bottom/>
      <diagonal/>
    </border>
    <border>
      <left style="thin">
        <color rgb="FF0033CC"/>
      </left>
      <right style="thin">
        <color auto="1"/>
      </right>
      <top style="thin">
        <color rgb="FF0033CC"/>
      </top>
      <bottom style="thin">
        <color rgb="FF0033CC"/>
      </bottom>
      <diagonal/>
    </border>
    <border>
      <left style="hair">
        <color rgb="FF000099"/>
      </left>
      <right style="thin">
        <color auto="1"/>
      </right>
      <top/>
      <bottom/>
      <diagonal/>
    </border>
    <border>
      <left style="hair">
        <color rgb="FF000099"/>
      </left>
      <right style="thin">
        <color auto="1"/>
      </right>
      <top style="thin">
        <color rgb="FF000099"/>
      </top>
      <bottom style="hair">
        <color rgb="FF000099"/>
      </bottom>
      <diagonal/>
    </border>
    <border>
      <left/>
      <right style="thin">
        <color auto="1"/>
      </right>
      <top style="hair">
        <color rgb="FF000099"/>
      </top>
      <bottom style="thin">
        <color rgb="FF000099"/>
      </bottom>
      <diagonal/>
    </border>
    <border>
      <left/>
      <right style="thin">
        <color auto="1"/>
      </right>
      <top/>
      <bottom style="hair">
        <color rgb="FF000099"/>
      </bottom>
      <diagonal/>
    </border>
    <border>
      <left style="thin">
        <color rgb="FF000099"/>
      </left>
      <right style="thin">
        <color rgb="FF000099"/>
      </right>
      <top/>
      <bottom style="hair">
        <color rgb="FF000099"/>
      </bottom>
      <diagonal/>
    </border>
    <border>
      <left style="thin">
        <color rgb="FF002060"/>
      </left>
      <right style="thin">
        <color auto="1"/>
      </right>
      <top style="thin">
        <color rgb="FF002060"/>
      </top>
      <bottom style="thin">
        <color rgb="FF002060"/>
      </bottom>
      <diagonal/>
    </border>
    <border>
      <left style="hair">
        <color rgb="FF002060"/>
      </left>
      <right style="thin">
        <color rgb="FF000099"/>
      </right>
      <top style="thin">
        <color rgb="FF002060"/>
      </top>
      <bottom style="thin">
        <color rgb="FF002060"/>
      </bottom>
      <diagonal/>
    </border>
    <border>
      <left style="thin">
        <color rgb="FF002060"/>
      </left>
      <right style="thin">
        <color rgb="FF000099"/>
      </right>
      <top style="thin">
        <color rgb="FF002060"/>
      </top>
      <bottom style="thin">
        <color rgb="FF002060"/>
      </bottom>
      <diagonal/>
    </border>
    <border>
      <left style="hair">
        <color rgb="FF000099"/>
      </left>
      <right style="thin">
        <color rgb="FF000099"/>
      </right>
      <top style="thin">
        <color rgb="FF000099"/>
      </top>
      <bottom style="hair">
        <color rgb="FF000099"/>
      </bottom>
      <diagonal/>
    </border>
    <border>
      <left style="thin">
        <color rgb="FF002060"/>
      </left>
      <right style="thin">
        <color rgb="FF000099"/>
      </right>
      <top style="thin">
        <color rgb="FF002060"/>
      </top>
      <bottom style="thin">
        <color rgb="FF000099"/>
      </bottom>
      <diagonal/>
    </border>
    <border>
      <left style="hair">
        <color rgb="FF000099"/>
      </left>
      <right/>
      <top/>
      <bottom style="thin">
        <color rgb="FF002060"/>
      </bottom>
      <diagonal/>
    </border>
    <border>
      <left/>
      <right style="hair">
        <color rgb="FF000099"/>
      </right>
      <top/>
      <bottom/>
      <diagonal/>
    </border>
    <border>
      <left style="thin">
        <color rgb="FF002060"/>
      </left>
      <right style="thin">
        <color rgb="FF002060"/>
      </right>
      <top/>
      <bottom style="thin">
        <color rgb="FF000099"/>
      </bottom>
      <diagonal/>
    </border>
    <border>
      <left style="hair">
        <color rgb="FF000099"/>
      </left>
      <right/>
      <top style="thin">
        <color rgb="FF002060"/>
      </top>
      <bottom style="thin">
        <color rgb="FF002060"/>
      </bottom>
      <diagonal/>
    </border>
    <border>
      <left/>
      <right style="thin">
        <color rgb="FF002060"/>
      </right>
      <top style="thin">
        <color rgb="FF002060"/>
      </top>
      <bottom style="thin">
        <color rgb="FF000099"/>
      </bottom>
      <diagonal/>
    </border>
    <border>
      <left/>
      <right/>
      <top style="thin">
        <color rgb="FF002060"/>
      </top>
      <bottom style="thin">
        <color rgb="FF000099"/>
      </bottom>
      <diagonal/>
    </border>
    <border>
      <left style="thin">
        <color rgb="FF002060"/>
      </left>
      <right/>
      <top style="thin">
        <color rgb="FF002060"/>
      </top>
      <bottom style="thin">
        <color rgb="FF000099"/>
      </bottom>
      <diagonal/>
    </border>
    <border>
      <left style="thin">
        <color rgb="FF002060"/>
      </left>
      <right style="thin">
        <color rgb="FF002060"/>
      </right>
      <top style="thin">
        <color rgb="FF000099"/>
      </top>
      <bottom style="thin">
        <color rgb="FF002060"/>
      </bottom>
      <diagonal/>
    </border>
    <border>
      <left/>
      <right/>
      <top style="thin">
        <color rgb="FF000099"/>
      </top>
      <bottom style="thin">
        <color rgb="FF002060"/>
      </bottom>
      <diagonal/>
    </border>
    <border>
      <left style="thin">
        <color indexed="64"/>
      </left>
      <right/>
      <top style="thin">
        <color rgb="FF000099"/>
      </top>
      <bottom style="thin">
        <color rgb="FF002060"/>
      </bottom>
      <diagonal/>
    </border>
    <border>
      <left style="thin">
        <color rgb="FF0066CC"/>
      </left>
      <right/>
      <top/>
      <bottom/>
      <diagonal/>
    </border>
    <border>
      <left/>
      <right style="thin">
        <color auto="1"/>
      </right>
      <top style="thin">
        <color rgb="FF0066CC"/>
      </top>
      <bottom/>
      <diagonal/>
    </border>
    <border>
      <left/>
      <right/>
      <top style="thin">
        <color rgb="FF0066CC"/>
      </top>
      <bottom/>
      <diagonal/>
    </border>
    <border>
      <left style="thin">
        <color rgb="FF0066CC"/>
      </left>
      <right/>
      <top style="thin">
        <color rgb="FF0066CC"/>
      </top>
      <bottom/>
      <diagonal/>
    </border>
    <border>
      <left/>
      <right style="thin">
        <color auto="1"/>
      </right>
      <top/>
      <bottom style="thin">
        <color rgb="FF0066CC"/>
      </bottom>
      <diagonal/>
    </border>
    <border>
      <left/>
      <right/>
      <top/>
      <bottom style="thin">
        <color rgb="FF0066CC"/>
      </bottom>
      <diagonal/>
    </border>
    <border>
      <left style="thin">
        <color rgb="FF0066CC"/>
      </left>
      <right/>
      <top/>
      <bottom style="thin">
        <color rgb="FF0066CC"/>
      </bottom>
      <diagonal/>
    </border>
    <border>
      <left style="thick">
        <color rgb="FFFF0066"/>
      </left>
      <right/>
      <top style="thick">
        <color rgb="FFFF0066"/>
      </top>
      <bottom/>
      <diagonal/>
    </border>
    <border>
      <left/>
      <right style="thick">
        <color rgb="FFFF0066"/>
      </right>
      <top style="thick">
        <color rgb="FFFF0066"/>
      </top>
      <bottom/>
      <diagonal/>
    </border>
    <border diagonalUp="1">
      <left/>
      <right style="medium">
        <color rgb="FF000099"/>
      </right>
      <top/>
      <bottom style="medium">
        <color rgb="FF000099"/>
      </bottom>
      <diagonal style="thin">
        <color rgb="FF000099"/>
      </diagonal>
    </border>
    <border diagonalUp="1">
      <left/>
      <right/>
      <top/>
      <bottom style="medium">
        <color rgb="FF000099"/>
      </bottom>
      <diagonal style="thin">
        <color rgb="FF000099"/>
      </diagonal>
    </border>
    <border diagonalUp="1">
      <left style="thick">
        <color rgb="FFFF0066"/>
      </left>
      <right/>
      <top/>
      <bottom style="thick">
        <color rgb="FFFF0066"/>
      </bottom>
      <diagonal style="thin">
        <color rgb="FF000099"/>
      </diagonal>
    </border>
    <border>
      <left/>
      <right style="thick">
        <color rgb="FFFF0066"/>
      </right>
      <top/>
      <bottom style="thick">
        <color rgb="FFFF0066"/>
      </bottom>
      <diagonal/>
    </border>
    <border diagonalUp="1">
      <left/>
      <right style="medium">
        <color rgb="FF000099"/>
      </right>
      <top/>
      <bottom/>
      <diagonal style="thin">
        <color rgb="FF000099"/>
      </diagonal>
    </border>
    <border diagonalUp="1">
      <left/>
      <right/>
      <top/>
      <bottom/>
      <diagonal style="thin">
        <color rgb="FF000099"/>
      </diagonal>
    </border>
    <border diagonalUp="1">
      <left style="medium">
        <color rgb="FF000099"/>
      </left>
      <right/>
      <top/>
      <bottom/>
      <diagonal style="thin">
        <color rgb="FF000099"/>
      </diagonal>
    </border>
    <border>
      <left style="thin">
        <color auto="1"/>
      </left>
      <right style="medium">
        <color rgb="FF000099"/>
      </right>
      <top/>
      <bottom/>
      <diagonal/>
    </border>
    <border>
      <left style="medium">
        <color rgb="FF000099"/>
      </left>
      <right style="thin">
        <color auto="1"/>
      </right>
      <top/>
      <bottom style="thin">
        <color auto="1"/>
      </bottom>
      <diagonal/>
    </border>
    <border diagonalUp="1">
      <left/>
      <right/>
      <top style="thin">
        <color auto="1"/>
      </top>
      <bottom/>
      <diagonal style="thin">
        <color rgb="FF000099"/>
      </diagonal>
    </border>
    <border diagonalUp="1">
      <left style="medium">
        <color rgb="FF000099"/>
      </left>
      <right/>
      <top style="thin">
        <color auto="1"/>
      </top>
      <bottom/>
      <diagonal style="thin">
        <color rgb="FF000099"/>
      </diagonal>
    </border>
    <border>
      <left style="medium">
        <color rgb="FF000099"/>
      </left>
      <right style="thin">
        <color auto="1"/>
      </right>
      <top/>
      <bottom/>
      <diagonal/>
    </border>
    <border diagonalUp="1">
      <left/>
      <right/>
      <top/>
      <bottom style="thin">
        <color auto="1"/>
      </bottom>
      <diagonal style="thin">
        <color rgb="FF000099"/>
      </diagonal>
    </border>
    <border diagonalUp="1">
      <left style="medium">
        <color rgb="FF000099"/>
      </left>
      <right/>
      <top/>
      <bottom style="thin">
        <color auto="1"/>
      </bottom>
      <diagonal style="thin">
        <color rgb="FF000099"/>
      </diagonal>
    </border>
    <border>
      <left style="thin">
        <color auto="1"/>
      </left>
      <right style="medium">
        <color rgb="FF000099"/>
      </right>
      <top/>
      <bottom style="thin">
        <color auto="1"/>
      </bottom>
      <diagonal/>
    </border>
    <border>
      <left style="medium">
        <color rgb="FF000099"/>
      </left>
      <right style="thin">
        <color auto="1"/>
      </right>
      <top style="thin">
        <color auto="1"/>
      </top>
      <bottom/>
      <diagonal/>
    </border>
    <border diagonalUp="1">
      <left/>
      <right style="medium">
        <color rgb="FF000099"/>
      </right>
      <top style="medium">
        <color rgb="FF000099"/>
      </top>
      <bottom/>
      <diagonal style="thin">
        <color rgb="FF000099"/>
      </diagonal>
    </border>
    <border diagonalUp="1">
      <left/>
      <right/>
      <top style="medium">
        <color rgb="FF000099"/>
      </top>
      <bottom/>
      <diagonal style="thin">
        <color rgb="FF000099"/>
      </diagonal>
    </border>
    <border>
      <left style="thin">
        <color auto="1"/>
      </left>
      <right style="medium">
        <color rgb="FF000099"/>
      </right>
      <top/>
      <bottom style="medium">
        <color rgb="FF000099"/>
      </bottom>
      <diagonal/>
    </border>
    <border>
      <left/>
      <right style="thin">
        <color auto="1"/>
      </right>
      <top/>
      <bottom style="medium">
        <color rgb="FF000099"/>
      </bottom>
      <diagonal/>
    </border>
    <border>
      <left style="thin">
        <color auto="1"/>
      </left>
      <right style="medium">
        <color rgb="FF000099"/>
      </right>
      <top style="thin">
        <color auto="1"/>
      </top>
      <bottom/>
      <diagonal/>
    </border>
    <border diagonalUp="1">
      <left style="thin">
        <color auto="1"/>
      </left>
      <right/>
      <top/>
      <bottom/>
      <diagonal style="thin">
        <color rgb="FF000099"/>
      </diagonal>
    </border>
    <border diagonalUp="1">
      <left/>
      <right style="thin">
        <color auto="1"/>
      </right>
      <top/>
      <bottom/>
      <diagonal style="thin">
        <color rgb="FF000099"/>
      </diagonal>
    </border>
    <border diagonalUp="1">
      <left style="medium">
        <color rgb="FF000099"/>
      </left>
      <right/>
      <top style="medium">
        <color rgb="FF000099"/>
      </top>
      <bottom/>
      <diagonal style="thin">
        <color rgb="FF000099"/>
      </diagonal>
    </border>
    <border diagonalUp="1">
      <left style="thin">
        <color auto="1"/>
      </left>
      <right/>
      <top style="medium">
        <color rgb="FF000099"/>
      </top>
      <bottom/>
      <diagonal style="thin">
        <color rgb="FF000099"/>
      </diagonal>
    </border>
    <border diagonalUp="1">
      <left/>
      <right style="thin">
        <color auto="1"/>
      </right>
      <top style="medium">
        <color rgb="FF000099"/>
      </top>
      <bottom/>
      <diagonal style="thin">
        <color rgb="FF000099"/>
      </diagonal>
    </border>
    <border>
      <left/>
      <right style="thin">
        <color auto="1"/>
      </right>
      <top style="thin">
        <color auto="1"/>
      </top>
      <bottom style="medium">
        <color rgb="FF000099"/>
      </bottom>
      <diagonal/>
    </border>
    <border>
      <left/>
      <right/>
      <top style="thin">
        <color auto="1"/>
      </top>
      <bottom style="medium">
        <color rgb="FF000099"/>
      </bottom>
      <diagonal/>
    </border>
    <border>
      <left style="thin">
        <color auto="1"/>
      </left>
      <right/>
      <top style="thin">
        <color auto="1"/>
      </top>
      <bottom style="medium">
        <color rgb="FF000099"/>
      </bottom>
      <diagonal/>
    </border>
    <border>
      <left/>
      <right style="thin">
        <color rgb="FF0066CC"/>
      </right>
      <top/>
      <bottom style="thin">
        <color rgb="FF0066CC"/>
      </bottom>
      <diagonal/>
    </border>
    <border>
      <left style="thin">
        <color rgb="FF0066CC"/>
      </left>
      <right/>
      <top style="thin">
        <color rgb="FF0070C0"/>
      </top>
      <bottom/>
      <diagonal/>
    </border>
    <border>
      <left/>
      <right style="thin">
        <color rgb="FF0066CC"/>
      </right>
      <top style="thin">
        <color rgb="FF0066CC"/>
      </top>
      <bottom/>
      <diagonal/>
    </border>
    <border diagonalUp="1">
      <left style="medium">
        <color rgb="FF000099"/>
      </left>
      <right/>
      <top/>
      <bottom style="medium">
        <color rgb="FF000099"/>
      </bottom>
      <diagonal style="thin">
        <color rgb="FF000099"/>
      </diagonal>
    </border>
    <border>
      <left/>
      <right style="medium">
        <color rgb="FF000099"/>
      </right>
      <top/>
      <bottom style="hair">
        <color auto="1"/>
      </bottom>
      <diagonal/>
    </border>
    <border>
      <left style="thick">
        <color rgb="FFFF0066"/>
      </left>
      <right/>
      <top/>
      <bottom style="thick">
        <color rgb="FFFF0066"/>
      </bottom>
      <diagonal/>
    </border>
    <border diagonalUp="1">
      <left style="thin">
        <color auto="1"/>
      </left>
      <right/>
      <top/>
      <bottom style="medium">
        <color rgb="FF000099"/>
      </bottom>
      <diagonal style="thin">
        <color rgb="FF000099"/>
      </diagonal>
    </border>
    <border diagonalUp="1">
      <left/>
      <right style="thin">
        <color auto="1"/>
      </right>
      <top/>
      <bottom style="medium">
        <color rgb="FF000099"/>
      </bottom>
      <diagonal style="thin">
        <color rgb="FF000099"/>
      </diagonal>
    </border>
    <border>
      <left style="hair">
        <color auto="1"/>
      </left>
      <right/>
      <top style="medium">
        <color rgb="FF000099"/>
      </top>
      <bottom/>
      <diagonal/>
    </border>
    <border diagonalUp="1">
      <left/>
      <right style="medium">
        <color rgb="FF000099"/>
      </right>
      <top style="thin">
        <color auto="1"/>
      </top>
      <bottom/>
      <diagonal style="thin">
        <color rgb="FF000099"/>
      </diagonal>
    </border>
    <border diagonalUp="1">
      <left/>
      <right style="medium">
        <color rgb="FF000099"/>
      </right>
      <top/>
      <bottom style="thin">
        <color auto="1"/>
      </bottom>
      <diagonal style="thin">
        <color rgb="FF000099"/>
      </diagonal>
    </border>
    <border>
      <left style="thin">
        <color indexed="64"/>
      </left>
      <right/>
      <top/>
      <bottom style="medium">
        <color rgb="FF000099"/>
      </bottom>
      <diagonal/>
    </border>
    <border>
      <left style="thin">
        <color auto="1"/>
      </left>
      <right/>
      <top style="thin">
        <color rgb="FF0066CC"/>
      </top>
      <bottom/>
      <diagonal/>
    </border>
    <border>
      <left style="hair">
        <color rgb="FF000099"/>
      </left>
      <right/>
      <top/>
      <bottom/>
      <diagonal/>
    </border>
    <border>
      <left style="hair">
        <color rgb="FF000099"/>
      </left>
      <right/>
      <top style="medium">
        <color rgb="FF000099"/>
      </top>
      <bottom/>
      <diagonal/>
    </border>
    <border>
      <left style="medium">
        <color rgb="FF000099"/>
      </left>
      <right/>
      <top style="thin">
        <color auto="1"/>
      </top>
      <bottom/>
      <diagonal/>
    </border>
    <border>
      <left style="thin">
        <color auto="1"/>
      </left>
      <right/>
      <top/>
      <bottom style="thin">
        <color rgb="FF0066CC"/>
      </bottom>
      <diagonal/>
    </border>
    <border>
      <left style="hair">
        <color auto="1"/>
      </left>
      <right/>
      <top style="medium">
        <color rgb="FF000099"/>
      </top>
      <bottom style="thin">
        <color auto="1"/>
      </bottom>
      <diagonal/>
    </border>
    <border>
      <left style="thick">
        <color rgb="FFFF0066"/>
      </left>
      <right style="hair">
        <color auto="1"/>
      </right>
      <top style="thick">
        <color rgb="FFFF0066"/>
      </top>
      <bottom/>
      <diagonal/>
    </border>
    <border>
      <left/>
      <right style="thin">
        <color rgb="FF0033CC"/>
      </right>
      <top style="thin">
        <color rgb="FF0033CC"/>
      </top>
      <bottom/>
      <diagonal/>
    </border>
    <border diagonalUp="1">
      <left style="hair">
        <color auto="1"/>
      </left>
      <right/>
      <top/>
      <bottom style="medium">
        <color rgb="FF000099"/>
      </bottom>
      <diagonal style="thin">
        <color rgb="FF000099"/>
      </diagonal>
    </border>
    <border>
      <left style="thick">
        <color rgb="FFFF0066"/>
      </left>
      <right style="medium">
        <color rgb="FF000099"/>
      </right>
      <top/>
      <bottom style="thick">
        <color rgb="FFFF0066"/>
      </bottom>
      <diagonal/>
    </border>
    <border diagonalUp="1">
      <left style="hair">
        <color auto="1"/>
      </left>
      <right/>
      <top/>
      <bottom/>
      <diagonal style="thin">
        <color rgb="FF000099"/>
      </diagonal>
    </border>
    <border>
      <left style="medium">
        <color rgb="FF000099"/>
      </left>
      <right style="thin">
        <color auto="1"/>
      </right>
      <top style="hair">
        <color auto="1"/>
      </top>
      <bottom/>
      <diagonal/>
    </border>
    <border>
      <left style="medium">
        <color rgb="FF000099"/>
      </left>
      <right/>
      <top style="hair">
        <color auto="1"/>
      </top>
      <bottom/>
      <diagonal/>
    </border>
    <border diagonalUp="1">
      <left/>
      <right style="medium">
        <color rgb="FF000099"/>
      </right>
      <top style="hair">
        <color auto="1"/>
      </top>
      <bottom/>
      <diagonal style="thin">
        <color rgb="FF000099"/>
      </diagonal>
    </border>
    <border diagonalUp="1">
      <left/>
      <right/>
      <top style="hair">
        <color auto="1"/>
      </top>
      <bottom/>
      <diagonal style="thin">
        <color rgb="FF000099"/>
      </diagonal>
    </border>
    <border diagonalUp="1">
      <left style="medium">
        <color rgb="FF000099"/>
      </left>
      <right/>
      <top style="hair">
        <color auto="1"/>
      </top>
      <bottom/>
      <diagonal style="thin">
        <color rgb="FF000099"/>
      </diagonal>
    </border>
    <border>
      <left style="thin">
        <color auto="1"/>
      </left>
      <right style="medium">
        <color rgb="FF000099"/>
      </right>
      <top style="hair">
        <color auto="1"/>
      </top>
      <bottom/>
      <diagonal/>
    </border>
    <border>
      <left style="medium">
        <color rgb="FF000099"/>
      </left>
      <right style="thin">
        <color auto="1"/>
      </right>
      <top/>
      <bottom style="hair">
        <color auto="1"/>
      </bottom>
      <diagonal/>
    </border>
    <border diagonalUp="1">
      <left/>
      <right style="medium">
        <color rgb="FF000099"/>
      </right>
      <top/>
      <bottom style="hair">
        <color auto="1"/>
      </bottom>
      <diagonal style="thin">
        <color rgb="FF000099"/>
      </diagonal>
    </border>
    <border diagonalUp="1">
      <left/>
      <right/>
      <top/>
      <bottom style="hair">
        <color auto="1"/>
      </bottom>
      <diagonal style="thin">
        <color rgb="FF000099"/>
      </diagonal>
    </border>
    <border diagonalUp="1">
      <left style="medium">
        <color rgb="FF000099"/>
      </left>
      <right/>
      <top/>
      <bottom style="hair">
        <color auto="1"/>
      </bottom>
      <diagonal style="thin">
        <color rgb="FF000099"/>
      </diagonal>
    </border>
    <border diagonalUp="1">
      <left/>
      <right style="hair">
        <color auto="1"/>
      </right>
      <top/>
      <bottom/>
      <diagonal style="thin">
        <color rgb="FF000099"/>
      </diagonal>
    </border>
    <border diagonalUp="1">
      <left/>
      <right style="hair">
        <color auto="1"/>
      </right>
      <top style="medium">
        <color rgb="FF000099"/>
      </top>
      <bottom/>
      <diagonal style="thin">
        <color rgb="FF000099"/>
      </diagonal>
    </border>
    <border>
      <left/>
      <right style="hair">
        <color auto="1"/>
      </right>
      <top/>
      <bottom style="medium">
        <color rgb="FF000099"/>
      </bottom>
      <diagonal/>
    </border>
    <border>
      <left/>
      <right style="hair">
        <color auto="1"/>
      </right>
      <top style="thin">
        <color auto="1"/>
      </top>
      <bottom style="medium">
        <color rgb="FF000099"/>
      </bottom>
      <diagonal/>
    </border>
    <border>
      <left style="thin">
        <color auto="1"/>
      </left>
      <right/>
      <top/>
      <bottom style="hair">
        <color rgb="FF000099"/>
      </bottom>
      <diagonal/>
    </border>
    <border>
      <left style="medium">
        <color rgb="FF000099"/>
      </left>
      <right style="thin">
        <color auto="1"/>
      </right>
      <top/>
      <bottom style="hair">
        <color rgb="FF000099"/>
      </bottom>
      <diagonal/>
    </border>
    <border diagonalUp="1">
      <left/>
      <right/>
      <top/>
      <bottom/>
      <diagonal style="thin">
        <color rgb="FF002060"/>
      </diagonal>
    </border>
    <border>
      <left style="hair">
        <color auto="1"/>
      </left>
      <right/>
      <top style="thin">
        <color auto="1"/>
      </top>
      <bottom style="medium">
        <color rgb="FF000099"/>
      </bottom>
      <diagonal/>
    </border>
    <border>
      <left style="thick">
        <color rgb="FFFF0066"/>
      </left>
      <right/>
      <top/>
      <bottom/>
      <diagonal/>
    </border>
    <border>
      <left/>
      <right style="thick">
        <color rgb="FFFF0066"/>
      </right>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style="medium">
        <color indexed="64"/>
      </left>
      <right/>
      <top style="hair">
        <color indexed="64"/>
      </top>
      <bottom/>
      <diagonal/>
    </border>
    <border>
      <left style="hair">
        <color indexed="64"/>
      </left>
      <right/>
      <top/>
      <bottom style="medium">
        <color indexed="64"/>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top style="thin">
        <color indexed="64"/>
      </top>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thin">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top style="thin">
        <color indexed="64"/>
      </top>
      <bottom style="medium">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hair">
        <color indexed="64"/>
      </top>
      <bottom style="hair">
        <color indexed="64"/>
      </bottom>
      <diagonal/>
    </border>
    <border>
      <left style="thick">
        <color indexed="64"/>
      </left>
      <right/>
      <top style="hair">
        <color indexed="64"/>
      </top>
      <bottom style="hair">
        <color indexed="64"/>
      </bottom>
      <diagonal/>
    </border>
    <border>
      <left/>
      <right style="thin">
        <color indexed="18"/>
      </right>
      <top style="thin">
        <color indexed="18"/>
      </top>
      <bottom style="thin">
        <color indexed="18"/>
      </bottom>
      <diagonal/>
    </border>
    <border>
      <left/>
      <right/>
      <top style="thin">
        <color indexed="18"/>
      </top>
      <bottom style="thin">
        <color indexed="18"/>
      </bottom>
      <diagonal/>
    </border>
    <border>
      <left style="thin">
        <color indexed="18"/>
      </left>
      <right/>
      <top style="thin">
        <color indexed="18"/>
      </top>
      <bottom style="thin">
        <color indexed="18"/>
      </bottom>
      <diagonal/>
    </border>
    <border>
      <left style="medium">
        <color indexed="64"/>
      </left>
      <right style="thin">
        <color indexed="18"/>
      </right>
      <top style="hair">
        <color indexed="64"/>
      </top>
      <bottom style="hair">
        <color indexed="64"/>
      </bottom>
      <diagonal/>
    </border>
    <border>
      <left style="thin">
        <color auto="1"/>
      </left>
      <right style="thin">
        <color auto="1"/>
      </right>
      <top style="thin">
        <color auto="1"/>
      </top>
      <bottom style="thin">
        <color auto="1"/>
      </bottom>
      <diagonal/>
    </border>
    <border>
      <left/>
      <right style="medium">
        <color indexed="64"/>
      </right>
      <top style="thick">
        <color indexed="64"/>
      </top>
      <bottom style="hair">
        <color indexed="64"/>
      </bottom>
      <diagonal/>
    </border>
    <border>
      <left/>
      <right/>
      <top style="thick">
        <color indexed="64"/>
      </top>
      <bottom style="hair">
        <color indexed="64"/>
      </bottom>
      <diagonal/>
    </border>
    <border>
      <left/>
      <right/>
      <top style="thick">
        <color indexed="64"/>
      </top>
      <bottom style="thin">
        <color indexed="18"/>
      </bottom>
      <diagonal/>
    </border>
    <border>
      <left style="medium">
        <color indexed="64"/>
      </left>
      <right/>
      <top style="thick">
        <color indexed="64"/>
      </top>
      <bottom/>
      <diagonal/>
    </border>
    <border>
      <left style="thin">
        <color indexed="64"/>
      </left>
      <right style="thin">
        <color indexed="64"/>
      </right>
      <top style="thin">
        <color indexed="64"/>
      </top>
      <bottom/>
      <diagonal/>
    </border>
    <border>
      <left/>
      <right style="medium">
        <color indexed="64"/>
      </right>
      <top style="hair">
        <color indexed="64"/>
      </top>
      <bottom style="thick">
        <color indexed="64"/>
      </bottom>
      <diagonal/>
    </border>
    <border>
      <left/>
      <right/>
      <top style="hair">
        <color indexed="64"/>
      </top>
      <bottom style="thick">
        <color indexed="64"/>
      </bottom>
      <diagonal/>
    </border>
    <border>
      <left style="medium">
        <color indexed="64"/>
      </left>
      <right/>
      <top style="hair">
        <color indexed="64"/>
      </top>
      <bottom style="thick">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auto="1"/>
      </bottom>
      <diagonal/>
    </border>
    <border>
      <left/>
      <right/>
      <top/>
      <bottom style="thin">
        <color indexed="18"/>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62"/>
      </right>
      <top style="thin">
        <color indexed="18"/>
      </top>
      <bottom style="thin">
        <color indexed="62"/>
      </bottom>
      <diagonal/>
    </border>
    <border>
      <left/>
      <right/>
      <top style="thin">
        <color indexed="18"/>
      </top>
      <bottom style="thin">
        <color indexed="62"/>
      </bottom>
      <diagonal/>
    </border>
    <border>
      <left style="thin">
        <color indexed="62"/>
      </left>
      <right/>
      <top style="thin">
        <color indexed="18"/>
      </top>
      <bottom style="thin">
        <color indexed="62"/>
      </bottom>
      <diagonal/>
    </border>
    <border>
      <left/>
      <right/>
      <top style="medium">
        <color indexed="64"/>
      </top>
      <bottom style="thin">
        <color indexed="18"/>
      </bottom>
      <diagonal/>
    </border>
    <border>
      <left style="medium">
        <color theme="0"/>
      </left>
      <right/>
      <top style="medium">
        <color auto="1"/>
      </top>
      <bottom style="medium">
        <color theme="0"/>
      </bottom>
      <diagonal/>
    </border>
    <border>
      <left/>
      <right style="medium">
        <color theme="0"/>
      </right>
      <top style="medium">
        <color auto="1"/>
      </top>
      <bottom style="medium">
        <color theme="0"/>
      </bottom>
      <diagonal/>
    </border>
  </borders>
  <cellStyleXfs count="10">
    <xf numFmtId="0" fontId="0" fillId="0" borderId="0">
      <alignment vertical="center"/>
    </xf>
    <xf numFmtId="0" fontId="19" fillId="0" borderId="0" applyNumberFormat="0" applyFill="0" applyBorder="0" applyAlignment="0" applyProtection="0">
      <alignment vertical="center"/>
    </xf>
    <xf numFmtId="0" fontId="83" fillId="0" borderId="0"/>
    <xf numFmtId="0" fontId="94" fillId="0" borderId="0">
      <alignment vertical="center"/>
    </xf>
    <xf numFmtId="0" fontId="83" fillId="0" borderId="0">
      <alignment vertical="center"/>
    </xf>
    <xf numFmtId="0" fontId="106" fillId="0" borderId="0">
      <alignment vertical="center"/>
    </xf>
    <xf numFmtId="0" fontId="112" fillId="0" borderId="0" applyNumberFormat="0" applyFill="0" applyBorder="0" applyAlignment="0" applyProtection="0">
      <alignment vertical="top"/>
      <protection locked="0"/>
    </xf>
    <xf numFmtId="0" fontId="83" fillId="0" borderId="0"/>
    <xf numFmtId="0" fontId="83" fillId="0" borderId="0">
      <alignment vertical="center"/>
    </xf>
    <xf numFmtId="0" fontId="83" fillId="0" borderId="0">
      <alignment vertical="center"/>
    </xf>
  </cellStyleXfs>
  <cellXfs count="5664">
    <xf numFmtId="0" fontId="0" fillId="0" borderId="0" xfId="0">
      <alignment vertical="center"/>
    </xf>
    <xf numFmtId="0" fontId="2" fillId="4" borderId="0" xfId="0" applyFont="1" applyFill="1" applyAlignment="1" applyProtection="1">
      <alignment horizontal="center" vertical="center"/>
      <protection hidden="1"/>
    </xf>
    <xf numFmtId="0" fontId="2" fillId="5" borderId="0" xfId="0" applyFont="1" applyFill="1" applyBorder="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9" fillId="16" borderId="135" xfId="3" applyFont="1" applyFill="1" applyBorder="1" applyAlignment="1" applyProtection="1">
      <alignment horizontal="left" vertical="center" shrinkToFit="1"/>
      <protection hidden="1"/>
    </xf>
    <xf numFmtId="0" fontId="2" fillId="0" borderId="0" xfId="0" applyFont="1" applyFill="1" applyBorder="1" applyAlignment="1" applyProtection="1">
      <alignment horizontal="center" vertical="center"/>
      <protection hidden="1"/>
    </xf>
    <xf numFmtId="0" fontId="8" fillId="16" borderId="0" xfId="3" applyFont="1" applyFill="1" applyBorder="1" applyAlignment="1" applyProtection="1">
      <alignment horizontal="left" vertical="center"/>
      <protection hidden="1"/>
    </xf>
    <xf numFmtId="0" fontId="8" fillId="0" borderId="0" xfId="0" applyFont="1" applyFill="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0" xfId="0" applyFont="1" applyFill="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176" fontId="8" fillId="0" borderId="0" xfId="0" applyNumberFormat="1" applyFont="1" applyFill="1" applyBorder="1" applyAlignment="1" applyProtection="1">
      <alignment horizontal="center" vertical="center" shrinkToFit="1"/>
      <protection hidden="1"/>
    </xf>
    <xf numFmtId="177" fontId="8" fillId="0" borderId="0" xfId="0" quotePrefix="1" applyNumberFormat="1" applyFont="1" applyFill="1" applyBorder="1" applyAlignment="1" applyProtection="1">
      <alignment horizontal="right" vertical="center" shrinkToFit="1"/>
      <protection hidden="1"/>
    </xf>
    <xf numFmtId="186" fontId="8" fillId="0" borderId="0" xfId="0" applyNumberFormat="1" applyFont="1" applyFill="1" applyBorder="1" applyAlignment="1" applyProtection="1">
      <alignment horizontal="right" vertical="center" shrinkToFit="1"/>
      <protection hidden="1"/>
    </xf>
    <xf numFmtId="0" fontId="8" fillId="0" borderId="0" xfId="0" applyFont="1" applyFill="1" applyAlignment="1" applyProtection="1">
      <alignment horizontal="center" vertical="center" shrinkToFit="1"/>
      <protection hidden="1"/>
    </xf>
    <xf numFmtId="0" fontId="2" fillId="15" borderId="5" xfId="0" applyFont="1" applyFill="1" applyBorder="1" applyAlignment="1" applyProtection="1">
      <alignment horizontal="center" vertical="center"/>
      <protection hidden="1"/>
    </xf>
    <xf numFmtId="0" fontId="9" fillId="15" borderId="117" xfId="0" applyFont="1" applyFill="1" applyBorder="1" applyAlignment="1" applyProtection="1">
      <alignment horizontal="center" vertical="center"/>
      <protection hidden="1"/>
    </xf>
    <xf numFmtId="0" fontId="2" fillId="15" borderId="113" xfId="0" applyFont="1" applyFill="1" applyBorder="1" applyAlignment="1" applyProtection="1">
      <alignment horizontal="center" vertical="center"/>
      <protection hidden="1"/>
    </xf>
    <xf numFmtId="0" fontId="2" fillId="15" borderId="2" xfId="0" applyFont="1" applyFill="1" applyBorder="1" applyAlignment="1" applyProtection="1">
      <alignment horizontal="center" vertical="center"/>
      <protection hidden="1"/>
    </xf>
    <xf numFmtId="0" fontId="9" fillId="15" borderId="0" xfId="0" applyFont="1" applyFill="1" applyBorder="1" applyAlignment="1" applyProtection="1">
      <alignment horizontal="center" vertical="center"/>
      <protection hidden="1"/>
    </xf>
    <xf numFmtId="182" fontId="9" fillId="15" borderId="0" xfId="0" applyNumberFormat="1" applyFont="1" applyFill="1" applyBorder="1" applyAlignment="1" applyProtection="1">
      <alignment horizontal="center" vertical="center"/>
      <protection hidden="1"/>
    </xf>
    <xf numFmtId="0" fontId="9" fillId="3" borderId="136" xfId="0" applyFont="1" applyFill="1" applyBorder="1" applyAlignment="1" applyProtection="1">
      <alignment horizontal="center" vertical="center" textRotation="180" shrinkToFit="1"/>
      <protection hidden="1"/>
    </xf>
    <xf numFmtId="0" fontId="2" fillId="15" borderId="1" xfId="0" applyFont="1" applyFill="1" applyBorder="1" applyAlignment="1" applyProtection="1">
      <alignment horizontal="center" vertical="center"/>
      <protection hidden="1"/>
    </xf>
    <xf numFmtId="176" fontId="8" fillId="0" borderId="0" xfId="0" applyNumberFormat="1" applyFont="1" applyFill="1" applyAlignment="1" applyProtection="1">
      <alignment horizontal="center" vertical="center" shrinkToFit="1"/>
      <protection hidden="1"/>
    </xf>
    <xf numFmtId="0" fontId="123" fillId="16" borderId="135" xfId="3" applyFont="1" applyFill="1" applyBorder="1" applyAlignment="1" applyProtection="1">
      <alignment horizontal="left" vertical="center" shrinkToFit="1"/>
      <protection hidden="1"/>
    </xf>
    <xf numFmtId="186" fontId="8" fillId="0" borderId="0" xfId="0" applyNumberFormat="1" applyFont="1" applyFill="1" applyAlignment="1" applyProtection="1">
      <alignment horizontal="right" vertical="center" shrinkToFit="1"/>
      <protection hidden="1"/>
    </xf>
    <xf numFmtId="0" fontId="9" fillId="3" borderId="137" xfId="0" applyFont="1" applyFill="1" applyBorder="1" applyAlignment="1" applyProtection="1">
      <alignment horizontal="center" vertical="center" textRotation="180" shrinkToFit="1"/>
      <protection hidden="1"/>
    </xf>
    <xf numFmtId="0" fontId="9" fillId="15" borderId="0" xfId="0" applyFont="1" applyFill="1" applyBorder="1" applyAlignment="1" applyProtection="1">
      <alignment vertical="center"/>
      <protection hidden="1"/>
    </xf>
    <xf numFmtId="182" fontId="9" fillId="15" borderId="0" xfId="0" applyNumberFormat="1" applyFont="1" applyFill="1" applyBorder="1" applyAlignment="1" applyProtection="1">
      <alignment vertical="center"/>
      <protection hidden="1"/>
    </xf>
    <xf numFmtId="0" fontId="9" fillId="15" borderId="0" xfId="0" applyFont="1" applyFill="1" applyBorder="1" applyAlignment="1" applyProtection="1">
      <alignment horizontal="right" vertical="center"/>
      <protection hidden="1"/>
    </xf>
    <xf numFmtId="0" fontId="9" fillId="3" borderId="109" xfId="0" applyFont="1" applyFill="1" applyBorder="1" applyAlignment="1" applyProtection="1">
      <alignment horizontal="center" vertical="center" textRotation="180" shrinkToFit="1"/>
      <protection hidden="1"/>
    </xf>
    <xf numFmtId="177" fontId="8" fillId="0" borderId="0" xfId="0" quotePrefix="1" applyNumberFormat="1" applyFont="1" applyFill="1" applyAlignment="1" applyProtection="1">
      <alignment horizontal="right" vertical="center" shrinkToFit="1"/>
      <protection hidden="1"/>
    </xf>
    <xf numFmtId="0" fontId="9" fillId="15" borderId="0" xfId="0" applyNumberFormat="1" applyFont="1" applyFill="1" applyBorder="1" applyAlignment="1" applyProtection="1">
      <alignment horizontal="center" vertical="center"/>
      <protection hidden="1"/>
    </xf>
    <xf numFmtId="0" fontId="9" fillId="6" borderId="155" xfId="0" applyFont="1" applyFill="1" applyBorder="1" applyAlignment="1" applyProtection="1">
      <alignment horizontal="center" vertical="center" textRotation="180" shrinkToFit="1"/>
      <protection hidden="1"/>
    </xf>
    <xf numFmtId="0" fontId="2" fillId="15" borderId="0" xfId="0" applyFont="1" applyFill="1" applyBorder="1" applyAlignment="1" applyProtection="1">
      <alignment horizontal="center" vertical="center"/>
      <protection hidden="1"/>
    </xf>
    <xf numFmtId="0" fontId="9" fillId="3" borderId="6" xfId="0" applyFont="1" applyFill="1" applyBorder="1" applyAlignment="1" applyProtection="1">
      <alignment horizontal="center" vertical="center" textRotation="180" shrinkToFit="1"/>
      <protection hidden="1"/>
    </xf>
    <xf numFmtId="0" fontId="9" fillId="15" borderId="0" xfId="0" applyFont="1" applyFill="1" applyBorder="1" applyAlignment="1" applyProtection="1">
      <alignment horizontal="center" vertical="center" shrinkToFit="1"/>
      <protection hidden="1"/>
    </xf>
    <xf numFmtId="0" fontId="8" fillId="0" borderId="0" xfId="0" applyFont="1" applyFill="1" applyBorder="1" applyAlignment="1" applyProtection="1">
      <alignment horizontal="center" vertical="center" shrinkToFit="1"/>
      <protection hidden="1"/>
    </xf>
    <xf numFmtId="0" fontId="9" fillId="15" borderId="1" xfId="0" applyFont="1" applyFill="1" applyBorder="1" applyAlignment="1" applyProtection="1">
      <alignment horizontal="center" vertical="center"/>
      <protection hidden="1"/>
    </xf>
    <xf numFmtId="186" fontId="8" fillId="0" borderId="0" xfId="0" applyNumberFormat="1" applyFont="1" applyFill="1" applyBorder="1" applyAlignment="1" applyProtection="1">
      <alignment horizontal="center" vertical="center" shrinkToFit="1"/>
      <protection hidden="1"/>
    </xf>
    <xf numFmtId="0" fontId="33" fillId="15" borderId="0" xfId="0" applyFont="1" applyFill="1" applyBorder="1" applyAlignment="1" applyProtection="1">
      <alignment vertical="center"/>
      <protection hidden="1"/>
    </xf>
    <xf numFmtId="0" fontId="9" fillId="15" borderId="0" xfId="0" applyFont="1" applyFill="1" applyBorder="1" applyAlignment="1" applyProtection="1">
      <alignment vertical="center" shrinkToFit="1"/>
      <protection hidden="1"/>
    </xf>
    <xf numFmtId="181" fontId="9" fillId="15" borderId="0" xfId="0" applyNumberFormat="1" applyFont="1" applyFill="1" applyBorder="1" applyAlignment="1" applyProtection="1">
      <alignment vertical="center" shrinkToFit="1"/>
      <protection hidden="1"/>
    </xf>
    <xf numFmtId="0" fontId="8" fillId="15" borderId="0" xfId="0" applyFont="1" applyFill="1" applyBorder="1" applyAlignment="1" applyProtection="1">
      <alignment vertical="center"/>
      <protection hidden="1"/>
    </xf>
    <xf numFmtId="0" fontId="8" fillId="0" borderId="117" xfId="0" applyFont="1" applyFill="1" applyBorder="1" applyAlignment="1" applyProtection="1">
      <alignment horizontal="center" vertical="center"/>
      <protection hidden="1"/>
    </xf>
    <xf numFmtId="0" fontId="8" fillId="0" borderId="0" xfId="0" applyFont="1" applyFill="1" applyAlignment="1" applyProtection="1">
      <alignment horizontal="right" vertical="center"/>
      <protection hidden="1"/>
    </xf>
    <xf numFmtId="0" fontId="33" fillId="0" borderId="0" xfId="0" applyFont="1" applyFill="1" applyBorder="1" applyAlignment="1" applyProtection="1">
      <alignment horizontal="center" vertical="center"/>
      <protection hidden="1"/>
    </xf>
    <xf numFmtId="0" fontId="9" fillId="21" borderId="0" xfId="0" applyFont="1" applyFill="1" applyBorder="1" applyAlignment="1" applyProtection="1">
      <alignment vertical="center"/>
      <protection hidden="1"/>
    </xf>
    <xf numFmtId="0" fontId="33" fillId="0" borderId="109" xfId="0" applyFont="1" applyFill="1" applyBorder="1" applyAlignment="1" applyProtection="1">
      <alignment horizontal="center" vertical="center"/>
      <protection hidden="1"/>
    </xf>
    <xf numFmtId="0" fontId="2" fillId="3" borderId="93" xfId="0" applyFont="1" applyFill="1" applyBorder="1" applyAlignment="1" applyProtection="1">
      <alignment horizontal="center" vertical="center"/>
      <protection hidden="1"/>
    </xf>
    <xf numFmtId="0" fontId="2" fillId="3" borderId="92" xfId="0" applyFont="1" applyFill="1" applyBorder="1" applyAlignment="1" applyProtection="1">
      <alignment horizontal="center" vertical="center"/>
      <protection hidden="1"/>
    </xf>
    <xf numFmtId="0" fontId="2" fillId="15" borderId="176" xfId="0" applyFont="1" applyFill="1" applyBorder="1" applyAlignment="1" applyProtection="1">
      <alignment horizontal="center" vertical="center"/>
      <protection hidden="1"/>
    </xf>
    <xf numFmtId="0" fontId="95" fillId="15" borderId="9" xfId="0" applyFont="1" applyFill="1" applyBorder="1" applyAlignment="1" applyProtection="1">
      <alignment horizontal="center" vertical="center"/>
      <protection hidden="1"/>
    </xf>
    <xf numFmtId="0" fontId="8" fillId="0" borderId="0" xfId="0" applyFont="1" applyFill="1" applyBorder="1" applyAlignment="1" applyProtection="1">
      <alignment horizontal="right" vertical="center"/>
      <protection hidden="1"/>
    </xf>
    <xf numFmtId="0" fontId="8" fillId="0" borderId="117" xfId="0" applyFont="1" applyFill="1" applyBorder="1" applyAlignment="1" applyProtection="1">
      <alignment horizontal="center"/>
      <protection hidden="1"/>
    </xf>
    <xf numFmtId="0" fontId="2" fillId="3" borderId="71" xfId="0" applyFont="1" applyFill="1" applyBorder="1" applyAlignment="1" applyProtection="1">
      <alignment horizontal="center" vertical="center"/>
      <protection hidden="1"/>
    </xf>
    <xf numFmtId="0" fontId="2" fillId="21" borderId="0" xfId="0" applyFont="1" applyFill="1" applyBorder="1" applyAlignment="1" applyProtection="1">
      <alignment vertical="center"/>
      <protection hidden="1"/>
    </xf>
    <xf numFmtId="0" fontId="2" fillId="3" borderId="0" xfId="0" applyFont="1" applyFill="1" applyBorder="1" applyAlignment="1" applyProtection="1">
      <alignment horizontal="center" vertical="center"/>
      <protection hidden="1"/>
    </xf>
    <xf numFmtId="0" fontId="8" fillId="0" borderId="117" xfId="0" applyFont="1" applyFill="1" applyBorder="1" applyAlignment="1" applyProtection="1">
      <alignment horizontal="center" vertical="center" shrinkToFit="1"/>
      <protection hidden="1"/>
    </xf>
    <xf numFmtId="177" fontId="8" fillId="0" borderId="0" xfId="0" applyNumberFormat="1" applyFont="1" applyFill="1" applyBorder="1" applyAlignment="1" applyProtection="1">
      <alignment horizontal="center" vertical="center" shrinkToFit="1"/>
      <protection hidden="1"/>
    </xf>
    <xf numFmtId="0" fontId="9" fillId="21" borderId="0" xfId="0" applyFont="1" applyFill="1" applyBorder="1" applyAlignment="1" applyProtection="1">
      <alignment vertical="center" shrinkToFit="1"/>
      <protection hidden="1"/>
    </xf>
    <xf numFmtId="0" fontId="15" fillId="0" borderId="0" xfId="0" applyFont="1" applyFill="1" applyBorder="1" applyAlignment="1" applyProtection="1">
      <alignment horizontal="center" vertical="center" shrinkToFit="1"/>
      <protection hidden="1"/>
    </xf>
    <xf numFmtId="0" fontId="2" fillId="3" borderId="178" xfId="0" applyFont="1" applyFill="1" applyBorder="1" applyAlignment="1" applyProtection="1">
      <alignment horizontal="center" vertical="center"/>
      <protection hidden="1"/>
    </xf>
    <xf numFmtId="0" fontId="8" fillId="0" borderId="116" xfId="0" applyFont="1" applyFill="1" applyBorder="1" applyAlignment="1" applyProtection="1">
      <alignment horizontal="center" vertical="center" shrinkToFit="1"/>
      <protection hidden="1"/>
    </xf>
    <xf numFmtId="0" fontId="2" fillId="3" borderId="193" xfId="0" applyFont="1" applyFill="1" applyBorder="1" applyAlignment="1" applyProtection="1">
      <alignment horizontal="center" vertical="center"/>
      <protection hidden="1"/>
    </xf>
    <xf numFmtId="0" fontId="8" fillId="0" borderId="5" xfId="0" applyFont="1" applyFill="1" applyBorder="1" applyAlignment="1" applyProtection="1">
      <alignment horizontal="center" vertical="center" shrinkToFit="1"/>
      <protection hidden="1"/>
    </xf>
    <xf numFmtId="181" fontId="8" fillId="0" borderId="0" xfId="0" applyNumberFormat="1" applyFont="1" applyFill="1" applyAlignment="1" applyProtection="1">
      <alignment horizontal="center" vertical="center" shrinkToFit="1"/>
      <protection hidden="1"/>
    </xf>
    <xf numFmtId="0" fontId="2" fillId="15" borderId="0" xfId="0" applyFont="1" applyFill="1" applyBorder="1" applyAlignment="1" applyProtection="1">
      <alignment vertical="center"/>
      <protection hidden="1"/>
    </xf>
    <xf numFmtId="181" fontId="8" fillId="0" borderId="0" xfId="0" applyNumberFormat="1" applyFont="1" applyFill="1" applyBorder="1" applyAlignment="1" applyProtection="1">
      <alignment horizontal="center" vertical="center" shrinkToFit="1"/>
      <protection hidden="1"/>
    </xf>
    <xf numFmtId="0" fontId="96" fillId="3" borderId="0" xfId="0" applyFont="1" applyFill="1" applyBorder="1" applyAlignment="1" applyProtection="1">
      <alignment horizontal="left" vertical="center"/>
      <protection hidden="1"/>
    </xf>
    <xf numFmtId="0" fontId="2" fillId="15" borderId="197" xfId="0" applyFont="1" applyFill="1" applyBorder="1" applyAlignment="1" applyProtection="1">
      <alignment horizontal="center" vertical="center"/>
      <protection hidden="1"/>
    </xf>
    <xf numFmtId="0" fontId="21" fillId="3" borderId="0" xfId="0" applyFont="1" applyFill="1" applyBorder="1" applyAlignment="1" applyProtection="1">
      <alignment vertical="center"/>
      <protection hidden="1"/>
    </xf>
    <xf numFmtId="0" fontId="2" fillId="15" borderId="1" xfId="0" applyFont="1" applyFill="1" applyBorder="1" applyAlignment="1" applyProtection="1">
      <alignment vertical="center"/>
      <protection hidden="1"/>
    </xf>
    <xf numFmtId="0" fontId="15" fillId="3" borderId="200" xfId="0" applyFont="1" applyFill="1" applyBorder="1" applyAlignment="1" applyProtection="1">
      <alignment horizontal="center" vertical="center"/>
      <protection hidden="1"/>
    </xf>
    <xf numFmtId="0" fontId="2" fillId="3" borderId="201" xfId="0" applyFont="1" applyFill="1" applyBorder="1" applyAlignment="1" applyProtection="1">
      <alignment horizontal="center" vertical="center"/>
      <protection hidden="1"/>
    </xf>
    <xf numFmtId="0" fontId="21" fillId="3" borderId="201" xfId="0" applyFont="1" applyFill="1" applyBorder="1" applyAlignment="1" applyProtection="1">
      <alignment vertical="center"/>
      <protection hidden="1"/>
    </xf>
    <xf numFmtId="0" fontId="2" fillId="3" borderId="87" xfId="0" applyFont="1" applyFill="1" applyBorder="1" applyAlignment="1" applyProtection="1">
      <alignment horizontal="center" vertical="center"/>
      <protection hidden="1"/>
    </xf>
    <xf numFmtId="0" fontId="2" fillId="15" borderId="119" xfId="0" applyFont="1" applyFill="1" applyBorder="1" applyAlignment="1" applyProtection="1">
      <alignment horizontal="center" vertical="center"/>
      <protection hidden="1"/>
    </xf>
    <xf numFmtId="0" fontId="2" fillId="15" borderId="116" xfId="0" applyFont="1" applyFill="1" applyBorder="1" applyAlignment="1" applyProtection="1">
      <alignment horizontal="center" vertical="center"/>
      <protection hidden="1"/>
    </xf>
    <xf numFmtId="0" fontId="25" fillId="15" borderId="118" xfId="0" applyFont="1" applyFill="1" applyBorder="1" applyAlignment="1" applyProtection="1">
      <alignment horizontal="center" vertical="center"/>
      <protection hidden="1"/>
    </xf>
    <xf numFmtId="0" fontId="2" fillId="0" borderId="0" xfId="0" applyFont="1" applyFill="1" applyAlignment="1" applyProtection="1">
      <alignment horizontal="left" vertical="center"/>
      <protection hidden="1"/>
    </xf>
    <xf numFmtId="0" fontId="8" fillId="0" borderId="0" xfId="0" applyFont="1" applyFill="1" applyAlignment="1" applyProtection="1">
      <alignment horizontal="right" vertical="center" shrinkToFit="1"/>
      <protection hidden="1"/>
    </xf>
    <xf numFmtId="0" fontId="2" fillId="15" borderId="117" xfId="0" applyFont="1" applyFill="1" applyBorder="1" applyAlignment="1" applyProtection="1">
      <alignment horizontal="center" vertical="center"/>
      <protection hidden="1"/>
    </xf>
    <xf numFmtId="0" fontId="2" fillId="0" borderId="0" xfId="0" applyFont="1" applyFill="1" applyAlignment="1" applyProtection="1">
      <alignment vertical="center"/>
      <protection hidden="1"/>
    </xf>
    <xf numFmtId="0" fontId="9" fillId="15" borderId="0" xfId="0" applyFont="1" applyFill="1" applyBorder="1" applyAlignment="1" applyProtection="1">
      <alignment horizontal="left" vertical="center"/>
      <protection hidden="1"/>
    </xf>
    <xf numFmtId="0" fontId="8" fillId="0" borderId="109" xfId="0" applyFont="1" applyFill="1" applyBorder="1" applyAlignment="1" applyProtection="1">
      <alignment horizontal="center" vertical="center" shrinkToFit="1"/>
      <protection hidden="1"/>
    </xf>
    <xf numFmtId="176" fontId="15" fillId="0" borderId="109" xfId="0" applyNumberFormat="1" applyFont="1" applyFill="1" applyBorder="1" applyAlignment="1" applyProtection="1">
      <alignment horizontal="center" vertical="center" shrinkToFit="1"/>
      <protection hidden="1"/>
    </xf>
    <xf numFmtId="0" fontId="8" fillId="0" borderId="109" xfId="0" applyFont="1" applyFill="1" applyBorder="1" applyAlignment="1" applyProtection="1">
      <alignment horizontal="center" vertical="center"/>
      <protection hidden="1"/>
    </xf>
    <xf numFmtId="0" fontId="33" fillId="0" borderId="0" xfId="0" applyFont="1" applyFill="1" applyAlignment="1" applyProtection="1">
      <alignment horizontal="right" vertical="center"/>
      <protection hidden="1"/>
    </xf>
    <xf numFmtId="0" fontId="8" fillId="0" borderId="0" xfId="0" applyFont="1" applyFill="1" applyAlignment="1" applyProtection="1">
      <alignment horizontal="center"/>
      <protection hidden="1"/>
    </xf>
    <xf numFmtId="0" fontId="9" fillId="3" borderId="209" xfId="0" applyFont="1" applyFill="1" applyBorder="1" applyAlignment="1" applyProtection="1">
      <alignment horizontal="center" vertical="center" textRotation="180" shrinkToFit="1"/>
      <protection hidden="1"/>
    </xf>
    <xf numFmtId="0" fontId="8" fillId="0" borderId="109" xfId="0" quotePrefix="1" applyFont="1" applyFill="1" applyBorder="1" applyAlignment="1" applyProtection="1">
      <alignment horizontal="center" vertical="center"/>
      <protection hidden="1"/>
    </xf>
    <xf numFmtId="0" fontId="2" fillId="15" borderId="118" xfId="0" applyFont="1" applyFill="1" applyBorder="1" applyAlignment="1" applyProtection="1">
      <alignment horizontal="center" vertical="center"/>
      <protection hidden="1"/>
    </xf>
    <xf numFmtId="0" fontId="8" fillId="15" borderId="0" xfId="0" applyFont="1" applyFill="1" applyBorder="1" applyAlignment="1" applyProtection="1">
      <alignment horizontal="center" vertical="center"/>
      <protection hidden="1"/>
    </xf>
    <xf numFmtId="179" fontId="8" fillId="0" borderId="109" xfId="0" applyNumberFormat="1" applyFont="1" applyFill="1" applyBorder="1" applyAlignment="1" applyProtection="1">
      <alignment horizontal="center" vertical="center" shrinkToFit="1"/>
      <protection hidden="1"/>
    </xf>
    <xf numFmtId="0" fontId="8" fillId="0" borderId="0" xfId="0" quotePrefix="1" applyFont="1" applyFill="1" applyBorder="1" applyAlignment="1" applyProtection="1">
      <alignment horizontal="center" vertical="center" shrinkToFit="1"/>
      <protection hidden="1"/>
    </xf>
    <xf numFmtId="0" fontId="8" fillId="0" borderId="109" xfId="0" quotePrefix="1" applyFont="1" applyFill="1" applyBorder="1" applyAlignment="1" applyProtection="1">
      <alignment horizontal="center" vertical="center" shrinkToFit="1"/>
      <protection hidden="1"/>
    </xf>
    <xf numFmtId="181" fontId="8" fillId="0" borderId="109" xfId="0" applyNumberFormat="1" applyFont="1" applyFill="1" applyBorder="1" applyAlignment="1" applyProtection="1">
      <alignment horizontal="center" vertical="center" shrinkToFit="1"/>
      <protection hidden="1"/>
    </xf>
    <xf numFmtId="0" fontId="2" fillId="15" borderId="0" xfId="0" applyFont="1" applyFill="1" applyBorder="1" applyAlignment="1" applyProtection="1">
      <alignment horizontal="center" vertical="center" shrinkToFit="1"/>
      <protection hidden="1"/>
    </xf>
    <xf numFmtId="0" fontId="15" fillId="0" borderId="0" xfId="0" applyFont="1" applyFill="1" applyAlignment="1" applyProtection="1">
      <alignment horizontal="left" vertical="center"/>
      <protection hidden="1"/>
    </xf>
    <xf numFmtId="176" fontId="8" fillId="0" borderId="0" xfId="0" applyNumberFormat="1" applyFont="1" applyFill="1" applyBorder="1" applyAlignment="1" applyProtection="1">
      <alignment horizontal="right" vertical="center"/>
      <protection hidden="1"/>
    </xf>
    <xf numFmtId="0" fontId="15" fillId="0" borderId="0" xfId="0" applyFont="1" applyFill="1" applyAlignment="1" applyProtection="1">
      <alignment horizontal="center" vertical="center"/>
      <protection hidden="1"/>
    </xf>
    <xf numFmtId="0" fontId="2" fillId="21" borderId="0" xfId="0" applyFont="1" applyFill="1" applyBorder="1" applyAlignment="1" applyProtection="1">
      <alignment horizontal="center" vertical="center"/>
      <protection hidden="1"/>
    </xf>
    <xf numFmtId="0" fontId="9" fillId="6" borderId="109" xfId="0" applyFont="1" applyFill="1" applyBorder="1" applyAlignment="1" applyProtection="1">
      <alignment horizontal="center" vertical="center" textRotation="180" shrinkToFit="1"/>
      <protection hidden="1"/>
    </xf>
    <xf numFmtId="181" fontId="8" fillId="0" borderId="109" xfId="0" applyNumberFormat="1" applyFont="1" applyFill="1" applyBorder="1" applyAlignment="1" applyProtection="1">
      <alignment horizontal="right" vertical="center" shrinkToFit="1"/>
      <protection hidden="1"/>
    </xf>
    <xf numFmtId="0" fontId="15" fillId="0" borderId="0" xfId="0" applyFont="1" applyFill="1" applyAlignment="1" applyProtection="1">
      <alignment horizontal="right" vertical="center"/>
      <protection hidden="1"/>
    </xf>
    <xf numFmtId="176" fontId="8" fillId="0" borderId="109" xfId="0" applyNumberFormat="1" applyFont="1" applyFill="1" applyBorder="1" applyAlignment="1" applyProtection="1">
      <alignment horizontal="center" vertical="center" shrinkToFit="1"/>
      <protection hidden="1"/>
    </xf>
    <xf numFmtId="0" fontId="8" fillId="0" borderId="0" xfId="0" applyFont="1" applyFill="1" applyAlignment="1" applyProtection="1">
      <alignment vertical="center"/>
      <protection hidden="1"/>
    </xf>
    <xf numFmtId="179" fontId="8" fillId="0" borderId="109" xfId="0" applyNumberFormat="1" applyFont="1" applyFill="1" applyBorder="1" applyAlignment="1" applyProtection="1">
      <alignment horizontal="right" vertical="center" shrinkToFit="1"/>
      <protection hidden="1"/>
    </xf>
    <xf numFmtId="179" fontId="8" fillId="0" borderId="6" xfId="0" applyNumberFormat="1" applyFont="1" applyFill="1" applyBorder="1" applyAlignment="1" applyProtection="1">
      <alignment horizontal="center" vertical="center" shrinkToFit="1"/>
      <protection hidden="1"/>
    </xf>
    <xf numFmtId="179" fontId="2" fillId="0" borderId="0" xfId="0" applyNumberFormat="1" applyFont="1" applyFill="1" applyAlignment="1" applyProtection="1">
      <alignment horizontal="center" vertical="center" shrinkToFit="1"/>
      <protection hidden="1"/>
    </xf>
    <xf numFmtId="0" fontId="8" fillId="0" borderId="0" xfId="0" applyFont="1" applyFill="1" applyAlignment="1" applyProtection="1">
      <alignment vertical="center" shrinkToFit="1"/>
      <protection hidden="1"/>
    </xf>
    <xf numFmtId="0" fontId="8" fillId="0" borderId="0" xfId="0" applyFont="1" applyFill="1" applyAlignment="1" applyProtection="1">
      <alignment horizontal="center" shrinkToFit="1"/>
      <protection hidden="1"/>
    </xf>
    <xf numFmtId="0" fontId="15" fillId="0" borderId="0" xfId="0" applyFont="1" applyFill="1" applyAlignment="1" applyProtection="1">
      <alignment horizontal="center"/>
      <protection hidden="1"/>
    </xf>
    <xf numFmtId="0" fontId="25" fillId="15" borderId="0" xfId="0" applyFont="1" applyFill="1" applyBorder="1" applyAlignment="1" applyProtection="1">
      <alignment horizontal="center" vertical="center"/>
      <protection hidden="1"/>
    </xf>
    <xf numFmtId="0" fontId="83" fillId="8" borderId="0" xfId="2" applyFill="1" applyProtection="1">
      <protection hidden="1"/>
    </xf>
    <xf numFmtId="0" fontId="122" fillId="8" borderId="0" xfId="2" applyFont="1" applyFill="1" applyProtection="1">
      <protection hidden="1"/>
    </xf>
    <xf numFmtId="0" fontId="83" fillId="8" borderId="0" xfId="2" applyFill="1" applyBorder="1" applyProtection="1">
      <protection hidden="1"/>
    </xf>
    <xf numFmtId="0" fontId="82" fillId="8" borderId="0" xfId="2" applyNumberFormat="1" applyFont="1" applyFill="1" applyBorder="1" applyAlignment="1" applyProtection="1">
      <alignment horizontal="left"/>
      <protection hidden="1"/>
    </xf>
    <xf numFmtId="0" fontId="33" fillId="15"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shrinkToFit="1"/>
      <protection hidden="1"/>
    </xf>
    <xf numFmtId="0" fontId="8" fillId="0" borderId="0" xfId="0" applyFont="1" applyFill="1" applyBorder="1" applyAlignment="1" applyProtection="1">
      <alignment horizontal="left" vertical="center" shrinkToFit="1"/>
      <protection hidden="1"/>
    </xf>
    <xf numFmtId="0" fontId="2" fillId="15" borderId="0" xfId="0" applyFont="1" applyFill="1" applyBorder="1" applyAlignment="1" applyProtection="1">
      <alignment vertical="center" shrinkToFit="1"/>
      <protection hidden="1"/>
    </xf>
    <xf numFmtId="177" fontId="8" fillId="0" borderId="0" xfId="0" applyNumberFormat="1" applyFont="1" applyFill="1" applyBorder="1" applyAlignment="1" applyProtection="1">
      <alignment horizontal="right" vertical="center" shrinkToFit="1"/>
      <protection hidden="1"/>
    </xf>
    <xf numFmtId="177" fontId="8" fillId="0" borderId="0" xfId="0" applyNumberFormat="1" applyFont="1" applyFill="1" applyBorder="1" applyAlignment="1" applyProtection="1">
      <alignment horizontal="right" vertical="center"/>
      <protection hidden="1"/>
    </xf>
    <xf numFmtId="0" fontId="119" fillId="0" borderId="0" xfId="0" applyFont="1" applyFill="1" applyBorder="1" applyAlignment="1" applyProtection="1">
      <alignment horizontal="center" vertical="center"/>
      <protection hidden="1"/>
    </xf>
    <xf numFmtId="176" fontId="8" fillId="0" borderId="0" xfId="0" applyNumberFormat="1" applyFont="1" applyFill="1" applyBorder="1" applyAlignment="1" applyProtection="1">
      <alignment horizontal="center" vertical="center"/>
      <protection hidden="1"/>
    </xf>
    <xf numFmtId="181" fontId="8" fillId="0" borderId="0" xfId="0" applyNumberFormat="1" applyFont="1" applyFill="1" applyBorder="1" applyAlignment="1" applyProtection="1">
      <alignment horizontal="right" vertical="center" shrinkToFit="1"/>
      <protection hidden="1"/>
    </xf>
    <xf numFmtId="0" fontId="33" fillId="15" borderId="0" xfId="0" applyFont="1" applyFill="1" applyBorder="1" applyAlignment="1" applyProtection="1">
      <alignment horizontal="center" vertical="center" shrinkToFit="1"/>
      <protection hidden="1"/>
    </xf>
    <xf numFmtId="0" fontId="29" fillId="15" borderId="0" xfId="0" applyFont="1" applyFill="1" applyBorder="1" applyAlignment="1" applyProtection="1">
      <alignment horizontal="center" vertical="center" shrinkToFit="1"/>
      <protection hidden="1"/>
    </xf>
    <xf numFmtId="185" fontId="2" fillId="0" borderId="0" xfId="0" applyNumberFormat="1" applyFont="1" applyFill="1" applyAlignment="1" applyProtection="1">
      <alignment horizontal="center" vertical="center" shrinkToFit="1"/>
      <protection hidden="1"/>
    </xf>
    <xf numFmtId="182" fontId="33" fillId="15" borderId="0" xfId="0" applyNumberFormat="1" applyFont="1" applyFill="1" applyBorder="1" applyAlignment="1" applyProtection="1">
      <alignment vertical="center" shrinkToFit="1"/>
      <protection hidden="1"/>
    </xf>
    <xf numFmtId="177" fontId="8" fillId="0" borderId="109" xfId="0" applyNumberFormat="1" applyFont="1" applyFill="1" applyBorder="1" applyAlignment="1" applyProtection="1">
      <alignment horizontal="right" vertical="center"/>
      <protection hidden="1"/>
    </xf>
    <xf numFmtId="177" fontId="8" fillId="0" borderId="109" xfId="0" quotePrefix="1" applyNumberFormat="1" applyFont="1" applyFill="1" applyBorder="1" applyAlignment="1" applyProtection="1">
      <alignment horizontal="right" vertical="center" shrinkToFit="1"/>
      <protection hidden="1"/>
    </xf>
    <xf numFmtId="0" fontId="15" fillId="0" borderId="0" xfId="0" applyFont="1" applyFill="1" applyBorder="1" applyAlignment="1" applyProtection="1">
      <alignment horizontal="center" vertical="center"/>
      <protection hidden="1"/>
    </xf>
    <xf numFmtId="177" fontId="8" fillId="0" borderId="109" xfId="0" applyNumberFormat="1" applyFont="1" applyFill="1" applyBorder="1" applyAlignment="1" applyProtection="1">
      <alignment horizontal="right" vertical="center" shrinkToFit="1"/>
      <protection hidden="1"/>
    </xf>
    <xf numFmtId="0" fontId="119" fillId="0" borderId="0" xfId="0" applyFont="1" applyFill="1" applyBorder="1" applyAlignment="1" applyProtection="1">
      <alignment wrapText="1"/>
      <protection hidden="1"/>
    </xf>
    <xf numFmtId="177" fontId="8" fillId="0" borderId="3" xfId="0" applyNumberFormat="1" applyFont="1" applyFill="1" applyBorder="1" applyAlignment="1" applyProtection="1">
      <alignment horizontal="center" vertical="center" shrinkToFit="1"/>
      <protection hidden="1"/>
    </xf>
    <xf numFmtId="177" fontId="8" fillId="0" borderId="3" xfId="0" applyNumberFormat="1" applyFont="1" applyFill="1" applyBorder="1" applyAlignment="1" applyProtection="1">
      <alignment horizontal="right" vertical="center" shrinkToFit="1"/>
      <protection hidden="1"/>
    </xf>
    <xf numFmtId="181" fontId="8" fillId="0" borderId="119" xfId="0" applyNumberFormat="1" applyFont="1" applyFill="1" applyBorder="1" applyAlignment="1" applyProtection="1">
      <alignment horizontal="center" vertical="center" shrinkToFit="1"/>
      <protection hidden="1"/>
    </xf>
    <xf numFmtId="0" fontId="8" fillId="0" borderId="1"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hidden="1"/>
    </xf>
    <xf numFmtId="0" fontId="8" fillId="0" borderId="0" xfId="0" applyFont="1" applyFill="1" applyBorder="1" applyAlignment="1" applyProtection="1">
      <alignment horizontal="center" shrinkToFit="1"/>
      <protection hidden="1"/>
    </xf>
    <xf numFmtId="186" fontId="8" fillId="0" borderId="116" xfId="0" applyNumberFormat="1" applyFont="1" applyFill="1" applyBorder="1" applyAlignment="1" applyProtection="1">
      <alignment horizontal="right" vertical="center" shrinkToFit="1"/>
      <protection hidden="1"/>
    </xf>
    <xf numFmtId="0" fontId="8" fillId="0" borderId="116" xfId="0" applyFont="1" applyFill="1" applyBorder="1" applyAlignment="1" applyProtection="1">
      <alignment horizontal="center" vertical="center"/>
      <protection hidden="1"/>
    </xf>
    <xf numFmtId="0" fontId="8" fillId="0" borderId="116" xfId="0" applyFont="1" applyFill="1" applyBorder="1" applyAlignment="1" applyProtection="1">
      <alignment horizontal="left" vertical="center"/>
      <protection hidden="1"/>
    </xf>
    <xf numFmtId="176" fontId="8" fillId="0" borderId="116" xfId="0" applyNumberFormat="1" applyFont="1" applyFill="1" applyBorder="1" applyAlignment="1" applyProtection="1">
      <alignment horizontal="center" vertical="center"/>
      <protection hidden="1"/>
    </xf>
    <xf numFmtId="0" fontId="2" fillId="0" borderId="117" xfId="0" applyFont="1" applyFill="1" applyBorder="1" applyAlignment="1" applyProtection="1">
      <alignment horizontal="center" vertical="center"/>
      <protection hidden="1"/>
    </xf>
    <xf numFmtId="177" fontId="8" fillId="0" borderId="117" xfId="0" applyNumberFormat="1" applyFont="1" applyFill="1" applyBorder="1" applyAlignment="1" applyProtection="1">
      <alignment horizontal="right" vertical="center" shrinkToFit="1"/>
      <protection hidden="1"/>
    </xf>
    <xf numFmtId="0" fontId="8" fillId="0" borderId="114" xfId="0" applyFont="1" applyFill="1" applyBorder="1" applyAlignment="1" applyProtection="1">
      <alignment horizontal="right" vertical="center"/>
      <protection hidden="1"/>
    </xf>
    <xf numFmtId="177" fontId="8" fillId="0" borderId="109" xfId="0" applyNumberFormat="1" applyFont="1" applyFill="1" applyBorder="1" applyAlignment="1" applyProtection="1">
      <alignment horizontal="center" vertical="center" shrinkToFit="1"/>
      <protection hidden="1"/>
    </xf>
    <xf numFmtId="186" fontId="8" fillId="0" borderId="117" xfId="0" applyNumberFormat="1" applyFont="1" applyFill="1" applyBorder="1" applyAlignment="1" applyProtection="1">
      <alignment horizontal="right" vertical="center" shrinkToFit="1"/>
      <protection hidden="1"/>
    </xf>
    <xf numFmtId="0" fontId="119" fillId="0" borderId="117" xfId="0" applyFont="1" applyFill="1" applyBorder="1" applyAlignment="1" applyProtection="1">
      <alignment horizontal="center" vertical="center"/>
      <protection hidden="1"/>
    </xf>
    <xf numFmtId="0" fontId="8" fillId="0" borderId="117" xfId="0" applyFont="1" applyFill="1" applyBorder="1" applyAlignment="1" applyProtection="1">
      <alignment horizontal="left" vertical="center"/>
      <protection hidden="1"/>
    </xf>
    <xf numFmtId="176" fontId="8" fillId="0" borderId="117" xfId="0"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right" vertical="center"/>
      <protection hidden="1"/>
    </xf>
    <xf numFmtId="0" fontId="9" fillId="15" borderId="0" xfId="0" applyFont="1" applyFill="1" applyBorder="1" applyAlignment="1" applyProtection="1">
      <alignment horizontal="right" vertical="center" shrinkToFit="1"/>
      <protection hidden="1"/>
    </xf>
    <xf numFmtId="179" fontId="9" fillId="15" borderId="0" xfId="0" applyNumberFormat="1" applyFont="1" applyFill="1" applyBorder="1" applyAlignment="1" applyProtection="1">
      <alignment vertical="center" shrinkToFit="1"/>
      <protection hidden="1"/>
    </xf>
    <xf numFmtId="0" fontId="8" fillId="0" borderId="82" xfId="0" applyFont="1" applyFill="1" applyBorder="1" applyAlignment="1" applyProtection="1">
      <alignment horizontal="center" vertical="center" shrinkToFit="1"/>
      <protection hidden="1"/>
    </xf>
    <xf numFmtId="0" fontId="8" fillId="0" borderId="0" xfId="0" applyFont="1" applyFill="1" applyBorder="1" applyAlignment="1" applyProtection="1">
      <alignment vertical="center"/>
      <protection hidden="1"/>
    </xf>
    <xf numFmtId="0" fontId="8" fillId="0" borderId="6" xfId="0" applyFont="1" applyFill="1" applyBorder="1" applyAlignment="1" applyProtection="1">
      <alignment horizontal="center" vertical="center"/>
      <protection hidden="1"/>
    </xf>
    <xf numFmtId="0" fontId="8" fillId="0" borderId="0" xfId="0" applyFont="1" applyFill="1" applyBorder="1" applyAlignment="1" applyProtection="1">
      <alignment horizontal="center"/>
      <protection hidden="1"/>
    </xf>
    <xf numFmtId="0" fontId="2" fillId="0" borderId="0" xfId="0" applyFont="1" applyFill="1" applyBorder="1" applyAlignment="1" applyProtection="1">
      <alignment vertical="center"/>
      <protection hidden="1"/>
    </xf>
    <xf numFmtId="0" fontId="8" fillId="0" borderId="0" xfId="0" quotePrefix="1" applyFont="1" applyFill="1" applyBorder="1" applyAlignment="1" applyProtection="1">
      <alignment horizontal="center" vertical="center"/>
      <protection hidden="1"/>
    </xf>
    <xf numFmtId="0" fontId="8" fillId="0" borderId="0" xfId="0" quotePrefix="1" applyFont="1" applyFill="1" applyAlignment="1" applyProtection="1">
      <alignment horizontal="center" vertical="center"/>
      <protection hidden="1"/>
    </xf>
    <xf numFmtId="181" fontId="8" fillId="0" borderId="0" xfId="0" quotePrefix="1" applyNumberFormat="1" applyFont="1" applyFill="1" applyAlignment="1" applyProtection="1">
      <alignment horizontal="center" vertical="center" shrinkToFit="1"/>
      <protection hidden="1"/>
    </xf>
    <xf numFmtId="0" fontId="8" fillId="0" borderId="0" xfId="0" quotePrefix="1" applyFont="1" applyFill="1" applyAlignment="1" applyProtection="1">
      <alignment horizontal="center" vertical="center" shrinkToFit="1"/>
      <protection hidden="1"/>
    </xf>
    <xf numFmtId="0" fontId="8" fillId="0" borderId="114" xfId="0" applyFont="1" applyFill="1" applyBorder="1" applyAlignment="1" applyProtection="1">
      <alignment horizontal="center" vertical="center"/>
      <protection hidden="1"/>
    </xf>
    <xf numFmtId="177" fontId="8" fillId="0" borderId="117" xfId="0" quotePrefix="1" applyNumberFormat="1" applyFont="1" applyFill="1" applyBorder="1" applyAlignment="1" applyProtection="1">
      <alignment horizontal="right" vertical="center" shrinkToFit="1"/>
      <protection hidden="1"/>
    </xf>
    <xf numFmtId="0" fontId="8" fillId="15" borderId="0" xfId="0" applyFont="1" applyFill="1" applyBorder="1" applyAlignment="1" applyProtection="1">
      <alignment vertical="center" shrinkToFit="1"/>
      <protection hidden="1"/>
    </xf>
    <xf numFmtId="0" fontId="29" fillId="15" borderId="116" xfId="0" applyFont="1" applyFill="1" applyBorder="1" applyAlignment="1" applyProtection="1">
      <alignment horizontal="center" vertical="center" shrinkToFit="1"/>
      <protection hidden="1"/>
    </xf>
    <xf numFmtId="177" fontId="8" fillId="0" borderId="0" xfId="0" applyNumberFormat="1" applyFont="1" applyFill="1" applyBorder="1" applyAlignment="1" applyProtection="1">
      <alignment horizontal="center" vertical="center"/>
      <protection hidden="1"/>
    </xf>
    <xf numFmtId="0" fontId="9" fillId="3" borderId="238" xfId="0" applyFont="1" applyFill="1" applyBorder="1" applyAlignment="1" applyProtection="1">
      <alignment horizontal="center" vertical="center" textRotation="180" shrinkToFit="1"/>
      <protection hidden="1"/>
    </xf>
    <xf numFmtId="0" fontId="9" fillId="15" borderId="116" xfId="0" applyFont="1" applyFill="1" applyBorder="1" applyAlignment="1" applyProtection="1">
      <alignment horizontal="center" vertical="center"/>
      <protection hidden="1"/>
    </xf>
    <xf numFmtId="0" fontId="9" fillId="3" borderId="195" xfId="0" applyFont="1" applyFill="1" applyBorder="1" applyAlignment="1" applyProtection="1">
      <alignment horizontal="center" vertical="center" textRotation="180" shrinkToFit="1"/>
      <protection hidden="1"/>
    </xf>
    <xf numFmtId="0" fontId="8" fillId="15" borderId="1" xfId="0" applyFont="1" applyFill="1" applyBorder="1" applyAlignment="1" applyProtection="1">
      <alignment horizontal="center" vertical="center"/>
      <protection hidden="1"/>
    </xf>
    <xf numFmtId="0" fontId="9" fillId="15" borderId="157" xfId="0" applyFont="1" applyFill="1" applyBorder="1" applyAlignment="1" applyProtection="1">
      <alignment horizontal="center" vertical="center"/>
      <protection hidden="1"/>
    </xf>
    <xf numFmtId="0" fontId="33" fillId="0" borderId="0" xfId="0" applyFont="1" applyFill="1" applyAlignment="1" applyProtection="1">
      <alignment horizontal="left" vertical="center"/>
      <protection hidden="1"/>
    </xf>
    <xf numFmtId="0" fontId="33" fillId="0" borderId="0" xfId="0" applyFont="1" applyFill="1" applyBorder="1" applyAlignment="1" applyProtection="1">
      <alignment horizontal="left" vertical="center"/>
      <protection hidden="1"/>
    </xf>
    <xf numFmtId="0" fontId="8" fillId="0" borderId="0" xfId="0" applyFont="1" applyFill="1" applyAlignment="1" applyProtection="1">
      <alignment horizontal="right"/>
      <protection hidden="1"/>
    </xf>
    <xf numFmtId="0" fontId="8" fillId="0" borderId="6" xfId="0" applyFont="1" applyFill="1" applyBorder="1" applyAlignment="1" applyProtection="1">
      <alignment horizontal="center" vertical="center" shrinkToFit="1"/>
      <protection hidden="1"/>
    </xf>
    <xf numFmtId="0" fontId="8" fillId="0" borderId="74" xfId="0" applyFont="1" applyFill="1" applyBorder="1" applyAlignment="1" applyProtection="1">
      <alignment horizontal="center" vertical="center" shrinkToFit="1"/>
      <protection hidden="1"/>
    </xf>
    <xf numFmtId="0" fontId="8" fillId="0" borderId="111" xfId="0" applyFont="1" applyFill="1" applyBorder="1" applyAlignment="1" applyProtection="1">
      <alignment horizontal="center" vertical="center" shrinkToFit="1"/>
      <protection hidden="1"/>
    </xf>
    <xf numFmtId="176" fontId="8" fillId="0" borderId="109" xfId="0" applyNumberFormat="1" applyFont="1" applyFill="1" applyBorder="1" applyAlignment="1" applyProtection="1">
      <alignment horizontal="right" vertical="center" shrinkToFit="1"/>
      <protection hidden="1"/>
    </xf>
    <xf numFmtId="176" fontId="8" fillId="0" borderId="109" xfId="0" quotePrefix="1" applyNumberFormat="1" applyFont="1" applyFill="1" applyBorder="1" applyAlignment="1" applyProtection="1">
      <alignment horizontal="right" vertical="center" shrinkToFit="1"/>
      <protection hidden="1"/>
    </xf>
    <xf numFmtId="0" fontId="8" fillId="0" borderId="0" xfId="0" applyFont="1" applyFill="1" applyBorder="1" applyAlignment="1" applyProtection="1">
      <alignment vertical="center" shrinkToFit="1"/>
      <protection hidden="1"/>
    </xf>
    <xf numFmtId="0" fontId="8" fillId="0" borderId="3" xfId="0" applyFont="1" applyFill="1" applyBorder="1" applyAlignment="1" applyProtection="1">
      <alignment horizontal="center" vertical="center"/>
      <protection hidden="1"/>
    </xf>
    <xf numFmtId="0" fontId="8" fillId="0" borderId="146" xfId="0" applyFont="1" applyFill="1" applyBorder="1" applyAlignment="1" applyProtection="1">
      <alignment horizontal="center" vertical="center"/>
      <protection hidden="1"/>
    </xf>
    <xf numFmtId="186" fontId="8" fillId="0" borderId="109" xfId="0" applyNumberFormat="1" applyFont="1" applyFill="1" applyBorder="1" applyAlignment="1" applyProtection="1">
      <alignment horizontal="right" vertical="center" shrinkToFit="1"/>
      <protection hidden="1"/>
    </xf>
    <xf numFmtId="0" fontId="8" fillId="0" borderId="119" xfId="0" applyFont="1" applyFill="1" applyBorder="1" applyAlignment="1" applyProtection="1">
      <alignment horizontal="right" vertical="center"/>
      <protection hidden="1"/>
    </xf>
    <xf numFmtId="0" fontId="8" fillId="0" borderId="117" xfId="0" applyFont="1" applyFill="1" applyBorder="1" applyAlignment="1" applyProtection="1">
      <alignment horizontal="right" vertical="center"/>
      <protection hidden="1"/>
    </xf>
    <xf numFmtId="176" fontId="8" fillId="0" borderId="132" xfId="0" applyNumberFormat="1" applyFont="1" applyFill="1" applyBorder="1" applyAlignment="1" applyProtection="1">
      <alignment horizontal="center" vertical="center" shrinkToFit="1"/>
      <protection hidden="1"/>
    </xf>
    <xf numFmtId="0" fontId="8" fillId="0" borderId="116" xfId="0" applyFont="1" applyFill="1" applyBorder="1" applyAlignment="1" applyProtection="1">
      <alignment horizontal="right" vertical="center"/>
      <protection hidden="1"/>
    </xf>
    <xf numFmtId="181" fontId="8" fillId="0" borderId="0" xfId="0" applyNumberFormat="1" applyFont="1" applyFill="1" applyBorder="1" applyAlignment="1" applyProtection="1">
      <alignment vertical="center" shrinkToFit="1"/>
      <protection hidden="1"/>
    </xf>
    <xf numFmtId="176" fontId="8" fillId="0" borderId="0" xfId="0" applyNumberFormat="1" applyFont="1" applyFill="1" applyAlignment="1" applyProtection="1">
      <alignment vertical="center"/>
      <protection hidden="1"/>
    </xf>
    <xf numFmtId="181" fontId="8" fillId="0" borderId="0" xfId="0" applyNumberFormat="1" applyFont="1" applyFill="1" applyAlignment="1" applyProtection="1">
      <alignment vertical="center"/>
      <protection hidden="1"/>
    </xf>
    <xf numFmtId="176" fontId="8" fillId="0" borderId="0" xfId="0" applyNumberFormat="1" applyFont="1" applyFill="1" applyAlignment="1" applyProtection="1">
      <alignment horizontal="center" vertical="center"/>
      <protection hidden="1"/>
    </xf>
    <xf numFmtId="177" fontId="8" fillId="0" borderId="0" xfId="0" applyNumberFormat="1" applyFont="1" applyFill="1" applyAlignment="1" applyProtection="1">
      <alignment horizontal="right" vertical="center" shrinkToFit="1"/>
      <protection hidden="1"/>
    </xf>
    <xf numFmtId="177" fontId="8" fillId="0" borderId="0" xfId="0" applyNumberFormat="1" applyFont="1" applyFill="1" applyAlignment="1" applyProtection="1">
      <alignment horizontal="right" vertical="center"/>
      <protection hidden="1"/>
    </xf>
    <xf numFmtId="176" fontId="8" fillId="0" borderId="0" xfId="0" applyNumberFormat="1" applyFont="1" applyFill="1" applyAlignment="1" applyProtection="1">
      <alignment horizontal="right" vertical="center"/>
      <protection hidden="1"/>
    </xf>
    <xf numFmtId="176" fontId="8" fillId="0" borderId="0" xfId="0" applyNumberFormat="1" applyFont="1" applyFill="1" applyAlignment="1" applyProtection="1">
      <alignment horizontal="left" vertical="center"/>
      <protection hidden="1"/>
    </xf>
    <xf numFmtId="179" fontId="8" fillId="0" borderId="0" xfId="0" applyNumberFormat="1" applyFont="1" applyFill="1" applyAlignment="1" applyProtection="1">
      <alignment horizontal="right" vertical="center" shrinkToFit="1"/>
      <protection hidden="1"/>
    </xf>
    <xf numFmtId="176" fontId="8" fillId="0" borderId="0" xfId="0" applyNumberFormat="1" applyFont="1" applyFill="1" applyBorder="1" applyAlignment="1" applyProtection="1">
      <alignment horizontal="left" vertical="center"/>
      <protection hidden="1"/>
    </xf>
    <xf numFmtId="176" fontId="8" fillId="0" borderId="113" xfId="0" applyNumberFormat="1" applyFont="1" applyFill="1" applyBorder="1" applyAlignment="1" applyProtection="1">
      <alignment horizontal="center" vertical="center"/>
      <protection hidden="1"/>
    </xf>
    <xf numFmtId="179" fontId="8" fillId="0" borderId="0" xfId="0" applyNumberFormat="1" applyFont="1" applyFill="1" applyAlignment="1" applyProtection="1">
      <alignment horizontal="center" vertical="center"/>
      <protection hidden="1"/>
    </xf>
    <xf numFmtId="0" fontId="9" fillId="15" borderId="117" xfId="0" applyFont="1" applyFill="1" applyBorder="1" applyAlignment="1" applyProtection="1">
      <alignment vertical="center"/>
      <protection hidden="1"/>
    </xf>
    <xf numFmtId="186" fontId="8" fillId="0" borderId="0" xfId="0" applyNumberFormat="1" applyFont="1" applyFill="1" applyAlignment="1" applyProtection="1">
      <alignment horizontal="left" vertical="center"/>
      <protection hidden="1"/>
    </xf>
    <xf numFmtId="177" fontId="8" fillId="0" borderId="117" xfId="0" applyNumberFormat="1" applyFont="1" applyFill="1" applyBorder="1" applyAlignment="1" applyProtection="1">
      <alignment horizontal="right" vertical="center"/>
      <protection hidden="1"/>
    </xf>
    <xf numFmtId="176" fontId="8" fillId="0" borderId="117" xfId="0" applyNumberFormat="1" applyFont="1" applyFill="1" applyBorder="1" applyAlignment="1" applyProtection="1">
      <alignment horizontal="right" vertical="center"/>
      <protection hidden="1"/>
    </xf>
    <xf numFmtId="176" fontId="8" fillId="0" borderId="117" xfId="0" applyNumberFormat="1" applyFont="1" applyFill="1" applyBorder="1" applyAlignment="1" applyProtection="1">
      <alignment horizontal="left" vertical="center"/>
      <protection hidden="1"/>
    </xf>
    <xf numFmtId="177" fontId="8" fillId="0" borderId="116" xfId="0" applyNumberFormat="1" applyFont="1" applyFill="1" applyBorder="1" applyAlignment="1" applyProtection="1">
      <alignment horizontal="right" vertical="center" shrinkToFit="1"/>
      <protection hidden="1"/>
    </xf>
    <xf numFmtId="0" fontId="8" fillId="0" borderId="0" xfId="0" applyFont="1" applyFill="1" applyBorder="1" applyAlignment="1" applyProtection="1">
      <alignment shrinkToFit="1"/>
      <protection hidden="1"/>
    </xf>
    <xf numFmtId="179" fontId="8" fillId="0" borderId="0" xfId="0" applyNumberFormat="1" applyFont="1" applyFill="1" applyBorder="1" applyAlignment="1" applyProtection="1">
      <alignment horizontal="right" vertical="center" shrinkToFit="1"/>
      <protection hidden="1"/>
    </xf>
    <xf numFmtId="0" fontId="9" fillId="3" borderId="111" xfId="0" applyFont="1" applyFill="1" applyBorder="1" applyAlignment="1" applyProtection="1">
      <alignment horizontal="center" vertical="center" textRotation="180" shrinkToFit="1"/>
      <protection hidden="1"/>
    </xf>
    <xf numFmtId="0" fontId="9" fillId="21" borderId="0" xfId="0" applyFont="1" applyFill="1" applyBorder="1" applyAlignment="1" applyProtection="1">
      <alignment horizontal="center" vertical="center"/>
      <protection hidden="1"/>
    </xf>
    <xf numFmtId="181" fontId="8" fillId="0" borderId="0" xfId="0" applyNumberFormat="1" applyFont="1" applyFill="1" applyBorder="1" applyAlignment="1" applyProtection="1">
      <alignment horizontal="right" vertical="center"/>
      <protection hidden="1"/>
    </xf>
    <xf numFmtId="0" fontId="29" fillId="15" borderId="0" xfId="0" applyFont="1" applyFill="1" applyBorder="1" applyAlignment="1" applyProtection="1">
      <alignment horizontal="center" vertical="center"/>
      <protection hidden="1"/>
    </xf>
    <xf numFmtId="181" fontId="8" fillId="0" borderId="0" xfId="0" applyNumberFormat="1" applyFont="1" applyFill="1" applyAlignment="1" applyProtection="1">
      <alignment horizontal="right" vertical="center"/>
      <protection hidden="1"/>
    </xf>
    <xf numFmtId="0" fontId="8" fillId="0" borderId="119" xfId="0" applyFont="1" applyFill="1" applyBorder="1" applyAlignment="1" applyProtection="1">
      <alignment horizontal="center" vertical="center"/>
      <protection hidden="1"/>
    </xf>
    <xf numFmtId="0" fontId="8" fillId="0" borderId="118" xfId="0" applyFont="1" applyFill="1" applyBorder="1" applyAlignment="1" applyProtection="1">
      <alignment horizontal="center" vertical="center"/>
      <protection hidden="1"/>
    </xf>
    <xf numFmtId="0" fontId="8" fillId="0" borderId="111" xfId="0" applyFont="1" applyFill="1" applyBorder="1" applyAlignment="1" applyProtection="1">
      <alignment horizontal="center" vertical="center"/>
      <protection hidden="1"/>
    </xf>
    <xf numFmtId="176" fontId="8" fillId="0" borderId="109" xfId="0" applyNumberFormat="1" applyFont="1" applyFill="1" applyBorder="1" applyAlignment="1" applyProtection="1">
      <alignment horizontal="center" vertical="center"/>
      <protection hidden="1"/>
    </xf>
    <xf numFmtId="181" fontId="8" fillId="0" borderId="82" xfId="0" applyNumberFormat="1" applyFont="1" applyFill="1" applyBorder="1" applyAlignment="1" applyProtection="1">
      <alignment horizontal="center" vertical="center" shrinkToFit="1"/>
      <protection hidden="1"/>
    </xf>
    <xf numFmtId="181" fontId="8" fillId="0" borderId="109" xfId="0" applyNumberFormat="1" applyFont="1" applyFill="1" applyBorder="1" applyAlignment="1" applyProtection="1">
      <alignment horizontal="center" vertical="center"/>
      <protection hidden="1"/>
    </xf>
    <xf numFmtId="0" fontId="9" fillId="3" borderId="199" xfId="0" applyFont="1" applyFill="1" applyBorder="1" applyAlignment="1" applyProtection="1">
      <alignment horizontal="center" vertical="center" textRotation="180" shrinkToFit="1"/>
      <protection hidden="1"/>
    </xf>
    <xf numFmtId="181" fontId="8" fillId="0" borderId="0" xfId="0" applyNumberFormat="1" applyFont="1" applyFill="1" applyBorder="1" applyAlignment="1" applyProtection="1">
      <alignment vertical="center"/>
      <protection hidden="1"/>
    </xf>
    <xf numFmtId="0" fontId="8" fillId="15" borderId="1" xfId="0" applyFont="1" applyFill="1" applyBorder="1" applyAlignment="1" applyProtection="1">
      <alignment horizontal="center" vertical="center" shrinkToFit="1"/>
      <protection hidden="1"/>
    </xf>
    <xf numFmtId="0" fontId="9" fillId="15" borderId="160" xfId="0" applyFont="1" applyFill="1" applyBorder="1" applyAlignment="1" applyProtection="1">
      <alignment horizontal="center" vertical="center"/>
      <protection hidden="1"/>
    </xf>
    <xf numFmtId="176" fontId="8" fillId="0" borderId="116" xfId="0" applyNumberFormat="1" applyFont="1" applyFill="1" applyBorder="1" applyAlignment="1" applyProtection="1">
      <alignment horizontal="right" vertical="center"/>
      <protection hidden="1"/>
    </xf>
    <xf numFmtId="177" fontId="8" fillId="0" borderId="5" xfId="0" quotePrefix="1" applyNumberFormat="1" applyFont="1" applyFill="1" applyBorder="1" applyAlignment="1" applyProtection="1">
      <alignment horizontal="right" vertical="center" shrinkToFit="1"/>
      <protection hidden="1"/>
    </xf>
    <xf numFmtId="176" fontId="8" fillId="0" borderId="116" xfId="0" applyNumberFormat="1" applyFont="1" applyFill="1" applyBorder="1" applyAlignment="1" applyProtection="1">
      <alignment horizontal="left" vertical="center"/>
      <protection hidden="1"/>
    </xf>
    <xf numFmtId="0" fontId="8" fillId="0" borderId="0" xfId="0" applyFont="1" applyFill="1" applyBorder="1" applyAlignment="1" applyProtection="1">
      <protection hidden="1"/>
    </xf>
    <xf numFmtId="0" fontId="2" fillId="21" borderId="287" xfId="0" applyFont="1" applyFill="1" applyBorder="1" applyAlignment="1" applyProtection="1">
      <alignment vertical="center"/>
      <protection hidden="1"/>
    </xf>
    <xf numFmtId="0" fontId="2" fillId="21" borderId="289" xfId="0" applyFont="1" applyFill="1" applyBorder="1" applyAlignment="1" applyProtection="1">
      <alignment vertical="center"/>
      <protection hidden="1"/>
    </xf>
    <xf numFmtId="0" fontId="20" fillId="12" borderId="0" xfId="0" applyFont="1" applyFill="1" applyBorder="1" applyAlignment="1" applyProtection="1">
      <alignment horizontal="right"/>
      <protection hidden="1"/>
    </xf>
    <xf numFmtId="0" fontId="20" fillId="21" borderId="0" xfId="0" applyFont="1" applyFill="1" applyBorder="1" applyAlignment="1" applyProtection="1">
      <alignment horizontal="center" vertical="center"/>
      <protection hidden="1"/>
    </xf>
    <xf numFmtId="0" fontId="20" fillId="21" borderId="0" xfId="0" applyFont="1" applyFill="1" applyBorder="1" applyAlignment="1" applyProtection="1">
      <alignment vertical="center"/>
      <protection hidden="1"/>
    </xf>
    <xf numFmtId="187" fontId="33" fillId="15" borderId="0" xfId="0" applyNumberFormat="1" applyFont="1" applyFill="1" applyBorder="1" applyAlignment="1" applyProtection="1">
      <alignment vertical="center" shrinkToFit="1"/>
      <protection hidden="1"/>
    </xf>
    <xf numFmtId="184" fontId="33" fillId="15" borderId="0" xfId="0" applyNumberFormat="1" applyFont="1" applyFill="1" applyBorder="1" applyAlignment="1" applyProtection="1">
      <alignment vertical="center" shrinkToFit="1"/>
      <protection hidden="1"/>
    </xf>
    <xf numFmtId="182" fontId="33" fillId="15" borderId="0" xfId="0" applyNumberFormat="1" applyFont="1" applyFill="1" applyBorder="1" applyAlignment="1" applyProtection="1">
      <alignment vertical="center"/>
      <protection hidden="1"/>
    </xf>
    <xf numFmtId="178" fontId="33" fillId="15" borderId="0" xfId="0" applyNumberFormat="1" applyFont="1" applyFill="1" applyBorder="1" applyAlignment="1" applyProtection="1">
      <alignment vertical="center" shrinkToFit="1"/>
      <protection hidden="1"/>
    </xf>
    <xf numFmtId="186" fontId="8" fillId="0" borderId="0" xfId="0" applyNumberFormat="1" applyFont="1" applyFill="1" applyBorder="1" applyAlignment="1" applyProtection="1">
      <alignment horizontal="right" vertical="center"/>
      <protection hidden="1"/>
    </xf>
    <xf numFmtId="187" fontId="9" fillId="15" borderId="0" xfId="0" applyNumberFormat="1" applyFont="1" applyFill="1" applyBorder="1" applyAlignment="1" applyProtection="1">
      <alignment vertical="center" shrinkToFit="1"/>
      <protection hidden="1"/>
    </xf>
    <xf numFmtId="184" fontId="9" fillId="15" borderId="0" xfId="0" applyNumberFormat="1" applyFont="1" applyFill="1" applyBorder="1" applyAlignment="1" applyProtection="1">
      <alignment vertical="center" shrinkToFit="1"/>
      <protection hidden="1"/>
    </xf>
    <xf numFmtId="182" fontId="9" fillId="15" borderId="0" xfId="0" applyNumberFormat="1" applyFont="1" applyFill="1" applyBorder="1" applyAlignment="1" applyProtection="1">
      <alignment vertical="center" shrinkToFit="1"/>
      <protection hidden="1"/>
    </xf>
    <xf numFmtId="178" fontId="9" fillId="15" borderId="0" xfId="0" applyNumberFormat="1" applyFont="1" applyFill="1" applyBorder="1" applyAlignment="1" applyProtection="1">
      <alignment vertical="center" shrinkToFit="1"/>
      <protection hidden="1"/>
    </xf>
    <xf numFmtId="0" fontId="8" fillId="16" borderId="135" xfId="3" applyFont="1" applyFill="1" applyBorder="1" applyAlignment="1" applyProtection="1">
      <alignment horizontal="left" vertical="center"/>
      <protection hidden="1"/>
    </xf>
    <xf numFmtId="0" fontId="9" fillId="15" borderId="0" xfId="0" applyFont="1" applyFill="1" applyBorder="1" applyAlignment="1" applyProtection="1">
      <alignment vertical="center" wrapText="1"/>
      <protection hidden="1"/>
    </xf>
    <xf numFmtId="0" fontId="119" fillId="0" borderId="0" xfId="0" applyFont="1" applyFill="1" applyAlignment="1" applyProtection="1">
      <alignment horizontal="center" vertical="center"/>
      <protection hidden="1"/>
    </xf>
    <xf numFmtId="182" fontId="9" fillId="15" borderId="1" xfId="0" applyNumberFormat="1" applyFont="1" applyFill="1" applyBorder="1" applyAlignment="1" applyProtection="1">
      <alignment horizontal="center" vertical="center"/>
      <protection hidden="1"/>
    </xf>
    <xf numFmtId="186" fontId="8" fillId="0" borderId="117" xfId="0" applyNumberFormat="1" applyFont="1" applyFill="1" applyBorder="1" applyAlignment="1" applyProtection="1">
      <alignment horizontal="right" vertical="center"/>
      <protection hidden="1"/>
    </xf>
    <xf numFmtId="186" fontId="8" fillId="0" borderId="0" xfId="0" applyNumberFormat="1" applyFont="1" applyFill="1" applyAlignment="1" applyProtection="1">
      <alignment horizontal="right" vertical="center"/>
      <protection hidden="1"/>
    </xf>
    <xf numFmtId="177" fontId="8" fillId="0" borderId="82" xfId="0" applyNumberFormat="1" applyFont="1" applyFill="1" applyBorder="1" applyAlignment="1" applyProtection="1">
      <alignment horizontal="center" vertical="center" shrinkToFit="1"/>
      <protection hidden="1"/>
    </xf>
    <xf numFmtId="186" fontId="8" fillId="0" borderId="116" xfId="0" applyNumberFormat="1" applyFont="1" applyFill="1" applyBorder="1" applyAlignment="1" applyProtection="1">
      <alignment horizontal="center" vertical="center" shrinkToFit="1"/>
      <protection hidden="1"/>
    </xf>
    <xf numFmtId="0" fontId="29" fillId="15" borderId="293" xfId="0" applyFont="1" applyFill="1" applyBorder="1" applyAlignment="1" applyProtection="1">
      <alignment horizontal="center" vertical="center" shrinkToFit="1"/>
      <protection hidden="1"/>
    </xf>
    <xf numFmtId="0" fontId="2" fillId="15" borderId="293" xfId="0" applyFont="1" applyFill="1" applyBorder="1" applyAlignment="1" applyProtection="1">
      <alignment horizontal="center" vertical="center" shrinkToFit="1"/>
      <protection hidden="1"/>
    </xf>
    <xf numFmtId="0" fontId="29" fillId="15" borderId="293" xfId="0" applyFont="1" applyFill="1" applyBorder="1" applyAlignment="1" applyProtection="1">
      <alignment horizontal="center" vertical="center"/>
      <protection hidden="1"/>
    </xf>
    <xf numFmtId="0" fontId="2" fillId="15" borderId="293" xfId="0" applyFont="1" applyFill="1" applyBorder="1" applyAlignment="1" applyProtection="1">
      <alignment horizontal="center" vertical="center"/>
      <protection hidden="1"/>
    </xf>
    <xf numFmtId="186" fontId="8" fillId="0" borderId="109" xfId="0" applyNumberFormat="1" applyFont="1" applyFill="1" applyBorder="1" applyAlignment="1" applyProtection="1">
      <alignment horizontal="center" vertical="center" shrinkToFit="1"/>
      <protection hidden="1"/>
    </xf>
    <xf numFmtId="186" fontId="8" fillId="0" borderId="118" xfId="0" applyNumberFormat="1" applyFont="1" applyFill="1" applyBorder="1" applyAlignment="1" applyProtection="1">
      <alignment horizontal="right" vertical="center" shrinkToFit="1"/>
      <protection hidden="1"/>
    </xf>
    <xf numFmtId="176" fontId="8" fillId="0" borderId="114" xfId="0" applyNumberFormat="1" applyFont="1" applyFill="1" applyBorder="1" applyAlignment="1" applyProtection="1">
      <alignment horizontal="center" vertical="center"/>
      <protection hidden="1"/>
    </xf>
    <xf numFmtId="0" fontId="8" fillId="0" borderId="3" xfId="0" quotePrefix="1" applyFont="1" applyFill="1" applyBorder="1" applyAlignment="1" applyProtection="1">
      <alignment horizontal="center" vertical="center"/>
      <protection hidden="1"/>
    </xf>
    <xf numFmtId="181" fontId="33" fillId="0" borderId="109" xfId="0" applyNumberFormat="1" applyFont="1" applyFill="1" applyBorder="1" applyAlignment="1" applyProtection="1">
      <alignment horizontal="center" vertical="center" shrinkToFit="1"/>
      <protection hidden="1"/>
    </xf>
    <xf numFmtId="186" fontId="8" fillId="0" borderId="82" xfId="0" applyNumberFormat="1" applyFont="1" applyFill="1" applyBorder="1" applyAlignment="1" applyProtection="1">
      <alignment horizontal="center" vertical="center" shrinkToFit="1"/>
      <protection hidden="1"/>
    </xf>
    <xf numFmtId="0" fontId="9" fillId="3" borderId="162" xfId="0" applyFont="1" applyFill="1" applyBorder="1" applyAlignment="1" applyProtection="1">
      <alignment horizontal="center" vertical="center" textRotation="180" shrinkToFit="1"/>
      <protection hidden="1"/>
    </xf>
    <xf numFmtId="186" fontId="8" fillId="0" borderId="114" xfId="0" applyNumberFormat="1" applyFont="1" applyFill="1" applyBorder="1" applyAlignment="1" applyProtection="1">
      <alignment horizontal="center" vertical="center" shrinkToFit="1"/>
      <protection hidden="1"/>
    </xf>
    <xf numFmtId="0" fontId="178" fillId="15" borderId="164" xfId="0" applyFont="1" applyFill="1" applyBorder="1" applyAlignment="1" applyProtection="1">
      <alignment horizontal="center" vertical="center" shrinkToFit="1"/>
      <protection hidden="1"/>
    </xf>
    <xf numFmtId="0" fontId="29" fillId="15" borderId="164" xfId="0" applyFont="1" applyFill="1" applyBorder="1" applyAlignment="1" applyProtection="1">
      <alignment horizontal="center" vertical="center" shrinkToFit="1"/>
      <protection hidden="1"/>
    </xf>
    <xf numFmtId="0" fontId="33" fillId="15" borderId="164" xfId="0" applyFont="1" applyFill="1" applyBorder="1" applyAlignment="1" applyProtection="1">
      <alignment vertical="center" shrinkToFit="1"/>
      <protection hidden="1"/>
    </xf>
    <xf numFmtId="0" fontId="178" fillId="15" borderId="312" xfId="0" applyFont="1" applyFill="1" applyBorder="1" applyAlignment="1" applyProtection="1">
      <alignment horizontal="center" vertical="center" shrinkToFit="1"/>
      <protection hidden="1"/>
    </xf>
    <xf numFmtId="176" fontId="2" fillId="15" borderId="312" xfId="0" applyNumberFormat="1" applyFont="1" applyFill="1" applyBorder="1" applyAlignment="1" applyProtection="1">
      <alignment horizontal="center" vertical="center" shrinkToFit="1"/>
      <protection hidden="1"/>
    </xf>
    <xf numFmtId="0" fontId="33" fillId="15" borderId="312" xfId="0" applyFont="1" applyFill="1" applyBorder="1" applyAlignment="1" applyProtection="1">
      <alignment horizontal="right" vertical="center" shrinkToFit="1"/>
      <protection hidden="1"/>
    </xf>
    <xf numFmtId="0" fontId="178" fillId="15" borderId="312" xfId="0" applyFont="1" applyFill="1" applyBorder="1" applyAlignment="1" applyProtection="1">
      <alignment horizontal="center" vertical="center"/>
      <protection hidden="1"/>
    </xf>
    <xf numFmtId="176" fontId="31" fillId="15" borderId="312" xfId="0" applyNumberFormat="1" applyFont="1" applyFill="1" applyBorder="1" applyAlignment="1" applyProtection="1">
      <alignment horizontal="center" vertical="center" shrinkToFit="1"/>
      <protection hidden="1"/>
    </xf>
    <xf numFmtId="176" fontId="31" fillId="15" borderId="312" xfId="0" quotePrefix="1" applyNumberFormat="1" applyFont="1" applyFill="1" applyBorder="1" applyAlignment="1" applyProtection="1">
      <alignment horizontal="center" vertical="center" shrinkToFit="1"/>
      <protection hidden="1"/>
    </xf>
    <xf numFmtId="176" fontId="13" fillId="15" borderId="312" xfId="0" applyNumberFormat="1" applyFont="1" applyFill="1" applyBorder="1" applyAlignment="1" applyProtection="1">
      <alignment horizontal="center" vertical="center" shrinkToFit="1"/>
      <protection hidden="1"/>
    </xf>
    <xf numFmtId="0" fontId="197" fillId="15" borderId="312" xfId="0" applyFont="1" applyFill="1" applyBorder="1" applyAlignment="1" applyProtection="1">
      <alignment horizontal="center" vertical="center" textRotation="180" shrinkToFit="1"/>
      <protection hidden="1"/>
    </xf>
    <xf numFmtId="176" fontId="2" fillId="15" borderId="312" xfId="0" applyNumberFormat="1" applyFont="1" applyFill="1" applyBorder="1" applyAlignment="1" applyProtection="1">
      <alignment horizontal="right" vertical="center" shrinkToFit="1"/>
      <protection hidden="1"/>
    </xf>
    <xf numFmtId="0" fontId="33" fillId="15" borderId="312" xfId="0" applyFont="1" applyFill="1" applyBorder="1" applyAlignment="1" applyProtection="1">
      <alignment horizontal="center" vertical="center" shrinkToFit="1"/>
      <protection hidden="1"/>
    </xf>
    <xf numFmtId="186" fontId="8" fillId="0" borderId="0" xfId="0" applyNumberFormat="1" applyFont="1" applyFill="1" applyAlignment="1" applyProtection="1">
      <alignment vertical="center"/>
      <protection hidden="1"/>
    </xf>
    <xf numFmtId="0" fontId="2" fillId="21" borderId="288" xfId="0" applyFont="1" applyFill="1" applyBorder="1" applyAlignment="1" applyProtection="1">
      <alignment vertical="center"/>
      <protection hidden="1"/>
    </xf>
    <xf numFmtId="0" fontId="2" fillId="21" borderId="318" xfId="0" applyFont="1" applyFill="1" applyBorder="1" applyAlignment="1" applyProtection="1">
      <alignment vertical="center"/>
      <protection hidden="1"/>
    </xf>
    <xf numFmtId="0" fontId="26" fillId="21" borderId="319" xfId="0" applyFont="1" applyFill="1" applyBorder="1" applyAlignment="1" applyProtection="1">
      <alignment vertical="center"/>
      <protection hidden="1"/>
    </xf>
    <xf numFmtId="0" fontId="2" fillId="3" borderId="5" xfId="0" applyFont="1" applyFill="1" applyBorder="1" applyAlignment="1" applyProtection="1">
      <alignment horizontal="center" vertical="center"/>
      <protection hidden="1"/>
    </xf>
    <xf numFmtId="0" fontId="2" fillId="3" borderId="117" xfId="0" applyFont="1" applyFill="1" applyBorder="1" applyAlignment="1" applyProtection="1">
      <alignment horizontal="center" vertical="center"/>
      <protection hidden="1"/>
    </xf>
    <xf numFmtId="0" fontId="124" fillId="3" borderId="117" xfId="0" applyFont="1" applyFill="1" applyBorder="1" applyAlignment="1" applyProtection="1">
      <alignment horizontal="center" vertical="center"/>
      <protection hidden="1"/>
    </xf>
    <xf numFmtId="0" fontId="33" fillId="3" borderId="117" xfId="0" applyFont="1" applyFill="1" applyBorder="1" applyAlignment="1" applyProtection="1">
      <alignment horizontal="center" vertical="center"/>
      <protection hidden="1"/>
    </xf>
    <xf numFmtId="0" fontId="9" fillId="3" borderId="113" xfId="0" applyFont="1" applyFill="1" applyBorder="1" applyAlignment="1" applyProtection="1">
      <alignment horizontal="center" vertical="center"/>
      <protection hidden="1"/>
    </xf>
    <xf numFmtId="182" fontId="32" fillId="12" borderId="116" xfId="0" applyNumberFormat="1" applyFont="1" applyFill="1" applyBorder="1" applyAlignment="1" applyProtection="1">
      <alignment vertical="center" shrinkToFit="1"/>
      <protection hidden="1"/>
    </xf>
    <xf numFmtId="0" fontId="188" fillId="5" borderId="0" xfId="0" applyFont="1" applyFill="1" applyBorder="1" applyAlignment="1" applyProtection="1">
      <alignment vertical="center" shrinkToFit="1"/>
      <protection hidden="1"/>
    </xf>
    <xf numFmtId="0" fontId="2" fillId="3" borderId="2" xfId="0" applyFont="1" applyFill="1" applyBorder="1" applyAlignment="1" applyProtection="1">
      <alignment horizontal="center" vertical="center"/>
      <protection hidden="1"/>
    </xf>
    <xf numFmtId="0" fontId="124" fillId="3" borderId="0" xfId="0" applyFont="1" applyFill="1" applyBorder="1" applyAlignment="1" applyProtection="1">
      <alignment horizontal="center" vertical="center"/>
      <protection hidden="1"/>
    </xf>
    <xf numFmtId="0" fontId="33" fillId="3" borderId="0" xfId="0" applyFont="1" applyFill="1" applyBorder="1" applyAlignment="1" applyProtection="1">
      <alignment horizontal="center" vertical="center"/>
      <protection hidden="1"/>
    </xf>
    <xf numFmtId="0" fontId="9" fillId="3" borderId="1" xfId="0" applyFont="1" applyFill="1" applyBorder="1" applyAlignment="1" applyProtection="1">
      <alignment horizontal="center" vertical="center"/>
      <protection hidden="1"/>
    </xf>
    <xf numFmtId="182" fontId="32" fillId="5" borderId="0" xfId="0" applyNumberFormat="1" applyFont="1" applyFill="1" applyBorder="1" applyAlignment="1" applyProtection="1">
      <alignment vertical="center" shrinkToFit="1"/>
      <protection hidden="1"/>
    </xf>
    <xf numFmtId="0" fontId="33" fillId="3" borderId="0" xfId="0" applyFont="1" applyFill="1" applyBorder="1" applyAlignment="1" applyProtection="1">
      <alignment horizontal="center" vertical="center" shrinkToFit="1"/>
      <protection hidden="1"/>
    </xf>
    <xf numFmtId="0" fontId="9" fillId="3" borderId="1" xfId="0" applyFont="1" applyFill="1" applyBorder="1" applyAlignment="1" applyProtection="1">
      <alignment horizontal="center" vertical="center" shrinkToFit="1"/>
      <protection hidden="1"/>
    </xf>
    <xf numFmtId="182" fontId="35" fillId="5" borderId="0" xfId="0" applyNumberFormat="1" applyFont="1" applyFill="1" applyBorder="1" applyAlignment="1" applyProtection="1">
      <alignment vertical="center" shrinkToFit="1"/>
      <protection hidden="1"/>
    </xf>
    <xf numFmtId="0" fontId="20" fillId="21" borderId="0" xfId="0" applyFont="1" applyFill="1" applyBorder="1" applyAlignment="1" applyProtection="1">
      <alignment horizontal="centerContinuous" vertical="center"/>
      <protection hidden="1"/>
    </xf>
    <xf numFmtId="0" fontId="26" fillId="21" borderId="0" xfId="0" applyFont="1" applyFill="1" applyBorder="1" applyAlignment="1" applyProtection="1">
      <alignment vertical="center"/>
      <protection hidden="1"/>
    </xf>
    <xf numFmtId="0" fontId="26" fillId="15" borderId="0" xfId="0" applyFont="1" applyFill="1" applyBorder="1" applyAlignment="1" applyProtection="1">
      <alignment vertical="center"/>
      <protection hidden="1"/>
    </xf>
    <xf numFmtId="0" fontId="201" fillId="5" borderId="0" xfId="0" applyFont="1" applyFill="1" applyBorder="1" applyAlignment="1" applyProtection="1">
      <alignment horizontal="right"/>
      <protection hidden="1"/>
    </xf>
    <xf numFmtId="0" fontId="2" fillId="21" borderId="320" xfId="0" applyFont="1" applyFill="1" applyBorder="1" applyAlignment="1" applyProtection="1">
      <alignment vertical="center"/>
      <protection hidden="1"/>
    </xf>
    <xf numFmtId="0" fontId="2" fillId="21" borderId="321" xfId="0" applyFont="1" applyFill="1" applyBorder="1" applyAlignment="1" applyProtection="1">
      <alignment vertical="center"/>
      <protection hidden="1"/>
    </xf>
    <xf numFmtId="0" fontId="2" fillId="21" borderId="322" xfId="0" applyFont="1" applyFill="1" applyBorder="1" applyAlignment="1" applyProtection="1">
      <alignment vertical="center"/>
      <protection hidden="1"/>
    </xf>
    <xf numFmtId="187" fontId="33" fillId="15" borderId="117" xfId="0" applyNumberFormat="1" applyFont="1" applyFill="1" applyBorder="1" applyAlignment="1" applyProtection="1">
      <alignment vertical="center" shrinkToFit="1"/>
      <protection hidden="1"/>
    </xf>
    <xf numFmtId="184" fontId="33" fillId="15" borderId="117" xfId="0" applyNumberFormat="1" applyFont="1" applyFill="1" applyBorder="1" applyAlignment="1" applyProtection="1">
      <alignment vertical="center" shrinkToFit="1"/>
      <protection hidden="1"/>
    </xf>
    <xf numFmtId="182" fontId="33" fillId="15" borderId="117" xfId="0" applyNumberFormat="1" applyFont="1" applyFill="1" applyBorder="1" applyAlignment="1" applyProtection="1">
      <alignment vertical="center"/>
      <protection hidden="1"/>
    </xf>
    <xf numFmtId="0" fontId="33" fillId="15" borderId="117" xfId="0" applyFont="1" applyFill="1" applyBorder="1" applyAlignment="1" applyProtection="1">
      <alignment vertical="center"/>
      <protection hidden="1"/>
    </xf>
    <xf numFmtId="182" fontId="33" fillId="15" borderId="117" xfId="0" applyNumberFormat="1" applyFont="1" applyFill="1" applyBorder="1" applyAlignment="1" applyProtection="1">
      <alignment vertical="center" shrinkToFit="1"/>
      <protection hidden="1"/>
    </xf>
    <xf numFmtId="178" fontId="33" fillId="15" borderId="117" xfId="0" applyNumberFormat="1" applyFont="1" applyFill="1" applyBorder="1" applyAlignment="1" applyProtection="1">
      <alignment vertical="center" shrinkToFit="1"/>
      <protection hidden="1"/>
    </xf>
    <xf numFmtId="0" fontId="9" fillId="15" borderId="1" xfId="0" applyFont="1" applyFill="1" applyBorder="1" applyAlignment="1" applyProtection="1">
      <alignment horizontal="center" vertical="center" shrinkToFit="1"/>
      <protection hidden="1"/>
    </xf>
    <xf numFmtId="0" fontId="9" fillId="15" borderId="79" xfId="0" applyFont="1" applyFill="1" applyBorder="1" applyAlignment="1" applyProtection="1">
      <alignment horizontal="center" vertical="center" shrinkToFit="1"/>
      <protection hidden="1"/>
    </xf>
    <xf numFmtId="182" fontId="2" fillId="15" borderId="0" xfId="0" applyNumberFormat="1" applyFont="1" applyFill="1" applyBorder="1" applyAlignment="1" applyProtection="1">
      <alignment horizontal="center" vertical="center"/>
      <protection hidden="1"/>
    </xf>
    <xf numFmtId="0" fontId="8" fillId="16" borderId="0" xfId="3" applyFont="1" applyFill="1" applyBorder="1" applyAlignment="1" applyProtection="1">
      <alignment horizontal="right" vertical="center"/>
      <protection hidden="1"/>
    </xf>
    <xf numFmtId="177" fontId="8" fillId="15" borderId="109" xfId="0" applyNumberFormat="1" applyFont="1" applyFill="1" applyBorder="1" applyAlignment="1" applyProtection="1">
      <alignment horizontal="center" vertical="center"/>
      <protection hidden="1"/>
    </xf>
    <xf numFmtId="0" fontId="8" fillId="15" borderId="109" xfId="0" applyFont="1" applyFill="1" applyBorder="1" applyAlignment="1" applyProtection="1">
      <alignment horizontal="center" vertical="center"/>
      <protection hidden="1"/>
    </xf>
    <xf numFmtId="0" fontId="33" fillId="15" borderId="109" xfId="0" applyFont="1" applyFill="1" applyBorder="1" applyAlignment="1" applyProtection="1">
      <alignment horizontal="center" vertical="center"/>
      <protection hidden="1"/>
    </xf>
    <xf numFmtId="0" fontId="9" fillId="3" borderId="156" xfId="0" applyFont="1" applyFill="1" applyBorder="1" applyAlignment="1" applyProtection="1">
      <alignment horizontal="center" vertical="center" textRotation="180" shrinkToFit="1"/>
      <protection hidden="1"/>
    </xf>
    <xf numFmtId="0" fontId="9" fillId="15" borderId="0" xfId="0" applyNumberFormat="1" applyFont="1" applyFill="1" applyBorder="1" applyAlignment="1" applyProtection="1">
      <alignment vertical="center"/>
      <protection hidden="1"/>
    </xf>
    <xf numFmtId="176" fontId="9" fillId="15" borderId="0" xfId="0" applyNumberFormat="1" applyFont="1" applyFill="1" applyBorder="1" applyAlignment="1" applyProtection="1">
      <alignment vertical="center" shrinkToFit="1"/>
      <protection hidden="1"/>
    </xf>
    <xf numFmtId="176" fontId="9" fillId="15" borderId="1" xfId="0" applyNumberFormat="1" applyFont="1" applyFill="1" applyBorder="1" applyAlignment="1" applyProtection="1">
      <alignment vertical="center"/>
      <protection hidden="1"/>
    </xf>
    <xf numFmtId="182" fontId="9" fillId="15" borderId="1" xfId="0" applyNumberFormat="1" applyFont="1" applyFill="1" applyBorder="1" applyAlignment="1" applyProtection="1">
      <alignment horizontal="center" vertical="center" shrinkToFit="1"/>
      <protection hidden="1"/>
    </xf>
    <xf numFmtId="0" fontId="8" fillId="16" borderId="0" xfId="3" applyFont="1" applyFill="1" applyBorder="1" applyAlignment="1" applyProtection="1">
      <alignment horizontal="left" vertical="center" shrinkToFit="1"/>
      <protection hidden="1"/>
    </xf>
    <xf numFmtId="182" fontId="143" fillId="15" borderId="1" xfId="0" applyNumberFormat="1" applyFont="1" applyFill="1" applyBorder="1" applyAlignment="1" applyProtection="1">
      <alignment horizontal="center" vertical="center" shrinkToFit="1"/>
      <protection hidden="1"/>
    </xf>
    <xf numFmtId="0" fontId="24" fillId="15" borderId="0" xfId="0" applyFont="1" applyFill="1" applyBorder="1" applyAlignment="1" applyProtection="1">
      <alignment horizontal="center" vertical="center"/>
      <protection hidden="1"/>
    </xf>
    <xf numFmtId="0" fontId="8" fillId="0" borderId="117" xfId="0" applyFont="1" applyFill="1" applyBorder="1" applyAlignment="1" applyProtection="1">
      <alignment vertical="center"/>
      <protection hidden="1"/>
    </xf>
    <xf numFmtId="181" fontId="33" fillId="15" borderId="0" xfId="0" applyNumberFormat="1" applyFont="1" applyFill="1" applyBorder="1" applyAlignment="1" applyProtection="1">
      <alignment horizontal="right" vertical="center" shrinkToFit="1"/>
      <protection hidden="1"/>
    </xf>
    <xf numFmtId="0" fontId="124" fillId="15" borderId="0" xfId="0" applyFont="1" applyFill="1" applyBorder="1" applyAlignment="1" applyProtection="1">
      <alignment horizontal="center" vertical="center" shrinkToFit="1"/>
      <protection hidden="1"/>
    </xf>
    <xf numFmtId="176" fontId="9" fillId="15" borderId="0" xfId="0" applyNumberFormat="1" applyFont="1" applyFill="1" applyBorder="1" applyAlignment="1" applyProtection="1">
      <alignment horizontal="right" vertical="center" shrinkToFit="1"/>
      <protection hidden="1"/>
    </xf>
    <xf numFmtId="176" fontId="9" fillId="15" borderId="0" xfId="0" quotePrefix="1" applyNumberFormat="1" applyFont="1" applyFill="1" applyBorder="1" applyAlignment="1" applyProtection="1">
      <alignment horizontal="right" vertical="center" shrinkToFit="1"/>
      <protection hidden="1"/>
    </xf>
    <xf numFmtId="0" fontId="8" fillId="0" borderId="222" xfId="0" applyFont="1" applyFill="1" applyBorder="1" applyAlignment="1" applyProtection="1">
      <alignment horizontal="center" vertical="center" shrinkToFit="1"/>
      <protection hidden="1"/>
    </xf>
    <xf numFmtId="176" fontId="8" fillId="0" borderId="146" xfId="0" applyNumberFormat="1" applyFont="1" applyFill="1" applyBorder="1" applyAlignment="1" applyProtection="1">
      <alignment horizontal="center" vertical="center"/>
      <protection hidden="1"/>
    </xf>
    <xf numFmtId="177" fontId="8" fillId="0" borderId="146" xfId="0" applyNumberFormat="1" applyFont="1" applyFill="1" applyBorder="1" applyAlignment="1" applyProtection="1">
      <alignment horizontal="center" vertical="center"/>
      <protection hidden="1"/>
    </xf>
    <xf numFmtId="177" fontId="8" fillId="0" borderId="147" xfId="0" applyNumberFormat="1" applyFont="1" applyFill="1" applyBorder="1" applyAlignment="1" applyProtection="1">
      <alignment horizontal="center" vertical="center" shrinkToFit="1"/>
      <protection hidden="1"/>
    </xf>
    <xf numFmtId="0" fontId="8" fillId="0" borderId="132" xfId="0" applyFont="1" applyFill="1" applyBorder="1" applyAlignment="1" applyProtection="1">
      <alignment horizontal="center" vertical="center" shrinkToFit="1"/>
      <protection hidden="1"/>
    </xf>
    <xf numFmtId="0" fontId="8" fillId="0" borderId="181" xfId="0" applyFont="1" applyFill="1" applyBorder="1" applyAlignment="1" applyProtection="1">
      <alignment horizontal="center" vertical="center"/>
      <protection hidden="1"/>
    </xf>
    <xf numFmtId="177" fontId="8" fillId="0" borderId="109" xfId="0" applyNumberFormat="1" applyFont="1" applyFill="1" applyBorder="1" applyAlignment="1" applyProtection="1">
      <alignment horizontal="center" vertical="center"/>
      <protection hidden="1"/>
    </xf>
    <xf numFmtId="177" fontId="8" fillId="0" borderId="150" xfId="0" applyNumberFormat="1" applyFont="1" applyFill="1" applyBorder="1" applyAlignment="1" applyProtection="1">
      <alignment horizontal="center" vertical="center" shrinkToFit="1"/>
      <protection hidden="1"/>
    </xf>
    <xf numFmtId="177" fontId="8" fillId="0" borderId="114" xfId="0" applyNumberFormat="1" applyFont="1" applyFill="1" applyBorder="1" applyAlignment="1" applyProtection="1">
      <alignment vertical="center" shrinkToFit="1"/>
      <protection hidden="1"/>
    </xf>
    <xf numFmtId="177" fontId="8" fillId="0" borderId="331" xfId="0" applyNumberFormat="1" applyFont="1" applyFill="1" applyBorder="1" applyAlignment="1" applyProtection="1">
      <alignment horizontal="center" vertical="center" shrinkToFit="1"/>
      <protection hidden="1"/>
    </xf>
    <xf numFmtId="177" fontId="8" fillId="0" borderId="332" xfId="0" applyNumberFormat="1" applyFont="1" applyFill="1" applyBorder="1" applyAlignment="1" applyProtection="1">
      <alignment horizontal="center" vertical="center" shrinkToFit="1"/>
      <protection hidden="1"/>
    </xf>
    <xf numFmtId="0" fontId="104" fillId="15" borderId="112" xfId="0" applyFont="1" applyFill="1" applyBorder="1" applyAlignment="1" applyProtection="1">
      <alignment horizontal="right" vertical="center" shrinkToFit="1"/>
      <protection hidden="1"/>
    </xf>
    <xf numFmtId="0" fontId="104" fillId="15" borderId="274" xfId="0" applyFont="1" applyFill="1" applyBorder="1" applyAlignment="1" applyProtection="1">
      <alignment horizontal="right" vertical="center" shrinkToFit="1"/>
      <protection hidden="1"/>
    </xf>
    <xf numFmtId="0" fontId="33" fillId="15" borderId="114" xfId="0" quotePrefix="1" applyFont="1" applyFill="1" applyBorder="1" applyAlignment="1" applyProtection="1">
      <alignment horizontal="right" vertical="center" shrinkToFit="1"/>
      <protection hidden="1"/>
    </xf>
    <xf numFmtId="0" fontId="33" fillId="15" borderId="2" xfId="0" quotePrefix="1" applyFont="1" applyFill="1" applyBorder="1" applyAlignment="1" applyProtection="1">
      <alignment horizontal="right" vertical="center" shrinkToFit="1"/>
      <protection hidden="1"/>
    </xf>
    <xf numFmtId="0" fontId="104" fillId="15" borderId="333" xfId="0" applyFont="1" applyFill="1" applyBorder="1" applyAlignment="1" applyProtection="1">
      <alignment horizontal="right" vertical="center" shrinkToFit="1"/>
      <protection hidden="1"/>
    </xf>
    <xf numFmtId="0" fontId="33" fillId="15" borderId="334" xfId="0" quotePrefix="1" applyFont="1" applyFill="1" applyBorder="1" applyAlignment="1" applyProtection="1">
      <alignment horizontal="right" vertical="center" shrinkToFit="1"/>
      <protection hidden="1"/>
    </xf>
    <xf numFmtId="0" fontId="33" fillId="15" borderId="335" xfId="0" applyFont="1" applyFill="1" applyBorder="1" applyAlignment="1" applyProtection="1">
      <alignment horizontal="right" vertical="center" shrinkToFit="1"/>
      <protection hidden="1"/>
    </xf>
    <xf numFmtId="0" fontId="33" fillId="15" borderId="336" xfId="0" applyFont="1" applyFill="1" applyBorder="1" applyAlignment="1" applyProtection="1">
      <alignment horizontal="right" vertical="center" shrinkToFit="1"/>
      <protection hidden="1"/>
    </xf>
    <xf numFmtId="0" fontId="33" fillId="15" borderId="111" xfId="0" applyFont="1" applyFill="1" applyBorder="1" applyAlignment="1" applyProtection="1">
      <alignment horizontal="center" vertical="center" shrinkToFit="1"/>
      <protection hidden="1"/>
    </xf>
    <xf numFmtId="0" fontId="9" fillId="3" borderId="338" xfId="0" applyFont="1" applyFill="1" applyBorder="1" applyAlignment="1" applyProtection="1">
      <alignment horizontal="center" vertical="center" textRotation="180" shrinkToFit="1"/>
      <protection hidden="1"/>
    </xf>
    <xf numFmtId="0" fontId="9" fillId="3" borderId="339" xfId="0" applyFont="1" applyFill="1" applyBorder="1" applyAlignment="1" applyProtection="1">
      <alignment horizontal="center" vertical="center" textRotation="180" shrinkToFit="1"/>
      <protection hidden="1"/>
    </xf>
    <xf numFmtId="176" fontId="8" fillId="0" borderId="185" xfId="0" applyNumberFormat="1" applyFont="1" applyFill="1" applyBorder="1" applyAlignment="1" applyProtection="1">
      <alignment horizontal="center" vertical="center" shrinkToFit="1"/>
      <protection hidden="1"/>
    </xf>
    <xf numFmtId="0" fontId="8" fillId="0" borderId="343" xfId="0" applyFont="1" applyFill="1" applyBorder="1" applyAlignment="1" applyProtection="1">
      <alignment horizontal="center" vertical="center" shrinkToFit="1"/>
      <protection hidden="1"/>
    </xf>
    <xf numFmtId="176" fontId="8" fillId="0" borderId="111" xfId="0" quotePrefix="1" applyNumberFormat="1" applyFont="1" applyFill="1" applyBorder="1" applyAlignment="1" applyProtection="1">
      <alignment horizontal="right" vertical="center" shrinkToFit="1"/>
      <protection hidden="1"/>
    </xf>
    <xf numFmtId="0" fontId="33" fillId="15" borderId="112" xfId="0" applyFont="1" applyFill="1" applyBorder="1" applyAlignment="1" applyProtection="1">
      <alignment horizontal="right" vertical="center" shrinkToFit="1"/>
      <protection hidden="1"/>
    </xf>
    <xf numFmtId="0" fontId="33" fillId="15" borderId="344" xfId="0" quotePrefix="1" applyFont="1" applyFill="1" applyBorder="1" applyAlignment="1" applyProtection="1">
      <alignment horizontal="right" vertical="center" shrinkToFit="1"/>
      <protection hidden="1"/>
    </xf>
    <xf numFmtId="0" fontId="33" fillId="15" borderId="333" xfId="0" applyFont="1" applyFill="1" applyBorder="1" applyAlignment="1" applyProtection="1">
      <alignment horizontal="right" vertical="center" shrinkToFit="1"/>
      <protection hidden="1"/>
    </xf>
    <xf numFmtId="0" fontId="104" fillId="15" borderId="114" xfId="0" applyFont="1" applyFill="1" applyBorder="1" applyAlignment="1" applyProtection="1">
      <alignment horizontal="right" vertical="center" shrinkToFit="1"/>
      <protection hidden="1"/>
    </xf>
    <xf numFmtId="0" fontId="33" fillId="15" borderId="345" xfId="0" quotePrefix="1" applyFont="1" applyFill="1" applyBorder="1" applyAlignment="1" applyProtection="1">
      <alignment horizontal="right" vertical="center" shrinkToFit="1"/>
      <protection hidden="1"/>
    </xf>
    <xf numFmtId="176" fontId="8" fillId="0" borderId="3" xfId="0" applyNumberFormat="1" applyFont="1" applyFill="1" applyBorder="1" applyAlignment="1" applyProtection="1">
      <alignment horizontal="right" vertical="center" shrinkToFit="1"/>
      <protection hidden="1"/>
    </xf>
    <xf numFmtId="0" fontId="8" fillId="0" borderId="117" xfId="0" quotePrefix="1" applyFont="1" applyFill="1" applyBorder="1" applyAlignment="1" applyProtection="1">
      <alignment horizontal="right" vertical="center"/>
      <protection hidden="1"/>
    </xf>
    <xf numFmtId="0" fontId="8" fillId="0" borderId="111" xfId="0" applyFont="1" applyFill="1" applyBorder="1" applyAlignment="1" applyProtection="1">
      <alignment horizontal="right" vertical="center"/>
      <protection hidden="1"/>
    </xf>
    <xf numFmtId="0" fontId="33" fillId="15" borderId="119" xfId="0" quotePrefix="1" applyFont="1" applyFill="1" applyBorder="1" applyAlignment="1" applyProtection="1">
      <alignment horizontal="right" vertical="center" shrinkToFit="1"/>
      <protection hidden="1"/>
    </xf>
    <xf numFmtId="0" fontId="33" fillId="15" borderId="348" xfId="0" quotePrefix="1" applyFont="1" applyFill="1" applyBorder="1" applyAlignment="1" applyProtection="1">
      <alignment horizontal="right" vertical="center" shrinkToFit="1"/>
      <protection hidden="1"/>
    </xf>
    <xf numFmtId="0" fontId="33" fillId="15" borderId="112" xfId="0" quotePrefix="1" applyFont="1" applyFill="1" applyBorder="1" applyAlignment="1" applyProtection="1">
      <alignment horizontal="right" vertical="center" shrinkToFit="1"/>
      <protection hidden="1"/>
    </xf>
    <xf numFmtId="0" fontId="33" fillId="15" borderId="134" xfId="0" quotePrefix="1" applyFont="1" applyFill="1" applyBorder="1" applyAlignment="1" applyProtection="1">
      <alignment horizontal="right" vertical="center" shrinkToFit="1"/>
      <protection hidden="1"/>
    </xf>
    <xf numFmtId="0" fontId="33" fillId="15" borderId="333" xfId="0" quotePrefix="1" applyFont="1" applyFill="1" applyBorder="1" applyAlignment="1" applyProtection="1">
      <alignment horizontal="right" vertical="center" shrinkToFit="1"/>
      <protection hidden="1"/>
    </xf>
    <xf numFmtId="0" fontId="8" fillId="0" borderId="111" xfId="0" applyFont="1" applyFill="1" applyBorder="1" applyAlignment="1" applyProtection="1">
      <alignment vertical="center" shrinkToFit="1"/>
      <protection hidden="1"/>
    </xf>
    <xf numFmtId="0" fontId="8" fillId="0" borderId="109" xfId="0" applyFont="1" applyFill="1" applyBorder="1" applyAlignment="1" applyProtection="1">
      <alignment vertical="center" shrinkToFit="1"/>
      <protection hidden="1"/>
    </xf>
    <xf numFmtId="0" fontId="8" fillId="0" borderId="82" xfId="0" applyFont="1" applyFill="1" applyBorder="1" applyAlignment="1" applyProtection="1">
      <alignment vertical="center" shrinkToFit="1"/>
      <protection hidden="1"/>
    </xf>
    <xf numFmtId="0" fontId="8" fillId="0" borderId="113" xfId="0" applyFont="1" applyFill="1" applyBorder="1" applyAlignment="1" applyProtection="1">
      <alignment horizontal="center" vertical="center"/>
      <protection hidden="1"/>
    </xf>
    <xf numFmtId="0" fontId="24" fillId="0" borderId="0" xfId="0" applyFont="1" applyFill="1" applyAlignment="1" applyProtection="1">
      <alignment horizontal="right" vertical="center" shrinkToFit="1"/>
      <protection hidden="1"/>
    </xf>
    <xf numFmtId="177" fontId="8" fillId="0" borderId="116" xfId="0" applyNumberFormat="1" applyFont="1" applyFill="1" applyBorder="1" applyAlignment="1" applyProtection="1">
      <alignment horizontal="center" vertical="center"/>
      <protection hidden="1"/>
    </xf>
    <xf numFmtId="177" fontId="8" fillId="0" borderId="116" xfId="0" applyNumberFormat="1" applyFont="1" applyFill="1" applyBorder="1" applyAlignment="1" applyProtection="1">
      <alignment horizontal="center" vertical="center" shrinkToFit="1"/>
      <protection hidden="1"/>
    </xf>
    <xf numFmtId="176" fontId="9" fillId="15" borderId="0" xfId="0" applyNumberFormat="1" applyFont="1" applyFill="1" applyBorder="1" applyAlignment="1" applyProtection="1">
      <alignment horizontal="center" vertical="center" shrinkToFit="1"/>
      <protection hidden="1"/>
    </xf>
    <xf numFmtId="0" fontId="178" fillId="15" borderId="116" xfId="0" applyFont="1" applyFill="1" applyBorder="1" applyAlignment="1" applyProtection="1">
      <alignment horizontal="center" vertical="center" shrinkToFit="1"/>
      <protection hidden="1"/>
    </xf>
    <xf numFmtId="176" fontId="2" fillId="15" borderId="116" xfId="0" applyNumberFormat="1" applyFont="1" applyFill="1" applyBorder="1" applyAlignment="1" applyProtection="1">
      <alignment horizontal="center" vertical="center" shrinkToFit="1"/>
      <protection hidden="1"/>
    </xf>
    <xf numFmtId="0" fontId="203" fillId="15" borderId="116" xfId="0" applyFont="1" applyFill="1" applyBorder="1" applyAlignment="1" applyProtection="1">
      <alignment horizontal="right" vertical="center" shrinkToFit="1"/>
      <protection hidden="1"/>
    </xf>
    <xf numFmtId="0" fontId="28" fillId="15" borderId="116" xfId="0" applyFont="1" applyFill="1" applyBorder="1" applyAlignment="1" applyProtection="1">
      <alignment horizontal="center" vertical="center" shrinkToFit="1"/>
      <protection hidden="1"/>
    </xf>
    <xf numFmtId="176" fontId="29" fillId="15" borderId="116" xfId="0" applyNumberFormat="1" applyFont="1" applyFill="1" applyBorder="1" applyAlignment="1" applyProtection="1">
      <alignment horizontal="right" vertical="center" shrinkToFit="1"/>
      <protection hidden="1"/>
    </xf>
    <xf numFmtId="176" fontId="29" fillId="15" borderId="116" xfId="0" quotePrefix="1" applyNumberFormat="1" applyFont="1" applyFill="1" applyBorder="1" applyAlignment="1" applyProtection="1">
      <alignment horizontal="right" vertical="center" shrinkToFit="1"/>
      <protection hidden="1"/>
    </xf>
    <xf numFmtId="0" fontId="178" fillId="15" borderId="117" xfId="0" applyFont="1" applyFill="1" applyBorder="1" applyAlignment="1" applyProtection="1">
      <alignment horizontal="center" vertical="center" shrinkToFit="1"/>
      <protection hidden="1"/>
    </xf>
    <xf numFmtId="176" fontId="2" fillId="15" borderId="117" xfId="0" applyNumberFormat="1" applyFont="1" applyFill="1" applyBorder="1" applyAlignment="1" applyProtection="1">
      <alignment horizontal="center" vertical="center" shrinkToFit="1"/>
      <protection hidden="1"/>
    </xf>
    <xf numFmtId="0" fontId="203" fillId="15" borderId="117" xfId="0" applyFont="1" applyFill="1" applyBorder="1" applyAlignment="1" applyProtection="1">
      <alignment horizontal="right" vertical="center" shrinkToFit="1"/>
      <protection hidden="1"/>
    </xf>
    <xf numFmtId="0" fontId="28" fillId="15" borderId="117" xfId="0" applyFont="1" applyFill="1" applyBorder="1" applyAlignment="1" applyProtection="1">
      <alignment horizontal="center" vertical="center" shrinkToFit="1"/>
      <protection hidden="1"/>
    </xf>
    <xf numFmtId="176" fontId="29" fillId="15" borderId="117" xfId="0" applyNumberFormat="1" applyFont="1" applyFill="1" applyBorder="1" applyAlignment="1" applyProtection="1">
      <alignment horizontal="right" vertical="center" shrinkToFit="1"/>
      <protection hidden="1"/>
    </xf>
    <xf numFmtId="176" fontId="29" fillId="15" borderId="117" xfId="0" quotePrefix="1" applyNumberFormat="1" applyFont="1" applyFill="1" applyBorder="1" applyAlignment="1" applyProtection="1">
      <alignment horizontal="right" vertical="center" shrinkToFit="1"/>
      <protection hidden="1"/>
    </xf>
    <xf numFmtId="0" fontId="29" fillId="15" borderId="117" xfId="0" applyFont="1" applyFill="1" applyBorder="1" applyAlignment="1" applyProtection="1">
      <alignment horizontal="center" vertical="center" shrinkToFit="1"/>
      <protection hidden="1"/>
    </xf>
    <xf numFmtId="0" fontId="8" fillId="0" borderId="0" xfId="0" quotePrefix="1" applyFont="1" applyFill="1" applyBorder="1" applyAlignment="1" applyProtection="1">
      <alignment vertical="center"/>
      <protection hidden="1"/>
    </xf>
    <xf numFmtId="0" fontId="8" fillId="0" borderId="107" xfId="0" applyFont="1" applyFill="1" applyBorder="1" applyAlignment="1" applyProtection="1">
      <alignment horizontal="center" vertical="center" shrinkToFit="1"/>
      <protection hidden="1"/>
    </xf>
    <xf numFmtId="0" fontId="8" fillId="0" borderId="107" xfId="0" applyFont="1" applyFill="1" applyBorder="1" applyAlignment="1" applyProtection="1">
      <alignment horizontal="center" vertical="center"/>
      <protection hidden="1"/>
    </xf>
    <xf numFmtId="0" fontId="8" fillId="0" borderId="114" xfId="0" applyFont="1" applyFill="1" applyBorder="1" applyAlignment="1" applyProtection="1">
      <alignment horizontal="center" vertical="center" shrinkToFit="1"/>
      <protection hidden="1"/>
    </xf>
    <xf numFmtId="177" fontId="8" fillId="0" borderId="114" xfId="0" applyNumberFormat="1" applyFont="1" applyFill="1" applyBorder="1" applyAlignment="1" applyProtection="1">
      <alignment horizontal="center" vertical="center"/>
      <protection hidden="1"/>
    </xf>
    <xf numFmtId="177" fontId="8" fillId="0" borderId="114" xfId="0" applyNumberFormat="1" applyFont="1" applyFill="1" applyBorder="1" applyAlignment="1" applyProtection="1">
      <alignment horizontal="center" vertical="center" shrinkToFit="1"/>
      <protection hidden="1"/>
    </xf>
    <xf numFmtId="0" fontId="33" fillId="15" borderId="0" xfId="0" applyFont="1" applyFill="1" applyBorder="1" applyAlignment="1" applyProtection="1">
      <alignment horizontal="right" vertical="center" shrinkToFit="1"/>
      <protection hidden="1"/>
    </xf>
    <xf numFmtId="0" fontId="8" fillId="0" borderId="112" xfId="0" applyFont="1" applyFill="1" applyBorder="1" applyAlignment="1" applyProtection="1">
      <alignment vertical="center" shrinkToFit="1"/>
      <protection hidden="1"/>
    </xf>
    <xf numFmtId="0" fontId="33" fillId="15" borderId="335" xfId="0" applyFont="1" applyFill="1" applyBorder="1" applyAlignment="1" applyProtection="1">
      <alignment horizontal="center" vertical="center" shrinkToFit="1"/>
      <protection hidden="1"/>
    </xf>
    <xf numFmtId="0" fontId="33" fillId="15" borderId="274" xfId="0" applyFont="1" applyFill="1" applyBorder="1" applyAlignment="1" applyProtection="1">
      <alignment horizontal="center" vertical="center" shrinkToFit="1"/>
      <protection hidden="1"/>
    </xf>
    <xf numFmtId="0" fontId="33" fillId="15" borderId="112" xfId="0" applyFont="1" applyFill="1" applyBorder="1" applyAlignment="1" applyProtection="1">
      <alignment horizontal="center" vertical="center" shrinkToFit="1"/>
      <protection hidden="1"/>
    </xf>
    <xf numFmtId="0" fontId="8" fillId="0" borderId="5" xfId="0" applyFont="1" applyFill="1" applyBorder="1" applyAlignment="1" applyProtection="1">
      <alignment horizontal="center" vertical="center"/>
      <protection hidden="1"/>
    </xf>
    <xf numFmtId="0" fontId="2" fillId="21" borderId="287" xfId="0" applyFont="1" applyFill="1" applyBorder="1" applyAlignment="1" applyProtection="1">
      <alignment horizontal="center" vertical="center"/>
      <protection hidden="1"/>
    </xf>
    <xf numFmtId="0" fontId="2" fillId="21" borderId="288" xfId="0" applyFont="1" applyFill="1" applyBorder="1" applyAlignment="1" applyProtection="1">
      <alignment horizontal="center" vertical="center"/>
      <protection hidden="1"/>
    </xf>
    <xf numFmtId="0" fontId="2" fillId="21" borderId="318" xfId="0" applyFont="1" applyFill="1" applyBorder="1" applyAlignment="1" applyProtection="1">
      <alignment horizontal="center" vertical="center"/>
      <protection hidden="1"/>
    </xf>
    <xf numFmtId="0" fontId="33" fillId="21" borderId="289" xfId="0" applyFont="1" applyFill="1" applyBorder="1" applyAlignment="1" applyProtection="1">
      <alignment shrinkToFit="1"/>
      <protection hidden="1"/>
    </xf>
    <xf numFmtId="0" fontId="9" fillId="3" borderId="160" xfId="0" applyFont="1" applyFill="1" applyBorder="1" applyAlignment="1" applyProtection="1">
      <alignment horizontal="center" vertical="center" textRotation="180" shrinkToFit="1"/>
      <protection hidden="1"/>
    </xf>
    <xf numFmtId="0" fontId="176" fillId="12" borderId="289" xfId="0" applyFont="1" applyFill="1" applyBorder="1" applyAlignment="1" applyProtection="1">
      <alignment vertical="center" shrinkToFit="1"/>
      <protection hidden="1"/>
    </xf>
    <xf numFmtId="0" fontId="176" fillId="12" borderId="0" xfId="0" applyFont="1" applyFill="1" applyBorder="1" applyAlignment="1" applyProtection="1">
      <alignment vertical="center" shrinkToFit="1"/>
      <protection hidden="1"/>
    </xf>
    <xf numFmtId="0" fontId="2" fillId="21" borderId="319" xfId="0" applyFont="1" applyFill="1" applyBorder="1" applyAlignment="1" applyProtection="1">
      <alignment horizontal="center" vertical="center"/>
      <protection hidden="1"/>
    </xf>
    <xf numFmtId="0" fontId="124" fillId="21" borderId="0" xfId="0" applyFont="1" applyFill="1" applyBorder="1" applyAlignment="1" applyProtection="1">
      <alignment horizontal="center" vertical="center"/>
      <protection hidden="1"/>
    </xf>
    <xf numFmtId="0" fontId="33" fillId="21" borderId="0" xfId="0" applyFont="1" applyFill="1" applyBorder="1" applyAlignment="1" applyProtection="1">
      <alignment horizontal="center" vertical="center"/>
      <protection hidden="1"/>
    </xf>
    <xf numFmtId="182" fontId="187" fillId="12" borderId="0" xfId="0" applyNumberFormat="1" applyFont="1" applyFill="1" applyBorder="1" applyAlignment="1" applyProtection="1">
      <alignment vertical="center" shrinkToFit="1"/>
      <protection hidden="1"/>
    </xf>
    <xf numFmtId="0" fontId="176" fillId="12" borderId="0" xfId="0" applyFont="1" applyFill="1" applyBorder="1" applyAlignment="1" applyProtection="1">
      <alignment horizontal="center" vertical="center" shrinkToFit="1"/>
      <protection hidden="1"/>
    </xf>
    <xf numFmtId="0" fontId="176" fillId="12" borderId="320" xfId="0" applyFont="1" applyFill="1" applyBorder="1" applyAlignment="1" applyProtection="1">
      <alignment vertical="center" shrinkToFit="1"/>
      <protection hidden="1"/>
    </xf>
    <xf numFmtId="0" fontId="188" fillId="12" borderId="321" xfId="0" applyFont="1" applyFill="1" applyBorder="1" applyAlignment="1" applyProtection="1">
      <alignment vertical="center" shrinkToFit="1"/>
      <protection hidden="1"/>
    </xf>
    <xf numFmtId="0" fontId="2" fillId="21" borderId="322" xfId="0" applyFont="1" applyFill="1" applyBorder="1" applyAlignment="1" applyProtection="1">
      <alignment horizontal="center" vertical="center"/>
      <protection hidden="1"/>
    </xf>
    <xf numFmtId="0" fontId="4" fillId="21" borderId="0" xfId="0" applyFont="1" applyFill="1" applyBorder="1" applyAlignment="1" applyProtection="1">
      <alignment horizontal="center" vertical="center"/>
      <protection hidden="1"/>
    </xf>
    <xf numFmtId="0" fontId="200" fillId="12" borderId="0" xfId="0" applyFont="1" applyFill="1" applyBorder="1" applyAlignment="1" applyProtection="1">
      <alignment horizontal="right"/>
      <protection hidden="1"/>
    </xf>
    <xf numFmtId="0" fontId="33" fillId="16" borderId="0" xfId="3" applyFont="1" applyFill="1" applyBorder="1" applyAlignment="1" applyProtection="1">
      <alignment horizontal="left" vertical="center"/>
      <protection hidden="1"/>
    </xf>
    <xf numFmtId="0" fontId="2" fillId="15" borderId="109" xfId="0" applyFont="1" applyFill="1" applyBorder="1" applyAlignment="1" applyProtection="1">
      <alignment horizontal="center" vertical="center"/>
      <protection hidden="1"/>
    </xf>
    <xf numFmtId="0" fontId="187" fillId="15" borderId="0" xfId="0" applyFont="1" applyFill="1" applyBorder="1" applyAlignment="1" applyProtection="1">
      <alignment vertical="center"/>
      <protection hidden="1"/>
    </xf>
    <xf numFmtId="0" fontId="9" fillId="15" borderId="0" xfId="0" applyFont="1" applyFill="1" applyBorder="1" applyAlignment="1" applyProtection="1">
      <alignment horizontal="center" vertical="center" textRotation="180" shrinkToFit="1"/>
      <protection hidden="1"/>
    </xf>
    <xf numFmtId="0" fontId="33" fillId="15" borderId="0" xfId="0" applyFont="1" applyFill="1" applyBorder="1" applyAlignment="1" applyProtection="1">
      <alignment horizontal="left" vertical="center"/>
      <protection hidden="1"/>
    </xf>
    <xf numFmtId="0" fontId="8" fillId="0" borderId="0" xfId="0" quotePrefix="1" applyFont="1" applyFill="1" applyAlignment="1" applyProtection="1">
      <alignment horizontal="left" vertical="center"/>
      <protection hidden="1"/>
    </xf>
    <xf numFmtId="0" fontId="8" fillId="0" borderId="116" xfId="0" applyFont="1" applyFill="1" applyBorder="1" applyAlignment="1" applyProtection="1">
      <alignment vertical="center"/>
      <protection hidden="1"/>
    </xf>
    <xf numFmtId="0" fontId="8" fillId="0" borderId="118" xfId="0" applyFont="1" applyFill="1" applyBorder="1" applyAlignment="1" applyProtection="1">
      <alignment vertical="center"/>
      <protection hidden="1"/>
    </xf>
    <xf numFmtId="0" fontId="8" fillId="0" borderId="114" xfId="0" applyFont="1" applyFill="1" applyBorder="1" applyAlignment="1" applyProtection="1">
      <alignment vertical="center"/>
      <protection hidden="1"/>
    </xf>
    <xf numFmtId="0" fontId="8" fillId="0" borderId="111" xfId="0" applyFont="1" applyFill="1" applyBorder="1" applyAlignment="1" applyProtection="1">
      <alignment vertical="center"/>
      <protection hidden="1"/>
    </xf>
    <xf numFmtId="181" fontId="8" fillId="0" borderId="0" xfId="0" applyNumberFormat="1" applyFont="1" applyFill="1" applyAlignment="1" applyProtection="1">
      <alignment horizontal="left" vertical="center"/>
      <protection hidden="1"/>
    </xf>
    <xf numFmtId="176" fontId="8" fillId="0" borderId="109" xfId="0" applyNumberFormat="1" applyFont="1" applyFill="1" applyBorder="1" applyAlignment="1" applyProtection="1">
      <alignment horizontal="right" vertical="center"/>
      <protection hidden="1"/>
    </xf>
    <xf numFmtId="0" fontId="8" fillId="0" borderId="113" xfId="0" applyFont="1" applyFill="1" applyBorder="1" applyAlignment="1" applyProtection="1">
      <alignment horizontal="center"/>
      <protection hidden="1"/>
    </xf>
    <xf numFmtId="180" fontId="8" fillId="0" borderId="0" xfId="0" applyNumberFormat="1" applyFont="1" applyFill="1" applyAlignment="1" applyProtection="1">
      <alignment horizontal="center" vertical="center" shrinkToFit="1"/>
      <protection hidden="1"/>
    </xf>
    <xf numFmtId="0" fontId="8" fillId="0" borderId="0" xfId="0" applyNumberFormat="1" applyFont="1" applyFill="1" applyAlignment="1" applyProtection="1">
      <alignment horizontal="center" vertical="center"/>
      <protection hidden="1"/>
    </xf>
    <xf numFmtId="182" fontId="8" fillId="0" borderId="0" xfId="0" applyNumberFormat="1" applyFont="1" applyFill="1" applyAlignment="1" applyProtection="1">
      <alignment horizontal="left" vertical="center"/>
      <protection hidden="1"/>
    </xf>
    <xf numFmtId="179" fontId="8" fillId="0" borderId="109" xfId="0" quotePrefix="1" applyNumberFormat="1" applyFont="1" applyFill="1" applyBorder="1" applyAlignment="1" applyProtection="1">
      <alignment horizontal="right" vertical="center" shrinkToFit="1"/>
      <protection hidden="1"/>
    </xf>
    <xf numFmtId="0" fontId="8" fillId="0" borderId="116" xfId="0" applyNumberFormat="1" applyFont="1" applyFill="1" applyBorder="1" applyAlignment="1" applyProtection="1">
      <alignment horizontal="center"/>
      <protection hidden="1"/>
    </xf>
    <xf numFmtId="0" fontId="8" fillId="0" borderId="0" xfId="0" applyNumberFormat="1" applyFont="1" applyFill="1" applyBorder="1" applyAlignment="1" applyProtection="1">
      <alignment horizontal="center"/>
      <protection hidden="1"/>
    </xf>
    <xf numFmtId="0" fontId="8" fillId="0" borderId="0" xfId="0" applyFont="1" applyFill="1" applyBorder="1" applyAlignment="1" applyProtection="1">
      <alignment horizontal="right"/>
      <protection hidden="1"/>
    </xf>
    <xf numFmtId="0" fontId="8" fillId="0" borderId="109" xfId="0" applyFont="1" applyFill="1" applyBorder="1" applyAlignment="1" applyProtection="1">
      <alignment horizontal="center"/>
      <protection hidden="1"/>
    </xf>
    <xf numFmtId="179" fontId="8" fillId="0" borderId="114" xfId="0" applyNumberFormat="1" applyFont="1" applyFill="1" applyBorder="1" applyAlignment="1" applyProtection="1">
      <alignment horizontal="right" vertical="center" shrinkToFit="1"/>
      <protection hidden="1"/>
    </xf>
    <xf numFmtId="0" fontId="2" fillId="21" borderId="372" xfId="0" applyFont="1" applyFill="1" applyBorder="1" applyAlignment="1" applyProtection="1">
      <alignment horizontal="center" vertical="center"/>
      <protection hidden="1"/>
    </xf>
    <xf numFmtId="0" fontId="2" fillId="21" borderId="298" xfId="0" applyFont="1" applyFill="1" applyBorder="1" applyAlignment="1" applyProtection="1">
      <alignment horizontal="center" vertical="center"/>
      <protection hidden="1"/>
    </xf>
    <xf numFmtId="0" fontId="2" fillId="21" borderId="373" xfId="0" applyFont="1" applyFill="1" applyBorder="1" applyAlignment="1" applyProtection="1">
      <alignment horizontal="center" vertical="center"/>
      <protection hidden="1"/>
    </xf>
    <xf numFmtId="0" fontId="9" fillId="21" borderId="358" xfId="0" applyFont="1" applyFill="1" applyBorder="1" applyAlignment="1" applyProtection="1">
      <alignment horizontal="center" vertical="center"/>
      <protection hidden="1"/>
    </xf>
    <xf numFmtId="0" fontId="9" fillId="21" borderId="362" xfId="0" applyFont="1" applyFill="1" applyBorder="1" applyAlignment="1" applyProtection="1">
      <alignment horizontal="center" vertical="center"/>
      <protection hidden="1"/>
    </xf>
    <xf numFmtId="182" fontId="9" fillId="5" borderId="0" xfId="0" applyNumberFormat="1" applyFont="1" applyFill="1" applyBorder="1" applyAlignment="1" applyProtection="1">
      <alignment vertical="center" shrinkToFit="1"/>
      <protection hidden="1"/>
    </xf>
    <xf numFmtId="0" fontId="9" fillId="15" borderId="116" xfId="0" applyFont="1" applyFill="1" applyBorder="1" applyAlignment="1" applyProtection="1">
      <alignment vertical="top"/>
      <protection hidden="1"/>
    </xf>
    <xf numFmtId="0" fontId="9" fillId="6" borderId="0" xfId="0" applyFont="1" applyFill="1" applyBorder="1" applyAlignment="1" applyProtection="1">
      <alignment horizontal="center" vertical="center"/>
      <protection hidden="1"/>
    </xf>
    <xf numFmtId="0" fontId="9" fillId="15" borderId="0" xfId="0" applyFont="1" applyFill="1" applyBorder="1" applyAlignment="1" applyProtection="1">
      <alignment vertical="top" shrinkToFit="1"/>
      <protection hidden="1"/>
    </xf>
    <xf numFmtId="0" fontId="86" fillId="15" borderId="0" xfId="0" applyFont="1" applyFill="1" applyBorder="1" applyAlignment="1" applyProtection="1">
      <alignment vertical="center" shrinkToFit="1"/>
      <protection hidden="1"/>
    </xf>
    <xf numFmtId="0" fontId="9" fillId="21" borderId="358" xfId="0" applyFont="1" applyFill="1" applyBorder="1" applyAlignment="1" applyProtection="1">
      <alignment vertical="center"/>
      <protection hidden="1"/>
    </xf>
    <xf numFmtId="0" fontId="9" fillId="21" borderId="362" xfId="0" applyFont="1" applyFill="1" applyBorder="1" applyAlignment="1" applyProtection="1">
      <alignment vertical="center"/>
      <protection hidden="1"/>
    </xf>
    <xf numFmtId="0" fontId="9" fillId="21" borderId="358" xfId="0" applyFont="1" applyFill="1" applyBorder="1" applyAlignment="1" applyProtection="1">
      <alignment vertical="center" shrinkToFit="1"/>
      <protection hidden="1"/>
    </xf>
    <xf numFmtId="0" fontId="9" fillId="21" borderId="0" xfId="0" applyFont="1" applyFill="1" applyBorder="1" applyAlignment="1" applyProtection="1">
      <alignment horizontal="left" vertical="center"/>
      <protection hidden="1"/>
    </xf>
    <xf numFmtId="0" fontId="28" fillId="15" borderId="116" xfId="0" applyFont="1" applyFill="1" applyBorder="1" applyAlignment="1" applyProtection="1">
      <alignment vertical="top"/>
      <protection hidden="1"/>
    </xf>
    <xf numFmtId="0" fontId="205" fillId="33" borderId="117" xfId="0" applyFont="1" applyFill="1" applyBorder="1" applyAlignment="1" applyProtection="1">
      <alignment horizontal="right" vertical="center" shrinkToFit="1"/>
      <protection hidden="1"/>
    </xf>
    <xf numFmtId="0" fontId="33" fillId="33" borderId="117" xfId="0" applyFont="1" applyFill="1" applyBorder="1" applyAlignment="1" applyProtection="1">
      <alignment horizontal="center" vertical="center"/>
      <protection hidden="1"/>
    </xf>
    <xf numFmtId="0" fontId="124" fillId="33" borderId="117" xfId="0" applyFont="1" applyFill="1" applyBorder="1" applyAlignment="1" applyProtection="1">
      <alignment horizontal="center" vertical="center"/>
      <protection hidden="1"/>
    </xf>
    <xf numFmtId="0" fontId="205" fillId="33" borderId="113" xfId="0" applyFont="1" applyFill="1" applyBorder="1" applyAlignment="1" applyProtection="1">
      <alignment horizontal="right" vertical="center" shrinkToFit="1"/>
      <protection hidden="1"/>
    </xf>
    <xf numFmtId="0" fontId="33" fillId="33" borderId="0" xfId="0" applyFont="1" applyFill="1" applyBorder="1" applyAlignment="1" applyProtection="1">
      <alignment horizontal="center" vertical="center"/>
      <protection hidden="1"/>
    </xf>
    <xf numFmtId="182" fontId="9" fillId="12" borderId="0" xfId="0" applyNumberFormat="1" applyFont="1" applyFill="1" applyBorder="1" applyAlignment="1" applyProtection="1">
      <alignment vertical="center" shrinkToFit="1"/>
      <protection hidden="1"/>
    </xf>
    <xf numFmtId="182" fontId="9" fillId="12" borderId="0" xfId="0" applyNumberFormat="1" applyFont="1" applyFill="1" applyBorder="1" applyAlignment="1" applyProtection="1">
      <alignment shrinkToFit="1"/>
      <protection hidden="1"/>
    </xf>
    <xf numFmtId="0" fontId="9" fillId="12" borderId="0" xfId="0" applyFont="1" applyFill="1" applyBorder="1" applyAlignment="1" applyProtection="1">
      <alignment horizontal="right" vertical="center"/>
      <protection hidden="1"/>
    </xf>
    <xf numFmtId="0" fontId="9" fillId="12" borderId="0" xfId="0" applyFont="1" applyFill="1" applyBorder="1" applyAlignment="1" applyProtection="1">
      <alignment vertical="center" shrinkToFit="1"/>
      <protection hidden="1"/>
    </xf>
    <xf numFmtId="0" fontId="9" fillId="21" borderId="0" xfId="0" applyFont="1" applyFill="1" applyBorder="1" applyAlignment="1" applyProtection="1">
      <alignment horizontal="center" vertical="center" textRotation="180" shrinkToFit="1"/>
      <protection hidden="1"/>
    </xf>
    <xf numFmtId="0" fontId="206" fillId="12" borderId="0" xfId="0" applyFont="1" applyFill="1" applyBorder="1" applyAlignment="1" applyProtection="1">
      <protection hidden="1"/>
    </xf>
    <xf numFmtId="0" fontId="9" fillId="12" borderId="0" xfId="0" applyFont="1" applyFill="1" applyBorder="1" applyAlignment="1" applyProtection="1">
      <alignment shrinkToFit="1"/>
      <protection hidden="1"/>
    </xf>
    <xf numFmtId="1" fontId="8" fillId="0" borderId="109" xfId="0" applyNumberFormat="1" applyFont="1" applyFill="1" applyBorder="1" applyAlignment="1" applyProtection="1">
      <alignment horizontal="center"/>
      <protection hidden="1"/>
    </xf>
    <xf numFmtId="0" fontId="205" fillId="33" borderId="0" xfId="0" applyFont="1" applyFill="1" applyBorder="1" applyAlignment="1" applyProtection="1">
      <alignment horizontal="right" vertical="center" shrinkToFit="1"/>
      <protection hidden="1"/>
    </xf>
    <xf numFmtId="0" fontId="124" fillId="33" borderId="0" xfId="0" applyFont="1" applyFill="1" applyBorder="1" applyAlignment="1" applyProtection="1">
      <alignment horizontal="center" vertical="center"/>
      <protection hidden="1"/>
    </xf>
    <xf numFmtId="0" fontId="205" fillId="33" borderId="1" xfId="0" applyFont="1" applyFill="1" applyBorder="1" applyAlignment="1" applyProtection="1">
      <alignment horizontal="right" vertical="center" shrinkToFit="1"/>
      <protection hidden="1"/>
    </xf>
    <xf numFmtId="0" fontId="9" fillId="9" borderId="109" xfId="0" applyFont="1" applyFill="1" applyBorder="1" applyAlignment="1" applyProtection="1">
      <alignment vertical="center" shrinkToFit="1"/>
      <protection hidden="1"/>
    </xf>
    <xf numFmtId="0" fontId="207" fillId="3" borderId="2" xfId="0" applyFont="1" applyFill="1" applyBorder="1" applyAlignment="1" applyProtection="1">
      <alignment vertical="top"/>
      <protection hidden="1"/>
    </xf>
    <xf numFmtId="0" fontId="207" fillId="3" borderId="0" xfId="0" applyFont="1" applyFill="1" applyBorder="1" applyAlignment="1" applyProtection="1">
      <alignment vertical="top"/>
      <protection hidden="1"/>
    </xf>
    <xf numFmtId="0" fontId="28" fillId="3" borderId="0" xfId="0" applyFont="1" applyFill="1" applyBorder="1" applyAlignment="1" applyProtection="1">
      <alignment vertical="top"/>
      <protection hidden="1"/>
    </xf>
    <xf numFmtId="0" fontId="28" fillId="3" borderId="1" xfId="0" applyFont="1" applyFill="1" applyBorder="1" applyAlignment="1" applyProtection="1">
      <alignment vertical="top"/>
      <protection hidden="1"/>
    </xf>
    <xf numFmtId="0" fontId="9" fillId="12" borderId="0" xfId="0" applyFont="1" applyFill="1" applyBorder="1" applyAlignment="1" applyProtection="1">
      <alignment vertical="center"/>
      <protection hidden="1"/>
    </xf>
    <xf numFmtId="179" fontId="8" fillId="0" borderId="0" xfId="0" applyNumberFormat="1" applyFont="1" applyFill="1" applyAlignment="1" applyProtection="1">
      <alignment horizontal="right" vertical="center"/>
      <protection hidden="1"/>
    </xf>
    <xf numFmtId="0" fontId="98" fillId="3" borderId="2" xfId="0" applyFont="1" applyFill="1" applyBorder="1" applyAlignment="1" applyProtection="1">
      <alignment vertical="top"/>
      <protection hidden="1"/>
    </xf>
    <xf numFmtId="0" fontId="98" fillId="3" borderId="0" xfId="0" applyFont="1" applyFill="1" applyBorder="1" applyAlignment="1" applyProtection="1">
      <alignment vertical="top"/>
      <protection hidden="1"/>
    </xf>
    <xf numFmtId="0" fontId="9" fillId="3" borderId="0" xfId="0" applyFont="1" applyFill="1" applyBorder="1" applyAlignment="1" applyProtection="1">
      <alignment vertical="top"/>
      <protection hidden="1"/>
    </xf>
    <xf numFmtId="0" fontId="9" fillId="3" borderId="1" xfId="0" applyFont="1" applyFill="1" applyBorder="1" applyAlignment="1" applyProtection="1">
      <alignment vertical="top"/>
      <protection hidden="1"/>
    </xf>
    <xf numFmtId="0" fontId="206" fillId="9" borderId="0" xfId="0" applyFont="1" applyFill="1" applyBorder="1" applyAlignment="1" applyProtection="1">
      <protection hidden="1"/>
    </xf>
    <xf numFmtId="0" fontId="8" fillId="0" borderId="114" xfId="0" applyFont="1" applyFill="1" applyBorder="1" applyAlignment="1" applyProtection="1">
      <protection hidden="1"/>
    </xf>
    <xf numFmtId="0" fontId="9" fillId="12" borderId="0" xfId="0" applyFont="1" applyFill="1" applyBorder="1" applyAlignment="1" applyProtection="1">
      <alignment horizontal="right"/>
      <protection hidden="1"/>
    </xf>
    <xf numFmtId="179" fontId="8" fillId="0" borderId="111" xfId="0" applyNumberFormat="1" applyFont="1" applyFill="1" applyBorder="1" applyAlignment="1" applyProtection="1">
      <alignment horizontal="right" vertical="center" shrinkToFit="1"/>
      <protection hidden="1"/>
    </xf>
    <xf numFmtId="0" fontId="9" fillId="21" borderId="363" xfId="0" applyFont="1" applyFill="1" applyBorder="1" applyAlignment="1" applyProtection="1">
      <alignment horizontal="center" vertical="center"/>
      <protection hidden="1"/>
    </xf>
    <xf numFmtId="0" fontId="9" fillId="21" borderId="293" xfId="0" applyFont="1" applyFill="1" applyBorder="1" applyAlignment="1" applyProtection="1">
      <alignment horizontal="center" vertical="center"/>
      <protection hidden="1"/>
    </xf>
    <xf numFmtId="0" fontId="2" fillId="21" borderId="293" xfId="0" applyFont="1" applyFill="1" applyBorder="1" applyAlignment="1" applyProtection="1">
      <alignment horizontal="center" vertical="center"/>
      <protection hidden="1"/>
    </xf>
    <xf numFmtId="0" fontId="2" fillId="21" borderId="369" xfId="0" applyFont="1" applyFill="1" applyBorder="1" applyAlignment="1" applyProtection="1">
      <alignment horizontal="center" vertical="center"/>
      <protection hidden="1"/>
    </xf>
    <xf numFmtId="0" fontId="208" fillId="15" borderId="0" xfId="0" applyFont="1" applyFill="1" applyBorder="1" applyAlignment="1" applyProtection="1">
      <alignment vertical="center" shrinkToFit="1"/>
      <protection hidden="1"/>
    </xf>
    <xf numFmtId="0" fontId="208" fillId="15" borderId="116" xfId="0" applyFont="1" applyFill="1" applyBorder="1" applyAlignment="1" applyProtection="1">
      <alignment vertical="center" shrinkToFit="1"/>
      <protection hidden="1"/>
    </xf>
    <xf numFmtId="0" fontId="25" fillId="15" borderId="116" xfId="0" applyFont="1" applyFill="1" applyBorder="1" applyAlignment="1" applyProtection="1">
      <alignment horizontal="center" vertical="center"/>
      <protection hidden="1"/>
    </xf>
    <xf numFmtId="0" fontId="25" fillId="15" borderId="0" xfId="0" applyFont="1" applyFill="1" applyBorder="1" applyAlignment="1" applyProtection="1">
      <alignment horizontal="left" vertical="center"/>
      <protection hidden="1"/>
    </xf>
    <xf numFmtId="187" fontId="2" fillId="0" borderId="0" xfId="0" applyNumberFormat="1" applyFont="1" applyFill="1" applyAlignment="1" applyProtection="1">
      <alignment vertical="center" shrinkToFit="1"/>
      <protection hidden="1"/>
    </xf>
    <xf numFmtId="0" fontId="9" fillId="3" borderId="374" xfId="0" applyFont="1" applyFill="1" applyBorder="1" applyAlignment="1" applyProtection="1">
      <alignment horizontal="center" vertical="center" textRotation="180" shrinkToFit="1"/>
      <protection hidden="1"/>
    </xf>
    <xf numFmtId="0" fontId="9" fillId="3" borderId="141" xfId="0" applyFont="1" applyFill="1" applyBorder="1" applyAlignment="1" applyProtection="1">
      <alignment horizontal="center" vertical="center" textRotation="180" shrinkToFit="1"/>
      <protection hidden="1"/>
    </xf>
    <xf numFmtId="187" fontId="2" fillId="0" borderId="109" xfId="0" applyNumberFormat="1" applyFont="1" applyFill="1" applyBorder="1" applyAlignment="1" applyProtection="1">
      <alignment horizontal="center" vertical="center" shrinkToFit="1"/>
      <protection hidden="1"/>
    </xf>
    <xf numFmtId="182" fontId="8" fillId="16" borderId="0" xfId="3" applyNumberFormat="1" applyFont="1" applyFill="1" applyBorder="1" applyAlignment="1" applyProtection="1">
      <alignment horizontal="left" vertical="center" shrinkToFit="1"/>
      <protection hidden="1"/>
    </xf>
    <xf numFmtId="0" fontId="253" fillId="16" borderId="0" xfId="3" applyFont="1" applyFill="1" applyBorder="1" applyAlignment="1" applyProtection="1">
      <alignment horizontal="left" vertical="center" shrinkToFit="1"/>
      <protection hidden="1"/>
    </xf>
    <xf numFmtId="0" fontId="9" fillId="16" borderId="0" xfId="3" applyFont="1" applyFill="1" applyBorder="1" applyAlignment="1" applyProtection="1">
      <alignment horizontal="left" vertical="center" shrinkToFit="1"/>
      <protection hidden="1"/>
    </xf>
    <xf numFmtId="0" fontId="90" fillId="6" borderId="114" xfId="0" applyFont="1" applyFill="1" applyBorder="1" applyAlignment="1" applyProtection="1">
      <alignment vertical="center"/>
      <protection hidden="1"/>
    </xf>
    <xf numFmtId="176" fontId="254" fillId="6" borderId="114" xfId="0" applyNumberFormat="1" applyFont="1" applyFill="1" applyBorder="1" applyAlignment="1" applyProtection="1">
      <alignment vertical="center" shrinkToFit="1"/>
      <protection hidden="1"/>
    </xf>
    <xf numFmtId="0" fontId="33" fillId="6" borderId="114" xfId="0" applyFont="1" applyFill="1" applyBorder="1" applyAlignment="1" applyProtection="1">
      <alignment vertical="center" shrinkToFit="1"/>
      <protection hidden="1"/>
    </xf>
    <xf numFmtId="182" fontId="29" fillId="6" borderId="114" xfId="0" applyNumberFormat="1" applyFont="1" applyFill="1" applyBorder="1" applyAlignment="1" applyProtection="1">
      <alignment vertical="center"/>
      <protection hidden="1"/>
    </xf>
    <xf numFmtId="0" fontId="8" fillId="16" borderId="109" xfId="3" applyFont="1" applyFill="1" applyBorder="1" applyAlignment="1" applyProtection="1">
      <alignment horizontal="left" vertical="center" shrinkToFit="1"/>
      <protection hidden="1"/>
    </xf>
    <xf numFmtId="176" fontId="8" fillId="16" borderId="0" xfId="3" applyNumberFormat="1" applyFont="1" applyFill="1" applyBorder="1" applyAlignment="1" applyProtection="1">
      <alignment horizontal="left" vertical="center" shrinkToFit="1"/>
      <protection hidden="1"/>
    </xf>
    <xf numFmtId="0" fontId="8" fillId="16" borderId="112" xfId="3" applyFont="1" applyFill="1" applyBorder="1" applyAlignment="1" applyProtection="1">
      <alignment horizontal="left" vertical="center" shrinkToFit="1"/>
      <protection hidden="1"/>
    </xf>
    <xf numFmtId="176" fontId="8" fillId="16" borderId="109" xfId="3" applyNumberFormat="1" applyFont="1" applyFill="1" applyBorder="1" applyAlignment="1" applyProtection="1">
      <alignment horizontal="left" vertical="center" shrinkToFit="1"/>
      <protection hidden="1"/>
    </xf>
    <xf numFmtId="176" fontId="119" fillId="16" borderId="0" xfId="3" applyNumberFormat="1" applyFont="1" applyFill="1" applyBorder="1" applyAlignment="1" applyProtection="1">
      <alignment horizontal="left" vertical="center" shrinkToFit="1"/>
      <protection hidden="1"/>
    </xf>
    <xf numFmtId="176" fontId="119" fillId="0" borderId="0" xfId="0" applyNumberFormat="1" applyFont="1" applyFill="1" applyBorder="1" applyAlignment="1" applyProtection="1">
      <alignment horizontal="center" vertical="center" shrinkToFit="1"/>
      <protection hidden="1"/>
    </xf>
    <xf numFmtId="0" fontId="15" fillId="0" borderId="0" xfId="0" quotePrefix="1" applyFont="1" applyFill="1" applyAlignment="1" applyProtection="1">
      <alignment horizontal="center" vertical="center"/>
      <protection hidden="1"/>
    </xf>
    <xf numFmtId="177" fontId="8" fillId="0" borderId="0" xfId="0" quotePrefix="1" applyNumberFormat="1" applyFont="1" applyFill="1" applyAlignment="1" applyProtection="1">
      <alignment vertical="center" shrinkToFit="1"/>
      <protection hidden="1"/>
    </xf>
    <xf numFmtId="177" fontId="8" fillId="0" borderId="0" xfId="0" applyNumberFormat="1" applyFont="1" applyFill="1" applyAlignment="1" applyProtection="1">
      <alignment vertical="center" shrinkToFit="1"/>
      <protection hidden="1"/>
    </xf>
    <xf numFmtId="177" fontId="2" fillId="0" borderId="0" xfId="0" applyNumberFormat="1" applyFont="1" applyFill="1" applyAlignment="1" applyProtection="1">
      <alignment vertical="center" shrinkToFit="1"/>
      <protection hidden="1"/>
    </xf>
    <xf numFmtId="177" fontId="8" fillId="0" borderId="0" xfId="0" quotePrefix="1" applyNumberFormat="1" applyFont="1" applyFill="1" applyBorder="1" applyAlignment="1" applyProtection="1">
      <alignment vertical="center" shrinkToFit="1"/>
      <protection hidden="1"/>
    </xf>
    <xf numFmtId="186" fontId="8" fillId="0" borderId="0" xfId="0" applyNumberFormat="1" applyFont="1" applyFill="1" applyBorder="1" applyAlignment="1" applyProtection="1">
      <alignment horizontal="left" vertical="center"/>
      <protection hidden="1"/>
    </xf>
    <xf numFmtId="0" fontId="15" fillId="0" borderId="0" xfId="0" applyFont="1" applyFill="1" applyBorder="1" applyAlignment="1" applyProtection="1">
      <alignment horizontal="right" vertical="center" shrinkToFit="1"/>
      <protection hidden="1"/>
    </xf>
    <xf numFmtId="183" fontId="8" fillId="0" borderId="109" xfId="0" applyNumberFormat="1" applyFont="1" applyFill="1" applyBorder="1" applyAlignment="1" applyProtection="1">
      <alignment horizontal="center" vertical="center" shrinkToFit="1"/>
      <protection hidden="1"/>
    </xf>
    <xf numFmtId="186" fontId="8" fillId="0" borderId="119" xfId="0" applyNumberFormat="1" applyFont="1" applyFill="1" applyBorder="1" applyAlignment="1" applyProtection="1">
      <alignment horizontal="right" vertical="center" shrinkToFit="1"/>
      <protection hidden="1"/>
    </xf>
    <xf numFmtId="0" fontId="15" fillId="0" borderId="109" xfId="0" applyFont="1" applyFill="1" applyBorder="1" applyAlignment="1" applyProtection="1">
      <alignment horizontal="center" vertical="center"/>
      <protection hidden="1"/>
    </xf>
    <xf numFmtId="0" fontId="18" fillId="3" borderId="109" xfId="0" applyFont="1" applyFill="1" applyBorder="1" applyAlignment="1" applyProtection="1">
      <alignment horizontal="center" vertical="center" textRotation="180" shrinkToFit="1"/>
      <protection hidden="1"/>
    </xf>
    <xf numFmtId="0" fontId="18" fillId="3" borderId="276" xfId="0" applyFont="1" applyFill="1" applyBorder="1" applyAlignment="1" applyProtection="1">
      <alignment horizontal="center" vertical="center" textRotation="180" shrinkToFit="1"/>
      <protection hidden="1"/>
    </xf>
    <xf numFmtId="0" fontId="18" fillId="3" borderId="275" xfId="0" applyFont="1" applyFill="1" applyBorder="1" applyAlignment="1" applyProtection="1">
      <alignment horizontal="center" vertical="center" textRotation="180" shrinkToFit="1"/>
      <protection hidden="1"/>
    </xf>
    <xf numFmtId="0" fontId="18" fillId="3" borderId="380" xfId="0" applyFont="1" applyFill="1" applyBorder="1" applyAlignment="1" applyProtection="1">
      <alignment horizontal="center" vertical="center" textRotation="180" shrinkToFit="1"/>
      <protection hidden="1"/>
    </xf>
    <xf numFmtId="0" fontId="15" fillId="0" borderId="0" xfId="0" applyFont="1" applyFill="1" applyAlignment="1" applyProtection="1">
      <alignment horizontal="left" vertical="center" shrinkToFit="1"/>
      <protection hidden="1"/>
    </xf>
    <xf numFmtId="186" fontId="8" fillId="0" borderId="82" xfId="0" applyNumberFormat="1" applyFont="1" applyFill="1" applyBorder="1" applyAlignment="1" applyProtection="1">
      <alignment horizontal="right" vertical="center" shrinkToFit="1"/>
      <protection hidden="1"/>
    </xf>
    <xf numFmtId="0" fontId="15" fillId="0" borderId="109" xfId="0" quotePrefix="1" applyFont="1" applyFill="1" applyBorder="1" applyAlignment="1" applyProtection="1">
      <alignment horizontal="center" vertical="center"/>
      <protection hidden="1"/>
    </xf>
    <xf numFmtId="0" fontId="33" fillId="0" borderId="117" xfId="0" applyFont="1" applyFill="1" applyBorder="1" applyAlignment="1" applyProtection="1">
      <alignment horizontal="center" vertical="center"/>
      <protection hidden="1"/>
    </xf>
    <xf numFmtId="186" fontId="8" fillId="0" borderId="114" xfId="0" applyNumberFormat="1" applyFont="1" applyFill="1" applyBorder="1" applyAlignment="1" applyProtection="1">
      <alignment horizontal="right" vertical="center" shrinkToFit="1"/>
      <protection hidden="1"/>
    </xf>
    <xf numFmtId="186" fontId="8" fillId="0" borderId="113" xfId="0" applyNumberFormat="1" applyFont="1" applyFill="1" applyBorder="1" applyAlignment="1" applyProtection="1">
      <alignment horizontal="right" vertical="center" shrinkToFit="1"/>
      <protection hidden="1"/>
    </xf>
    <xf numFmtId="186" fontId="8" fillId="0" borderId="112" xfId="0" applyNumberFormat="1" applyFont="1" applyFill="1" applyBorder="1" applyAlignment="1" applyProtection="1">
      <alignment horizontal="right" vertical="center" shrinkToFit="1"/>
      <protection hidden="1"/>
    </xf>
    <xf numFmtId="0" fontId="15" fillId="0" borderId="0" xfId="0" applyFont="1" applyFill="1" applyBorder="1" applyAlignment="1" applyProtection="1">
      <alignment vertical="center" shrinkToFit="1"/>
      <protection hidden="1"/>
    </xf>
    <xf numFmtId="177" fontId="8" fillId="0" borderId="0" xfId="0" applyNumberFormat="1" applyFont="1" applyFill="1" applyBorder="1" applyAlignment="1" applyProtection="1">
      <alignment horizontal="center" vertical="top" shrinkToFit="1"/>
      <protection hidden="1"/>
    </xf>
    <xf numFmtId="0" fontId="8" fillId="0" borderId="0" xfId="0" quotePrefix="1" applyFont="1" applyFill="1" applyBorder="1" applyAlignment="1" applyProtection="1">
      <alignment horizontal="center" vertical="top"/>
      <protection hidden="1"/>
    </xf>
    <xf numFmtId="0" fontId="16" fillId="3" borderId="109" xfId="0" applyFont="1" applyFill="1" applyBorder="1" applyAlignment="1" applyProtection="1">
      <alignment horizontal="center" vertical="center" textRotation="180" shrinkToFit="1"/>
      <protection hidden="1"/>
    </xf>
    <xf numFmtId="0" fontId="16" fillId="3" borderId="206" xfId="0" applyFont="1" applyFill="1" applyBorder="1" applyAlignment="1" applyProtection="1">
      <alignment horizontal="center" vertical="center" textRotation="180" shrinkToFit="1"/>
      <protection hidden="1"/>
    </xf>
    <xf numFmtId="186" fontId="8" fillId="0" borderId="3" xfId="0" applyNumberFormat="1" applyFont="1" applyFill="1" applyBorder="1" applyAlignment="1" applyProtection="1">
      <alignment horizontal="right" vertical="center" shrinkToFit="1"/>
      <protection hidden="1"/>
    </xf>
    <xf numFmtId="186" fontId="8" fillId="0" borderId="109" xfId="0" quotePrefix="1" applyNumberFormat="1" applyFont="1" applyFill="1" applyBorder="1" applyAlignment="1" applyProtection="1">
      <alignment horizontal="right" vertical="center" shrinkToFit="1"/>
      <protection hidden="1"/>
    </xf>
    <xf numFmtId="0" fontId="11" fillId="0" borderId="0" xfId="0" applyFont="1" applyFill="1" applyAlignment="1" applyProtection="1">
      <alignment horizontal="center" vertical="center"/>
      <protection hidden="1"/>
    </xf>
    <xf numFmtId="0" fontId="35" fillId="6" borderId="111" xfId="0" applyFont="1" applyFill="1" applyBorder="1" applyAlignment="1" applyProtection="1">
      <alignment horizontal="center" vertical="center"/>
      <protection hidden="1"/>
    </xf>
    <xf numFmtId="183" fontId="8" fillId="0" borderId="0" xfId="0" applyNumberFormat="1" applyFont="1" applyFill="1" applyAlignment="1" applyProtection="1">
      <alignment horizontal="left" vertical="center"/>
      <protection hidden="1"/>
    </xf>
    <xf numFmtId="181" fontId="8" fillId="0" borderId="111" xfId="0" applyNumberFormat="1" applyFont="1" applyFill="1" applyBorder="1" applyAlignment="1" applyProtection="1">
      <alignment horizontal="center" vertical="center" shrinkToFit="1"/>
      <protection hidden="1"/>
    </xf>
    <xf numFmtId="0" fontId="124" fillId="0" borderId="0" xfId="0" applyFont="1" applyFill="1" applyBorder="1" applyAlignment="1" applyProtection="1">
      <alignment horizontal="center" vertical="center" shrinkToFit="1"/>
      <protection hidden="1"/>
    </xf>
    <xf numFmtId="0" fontId="15" fillId="0" borderId="109" xfId="0" applyFont="1" applyFill="1" applyBorder="1" applyAlignment="1" applyProtection="1">
      <alignment vertical="center" shrinkToFit="1"/>
      <protection hidden="1"/>
    </xf>
    <xf numFmtId="176" fontId="125" fillId="0" borderId="0" xfId="0" applyNumberFormat="1" applyFont="1" applyFill="1" applyBorder="1" applyAlignment="1" applyProtection="1">
      <alignment horizontal="right" vertical="center" shrinkToFit="1"/>
      <protection hidden="1"/>
    </xf>
    <xf numFmtId="177" fontId="8" fillId="0" borderId="117" xfId="0" quotePrefix="1" applyNumberFormat="1" applyFont="1" applyFill="1" applyBorder="1" applyAlignment="1" applyProtection="1">
      <alignment vertical="center" shrinkToFit="1"/>
      <protection hidden="1"/>
    </xf>
    <xf numFmtId="186" fontId="8" fillId="0" borderId="117" xfId="0" applyNumberFormat="1" applyFont="1" applyFill="1" applyBorder="1" applyAlignment="1" applyProtection="1">
      <alignment horizontal="left" vertical="center"/>
      <protection hidden="1"/>
    </xf>
    <xf numFmtId="181" fontId="15" fillId="0" borderId="0" xfId="0" applyNumberFormat="1" applyFont="1" applyFill="1" applyBorder="1" applyAlignment="1" applyProtection="1">
      <alignment horizontal="center" shrinkToFit="1"/>
      <protection hidden="1"/>
    </xf>
    <xf numFmtId="181" fontId="8" fillId="0" borderId="0" xfId="0" applyNumberFormat="1" applyFont="1" applyFill="1" applyBorder="1" applyAlignment="1" applyProtection="1">
      <alignment horizontal="center" shrinkToFit="1"/>
      <protection hidden="1"/>
    </xf>
    <xf numFmtId="0" fontId="34" fillId="3" borderId="195" xfId="0" applyFont="1" applyFill="1" applyBorder="1" applyAlignment="1" applyProtection="1">
      <alignment horizontal="center" vertical="center" textRotation="180" shrinkToFit="1"/>
      <protection hidden="1"/>
    </xf>
    <xf numFmtId="0" fontId="258" fillId="16" borderId="111" xfId="0" applyFont="1" applyFill="1" applyBorder="1" applyAlignment="1" applyProtection="1">
      <alignment vertical="center" shrinkToFit="1"/>
      <protection hidden="1"/>
    </xf>
    <xf numFmtId="0" fontId="34" fillId="3" borderId="385" xfId="0" applyFont="1" applyFill="1" applyBorder="1" applyAlignment="1" applyProtection="1">
      <alignment horizontal="center" vertical="center" textRotation="180" shrinkToFit="1"/>
      <protection hidden="1"/>
    </xf>
    <xf numFmtId="0" fontId="2" fillId="0" borderId="0" xfId="0" applyFont="1" applyFill="1" applyAlignment="1" applyProtection="1">
      <alignment horizontal="center" vertical="center" shrinkToFit="1"/>
      <protection hidden="1"/>
    </xf>
    <xf numFmtId="0" fontId="2" fillId="15" borderId="112" xfId="0" applyFont="1" applyFill="1" applyBorder="1" applyAlignment="1" applyProtection="1">
      <alignment horizontal="center" vertical="center"/>
      <protection hidden="1"/>
    </xf>
    <xf numFmtId="0" fontId="2" fillId="15" borderId="114" xfId="0" applyFont="1" applyFill="1" applyBorder="1" applyAlignment="1" applyProtection="1">
      <alignment horizontal="center" vertical="center"/>
      <protection hidden="1"/>
    </xf>
    <xf numFmtId="0" fontId="2" fillId="15" borderId="111" xfId="0" applyFont="1" applyFill="1" applyBorder="1" applyAlignment="1" applyProtection="1">
      <alignment horizontal="center" vertical="center"/>
      <protection hidden="1"/>
    </xf>
    <xf numFmtId="179" fontId="259" fillId="15" borderId="0" xfId="0" applyNumberFormat="1" applyFont="1" applyFill="1" applyBorder="1" applyAlignment="1" applyProtection="1">
      <alignment vertical="center" shrinkToFit="1"/>
      <protection hidden="1"/>
    </xf>
    <xf numFmtId="186" fontId="15" fillId="15" borderId="157" xfId="0" applyNumberFormat="1" applyFont="1" applyFill="1" applyBorder="1" applyAlignment="1" applyProtection="1">
      <alignment vertical="center"/>
      <protection hidden="1"/>
    </xf>
    <xf numFmtId="0" fontId="119" fillId="0" borderId="0" xfId="0" applyFont="1" applyFill="1" applyAlignment="1" applyProtection="1">
      <alignment wrapText="1"/>
      <protection hidden="1"/>
    </xf>
    <xf numFmtId="179" fontId="259" fillId="15" borderId="0" xfId="0" applyNumberFormat="1" applyFont="1" applyFill="1" applyBorder="1" applyAlignment="1" applyProtection="1">
      <alignment vertical="top" shrinkToFit="1"/>
      <protection hidden="1"/>
    </xf>
    <xf numFmtId="186" fontId="15" fillId="15" borderId="0" xfId="0" applyNumberFormat="1" applyFont="1" applyFill="1" applyBorder="1" applyAlignment="1" applyProtection="1">
      <alignment vertical="center"/>
      <protection hidden="1"/>
    </xf>
    <xf numFmtId="179" fontId="259" fillId="15" borderId="171" xfId="0" applyNumberFormat="1" applyFont="1" applyFill="1" applyBorder="1" applyAlignment="1" applyProtection="1">
      <alignment vertical="top" shrinkToFit="1"/>
      <protection hidden="1"/>
    </xf>
    <xf numFmtId="0" fontId="35" fillId="15" borderId="172" xfId="0" applyFont="1" applyFill="1" applyBorder="1" applyAlignment="1" applyProtection="1">
      <alignment vertical="top"/>
      <protection hidden="1"/>
    </xf>
    <xf numFmtId="0" fontId="35" fillId="15" borderId="0" xfId="0" applyFont="1" applyFill="1" applyBorder="1" applyAlignment="1" applyProtection="1">
      <alignment vertical="top"/>
      <protection hidden="1"/>
    </xf>
    <xf numFmtId="0" fontId="2" fillId="15" borderId="319" xfId="0" applyFont="1" applyFill="1" applyBorder="1" applyAlignment="1" applyProtection="1">
      <alignment horizontal="center" vertical="center"/>
      <protection hidden="1"/>
    </xf>
    <xf numFmtId="179" fontId="259" fillId="15" borderId="87" xfId="0" applyNumberFormat="1" applyFont="1" applyFill="1" applyBorder="1" applyAlignment="1" applyProtection="1">
      <alignment vertical="top" shrinkToFit="1"/>
      <protection hidden="1"/>
    </xf>
    <xf numFmtId="179" fontId="259" fillId="15" borderId="87" xfId="0" applyNumberFormat="1" applyFont="1" applyFill="1" applyBorder="1" applyAlignment="1" applyProtection="1">
      <alignment vertical="center" shrinkToFit="1"/>
      <protection hidden="1"/>
    </xf>
    <xf numFmtId="186" fontId="15" fillId="15" borderId="87" xfId="0" applyNumberFormat="1" applyFont="1" applyFill="1" applyBorder="1" applyAlignment="1" applyProtection="1">
      <alignment vertical="center"/>
      <protection hidden="1"/>
    </xf>
    <xf numFmtId="179" fontId="259" fillId="15" borderId="173" xfId="0" applyNumberFormat="1" applyFont="1" applyFill="1" applyBorder="1" applyAlignment="1" applyProtection="1">
      <alignment vertical="top" shrinkToFit="1"/>
      <protection hidden="1"/>
    </xf>
    <xf numFmtId="0" fontId="35" fillId="15" borderId="174" xfId="0" applyFont="1" applyFill="1" applyBorder="1" applyAlignment="1" applyProtection="1">
      <alignment vertical="top"/>
      <protection hidden="1"/>
    </xf>
    <xf numFmtId="0" fontId="35" fillId="15" borderId="87" xfId="0" applyFont="1" applyFill="1" applyBorder="1" applyAlignment="1" applyProtection="1">
      <alignment vertical="top"/>
      <protection hidden="1"/>
    </xf>
    <xf numFmtId="0" fontId="9" fillId="3" borderId="92" xfId="0" applyFont="1" applyFill="1" applyBorder="1" applyAlignment="1" applyProtection="1">
      <alignment horizontal="center" vertical="center"/>
      <protection hidden="1"/>
    </xf>
    <xf numFmtId="0" fontId="17" fillId="3" borderId="92" xfId="0" applyFont="1" applyFill="1" applyBorder="1" applyAlignment="1" applyProtection="1">
      <alignment horizontal="center" vertical="center" textRotation="180" shrinkToFit="1"/>
      <protection hidden="1"/>
    </xf>
    <xf numFmtId="0" fontId="261" fillId="3" borderId="92" xfId="0" applyFont="1" applyFill="1" applyBorder="1" applyAlignment="1" applyProtection="1">
      <alignment horizontal="center" vertical="center"/>
      <protection hidden="1"/>
    </xf>
    <xf numFmtId="0" fontId="261" fillId="3" borderId="387" xfId="0" applyFont="1" applyFill="1" applyBorder="1" applyAlignment="1" applyProtection="1">
      <alignment horizontal="center" vertical="center"/>
      <protection hidden="1"/>
    </xf>
    <xf numFmtId="0" fontId="261" fillId="3" borderId="192" xfId="0" applyFont="1" applyFill="1" applyBorder="1" applyAlignment="1" applyProtection="1">
      <alignment horizontal="center" vertical="center"/>
      <protection hidden="1"/>
    </xf>
    <xf numFmtId="0" fontId="2" fillId="3" borderId="388" xfId="0" applyFont="1" applyFill="1" applyBorder="1" applyAlignment="1" applyProtection="1">
      <alignment horizontal="center" vertical="center"/>
      <protection hidden="1"/>
    </xf>
    <xf numFmtId="0" fontId="15" fillId="0" borderId="0" xfId="0" applyFont="1" applyFill="1" applyAlignment="1" applyProtection="1">
      <alignment vertical="center"/>
      <protection hidden="1"/>
    </xf>
    <xf numFmtId="0" fontId="34" fillId="3" borderId="389" xfId="0" applyFont="1" applyFill="1" applyBorder="1" applyAlignment="1" applyProtection="1">
      <alignment horizontal="center" vertical="center" textRotation="180" shrinkToFit="1"/>
      <protection hidden="1"/>
    </xf>
    <xf numFmtId="0" fontId="261" fillId="6" borderId="222" xfId="0" applyFont="1" applyFill="1" applyBorder="1" applyAlignment="1" applyProtection="1">
      <alignment horizontal="center" vertical="center"/>
      <protection hidden="1"/>
    </xf>
    <xf numFmtId="0" fontId="261" fillId="6" borderId="146" xfId="0" applyFont="1" applyFill="1" applyBorder="1" applyAlignment="1" applyProtection="1">
      <alignment horizontal="center" vertical="center"/>
      <protection hidden="1"/>
    </xf>
    <xf numFmtId="0" fontId="261" fillId="6" borderId="391" xfId="0" applyFont="1" applyFill="1" applyBorder="1" applyAlignment="1" applyProtection="1">
      <alignment horizontal="center" vertical="center"/>
      <protection hidden="1"/>
    </xf>
    <xf numFmtId="0" fontId="261" fillId="22" borderId="392" xfId="0" applyFont="1" applyFill="1" applyBorder="1" applyAlignment="1" applyProtection="1">
      <alignment horizontal="center" vertical="center"/>
      <protection hidden="1"/>
    </xf>
    <xf numFmtId="0" fontId="261" fillId="22" borderId="146" xfId="0" applyFont="1" applyFill="1" applyBorder="1" applyAlignment="1" applyProtection="1">
      <alignment horizontal="center" vertical="center"/>
      <protection hidden="1"/>
    </xf>
    <xf numFmtId="0" fontId="261" fillId="22" borderId="147" xfId="0" applyFont="1" applyFill="1" applyBorder="1" applyAlignment="1" applyProtection="1">
      <alignment horizontal="center" vertical="center"/>
      <protection hidden="1"/>
    </xf>
    <xf numFmtId="0" fontId="34" fillId="3" borderId="109" xfId="0" applyFont="1" applyFill="1" applyBorder="1" applyAlignment="1" applyProtection="1">
      <alignment horizontal="center" vertical="center" textRotation="180" shrinkToFit="1"/>
      <protection hidden="1"/>
    </xf>
    <xf numFmtId="0" fontId="14" fillId="12" borderId="0" xfId="0" applyFont="1" applyFill="1" applyBorder="1" applyAlignment="1" applyProtection="1">
      <alignment horizontal="right" vertical="center"/>
      <protection hidden="1"/>
    </xf>
    <xf numFmtId="0" fontId="18" fillId="21" borderId="0" xfId="0" applyFont="1" applyFill="1" applyBorder="1" applyAlignment="1" applyProtection="1">
      <alignment vertical="center" shrinkToFit="1"/>
      <protection hidden="1"/>
    </xf>
    <xf numFmtId="0" fontId="18" fillId="21" borderId="1" xfId="0" applyFont="1" applyFill="1" applyBorder="1" applyAlignment="1" applyProtection="1">
      <alignment vertical="center" shrinkToFit="1"/>
      <protection hidden="1"/>
    </xf>
    <xf numFmtId="0" fontId="26" fillId="12" borderId="0" xfId="0" applyFont="1" applyFill="1" applyBorder="1" applyAlignment="1" applyProtection="1">
      <alignment vertical="center"/>
      <protection hidden="1"/>
    </xf>
    <xf numFmtId="176" fontId="8" fillId="0" borderId="0" xfId="0" applyNumberFormat="1" applyFont="1" applyFill="1" applyAlignment="1" applyProtection="1">
      <alignment vertical="center" shrinkToFit="1"/>
      <protection hidden="1"/>
    </xf>
    <xf numFmtId="0" fontId="261" fillId="6" borderId="396" xfId="0" applyFont="1" applyFill="1" applyBorder="1" applyAlignment="1" applyProtection="1">
      <alignment horizontal="center" vertical="center"/>
      <protection hidden="1"/>
    </xf>
    <xf numFmtId="0" fontId="261" fillId="6" borderId="6" xfId="0" applyFont="1" applyFill="1" applyBorder="1" applyAlignment="1" applyProtection="1">
      <alignment horizontal="center" vertical="center"/>
      <protection hidden="1"/>
    </xf>
    <xf numFmtId="0" fontId="261" fillId="6" borderId="397" xfId="0" applyFont="1" applyFill="1" applyBorder="1" applyAlignment="1" applyProtection="1">
      <alignment horizontal="center" vertical="center"/>
      <protection hidden="1"/>
    </xf>
    <xf numFmtId="0" fontId="261" fillId="22" borderId="398" xfId="0" applyFont="1" applyFill="1" applyBorder="1" applyAlignment="1" applyProtection="1">
      <alignment horizontal="center" vertical="center"/>
      <protection hidden="1"/>
    </xf>
    <xf numFmtId="0" fontId="261" fillId="22" borderId="6" xfId="0" applyFont="1" applyFill="1" applyBorder="1" applyAlignment="1" applyProtection="1">
      <alignment horizontal="center" vertical="center"/>
      <protection hidden="1"/>
    </xf>
    <xf numFmtId="0" fontId="261" fillId="22" borderId="399" xfId="0" applyFont="1" applyFill="1" applyBorder="1" applyAlignment="1" applyProtection="1">
      <alignment horizontal="center" vertical="center"/>
      <protection hidden="1"/>
    </xf>
    <xf numFmtId="0" fontId="2" fillId="21" borderId="113" xfId="0" applyFont="1" applyFill="1" applyBorder="1" applyAlignment="1" applyProtection="1">
      <alignment vertical="center"/>
      <protection hidden="1"/>
    </xf>
    <xf numFmtId="0" fontId="2" fillId="21" borderId="319" xfId="0" applyFont="1" applyFill="1" applyBorder="1" applyAlignment="1" applyProtection="1">
      <alignment vertical="center"/>
      <protection hidden="1"/>
    </xf>
    <xf numFmtId="0" fontId="261" fillId="6" borderId="401" xfId="0" applyFont="1" applyFill="1" applyBorder="1" applyAlignment="1" applyProtection="1">
      <alignment horizontal="center" vertical="center"/>
      <protection hidden="1"/>
    </xf>
    <xf numFmtId="0" fontId="261" fillId="6" borderId="402" xfId="0" applyFont="1" applyFill="1" applyBorder="1" applyAlignment="1" applyProtection="1">
      <alignment horizontal="center" vertical="center"/>
      <protection hidden="1"/>
    </xf>
    <xf numFmtId="0" fontId="261" fillId="6" borderId="403" xfId="0" applyFont="1" applyFill="1" applyBorder="1" applyAlignment="1" applyProtection="1">
      <alignment horizontal="center" vertical="center"/>
      <protection hidden="1"/>
    </xf>
    <xf numFmtId="0" fontId="261" fillId="6" borderId="404" xfId="0" applyFont="1" applyFill="1" applyBorder="1" applyAlignment="1" applyProtection="1">
      <alignment horizontal="center" vertical="center"/>
      <protection hidden="1"/>
    </xf>
    <xf numFmtId="0" fontId="261" fillId="6" borderId="405" xfId="0" applyFont="1" applyFill="1" applyBorder="1" applyAlignment="1" applyProtection="1">
      <alignment horizontal="center" vertical="center"/>
      <protection hidden="1"/>
    </xf>
    <xf numFmtId="0" fontId="261" fillId="6" borderId="406" xfId="0" applyFont="1" applyFill="1" applyBorder="1" applyAlignment="1" applyProtection="1">
      <alignment horizontal="center" vertical="center"/>
      <protection hidden="1"/>
    </xf>
    <xf numFmtId="0" fontId="261" fillId="6" borderId="184" xfId="0" applyFont="1" applyFill="1" applyBorder="1" applyAlignment="1" applyProtection="1">
      <alignment horizontal="center" vertical="center"/>
      <protection hidden="1"/>
    </xf>
    <xf numFmtId="0" fontId="2" fillId="21" borderId="1" xfId="0" applyFont="1" applyFill="1" applyBorder="1" applyAlignment="1" applyProtection="1">
      <alignment vertical="center"/>
      <protection hidden="1"/>
    </xf>
    <xf numFmtId="0" fontId="8" fillId="0" borderId="0" xfId="0" applyFont="1" applyFill="1" applyAlignment="1" applyProtection="1">
      <alignment horizontal="center" vertical="top"/>
      <protection hidden="1"/>
    </xf>
    <xf numFmtId="0" fontId="37" fillId="3" borderId="71" xfId="0" applyFont="1" applyFill="1" applyBorder="1" applyAlignment="1" applyProtection="1">
      <alignment vertical="top"/>
      <protection hidden="1"/>
    </xf>
    <xf numFmtId="0" fontId="261" fillId="6" borderId="185" xfId="0" applyFont="1" applyFill="1" applyBorder="1" applyAlignment="1" applyProtection="1">
      <alignment horizontal="center" vertical="center"/>
      <protection hidden="1"/>
    </xf>
    <xf numFmtId="0" fontId="261" fillId="6" borderId="132" xfId="0" applyFont="1" applyFill="1" applyBorder="1" applyAlignment="1" applyProtection="1">
      <alignment horizontal="center" vertical="center"/>
      <protection hidden="1"/>
    </xf>
    <xf numFmtId="0" fontId="261" fillId="6" borderId="186" xfId="0" applyFont="1" applyFill="1" applyBorder="1" applyAlignment="1" applyProtection="1">
      <alignment horizontal="center" vertical="center"/>
      <protection hidden="1"/>
    </xf>
    <xf numFmtId="0" fontId="261" fillId="6" borderId="187" xfId="0" applyFont="1" applyFill="1" applyBorder="1" applyAlignment="1" applyProtection="1">
      <alignment horizontal="center" vertical="center"/>
      <protection hidden="1"/>
    </xf>
    <xf numFmtId="0" fontId="261" fillId="6" borderId="188" xfId="0" applyFont="1" applyFill="1" applyBorder="1" applyAlignment="1" applyProtection="1">
      <alignment horizontal="center" vertical="center"/>
      <protection hidden="1"/>
    </xf>
    <xf numFmtId="0" fontId="261" fillId="6" borderId="189" xfId="0" applyFont="1" applyFill="1" applyBorder="1" applyAlignment="1" applyProtection="1">
      <alignment horizontal="center" vertical="center"/>
      <protection hidden="1"/>
    </xf>
    <xf numFmtId="182" fontId="36" fillId="12" borderId="116" xfId="0" applyNumberFormat="1" applyFont="1" applyFill="1" applyBorder="1" applyAlignment="1" applyProtection="1">
      <alignment vertical="center" shrinkToFit="1"/>
      <protection hidden="1"/>
    </xf>
    <xf numFmtId="182" fontId="207" fillId="12" borderId="116" xfId="0" applyNumberFormat="1" applyFont="1" applyFill="1" applyBorder="1" applyAlignment="1" applyProtection="1">
      <alignment vertical="center" shrinkToFit="1"/>
      <protection hidden="1"/>
    </xf>
    <xf numFmtId="182" fontId="36" fillId="12" borderId="0" xfId="0" applyNumberFormat="1" applyFont="1" applyFill="1" applyBorder="1" applyAlignment="1" applyProtection="1">
      <alignment vertical="center" shrinkToFit="1"/>
      <protection hidden="1"/>
    </xf>
    <xf numFmtId="0" fontId="15" fillId="0" borderId="0" xfId="0" applyFont="1" applyFill="1" applyAlignment="1" applyProtection="1">
      <alignment horizontal="left" vertical="top"/>
      <protection hidden="1"/>
    </xf>
    <xf numFmtId="0" fontId="37" fillId="3" borderId="0" xfId="0" applyFont="1" applyFill="1" applyBorder="1" applyAlignment="1" applyProtection="1">
      <alignment vertical="top"/>
      <protection hidden="1"/>
    </xf>
    <xf numFmtId="0" fontId="37" fillId="3" borderId="0" xfId="0" applyFont="1" applyFill="1" applyBorder="1" applyAlignment="1" applyProtection="1">
      <alignment horizontal="center" vertical="center"/>
      <protection hidden="1"/>
    </xf>
    <xf numFmtId="0" fontId="2" fillId="3" borderId="408" xfId="0" applyFont="1" applyFill="1" applyBorder="1" applyAlignment="1" applyProtection="1">
      <alignment horizontal="center" vertical="center"/>
      <protection hidden="1"/>
    </xf>
    <xf numFmtId="0" fontId="2" fillId="3" borderId="172" xfId="0" applyFont="1" applyFill="1" applyBorder="1" applyAlignment="1" applyProtection="1">
      <alignment horizontal="center" vertical="center"/>
      <protection hidden="1"/>
    </xf>
    <xf numFmtId="0" fontId="14" fillId="12" borderId="0" xfId="0" applyFont="1" applyFill="1" applyBorder="1" applyAlignment="1" applyProtection="1">
      <alignment vertical="center" shrinkToFit="1"/>
      <protection hidden="1"/>
    </xf>
    <xf numFmtId="0" fontId="14" fillId="12" borderId="161" xfId="0" applyFont="1" applyFill="1" applyBorder="1" applyAlignment="1" applyProtection="1">
      <alignment horizontal="right" vertical="center"/>
      <protection hidden="1"/>
    </xf>
    <xf numFmtId="0" fontId="14" fillId="12" borderId="0" xfId="0" applyFont="1" applyFill="1" applyBorder="1" applyAlignment="1" applyProtection="1">
      <alignment vertical="center"/>
      <protection hidden="1"/>
    </xf>
    <xf numFmtId="0" fontId="34" fillId="3" borderId="199" xfId="0" applyFont="1" applyFill="1" applyBorder="1" applyAlignment="1" applyProtection="1">
      <alignment horizontal="center" vertical="center" textRotation="180" shrinkToFit="1"/>
      <protection hidden="1"/>
    </xf>
    <xf numFmtId="0" fontId="26" fillId="12" borderId="319" xfId="0" applyFont="1" applyFill="1" applyBorder="1" applyAlignment="1" applyProtection="1">
      <alignment vertical="center"/>
      <protection hidden="1"/>
    </xf>
    <xf numFmtId="0" fontId="2" fillId="3" borderId="409" xfId="0" applyFont="1" applyFill="1" applyBorder="1" applyAlignment="1" applyProtection="1">
      <alignment horizontal="center" vertical="center"/>
      <protection hidden="1"/>
    </xf>
    <xf numFmtId="0" fontId="15" fillId="0" borderId="0" xfId="0" quotePrefix="1" applyFont="1" applyFill="1" applyBorder="1" applyAlignment="1" applyProtection="1">
      <alignment horizontal="center" vertical="center"/>
      <protection hidden="1"/>
    </xf>
    <xf numFmtId="0" fontId="2" fillId="3" borderId="410" xfId="0" applyFont="1" applyFill="1" applyBorder="1" applyAlignment="1" applyProtection="1">
      <alignment horizontal="center" vertical="center"/>
      <protection hidden="1"/>
    </xf>
    <xf numFmtId="0" fontId="34" fillId="3" borderId="155" xfId="0" applyFont="1" applyFill="1" applyBorder="1" applyAlignment="1" applyProtection="1">
      <alignment horizontal="center" vertical="center" textRotation="180" shrinkToFit="1"/>
      <protection hidden="1"/>
    </xf>
    <xf numFmtId="0" fontId="264" fillId="21" borderId="0" xfId="0" applyFont="1" applyFill="1" applyBorder="1" applyAlignment="1" applyProtection="1">
      <alignment vertical="center"/>
      <protection hidden="1"/>
    </xf>
    <xf numFmtId="0" fontId="33" fillId="0" borderId="0" xfId="0" applyFont="1" applyFill="1" applyAlignment="1" applyProtection="1">
      <alignment horizontal="left" vertical="top"/>
      <protection hidden="1"/>
    </xf>
    <xf numFmtId="0" fontId="21" fillId="3" borderId="191" xfId="0" applyFont="1" applyFill="1" applyBorder="1" applyAlignment="1" applyProtection="1">
      <alignment vertical="center"/>
      <protection hidden="1"/>
    </xf>
    <xf numFmtId="0" fontId="14" fillId="21" borderId="0" xfId="0" applyFont="1" applyFill="1" applyBorder="1" applyAlignment="1" applyProtection="1">
      <protection hidden="1"/>
    </xf>
    <xf numFmtId="0" fontId="4" fillId="21" borderId="0" xfId="0" applyFont="1" applyFill="1" applyBorder="1" applyAlignment="1" applyProtection="1">
      <alignment vertical="center"/>
      <protection hidden="1"/>
    </xf>
    <xf numFmtId="0" fontId="4" fillId="21" borderId="45" xfId="0" applyFont="1" applyFill="1" applyBorder="1" applyAlignment="1" applyProtection="1">
      <alignment vertical="center"/>
      <protection hidden="1"/>
    </xf>
    <xf numFmtId="0" fontId="14" fillId="21" borderId="160" xfId="0" applyFont="1" applyFill="1" applyBorder="1" applyAlignment="1" applyProtection="1">
      <protection hidden="1"/>
    </xf>
    <xf numFmtId="0" fontId="14" fillId="12" borderId="45" xfId="0" applyFont="1" applyFill="1" applyBorder="1" applyAlignment="1" applyProtection="1">
      <alignment shrinkToFit="1"/>
      <protection hidden="1"/>
    </xf>
    <xf numFmtId="0" fontId="14" fillId="21" borderId="45" xfId="0" applyFont="1" applyFill="1" applyBorder="1" applyAlignment="1" applyProtection="1">
      <protection hidden="1"/>
    </xf>
    <xf numFmtId="0" fontId="14" fillId="12" borderId="45" xfId="0" applyFont="1" applyFill="1" applyBorder="1" applyAlignment="1" applyProtection="1">
      <alignment horizontal="right"/>
      <protection hidden="1"/>
    </xf>
    <xf numFmtId="0" fontId="4" fillId="21" borderId="45" xfId="0" applyFont="1" applyFill="1" applyBorder="1" applyAlignment="1" applyProtection="1">
      <alignment horizontal="center" vertical="center"/>
      <protection hidden="1"/>
    </xf>
    <xf numFmtId="0" fontId="2" fillId="21" borderId="45" xfId="0" applyFont="1" applyFill="1" applyBorder="1" applyAlignment="1" applyProtection="1">
      <alignment horizontal="center" vertical="center"/>
      <protection hidden="1"/>
    </xf>
    <xf numFmtId="0" fontId="33" fillId="21" borderId="45" xfId="0" applyFont="1" applyFill="1" applyBorder="1" applyAlignment="1" applyProtection="1">
      <alignment horizontal="center" vertical="center"/>
      <protection hidden="1"/>
    </xf>
    <xf numFmtId="0" fontId="26" fillId="21" borderId="412" xfId="0" applyFont="1" applyFill="1" applyBorder="1" applyAlignment="1" applyProtection="1">
      <alignment vertical="center"/>
      <protection hidden="1"/>
    </xf>
    <xf numFmtId="0" fontId="266" fillId="15" borderId="92" xfId="0" applyFont="1" applyFill="1" applyBorder="1" applyAlignment="1" applyProtection="1">
      <alignment vertical="center" shrinkToFit="1"/>
      <protection hidden="1"/>
    </xf>
    <xf numFmtId="0" fontId="2" fillId="15" borderId="157" xfId="0" applyFont="1" applyFill="1" applyBorder="1" applyAlignment="1" applyProtection="1">
      <alignment vertical="center" shrinkToFit="1"/>
      <protection hidden="1"/>
    </xf>
    <xf numFmtId="0" fontId="266" fillId="15" borderId="0" xfId="0" applyFont="1" applyFill="1" applyBorder="1" applyAlignment="1" applyProtection="1">
      <alignment vertical="center" shrinkToFit="1"/>
      <protection hidden="1"/>
    </xf>
    <xf numFmtId="0" fontId="266" fillId="15" borderId="116" xfId="0" applyFont="1" applyFill="1" applyBorder="1" applyAlignment="1" applyProtection="1">
      <alignment vertical="center" shrinkToFit="1"/>
      <protection hidden="1"/>
    </xf>
    <xf numFmtId="0" fontId="2" fillId="15" borderId="116" xfId="0" applyFont="1" applyFill="1" applyBorder="1" applyAlignment="1" applyProtection="1">
      <alignment vertical="center" shrinkToFit="1"/>
      <protection hidden="1"/>
    </xf>
    <xf numFmtId="187" fontId="9" fillId="3" borderId="0" xfId="0" applyNumberFormat="1" applyFont="1" applyFill="1" applyBorder="1" applyAlignment="1" applyProtection="1">
      <alignment horizontal="right" vertical="center" shrinkToFit="1"/>
      <protection hidden="1"/>
    </xf>
    <xf numFmtId="184" fontId="9" fillId="3" borderId="0" xfId="0" applyNumberFormat="1" applyFont="1" applyFill="1" applyBorder="1" applyAlignment="1" applyProtection="1">
      <alignment horizontal="center" vertical="center" shrinkToFit="1"/>
      <protection hidden="1"/>
    </xf>
    <xf numFmtId="182" fontId="9" fillId="3" borderId="0" xfId="0" applyNumberFormat="1" applyFont="1" applyFill="1" applyBorder="1" applyAlignment="1" applyProtection="1">
      <alignment horizontal="right" vertical="center"/>
      <protection hidden="1"/>
    </xf>
    <xf numFmtId="182" fontId="9" fillId="3" borderId="0" xfId="0" applyNumberFormat="1" applyFont="1" applyFill="1" applyBorder="1" applyAlignment="1" applyProtection="1">
      <alignment horizontal="right" vertical="center" shrinkToFit="1"/>
      <protection hidden="1"/>
    </xf>
    <xf numFmtId="0" fontId="9"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right" vertical="center" shrinkToFit="1"/>
      <protection hidden="1"/>
    </xf>
    <xf numFmtId="178" fontId="2" fillId="0" borderId="0" xfId="0" applyNumberFormat="1" applyFont="1" applyFill="1" applyAlignment="1" applyProtection="1">
      <alignment horizontal="center" vertical="center" shrinkToFit="1"/>
      <protection hidden="1"/>
    </xf>
    <xf numFmtId="0" fontId="29" fillId="3" borderId="109" xfId="0" applyFont="1" applyFill="1" applyBorder="1" applyAlignment="1" applyProtection="1">
      <alignment horizontal="center" vertical="center" textRotation="180" shrinkToFit="1"/>
      <protection hidden="1"/>
    </xf>
    <xf numFmtId="0" fontId="29" fillId="15" borderId="0" xfId="0" applyFont="1" applyFill="1" applyBorder="1" applyAlignment="1" applyProtection="1">
      <alignment vertical="center" shrinkToFit="1"/>
      <protection hidden="1"/>
    </xf>
    <xf numFmtId="0" fontId="33" fillId="15" borderId="203" xfId="0" applyFont="1" applyFill="1" applyBorder="1" applyAlignment="1" applyProtection="1">
      <alignment vertical="center"/>
      <protection hidden="1"/>
    </xf>
    <xf numFmtId="176" fontId="15" fillId="0" borderId="178" xfId="0" applyNumberFormat="1" applyFont="1" applyFill="1" applyBorder="1" applyAlignment="1" applyProtection="1">
      <alignment horizontal="left" vertical="center" shrinkToFit="1"/>
      <protection hidden="1"/>
    </xf>
    <xf numFmtId="176" fontId="8" fillId="0" borderId="82" xfId="0" applyNumberFormat="1" applyFont="1" applyFill="1" applyBorder="1" applyAlignment="1" applyProtection="1">
      <alignment horizontal="center" vertical="center" shrinkToFit="1"/>
      <protection hidden="1"/>
    </xf>
    <xf numFmtId="176" fontId="15" fillId="0" borderId="0" xfId="0" applyNumberFormat="1" applyFont="1" applyFill="1" applyBorder="1" applyAlignment="1" applyProtection="1">
      <alignment horizontal="right" vertical="center"/>
      <protection hidden="1"/>
    </xf>
    <xf numFmtId="176" fontId="15" fillId="0" borderId="0" xfId="0" applyNumberFormat="1" applyFont="1" applyFill="1" applyAlignment="1" applyProtection="1">
      <alignment horizontal="right" vertical="center"/>
      <protection hidden="1"/>
    </xf>
    <xf numFmtId="0" fontId="29" fillId="3" borderId="195" xfId="0" applyFont="1" applyFill="1" applyBorder="1" applyAlignment="1" applyProtection="1">
      <alignment horizontal="center" vertical="center" textRotation="180" shrinkToFit="1"/>
      <protection hidden="1"/>
    </xf>
    <xf numFmtId="176" fontId="29" fillId="3" borderId="195" xfId="0" applyNumberFormat="1" applyFont="1" applyFill="1" applyBorder="1" applyAlignment="1" applyProtection="1">
      <alignment horizontal="center" vertical="center" textRotation="180" shrinkToFit="1"/>
      <protection hidden="1"/>
    </xf>
    <xf numFmtId="176" fontId="15" fillId="0" borderId="0" xfId="0" applyNumberFormat="1" applyFont="1" applyFill="1" applyBorder="1" applyAlignment="1" applyProtection="1">
      <alignment horizontal="left" vertical="center" shrinkToFit="1"/>
      <protection hidden="1"/>
    </xf>
    <xf numFmtId="176" fontId="8" fillId="0" borderId="202" xfId="0" applyNumberFormat="1" applyFont="1" applyFill="1" applyBorder="1" applyAlignment="1" applyProtection="1">
      <alignment horizontal="center" vertical="center" shrinkToFit="1"/>
      <protection hidden="1"/>
    </xf>
    <xf numFmtId="176" fontId="8" fillId="0" borderId="413" xfId="0" applyNumberFormat="1" applyFont="1" applyFill="1" applyBorder="1" applyAlignment="1" applyProtection="1">
      <alignment horizontal="center" vertical="center" shrinkToFit="1"/>
      <protection hidden="1"/>
    </xf>
    <xf numFmtId="0" fontId="267" fillId="0" borderId="109" xfId="0" applyFont="1" applyFill="1" applyBorder="1" applyAlignment="1" applyProtection="1">
      <alignment horizontal="center" vertical="center"/>
      <protection hidden="1"/>
    </xf>
    <xf numFmtId="0" fontId="15" fillId="0" borderId="109" xfId="0" applyFont="1" applyFill="1" applyBorder="1" applyAlignment="1" applyProtection="1">
      <alignment horizontal="center" vertical="center" shrinkToFit="1"/>
      <protection hidden="1"/>
    </xf>
    <xf numFmtId="177" fontId="8" fillId="0" borderId="3" xfId="0" quotePrefix="1" applyNumberFormat="1" applyFont="1" applyFill="1" applyBorder="1" applyAlignment="1" applyProtection="1">
      <alignment horizontal="right" vertical="center" shrinkToFit="1"/>
      <protection hidden="1"/>
    </xf>
    <xf numFmtId="0" fontId="268" fillId="16" borderId="0" xfId="0" applyFont="1" applyFill="1" applyAlignment="1" applyProtection="1">
      <alignment horizontal="center" vertical="center" shrinkToFit="1"/>
      <protection hidden="1"/>
    </xf>
    <xf numFmtId="176" fontId="15" fillId="0" borderId="116" xfId="0" applyNumberFormat="1" applyFont="1" applyFill="1" applyBorder="1" applyAlignment="1" applyProtection="1">
      <alignment horizontal="center" vertical="center"/>
      <protection hidden="1"/>
    </xf>
    <xf numFmtId="0" fontId="269" fillId="0" borderId="109" xfId="0" applyFont="1" applyFill="1" applyBorder="1" applyAlignment="1" applyProtection="1">
      <alignment horizontal="center" vertical="center"/>
      <protection hidden="1"/>
    </xf>
    <xf numFmtId="176" fontId="15" fillId="0" borderId="0" xfId="0" applyNumberFormat="1" applyFont="1" applyFill="1" applyAlignment="1" applyProtection="1">
      <alignment horizontal="center" vertical="center"/>
      <protection hidden="1"/>
    </xf>
    <xf numFmtId="176" fontId="15" fillId="0" borderId="109" xfId="0" quotePrefix="1" applyNumberFormat="1" applyFont="1" applyFill="1" applyBorder="1" applyAlignment="1" applyProtection="1">
      <alignment horizontal="right" vertical="center" shrinkToFit="1"/>
      <protection hidden="1"/>
    </xf>
    <xf numFmtId="0" fontId="8" fillId="0" borderId="114" xfId="0" applyFont="1" applyFill="1" applyBorder="1" applyAlignment="1" applyProtection="1">
      <alignment horizontal="center" shrinkToFit="1"/>
      <protection hidden="1"/>
    </xf>
    <xf numFmtId="176" fontId="8" fillId="0" borderId="82" xfId="0" applyNumberFormat="1" applyFont="1" applyFill="1" applyBorder="1" applyAlignment="1" applyProtection="1">
      <alignment horizontal="right" vertical="center" shrinkToFit="1"/>
      <protection hidden="1"/>
    </xf>
    <xf numFmtId="0" fontId="8" fillId="0" borderId="109" xfId="0" applyNumberFormat="1" applyFont="1" applyFill="1" applyBorder="1" applyAlignment="1" applyProtection="1">
      <alignment horizontal="center" vertical="center"/>
      <protection hidden="1"/>
    </xf>
    <xf numFmtId="0" fontId="270" fillId="0" borderId="0" xfId="0" applyFont="1" applyFill="1" applyBorder="1" applyAlignment="1" applyProtection="1">
      <alignment horizontal="center"/>
      <protection hidden="1"/>
    </xf>
    <xf numFmtId="0" fontId="270" fillId="0" borderId="0" xfId="0" applyFont="1" applyFill="1" applyAlignment="1" applyProtection="1">
      <alignment horizontal="center"/>
      <protection hidden="1"/>
    </xf>
    <xf numFmtId="176" fontId="270" fillId="0" borderId="109" xfId="0" applyNumberFormat="1" applyFont="1" applyFill="1" applyBorder="1" applyAlignment="1" applyProtection="1">
      <alignment horizontal="right"/>
      <protection hidden="1"/>
    </xf>
    <xf numFmtId="0" fontId="15" fillId="0" borderId="0" xfId="0" applyFont="1" applyFill="1" applyAlignment="1" applyProtection="1">
      <alignment horizontal="center" vertical="center" shrinkToFit="1"/>
      <protection hidden="1"/>
    </xf>
    <xf numFmtId="0" fontId="15" fillId="0" borderId="2" xfId="0" applyFont="1" applyFill="1" applyBorder="1" applyAlignment="1" applyProtection="1">
      <alignment vertical="center"/>
      <protection hidden="1"/>
    </xf>
    <xf numFmtId="0" fontId="2" fillId="16" borderId="0" xfId="0" applyFont="1" applyFill="1" applyBorder="1" applyAlignment="1" applyProtection="1">
      <alignment horizontal="center" vertical="center"/>
      <protection hidden="1"/>
    </xf>
    <xf numFmtId="0" fontId="8" fillId="16" borderId="0" xfId="0" applyFont="1" applyFill="1" applyAlignment="1" applyProtection="1">
      <alignment vertical="center"/>
      <protection hidden="1"/>
    </xf>
    <xf numFmtId="0" fontId="2" fillId="16" borderId="0" xfId="0" applyFont="1" applyFill="1" applyAlignment="1" applyProtection="1">
      <alignment horizontal="center" vertical="center"/>
      <protection hidden="1"/>
    </xf>
    <xf numFmtId="176" fontId="9" fillId="16" borderId="0" xfId="0" applyNumberFormat="1" applyFont="1" applyFill="1" applyBorder="1" applyAlignment="1" applyProtection="1">
      <alignment horizontal="center" vertical="center" shrinkToFit="1"/>
      <protection hidden="1"/>
    </xf>
    <xf numFmtId="0" fontId="15" fillId="16" borderId="0" xfId="0" applyFont="1" applyFill="1" applyAlignment="1" applyProtection="1">
      <alignment horizontal="left" vertical="center"/>
      <protection hidden="1"/>
    </xf>
    <xf numFmtId="0" fontId="15" fillId="16" borderId="0" xfId="0" applyFont="1" applyFill="1" applyBorder="1" applyAlignment="1" applyProtection="1">
      <alignment horizontal="center" vertical="center"/>
      <protection hidden="1"/>
    </xf>
    <xf numFmtId="0" fontId="204" fillId="21" borderId="362" xfId="0" applyFont="1" applyFill="1" applyBorder="1" applyAlignment="1" applyProtection="1">
      <alignment vertical="center"/>
      <protection hidden="1"/>
    </xf>
    <xf numFmtId="0" fontId="15" fillId="16" borderId="109" xfId="0" applyFont="1" applyFill="1" applyBorder="1" applyAlignment="1" applyProtection="1">
      <alignment horizontal="center" vertical="center"/>
      <protection hidden="1"/>
    </xf>
    <xf numFmtId="0" fontId="204" fillId="21" borderId="418" xfId="0" applyFont="1" applyFill="1" applyBorder="1" applyAlignment="1" applyProtection="1">
      <alignment horizontal="center" vertical="center"/>
      <protection hidden="1"/>
    </xf>
    <xf numFmtId="0" fontId="204" fillId="21" borderId="293" xfId="0" applyFont="1" applyFill="1" applyBorder="1" applyAlignment="1" applyProtection="1">
      <alignment horizontal="center" vertical="center"/>
      <protection hidden="1"/>
    </xf>
    <xf numFmtId="0" fontId="204" fillId="21" borderId="369" xfId="0" applyFont="1" applyFill="1" applyBorder="1" applyAlignment="1" applyProtection="1">
      <alignment horizontal="center" vertical="center"/>
      <protection hidden="1"/>
    </xf>
    <xf numFmtId="0" fontId="204" fillId="21" borderId="369" xfId="0" applyFont="1" applyFill="1" applyBorder="1" applyAlignment="1" applyProtection="1">
      <alignment vertical="center"/>
      <protection hidden="1"/>
    </xf>
    <xf numFmtId="0" fontId="204" fillId="21" borderId="373" xfId="0" applyFont="1" applyFill="1" applyBorder="1" applyAlignment="1" applyProtection="1">
      <alignment vertical="center"/>
      <protection hidden="1"/>
    </xf>
    <xf numFmtId="0" fontId="204" fillId="21" borderId="363" xfId="0" applyFont="1" applyFill="1" applyBorder="1" applyAlignment="1" applyProtection="1">
      <alignment vertical="center"/>
      <protection hidden="1"/>
    </xf>
    <xf numFmtId="0" fontId="204" fillId="21" borderId="293" xfId="0" applyFont="1" applyFill="1" applyBorder="1" applyAlignment="1" applyProtection="1">
      <alignment vertical="center"/>
      <protection hidden="1"/>
    </xf>
    <xf numFmtId="182" fontId="9" fillId="15" borderId="0" xfId="0" applyNumberFormat="1" applyFont="1" applyFill="1" applyBorder="1" applyAlignment="1" applyProtection="1">
      <alignment horizontal="left" vertical="center"/>
      <protection hidden="1"/>
    </xf>
    <xf numFmtId="0" fontId="2" fillId="0" borderId="0" xfId="0" applyFont="1" applyFill="1" applyAlignment="1" applyProtection="1">
      <alignment vertical="center" shrinkToFit="1"/>
      <protection hidden="1"/>
    </xf>
    <xf numFmtId="0" fontId="15" fillId="0" borderId="0" xfId="0" applyFont="1" applyFill="1" applyBorder="1" applyAlignment="1" applyProtection="1">
      <alignment horizontal="left" vertical="center" shrinkToFit="1"/>
      <protection hidden="1"/>
    </xf>
    <xf numFmtId="181" fontId="271" fillId="0" borderId="0" xfId="0" applyNumberFormat="1" applyFont="1" applyFill="1" applyBorder="1" applyAlignment="1" applyProtection="1">
      <alignment horizontal="center" vertical="center" shrinkToFit="1"/>
      <protection hidden="1"/>
    </xf>
    <xf numFmtId="0" fontId="272" fillId="0" borderId="0" xfId="0" applyFont="1" applyFill="1" applyBorder="1" applyAlignment="1" applyProtection="1">
      <alignment horizontal="left" vertical="center"/>
      <protection hidden="1"/>
    </xf>
    <xf numFmtId="0" fontId="33" fillId="0" borderId="0" xfId="0" applyFont="1" applyFill="1" applyBorder="1" applyAlignment="1" applyProtection="1">
      <alignment horizontal="right" vertical="center"/>
      <protection hidden="1"/>
    </xf>
    <xf numFmtId="181" fontId="8" fillId="0" borderId="112" xfId="0" applyNumberFormat="1" applyFont="1" applyFill="1" applyBorder="1" applyAlignment="1" applyProtection="1">
      <alignment horizontal="center" vertical="center" shrinkToFit="1"/>
      <protection hidden="1"/>
    </xf>
    <xf numFmtId="181" fontId="15" fillId="0" borderId="0" xfId="0" applyNumberFormat="1" applyFont="1" applyFill="1" applyBorder="1" applyAlignment="1" applyProtection="1">
      <alignment horizontal="center" vertical="center" shrinkToFit="1"/>
      <protection hidden="1"/>
    </xf>
    <xf numFmtId="181" fontId="15" fillId="0" borderId="0" xfId="0" applyNumberFormat="1" applyFont="1" applyFill="1" applyBorder="1" applyAlignment="1" applyProtection="1">
      <alignment vertical="center" shrinkToFit="1"/>
      <protection hidden="1"/>
    </xf>
    <xf numFmtId="181" fontId="8" fillId="0" borderId="181" xfId="0" applyNumberFormat="1" applyFont="1" applyFill="1" applyBorder="1" applyAlignment="1" applyProtection="1">
      <alignment horizontal="center" vertical="center" shrinkToFit="1"/>
      <protection hidden="1"/>
    </xf>
    <xf numFmtId="0" fontId="8" fillId="0" borderId="112" xfId="0" applyFont="1" applyFill="1" applyBorder="1" applyAlignment="1" applyProtection="1">
      <alignment horizontal="center" vertical="center" shrinkToFit="1"/>
      <protection hidden="1"/>
    </xf>
    <xf numFmtId="0" fontId="8" fillId="0" borderId="181" xfId="0" applyFont="1" applyFill="1" applyBorder="1" applyAlignment="1" applyProtection="1">
      <alignment horizontal="center" vertical="center" shrinkToFit="1"/>
      <protection hidden="1"/>
    </xf>
    <xf numFmtId="0" fontId="273" fillId="16" borderId="0" xfId="0" applyFont="1" applyFill="1" applyBorder="1" applyAlignment="1" applyProtection="1">
      <alignment horizontal="center" vertical="center" shrinkToFit="1"/>
      <protection hidden="1"/>
    </xf>
    <xf numFmtId="0" fontId="273" fillId="17" borderId="0" xfId="0" applyFont="1" applyFill="1" applyBorder="1" applyAlignment="1" applyProtection="1">
      <alignment horizontal="center" vertical="center" shrinkToFit="1"/>
      <protection hidden="1"/>
    </xf>
    <xf numFmtId="0" fontId="142" fillId="0" borderId="0" xfId="0" applyFont="1" applyFill="1" applyBorder="1" applyAlignment="1" applyProtection="1">
      <alignment horizontal="left" vertical="center"/>
      <protection hidden="1"/>
    </xf>
    <xf numFmtId="0" fontId="8" fillId="16" borderId="109" xfId="0" applyFont="1" applyFill="1" applyBorder="1" applyAlignment="1" applyProtection="1">
      <alignment horizontal="center" vertical="center" shrinkToFit="1"/>
      <protection hidden="1"/>
    </xf>
    <xf numFmtId="0" fontId="8" fillId="17" borderId="112" xfId="0" applyFont="1" applyFill="1" applyBorder="1" applyAlignment="1" applyProtection="1">
      <alignment horizontal="center" vertical="center" shrinkToFit="1"/>
      <protection hidden="1"/>
    </xf>
    <xf numFmtId="0" fontId="8" fillId="16" borderId="112" xfId="0" applyFont="1" applyFill="1" applyBorder="1" applyAlignment="1" applyProtection="1">
      <alignment horizontal="center" vertical="center" shrinkToFit="1"/>
      <protection hidden="1"/>
    </xf>
    <xf numFmtId="0" fontId="8" fillId="0" borderId="420" xfId="0" applyFont="1" applyFill="1" applyBorder="1" applyAlignment="1" applyProtection="1">
      <alignment horizontal="left" vertical="center"/>
      <protection hidden="1"/>
    </xf>
    <xf numFmtId="0" fontId="274" fillId="0" borderId="0" xfId="0" applyFont="1" applyFill="1" applyBorder="1" applyAlignment="1" applyProtection="1">
      <alignment horizontal="center" vertical="center"/>
      <protection hidden="1"/>
    </xf>
    <xf numFmtId="0" fontId="8" fillId="0" borderId="396" xfId="0" applyFont="1" applyFill="1" applyBorder="1" applyAlignment="1" applyProtection="1">
      <alignment horizontal="center" vertical="center" shrinkToFit="1"/>
      <protection hidden="1"/>
    </xf>
    <xf numFmtId="0" fontId="8" fillId="0" borderId="185" xfId="0" applyFont="1" applyFill="1" applyBorder="1" applyAlignment="1" applyProtection="1">
      <alignment horizontal="center" vertical="center" shrinkToFit="1"/>
      <protection hidden="1"/>
    </xf>
    <xf numFmtId="0" fontId="275" fillId="0" borderId="0" xfId="0" applyFont="1" applyFill="1" applyBorder="1" applyAlignment="1" applyProtection="1">
      <alignment horizontal="center" vertical="center"/>
      <protection hidden="1"/>
    </xf>
    <xf numFmtId="0" fontId="8" fillId="0" borderId="146" xfId="0" applyFont="1" applyFill="1" applyBorder="1" applyAlignment="1" applyProtection="1">
      <alignment horizontal="center" vertical="center" shrinkToFit="1"/>
      <protection hidden="1"/>
    </xf>
    <xf numFmtId="0" fontId="8" fillId="0" borderId="147" xfId="0" applyFont="1" applyFill="1" applyBorder="1" applyAlignment="1" applyProtection="1">
      <alignment horizontal="center" vertical="center" shrinkToFit="1"/>
      <protection hidden="1"/>
    </xf>
    <xf numFmtId="0" fontId="8" fillId="0" borderId="145" xfId="0" applyFont="1" applyFill="1" applyBorder="1" applyAlignment="1" applyProtection="1">
      <alignment horizontal="center" vertical="center" shrinkToFit="1"/>
      <protection hidden="1"/>
    </xf>
    <xf numFmtId="0" fontId="8" fillId="0" borderId="144" xfId="0" applyFont="1" applyFill="1" applyBorder="1" applyAlignment="1" applyProtection="1">
      <alignment horizontal="center" vertical="center" shrinkToFit="1"/>
      <protection hidden="1"/>
    </xf>
    <xf numFmtId="0" fontId="123" fillId="0" borderId="0" xfId="0" applyFont="1" applyFill="1" applyBorder="1" applyAlignment="1" applyProtection="1">
      <alignment horizontal="left" vertical="center"/>
      <protection hidden="1"/>
    </xf>
    <xf numFmtId="0" fontId="276" fillId="0" borderId="0" xfId="0" applyFont="1" applyFill="1" applyBorder="1" applyAlignment="1" applyProtection="1">
      <alignment horizontal="center" vertical="center"/>
      <protection hidden="1"/>
    </xf>
    <xf numFmtId="0" fontId="102" fillId="15" borderId="0" xfId="1" applyFont="1" applyFill="1" applyBorder="1" applyAlignment="1" applyProtection="1">
      <alignment horizontal="center" vertical="center"/>
      <protection hidden="1"/>
    </xf>
    <xf numFmtId="186" fontId="15" fillId="0" borderId="0" xfId="0" applyNumberFormat="1" applyFont="1" applyFill="1" applyBorder="1" applyAlignment="1" applyProtection="1">
      <alignment horizontal="right" vertical="center" shrinkToFit="1"/>
      <protection hidden="1"/>
    </xf>
    <xf numFmtId="181" fontId="29" fillId="16" borderId="0" xfId="0" applyNumberFormat="1" applyFont="1" applyFill="1" applyBorder="1" applyAlignment="1" applyProtection="1">
      <alignment vertical="center" shrinkToFit="1"/>
      <protection hidden="1"/>
    </xf>
    <xf numFmtId="181" fontId="29" fillId="16" borderId="0" xfId="0" applyNumberFormat="1" applyFont="1" applyFill="1" applyBorder="1" applyAlignment="1" applyProtection="1">
      <alignment horizontal="center" vertical="center" shrinkToFit="1"/>
      <protection hidden="1"/>
    </xf>
    <xf numFmtId="0" fontId="33" fillId="0" borderId="0" xfId="0" applyFont="1" applyFill="1" applyBorder="1" applyAlignment="1" applyProtection="1">
      <alignment vertical="center"/>
      <protection hidden="1"/>
    </xf>
    <xf numFmtId="0" fontId="8" fillId="0" borderId="0" xfId="0" applyFont="1" applyFill="1" applyBorder="1" applyAlignment="1" applyProtection="1">
      <alignment horizontal="right" vertical="center" shrinkToFit="1"/>
      <protection hidden="1"/>
    </xf>
    <xf numFmtId="179" fontId="8" fillId="0" borderId="118" xfId="0" applyNumberFormat="1" applyFont="1" applyFill="1" applyBorder="1" applyAlignment="1" applyProtection="1">
      <alignment horizontal="right" vertical="center" shrinkToFit="1"/>
      <protection hidden="1"/>
    </xf>
    <xf numFmtId="181" fontId="8" fillId="16" borderId="40" xfId="0" applyNumberFormat="1" applyFont="1" applyFill="1" applyBorder="1" applyAlignment="1" applyProtection="1">
      <alignment horizontal="center" vertical="center" shrinkToFit="1"/>
      <protection hidden="1"/>
    </xf>
    <xf numFmtId="181" fontId="8" fillId="16" borderId="422" xfId="0" applyNumberFormat="1" applyFont="1" applyFill="1" applyBorder="1" applyAlignment="1" applyProtection="1">
      <alignment horizontal="center" vertical="center" shrinkToFit="1"/>
      <protection hidden="1"/>
    </xf>
    <xf numFmtId="186" fontId="34" fillId="16" borderId="0" xfId="0" applyNumberFormat="1" applyFont="1" applyFill="1" applyBorder="1" applyAlignment="1" applyProtection="1">
      <alignment horizontal="right" vertical="center" shrinkToFit="1"/>
      <protection hidden="1"/>
    </xf>
    <xf numFmtId="181" fontId="277" fillId="16" borderId="0" xfId="0" applyNumberFormat="1" applyFont="1" applyFill="1" applyBorder="1" applyAlignment="1" applyProtection="1">
      <alignment vertical="center" shrinkToFit="1"/>
      <protection hidden="1"/>
    </xf>
    <xf numFmtId="181" fontId="277" fillId="16" borderId="0" xfId="0" applyNumberFormat="1" applyFont="1" applyFill="1" applyBorder="1" applyAlignment="1" applyProtection="1">
      <alignment horizontal="center" vertical="center" shrinkToFit="1"/>
      <protection hidden="1"/>
    </xf>
    <xf numFmtId="0" fontId="22" fillId="0" borderId="0" xfId="0" applyFont="1" applyFill="1" applyBorder="1" applyAlignment="1" applyProtection="1">
      <alignment vertical="center"/>
      <protection hidden="1"/>
    </xf>
    <xf numFmtId="186" fontId="8" fillId="16" borderId="0" xfId="0" applyNumberFormat="1" applyFont="1" applyFill="1" applyBorder="1" applyAlignment="1" applyProtection="1">
      <alignment horizontal="right" vertical="center" shrinkToFit="1"/>
      <protection hidden="1"/>
    </xf>
    <xf numFmtId="181" fontId="8" fillId="16" borderId="29" xfId="0" applyNumberFormat="1" applyFont="1" applyFill="1" applyBorder="1" applyAlignment="1" applyProtection="1">
      <alignment horizontal="center" vertical="center" shrinkToFit="1"/>
      <protection hidden="1"/>
    </xf>
    <xf numFmtId="181" fontId="8" fillId="16" borderId="424" xfId="0" applyNumberFormat="1" applyFont="1" applyFill="1" applyBorder="1" applyAlignment="1" applyProtection="1">
      <alignment horizontal="center" vertical="center" shrinkToFit="1"/>
      <protection hidden="1"/>
    </xf>
    <xf numFmtId="181" fontId="8" fillId="16" borderId="30" xfId="0" applyNumberFormat="1" applyFont="1" applyFill="1" applyBorder="1" applyAlignment="1" applyProtection="1">
      <alignment horizontal="center" vertical="center" shrinkToFit="1"/>
      <protection hidden="1"/>
    </xf>
    <xf numFmtId="181" fontId="8" fillId="16" borderId="426" xfId="0" applyNumberFormat="1" applyFont="1" applyFill="1" applyBorder="1" applyAlignment="1" applyProtection="1">
      <alignment horizontal="center" vertical="center" shrinkToFit="1"/>
      <protection hidden="1"/>
    </xf>
    <xf numFmtId="0" fontId="9" fillId="19" borderId="209" xfId="0" applyFont="1" applyFill="1" applyBorder="1" applyAlignment="1" applyProtection="1">
      <alignment horizontal="center" vertical="center" textRotation="180" shrinkToFit="1"/>
      <protection hidden="1"/>
    </xf>
    <xf numFmtId="181" fontId="8" fillId="16" borderId="428" xfId="0" applyNumberFormat="1" applyFont="1" applyFill="1" applyBorder="1" applyAlignment="1" applyProtection="1">
      <alignment horizontal="center" vertical="center" shrinkToFit="1"/>
      <protection hidden="1"/>
    </xf>
    <xf numFmtId="181" fontId="8" fillId="16" borderId="432" xfId="0" applyNumberFormat="1" applyFont="1" applyFill="1" applyBorder="1" applyAlignment="1" applyProtection="1">
      <alignment horizontal="center" vertical="center" shrinkToFit="1"/>
      <protection hidden="1"/>
    </xf>
    <xf numFmtId="0" fontId="33" fillId="3" borderId="0" xfId="0" applyFont="1" applyFill="1" applyBorder="1" applyAlignment="1" applyProtection="1">
      <alignment vertical="center" shrinkToFit="1"/>
      <protection hidden="1"/>
    </xf>
    <xf numFmtId="179" fontId="8" fillId="0" borderId="0" xfId="0" applyNumberFormat="1" applyFont="1" applyFill="1" applyBorder="1" applyAlignment="1" applyProtection="1">
      <alignment horizontal="center" vertical="center"/>
      <protection hidden="1"/>
    </xf>
    <xf numFmtId="0" fontId="8" fillId="3" borderId="0" xfId="0" applyFont="1" applyFill="1" applyBorder="1" applyAlignment="1" applyProtection="1">
      <alignment vertical="center" shrinkToFit="1"/>
      <protection hidden="1"/>
    </xf>
    <xf numFmtId="0" fontId="29" fillId="3" borderId="0" xfId="0" applyFont="1" applyFill="1" applyBorder="1" applyAlignment="1" applyProtection="1">
      <alignment vertical="center" shrinkToFit="1"/>
      <protection hidden="1"/>
    </xf>
    <xf numFmtId="0" fontId="29" fillId="3" borderId="0" xfId="0" quotePrefix="1" applyFont="1" applyFill="1" applyBorder="1" applyAlignment="1" applyProtection="1">
      <alignment vertical="center" shrinkToFit="1"/>
      <protection hidden="1"/>
    </xf>
    <xf numFmtId="0" fontId="8" fillId="3" borderId="114" xfId="0" quotePrefix="1" applyFont="1" applyFill="1" applyBorder="1" applyAlignment="1" applyProtection="1">
      <alignment vertical="center" shrinkToFit="1"/>
      <protection hidden="1"/>
    </xf>
    <xf numFmtId="0" fontId="8" fillId="3" borderId="206" xfId="0" quotePrefix="1" applyFont="1" applyFill="1" applyBorder="1" applyAlignment="1" applyProtection="1">
      <alignment vertical="center" shrinkToFit="1"/>
      <protection hidden="1"/>
    </xf>
    <xf numFmtId="0" fontId="8" fillId="3" borderId="206" xfId="0" applyFont="1" applyFill="1" applyBorder="1" applyAlignment="1" applyProtection="1">
      <alignment vertical="center" shrinkToFit="1"/>
      <protection hidden="1"/>
    </xf>
    <xf numFmtId="0" fontId="8" fillId="3" borderId="438" xfId="0" quotePrefix="1" applyFont="1" applyFill="1" applyBorder="1" applyAlignment="1" applyProtection="1">
      <alignment vertical="center" shrinkToFit="1"/>
      <protection hidden="1"/>
    </xf>
    <xf numFmtId="194" fontId="33" fillId="0" borderId="0" xfId="0" applyNumberFormat="1" applyFont="1" applyFill="1" applyBorder="1" applyAlignment="1" applyProtection="1">
      <alignment vertical="center" shrinkToFit="1"/>
      <protection hidden="1"/>
    </xf>
    <xf numFmtId="184" fontId="8" fillId="0" borderId="0" xfId="0" applyNumberFormat="1" applyFont="1" applyFill="1" applyAlignment="1" applyProtection="1">
      <alignment vertical="center"/>
      <protection hidden="1"/>
    </xf>
    <xf numFmtId="181" fontId="180" fillId="0" borderId="0" xfId="0" applyNumberFormat="1" applyFont="1" applyFill="1" applyBorder="1" applyAlignment="1" applyProtection="1">
      <alignment horizontal="center" vertical="center" shrinkToFit="1"/>
      <protection hidden="1"/>
    </xf>
    <xf numFmtId="177" fontId="8" fillId="0" borderId="382" xfId="0" quotePrefix="1" applyNumberFormat="1" applyFont="1" applyFill="1" applyBorder="1" applyAlignment="1" applyProtection="1">
      <alignment horizontal="right" vertical="center" shrinkToFit="1"/>
      <protection hidden="1"/>
    </xf>
    <xf numFmtId="0" fontId="8" fillId="0" borderId="117" xfId="0" applyNumberFormat="1" applyFont="1" applyFill="1" applyBorder="1" applyAlignment="1" applyProtection="1">
      <alignment horizontal="left" vertical="center"/>
      <protection hidden="1"/>
    </xf>
    <xf numFmtId="176" fontId="8" fillId="0" borderId="253" xfId="0" applyNumberFormat="1" applyFont="1" applyFill="1" applyBorder="1" applyAlignment="1" applyProtection="1">
      <alignment horizontal="center" vertical="center"/>
      <protection hidden="1"/>
    </xf>
    <xf numFmtId="0" fontId="8" fillId="0" borderId="109" xfId="0" applyFont="1" applyFill="1" applyBorder="1" applyAlignment="1" applyProtection="1">
      <alignment horizontal="left" vertical="center"/>
      <protection hidden="1"/>
    </xf>
    <xf numFmtId="0" fontId="9" fillId="3" borderId="442" xfId="0" applyFont="1" applyFill="1" applyBorder="1" applyAlignment="1" applyProtection="1">
      <alignment horizontal="center" vertical="center" textRotation="180" shrinkToFit="1"/>
      <protection hidden="1"/>
    </xf>
    <xf numFmtId="177" fontId="8" fillId="0" borderId="439" xfId="0" quotePrefix="1" applyNumberFormat="1" applyFont="1" applyFill="1" applyBorder="1" applyAlignment="1" applyProtection="1">
      <alignment horizontal="right" vertical="center" shrinkToFit="1"/>
      <protection hidden="1"/>
    </xf>
    <xf numFmtId="0" fontId="8" fillId="0" borderId="0" xfId="0" applyNumberFormat="1" applyFont="1" applyFill="1" applyBorder="1" applyAlignment="1" applyProtection="1">
      <alignment horizontal="left" vertical="center"/>
      <protection hidden="1"/>
    </xf>
    <xf numFmtId="176" fontId="8" fillId="0" borderId="53" xfId="0" applyNumberFormat="1" applyFont="1" applyFill="1" applyBorder="1" applyAlignment="1" applyProtection="1">
      <alignment horizontal="center" vertical="center"/>
      <protection hidden="1"/>
    </xf>
    <xf numFmtId="0" fontId="8" fillId="0" borderId="0" xfId="0" quotePrefix="1" applyFont="1" applyFill="1" applyAlignment="1" applyProtection="1">
      <alignment horizontal="right"/>
      <protection hidden="1"/>
    </xf>
    <xf numFmtId="0" fontId="9" fillId="3" borderId="8" xfId="0" applyFont="1" applyFill="1" applyBorder="1" applyAlignment="1" applyProtection="1">
      <alignment horizontal="center" vertical="center" textRotation="180" shrinkToFit="1"/>
      <protection hidden="1"/>
    </xf>
    <xf numFmtId="0" fontId="8" fillId="0" borderId="109" xfId="0" applyFont="1" applyFill="1" applyBorder="1" applyAlignment="1" applyProtection="1">
      <alignment horizontal="left" shrinkToFit="1"/>
      <protection hidden="1"/>
    </xf>
    <xf numFmtId="0" fontId="9" fillId="3" borderId="448" xfId="0" applyFont="1" applyFill="1" applyBorder="1" applyAlignment="1" applyProtection="1">
      <alignment horizontal="center" vertical="center" textRotation="180" shrinkToFit="1"/>
      <protection hidden="1"/>
    </xf>
    <xf numFmtId="0" fontId="8" fillId="0" borderId="1" xfId="0" applyFont="1" applyFill="1" applyBorder="1" applyAlignment="1" applyProtection="1">
      <alignment vertical="center" shrinkToFit="1"/>
      <protection hidden="1"/>
    </xf>
    <xf numFmtId="0" fontId="9" fillId="16" borderId="455" xfId="0" applyFont="1" applyFill="1" applyBorder="1" applyAlignment="1" applyProtection="1">
      <alignment horizontal="center" vertical="center" shrinkToFit="1"/>
      <protection hidden="1"/>
    </xf>
    <xf numFmtId="0" fontId="9" fillId="16" borderId="456" xfId="0" applyFont="1" applyFill="1" applyBorder="1" applyAlignment="1" applyProtection="1">
      <alignment horizontal="center" vertical="center" shrinkToFit="1"/>
      <protection hidden="1"/>
    </xf>
    <xf numFmtId="0" fontId="9" fillId="16" borderId="457" xfId="0" applyFont="1" applyFill="1" applyBorder="1" applyAlignment="1" applyProtection="1">
      <alignment horizontal="center" vertical="center" shrinkToFit="1"/>
      <protection hidden="1"/>
    </xf>
    <xf numFmtId="0" fontId="8" fillId="0" borderId="0" xfId="0" applyFont="1" applyFill="1" applyAlignment="1" applyProtection="1">
      <alignment horizontal="left" shrinkToFit="1"/>
      <protection hidden="1"/>
    </xf>
    <xf numFmtId="0" fontId="8" fillId="0" borderId="82" xfId="0" quotePrefix="1" applyFont="1" applyFill="1" applyBorder="1" applyAlignment="1" applyProtection="1">
      <alignment horizontal="center" vertical="center" shrinkToFit="1"/>
      <protection hidden="1"/>
    </xf>
    <xf numFmtId="0" fontId="8" fillId="0" borderId="2" xfId="0" applyFont="1" applyFill="1" applyBorder="1" applyAlignment="1" applyProtection="1">
      <alignment vertical="center" shrinkToFit="1"/>
      <protection hidden="1"/>
    </xf>
    <xf numFmtId="0" fontId="8" fillId="0" borderId="382" xfId="0" applyFont="1" applyFill="1" applyBorder="1" applyAlignment="1" applyProtection="1">
      <alignment horizontal="center" vertical="center"/>
      <protection hidden="1"/>
    </xf>
    <xf numFmtId="0" fontId="8" fillId="0" borderId="117" xfId="0" applyNumberFormat="1" applyFont="1" applyFill="1" applyBorder="1" applyAlignment="1" applyProtection="1">
      <alignment horizontal="center" vertical="center"/>
      <protection hidden="1"/>
    </xf>
    <xf numFmtId="0" fontId="9" fillId="15" borderId="0" xfId="0" applyFont="1" applyFill="1" applyBorder="1" applyAlignment="1" applyProtection="1">
      <alignment horizontal="left"/>
      <protection hidden="1"/>
    </xf>
    <xf numFmtId="0" fontId="8" fillId="0" borderId="2" xfId="0" applyFont="1" applyFill="1" applyBorder="1" applyAlignment="1" applyProtection="1">
      <alignment horizontal="right" vertical="center"/>
      <protection hidden="1"/>
    </xf>
    <xf numFmtId="0" fontId="9" fillId="3" borderId="489" xfId="0" applyFont="1" applyFill="1" applyBorder="1" applyAlignment="1" applyProtection="1">
      <alignment horizontal="center" vertical="center" textRotation="180" shrinkToFit="1"/>
      <protection hidden="1"/>
    </xf>
    <xf numFmtId="0" fontId="9" fillId="15" borderId="160" xfId="0" applyFont="1" applyFill="1" applyBorder="1" applyAlignment="1" applyProtection="1">
      <alignment horizontal="left"/>
      <protection hidden="1"/>
    </xf>
    <xf numFmtId="0" fontId="9" fillId="3" borderId="495" xfId="0" applyFont="1" applyFill="1" applyBorder="1" applyAlignment="1" applyProtection="1">
      <alignment horizontal="center" vertical="center" textRotation="180" shrinkToFit="1"/>
      <protection hidden="1"/>
    </xf>
    <xf numFmtId="0" fontId="9" fillId="3" borderId="236" xfId="0" applyFont="1" applyFill="1" applyBorder="1" applyAlignment="1" applyProtection="1">
      <alignment horizontal="center" vertical="center" textRotation="180" shrinkToFit="1"/>
      <protection hidden="1"/>
    </xf>
    <xf numFmtId="0" fontId="9" fillId="16" borderId="503" xfId="0" applyFont="1" applyFill="1" applyBorder="1" applyAlignment="1" applyProtection="1">
      <alignment horizontal="center" vertical="center" shrinkToFit="1"/>
      <protection hidden="1"/>
    </xf>
    <xf numFmtId="0" fontId="9" fillId="16" borderId="239" xfId="0" applyFont="1" applyFill="1" applyBorder="1" applyAlignment="1" applyProtection="1">
      <alignment horizontal="center" vertical="center" shrinkToFit="1"/>
      <protection hidden="1"/>
    </xf>
    <xf numFmtId="0" fontId="9" fillId="16" borderId="240" xfId="0" applyFont="1" applyFill="1" applyBorder="1" applyAlignment="1" applyProtection="1">
      <alignment horizontal="center" vertical="center" shrinkToFit="1"/>
      <protection hidden="1"/>
    </xf>
    <xf numFmtId="0" fontId="9" fillId="15" borderId="157" xfId="0" applyFont="1" applyFill="1" applyBorder="1" applyAlignment="1" applyProtection="1">
      <alignment horizontal="left"/>
      <protection hidden="1"/>
    </xf>
    <xf numFmtId="0" fontId="9" fillId="15" borderId="116" xfId="0" applyFont="1" applyFill="1" applyBorder="1" applyAlignment="1" applyProtection="1">
      <alignment horizontal="left"/>
      <protection hidden="1"/>
    </xf>
    <xf numFmtId="0" fontId="8" fillId="0" borderId="439" xfId="0" applyFont="1" applyFill="1" applyBorder="1" applyAlignment="1" applyProtection="1">
      <alignment horizontal="center" vertical="center"/>
      <protection hidden="1"/>
    </xf>
    <xf numFmtId="0" fontId="8" fillId="0" borderId="0" xfId="0" applyNumberFormat="1" applyFont="1" applyFill="1" applyBorder="1" applyAlignment="1" applyProtection="1">
      <alignment horizontal="center" vertical="center"/>
      <protection hidden="1"/>
    </xf>
    <xf numFmtId="0" fontId="9" fillId="3" borderId="444" xfId="0" applyFont="1" applyFill="1" applyBorder="1" applyAlignment="1" applyProtection="1">
      <alignment horizontal="center" vertical="center" textRotation="180" shrinkToFit="1"/>
      <protection hidden="1"/>
    </xf>
    <xf numFmtId="0" fontId="278" fillId="15" borderId="116" xfId="0" applyFont="1" applyFill="1" applyBorder="1" applyAlignment="1" applyProtection="1">
      <alignment horizontal="left"/>
      <protection hidden="1"/>
    </xf>
    <xf numFmtId="181" fontId="28" fillId="15" borderId="117" xfId="0" applyNumberFormat="1" applyFont="1" applyFill="1" applyBorder="1" applyAlignment="1" applyProtection="1">
      <alignment horizontal="right" vertical="center" shrinkToFit="1"/>
      <protection hidden="1"/>
    </xf>
    <xf numFmtId="0" fontId="29" fillId="15" borderId="117" xfId="0" applyFont="1" applyFill="1" applyBorder="1" applyAlignment="1" applyProtection="1">
      <alignment horizontal="right" vertical="center" shrinkToFit="1"/>
      <protection hidden="1"/>
    </xf>
    <xf numFmtId="0" fontId="91" fillId="15" borderId="117" xfId="0" applyFont="1" applyFill="1" applyBorder="1" applyAlignment="1" applyProtection="1">
      <alignment horizontal="center" vertical="center" textRotation="180" shrinkToFit="1"/>
      <protection hidden="1"/>
    </xf>
    <xf numFmtId="176" fontId="28" fillId="15" borderId="117" xfId="0" applyNumberFormat="1" applyFont="1" applyFill="1" applyBorder="1" applyAlignment="1" applyProtection="1">
      <alignment horizontal="right" vertical="center" shrinkToFit="1"/>
      <protection hidden="1"/>
    </xf>
    <xf numFmtId="0" fontId="29" fillId="15" borderId="117" xfId="0" applyFont="1" applyFill="1" applyBorder="1" applyAlignment="1" applyProtection="1">
      <alignment horizontal="center" vertical="center" wrapText="1"/>
      <protection hidden="1"/>
    </xf>
    <xf numFmtId="0" fontId="9" fillId="16" borderId="216" xfId="0" applyFont="1" applyFill="1" applyBorder="1" applyAlignment="1" applyProtection="1">
      <alignment horizontal="center" vertical="center" shrinkToFit="1"/>
      <protection hidden="1"/>
    </xf>
    <xf numFmtId="0" fontId="9" fillId="16" borderId="218" xfId="0" applyFont="1" applyFill="1" applyBorder="1" applyAlignment="1" applyProtection="1">
      <alignment horizontal="center" vertical="center" shrinkToFit="1"/>
      <protection hidden="1"/>
    </xf>
    <xf numFmtId="0" fontId="278" fillId="15" borderId="0" xfId="0" applyFont="1" applyFill="1" applyBorder="1" applyAlignment="1" applyProtection="1">
      <alignment horizontal="left"/>
      <protection hidden="1"/>
    </xf>
    <xf numFmtId="0" fontId="9" fillId="3" borderId="278" xfId="0" applyFont="1" applyFill="1" applyBorder="1" applyAlignment="1" applyProtection="1">
      <alignment horizontal="center" vertical="center" textRotation="180" shrinkToFit="1"/>
      <protection hidden="1"/>
    </xf>
    <xf numFmtId="0" fontId="9" fillId="3" borderId="235" xfId="0" applyFont="1" applyFill="1" applyBorder="1" applyAlignment="1" applyProtection="1">
      <alignment horizontal="center" vertical="center" textRotation="180" shrinkToFit="1"/>
      <protection hidden="1"/>
    </xf>
    <xf numFmtId="0" fontId="9" fillId="16" borderId="217" xfId="0" applyFont="1" applyFill="1" applyBorder="1" applyAlignment="1" applyProtection="1">
      <alignment horizontal="center" vertical="center" shrinkToFit="1"/>
      <protection hidden="1"/>
    </xf>
    <xf numFmtId="177" fontId="8" fillId="0" borderId="243" xfId="0" quotePrefix="1" applyNumberFormat="1" applyFont="1" applyFill="1" applyBorder="1" applyAlignment="1" applyProtection="1">
      <alignment horizontal="right" vertical="center" shrinkToFit="1"/>
      <protection hidden="1"/>
    </xf>
    <xf numFmtId="176" fontId="8" fillId="0" borderId="241" xfId="0" applyNumberFormat="1" applyFont="1" applyFill="1" applyBorder="1" applyAlignment="1" applyProtection="1">
      <alignment horizontal="center" vertical="center"/>
      <protection hidden="1"/>
    </xf>
    <xf numFmtId="177" fontId="8" fillId="0" borderId="382" xfId="0" applyNumberFormat="1" applyFont="1" applyFill="1" applyBorder="1" applyAlignment="1" applyProtection="1">
      <alignment horizontal="center"/>
      <protection hidden="1"/>
    </xf>
    <xf numFmtId="177" fontId="8" fillId="0" borderId="117" xfId="0" applyNumberFormat="1" applyFont="1" applyFill="1" applyBorder="1" applyAlignment="1" applyProtection="1">
      <alignment horizontal="right"/>
      <protection hidden="1"/>
    </xf>
    <xf numFmtId="0" fontId="8" fillId="16" borderId="0" xfId="0" applyFont="1" applyFill="1" applyBorder="1" applyAlignment="1" applyProtection="1">
      <alignment vertical="center" shrinkToFit="1"/>
      <protection hidden="1"/>
    </xf>
    <xf numFmtId="0" fontId="33" fillId="16" borderId="112" xfId="0" applyFont="1" applyFill="1" applyBorder="1" applyAlignment="1" applyProtection="1">
      <alignment horizontal="center" vertical="center"/>
      <protection hidden="1"/>
    </xf>
    <xf numFmtId="0" fontId="9" fillId="3" borderId="160" xfId="0" applyFont="1" applyFill="1" applyBorder="1" applyAlignment="1" applyProtection="1">
      <alignment horizontal="center" vertical="center" shrinkToFit="1"/>
      <protection hidden="1"/>
    </xf>
    <xf numFmtId="177" fontId="8" fillId="0" borderId="116" xfId="0" applyNumberFormat="1" applyFont="1" applyFill="1" applyBorder="1" applyAlignment="1" applyProtection="1">
      <alignment horizontal="right" vertical="center"/>
      <protection hidden="1"/>
    </xf>
    <xf numFmtId="0" fontId="8" fillId="0" borderId="4" xfId="0" applyFont="1" applyFill="1" applyBorder="1" applyAlignment="1" applyProtection="1">
      <alignment horizontal="center" vertical="center"/>
      <protection hidden="1"/>
    </xf>
    <xf numFmtId="0" fontId="33" fillId="16" borderId="114" xfId="0" applyFont="1" applyFill="1" applyBorder="1" applyAlignment="1" applyProtection="1">
      <alignment horizontal="center" vertical="center"/>
      <protection hidden="1"/>
    </xf>
    <xf numFmtId="0" fontId="2" fillId="24" borderId="1" xfId="0" applyFont="1" applyFill="1" applyBorder="1" applyAlignment="1" applyProtection="1">
      <alignment vertical="center"/>
      <protection hidden="1"/>
    </xf>
    <xf numFmtId="177" fontId="8" fillId="0" borderId="0" xfId="0" applyNumberFormat="1" applyFont="1" applyFill="1" applyAlignment="1" applyProtection="1">
      <alignment horizontal="center" vertical="center"/>
      <protection hidden="1"/>
    </xf>
    <xf numFmtId="0" fontId="86" fillId="15" borderId="2" xfId="0" applyFont="1" applyFill="1" applyBorder="1" applyAlignment="1" applyProtection="1">
      <alignment vertical="center" shrinkToFit="1"/>
      <protection hidden="1"/>
    </xf>
    <xf numFmtId="176" fontId="2" fillId="15" borderId="0" xfId="0" applyNumberFormat="1" applyFont="1" applyFill="1" applyBorder="1" applyAlignment="1" applyProtection="1">
      <alignment horizontal="center" vertical="center"/>
      <protection hidden="1"/>
    </xf>
    <xf numFmtId="0" fontId="277" fillId="15" borderId="0" xfId="0" applyFont="1" applyFill="1" applyBorder="1" applyAlignment="1" applyProtection="1">
      <alignment vertical="center"/>
      <protection hidden="1"/>
    </xf>
    <xf numFmtId="0" fontId="277" fillId="15" borderId="0" xfId="0" applyFont="1" applyFill="1" applyBorder="1" applyAlignment="1" applyProtection="1">
      <alignment horizontal="left" vertical="center"/>
      <protection hidden="1"/>
    </xf>
    <xf numFmtId="0" fontId="2" fillId="21" borderId="372" xfId="0" applyFont="1" applyFill="1" applyBorder="1" applyAlignment="1" applyProtection="1">
      <alignment vertical="center"/>
      <protection hidden="1"/>
    </xf>
    <xf numFmtId="0" fontId="2" fillId="21" borderId="298" xfId="0" applyFont="1" applyFill="1" applyBorder="1" applyAlignment="1" applyProtection="1">
      <alignment vertical="center"/>
      <protection hidden="1"/>
    </xf>
    <xf numFmtId="0" fontId="8" fillId="3" borderId="0" xfId="0" applyFont="1" applyFill="1" applyBorder="1" applyAlignment="1" applyProtection="1">
      <alignment horizontal="center" vertical="center"/>
      <protection hidden="1"/>
    </xf>
    <xf numFmtId="0" fontId="180" fillId="3" borderId="0" xfId="0" applyFont="1" applyFill="1" applyBorder="1" applyAlignment="1" applyProtection="1">
      <alignment horizontal="center" vertical="center"/>
      <protection hidden="1"/>
    </xf>
    <xf numFmtId="0" fontId="8" fillId="3" borderId="109" xfId="0" applyFont="1" applyFill="1" applyBorder="1" applyAlignment="1" applyProtection="1">
      <alignment horizontal="center" vertical="center" shrinkToFit="1"/>
      <protection hidden="1"/>
    </xf>
    <xf numFmtId="0" fontId="8" fillId="0" borderId="112" xfId="0" applyFont="1" applyFill="1" applyBorder="1" applyAlignment="1" applyProtection="1">
      <alignment horizontal="center" vertical="center"/>
      <protection hidden="1"/>
    </xf>
    <xf numFmtId="0" fontId="279" fillId="33" borderId="117" xfId="0" applyFont="1" applyFill="1" applyBorder="1" applyAlignment="1" applyProtection="1">
      <alignment horizontal="center" vertical="center"/>
      <protection hidden="1"/>
    </xf>
    <xf numFmtId="0" fontId="280" fillId="33" borderId="113" xfId="0" applyFont="1" applyFill="1" applyBorder="1" applyAlignment="1" applyProtection="1">
      <alignment horizontal="center" vertical="center"/>
      <protection hidden="1"/>
    </xf>
    <xf numFmtId="0" fontId="2" fillId="21" borderId="358" xfId="0" applyFont="1" applyFill="1" applyBorder="1" applyAlignment="1" applyProtection="1">
      <alignment vertical="center"/>
      <protection hidden="1"/>
    </xf>
    <xf numFmtId="0" fontId="86" fillId="21" borderId="0" xfId="0" applyFont="1" applyFill="1" applyBorder="1" applyAlignment="1" applyProtection="1">
      <alignment vertical="center" shrinkToFit="1"/>
      <protection hidden="1"/>
    </xf>
    <xf numFmtId="0" fontId="15" fillId="3" borderId="195" xfId="0" applyFont="1" applyFill="1" applyBorder="1" applyAlignment="1" applyProtection="1">
      <alignment horizontal="center" vertical="center" textRotation="180" shrinkToFit="1"/>
      <protection hidden="1"/>
    </xf>
    <xf numFmtId="0" fontId="201" fillId="12" borderId="0" xfId="0" applyFont="1" applyFill="1" applyBorder="1" applyAlignment="1" applyProtection="1">
      <protection hidden="1"/>
    </xf>
    <xf numFmtId="0" fontId="2" fillId="21" borderId="362" xfId="0" applyFont="1" applyFill="1" applyBorder="1" applyAlignment="1" applyProtection="1">
      <alignment horizontal="center" vertical="center"/>
      <protection hidden="1"/>
    </xf>
    <xf numFmtId="0" fontId="279" fillId="33" borderId="0" xfId="0" applyFont="1" applyFill="1" applyBorder="1" applyAlignment="1" applyProtection="1">
      <alignment horizontal="center" vertical="center"/>
      <protection hidden="1"/>
    </xf>
    <xf numFmtId="0" fontId="280" fillId="33" borderId="1" xfId="0" applyFont="1" applyFill="1" applyBorder="1" applyAlignment="1" applyProtection="1">
      <alignment horizontal="center" vertical="center"/>
      <protection hidden="1"/>
    </xf>
    <xf numFmtId="0" fontId="15" fillId="3" borderId="199" xfId="0" applyFont="1" applyFill="1" applyBorder="1" applyAlignment="1" applyProtection="1">
      <alignment horizontal="center" vertical="center" textRotation="180" shrinkToFit="1"/>
      <protection hidden="1"/>
    </xf>
    <xf numFmtId="0" fontId="8" fillId="3" borderId="0" xfId="0" applyFont="1" applyFill="1" applyBorder="1" applyAlignment="1" applyProtection="1">
      <alignment horizontal="center" vertical="center" shrinkToFit="1"/>
      <protection hidden="1"/>
    </xf>
    <xf numFmtId="0" fontId="279" fillId="33" borderId="0" xfId="0" applyFont="1" applyFill="1" applyBorder="1" applyAlignment="1" applyProtection="1">
      <alignment horizontal="center" vertical="center" shrinkToFit="1"/>
      <protection hidden="1"/>
    </xf>
    <xf numFmtId="0" fontId="280" fillId="33" borderId="1" xfId="0" applyFont="1" applyFill="1" applyBorder="1" applyAlignment="1" applyProtection="1">
      <alignment horizontal="center" vertical="center" shrinkToFit="1"/>
      <protection hidden="1"/>
    </xf>
    <xf numFmtId="0" fontId="281" fillId="12" borderId="0" xfId="0" applyFont="1" applyFill="1" applyBorder="1" applyAlignment="1" applyProtection="1">
      <alignment vertical="center" shrinkToFit="1"/>
      <protection hidden="1"/>
    </xf>
    <xf numFmtId="0" fontId="281" fillId="12" borderId="362" xfId="0" applyFont="1" applyFill="1" applyBorder="1" applyAlignment="1" applyProtection="1">
      <alignment vertical="center" shrinkToFit="1"/>
      <protection hidden="1"/>
    </xf>
    <xf numFmtId="0" fontId="281" fillId="5" borderId="0" xfId="0" applyFont="1" applyFill="1" applyBorder="1" applyAlignment="1" applyProtection="1">
      <alignment vertical="center" shrinkToFit="1"/>
      <protection hidden="1"/>
    </xf>
    <xf numFmtId="0" fontId="180" fillId="3" borderId="0" xfId="0" applyFont="1" applyFill="1" applyBorder="1" applyAlignment="1" applyProtection="1">
      <alignment vertical="top"/>
      <protection hidden="1"/>
    </xf>
    <xf numFmtId="0" fontId="8" fillId="3" borderId="0" xfId="0" applyFont="1" applyFill="1" applyBorder="1" applyAlignment="1" applyProtection="1">
      <alignment vertical="top"/>
      <protection hidden="1"/>
    </xf>
    <xf numFmtId="0" fontId="9" fillId="3" borderId="2" xfId="0" applyFont="1" applyFill="1" applyBorder="1" applyAlignment="1" applyProtection="1">
      <alignment vertical="top"/>
      <protection hidden="1"/>
    </xf>
    <xf numFmtId="179" fontId="177" fillId="16" borderId="0" xfId="0" applyNumberFormat="1" applyFont="1" applyFill="1" applyBorder="1" applyAlignment="1" applyProtection="1">
      <alignment vertical="center"/>
      <protection hidden="1"/>
    </xf>
    <xf numFmtId="0" fontId="15" fillId="16" borderId="0" xfId="0" applyFont="1" applyFill="1" applyBorder="1" applyAlignment="1" applyProtection="1">
      <alignment vertical="center"/>
      <protection hidden="1"/>
    </xf>
    <xf numFmtId="0" fontId="180" fillId="3" borderId="0" xfId="0" applyFont="1" applyFill="1" applyBorder="1" applyAlignment="1" applyProtection="1">
      <alignment horizontal="left" vertical="center"/>
      <protection hidden="1"/>
    </xf>
    <xf numFmtId="0" fontId="9" fillId="3" borderId="116" xfId="0" applyFont="1" applyFill="1" applyBorder="1" applyAlignment="1" applyProtection="1">
      <alignment horizontal="left" vertical="center"/>
      <protection hidden="1"/>
    </xf>
    <xf numFmtId="0" fontId="9" fillId="3" borderId="116" xfId="0" applyFont="1" applyFill="1" applyBorder="1" applyAlignment="1" applyProtection="1">
      <alignment vertical="top"/>
      <protection hidden="1"/>
    </xf>
    <xf numFmtId="0" fontId="9" fillId="3" borderId="118" xfId="0" applyFont="1" applyFill="1" applyBorder="1" applyAlignment="1" applyProtection="1">
      <alignment vertical="top"/>
      <protection hidden="1"/>
    </xf>
    <xf numFmtId="0" fontId="2" fillId="21" borderId="363" xfId="0" applyFont="1" applyFill="1" applyBorder="1" applyAlignment="1" applyProtection="1">
      <alignment vertical="center"/>
      <protection hidden="1"/>
    </xf>
    <xf numFmtId="0" fontId="2" fillId="21" borderId="293" xfId="0" applyFont="1" applyFill="1" applyBorder="1" applyAlignment="1" applyProtection="1">
      <alignment vertical="center"/>
      <protection hidden="1"/>
    </xf>
    <xf numFmtId="0" fontId="207" fillId="15" borderId="0" xfId="0" applyFont="1" applyFill="1" applyBorder="1" applyAlignment="1" applyProtection="1">
      <alignment vertical="top"/>
      <protection hidden="1"/>
    </xf>
    <xf numFmtId="0" fontId="203" fillId="15" borderId="0" xfId="0" applyFont="1" applyFill="1" applyBorder="1" applyAlignment="1" applyProtection="1">
      <alignment vertical="top"/>
      <protection hidden="1"/>
    </xf>
    <xf numFmtId="0" fontId="2" fillId="4" borderId="0" xfId="0" applyFont="1" applyFill="1" applyAlignment="1">
      <alignment horizontal="center" vertical="center"/>
    </xf>
    <xf numFmtId="0" fontId="8" fillId="4" borderId="0" xfId="0" applyFont="1" applyFill="1" applyAlignment="1">
      <alignment horizontal="left" vertical="center"/>
    </xf>
    <xf numFmtId="0" fontId="2" fillId="4" borderId="0" xfId="0" applyFont="1" applyFill="1" applyBorder="1" applyAlignment="1">
      <alignment horizontal="center" vertical="center"/>
    </xf>
    <xf numFmtId="0" fontId="2" fillId="4" borderId="1" xfId="0" applyFont="1" applyFill="1" applyBorder="1" applyAlignment="1">
      <alignment horizontal="center" vertical="center"/>
    </xf>
    <xf numFmtId="0" fontId="2" fillId="10" borderId="2" xfId="0" applyFont="1" applyFill="1" applyBorder="1" applyAlignment="1">
      <alignment horizontal="center" vertical="center"/>
    </xf>
    <xf numFmtId="0" fontId="2" fillId="10" borderId="0" xfId="0" applyFont="1" applyFill="1" applyBorder="1" applyAlignment="1">
      <alignment horizontal="center" vertical="center"/>
    </xf>
    <xf numFmtId="0" fontId="2" fillId="10" borderId="517" xfId="0" applyFont="1" applyFill="1" applyBorder="1" applyAlignment="1">
      <alignment horizontal="center" vertical="center"/>
    </xf>
    <xf numFmtId="0" fontId="2" fillId="7" borderId="0" xfId="0" applyFont="1" applyFill="1" applyBorder="1" applyAlignment="1">
      <alignment horizontal="center" vertical="center"/>
    </xf>
    <xf numFmtId="0" fontId="291" fillId="7" borderId="0" xfId="0" applyFont="1" applyFill="1" applyBorder="1" applyAlignment="1">
      <alignment horizontal="center" vertical="center"/>
    </xf>
    <xf numFmtId="0" fontId="292" fillId="7" borderId="0" xfId="0" applyFont="1" applyFill="1" applyBorder="1" applyAlignment="1">
      <alignment horizontal="center" vertical="center"/>
    </xf>
    <xf numFmtId="0" fontId="292" fillId="7" borderId="0" xfId="0" quotePrefix="1" applyFont="1" applyFill="1" applyBorder="1" applyAlignment="1">
      <alignment horizontal="left" vertical="center"/>
    </xf>
    <xf numFmtId="0" fontId="2" fillId="10" borderId="518" xfId="0" applyFont="1" applyFill="1" applyBorder="1" applyAlignment="1">
      <alignment horizontal="center" vertical="center"/>
    </xf>
    <xf numFmtId="0" fontId="2" fillId="10" borderId="519" xfId="0" applyFont="1" applyFill="1" applyBorder="1" applyAlignment="1">
      <alignment horizontal="center" vertical="center"/>
    </xf>
    <xf numFmtId="0" fontId="2" fillId="10" borderId="520" xfId="0" applyFont="1" applyFill="1" applyBorder="1" applyAlignment="1">
      <alignment horizontal="center" vertical="center"/>
    </xf>
    <xf numFmtId="0" fontId="2" fillId="7" borderId="17" xfId="0" applyFont="1" applyFill="1" applyBorder="1" applyAlignment="1">
      <alignment horizontal="center" vertical="center"/>
    </xf>
    <xf numFmtId="0" fontId="2" fillId="10" borderId="521" xfId="0" applyFont="1" applyFill="1" applyBorder="1" applyAlignment="1">
      <alignment horizontal="center" vertical="center"/>
    </xf>
    <xf numFmtId="0" fontId="2" fillId="10" borderId="522" xfId="0" applyFont="1" applyFill="1" applyBorder="1" applyAlignment="1">
      <alignment horizontal="center" vertical="center"/>
    </xf>
    <xf numFmtId="0" fontId="2" fillId="10" borderId="523" xfId="0" applyFont="1" applyFill="1" applyBorder="1" applyAlignment="1">
      <alignment horizontal="center" vertical="center"/>
    </xf>
    <xf numFmtId="0" fontId="2" fillId="7" borderId="248" xfId="0" applyFont="1" applyFill="1" applyBorder="1" applyAlignment="1">
      <alignment horizontal="center" vertical="center"/>
    </xf>
    <xf numFmtId="0" fontId="2" fillId="7" borderId="11" xfId="0" applyFont="1" applyFill="1" applyBorder="1" applyAlignment="1">
      <alignment horizontal="center" vertical="center"/>
    </xf>
    <xf numFmtId="0" fontId="291" fillId="7" borderId="11" xfId="0" applyFont="1" applyFill="1" applyBorder="1" applyAlignment="1">
      <alignment horizontal="center" vertical="center"/>
    </xf>
    <xf numFmtId="0" fontId="292" fillId="7" borderId="11" xfId="0" applyFont="1" applyFill="1" applyBorder="1" applyAlignment="1">
      <alignment horizontal="center" vertical="center"/>
    </xf>
    <xf numFmtId="0" fontId="292" fillId="7" borderId="11" xfId="0" quotePrefix="1" applyFont="1" applyFill="1" applyBorder="1" applyAlignment="1">
      <alignment horizontal="left" vertical="center"/>
    </xf>
    <xf numFmtId="0" fontId="2" fillId="7" borderId="249"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1" xfId="0" applyFont="1" applyFill="1" applyBorder="1" applyAlignment="1">
      <alignment horizontal="center" vertical="center"/>
    </xf>
    <xf numFmtId="0" fontId="292" fillId="7" borderId="0" xfId="0" applyFont="1" applyFill="1" applyBorder="1" applyAlignment="1">
      <alignment horizontal="left" vertical="center"/>
    </xf>
    <xf numFmtId="0" fontId="2" fillId="7" borderId="524" xfId="0" applyFont="1" applyFill="1" applyBorder="1" applyAlignment="1">
      <alignment horizontal="center" vertical="center"/>
    </xf>
    <xf numFmtId="0" fontId="2" fillId="7" borderId="525" xfId="0" applyFont="1" applyFill="1" applyBorder="1" applyAlignment="1">
      <alignment horizontal="center" vertical="center"/>
    </xf>
    <xf numFmtId="0" fontId="2" fillId="7" borderId="116" xfId="0" applyFont="1" applyFill="1" applyBorder="1" applyAlignment="1">
      <alignment horizontal="center" vertical="center"/>
    </xf>
    <xf numFmtId="0" fontId="15" fillId="7" borderId="0" xfId="0" applyFont="1" applyFill="1" applyBorder="1" applyAlignment="1">
      <alignment horizontal="center" vertical="center"/>
    </xf>
    <xf numFmtId="0" fontId="15" fillId="35" borderId="526" xfId="0" applyFont="1" applyFill="1" applyBorder="1" applyAlignment="1">
      <alignment horizontal="center" vertical="center"/>
    </xf>
    <xf numFmtId="0" fontId="15" fillId="35" borderId="527" xfId="0" applyFont="1" applyFill="1" applyBorder="1" applyAlignment="1">
      <alignment horizontal="center" vertical="center"/>
    </xf>
    <xf numFmtId="0" fontId="15" fillId="35" borderId="528" xfId="0" applyFont="1" applyFill="1" applyBorder="1" applyAlignment="1">
      <alignment horizontal="center" vertical="center"/>
    </xf>
    <xf numFmtId="0" fontId="15" fillId="7" borderId="529" xfId="0" applyFont="1" applyFill="1" applyBorder="1" applyAlignment="1">
      <alignment horizontal="center" vertical="center"/>
    </xf>
    <xf numFmtId="0" fontId="15" fillId="7" borderId="524" xfId="0" applyFont="1" applyFill="1" applyBorder="1" applyAlignment="1">
      <alignment horizontal="center" vertical="center"/>
    </xf>
    <xf numFmtId="0" fontId="15" fillId="7" borderId="525" xfId="0" applyFont="1" applyFill="1" applyBorder="1" applyAlignment="1">
      <alignment horizontal="center" vertical="center"/>
    </xf>
    <xf numFmtId="0" fontId="15" fillId="35" borderId="530" xfId="0" applyFont="1" applyFill="1" applyBorder="1" applyAlignment="1">
      <alignment horizontal="center" vertical="center"/>
    </xf>
    <xf numFmtId="0" fontId="15" fillId="35" borderId="531" xfId="0" applyFont="1" applyFill="1" applyBorder="1" applyAlignment="1">
      <alignment horizontal="center" vertical="center"/>
    </xf>
    <xf numFmtId="0" fontId="15" fillId="35" borderId="532" xfId="0" applyFont="1" applyFill="1" applyBorder="1" applyAlignment="1">
      <alignment horizontal="center" vertical="center"/>
    </xf>
    <xf numFmtId="0" fontId="15" fillId="7" borderId="533" xfId="0" applyFont="1" applyFill="1" applyBorder="1" applyAlignment="1">
      <alignment horizontal="center" vertical="center"/>
    </xf>
    <xf numFmtId="0" fontId="15" fillId="7" borderId="113" xfId="0" applyFont="1" applyFill="1" applyBorder="1" applyAlignment="1">
      <alignment horizontal="center" vertical="center"/>
    </xf>
    <xf numFmtId="0" fontId="15" fillId="7" borderId="534" xfId="0" applyFont="1" applyFill="1" applyBorder="1" applyAlignment="1">
      <alignment horizontal="center" vertical="center"/>
    </xf>
    <xf numFmtId="0" fontId="15" fillId="7" borderId="5" xfId="0" applyFont="1" applyFill="1" applyBorder="1" applyAlignment="1">
      <alignment horizontal="center" vertical="center"/>
    </xf>
    <xf numFmtId="0" fontId="15" fillId="35" borderId="535" xfId="0" applyFont="1" applyFill="1" applyBorder="1" applyAlignment="1">
      <alignment horizontal="center" vertical="center"/>
    </xf>
    <xf numFmtId="0" fontId="15" fillId="35" borderId="536" xfId="0" applyFont="1" applyFill="1" applyBorder="1" applyAlignment="1">
      <alignment horizontal="center" vertical="center"/>
    </xf>
    <xf numFmtId="0" fontId="15" fillId="7" borderId="119" xfId="0" applyFont="1" applyFill="1" applyBorder="1" applyAlignment="1">
      <alignment horizontal="center" vertical="center"/>
    </xf>
    <xf numFmtId="0" fontId="15" fillId="7" borderId="537" xfId="0" applyFont="1" applyFill="1" applyBorder="1" applyAlignment="1">
      <alignment horizontal="center" vertical="center"/>
    </xf>
    <xf numFmtId="0" fontId="15" fillId="7" borderId="372" xfId="0" applyFont="1" applyFill="1" applyBorder="1" applyAlignment="1">
      <alignment horizontal="center" vertical="center"/>
    </xf>
    <xf numFmtId="0" fontId="15" fillId="7" borderId="298" xfId="0" applyFont="1" applyFill="1" applyBorder="1" applyAlignment="1">
      <alignment horizontal="center" vertical="center"/>
    </xf>
    <xf numFmtId="0" fontId="15" fillId="7" borderId="373" xfId="0" applyFont="1" applyFill="1" applyBorder="1" applyAlignment="1">
      <alignment horizontal="center" vertical="center"/>
    </xf>
    <xf numFmtId="0" fontId="15" fillId="35" borderId="538" xfId="0" applyFont="1" applyFill="1" applyBorder="1" applyAlignment="1">
      <alignment horizontal="center" vertical="center"/>
    </xf>
    <xf numFmtId="0" fontId="15" fillId="35" borderId="539" xfId="0" applyFont="1" applyFill="1" applyBorder="1" applyAlignment="1">
      <alignment horizontal="center" vertical="center"/>
    </xf>
    <xf numFmtId="0" fontId="15" fillId="7" borderId="540" xfId="0" applyFont="1" applyFill="1" applyBorder="1" applyAlignment="1">
      <alignment horizontal="center" vertical="center"/>
    </xf>
    <xf numFmtId="0" fontId="15" fillId="7" borderId="358" xfId="0" applyFont="1" applyFill="1" applyBorder="1" applyAlignment="1">
      <alignment horizontal="center" vertical="center"/>
    </xf>
    <xf numFmtId="0" fontId="15" fillId="7" borderId="362" xfId="0" applyFont="1" applyFill="1" applyBorder="1" applyAlignment="1">
      <alignment horizontal="center" vertical="center"/>
    </xf>
    <xf numFmtId="0" fontId="15" fillId="7" borderId="118" xfId="0" applyFont="1" applyFill="1" applyBorder="1" applyAlignment="1">
      <alignment horizontal="center" vertical="center"/>
    </xf>
    <xf numFmtId="0" fontId="15" fillId="7" borderId="541" xfId="0" applyFont="1" applyFill="1" applyBorder="1" applyAlignment="1">
      <alignment horizontal="center" vertical="center"/>
    </xf>
    <xf numFmtId="0" fontId="15" fillId="35" borderId="542" xfId="0" applyFont="1" applyFill="1" applyBorder="1" applyAlignment="1">
      <alignment horizontal="center" vertical="center"/>
    </xf>
    <xf numFmtId="0" fontId="15" fillId="35" borderId="543" xfId="0" applyFont="1" applyFill="1" applyBorder="1" applyAlignment="1">
      <alignment horizontal="center" vertical="center"/>
    </xf>
    <xf numFmtId="0" fontId="15" fillId="7" borderId="544" xfId="0" applyFont="1" applyFill="1" applyBorder="1" applyAlignment="1">
      <alignment horizontal="center" vertical="center"/>
    </xf>
    <xf numFmtId="0" fontId="15" fillId="7" borderId="545" xfId="0" applyFont="1" applyFill="1" applyBorder="1" applyAlignment="1">
      <alignment horizontal="center" vertical="center"/>
    </xf>
    <xf numFmtId="0" fontId="15" fillId="7" borderId="546" xfId="0" applyFont="1" applyFill="1" applyBorder="1" applyAlignment="1">
      <alignment horizontal="center" vertical="center"/>
    </xf>
    <xf numFmtId="0" fontId="15" fillId="7" borderId="363" xfId="0" applyFont="1" applyFill="1" applyBorder="1" applyAlignment="1">
      <alignment horizontal="center" vertical="center"/>
    </xf>
    <xf numFmtId="0" fontId="15" fillId="7" borderId="293" xfId="0" applyFont="1" applyFill="1" applyBorder="1" applyAlignment="1">
      <alignment horizontal="center" vertical="center"/>
    </xf>
    <xf numFmtId="0" fontId="15" fillId="7" borderId="369" xfId="0" applyFont="1" applyFill="1" applyBorder="1" applyAlignment="1">
      <alignment horizontal="center" vertical="center"/>
    </xf>
    <xf numFmtId="0" fontId="15" fillId="7" borderId="79" xfId="0" applyFont="1" applyFill="1" applyBorder="1" applyAlignment="1">
      <alignment horizontal="center" vertical="center"/>
    </xf>
    <xf numFmtId="0" fontId="15" fillId="7" borderId="2" xfId="0" applyFont="1" applyFill="1" applyBorder="1" applyAlignment="1">
      <alignment horizontal="center" vertical="center"/>
    </xf>
    <xf numFmtId="0" fontId="15" fillId="7" borderId="1" xfId="0" applyFont="1" applyFill="1" applyBorder="1" applyAlignment="1">
      <alignment horizontal="center" vertical="center"/>
    </xf>
    <xf numFmtId="0" fontId="15" fillId="35" borderId="547" xfId="0" applyFont="1" applyFill="1" applyBorder="1" applyAlignment="1">
      <alignment horizontal="center" vertical="center"/>
    </xf>
    <xf numFmtId="0" fontId="15" fillId="35" borderId="548" xfId="0" applyFont="1" applyFill="1" applyBorder="1" applyAlignment="1">
      <alignment horizontal="center" vertical="center"/>
    </xf>
    <xf numFmtId="0" fontId="15" fillId="7" borderId="3" xfId="0" applyFont="1" applyFill="1" applyBorder="1" applyAlignment="1">
      <alignment horizontal="center" vertical="center"/>
    </xf>
    <xf numFmtId="0" fontId="15" fillId="7" borderId="116" xfId="0" applyFont="1" applyFill="1" applyBorder="1" applyAlignment="1">
      <alignment horizontal="center" vertical="center"/>
    </xf>
    <xf numFmtId="0" fontId="15" fillId="35" borderId="549" xfId="0" applyFont="1" applyFill="1" applyBorder="1" applyAlignment="1">
      <alignment horizontal="center" vertical="center"/>
    </xf>
    <xf numFmtId="0" fontId="15" fillId="35" borderId="550" xfId="0" applyFont="1" applyFill="1" applyBorder="1" applyAlignment="1">
      <alignment horizontal="center" vertical="center"/>
    </xf>
    <xf numFmtId="0" fontId="15" fillId="35" borderId="551" xfId="0" applyFont="1" applyFill="1" applyBorder="1" applyAlignment="1">
      <alignment horizontal="center" vertical="center"/>
    </xf>
    <xf numFmtId="0" fontId="15" fillId="7" borderId="117" xfId="0" applyFont="1" applyFill="1" applyBorder="1" applyAlignment="1">
      <alignment horizontal="center" vertical="center"/>
    </xf>
    <xf numFmtId="0" fontId="15" fillId="7" borderId="552" xfId="0" applyFont="1" applyFill="1" applyBorder="1" applyAlignment="1">
      <alignment horizontal="center" vertical="center"/>
    </xf>
    <xf numFmtId="0" fontId="15" fillId="7" borderId="553" xfId="0" applyFont="1" applyFill="1" applyBorder="1" applyAlignment="1">
      <alignment horizontal="center" vertical="center"/>
    </xf>
    <xf numFmtId="0" fontId="15" fillId="7" borderId="554" xfId="0" applyFont="1" applyFill="1" applyBorder="1" applyAlignment="1">
      <alignment horizontal="center" vertical="center"/>
    </xf>
    <xf numFmtId="0" fontId="15" fillId="7" borderId="114" xfId="0" applyFont="1" applyFill="1" applyBorder="1" applyAlignment="1">
      <alignment horizontal="center" vertical="center"/>
    </xf>
    <xf numFmtId="0" fontId="15" fillId="7" borderId="111" xfId="0" applyFont="1" applyFill="1" applyBorder="1" applyAlignment="1">
      <alignment horizontal="center" vertical="center"/>
    </xf>
    <xf numFmtId="179" fontId="207" fillId="10" borderId="0" xfId="0" quotePrefix="1" applyNumberFormat="1" applyFont="1" applyFill="1" applyBorder="1" applyAlignment="1">
      <alignment vertical="center" shrinkToFit="1"/>
    </xf>
    <xf numFmtId="0" fontId="119" fillId="7" borderId="0" xfId="0" applyFont="1" applyFill="1" applyBorder="1" applyAlignment="1">
      <alignment horizontal="center" vertical="center"/>
    </xf>
    <xf numFmtId="0" fontId="96" fillId="7" borderId="0" xfId="0" applyFont="1" applyFill="1" applyBorder="1" applyAlignment="1">
      <alignment horizontal="center" vertical="center"/>
    </xf>
    <xf numFmtId="0" fontId="32" fillId="7" borderId="0" xfId="0" applyFont="1" applyFill="1" applyBorder="1" applyAlignment="1">
      <alignment vertical="center" shrinkToFit="1"/>
    </xf>
    <xf numFmtId="0" fontId="32" fillId="7" borderId="0" xfId="0" applyFont="1" applyFill="1" applyBorder="1" applyAlignment="1">
      <alignment horizontal="right" vertical="center" shrinkToFit="1"/>
    </xf>
    <xf numFmtId="0" fontId="32" fillId="7" borderId="119" xfId="0" applyFont="1" applyFill="1" applyBorder="1" applyAlignment="1">
      <alignment vertical="center" shrinkToFit="1"/>
    </xf>
    <xf numFmtId="0" fontId="32" fillId="7" borderId="118" xfId="0" applyFont="1" applyFill="1" applyBorder="1" applyAlignment="1">
      <alignment horizontal="right" vertical="center" shrinkToFit="1"/>
    </xf>
    <xf numFmtId="0" fontId="15" fillId="7" borderId="311" xfId="0" applyFont="1" applyFill="1" applyBorder="1" applyAlignment="1">
      <alignment horizontal="center" vertical="center"/>
    </xf>
    <xf numFmtId="0" fontId="15" fillId="7" borderId="312" xfId="0" applyFont="1" applyFill="1" applyBorder="1" applyAlignment="1">
      <alignment horizontal="center" vertical="center"/>
    </xf>
    <xf numFmtId="0" fontId="15" fillId="7" borderId="313" xfId="0" applyFont="1" applyFill="1" applyBorder="1" applyAlignment="1">
      <alignment horizontal="center" vertical="center"/>
    </xf>
    <xf numFmtId="0" fontId="15" fillId="7" borderId="112" xfId="0" applyFont="1" applyFill="1" applyBorder="1" applyAlignment="1">
      <alignment horizontal="center" vertical="center"/>
    </xf>
    <xf numFmtId="0" fontId="15" fillId="35" borderId="558" xfId="0" applyFont="1" applyFill="1" applyBorder="1" applyAlignment="1">
      <alignment horizontal="center" vertical="center"/>
    </xf>
    <xf numFmtId="0" fontId="15" fillId="7" borderId="559" xfId="0" applyFont="1" applyFill="1" applyBorder="1" applyAlignment="1">
      <alignment horizontal="center" vertical="center"/>
    </xf>
    <xf numFmtId="0" fontId="15" fillId="7" borderId="55" xfId="0" applyFont="1" applyFill="1" applyBorder="1" applyAlignment="1">
      <alignment horizontal="center" vertical="center"/>
    </xf>
    <xf numFmtId="0" fontId="15" fillId="7" borderId="560" xfId="0" applyFont="1" applyFill="1" applyBorder="1" applyAlignment="1">
      <alignment horizontal="center" vertical="center"/>
    </xf>
    <xf numFmtId="0" fontId="15" fillId="35" borderId="561" xfId="0" applyFont="1" applyFill="1" applyBorder="1" applyAlignment="1">
      <alignment horizontal="center" vertical="center"/>
    </xf>
    <xf numFmtId="0" fontId="15" fillId="35" borderId="562" xfId="0" applyFont="1" applyFill="1" applyBorder="1" applyAlignment="1">
      <alignment horizontal="center" vertical="center"/>
    </xf>
    <xf numFmtId="0" fontId="15" fillId="7" borderId="6" xfId="0" applyFont="1" applyFill="1" applyBorder="1" applyAlignment="1">
      <alignment horizontal="center" vertical="center"/>
    </xf>
    <xf numFmtId="0" fontId="15" fillId="7" borderId="53" xfId="0" applyFont="1" applyFill="1" applyBorder="1" applyAlignment="1">
      <alignment horizontal="center" vertical="center"/>
    </xf>
    <xf numFmtId="0" fontId="15" fillId="7" borderId="563" xfId="0" applyFont="1" applyFill="1" applyBorder="1" applyAlignment="1">
      <alignment horizontal="center" vertical="center"/>
    </xf>
    <xf numFmtId="0" fontId="15" fillId="35" borderId="564" xfId="0" applyFont="1" applyFill="1" applyBorder="1" applyAlignment="1">
      <alignment horizontal="center" vertical="center"/>
    </xf>
    <xf numFmtId="0" fontId="15" fillId="35" borderId="565" xfId="0" applyFont="1" applyFill="1" applyBorder="1" applyAlignment="1">
      <alignment horizontal="center" vertical="center"/>
    </xf>
    <xf numFmtId="0" fontId="15" fillId="7" borderId="566" xfId="0" applyFont="1" applyFill="1" applyBorder="1" applyAlignment="1">
      <alignment horizontal="center" vertical="center"/>
    </xf>
    <xf numFmtId="0" fontId="32" fillId="7" borderId="1" xfId="0" applyFont="1" applyFill="1" applyBorder="1" applyAlignment="1">
      <alignment shrinkToFit="1"/>
    </xf>
    <xf numFmtId="0" fontId="32" fillId="7" borderId="117" xfId="0" applyFont="1" applyFill="1" applyBorder="1" applyAlignment="1">
      <alignment shrinkToFit="1"/>
    </xf>
    <xf numFmtId="0" fontId="32" fillId="7" borderId="0" xfId="0" applyFont="1" applyFill="1" applyBorder="1" applyAlignment="1">
      <alignment shrinkToFit="1"/>
    </xf>
    <xf numFmtId="0" fontId="300" fillId="10" borderId="0" xfId="0" applyFont="1" applyFill="1" applyBorder="1" applyAlignment="1"/>
    <xf numFmtId="0" fontId="300" fillId="10" borderId="519" xfId="0" applyFont="1" applyFill="1" applyBorder="1" applyAlignment="1"/>
    <xf numFmtId="0" fontId="2" fillId="7" borderId="518" xfId="0" applyFont="1" applyFill="1" applyBorder="1" applyAlignment="1">
      <alignment horizontal="center" vertical="center"/>
    </xf>
    <xf numFmtId="0" fontId="2" fillId="7" borderId="519" xfId="0" applyFont="1" applyFill="1" applyBorder="1" applyAlignment="1">
      <alignment horizontal="center" vertical="center"/>
    </xf>
    <xf numFmtId="0" fontId="2" fillId="7" borderId="567" xfId="0" applyFont="1" applyFill="1" applyBorder="1" applyAlignment="1">
      <alignment horizontal="center" vertical="center"/>
    </xf>
    <xf numFmtId="0" fontId="2" fillId="10" borderId="248" xfId="0" applyFont="1" applyFill="1" applyBorder="1" applyAlignment="1">
      <alignment horizontal="center" vertical="center"/>
    </xf>
    <xf numFmtId="0" fontId="2" fillId="10" borderId="11" xfId="0" applyFont="1" applyFill="1" applyBorder="1" applyAlignment="1">
      <alignment horizontal="center" vertical="center"/>
    </xf>
    <xf numFmtId="179" fontId="207" fillId="10" borderId="522" xfId="0" quotePrefix="1" applyNumberFormat="1" applyFont="1" applyFill="1" applyBorder="1" applyAlignment="1">
      <alignment vertical="center" shrinkToFit="1"/>
    </xf>
    <xf numFmtId="0" fontId="15" fillId="7" borderId="0" xfId="0" applyFont="1" applyFill="1" applyBorder="1" applyAlignment="1">
      <alignment horizontal="center" vertical="top"/>
    </xf>
    <xf numFmtId="0" fontId="32" fillId="7" borderId="0" xfId="0" applyFont="1" applyFill="1" applyBorder="1" applyAlignment="1">
      <alignment horizontal="right" vertical="top" shrinkToFit="1"/>
    </xf>
    <xf numFmtId="0" fontId="32" fillId="7" borderId="0" xfId="0" applyFont="1" applyFill="1" applyBorder="1" applyAlignment="1">
      <alignment horizontal="center" vertical="top" shrinkToFit="1"/>
    </xf>
    <xf numFmtId="0" fontId="32" fillId="7" borderId="0" xfId="0" applyFont="1" applyFill="1" applyBorder="1" applyAlignment="1">
      <alignment horizontal="left" vertical="top" shrinkToFit="1"/>
    </xf>
    <xf numFmtId="0" fontId="292" fillId="7" borderId="2" xfId="0" applyFont="1" applyFill="1" applyBorder="1" applyAlignment="1">
      <alignment horizontal="center" vertical="center"/>
    </xf>
    <xf numFmtId="0" fontId="292" fillId="7" borderId="0" xfId="0" applyFont="1" applyFill="1" applyBorder="1" applyAlignment="1">
      <alignment horizontal="center" vertical="top"/>
    </xf>
    <xf numFmtId="0" fontId="292" fillId="7" borderId="0" xfId="0" applyFont="1" applyFill="1" applyBorder="1" applyAlignment="1">
      <alignment vertical="top" shrinkToFit="1"/>
    </xf>
    <xf numFmtId="0" fontId="292" fillId="7" borderId="0" xfId="0" quotePrefix="1" applyFont="1" applyFill="1" applyBorder="1" applyAlignment="1">
      <alignment horizontal="left" vertical="center" shrinkToFit="1"/>
    </xf>
    <xf numFmtId="0" fontId="292" fillId="7" borderId="0" xfId="0" quotePrefix="1" applyFont="1" applyFill="1" applyBorder="1" applyAlignment="1">
      <alignment vertical="center" shrinkToFit="1"/>
    </xf>
    <xf numFmtId="0" fontId="292" fillId="7" borderId="2" xfId="0" quotePrefix="1" applyFont="1" applyFill="1" applyBorder="1" applyAlignment="1">
      <alignment vertical="center" shrinkToFit="1"/>
    </xf>
    <xf numFmtId="0" fontId="292" fillId="7" borderId="0" xfId="0" quotePrefix="1" applyFont="1" applyFill="1" applyBorder="1" applyAlignment="1">
      <alignment vertical="center"/>
    </xf>
    <xf numFmtId="0" fontId="2" fillId="4" borderId="0" xfId="0" applyFont="1" applyFill="1" applyBorder="1" applyAlignment="1">
      <alignment vertical="center"/>
    </xf>
    <xf numFmtId="0" fontId="2" fillId="4" borderId="1" xfId="0" applyFont="1" applyFill="1" applyBorder="1" applyAlignment="1">
      <alignment vertical="center"/>
    </xf>
    <xf numFmtId="0" fontId="2" fillId="10" borderId="2" xfId="0" applyFont="1" applyFill="1" applyBorder="1" applyAlignment="1">
      <alignment vertical="center"/>
    </xf>
    <xf numFmtId="0" fontId="2" fillId="10" borderId="0" xfId="0" applyFont="1" applyFill="1" applyBorder="1" applyAlignment="1">
      <alignment vertical="center"/>
    </xf>
    <xf numFmtId="0" fontId="2" fillId="10" borderId="17" xfId="0" applyFont="1" applyFill="1" applyBorder="1" applyAlignment="1">
      <alignment horizontal="center" vertical="center"/>
    </xf>
    <xf numFmtId="0" fontId="32" fillId="7" borderId="0" xfId="0" applyFont="1" applyFill="1" applyBorder="1" applyAlignment="1">
      <alignment vertical="top" shrinkToFit="1"/>
    </xf>
    <xf numFmtId="0" fontId="34" fillId="7" borderId="0" xfId="0" applyFont="1" applyFill="1" applyBorder="1" applyAlignment="1">
      <alignment horizontal="left" shrinkToFit="1"/>
    </xf>
    <xf numFmtId="0" fontId="32" fillId="7" borderId="2" xfId="0" applyFont="1" applyFill="1" applyBorder="1" applyAlignment="1">
      <alignment vertical="center" shrinkToFit="1"/>
    </xf>
    <xf numFmtId="0" fontId="32" fillId="7" borderId="113" xfId="0" applyFont="1" applyFill="1" applyBorder="1" applyAlignment="1">
      <alignment shrinkToFit="1"/>
    </xf>
    <xf numFmtId="0" fontId="15" fillId="4" borderId="0" xfId="0" applyFont="1" applyFill="1" applyBorder="1" applyAlignment="1">
      <alignment horizontal="center" vertical="center"/>
    </xf>
    <xf numFmtId="0" fontId="15" fillId="4" borderId="1" xfId="0" applyFont="1" applyFill="1" applyBorder="1" applyAlignment="1">
      <alignment horizontal="center" vertical="center"/>
    </xf>
    <xf numFmtId="0" fontId="15" fillId="10" borderId="248" xfId="0" applyFont="1" applyFill="1" applyBorder="1" applyAlignment="1">
      <alignment horizontal="center" vertical="center"/>
    </xf>
    <xf numFmtId="0" fontId="32" fillId="10" borderId="11" xfId="0" applyFont="1" applyFill="1" applyBorder="1" applyAlignment="1">
      <alignment vertical="center" shrinkToFit="1"/>
    </xf>
    <xf numFmtId="0" fontId="15" fillId="10" borderId="11" xfId="0" applyFont="1" applyFill="1" applyBorder="1" applyAlignment="1">
      <alignment horizontal="center" vertical="center"/>
    </xf>
    <xf numFmtId="0" fontId="12" fillId="7" borderId="0" xfId="0" quotePrefix="1" applyFont="1" applyFill="1" applyBorder="1" applyAlignment="1">
      <alignment horizontal="left" vertical="center"/>
    </xf>
    <xf numFmtId="0" fontId="8" fillId="7" borderId="0" xfId="0" applyFont="1" applyFill="1" applyBorder="1" applyAlignment="1">
      <alignment horizontal="center" vertical="center"/>
    </xf>
    <xf numFmtId="0" fontId="12" fillId="7" borderId="0" xfId="0" quotePrefix="1" applyFont="1" applyFill="1" applyBorder="1" applyAlignment="1">
      <alignment horizontal="left" vertical="top"/>
    </xf>
    <xf numFmtId="0" fontId="15" fillId="10" borderId="2" xfId="0" applyFont="1" applyFill="1" applyBorder="1" applyAlignment="1">
      <alignment horizontal="center" vertical="center"/>
    </xf>
    <xf numFmtId="0" fontId="32" fillId="10" borderId="0" xfId="0" applyFont="1" applyFill="1" applyBorder="1" applyAlignment="1">
      <alignment vertical="center" shrinkToFit="1"/>
    </xf>
    <xf numFmtId="0" fontId="15" fillId="10" borderId="0" xfId="0" applyFont="1" applyFill="1" applyBorder="1" applyAlignment="1">
      <alignment horizontal="center" vertical="center"/>
    </xf>
    <xf numFmtId="0" fontId="119" fillId="7" borderId="2" xfId="0" applyFont="1" applyFill="1" applyBorder="1" applyAlignment="1">
      <alignment horizontal="center" vertical="center"/>
    </xf>
    <xf numFmtId="0" fontId="291" fillId="7" borderId="0" xfId="0" applyFont="1" applyFill="1" applyBorder="1" applyAlignment="1">
      <alignment vertical="center" shrinkToFit="1"/>
    </xf>
    <xf numFmtId="0" fontId="292" fillId="7" borderId="0" xfId="0" applyFont="1" applyFill="1" applyBorder="1" applyAlignment="1">
      <alignment vertical="center" shrinkToFit="1"/>
    </xf>
    <xf numFmtId="179" fontId="207" fillId="10" borderId="0" xfId="0" applyNumberFormat="1" applyFont="1" applyFill="1" applyBorder="1" applyAlignment="1">
      <alignment vertical="center" shrinkToFit="1"/>
    </xf>
    <xf numFmtId="0" fontId="33" fillId="10" borderId="0" xfId="0" applyFont="1" applyFill="1" applyBorder="1" applyAlignment="1">
      <alignment vertical="center" shrinkToFit="1"/>
    </xf>
    <xf numFmtId="0" fontId="292" fillId="7" borderId="0" xfId="0" applyFont="1" applyFill="1" applyBorder="1" applyAlignment="1">
      <alignment horizontal="left"/>
    </xf>
    <xf numFmtId="0" fontId="12" fillId="7" borderId="0" xfId="0" applyFont="1" applyFill="1" applyBorder="1" applyAlignment="1">
      <alignment horizontal="left"/>
    </xf>
    <xf numFmtId="0" fontId="32" fillId="7" borderId="116" xfId="0" applyFont="1" applyFill="1" applyBorder="1" applyAlignment="1">
      <alignment vertical="center" shrinkToFit="1"/>
    </xf>
    <xf numFmtId="0" fontId="15" fillId="7" borderId="568" xfId="0" applyFont="1" applyFill="1" applyBorder="1" applyAlignment="1">
      <alignment horizontal="center" vertical="center"/>
    </xf>
    <xf numFmtId="0" fontId="32" fillId="4" borderId="0" xfId="0" applyFont="1" applyFill="1" applyBorder="1" applyAlignment="1">
      <alignment vertical="center" shrinkToFit="1"/>
    </xf>
    <xf numFmtId="0" fontId="15" fillId="7" borderId="569" xfId="0" applyFont="1" applyFill="1" applyBorder="1" applyAlignment="1">
      <alignment horizontal="center" vertical="center"/>
    </xf>
    <xf numFmtId="0" fontId="15" fillId="7" borderId="570" xfId="0" applyFont="1" applyFill="1" applyBorder="1" applyAlignment="1">
      <alignment horizontal="center" vertical="center"/>
    </xf>
    <xf numFmtId="0" fontId="32" fillId="7" borderId="114" xfId="0" applyFont="1" applyFill="1" applyBorder="1" applyAlignment="1">
      <alignment vertical="center" shrinkToFit="1"/>
    </xf>
    <xf numFmtId="0" fontId="32" fillId="7" borderId="111" xfId="0" applyFont="1" applyFill="1" applyBorder="1" applyAlignment="1">
      <alignment vertical="center" shrinkToFit="1"/>
    </xf>
    <xf numFmtId="0" fontId="32" fillId="7" borderId="118" xfId="0" applyFont="1" applyFill="1" applyBorder="1" applyAlignment="1">
      <alignment vertical="center" shrinkToFit="1"/>
    </xf>
    <xf numFmtId="0" fontId="15" fillId="10" borderId="2" xfId="0" applyFont="1" applyFill="1" applyBorder="1" applyAlignment="1">
      <alignment horizontal="center"/>
    </xf>
    <xf numFmtId="0" fontId="32" fillId="10" borderId="0" xfId="0" applyFont="1" applyFill="1" applyBorder="1" applyAlignment="1">
      <alignment shrinkToFit="1"/>
    </xf>
    <xf numFmtId="0" fontId="15" fillId="10" borderId="0" xfId="0" applyFont="1" applyFill="1" applyBorder="1" applyAlignment="1">
      <alignment horizontal="center"/>
    </xf>
    <xf numFmtId="0" fontId="15" fillId="7" borderId="5" xfId="0" applyFont="1" applyFill="1" applyBorder="1" applyAlignment="1">
      <alignment horizontal="center"/>
    </xf>
    <xf numFmtId="0" fontId="15" fillId="7" borderId="0" xfId="0" applyFont="1" applyFill="1" applyBorder="1" applyAlignment="1">
      <alignment horizontal="center"/>
    </xf>
    <xf numFmtId="0" fontId="294" fillId="10" borderId="2" xfId="0" applyFont="1" applyFill="1" applyBorder="1" applyAlignment="1">
      <alignment vertical="center" shrinkToFit="1"/>
    </xf>
    <xf numFmtId="0" fontId="294" fillId="10" borderId="0" xfId="0" applyFont="1" applyFill="1" applyBorder="1" applyAlignment="1">
      <alignment vertical="center" shrinkToFit="1"/>
    </xf>
    <xf numFmtId="0" fontId="16" fillId="4" borderId="0" xfId="0" applyFont="1" applyFill="1" applyBorder="1" applyAlignment="1"/>
    <xf numFmtId="0" fontId="16" fillId="4" borderId="1" xfId="0" applyFont="1" applyFill="1" applyBorder="1" applyAlignment="1"/>
    <xf numFmtId="0" fontId="300" fillId="10" borderId="517" xfId="0" applyFont="1" applyFill="1" applyBorder="1" applyAlignment="1"/>
    <xf numFmtId="0" fontId="2" fillId="10" borderId="250" xfId="0" applyFont="1" applyFill="1" applyBorder="1" applyAlignment="1">
      <alignment horizontal="center" vertical="center"/>
    </xf>
    <xf numFmtId="0" fontId="300" fillId="10" borderId="520" xfId="0" applyFont="1" applyFill="1" applyBorder="1" applyAlignment="1"/>
    <xf numFmtId="0" fontId="32" fillId="4" borderId="1" xfId="0" applyFont="1" applyFill="1" applyBorder="1" applyAlignment="1">
      <alignment vertical="top" shrinkToFit="1"/>
    </xf>
    <xf numFmtId="0" fontId="32" fillId="10" borderId="248" xfId="0" applyFont="1" applyFill="1" applyBorder="1" applyAlignment="1">
      <alignment vertical="top" shrinkToFit="1"/>
    </xf>
    <xf numFmtId="0" fontId="32" fillId="10" borderId="11" xfId="0" applyFont="1" applyFill="1" applyBorder="1" applyAlignment="1">
      <alignment vertical="top" shrinkToFit="1"/>
    </xf>
    <xf numFmtId="0" fontId="8" fillId="10" borderId="0" xfId="0" applyFont="1" applyFill="1" applyBorder="1" applyAlignment="1">
      <alignment horizontal="center" vertical="center"/>
    </xf>
    <xf numFmtId="0" fontId="8" fillId="10" borderId="517" xfId="0" applyFont="1" applyFill="1" applyBorder="1" applyAlignment="1">
      <alignment horizontal="center" vertical="center"/>
    </xf>
    <xf numFmtId="0" fontId="8" fillId="7" borderId="521" xfId="0" applyFont="1" applyFill="1" applyBorder="1" applyAlignment="1">
      <alignment horizontal="center" vertical="center"/>
    </xf>
    <xf numFmtId="0" fontId="8" fillId="7" borderId="522" xfId="0" applyFont="1" applyFill="1" applyBorder="1" applyAlignment="1">
      <alignment horizontal="center" vertical="center"/>
    </xf>
    <xf numFmtId="0" fontId="301" fillId="7" borderId="522" xfId="0" applyFont="1" applyFill="1" applyBorder="1" applyAlignment="1">
      <alignment horizontal="left" vertical="center" shrinkToFit="1"/>
    </xf>
    <xf numFmtId="0" fontId="301" fillId="7" borderId="522" xfId="0" applyFont="1" applyFill="1" applyBorder="1" applyAlignment="1">
      <alignment horizontal="center" vertical="top" shrinkToFit="1"/>
    </xf>
    <xf numFmtId="0" fontId="12" fillId="7" borderId="522" xfId="0" quotePrefix="1" applyFont="1" applyFill="1" applyBorder="1" applyAlignment="1">
      <alignment horizontal="left" vertical="top"/>
    </xf>
    <xf numFmtId="0" fontId="301" fillId="7" borderId="522" xfId="0" applyFont="1" applyFill="1" applyBorder="1" applyAlignment="1">
      <alignment vertical="top" shrinkToFit="1"/>
    </xf>
    <xf numFmtId="0" fontId="301" fillId="7" borderId="522" xfId="0" applyFont="1" applyFill="1" applyBorder="1" applyAlignment="1">
      <alignment horizontal="left" vertical="top" shrinkToFit="1"/>
    </xf>
    <xf numFmtId="0" fontId="12" fillId="7" borderId="522" xfId="0" quotePrefix="1" applyFont="1" applyFill="1" applyBorder="1" applyAlignment="1">
      <alignment horizontal="left" vertical="center"/>
    </xf>
    <xf numFmtId="0" fontId="301" fillId="7" borderId="522" xfId="0" applyFont="1" applyFill="1" applyBorder="1" applyAlignment="1">
      <alignment vertical="center" shrinkToFit="1"/>
    </xf>
    <xf numFmtId="0" fontId="2" fillId="7" borderId="571" xfId="0" applyFont="1" applyFill="1" applyBorder="1" applyAlignment="1">
      <alignment horizontal="center" vertical="center"/>
    </xf>
    <xf numFmtId="179" fontId="298" fillId="4" borderId="0" xfId="0" applyNumberFormat="1" applyFont="1" applyFill="1" applyBorder="1" applyAlignment="1">
      <alignment vertical="center" shrinkToFit="1"/>
    </xf>
    <xf numFmtId="179" fontId="298" fillId="4" borderId="1" xfId="0" applyNumberFormat="1" applyFont="1" applyFill="1" applyBorder="1" applyAlignment="1">
      <alignment vertical="center" shrinkToFit="1"/>
    </xf>
    <xf numFmtId="179" fontId="298" fillId="10" borderId="2" xfId="0" applyNumberFormat="1" applyFont="1" applyFill="1" applyBorder="1" applyAlignment="1">
      <alignment vertical="center" shrinkToFit="1"/>
    </xf>
    <xf numFmtId="0" fontId="98" fillId="10" borderId="0" xfId="0" applyFont="1" applyFill="1" applyBorder="1" applyAlignment="1">
      <alignment vertical="center" shrinkToFit="1"/>
    </xf>
    <xf numFmtId="0" fontId="32" fillId="10" borderId="0" xfId="0" applyFont="1" applyFill="1" applyBorder="1" applyAlignment="1">
      <alignment vertical="top" shrinkToFit="1"/>
    </xf>
    <xf numFmtId="0" fontId="8" fillId="7" borderId="2" xfId="0" applyFont="1" applyFill="1" applyBorder="1" applyAlignment="1">
      <alignment horizontal="center" vertical="center"/>
    </xf>
    <xf numFmtId="0" fontId="302" fillId="7" borderId="0" xfId="0" applyFont="1" applyFill="1" applyBorder="1" applyAlignment="1">
      <alignment horizontal="center" vertical="center"/>
    </xf>
    <xf numFmtId="0" fontId="302" fillId="7" borderId="0" xfId="0" applyFont="1" applyFill="1" applyBorder="1" applyAlignment="1">
      <alignment horizontal="left" vertical="center" shrinkToFit="1"/>
    </xf>
    <xf numFmtId="0" fontId="302" fillId="7" borderId="0" xfId="0" applyFont="1" applyFill="1" applyBorder="1" applyAlignment="1">
      <alignment horizontal="center" vertical="top" shrinkToFit="1"/>
    </xf>
    <xf numFmtId="0" fontId="292" fillId="7" borderId="0" xfId="0" applyFont="1" applyFill="1" applyBorder="1" applyAlignment="1">
      <alignment horizontal="left" vertical="center" shrinkToFit="1"/>
    </xf>
    <xf numFmtId="0" fontId="292" fillId="7" borderId="0" xfId="0" applyFont="1" applyFill="1" applyBorder="1" applyAlignment="1">
      <alignment horizontal="center" vertical="top" shrinkToFit="1"/>
    </xf>
    <xf numFmtId="0" fontId="292" fillId="7" borderId="0" xfId="0" applyFont="1" applyFill="1" applyBorder="1" applyAlignment="1">
      <alignment horizontal="left" vertical="top" shrinkToFit="1"/>
    </xf>
    <xf numFmtId="0" fontId="292" fillId="7" borderId="0" xfId="0" quotePrefix="1" applyFont="1" applyFill="1" applyBorder="1" applyAlignment="1">
      <alignment horizontal="left" vertical="top"/>
    </xf>
    <xf numFmtId="0" fontId="303" fillId="7" borderId="0" xfId="0" applyFont="1" applyFill="1" applyBorder="1" applyAlignment="1">
      <alignment vertical="center" shrinkToFit="1"/>
    </xf>
    <xf numFmtId="179" fontId="8" fillId="4" borderId="0" xfId="0" applyNumberFormat="1" applyFont="1" applyFill="1" applyBorder="1" applyAlignment="1">
      <alignment vertical="center" shrinkToFit="1"/>
    </xf>
    <xf numFmtId="179" fontId="8" fillId="4" borderId="1" xfId="0" applyNumberFormat="1" applyFont="1" applyFill="1" applyBorder="1" applyAlignment="1">
      <alignment vertical="center" shrinkToFit="1"/>
    </xf>
    <xf numFmtId="179" fontId="8" fillId="10" borderId="2" xfId="0" applyNumberFormat="1" applyFont="1" applyFill="1" applyBorder="1" applyAlignment="1">
      <alignment vertical="center" shrinkToFit="1"/>
    </xf>
    <xf numFmtId="0" fontId="302" fillId="7" borderId="0" xfId="0" applyFont="1" applyFill="1" applyBorder="1" applyAlignment="1">
      <alignment vertical="top" shrinkToFit="1"/>
    </xf>
    <xf numFmtId="0" fontId="32" fillId="10" borderId="0" xfId="0" applyFont="1" applyFill="1" applyBorder="1" applyAlignment="1">
      <alignment horizontal="center" vertical="top" shrinkToFit="1"/>
    </xf>
    <xf numFmtId="0" fontId="32" fillId="7" borderId="0" xfId="0" applyFont="1" applyFill="1" applyBorder="1" applyAlignment="1">
      <alignment horizontal="left" vertical="center" shrinkToFit="1"/>
    </xf>
    <xf numFmtId="0" fontId="32" fillId="7" borderId="116" xfId="0" applyFont="1" applyFill="1" applyBorder="1" applyAlignment="1">
      <alignment horizontal="left" vertical="center" shrinkToFit="1"/>
    </xf>
    <xf numFmtId="0" fontId="32" fillId="7" borderId="116" xfId="0" applyFont="1" applyFill="1" applyBorder="1" applyAlignment="1">
      <alignment vertical="top" shrinkToFit="1"/>
    </xf>
    <xf numFmtId="0" fontId="15" fillId="7" borderId="241" xfId="0" applyFont="1" applyFill="1" applyBorder="1" applyAlignment="1">
      <alignment horizontal="center" vertical="center"/>
    </xf>
    <xf numFmtId="0" fontId="15" fillId="7" borderId="439" xfId="0" applyFont="1" applyFill="1" applyBorder="1" applyAlignment="1">
      <alignment horizontal="center" vertical="center"/>
    </xf>
    <xf numFmtId="0" fontId="15" fillId="7" borderId="68" xfId="0" applyFont="1" applyFill="1" applyBorder="1" applyAlignment="1">
      <alignment horizontal="center" vertical="center"/>
    </xf>
    <xf numFmtId="0" fontId="15" fillId="7" borderId="65" xfId="0" applyFont="1" applyFill="1" applyBorder="1" applyAlignment="1">
      <alignment horizontal="center" vertical="center"/>
    </xf>
    <xf numFmtId="0" fontId="15" fillId="7" borderId="572" xfId="0" applyFont="1" applyFill="1" applyBorder="1" applyAlignment="1">
      <alignment horizontal="center" vertical="center"/>
    </xf>
    <xf numFmtId="0" fontId="15" fillId="7" borderId="573" xfId="0" applyFont="1" applyFill="1" applyBorder="1" applyAlignment="1">
      <alignment horizontal="center" vertical="center"/>
    </xf>
    <xf numFmtId="0" fontId="15" fillId="7" borderId="56" xfId="0" applyFont="1" applyFill="1" applyBorder="1" applyAlignment="1">
      <alignment horizontal="center" vertical="center"/>
    </xf>
    <xf numFmtId="0" fontId="15" fillId="35" borderId="575" xfId="0" applyFont="1" applyFill="1" applyBorder="1" applyAlignment="1">
      <alignment horizontal="center" vertical="center"/>
    </xf>
    <xf numFmtId="0" fontId="15" fillId="7" borderId="576" xfId="0" applyFont="1" applyFill="1" applyBorder="1" applyAlignment="1">
      <alignment horizontal="center" vertical="center"/>
    </xf>
    <xf numFmtId="0" fontId="32" fillId="7" borderId="1" xfId="0" applyFont="1" applyFill="1" applyBorder="1" applyAlignment="1">
      <alignment vertical="center" shrinkToFit="1"/>
    </xf>
    <xf numFmtId="179" fontId="298" fillId="10" borderId="2" xfId="0" quotePrefix="1" applyNumberFormat="1" applyFont="1" applyFill="1" applyBorder="1" applyAlignment="1">
      <alignment vertical="center" shrinkToFit="1"/>
    </xf>
    <xf numFmtId="0" fontId="15" fillId="35" borderId="577" xfId="0" applyFont="1" applyFill="1" applyBorder="1" applyAlignment="1">
      <alignment horizontal="center" vertical="center"/>
    </xf>
    <xf numFmtId="0" fontId="15" fillId="7" borderId="67" xfId="0" applyFont="1" applyFill="1" applyBorder="1" applyAlignment="1">
      <alignment horizontal="center" vertical="center"/>
    </xf>
    <xf numFmtId="0" fontId="15" fillId="7" borderId="578" xfId="0" applyFont="1" applyFill="1" applyBorder="1" applyAlignment="1">
      <alignment horizontal="center" vertical="center"/>
    </xf>
    <xf numFmtId="0" fontId="15" fillId="7" borderId="124" xfId="0" applyFont="1" applyFill="1" applyBorder="1" applyAlignment="1">
      <alignment horizontal="center" vertical="center"/>
    </xf>
    <xf numFmtId="0" fontId="15" fillId="7" borderId="69" xfId="0" applyFont="1" applyFill="1" applyBorder="1" applyAlignment="1">
      <alignment horizontal="center" vertical="center"/>
    </xf>
    <xf numFmtId="0" fontId="15" fillId="7" borderId="579" xfId="0" applyFont="1" applyFill="1" applyBorder="1" applyAlignment="1">
      <alignment horizontal="center" vertical="center"/>
    </xf>
    <xf numFmtId="0" fontId="15" fillId="35" borderId="580" xfId="0" applyFont="1" applyFill="1" applyBorder="1" applyAlignment="1">
      <alignment horizontal="center" vertical="center"/>
    </xf>
    <xf numFmtId="0" fontId="15" fillId="35" borderId="581" xfId="0" applyFont="1" applyFill="1" applyBorder="1" applyAlignment="1">
      <alignment horizontal="center" vertical="center"/>
    </xf>
    <xf numFmtId="0" fontId="15" fillId="35" borderId="582" xfId="0" applyFont="1" applyFill="1" applyBorder="1" applyAlignment="1">
      <alignment horizontal="center" vertical="center"/>
    </xf>
    <xf numFmtId="0" fontId="15" fillId="7" borderId="583" xfId="0" applyFont="1" applyFill="1" applyBorder="1" applyAlignment="1">
      <alignment horizontal="center" vertical="center"/>
    </xf>
    <xf numFmtId="0" fontId="15" fillId="7" borderId="54" xfId="0" applyFont="1" applyFill="1" applyBorder="1" applyAlignment="1">
      <alignment horizontal="center" vertical="center"/>
    </xf>
    <xf numFmtId="0" fontId="15" fillId="7" borderId="584" xfId="0" applyFont="1" applyFill="1" applyBorder="1" applyAlignment="1">
      <alignment horizontal="center" vertical="center"/>
    </xf>
    <xf numFmtId="0" fontId="15" fillId="35" borderId="585" xfId="0" applyFont="1" applyFill="1" applyBorder="1" applyAlignment="1">
      <alignment horizontal="center" vertical="center"/>
    </xf>
    <xf numFmtId="0" fontId="15" fillId="35" borderId="586" xfId="0" applyFont="1" applyFill="1" applyBorder="1" applyAlignment="1">
      <alignment horizontal="center" vertical="center"/>
    </xf>
    <xf numFmtId="0" fontId="15" fillId="35" borderId="587" xfId="0" applyFont="1" applyFill="1" applyBorder="1" applyAlignment="1">
      <alignment horizontal="center" vertical="center"/>
    </xf>
    <xf numFmtId="0" fontId="32" fillId="7" borderId="55" xfId="0" applyFont="1" applyFill="1" applyBorder="1" applyAlignment="1">
      <alignment vertical="center" shrinkToFit="1"/>
    </xf>
    <xf numFmtId="0" fontId="15" fillId="35" borderId="588" xfId="0" applyFont="1" applyFill="1" applyBorder="1" applyAlignment="1">
      <alignment horizontal="center" vertical="center"/>
    </xf>
    <xf numFmtId="0" fontId="15" fillId="35" borderId="589" xfId="0" applyFont="1" applyFill="1" applyBorder="1" applyAlignment="1">
      <alignment horizontal="center" vertical="center"/>
    </xf>
    <xf numFmtId="0" fontId="15" fillId="7" borderId="590" xfId="0" applyFont="1" applyFill="1" applyBorder="1" applyAlignment="1">
      <alignment horizontal="center" vertical="center"/>
    </xf>
    <xf numFmtId="0" fontId="15" fillId="7" borderId="78" xfId="0" applyFont="1" applyFill="1" applyBorder="1" applyAlignment="1">
      <alignment horizontal="center" vertical="center"/>
    </xf>
    <xf numFmtId="0" fontId="15" fillId="7" borderId="60" xfId="0" applyFont="1" applyFill="1" applyBorder="1" applyAlignment="1">
      <alignment horizontal="center" vertical="center"/>
    </xf>
    <xf numFmtId="0" fontId="15" fillId="7" borderId="243" xfId="0" applyFont="1" applyFill="1" applyBorder="1" applyAlignment="1">
      <alignment horizontal="center" vertical="center"/>
    </xf>
    <xf numFmtId="0" fontId="15" fillId="7" borderId="591" xfId="0" applyFont="1" applyFill="1" applyBorder="1" applyAlignment="1">
      <alignment horizontal="center" vertical="center"/>
    </xf>
    <xf numFmtId="0" fontId="15" fillId="7" borderId="382" xfId="0" applyFont="1" applyFill="1" applyBorder="1" applyAlignment="1">
      <alignment horizontal="center" vertical="center"/>
    </xf>
    <xf numFmtId="0" fontId="15" fillId="7" borderId="382" xfId="0" applyFont="1" applyFill="1" applyBorder="1" applyAlignment="1">
      <alignment horizontal="center"/>
    </xf>
    <xf numFmtId="0" fontId="15" fillId="34" borderId="0" xfId="0" applyFont="1" applyFill="1" applyBorder="1" applyAlignment="1">
      <alignment horizontal="center" vertical="center"/>
    </xf>
    <xf numFmtId="0" fontId="16" fillId="7" borderId="0" xfId="0" applyFont="1" applyFill="1" applyBorder="1" applyAlignment="1"/>
    <xf numFmtId="0" fontId="21" fillId="7" borderId="0" xfId="0" applyFont="1" applyFill="1" applyBorder="1" applyAlignment="1">
      <alignment vertical="center" shrinkToFit="1"/>
    </xf>
    <xf numFmtId="0" fontId="16" fillId="10" borderId="2" xfId="0" applyFont="1" applyFill="1" applyBorder="1" applyAlignment="1"/>
    <xf numFmtId="0" fontId="2" fillId="10" borderId="523" xfId="0" applyFont="1" applyFill="1" applyBorder="1" applyAlignment="1">
      <alignment horizontal="center" vertical="top"/>
    </xf>
    <xf numFmtId="0" fontId="8" fillId="7" borderId="0" xfId="0" applyFont="1" applyFill="1" applyBorder="1" applyAlignment="1">
      <alignment horizontal="center" vertical="top"/>
    </xf>
    <xf numFmtId="0" fontId="8" fillId="7" borderId="2" xfId="0" applyFont="1" applyFill="1" applyBorder="1" applyAlignment="1">
      <alignment horizontal="center" vertical="top"/>
    </xf>
    <xf numFmtId="0" fontId="291" fillId="7" borderId="0" xfId="0" applyFont="1" applyFill="1" applyBorder="1" applyAlignment="1">
      <alignment horizontal="center" vertical="top"/>
    </xf>
    <xf numFmtId="0" fontId="291" fillId="7" borderId="0" xfId="0" applyFont="1" applyFill="1" applyBorder="1" applyAlignment="1">
      <alignment horizontal="left" vertical="top"/>
    </xf>
    <xf numFmtId="0" fontId="292" fillId="7" borderId="0" xfId="0" applyFont="1" applyFill="1" applyBorder="1" applyAlignment="1">
      <alignment horizontal="left" vertical="top"/>
    </xf>
    <xf numFmtId="0" fontId="291" fillId="7" borderId="0" xfId="0" applyFont="1" applyFill="1" applyBorder="1" applyAlignment="1">
      <alignment vertical="top"/>
    </xf>
    <xf numFmtId="0" fontId="2" fillId="10" borderId="517" xfId="0" applyFont="1" applyFill="1" applyBorder="1" applyAlignment="1">
      <alignment horizontal="center" vertical="top"/>
    </xf>
    <xf numFmtId="0" fontId="291" fillId="7" borderId="0" xfId="0" applyFont="1" applyFill="1" applyBorder="1" applyAlignment="1">
      <alignment horizontal="left" vertical="center"/>
    </xf>
    <xf numFmtId="0" fontId="291" fillId="7" borderId="0" xfId="0" applyFont="1" applyFill="1" applyBorder="1" applyAlignment="1">
      <alignment vertical="center"/>
    </xf>
    <xf numFmtId="0" fontId="2" fillId="7" borderId="68" xfId="0" applyFont="1" applyFill="1" applyBorder="1" applyAlignment="1">
      <alignment horizontal="center" vertical="center"/>
    </xf>
    <xf numFmtId="0" fontId="8" fillId="7" borderId="68" xfId="0" applyFont="1" applyFill="1" applyBorder="1" applyAlignment="1">
      <alignment horizontal="center" vertical="center"/>
    </xf>
    <xf numFmtId="0" fontId="19" fillId="7" borderId="0" xfId="1" quotePrefix="1" applyFill="1" applyBorder="1" applyAlignment="1">
      <alignment horizontal="center" vertical="center"/>
    </xf>
    <xf numFmtId="0" fontId="8" fillId="7" borderId="524" xfId="0" applyFont="1" applyFill="1" applyBorder="1" applyAlignment="1">
      <alignment horizontal="center" vertical="center"/>
    </xf>
    <xf numFmtId="0" fontId="8" fillId="7" borderId="525" xfId="0" applyFont="1" applyFill="1" applyBorder="1" applyAlignment="1">
      <alignment horizontal="center" vertical="center"/>
    </xf>
    <xf numFmtId="0" fontId="23" fillId="7" borderId="293" xfId="0" applyFont="1" applyFill="1" applyBorder="1" applyAlignment="1">
      <alignment vertical="center"/>
    </xf>
    <xf numFmtId="0" fontId="9" fillId="7" borderId="293" xfId="0" applyFont="1" applyFill="1" applyBorder="1" applyAlignment="1">
      <alignment vertical="center"/>
    </xf>
    <xf numFmtId="0" fontId="2" fillId="35" borderId="526" xfId="0" applyFont="1" applyFill="1" applyBorder="1" applyAlignment="1">
      <alignment horizontal="center" vertical="center"/>
    </xf>
    <xf numFmtId="0" fontId="2" fillId="35" borderId="527" xfId="0" applyFont="1" applyFill="1" applyBorder="1" applyAlignment="1">
      <alignment horizontal="center" vertical="center"/>
    </xf>
    <xf numFmtId="0" fontId="2" fillId="35" borderId="558" xfId="0" applyFont="1" applyFill="1" applyBorder="1" applyAlignment="1">
      <alignment horizontal="center" vertical="center"/>
    </xf>
    <xf numFmtId="0" fontId="2" fillId="7" borderId="559"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560" xfId="0" applyFont="1" applyFill="1" applyBorder="1" applyAlignment="1">
      <alignment horizontal="center" vertical="center"/>
    </xf>
    <xf numFmtId="0" fontId="2" fillId="7" borderId="529"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1" xfId="0" applyFont="1" applyFill="1" applyBorder="1" applyAlignment="1">
      <alignment horizontal="center" vertical="center"/>
    </xf>
    <xf numFmtId="0" fontId="2" fillId="7" borderId="362" xfId="0" applyFont="1" applyFill="1" applyBorder="1" applyAlignment="1">
      <alignment horizontal="center" vertical="center"/>
    </xf>
    <xf numFmtId="0" fontId="2" fillId="35" borderId="528" xfId="0" applyFont="1" applyFill="1" applyBorder="1" applyAlignment="1">
      <alignment horizontal="center" vertical="center"/>
    </xf>
    <xf numFmtId="0" fontId="2" fillId="7" borderId="537" xfId="0" applyFont="1" applyFill="1" applyBorder="1" applyAlignment="1">
      <alignment horizontal="center" vertical="center"/>
    </xf>
    <xf numFmtId="0" fontId="8" fillId="7" borderId="1" xfId="0" applyFont="1" applyFill="1" applyBorder="1" applyAlignment="1">
      <alignment horizontal="center" vertical="center"/>
    </xf>
    <xf numFmtId="0" fontId="8" fillId="35" borderId="526" xfId="0" applyFont="1" applyFill="1" applyBorder="1" applyAlignment="1">
      <alignment horizontal="center" vertical="center"/>
    </xf>
    <xf numFmtId="0" fontId="8" fillId="35" borderId="527" xfId="0" applyFont="1" applyFill="1" applyBorder="1" applyAlignment="1">
      <alignment horizontal="center" vertical="center"/>
    </xf>
    <xf numFmtId="0" fontId="8" fillId="35" borderId="528" xfId="0" applyFont="1" applyFill="1" applyBorder="1" applyAlignment="1">
      <alignment horizontal="center" vertical="center"/>
    </xf>
    <xf numFmtId="0" fontId="8" fillId="7" borderId="529" xfId="0" applyFont="1" applyFill="1" applyBorder="1" applyAlignment="1">
      <alignment horizontal="center" vertical="center"/>
    </xf>
    <xf numFmtId="0" fontId="2" fillId="7" borderId="592" xfId="0" applyFont="1" applyFill="1" applyBorder="1" applyAlignment="1">
      <alignment horizontal="center" vertical="center"/>
    </xf>
    <xf numFmtId="0" fontId="2" fillId="7" borderId="593" xfId="0" applyFont="1" applyFill="1" applyBorder="1" applyAlignment="1">
      <alignment horizontal="center" vertical="center"/>
    </xf>
    <xf numFmtId="0" fontId="32" fillId="10" borderId="517" xfId="0" applyFont="1" applyFill="1" applyBorder="1" applyAlignment="1">
      <alignment vertical="center" shrinkToFit="1"/>
    </xf>
    <xf numFmtId="0" fontId="305" fillId="35" borderId="531" xfId="0" applyFont="1" applyFill="1" applyBorder="1" applyAlignment="1">
      <alignment vertical="center"/>
    </xf>
    <xf numFmtId="0" fontId="305" fillId="35" borderId="531" xfId="0" applyFont="1" applyFill="1" applyBorder="1" applyAlignment="1">
      <alignment vertical="center" shrinkToFit="1"/>
    </xf>
    <xf numFmtId="0" fontId="2" fillId="35" borderId="530" xfId="0" applyFont="1" applyFill="1" applyBorder="1" applyAlignment="1">
      <alignment horizontal="center" vertical="center"/>
    </xf>
    <xf numFmtId="0" fontId="2" fillId="35" borderId="531" xfId="0" applyFont="1" applyFill="1" applyBorder="1" applyAlignment="1">
      <alignment horizontal="center" vertical="center"/>
    </xf>
    <xf numFmtId="0" fontId="2" fillId="35" borderId="532" xfId="0" applyFont="1" applyFill="1" applyBorder="1" applyAlignment="1">
      <alignment horizontal="center" vertical="center"/>
    </xf>
    <xf numFmtId="179" fontId="297" fillId="10" borderId="0" xfId="0" applyNumberFormat="1" applyFont="1" applyFill="1" applyBorder="1" applyAlignment="1">
      <alignment horizontal="right" vertical="center" shrinkToFit="1"/>
    </xf>
    <xf numFmtId="0" fontId="15" fillId="10" borderId="517" xfId="0" applyFont="1" applyFill="1" applyBorder="1" applyAlignment="1">
      <alignment horizontal="center" vertical="center"/>
    </xf>
    <xf numFmtId="0" fontId="15" fillId="35" borderId="594" xfId="0" applyFont="1" applyFill="1" applyBorder="1" applyAlignment="1">
      <alignment horizontal="center" vertical="center"/>
    </xf>
    <xf numFmtId="0" fontId="305" fillId="35" borderId="594" xfId="0" applyFont="1" applyFill="1" applyBorder="1" applyAlignment="1">
      <alignment vertical="center" shrinkToFit="1"/>
    </xf>
    <xf numFmtId="0" fontId="15" fillId="7" borderId="42" xfId="0" applyFont="1" applyFill="1" applyBorder="1" applyAlignment="1">
      <alignment horizontal="center" vertical="center"/>
    </xf>
    <xf numFmtId="0" fontId="2" fillId="35" borderId="543" xfId="0" applyFont="1" applyFill="1" applyBorder="1" applyAlignment="1">
      <alignment horizontal="center" vertical="center"/>
    </xf>
    <xf numFmtId="0" fontId="2" fillId="35" borderId="549" xfId="0" applyFont="1" applyFill="1" applyBorder="1" applyAlignment="1">
      <alignment horizontal="center" vertical="center"/>
    </xf>
    <xf numFmtId="0" fontId="15" fillId="7" borderId="595" xfId="0" applyFont="1" applyFill="1" applyBorder="1" applyAlignment="1">
      <alignment horizontal="center" vertical="center"/>
    </xf>
    <xf numFmtId="0" fontId="15" fillId="7" borderId="94" xfId="0" applyFont="1" applyFill="1" applyBorder="1" applyAlignment="1">
      <alignment horizontal="center" vertical="center"/>
    </xf>
    <xf numFmtId="0" fontId="2" fillId="7" borderId="595" xfId="0" applyFont="1" applyFill="1" applyBorder="1" applyAlignment="1">
      <alignment horizontal="center" vertical="center"/>
    </xf>
    <xf numFmtId="0" fontId="32" fillId="7" borderId="253" xfId="0" applyFont="1" applyFill="1" applyBorder="1" applyAlignment="1">
      <alignment shrinkToFit="1"/>
    </xf>
    <xf numFmtId="0" fontId="15" fillId="7" borderId="253" xfId="0" applyFont="1" applyFill="1" applyBorder="1" applyAlignment="1">
      <alignment horizontal="center" vertical="center"/>
    </xf>
    <xf numFmtId="0" fontId="2" fillId="7" borderId="253" xfId="0" applyFont="1" applyFill="1" applyBorder="1" applyAlignment="1">
      <alignment horizontal="center" vertical="center"/>
    </xf>
    <xf numFmtId="0" fontId="299" fillId="10" borderId="0" xfId="0" applyFont="1" applyFill="1" applyBorder="1" applyAlignment="1">
      <alignment horizontal="center" vertical="center"/>
    </xf>
    <xf numFmtId="0" fontId="2" fillId="10" borderId="15" xfId="0" applyFont="1" applyFill="1" applyBorder="1" applyAlignment="1">
      <alignment horizontal="center" vertical="center"/>
    </xf>
    <xf numFmtId="0" fontId="2" fillId="10" borderId="19" xfId="0" applyFont="1" applyFill="1" applyBorder="1" applyAlignment="1">
      <alignment horizontal="center" vertical="center"/>
    </xf>
    <xf numFmtId="0" fontId="2" fillId="7" borderId="0" xfId="0" applyFont="1" applyFill="1" applyBorder="1" applyAlignment="1">
      <alignment vertical="center"/>
    </xf>
    <xf numFmtId="0" fontId="2" fillId="7" borderId="0" xfId="0" applyFont="1" applyFill="1" applyBorder="1" applyAlignment="1">
      <alignment horizontal="left" vertical="center"/>
    </xf>
    <xf numFmtId="0" fontId="306" fillId="7" borderId="0" xfId="0" applyFont="1" applyFill="1" applyBorder="1" applyAlignment="1">
      <alignment horizontal="left" vertical="center" shrinkToFit="1"/>
    </xf>
    <xf numFmtId="0" fontId="96" fillId="7" borderId="0" xfId="0" applyFont="1" applyFill="1" applyBorder="1" applyAlignment="1">
      <alignment horizontal="right" vertical="center" shrinkToFit="1"/>
    </xf>
    <xf numFmtId="0" fontId="96" fillId="7" borderId="524" xfId="0" applyFont="1" applyFill="1" applyBorder="1" applyAlignment="1">
      <alignment horizontal="right" vertical="center" shrinkToFit="1"/>
    </xf>
    <xf numFmtId="0" fontId="96" fillId="7" borderId="525" xfId="0" applyFont="1" applyFill="1" applyBorder="1" applyAlignment="1">
      <alignment horizontal="right" vertical="center" shrinkToFit="1"/>
    </xf>
    <xf numFmtId="0" fontId="96" fillId="7" borderId="596" xfId="0" applyFont="1" applyFill="1" applyBorder="1" applyAlignment="1">
      <alignment horizontal="right" vertical="center" shrinkToFit="1"/>
    </xf>
    <xf numFmtId="0" fontId="96" fillId="7" borderId="597" xfId="0" applyFont="1" applyFill="1" applyBorder="1" applyAlignment="1">
      <alignment horizontal="right" vertical="center" shrinkToFit="1"/>
    </xf>
    <xf numFmtId="0" fontId="2" fillId="7" borderId="119" xfId="0" applyFont="1" applyFill="1" applyBorder="1" applyAlignment="1">
      <alignment horizontal="center" vertical="center"/>
    </xf>
    <xf numFmtId="0" fontId="2" fillId="7" borderId="118" xfId="0" applyFont="1" applyFill="1" applyBorder="1" applyAlignment="1">
      <alignment horizontal="center" vertical="center"/>
    </xf>
    <xf numFmtId="0" fontId="33" fillId="4" borderId="4" xfId="0" applyFont="1" applyFill="1" applyBorder="1" applyAlignment="1" applyProtection="1">
      <alignment horizontal="center" vertical="center" shrinkToFit="1"/>
      <protection locked="0"/>
    </xf>
    <xf numFmtId="0" fontId="2" fillId="4" borderId="0" xfId="0" applyFont="1" applyFill="1" applyAlignment="1" applyProtection="1">
      <alignment horizontal="center" vertical="center"/>
      <protection locked="0"/>
    </xf>
    <xf numFmtId="0" fontId="2" fillId="4" borderId="4" xfId="0" applyFont="1" applyFill="1" applyBorder="1" applyAlignment="1" applyProtection="1">
      <alignment horizontal="center" vertical="center"/>
      <protection locked="0"/>
    </xf>
    <xf numFmtId="0" fontId="33" fillId="4" borderId="4" xfId="0" applyFont="1" applyFill="1" applyBorder="1" applyAlignment="1" applyProtection="1">
      <alignment horizontal="right" vertical="center" shrinkToFit="1"/>
      <protection locked="0"/>
    </xf>
    <xf numFmtId="0" fontId="35" fillId="4" borderId="4" xfId="0" applyFont="1" applyFill="1" applyBorder="1" applyAlignment="1" applyProtection="1">
      <alignment horizontal="center" vertical="center" shrinkToFit="1"/>
      <protection locked="0"/>
    </xf>
    <xf numFmtId="0" fontId="8" fillId="4" borderId="0" xfId="0" applyFont="1" applyFill="1" applyAlignment="1" applyProtection="1">
      <alignment horizontal="center" vertical="center"/>
      <protection hidden="1"/>
    </xf>
    <xf numFmtId="184" fontId="33" fillId="4" borderId="0" xfId="0" applyNumberFormat="1" applyFont="1" applyFill="1" applyAlignment="1" applyProtection="1">
      <alignment horizontal="center" vertical="center" shrinkToFit="1"/>
      <protection hidden="1"/>
    </xf>
    <xf numFmtId="0" fontId="309" fillId="37" borderId="96" xfId="0" applyFont="1" applyFill="1" applyBorder="1" applyAlignment="1" applyProtection="1">
      <alignment vertical="center" shrinkToFit="1"/>
      <protection locked="0"/>
    </xf>
    <xf numFmtId="0" fontId="309" fillId="37" borderId="272" xfId="0" applyFont="1" applyFill="1" applyBorder="1" applyAlignment="1" applyProtection="1">
      <alignment vertical="center" shrinkToFit="1"/>
      <protection locked="0"/>
    </xf>
    <xf numFmtId="0" fontId="33" fillId="4" borderId="4" xfId="0" applyFont="1" applyFill="1" applyBorder="1" applyAlignment="1" applyProtection="1">
      <alignment horizontal="center" vertical="center"/>
      <protection locked="0"/>
    </xf>
    <xf numFmtId="0" fontId="9" fillId="37" borderId="43" xfId="0" applyFont="1" applyFill="1" applyBorder="1" applyAlignment="1" applyProtection="1">
      <alignment horizontal="center" vertical="center" shrinkToFit="1"/>
      <protection locked="0"/>
    </xf>
    <xf numFmtId="0" fontId="309" fillId="37" borderId="95" xfId="0" applyFont="1" applyFill="1" applyBorder="1" applyAlignment="1" applyProtection="1">
      <alignment vertical="center" shrinkToFit="1"/>
      <protection locked="0"/>
    </xf>
    <xf numFmtId="0" fontId="96" fillId="39" borderId="43" xfId="0" applyFont="1" applyFill="1" applyBorder="1" applyAlignment="1" applyProtection="1">
      <alignment vertical="center" shrinkToFit="1"/>
      <protection hidden="1"/>
    </xf>
    <xf numFmtId="184" fontId="311" fillId="5" borderId="0" xfId="0" applyNumberFormat="1" applyFont="1" applyFill="1" applyBorder="1" applyAlignment="1" applyProtection="1">
      <alignment vertical="center" shrinkToFit="1"/>
      <protection hidden="1"/>
    </xf>
    <xf numFmtId="184" fontId="312" fillId="5" borderId="0" xfId="0" applyNumberFormat="1" applyFont="1" applyFill="1" applyBorder="1" applyAlignment="1" applyProtection="1">
      <alignment vertical="center" shrinkToFit="1"/>
      <protection hidden="1"/>
    </xf>
    <xf numFmtId="0" fontId="313" fillId="5" borderId="0" xfId="0" applyFont="1" applyFill="1" applyBorder="1" applyAlignment="1" applyProtection="1">
      <alignment horizontal="center" vertical="center"/>
      <protection hidden="1"/>
    </xf>
    <xf numFmtId="0" fontId="315" fillId="5" borderId="0" xfId="0" applyFont="1" applyFill="1" applyBorder="1" applyAlignment="1" applyProtection="1">
      <alignment horizontal="center" vertical="center"/>
      <protection hidden="1"/>
    </xf>
    <xf numFmtId="0" fontId="318" fillId="5" borderId="0" xfId="0" applyFont="1" applyFill="1" applyBorder="1" applyAlignment="1" applyProtection="1">
      <alignment horizontal="center" vertical="center"/>
      <protection hidden="1"/>
    </xf>
    <xf numFmtId="0" fontId="33" fillId="5" borderId="0" xfId="0" applyFont="1" applyFill="1" applyBorder="1" applyAlignment="1" applyProtection="1">
      <alignment horizontal="center" vertical="center"/>
      <protection hidden="1"/>
    </xf>
    <xf numFmtId="0" fontId="4" fillId="5" borderId="0" xfId="0" applyFont="1" applyFill="1" applyBorder="1" applyAlignment="1" applyProtection="1">
      <alignment horizontal="center" vertical="center"/>
      <protection hidden="1"/>
    </xf>
    <xf numFmtId="0" fontId="120" fillId="45" borderId="0" xfId="1" applyFont="1" applyFill="1" applyBorder="1" applyAlignment="1" applyProtection="1">
      <alignment vertical="center"/>
      <protection hidden="1"/>
    </xf>
    <xf numFmtId="0" fontId="83" fillId="8" borderId="0" xfId="9" applyFill="1" applyProtection="1">
      <alignment vertical="center"/>
      <protection locked="0"/>
    </xf>
    <xf numFmtId="0" fontId="162" fillId="8" borderId="0" xfId="9" applyFont="1" applyFill="1" applyProtection="1">
      <alignment vertical="center"/>
      <protection locked="0"/>
    </xf>
    <xf numFmtId="0" fontId="431" fillId="8" borderId="70" xfId="1" applyFont="1" applyFill="1" applyBorder="1" applyAlignment="1" applyProtection="1">
      <alignment horizontal="center" vertical="center" wrapText="1"/>
      <protection hidden="1"/>
    </xf>
    <xf numFmtId="0" fontId="432" fillId="8" borderId="99" xfId="9" applyNumberFormat="1" applyFont="1" applyFill="1" applyBorder="1" applyAlignment="1" applyProtection="1">
      <alignment horizontal="left" shrinkToFit="1"/>
      <protection locked="0"/>
    </xf>
    <xf numFmtId="0" fontId="432" fillId="8" borderId="94" xfId="9" applyNumberFormat="1" applyFont="1" applyFill="1" applyBorder="1" applyAlignment="1" applyProtection="1">
      <alignment horizontal="left" shrinkToFit="1"/>
      <protection locked="0"/>
    </xf>
    <xf numFmtId="0" fontId="433" fillId="8" borderId="94" xfId="2" applyNumberFormat="1" applyFont="1" applyFill="1" applyBorder="1" applyAlignment="1" applyProtection="1">
      <alignment horizontal="left" vertical="center"/>
      <protection hidden="1"/>
    </xf>
    <xf numFmtId="0" fontId="260" fillId="8" borderId="94" xfId="9" applyNumberFormat="1" applyFont="1" applyFill="1" applyBorder="1" applyAlignment="1" applyProtection="1">
      <alignment horizontal="center" vertical="top"/>
      <protection locked="0"/>
    </xf>
    <xf numFmtId="0" fontId="85" fillId="8" borderId="94" xfId="9" applyNumberFormat="1" applyFont="1" applyFill="1" applyBorder="1" applyAlignment="1" applyProtection="1">
      <alignment horizontal="left"/>
      <protection locked="0"/>
    </xf>
    <xf numFmtId="0" fontId="121" fillId="8" borderId="94" xfId="9" applyNumberFormat="1" applyFont="1" applyFill="1" applyBorder="1" applyAlignment="1" applyProtection="1">
      <alignment horizontal="left"/>
      <protection locked="0"/>
    </xf>
    <xf numFmtId="0" fontId="163" fillId="8" borderId="94" xfId="9" applyNumberFormat="1" applyFont="1" applyFill="1" applyBorder="1" applyAlignment="1" applyProtection="1">
      <alignment horizontal="right"/>
      <protection locked="0"/>
    </xf>
    <xf numFmtId="0" fontId="121" fillId="8" borderId="94" xfId="9" applyNumberFormat="1" applyFont="1" applyFill="1" applyBorder="1" applyAlignment="1" applyProtection="1">
      <alignment horizontal="center"/>
      <protection locked="0"/>
    </xf>
    <xf numFmtId="0" fontId="434" fillId="8" borderId="94" xfId="9" applyNumberFormat="1" applyFont="1" applyFill="1" applyBorder="1" applyAlignment="1" applyProtection="1">
      <alignment horizontal="center"/>
      <protection locked="0"/>
    </xf>
    <xf numFmtId="0" fontId="435" fillId="8" borderId="31" xfId="9" applyNumberFormat="1" applyFont="1" applyFill="1" applyBorder="1" applyAlignment="1" applyProtection="1">
      <alignment horizontal="left"/>
      <protection locked="0"/>
    </xf>
    <xf numFmtId="0" fontId="436" fillId="8" borderId="598" xfId="9" applyNumberFormat="1" applyFont="1" applyFill="1" applyBorder="1" applyAlignment="1" applyProtection="1">
      <alignment horizontal="center" vertical="center"/>
      <protection locked="0"/>
    </xf>
    <xf numFmtId="0" fontId="435" fillId="8" borderId="0" xfId="9" applyNumberFormat="1" applyFont="1" applyFill="1" applyBorder="1" applyAlignment="1" applyProtection="1">
      <alignment horizontal="left"/>
      <protection hidden="1"/>
    </xf>
    <xf numFmtId="0" fontId="260" fillId="8" borderId="0" xfId="9" applyNumberFormat="1" applyFont="1" applyFill="1" applyBorder="1" applyAlignment="1" applyProtection="1">
      <alignment horizontal="center"/>
      <protection hidden="1"/>
    </xf>
    <xf numFmtId="0" fontId="438" fillId="8" borderId="0" xfId="9" applyNumberFormat="1" applyFont="1" applyFill="1" applyBorder="1" applyAlignment="1" applyProtection="1">
      <alignment horizontal="center"/>
      <protection hidden="1"/>
    </xf>
    <xf numFmtId="0" fontId="121" fillId="8" borderId="0" xfId="9" applyNumberFormat="1" applyFont="1" applyFill="1" applyBorder="1" applyAlignment="1" applyProtection="1">
      <alignment horizontal="center"/>
      <protection hidden="1"/>
    </xf>
    <xf numFmtId="0" fontId="121" fillId="8" borderId="0" xfId="9" applyNumberFormat="1" applyFont="1" applyFill="1" applyBorder="1" applyAlignment="1" applyProtection="1">
      <alignment horizontal="center" shrinkToFit="1"/>
      <protection hidden="1"/>
    </xf>
    <xf numFmtId="0" fontId="260" fillId="8" borderId="68" xfId="9" applyNumberFormat="1" applyFont="1" applyFill="1" applyBorder="1" applyAlignment="1" applyProtection="1">
      <alignment horizontal="center"/>
      <protection hidden="1"/>
    </xf>
    <xf numFmtId="0" fontId="435" fillId="8" borderId="65" xfId="9" applyNumberFormat="1" applyFont="1" applyFill="1" applyBorder="1" applyAlignment="1" applyProtection="1">
      <alignment horizontal="left"/>
      <protection hidden="1"/>
    </xf>
    <xf numFmtId="0" fontId="260" fillId="8" borderId="55" xfId="9" applyNumberFormat="1" applyFont="1" applyFill="1" applyBorder="1" applyAlignment="1" applyProtection="1">
      <alignment horizontal="center"/>
      <protection hidden="1"/>
    </xf>
    <xf numFmtId="0" fontId="435" fillId="8" borderId="60" xfId="9" applyNumberFormat="1" applyFont="1" applyFill="1" applyBorder="1" applyAlignment="1" applyProtection="1">
      <alignment horizontal="left"/>
      <protection hidden="1"/>
    </xf>
    <xf numFmtId="0" fontId="441" fillId="8" borderId="0" xfId="9" applyNumberFormat="1" applyFont="1" applyFill="1" applyBorder="1" applyAlignment="1" applyProtection="1">
      <alignment horizontal="left"/>
      <protection hidden="1"/>
    </xf>
    <xf numFmtId="0" fontId="442" fillId="8" borderId="0" xfId="9" applyNumberFormat="1" applyFont="1" applyFill="1" applyBorder="1" applyAlignment="1" applyProtection="1">
      <alignment horizontal="left"/>
      <protection hidden="1"/>
    </xf>
    <xf numFmtId="0" fontId="121" fillId="8" borderId="0" xfId="9" applyNumberFormat="1" applyFont="1" applyFill="1" applyBorder="1" applyAlignment="1" applyProtection="1">
      <alignment horizontal="left" shrinkToFit="1"/>
      <protection hidden="1"/>
    </xf>
    <xf numFmtId="0" fontId="121" fillId="8" borderId="0" xfId="9" applyNumberFormat="1" applyFont="1" applyFill="1" applyBorder="1" applyAlignment="1" applyProtection="1">
      <alignment horizontal="left" vertical="center" shrinkToFit="1"/>
      <protection hidden="1"/>
    </xf>
    <xf numFmtId="0" fontId="439" fillId="8" borderId="0" xfId="9" applyNumberFormat="1" applyFont="1" applyFill="1" applyBorder="1" applyAlignment="1" applyProtection="1">
      <alignment horizontal="right" vertical="center" shrinkToFit="1"/>
      <protection hidden="1"/>
    </xf>
    <xf numFmtId="0" fontId="435" fillId="8" borderId="84" xfId="9" applyNumberFormat="1" applyFont="1" applyFill="1" applyBorder="1" applyAlignment="1" applyProtection="1">
      <alignment horizontal="left"/>
      <protection locked="0"/>
    </xf>
    <xf numFmtId="0" fontId="435" fillId="8" borderId="63" xfId="9" applyNumberFormat="1" applyFont="1" applyFill="1" applyBorder="1" applyAlignment="1" applyProtection="1">
      <alignment horizontal="left"/>
      <protection locked="0"/>
    </xf>
    <xf numFmtId="0" fontId="441" fillId="8" borderId="63" xfId="9" applyNumberFormat="1" applyFont="1" applyFill="1" applyBorder="1" applyAlignment="1" applyProtection="1">
      <alignment horizontal="left"/>
      <protection locked="0"/>
    </xf>
    <xf numFmtId="0" fontId="442" fillId="8" borderId="63" xfId="9" applyNumberFormat="1" applyFont="1" applyFill="1" applyBorder="1" applyAlignment="1" applyProtection="1">
      <alignment horizontal="left"/>
      <protection locked="0"/>
    </xf>
    <xf numFmtId="0" fontId="121" fillId="8" borderId="63" xfId="9" applyNumberFormat="1" applyFont="1" applyFill="1" applyBorder="1" applyAlignment="1" applyProtection="1">
      <alignment horizontal="left" shrinkToFit="1"/>
      <protection locked="0"/>
    </xf>
    <xf numFmtId="0" fontId="121" fillId="8" borderId="63" xfId="9" applyNumberFormat="1" applyFont="1" applyFill="1" applyBorder="1" applyAlignment="1" applyProtection="1">
      <alignment horizontal="left" vertical="center" shrinkToFit="1"/>
      <protection locked="0"/>
    </xf>
    <xf numFmtId="0" fontId="439" fillId="8" borderId="63" xfId="9" applyNumberFormat="1" applyFont="1" applyFill="1" applyBorder="1" applyAlignment="1" applyProtection="1">
      <alignment horizontal="right" vertical="center" shrinkToFit="1"/>
      <protection locked="0"/>
    </xf>
    <xf numFmtId="0" fontId="439" fillId="8" borderId="34" xfId="9" applyNumberFormat="1" applyFont="1" applyFill="1" applyBorder="1" applyAlignment="1" applyProtection="1">
      <alignment horizontal="right" vertical="center" shrinkToFit="1"/>
      <protection locked="0"/>
    </xf>
    <xf numFmtId="0" fontId="436" fillId="8" borderId="426" xfId="9" applyNumberFormat="1" applyFont="1" applyFill="1" applyBorder="1" applyAlignment="1" applyProtection="1">
      <alignment horizontal="center" vertical="center"/>
      <protection locked="0"/>
    </xf>
    <xf numFmtId="0" fontId="435" fillId="8" borderId="103" xfId="9" applyNumberFormat="1" applyFont="1" applyFill="1" applyBorder="1" applyAlignment="1" applyProtection="1">
      <alignment horizontal="left"/>
      <protection locked="0"/>
    </xf>
    <xf numFmtId="0" fontId="435" fillId="8" borderId="55" xfId="9" applyNumberFormat="1" applyFont="1" applyFill="1" applyBorder="1" applyAlignment="1" applyProtection="1">
      <alignment horizontal="left"/>
      <protection locked="0"/>
    </xf>
    <xf numFmtId="0" fontId="441" fillId="8" borderId="55" xfId="9" applyNumberFormat="1" applyFont="1" applyFill="1" applyBorder="1" applyAlignment="1" applyProtection="1">
      <alignment horizontal="left"/>
      <protection locked="0"/>
    </xf>
    <xf numFmtId="0" fontId="442" fillId="8" borderId="55" xfId="9" applyNumberFormat="1" applyFont="1" applyFill="1" applyBorder="1" applyAlignment="1" applyProtection="1">
      <alignment horizontal="left"/>
      <protection locked="0"/>
    </xf>
    <xf numFmtId="0" fontId="121" fillId="8" borderId="55" xfId="9" applyNumberFormat="1" applyFont="1" applyFill="1" applyBorder="1" applyAlignment="1" applyProtection="1">
      <alignment horizontal="left" shrinkToFit="1"/>
      <protection locked="0"/>
    </xf>
    <xf numFmtId="0" fontId="121" fillId="8" borderId="55" xfId="9" applyNumberFormat="1" applyFont="1" applyFill="1" applyBorder="1" applyAlignment="1" applyProtection="1">
      <alignment horizontal="left" shrinkToFit="1"/>
      <protection hidden="1"/>
    </xf>
    <xf numFmtId="0" fontId="435" fillId="8" borderId="84" xfId="9" applyNumberFormat="1" applyFont="1" applyFill="1" applyBorder="1" applyAlignment="1" applyProtection="1">
      <alignment horizontal="left"/>
      <protection hidden="1"/>
    </xf>
    <xf numFmtId="0" fontId="439" fillId="8" borderId="63" xfId="9" applyNumberFormat="1" applyFont="1" applyFill="1" applyBorder="1" applyAlignment="1" applyProtection="1">
      <alignment horizontal="left" shrinkToFit="1"/>
      <protection hidden="1"/>
    </xf>
    <xf numFmtId="0" fontId="121" fillId="8" borderId="63" xfId="9" applyNumberFormat="1" applyFont="1" applyFill="1" applyBorder="1" applyAlignment="1" applyProtection="1">
      <alignment horizontal="left" shrinkToFit="1"/>
      <protection hidden="1"/>
    </xf>
    <xf numFmtId="0" fontId="435" fillId="8" borderId="84" xfId="9" applyNumberFormat="1" applyFont="1" applyFill="1" applyBorder="1" applyAlignment="1" applyProtection="1">
      <alignment horizontal="left" vertical="center" shrinkToFit="1"/>
      <protection hidden="1"/>
    </xf>
    <xf numFmtId="0" fontId="439" fillId="8" borderId="63" xfId="9" applyNumberFormat="1" applyFont="1" applyFill="1" applyBorder="1" applyAlignment="1" applyProtection="1">
      <alignment horizontal="left" vertical="center"/>
      <protection hidden="1"/>
    </xf>
    <xf numFmtId="0" fontId="435" fillId="8" borderId="63" xfId="9" applyNumberFormat="1" applyFont="1" applyFill="1" applyBorder="1" applyAlignment="1" applyProtection="1">
      <alignment horizontal="left" vertical="center" shrinkToFit="1"/>
      <protection hidden="1"/>
    </xf>
    <xf numFmtId="0" fontId="432" fillId="8" borderId="103" xfId="9" applyNumberFormat="1" applyFont="1" applyFill="1" applyBorder="1" applyAlignment="1" applyProtection="1">
      <alignment horizontal="left" shrinkToFit="1"/>
      <protection locked="0"/>
    </xf>
    <xf numFmtId="0" fontId="432" fillId="8" borderId="55" xfId="9" applyNumberFormat="1" applyFont="1" applyFill="1" applyBorder="1" applyAlignment="1" applyProtection="1">
      <alignment horizontal="left" shrinkToFit="1"/>
      <protection locked="0"/>
    </xf>
    <xf numFmtId="0" fontId="443" fillId="8" borderId="55" xfId="9" applyNumberFormat="1" applyFont="1" applyFill="1" applyBorder="1" applyAlignment="1" applyProtection="1">
      <alignment horizontal="right" vertical="center"/>
      <protection locked="0"/>
    </xf>
    <xf numFmtId="0" fontId="121" fillId="8" borderId="55" xfId="9" applyNumberFormat="1" applyFont="1" applyFill="1" applyBorder="1" applyAlignment="1" applyProtection="1">
      <alignment horizontal="left"/>
      <protection locked="0"/>
    </xf>
    <xf numFmtId="0" fontId="121" fillId="8" borderId="55" xfId="9" applyNumberFormat="1" applyFont="1" applyFill="1" applyBorder="1" applyAlignment="1" applyProtection="1">
      <alignment horizontal="right"/>
      <protection locked="0"/>
    </xf>
    <xf numFmtId="0" fontId="121" fillId="8" borderId="55" xfId="9" applyNumberFormat="1" applyFont="1" applyFill="1" applyBorder="1" applyAlignment="1" applyProtection="1">
      <alignment horizontal="left" vertical="center" shrinkToFit="1"/>
      <protection locked="0"/>
    </xf>
    <xf numFmtId="0" fontId="439" fillId="8" borderId="55" xfId="9" applyNumberFormat="1" applyFont="1" applyFill="1" applyBorder="1" applyAlignment="1" applyProtection="1">
      <alignment horizontal="right" vertical="center" shrinkToFit="1"/>
      <protection locked="0"/>
    </xf>
    <xf numFmtId="0" fontId="432" fillId="8" borderId="84" xfId="9" applyNumberFormat="1" applyFont="1" applyFill="1" applyBorder="1" applyAlignment="1" applyProtection="1">
      <alignment horizontal="left" shrinkToFit="1"/>
      <protection hidden="1"/>
    </xf>
    <xf numFmtId="0" fontId="432" fillId="8" borderId="63" xfId="9" applyNumberFormat="1" applyFont="1" applyFill="1" applyBorder="1" applyAlignment="1" applyProtection="1">
      <alignment horizontal="left" shrinkToFit="1"/>
      <protection hidden="1"/>
    </xf>
    <xf numFmtId="0" fontId="443" fillId="8" borderId="63" xfId="9" applyNumberFormat="1" applyFont="1" applyFill="1" applyBorder="1" applyAlignment="1" applyProtection="1">
      <alignment horizontal="right" vertical="center"/>
      <protection hidden="1"/>
    </xf>
    <xf numFmtId="0" fontId="121" fillId="8" borderId="63" xfId="9" applyNumberFormat="1" applyFont="1" applyFill="1" applyBorder="1" applyAlignment="1" applyProtection="1">
      <alignment horizontal="left"/>
      <protection hidden="1"/>
    </xf>
    <xf numFmtId="0" fontId="121" fillId="8" borderId="63" xfId="9" applyNumberFormat="1" applyFont="1" applyFill="1" applyBorder="1" applyAlignment="1" applyProtection="1">
      <alignment horizontal="right"/>
      <protection hidden="1"/>
    </xf>
    <xf numFmtId="0" fontId="435" fillId="8" borderId="63" xfId="9" applyNumberFormat="1" applyFont="1" applyFill="1" applyBorder="1" applyAlignment="1" applyProtection="1">
      <alignment horizontal="left"/>
      <protection hidden="1"/>
    </xf>
    <xf numFmtId="0" fontId="121" fillId="8" borderId="63" xfId="9" applyNumberFormat="1" applyFont="1" applyFill="1" applyBorder="1" applyAlignment="1" applyProtection="1">
      <alignment horizontal="left" vertical="center" shrinkToFit="1"/>
      <protection hidden="1"/>
    </xf>
    <xf numFmtId="0" fontId="439" fillId="8" borderId="63" xfId="9" applyNumberFormat="1" applyFont="1" applyFill="1" applyBorder="1" applyAlignment="1" applyProtection="1">
      <alignment horizontal="right" vertical="center" shrinkToFit="1"/>
      <protection hidden="1"/>
    </xf>
    <xf numFmtId="0" fontId="435" fillId="8" borderId="34" xfId="9" applyNumberFormat="1" applyFont="1" applyFill="1" applyBorder="1" applyAlignment="1" applyProtection="1">
      <alignment horizontal="left"/>
      <protection hidden="1"/>
    </xf>
    <xf numFmtId="179" fontId="121" fillId="8" borderId="103" xfId="9" applyNumberFormat="1" applyFont="1" applyFill="1" applyBorder="1" applyAlignment="1" applyProtection="1">
      <alignment horizontal="left" vertical="center" shrinkToFit="1"/>
      <protection hidden="1"/>
    </xf>
    <xf numFmtId="179" fontId="121" fillId="8" borderId="55" xfId="9" applyNumberFormat="1" applyFont="1" applyFill="1" applyBorder="1" applyAlignment="1" applyProtection="1">
      <alignment horizontal="left" vertical="center" shrinkToFit="1"/>
      <protection hidden="1"/>
    </xf>
    <xf numFmtId="179" fontId="121" fillId="8" borderId="55" xfId="9" applyNumberFormat="1" applyFont="1" applyFill="1" applyBorder="1" applyAlignment="1" applyProtection="1">
      <alignment horizontal="left" vertical="center"/>
      <protection hidden="1"/>
    </xf>
    <xf numFmtId="0" fontId="444" fillId="8" borderId="55" xfId="9" applyNumberFormat="1" applyFont="1" applyFill="1" applyBorder="1" applyAlignment="1" applyProtection="1">
      <alignment horizontal="left"/>
      <protection hidden="1"/>
    </xf>
    <xf numFmtId="0" fontId="121" fillId="8" borderId="55" xfId="9" applyNumberFormat="1" applyFont="1" applyFill="1" applyBorder="1" applyAlignment="1" applyProtection="1">
      <alignment horizontal="left"/>
      <protection hidden="1"/>
    </xf>
    <xf numFmtId="0" fontId="445" fillId="8" borderId="55" xfId="9" applyNumberFormat="1" applyFont="1" applyFill="1" applyBorder="1" applyAlignment="1" applyProtection="1">
      <protection hidden="1"/>
    </xf>
    <xf numFmtId="0" fontId="442" fillId="8" borderId="55" xfId="9" applyNumberFormat="1" applyFont="1" applyFill="1" applyBorder="1" applyAlignment="1" applyProtection="1">
      <alignment horizontal="left"/>
      <protection hidden="1"/>
    </xf>
    <xf numFmtId="0" fontId="435" fillId="8" borderId="55" xfId="9" applyNumberFormat="1" applyFont="1" applyFill="1" applyBorder="1" applyAlignment="1" applyProtection="1">
      <alignment horizontal="left"/>
      <protection hidden="1"/>
    </xf>
    <xf numFmtId="0" fontId="121" fillId="8" borderId="55" xfId="9" applyNumberFormat="1" applyFont="1" applyFill="1" applyBorder="1" applyAlignment="1" applyProtection="1">
      <alignment horizontal="center" vertical="top" shrinkToFit="1"/>
      <protection hidden="1"/>
    </xf>
    <xf numFmtId="0" fontId="442" fillId="8" borderId="60" xfId="9" applyNumberFormat="1" applyFont="1" applyFill="1" applyBorder="1" applyAlignment="1" applyProtection="1">
      <alignment horizontal="left"/>
      <protection hidden="1"/>
    </xf>
    <xf numFmtId="0" fontId="435" fillId="8" borderId="71" xfId="9" applyNumberFormat="1" applyFont="1" applyFill="1" applyBorder="1" applyAlignment="1" applyProtection="1">
      <alignment horizontal="left"/>
      <protection hidden="1"/>
    </xf>
    <xf numFmtId="0" fontId="121" fillId="8" borderId="68" xfId="9" applyNumberFormat="1" applyFont="1" applyFill="1" applyBorder="1" applyAlignment="1" applyProtection="1">
      <alignment horizontal="left" vertical="center" shrinkToFit="1"/>
      <protection hidden="1"/>
    </xf>
    <xf numFmtId="0" fontId="435" fillId="8" borderId="103" xfId="9" applyNumberFormat="1" applyFont="1" applyFill="1" applyBorder="1" applyAlignment="1" applyProtection="1">
      <alignment horizontal="left"/>
      <protection hidden="1"/>
    </xf>
    <xf numFmtId="0" fontId="121" fillId="8" borderId="55" xfId="9" applyNumberFormat="1" applyFont="1" applyFill="1" applyBorder="1" applyAlignment="1" applyProtection="1">
      <alignment horizontal="left" vertical="center" shrinkToFit="1"/>
      <protection hidden="1"/>
    </xf>
    <xf numFmtId="0" fontId="435" fillId="8" borderId="86" xfId="9" applyNumberFormat="1" applyFont="1" applyFill="1" applyBorder="1" applyAlignment="1" applyProtection="1">
      <alignment horizontal="left"/>
      <protection hidden="1"/>
    </xf>
    <xf numFmtId="0" fontId="435" fillId="8" borderId="68" xfId="9" applyNumberFormat="1" applyFont="1" applyFill="1" applyBorder="1" applyAlignment="1" applyProtection="1">
      <alignment horizontal="left"/>
      <protection hidden="1"/>
    </xf>
    <xf numFmtId="0" fontId="121" fillId="8" borderId="68" xfId="9" applyNumberFormat="1" applyFont="1" applyFill="1" applyBorder="1" applyAlignment="1" applyProtection="1">
      <alignment horizontal="left" shrinkToFit="1"/>
      <protection hidden="1"/>
    </xf>
    <xf numFmtId="0" fontId="444" fillId="8" borderId="68" xfId="9" applyNumberFormat="1" applyFont="1" applyFill="1" applyBorder="1" applyAlignment="1" applyProtection="1">
      <alignment horizontal="left"/>
      <protection hidden="1"/>
    </xf>
    <xf numFmtId="0" fontId="121" fillId="8" borderId="68" xfId="9" applyNumberFormat="1" applyFont="1" applyFill="1" applyBorder="1" applyAlignment="1" applyProtection="1">
      <alignment horizontal="left"/>
      <protection hidden="1"/>
    </xf>
    <xf numFmtId="0" fontId="121" fillId="8" borderId="0" xfId="9" applyNumberFormat="1" applyFont="1" applyFill="1" applyBorder="1" applyAlignment="1" applyProtection="1">
      <alignment horizontal="left"/>
      <protection hidden="1"/>
    </xf>
    <xf numFmtId="0" fontId="445" fillId="8" borderId="68" xfId="9" applyNumberFormat="1" applyFont="1" applyFill="1" applyBorder="1" applyAlignment="1" applyProtection="1">
      <alignment horizontal="right"/>
      <protection hidden="1"/>
    </xf>
    <xf numFmtId="181" fontId="121" fillId="8" borderId="68" xfId="9" applyNumberFormat="1" applyFont="1" applyFill="1" applyBorder="1" applyAlignment="1" applyProtection="1">
      <alignment horizontal="right"/>
      <protection hidden="1"/>
    </xf>
    <xf numFmtId="181" fontId="435" fillId="8" borderId="68" xfId="9" applyNumberFormat="1" applyFont="1" applyFill="1" applyBorder="1" applyAlignment="1" applyProtection="1">
      <alignment horizontal="center"/>
      <protection hidden="1"/>
    </xf>
    <xf numFmtId="0" fontId="435" fillId="8" borderId="68" xfId="9" applyNumberFormat="1" applyFont="1" applyFill="1" applyBorder="1" applyAlignment="1" applyProtection="1">
      <alignment horizontal="left" shrinkToFit="1"/>
      <protection hidden="1"/>
    </xf>
    <xf numFmtId="0" fontId="121" fillId="8" borderId="68" xfId="9" applyNumberFormat="1" applyFont="1" applyFill="1" applyBorder="1" applyAlignment="1" applyProtection="1">
      <alignment horizontal="center" shrinkToFit="1"/>
      <protection hidden="1"/>
    </xf>
    <xf numFmtId="0" fontId="446" fillId="8" borderId="68" xfId="9" applyNumberFormat="1" applyFont="1" applyFill="1" applyBorder="1" applyAlignment="1" applyProtection="1">
      <alignment horizontal="center"/>
      <protection hidden="1"/>
    </xf>
    <xf numFmtId="0" fontId="260" fillId="8" borderId="55" xfId="9" applyNumberFormat="1" applyFont="1" applyFill="1" applyBorder="1" applyAlignment="1" applyProtection="1">
      <alignment horizontal="center" vertical="top"/>
      <protection hidden="1"/>
    </xf>
    <xf numFmtId="0" fontId="260" fillId="8" borderId="0" xfId="9" applyNumberFormat="1" applyFont="1" applyFill="1" applyBorder="1" applyAlignment="1" applyProtection="1">
      <alignment horizontal="center" vertical="top"/>
      <protection hidden="1"/>
    </xf>
    <xf numFmtId="184" fontId="432" fillId="8" borderId="103" xfId="9" applyNumberFormat="1" applyFont="1" applyFill="1" applyBorder="1" applyAlignment="1" applyProtection="1">
      <alignment horizontal="left" vertical="center"/>
      <protection hidden="1"/>
    </xf>
    <xf numFmtId="0" fontId="447" fillId="8" borderId="55" xfId="9" applyNumberFormat="1" applyFont="1" applyFill="1" applyBorder="1" applyAlignment="1" applyProtection="1">
      <alignment horizontal="right"/>
      <protection hidden="1"/>
    </xf>
    <xf numFmtId="0" fontId="121" fillId="8" borderId="55" xfId="9" applyNumberFormat="1" applyFont="1" applyFill="1" applyBorder="1" applyAlignment="1" applyProtection="1">
      <alignment horizontal="center" vertical="top"/>
      <protection hidden="1"/>
    </xf>
    <xf numFmtId="0" fontId="252" fillId="8" borderId="55" xfId="9" applyNumberFormat="1" applyFont="1" applyFill="1" applyBorder="1" applyAlignment="1" applyProtection="1">
      <alignment horizontal="center" vertical="top" shrinkToFit="1"/>
      <protection hidden="1"/>
    </xf>
    <xf numFmtId="181" fontId="260" fillId="8" borderId="55" xfId="9" applyNumberFormat="1" applyFont="1" applyFill="1" applyBorder="1" applyAlignment="1" applyProtection="1">
      <alignment horizontal="left"/>
      <protection hidden="1"/>
    </xf>
    <xf numFmtId="0" fontId="260" fillId="8" borderId="55" xfId="9" applyNumberFormat="1" applyFont="1" applyFill="1" applyBorder="1" applyAlignment="1" applyProtection="1">
      <alignment horizontal="left"/>
      <protection hidden="1"/>
    </xf>
    <xf numFmtId="179" fontId="121" fillId="8" borderId="86" xfId="9" applyNumberFormat="1" applyFont="1" applyFill="1" applyBorder="1" applyAlignment="1" applyProtection="1">
      <alignment horizontal="left" shrinkToFit="1"/>
      <protection hidden="1"/>
    </xf>
    <xf numFmtId="179" fontId="121" fillId="8" borderId="68" xfId="9" applyNumberFormat="1" applyFont="1" applyFill="1" applyBorder="1" applyAlignment="1" applyProtection="1">
      <alignment horizontal="left" shrinkToFit="1"/>
      <protection hidden="1"/>
    </xf>
    <xf numFmtId="0" fontId="121" fillId="8" borderId="68" xfId="9" applyNumberFormat="1" applyFont="1" applyFill="1" applyBorder="1" applyAlignment="1" applyProtection="1">
      <alignment horizontal="left" vertical="center"/>
      <protection hidden="1"/>
    </xf>
    <xf numFmtId="0" fontId="121" fillId="8" borderId="0" xfId="9" applyNumberFormat="1" applyFont="1" applyFill="1" applyBorder="1" applyAlignment="1" applyProtection="1">
      <alignment horizontal="right"/>
      <protection hidden="1"/>
    </xf>
    <xf numFmtId="0" fontId="121" fillId="8" borderId="0" xfId="9" applyNumberFormat="1" applyFont="1" applyFill="1" applyBorder="1" applyAlignment="1" applyProtection="1">
      <alignment horizontal="center" vertical="top" shrinkToFit="1"/>
      <protection hidden="1"/>
    </xf>
    <xf numFmtId="179" fontId="121" fillId="8" borderId="71" xfId="9" applyNumberFormat="1" applyFont="1" applyFill="1" applyBorder="1" applyAlignment="1" applyProtection="1">
      <alignment horizontal="left" shrinkToFit="1"/>
      <protection hidden="1"/>
    </xf>
    <xf numFmtId="179" fontId="121" fillId="8" borderId="0" xfId="9" applyNumberFormat="1" applyFont="1" applyFill="1" applyBorder="1" applyAlignment="1" applyProtection="1">
      <alignment horizontal="left" shrinkToFit="1"/>
      <protection hidden="1"/>
    </xf>
    <xf numFmtId="0" fontId="121" fillId="8" borderId="55" xfId="9" applyNumberFormat="1" applyFont="1" applyFill="1" applyBorder="1" applyAlignment="1" applyProtection="1">
      <alignment horizontal="left" vertical="center"/>
      <protection hidden="1"/>
    </xf>
    <xf numFmtId="179" fontId="121" fillId="8" borderId="68" xfId="9" applyNumberFormat="1" applyFont="1" applyFill="1" applyBorder="1" applyAlignment="1" applyProtection="1">
      <alignment horizontal="left" vertical="center" shrinkToFit="1"/>
      <protection hidden="1"/>
    </xf>
    <xf numFmtId="0" fontId="121" fillId="8" borderId="68" xfId="9" applyNumberFormat="1" applyFont="1" applyFill="1" applyBorder="1" applyAlignment="1" applyProtection="1">
      <alignment horizontal="center"/>
      <protection hidden="1"/>
    </xf>
    <xf numFmtId="0" fontId="252" fillId="8" borderId="68" xfId="9" applyNumberFormat="1" applyFont="1" applyFill="1" applyBorder="1" applyAlignment="1" applyProtection="1">
      <alignment horizontal="center"/>
      <protection hidden="1"/>
    </xf>
    <xf numFmtId="0" fontId="448" fillId="8" borderId="68" xfId="9" applyNumberFormat="1" applyFont="1" applyFill="1" applyBorder="1" applyAlignment="1" applyProtection="1">
      <alignment horizontal="center" vertical="top"/>
      <protection hidden="1"/>
    </xf>
    <xf numFmtId="200" fontId="3" fillId="8" borderId="103" xfId="9" applyNumberFormat="1" applyFont="1" applyFill="1" applyBorder="1" applyAlignment="1" applyProtection="1">
      <alignment horizontal="center"/>
      <protection locked="0"/>
    </xf>
    <xf numFmtId="0" fontId="260" fillId="8" borderId="55" xfId="9" applyNumberFormat="1" applyFont="1" applyFill="1" applyBorder="1" applyAlignment="1" applyProtection="1">
      <alignment horizontal="center"/>
      <protection locked="0"/>
    </xf>
    <xf numFmtId="49" fontId="441" fillId="8" borderId="55" xfId="9" applyNumberFormat="1" applyFont="1" applyFill="1" applyBorder="1" applyAlignment="1" applyProtection="1">
      <alignment horizontal="left"/>
      <protection locked="0"/>
    </xf>
    <xf numFmtId="0" fontId="448" fillId="8" borderId="55" xfId="9" applyNumberFormat="1" applyFont="1" applyFill="1" applyBorder="1" applyAlignment="1" applyProtection="1">
      <alignment horizontal="center"/>
      <protection locked="0"/>
    </xf>
    <xf numFmtId="0" fontId="448" fillId="8" borderId="55" xfId="9" applyNumberFormat="1" applyFont="1" applyFill="1" applyBorder="1" applyAlignment="1" applyProtection="1">
      <alignment horizontal="left"/>
      <protection locked="0"/>
    </xf>
    <xf numFmtId="0" fontId="6" fillId="8" borderId="55" xfId="9" applyNumberFormat="1" applyFont="1" applyFill="1" applyBorder="1" applyAlignment="1" applyProtection="1">
      <alignment horizontal="left"/>
      <protection locked="0"/>
    </xf>
    <xf numFmtId="0" fontId="121" fillId="8" borderId="55" xfId="9" applyNumberFormat="1" applyFont="1" applyFill="1" applyBorder="1" applyAlignment="1" applyProtection="1">
      <alignment horizontal="center"/>
      <protection locked="0"/>
    </xf>
    <xf numFmtId="0" fontId="435" fillId="8" borderId="60" xfId="9" applyNumberFormat="1" applyFont="1" applyFill="1" applyBorder="1" applyAlignment="1" applyProtection="1">
      <alignment horizontal="left"/>
      <protection locked="0"/>
    </xf>
    <xf numFmtId="200" fontId="3" fillId="8" borderId="600" xfId="9" applyNumberFormat="1" applyFont="1" applyFill="1" applyBorder="1" applyAlignment="1" applyProtection="1">
      <alignment horizontal="center"/>
      <protection locked="0"/>
    </xf>
    <xf numFmtId="181" fontId="121" fillId="8" borderId="41" xfId="9" applyNumberFormat="1" applyFont="1" applyFill="1" applyBorder="1" applyAlignment="1" applyProtection="1">
      <alignment horizontal="right" shrinkToFit="1"/>
      <protection locked="0"/>
    </xf>
    <xf numFmtId="176" fontId="121" fillId="8" borderId="41" xfId="9" applyNumberFormat="1" applyFont="1" applyFill="1" applyBorder="1" applyAlignment="1" applyProtection="1">
      <alignment horizontal="center"/>
      <protection locked="0"/>
    </xf>
    <xf numFmtId="0" fontId="171" fillId="8" borderId="112" xfId="9" applyNumberFormat="1" applyFont="1" applyFill="1" applyBorder="1" applyAlignment="1" applyProtection="1">
      <alignment horizontal="center" vertical="center"/>
      <protection hidden="1"/>
    </xf>
    <xf numFmtId="0" fontId="171" fillId="8" borderId="114" xfId="9" applyNumberFormat="1" applyFont="1" applyFill="1" applyBorder="1" applyAlignment="1" applyProtection="1">
      <alignment horizontal="center" vertical="center"/>
      <protection hidden="1"/>
    </xf>
    <xf numFmtId="0" fontId="82" fillId="8" borderId="114" xfId="9" applyNumberFormat="1" applyFont="1" applyFill="1" applyBorder="1" applyAlignment="1" applyProtection="1">
      <alignment horizontal="center" vertical="center"/>
      <protection hidden="1"/>
    </xf>
    <xf numFmtId="0" fontId="163" fillId="8" borderId="114" xfId="9" applyNumberFormat="1" applyFont="1" applyFill="1" applyBorder="1" applyAlignment="1" applyProtection="1">
      <alignment horizontal="center" vertical="center"/>
      <protection hidden="1"/>
    </xf>
    <xf numFmtId="0" fontId="171" fillId="8" borderId="51" xfId="9" applyNumberFormat="1" applyFont="1" applyFill="1" applyBorder="1" applyAlignment="1" applyProtection="1">
      <alignment horizontal="center" vertical="center"/>
      <protection hidden="1"/>
    </xf>
    <xf numFmtId="0" fontId="260" fillId="8" borderId="439" xfId="9" applyNumberFormat="1" applyFont="1" applyFill="1" applyBorder="1" applyAlignment="1" applyProtection="1">
      <alignment horizontal="center" wrapText="1"/>
      <protection hidden="1"/>
    </xf>
    <xf numFmtId="0" fontId="260" fillId="8" borderId="602" xfId="9" applyNumberFormat="1" applyFont="1" applyFill="1" applyBorder="1" applyAlignment="1" applyProtection="1">
      <alignment horizontal="center" wrapText="1"/>
      <protection hidden="1"/>
    </xf>
    <xf numFmtId="0" fontId="435" fillId="8" borderId="55" xfId="9" applyNumberFormat="1" applyFont="1" applyFill="1" applyBorder="1" applyAlignment="1" applyProtection="1">
      <alignment horizontal="center" vertical="center" shrinkToFit="1"/>
      <protection hidden="1"/>
    </xf>
    <xf numFmtId="0" fontId="435" fillId="8" borderId="0" xfId="9" applyNumberFormat="1" applyFont="1" applyFill="1" applyBorder="1" applyAlignment="1" applyProtection="1">
      <alignment horizontal="center" vertical="center" shrinkToFit="1"/>
      <protection hidden="1"/>
    </xf>
    <xf numFmtId="0" fontId="435" fillId="8" borderId="116" xfId="9" applyNumberFormat="1" applyFont="1" applyFill="1" applyBorder="1" applyAlignment="1" applyProtection="1">
      <alignment horizontal="center" vertical="center" shrinkToFit="1"/>
      <protection hidden="1"/>
    </xf>
    <xf numFmtId="0" fontId="436" fillId="8" borderId="603" xfId="9" applyNumberFormat="1" applyFont="1" applyFill="1" applyBorder="1" applyAlignment="1" applyProtection="1">
      <alignment horizontal="center" vertical="center"/>
      <protection locked="0"/>
    </xf>
    <xf numFmtId="0" fontId="436" fillId="8" borderId="80" xfId="9" applyNumberFormat="1" applyFont="1" applyFill="1" applyBorder="1" applyAlignment="1" applyProtection="1">
      <alignment horizontal="center" vertical="center"/>
      <protection locked="0"/>
    </xf>
    <xf numFmtId="0" fontId="160" fillId="8" borderId="0" xfId="9" applyNumberFormat="1" applyFont="1" applyFill="1" applyBorder="1" applyAlignment="1" applyProtection="1">
      <alignment shrinkToFit="1"/>
      <protection hidden="1"/>
    </xf>
    <xf numFmtId="0" fontId="160" fillId="8" borderId="0" xfId="9" applyNumberFormat="1" applyFont="1" applyFill="1" applyBorder="1" applyAlignment="1" applyProtection="1">
      <alignment horizontal="center"/>
      <protection hidden="1"/>
    </xf>
    <xf numFmtId="0" fontId="160" fillId="8" borderId="1" xfId="9" applyNumberFormat="1" applyFont="1" applyFill="1" applyBorder="1" applyAlignment="1" applyProtection="1">
      <alignment horizontal="center"/>
      <protection hidden="1"/>
    </xf>
    <xf numFmtId="0" fontId="82" fillId="8" borderId="0" xfId="9" applyNumberFormat="1" applyFont="1" applyFill="1" applyBorder="1" applyAlignment="1" applyProtection="1">
      <alignment horizontal="left"/>
      <protection hidden="1"/>
    </xf>
    <xf numFmtId="0" fontId="82" fillId="8" borderId="68" xfId="9" applyNumberFormat="1" applyFont="1" applyFill="1" applyBorder="1" applyAlignment="1" applyProtection="1">
      <alignment horizontal="left"/>
      <protection hidden="1"/>
    </xf>
    <xf numFmtId="0" fontId="160" fillId="8" borderId="68" xfId="9" applyNumberFormat="1" applyFont="1" applyFill="1" applyBorder="1" applyAlignment="1" applyProtection="1">
      <alignment horizontal="left" vertical="center"/>
      <protection hidden="1"/>
    </xf>
    <xf numFmtId="0" fontId="449" fillId="8" borderId="68" xfId="9" applyNumberFormat="1" applyFont="1" applyFill="1" applyBorder="1" applyAlignment="1" applyProtection="1">
      <alignment horizontal="left" vertical="center"/>
      <protection hidden="1"/>
    </xf>
    <xf numFmtId="0" fontId="166" fillId="8" borderId="68" xfId="9" applyNumberFormat="1" applyFont="1" applyFill="1" applyBorder="1" applyAlignment="1" applyProtection="1">
      <alignment horizontal="right" vertical="center"/>
      <protection hidden="1"/>
    </xf>
    <xf numFmtId="176" fontId="166" fillId="8" borderId="41" xfId="9" applyNumberFormat="1" applyFont="1" applyFill="1" applyBorder="1" applyAlignment="1" applyProtection="1">
      <alignment horizontal="center" shrinkToFit="1"/>
      <protection hidden="1"/>
    </xf>
    <xf numFmtId="0" fontId="160" fillId="8" borderId="55" xfId="9" applyNumberFormat="1" applyFont="1" applyFill="1" applyBorder="1" applyAlignment="1" applyProtection="1">
      <alignment shrinkToFit="1"/>
      <protection hidden="1"/>
    </xf>
    <xf numFmtId="0" fontId="82" fillId="8" borderId="63" xfId="9" applyNumberFormat="1" applyFont="1" applyFill="1" applyBorder="1" applyAlignment="1" applyProtection="1">
      <alignment horizontal="left"/>
      <protection hidden="1"/>
    </xf>
    <xf numFmtId="0" fontId="160" fillId="8" borderId="63" xfId="9" applyNumberFormat="1" applyFont="1" applyFill="1" applyBorder="1" applyAlignment="1" applyProtection="1">
      <alignment horizontal="left" vertical="center"/>
      <protection hidden="1"/>
    </xf>
    <xf numFmtId="0" fontId="449" fillId="8" borderId="63" xfId="9" applyNumberFormat="1" applyFont="1" applyFill="1" applyBorder="1" applyAlignment="1" applyProtection="1">
      <alignment horizontal="left" vertical="center"/>
      <protection hidden="1"/>
    </xf>
    <xf numFmtId="0" fontId="166" fillId="8" borderId="63" xfId="9" applyNumberFormat="1" applyFont="1" applyFill="1" applyBorder="1" applyAlignment="1" applyProtection="1">
      <alignment horizontal="right" vertical="center"/>
      <protection hidden="1"/>
    </xf>
    <xf numFmtId="176" fontId="166" fillId="8" borderId="65" xfId="9" applyNumberFormat="1" applyFont="1" applyFill="1" applyBorder="1" applyAlignment="1" applyProtection="1">
      <alignment horizontal="center" shrinkToFit="1"/>
      <protection hidden="1"/>
    </xf>
    <xf numFmtId="0" fontId="160" fillId="8" borderId="63" xfId="9" applyNumberFormat="1" applyFont="1" applyFill="1" applyBorder="1" applyAlignment="1" applyProtection="1">
      <alignment shrinkToFit="1"/>
      <protection hidden="1"/>
    </xf>
    <xf numFmtId="0" fontId="439" fillId="8" borderId="63" xfId="9" applyNumberFormat="1" applyFont="1" applyFill="1" applyBorder="1" applyAlignment="1" applyProtection="1">
      <alignment horizontal="right" vertical="center"/>
      <protection hidden="1"/>
    </xf>
    <xf numFmtId="176" fontId="166" fillId="8" borderId="34" xfId="9" applyNumberFormat="1" applyFont="1" applyFill="1" applyBorder="1" applyAlignment="1" applyProtection="1">
      <alignment horizontal="center" shrinkToFit="1"/>
      <protection hidden="1"/>
    </xf>
    <xf numFmtId="176" fontId="439" fillId="8" borderId="34" xfId="9" applyNumberFormat="1" applyFont="1" applyFill="1" applyBorder="1" applyAlignment="1" applyProtection="1">
      <alignment horizontal="center" shrinkToFit="1"/>
      <protection hidden="1"/>
    </xf>
    <xf numFmtId="0" fontId="160" fillId="8" borderId="116" xfId="9" applyNumberFormat="1" applyFont="1" applyFill="1" applyBorder="1" applyAlignment="1" applyProtection="1">
      <alignment shrinkToFit="1"/>
      <protection hidden="1"/>
    </xf>
    <xf numFmtId="0" fontId="160" fillId="8" borderId="63" xfId="9" applyNumberFormat="1" applyFont="1" applyFill="1" applyBorder="1" applyAlignment="1" applyProtection="1">
      <alignment horizontal="left" vertical="top"/>
      <protection hidden="1"/>
    </xf>
    <xf numFmtId="0" fontId="85" fillId="8" borderId="63" xfId="9" applyNumberFormat="1" applyFont="1" applyFill="1" applyBorder="1" applyAlignment="1" applyProtection="1">
      <alignment horizontal="right"/>
      <protection hidden="1"/>
    </xf>
    <xf numFmtId="0" fontId="160" fillId="8" borderId="116" xfId="9" applyNumberFormat="1" applyFont="1" applyFill="1" applyBorder="1" applyAlignment="1" applyProtection="1">
      <alignment horizontal="left" shrinkToFit="1"/>
      <protection hidden="1"/>
    </xf>
    <xf numFmtId="0" fontId="260" fillId="46" borderId="116" xfId="9" applyNumberFormat="1" applyFont="1" applyFill="1" applyBorder="1" applyAlignment="1" applyProtection="1">
      <alignment horizontal="right" shrinkToFit="1"/>
      <protection hidden="1"/>
    </xf>
    <xf numFmtId="201" fontId="260" fillId="8" borderId="0" xfId="9" applyNumberFormat="1" applyFont="1" applyFill="1" applyBorder="1" applyAlignment="1" applyProtection="1">
      <alignment horizontal="center" shrinkToFit="1"/>
      <protection hidden="1"/>
    </xf>
    <xf numFmtId="201" fontId="260" fillId="8" borderId="0" xfId="9" applyNumberFormat="1" applyFont="1" applyFill="1" applyBorder="1" applyAlignment="1" applyProtection="1">
      <alignment horizontal="right" shrinkToFit="1"/>
      <protection hidden="1"/>
    </xf>
    <xf numFmtId="201" fontId="260" fillId="8" borderId="1" xfId="9" applyNumberFormat="1" applyFont="1" applyFill="1" applyBorder="1" applyAlignment="1" applyProtection="1">
      <alignment horizontal="center" shrinkToFit="1"/>
      <protection hidden="1"/>
    </xf>
    <xf numFmtId="0" fontId="160" fillId="8" borderId="68" xfId="9" applyNumberFormat="1" applyFont="1" applyFill="1" applyBorder="1" applyAlignment="1" applyProtection="1">
      <alignment horizontal="left" shrinkToFit="1"/>
      <protection hidden="1"/>
    </xf>
    <xf numFmtId="0" fontId="260" fillId="46" borderId="65" xfId="9" applyNumberFormat="1" applyFont="1" applyFill="1" applyBorder="1" applyAlignment="1" applyProtection="1">
      <alignment horizontal="right" shrinkToFit="1"/>
      <protection hidden="1"/>
    </xf>
    <xf numFmtId="0" fontId="160" fillId="8" borderId="63" xfId="9" applyNumberFormat="1" applyFont="1" applyFill="1" applyBorder="1" applyAlignment="1" applyProtection="1">
      <alignment horizontal="left"/>
      <protection hidden="1"/>
    </xf>
    <xf numFmtId="0" fontId="463" fillId="8" borderId="63" xfId="9" applyNumberFormat="1" applyFont="1" applyFill="1" applyBorder="1" applyAlignment="1" applyProtection="1">
      <alignment horizontal="right"/>
      <protection hidden="1"/>
    </xf>
    <xf numFmtId="0" fontId="82" fillId="8" borderId="63" xfId="9" applyNumberFormat="1" applyFont="1" applyFill="1" applyBorder="1" applyAlignment="1" applyProtection="1">
      <alignment horizontal="left"/>
      <protection locked="0"/>
    </xf>
    <xf numFmtId="0" fontId="160" fillId="8" borderId="63" xfId="9" applyNumberFormat="1" applyFont="1" applyFill="1" applyBorder="1" applyAlignment="1" applyProtection="1">
      <alignment horizontal="left" vertical="center"/>
      <protection locked="0"/>
    </xf>
    <xf numFmtId="0" fontId="260" fillId="8" borderId="63" xfId="9" applyNumberFormat="1" applyFont="1" applyFill="1" applyBorder="1" applyAlignment="1" applyProtection="1">
      <alignment horizontal="right"/>
      <protection locked="0"/>
    </xf>
    <xf numFmtId="0" fontId="260" fillId="8" borderId="63" xfId="9" applyNumberFormat="1" applyFont="1" applyFill="1" applyBorder="1" applyAlignment="1" applyProtection="1">
      <alignment horizontal="right"/>
      <protection hidden="1"/>
    </xf>
    <xf numFmtId="0" fontId="82" fillId="8" borderId="86" xfId="9" applyNumberFormat="1" applyFont="1" applyFill="1" applyBorder="1" applyAlignment="1" applyProtection="1">
      <alignment horizontal="left"/>
      <protection hidden="1"/>
    </xf>
    <xf numFmtId="0" fontId="160" fillId="8" borderId="68" xfId="9" applyNumberFormat="1" applyFont="1" applyFill="1" applyBorder="1" applyAlignment="1" applyProtection="1">
      <alignment horizontal="left"/>
      <protection hidden="1"/>
    </xf>
    <xf numFmtId="0" fontId="82" fillId="8" borderId="68" xfId="9" applyNumberFormat="1" applyFont="1" applyFill="1" applyBorder="1" applyAlignment="1" applyProtection="1">
      <alignment horizontal="left" shrinkToFit="1"/>
      <protection hidden="1"/>
    </xf>
    <xf numFmtId="0" fontId="82" fillId="8" borderId="67" xfId="9" applyNumberFormat="1" applyFont="1" applyFill="1" applyBorder="1" applyAlignment="1" applyProtection="1">
      <alignment horizontal="left"/>
      <protection hidden="1"/>
    </xf>
    <xf numFmtId="0" fontId="439" fillId="8" borderId="63" xfId="9" applyNumberFormat="1" applyFont="1" applyFill="1" applyBorder="1" applyAlignment="1" applyProtection="1">
      <alignment horizontal="right"/>
      <protection hidden="1"/>
    </xf>
    <xf numFmtId="0" fontId="82" fillId="8" borderId="84" xfId="9" applyNumberFormat="1" applyFont="1" applyFill="1" applyBorder="1" applyAlignment="1" applyProtection="1">
      <alignment horizontal="left"/>
      <protection hidden="1"/>
    </xf>
    <xf numFmtId="0" fontId="82" fillId="8" borderId="62" xfId="9" applyNumberFormat="1" applyFont="1" applyFill="1" applyBorder="1" applyAlignment="1" applyProtection="1">
      <alignment horizontal="left"/>
      <protection hidden="1"/>
    </xf>
    <xf numFmtId="0" fontId="260" fillId="8" borderId="63" xfId="9" applyNumberFormat="1" applyFont="1" applyFill="1" applyBorder="1" applyAlignment="1" applyProtection="1">
      <alignment horizontal="left"/>
      <protection hidden="1"/>
    </xf>
    <xf numFmtId="0" fontId="435" fillId="8" borderId="63" xfId="9" applyNumberFormat="1" applyFont="1" applyFill="1" applyBorder="1" applyAlignment="1" applyProtection="1">
      <alignment horizontal="left" vertical="center"/>
      <protection hidden="1"/>
    </xf>
    <xf numFmtId="0" fontId="449" fillId="8" borderId="63" xfId="9" applyNumberFormat="1" applyFont="1" applyFill="1" applyBorder="1" applyAlignment="1" applyProtection="1">
      <alignment horizontal="left" vertical="center"/>
      <protection locked="0"/>
    </xf>
    <xf numFmtId="0" fontId="439" fillId="8" borderId="63" xfId="9" applyNumberFormat="1" applyFont="1" applyFill="1" applyBorder="1" applyAlignment="1" applyProtection="1">
      <alignment horizontal="right"/>
      <protection locked="0"/>
    </xf>
    <xf numFmtId="0" fontId="165" fillId="8" borderId="63" xfId="9" applyNumberFormat="1" applyFont="1" applyFill="1" applyBorder="1" applyAlignment="1" applyProtection="1">
      <alignment horizontal="left"/>
      <protection hidden="1"/>
    </xf>
    <xf numFmtId="0" fontId="260" fillId="8" borderId="63" xfId="9" applyNumberFormat="1" applyFont="1" applyFill="1" applyBorder="1" applyAlignment="1" applyProtection="1">
      <alignment horizontal="left"/>
      <protection locked="0"/>
    </xf>
    <xf numFmtId="0" fontId="165" fillId="8" borderId="63" xfId="9" applyNumberFormat="1" applyFont="1" applyFill="1" applyBorder="1" applyAlignment="1" applyProtection="1">
      <alignment horizontal="left"/>
      <protection locked="0"/>
    </xf>
    <xf numFmtId="0" fontId="83" fillId="8" borderId="1" xfId="9" applyFill="1" applyBorder="1" applyProtection="1">
      <alignment vertical="center"/>
      <protection hidden="1"/>
    </xf>
    <xf numFmtId="0" fontId="83" fillId="8" borderId="0" xfId="9" applyFill="1" applyProtection="1">
      <alignment vertical="center"/>
      <protection hidden="1"/>
    </xf>
    <xf numFmtId="0" fontId="82" fillId="8" borderId="433" xfId="9" applyNumberFormat="1" applyFont="1" applyFill="1" applyBorder="1" applyAlignment="1" applyProtection="1">
      <alignment horizontal="left"/>
      <protection hidden="1"/>
    </xf>
    <xf numFmtId="0" fontId="82" fillId="8" borderId="220" xfId="9" applyNumberFormat="1" applyFont="1" applyFill="1" applyBorder="1" applyAlignment="1" applyProtection="1">
      <alignment horizontal="left"/>
      <protection hidden="1"/>
    </xf>
    <xf numFmtId="0" fontId="160" fillId="8" borderId="220" xfId="9" applyNumberFormat="1" applyFont="1" applyFill="1" applyBorder="1" applyAlignment="1" applyProtection="1">
      <alignment horizontal="left"/>
      <protection hidden="1"/>
    </xf>
    <xf numFmtId="0" fontId="82" fillId="8" borderId="221" xfId="9" applyNumberFormat="1" applyFont="1" applyFill="1" applyBorder="1" applyAlignment="1" applyProtection="1">
      <alignment horizontal="left"/>
      <protection hidden="1"/>
    </xf>
    <xf numFmtId="0" fontId="169" fillId="8" borderId="0" xfId="9" applyFont="1" applyFill="1" applyProtection="1">
      <alignment vertical="center"/>
      <protection hidden="1"/>
    </xf>
    <xf numFmtId="0" fontId="436" fillId="8" borderId="80" xfId="9" applyNumberFormat="1" applyFont="1" applyFill="1" applyBorder="1" applyAlignment="1" applyProtection="1">
      <alignment horizontal="center" vertical="center"/>
      <protection hidden="1"/>
    </xf>
    <xf numFmtId="0" fontId="83" fillId="8" borderId="0" xfId="9" applyFill="1" applyAlignment="1" applyProtection="1">
      <alignment wrapText="1"/>
      <protection locked="0"/>
    </xf>
    <xf numFmtId="0" fontId="436" fillId="8" borderId="424" xfId="9" applyNumberFormat="1" applyFont="1" applyFill="1" applyBorder="1" applyAlignment="1" applyProtection="1">
      <alignment horizontal="center" vertical="center"/>
      <protection hidden="1"/>
    </xf>
    <xf numFmtId="0" fontId="83" fillId="8" borderId="0" xfId="9" applyFill="1" applyBorder="1" applyProtection="1">
      <alignment vertical="center"/>
      <protection hidden="1"/>
    </xf>
    <xf numFmtId="0" fontId="160" fillId="8" borderId="0" xfId="9" applyFont="1" applyFill="1" applyBorder="1" applyAlignment="1" applyProtection="1">
      <alignment vertical="top"/>
      <protection hidden="1"/>
    </xf>
    <xf numFmtId="0" fontId="434" fillId="8" borderId="0" xfId="9" applyFont="1" applyFill="1" applyBorder="1" applyProtection="1">
      <alignment vertical="center"/>
      <protection hidden="1"/>
    </xf>
    <xf numFmtId="0" fontId="162" fillId="8" borderId="0" xfId="9" applyFont="1" applyFill="1" applyBorder="1" applyProtection="1">
      <alignment vertical="center"/>
      <protection hidden="1"/>
    </xf>
    <xf numFmtId="0" fontId="468" fillId="8" borderId="0" xfId="9" applyFont="1" applyFill="1" applyBorder="1" applyAlignment="1" applyProtection="1">
      <alignment vertical="top"/>
      <protection hidden="1"/>
    </xf>
    <xf numFmtId="0" fontId="469" fillId="8" borderId="0" xfId="9" applyFont="1" applyFill="1" applyBorder="1" applyAlignment="1" applyProtection="1">
      <alignment vertical="top"/>
      <protection hidden="1"/>
    </xf>
    <xf numFmtId="0" fontId="458" fillId="8" borderId="0" xfId="6" applyFont="1" applyFill="1" applyAlignment="1" applyProtection="1">
      <alignment vertical="top"/>
      <protection hidden="1"/>
    </xf>
    <xf numFmtId="0" fontId="82" fillId="8" borderId="226" xfId="8" applyNumberFormat="1" applyFont="1" applyFill="1" applyBorder="1" applyAlignment="1" applyProtection="1">
      <alignment horizontal="left"/>
      <protection locked="0"/>
    </xf>
    <xf numFmtId="0" fontId="82" fillId="8" borderId="116" xfId="8" applyNumberFormat="1" applyFont="1" applyFill="1" applyBorder="1" applyAlignment="1" applyProtection="1">
      <alignment horizontal="left"/>
      <protection locked="0"/>
    </xf>
    <xf numFmtId="0" fontId="433" fillId="8" borderId="116" xfId="2" applyNumberFormat="1" applyFont="1" applyFill="1" applyBorder="1" applyAlignment="1" applyProtection="1">
      <alignment horizontal="left" vertical="center"/>
      <protection hidden="1"/>
    </xf>
    <xf numFmtId="0" fontId="160" fillId="8" borderId="116" xfId="8" applyNumberFormat="1" applyFont="1" applyFill="1" applyBorder="1" applyAlignment="1" applyProtection="1">
      <alignment horizontal="left"/>
      <protection locked="0"/>
    </xf>
    <xf numFmtId="0" fontId="82" fillId="8" borderId="241" xfId="8" applyNumberFormat="1" applyFont="1" applyFill="1" applyBorder="1" applyAlignment="1" applyProtection="1">
      <alignment horizontal="left"/>
      <protection locked="0"/>
    </xf>
    <xf numFmtId="0" fontId="435" fillId="8" borderId="86" xfId="8" applyNumberFormat="1" applyFont="1" applyFill="1" applyBorder="1" applyAlignment="1" applyProtection="1">
      <alignment horizontal="left"/>
      <protection hidden="1"/>
    </xf>
    <xf numFmtId="0" fontId="435" fillId="8" borderId="68" xfId="8" applyNumberFormat="1" applyFont="1" applyFill="1" applyBorder="1" applyAlignment="1" applyProtection="1">
      <alignment horizontal="left"/>
      <protection hidden="1"/>
    </xf>
    <xf numFmtId="0" fontId="435" fillId="8" borderId="68" xfId="8" applyNumberFormat="1" applyFont="1" applyFill="1" applyBorder="1" applyAlignment="1" applyProtection="1">
      <alignment horizontal="left" vertical="center"/>
      <protection hidden="1"/>
    </xf>
    <xf numFmtId="0" fontId="451" fillId="8" borderId="68" xfId="8" applyNumberFormat="1" applyFont="1" applyFill="1" applyBorder="1" applyAlignment="1" applyProtection="1">
      <alignment horizontal="left"/>
      <protection hidden="1"/>
    </xf>
    <xf numFmtId="0" fontId="435" fillId="8" borderId="69" xfId="8" applyNumberFormat="1" applyFont="1" applyFill="1" applyBorder="1" applyAlignment="1" applyProtection="1">
      <alignment horizontal="left"/>
      <protection locked="0"/>
    </xf>
    <xf numFmtId="0" fontId="435" fillId="8" borderId="68" xfId="8" applyNumberFormat="1" applyFont="1" applyFill="1" applyBorder="1" applyAlignment="1" applyProtection="1">
      <alignment horizontal="left"/>
      <protection locked="0"/>
    </xf>
    <xf numFmtId="0" fontId="435" fillId="8" borderId="68" xfId="8" applyNumberFormat="1" applyFont="1" applyFill="1" applyBorder="1" applyAlignment="1" applyProtection="1">
      <alignment horizontal="left" vertical="center"/>
      <protection locked="0"/>
    </xf>
    <xf numFmtId="0" fontId="160" fillId="8" borderId="68" xfId="8" applyNumberFormat="1" applyFont="1" applyFill="1" applyBorder="1" applyAlignment="1" applyProtection="1">
      <alignment horizontal="left" vertical="center"/>
      <protection locked="0"/>
    </xf>
    <xf numFmtId="0" fontId="435" fillId="8" borderId="67" xfId="8" applyNumberFormat="1" applyFont="1" applyFill="1" applyBorder="1" applyAlignment="1" applyProtection="1">
      <alignment horizontal="left"/>
      <protection locked="0"/>
    </xf>
    <xf numFmtId="0" fontId="83" fillId="8" borderId="0" xfId="8" applyFill="1" applyProtection="1">
      <alignment vertical="center"/>
      <protection hidden="1"/>
    </xf>
    <xf numFmtId="0" fontId="435" fillId="8" borderId="84" xfId="8" applyNumberFormat="1" applyFont="1" applyFill="1" applyBorder="1" applyAlignment="1" applyProtection="1">
      <alignment horizontal="left"/>
      <protection hidden="1"/>
    </xf>
    <xf numFmtId="0" fontId="435" fillId="8" borderId="63" xfId="8" applyNumberFormat="1" applyFont="1" applyFill="1" applyBorder="1" applyAlignment="1" applyProtection="1">
      <alignment horizontal="left"/>
      <protection hidden="1"/>
    </xf>
    <xf numFmtId="0" fontId="435" fillId="8" borderId="63" xfId="8" applyNumberFormat="1" applyFont="1" applyFill="1" applyBorder="1" applyAlignment="1" applyProtection="1">
      <alignment horizontal="left" vertical="center"/>
      <protection hidden="1"/>
    </xf>
    <xf numFmtId="0" fontId="451" fillId="8" borderId="63" xfId="8" applyNumberFormat="1" applyFont="1" applyFill="1" applyBorder="1" applyAlignment="1" applyProtection="1">
      <alignment horizontal="left"/>
      <protection hidden="1"/>
    </xf>
    <xf numFmtId="0" fontId="435" fillId="8" borderId="64" xfId="8" applyNumberFormat="1" applyFont="1" applyFill="1" applyBorder="1" applyAlignment="1" applyProtection="1">
      <alignment horizontal="left"/>
      <protection locked="0"/>
    </xf>
    <xf numFmtId="0" fontId="435" fillId="8" borderId="63" xfId="8" applyNumberFormat="1" applyFont="1" applyFill="1" applyBorder="1" applyAlignment="1" applyProtection="1">
      <alignment horizontal="left"/>
      <protection locked="0"/>
    </xf>
    <xf numFmtId="0" fontId="435" fillId="8" borderId="63" xfId="8" applyNumberFormat="1" applyFont="1" applyFill="1" applyBorder="1" applyAlignment="1" applyProtection="1">
      <alignment horizontal="left" vertical="center"/>
      <protection locked="0"/>
    </xf>
    <xf numFmtId="0" fontId="160" fillId="8" borderId="63" xfId="8" applyNumberFormat="1" applyFont="1" applyFill="1" applyBorder="1" applyAlignment="1" applyProtection="1">
      <alignment horizontal="left" vertical="center"/>
      <protection locked="0"/>
    </xf>
    <xf numFmtId="0" fontId="435" fillId="8" borderId="62" xfId="8" applyNumberFormat="1" applyFont="1" applyFill="1" applyBorder="1" applyAlignment="1" applyProtection="1">
      <alignment horizontal="left"/>
      <protection locked="0"/>
    </xf>
    <xf numFmtId="0" fontId="83" fillId="8" borderId="63" xfId="8" applyFill="1" applyBorder="1" applyProtection="1">
      <alignment vertical="center"/>
      <protection hidden="1"/>
    </xf>
    <xf numFmtId="0" fontId="443" fillId="8" borderId="63" xfId="8" applyNumberFormat="1" applyFont="1" applyFill="1" applyBorder="1" applyAlignment="1" applyProtection="1">
      <alignment horizontal="right" vertical="center"/>
      <protection hidden="1"/>
    </xf>
    <xf numFmtId="0" fontId="260" fillId="8" borderId="55" xfId="8" applyNumberFormat="1" applyFont="1" applyFill="1" applyBorder="1" applyAlignment="1" applyProtection="1">
      <alignment horizontal="center" vertical="top"/>
      <protection hidden="1"/>
    </xf>
    <xf numFmtId="0" fontId="435" fillId="8" borderId="55" xfId="8" applyNumberFormat="1" applyFont="1" applyFill="1" applyBorder="1" applyAlignment="1" applyProtection="1">
      <alignment horizontal="left"/>
      <protection hidden="1"/>
    </xf>
    <xf numFmtId="0" fontId="121" fillId="8" borderId="55" xfId="8" applyNumberFormat="1" applyFont="1" applyFill="1" applyBorder="1" applyAlignment="1" applyProtection="1">
      <alignment horizontal="center" vertical="top"/>
      <protection hidden="1"/>
    </xf>
    <xf numFmtId="0" fontId="260" fillId="8" borderId="55" xfId="8" applyNumberFormat="1" applyFont="1" applyFill="1" applyBorder="1" applyAlignment="1" applyProtection="1">
      <alignment horizontal="center" vertical="top"/>
      <protection locked="0"/>
    </xf>
    <xf numFmtId="0" fontId="438" fillId="8" borderId="55" xfId="8" applyNumberFormat="1" applyFont="1" applyFill="1" applyBorder="1" applyAlignment="1" applyProtection="1">
      <alignment horizontal="center" vertical="top"/>
      <protection locked="0"/>
    </xf>
    <xf numFmtId="0" fontId="121" fillId="8" borderId="54" xfId="8" applyNumberFormat="1" applyFont="1" applyFill="1" applyBorder="1" applyAlignment="1" applyProtection="1">
      <alignment horizontal="center" vertical="top"/>
      <protection locked="0"/>
    </xf>
    <xf numFmtId="0" fontId="435" fillId="8" borderId="55" xfId="8" applyNumberFormat="1" applyFont="1" applyFill="1" applyBorder="1" applyAlignment="1" applyProtection="1">
      <alignment horizontal="left"/>
      <protection locked="0"/>
    </xf>
    <xf numFmtId="0" fontId="460" fillId="8" borderId="63" xfId="8" applyNumberFormat="1" applyFont="1" applyFill="1" applyBorder="1" applyAlignment="1" applyProtection="1">
      <alignment horizontal="right" vertical="center"/>
      <protection hidden="1"/>
    </xf>
    <xf numFmtId="0" fontId="451" fillId="8" borderId="63" xfId="8" applyNumberFormat="1" applyFont="1" applyFill="1" applyBorder="1" applyAlignment="1" applyProtection="1">
      <alignment horizontal="right" vertical="center"/>
      <protection hidden="1"/>
    </xf>
    <xf numFmtId="0" fontId="260" fillId="8" borderId="63" xfId="8" applyNumberFormat="1" applyFont="1" applyFill="1" applyBorder="1" applyAlignment="1" applyProtection="1">
      <alignment horizontal="center"/>
      <protection locked="0"/>
    </xf>
    <xf numFmtId="0" fontId="438" fillId="8" borderId="63" xfId="8" applyNumberFormat="1" applyFont="1" applyFill="1" applyBorder="1" applyAlignment="1" applyProtection="1">
      <alignment horizontal="center"/>
      <protection locked="0"/>
    </xf>
    <xf numFmtId="0" fontId="121" fillId="8" borderId="62" xfId="8" applyNumberFormat="1" applyFont="1" applyFill="1" applyBorder="1" applyAlignment="1" applyProtection="1">
      <alignment horizontal="center"/>
      <protection locked="0"/>
    </xf>
    <xf numFmtId="0" fontId="121" fillId="8" borderId="63" xfId="8" applyNumberFormat="1" applyFont="1" applyFill="1" applyBorder="1" applyAlignment="1" applyProtection="1">
      <protection hidden="1"/>
    </xf>
    <xf numFmtId="0" fontId="260" fillId="8" borderId="63" xfId="8" applyNumberFormat="1" applyFont="1" applyFill="1" applyBorder="1" applyAlignment="1" applyProtection="1">
      <alignment horizontal="left"/>
      <protection hidden="1"/>
    </xf>
    <xf numFmtId="0" fontId="441" fillId="8" borderId="62" xfId="8" applyNumberFormat="1" applyFont="1" applyFill="1" applyBorder="1" applyAlignment="1" applyProtection="1">
      <alignment horizontal="left"/>
      <protection hidden="1"/>
    </xf>
    <xf numFmtId="0" fontId="442" fillId="8" borderId="64" xfId="8" applyNumberFormat="1" applyFont="1" applyFill="1" applyBorder="1" applyAlignment="1" applyProtection="1">
      <alignment horizontal="left"/>
      <protection locked="0"/>
    </xf>
    <xf numFmtId="0" fontId="160" fillId="8" borderId="63" xfId="8" applyNumberFormat="1" applyFont="1" applyFill="1" applyBorder="1" applyAlignment="1" applyProtection="1">
      <alignment horizontal="left"/>
      <protection locked="0"/>
    </xf>
    <xf numFmtId="0" fontId="442" fillId="8" borderId="63" xfId="8" applyNumberFormat="1" applyFont="1" applyFill="1" applyBorder="1" applyAlignment="1" applyProtection="1">
      <alignment horizontal="left"/>
      <protection hidden="1"/>
    </xf>
    <xf numFmtId="0" fontId="435" fillId="8" borderId="84" xfId="8" applyNumberFormat="1" applyFont="1" applyFill="1" applyBorder="1" applyAlignment="1" applyProtection="1">
      <alignment horizontal="left"/>
      <protection locked="0"/>
    </xf>
    <xf numFmtId="0" fontId="447" fillId="8" borderId="63" xfId="8" applyNumberFormat="1" applyFont="1" applyFill="1" applyBorder="1" applyAlignment="1" applyProtection="1">
      <alignment horizontal="left"/>
      <protection hidden="1"/>
    </xf>
    <xf numFmtId="0" fontId="435" fillId="8" borderId="63" xfId="8" applyNumberFormat="1" applyFont="1" applyFill="1" applyBorder="1" applyAlignment="1" applyProtection="1">
      <alignment horizontal="right"/>
      <protection hidden="1"/>
    </xf>
    <xf numFmtId="0" fontId="447" fillId="8" borderId="63" xfId="8" applyNumberFormat="1" applyFont="1" applyFill="1" applyBorder="1" applyAlignment="1" applyProtection="1">
      <alignment horizontal="left"/>
      <protection locked="0"/>
    </xf>
    <xf numFmtId="0" fontId="435" fillId="8" borderId="63" xfId="8" applyNumberFormat="1" applyFont="1" applyFill="1" applyBorder="1" applyAlignment="1" applyProtection="1">
      <alignment horizontal="right"/>
      <protection locked="0"/>
    </xf>
    <xf numFmtId="0" fontId="445" fillId="8" borderId="63" xfId="8" applyNumberFormat="1" applyFont="1" applyFill="1" applyBorder="1" applyAlignment="1" applyProtection="1">
      <alignment horizontal="left"/>
      <protection hidden="1"/>
    </xf>
    <xf numFmtId="0" fontId="260" fillId="8" borderId="63" xfId="8" applyNumberFormat="1" applyFont="1" applyFill="1" applyBorder="1" applyAlignment="1" applyProtection="1">
      <protection hidden="1"/>
    </xf>
    <xf numFmtId="0" fontId="439" fillId="8" borderId="63" xfId="8" applyNumberFormat="1" applyFont="1" applyFill="1" applyBorder="1" applyAlignment="1" applyProtection="1">
      <protection hidden="1"/>
    </xf>
    <xf numFmtId="179" fontId="121" fillId="8" borderId="63" xfId="8" applyNumberFormat="1" applyFont="1" applyFill="1" applyBorder="1" applyAlignment="1" applyProtection="1">
      <alignment horizontal="right" vertical="center"/>
      <protection hidden="1"/>
    </xf>
    <xf numFmtId="179" fontId="121" fillId="8" borderId="63" xfId="8" applyNumberFormat="1" applyFont="1" applyFill="1" applyBorder="1" applyAlignment="1" applyProtection="1">
      <alignment horizontal="right" vertical="center" shrinkToFit="1"/>
      <protection hidden="1"/>
    </xf>
    <xf numFmtId="0" fontId="174" fillId="8" borderId="63" xfId="8" applyNumberFormat="1" applyFont="1" applyFill="1" applyBorder="1" applyAlignment="1" applyProtection="1">
      <alignment horizontal="left"/>
      <protection locked="0"/>
    </xf>
    <xf numFmtId="0" fontId="174" fillId="8" borderId="62" xfId="8" applyNumberFormat="1" applyFont="1" applyFill="1" applyBorder="1" applyAlignment="1" applyProtection="1">
      <alignment horizontal="left"/>
      <protection locked="0"/>
    </xf>
    <xf numFmtId="0" fontId="442" fillId="8" borderId="63" xfId="8" applyNumberFormat="1" applyFont="1" applyFill="1" applyBorder="1" applyAlignment="1" applyProtection="1">
      <alignment horizontal="left"/>
      <protection locked="0"/>
    </xf>
    <xf numFmtId="0" fontId="121" fillId="8" borderId="68" xfId="8" applyNumberFormat="1" applyFont="1" applyFill="1" applyBorder="1" applyAlignment="1" applyProtection="1">
      <alignment horizontal="left"/>
      <protection locked="0"/>
    </xf>
    <xf numFmtId="179" fontId="121" fillId="8" borderId="63" xfId="8" applyNumberFormat="1" applyFont="1" applyFill="1" applyBorder="1" applyAlignment="1" applyProtection="1">
      <alignment horizontal="left"/>
      <protection hidden="1"/>
    </xf>
    <xf numFmtId="0" fontId="121" fillId="8" borderId="63" xfId="8" applyNumberFormat="1" applyFont="1" applyFill="1" applyBorder="1" applyAlignment="1" applyProtection="1">
      <alignment horizontal="left"/>
      <protection hidden="1"/>
    </xf>
    <xf numFmtId="0" fontId="435" fillId="8" borderId="62" xfId="8" applyNumberFormat="1" applyFont="1" applyFill="1" applyBorder="1" applyAlignment="1" applyProtection="1">
      <alignment horizontal="left"/>
      <protection hidden="1"/>
    </xf>
    <xf numFmtId="0" fontId="260" fillId="8" borderId="63" xfId="8" applyNumberFormat="1" applyFont="1" applyFill="1" applyBorder="1" applyAlignment="1" applyProtection="1">
      <alignment horizontal="left" vertical="top"/>
      <protection hidden="1"/>
    </xf>
    <xf numFmtId="0" fontId="435" fillId="8" borderId="63" xfId="8" applyNumberFormat="1" applyFont="1" applyFill="1" applyBorder="1" applyAlignment="1" applyProtection="1">
      <alignment horizontal="left" shrinkToFit="1"/>
      <protection hidden="1"/>
    </xf>
    <xf numFmtId="181" fontId="260" fillId="8" borderId="63" xfId="8" applyNumberFormat="1" applyFont="1" applyFill="1" applyBorder="1" applyAlignment="1" applyProtection="1">
      <alignment horizontal="left"/>
      <protection hidden="1"/>
    </xf>
    <xf numFmtId="0" fontId="446" fillId="8" borderId="63" xfId="8" applyNumberFormat="1" applyFont="1" applyFill="1" applyBorder="1" applyAlignment="1" applyProtection="1">
      <alignment horizontal="center"/>
      <protection hidden="1"/>
    </xf>
    <xf numFmtId="0" fontId="451" fillId="8" borderId="63" xfId="8" applyNumberFormat="1" applyFont="1" applyFill="1" applyBorder="1" applyAlignment="1" applyProtection="1">
      <alignment horizontal="left" vertical="center"/>
      <protection hidden="1"/>
    </xf>
    <xf numFmtId="0" fontId="444" fillId="8" borderId="63" xfId="8" applyNumberFormat="1" applyFont="1" applyFill="1" applyBorder="1" applyAlignment="1" applyProtection="1">
      <alignment horizontal="left"/>
      <protection hidden="1"/>
    </xf>
    <xf numFmtId="0" fontId="260" fillId="8" borderId="63" xfId="8" applyNumberFormat="1" applyFont="1" applyFill="1" applyBorder="1" applyAlignment="1" applyProtection="1">
      <alignment horizontal="right"/>
      <protection hidden="1"/>
    </xf>
    <xf numFmtId="0" fontId="470" fillId="8" borderId="63" xfId="8" applyNumberFormat="1" applyFont="1" applyFill="1" applyBorder="1" applyAlignment="1" applyProtection="1">
      <alignment horizontal="left" shrinkToFit="1"/>
      <protection hidden="1"/>
    </xf>
    <xf numFmtId="0" fontId="447" fillId="8" borderId="63" xfId="8" applyNumberFormat="1" applyFont="1" applyFill="1" applyBorder="1" applyAlignment="1" applyProtection="1">
      <alignment horizontal="right"/>
      <protection hidden="1"/>
    </xf>
    <xf numFmtId="0" fontId="443" fillId="8" borderId="63" xfId="8" applyNumberFormat="1" applyFont="1" applyFill="1" applyBorder="1" applyAlignment="1" applyProtection="1">
      <alignment horizontal="left" vertical="center"/>
      <protection hidden="1"/>
    </xf>
    <xf numFmtId="0" fontId="160" fillId="8" borderId="63" xfId="8" applyNumberFormat="1" applyFont="1" applyFill="1" applyBorder="1" applyAlignment="1" applyProtection="1">
      <alignment horizontal="left"/>
      <protection hidden="1"/>
    </xf>
    <xf numFmtId="181" fontId="260" fillId="8" borderId="62" xfId="8" applyNumberFormat="1" applyFont="1" applyFill="1" applyBorder="1" applyAlignment="1" applyProtection="1">
      <alignment horizontal="left"/>
      <protection hidden="1"/>
    </xf>
    <xf numFmtId="0" fontId="260" fillId="8" borderId="63" xfId="8" applyNumberFormat="1" applyFont="1" applyFill="1" applyBorder="1" applyAlignment="1" applyProtection="1">
      <alignment horizontal="left" shrinkToFit="1"/>
      <protection hidden="1"/>
    </xf>
    <xf numFmtId="0" fontId="260" fillId="8" borderId="63" xfId="8" applyNumberFormat="1" applyFont="1" applyFill="1" applyBorder="1" applyAlignment="1" applyProtection="1">
      <alignment horizontal="right" shrinkToFit="1"/>
      <protection hidden="1"/>
    </xf>
    <xf numFmtId="0" fontId="260" fillId="8" borderId="63" xfId="8" applyNumberFormat="1" applyFont="1" applyFill="1" applyBorder="1" applyAlignment="1" applyProtection="1">
      <alignment horizontal="left" vertical="center"/>
      <protection hidden="1"/>
    </xf>
    <xf numFmtId="0" fontId="435" fillId="8" borderId="54" xfId="8" applyNumberFormat="1" applyFont="1" applyFill="1" applyBorder="1" applyAlignment="1" applyProtection="1">
      <alignment horizontal="left"/>
      <protection hidden="1"/>
    </xf>
    <xf numFmtId="0" fontId="260" fillId="8" borderId="63" xfId="8" applyNumberFormat="1" applyFont="1" applyFill="1" applyBorder="1" applyAlignment="1" applyProtection="1">
      <alignment horizontal="center" vertical="top"/>
      <protection hidden="1"/>
    </xf>
    <xf numFmtId="0" fontId="448" fillId="8" borderId="63" xfId="8" applyNumberFormat="1" applyFont="1" applyFill="1" applyBorder="1" applyAlignment="1" applyProtection="1">
      <alignment horizontal="center" vertical="top"/>
      <protection hidden="1"/>
    </xf>
    <xf numFmtId="0" fontId="260" fillId="8" borderId="62" xfId="8" applyNumberFormat="1" applyFont="1" applyFill="1" applyBorder="1" applyAlignment="1" applyProtection="1">
      <alignment horizontal="center" vertical="top"/>
      <protection hidden="1"/>
    </xf>
    <xf numFmtId="0" fontId="435" fillId="8" borderId="103" xfId="8" applyNumberFormat="1" applyFont="1" applyFill="1" applyBorder="1" applyAlignment="1" applyProtection="1">
      <alignment horizontal="left"/>
      <protection hidden="1"/>
    </xf>
    <xf numFmtId="0" fontId="260" fillId="8" borderId="116" xfId="8" applyNumberFormat="1" applyFont="1" applyFill="1" applyBorder="1" applyAlignment="1" applyProtection="1">
      <alignment horizontal="center"/>
      <protection hidden="1"/>
    </xf>
    <xf numFmtId="0" fontId="260" fillId="8" borderId="0" xfId="8" applyNumberFormat="1" applyFont="1" applyFill="1" applyBorder="1" applyAlignment="1" applyProtection="1">
      <alignment horizontal="center"/>
      <protection hidden="1"/>
    </xf>
    <xf numFmtId="0" fontId="441" fillId="8" borderId="54" xfId="8" applyNumberFormat="1" applyFont="1" applyFill="1" applyBorder="1" applyAlignment="1" applyProtection="1">
      <alignment horizontal="left"/>
      <protection hidden="1"/>
    </xf>
    <xf numFmtId="0" fontId="435" fillId="8" borderId="94" xfId="8" applyNumberFormat="1" applyFont="1" applyFill="1" applyBorder="1" applyAlignment="1" applyProtection="1">
      <alignment horizontal="left"/>
      <protection hidden="1"/>
    </xf>
    <xf numFmtId="0" fontId="448" fillId="8" borderId="116" xfId="8" applyNumberFormat="1" applyFont="1" applyFill="1" applyBorder="1" applyAlignment="1" applyProtection="1">
      <alignment horizontal="center"/>
      <protection hidden="1"/>
    </xf>
    <xf numFmtId="0" fontId="260" fillId="8" borderId="1" xfId="8" applyNumberFormat="1" applyFont="1" applyFill="1" applyBorder="1" applyAlignment="1" applyProtection="1">
      <alignment horizontal="center"/>
      <protection hidden="1"/>
    </xf>
    <xf numFmtId="0" fontId="448" fillId="8" borderId="55" xfId="8" applyNumberFormat="1" applyFont="1" applyFill="1" applyBorder="1" applyAlignment="1" applyProtection="1">
      <alignment horizontal="left"/>
      <protection hidden="1"/>
    </xf>
    <xf numFmtId="0" fontId="6" fillId="8" borderId="94" xfId="8" applyNumberFormat="1" applyFont="1" applyFill="1" applyBorder="1" applyAlignment="1" applyProtection="1">
      <alignment horizontal="left"/>
      <protection hidden="1"/>
    </xf>
    <xf numFmtId="0" fontId="260" fillId="8" borderId="94" xfId="8" applyNumberFormat="1" applyFont="1" applyFill="1" applyBorder="1" applyAlignment="1" applyProtection="1">
      <alignment horizontal="center"/>
      <protection hidden="1"/>
    </xf>
    <xf numFmtId="0" fontId="82" fillId="8" borderId="117" xfId="9" applyNumberFormat="1" applyFont="1" applyFill="1" applyBorder="1" applyAlignment="1" applyProtection="1">
      <alignment horizontal="center" vertical="center"/>
      <protection hidden="1"/>
    </xf>
    <xf numFmtId="0" fontId="163" fillId="8" borderId="117" xfId="9" applyNumberFormat="1" applyFont="1" applyFill="1" applyBorder="1" applyAlignment="1" applyProtection="1">
      <alignment horizontal="center" vertical="center"/>
      <protection hidden="1"/>
    </xf>
    <xf numFmtId="0" fontId="82" fillId="8" borderId="123" xfId="9" applyNumberFormat="1" applyFont="1" applyFill="1" applyBorder="1" applyAlignment="1" applyProtection="1">
      <alignment horizontal="left"/>
      <protection hidden="1"/>
    </xf>
    <xf numFmtId="0" fontId="82" fillId="8" borderId="58" xfId="9" applyNumberFormat="1" applyFont="1" applyFill="1" applyBorder="1" applyAlignment="1" applyProtection="1">
      <alignment horizontal="left"/>
      <protection hidden="1"/>
    </xf>
    <xf numFmtId="0" fontId="160" fillId="8" borderId="58" xfId="9" applyNumberFormat="1" applyFont="1" applyFill="1" applyBorder="1" applyAlignment="1" applyProtection="1">
      <alignment horizontal="left"/>
      <protection hidden="1"/>
    </xf>
    <xf numFmtId="0" fontId="82" fillId="8" borderId="41" xfId="9" applyNumberFormat="1" applyFont="1" applyFill="1" applyBorder="1" applyAlignment="1" applyProtection="1">
      <alignment horizontal="left"/>
      <protection hidden="1"/>
    </xf>
    <xf numFmtId="181" fontId="162" fillId="8" borderId="35" xfId="9" applyNumberFormat="1" applyFont="1" applyFill="1" applyBorder="1" applyAlignment="1" applyProtection="1">
      <alignment horizontal="center" vertical="center"/>
      <protection hidden="1"/>
    </xf>
    <xf numFmtId="181" fontId="162" fillId="8" borderId="63" xfId="9" applyNumberFormat="1" applyFont="1" applyFill="1" applyBorder="1" applyAlignment="1" applyProtection="1">
      <alignment horizontal="center" vertical="center"/>
      <protection hidden="1"/>
    </xf>
    <xf numFmtId="181" fontId="162" fillId="8" borderId="4" xfId="9" applyNumberFormat="1" applyFont="1" applyFill="1" applyBorder="1" applyAlignment="1" applyProtection="1">
      <alignment horizontal="center" vertical="center"/>
      <protection hidden="1"/>
    </xf>
    <xf numFmtId="181" fontId="162" fillId="8" borderId="60" xfId="9" applyNumberFormat="1" applyFont="1" applyFill="1" applyBorder="1" applyAlignment="1" applyProtection="1">
      <alignment horizontal="center" vertical="center"/>
      <protection hidden="1"/>
    </xf>
    <xf numFmtId="181" fontId="162" fillId="8" borderId="65" xfId="9" applyNumberFormat="1" applyFont="1" applyFill="1" applyBorder="1" applyAlignment="1" applyProtection="1">
      <alignment horizontal="center" vertical="center"/>
      <protection hidden="1"/>
    </xf>
    <xf numFmtId="0" fontId="82" fillId="8" borderId="69" xfId="9" applyNumberFormat="1" applyFont="1" applyFill="1" applyBorder="1" applyAlignment="1" applyProtection="1">
      <alignment horizontal="center"/>
      <protection hidden="1"/>
    </xf>
    <xf numFmtId="0" fontId="160" fillId="8" borderId="68" xfId="9" applyNumberFormat="1" applyFont="1" applyFill="1" applyBorder="1" applyAlignment="1" applyProtection="1">
      <alignment horizontal="center"/>
      <protection hidden="1"/>
    </xf>
    <xf numFmtId="0" fontId="82" fillId="8" borderId="68" xfId="9" applyNumberFormat="1" applyFont="1" applyFill="1" applyBorder="1" applyAlignment="1" applyProtection="1">
      <alignment horizontal="center"/>
      <protection hidden="1"/>
    </xf>
    <xf numFmtId="0" fontId="82" fillId="8" borderId="65" xfId="9" applyNumberFormat="1" applyFont="1" applyFill="1" applyBorder="1" applyAlignment="1" applyProtection="1">
      <alignment horizontal="center"/>
      <protection hidden="1"/>
    </xf>
    <xf numFmtId="0" fontId="82" fillId="8" borderId="602" xfId="9" applyNumberFormat="1" applyFont="1" applyFill="1" applyBorder="1" applyAlignment="1" applyProtection="1">
      <alignment horizontal="center"/>
      <protection hidden="1"/>
    </xf>
    <xf numFmtId="0" fontId="82" fillId="8" borderId="67" xfId="9" applyNumberFormat="1" applyFont="1" applyFill="1" applyBorder="1" applyAlignment="1" applyProtection="1">
      <alignment horizontal="center"/>
      <protection hidden="1"/>
    </xf>
    <xf numFmtId="181" fontId="162" fillId="8" borderId="602" xfId="9" applyNumberFormat="1" applyFont="1" applyFill="1" applyBorder="1" applyAlignment="1" applyProtection="1">
      <alignment horizontal="left"/>
      <protection hidden="1"/>
    </xf>
    <xf numFmtId="0" fontId="459" fillId="8" borderId="67" xfId="9" applyNumberFormat="1" applyFont="1" applyFill="1" applyBorder="1" applyAlignment="1" applyProtection="1">
      <alignment horizontal="center" shrinkToFit="1"/>
      <protection hidden="1"/>
    </xf>
    <xf numFmtId="0" fontId="162" fillId="8" borderId="53" xfId="9" applyNumberFormat="1" applyFont="1" applyFill="1" applyBorder="1" applyAlignment="1" applyProtection="1">
      <alignment horizontal="center" vertical="center"/>
      <protection hidden="1"/>
    </xf>
    <xf numFmtId="0" fontId="162" fillId="8" borderId="214" xfId="9" applyNumberFormat="1" applyFont="1" applyFill="1" applyBorder="1" applyAlignment="1" applyProtection="1">
      <alignment horizontal="center" vertical="center"/>
      <protection hidden="1"/>
    </xf>
    <xf numFmtId="0" fontId="82" fillId="8" borderId="53" xfId="9" applyNumberFormat="1" applyFont="1" applyFill="1" applyBorder="1" applyAlignment="1" applyProtection="1">
      <alignment horizontal="left"/>
      <protection hidden="1"/>
    </xf>
    <xf numFmtId="0" fontId="121" fillId="8" borderId="86" xfId="9" applyNumberFormat="1" applyFont="1" applyFill="1" applyBorder="1" applyAlignment="1" applyProtection="1">
      <alignment horizontal="center"/>
      <protection locked="0"/>
    </xf>
    <xf numFmtId="0" fontId="121" fillId="8" borderId="68" xfId="9" applyNumberFormat="1" applyFont="1" applyFill="1" applyBorder="1" applyAlignment="1" applyProtection="1">
      <alignment horizontal="center"/>
      <protection locked="0"/>
    </xf>
    <xf numFmtId="176" fontId="121" fillId="8" borderId="68" xfId="9" applyNumberFormat="1" applyFont="1" applyFill="1" applyBorder="1" applyAlignment="1" applyProtection="1">
      <alignment horizontal="center"/>
      <protection locked="0"/>
    </xf>
    <xf numFmtId="0" fontId="160" fillId="8" borderId="68" xfId="9" applyNumberFormat="1" applyFont="1" applyFill="1" applyBorder="1" applyAlignment="1" applyProtection="1">
      <alignment horizontal="left"/>
      <protection locked="0"/>
    </xf>
    <xf numFmtId="176" fontId="121" fillId="8" borderId="68" xfId="9" applyNumberFormat="1" applyFont="1" applyFill="1" applyBorder="1" applyAlignment="1" applyProtection="1">
      <alignment horizontal="right"/>
      <protection locked="0"/>
    </xf>
    <xf numFmtId="0" fontId="82" fillId="8" borderId="68" xfId="9" applyNumberFormat="1" applyFont="1" applyFill="1" applyBorder="1" applyAlignment="1" applyProtection="1">
      <alignment horizontal="left"/>
      <protection locked="0"/>
    </xf>
    <xf numFmtId="0" fontId="160" fillId="8" borderId="68" xfId="9" applyNumberFormat="1" applyFont="1" applyFill="1" applyBorder="1" applyAlignment="1" applyProtection="1">
      <alignment horizontal="left" vertical="top"/>
      <protection locked="0"/>
    </xf>
    <xf numFmtId="0" fontId="160" fillId="8" borderId="81" xfId="9" applyNumberFormat="1" applyFont="1" applyFill="1" applyBorder="1" applyAlignment="1" applyProtection="1">
      <alignment horizontal="left"/>
      <protection hidden="1"/>
    </xf>
    <xf numFmtId="0" fontId="82" fillId="8" borderId="64" xfId="9" applyNumberFormat="1" applyFont="1" applyFill="1" applyBorder="1" applyAlignment="1" applyProtection="1">
      <alignment horizontal="left"/>
      <protection hidden="1"/>
    </xf>
    <xf numFmtId="0" fontId="3" fillId="8" borderId="63" xfId="9" applyNumberFormat="1" applyFont="1" applyFill="1" applyBorder="1" applyAlignment="1" applyProtection="1">
      <alignment horizontal="center"/>
      <protection hidden="1"/>
    </xf>
    <xf numFmtId="0" fontId="121" fillId="8" borderId="63" xfId="9" applyNumberFormat="1" applyFont="1" applyFill="1" applyBorder="1" applyAlignment="1" applyProtection="1">
      <alignment horizontal="right" vertical="center"/>
      <protection hidden="1"/>
    </xf>
    <xf numFmtId="0" fontId="160" fillId="8" borderId="86" xfId="9" applyNumberFormat="1" applyFont="1" applyFill="1" applyBorder="1" applyAlignment="1" applyProtection="1">
      <alignment horizontal="left" shrinkToFit="1"/>
      <protection hidden="1"/>
    </xf>
    <xf numFmtId="0" fontId="260" fillId="28" borderId="65" xfId="9" applyNumberFormat="1" applyFont="1" applyFill="1" applyBorder="1" applyAlignment="1" applyProtection="1">
      <alignment horizontal="right" shrinkToFit="1"/>
      <protection locked="0"/>
    </xf>
    <xf numFmtId="0" fontId="160" fillId="8" borderId="602" xfId="9" applyNumberFormat="1" applyFont="1" applyFill="1" applyBorder="1" applyAlignment="1" applyProtection="1">
      <alignment horizontal="left" shrinkToFit="1"/>
      <protection hidden="1"/>
    </xf>
    <xf numFmtId="0" fontId="260" fillId="47" borderId="65" xfId="9" applyNumberFormat="1" applyFont="1" applyFill="1" applyBorder="1" applyAlignment="1" applyProtection="1">
      <alignment horizontal="right" shrinkToFit="1"/>
      <protection locked="0"/>
    </xf>
    <xf numFmtId="0" fontId="82" fillId="8" borderId="64" xfId="9" applyNumberFormat="1" applyFont="1" applyFill="1" applyBorder="1" applyAlignment="1" applyProtection="1">
      <alignment horizontal="left"/>
      <protection locked="0"/>
    </xf>
    <xf numFmtId="0" fontId="160" fillId="8" borderId="63" xfId="9" applyNumberFormat="1" applyFont="1" applyFill="1" applyBorder="1" applyAlignment="1" applyProtection="1">
      <alignment horizontal="left" vertical="top"/>
      <protection locked="0"/>
    </xf>
    <xf numFmtId="0" fontId="475" fillId="8" borderId="63" xfId="9" applyNumberFormat="1" applyFont="1" applyFill="1" applyBorder="1" applyAlignment="1" applyProtection="1">
      <alignment horizontal="right" vertical="center"/>
      <protection locked="0"/>
    </xf>
    <xf numFmtId="0" fontId="260" fillId="8" borderId="63" xfId="9" applyNumberFormat="1" applyFont="1" applyFill="1" applyBorder="1" applyAlignment="1" applyProtection="1">
      <alignment horizontal="right" vertical="center"/>
      <protection locked="0"/>
    </xf>
    <xf numFmtId="0" fontId="260" fillId="8" borderId="63" xfId="9" applyNumberFormat="1" applyFont="1" applyFill="1" applyBorder="1" applyAlignment="1" applyProtection="1">
      <alignment horizontal="right" vertical="center"/>
      <protection hidden="1"/>
    </xf>
    <xf numFmtId="0" fontId="160" fillId="8" borderId="63" xfId="9" applyNumberFormat="1" applyFont="1" applyFill="1" applyBorder="1" applyAlignment="1" applyProtection="1">
      <alignment horizontal="left"/>
      <protection locked="0"/>
    </xf>
    <xf numFmtId="181" fontId="260" fillId="47" borderId="109" xfId="9" applyNumberFormat="1" applyFont="1" applyFill="1" applyBorder="1" applyAlignment="1" applyProtection="1">
      <alignment horizontal="center"/>
      <protection hidden="1"/>
    </xf>
    <xf numFmtId="0" fontId="165" fillId="8" borderId="63" xfId="9" applyNumberFormat="1" applyFont="1" applyFill="1" applyBorder="1" applyAlignment="1" applyProtection="1">
      <alignment horizontal="left" vertical="top"/>
      <protection hidden="1"/>
    </xf>
    <xf numFmtId="0" fontId="83" fillId="8" borderId="64" xfId="9" applyFill="1" applyBorder="1" applyProtection="1">
      <alignment vertical="center"/>
      <protection locked="0"/>
    </xf>
    <xf numFmtId="0" fontId="82" fillId="8" borderId="219" xfId="9" applyNumberFormat="1" applyFont="1" applyFill="1" applyBorder="1" applyAlignment="1" applyProtection="1">
      <alignment horizontal="left"/>
      <protection locked="0"/>
    </xf>
    <xf numFmtId="0" fontId="82" fillId="8" borderId="220" xfId="9" applyNumberFormat="1" applyFont="1" applyFill="1" applyBorder="1" applyAlignment="1" applyProtection="1">
      <alignment horizontal="left"/>
      <protection locked="0"/>
    </xf>
    <xf numFmtId="0" fontId="82" fillId="8" borderId="434" xfId="9" applyNumberFormat="1" applyFont="1" applyFill="1" applyBorder="1" applyAlignment="1" applyProtection="1">
      <alignment horizontal="left"/>
      <protection locked="0"/>
    </xf>
    <xf numFmtId="0" fontId="160" fillId="8" borderId="0" xfId="2" applyFont="1" applyFill="1" applyBorder="1" applyAlignment="1" applyProtection="1">
      <alignment vertical="top"/>
      <protection hidden="1"/>
    </xf>
    <xf numFmtId="0" fontId="476" fillId="8" borderId="0" xfId="2" applyFont="1" applyFill="1" applyAlignment="1" applyProtection="1">
      <alignment horizontal="left" vertical="top"/>
      <protection hidden="1"/>
    </xf>
    <xf numFmtId="0" fontId="477" fillId="8" borderId="0" xfId="2" applyFont="1" applyFill="1" applyBorder="1" applyAlignment="1" applyProtection="1">
      <alignment horizontal="right" vertical="top"/>
      <protection hidden="1"/>
    </xf>
    <xf numFmtId="0" fontId="160" fillId="8" borderId="0" xfId="8" applyFont="1" applyFill="1" applyBorder="1" applyAlignment="1" applyProtection="1">
      <alignment vertical="top"/>
      <protection hidden="1"/>
    </xf>
    <xf numFmtId="0" fontId="83" fillId="8" borderId="0" xfId="8" applyFill="1" applyBorder="1" applyProtection="1">
      <alignment vertical="center"/>
      <protection hidden="1"/>
    </xf>
    <xf numFmtId="0" fontId="478" fillId="8" borderId="0" xfId="2" applyFont="1" applyFill="1" applyBorder="1" applyAlignment="1" applyProtection="1">
      <alignment horizontal="right"/>
      <protection hidden="1"/>
    </xf>
    <xf numFmtId="0" fontId="160" fillId="8" borderId="0" xfId="8" applyFont="1" applyFill="1" applyBorder="1" applyProtection="1">
      <alignment vertical="center"/>
      <protection hidden="1"/>
    </xf>
    <xf numFmtId="0" fontId="118" fillId="8" borderId="0" xfId="8" applyFont="1" applyFill="1" applyBorder="1" applyProtection="1">
      <alignment vertical="center"/>
      <protection hidden="1"/>
    </xf>
    <xf numFmtId="0" fontId="82" fillId="8" borderId="0" xfId="8" applyFont="1" applyFill="1" applyBorder="1" applyAlignment="1" applyProtection="1">
      <alignment vertical="center"/>
      <protection locked="0"/>
    </xf>
    <xf numFmtId="0" fontId="479" fillId="8" borderId="0" xfId="8" applyFont="1" applyFill="1" applyBorder="1" applyProtection="1">
      <alignment vertical="center"/>
      <protection locked="0"/>
    </xf>
    <xf numFmtId="0" fontId="83" fillId="8" borderId="0" xfId="8" applyFill="1" applyBorder="1" applyProtection="1">
      <alignment vertical="center"/>
      <protection locked="0"/>
    </xf>
    <xf numFmtId="0" fontId="173" fillId="8" borderId="0" xfId="8" applyFont="1" applyFill="1" applyBorder="1" applyProtection="1">
      <alignment vertical="center"/>
      <protection locked="0"/>
    </xf>
    <xf numFmtId="0" fontId="163" fillId="8" borderId="0" xfId="8" applyFont="1" applyFill="1" applyAlignment="1" applyProtection="1">
      <alignment vertical="center"/>
      <protection locked="0"/>
    </xf>
    <xf numFmtId="0" fontId="479" fillId="8" borderId="0" xfId="8" applyFont="1" applyFill="1" applyProtection="1">
      <alignment vertical="center"/>
      <protection locked="0"/>
    </xf>
    <xf numFmtId="0" fontId="172" fillId="8" borderId="0" xfId="8" applyFont="1" applyFill="1" applyProtection="1">
      <alignment vertical="center"/>
      <protection locked="0"/>
    </xf>
    <xf numFmtId="0" fontId="83" fillId="8" borderId="0" xfId="2" applyFill="1" applyBorder="1" applyProtection="1">
      <protection locked="0"/>
    </xf>
    <xf numFmtId="0" fontId="160" fillId="8" borderId="0" xfId="2" applyFont="1" applyFill="1" applyBorder="1" applyAlignment="1" applyProtection="1">
      <alignment vertical="top"/>
      <protection locked="0"/>
    </xf>
    <xf numFmtId="0" fontId="476" fillId="8" borderId="0" xfId="2" applyFont="1" applyFill="1" applyAlignment="1" applyProtection="1">
      <alignment horizontal="left" vertical="top"/>
      <protection locked="0"/>
    </xf>
    <xf numFmtId="0" fontId="477" fillId="8" borderId="0" xfId="2" applyFont="1" applyFill="1" applyBorder="1" applyAlignment="1" applyProtection="1">
      <alignment horizontal="right" vertical="top"/>
      <protection locked="0"/>
    </xf>
    <xf numFmtId="0" fontId="160" fillId="8" borderId="0" xfId="8" applyFont="1" applyFill="1" applyBorder="1" applyAlignment="1" applyProtection="1">
      <alignment vertical="top"/>
      <protection locked="0"/>
    </xf>
    <xf numFmtId="0" fontId="160" fillId="8" borderId="0" xfId="8" applyFont="1" applyFill="1" applyBorder="1" applyProtection="1">
      <alignment vertical="center"/>
      <protection locked="0"/>
    </xf>
    <xf numFmtId="0" fontId="118" fillId="8" borderId="0" xfId="8" applyFont="1" applyFill="1" applyBorder="1" applyProtection="1">
      <alignment vertical="center"/>
      <protection locked="0"/>
    </xf>
    <xf numFmtId="0" fontId="83" fillId="8" borderId="0" xfId="8" applyFill="1" applyProtection="1">
      <alignment vertical="center"/>
      <protection locked="0"/>
    </xf>
    <xf numFmtId="0" fontId="162" fillId="8" borderId="0" xfId="8" applyFont="1" applyFill="1" applyProtection="1">
      <alignment vertical="center"/>
      <protection locked="0"/>
    </xf>
    <xf numFmtId="0" fontId="82" fillId="8" borderId="226" xfId="8" applyNumberFormat="1" applyFont="1" applyFill="1" applyBorder="1" applyAlignment="1" applyProtection="1">
      <alignment horizontal="left"/>
      <protection hidden="1"/>
    </xf>
    <xf numFmtId="0" fontId="82" fillId="8" borderId="116" xfId="8" applyNumberFormat="1" applyFont="1" applyFill="1" applyBorder="1" applyAlignment="1" applyProtection="1">
      <alignment horizontal="left"/>
      <protection hidden="1"/>
    </xf>
    <xf numFmtId="0" fontId="160" fillId="8" borderId="116" xfId="8" applyNumberFormat="1" applyFont="1" applyFill="1" applyBorder="1" applyAlignment="1" applyProtection="1">
      <alignment horizontal="left"/>
      <protection hidden="1"/>
    </xf>
    <xf numFmtId="0" fontId="82" fillId="8" borderId="241" xfId="8" applyNumberFormat="1" applyFont="1" applyFill="1" applyBorder="1" applyAlignment="1" applyProtection="1">
      <alignment horizontal="left"/>
      <protection hidden="1"/>
    </xf>
    <xf numFmtId="0" fontId="436" fillId="8" borderId="598" xfId="8" applyNumberFormat="1" applyFont="1" applyFill="1" applyBorder="1" applyAlignment="1" applyProtection="1">
      <alignment horizontal="center" vertical="center"/>
      <protection locked="0"/>
    </xf>
    <xf numFmtId="0" fontId="82" fillId="8" borderId="117" xfId="8" applyNumberFormat="1" applyFont="1" applyFill="1" applyBorder="1" applyAlignment="1" applyProtection="1">
      <alignment horizontal="center" vertical="center"/>
      <protection hidden="1"/>
    </xf>
    <xf numFmtId="0" fontId="163" fillId="8" borderId="117" xfId="8" applyNumberFormat="1" applyFont="1" applyFill="1" applyBorder="1" applyAlignment="1" applyProtection="1">
      <alignment horizontal="center" vertical="center"/>
      <protection hidden="1"/>
    </xf>
    <xf numFmtId="0" fontId="165" fillId="8" borderId="148" xfId="8" applyNumberFormat="1" applyFont="1" applyFill="1" applyBorder="1" applyAlignment="1" applyProtection="1">
      <alignment horizontal="center" vertical="center"/>
      <protection locked="0"/>
    </xf>
    <xf numFmtId="0" fontId="260" fillId="8" borderId="114" xfId="8" applyNumberFormat="1" applyFont="1" applyFill="1" applyBorder="1" applyAlignment="1" applyProtection="1">
      <alignment horizontal="right" vertical="center" shrinkToFit="1"/>
      <protection locked="0"/>
    </xf>
    <xf numFmtId="0" fontId="165" fillId="8" borderId="114" xfId="8" applyNumberFormat="1" applyFont="1" applyFill="1" applyBorder="1" applyAlignment="1" applyProtection="1">
      <alignment horizontal="center" vertical="center"/>
      <protection locked="0"/>
    </xf>
    <xf numFmtId="0" fontId="482" fillId="8" borderId="114" xfId="8" applyNumberFormat="1" applyFont="1" applyFill="1" applyBorder="1" applyAlignment="1" applyProtection="1">
      <alignment horizontal="center" vertical="center" wrapText="1"/>
      <protection locked="0"/>
    </xf>
    <xf numFmtId="0" fontId="259" fillId="8" borderId="114" xfId="8" applyNumberFormat="1" applyFont="1" applyFill="1" applyBorder="1" applyAlignment="1" applyProtection="1">
      <alignment horizontal="center" vertical="top"/>
      <protection locked="0"/>
    </xf>
    <xf numFmtId="181" fontId="162" fillId="8" borderId="114" xfId="8" applyNumberFormat="1" applyFont="1" applyFill="1" applyBorder="1" applyAlignment="1" applyProtection="1">
      <alignment horizontal="center" vertical="center"/>
      <protection locked="0"/>
    </xf>
    <xf numFmtId="0" fontId="175" fillId="8" borderId="114" xfId="8" applyNumberFormat="1" applyFont="1" applyFill="1" applyBorder="1" applyAlignment="1" applyProtection="1">
      <alignment horizontal="center" vertical="center"/>
      <protection locked="0"/>
    </xf>
    <xf numFmtId="0" fontId="175" fillId="8" borderId="51" xfId="8" applyNumberFormat="1" applyFont="1" applyFill="1" applyBorder="1" applyAlignment="1" applyProtection="1">
      <alignment horizontal="center" vertical="center"/>
      <protection locked="0"/>
    </xf>
    <xf numFmtId="181" fontId="162" fillId="8" borderId="205" xfId="8" applyNumberFormat="1" applyFont="1" applyFill="1" applyBorder="1" applyAlignment="1" applyProtection="1">
      <alignment horizontal="center" vertical="center"/>
      <protection hidden="1"/>
    </xf>
    <xf numFmtId="181" fontId="162" fillId="8" borderId="68" xfId="8" applyNumberFormat="1" applyFont="1" applyFill="1" applyBorder="1" applyAlignment="1" applyProtection="1">
      <alignment horizontal="center" vertical="center"/>
      <protection hidden="1"/>
    </xf>
    <xf numFmtId="181" fontId="162" fillId="8" borderId="30" xfId="8" applyNumberFormat="1" applyFont="1" applyFill="1" applyBorder="1" applyAlignment="1" applyProtection="1">
      <alignment horizontal="center" vertical="center"/>
      <protection hidden="1"/>
    </xf>
    <xf numFmtId="0" fontId="436" fillId="8" borderId="599" xfId="8" applyNumberFormat="1" applyFont="1" applyFill="1" applyBorder="1" applyAlignment="1" applyProtection="1">
      <alignment horizontal="center" vertical="center"/>
      <protection locked="0"/>
    </xf>
    <xf numFmtId="181" fontId="162" fillId="8" borderId="60" xfId="8" applyNumberFormat="1" applyFont="1" applyFill="1" applyBorder="1" applyAlignment="1" applyProtection="1">
      <alignment horizontal="center" vertical="center"/>
      <protection hidden="1"/>
    </xf>
    <xf numFmtId="181" fontId="162" fillId="8" borderId="65" xfId="8" applyNumberFormat="1" applyFont="1" applyFill="1" applyBorder="1" applyAlignment="1" applyProtection="1">
      <alignment horizontal="center" vertical="center"/>
      <protection hidden="1"/>
    </xf>
    <xf numFmtId="0" fontId="82" fillId="8" borderId="69" xfId="8" applyNumberFormat="1" applyFont="1" applyFill="1" applyBorder="1" applyAlignment="1" applyProtection="1">
      <alignment horizontal="center"/>
      <protection hidden="1"/>
    </xf>
    <xf numFmtId="0" fontId="160" fillId="8" borderId="68" xfId="8" applyNumberFormat="1" applyFont="1" applyFill="1" applyBorder="1" applyAlignment="1" applyProtection="1">
      <alignment horizontal="center"/>
      <protection hidden="1"/>
    </xf>
    <xf numFmtId="0" fontId="82" fillId="8" borderId="68" xfId="8" applyNumberFormat="1" applyFont="1" applyFill="1" applyBorder="1" applyAlignment="1" applyProtection="1">
      <alignment horizontal="center"/>
      <protection hidden="1"/>
    </xf>
    <xf numFmtId="0" fontId="82" fillId="8" borderId="65" xfId="8" applyNumberFormat="1" applyFont="1" applyFill="1" applyBorder="1" applyAlignment="1" applyProtection="1">
      <alignment horizontal="center"/>
      <protection hidden="1"/>
    </xf>
    <xf numFmtId="0" fontId="82" fillId="8" borderId="602" xfId="8" applyNumberFormat="1" applyFont="1" applyFill="1" applyBorder="1" applyAlignment="1" applyProtection="1">
      <alignment horizontal="center"/>
      <protection hidden="1"/>
    </xf>
    <xf numFmtId="0" fontId="82" fillId="8" borderId="67" xfId="8" applyNumberFormat="1" applyFont="1" applyFill="1" applyBorder="1" applyAlignment="1" applyProtection="1">
      <alignment horizontal="center"/>
      <protection hidden="1"/>
    </xf>
    <xf numFmtId="181" fontId="162" fillId="8" borderId="602" xfId="8" applyNumberFormat="1" applyFont="1" applyFill="1" applyBorder="1" applyAlignment="1" applyProtection="1">
      <alignment horizontal="left"/>
      <protection hidden="1"/>
    </xf>
    <xf numFmtId="0" fontId="459" fillId="8" borderId="67" xfId="8" applyNumberFormat="1" applyFont="1" applyFill="1" applyBorder="1" applyAlignment="1" applyProtection="1">
      <alignment horizontal="center" shrinkToFit="1"/>
      <protection hidden="1"/>
    </xf>
    <xf numFmtId="0" fontId="162" fillId="8" borderId="53" xfId="8" applyNumberFormat="1" applyFont="1" applyFill="1" applyBorder="1" applyAlignment="1" applyProtection="1">
      <alignment horizontal="center" vertical="center"/>
      <protection hidden="1"/>
    </xf>
    <xf numFmtId="0" fontId="162" fillId="8" borderId="214" xfId="8" applyNumberFormat="1" applyFont="1" applyFill="1" applyBorder="1" applyAlignment="1" applyProtection="1">
      <alignment horizontal="center" vertical="center"/>
      <protection hidden="1"/>
    </xf>
    <xf numFmtId="0" fontId="82" fillId="8" borderId="0" xfId="8" applyNumberFormat="1" applyFont="1" applyFill="1" applyBorder="1" applyAlignment="1" applyProtection="1">
      <alignment horizontal="left"/>
      <protection hidden="1"/>
    </xf>
    <xf numFmtId="0" fontId="82" fillId="8" borderId="53" xfId="8" applyNumberFormat="1" applyFont="1" applyFill="1" applyBorder="1" applyAlignment="1" applyProtection="1">
      <alignment horizontal="left"/>
      <protection hidden="1"/>
    </xf>
    <xf numFmtId="0" fontId="82" fillId="8" borderId="86" xfId="8" applyNumberFormat="1" applyFont="1" applyFill="1" applyBorder="1" applyAlignment="1" applyProtection="1">
      <alignment horizontal="left"/>
      <protection locked="0"/>
    </xf>
    <xf numFmtId="0" fontId="82" fillId="8" borderId="68" xfId="8" applyNumberFormat="1" applyFont="1" applyFill="1" applyBorder="1" applyAlignment="1" applyProtection="1">
      <alignment horizontal="left"/>
      <protection locked="0"/>
    </xf>
    <xf numFmtId="0" fontId="160" fillId="8" borderId="68" xfId="8" applyNumberFormat="1" applyFont="1" applyFill="1" applyBorder="1" applyAlignment="1" applyProtection="1">
      <alignment horizontal="left"/>
      <protection locked="0"/>
    </xf>
    <xf numFmtId="0" fontId="160" fillId="8" borderId="81" xfId="8" applyNumberFormat="1" applyFont="1" applyFill="1" applyBorder="1" applyAlignment="1" applyProtection="1">
      <alignment horizontal="left"/>
      <protection hidden="1"/>
    </xf>
    <xf numFmtId="0" fontId="82" fillId="8" borderId="64" xfId="8" applyNumberFormat="1" applyFont="1" applyFill="1" applyBorder="1" applyAlignment="1" applyProtection="1">
      <alignment horizontal="left"/>
      <protection hidden="1"/>
    </xf>
    <xf numFmtId="0" fontId="82" fillId="8" borderId="63" xfId="8" applyNumberFormat="1" applyFont="1" applyFill="1" applyBorder="1" applyAlignment="1" applyProtection="1">
      <alignment horizontal="left"/>
      <protection hidden="1"/>
    </xf>
    <xf numFmtId="0" fontId="121" fillId="8" borderId="63" xfId="8" applyNumberFormat="1" applyFont="1" applyFill="1" applyBorder="1" applyAlignment="1" applyProtection="1">
      <alignment horizontal="right"/>
      <protection hidden="1"/>
    </xf>
    <xf numFmtId="0" fontId="3" fillId="8" borderId="63" xfId="8" applyNumberFormat="1" applyFont="1" applyFill="1" applyBorder="1" applyAlignment="1" applyProtection="1">
      <alignment horizontal="center"/>
      <protection hidden="1"/>
    </xf>
    <xf numFmtId="0" fontId="160" fillId="8" borderId="63" xfId="8" applyNumberFormat="1" applyFont="1" applyFill="1" applyBorder="1" applyAlignment="1" applyProtection="1">
      <alignment horizontal="left" vertical="center"/>
      <protection hidden="1"/>
    </xf>
    <xf numFmtId="0" fontId="121" fillId="8" borderId="63" xfId="8" applyNumberFormat="1" applyFont="1" applyFill="1" applyBorder="1" applyAlignment="1" applyProtection="1">
      <alignment horizontal="right" vertical="center"/>
      <protection hidden="1"/>
    </xf>
    <xf numFmtId="0" fontId="160" fillId="8" borderId="86" xfId="8" applyNumberFormat="1" applyFont="1" applyFill="1" applyBorder="1" applyAlignment="1" applyProtection="1">
      <alignment horizontal="left" shrinkToFit="1"/>
      <protection hidden="1"/>
    </xf>
    <xf numFmtId="0" fontId="260" fillId="28" borderId="65" xfId="8" applyNumberFormat="1" applyFont="1" applyFill="1" applyBorder="1" applyAlignment="1" applyProtection="1">
      <alignment horizontal="right" shrinkToFit="1"/>
      <protection locked="0"/>
    </xf>
    <xf numFmtId="0" fontId="160" fillId="8" borderId="602" xfId="8" applyNumberFormat="1" applyFont="1" applyFill="1" applyBorder="1" applyAlignment="1" applyProtection="1">
      <alignment horizontal="left" shrinkToFit="1"/>
      <protection hidden="1"/>
    </xf>
    <xf numFmtId="0" fontId="260" fillId="47" borderId="65" xfId="8" applyNumberFormat="1" applyFont="1" applyFill="1" applyBorder="1" applyAlignment="1" applyProtection="1">
      <alignment horizontal="right" shrinkToFit="1"/>
      <protection locked="0"/>
    </xf>
    <xf numFmtId="0" fontId="160" fillId="8" borderId="63" xfId="8" applyNumberFormat="1" applyFont="1" applyFill="1" applyBorder="1" applyAlignment="1" applyProtection="1">
      <alignment horizontal="left" vertical="top"/>
      <protection hidden="1"/>
    </xf>
    <xf numFmtId="0" fontId="475" fillId="8" borderId="63" xfId="8" applyNumberFormat="1" applyFont="1" applyFill="1" applyBorder="1" applyAlignment="1" applyProtection="1">
      <alignment horizontal="right" vertical="center"/>
      <protection hidden="1"/>
    </xf>
    <xf numFmtId="0" fontId="260" fillId="8" borderId="63" xfId="8" applyNumberFormat="1" applyFont="1" applyFill="1" applyBorder="1" applyAlignment="1" applyProtection="1">
      <alignment horizontal="right" vertical="center"/>
      <protection hidden="1"/>
    </xf>
    <xf numFmtId="0" fontId="82" fillId="8" borderId="86" xfId="8" applyNumberFormat="1" applyFont="1" applyFill="1" applyBorder="1" applyAlignment="1" applyProtection="1">
      <alignment horizontal="left"/>
      <protection hidden="1"/>
    </xf>
    <xf numFmtId="0" fontId="82" fillId="8" borderId="68" xfId="8" applyNumberFormat="1" applyFont="1" applyFill="1" applyBorder="1" applyAlignment="1" applyProtection="1">
      <alignment horizontal="left"/>
      <protection hidden="1"/>
    </xf>
    <xf numFmtId="0" fontId="160" fillId="8" borderId="68" xfId="8" applyNumberFormat="1" applyFont="1" applyFill="1" applyBorder="1" applyAlignment="1" applyProtection="1">
      <alignment horizontal="left"/>
      <protection hidden="1"/>
    </xf>
    <xf numFmtId="0" fontId="82" fillId="8" borderId="84" xfId="8" applyNumberFormat="1" applyFont="1" applyFill="1" applyBorder="1" applyAlignment="1" applyProtection="1">
      <alignment horizontal="left"/>
      <protection hidden="1"/>
    </xf>
    <xf numFmtId="0" fontId="82" fillId="8" borderId="64" xfId="8" applyNumberFormat="1" applyFont="1" applyFill="1" applyBorder="1" applyAlignment="1" applyProtection="1">
      <alignment horizontal="left"/>
      <protection locked="0"/>
    </xf>
    <xf numFmtId="0" fontId="82" fillId="8" borderId="63" xfId="8" applyNumberFormat="1" applyFont="1" applyFill="1" applyBorder="1" applyAlignment="1" applyProtection="1">
      <alignment horizontal="left"/>
      <protection locked="0"/>
    </xf>
    <xf numFmtId="181" fontId="260" fillId="47" borderId="109" xfId="8" applyNumberFormat="1" applyFont="1" applyFill="1" applyBorder="1" applyAlignment="1" applyProtection="1">
      <alignment horizontal="center"/>
      <protection locked="0"/>
    </xf>
    <xf numFmtId="0" fontId="165" fillId="8" borderId="63" xfId="8" applyNumberFormat="1" applyFont="1" applyFill="1" applyBorder="1" applyAlignment="1" applyProtection="1">
      <alignment horizontal="left"/>
      <protection hidden="1"/>
    </xf>
    <xf numFmtId="0" fontId="260" fillId="8" borderId="63" xfId="8" applyNumberFormat="1" applyFont="1" applyFill="1" applyBorder="1" applyAlignment="1" applyProtection="1">
      <alignment horizontal="left"/>
      <protection locked="0"/>
    </xf>
    <xf numFmtId="0" fontId="165" fillId="8" borderId="63" xfId="8" applyNumberFormat="1" applyFont="1" applyFill="1" applyBorder="1" applyAlignment="1" applyProtection="1">
      <alignment horizontal="left"/>
      <protection locked="0"/>
    </xf>
    <xf numFmtId="0" fontId="165" fillId="8" borderId="63" xfId="8" applyNumberFormat="1" applyFont="1" applyFill="1" applyBorder="1" applyAlignment="1" applyProtection="1">
      <alignment horizontal="left" vertical="top"/>
      <protection hidden="1"/>
    </xf>
    <xf numFmtId="0" fontId="82" fillId="8" borderId="433" xfId="8" applyNumberFormat="1" applyFont="1" applyFill="1" applyBorder="1" applyAlignment="1" applyProtection="1">
      <alignment horizontal="left"/>
      <protection hidden="1"/>
    </xf>
    <xf numFmtId="0" fontId="82" fillId="8" borderId="220" xfId="8" applyNumberFormat="1" applyFont="1" applyFill="1" applyBorder="1" applyAlignment="1" applyProtection="1">
      <alignment horizontal="left"/>
      <protection hidden="1"/>
    </xf>
    <xf numFmtId="0" fontId="160" fillId="8" borderId="220" xfId="8" applyNumberFormat="1" applyFont="1" applyFill="1" applyBorder="1" applyAlignment="1" applyProtection="1">
      <alignment horizontal="left"/>
      <protection hidden="1"/>
    </xf>
    <xf numFmtId="0" fontId="82" fillId="8" borderId="219" xfId="8" applyNumberFormat="1" applyFont="1" applyFill="1" applyBorder="1" applyAlignment="1" applyProtection="1">
      <alignment horizontal="left"/>
      <protection locked="0"/>
    </xf>
    <xf numFmtId="0" fontId="82" fillId="8" borderId="220" xfId="8" applyNumberFormat="1" applyFont="1" applyFill="1" applyBorder="1" applyAlignment="1" applyProtection="1">
      <alignment horizontal="left"/>
      <protection locked="0"/>
    </xf>
    <xf numFmtId="0" fontId="82" fillId="8" borderId="434" xfId="8" applyNumberFormat="1" applyFont="1" applyFill="1" applyBorder="1" applyAlignment="1" applyProtection="1">
      <alignment horizontal="left"/>
      <protection locked="0"/>
    </xf>
    <xf numFmtId="0" fontId="436" fillId="8" borderId="80" xfId="8" applyNumberFormat="1" applyFont="1" applyFill="1" applyBorder="1" applyAlignment="1" applyProtection="1">
      <alignment horizontal="center" vertical="center"/>
      <protection hidden="1"/>
    </xf>
    <xf numFmtId="0" fontId="436" fillId="8" borderId="77" xfId="8" applyNumberFormat="1" applyFont="1" applyFill="1" applyBorder="1" applyAlignment="1" applyProtection="1">
      <alignment horizontal="center" vertical="center"/>
      <protection hidden="1"/>
    </xf>
    <xf numFmtId="0" fontId="111" fillId="8" borderId="0" xfId="2" applyFont="1" applyFill="1" applyBorder="1" applyAlignment="1" applyProtection="1">
      <protection locked="0"/>
    </xf>
    <xf numFmtId="0" fontId="111" fillId="8" borderId="0" xfId="2" applyFont="1" applyFill="1" applyAlignment="1" applyProtection="1">
      <alignment vertical="center"/>
      <protection locked="0"/>
    </xf>
    <xf numFmtId="0" fontId="436" fillId="8" borderId="426" xfId="8" applyNumberFormat="1" applyFont="1" applyFill="1" applyBorder="1" applyAlignment="1" applyProtection="1">
      <alignment horizontal="center" vertical="center"/>
      <protection locked="0"/>
    </xf>
    <xf numFmtId="0" fontId="172" fillId="8" borderId="0" xfId="8" applyFont="1" applyFill="1" applyProtection="1">
      <alignment vertical="center"/>
      <protection hidden="1"/>
    </xf>
    <xf numFmtId="0" fontId="82" fillId="8" borderId="226" xfId="2" applyNumberFormat="1" applyFont="1" applyFill="1" applyBorder="1" applyAlignment="1" applyProtection="1">
      <alignment horizontal="left"/>
      <protection hidden="1"/>
    </xf>
    <xf numFmtId="0" fontId="82" fillId="8" borderId="116" xfId="2" applyNumberFormat="1" applyFont="1" applyFill="1" applyBorder="1" applyAlignment="1" applyProtection="1">
      <alignment horizontal="left"/>
      <protection hidden="1"/>
    </xf>
    <xf numFmtId="0" fontId="259" fillId="8" borderId="116" xfId="2" applyNumberFormat="1" applyFont="1" applyFill="1" applyBorder="1" applyAlignment="1" applyProtection="1">
      <alignment horizontal="left" vertical="center"/>
      <protection hidden="1"/>
    </xf>
    <xf numFmtId="0" fontId="436" fillId="8" borderId="607" xfId="2" applyNumberFormat="1" applyFont="1" applyFill="1" applyBorder="1" applyAlignment="1" applyProtection="1">
      <alignment horizontal="center" vertical="center"/>
      <protection hidden="1"/>
    </xf>
    <xf numFmtId="0" fontId="435" fillId="8" borderId="86" xfId="2" applyNumberFormat="1" applyFont="1" applyFill="1" applyBorder="1" applyAlignment="1" applyProtection="1">
      <alignment horizontal="left"/>
      <protection hidden="1"/>
    </xf>
    <xf numFmtId="0" fontId="435" fillId="8" borderId="68" xfId="2" applyNumberFormat="1" applyFont="1" applyFill="1" applyBorder="1" applyAlignment="1" applyProtection="1">
      <alignment horizontal="left"/>
      <protection hidden="1"/>
    </xf>
    <xf numFmtId="0" fontId="435" fillId="8" borderId="69" xfId="2" applyNumberFormat="1" applyFont="1" applyFill="1" applyBorder="1" applyAlignment="1" applyProtection="1">
      <alignment horizontal="left"/>
      <protection hidden="1"/>
    </xf>
    <xf numFmtId="0" fontId="435" fillId="8" borderId="57" xfId="2" applyNumberFormat="1" applyFont="1" applyFill="1" applyBorder="1" applyAlignment="1" applyProtection="1">
      <alignment horizontal="left"/>
      <protection hidden="1"/>
    </xf>
    <xf numFmtId="0" fontId="436" fillId="8" borderId="608" xfId="2" applyNumberFormat="1" applyFont="1" applyFill="1" applyBorder="1" applyAlignment="1" applyProtection="1">
      <alignment horizontal="center" vertical="center"/>
      <protection hidden="1"/>
    </xf>
    <xf numFmtId="0" fontId="435" fillId="8" borderId="84" xfId="2" applyNumberFormat="1" applyFont="1" applyFill="1" applyBorder="1" applyAlignment="1" applyProtection="1">
      <alignment horizontal="left"/>
      <protection hidden="1"/>
    </xf>
    <xf numFmtId="0" fontId="435" fillId="8" borderId="63" xfId="2" applyNumberFormat="1" applyFont="1" applyFill="1" applyBorder="1" applyAlignment="1" applyProtection="1">
      <alignment horizontal="left"/>
      <protection hidden="1"/>
    </xf>
    <xf numFmtId="0" fontId="121" fillId="8" borderId="55" xfId="2" applyNumberFormat="1" applyFont="1" applyFill="1" applyBorder="1" applyAlignment="1" applyProtection="1">
      <alignment horizontal="center" vertical="top"/>
      <protection hidden="1"/>
    </xf>
    <xf numFmtId="0" fontId="435" fillId="8" borderId="64" xfId="2" applyNumberFormat="1" applyFont="1" applyFill="1" applyBorder="1" applyAlignment="1" applyProtection="1">
      <alignment horizontal="left"/>
      <protection hidden="1"/>
    </xf>
    <xf numFmtId="0" fontId="438" fillId="8" borderId="63" xfId="2" applyNumberFormat="1" applyFont="1" applyFill="1" applyBorder="1" applyAlignment="1" applyProtection="1">
      <alignment horizontal="center" vertical="top"/>
      <protection hidden="1"/>
    </xf>
    <xf numFmtId="0" fontId="435" fillId="8" borderId="62" xfId="2" applyNumberFormat="1" applyFont="1" applyFill="1" applyBorder="1" applyAlignment="1" applyProtection="1">
      <alignment horizontal="left"/>
      <protection hidden="1"/>
    </xf>
    <xf numFmtId="0" fontId="260" fillId="8" borderId="63" xfId="2" applyNumberFormat="1" applyFont="1" applyFill="1" applyBorder="1" applyAlignment="1" applyProtection="1">
      <alignment vertical="top"/>
      <protection hidden="1"/>
    </xf>
    <xf numFmtId="0" fontId="260" fillId="8" borderId="55" xfId="2" applyNumberFormat="1" applyFont="1" applyFill="1" applyBorder="1" applyAlignment="1" applyProtection="1">
      <alignment horizontal="center" vertical="top"/>
      <protection hidden="1"/>
    </xf>
    <xf numFmtId="0" fontId="436" fillId="8" borderId="609" xfId="2" applyNumberFormat="1" applyFont="1" applyFill="1" applyBorder="1" applyAlignment="1" applyProtection="1">
      <alignment horizontal="center" vertical="center"/>
      <protection hidden="1"/>
    </xf>
    <xf numFmtId="0" fontId="121" fillId="8" borderId="58" xfId="2" applyNumberFormat="1" applyFont="1" applyFill="1" applyBorder="1" applyAlignment="1" applyProtection="1">
      <alignment horizontal="center"/>
      <protection hidden="1"/>
    </xf>
    <xf numFmtId="0" fontId="438" fillId="8" borderId="63" xfId="2" applyNumberFormat="1" applyFont="1" applyFill="1" applyBorder="1" applyAlignment="1" applyProtection="1">
      <alignment horizontal="center"/>
      <protection hidden="1"/>
    </xf>
    <xf numFmtId="0" fontId="260" fillId="8" borderId="63" xfId="2" applyNumberFormat="1" applyFont="1" applyFill="1" applyBorder="1" applyAlignment="1" applyProtection="1">
      <protection hidden="1"/>
    </xf>
    <xf numFmtId="0" fontId="121" fillId="8" borderId="68" xfId="2" applyNumberFormat="1" applyFont="1" applyFill="1" applyBorder="1" applyAlignment="1" applyProtection="1">
      <alignment horizontal="center"/>
      <protection hidden="1"/>
    </xf>
    <xf numFmtId="0" fontId="442" fillId="8" borderId="63" xfId="2" applyNumberFormat="1" applyFont="1" applyFill="1" applyBorder="1" applyAlignment="1" applyProtection="1">
      <alignment horizontal="left"/>
      <protection hidden="1"/>
    </xf>
    <xf numFmtId="0" fontId="447" fillId="8" borderId="63" xfId="2" applyNumberFormat="1" applyFont="1" applyFill="1" applyBorder="1" applyAlignment="1" applyProtection="1">
      <alignment horizontal="left"/>
      <protection hidden="1"/>
    </xf>
    <xf numFmtId="0" fontId="435" fillId="8" borderId="63" xfId="2" applyNumberFormat="1" applyFont="1" applyFill="1" applyBorder="1" applyAlignment="1" applyProtection="1">
      <alignment horizontal="right"/>
      <protection hidden="1"/>
    </xf>
    <xf numFmtId="0" fontId="460" fillId="8" borderId="63" xfId="2" applyNumberFormat="1" applyFont="1" applyFill="1" applyBorder="1" applyAlignment="1" applyProtection="1">
      <alignment horizontal="left"/>
      <protection hidden="1"/>
    </xf>
    <xf numFmtId="0" fontId="174" fillId="8" borderId="63" xfId="2" applyNumberFormat="1" applyFont="1" applyFill="1" applyBorder="1" applyAlignment="1" applyProtection="1">
      <alignment horizontal="left"/>
      <protection hidden="1"/>
    </xf>
    <xf numFmtId="0" fontId="260" fillId="8" borderId="63" xfId="2" applyNumberFormat="1" applyFont="1" applyFill="1" applyBorder="1" applyAlignment="1" applyProtection="1">
      <alignment horizontal="left"/>
      <protection hidden="1"/>
    </xf>
    <xf numFmtId="0" fontId="121" fillId="8" borderId="63" xfId="2" applyNumberFormat="1" applyFont="1" applyFill="1" applyBorder="1" applyAlignment="1" applyProtection="1">
      <alignment horizontal="left"/>
      <protection hidden="1"/>
    </xf>
    <xf numFmtId="181" fontId="260" fillId="8" borderId="63" xfId="2" applyNumberFormat="1" applyFont="1" applyFill="1" applyBorder="1" applyAlignment="1" applyProtection="1">
      <protection hidden="1"/>
    </xf>
    <xf numFmtId="0" fontId="435" fillId="8" borderId="94" xfId="2" applyNumberFormat="1" applyFont="1" applyFill="1" applyBorder="1" applyAlignment="1" applyProtection="1">
      <alignment horizontal="left"/>
      <protection hidden="1"/>
    </xf>
    <xf numFmtId="0" fontId="260" fillId="8" borderId="94" xfId="2" applyNumberFormat="1" applyFont="1" applyFill="1" applyBorder="1" applyAlignment="1" applyProtection="1">
      <alignment horizontal="left" vertical="top"/>
      <protection hidden="1"/>
    </xf>
    <xf numFmtId="0" fontId="260" fillId="8" borderId="62" xfId="2" applyNumberFormat="1" applyFont="1" applyFill="1" applyBorder="1" applyAlignment="1" applyProtection="1">
      <alignment horizontal="left"/>
      <protection hidden="1"/>
    </xf>
    <xf numFmtId="0" fontId="260" fillId="8" borderId="68" xfId="2" applyNumberFormat="1" applyFont="1" applyFill="1" applyBorder="1" applyAlignment="1" applyProtection="1">
      <alignment horizontal="left"/>
      <protection hidden="1"/>
    </xf>
    <xf numFmtId="0" fontId="260" fillId="8" borderId="68" xfId="2" applyNumberFormat="1" applyFont="1" applyFill="1" applyBorder="1" applyAlignment="1" applyProtection="1">
      <alignment horizontal="left" shrinkToFit="1"/>
      <protection hidden="1"/>
    </xf>
    <xf numFmtId="0" fontId="260" fillId="8" borderId="58" xfId="2" applyNumberFormat="1" applyFont="1" applyFill="1" applyBorder="1" applyAlignment="1" applyProtection="1">
      <alignment horizontal="center" shrinkToFit="1"/>
      <protection hidden="1"/>
    </xf>
    <xf numFmtId="0" fontId="260" fillId="8" borderId="68" xfId="2" applyNumberFormat="1" applyFont="1" applyFill="1" applyBorder="1" applyAlignment="1" applyProtection="1">
      <alignment horizontal="right" shrinkToFit="1"/>
      <protection hidden="1"/>
    </xf>
    <xf numFmtId="0" fontId="121" fillId="8" borderId="94" xfId="2" applyNumberFormat="1" applyFont="1" applyFill="1" applyBorder="1" applyAlignment="1" applyProtection="1">
      <alignment horizontal="center" vertical="top"/>
      <protection hidden="1"/>
    </xf>
    <xf numFmtId="0" fontId="435" fillId="8" borderId="55" xfId="2" applyNumberFormat="1" applyFont="1" applyFill="1" applyBorder="1" applyAlignment="1" applyProtection="1">
      <alignment horizontal="left"/>
      <protection hidden="1"/>
    </xf>
    <xf numFmtId="0" fontId="448" fillId="8" borderId="63" xfId="2" applyNumberFormat="1" applyFont="1" applyFill="1" applyBorder="1" applyAlignment="1" applyProtection="1">
      <alignment horizontal="center" vertical="top"/>
      <protection hidden="1"/>
    </xf>
    <xf numFmtId="0" fontId="260" fillId="8" borderId="94" xfId="2" applyNumberFormat="1" applyFont="1" applyFill="1" applyBorder="1" applyAlignment="1" applyProtection="1">
      <alignment horizontal="center" vertical="top"/>
      <protection hidden="1"/>
    </xf>
    <xf numFmtId="0" fontId="260" fillId="8" borderId="55" xfId="2" applyNumberFormat="1" applyFont="1" applyFill="1" applyBorder="1" applyAlignment="1" applyProtection="1">
      <alignment horizontal="left" vertical="top"/>
      <protection hidden="1"/>
    </xf>
    <xf numFmtId="0" fontId="448" fillId="8" borderId="55" xfId="2" applyNumberFormat="1" applyFont="1" applyFill="1" applyBorder="1" applyAlignment="1" applyProtection="1">
      <alignment horizontal="left" vertical="top"/>
      <protection hidden="1"/>
    </xf>
    <xf numFmtId="0" fontId="435" fillId="8" borderId="103" xfId="2" applyNumberFormat="1" applyFont="1" applyFill="1" applyBorder="1" applyAlignment="1" applyProtection="1">
      <alignment horizontal="left"/>
      <protection hidden="1"/>
    </xf>
    <xf numFmtId="0" fontId="260" fillId="8" borderId="0" xfId="2" applyNumberFormat="1" applyFont="1" applyFill="1" applyBorder="1" applyAlignment="1" applyProtection="1">
      <alignment horizontal="center"/>
      <protection hidden="1"/>
    </xf>
    <xf numFmtId="0" fontId="448" fillId="8" borderId="55" xfId="2" applyNumberFormat="1" applyFont="1" applyFill="1" applyBorder="1" applyAlignment="1" applyProtection="1">
      <alignment horizontal="left"/>
      <protection hidden="1"/>
    </xf>
    <xf numFmtId="0" fontId="435" fillId="8" borderId="152" xfId="2" applyNumberFormat="1" applyFont="1" applyFill="1" applyBorder="1" applyAlignment="1" applyProtection="1">
      <alignment horizontal="left"/>
      <protection hidden="1"/>
    </xf>
    <xf numFmtId="0" fontId="435" fillId="8" borderId="56" xfId="2" applyNumberFormat="1" applyFont="1" applyFill="1" applyBorder="1" applyAlignment="1" applyProtection="1">
      <alignment horizontal="left"/>
      <protection hidden="1"/>
    </xf>
    <xf numFmtId="0" fontId="448" fillId="8" borderId="94" xfId="2" applyNumberFormat="1" applyFont="1" applyFill="1" applyBorder="1" applyAlignment="1" applyProtection="1">
      <alignment horizontal="center"/>
      <protection hidden="1"/>
    </xf>
    <xf numFmtId="0" fontId="435" fillId="8" borderId="114" xfId="2" applyNumberFormat="1" applyFont="1" applyFill="1" applyBorder="1" applyAlignment="1" applyProtection="1">
      <alignment horizontal="left"/>
      <protection hidden="1"/>
    </xf>
    <xf numFmtId="0" fontId="260" fillId="8" borderId="114" xfId="2" applyNumberFormat="1" applyFont="1" applyFill="1" applyBorder="1" applyAlignment="1" applyProtection="1">
      <alignment horizontal="left"/>
      <protection hidden="1"/>
    </xf>
    <xf numFmtId="0" fontId="82" fillId="8" borderId="123" xfId="2" applyNumberFormat="1" applyFont="1" applyFill="1" applyBorder="1" applyAlignment="1" applyProtection="1">
      <alignment horizontal="left"/>
      <protection locked="0"/>
    </xf>
    <xf numFmtId="0" fontId="82" fillId="8" borderId="58" xfId="2" applyNumberFormat="1" applyFont="1" applyFill="1" applyBorder="1" applyAlignment="1" applyProtection="1">
      <alignment horizontal="left"/>
      <protection locked="0"/>
    </xf>
    <xf numFmtId="0" fontId="82" fillId="8" borderId="57" xfId="2" applyNumberFormat="1" applyFont="1" applyFill="1" applyBorder="1" applyAlignment="1" applyProtection="1">
      <alignment horizontal="left"/>
      <protection locked="0"/>
    </xf>
    <xf numFmtId="181" fontId="162" fillId="8" borderId="35" xfId="2" applyNumberFormat="1" applyFont="1" applyFill="1" applyBorder="1" applyAlignment="1" applyProtection="1">
      <alignment horizontal="center" vertical="center"/>
      <protection hidden="1"/>
    </xf>
    <xf numFmtId="181" fontId="162" fillId="8" borderId="63" xfId="2" applyNumberFormat="1" applyFont="1" applyFill="1" applyBorder="1" applyAlignment="1" applyProtection="1">
      <alignment horizontal="center" vertical="center"/>
      <protection hidden="1"/>
    </xf>
    <xf numFmtId="181" fontId="162" fillId="8" borderId="4" xfId="2" applyNumberFormat="1" applyFont="1" applyFill="1" applyBorder="1" applyAlignment="1" applyProtection="1">
      <alignment horizontal="center" vertical="center"/>
      <protection hidden="1"/>
    </xf>
    <xf numFmtId="0" fontId="82" fillId="8" borderId="69" xfId="2" applyNumberFormat="1" applyFont="1" applyFill="1" applyBorder="1" applyAlignment="1" applyProtection="1">
      <alignment horizontal="center"/>
      <protection hidden="1"/>
    </xf>
    <xf numFmtId="0" fontId="82" fillId="8" borderId="68" xfId="2" applyNumberFormat="1" applyFont="1" applyFill="1" applyBorder="1" applyAlignment="1" applyProtection="1">
      <alignment horizontal="center"/>
      <protection hidden="1"/>
    </xf>
    <xf numFmtId="0" fontId="82" fillId="8" borderId="65" xfId="2" applyNumberFormat="1" applyFont="1" applyFill="1" applyBorder="1" applyAlignment="1" applyProtection="1">
      <alignment horizontal="center"/>
      <protection hidden="1"/>
    </xf>
    <xf numFmtId="0" fontId="82" fillId="8" borderId="602" xfId="2" applyNumberFormat="1" applyFont="1" applyFill="1" applyBorder="1" applyAlignment="1" applyProtection="1">
      <alignment horizontal="center"/>
      <protection hidden="1"/>
    </xf>
    <xf numFmtId="0" fontId="82" fillId="8" borderId="67" xfId="2" applyNumberFormat="1" applyFont="1" applyFill="1" applyBorder="1" applyAlignment="1" applyProtection="1">
      <alignment horizontal="center"/>
      <protection hidden="1"/>
    </xf>
    <xf numFmtId="181" fontId="162" fillId="8" borderId="602" xfId="2" applyNumberFormat="1" applyFont="1" applyFill="1" applyBorder="1" applyAlignment="1" applyProtection="1">
      <alignment horizontal="left"/>
      <protection hidden="1"/>
    </xf>
    <xf numFmtId="0" fontId="459" fillId="8" borderId="67" xfId="2" applyNumberFormat="1" applyFont="1" applyFill="1" applyBorder="1" applyAlignment="1" applyProtection="1">
      <alignment horizontal="center" shrinkToFit="1"/>
      <protection hidden="1"/>
    </xf>
    <xf numFmtId="0" fontId="162" fillId="8" borderId="53" xfId="2" applyNumberFormat="1" applyFont="1" applyFill="1" applyBorder="1" applyAlignment="1" applyProtection="1">
      <alignment horizontal="center" vertical="center"/>
      <protection hidden="1"/>
    </xf>
    <xf numFmtId="0" fontId="162" fillId="8" borderId="214" xfId="2" applyNumberFormat="1" applyFont="1" applyFill="1" applyBorder="1" applyAlignment="1" applyProtection="1">
      <alignment horizontal="center" vertical="center"/>
      <protection hidden="1"/>
    </xf>
    <xf numFmtId="0" fontId="82" fillId="8" borderId="1" xfId="2" applyNumberFormat="1" applyFont="1" applyFill="1" applyBorder="1" applyAlignment="1" applyProtection="1">
      <alignment horizontal="left"/>
      <protection hidden="1"/>
    </xf>
    <xf numFmtId="0" fontId="82" fillId="8" borderId="86" xfId="2" applyNumberFormat="1" applyFont="1" applyFill="1" applyBorder="1" applyAlignment="1" applyProtection="1">
      <alignment horizontal="left"/>
      <protection locked="0"/>
    </xf>
    <xf numFmtId="0" fontId="82" fillId="8" borderId="68" xfId="2" applyNumberFormat="1" applyFont="1" applyFill="1" applyBorder="1" applyAlignment="1" applyProtection="1">
      <alignment horizontal="left"/>
      <protection locked="0"/>
    </xf>
    <xf numFmtId="0" fontId="121" fillId="8" borderId="86" xfId="2" applyNumberFormat="1" applyFont="1" applyFill="1" applyBorder="1" applyAlignment="1" applyProtection="1">
      <alignment horizontal="center"/>
      <protection locked="0"/>
    </xf>
    <xf numFmtId="0" fontId="121" fillId="8" borderId="68" xfId="2" applyNumberFormat="1" applyFont="1" applyFill="1" applyBorder="1" applyAlignment="1" applyProtection="1">
      <alignment horizontal="center"/>
      <protection locked="0"/>
    </xf>
    <xf numFmtId="176" fontId="121" fillId="8" borderId="68" xfId="2" applyNumberFormat="1" applyFont="1" applyFill="1" applyBorder="1" applyAlignment="1" applyProtection="1">
      <alignment horizontal="center"/>
      <protection locked="0"/>
    </xf>
    <xf numFmtId="0" fontId="160" fillId="8" borderId="68" xfId="2" applyNumberFormat="1" applyFont="1" applyFill="1" applyBorder="1" applyAlignment="1" applyProtection="1">
      <alignment horizontal="left"/>
      <protection locked="0"/>
    </xf>
    <xf numFmtId="176" fontId="121" fillId="8" borderId="68" xfId="2" applyNumberFormat="1" applyFont="1" applyFill="1" applyBorder="1" applyAlignment="1" applyProtection="1">
      <alignment horizontal="right"/>
      <protection locked="0"/>
    </xf>
    <xf numFmtId="0" fontId="82" fillId="8" borderId="64" xfId="2" applyNumberFormat="1" applyFont="1" applyFill="1" applyBorder="1" applyAlignment="1" applyProtection="1">
      <alignment horizontal="left"/>
      <protection locked="0"/>
    </xf>
    <xf numFmtId="181" fontId="121" fillId="28" borderId="109" xfId="2" applyNumberFormat="1" applyFont="1" applyFill="1" applyBorder="1" applyAlignment="1" applyProtection="1">
      <alignment horizontal="center"/>
      <protection locked="0"/>
    </xf>
    <xf numFmtId="0" fontId="460" fillId="8" borderId="63" xfId="2" applyNumberFormat="1" applyFont="1" applyFill="1" applyBorder="1" applyAlignment="1" applyProtection="1">
      <alignment horizontal="right"/>
      <protection hidden="1"/>
    </xf>
    <xf numFmtId="0" fontId="160" fillId="8" borderId="68" xfId="2" applyNumberFormat="1" applyFont="1" applyFill="1" applyBorder="1" applyAlignment="1" applyProtection="1">
      <alignment horizontal="left" vertical="top"/>
      <protection locked="0"/>
    </xf>
    <xf numFmtId="0" fontId="160" fillId="8" borderId="81" xfId="2" applyNumberFormat="1" applyFont="1" applyFill="1" applyBorder="1" applyAlignment="1" applyProtection="1">
      <alignment horizontal="left"/>
      <protection hidden="1"/>
    </xf>
    <xf numFmtId="0" fontId="82" fillId="8" borderId="64" xfId="2" applyNumberFormat="1" applyFont="1" applyFill="1" applyBorder="1" applyAlignment="1" applyProtection="1">
      <alignment horizontal="left"/>
      <protection hidden="1"/>
    </xf>
    <xf numFmtId="0" fontId="82" fillId="8" borderId="63" xfId="2" applyNumberFormat="1" applyFont="1" applyFill="1" applyBorder="1" applyAlignment="1" applyProtection="1">
      <alignment horizontal="left"/>
      <protection hidden="1"/>
    </xf>
    <xf numFmtId="0" fontId="160" fillId="8" borderId="63" xfId="2" applyNumberFormat="1" applyFont="1" applyFill="1" applyBorder="1" applyAlignment="1" applyProtection="1">
      <alignment horizontal="right" vertical="top"/>
      <protection hidden="1"/>
    </xf>
    <xf numFmtId="0" fontId="160" fillId="8" borderId="63" xfId="2" applyNumberFormat="1" applyFont="1" applyFill="1" applyBorder="1" applyAlignment="1" applyProtection="1">
      <alignment horizontal="left"/>
      <protection hidden="1"/>
    </xf>
    <xf numFmtId="0" fontId="160" fillId="8" borderId="63" xfId="2" applyNumberFormat="1" applyFont="1" applyFill="1" applyBorder="1" applyAlignment="1" applyProtection="1">
      <alignment horizontal="left" vertical="top"/>
      <protection hidden="1"/>
    </xf>
    <xf numFmtId="0" fontId="160" fillId="8" borderId="63" xfId="2" applyNumberFormat="1" applyFont="1" applyFill="1" applyBorder="1" applyAlignment="1" applyProtection="1">
      <alignment horizontal="left" vertical="center"/>
      <protection hidden="1"/>
    </xf>
    <xf numFmtId="0" fontId="260" fillId="8" borderId="63" xfId="2" applyNumberFormat="1" applyFont="1" applyFill="1" applyBorder="1" applyAlignment="1" applyProtection="1">
      <alignment horizontal="right"/>
      <protection hidden="1"/>
    </xf>
    <xf numFmtId="0" fontId="160" fillId="8" borderId="86" xfId="2" applyNumberFormat="1" applyFont="1" applyFill="1" applyBorder="1" applyAlignment="1" applyProtection="1">
      <alignment horizontal="left" shrinkToFit="1"/>
      <protection hidden="1"/>
    </xf>
    <xf numFmtId="0" fontId="260" fillId="28" borderId="65" xfId="2" applyNumberFormat="1" applyFont="1" applyFill="1" applyBorder="1" applyAlignment="1" applyProtection="1">
      <alignment horizontal="right" shrinkToFit="1"/>
      <protection locked="0"/>
    </xf>
    <xf numFmtId="0" fontId="160" fillId="8" borderId="602" xfId="2" applyNumberFormat="1" applyFont="1" applyFill="1" applyBorder="1" applyAlignment="1" applyProtection="1">
      <alignment horizontal="left" shrinkToFit="1"/>
      <protection hidden="1"/>
    </xf>
    <xf numFmtId="0" fontId="260" fillId="8" borderId="63" xfId="2" applyNumberFormat="1" applyFont="1" applyFill="1" applyBorder="1" applyAlignment="1" applyProtection="1">
      <alignment horizontal="right" vertical="center"/>
      <protection hidden="1"/>
    </xf>
    <xf numFmtId="0" fontId="475" fillId="8" borderId="63" xfId="2" applyNumberFormat="1" applyFont="1" applyFill="1" applyBorder="1" applyAlignment="1" applyProtection="1">
      <alignment horizontal="right" vertical="center"/>
      <protection hidden="1"/>
    </xf>
    <xf numFmtId="0" fontId="82" fillId="8" borderId="86" xfId="2" applyNumberFormat="1" applyFont="1" applyFill="1" applyBorder="1" applyAlignment="1" applyProtection="1">
      <alignment horizontal="left"/>
      <protection hidden="1"/>
    </xf>
    <xf numFmtId="0" fontId="82" fillId="8" borderId="68" xfId="2" applyNumberFormat="1" applyFont="1" applyFill="1" applyBorder="1" applyAlignment="1" applyProtection="1">
      <alignment horizontal="left"/>
      <protection hidden="1"/>
    </xf>
    <xf numFmtId="0" fontId="82" fillId="8" borderId="84" xfId="2" applyNumberFormat="1" applyFont="1" applyFill="1" applyBorder="1" applyAlignment="1" applyProtection="1">
      <alignment horizontal="left"/>
      <protection hidden="1"/>
    </xf>
    <xf numFmtId="0" fontId="82" fillId="8" borderId="63" xfId="2" applyNumberFormat="1" applyFont="1" applyFill="1" applyBorder="1" applyAlignment="1" applyProtection="1">
      <alignment horizontal="left"/>
      <protection locked="0"/>
    </xf>
    <xf numFmtId="0" fontId="82" fillId="8" borderId="433" xfId="2" applyNumberFormat="1" applyFont="1" applyFill="1" applyBorder="1" applyAlignment="1" applyProtection="1">
      <alignment horizontal="left"/>
      <protection hidden="1"/>
    </xf>
    <xf numFmtId="0" fontId="82" fillId="8" borderId="220" xfId="2" applyNumberFormat="1" applyFont="1" applyFill="1" applyBorder="1" applyAlignment="1" applyProtection="1">
      <alignment horizontal="left"/>
      <protection hidden="1"/>
    </xf>
    <xf numFmtId="0" fontId="82" fillId="8" borderId="219" xfId="2" applyNumberFormat="1" applyFont="1" applyFill="1" applyBorder="1" applyAlignment="1" applyProtection="1">
      <alignment horizontal="left"/>
      <protection hidden="1"/>
    </xf>
    <xf numFmtId="0" fontId="436" fillId="8" borderId="80" xfId="2" applyNumberFormat="1" applyFont="1" applyFill="1" applyBorder="1" applyAlignment="1" applyProtection="1">
      <alignment horizontal="center" vertical="center"/>
      <protection hidden="1"/>
    </xf>
    <xf numFmtId="0" fontId="436" fillId="8" borderId="77" xfId="2" applyNumberFormat="1" applyFont="1" applyFill="1" applyBorder="1" applyAlignment="1" applyProtection="1">
      <alignment horizontal="center" vertical="center"/>
      <protection hidden="1"/>
    </xf>
    <xf numFmtId="0" fontId="160" fillId="8" borderId="0" xfId="2" applyFont="1" applyFill="1" applyBorder="1" applyAlignment="1" applyProtection="1">
      <alignment horizontal="right" vertical="top"/>
      <protection hidden="1"/>
    </xf>
    <xf numFmtId="0" fontId="160" fillId="8" borderId="0" xfId="2" applyFont="1" applyFill="1" applyBorder="1" applyProtection="1">
      <protection hidden="1"/>
    </xf>
    <xf numFmtId="0" fontId="118" fillId="8" borderId="0" xfId="2" applyFont="1" applyFill="1" applyBorder="1" applyAlignment="1" applyProtection="1">
      <alignment horizontal="right"/>
      <protection hidden="1"/>
    </xf>
    <xf numFmtId="0" fontId="163" fillId="8" borderId="0" xfId="2" applyFont="1" applyFill="1" applyBorder="1" applyAlignment="1" applyProtection="1">
      <alignment vertical="center"/>
      <protection locked="0"/>
    </xf>
    <xf numFmtId="0" fontId="479" fillId="8" borderId="0" xfId="2" applyFont="1" applyFill="1" applyBorder="1" applyProtection="1">
      <protection locked="0"/>
    </xf>
    <xf numFmtId="0" fontId="173" fillId="8" borderId="0" xfId="2" applyFont="1" applyFill="1" applyBorder="1" applyProtection="1">
      <protection locked="0"/>
    </xf>
    <xf numFmtId="0" fontId="479" fillId="8" borderId="0" xfId="2" applyFont="1" applyFill="1" applyAlignment="1" applyProtection="1">
      <protection locked="0"/>
    </xf>
    <xf numFmtId="0" fontId="479" fillId="8" borderId="0" xfId="2" applyFont="1" applyFill="1" applyProtection="1">
      <protection locked="0"/>
    </xf>
    <xf numFmtId="0" fontId="172" fillId="8" borderId="0" xfId="2" applyFont="1" applyFill="1" applyProtection="1">
      <protection locked="0"/>
    </xf>
    <xf numFmtId="0" fontId="436" fillId="8" borderId="611" xfId="2" applyNumberFormat="1" applyFont="1" applyFill="1" applyBorder="1" applyAlignment="1" applyProtection="1">
      <alignment horizontal="center" vertical="center"/>
      <protection hidden="1"/>
    </xf>
    <xf numFmtId="0" fontId="435" fillId="8" borderId="54" xfId="2" applyNumberFormat="1" applyFont="1" applyFill="1" applyBorder="1" applyAlignment="1" applyProtection="1">
      <alignment horizontal="left"/>
      <protection hidden="1"/>
    </xf>
    <xf numFmtId="0" fontId="431" fillId="8" borderId="70" xfId="1" applyFont="1" applyFill="1" applyBorder="1" applyAlignment="1" applyProtection="1">
      <alignment shrinkToFit="1"/>
      <protection hidden="1"/>
    </xf>
    <xf numFmtId="0" fontId="431" fillId="0" borderId="70" xfId="1" applyFont="1" applyBorder="1">
      <alignment vertical="center"/>
    </xf>
    <xf numFmtId="0" fontId="99" fillId="8" borderId="0" xfId="2" applyFont="1" applyFill="1" applyAlignment="1" applyProtection="1">
      <alignment horizontal="left" vertical="center"/>
      <protection hidden="1"/>
    </xf>
    <xf numFmtId="0" fontId="160" fillId="8" borderId="0" xfId="2" applyFont="1" applyFill="1" applyBorder="1" applyAlignment="1" applyProtection="1">
      <alignment horizontal="right" vertical="top"/>
      <protection locked="0"/>
    </xf>
    <xf numFmtId="0" fontId="160" fillId="8" borderId="0" xfId="2" applyFont="1" applyFill="1" applyBorder="1" applyProtection="1">
      <protection locked="0"/>
    </xf>
    <xf numFmtId="0" fontId="476" fillId="8" borderId="0" xfId="2" applyFont="1" applyFill="1" applyAlignment="1" applyProtection="1">
      <alignment horizontal="left"/>
      <protection locked="0"/>
    </xf>
    <xf numFmtId="0" fontId="477" fillId="8" borderId="0" xfId="2" applyFont="1" applyFill="1" applyBorder="1" applyAlignment="1" applyProtection="1">
      <alignment horizontal="right"/>
      <protection locked="0"/>
    </xf>
    <xf numFmtId="0" fontId="118" fillId="8" borderId="0" xfId="2" applyFont="1" applyFill="1" applyBorder="1" applyAlignment="1" applyProtection="1">
      <alignment horizontal="right"/>
      <protection locked="0"/>
    </xf>
    <xf numFmtId="0" fontId="83" fillId="8" borderId="0" xfId="2" applyFill="1" applyProtection="1">
      <protection locked="0"/>
    </xf>
    <xf numFmtId="0" fontId="290" fillId="8" borderId="0" xfId="1" applyFont="1" applyFill="1" applyBorder="1" applyAlignment="1" applyProtection="1">
      <alignment horizontal="center" vertical="center" shrinkToFit="1"/>
      <protection locked="0"/>
    </xf>
    <xf numFmtId="0" fontId="83" fillId="15" borderId="0" xfId="2" applyFill="1" applyProtection="1">
      <protection hidden="1"/>
    </xf>
    <xf numFmtId="0" fontId="164" fillId="15" borderId="0" xfId="2" applyNumberFormat="1" applyFont="1" applyFill="1" applyBorder="1" applyAlignment="1" applyProtection="1">
      <alignment horizontal="left"/>
      <protection hidden="1"/>
    </xf>
    <xf numFmtId="0" fontId="436" fillId="15" borderId="0" xfId="2" applyNumberFormat="1" applyFont="1" applyFill="1" applyBorder="1" applyAlignment="1" applyProtection="1">
      <alignment horizontal="center" vertical="center"/>
      <protection hidden="1"/>
    </xf>
    <xf numFmtId="0" fontId="164" fillId="16" borderId="84" xfId="2" applyNumberFormat="1" applyFont="1" applyFill="1" applyBorder="1" applyAlignment="1" applyProtection="1">
      <alignment horizontal="left"/>
      <protection hidden="1"/>
    </xf>
    <xf numFmtId="0" fontId="164" fillId="16" borderId="63" xfId="2" applyNumberFormat="1" applyFont="1" applyFill="1" applyBorder="1" applyAlignment="1" applyProtection="1">
      <alignment horizontal="left"/>
      <protection hidden="1"/>
    </xf>
    <xf numFmtId="0" fontId="164" fillId="16" borderId="55" xfId="2" applyNumberFormat="1" applyFont="1" applyFill="1" applyBorder="1" applyAlignment="1" applyProtection="1">
      <alignment horizontal="left"/>
      <protection hidden="1"/>
    </xf>
    <xf numFmtId="0" fontId="489" fillId="8" borderId="0" xfId="2" applyFont="1" applyFill="1" applyProtection="1">
      <protection hidden="1"/>
    </xf>
    <xf numFmtId="0" fontId="490" fillId="8" borderId="0" xfId="2" applyFont="1" applyFill="1" applyBorder="1" applyAlignment="1" applyProtection="1">
      <alignment horizontal="center" vertical="center"/>
      <protection hidden="1"/>
    </xf>
    <xf numFmtId="0" fontId="492" fillId="16" borderId="84" xfId="2" applyNumberFormat="1" applyFont="1" applyFill="1" applyBorder="1" applyAlignment="1" applyProtection="1">
      <alignment horizontal="left"/>
      <protection hidden="1"/>
    </xf>
    <xf numFmtId="0" fontId="164" fillId="16" borderId="68" xfId="2" applyNumberFormat="1" applyFont="1" applyFill="1" applyBorder="1" applyAlignment="1" applyProtection="1">
      <alignment horizontal="left"/>
      <protection hidden="1"/>
    </xf>
    <xf numFmtId="176" fontId="30" fillId="13" borderId="112" xfId="2" applyNumberFormat="1" applyFont="1" applyFill="1" applyBorder="1" applyAlignment="1" applyProtection="1">
      <alignment horizontal="right" vertical="center" shrinkToFit="1"/>
      <protection locked="0"/>
    </xf>
    <xf numFmtId="203" fontId="451" fillId="6" borderId="109" xfId="2" applyNumberFormat="1" applyFont="1" applyFill="1" applyBorder="1" applyAlignment="1" applyProtection="1">
      <alignment horizontal="center" vertical="center" textRotation="180" shrinkToFit="1"/>
      <protection locked="0"/>
    </xf>
    <xf numFmtId="176" fontId="30" fillId="16" borderId="111" xfId="2" applyNumberFormat="1" applyFont="1" applyFill="1" applyBorder="1" applyAlignment="1" applyProtection="1">
      <alignment horizontal="right" vertical="center" shrinkToFit="1"/>
      <protection locked="0"/>
    </xf>
    <xf numFmtId="0" fontId="494" fillId="16" borderId="0" xfId="2" applyNumberFormat="1" applyFont="1" applyFill="1" applyBorder="1" applyAlignment="1" applyProtection="1">
      <alignment horizontal="left" vertical="center"/>
      <protection hidden="1"/>
    </xf>
    <xf numFmtId="0" fontId="164" fillId="16" borderId="103" xfId="2" applyNumberFormat="1" applyFont="1" applyFill="1" applyBorder="1" applyAlignment="1" applyProtection="1">
      <alignment horizontal="left"/>
      <protection hidden="1"/>
    </xf>
    <xf numFmtId="0" fontId="82" fillId="16" borderId="55" xfId="2" applyNumberFormat="1" applyFont="1" applyFill="1" applyBorder="1" applyAlignment="1" applyProtection="1">
      <alignment horizontal="left"/>
      <protection hidden="1"/>
    </xf>
    <xf numFmtId="0" fontId="500" fillId="16" borderId="103" xfId="2" applyNumberFormat="1" applyFont="1" applyFill="1" applyBorder="1" applyAlignment="1" applyProtection="1">
      <alignment horizontal="left"/>
      <protection hidden="1"/>
    </xf>
    <xf numFmtId="0" fontId="500" fillId="16" borderId="55" xfId="2" applyNumberFormat="1" applyFont="1" applyFill="1" applyBorder="1" applyAlignment="1" applyProtection="1">
      <alignment horizontal="left"/>
      <protection hidden="1"/>
    </xf>
    <xf numFmtId="0" fontId="496" fillId="16" borderId="55" xfId="2" applyNumberFormat="1" applyFont="1" applyFill="1" applyBorder="1" applyAlignment="1" applyProtection="1">
      <alignment horizontal="left"/>
      <protection hidden="1"/>
    </xf>
    <xf numFmtId="176" fontId="174" fillId="3" borderId="123" xfId="2" applyNumberFormat="1" applyFont="1" applyFill="1" applyBorder="1" applyAlignment="1" applyProtection="1">
      <protection hidden="1"/>
    </xf>
    <xf numFmtId="176" fontId="174" fillId="3" borderId="122" xfId="2" applyNumberFormat="1" applyFont="1" applyFill="1" applyBorder="1" applyAlignment="1" applyProtection="1">
      <protection hidden="1"/>
    </xf>
    <xf numFmtId="176" fontId="174" fillId="3" borderId="84" xfId="2" applyNumberFormat="1" applyFont="1" applyFill="1" applyBorder="1" applyAlignment="1" applyProtection="1">
      <protection hidden="1"/>
    </xf>
    <xf numFmtId="176" fontId="174" fillId="3" borderId="81" xfId="2" applyNumberFormat="1" applyFont="1" applyFill="1" applyBorder="1" applyAlignment="1" applyProtection="1">
      <protection hidden="1"/>
    </xf>
    <xf numFmtId="176" fontId="174" fillId="3" borderId="99" xfId="2" applyNumberFormat="1" applyFont="1" applyFill="1" applyBorder="1" applyAlignment="1" applyProtection="1">
      <protection hidden="1"/>
    </xf>
    <xf numFmtId="176" fontId="174" fillId="3" borderId="252" xfId="2" applyNumberFormat="1" applyFont="1" applyFill="1" applyBorder="1" applyAlignment="1" applyProtection="1">
      <protection hidden="1"/>
    </xf>
    <xf numFmtId="0" fontId="83" fillId="8" borderId="0" xfId="2" applyFill="1" applyAlignment="1" applyProtection="1">
      <alignment horizontal="center" vertical="center"/>
      <protection hidden="1"/>
    </xf>
    <xf numFmtId="0" fontId="110" fillId="16" borderId="71" xfId="2" applyNumberFormat="1" applyFont="1" applyFill="1" applyBorder="1" applyAlignment="1" applyProtection="1">
      <alignment horizontal="right" vertical="center"/>
      <protection hidden="1"/>
    </xf>
    <xf numFmtId="0" fontId="164" fillId="16" borderId="0" xfId="2" applyNumberFormat="1" applyFont="1" applyFill="1" applyBorder="1" applyAlignment="1" applyProtection="1">
      <alignment horizontal="left"/>
      <protection hidden="1"/>
    </xf>
    <xf numFmtId="0" fontId="165" fillId="15" borderId="0" xfId="2" applyFont="1" applyFill="1" applyBorder="1" applyAlignment="1" applyProtection="1">
      <alignment horizontal="right" vertical="top"/>
      <protection hidden="1"/>
    </xf>
    <xf numFmtId="0" fontId="160" fillId="15" borderId="0" xfId="2" applyFont="1" applyFill="1" applyBorder="1" applyAlignment="1" applyProtection="1">
      <alignment vertical="top"/>
      <protection hidden="1"/>
    </xf>
    <xf numFmtId="0" fontId="83" fillId="15" borderId="0" xfId="2" applyFill="1" applyBorder="1" applyProtection="1">
      <protection hidden="1"/>
    </xf>
    <xf numFmtId="0" fontId="434" fillId="15" borderId="0" xfId="2" applyFont="1" applyFill="1" applyBorder="1" applyProtection="1">
      <protection hidden="1"/>
    </xf>
    <xf numFmtId="0" fontId="501" fillId="15" borderId="0" xfId="2" applyFont="1" applyFill="1" applyBorder="1" applyAlignment="1" applyProtection="1">
      <alignment vertical="top"/>
      <protection hidden="1"/>
    </xf>
    <xf numFmtId="0" fontId="15" fillId="15" borderId="2" xfId="2" applyFont="1" applyFill="1" applyBorder="1" applyAlignment="1" applyProtection="1">
      <alignment horizontal="left"/>
      <protection hidden="1"/>
    </xf>
    <xf numFmtId="0" fontId="15" fillId="15" borderId="0" xfId="2" applyFont="1" applyFill="1" applyAlignment="1" applyProtection="1">
      <alignment horizontal="left"/>
      <protection hidden="1"/>
    </xf>
    <xf numFmtId="0" fontId="19" fillId="15" borderId="0" xfId="1" applyFill="1" applyAlignment="1" applyProtection="1">
      <alignment shrinkToFit="1"/>
      <protection hidden="1"/>
    </xf>
    <xf numFmtId="0" fontId="83" fillId="15" borderId="0" xfId="2" applyFill="1" applyAlignment="1" applyProtection="1">
      <alignment shrinkToFit="1"/>
      <protection hidden="1"/>
    </xf>
    <xf numFmtId="22" fontId="451" fillId="15" borderId="0" xfId="2" applyNumberFormat="1" applyFont="1" applyFill="1" applyBorder="1" applyAlignment="1" applyProtection="1">
      <alignment vertical="center" shrinkToFit="1"/>
      <protection hidden="1"/>
    </xf>
    <xf numFmtId="0" fontId="3" fillId="15" borderId="0" xfId="2" applyFont="1" applyFill="1" applyBorder="1" applyAlignment="1" applyProtection="1">
      <alignment horizontal="right" vertical="center"/>
      <protection hidden="1"/>
    </xf>
    <xf numFmtId="0" fontId="83" fillId="15" borderId="0" xfId="2" applyFont="1" applyFill="1" applyBorder="1" applyProtection="1">
      <protection hidden="1"/>
    </xf>
    <xf numFmtId="0" fontId="502" fillId="15" borderId="0" xfId="2" applyFont="1" applyFill="1" applyProtection="1">
      <protection hidden="1"/>
    </xf>
    <xf numFmtId="0" fontId="172" fillId="15" borderId="0" xfId="2" applyFont="1" applyFill="1" applyProtection="1">
      <protection hidden="1"/>
    </xf>
    <xf numFmtId="0" fontId="503" fillId="15" borderId="0" xfId="2" applyFont="1" applyFill="1" applyAlignment="1" applyProtection="1">
      <alignment vertical="center"/>
      <protection hidden="1"/>
    </xf>
    <xf numFmtId="0" fontId="106" fillId="0" borderId="0" xfId="5">
      <alignment vertical="center"/>
    </xf>
    <xf numFmtId="0" fontId="83" fillId="14" borderId="0" xfId="7" applyFill="1" applyProtection="1">
      <protection hidden="1"/>
    </xf>
    <xf numFmtId="0" fontId="122" fillId="14" borderId="0" xfId="7" applyFont="1" applyFill="1" applyProtection="1">
      <protection hidden="1"/>
    </xf>
    <xf numFmtId="0" fontId="83" fillId="8" borderId="0" xfId="7" applyFill="1" applyProtection="1">
      <protection hidden="1"/>
    </xf>
    <xf numFmtId="0" fontId="83" fillId="8" borderId="93" xfId="7" applyFill="1" applyBorder="1" applyProtection="1">
      <protection hidden="1"/>
    </xf>
    <xf numFmtId="0" fontId="83" fillId="8" borderId="92" xfId="7" applyFill="1" applyBorder="1" applyProtection="1">
      <protection hidden="1"/>
    </xf>
    <xf numFmtId="0" fontId="83" fillId="8" borderId="175" xfId="7" applyFill="1" applyBorder="1" applyProtection="1">
      <protection hidden="1"/>
    </xf>
    <xf numFmtId="0" fontId="3" fillId="8" borderId="0" xfId="7" applyFont="1" applyFill="1" applyBorder="1" applyAlignment="1" applyProtection="1">
      <alignment horizontal="center" vertical="center" textRotation="180"/>
      <protection hidden="1"/>
    </xf>
    <xf numFmtId="0" fontId="451" fillId="8" borderId="86" xfId="7" applyNumberFormat="1" applyFont="1" applyFill="1" applyBorder="1" applyAlignment="1" applyProtection="1">
      <alignment horizontal="left"/>
      <protection hidden="1"/>
    </xf>
    <xf numFmtId="0" fontId="451" fillId="8" borderId="68" xfId="7" applyNumberFormat="1" applyFont="1" applyFill="1" applyBorder="1" applyAlignment="1" applyProtection="1">
      <alignment horizontal="left"/>
      <protection hidden="1"/>
    </xf>
    <xf numFmtId="0" fontId="504" fillId="8" borderId="603" xfId="7" applyNumberFormat="1" applyFont="1" applyFill="1" applyBorder="1" applyAlignment="1" applyProtection="1">
      <alignment horizontal="center" vertical="center"/>
      <protection hidden="1"/>
    </xf>
    <xf numFmtId="0" fontId="505" fillId="8" borderId="86" xfId="7" applyNumberFormat="1" applyFont="1" applyFill="1" applyBorder="1" applyAlignment="1" applyProtection="1">
      <alignment horizontal="left"/>
      <protection hidden="1"/>
    </xf>
    <xf numFmtId="0" fontId="506" fillId="8" borderId="0" xfId="7" applyNumberFormat="1" applyFont="1" applyFill="1" applyBorder="1" applyAlignment="1" applyProtection="1">
      <alignment horizontal="center" vertical="center" shrinkToFit="1"/>
      <protection hidden="1"/>
    </xf>
    <xf numFmtId="176" fontId="507" fillId="8" borderId="68" xfId="7" applyNumberFormat="1" applyFont="1" applyFill="1" applyBorder="1" applyAlignment="1" applyProtection="1">
      <alignment horizontal="right" vertical="center"/>
      <protection hidden="1"/>
    </xf>
    <xf numFmtId="0" fontId="505" fillId="8" borderId="84" xfId="7" applyNumberFormat="1" applyFont="1" applyFill="1" applyBorder="1" applyAlignment="1" applyProtection="1">
      <alignment horizontal="left"/>
      <protection hidden="1"/>
    </xf>
    <xf numFmtId="176" fontId="507" fillId="8" borderId="63" xfId="7" applyNumberFormat="1" applyFont="1" applyFill="1" applyBorder="1" applyAlignment="1" applyProtection="1">
      <alignment horizontal="right" vertical="center"/>
      <protection hidden="1"/>
    </xf>
    <xf numFmtId="0" fontId="504" fillId="8" borderId="80" xfId="7" applyNumberFormat="1" applyFont="1" applyFill="1" applyBorder="1" applyAlignment="1" applyProtection="1">
      <alignment horizontal="center" vertical="center"/>
      <protection hidden="1"/>
    </xf>
    <xf numFmtId="0" fontId="451" fillId="8" borderId="0" xfId="7" applyNumberFormat="1" applyFont="1" applyFill="1" applyBorder="1" applyAlignment="1" applyProtection="1">
      <alignment horizontal="left"/>
      <protection hidden="1"/>
    </xf>
    <xf numFmtId="0" fontId="451" fillId="8" borderId="84" xfId="7" applyNumberFormat="1" applyFont="1" applyFill="1" applyBorder="1" applyAlignment="1" applyProtection="1">
      <alignment horizontal="left"/>
      <protection hidden="1"/>
    </xf>
    <xf numFmtId="0" fontId="508" fillId="8" borderId="0" xfId="7" applyNumberFormat="1" applyFont="1" applyFill="1" applyBorder="1" applyAlignment="1" applyProtection="1">
      <alignment horizontal="center" vertical="center"/>
      <protection hidden="1"/>
    </xf>
    <xf numFmtId="0" fontId="504" fillId="8" borderId="0" xfId="7" applyNumberFormat="1" applyFont="1" applyFill="1" applyBorder="1" applyAlignment="1" applyProtection="1">
      <alignment horizontal="left"/>
      <protection hidden="1"/>
    </xf>
    <xf numFmtId="0" fontId="451" fillId="8" borderId="63" xfId="7" applyNumberFormat="1" applyFont="1" applyFill="1" applyBorder="1" applyAlignment="1" applyProtection="1">
      <alignment horizontal="left"/>
      <protection hidden="1"/>
    </xf>
    <xf numFmtId="204" fontId="451" fillId="8" borderId="0" xfId="7" applyNumberFormat="1" applyFont="1" applyFill="1" applyBorder="1" applyAlignment="1" applyProtection="1">
      <alignment horizontal="left" shrinkToFit="1"/>
      <protection hidden="1"/>
    </xf>
    <xf numFmtId="0" fontId="451" fillId="8" borderId="63" xfId="7" applyNumberFormat="1" applyFont="1" applyFill="1" applyBorder="1" applyAlignment="1" applyProtection="1">
      <alignment horizontal="right"/>
      <protection hidden="1"/>
    </xf>
    <xf numFmtId="0" fontId="451" fillId="8" borderId="55" xfId="7" applyNumberFormat="1" applyFont="1" applyFill="1" applyBorder="1" applyAlignment="1" applyProtection="1">
      <alignment horizontal="left"/>
      <protection hidden="1"/>
    </xf>
    <xf numFmtId="0" fontId="459" fillId="8" borderId="0" xfId="7" applyNumberFormat="1" applyFont="1" applyFill="1" applyBorder="1" applyAlignment="1" applyProtection="1">
      <alignment horizontal="left"/>
      <protection hidden="1"/>
    </xf>
    <xf numFmtId="0" fontId="451" fillId="8" borderId="64" xfId="7" applyNumberFormat="1" applyFont="1" applyFill="1" applyBorder="1" applyAlignment="1" applyProtection="1">
      <alignment horizontal="right"/>
      <protection hidden="1"/>
    </xf>
    <xf numFmtId="176" fontId="507" fillId="8" borderId="55" xfId="7" applyNumberFormat="1" applyFont="1" applyFill="1" applyBorder="1" applyAlignment="1" applyProtection="1">
      <alignment horizontal="right" vertical="center"/>
      <protection hidden="1"/>
    </xf>
    <xf numFmtId="0" fontId="504" fillId="8" borderId="77" xfId="7" applyNumberFormat="1" applyFont="1" applyFill="1" applyBorder="1" applyAlignment="1" applyProtection="1">
      <alignment horizontal="center" vertical="center"/>
      <protection hidden="1"/>
    </xf>
    <xf numFmtId="0" fontId="451" fillId="8" borderId="103" xfId="7" applyNumberFormat="1" applyFont="1" applyFill="1" applyBorder="1" applyAlignment="1" applyProtection="1">
      <alignment horizontal="left"/>
      <protection hidden="1"/>
    </xf>
    <xf numFmtId="0" fontId="451" fillId="8" borderId="87" xfId="7" applyNumberFormat="1" applyFont="1" applyFill="1" applyBorder="1" applyAlignment="1" applyProtection="1">
      <alignment horizontal="left"/>
      <protection hidden="1"/>
    </xf>
    <xf numFmtId="204" fontId="451" fillId="8" borderId="87" xfId="7" applyNumberFormat="1" applyFont="1" applyFill="1" applyBorder="1" applyAlignment="1" applyProtection="1">
      <alignment horizontal="left" vertical="center" shrinkToFit="1"/>
      <protection hidden="1"/>
    </xf>
    <xf numFmtId="0" fontId="510" fillId="8" borderId="87" xfId="7" applyNumberFormat="1" applyFont="1" applyFill="1" applyBorder="1" applyAlignment="1" applyProtection="1">
      <alignment horizontal="right"/>
      <protection hidden="1"/>
    </xf>
    <xf numFmtId="0" fontId="441" fillId="8" borderId="87" xfId="5" applyNumberFormat="1" applyFont="1" applyFill="1" applyBorder="1" applyAlignment="1" applyProtection="1">
      <alignment horizontal="left" vertical="top"/>
      <protection hidden="1"/>
    </xf>
    <xf numFmtId="0" fontId="163" fillId="8" borderId="87" xfId="7" applyNumberFormat="1" applyFont="1" applyFill="1" applyBorder="1" applyAlignment="1" applyProtection="1">
      <alignment horizontal="center"/>
      <protection hidden="1"/>
    </xf>
    <xf numFmtId="0" fontId="504" fillId="8" borderId="87" xfId="7" applyNumberFormat="1" applyFont="1" applyFill="1" applyBorder="1" applyAlignment="1" applyProtection="1">
      <alignment horizontal="center" vertical="center"/>
      <protection hidden="1"/>
    </xf>
    <xf numFmtId="0" fontId="451" fillId="8" borderId="93" xfId="7" applyNumberFormat="1" applyFont="1" applyFill="1" applyBorder="1" applyAlignment="1" applyProtection="1">
      <alignment horizontal="left"/>
      <protection hidden="1"/>
    </xf>
    <xf numFmtId="204" fontId="451" fillId="8" borderId="92" xfId="7" applyNumberFormat="1" applyFont="1" applyFill="1" applyBorder="1" applyAlignment="1" applyProtection="1">
      <alignment horizontal="left" vertical="center" shrinkToFit="1"/>
      <protection hidden="1"/>
    </xf>
    <xf numFmtId="0" fontId="510" fillId="8" borderId="92" xfId="7" applyNumberFormat="1" applyFont="1" applyFill="1" applyBorder="1" applyAlignment="1" applyProtection="1">
      <alignment horizontal="right"/>
      <protection hidden="1"/>
    </xf>
    <xf numFmtId="0" fontId="451" fillId="8" borderId="92" xfId="7" applyNumberFormat="1" applyFont="1" applyFill="1" applyBorder="1" applyAlignment="1" applyProtection="1">
      <alignment horizontal="left"/>
      <protection hidden="1"/>
    </xf>
    <xf numFmtId="0" fontId="441" fillId="8" borderId="92" xfId="5" applyNumberFormat="1" applyFont="1" applyFill="1" applyBorder="1" applyAlignment="1" applyProtection="1">
      <alignment horizontal="left" vertical="top"/>
      <protection hidden="1"/>
    </xf>
    <xf numFmtId="0" fontId="163" fillId="8" borderId="92" xfId="7" applyNumberFormat="1" applyFont="1" applyFill="1" applyBorder="1" applyAlignment="1" applyProtection="1">
      <alignment horizontal="center"/>
      <protection hidden="1"/>
    </xf>
    <xf numFmtId="0" fontId="504" fillId="8" borderId="175" xfId="7" applyNumberFormat="1" applyFont="1" applyFill="1" applyBorder="1" applyAlignment="1" applyProtection="1">
      <alignment horizontal="center" vertical="center"/>
      <protection hidden="1"/>
    </xf>
    <xf numFmtId="204" fontId="451" fillId="50" borderId="55" xfId="7" applyNumberFormat="1" applyFont="1" applyFill="1" applyBorder="1" applyAlignment="1" applyProtection="1">
      <alignment horizontal="left" vertical="center" shrinkToFit="1"/>
      <protection hidden="1"/>
    </xf>
    <xf numFmtId="0" fontId="510" fillId="8" borderId="55" xfId="7" applyNumberFormat="1" applyFont="1" applyFill="1" applyBorder="1" applyAlignment="1" applyProtection="1">
      <alignment horizontal="right"/>
      <protection hidden="1"/>
    </xf>
    <xf numFmtId="0" fontId="163" fillId="51" borderId="55" xfId="7" applyNumberFormat="1" applyFont="1" applyFill="1" applyBorder="1" applyAlignment="1" applyProtection="1">
      <alignment horizontal="center" vertical="center"/>
      <protection hidden="1"/>
    </xf>
    <xf numFmtId="0" fontId="510" fillId="8" borderId="624" xfId="7" applyNumberFormat="1" applyFont="1" applyFill="1" applyBorder="1" applyAlignment="1" applyProtection="1">
      <alignment horizontal="right"/>
      <protection hidden="1"/>
    </xf>
    <xf numFmtId="0" fontId="451" fillId="8" borderId="625" xfId="7" applyNumberFormat="1" applyFont="1" applyFill="1" applyBorder="1" applyAlignment="1" applyProtection="1">
      <alignment horizontal="left"/>
      <protection hidden="1"/>
    </xf>
    <xf numFmtId="0" fontId="441" fillId="8" borderId="68" xfId="7" applyNumberFormat="1" applyFont="1" applyFill="1" applyBorder="1" applyAlignment="1" applyProtection="1">
      <alignment horizontal="left" vertical="center"/>
      <protection hidden="1"/>
    </xf>
    <xf numFmtId="0" fontId="511" fillId="8" borderId="63" xfId="7" applyNumberFormat="1" applyFont="1" applyFill="1" applyBorder="1" applyAlignment="1" applyProtection="1">
      <alignment horizontal="right"/>
      <protection hidden="1"/>
    </xf>
    <xf numFmtId="0" fontId="171" fillId="8" borderId="0" xfId="7" applyNumberFormat="1" applyFont="1" applyFill="1" applyBorder="1" applyAlignment="1" applyProtection="1">
      <alignment horizontal="left"/>
      <protection hidden="1"/>
    </xf>
    <xf numFmtId="0" fontId="171" fillId="8" borderId="55" xfId="7" applyNumberFormat="1" applyFont="1" applyFill="1" applyBorder="1" applyAlignment="1" applyProtection="1">
      <alignment horizontal="left"/>
      <protection hidden="1"/>
    </xf>
    <xf numFmtId="0" fontId="171" fillId="8" borderId="63" xfId="7" applyNumberFormat="1" applyFont="1" applyFill="1" applyBorder="1" applyAlignment="1" applyProtection="1">
      <alignment horizontal="left"/>
      <protection hidden="1"/>
    </xf>
    <xf numFmtId="0" fontId="171" fillId="8" borderId="68" xfId="7" applyNumberFormat="1" applyFont="1" applyFill="1" applyBorder="1" applyAlignment="1" applyProtection="1">
      <alignment horizontal="left"/>
      <protection hidden="1"/>
    </xf>
    <xf numFmtId="0" fontId="171" fillId="8" borderId="68" xfId="7" applyNumberFormat="1" applyFont="1" applyFill="1" applyBorder="1" applyAlignment="1" applyProtection="1">
      <alignment horizontal="left" vertical="center"/>
      <protection hidden="1"/>
    </xf>
    <xf numFmtId="205" fontId="451" fillId="8" borderId="63" xfId="7" applyNumberFormat="1" applyFont="1" applyFill="1" applyBorder="1" applyAlignment="1" applyProtection="1">
      <protection hidden="1"/>
    </xf>
    <xf numFmtId="0" fontId="451" fillId="8" borderId="63" xfId="7" applyNumberFormat="1" applyFont="1" applyFill="1" applyBorder="1" applyAlignment="1" applyProtection="1">
      <protection hidden="1"/>
    </xf>
    <xf numFmtId="0" fontId="85" fillId="8" borderId="63" xfId="7" applyNumberFormat="1" applyFont="1" applyFill="1" applyBorder="1" applyAlignment="1" applyProtection="1">
      <alignment horizontal="left"/>
      <protection hidden="1"/>
    </xf>
    <xf numFmtId="0" fontId="451" fillId="8" borderId="63" xfId="7" applyNumberFormat="1" applyFont="1" applyFill="1" applyBorder="1" applyAlignment="1" applyProtection="1">
      <alignment horizontal="center"/>
      <protection hidden="1"/>
    </xf>
    <xf numFmtId="206" fontId="159" fillId="51" borderId="109" xfId="5" applyNumberFormat="1" applyFont="1" applyFill="1" applyBorder="1" applyAlignment="1" applyProtection="1">
      <alignment horizontal="right" vertical="center"/>
      <protection locked="0"/>
    </xf>
    <xf numFmtId="190" fontId="169" fillId="51" borderId="109" xfId="5" applyNumberFormat="1" applyFont="1" applyFill="1" applyBorder="1" applyAlignment="1" applyProtection="1">
      <alignment horizontal="right" vertical="center"/>
      <protection locked="0"/>
    </xf>
    <xf numFmtId="0" fontId="162" fillId="51" borderId="109" xfId="7" applyFont="1" applyFill="1" applyBorder="1" applyAlignment="1" applyProtection="1">
      <alignment horizontal="center" shrinkToFit="1"/>
      <protection locked="0"/>
    </xf>
    <xf numFmtId="0" fontId="519" fillId="8" borderId="63" xfId="7" applyNumberFormat="1" applyFont="1" applyFill="1" applyBorder="1" applyAlignment="1" applyProtection="1">
      <alignment vertical="center" shrinkToFit="1"/>
      <protection hidden="1"/>
    </xf>
    <xf numFmtId="0" fontId="520" fillId="8" borderId="55" xfId="7" applyNumberFormat="1" applyFont="1" applyFill="1" applyBorder="1" applyAlignment="1" applyProtection="1">
      <alignment horizontal="center" vertical="center" shrinkToFit="1"/>
      <protection hidden="1"/>
    </xf>
    <xf numFmtId="0" fontId="519" fillId="8" borderId="55" xfId="7" applyNumberFormat="1" applyFont="1" applyFill="1" applyBorder="1" applyAlignment="1" applyProtection="1">
      <alignment vertical="center" shrinkToFit="1"/>
      <protection hidden="1"/>
    </xf>
    <xf numFmtId="0" fontId="451" fillId="8" borderId="55" xfId="7" applyNumberFormat="1" applyFont="1" applyFill="1" applyBorder="1" applyAlignment="1" applyProtection="1">
      <alignment horizontal="center"/>
      <protection hidden="1"/>
    </xf>
    <xf numFmtId="0" fontId="451" fillId="23" borderId="103" xfId="7" applyNumberFormat="1" applyFont="1" applyFill="1" applyBorder="1" applyAlignment="1" applyProtection="1">
      <alignment horizontal="left"/>
      <protection hidden="1"/>
    </xf>
    <xf numFmtId="0" fontId="519" fillId="23" borderId="55" xfId="7" applyNumberFormat="1" applyFont="1" applyFill="1" applyBorder="1" applyAlignment="1" applyProtection="1">
      <alignment vertical="center" shrinkToFit="1"/>
      <protection hidden="1"/>
    </xf>
    <xf numFmtId="0" fontId="519" fillId="23" borderId="63" xfId="7" applyNumberFormat="1" applyFont="1" applyFill="1" applyBorder="1" applyAlignment="1" applyProtection="1">
      <alignment vertical="center" shrinkToFit="1"/>
      <protection hidden="1"/>
    </xf>
    <xf numFmtId="0" fontId="504" fillId="23" borderId="629" xfId="7" applyNumberFormat="1" applyFont="1" applyFill="1" applyBorder="1" applyAlignment="1" applyProtection="1">
      <alignment horizontal="center" vertical="center"/>
      <protection hidden="1"/>
    </xf>
    <xf numFmtId="206" fontId="159" fillId="51" borderId="630" xfId="5" applyNumberFormat="1" applyFont="1" applyFill="1" applyBorder="1" applyAlignment="1" applyProtection="1">
      <alignment horizontal="right" vertical="center"/>
      <protection locked="0"/>
    </xf>
    <xf numFmtId="190" fontId="169" fillId="51" borderId="630" xfId="5" applyNumberFormat="1" applyFont="1" applyFill="1" applyBorder="1" applyAlignment="1" applyProtection="1">
      <alignment horizontal="right" vertical="center"/>
      <protection locked="0"/>
    </xf>
    <xf numFmtId="0" fontId="162" fillId="51" borderId="630" xfId="7" applyFont="1" applyFill="1" applyBorder="1" applyAlignment="1" applyProtection="1">
      <alignment horizontal="center" shrinkToFit="1"/>
      <protection locked="0"/>
    </xf>
    <xf numFmtId="0" fontId="451" fillId="23" borderId="631" xfId="7" applyNumberFormat="1" applyFont="1" applyFill="1" applyBorder="1" applyAlignment="1" applyProtection="1">
      <alignment horizontal="left"/>
      <protection hidden="1"/>
    </xf>
    <xf numFmtId="0" fontId="519" fillId="23" borderId="632" xfId="7" applyNumberFormat="1" applyFont="1" applyFill="1" applyBorder="1" applyAlignment="1" applyProtection="1">
      <alignment vertical="center" shrinkToFit="1"/>
      <protection hidden="1"/>
    </xf>
    <xf numFmtId="0" fontId="520" fillId="23" borderId="115" xfId="7" applyNumberFormat="1" applyFont="1" applyFill="1" applyBorder="1" applyAlignment="1" applyProtection="1">
      <alignment horizontal="center" vertical="center" shrinkToFit="1"/>
      <protection hidden="1"/>
    </xf>
    <xf numFmtId="0" fontId="521" fillId="23" borderId="115" xfId="7" applyNumberFormat="1" applyFont="1" applyFill="1" applyBorder="1" applyAlignment="1" applyProtection="1">
      <alignment horizontal="center" vertical="center" shrinkToFit="1"/>
      <protection hidden="1"/>
    </xf>
    <xf numFmtId="0" fontId="519" fillId="23" borderId="115" xfId="7" applyNumberFormat="1" applyFont="1" applyFill="1" applyBorder="1" applyAlignment="1" applyProtection="1">
      <alignment vertical="center" shrinkToFit="1"/>
      <protection hidden="1"/>
    </xf>
    <xf numFmtId="0" fontId="504" fillId="23" borderId="634" xfId="7" applyNumberFormat="1" applyFont="1" applyFill="1" applyBorder="1" applyAlignment="1" applyProtection="1">
      <alignment horizontal="center" vertical="center"/>
      <protection hidden="1"/>
    </xf>
    <xf numFmtId="204" fontId="451" fillId="8" borderId="103" xfId="7" applyNumberFormat="1" applyFont="1" applyFill="1" applyBorder="1" applyAlignment="1" applyProtection="1">
      <alignment vertical="center" shrinkToFit="1"/>
      <protection hidden="1"/>
    </xf>
    <xf numFmtId="204" fontId="451" fillId="8" borderId="55" xfId="7" applyNumberFormat="1" applyFont="1" applyFill="1" applyBorder="1" applyAlignment="1" applyProtection="1">
      <alignment vertical="center" shrinkToFit="1"/>
      <protection hidden="1"/>
    </xf>
    <xf numFmtId="0" fontId="441" fillId="8" borderId="55" xfId="7" applyFont="1" applyFill="1" applyBorder="1" applyAlignment="1" applyProtection="1">
      <alignment vertical="center"/>
      <protection hidden="1"/>
    </xf>
    <xf numFmtId="0" fontId="83" fillId="8" borderId="55" xfId="7" applyFill="1" applyBorder="1" applyAlignment="1" applyProtection="1">
      <protection hidden="1"/>
    </xf>
    <xf numFmtId="0" fontId="83" fillId="8" borderId="77" xfId="7" applyFill="1" applyBorder="1" applyAlignment="1" applyProtection="1">
      <protection hidden="1"/>
    </xf>
    <xf numFmtId="0" fontId="523" fillId="28" borderId="630" xfId="7" applyFont="1" applyFill="1" applyBorder="1" applyAlignment="1" applyProtection="1">
      <alignment horizontal="center" vertical="center" shrinkToFit="1"/>
      <protection hidden="1"/>
    </xf>
    <xf numFmtId="0" fontId="160" fillId="8" borderId="84" xfId="7" applyFont="1" applyFill="1" applyBorder="1" applyAlignment="1" applyProtection="1">
      <alignment horizontal="right" vertical="top"/>
      <protection hidden="1"/>
    </xf>
    <xf numFmtId="0" fontId="160" fillId="8" borderId="63" xfId="7" applyFont="1" applyFill="1" applyBorder="1" applyAlignment="1" applyProtection="1">
      <alignment horizontal="right" vertical="top"/>
      <protection hidden="1"/>
    </xf>
    <xf numFmtId="0" fontId="524" fillId="8" borderId="63" xfId="7" applyNumberFormat="1" applyFont="1" applyFill="1" applyBorder="1" applyAlignment="1" applyProtection="1">
      <alignment horizontal="right"/>
      <protection hidden="1"/>
    </xf>
    <xf numFmtId="0" fontId="83" fillId="8" borderId="63" xfId="7" applyFill="1" applyBorder="1" applyProtection="1">
      <protection hidden="1"/>
    </xf>
    <xf numFmtId="0" fontId="524" fillId="8" borderId="624" xfId="7" applyNumberFormat="1" applyFont="1" applyFill="1" applyBorder="1" applyAlignment="1" applyProtection="1">
      <alignment horizontal="right"/>
      <protection hidden="1"/>
    </xf>
    <xf numFmtId="0" fontId="83" fillId="8" borderId="80" xfId="7" applyFill="1" applyBorder="1" applyProtection="1">
      <protection hidden="1"/>
    </xf>
    <xf numFmtId="0" fontId="451" fillId="8" borderId="63" xfId="7" applyFont="1" applyFill="1" applyBorder="1" applyAlignment="1" applyProtection="1">
      <alignment horizontal="left"/>
      <protection hidden="1"/>
    </xf>
    <xf numFmtId="0" fontId="525" fillId="8" borderId="63" xfId="7" applyFont="1" applyFill="1" applyBorder="1" applyAlignment="1" applyProtection="1">
      <alignment horizontal="right"/>
      <protection hidden="1"/>
    </xf>
    <xf numFmtId="0" fontId="434" fillId="8" borderId="63" xfId="7" applyFont="1" applyFill="1" applyBorder="1" applyProtection="1">
      <protection hidden="1"/>
    </xf>
    <xf numFmtId="0" fontId="468" fillId="8" borderId="63" xfId="7" applyFont="1" applyFill="1" applyBorder="1" applyAlignment="1" applyProtection="1">
      <alignment vertical="top"/>
      <protection hidden="1"/>
    </xf>
    <xf numFmtId="0" fontId="160" fillId="8" borderId="68" xfId="7" applyFont="1" applyFill="1" applyBorder="1" applyAlignment="1" applyProtection="1">
      <alignment horizontal="right" vertical="top"/>
      <protection hidden="1"/>
    </xf>
    <xf numFmtId="0" fontId="83" fillId="8" borderId="68" xfId="7" applyFill="1" applyBorder="1" applyProtection="1">
      <protection hidden="1"/>
    </xf>
    <xf numFmtId="0" fontId="160" fillId="8" borderId="71" xfId="7" applyFont="1" applyFill="1" applyBorder="1" applyAlignment="1" applyProtection="1">
      <alignment horizontal="right" vertical="top"/>
      <protection hidden="1"/>
    </xf>
    <xf numFmtId="0" fontId="160" fillId="8" borderId="0" xfId="7" applyFont="1" applyFill="1" applyBorder="1" applyAlignment="1" applyProtection="1">
      <alignment horizontal="right" vertical="top"/>
      <protection hidden="1"/>
    </xf>
    <xf numFmtId="0" fontId="527" fillId="8" borderId="63" xfId="7" applyNumberFormat="1" applyFont="1" applyFill="1" applyBorder="1" applyAlignment="1" applyProtection="1">
      <alignment horizontal="right"/>
      <protection hidden="1"/>
    </xf>
    <xf numFmtId="0" fontId="83" fillId="8" borderId="0" xfId="7" applyFill="1" applyBorder="1" applyProtection="1">
      <protection hidden="1"/>
    </xf>
    <xf numFmtId="0" fontId="83" fillId="8" borderId="178" xfId="7" applyFill="1" applyBorder="1" applyProtection="1">
      <protection hidden="1"/>
    </xf>
    <xf numFmtId="0" fontId="82" fillId="8" borderId="63" xfId="7" applyFont="1" applyFill="1" applyBorder="1" applyAlignment="1" applyProtection="1">
      <alignment horizontal="right" vertical="top"/>
      <protection hidden="1"/>
    </xf>
    <xf numFmtId="0" fontId="159" fillId="8" borderId="63" xfId="7" applyFont="1" applyFill="1" applyBorder="1" applyProtection="1">
      <protection hidden="1"/>
    </xf>
    <xf numFmtId="0" fontId="162" fillId="51" borderId="6" xfId="7" applyFont="1" applyFill="1" applyBorder="1" applyAlignment="1" applyProtection="1">
      <alignment horizontal="center" shrinkToFit="1"/>
      <protection locked="0"/>
    </xf>
    <xf numFmtId="0" fontId="483" fillId="8" borderId="63" xfId="7" applyFont="1" applyFill="1" applyBorder="1" applyProtection="1">
      <protection hidden="1"/>
    </xf>
    <xf numFmtId="0" fontId="510" fillId="8" borderId="63" xfId="7" applyNumberFormat="1" applyFont="1" applyFill="1" applyBorder="1" applyAlignment="1" applyProtection="1">
      <alignment horizontal="left"/>
      <protection hidden="1"/>
    </xf>
    <xf numFmtId="0" fontId="171" fillId="8" borderId="63" xfId="7" applyFont="1" applyFill="1" applyBorder="1" applyProtection="1">
      <protection hidden="1"/>
    </xf>
    <xf numFmtId="206" fontId="159" fillId="51" borderId="6" xfId="5" applyNumberFormat="1" applyFont="1" applyFill="1" applyBorder="1" applyAlignment="1" applyProtection="1">
      <alignment horizontal="right" vertical="center"/>
      <protection locked="0"/>
    </xf>
    <xf numFmtId="190" fontId="169" fillId="51" borderId="6" xfId="5" applyNumberFormat="1" applyFont="1" applyFill="1" applyBorder="1" applyAlignment="1" applyProtection="1">
      <alignment horizontal="right" vertical="center"/>
      <protection locked="0"/>
    </xf>
    <xf numFmtId="0" fontId="161" fillId="28" borderId="5" xfId="5" applyFont="1" applyFill="1" applyBorder="1" applyAlignment="1" applyProtection="1">
      <alignment horizontal="center" vertical="center"/>
      <protection hidden="1"/>
    </xf>
    <xf numFmtId="0" fontId="161" fillId="28" borderId="6" xfId="5" applyFont="1" applyFill="1" applyBorder="1" applyAlignment="1" applyProtection="1">
      <alignment horizontal="center" vertical="center"/>
      <protection hidden="1"/>
    </xf>
    <xf numFmtId="0" fontId="165" fillId="28" borderId="113" xfId="5" applyFont="1" applyFill="1" applyBorder="1" applyAlignment="1" applyProtection="1">
      <alignment horizontal="center" vertical="center"/>
      <protection hidden="1"/>
    </xf>
    <xf numFmtId="0" fontId="530" fillId="28" borderId="2" xfId="5" applyFont="1" applyFill="1" applyBorder="1" applyAlignment="1" applyProtection="1">
      <alignment horizontal="center" vertical="center"/>
      <protection hidden="1"/>
    </xf>
    <xf numFmtId="0" fontId="530" fillId="28" borderId="79" xfId="5" applyFont="1" applyFill="1" applyBorder="1" applyAlignment="1" applyProtection="1">
      <alignment horizontal="center" vertical="center" shrinkToFit="1"/>
      <protection hidden="1"/>
    </xf>
    <xf numFmtId="0" fontId="530" fillId="28" borderId="1" xfId="5" applyFont="1" applyFill="1" applyBorder="1" applyAlignment="1" applyProtection="1">
      <alignment horizontal="center" vertical="center"/>
      <protection hidden="1"/>
    </xf>
    <xf numFmtId="0" fontId="83" fillId="8" borderId="55" xfId="7" applyFill="1" applyBorder="1" applyProtection="1">
      <protection hidden="1"/>
    </xf>
    <xf numFmtId="0" fontId="83" fillId="8" borderId="77" xfId="7" applyFill="1" applyBorder="1" applyProtection="1">
      <protection hidden="1"/>
    </xf>
    <xf numFmtId="0" fontId="530" fillId="28" borderId="635" xfId="5" applyFont="1" applyFill="1" applyBorder="1" applyAlignment="1" applyProtection="1">
      <alignment horizontal="center" vertical="center"/>
      <protection hidden="1"/>
    </xf>
    <xf numFmtId="0" fontId="160" fillId="23" borderId="84" xfId="7" applyFont="1" applyFill="1" applyBorder="1" applyAlignment="1" applyProtection="1">
      <alignment horizontal="right" vertical="top"/>
      <protection hidden="1"/>
    </xf>
    <xf numFmtId="0" fontId="160" fillId="23" borderId="63" xfId="7" applyFont="1" applyFill="1" applyBorder="1" applyAlignment="1" applyProtection="1">
      <alignment horizontal="right" vertical="top"/>
      <protection hidden="1"/>
    </xf>
    <xf numFmtId="0" fontId="520" fillId="23" borderId="63" xfId="7" applyNumberFormat="1" applyFont="1" applyFill="1" applyBorder="1" applyAlignment="1" applyProtection="1">
      <alignment vertical="center" shrinkToFit="1"/>
      <protection hidden="1"/>
    </xf>
    <xf numFmtId="0" fontId="83" fillId="23" borderId="63" xfId="7" applyFill="1" applyBorder="1" applyProtection="1">
      <protection hidden="1"/>
    </xf>
    <xf numFmtId="0" fontId="83" fillId="23" borderId="80" xfId="7" applyFill="1" applyBorder="1" applyProtection="1">
      <protection hidden="1"/>
    </xf>
    <xf numFmtId="0" fontId="531" fillId="28" borderId="112" xfId="5" applyFont="1" applyFill="1" applyBorder="1" applyProtection="1">
      <alignment vertical="center"/>
      <protection hidden="1"/>
    </xf>
    <xf numFmtId="0" fontId="523" fillId="28" borderId="109" xfId="7" applyFont="1" applyFill="1" applyBorder="1" applyAlignment="1" applyProtection="1">
      <alignment horizontal="center" vertical="center" shrinkToFit="1"/>
      <protection hidden="1"/>
    </xf>
    <xf numFmtId="0" fontId="160" fillId="23" borderId="631" xfId="7" applyFont="1" applyFill="1" applyBorder="1" applyAlignment="1" applyProtection="1">
      <alignment horizontal="right" vertical="top"/>
      <protection hidden="1"/>
    </xf>
    <xf numFmtId="0" fontId="160" fillId="23" borderId="55" xfId="7" applyFont="1" applyFill="1" applyBorder="1" applyAlignment="1" applyProtection="1">
      <alignment horizontal="right" vertical="top"/>
      <protection hidden="1"/>
    </xf>
    <xf numFmtId="0" fontId="83" fillId="23" borderId="55" xfId="7" applyFill="1" applyBorder="1" applyProtection="1">
      <protection hidden="1"/>
    </xf>
    <xf numFmtId="0" fontId="434" fillId="23" borderId="55" xfId="7" applyFont="1" applyFill="1" applyBorder="1" applyProtection="1">
      <protection hidden="1"/>
    </xf>
    <xf numFmtId="0" fontId="468" fillId="23" borderId="55" xfId="7" applyFont="1" applyFill="1" applyBorder="1" applyAlignment="1" applyProtection="1">
      <alignment vertical="top"/>
      <protection hidden="1"/>
    </xf>
    <xf numFmtId="0" fontId="83" fillId="23" borderId="178" xfId="7" applyFill="1" applyBorder="1" applyProtection="1">
      <protection hidden="1"/>
    </xf>
    <xf numFmtId="0" fontId="532" fillId="46" borderId="636" xfId="7" applyFont="1" applyFill="1" applyBorder="1" applyAlignment="1" applyProtection="1">
      <alignment horizontal="right" vertical="center"/>
      <protection locked="0"/>
    </xf>
    <xf numFmtId="0" fontId="532" fillId="46" borderId="637" xfId="7" applyFont="1" applyFill="1" applyBorder="1" applyAlignment="1" applyProtection="1">
      <alignment horizontal="right" vertical="center"/>
      <protection locked="0"/>
    </xf>
    <xf numFmtId="186" fontId="532" fillId="46" borderId="637" xfId="7" applyNumberFormat="1" applyFont="1" applyFill="1" applyBorder="1" applyAlignment="1" applyProtection="1">
      <alignment horizontal="right" vertical="center"/>
      <protection locked="0"/>
    </xf>
    <xf numFmtId="0" fontId="160" fillId="8" borderId="637" xfId="7" applyFont="1" applyFill="1" applyBorder="1" applyAlignment="1" applyProtection="1">
      <alignment horizontal="right" vertical="top"/>
      <protection hidden="1"/>
    </xf>
    <xf numFmtId="0" fontId="83" fillId="8" borderId="637" xfId="7" applyFill="1" applyBorder="1" applyProtection="1">
      <protection hidden="1"/>
    </xf>
    <xf numFmtId="0" fontId="434" fillId="8" borderId="637" xfId="7" applyFont="1" applyFill="1" applyBorder="1" applyProtection="1">
      <protection hidden="1"/>
    </xf>
    <xf numFmtId="0" fontId="451" fillId="8" borderId="637" xfId="7" applyFont="1" applyFill="1" applyBorder="1" applyProtection="1">
      <protection hidden="1"/>
    </xf>
    <xf numFmtId="0" fontId="533" fillId="8" borderId="637" xfId="7" applyFont="1" applyFill="1" applyBorder="1" applyAlignment="1" applyProtection="1">
      <alignment vertical="top"/>
      <protection hidden="1"/>
    </xf>
    <xf numFmtId="0" fontId="83" fillId="8" borderId="638" xfId="7" applyFill="1" applyBorder="1" applyProtection="1">
      <protection hidden="1"/>
    </xf>
    <xf numFmtId="193" fontId="451" fillId="8" borderId="84" xfId="7" applyNumberFormat="1" applyFont="1" applyFill="1" applyBorder="1" applyAlignment="1" applyProtection="1">
      <alignment horizontal="left"/>
      <protection hidden="1"/>
    </xf>
    <xf numFmtId="193" fontId="451" fillId="8" borderId="63" xfId="7" applyNumberFormat="1" applyFont="1" applyFill="1" applyBorder="1" applyAlignment="1" applyProtection="1">
      <alignment horizontal="left"/>
      <protection hidden="1"/>
    </xf>
    <xf numFmtId="176" fontId="451" fillId="53" borderId="620" xfId="7" applyNumberFormat="1" applyFont="1" applyFill="1" applyBorder="1" applyAlignment="1" applyProtection="1">
      <alignment horizontal="right"/>
      <protection hidden="1"/>
    </xf>
    <xf numFmtId="176" fontId="451" fillId="53" borderId="149" xfId="7" applyNumberFormat="1" applyFont="1" applyFill="1" applyBorder="1" applyAlignment="1" applyProtection="1">
      <alignment horizontal="right"/>
      <protection hidden="1"/>
    </xf>
    <xf numFmtId="176" fontId="451" fillId="53" borderId="178" xfId="7" applyNumberFormat="1" applyFont="1" applyFill="1" applyBorder="1" applyAlignment="1" applyProtection="1">
      <alignment horizontal="right"/>
      <protection hidden="1"/>
    </xf>
    <xf numFmtId="0" fontId="523" fillId="28" borderId="75" xfId="7" applyFont="1" applyFill="1" applyBorder="1" applyAlignment="1" applyProtection="1">
      <alignment horizontal="center" vertical="center"/>
      <protection hidden="1"/>
    </xf>
    <xf numFmtId="0" fontId="523" fillId="28" borderId="224" xfId="7" applyFont="1" applyFill="1" applyBorder="1" applyAlignment="1" applyProtection="1">
      <alignment horizontal="center" vertical="center"/>
      <protection hidden="1"/>
    </xf>
    <xf numFmtId="0" fontId="523" fillId="28" borderId="74" xfId="7" applyFont="1" applyFill="1" applyBorder="1" applyAlignment="1" applyProtection="1">
      <alignment horizontal="center" vertical="center"/>
      <protection hidden="1"/>
    </xf>
    <xf numFmtId="0" fontId="523" fillId="28" borderId="223" xfId="7" applyFont="1" applyFill="1" applyBorder="1" applyAlignment="1" applyProtection="1">
      <alignment horizontal="center" vertical="center"/>
      <protection hidden="1"/>
    </xf>
    <xf numFmtId="0" fontId="523" fillId="28" borderId="73" xfId="7" applyFont="1" applyFill="1" applyBorder="1" applyAlignment="1" applyProtection="1">
      <alignment horizontal="center" vertical="center"/>
      <protection hidden="1"/>
    </xf>
    <xf numFmtId="0" fontId="523" fillId="28" borderId="74" xfId="7" applyFont="1" applyFill="1" applyBorder="1" applyAlignment="1" applyProtection="1">
      <alignment horizontal="center" vertical="center" shrinkToFit="1"/>
      <protection hidden="1"/>
    </xf>
    <xf numFmtId="0" fontId="536" fillId="14" borderId="0" xfId="7" applyFont="1" applyFill="1" applyBorder="1" applyAlignment="1" applyProtection="1">
      <alignment horizontal="center"/>
      <protection hidden="1"/>
    </xf>
    <xf numFmtId="0" fontId="451" fillId="8" borderId="63" xfId="7" applyFont="1" applyFill="1" applyBorder="1" applyProtection="1">
      <protection hidden="1"/>
    </xf>
    <xf numFmtId="0" fontId="533" fillId="8" borderId="68" xfId="7" applyFont="1" applyFill="1" applyBorder="1" applyAlignment="1" applyProtection="1">
      <alignment vertical="top"/>
      <protection hidden="1"/>
    </xf>
    <xf numFmtId="0" fontId="451" fillId="8" borderId="68" xfId="7" applyFont="1" applyFill="1" applyBorder="1" applyProtection="1">
      <protection hidden="1"/>
    </xf>
    <xf numFmtId="0" fontId="534" fillId="8" borderId="63" xfId="7" applyFont="1" applyFill="1" applyBorder="1" applyProtection="1">
      <protection hidden="1"/>
    </xf>
    <xf numFmtId="193" fontId="451" fillId="8" borderId="103" xfId="7" applyNumberFormat="1" applyFont="1" applyFill="1" applyBorder="1" applyAlignment="1" applyProtection="1">
      <alignment horizontal="left"/>
      <protection hidden="1"/>
    </xf>
    <xf numFmtId="193" fontId="451" fillId="8" borderId="55" xfId="7" applyNumberFormat="1" applyFont="1" applyFill="1" applyBorder="1" applyAlignment="1" applyProtection="1">
      <alignment horizontal="left"/>
      <protection hidden="1"/>
    </xf>
    <xf numFmtId="0" fontId="511" fillId="8" borderId="55" xfId="7" applyNumberFormat="1" applyFont="1" applyFill="1" applyBorder="1" applyAlignment="1" applyProtection="1">
      <alignment horizontal="right"/>
      <protection hidden="1"/>
    </xf>
    <xf numFmtId="0" fontId="160" fillId="8" borderId="55" xfId="7" applyFont="1" applyFill="1" applyBorder="1" applyAlignment="1" applyProtection="1">
      <alignment horizontal="right" vertical="top"/>
      <protection hidden="1"/>
    </xf>
    <xf numFmtId="0" fontId="434" fillId="8" borderId="55" xfId="7" applyFont="1" applyFill="1" applyBorder="1" applyProtection="1">
      <protection hidden="1"/>
    </xf>
    <xf numFmtId="0" fontId="533" fillId="8" borderId="63" xfId="7" applyFont="1" applyFill="1" applyBorder="1" applyAlignment="1" applyProtection="1">
      <alignment vertical="top"/>
      <protection hidden="1"/>
    </xf>
    <xf numFmtId="193" fontId="451" fillId="8" borderId="71" xfId="7" applyNumberFormat="1" applyFont="1" applyFill="1" applyBorder="1" applyAlignment="1" applyProtection="1">
      <alignment horizontal="left"/>
      <protection hidden="1"/>
    </xf>
    <xf numFmtId="193" fontId="451" fillId="8" borderId="0" xfId="7" applyNumberFormat="1" applyFont="1" applyFill="1" applyBorder="1" applyAlignment="1" applyProtection="1">
      <alignment horizontal="left"/>
      <protection hidden="1"/>
    </xf>
    <xf numFmtId="0" fontId="511" fillId="8" borderId="0" xfId="7" applyNumberFormat="1" applyFont="1" applyFill="1" applyBorder="1" applyAlignment="1" applyProtection="1">
      <alignment horizontal="right"/>
      <protection hidden="1"/>
    </xf>
    <xf numFmtId="0" fontId="434" fillId="8" borderId="0" xfId="7" applyFont="1" applyFill="1" applyBorder="1" applyProtection="1">
      <protection hidden="1"/>
    </xf>
    <xf numFmtId="0" fontId="162" fillId="51" borderId="111" xfId="7" applyFont="1" applyFill="1" applyBorder="1" applyAlignment="1" applyProtection="1">
      <alignment horizontal="center" shrinkToFit="1"/>
      <protection locked="0"/>
    </xf>
    <xf numFmtId="0" fontId="10" fillId="8" borderId="63" xfId="7" applyFont="1" applyFill="1" applyBorder="1" applyProtection="1">
      <protection hidden="1"/>
    </xf>
    <xf numFmtId="0" fontId="30" fillId="8" borderId="63" xfId="7" applyFont="1" applyFill="1" applyBorder="1" applyProtection="1">
      <protection hidden="1"/>
    </xf>
    <xf numFmtId="0" fontId="87" fillId="8" borderId="80" xfId="7" applyFont="1" applyFill="1" applyBorder="1" applyProtection="1">
      <protection hidden="1"/>
    </xf>
    <xf numFmtId="193" fontId="451" fillId="8" borderId="86" xfId="7" applyNumberFormat="1" applyFont="1" applyFill="1" applyBorder="1" applyAlignment="1" applyProtection="1">
      <alignment horizontal="left"/>
      <protection hidden="1"/>
    </xf>
    <xf numFmtId="193" fontId="3" fillId="8" borderId="63" xfId="7" applyNumberFormat="1" applyFont="1" applyFill="1" applyBorder="1" applyAlignment="1" applyProtection="1">
      <alignment horizontal="left"/>
      <protection hidden="1"/>
    </xf>
    <xf numFmtId="0" fontId="83" fillId="14" borderId="0" xfId="7" applyFill="1" applyAlignment="1" applyProtection="1">
      <alignment vertical="center" shrinkToFit="1"/>
      <protection hidden="1"/>
    </xf>
    <xf numFmtId="0" fontId="160" fillId="23" borderId="103" xfId="7" applyFont="1" applyFill="1" applyBorder="1" applyAlignment="1" applyProtection="1">
      <alignment horizontal="right" vertical="top"/>
      <protection hidden="1"/>
    </xf>
    <xf numFmtId="0" fontId="520" fillId="23" borderId="55" xfId="7" applyNumberFormat="1" applyFont="1" applyFill="1" applyBorder="1" applyAlignment="1" applyProtection="1">
      <alignment vertical="center" shrinkToFit="1"/>
      <protection hidden="1"/>
    </xf>
    <xf numFmtId="0" fontId="520" fillId="23" borderId="68" xfId="7" applyNumberFormat="1" applyFont="1" applyFill="1" applyBorder="1" applyAlignment="1" applyProtection="1">
      <alignment vertical="center" shrinkToFit="1"/>
      <protection hidden="1"/>
    </xf>
    <xf numFmtId="0" fontId="155" fillId="23" borderId="63" xfId="7" applyNumberFormat="1" applyFont="1" applyFill="1" applyBorder="1" applyAlignment="1" applyProtection="1">
      <alignment horizontal="left" vertical="center"/>
      <protection hidden="1"/>
    </xf>
    <xf numFmtId="0" fontId="544" fillId="23" borderId="80" xfId="7" applyFont="1" applyFill="1" applyBorder="1" applyProtection="1">
      <protection hidden="1"/>
    </xf>
    <xf numFmtId="0" fontId="523" fillId="28" borderId="111" xfId="7" applyFont="1" applyFill="1" applyBorder="1" applyAlignment="1" applyProtection="1">
      <alignment horizontal="center" vertical="center" shrinkToFit="1"/>
      <protection hidden="1"/>
    </xf>
    <xf numFmtId="193" fontId="545" fillId="6" borderId="71" xfId="1" applyNumberFormat="1" applyFont="1" applyFill="1" applyBorder="1" applyAlignment="1" applyProtection="1">
      <alignment vertical="center"/>
      <protection hidden="1"/>
    </xf>
    <xf numFmtId="0" fontId="83" fillId="23" borderId="55" xfId="7" applyFill="1" applyBorder="1" applyAlignment="1" applyProtection="1">
      <alignment vertical="center"/>
      <protection hidden="1"/>
    </xf>
    <xf numFmtId="193" fontId="451" fillId="23" borderId="200" xfId="7" applyNumberFormat="1" applyFont="1" applyFill="1" applyBorder="1" applyAlignment="1" applyProtection="1">
      <alignment horizontal="left"/>
      <protection hidden="1"/>
    </xf>
    <xf numFmtId="193" fontId="451" fillId="23" borderId="87" xfId="7" applyNumberFormat="1" applyFont="1" applyFill="1" applyBorder="1" applyAlignment="1" applyProtection="1">
      <alignment horizontal="left"/>
      <protection hidden="1"/>
    </xf>
    <xf numFmtId="0" fontId="511" fillId="23" borderId="87" xfId="7" applyNumberFormat="1" applyFont="1" applyFill="1" applyBorder="1" applyAlignment="1" applyProtection="1">
      <alignment horizontal="right"/>
      <protection hidden="1"/>
    </xf>
    <xf numFmtId="0" fontId="160" fillId="23" borderId="87" xfId="7" applyFont="1" applyFill="1" applyBorder="1" applyAlignment="1" applyProtection="1">
      <alignment horizontal="right" vertical="top"/>
      <protection hidden="1"/>
    </xf>
    <xf numFmtId="0" fontId="83" fillId="23" borderId="87" xfId="7" applyFill="1" applyBorder="1" applyProtection="1">
      <protection hidden="1"/>
    </xf>
    <xf numFmtId="0" fontId="434" fillId="23" borderId="87" xfId="7" applyFont="1" applyFill="1" applyBorder="1" applyProtection="1">
      <protection hidden="1"/>
    </xf>
    <xf numFmtId="0" fontId="468" fillId="23" borderId="87" xfId="7" applyFont="1" applyFill="1" applyBorder="1" applyAlignment="1" applyProtection="1">
      <alignment vertical="top"/>
      <protection hidden="1"/>
    </xf>
    <xf numFmtId="0" fontId="83" fillId="23" borderId="202" xfId="7" applyFill="1" applyBorder="1" applyProtection="1">
      <protection hidden="1"/>
    </xf>
    <xf numFmtId="193" fontId="451" fillId="8" borderId="200" xfId="7" applyNumberFormat="1" applyFont="1" applyFill="1" applyBorder="1" applyAlignment="1" applyProtection="1">
      <alignment horizontal="left"/>
      <protection hidden="1"/>
    </xf>
    <xf numFmtId="193" fontId="451" fillId="8" borderId="87" xfId="7" applyNumberFormat="1" applyFont="1" applyFill="1" applyBorder="1" applyAlignment="1" applyProtection="1">
      <alignment horizontal="left"/>
      <protection hidden="1"/>
    </xf>
    <xf numFmtId="0" fontId="511" fillId="8" borderId="87" xfId="7" applyNumberFormat="1" applyFont="1" applyFill="1" applyBorder="1" applyAlignment="1" applyProtection="1">
      <alignment horizontal="right"/>
      <protection hidden="1"/>
    </xf>
    <xf numFmtId="0" fontId="160" fillId="8" borderId="87" xfId="7" applyFont="1" applyFill="1" applyBorder="1" applyAlignment="1" applyProtection="1">
      <alignment horizontal="right" vertical="top"/>
      <protection hidden="1"/>
    </xf>
    <xf numFmtId="0" fontId="83" fillId="8" borderId="87" xfId="7" applyFill="1" applyBorder="1" applyProtection="1">
      <protection hidden="1"/>
    </xf>
    <xf numFmtId="0" fontId="434" fillId="8" borderId="87" xfId="7" applyFont="1" applyFill="1" applyBorder="1" applyProtection="1">
      <protection hidden="1"/>
    </xf>
    <xf numFmtId="0" fontId="468" fillId="8" borderId="87" xfId="7" applyFont="1" applyFill="1" applyBorder="1" applyAlignment="1" applyProtection="1">
      <alignment vertical="top"/>
      <protection hidden="1"/>
    </xf>
    <xf numFmtId="0" fontId="83" fillId="8" borderId="202" xfId="7" applyFill="1" applyBorder="1" applyProtection="1">
      <protection hidden="1"/>
    </xf>
    <xf numFmtId="193" fontId="451" fillId="8" borderId="93" xfId="7" applyNumberFormat="1" applyFont="1" applyFill="1" applyBorder="1" applyAlignment="1" applyProtection="1">
      <alignment horizontal="left"/>
      <protection hidden="1"/>
    </xf>
    <xf numFmtId="193" fontId="451" fillId="8" borderId="92" xfId="7" applyNumberFormat="1" applyFont="1" applyFill="1" applyBorder="1" applyAlignment="1" applyProtection="1">
      <alignment horizontal="left"/>
      <protection hidden="1"/>
    </xf>
    <xf numFmtId="0" fontId="511" fillId="8" borderId="92" xfId="7" applyNumberFormat="1" applyFont="1" applyFill="1" applyBorder="1" applyAlignment="1" applyProtection="1">
      <alignment horizontal="right"/>
      <protection hidden="1"/>
    </xf>
    <xf numFmtId="0" fontId="160" fillId="8" borderId="92" xfId="7" applyFont="1" applyFill="1" applyBorder="1" applyAlignment="1" applyProtection="1">
      <alignment horizontal="right" vertical="top"/>
      <protection hidden="1"/>
    </xf>
    <xf numFmtId="0" fontId="434" fillId="8" borderId="92" xfId="7" applyFont="1" applyFill="1" applyBorder="1" applyProtection="1">
      <protection hidden="1"/>
    </xf>
    <xf numFmtId="0" fontId="468" fillId="8" borderId="92" xfId="7" applyFont="1" applyFill="1" applyBorder="1" applyAlignment="1" applyProtection="1">
      <alignment vertical="top"/>
      <protection hidden="1"/>
    </xf>
    <xf numFmtId="193" fontId="451" fillId="8" borderId="106" xfId="7" applyNumberFormat="1" applyFont="1" applyFill="1" applyBorder="1" applyAlignment="1" applyProtection="1">
      <alignment horizontal="left"/>
      <protection hidden="1"/>
    </xf>
    <xf numFmtId="193" fontId="451" fillId="8" borderId="105" xfId="7" applyNumberFormat="1" applyFont="1" applyFill="1" applyBorder="1" applyAlignment="1" applyProtection="1">
      <alignment horizontal="left"/>
      <protection hidden="1"/>
    </xf>
    <xf numFmtId="0" fontId="511" fillId="8" borderId="105" xfId="7" applyNumberFormat="1" applyFont="1" applyFill="1" applyBorder="1" applyAlignment="1" applyProtection="1">
      <alignment horizontal="right"/>
      <protection hidden="1"/>
    </xf>
    <xf numFmtId="0" fontId="160" fillId="8" borderId="105" xfId="7" applyFont="1" applyFill="1" applyBorder="1" applyAlignment="1" applyProtection="1">
      <alignment horizontal="right" vertical="top"/>
      <protection hidden="1"/>
    </xf>
    <xf numFmtId="0" fontId="83" fillId="8" borderId="105" xfId="7" applyFill="1" applyBorder="1" applyProtection="1">
      <protection hidden="1"/>
    </xf>
    <xf numFmtId="0" fontId="434" fillId="8" borderId="105" xfId="7" applyFont="1" applyFill="1" applyBorder="1" applyProtection="1">
      <protection hidden="1"/>
    </xf>
    <xf numFmtId="0" fontId="468" fillId="8" borderId="105" xfId="7" applyFont="1" applyFill="1" applyBorder="1" applyAlignment="1" applyProtection="1">
      <alignment vertical="top"/>
      <protection hidden="1"/>
    </xf>
    <xf numFmtId="0" fontId="83" fillId="8" borderId="104" xfId="7" applyFill="1" applyBorder="1" applyProtection="1">
      <protection hidden="1"/>
    </xf>
    <xf numFmtId="206" fontId="169" fillId="51" borderId="642" xfId="5" applyNumberFormat="1" applyFont="1" applyFill="1" applyBorder="1" applyAlignment="1" applyProtection="1">
      <alignment vertical="center" shrinkToFit="1"/>
      <protection locked="0"/>
    </xf>
    <xf numFmtId="206" fontId="83" fillId="51" borderId="643" xfId="5" applyNumberFormat="1" applyFont="1" applyFill="1" applyBorder="1" applyAlignment="1" applyProtection="1">
      <alignment horizontal="right" vertical="center"/>
      <protection locked="0"/>
    </xf>
    <xf numFmtId="189" fontId="546" fillId="51" borderId="644" xfId="5" applyNumberFormat="1" applyFont="1" applyFill="1" applyBorder="1" applyAlignment="1" applyProtection="1">
      <alignment horizontal="right" vertical="center"/>
      <protection locked="0"/>
    </xf>
    <xf numFmtId="206" fontId="169" fillId="51" borderId="645" xfId="5" applyNumberFormat="1" applyFont="1" applyFill="1" applyBorder="1" applyAlignment="1" applyProtection="1">
      <alignment vertical="center" shrinkToFit="1"/>
      <protection locked="0"/>
    </xf>
    <xf numFmtId="206" fontId="83" fillId="51" borderId="630" xfId="5" applyNumberFormat="1" applyFont="1" applyFill="1" applyBorder="1" applyAlignment="1" applyProtection="1">
      <alignment horizontal="right" vertical="center"/>
      <protection locked="0"/>
    </xf>
    <xf numFmtId="189" fontId="546" fillId="51" borderId="646" xfId="5" applyNumberFormat="1" applyFont="1" applyFill="1" applyBorder="1" applyAlignment="1" applyProtection="1">
      <alignment horizontal="right" vertical="center"/>
      <protection locked="0"/>
    </xf>
    <xf numFmtId="193" fontId="451" fillId="50" borderId="80" xfId="7" applyNumberFormat="1" applyFont="1" applyFill="1" applyBorder="1" applyAlignment="1" applyProtection="1">
      <alignment horizontal="left"/>
      <protection hidden="1"/>
    </xf>
    <xf numFmtId="0" fontId="547" fillId="8" borderId="63" xfId="7" applyNumberFormat="1" applyFont="1" applyFill="1" applyBorder="1" applyAlignment="1" applyProtection="1">
      <alignment horizontal="right" vertical="center"/>
      <protection hidden="1"/>
    </xf>
    <xf numFmtId="0" fontId="548" fillId="8" borderId="63" xfId="7" applyFont="1" applyFill="1" applyBorder="1" applyAlignment="1" applyProtection="1">
      <alignment horizontal="center" vertical="top"/>
      <protection hidden="1"/>
    </xf>
    <xf numFmtId="0" fontId="549" fillId="8" borderId="68" xfId="7" applyFont="1" applyFill="1" applyBorder="1" applyProtection="1">
      <protection hidden="1"/>
    </xf>
    <xf numFmtId="0" fontId="550" fillId="8" borderId="68" xfId="7" applyFont="1" applyFill="1" applyBorder="1" applyAlignment="1" applyProtection="1">
      <alignment vertical="top"/>
      <protection hidden="1"/>
    </xf>
    <xf numFmtId="0" fontId="548" fillId="8" borderId="68" xfId="7" applyFont="1" applyFill="1" applyBorder="1" applyAlignment="1" applyProtection="1">
      <alignment horizontal="center" vertical="top"/>
      <protection hidden="1"/>
    </xf>
    <xf numFmtId="0" fontId="549" fillId="8" borderId="0" xfId="7" applyFont="1" applyFill="1" applyBorder="1" applyProtection="1">
      <protection hidden="1"/>
    </xf>
    <xf numFmtId="0" fontId="548" fillId="8" borderId="0" xfId="7" applyFont="1" applyFill="1" applyBorder="1" applyAlignment="1" applyProtection="1">
      <alignment horizontal="center" vertical="top"/>
      <protection hidden="1"/>
    </xf>
    <xf numFmtId="192" fontId="451" fillId="50" borderId="80" xfId="7" applyNumberFormat="1" applyFont="1" applyFill="1" applyBorder="1" applyAlignment="1" applyProtection="1">
      <alignment horizontal="left"/>
      <protection hidden="1"/>
    </xf>
    <xf numFmtId="193" fontId="451" fillId="8" borderId="63" xfId="7" applyNumberFormat="1" applyFont="1" applyFill="1" applyBorder="1" applyAlignment="1" applyProtection="1">
      <alignment horizontal="right" vertical="center"/>
      <protection hidden="1"/>
    </xf>
    <xf numFmtId="0" fontId="512" fillId="8" borderId="63" xfId="7" applyFont="1" applyFill="1" applyBorder="1" applyAlignment="1" applyProtection="1">
      <alignment horizontal="right" shrinkToFit="1"/>
      <protection hidden="1"/>
    </xf>
    <xf numFmtId="193" fontId="451" fillId="8" borderId="63" xfId="7" applyNumberFormat="1" applyFont="1" applyFill="1" applyBorder="1" applyAlignment="1" applyProtection="1">
      <alignment horizontal="center"/>
      <protection hidden="1"/>
    </xf>
    <xf numFmtId="0" fontId="551" fillId="8" borderId="63" xfId="7" applyFont="1" applyFill="1" applyBorder="1" applyAlignment="1" applyProtection="1">
      <alignment horizontal="right" shrinkToFit="1"/>
      <protection hidden="1"/>
    </xf>
    <xf numFmtId="0" fontId="552" fillId="8" borderId="63" xfId="7" applyFont="1" applyFill="1" applyBorder="1" applyAlignment="1" applyProtection="1">
      <protection hidden="1"/>
    </xf>
    <xf numFmtId="0" fontId="549" fillId="8" borderId="63" xfId="7" applyFont="1" applyFill="1" applyBorder="1" applyProtection="1">
      <protection hidden="1"/>
    </xf>
    <xf numFmtId="0" fontId="550" fillId="8" borderId="63" xfId="7" applyFont="1" applyFill="1" applyBorder="1" applyAlignment="1" applyProtection="1">
      <alignment vertical="top"/>
      <protection hidden="1"/>
    </xf>
    <xf numFmtId="0" fontId="549" fillId="8" borderId="55" xfId="7" applyFont="1" applyFill="1" applyBorder="1" applyProtection="1">
      <protection hidden="1"/>
    </xf>
    <xf numFmtId="0" fontId="548" fillId="8" borderId="55" xfId="7" applyFont="1" applyFill="1" applyBorder="1" applyAlignment="1" applyProtection="1">
      <alignment horizontal="center" vertical="top"/>
      <protection hidden="1"/>
    </xf>
    <xf numFmtId="0" fontId="553" fillId="8" borderId="63" xfId="7" applyFont="1" applyFill="1" applyBorder="1" applyProtection="1">
      <protection hidden="1"/>
    </xf>
    <xf numFmtId="0" fontId="451" fillId="8" borderId="84" xfId="7" applyFont="1" applyFill="1" applyBorder="1" applyAlignment="1" applyProtection="1">
      <alignment horizontal="right" vertical="top"/>
      <protection hidden="1"/>
    </xf>
    <xf numFmtId="0" fontId="451" fillId="8" borderId="63" xfId="7" applyFont="1" applyFill="1" applyBorder="1" applyAlignment="1" applyProtection="1">
      <alignment horizontal="right" vertical="top"/>
      <protection hidden="1"/>
    </xf>
    <xf numFmtId="0" fontId="451" fillId="8" borderId="63" xfId="7" applyFont="1" applyFill="1" applyBorder="1" applyAlignment="1" applyProtection="1">
      <alignment horizontal="right" vertical="center"/>
      <protection hidden="1"/>
    </xf>
    <xf numFmtId="0" fontId="554" fillId="8" borderId="63" xfId="7" applyFont="1" applyFill="1" applyBorder="1" applyProtection="1">
      <protection hidden="1"/>
    </xf>
    <xf numFmtId="0" fontId="160" fillId="8" borderId="63" xfId="7" applyFont="1" applyFill="1" applyBorder="1" applyAlignment="1" applyProtection="1">
      <alignment horizontal="right" vertical="center"/>
      <protection hidden="1"/>
    </xf>
    <xf numFmtId="193" fontId="451" fillId="50" borderId="80" xfId="7" applyNumberFormat="1" applyFont="1" applyFill="1" applyBorder="1" applyAlignment="1" applyProtection="1">
      <alignment horizontal="left" shrinkToFit="1"/>
      <protection hidden="1"/>
    </xf>
    <xf numFmtId="192" fontId="451" fillId="50" borderId="80" xfId="7" applyNumberFormat="1" applyFont="1" applyFill="1" applyBorder="1" applyAlignment="1" applyProtection="1">
      <alignment horizontal="left" shrinkToFit="1"/>
      <protection hidden="1"/>
    </xf>
    <xf numFmtId="0" fontId="451" fillId="8" borderId="80" xfId="7" applyFont="1" applyFill="1" applyBorder="1" applyProtection="1">
      <protection hidden="1"/>
    </xf>
    <xf numFmtId="0" fontId="451" fillId="8" borderId="103" xfId="7" applyFont="1" applyFill="1" applyBorder="1" applyAlignment="1" applyProtection="1">
      <alignment horizontal="right" vertical="top"/>
      <protection hidden="1"/>
    </xf>
    <xf numFmtId="0" fontId="451" fillId="8" borderId="55" xfId="7" applyFont="1" applyFill="1" applyBorder="1" applyAlignment="1" applyProtection="1">
      <alignment horizontal="right" vertical="top"/>
      <protection hidden="1"/>
    </xf>
    <xf numFmtId="0" fontId="451" fillId="8" borderId="55" xfId="7" applyFont="1" applyFill="1" applyBorder="1" applyProtection="1">
      <protection hidden="1"/>
    </xf>
    <xf numFmtId="0" fontId="451" fillId="8" borderId="0" xfId="7" applyFont="1" applyFill="1" applyBorder="1" applyProtection="1">
      <protection hidden="1"/>
    </xf>
    <xf numFmtId="0" fontId="533" fillId="8" borderId="55" xfId="7" applyFont="1" applyFill="1" applyBorder="1" applyAlignment="1" applyProtection="1">
      <alignment vertical="top"/>
      <protection hidden="1"/>
    </xf>
    <xf numFmtId="0" fontId="554" fillId="8" borderId="55" xfId="7" applyFont="1" applyFill="1" applyBorder="1" applyProtection="1">
      <protection hidden="1"/>
    </xf>
    <xf numFmtId="0" fontId="451" fillId="8" borderId="77" xfId="7" applyFont="1" applyFill="1" applyBorder="1" applyProtection="1">
      <protection hidden="1"/>
    </xf>
    <xf numFmtId="0" fontId="451" fillId="8" borderId="123" xfId="7" applyFont="1" applyFill="1" applyBorder="1" applyAlignment="1" applyProtection="1">
      <alignment horizontal="right" vertical="top"/>
      <protection hidden="1"/>
    </xf>
    <xf numFmtId="0" fontId="451" fillId="8" borderId="58" xfId="7" applyFont="1" applyFill="1" applyBorder="1" applyAlignment="1" applyProtection="1">
      <alignment horizontal="right" vertical="top"/>
      <protection hidden="1"/>
    </xf>
    <xf numFmtId="0" fontId="451" fillId="8" borderId="58" xfId="7" applyFont="1" applyFill="1" applyBorder="1" applyProtection="1">
      <protection hidden="1"/>
    </xf>
    <xf numFmtId="0" fontId="533" fillId="8" borderId="58" xfId="7" applyFont="1" applyFill="1" applyBorder="1" applyAlignment="1" applyProtection="1">
      <alignment vertical="top"/>
      <protection hidden="1"/>
    </xf>
    <xf numFmtId="0" fontId="451" fillId="8" borderId="121" xfId="7" applyFont="1" applyFill="1" applyBorder="1" applyProtection="1">
      <protection hidden="1"/>
    </xf>
    <xf numFmtId="206" fontId="169" fillId="51" borderId="396" xfId="5" applyNumberFormat="1" applyFont="1" applyFill="1" applyBorder="1" applyAlignment="1" applyProtection="1">
      <alignment vertical="center" shrinkToFit="1"/>
      <protection locked="0"/>
    </xf>
    <xf numFmtId="206" fontId="83" fillId="51" borderId="6" xfId="5" applyNumberFormat="1" applyFont="1" applyFill="1" applyBorder="1" applyAlignment="1" applyProtection="1">
      <alignment horizontal="right" vertical="center"/>
      <protection locked="0"/>
    </xf>
    <xf numFmtId="189" fontId="546" fillId="51" borderId="399" xfId="5" applyNumberFormat="1" applyFont="1" applyFill="1" applyBorder="1" applyAlignment="1" applyProtection="1">
      <alignment horizontal="right" vertical="center"/>
      <protection locked="0"/>
    </xf>
    <xf numFmtId="0" fontId="451" fillId="8" borderId="86" xfId="7" applyFont="1" applyFill="1" applyBorder="1" applyAlignment="1" applyProtection="1">
      <alignment horizontal="right" vertical="top"/>
      <protection hidden="1"/>
    </xf>
    <xf numFmtId="0" fontId="451" fillId="8" borderId="68" xfId="7" applyFont="1" applyFill="1" applyBorder="1" applyAlignment="1" applyProtection="1">
      <alignment horizontal="right" vertical="top"/>
      <protection hidden="1"/>
    </xf>
    <xf numFmtId="206" fontId="523" fillId="28" borderId="642" xfId="5" applyNumberFormat="1" applyFont="1" applyFill="1" applyBorder="1" applyAlignment="1" applyProtection="1">
      <alignment horizontal="center" vertical="center"/>
      <protection hidden="1"/>
    </xf>
    <xf numFmtId="206" fontId="523" fillId="28" borderId="643" xfId="5" applyNumberFormat="1" applyFont="1" applyFill="1" applyBorder="1" applyAlignment="1" applyProtection="1">
      <alignment horizontal="center" vertical="center"/>
      <protection hidden="1"/>
    </xf>
    <xf numFmtId="189" fontId="523" fillId="28" borderId="644" xfId="5" applyNumberFormat="1" applyFont="1" applyFill="1" applyBorder="1" applyAlignment="1" applyProtection="1">
      <alignment horizontal="right" vertical="center"/>
      <protection hidden="1"/>
    </xf>
    <xf numFmtId="0" fontId="531" fillId="28" borderId="108" xfId="5" applyFont="1" applyFill="1" applyBorder="1" applyProtection="1">
      <alignment vertical="center"/>
      <protection hidden="1"/>
    </xf>
    <xf numFmtId="0" fontId="523" fillId="28" borderId="107" xfId="5" applyFont="1" applyFill="1" applyBorder="1" applyAlignment="1" applyProtection="1">
      <alignment horizontal="center"/>
      <protection hidden="1"/>
    </xf>
    <xf numFmtId="0" fontId="523" fillId="28" borderId="107" xfId="5" applyFont="1" applyFill="1" applyBorder="1" applyAlignment="1" applyProtection="1">
      <alignment horizontal="left"/>
      <protection hidden="1"/>
    </xf>
    <xf numFmtId="0" fontId="523" fillId="28" borderId="110" xfId="5" applyFont="1" applyFill="1" applyBorder="1" applyAlignment="1" applyProtection="1">
      <alignment horizontal="center" vertical="center"/>
      <protection hidden="1"/>
    </xf>
    <xf numFmtId="0" fontId="511" fillId="8" borderId="84" xfId="7" applyFont="1" applyFill="1" applyBorder="1" applyAlignment="1" applyProtection="1">
      <protection hidden="1"/>
    </xf>
    <xf numFmtId="0" fontId="555" fillId="8" borderId="63" xfId="7" applyFont="1" applyFill="1" applyBorder="1" applyAlignment="1" applyProtection="1">
      <alignment horizontal="right"/>
      <protection hidden="1"/>
    </xf>
    <xf numFmtId="189" fontId="159" fillId="14" borderId="0" xfId="5" applyNumberFormat="1" applyFont="1" applyFill="1" applyBorder="1" applyAlignment="1" applyProtection="1">
      <alignment horizontal="right" vertical="center"/>
      <protection hidden="1"/>
    </xf>
    <xf numFmtId="0" fontId="451" fillId="8" borderId="63" xfId="7" applyFont="1" applyFill="1" applyBorder="1" applyAlignment="1" applyProtection="1">
      <alignment vertical="center"/>
      <protection hidden="1"/>
    </xf>
    <xf numFmtId="0" fontId="162" fillId="8" borderId="63" xfId="7" applyFont="1" applyFill="1" applyBorder="1" applyProtection="1">
      <protection hidden="1"/>
    </xf>
    <xf numFmtId="0" fontId="451" fillId="8" borderId="63" xfId="7" applyFont="1" applyFill="1" applyBorder="1" applyAlignment="1" applyProtection="1">
      <protection hidden="1"/>
    </xf>
    <xf numFmtId="0" fontId="504" fillId="8" borderId="63" xfId="7" applyFont="1" applyFill="1" applyBorder="1" applyProtection="1">
      <protection hidden="1"/>
    </xf>
    <xf numFmtId="0" fontId="504" fillId="8" borderId="63" xfId="7" applyFont="1" applyFill="1" applyBorder="1" applyAlignment="1" applyProtection="1">
      <alignment vertical="center"/>
      <protection hidden="1"/>
    </xf>
    <xf numFmtId="0" fontId="83" fillId="14" borderId="630" xfId="7" applyFont="1" applyFill="1" applyBorder="1" applyProtection="1">
      <protection locked="0"/>
    </xf>
    <xf numFmtId="176" fontId="159" fillId="30" borderId="630" xfId="7" applyNumberFormat="1" applyFont="1" applyFill="1" applyBorder="1" applyProtection="1">
      <protection locked="0"/>
    </xf>
    <xf numFmtId="0" fontId="451" fillId="23" borderId="80" xfId="7" applyFont="1" applyFill="1" applyBorder="1" applyProtection="1">
      <protection hidden="1"/>
    </xf>
    <xf numFmtId="0" fontId="83" fillId="14" borderId="109" xfId="7" applyFont="1" applyFill="1" applyBorder="1" applyProtection="1">
      <protection locked="0"/>
    </xf>
    <xf numFmtId="176" fontId="159" fillId="30" borderId="109" xfId="7" applyNumberFormat="1" applyFont="1" applyFill="1" applyBorder="1" applyProtection="1">
      <protection locked="0"/>
    </xf>
    <xf numFmtId="0" fontId="160" fillId="23" borderId="632" xfId="7" applyFont="1" applyFill="1" applyBorder="1" applyAlignment="1" applyProtection="1">
      <alignment horizontal="right" vertical="top"/>
      <protection hidden="1"/>
    </xf>
    <xf numFmtId="0" fontId="83" fillId="23" borderId="632" xfId="7" applyFill="1" applyBorder="1" applyProtection="1">
      <protection hidden="1"/>
    </xf>
    <xf numFmtId="0" fontId="434" fillId="23" borderId="632" xfId="7" applyFont="1" applyFill="1" applyBorder="1" applyProtection="1">
      <protection hidden="1"/>
    </xf>
    <xf numFmtId="0" fontId="162" fillId="23" borderId="632" xfId="7" applyFont="1" applyFill="1" applyBorder="1" applyProtection="1">
      <protection hidden="1"/>
    </xf>
    <xf numFmtId="0" fontId="468" fillId="23" borderId="632" xfId="7" applyFont="1" applyFill="1" applyBorder="1" applyAlignment="1" applyProtection="1">
      <alignment vertical="top"/>
      <protection hidden="1"/>
    </xf>
    <xf numFmtId="0" fontId="83" fillId="23" borderId="634" xfId="7" applyFill="1" applyBorder="1" applyProtection="1">
      <protection hidden="1"/>
    </xf>
    <xf numFmtId="0" fontId="160" fillId="8" borderId="86" xfId="7" applyFont="1" applyFill="1" applyBorder="1" applyAlignment="1" applyProtection="1">
      <alignment horizontal="right" vertical="top"/>
      <protection hidden="1"/>
    </xf>
    <xf numFmtId="0" fontId="83" fillId="8" borderId="68" xfId="7" applyFill="1" applyBorder="1" applyAlignment="1" applyProtection="1">
      <protection hidden="1"/>
    </xf>
    <xf numFmtId="0" fontId="83" fillId="8" borderId="637" xfId="7" applyFill="1" applyBorder="1" applyAlignment="1" applyProtection="1">
      <protection hidden="1"/>
    </xf>
    <xf numFmtId="0" fontId="434" fillId="8" borderId="637" xfId="7" applyFont="1" applyFill="1" applyBorder="1" applyAlignment="1" applyProtection="1">
      <protection hidden="1"/>
    </xf>
    <xf numFmtId="0" fontId="162" fillId="8" borderId="68" xfId="7" applyFont="1" applyFill="1" applyBorder="1" applyProtection="1">
      <protection hidden="1"/>
    </xf>
    <xf numFmtId="0" fontId="468" fillId="8" borderId="68" xfId="7" applyFont="1" applyFill="1" applyBorder="1" applyAlignment="1" applyProtection="1">
      <alignment vertical="top"/>
      <protection hidden="1"/>
    </xf>
    <xf numFmtId="0" fontId="83" fillId="8" borderId="603" xfId="7" applyFill="1" applyBorder="1" applyProtection="1">
      <protection hidden="1"/>
    </xf>
    <xf numFmtId="0" fontId="160" fillId="8" borderId="103" xfId="7" applyFont="1" applyFill="1" applyBorder="1" applyAlignment="1" applyProtection="1">
      <alignment horizontal="right" vertical="top"/>
      <protection hidden="1"/>
    </xf>
    <xf numFmtId="0" fontId="83" fillId="8" borderId="220" xfId="7" applyFill="1" applyBorder="1" applyAlignment="1" applyProtection="1">
      <protection hidden="1"/>
    </xf>
    <xf numFmtId="0" fontId="434" fillId="8" borderId="220" xfId="7" applyNumberFormat="1" applyFont="1" applyFill="1" applyBorder="1" applyAlignment="1" applyProtection="1">
      <alignment shrinkToFit="1"/>
      <protection hidden="1"/>
    </xf>
    <xf numFmtId="0" fontId="468" fillId="8" borderId="55" xfId="7" applyFont="1" applyFill="1" applyBorder="1" applyAlignment="1" applyProtection="1">
      <alignment vertical="top"/>
      <protection hidden="1"/>
    </xf>
    <xf numFmtId="0" fontId="162" fillId="14" borderId="0" xfId="7" applyFont="1" applyFill="1" applyBorder="1" applyAlignment="1" applyProtection="1">
      <alignment horizontal="center"/>
      <protection hidden="1"/>
    </xf>
    <xf numFmtId="193" fontId="260" fillId="51" borderId="109" xfId="7" applyNumberFormat="1" applyFont="1" applyFill="1" applyBorder="1" applyAlignment="1" applyProtection="1">
      <alignment horizontal="center" shrinkToFit="1"/>
      <protection locked="0"/>
    </xf>
    <xf numFmtId="176" fontId="563" fillId="55" borderId="145" xfId="7" applyNumberFormat="1" applyFont="1" applyFill="1" applyBorder="1" applyAlignment="1" applyProtection="1">
      <alignment horizontal="right" vertical="center" shrinkToFit="1"/>
      <protection locked="0"/>
    </xf>
    <xf numFmtId="181" fontId="259" fillId="26" borderId="146" xfId="7" applyNumberFormat="1" applyFont="1" applyFill="1" applyBorder="1" applyAlignment="1" applyProtection="1">
      <alignment vertical="center" shrinkToFit="1"/>
      <protection hidden="1"/>
    </xf>
    <xf numFmtId="176" fontId="260" fillId="13" borderId="146" xfId="7" applyNumberFormat="1" applyFont="1" applyFill="1" applyBorder="1" applyAlignment="1" applyProtection="1">
      <alignment vertical="center" shrinkToFit="1"/>
      <protection locked="0"/>
    </xf>
    <xf numFmtId="179" fontId="259" fillId="13" borderId="144" xfId="7" applyNumberFormat="1" applyFont="1" applyFill="1" applyBorder="1" applyAlignment="1" applyProtection="1">
      <alignment vertical="center" shrinkToFit="1"/>
      <protection locked="0"/>
    </xf>
    <xf numFmtId="181" fontId="564" fillId="26" borderId="146" xfId="7" applyNumberFormat="1" applyFont="1" applyFill="1" applyBorder="1" applyAlignment="1" applyProtection="1">
      <alignment horizontal="right" vertical="center" shrinkToFit="1"/>
      <protection hidden="1"/>
    </xf>
    <xf numFmtId="176" fontId="259" fillId="13" borderId="244" xfId="7" applyNumberFormat="1" applyFont="1" applyFill="1" applyBorder="1" applyAlignment="1" applyProtection="1">
      <alignment horizontal="right" vertical="center" shrinkToFit="1"/>
      <protection locked="0"/>
    </xf>
    <xf numFmtId="176" fontId="259" fillId="13" borderId="144" xfId="7" applyNumberFormat="1" applyFont="1" applyFill="1" applyBorder="1" applyAlignment="1" applyProtection="1">
      <alignment horizontal="right" vertical="center" shrinkToFit="1"/>
      <protection locked="0"/>
    </xf>
    <xf numFmtId="179" fontId="259" fillId="16" borderId="144" xfId="7" applyNumberFormat="1" applyFont="1" applyFill="1" applyBorder="1" applyAlignment="1" applyProtection="1">
      <alignment vertical="center" shrinkToFit="1"/>
      <protection hidden="1"/>
    </xf>
    <xf numFmtId="181" fontId="259" fillId="13" borderId="146" xfId="7" applyNumberFormat="1" applyFont="1" applyFill="1" applyBorder="1" applyAlignment="1" applyProtection="1">
      <alignment vertical="center" shrinkToFit="1"/>
      <protection locked="0"/>
    </xf>
    <xf numFmtId="181" fontId="259" fillId="13" borderId="144" xfId="7" applyNumberFormat="1" applyFont="1" applyFill="1" applyBorder="1" applyAlignment="1" applyProtection="1">
      <alignment vertical="center" shrinkToFit="1"/>
      <protection locked="0"/>
    </xf>
    <xf numFmtId="176" fontId="454" fillId="26" borderId="175" xfId="7" applyNumberFormat="1" applyFont="1" applyFill="1" applyBorder="1" applyAlignment="1" applyProtection="1">
      <alignment horizontal="right" vertical="center"/>
      <protection hidden="1"/>
    </xf>
    <xf numFmtId="176" fontId="563" fillId="55" borderId="112" xfId="7" applyNumberFormat="1" applyFont="1" applyFill="1" applyBorder="1" applyAlignment="1" applyProtection="1">
      <alignment horizontal="right" vertical="center" shrinkToFit="1"/>
      <protection locked="0"/>
    </xf>
    <xf numFmtId="181" fontId="259" fillId="26" borderId="109" xfId="7" applyNumberFormat="1" applyFont="1" applyFill="1" applyBorder="1" applyAlignment="1" applyProtection="1">
      <alignment vertical="center" shrinkToFit="1"/>
      <protection hidden="1"/>
    </xf>
    <xf numFmtId="176" fontId="260" fillId="13" borderId="109" xfId="7" applyNumberFormat="1" applyFont="1" applyFill="1" applyBorder="1" applyAlignment="1" applyProtection="1">
      <alignment vertical="center" shrinkToFit="1"/>
      <protection locked="0"/>
    </xf>
    <xf numFmtId="179" fontId="259" fillId="13" borderId="111" xfId="7" applyNumberFormat="1" applyFont="1" applyFill="1" applyBorder="1" applyAlignment="1" applyProtection="1">
      <alignment vertical="center" shrinkToFit="1"/>
      <protection locked="0"/>
    </xf>
    <xf numFmtId="181" fontId="564" fillId="26" borderId="109" xfId="7" applyNumberFormat="1" applyFont="1" applyFill="1" applyBorder="1" applyAlignment="1" applyProtection="1">
      <alignment horizontal="right" vertical="center" shrinkToFit="1"/>
      <protection hidden="1"/>
    </xf>
    <xf numFmtId="176" fontId="259" fillId="13" borderId="109" xfId="7" applyNumberFormat="1" applyFont="1" applyFill="1" applyBorder="1" applyAlignment="1" applyProtection="1">
      <alignment horizontal="right" vertical="center" shrinkToFit="1"/>
      <protection locked="0"/>
    </xf>
    <xf numFmtId="176" fontId="259" fillId="13" borderId="111" xfId="7" applyNumberFormat="1" applyFont="1" applyFill="1" applyBorder="1" applyAlignment="1" applyProtection="1">
      <alignment horizontal="right" vertical="center" shrinkToFit="1"/>
      <protection locked="0"/>
    </xf>
    <xf numFmtId="179" fontId="259" fillId="16" borderId="111" xfId="7" applyNumberFormat="1" applyFont="1" applyFill="1" applyBorder="1" applyAlignment="1" applyProtection="1">
      <alignment vertical="center" shrinkToFit="1"/>
      <protection hidden="1"/>
    </xf>
    <xf numFmtId="181" fontId="259" fillId="13" borderId="109" xfId="7" applyNumberFormat="1" applyFont="1" applyFill="1" applyBorder="1" applyAlignment="1" applyProtection="1">
      <alignment vertical="center" shrinkToFit="1"/>
      <protection locked="0"/>
    </xf>
    <xf numFmtId="181" fontId="259" fillId="13" borderId="111" xfId="7" applyNumberFormat="1" applyFont="1" applyFill="1" applyBorder="1" applyAlignment="1" applyProtection="1">
      <alignment vertical="center" shrinkToFit="1"/>
      <protection locked="0"/>
    </xf>
    <xf numFmtId="176" fontId="454" fillId="26" borderId="149" xfId="7" applyNumberFormat="1" applyFont="1" applyFill="1" applyBorder="1" applyAlignment="1" applyProtection="1">
      <alignment horizontal="right" vertical="center"/>
      <protection hidden="1"/>
    </xf>
    <xf numFmtId="0" fontId="83" fillId="14" borderId="0" xfId="7" applyFont="1" applyFill="1" applyProtection="1">
      <protection hidden="1"/>
    </xf>
    <xf numFmtId="176" fontId="563" fillId="55" borderId="154" xfId="7" applyNumberFormat="1" applyFont="1" applyFill="1" applyBorder="1" applyAlignment="1" applyProtection="1">
      <alignment horizontal="right" vertical="center" shrinkToFit="1"/>
      <protection locked="0"/>
    </xf>
    <xf numFmtId="181" fontId="259" fillId="26" borderId="132" xfId="7" applyNumberFormat="1" applyFont="1" applyFill="1" applyBorder="1" applyAlignment="1" applyProtection="1">
      <alignment vertical="center" shrinkToFit="1"/>
      <protection hidden="1"/>
    </xf>
    <xf numFmtId="176" fontId="260" fillId="13" borderId="132" xfId="7" applyNumberFormat="1" applyFont="1" applyFill="1" applyBorder="1" applyAlignment="1" applyProtection="1">
      <alignment vertical="center" shrinkToFit="1"/>
      <protection locked="0"/>
    </xf>
    <xf numFmtId="179" fontId="259" fillId="13" borderId="153" xfId="7" applyNumberFormat="1" applyFont="1" applyFill="1" applyBorder="1" applyAlignment="1" applyProtection="1">
      <alignment vertical="center" shrinkToFit="1"/>
      <protection locked="0"/>
    </xf>
    <xf numFmtId="181" fontId="564" fillId="26" borderId="132" xfId="7" applyNumberFormat="1" applyFont="1" applyFill="1" applyBorder="1" applyAlignment="1" applyProtection="1">
      <alignment horizontal="right" vertical="center" shrinkToFit="1"/>
      <protection hidden="1"/>
    </xf>
    <xf numFmtId="176" fontId="259" fillId="13" borderId="332" xfId="7" applyNumberFormat="1" applyFont="1" applyFill="1" applyBorder="1" applyAlignment="1" applyProtection="1">
      <alignment horizontal="right" vertical="center" shrinkToFit="1"/>
      <protection locked="0"/>
    </xf>
    <xf numFmtId="176" fontId="259" fillId="13" borderId="153" xfId="7" applyNumberFormat="1" applyFont="1" applyFill="1" applyBorder="1" applyAlignment="1" applyProtection="1">
      <alignment horizontal="right" vertical="center" shrinkToFit="1"/>
      <protection locked="0"/>
    </xf>
    <xf numFmtId="179" fontId="259" fillId="16" borderId="153" xfId="7" applyNumberFormat="1" applyFont="1" applyFill="1" applyBorder="1" applyAlignment="1" applyProtection="1">
      <alignment vertical="center" shrinkToFit="1"/>
      <protection hidden="1"/>
    </xf>
    <xf numFmtId="181" fontId="259" fillId="13" borderId="132" xfId="7" applyNumberFormat="1" applyFont="1" applyFill="1" applyBorder="1" applyAlignment="1" applyProtection="1">
      <alignment vertical="center" shrinkToFit="1"/>
      <protection locked="0"/>
    </xf>
    <xf numFmtId="181" fontId="259" fillId="13" borderId="153" xfId="7" applyNumberFormat="1" applyFont="1" applyFill="1" applyBorder="1" applyAlignment="1" applyProtection="1">
      <alignment vertical="center" shrinkToFit="1"/>
      <protection locked="0"/>
    </xf>
    <xf numFmtId="176" fontId="454" fillId="26" borderId="202" xfId="7" applyNumberFormat="1" applyFont="1" applyFill="1" applyBorder="1" applyAlignment="1" applyProtection="1">
      <alignment horizontal="right" vertical="center"/>
      <protection hidden="1"/>
    </xf>
    <xf numFmtId="0" fontId="565" fillId="14" borderId="0" xfId="7" applyFont="1" applyFill="1" applyProtection="1">
      <protection hidden="1"/>
    </xf>
    <xf numFmtId="0" fontId="62" fillId="6" borderId="146" xfId="7" applyFont="1" applyFill="1" applyBorder="1" applyAlignment="1" applyProtection="1">
      <alignment horizontal="center" vertical="center" shrinkToFit="1"/>
      <protection hidden="1"/>
    </xf>
    <xf numFmtId="0" fontId="62" fillId="6" borderId="144" xfId="7" applyFont="1" applyFill="1" applyBorder="1" applyAlignment="1" applyProtection="1">
      <alignment vertical="center" shrinkToFit="1"/>
      <protection hidden="1"/>
    </xf>
    <xf numFmtId="0" fontId="62" fillId="6" borderId="146" xfId="7" applyFont="1" applyFill="1" applyBorder="1" applyAlignment="1" applyProtection="1">
      <alignment vertical="center" shrinkToFit="1"/>
      <protection hidden="1"/>
    </xf>
    <xf numFmtId="0" fontId="160" fillId="23" borderId="86" xfId="7" applyFont="1" applyFill="1" applyBorder="1" applyAlignment="1" applyProtection="1">
      <alignment horizontal="right" vertical="top"/>
      <protection hidden="1"/>
    </xf>
    <xf numFmtId="0" fontId="160" fillId="23" borderId="68" xfId="7" applyFont="1" applyFill="1" applyBorder="1" applyAlignment="1" applyProtection="1">
      <alignment horizontal="right" vertical="top"/>
      <protection hidden="1"/>
    </xf>
    <xf numFmtId="0" fontId="434" fillId="23" borderId="68" xfId="7" applyFont="1" applyFill="1" applyBorder="1" applyProtection="1">
      <protection hidden="1"/>
    </xf>
    <xf numFmtId="0" fontId="83" fillId="23" borderId="68" xfId="7" applyFill="1" applyBorder="1" applyProtection="1">
      <protection hidden="1"/>
    </xf>
    <xf numFmtId="0" fontId="468" fillId="23" borderId="68" xfId="7" applyFont="1" applyFill="1" applyBorder="1" applyAlignment="1" applyProtection="1">
      <alignment vertical="top"/>
      <protection hidden="1"/>
    </xf>
    <xf numFmtId="0" fontId="83" fillId="23" borderId="0" xfId="7" applyFill="1" applyBorder="1" applyProtection="1">
      <protection hidden="1"/>
    </xf>
    <xf numFmtId="0" fontId="83" fillId="23" borderId="77" xfId="7" applyFill="1" applyBorder="1" applyProtection="1">
      <protection hidden="1"/>
    </xf>
    <xf numFmtId="0" fontId="3" fillId="23" borderId="84" xfId="7" applyFont="1" applyFill="1" applyBorder="1" applyAlignment="1" applyProtection="1">
      <alignment horizontal="right" vertical="top"/>
      <protection hidden="1"/>
    </xf>
    <xf numFmtId="0" fontId="3" fillId="23" borderId="63" xfId="7" applyFont="1" applyFill="1" applyBorder="1" applyAlignment="1" applyProtection="1">
      <alignment horizontal="right" vertical="top"/>
      <protection hidden="1"/>
    </xf>
    <xf numFmtId="0" fontId="573" fillId="23" borderId="63" xfId="7" applyNumberFormat="1" applyFont="1" applyFill="1" applyBorder="1" applyAlignment="1" applyProtection="1">
      <alignment vertical="center"/>
      <protection hidden="1"/>
    </xf>
    <xf numFmtId="0" fontId="574" fillId="23" borderId="68" xfId="7" applyNumberFormat="1" applyFont="1" applyFill="1" applyBorder="1" applyAlignment="1" applyProtection="1">
      <alignment vertical="center"/>
      <protection hidden="1"/>
    </xf>
    <xf numFmtId="0" fontId="3" fillId="16" borderId="109" xfId="7" applyFont="1" applyFill="1" applyBorder="1" applyAlignment="1" applyProtection="1">
      <alignment horizontal="right" vertical="top"/>
      <protection hidden="1"/>
    </xf>
    <xf numFmtId="0" fontId="155" fillId="23" borderId="59" xfId="7" applyNumberFormat="1" applyFont="1" applyFill="1" applyBorder="1" applyAlignment="1" applyProtection="1">
      <alignment vertical="center" shrinkToFit="1"/>
      <protection hidden="1"/>
    </xf>
    <xf numFmtId="0" fontId="575" fillId="23" borderId="58" xfId="7" applyNumberFormat="1" applyFont="1" applyFill="1" applyBorder="1" applyAlignment="1" applyProtection="1">
      <alignment vertical="center"/>
      <protection hidden="1"/>
    </xf>
    <xf numFmtId="0" fontId="574" fillId="23" borderId="57" xfId="7" applyNumberFormat="1" applyFont="1" applyFill="1" applyBorder="1" applyAlignment="1" applyProtection="1">
      <alignment vertical="center"/>
      <protection hidden="1"/>
    </xf>
    <xf numFmtId="0" fontId="520" fillId="13" borderId="3" xfId="7" applyNumberFormat="1" applyFont="1" applyFill="1" applyBorder="1" applyAlignment="1" applyProtection="1">
      <alignment vertical="center" shrinkToFit="1"/>
      <protection hidden="1"/>
    </xf>
    <xf numFmtId="0" fontId="441" fillId="29" borderId="109" xfId="7" applyNumberFormat="1" applyFont="1" applyFill="1" applyBorder="1" applyAlignment="1" applyProtection="1">
      <alignment horizontal="right" vertical="center" shrinkToFit="1"/>
      <protection hidden="1"/>
    </xf>
    <xf numFmtId="0" fontId="451" fillId="23" borderId="63" xfId="7" applyNumberFormat="1" applyFont="1" applyFill="1" applyBorder="1" applyAlignment="1" applyProtection="1">
      <alignment horizontal="left" vertical="center"/>
      <protection hidden="1"/>
    </xf>
    <xf numFmtId="0" fontId="83" fillId="23" borderId="629" xfId="7" applyFill="1" applyBorder="1" applyProtection="1">
      <protection hidden="1"/>
    </xf>
    <xf numFmtId="193" fontId="545" fillId="60" borderId="71" xfId="1" applyNumberFormat="1" applyFont="1" applyFill="1" applyBorder="1" applyAlignment="1" applyProtection="1">
      <alignment horizontal="center" vertical="center"/>
      <protection hidden="1"/>
    </xf>
    <xf numFmtId="193" fontId="545" fillId="60" borderId="0" xfId="1" applyNumberFormat="1" applyFont="1" applyFill="1" applyBorder="1" applyAlignment="1" applyProtection="1">
      <alignment horizontal="center" vertical="center"/>
      <protection hidden="1"/>
    </xf>
    <xf numFmtId="0" fontId="160" fillId="23" borderId="0" xfId="7" applyFont="1" applyFill="1" applyBorder="1" applyAlignment="1" applyProtection="1">
      <alignment horizontal="right" vertical="top"/>
      <protection hidden="1"/>
    </xf>
    <xf numFmtId="0" fontId="126" fillId="60" borderId="0" xfId="1" applyFont="1" applyFill="1" applyBorder="1" applyAlignment="1" applyProtection="1">
      <alignment horizontal="center" vertical="center" shrinkToFit="1"/>
      <protection hidden="1"/>
    </xf>
    <xf numFmtId="0" fontId="576" fillId="23" borderId="0" xfId="7" applyFont="1" applyFill="1" applyBorder="1" applyProtection="1">
      <protection hidden="1"/>
    </xf>
    <xf numFmtId="0" fontId="262" fillId="23" borderId="0" xfId="7" applyFont="1" applyFill="1" applyBorder="1" applyProtection="1">
      <protection hidden="1"/>
    </xf>
    <xf numFmtId="0" fontId="468" fillId="23" borderId="0" xfId="7" applyFont="1" applyFill="1" applyBorder="1" applyAlignment="1" applyProtection="1">
      <alignment vertical="top"/>
      <protection hidden="1"/>
    </xf>
    <xf numFmtId="0" fontId="522" fillId="23" borderId="641" xfId="7" applyNumberFormat="1" applyFont="1" applyFill="1" applyBorder="1" applyAlignment="1" applyProtection="1">
      <alignment horizontal="center" shrinkToFit="1"/>
      <protection hidden="1"/>
    </xf>
    <xf numFmtId="193" fontId="19" fillId="6" borderId="200" xfId="1" applyNumberFormat="1" applyFill="1" applyBorder="1" applyAlignment="1" applyProtection="1">
      <alignment vertical="center"/>
      <protection hidden="1"/>
    </xf>
    <xf numFmtId="0" fontId="576" fillId="23" borderId="220" xfId="7" applyFont="1" applyFill="1" applyBorder="1" applyProtection="1">
      <protection hidden="1"/>
    </xf>
    <xf numFmtId="0" fontId="576" fillId="23" borderId="87" xfId="7" applyFont="1" applyFill="1" applyBorder="1" applyProtection="1">
      <protection hidden="1"/>
    </xf>
    <xf numFmtId="0" fontId="262" fillId="23" borderId="87" xfId="7" applyFont="1" applyFill="1" applyBorder="1" applyProtection="1">
      <protection hidden="1"/>
    </xf>
    <xf numFmtId="0" fontId="83" fillId="23" borderId="200" xfId="7" applyFill="1" applyBorder="1" applyProtection="1">
      <protection hidden="1"/>
    </xf>
    <xf numFmtId="0" fontId="83" fillId="14" borderId="0" xfId="7" applyFill="1" applyBorder="1" applyProtection="1">
      <protection hidden="1"/>
    </xf>
    <xf numFmtId="192" fontId="439" fillId="51" borderId="109" xfId="7" applyNumberFormat="1" applyFont="1" applyFill="1" applyBorder="1" applyAlignment="1" applyProtection="1">
      <alignment horizontal="center" vertical="center" shrinkToFit="1"/>
      <protection hidden="1"/>
    </xf>
    <xf numFmtId="192" fontId="260" fillId="51" borderId="109" xfId="7" applyNumberFormat="1" applyFont="1" applyFill="1" applyBorder="1" applyAlignment="1" applyProtection="1">
      <alignment horizontal="center" vertical="center" shrinkToFit="1"/>
      <protection hidden="1"/>
    </xf>
    <xf numFmtId="179" fontId="260" fillId="51" borderId="399" xfId="7" applyNumberFormat="1" applyFont="1" applyFill="1" applyBorder="1" applyAlignment="1" applyProtection="1">
      <alignment horizontal="center" vertical="center" shrinkToFit="1"/>
      <protection hidden="1"/>
    </xf>
    <xf numFmtId="179" fontId="260" fillId="51" borderId="396" xfId="7" applyNumberFormat="1" applyFont="1" applyFill="1" applyBorder="1" applyAlignment="1" applyProtection="1">
      <alignment horizontal="center" vertical="center" shrinkToFit="1"/>
      <protection hidden="1"/>
    </xf>
    <xf numFmtId="192" fontId="260" fillId="51" borderId="5" xfId="7" applyNumberFormat="1" applyFont="1" applyFill="1" applyBorder="1" applyAlignment="1" applyProtection="1">
      <alignment horizontal="center" vertical="center" shrinkToFit="1"/>
      <protection hidden="1"/>
    </xf>
    <xf numFmtId="192" fontId="260" fillId="51" borderId="113" xfId="7" applyNumberFormat="1" applyFont="1" applyFill="1" applyBorder="1" applyAlignment="1" applyProtection="1">
      <alignment horizontal="center" vertical="center" shrinkToFit="1"/>
      <protection hidden="1"/>
    </xf>
    <xf numFmtId="192" fontId="260" fillId="51" borderId="399" xfId="7" applyNumberFormat="1" applyFont="1" applyFill="1" applyBorder="1" applyAlignment="1" applyProtection="1">
      <alignment horizontal="center" vertical="center" shrinkToFit="1"/>
      <protection hidden="1"/>
    </xf>
    <xf numFmtId="192" fontId="260" fillId="51" borderId="225" xfId="7" applyNumberFormat="1" applyFont="1" applyFill="1" applyBorder="1" applyAlignment="1" applyProtection="1">
      <alignment horizontal="center" vertical="center" shrinkToFit="1"/>
      <protection hidden="1"/>
    </xf>
    <xf numFmtId="192" fontId="260" fillId="51" borderId="396" xfId="7" applyNumberFormat="1" applyFont="1" applyFill="1" applyBorder="1" applyAlignment="1" applyProtection="1">
      <alignment horizontal="center" vertical="center" shrinkToFit="1"/>
      <protection hidden="1"/>
    </xf>
    <xf numFmtId="179" fontId="260" fillId="51" borderId="181" xfId="7" applyNumberFormat="1" applyFont="1" applyFill="1" applyBorder="1" applyAlignment="1" applyProtection="1">
      <alignment horizontal="center" vertical="center" shrinkToFit="1"/>
      <protection hidden="1"/>
    </xf>
    <xf numFmtId="192" fontId="260" fillId="51" borderId="112" xfId="7" applyNumberFormat="1" applyFont="1" applyFill="1" applyBorder="1" applyAlignment="1" applyProtection="1">
      <alignment horizontal="center" vertical="center" shrinkToFit="1"/>
      <protection hidden="1"/>
    </xf>
    <xf numFmtId="192" fontId="260" fillId="51" borderId="111" xfId="7" applyNumberFormat="1" applyFont="1" applyFill="1" applyBorder="1" applyAlignment="1" applyProtection="1">
      <alignment horizontal="center" vertical="center" shrinkToFit="1"/>
      <protection hidden="1"/>
    </xf>
    <xf numFmtId="192" fontId="260" fillId="51" borderId="150" xfId="7" applyNumberFormat="1" applyFont="1" applyFill="1" applyBorder="1" applyAlignment="1" applyProtection="1">
      <alignment horizontal="center" vertical="center" shrinkToFit="1"/>
      <protection hidden="1"/>
    </xf>
    <xf numFmtId="192" fontId="260" fillId="51" borderId="148" xfId="7" applyNumberFormat="1" applyFont="1" applyFill="1" applyBorder="1" applyAlignment="1" applyProtection="1">
      <alignment horizontal="center" vertical="center" shrinkToFit="1"/>
      <protection hidden="1"/>
    </xf>
    <xf numFmtId="192" fontId="260" fillId="51" borderId="181" xfId="7" applyNumberFormat="1" applyFont="1" applyFill="1" applyBorder="1" applyAlignment="1" applyProtection="1">
      <alignment horizontal="center" vertical="center" shrinkToFit="1"/>
      <protection hidden="1"/>
    </xf>
    <xf numFmtId="179" fontId="260" fillId="51" borderId="639" xfId="7" applyNumberFormat="1" applyFont="1" applyFill="1" applyBorder="1" applyAlignment="1" applyProtection="1">
      <alignment horizontal="center" vertical="center" shrinkToFit="1"/>
      <protection hidden="1"/>
    </xf>
    <xf numFmtId="179" fontId="260" fillId="51" borderId="222" xfId="7" applyNumberFormat="1" applyFont="1" applyFill="1" applyBorder="1" applyAlignment="1" applyProtection="1">
      <alignment horizontal="center" vertical="center" shrinkToFit="1"/>
      <protection hidden="1"/>
    </xf>
    <xf numFmtId="192" fontId="260" fillId="51" borderId="145" xfId="7" applyNumberFormat="1" applyFont="1" applyFill="1" applyBorder="1" applyAlignment="1" applyProtection="1">
      <alignment horizontal="center" vertical="center" shrinkToFit="1"/>
      <protection hidden="1"/>
    </xf>
    <xf numFmtId="192" fontId="260" fillId="51" borderId="144" xfId="7" applyNumberFormat="1" applyFont="1" applyFill="1" applyBorder="1" applyAlignment="1" applyProtection="1">
      <alignment horizontal="center" vertical="center" shrinkToFit="1"/>
      <protection hidden="1"/>
    </xf>
    <xf numFmtId="192" fontId="260" fillId="51" borderId="147" xfId="7" applyNumberFormat="1" applyFont="1" applyFill="1" applyBorder="1" applyAlignment="1" applyProtection="1">
      <alignment horizontal="center" vertical="center" shrinkToFit="1"/>
      <protection hidden="1"/>
    </xf>
    <xf numFmtId="192" fontId="260" fillId="51" borderId="640" xfId="7" applyNumberFormat="1" applyFont="1" applyFill="1" applyBorder="1" applyAlignment="1" applyProtection="1">
      <alignment horizontal="center" vertical="center" shrinkToFit="1"/>
      <protection hidden="1"/>
    </xf>
    <xf numFmtId="192" fontId="260" fillId="51" borderId="142" xfId="7" applyNumberFormat="1" applyFont="1" applyFill="1" applyBorder="1" applyAlignment="1" applyProtection="1">
      <alignment horizontal="center" vertical="center" shrinkToFit="1"/>
      <protection hidden="1"/>
    </xf>
    <xf numFmtId="192" fontId="260" fillId="51" borderId="245" xfId="7" applyNumberFormat="1" applyFont="1" applyFill="1" applyBorder="1" applyAlignment="1" applyProtection="1">
      <alignment horizontal="center" vertical="center" shrinkToFit="1"/>
      <protection hidden="1"/>
    </xf>
    <xf numFmtId="192" fontId="260" fillId="51" borderId="246" xfId="7" applyNumberFormat="1" applyFont="1" applyFill="1" applyBorder="1" applyAlignment="1" applyProtection="1">
      <alignment horizontal="center" vertical="center" shrinkToFit="1"/>
      <protection hidden="1"/>
    </xf>
    <xf numFmtId="192" fontId="260" fillId="51" borderId="639" xfId="7" applyNumberFormat="1" applyFont="1" applyFill="1" applyBorder="1" applyAlignment="1" applyProtection="1">
      <alignment horizontal="center" vertical="center" shrinkToFit="1"/>
      <protection hidden="1"/>
    </xf>
    <xf numFmtId="192" fontId="260" fillId="51" borderId="222" xfId="7" applyNumberFormat="1" applyFont="1" applyFill="1" applyBorder="1" applyAlignment="1" applyProtection="1">
      <alignment horizontal="center" vertical="center" shrinkToFit="1"/>
      <protection hidden="1"/>
    </xf>
    <xf numFmtId="0" fontId="612" fillId="8" borderId="49" xfId="1" applyFont="1" applyFill="1" applyBorder="1" applyAlignment="1" applyProtection="1">
      <alignment horizontal="center" vertical="center"/>
      <protection hidden="1"/>
    </xf>
    <xf numFmtId="0" fontId="615" fillId="0" borderId="49" xfId="1" applyFont="1" applyBorder="1" applyAlignment="1">
      <alignment horizontal="center" vertical="center"/>
    </xf>
    <xf numFmtId="0" fontId="614" fillId="0" borderId="49" xfId="1" applyFont="1" applyBorder="1" applyAlignment="1">
      <alignment horizontal="center" vertical="center"/>
    </xf>
    <xf numFmtId="0" fontId="8" fillId="0" borderId="109" xfId="0" applyFont="1" applyFill="1" applyBorder="1" applyAlignment="1" applyProtection="1">
      <alignment horizontal="center" vertical="center"/>
      <protection hidden="1"/>
    </xf>
    <xf numFmtId="0" fontId="2" fillId="15" borderId="2" xfId="0" applyFont="1" applyFill="1" applyBorder="1" applyAlignment="1" applyProtection="1">
      <alignment horizontal="center" vertical="center"/>
      <protection hidden="1"/>
    </xf>
    <xf numFmtId="182" fontId="9" fillId="16" borderId="111" xfId="0" applyNumberFormat="1" applyFont="1" applyFill="1" applyBorder="1" applyAlignment="1" applyProtection="1">
      <alignment horizontal="right" vertical="center" shrinkToFit="1"/>
      <protection hidden="1"/>
    </xf>
    <xf numFmtId="182" fontId="9" fillId="16" borderId="114" xfId="0" applyNumberFormat="1" applyFont="1" applyFill="1" applyBorder="1" applyAlignment="1" applyProtection="1">
      <alignment horizontal="right" vertical="center" shrinkToFit="1"/>
      <protection hidden="1"/>
    </xf>
    <xf numFmtId="182" fontId="9" fillId="16" borderId="111" xfId="0" applyNumberFormat="1" applyFont="1" applyFill="1" applyBorder="1" applyAlignment="1" applyProtection="1">
      <alignment horizontal="right" vertical="center"/>
      <protection hidden="1"/>
    </xf>
    <xf numFmtId="182" fontId="9" fillId="16" borderId="114" xfId="0" applyNumberFormat="1" applyFont="1" applyFill="1" applyBorder="1" applyAlignment="1" applyProtection="1">
      <alignment horizontal="right" vertical="center"/>
      <protection hidden="1"/>
    </xf>
    <xf numFmtId="182" fontId="9" fillId="16" borderId="112" xfId="0" applyNumberFormat="1" applyFont="1" applyFill="1" applyBorder="1" applyAlignment="1" applyProtection="1">
      <alignment horizontal="right" vertical="center"/>
      <protection hidden="1"/>
    </xf>
    <xf numFmtId="184" fontId="9" fillId="16" borderId="111" xfId="0" applyNumberFormat="1" applyFont="1" applyFill="1" applyBorder="1" applyAlignment="1" applyProtection="1">
      <alignment horizontal="center" vertical="center" shrinkToFit="1"/>
      <protection hidden="1"/>
    </xf>
    <xf numFmtId="184" fontId="9" fillId="16" borderId="114" xfId="0" applyNumberFormat="1" applyFont="1" applyFill="1" applyBorder="1" applyAlignment="1" applyProtection="1">
      <alignment horizontal="center" vertical="center" shrinkToFit="1"/>
      <protection hidden="1"/>
    </xf>
    <xf numFmtId="184" fontId="9" fillId="16" borderId="112" xfId="0" applyNumberFormat="1" applyFont="1" applyFill="1" applyBorder="1" applyAlignment="1" applyProtection="1">
      <alignment horizontal="center" vertical="center" shrinkToFit="1"/>
      <protection hidden="1"/>
    </xf>
    <xf numFmtId="0" fontId="9" fillId="16" borderId="113" xfId="0" applyFont="1" applyFill="1" applyBorder="1" applyAlignment="1" applyProtection="1">
      <alignment horizontal="right" vertical="center" shrinkToFit="1"/>
      <protection hidden="1"/>
    </xf>
    <xf numFmtId="0" fontId="9" fillId="16" borderId="117" xfId="0" applyFont="1" applyFill="1" applyBorder="1" applyAlignment="1" applyProtection="1">
      <alignment horizontal="right" vertical="center" shrinkToFit="1"/>
      <protection hidden="1"/>
    </xf>
    <xf numFmtId="0" fontId="9" fillId="16" borderId="5" xfId="0" applyFont="1" applyFill="1" applyBorder="1" applyAlignment="1" applyProtection="1">
      <alignment horizontal="right" vertical="center" shrinkToFit="1"/>
      <protection hidden="1"/>
    </xf>
    <xf numFmtId="182" fontId="9" fillId="16" borderId="113" xfId="0" applyNumberFormat="1" applyFont="1" applyFill="1" applyBorder="1" applyAlignment="1" applyProtection="1">
      <alignment horizontal="right" vertical="center" shrinkToFit="1"/>
      <protection hidden="1"/>
    </xf>
    <xf numFmtId="182" fontId="9" fillId="16" borderId="117" xfId="0" applyNumberFormat="1" applyFont="1" applyFill="1" applyBorder="1" applyAlignment="1" applyProtection="1">
      <alignment horizontal="right" vertical="center" shrinkToFit="1"/>
      <protection hidden="1"/>
    </xf>
    <xf numFmtId="182" fontId="9" fillId="16" borderId="5" xfId="0" applyNumberFormat="1" applyFont="1" applyFill="1" applyBorder="1" applyAlignment="1" applyProtection="1">
      <alignment horizontal="right" vertical="center" shrinkToFit="1"/>
      <protection hidden="1"/>
    </xf>
    <xf numFmtId="0" fontId="9" fillId="16" borderId="109" xfId="0" applyFont="1" applyFill="1" applyBorder="1" applyAlignment="1" applyProtection="1">
      <alignment horizontal="center" vertical="center"/>
      <protection hidden="1"/>
    </xf>
    <xf numFmtId="187" fontId="9" fillId="16" borderId="113" xfId="0" applyNumberFormat="1" applyFont="1" applyFill="1" applyBorder="1" applyAlignment="1" applyProtection="1">
      <alignment horizontal="right" vertical="center" shrinkToFit="1"/>
      <protection hidden="1"/>
    </xf>
    <xf numFmtId="187" fontId="9" fillId="16" borderId="117" xfId="0" applyNumberFormat="1" applyFont="1" applyFill="1" applyBorder="1" applyAlignment="1" applyProtection="1">
      <alignment horizontal="right" vertical="center" shrinkToFit="1"/>
      <protection hidden="1"/>
    </xf>
    <xf numFmtId="187" fontId="9" fillId="16" borderId="5" xfId="0" applyNumberFormat="1" applyFont="1" applyFill="1" applyBorder="1" applyAlignment="1" applyProtection="1">
      <alignment horizontal="right" vertical="center" shrinkToFit="1"/>
      <protection hidden="1"/>
    </xf>
    <xf numFmtId="0" fontId="37" fillId="3" borderId="118" xfId="0" applyFont="1" applyFill="1" applyBorder="1" applyAlignment="1" applyProtection="1">
      <alignment horizontal="center" vertical="center" wrapText="1"/>
      <protection hidden="1"/>
    </xf>
    <xf numFmtId="0" fontId="37" fillId="3" borderId="116" xfId="0" applyFont="1" applyFill="1" applyBorder="1" applyAlignment="1" applyProtection="1">
      <alignment horizontal="center" vertical="center"/>
      <protection hidden="1"/>
    </xf>
    <xf numFmtId="0" fontId="37" fillId="3" borderId="119"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protection hidden="1"/>
    </xf>
    <xf numFmtId="0" fontId="37" fillId="3" borderId="0" xfId="0" applyFont="1" applyFill="1" applyBorder="1" applyAlignment="1" applyProtection="1">
      <alignment horizontal="center" vertical="center"/>
      <protection hidden="1"/>
    </xf>
    <xf numFmtId="0" fontId="37" fillId="3" borderId="2" xfId="0" applyFont="1" applyFill="1" applyBorder="1" applyAlignment="1" applyProtection="1">
      <alignment horizontal="center" vertical="center"/>
      <protection hidden="1"/>
    </xf>
    <xf numFmtId="0" fontId="33" fillId="15" borderId="203" xfId="0" applyFont="1" applyFill="1" applyBorder="1" applyAlignment="1" applyProtection="1">
      <alignment horizontal="center" vertical="center"/>
      <protection hidden="1"/>
    </xf>
    <xf numFmtId="0" fontId="33" fillId="15" borderId="0" xfId="0" applyFont="1" applyFill="1" applyBorder="1" applyAlignment="1" applyProtection="1">
      <alignment horizontal="center" vertical="center"/>
      <protection hidden="1"/>
    </xf>
    <xf numFmtId="0" fontId="33" fillId="15" borderId="109" xfId="0" applyFont="1" applyFill="1" applyBorder="1" applyAlignment="1" applyProtection="1">
      <alignment horizontal="center" vertical="center"/>
      <protection hidden="1"/>
    </xf>
    <xf numFmtId="182" fontId="9" fillId="16" borderId="231" xfId="0" applyNumberFormat="1" applyFont="1" applyFill="1" applyBorder="1" applyAlignment="1" applyProtection="1">
      <alignment horizontal="right" vertical="center"/>
      <protection hidden="1"/>
    </xf>
    <xf numFmtId="182" fontId="9" fillId="16" borderId="230" xfId="0" applyNumberFormat="1" applyFont="1" applyFill="1" applyBorder="1" applyAlignment="1" applyProtection="1">
      <alignment horizontal="right" vertical="center"/>
      <protection hidden="1"/>
    </xf>
    <xf numFmtId="182" fontId="9" fillId="16" borderId="229" xfId="0" applyNumberFormat="1" applyFont="1" applyFill="1" applyBorder="1" applyAlignment="1" applyProtection="1">
      <alignment horizontal="right" vertical="center"/>
      <protection hidden="1"/>
    </xf>
    <xf numFmtId="187" fontId="9" fillId="16" borderId="231" xfId="0" applyNumberFormat="1" applyFont="1" applyFill="1" applyBorder="1" applyAlignment="1" applyProtection="1">
      <alignment horizontal="right" vertical="center" shrinkToFit="1"/>
      <protection hidden="1"/>
    </xf>
    <xf numFmtId="187" fontId="9" fillId="16" borderId="230" xfId="0" applyNumberFormat="1" applyFont="1" applyFill="1" applyBorder="1" applyAlignment="1" applyProtection="1">
      <alignment horizontal="right" vertical="center" shrinkToFit="1"/>
      <protection hidden="1"/>
    </xf>
    <xf numFmtId="187" fontId="9" fillId="16" borderId="229" xfId="0" applyNumberFormat="1" applyFont="1" applyFill="1" applyBorder="1" applyAlignment="1" applyProtection="1">
      <alignment horizontal="right" vertical="center" shrinkToFit="1"/>
      <protection hidden="1"/>
    </xf>
    <xf numFmtId="182" fontId="9" fillId="16" borderId="113" xfId="0" applyNumberFormat="1" applyFont="1" applyFill="1" applyBorder="1" applyAlignment="1" applyProtection="1">
      <alignment horizontal="right" vertical="center"/>
      <protection hidden="1"/>
    </xf>
    <xf numFmtId="182" fontId="9" fillId="16" borderId="117" xfId="0" applyNumberFormat="1" applyFont="1" applyFill="1" applyBorder="1" applyAlignment="1" applyProtection="1">
      <alignment horizontal="right" vertical="center"/>
      <protection hidden="1"/>
    </xf>
    <xf numFmtId="182" fontId="9" fillId="16" borderId="5" xfId="0" applyNumberFormat="1" applyFont="1" applyFill="1" applyBorder="1" applyAlignment="1" applyProtection="1">
      <alignment horizontal="right" vertical="center"/>
      <protection hidden="1"/>
    </xf>
    <xf numFmtId="0" fontId="9" fillId="16" borderId="231" xfId="0" applyFont="1" applyFill="1" applyBorder="1" applyAlignment="1" applyProtection="1">
      <alignment horizontal="right" vertical="center" shrinkToFit="1"/>
      <protection hidden="1"/>
    </xf>
    <xf numFmtId="0" fontId="9" fillId="16" borderId="230" xfId="0" applyFont="1" applyFill="1" applyBorder="1" applyAlignment="1" applyProtection="1">
      <alignment horizontal="right" vertical="center" shrinkToFit="1"/>
      <protection hidden="1"/>
    </xf>
    <xf numFmtId="0" fontId="9" fillId="16" borderId="229" xfId="0" applyFont="1" applyFill="1" applyBorder="1" applyAlignment="1" applyProtection="1">
      <alignment horizontal="right" vertical="center" shrinkToFit="1"/>
      <protection hidden="1"/>
    </xf>
    <xf numFmtId="182" fontId="9" fillId="16" borderId="231" xfId="0" applyNumberFormat="1" applyFont="1" applyFill="1" applyBorder="1" applyAlignment="1" applyProtection="1">
      <alignment horizontal="right" vertical="center" shrinkToFit="1"/>
      <protection hidden="1"/>
    </xf>
    <xf numFmtId="182" fontId="9" fillId="16" borderId="230" xfId="0" applyNumberFormat="1" applyFont="1" applyFill="1" applyBorder="1" applyAlignment="1" applyProtection="1">
      <alignment horizontal="right" vertical="center" shrinkToFit="1"/>
      <protection hidden="1"/>
    </xf>
    <xf numFmtId="182" fontId="9" fillId="16" borderId="229" xfId="0" applyNumberFormat="1" applyFont="1" applyFill="1" applyBorder="1" applyAlignment="1" applyProtection="1">
      <alignment horizontal="right" vertical="center" shrinkToFit="1"/>
      <protection hidden="1"/>
    </xf>
    <xf numFmtId="182" fontId="9" fillId="16" borderId="112" xfId="0" applyNumberFormat="1" applyFont="1" applyFill="1" applyBorder="1" applyAlignment="1" applyProtection="1">
      <alignment horizontal="right" vertical="center" shrinkToFit="1"/>
      <protection hidden="1"/>
    </xf>
    <xf numFmtId="0" fontId="9" fillId="16" borderId="111" xfId="0" applyFont="1" applyFill="1" applyBorder="1" applyAlignment="1" applyProtection="1">
      <alignment horizontal="right" vertical="center" shrinkToFit="1"/>
      <protection hidden="1"/>
    </xf>
    <xf numFmtId="0" fontId="9" fillId="16" borderId="114" xfId="0" applyFont="1" applyFill="1" applyBorder="1" applyAlignment="1" applyProtection="1">
      <alignment horizontal="right" vertical="center" shrinkToFit="1"/>
      <protection hidden="1"/>
    </xf>
    <xf numFmtId="0" fontId="9" fillId="16" borderId="112" xfId="0" applyFont="1" applyFill="1" applyBorder="1" applyAlignment="1" applyProtection="1">
      <alignment horizontal="right" vertical="center" shrinkToFit="1"/>
      <protection hidden="1"/>
    </xf>
    <xf numFmtId="182" fontId="9" fillId="6" borderId="139" xfId="0" applyNumberFormat="1" applyFont="1" applyFill="1" applyBorder="1" applyAlignment="1" applyProtection="1">
      <alignment horizontal="center" vertical="center"/>
      <protection hidden="1"/>
    </xf>
    <xf numFmtId="182" fontId="9" fillId="6" borderId="138" xfId="0" applyNumberFormat="1" applyFont="1" applyFill="1" applyBorder="1" applyAlignment="1" applyProtection="1">
      <alignment horizontal="center" vertical="center"/>
      <protection hidden="1"/>
    </xf>
    <xf numFmtId="182" fontId="9" fillId="16" borderId="137" xfId="0" applyNumberFormat="1" applyFont="1" applyFill="1" applyBorder="1" applyAlignment="1" applyProtection="1">
      <alignment horizontal="center" vertical="center"/>
      <protection hidden="1"/>
    </xf>
    <xf numFmtId="182" fontId="9" fillId="19" borderId="137" xfId="0" applyNumberFormat="1" applyFont="1" applyFill="1" applyBorder="1" applyAlignment="1" applyProtection="1">
      <alignment horizontal="center" vertical="center"/>
      <protection locked="0"/>
    </xf>
    <xf numFmtId="187" fontId="9" fillId="16" borderId="111" xfId="0" applyNumberFormat="1" applyFont="1" applyFill="1" applyBorder="1" applyAlignment="1" applyProtection="1">
      <alignment horizontal="right" vertical="center" shrinkToFit="1"/>
      <protection hidden="1"/>
    </xf>
    <xf numFmtId="187" fontId="9" fillId="16" borderId="114" xfId="0" applyNumberFormat="1" applyFont="1" applyFill="1" applyBorder="1" applyAlignment="1" applyProtection="1">
      <alignment horizontal="right" vertical="center" shrinkToFit="1"/>
      <protection hidden="1"/>
    </xf>
    <xf numFmtId="187" fontId="9" fillId="16" borderId="112" xfId="0" applyNumberFormat="1" applyFont="1" applyFill="1" applyBorder="1" applyAlignment="1" applyProtection="1">
      <alignment horizontal="right" vertical="center" shrinkToFit="1"/>
      <protection hidden="1"/>
    </xf>
    <xf numFmtId="182" fontId="9" fillId="16" borderId="109" xfId="0" applyNumberFormat="1" applyFont="1" applyFill="1" applyBorder="1" applyAlignment="1" applyProtection="1">
      <alignment horizontal="right" vertical="center"/>
      <protection hidden="1"/>
    </xf>
    <xf numFmtId="0" fontId="9" fillId="6" borderId="109" xfId="0" applyFont="1" applyFill="1" applyBorder="1" applyAlignment="1" applyProtection="1">
      <alignment horizontal="center" vertical="center"/>
      <protection hidden="1"/>
    </xf>
    <xf numFmtId="182" fontId="9" fillId="6" borderId="109" xfId="0" applyNumberFormat="1" applyFont="1" applyFill="1" applyBorder="1" applyAlignment="1" applyProtection="1">
      <alignment horizontal="center" vertical="center"/>
      <protection hidden="1"/>
    </xf>
    <xf numFmtId="197" fontId="30" fillId="13" borderId="109" xfId="0" applyNumberFormat="1" applyFont="1" applyFill="1" applyBorder="1" applyAlignment="1" applyProtection="1">
      <alignment horizontal="right" vertical="center" shrinkToFit="1"/>
      <protection locked="0"/>
    </xf>
    <xf numFmtId="0" fontId="9" fillId="16" borderId="109" xfId="0" applyFont="1" applyFill="1" applyBorder="1" applyAlignment="1" applyProtection="1">
      <alignment horizontal="right" vertical="center"/>
      <protection hidden="1"/>
    </xf>
    <xf numFmtId="182" fontId="9" fillId="13" borderId="111" xfId="0" applyNumberFormat="1" applyFont="1" applyFill="1" applyBorder="1" applyAlignment="1" applyProtection="1">
      <alignment horizontal="right" vertical="center"/>
      <protection locked="0"/>
    </xf>
    <xf numFmtId="182" fontId="9" fillId="13" borderId="114" xfId="0" applyNumberFormat="1" applyFont="1" applyFill="1" applyBorder="1" applyAlignment="1" applyProtection="1">
      <alignment horizontal="right" vertical="center"/>
      <protection locked="0"/>
    </xf>
    <xf numFmtId="182" fontId="9" fillId="13" borderId="112" xfId="0" applyNumberFormat="1" applyFont="1" applyFill="1" applyBorder="1" applyAlignment="1" applyProtection="1">
      <alignment horizontal="right" vertical="center"/>
      <protection locked="0"/>
    </xf>
    <xf numFmtId="0" fontId="108" fillId="11" borderId="292" xfId="1" applyFont="1" applyFill="1" applyBorder="1" applyAlignment="1" applyProtection="1">
      <alignment horizontal="center" vertical="center"/>
      <protection hidden="1"/>
    </xf>
    <xf numFmtId="0" fontId="108" fillId="11" borderId="291" xfId="1" applyFont="1" applyFill="1" applyBorder="1" applyAlignment="1" applyProtection="1">
      <alignment horizontal="center" vertical="center"/>
      <protection hidden="1"/>
    </xf>
    <xf numFmtId="0" fontId="108" fillId="11" borderId="290" xfId="1" applyFont="1" applyFill="1" applyBorder="1" applyAlignment="1" applyProtection="1">
      <alignment horizontal="center" vertical="center"/>
      <protection hidden="1"/>
    </xf>
    <xf numFmtId="182" fontId="9" fillId="6" borderId="111" xfId="0" applyNumberFormat="1" applyFont="1" applyFill="1" applyBorder="1" applyAlignment="1" applyProtection="1">
      <alignment horizontal="center" vertical="center"/>
      <protection hidden="1"/>
    </xf>
    <xf numFmtId="182" fontId="9" fillId="6" borderId="114" xfId="0" applyNumberFormat="1" applyFont="1" applyFill="1" applyBorder="1" applyAlignment="1" applyProtection="1">
      <alignment horizontal="center" vertical="center"/>
      <protection hidden="1"/>
    </xf>
    <xf numFmtId="182" fontId="9" fillId="6" borderId="112" xfId="0" applyNumberFormat="1" applyFont="1" applyFill="1" applyBorder="1" applyAlignment="1" applyProtection="1">
      <alignment horizontal="center" vertical="center"/>
      <protection hidden="1"/>
    </xf>
    <xf numFmtId="0" fontId="9" fillId="6" borderId="109" xfId="0" applyFont="1" applyFill="1" applyBorder="1" applyAlignment="1" applyProtection="1">
      <alignment horizontal="left" vertical="center"/>
      <protection hidden="1"/>
    </xf>
    <xf numFmtId="0" fontId="29" fillId="6" borderId="313" xfId="0" quotePrefix="1" applyFont="1" applyFill="1" applyBorder="1" applyAlignment="1" applyProtection="1">
      <alignment horizontal="center" vertical="center"/>
      <protection hidden="1"/>
    </xf>
    <xf numFmtId="0" fontId="29" fillId="6" borderId="312" xfId="0" quotePrefix="1" applyFont="1" applyFill="1" applyBorder="1" applyAlignment="1" applyProtection="1">
      <alignment horizontal="center" vertical="center"/>
      <protection hidden="1"/>
    </xf>
    <xf numFmtId="0" fontId="29" fillId="6" borderId="311" xfId="0" quotePrefix="1" applyFont="1" applyFill="1" applyBorder="1" applyAlignment="1" applyProtection="1">
      <alignment horizontal="center" vertical="center"/>
      <protection hidden="1"/>
    </xf>
    <xf numFmtId="0" fontId="9" fillId="16" borderId="316" xfId="0" applyFont="1" applyFill="1" applyBorder="1" applyAlignment="1" applyProtection="1">
      <alignment horizontal="center" vertical="center" shrinkToFit="1"/>
      <protection hidden="1"/>
    </xf>
    <xf numFmtId="0" fontId="9" fillId="16" borderId="308" xfId="0" applyFont="1" applyFill="1" applyBorder="1" applyAlignment="1" applyProtection="1">
      <alignment horizontal="center" vertical="center" shrinkToFit="1"/>
      <protection hidden="1"/>
    </xf>
    <xf numFmtId="0" fontId="9" fillId="3" borderId="314" xfId="0" applyFont="1" applyFill="1" applyBorder="1" applyAlignment="1" applyProtection="1">
      <alignment horizontal="center" vertical="center" shrinkToFit="1"/>
      <protection hidden="1"/>
    </xf>
    <xf numFmtId="0" fontId="9" fillId="16" borderId="195" xfId="0" applyFont="1" applyFill="1" applyBorder="1" applyAlignment="1" applyProtection="1">
      <alignment horizontal="right" vertical="center" shrinkToFit="1"/>
      <protection hidden="1"/>
    </xf>
    <xf numFmtId="0" fontId="9" fillId="16" borderId="7" xfId="0" applyFont="1" applyFill="1" applyBorder="1" applyAlignment="1" applyProtection="1">
      <alignment horizontal="right" vertical="center" shrinkToFit="1"/>
      <protection hidden="1"/>
    </xf>
    <xf numFmtId="176" fontId="9" fillId="16" borderId="7" xfId="0" applyNumberFormat="1" applyFont="1" applyFill="1" applyBorder="1" applyAlignment="1" applyProtection="1">
      <alignment horizontal="center" vertical="center" shrinkToFit="1"/>
      <protection hidden="1"/>
    </xf>
    <xf numFmtId="182" fontId="9" fillId="10" borderId="310" xfId="0" applyNumberFormat="1" applyFont="1" applyFill="1" applyBorder="1" applyAlignment="1" applyProtection="1">
      <alignment horizontal="center" vertical="center" shrinkToFit="1"/>
      <protection locked="0"/>
    </xf>
    <xf numFmtId="182" fontId="9" fillId="10" borderId="309" xfId="0" applyNumberFormat="1" applyFont="1" applyFill="1" applyBorder="1" applyAlignment="1" applyProtection="1">
      <alignment horizontal="center" vertical="center" shrinkToFit="1"/>
      <protection locked="0"/>
    </xf>
    <xf numFmtId="182" fontId="9" fillId="10" borderId="308" xfId="0" applyNumberFormat="1" applyFont="1" applyFill="1" applyBorder="1" applyAlignment="1" applyProtection="1">
      <alignment horizontal="center" vertical="center" shrinkToFit="1"/>
      <protection locked="0"/>
    </xf>
    <xf numFmtId="0" fontId="9" fillId="13" borderId="296" xfId="0" applyFont="1" applyFill="1" applyBorder="1" applyAlignment="1" applyProtection="1">
      <alignment horizontal="center" vertical="center"/>
      <protection locked="0"/>
    </xf>
    <xf numFmtId="0" fontId="9" fillId="6" borderId="310" xfId="0" applyFont="1" applyFill="1" applyBorder="1" applyAlignment="1" applyProtection="1">
      <alignment horizontal="center" vertical="center" shrinkToFit="1"/>
      <protection hidden="1"/>
    </xf>
    <xf numFmtId="0" fontId="9" fillId="6" borderId="309" xfId="0" applyFont="1" applyFill="1" applyBorder="1" applyAlignment="1" applyProtection="1">
      <alignment horizontal="center" vertical="center" shrinkToFit="1"/>
      <protection hidden="1"/>
    </xf>
    <xf numFmtId="0" fontId="9" fillId="6" borderId="315" xfId="0" applyFont="1" applyFill="1" applyBorder="1" applyAlignment="1" applyProtection="1">
      <alignment horizontal="center" vertical="center" shrinkToFit="1"/>
      <protection hidden="1"/>
    </xf>
    <xf numFmtId="0" fontId="9" fillId="16" borderId="302" xfId="0" applyFont="1" applyFill="1" applyBorder="1" applyAlignment="1" applyProtection="1">
      <alignment horizontal="right" vertical="center" shrinkToFit="1"/>
      <protection hidden="1"/>
    </xf>
    <xf numFmtId="0" fontId="9" fillId="16" borderId="301" xfId="0" applyFont="1" applyFill="1" applyBorder="1" applyAlignment="1" applyProtection="1">
      <alignment horizontal="right" vertical="center" shrinkToFit="1"/>
      <protection hidden="1"/>
    </xf>
    <xf numFmtId="0" fontId="9" fillId="16" borderId="300" xfId="0" applyFont="1" applyFill="1" applyBorder="1" applyAlignment="1" applyProtection="1">
      <alignment horizontal="right" vertical="center" shrinkToFit="1"/>
      <protection hidden="1"/>
    </xf>
    <xf numFmtId="176" fontId="9" fillId="16" borderId="302" xfId="0" applyNumberFormat="1" applyFont="1" applyFill="1" applyBorder="1" applyAlignment="1" applyProtection="1">
      <alignment horizontal="center" vertical="center" shrinkToFit="1"/>
      <protection hidden="1"/>
    </xf>
    <xf numFmtId="176" fontId="9" fillId="16" borderId="301" xfId="0" applyNumberFormat="1" applyFont="1" applyFill="1" applyBorder="1" applyAlignment="1" applyProtection="1">
      <alignment horizontal="center" vertical="center" shrinkToFit="1"/>
      <protection hidden="1"/>
    </xf>
    <xf numFmtId="176" fontId="9" fillId="16" borderId="300" xfId="0" applyNumberFormat="1" applyFont="1" applyFill="1" applyBorder="1" applyAlignment="1" applyProtection="1">
      <alignment horizontal="center" vertical="center" shrinkToFit="1"/>
      <protection hidden="1"/>
    </xf>
    <xf numFmtId="179" fontId="9" fillId="16" borderId="198" xfId="0" applyNumberFormat="1" applyFont="1" applyFill="1" applyBorder="1" applyAlignment="1" applyProtection="1">
      <alignment horizontal="center" vertical="center" shrinkToFit="1"/>
      <protection hidden="1"/>
    </xf>
    <xf numFmtId="179" fontId="9" fillId="16" borderId="157" xfId="0" applyNumberFormat="1" applyFont="1" applyFill="1" applyBorder="1" applyAlignment="1" applyProtection="1">
      <alignment horizontal="center" vertical="center" shrinkToFit="1"/>
      <protection hidden="1"/>
    </xf>
    <xf numFmtId="0" fontId="9" fillId="6" borderId="195" xfId="0" applyFont="1" applyFill="1" applyBorder="1" applyAlignment="1" applyProtection="1">
      <alignment horizontal="center" vertical="center" shrinkToFit="1"/>
      <protection hidden="1"/>
    </xf>
    <xf numFmtId="0" fontId="29" fillId="6" borderId="155" xfId="0" applyFont="1" applyFill="1" applyBorder="1" applyAlignment="1" applyProtection="1">
      <alignment horizontal="center" vertical="center" shrinkToFit="1"/>
      <protection hidden="1"/>
    </xf>
    <xf numFmtId="0" fontId="29" fillId="6" borderId="160" xfId="0" applyFont="1" applyFill="1" applyBorder="1" applyAlignment="1" applyProtection="1">
      <alignment horizontal="center" vertical="center" shrinkToFit="1"/>
      <protection hidden="1"/>
    </xf>
    <xf numFmtId="0" fontId="29" fillId="6" borderId="162" xfId="0" applyFont="1" applyFill="1" applyBorder="1" applyAlignment="1" applyProtection="1">
      <alignment horizontal="center" vertical="center" shrinkToFit="1"/>
      <protection hidden="1"/>
    </xf>
    <xf numFmtId="0" fontId="9" fillId="13" borderId="7" xfId="0" applyFont="1" applyFill="1" applyBorder="1" applyAlignment="1" applyProtection="1">
      <alignment horizontal="center" vertical="center" shrinkToFit="1"/>
      <protection locked="0"/>
    </xf>
    <xf numFmtId="176" fontId="9" fillId="16" borderId="195" xfId="0" applyNumberFormat="1" applyFont="1" applyFill="1" applyBorder="1" applyAlignment="1" applyProtection="1">
      <alignment horizontal="center" vertical="center" shrinkToFit="1"/>
      <protection hidden="1"/>
    </xf>
    <xf numFmtId="0" fontId="9" fillId="13" borderId="195" xfId="0" applyFont="1" applyFill="1" applyBorder="1" applyAlignment="1" applyProtection="1">
      <alignment horizontal="center" vertical="center"/>
      <protection locked="0"/>
    </xf>
    <xf numFmtId="0" fontId="9" fillId="16" borderId="155" xfId="0" applyFont="1" applyFill="1" applyBorder="1" applyAlignment="1" applyProtection="1">
      <alignment horizontal="right" vertical="center" shrinkToFit="1"/>
      <protection locked="0"/>
    </xf>
    <xf numFmtId="0" fontId="9" fillId="16" borderId="160" xfId="0" applyFont="1" applyFill="1" applyBorder="1" applyAlignment="1" applyProtection="1">
      <alignment horizontal="right" vertical="center" shrinkToFit="1"/>
      <protection locked="0"/>
    </xf>
    <xf numFmtId="0" fontId="9" fillId="16" borderId="162" xfId="0" applyFont="1" applyFill="1" applyBorder="1" applyAlignment="1" applyProtection="1">
      <alignment horizontal="right" vertical="center" shrinkToFit="1"/>
      <protection locked="0"/>
    </xf>
    <xf numFmtId="0" fontId="9" fillId="16" borderId="155" xfId="0" applyFont="1" applyFill="1" applyBorder="1" applyAlignment="1" applyProtection="1">
      <alignment horizontal="right" vertical="center" shrinkToFit="1"/>
      <protection hidden="1"/>
    </xf>
    <xf numFmtId="0" fontId="9" fillId="16" borderId="160" xfId="0" applyFont="1" applyFill="1" applyBorder="1" applyAlignment="1" applyProtection="1">
      <alignment horizontal="right" vertical="center" shrinkToFit="1"/>
      <protection hidden="1"/>
    </xf>
    <xf numFmtId="0" fontId="9" fillId="16" borderId="162" xfId="0" applyFont="1" applyFill="1" applyBorder="1" applyAlignment="1" applyProtection="1">
      <alignment horizontal="right" vertical="center" shrinkToFit="1"/>
      <protection hidden="1"/>
    </xf>
    <xf numFmtId="176" fontId="9" fillId="16" borderId="195" xfId="0" applyNumberFormat="1" applyFont="1" applyFill="1" applyBorder="1" applyAlignment="1" applyProtection="1">
      <alignment horizontal="right" vertical="center" shrinkToFit="1"/>
      <protection hidden="1"/>
    </xf>
    <xf numFmtId="0" fontId="9" fillId="19" borderId="155" xfId="0" applyFont="1" applyFill="1" applyBorder="1" applyAlignment="1" applyProtection="1">
      <alignment horizontal="center" vertical="center" shrinkToFit="1"/>
      <protection locked="0"/>
    </xf>
    <xf numFmtId="0" fontId="9" fillId="19" borderId="160" xfId="0" applyFont="1" applyFill="1" applyBorder="1" applyAlignment="1" applyProtection="1">
      <alignment horizontal="center" vertical="center" shrinkToFit="1"/>
      <protection locked="0"/>
    </xf>
    <xf numFmtId="0" fontId="9" fillId="19" borderId="162" xfId="0" applyFont="1" applyFill="1" applyBorder="1" applyAlignment="1" applyProtection="1">
      <alignment horizontal="center" vertical="center" shrinkToFit="1"/>
      <protection locked="0"/>
    </xf>
    <xf numFmtId="0" fontId="29" fillId="6" borderId="44" xfId="0" applyFont="1" applyFill="1" applyBorder="1" applyAlignment="1" applyProtection="1">
      <alignment horizontal="center" vertical="center" shrinkToFit="1"/>
      <protection hidden="1"/>
    </xf>
    <xf numFmtId="0" fontId="29" fillId="6" borderId="45" xfId="0" applyFont="1" applyFill="1" applyBorder="1" applyAlignment="1" applyProtection="1">
      <alignment horizontal="center" vertical="center" shrinkToFit="1"/>
      <protection hidden="1"/>
    </xf>
    <xf numFmtId="0" fontId="29" fillId="6" borderId="261" xfId="0" applyFont="1" applyFill="1" applyBorder="1" applyAlignment="1" applyProtection="1">
      <alignment horizontal="center" vertical="center" shrinkToFit="1"/>
      <protection hidden="1"/>
    </xf>
    <xf numFmtId="176" fontId="9" fillId="16" borderId="304" xfId="0" applyNumberFormat="1" applyFont="1" applyFill="1" applyBorder="1" applyAlignment="1" applyProtection="1">
      <alignment horizontal="right" vertical="center" shrinkToFit="1"/>
      <protection hidden="1"/>
    </xf>
    <xf numFmtId="176" fontId="9" fillId="16" borderId="303" xfId="0" applyNumberFormat="1" applyFont="1" applyFill="1" applyBorder="1" applyAlignment="1" applyProtection="1">
      <alignment horizontal="right" vertical="center" shrinkToFit="1"/>
      <protection hidden="1"/>
    </xf>
    <xf numFmtId="176" fontId="9" fillId="16" borderId="247" xfId="0" applyNumberFormat="1" applyFont="1" applyFill="1" applyBorder="1" applyAlignment="1" applyProtection="1">
      <alignment horizontal="right" vertical="center" shrinkToFit="1"/>
      <protection hidden="1"/>
    </xf>
    <xf numFmtId="176" fontId="9" fillId="13" borderId="111" xfId="0" applyNumberFormat="1" applyFont="1" applyFill="1" applyBorder="1" applyAlignment="1" applyProtection="1">
      <alignment horizontal="center" vertical="center" shrinkToFit="1"/>
      <protection locked="0"/>
    </xf>
    <xf numFmtId="176" fontId="9" fillId="13" borderId="114" xfId="0" applyNumberFormat="1" applyFont="1" applyFill="1" applyBorder="1" applyAlignment="1" applyProtection="1">
      <alignment horizontal="center" vertical="center" shrinkToFit="1"/>
      <protection locked="0"/>
    </xf>
    <xf numFmtId="176" fontId="9" fillId="13" borderId="112" xfId="0" applyNumberFormat="1" applyFont="1" applyFill="1" applyBorder="1" applyAlignment="1" applyProtection="1">
      <alignment horizontal="center" vertical="center" shrinkToFit="1"/>
      <protection locked="0"/>
    </xf>
    <xf numFmtId="0" fontId="2" fillId="15" borderId="118" xfId="0" applyFont="1" applyFill="1" applyBorder="1" applyAlignment="1" applyProtection="1">
      <alignment horizontal="center" vertical="center"/>
      <protection hidden="1"/>
    </xf>
    <xf numFmtId="0" fontId="2" fillId="15" borderId="1" xfId="0" applyFont="1" applyFill="1" applyBorder="1" applyAlignment="1" applyProtection="1">
      <alignment horizontal="center" vertical="center"/>
      <protection hidden="1"/>
    </xf>
    <xf numFmtId="0" fontId="9" fillId="6" borderId="111" xfId="0" applyFont="1" applyFill="1" applyBorder="1" applyAlignment="1" applyProtection="1">
      <alignment horizontal="center" vertical="center"/>
      <protection hidden="1"/>
    </xf>
    <xf numFmtId="0" fontId="9" fillId="6" borderId="114" xfId="0" applyFont="1" applyFill="1" applyBorder="1" applyAlignment="1" applyProtection="1">
      <alignment horizontal="center" vertical="center"/>
      <protection hidden="1"/>
    </xf>
    <xf numFmtId="0" fontId="9" fillId="6" borderId="112" xfId="0" applyFont="1" applyFill="1" applyBorder="1" applyAlignment="1" applyProtection="1">
      <alignment horizontal="center" vertical="center"/>
      <protection hidden="1"/>
    </xf>
    <xf numFmtId="176" fontId="9" fillId="16" borderId="307" xfId="0" applyNumberFormat="1" applyFont="1" applyFill="1" applyBorder="1" applyAlignment="1" applyProtection="1">
      <alignment horizontal="right" vertical="center" shrinkToFit="1"/>
      <protection hidden="1"/>
    </xf>
    <xf numFmtId="176" fontId="9" fillId="16" borderId="306" xfId="0" applyNumberFormat="1" applyFont="1" applyFill="1" applyBorder="1" applyAlignment="1" applyProtection="1">
      <alignment horizontal="right" vertical="center" shrinkToFit="1"/>
      <protection hidden="1"/>
    </xf>
    <xf numFmtId="176" fontId="9" fillId="16" borderId="305" xfId="0" applyNumberFormat="1" applyFont="1" applyFill="1" applyBorder="1" applyAlignment="1" applyProtection="1">
      <alignment horizontal="right" vertical="center" shrinkToFit="1"/>
      <protection hidden="1"/>
    </xf>
    <xf numFmtId="0" fontId="9" fillId="16" borderId="296" xfId="0" applyFont="1" applyFill="1" applyBorder="1" applyAlignment="1" applyProtection="1">
      <alignment horizontal="center" vertical="center" shrinkToFit="1"/>
      <protection hidden="1"/>
    </xf>
    <xf numFmtId="176" fontId="9" fillId="16" borderId="296" xfId="0" quotePrefix="1" applyNumberFormat="1" applyFont="1" applyFill="1" applyBorder="1" applyAlignment="1" applyProtection="1">
      <alignment horizontal="right" vertical="center" shrinkToFit="1"/>
      <protection hidden="1"/>
    </xf>
    <xf numFmtId="176" fontId="9" fillId="16" borderId="296" xfId="0" applyNumberFormat="1" applyFont="1" applyFill="1" applyBorder="1" applyAlignment="1" applyProtection="1">
      <alignment horizontal="right" vertical="center" shrinkToFit="1"/>
      <protection hidden="1"/>
    </xf>
    <xf numFmtId="0" fontId="8" fillId="0" borderId="109" xfId="0" applyFont="1" applyFill="1" applyBorder="1" applyAlignment="1" applyProtection="1">
      <alignment horizontal="center" vertical="center"/>
      <protection hidden="1"/>
    </xf>
    <xf numFmtId="0" fontId="9" fillId="16" borderId="195" xfId="0" applyFont="1" applyFill="1" applyBorder="1" applyAlignment="1" applyProtection="1">
      <alignment horizontal="center" vertical="center" shrinkToFit="1"/>
      <protection hidden="1"/>
    </xf>
    <xf numFmtId="0" fontId="9" fillId="19" borderId="195" xfId="0" applyFont="1" applyFill="1" applyBorder="1" applyAlignment="1" applyProtection="1">
      <alignment horizontal="center" vertical="center" shrinkToFit="1"/>
      <protection locked="0"/>
    </xf>
    <xf numFmtId="0" fontId="9" fillId="13" borderId="195" xfId="0" applyFont="1" applyFill="1" applyBorder="1" applyAlignment="1" applyProtection="1">
      <alignment horizontal="center" vertical="center" shrinkToFit="1"/>
      <protection locked="0"/>
    </xf>
    <xf numFmtId="0" fontId="9" fillId="16" borderId="307" xfId="0" applyFont="1" applyFill="1" applyBorder="1" applyAlignment="1" applyProtection="1">
      <alignment horizontal="right" vertical="center" shrinkToFit="1"/>
      <protection hidden="1"/>
    </xf>
    <xf numFmtId="0" fontId="9" fillId="16" borderId="306" xfId="0" applyFont="1" applyFill="1" applyBorder="1" applyAlignment="1" applyProtection="1">
      <alignment horizontal="right" vertical="center" shrinkToFit="1"/>
      <protection hidden="1"/>
    </xf>
    <xf numFmtId="0" fontId="9" fillId="16" borderId="305" xfId="0" applyFont="1" applyFill="1" applyBorder="1" applyAlignment="1" applyProtection="1">
      <alignment horizontal="right" vertical="center" shrinkToFit="1"/>
      <protection hidden="1"/>
    </xf>
    <xf numFmtId="0" fontId="9" fillId="16" borderId="307" xfId="0" applyFont="1" applyFill="1" applyBorder="1" applyAlignment="1" applyProtection="1">
      <alignment horizontal="right" vertical="center"/>
      <protection hidden="1"/>
    </xf>
    <xf numFmtId="0" fontId="9" fillId="16" borderId="306" xfId="0" applyFont="1" applyFill="1" applyBorder="1" applyAlignment="1" applyProtection="1">
      <alignment horizontal="right" vertical="center"/>
      <protection hidden="1"/>
    </xf>
    <xf numFmtId="0" fontId="9" fillId="16" borderId="305" xfId="0" applyFont="1" applyFill="1" applyBorder="1" applyAlignment="1" applyProtection="1">
      <alignment horizontal="right" vertical="center"/>
      <protection hidden="1"/>
    </xf>
    <xf numFmtId="0" fontId="9" fillId="16" borderId="195" xfId="0" applyFont="1" applyFill="1" applyBorder="1" applyAlignment="1" applyProtection="1">
      <alignment horizontal="center" vertical="center"/>
      <protection hidden="1"/>
    </xf>
    <xf numFmtId="0" fontId="9" fillId="16" borderId="155" xfId="0" quotePrefix="1" applyFont="1" applyFill="1" applyBorder="1" applyAlignment="1" applyProtection="1">
      <alignment horizontal="right" vertical="center" shrinkToFit="1"/>
      <protection hidden="1"/>
    </xf>
    <xf numFmtId="0" fontId="9" fillId="16" borderId="160" xfId="0" quotePrefix="1" applyFont="1" applyFill="1" applyBorder="1" applyAlignment="1" applyProtection="1">
      <alignment horizontal="right" vertical="center" shrinkToFit="1"/>
      <protection hidden="1"/>
    </xf>
    <xf numFmtId="0" fontId="9" fillId="16" borderId="162" xfId="0" quotePrefix="1" applyFont="1" applyFill="1" applyBorder="1" applyAlignment="1" applyProtection="1">
      <alignment horizontal="right" vertical="center" shrinkToFit="1"/>
      <protection hidden="1"/>
    </xf>
    <xf numFmtId="176" fontId="9" fillId="13" borderId="295" xfId="0" applyNumberFormat="1" applyFont="1" applyFill="1" applyBorder="1" applyAlignment="1" applyProtection="1">
      <alignment horizontal="center" vertical="center" shrinkToFit="1"/>
      <protection locked="0"/>
    </xf>
    <xf numFmtId="176" fontId="9" fillId="13" borderId="294" xfId="0" applyNumberFormat="1" applyFont="1" applyFill="1" applyBorder="1" applyAlignment="1" applyProtection="1">
      <alignment horizontal="center" vertical="center" shrinkToFit="1"/>
      <protection locked="0"/>
    </xf>
    <xf numFmtId="176" fontId="9" fillId="13" borderId="204" xfId="0" applyNumberFormat="1" applyFont="1" applyFill="1" applyBorder="1" applyAlignment="1" applyProtection="1">
      <alignment horizontal="center" vertical="center" shrinkToFit="1"/>
      <protection locked="0"/>
    </xf>
    <xf numFmtId="176" fontId="9" fillId="16" borderId="155" xfId="0" quotePrefix="1" applyNumberFormat="1" applyFont="1" applyFill="1" applyBorder="1" applyAlignment="1" applyProtection="1">
      <alignment horizontal="center" vertical="center" shrinkToFit="1"/>
      <protection hidden="1"/>
    </xf>
    <xf numFmtId="176" fontId="9" fillId="16" borderId="160" xfId="0" quotePrefix="1" applyNumberFormat="1" applyFont="1" applyFill="1" applyBorder="1" applyAlignment="1" applyProtection="1">
      <alignment horizontal="center" vertical="center" shrinkToFit="1"/>
      <protection hidden="1"/>
    </xf>
    <xf numFmtId="176" fontId="9" fillId="16" borderId="162" xfId="0" quotePrefix="1" applyNumberFormat="1" applyFont="1" applyFill="1" applyBorder="1" applyAlignment="1" applyProtection="1">
      <alignment horizontal="center" vertical="center" shrinkToFit="1"/>
      <protection hidden="1"/>
    </xf>
    <xf numFmtId="0" fontId="9" fillId="16" borderId="313" xfId="0" applyFont="1" applyFill="1" applyBorder="1" applyAlignment="1" applyProtection="1">
      <alignment horizontal="center" vertical="center" shrinkToFit="1"/>
      <protection hidden="1"/>
    </xf>
    <xf numFmtId="0" fontId="9" fillId="16" borderId="312" xfId="0" applyFont="1" applyFill="1" applyBorder="1" applyAlignment="1" applyProtection="1">
      <alignment horizontal="center" vertical="center" shrinkToFit="1"/>
      <protection hidden="1"/>
    </xf>
    <xf numFmtId="0" fontId="9" fillId="16" borderId="311" xfId="0" applyFont="1" applyFill="1" applyBorder="1" applyAlignment="1" applyProtection="1">
      <alignment horizontal="center" vertical="center" shrinkToFit="1"/>
      <protection hidden="1"/>
    </xf>
    <xf numFmtId="0" fontId="9" fillId="16" borderId="302" xfId="0" applyFont="1" applyFill="1" applyBorder="1" applyAlignment="1" applyProtection="1">
      <alignment horizontal="center" vertical="center" shrinkToFit="1"/>
      <protection hidden="1"/>
    </xf>
    <xf numFmtId="0" fontId="9" fillId="16" borderId="301" xfId="0" applyFont="1" applyFill="1" applyBorder="1" applyAlignment="1" applyProtection="1">
      <alignment horizontal="center" vertical="center" shrinkToFit="1"/>
      <protection hidden="1"/>
    </xf>
    <xf numFmtId="0" fontId="9" fillId="16" borderId="300" xfId="0" applyFont="1" applyFill="1" applyBorder="1" applyAlignment="1" applyProtection="1">
      <alignment horizontal="center" vertical="center" shrinkToFit="1"/>
      <protection hidden="1"/>
    </xf>
    <xf numFmtId="176" fontId="9" fillId="16" borderId="195" xfId="0" quotePrefix="1" applyNumberFormat="1" applyFont="1" applyFill="1" applyBorder="1" applyAlignment="1" applyProtection="1">
      <alignment horizontal="right" vertical="center" shrinkToFit="1"/>
      <protection hidden="1"/>
    </xf>
    <xf numFmtId="0" fontId="29" fillId="6" borderId="299" xfId="0" applyFont="1" applyFill="1" applyBorder="1" applyAlignment="1" applyProtection="1">
      <alignment horizontal="center" vertical="center" shrinkToFit="1"/>
      <protection hidden="1"/>
    </xf>
    <xf numFmtId="0" fontId="29" fillId="6" borderId="298" xfId="0" applyFont="1" applyFill="1" applyBorder="1" applyAlignment="1" applyProtection="1">
      <alignment horizontal="center" vertical="center" shrinkToFit="1"/>
      <protection hidden="1"/>
    </xf>
    <xf numFmtId="0" fontId="29" fillId="6" borderId="297" xfId="0" applyFont="1" applyFill="1" applyBorder="1" applyAlignment="1" applyProtection="1">
      <alignment horizontal="center" vertical="center" shrinkToFit="1"/>
      <protection hidden="1"/>
    </xf>
    <xf numFmtId="0" fontId="9" fillId="16" borderId="199" xfId="0" applyFont="1" applyFill="1" applyBorder="1" applyAlignment="1" applyProtection="1">
      <alignment horizontal="center" vertical="center" shrinkToFit="1"/>
      <protection hidden="1"/>
    </xf>
    <xf numFmtId="0" fontId="9" fillId="16" borderId="44" xfId="0" applyFont="1" applyFill="1" applyBorder="1" applyAlignment="1" applyProtection="1">
      <alignment horizontal="center" vertical="center" shrinkToFit="1"/>
      <protection hidden="1"/>
    </xf>
    <xf numFmtId="0" fontId="9" fillId="16" borderId="45" xfId="0" applyFont="1" applyFill="1" applyBorder="1" applyAlignment="1" applyProtection="1">
      <alignment horizontal="center" vertical="center" shrinkToFit="1"/>
      <protection hidden="1"/>
    </xf>
    <xf numFmtId="0" fontId="9" fillId="16" borderId="125" xfId="0" applyFont="1" applyFill="1" applyBorder="1" applyAlignment="1" applyProtection="1">
      <alignment horizontal="center" vertical="center" shrinkToFit="1"/>
      <protection hidden="1"/>
    </xf>
    <xf numFmtId="181" fontId="9" fillId="16" borderId="44" xfId="0" applyNumberFormat="1" applyFont="1" applyFill="1" applyBorder="1" applyAlignment="1" applyProtection="1">
      <alignment horizontal="right" vertical="center" shrinkToFit="1"/>
      <protection hidden="1"/>
    </xf>
    <xf numFmtId="181" fontId="9" fillId="16" borderId="45" xfId="0" applyNumberFormat="1" applyFont="1" applyFill="1" applyBorder="1" applyAlignment="1" applyProtection="1">
      <alignment horizontal="right" vertical="center" shrinkToFit="1"/>
      <protection hidden="1"/>
    </xf>
    <xf numFmtId="181" fontId="9" fillId="16" borderId="125" xfId="0" applyNumberFormat="1" applyFont="1" applyFill="1" applyBorder="1" applyAlignment="1" applyProtection="1">
      <alignment horizontal="right" vertical="center" shrinkToFit="1"/>
      <protection hidden="1"/>
    </xf>
    <xf numFmtId="181" fontId="9" fillId="16" borderId="306" xfId="0" applyNumberFormat="1" applyFont="1" applyFill="1" applyBorder="1" applyAlignment="1" applyProtection="1">
      <alignment horizontal="right" vertical="center" shrinkToFit="1"/>
      <protection hidden="1"/>
    </xf>
    <xf numFmtId="181" fontId="9" fillId="16" borderId="305" xfId="0" applyNumberFormat="1" applyFont="1" applyFill="1" applyBorder="1" applyAlignment="1" applyProtection="1">
      <alignment horizontal="right" vertical="center" shrinkToFit="1"/>
      <protection hidden="1"/>
    </xf>
    <xf numFmtId="0" fontId="29" fillId="16" borderId="316" xfId="0" quotePrefix="1" applyFont="1" applyFill="1" applyBorder="1" applyAlignment="1" applyProtection="1">
      <alignment horizontal="left" vertical="center" shrinkToFit="1"/>
      <protection hidden="1"/>
    </xf>
    <xf numFmtId="0" fontId="29" fillId="16" borderId="309" xfId="0" quotePrefix="1" applyFont="1" applyFill="1" applyBorder="1" applyAlignment="1" applyProtection="1">
      <alignment horizontal="left" vertical="center" shrinkToFit="1"/>
      <protection hidden="1"/>
    </xf>
    <xf numFmtId="0" fontId="29" fillId="16" borderId="315" xfId="0" quotePrefix="1" applyFont="1" applyFill="1" applyBorder="1" applyAlignment="1" applyProtection="1">
      <alignment horizontal="left" vertical="center" shrinkToFit="1"/>
      <protection hidden="1"/>
    </xf>
    <xf numFmtId="0" fontId="9" fillId="16" borderId="155" xfId="0" applyFont="1" applyFill="1" applyBorder="1" applyAlignment="1" applyProtection="1">
      <alignment horizontal="center" vertical="center" shrinkToFit="1"/>
      <protection locked="0"/>
    </xf>
    <xf numFmtId="0" fontId="9" fillId="16" borderId="160" xfId="0" applyFont="1" applyFill="1" applyBorder="1" applyAlignment="1" applyProtection="1">
      <alignment horizontal="center" vertical="center" shrinkToFit="1"/>
      <protection locked="0"/>
    </xf>
    <xf numFmtId="0" fontId="9" fillId="16" borderId="162" xfId="0" applyFont="1" applyFill="1" applyBorder="1" applyAlignment="1" applyProtection="1">
      <alignment horizontal="center" vertical="center" shrinkToFit="1"/>
      <protection locked="0"/>
    </xf>
    <xf numFmtId="0" fontId="9" fillId="6" borderId="44" xfId="0" applyFont="1" applyFill="1" applyBorder="1" applyAlignment="1" applyProtection="1">
      <alignment horizontal="center" vertical="center" wrapText="1" shrinkToFit="1"/>
      <protection hidden="1"/>
    </xf>
    <xf numFmtId="0" fontId="9" fillId="6" borderId="45" xfId="0" applyFont="1" applyFill="1" applyBorder="1" applyAlignment="1" applyProtection="1">
      <alignment horizontal="center" vertical="center" shrinkToFit="1"/>
      <protection hidden="1"/>
    </xf>
    <xf numFmtId="0" fontId="9" fillId="6" borderId="125" xfId="0" applyFont="1" applyFill="1" applyBorder="1" applyAlignment="1" applyProtection="1">
      <alignment horizontal="center" vertical="center" shrinkToFit="1"/>
      <protection hidden="1"/>
    </xf>
    <xf numFmtId="0" fontId="9" fillId="6" borderId="161" xfId="0" applyFont="1" applyFill="1" applyBorder="1" applyAlignment="1" applyProtection="1">
      <alignment horizontal="center" vertical="center" shrinkToFit="1"/>
      <protection hidden="1"/>
    </xf>
    <xf numFmtId="0" fontId="9" fillId="6" borderId="0" xfId="0" applyFont="1" applyFill="1" applyBorder="1" applyAlignment="1" applyProtection="1">
      <alignment horizontal="center" vertical="center" shrinkToFit="1"/>
      <protection hidden="1"/>
    </xf>
    <xf numFmtId="0" fontId="9" fillId="6" borderId="167" xfId="0" applyFont="1" applyFill="1" applyBorder="1" applyAlignment="1" applyProtection="1">
      <alignment horizontal="center" vertical="center" shrinkToFit="1"/>
      <protection hidden="1"/>
    </xf>
    <xf numFmtId="0" fontId="9" fillId="6" borderId="299" xfId="0" applyFont="1" applyFill="1" applyBorder="1" applyAlignment="1" applyProtection="1">
      <alignment horizontal="center" vertical="center" shrinkToFit="1"/>
      <protection hidden="1"/>
    </xf>
    <xf numFmtId="0" fontId="9" fillId="6" borderId="298" xfId="0" applyFont="1" applyFill="1" applyBorder="1" applyAlignment="1" applyProtection="1">
      <alignment horizontal="center" vertical="center" shrinkToFit="1"/>
      <protection hidden="1"/>
    </xf>
    <xf numFmtId="0" fontId="9" fillId="6" borderId="297" xfId="0" applyFont="1" applyFill="1" applyBorder="1" applyAlignment="1" applyProtection="1">
      <alignment horizontal="center" vertical="center" shrinkToFit="1"/>
      <protection hidden="1"/>
    </xf>
    <xf numFmtId="0" fontId="9" fillId="6" borderId="317" xfId="0" applyFont="1" applyFill="1" applyBorder="1" applyAlignment="1" applyProtection="1">
      <alignment horizontal="center" vertical="center" shrinkToFit="1"/>
      <protection hidden="1"/>
    </xf>
    <xf numFmtId="0" fontId="9" fillId="6" borderId="314" xfId="0" applyFont="1" applyFill="1" applyBorder="1" applyAlignment="1" applyProtection="1">
      <alignment horizontal="center" vertical="center" shrinkToFit="1"/>
      <protection hidden="1"/>
    </xf>
    <xf numFmtId="182" fontId="9" fillId="10" borderId="157" xfId="0" applyNumberFormat="1" applyFont="1" applyFill="1" applyBorder="1" applyAlignment="1" applyProtection="1">
      <alignment horizontal="center" vertical="center" shrinkToFit="1"/>
      <protection locked="0"/>
    </xf>
    <xf numFmtId="182" fontId="9" fillId="10" borderId="156" xfId="0" applyNumberFormat="1" applyFont="1" applyFill="1" applyBorder="1" applyAlignment="1" applyProtection="1">
      <alignment horizontal="center" vertical="center" shrinkToFit="1"/>
      <protection locked="0"/>
    </xf>
    <xf numFmtId="0" fontId="9" fillId="16" borderId="309" xfId="0" applyFont="1" applyFill="1" applyBorder="1" applyAlignment="1" applyProtection="1">
      <alignment horizontal="center" vertical="center" shrinkToFit="1"/>
      <protection hidden="1"/>
    </xf>
    <xf numFmtId="0" fontId="29" fillId="6" borderId="195" xfId="0" applyFont="1" applyFill="1" applyBorder="1" applyAlignment="1" applyProtection="1">
      <alignment horizontal="center" vertical="center" shrinkToFit="1"/>
      <protection hidden="1"/>
    </xf>
    <xf numFmtId="0" fontId="9" fillId="6" borderId="7" xfId="0" applyFont="1" applyFill="1" applyBorder="1" applyAlignment="1" applyProtection="1">
      <alignment horizontal="center" vertical="center" shrinkToFit="1"/>
      <protection hidden="1"/>
    </xf>
    <xf numFmtId="0" fontId="9" fillId="6" borderId="263" xfId="0" applyFont="1" applyFill="1" applyBorder="1" applyAlignment="1" applyProtection="1">
      <alignment horizontal="center" vertical="center" shrinkToFit="1"/>
      <protection hidden="1"/>
    </xf>
    <xf numFmtId="0" fontId="9" fillId="19" borderId="199" xfId="0" applyFont="1" applyFill="1" applyBorder="1" applyAlignment="1" applyProtection="1">
      <alignment horizontal="center" vertical="center" shrinkToFit="1"/>
      <protection locked="0"/>
    </xf>
    <xf numFmtId="0" fontId="20" fillId="21" borderId="157" xfId="0" applyFont="1" applyFill="1" applyBorder="1" applyAlignment="1" applyProtection="1">
      <alignment horizontal="center"/>
      <protection hidden="1"/>
    </xf>
    <xf numFmtId="0" fontId="200" fillId="12" borderId="0" xfId="0" applyFont="1" applyFill="1" applyBorder="1" applyAlignment="1" applyProtection="1">
      <alignment horizontal="right" shrinkToFit="1"/>
      <protection hidden="1"/>
    </xf>
    <xf numFmtId="182" fontId="9" fillId="7" borderId="155" xfId="0" applyNumberFormat="1" applyFont="1" applyFill="1" applyBorder="1" applyAlignment="1" applyProtection="1">
      <alignment horizontal="right" vertical="center" shrinkToFit="1"/>
      <protection hidden="1"/>
    </xf>
    <xf numFmtId="182" fontId="9" fillId="7" borderId="160" xfId="0" applyNumberFormat="1" applyFont="1" applyFill="1" applyBorder="1" applyAlignment="1" applyProtection="1">
      <alignment horizontal="right" vertical="center" shrinkToFit="1"/>
      <protection hidden="1"/>
    </xf>
    <xf numFmtId="182" fontId="9" fillId="7" borderId="162" xfId="0" applyNumberFormat="1" applyFont="1" applyFill="1" applyBorder="1" applyAlignment="1" applyProtection="1">
      <alignment horizontal="right" vertical="center" shrinkToFit="1"/>
      <protection hidden="1"/>
    </xf>
    <xf numFmtId="0" fontId="9" fillId="9" borderId="111" xfId="0" applyFont="1" applyFill="1" applyBorder="1" applyAlignment="1" applyProtection="1">
      <alignment horizontal="right" vertical="center" shrinkToFit="1"/>
      <protection hidden="1"/>
    </xf>
    <xf numFmtId="0" fontId="9" fillId="9" borderId="114" xfId="0" applyFont="1" applyFill="1" applyBorder="1" applyAlignment="1" applyProtection="1">
      <alignment horizontal="right" vertical="center" shrinkToFit="1"/>
      <protection hidden="1"/>
    </xf>
    <xf numFmtId="0" fontId="9" fillId="9" borderId="112" xfId="0" applyFont="1" applyFill="1" applyBorder="1" applyAlignment="1" applyProtection="1">
      <alignment horizontal="right" vertical="center" shrinkToFit="1"/>
      <protection hidden="1"/>
    </xf>
    <xf numFmtId="182" fontId="33" fillId="2" borderId="160" xfId="0" applyNumberFormat="1" applyFont="1" applyFill="1" applyBorder="1" applyAlignment="1" applyProtection="1">
      <alignment vertical="center" shrinkToFit="1"/>
      <protection hidden="1"/>
    </xf>
    <xf numFmtId="182" fontId="33" fillId="2" borderId="162" xfId="0" applyNumberFormat="1" applyFont="1" applyFill="1" applyBorder="1" applyAlignment="1" applyProtection="1">
      <alignment vertical="center" shrinkToFit="1"/>
      <protection hidden="1"/>
    </xf>
    <xf numFmtId="0" fontId="10" fillId="15" borderId="116" xfId="0" applyFont="1" applyFill="1" applyBorder="1" applyAlignment="1" applyProtection="1">
      <alignment vertical="center"/>
      <protection hidden="1"/>
    </xf>
    <xf numFmtId="0" fontId="9" fillId="16" borderId="111" xfId="0" applyFont="1" applyFill="1" applyBorder="1" applyAlignment="1" applyProtection="1">
      <alignment horizontal="center" vertical="center" shrinkToFit="1"/>
      <protection hidden="1"/>
    </xf>
    <xf numFmtId="0" fontId="9" fillId="16" borderId="114" xfId="0" applyFont="1" applyFill="1" applyBorder="1" applyAlignment="1" applyProtection="1">
      <alignment horizontal="center" vertical="center" shrinkToFit="1"/>
      <protection hidden="1"/>
    </xf>
    <xf numFmtId="0" fontId="9" fillId="16" borderId="112" xfId="0" applyFont="1" applyFill="1" applyBorder="1" applyAlignment="1" applyProtection="1">
      <alignment horizontal="center" vertical="center" shrinkToFit="1"/>
      <protection hidden="1"/>
    </xf>
    <xf numFmtId="0" fontId="9" fillId="19" borderId="111" xfId="0" applyFont="1" applyFill="1" applyBorder="1" applyAlignment="1" applyProtection="1">
      <alignment horizontal="center" vertical="center" shrinkToFit="1"/>
      <protection hidden="1"/>
    </xf>
    <xf numFmtId="0" fontId="9" fillId="19" borderId="114" xfId="0" applyFont="1" applyFill="1" applyBorder="1" applyAlignment="1" applyProtection="1">
      <alignment horizontal="center" vertical="center" shrinkToFit="1"/>
      <protection hidden="1"/>
    </xf>
    <xf numFmtId="0" fontId="9" fillId="19" borderId="112" xfId="0" applyFont="1" applyFill="1" applyBorder="1" applyAlignment="1" applyProtection="1">
      <alignment horizontal="center" vertical="center" shrinkToFit="1"/>
      <protection hidden="1"/>
    </xf>
    <xf numFmtId="0" fontId="199" fillId="21" borderId="0" xfId="0" applyFont="1" applyFill="1" applyBorder="1" applyAlignment="1" applyProtection="1">
      <alignment horizontal="center" vertical="center" shrinkToFit="1"/>
      <protection hidden="1"/>
    </xf>
    <xf numFmtId="0" fontId="199" fillId="21" borderId="2" xfId="0" applyFont="1" applyFill="1" applyBorder="1" applyAlignment="1" applyProtection="1">
      <alignment horizontal="center" vertical="center" shrinkToFit="1"/>
      <protection hidden="1"/>
    </xf>
    <xf numFmtId="0" fontId="20" fillId="21" borderId="157" xfId="0" applyFont="1" applyFill="1" applyBorder="1" applyAlignment="1" applyProtection="1">
      <alignment horizontal="center" vertical="center"/>
      <protection hidden="1"/>
    </xf>
    <xf numFmtId="0" fontId="198" fillId="21" borderId="0" xfId="0" applyFont="1" applyFill="1" applyBorder="1" applyAlignment="1" applyProtection="1">
      <alignment horizontal="left" vertical="top"/>
      <protection hidden="1"/>
    </xf>
    <xf numFmtId="0" fontId="198" fillId="21" borderId="288" xfId="0" applyFont="1" applyFill="1" applyBorder="1" applyAlignment="1" applyProtection="1">
      <alignment horizontal="left" vertical="top"/>
      <protection hidden="1"/>
    </xf>
    <xf numFmtId="182" fontId="32" fillId="12" borderId="0" xfId="0" applyNumberFormat="1" applyFont="1" applyFill="1" applyBorder="1" applyAlignment="1" applyProtection="1">
      <alignment horizontal="right" vertical="center" shrinkToFit="1"/>
      <protection locked="0"/>
    </xf>
    <xf numFmtId="182" fontId="33" fillId="2" borderId="155" xfId="0" applyNumberFormat="1" applyFont="1" applyFill="1" applyBorder="1" applyAlignment="1" applyProtection="1">
      <alignment vertical="center" shrinkToFit="1"/>
      <protection hidden="1"/>
    </xf>
    <xf numFmtId="0" fontId="26" fillId="12" borderId="0" xfId="0" applyFont="1" applyFill="1" applyBorder="1" applyAlignment="1" applyProtection="1">
      <alignment horizontal="right" vertical="center"/>
      <protection hidden="1"/>
    </xf>
    <xf numFmtId="182" fontId="187" fillId="12" borderId="116" xfId="0" applyNumberFormat="1" applyFont="1" applyFill="1" applyBorder="1" applyAlignment="1" applyProtection="1">
      <alignment vertical="center" shrinkToFit="1"/>
      <protection hidden="1"/>
    </xf>
    <xf numFmtId="182" fontId="32" fillId="12" borderId="116" xfId="0" applyNumberFormat="1" applyFont="1" applyFill="1" applyBorder="1" applyAlignment="1" applyProtection="1">
      <alignment horizontal="right" vertical="center" shrinkToFit="1"/>
      <protection hidden="1"/>
    </xf>
    <xf numFmtId="0" fontId="9" fillId="15" borderId="0" xfId="0" applyFont="1" applyFill="1" applyBorder="1" applyAlignment="1" applyProtection="1">
      <alignment horizontal="center" vertical="center" shrinkToFit="1"/>
      <protection hidden="1"/>
    </xf>
    <xf numFmtId="182" fontId="33" fillId="2" borderId="169" xfId="0" applyNumberFormat="1" applyFont="1" applyFill="1" applyBorder="1" applyAlignment="1" applyProtection="1">
      <alignment vertical="center" shrinkToFit="1"/>
      <protection hidden="1"/>
    </xf>
    <xf numFmtId="182" fontId="33" fillId="2" borderId="168" xfId="0" applyNumberFormat="1" applyFont="1" applyFill="1" applyBorder="1" applyAlignment="1" applyProtection="1">
      <alignment vertical="center" shrinkToFit="1"/>
      <protection hidden="1"/>
    </xf>
    <xf numFmtId="182" fontId="9" fillId="7" borderId="44" xfId="0" applyNumberFormat="1" applyFont="1" applyFill="1" applyBorder="1" applyAlignment="1" applyProtection="1">
      <alignment horizontal="right" vertical="center" shrinkToFit="1"/>
      <protection hidden="1"/>
    </xf>
    <xf numFmtId="182" fontId="9" fillId="7" borderId="45" xfId="0" applyNumberFormat="1" applyFont="1" applyFill="1" applyBorder="1" applyAlignment="1" applyProtection="1">
      <alignment horizontal="right" vertical="center" shrinkToFit="1"/>
      <protection hidden="1"/>
    </xf>
    <xf numFmtId="182" fontId="9" fillId="7" borderId="125" xfId="0" applyNumberFormat="1" applyFont="1" applyFill="1" applyBorder="1" applyAlignment="1" applyProtection="1">
      <alignment horizontal="right" vertical="center" shrinkToFit="1"/>
      <protection hidden="1"/>
    </xf>
    <xf numFmtId="0" fontId="126" fillId="11" borderId="12" xfId="1" applyFont="1" applyFill="1" applyBorder="1" applyAlignment="1" applyProtection="1">
      <alignment horizontal="center" vertical="center" shrinkToFit="1"/>
      <protection hidden="1"/>
    </xf>
    <xf numFmtId="0" fontId="126" fillId="11" borderId="13" xfId="1" applyFont="1" applyFill="1" applyBorder="1" applyAlignment="1" applyProtection="1">
      <alignment horizontal="center" vertical="center" shrinkToFit="1"/>
      <protection hidden="1"/>
    </xf>
    <xf numFmtId="0" fontId="126" fillId="11" borderId="14" xfId="1" applyFont="1" applyFill="1" applyBorder="1" applyAlignment="1" applyProtection="1">
      <alignment horizontal="center" vertical="center" shrinkToFit="1"/>
      <protection hidden="1"/>
    </xf>
    <xf numFmtId="0" fontId="9" fillId="6" borderId="199" xfId="0" applyFont="1" applyFill="1" applyBorder="1" applyAlignment="1" applyProtection="1">
      <alignment horizontal="center" vertical="center" shrinkToFit="1"/>
      <protection hidden="1"/>
    </xf>
    <xf numFmtId="0" fontId="9" fillId="6" borderId="198" xfId="0" applyFont="1" applyFill="1" applyBorder="1" applyAlignment="1" applyProtection="1">
      <alignment horizontal="center" vertical="center" shrinkToFit="1"/>
      <protection hidden="1"/>
    </xf>
    <xf numFmtId="0" fontId="29" fillId="6" borderId="155" xfId="0" applyFont="1" applyFill="1" applyBorder="1" applyAlignment="1" applyProtection="1">
      <alignment horizontal="center" vertical="center"/>
      <protection hidden="1"/>
    </xf>
    <xf numFmtId="0" fontId="29" fillId="6" borderId="160" xfId="0" applyFont="1" applyFill="1" applyBorder="1" applyAlignment="1" applyProtection="1">
      <alignment horizontal="center" vertical="center"/>
      <protection hidden="1"/>
    </xf>
    <xf numFmtId="0" fontId="29" fillId="6" borderId="162" xfId="0" applyFont="1" applyFill="1" applyBorder="1" applyAlignment="1" applyProtection="1">
      <alignment horizontal="center" vertical="center"/>
      <protection hidden="1"/>
    </xf>
    <xf numFmtId="0" fontId="9" fillId="16" borderId="111" xfId="0" applyFont="1" applyFill="1" applyBorder="1" applyAlignment="1" applyProtection="1">
      <alignment horizontal="left" vertical="center"/>
      <protection hidden="1"/>
    </xf>
    <xf numFmtId="0" fontId="9" fillId="16" borderId="114" xfId="0" applyFont="1" applyFill="1" applyBorder="1" applyAlignment="1" applyProtection="1">
      <alignment horizontal="left" vertical="center"/>
      <protection hidden="1"/>
    </xf>
    <xf numFmtId="0" fontId="20" fillId="11" borderId="12" xfId="1" applyFont="1" applyFill="1" applyBorder="1" applyProtection="1">
      <alignment vertical="center"/>
      <protection hidden="1"/>
    </xf>
    <xf numFmtId="0" fontId="20" fillId="11" borderId="13" xfId="1" applyFont="1" applyFill="1" applyBorder="1" applyProtection="1">
      <alignment vertical="center"/>
      <protection hidden="1"/>
    </xf>
    <xf numFmtId="0" fontId="20" fillId="11" borderId="14" xfId="1" applyFont="1" applyFill="1" applyBorder="1" applyProtection="1">
      <alignment vertical="center"/>
      <protection hidden="1"/>
    </xf>
    <xf numFmtId="181" fontId="8" fillId="15" borderId="111" xfId="0" applyNumberFormat="1" applyFont="1" applyFill="1" applyBorder="1" applyAlignment="1" applyProtection="1">
      <alignment horizontal="center" vertical="center"/>
      <protection hidden="1"/>
    </xf>
    <xf numFmtId="0" fontId="8" fillId="15" borderId="112" xfId="0" applyFont="1" applyFill="1" applyBorder="1" applyAlignment="1" applyProtection="1">
      <alignment horizontal="center" vertical="center"/>
      <protection hidden="1"/>
    </xf>
    <xf numFmtId="182" fontId="33" fillId="15" borderId="0" xfId="0" quotePrefix="1" applyNumberFormat="1" applyFont="1" applyFill="1" applyBorder="1" applyAlignment="1" applyProtection="1">
      <alignment horizontal="left" vertical="center"/>
      <protection hidden="1"/>
    </xf>
    <xf numFmtId="0" fontId="15" fillId="15" borderId="0" xfId="0" applyFont="1" applyFill="1" applyBorder="1" applyAlignment="1" applyProtection="1">
      <alignment horizontal="center" vertical="center" shrinkToFit="1"/>
      <protection hidden="1"/>
    </xf>
    <xf numFmtId="0" fontId="33" fillId="15" borderId="109" xfId="0" quotePrefix="1" applyFont="1" applyFill="1" applyBorder="1" applyAlignment="1" applyProtection="1">
      <alignment horizontal="center" vertical="center"/>
      <protection hidden="1"/>
    </xf>
    <xf numFmtId="0" fontId="8" fillId="15" borderId="1" xfId="0" applyFont="1" applyFill="1" applyBorder="1" applyAlignment="1" applyProtection="1">
      <alignment horizontal="center" vertical="center" shrinkToFit="1"/>
      <protection hidden="1"/>
    </xf>
    <xf numFmtId="0" fontId="8" fillId="15" borderId="0" xfId="0" applyFont="1" applyFill="1" applyBorder="1" applyAlignment="1" applyProtection="1">
      <alignment horizontal="center" vertical="center" shrinkToFit="1"/>
      <protection hidden="1"/>
    </xf>
    <xf numFmtId="0" fontId="24" fillId="15" borderId="117" xfId="0" applyFont="1" applyFill="1" applyBorder="1" applyAlignment="1" applyProtection="1">
      <alignment horizontal="center" vertical="center"/>
      <protection hidden="1"/>
    </xf>
    <xf numFmtId="0" fontId="9" fillId="6" borderId="111" xfId="0" applyFont="1" applyFill="1" applyBorder="1" applyAlignment="1" applyProtection="1">
      <alignment horizontal="center" vertical="center" shrinkToFit="1"/>
      <protection hidden="1"/>
    </xf>
    <xf numFmtId="0" fontId="9" fillId="6" borderId="114" xfId="0" applyFont="1" applyFill="1" applyBorder="1" applyAlignment="1" applyProtection="1">
      <alignment horizontal="center" vertical="center" shrinkToFit="1"/>
      <protection hidden="1"/>
    </xf>
    <xf numFmtId="0" fontId="9" fillId="6" borderId="112" xfId="0" applyFont="1" applyFill="1" applyBorder="1" applyAlignment="1" applyProtection="1">
      <alignment horizontal="center" vertical="center" shrinkToFit="1"/>
      <protection hidden="1"/>
    </xf>
    <xf numFmtId="182" fontId="29" fillId="13" borderId="109" xfId="0" applyNumberFormat="1" applyFont="1" applyFill="1" applyBorder="1" applyAlignment="1" applyProtection="1">
      <alignment horizontal="right" vertical="center" shrinkToFit="1"/>
      <protection locked="0"/>
    </xf>
    <xf numFmtId="0" fontId="9" fillId="15" borderId="117" xfId="0" applyFont="1" applyFill="1" applyBorder="1" applyAlignment="1" applyProtection="1">
      <alignment horizontal="center" vertical="center"/>
      <protection hidden="1"/>
    </xf>
    <xf numFmtId="0" fontId="108" fillId="11" borderId="12" xfId="1" applyFont="1" applyFill="1" applyBorder="1" applyAlignment="1" applyProtection="1">
      <alignment horizontal="center" vertical="center"/>
      <protection hidden="1"/>
    </xf>
    <xf numFmtId="0" fontId="108" fillId="11" borderId="13" xfId="1" applyFont="1" applyFill="1" applyBorder="1" applyAlignment="1" applyProtection="1">
      <alignment horizontal="center" vertical="center"/>
      <protection hidden="1"/>
    </xf>
    <xf numFmtId="0" fontId="108" fillId="11" borderId="14" xfId="1" applyFont="1" applyFill="1" applyBorder="1" applyAlignment="1" applyProtection="1">
      <alignment horizontal="center" vertical="center"/>
      <protection hidden="1"/>
    </xf>
    <xf numFmtId="176" fontId="9" fillId="16" borderId="109" xfId="0" applyNumberFormat="1" applyFont="1" applyFill="1" applyBorder="1" applyAlignment="1" applyProtection="1">
      <alignment horizontal="center" vertical="center" shrinkToFit="1"/>
      <protection hidden="1"/>
    </xf>
    <xf numFmtId="179" fontId="9" fillId="6" borderId="109" xfId="0" applyNumberFormat="1" applyFont="1" applyFill="1" applyBorder="1" applyAlignment="1" applyProtection="1">
      <alignment horizontal="center" vertical="center" shrinkToFit="1"/>
      <protection hidden="1"/>
    </xf>
    <xf numFmtId="0" fontId="9" fillId="16" borderId="275" xfId="0" applyFont="1" applyFill="1" applyBorder="1" applyAlignment="1" applyProtection="1">
      <alignment horizontal="center" vertical="center" shrinkToFit="1"/>
      <protection hidden="1"/>
    </xf>
    <xf numFmtId="182" fontId="33" fillId="16" borderId="267" xfId="0" applyNumberFormat="1" applyFont="1" applyFill="1" applyBorder="1" applyAlignment="1" applyProtection="1">
      <alignment horizontal="right" vertical="center" shrinkToFit="1"/>
      <protection hidden="1"/>
    </xf>
    <xf numFmtId="182" fontId="33" fillId="16" borderId="266" xfId="0" applyNumberFormat="1" applyFont="1" applyFill="1" applyBorder="1" applyAlignment="1" applyProtection="1">
      <alignment horizontal="right" vertical="center" shrinkToFit="1"/>
      <protection hidden="1"/>
    </xf>
    <xf numFmtId="182" fontId="33" fillId="16" borderId="265" xfId="0" applyNumberFormat="1" applyFont="1" applyFill="1" applyBorder="1" applyAlignment="1" applyProtection="1">
      <alignment horizontal="right" vertical="center" shrinkToFit="1"/>
      <protection hidden="1"/>
    </xf>
    <xf numFmtId="182" fontId="9" fillId="16" borderId="267" xfId="0" applyNumberFormat="1" applyFont="1" applyFill="1" applyBorder="1" applyAlignment="1" applyProtection="1">
      <alignment horizontal="right" vertical="center" shrinkToFit="1"/>
      <protection hidden="1"/>
    </xf>
    <xf numFmtId="182" fontId="9" fillId="16" borderId="266" xfId="0" applyNumberFormat="1" applyFont="1" applyFill="1" applyBorder="1" applyAlignment="1" applyProtection="1">
      <alignment horizontal="right" vertical="center" shrinkToFit="1"/>
      <protection hidden="1"/>
    </xf>
    <xf numFmtId="182" fontId="9" fillId="16" borderId="265" xfId="0" applyNumberFormat="1" applyFont="1" applyFill="1" applyBorder="1" applyAlignment="1" applyProtection="1">
      <alignment horizontal="right" vertical="center" shrinkToFit="1"/>
      <protection hidden="1"/>
    </xf>
    <xf numFmtId="184" fontId="9" fillId="16" borderId="267" xfId="0" applyNumberFormat="1" applyFont="1" applyFill="1" applyBorder="1" applyAlignment="1" applyProtection="1">
      <alignment horizontal="right" vertical="center" shrinkToFit="1"/>
      <protection hidden="1"/>
    </xf>
    <xf numFmtId="184" fontId="9" fillId="16" borderId="266" xfId="0" applyNumberFormat="1" applyFont="1" applyFill="1" applyBorder="1" applyAlignment="1" applyProtection="1">
      <alignment horizontal="right" vertical="center" shrinkToFit="1"/>
      <protection hidden="1"/>
    </xf>
    <xf numFmtId="184" fontId="9" fillId="16" borderId="265" xfId="0" applyNumberFormat="1" applyFont="1" applyFill="1" applyBorder="1" applyAlignment="1" applyProtection="1">
      <alignment horizontal="right" vertical="center" shrinkToFit="1"/>
      <protection hidden="1"/>
    </xf>
    <xf numFmtId="187" fontId="9" fillId="16" borderId="267" xfId="0" applyNumberFormat="1" applyFont="1" applyFill="1" applyBorder="1" applyAlignment="1" applyProtection="1">
      <alignment horizontal="right" vertical="center" shrinkToFit="1"/>
      <protection hidden="1"/>
    </xf>
    <xf numFmtId="187" fontId="9" fillId="16" borderId="266" xfId="0" applyNumberFormat="1" applyFont="1" applyFill="1" applyBorder="1" applyAlignment="1" applyProtection="1">
      <alignment horizontal="right" vertical="center" shrinkToFit="1"/>
      <protection hidden="1"/>
    </xf>
    <xf numFmtId="187" fontId="9" fillId="16" borderId="265" xfId="0" applyNumberFormat="1" applyFont="1" applyFill="1" applyBorder="1" applyAlignment="1" applyProtection="1">
      <alignment horizontal="right" vertical="center" shrinkToFit="1"/>
      <protection hidden="1"/>
    </xf>
    <xf numFmtId="0" fontId="9" fillId="16" borderId="267" xfId="0" quotePrefix="1" applyFont="1" applyFill="1" applyBorder="1" applyAlignment="1" applyProtection="1">
      <alignment horizontal="right" vertical="center" shrinkToFit="1"/>
      <protection hidden="1"/>
    </xf>
    <xf numFmtId="0" fontId="9" fillId="16" borderId="266" xfId="0" quotePrefix="1" applyFont="1" applyFill="1" applyBorder="1" applyAlignment="1" applyProtection="1">
      <alignment horizontal="right" vertical="center" shrinkToFit="1"/>
      <protection hidden="1"/>
    </xf>
    <xf numFmtId="0" fontId="9" fillId="16" borderId="265" xfId="0" quotePrefix="1" applyFont="1" applyFill="1" applyBorder="1" applyAlignment="1" applyProtection="1">
      <alignment horizontal="right" vertical="center" shrinkToFit="1"/>
      <protection hidden="1"/>
    </xf>
    <xf numFmtId="0" fontId="9" fillId="16" borderId="109" xfId="0" applyFont="1" applyFill="1" applyBorder="1" applyAlignment="1" applyProtection="1">
      <alignment horizontal="center" vertical="center" shrinkToFit="1"/>
      <protection hidden="1"/>
    </xf>
    <xf numFmtId="184" fontId="9" fillId="16" borderId="118" xfId="0" applyNumberFormat="1" applyFont="1" applyFill="1" applyBorder="1" applyAlignment="1" applyProtection="1">
      <alignment horizontal="right" vertical="center" shrinkToFit="1"/>
      <protection hidden="1"/>
    </xf>
    <xf numFmtId="184" fontId="9" fillId="16" borderId="116" xfId="0" applyNumberFormat="1" applyFont="1" applyFill="1" applyBorder="1" applyAlignment="1" applyProtection="1">
      <alignment horizontal="right" vertical="center" shrinkToFit="1"/>
      <protection hidden="1"/>
    </xf>
    <xf numFmtId="184" fontId="9" fillId="16" borderId="119" xfId="0" applyNumberFormat="1" applyFont="1" applyFill="1" applyBorder="1" applyAlignment="1" applyProtection="1">
      <alignment horizontal="right" vertical="center" shrinkToFit="1"/>
      <protection hidden="1"/>
    </xf>
    <xf numFmtId="178" fontId="9" fillId="16" borderId="111" xfId="0" applyNumberFormat="1" applyFont="1" applyFill="1" applyBorder="1" applyAlignment="1" applyProtection="1">
      <alignment horizontal="right" vertical="center" shrinkToFit="1"/>
      <protection hidden="1"/>
    </xf>
    <xf numFmtId="178" fontId="9" fillId="16" borderId="114" xfId="0" applyNumberFormat="1" applyFont="1" applyFill="1" applyBorder="1" applyAlignment="1" applyProtection="1">
      <alignment horizontal="right" vertical="center" shrinkToFit="1"/>
      <protection hidden="1"/>
    </xf>
    <xf numFmtId="178" fontId="9" fillId="16" borderId="112" xfId="0" applyNumberFormat="1" applyFont="1" applyFill="1" applyBorder="1" applyAlignment="1" applyProtection="1">
      <alignment horizontal="right" vertical="center" shrinkToFit="1"/>
      <protection hidden="1"/>
    </xf>
    <xf numFmtId="184" fontId="9" fillId="16" borderId="111" xfId="0" applyNumberFormat="1" applyFont="1" applyFill="1" applyBorder="1" applyAlignment="1" applyProtection="1">
      <alignment horizontal="right" vertical="center" shrinkToFit="1"/>
      <protection hidden="1"/>
    </xf>
    <xf numFmtId="184" fontId="9" fillId="16" borderId="114" xfId="0" applyNumberFormat="1" applyFont="1" applyFill="1" applyBorder="1" applyAlignment="1" applyProtection="1">
      <alignment horizontal="right" vertical="center" shrinkToFit="1"/>
      <protection hidden="1"/>
    </xf>
    <xf numFmtId="184" fontId="9" fillId="16" borderId="112" xfId="0" applyNumberFormat="1" applyFont="1" applyFill="1" applyBorder="1" applyAlignment="1" applyProtection="1">
      <alignment horizontal="right" vertical="center" shrinkToFit="1"/>
      <protection hidden="1"/>
    </xf>
    <xf numFmtId="0" fontId="9" fillId="16" borderId="231" xfId="0" quotePrefix="1" applyFont="1" applyFill="1" applyBorder="1" applyAlignment="1" applyProtection="1">
      <alignment horizontal="right" vertical="center" shrinkToFit="1"/>
      <protection hidden="1"/>
    </xf>
    <xf numFmtId="0" fontId="9" fillId="16" borderId="230" xfId="0" quotePrefix="1" applyFont="1" applyFill="1" applyBorder="1" applyAlignment="1" applyProtection="1">
      <alignment horizontal="right" vertical="center" shrinkToFit="1"/>
      <protection hidden="1"/>
    </xf>
    <xf numFmtId="0" fontId="9" fillId="16" borderId="229" xfId="0" quotePrefix="1" applyFont="1" applyFill="1" applyBorder="1" applyAlignment="1" applyProtection="1">
      <alignment horizontal="right" vertical="center" shrinkToFit="1"/>
      <protection hidden="1"/>
    </xf>
    <xf numFmtId="0" fontId="9" fillId="16" borderId="231" xfId="0" applyFont="1" applyFill="1" applyBorder="1" applyAlignment="1" applyProtection="1">
      <alignment horizontal="center" vertical="center" shrinkToFit="1"/>
      <protection hidden="1"/>
    </xf>
    <xf numFmtId="0" fontId="9" fillId="16" borderId="230" xfId="0" applyFont="1" applyFill="1" applyBorder="1" applyAlignment="1" applyProtection="1">
      <alignment horizontal="center" vertical="center" shrinkToFit="1"/>
      <protection hidden="1"/>
    </xf>
    <xf numFmtId="0" fontId="9" fillId="16" borderId="229" xfId="0" applyFont="1" applyFill="1" applyBorder="1" applyAlignment="1" applyProtection="1">
      <alignment horizontal="center" vertical="center" shrinkToFit="1"/>
      <protection hidden="1"/>
    </xf>
    <xf numFmtId="178" fontId="9" fillId="16" borderId="231" xfId="0" applyNumberFormat="1" applyFont="1" applyFill="1" applyBorder="1" applyAlignment="1" applyProtection="1">
      <alignment horizontal="right" vertical="center" shrinkToFit="1"/>
      <protection hidden="1"/>
    </xf>
    <xf numFmtId="178" fontId="9" fillId="16" borderId="230" xfId="0" applyNumberFormat="1" applyFont="1" applyFill="1" applyBorder="1" applyAlignment="1" applyProtection="1">
      <alignment horizontal="right" vertical="center" shrinkToFit="1"/>
      <protection hidden="1"/>
    </xf>
    <xf numFmtId="178" fontId="9" fillId="16" borderId="229" xfId="0" applyNumberFormat="1" applyFont="1" applyFill="1" applyBorder="1" applyAlignment="1" applyProtection="1">
      <alignment horizontal="right" vertical="center" shrinkToFit="1"/>
      <protection hidden="1"/>
    </xf>
    <xf numFmtId="184" fontId="9" fillId="16" borderId="231" xfId="0" applyNumberFormat="1" applyFont="1" applyFill="1" applyBorder="1" applyAlignment="1" applyProtection="1">
      <alignment horizontal="right" vertical="center" shrinkToFit="1"/>
      <protection hidden="1"/>
    </xf>
    <xf numFmtId="184" fontId="9" fillId="16" borderId="230" xfId="0" applyNumberFormat="1" applyFont="1" applyFill="1" applyBorder="1" applyAlignment="1" applyProtection="1">
      <alignment horizontal="right" vertical="center" shrinkToFit="1"/>
      <protection hidden="1"/>
    </xf>
    <xf numFmtId="184" fontId="9" fillId="16" borderId="229" xfId="0" applyNumberFormat="1" applyFont="1" applyFill="1" applyBorder="1" applyAlignment="1" applyProtection="1">
      <alignment horizontal="right" vertical="center" shrinkToFit="1"/>
      <protection hidden="1"/>
    </xf>
    <xf numFmtId="0" fontId="9" fillId="16" borderId="267" xfId="0" applyFont="1" applyFill="1" applyBorder="1" applyAlignment="1" applyProtection="1">
      <alignment horizontal="right" vertical="center" shrinkToFit="1"/>
      <protection hidden="1"/>
    </xf>
    <xf numFmtId="0" fontId="9" fillId="16" borderId="266" xfId="0" applyFont="1" applyFill="1" applyBorder="1" applyAlignment="1" applyProtection="1">
      <alignment horizontal="right" vertical="center" shrinkToFit="1"/>
      <protection hidden="1"/>
    </xf>
    <xf numFmtId="0" fontId="9" fillId="16" borderId="265" xfId="0" applyFont="1" applyFill="1" applyBorder="1" applyAlignment="1" applyProtection="1">
      <alignment horizontal="right" vertical="center" shrinkToFit="1"/>
      <protection hidden="1"/>
    </xf>
    <xf numFmtId="182" fontId="9" fillId="16" borderId="111" xfId="0" quotePrefix="1" applyNumberFormat="1" applyFont="1" applyFill="1" applyBorder="1" applyAlignment="1" applyProtection="1">
      <alignment horizontal="right" vertical="center" shrinkToFit="1"/>
      <protection hidden="1"/>
    </xf>
    <xf numFmtId="0" fontId="9" fillId="16" borderId="276" xfId="0" applyFont="1" applyFill="1" applyBorder="1" applyAlignment="1" applyProtection="1">
      <alignment horizontal="center" vertical="center" shrinkToFit="1"/>
      <protection hidden="1"/>
    </xf>
    <xf numFmtId="182" fontId="9" fillId="16" borderId="231" xfId="0" quotePrefix="1" applyNumberFormat="1" applyFont="1" applyFill="1" applyBorder="1" applyAlignment="1" applyProtection="1">
      <alignment horizontal="right" vertical="center" shrinkToFit="1"/>
      <protection hidden="1"/>
    </xf>
    <xf numFmtId="178" fontId="9" fillId="16" borderId="267" xfId="0" applyNumberFormat="1" applyFont="1" applyFill="1" applyBorder="1" applyAlignment="1" applyProtection="1">
      <alignment horizontal="right" vertical="center" shrinkToFit="1"/>
      <protection hidden="1"/>
    </xf>
    <xf numFmtId="178" fontId="9" fillId="16" borderId="266" xfId="0" applyNumberFormat="1" applyFont="1" applyFill="1" applyBorder="1" applyAlignment="1" applyProtection="1">
      <alignment horizontal="right" vertical="center" shrinkToFit="1"/>
      <protection hidden="1"/>
    </xf>
    <xf numFmtId="178" fontId="9" fillId="16" borderId="265" xfId="0" applyNumberFormat="1" applyFont="1" applyFill="1" applyBorder="1" applyAlignment="1" applyProtection="1">
      <alignment horizontal="right" vertical="center" shrinkToFit="1"/>
      <protection hidden="1"/>
    </xf>
    <xf numFmtId="176" fontId="9" fillId="19" borderId="111" xfId="0" applyNumberFormat="1" applyFont="1" applyFill="1" applyBorder="1" applyAlignment="1" applyProtection="1">
      <alignment horizontal="right" vertical="center" shrinkToFit="1"/>
      <protection locked="0"/>
    </xf>
    <xf numFmtId="176" fontId="9" fillId="19" borderId="114" xfId="0" applyNumberFormat="1" applyFont="1" applyFill="1" applyBorder="1" applyAlignment="1" applyProtection="1">
      <alignment horizontal="right" vertical="center" shrinkToFit="1"/>
      <protection locked="0"/>
    </xf>
    <xf numFmtId="176" fontId="9" fillId="19" borderId="112" xfId="0" applyNumberFormat="1" applyFont="1" applyFill="1" applyBorder="1" applyAlignment="1" applyProtection="1">
      <alignment horizontal="right" vertical="center" shrinkToFit="1"/>
      <protection locked="0"/>
    </xf>
    <xf numFmtId="0" fontId="9" fillId="6" borderId="111" xfId="0" applyFont="1" applyFill="1" applyBorder="1" applyAlignment="1" applyProtection="1">
      <alignment horizontal="left" vertical="center" shrinkToFit="1"/>
      <protection hidden="1"/>
    </xf>
    <xf numFmtId="0" fontId="9" fillId="6" borderId="114" xfId="0" applyFont="1" applyFill="1" applyBorder="1" applyAlignment="1" applyProtection="1">
      <alignment horizontal="left" vertical="center" shrinkToFit="1"/>
      <protection hidden="1"/>
    </xf>
    <xf numFmtId="0" fontId="9" fillId="6" borderId="117" xfId="0" applyFont="1" applyFill="1" applyBorder="1" applyAlignment="1" applyProtection="1">
      <alignment horizontal="left" vertical="center" shrinkToFit="1"/>
      <protection hidden="1"/>
    </xf>
    <xf numFmtId="0" fontId="9" fillId="6" borderId="5" xfId="0" applyFont="1" applyFill="1" applyBorder="1" applyAlignment="1" applyProtection="1">
      <alignment horizontal="left" vertical="center" shrinkToFit="1"/>
      <protection hidden="1"/>
    </xf>
    <xf numFmtId="0" fontId="9" fillId="20" borderId="198" xfId="0" applyFont="1" applyFill="1" applyBorder="1" applyAlignment="1" applyProtection="1">
      <alignment horizontal="center" vertical="center"/>
      <protection locked="0"/>
    </xf>
    <xf numFmtId="0" fontId="9" fillId="20" borderId="157" xfId="0" applyFont="1" applyFill="1" applyBorder="1" applyAlignment="1" applyProtection="1">
      <alignment horizontal="center" vertical="center"/>
      <protection locked="0"/>
    </xf>
    <xf numFmtId="0" fontId="9" fillId="20" borderId="156" xfId="0" applyFont="1" applyFill="1" applyBorder="1" applyAlignment="1" applyProtection="1">
      <alignment horizontal="center" vertical="center"/>
      <protection locked="0"/>
    </xf>
    <xf numFmtId="187" fontId="9" fillId="16" borderId="325" xfId="0" applyNumberFormat="1" applyFont="1" applyFill="1" applyBorder="1" applyAlignment="1" applyProtection="1">
      <alignment horizontal="right" vertical="center" shrinkToFit="1"/>
      <protection hidden="1"/>
    </xf>
    <xf numFmtId="187" fontId="9" fillId="16" borderId="324" xfId="0" applyNumberFormat="1" applyFont="1" applyFill="1" applyBorder="1" applyAlignment="1" applyProtection="1">
      <alignment horizontal="right" vertical="center" shrinkToFit="1"/>
      <protection hidden="1"/>
    </xf>
    <xf numFmtId="187" fontId="9" fillId="16" borderId="323" xfId="0" applyNumberFormat="1" applyFont="1" applyFill="1" applyBorder="1" applyAlignment="1" applyProtection="1">
      <alignment horizontal="right" vertical="center" shrinkToFit="1"/>
      <protection hidden="1"/>
    </xf>
    <xf numFmtId="184" fontId="9" fillId="6" borderId="111" xfId="0" applyNumberFormat="1" applyFont="1" applyFill="1" applyBorder="1" applyAlignment="1" applyProtection="1">
      <alignment horizontal="center" vertical="center" shrinkToFit="1"/>
      <protection hidden="1"/>
    </xf>
    <xf numFmtId="184" fontId="9" fillId="6" borderId="114" xfId="0" applyNumberFormat="1" applyFont="1" applyFill="1" applyBorder="1" applyAlignment="1" applyProtection="1">
      <alignment horizontal="center" vertical="center" shrinkToFit="1"/>
      <protection hidden="1"/>
    </xf>
    <xf numFmtId="184" fontId="9" fillId="6" borderId="112" xfId="0" applyNumberFormat="1" applyFont="1" applyFill="1" applyBorder="1" applyAlignment="1" applyProtection="1">
      <alignment horizontal="center" vertical="center" shrinkToFit="1"/>
      <protection hidden="1"/>
    </xf>
    <xf numFmtId="176" fontId="9" fillId="16" borderId="111" xfId="0" applyNumberFormat="1" applyFont="1" applyFill="1" applyBorder="1" applyAlignment="1" applyProtection="1">
      <alignment horizontal="right" vertical="center" shrinkToFit="1"/>
      <protection hidden="1"/>
    </xf>
    <xf numFmtId="176" fontId="9" fillId="16" borderId="114" xfId="0" applyNumberFormat="1" applyFont="1" applyFill="1" applyBorder="1" applyAlignment="1" applyProtection="1">
      <alignment horizontal="right" vertical="center" shrinkToFit="1"/>
      <protection hidden="1"/>
    </xf>
    <xf numFmtId="176" fontId="9" fillId="16" borderId="112" xfId="0" applyNumberFormat="1" applyFont="1" applyFill="1" applyBorder="1" applyAlignment="1" applyProtection="1">
      <alignment horizontal="right" vertical="center" shrinkToFit="1"/>
      <protection hidden="1"/>
    </xf>
    <xf numFmtId="182" fontId="9" fillId="16" borderId="230" xfId="0" quotePrefix="1" applyNumberFormat="1" applyFont="1" applyFill="1" applyBorder="1" applyAlignment="1" applyProtection="1">
      <alignment horizontal="right" vertical="center" shrinkToFit="1"/>
      <protection hidden="1"/>
    </xf>
    <xf numFmtId="182" fontId="9" fillId="16" borderId="229" xfId="0" quotePrefix="1" applyNumberFormat="1" applyFont="1" applyFill="1" applyBorder="1" applyAlignment="1" applyProtection="1">
      <alignment horizontal="right" vertical="center" shrinkToFit="1"/>
      <protection hidden="1"/>
    </xf>
    <xf numFmtId="0" fontId="9" fillId="15" borderId="0" xfId="0" applyNumberFormat="1" applyFont="1" applyFill="1" applyBorder="1" applyAlignment="1" applyProtection="1">
      <alignment horizontal="center" vertical="center"/>
      <protection hidden="1"/>
    </xf>
    <xf numFmtId="0" fontId="9" fillId="15" borderId="2" xfId="0" applyNumberFormat="1" applyFont="1" applyFill="1" applyBorder="1" applyAlignment="1" applyProtection="1">
      <alignment horizontal="center" vertical="center"/>
      <protection hidden="1"/>
    </xf>
    <xf numFmtId="184" fontId="9" fillId="3" borderId="109" xfId="0" applyNumberFormat="1" applyFont="1" applyFill="1" applyBorder="1" applyAlignment="1" applyProtection="1">
      <alignment horizontal="center" vertical="center" shrinkToFit="1"/>
      <protection hidden="1"/>
    </xf>
    <xf numFmtId="179" fontId="9" fillId="3" borderId="109" xfId="0" applyNumberFormat="1" applyFont="1" applyFill="1" applyBorder="1" applyAlignment="1" applyProtection="1">
      <alignment horizontal="center" vertical="center" shrinkToFit="1"/>
      <protection hidden="1"/>
    </xf>
    <xf numFmtId="177" fontId="9" fillId="16" borderId="111" xfId="0" applyNumberFormat="1" applyFont="1" applyFill="1" applyBorder="1" applyAlignment="1" applyProtection="1">
      <alignment horizontal="center" vertical="center" shrinkToFit="1"/>
      <protection hidden="1"/>
    </xf>
    <xf numFmtId="177" fontId="9" fillId="16" borderId="114" xfId="0" applyNumberFormat="1" applyFont="1" applyFill="1" applyBorder="1" applyAlignment="1" applyProtection="1">
      <alignment horizontal="center" vertical="center" shrinkToFit="1"/>
      <protection hidden="1"/>
    </xf>
    <xf numFmtId="177" fontId="9" fillId="16" borderId="112" xfId="0" applyNumberFormat="1" applyFont="1" applyFill="1" applyBorder="1" applyAlignment="1" applyProtection="1">
      <alignment horizontal="center" vertical="center" shrinkToFit="1"/>
      <protection hidden="1"/>
    </xf>
    <xf numFmtId="177" fontId="9" fillId="16" borderId="109" xfId="0" applyNumberFormat="1" applyFont="1" applyFill="1" applyBorder="1" applyAlignment="1" applyProtection="1">
      <alignment horizontal="center" vertical="center" shrinkToFit="1"/>
      <protection hidden="1"/>
    </xf>
    <xf numFmtId="176" fontId="9" fillId="16" borderId="111" xfId="0" applyNumberFormat="1" applyFont="1" applyFill="1" applyBorder="1" applyAlignment="1" applyProtection="1">
      <alignment horizontal="center" vertical="center" shrinkToFit="1"/>
      <protection hidden="1"/>
    </xf>
    <xf numFmtId="176" fontId="9" fillId="16" borderId="114" xfId="0" applyNumberFormat="1" applyFont="1" applyFill="1" applyBorder="1" applyAlignment="1" applyProtection="1">
      <alignment horizontal="center" vertical="center" shrinkToFit="1"/>
      <protection hidden="1"/>
    </xf>
    <xf numFmtId="176" fontId="9" fillId="16" borderId="112" xfId="0" applyNumberFormat="1" applyFont="1" applyFill="1" applyBorder="1" applyAlignment="1" applyProtection="1">
      <alignment horizontal="center" vertical="center" shrinkToFit="1"/>
      <protection hidden="1"/>
    </xf>
    <xf numFmtId="0" fontId="9" fillId="3" borderId="109" xfId="0" applyFont="1" applyFill="1" applyBorder="1" applyAlignment="1" applyProtection="1">
      <alignment horizontal="center" vertical="center"/>
      <protection hidden="1"/>
    </xf>
    <xf numFmtId="0" fontId="9" fillId="3" borderId="109" xfId="0" applyFont="1" applyFill="1" applyBorder="1" applyAlignment="1" applyProtection="1">
      <alignment horizontal="left" vertical="center"/>
      <protection hidden="1"/>
    </xf>
    <xf numFmtId="176" fontId="9" fillId="16" borderId="7" xfId="0" applyNumberFormat="1" applyFont="1" applyFill="1" applyBorder="1" applyAlignment="1" applyProtection="1">
      <alignment horizontal="right" vertical="center" shrinkToFit="1"/>
      <protection hidden="1"/>
    </xf>
    <xf numFmtId="182" fontId="9" fillId="13" borderId="109" xfId="0" applyNumberFormat="1" applyFont="1" applyFill="1" applyBorder="1" applyAlignment="1" applyProtection="1">
      <alignment horizontal="center" vertical="center"/>
      <protection locked="0"/>
    </xf>
    <xf numFmtId="0" fontId="9" fillId="3" borderId="7" xfId="0" applyFont="1" applyFill="1" applyBorder="1" applyAlignment="1" applyProtection="1">
      <alignment horizontal="right" vertical="center" shrinkToFit="1"/>
      <protection hidden="1"/>
    </xf>
    <xf numFmtId="182" fontId="9" fillId="16" borderId="109" xfId="0" applyNumberFormat="1" applyFont="1" applyFill="1" applyBorder="1" applyAlignment="1" applyProtection="1">
      <alignment horizontal="right" vertical="center" shrinkToFit="1"/>
      <protection hidden="1"/>
    </xf>
    <xf numFmtId="197" fontId="30" fillId="13" borderId="111" xfId="0" applyNumberFormat="1" applyFont="1" applyFill="1" applyBorder="1" applyAlignment="1" applyProtection="1">
      <alignment horizontal="right" vertical="center" shrinkToFit="1"/>
      <protection locked="0"/>
    </xf>
    <xf numFmtId="197" fontId="30" fillId="13" borderId="114" xfId="0" applyNumberFormat="1" applyFont="1" applyFill="1" applyBorder="1" applyAlignment="1" applyProtection="1">
      <alignment horizontal="right" vertical="center" shrinkToFit="1"/>
      <protection locked="0"/>
    </xf>
    <xf numFmtId="197" fontId="30" fillId="13" borderId="112" xfId="0" applyNumberFormat="1" applyFont="1" applyFill="1" applyBorder="1" applyAlignment="1" applyProtection="1">
      <alignment horizontal="right" vertical="center" shrinkToFit="1"/>
      <protection locked="0"/>
    </xf>
    <xf numFmtId="0" fontId="9" fillId="13" borderId="155" xfId="0" applyFont="1" applyFill="1" applyBorder="1" applyAlignment="1" applyProtection="1">
      <alignment horizontal="center" vertical="center" shrinkToFit="1"/>
      <protection locked="0"/>
    </xf>
    <xf numFmtId="0" fontId="9" fillId="19" borderId="309" xfId="0" applyFont="1" applyFill="1" applyBorder="1" applyAlignment="1" applyProtection="1">
      <alignment horizontal="center" vertical="center" shrinkToFit="1"/>
      <protection locked="0"/>
    </xf>
    <xf numFmtId="0" fontId="9" fillId="19" borderId="315" xfId="0" applyFont="1" applyFill="1" applyBorder="1" applyAlignment="1" applyProtection="1">
      <alignment horizontal="center" vertical="center" shrinkToFit="1"/>
      <protection locked="0"/>
    </xf>
    <xf numFmtId="176" fontId="9" fillId="16" borderId="330" xfId="0" quotePrefix="1" applyNumberFormat="1" applyFont="1" applyFill="1" applyBorder="1" applyAlignment="1" applyProtection="1">
      <alignment horizontal="right" vertical="center" shrinkToFit="1"/>
      <protection hidden="1"/>
    </xf>
    <xf numFmtId="176" fontId="9" fillId="16" borderId="330" xfId="0" applyNumberFormat="1" applyFont="1" applyFill="1" applyBorder="1" applyAlignment="1" applyProtection="1">
      <alignment horizontal="right" vertical="center" shrinkToFit="1"/>
      <protection hidden="1"/>
    </xf>
    <xf numFmtId="0" fontId="9" fillId="3" borderId="296" xfId="0" applyFont="1" applyFill="1" applyBorder="1" applyAlignment="1" applyProtection="1">
      <alignment horizontal="right" vertical="center" shrinkToFit="1"/>
      <protection hidden="1"/>
    </xf>
    <xf numFmtId="176" fontId="9" fillId="16" borderId="341" xfId="0" applyNumberFormat="1" applyFont="1" applyFill="1" applyBorder="1" applyAlignment="1" applyProtection="1">
      <alignment horizontal="right" vertical="center" shrinkToFit="1"/>
      <protection hidden="1"/>
    </xf>
    <xf numFmtId="176" fontId="9" fillId="16" borderId="341" xfId="0" quotePrefix="1" applyNumberFormat="1" applyFont="1" applyFill="1" applyBorder="1" applyAlignment="1" applyProtection="1">
      <alignment horizontal="right" vertical="center" shrinkToFit="1"/>
      <protection hidden="1"/>
    </xf>
    <xf numFmtId="0" fontId="9" fillId="6" borderId="302" xfId="0" applyFont="1" applyFill="1" applyBorder="1" applyAlignment="1" applyProtection="1">
      <alignment horizontal="center" vertical="center" shrinkToFit="1"/>
      <protection hidden="1"/>
    </xf>
    <xf numFmtId="0" fontId="9" fillId="6" borderId="301" xfId="0" applyFont="1" applyFill="1" applyBorder="1" applyAlignment="1" applyProtection="1">
      <alignment horizontal="center" vertical="center" shrinkToFit="1"/>
      <protection hidden="1"/>
    </xf>
    <xf numFmtId="0" fontId="9" fillId="6" borderId="328" xfId="0" applyFont="1" applyFill="1" applyBorder="1" applyAlignment="1" applyProtection="1">
      <alignment horizontal="center" vertical="center" shrinkToFit="1"/>
      <protection hidden="1"/>
    </xf>
    <xf numFmtId="181" fontId="33" fillId="16" borderId="327" xfId="0" applyNumberFormat="1" applyFont="1" applyFill="1" applyBorder="1" applyAlignment="1" applyProtection="1">
      <alignment horizontal="right" vertical="center" shrinkToFit="1"/>
      <protection hidden="1"/>
    </xf>
    <xf numFmtId="181" fontId="33" fillId="16" borderId="301" xfId="0" applyNumberFormat="1" applyFont="1" applyFill="1" applyBorder="1" applyAlignment="1" applyProtection="1">
      <alignment horizontal="right" vertical="center" shrinkToFit="1"/>
      <protection hidden="1"/>
    </xf>
    <xf numFmtId="181" fontId="33" fillId="16" borderId="328" xfId="0" applyNumberFormat="1" applyFont="1" applyFill="1" applyBorder="1" applyAlignment="1" applyProtection="1">
      <alignment horizontal="right" vertical="center" shrinkToFit="1"/>
      <protection hidden="1"/>
    </xf>
    <xf numFmtId="181" fontId="33" fillId="16" borderId="326" xfId="0" applyNumberFormat="1" applyFont="1" applyFill="1" applyBorder="1" applyAlignment="1" applyProtection="1">
      <alignment horizontal="right" vertical="center" shrinkToFit="1"/>
      <protection hidden="1"/>
    </xf>
    <xf numFmtId="176" fontId="9" fillId="13" borderId="296" xfId="0" applyNumberFormat="1" applyFont="1" applyFill="1" applyBorder="1" applyAlignment="1" applyProtection="1">
      <alignment horizontal="right" vertical="center" shrinkToFit="1"/>
      <protection locked="0"/>
    </xf>
    <xf numFmtId="176" fontId="9" fillId="13" borderId="302" xfId="0" applyNumberFormat="1" applyFont="1" applyFill="1" applyBorder="1" applyAlignment="1" applyProtection="1">
      <alignment horizontal="right" vertical="center" shrinkToFit="1"/>
      <protection locked="0"/>
    </xf>
    <xf numFmtId="0" fontId="9" fillId="3" borderId="342" xfId="0" applyFont="1" applyFill="1" applyBorder="1" applyAlignment="1" applyProtection="1">
      <alignment horizontal="center" vertical="center" shrinkToFit="1"/>
      <protection hidden="1"/>
    </xf>
    <xf numFmtId="0" fontId="9" fillId="3" borderId="195" xfId="0" applyFont="1" applyFill="1" applyBorder="1" applyAlignment="1" applyProtection="1">
      <alignment horizontal="center" vertical="center" shrinkToFit="1"/>
      <protection hidden="1"/>
    </xf>
    <xf numFmtId="0" fontId="9" fillId="3" borderId="329" xfId="0" applyFont="1" applyFill="1" applyBorder="1" applyAlignment="1" applyProtection="1">
      <alignment horizontal="center" vertical="center" shrinkToFit="1"/>
      <protection hidden="1"/>
    </xf>
    <xf numFmtId="0" fontId="9" fillId="3" borderId="296" xfId="0" applyFont="1" applyFill="1" applyBorder="1" applyAlignment="1" applyProtection="1">
      <alignment horizontal="center" vertical="center" shrinkToFit="1"/>
      <protection hidden="1"/>
    </xf>
    <xf numFmtId="0" fontId="9" fillId="3" borderId="195" xfId="0" applyFont="1" applyFill="1" applyBorder="1" applyAlignment="1" applyProtection="1">
      <alignment horizontal="right" vertical="center" shrinkToFit="1"/>
      <protection hidden="1"/>
    </xf>
    <xf numFmtId="176" fontId="9" fillId="13" borderId="7" xfId="0" applyNumberFormat="1" applyFont="1" applyFill="1" applyBorder="1" applyAlignment="1" applyProtection="1">
      <alignment horizontal="right" vertical="center" shrinkToFit="1"/>
      <protection locked="0"/>
    </xf>
    <xf numFmtId="176" fontId="9" fillId="13" borderId="346" xfId="0" applyNumberFormat="1" applyFont="1" applyFill="1" applyBorder="1" applyAlignment="1" applyProtection="1">
      <alignment horizontal="right" vertical="center" shrinkToFit="1"/>
      <protection locked="0"/>
    </xf>
    <xf numFmtId="176" fontId="9" fillId="13" borderId="195" xfId="0" applyNumberFormat="1" applyFont="1" applyFill="1" applyBorder="1" applyAlignment="1" applyProtection="1">
      <alignment horizontal="right" vertical="center" shrinkToFit="1"/>
      <protection locked="0"/>
    </xf>
    <xf numFmtId="176" fontId="9" fillId="13" borderId="349" xfId="0" applyNumberFormat="1" applyFont="1" applyFill="1" applyBorder="1" applyAlignment="1" applyProtection="1">
      <alignment horizontal="right" vertical="center" shrinkToFit="1"/>
      <protection locked="0"/>
    </xf>
    <xf numFmtId="0" fontId="9" fillId="6" borderId="340" xfId="0" applyFont="1" applyFill="1" applyBorder="1" applyAlignment="1" applyProtection="1">
      <alignment horizontal="center" vertical="center" shrinkToFit="1"/>
      <protection hidden="1"/>
    </xf>
    <xf numFmtId="0" fontId="9" fillId="6" borderId="308" xfId="0" applyFont="1" applyFill="1" applyBorder="1" applyAlignment="1" applyProtection="1">
      <alignment horizontal="center" vertical="center" shrinkToFit="1"/>
      <protection hidden="1"/>
    </xf>
    <xf numFmtId="0" fontId="9" fillId="16" borderId="310" xfId="0" applyFont="1" applyFill="1" applyBorder="1" applyAlignment="1" applyProtection="1">
      <alignment horizontal="center" vertical="center" shrinkToFit="1"/>
      <protection hidden="1"/>
    </xf>
    <xf numFmtId="0" fontId="9" fillId="16" borderId="315" xfId="0" applyFont="1" applyFill="1" applyBorder="1" applyAlignment="1" applyProtection="1">
      <alignment horizontal="center" vertical="center" shrinkToFit="1"/>
      <protection hidden="1"/>
    </xf>
    <xf numFmtId="0" fontId="9" fillId="6" borderId="316" xfId="0" applyFont="1" applyFill="1" applyBorder="1" applyAlignment="1" applyProtection="1">
      <alignment horizontal="center" vertical="center" shrinkToFit="1"/>
      <protection hidden="1"/>
    </xf>
    <xf numFmtId="0" fontId="9" fillId="19" borderId="310" xfId="0" applyFont="1" applyFill="1" applyBorder="1" applyAlignment="1" applyProtection="1">
      <alignment horizontal="center" vertical="center" shrinkToFit="1"/>
      <protection locked="0"/>
    </xf>
    <xf numFmtId="0" fontId="9" fillId="19" borderId="337" xfId="0" applyFont="1" applyFill="1" applyBorder="1" applyAlignment="1" applyProtection="1">
      <alignment horizontal="center" vertical="center" shrinkToFit="1"/>
      <protection locked="0"/>
    </xf>
    <xf numFmtId="176" fontId="9" fillId="19" borderId="347" xfId="0" applyNumberFormat="1" applyFont="1" applyFill="1" applyBorder="1" applyAlignment="1" applyProtection="1">
      <alignment horizontal="right" vertical="center" shrinkToFit="1"/>
      <protection locked="0"/>
    </xf>
    <xf numFmtId="176" fontId="9" fillId="16" borderId="347" xfId="0" applyNumberFormat="1" applyFont="1" applyFill="1" applyBorder="1" applyAlignment="1" applyProtection="1">
      <alignment horizontal="right" vertical="center" shrinkToFit="1"/>
      <protection hidden="1"/>
    </xf>
    <xf numFmtId="0" fontId="9" fillId="6" borderId="329" xfId="0" applyFont="1" applyFill="1" applyBorder="1" applyAlignment="1" applyProtection="1">
      <alignment horizontal="center" vertical="center" shrinkToFit="1"/>
      <protection hidden="1"/>
    </xf>
    <xf numFmtId="0" fontId="9" fillId="6" borderId="296" xfId="0" applyFont="1" applyFill="1" applyBorder="1" applyAlignment="1" applyProtection="1">
      <alignment horizontal="center" vertical="center" shrinkToFit="1"/>
      <protection hidden="1"/>
    </xf>
    <xf numFmtId="0" fontId="124" fillId="16" borderId="296" xfId="0" applyFont="1" applyFill="1" applyBorder="1" applyAlignment="1" applyProtection="1">
      <alignment horizontal="center" vertical="center" shrinkToFit="1"/>
      <protection hidden="1"/>
    </xf>
    <xf numFmtId="0" fontId="8" fillId="0" borderId="111" xfId="0" applyFont="1" applyFill="1" applyBorder="1" applyAlignment="1" applyProtection="1">
      <alignment horizontal="right" vertical="center" shrinkToFit="1"/>
      <protection hidden="1"/>
    </xf>
    <xf numFmtId="0" fontId="8" fillId="0" borderId="114" xfId="0" applyFont="1" applyFill="1" applyBorder="1" applyAlignment="1" applyProtection="1">
      <alignment horizontal="right" vertical="center" shrinkToFit="1"/>
      <protection hidden="1"/>
    </xf>
    <xf numFmtId="0" fontId="8" fillId="0" borderId="112" xfId="0" applyFont="1" applyFill="1" applyBorder="1" applyAlignment="1" applyProtection="1">
      <alignment horizontal="right" vertical="center" shrinkToFit="1"/>
      <protection hidden="1"/>
    </xf>
    <xf numFmtId="176" fontId="9" fillId="19" borderId="341" xfId="0" applyNumberFormat="1" applyFont="1" applyFill="1" applyBorder="1" applyAlignment="1" applyProtection="1">
      <alignment horizontal="right" vertical="center" shrinkToFit="1"/>
      <protection locked="0"/>
    </xf>
    <xf numFmtId="176" fontId="9" fillId="16" borderId="351" xfId="0" applyNumberFormat="1" applyFont="1" applyFill="1" applyBorder="1" applyAlignment="1" applyProtection="1">
      <alignment horizontal="right" vertical="center" shrinkToFit="1"/>
      <protection hidden="1"/>
    </xf>
    <xf numFmtId="176" fontId="9" fillId="13" borderId="351" xfId="0" applyNumberFormat="1" applyFont="1" applyFill="1" applyBorder="1" applyAlignment="1" applyProtection="1">
      <alignment horizontal="right" vertical="center" shrinkToFit="1"/>
      <protection locked="0"/>
    </xf>
    <xf numFmtId="0" fontId="9" fillId="3" borderId="351" xfId="0" applyFont="1" applyFill="1" applyBorder="1" applyAlignment="1" applyProtection="1">
      <alignment horizontal="right" vertical="center" shrinkToFit="1"/>
      <protection hidden="1"/>
    </xf>
    <xf numFmtId="176" fontId="9" fillId="13" borderId="350" xfId="0" applyNumberFormat="1" applyFont="1" applyFill="1" applyBorder="1" applyAlignment="1" applyProtection="1">
      <alignment horizontal="right" vertical="center" shrinkToFit="1"/>
      <protection locked="0"/>
    </xf>
    <xf numFmtId="0" fontId="9" fillId="3" borderId="351" xfId="0" applyFont="1" applyFill="1" applyBorder="1" applyAlignment="1" applyProtection="1">
      <alignment horizontal="right" vertical="distributed" shrinkToFit="1"/>
      <protection hidden="1"/>
    </xf>
    <xf numFmtId="0" fontId="8" fillId="0" borderId="118" xfId="0" applyFont="1" applyFill="1" applyBorder="1" applyAlignment="1" applyProtection="1">
      <alignment horizontal="right" vertical="center" shrinkToFit="1"/>
      <protection hidden="1"/>
    </xf>
    <xf numFmtId="0" fontId="8" fillId="0" borderId="116" xfId="0" applyFont="1" applyFill="1" applyBorder="1" applyAlignment="1" applyProtection="1">
      <alignment horizontal="right" vertical="center" shrinkToFit="1"/>
      <protection hidden="1"/>
    </xf>
    <xf numFmtId="0" fontId="8" fillId="0" borderId="119" xfId="0" applyFont="1" applyFill="1" applyBorder="1" applyAlignment="1" applyProtection="1">
      <alignment horizontal="right" vertical="center" shrinkToFit="1"/>
      <protection hidden="1"/>
    </xf>
    <xf numFmtId="0" fontId="8" fillId="0" borderId="109" xfId="0" applyFont="1" applyFill="1" applyBorder="1" applyAlignment="1" applyProtection="1">
      <alignment horizontal="center" vertical="center" shrinkToFit="1"/>
      <protection hidden="1"/>
    </xf>
    <xf numFmtId="0" fontId="9" fillId="16" borderId="355" xfId="0" applyFont="1" applyFill="1" applyBorder="1" applyAlignment="1" applyProtection="1">
      <alignment horizontal="center" vertical="center" shrinkToFit="1"/>
      <protection hidden="1"/>
    </xf>
    <xf numFmtId="0" fontId="9" fillId="16" borderId="306" xfId="0" applyFont="1" applyFill="1" applyBorder="1" applyAlignment="1" applyProtection="1">
      <alignment horizontal="center" vertical="center" shrinkToFit="1"/>
      <protection hidden="1"/>
    </xf>
    <xf numFmtId="0" fontId="9" fillId="16" borderId="305" xfId="0" applyFont="1" applyFill="1" applyBorder="1" applyAlignment="1" applyProtection="1">
      <alignment horizontal="center" vertical="center" shrinkToFit="1"/>
      <protection hidden="1"/>
    </xf>
    <xf numFmtId="181" fontId="9" fillId="16" borderId="307" xfId="0" applyNumberFormat="1" applyFont="1" applyFill="1" applyBorder="1" applyAlignment="1" applyProtection="1">
      <alignment horizontal="center" vertical="center" shrinkToFit="1"/>
      <protection hidden="1"/>
    </xf>
    <xf numFmtId="181" fontId="9" fillId="16" borderId="306" xfId="0" applyNumberFormat="1" applyFont="1" applyFill="1" applyBorder="1" applyAlignment="1" applyProtection="1">
      <alignment horizontal="center" vertical="center" shrinkToFit="1"/>
      <protection hidden="1"/>
    </xf>
    <xf numFmtId="181" fontId="9" fillId="16" borderId="305" xfId="0" applyNumberFormat="1" applyFont="1" applyFill="1" applyBorder="1" applyAlignment="1" applyProtection="1">
      <alignment horizontal="center" vertical="center" shrinkToFit="1"/>
      <protection hidden="1"/>
    </xf>
    <xf numFmtId="176" fontId="9" fillId="16" borderId="307" xfId="0" applyNumberFormat="1" applyFont="1" applyFill="1" applyBorder="1" applyAlignment="1" applyProtection="1">
      <alignment horizontal="center" vertical="center" shrinkToFit="1"/>
      <protection hidden="1"/>
    </xf>
    <xf numFmtId="176" fontId="9" fillId="16" borderId="306" xfId="0" applyNumberFormat="1" applyFont="1" applyFill="1" applyBorder="1" applyAlignment="1" applyProtection="1">
      <alignment horizontal="center" vertical="center" shrinkToFit="1"/>
      <protection hidden="1"/>
    </xf>
    <xf numFmtId="176" fontId="9" fillId="16" borderId="305" xfId="0" applyNumberFormat="1" applyFont="1" applyFill="1" applyBorder="1" applyAlignment="1" applyProtection="1">
      <alignment horizontal="center" vertical="center" shrinkToFit="1"/>
      <protection hidden="1"/>
    </xf>
    <xf numFmtId="0" fontId="9" fillId="16" borderId="307" xfId="0" applyFont="1" applyFill="1" applyBorder="1" applyAlignment="1" applyProtection="1">
      <alignment horizontal="center" vertical="center" shrinkToFit="1"/>
      <protection hidden="1"/>
    </xf>
    <xf numFmtId="0" fontId="9" fillId="16" borderId="307" xfId="0" applyFont="1" applyFill="1" applyBorder="1" applyAlignment="1" applyProtection="1">
      <alignment horizontal="center" vertical="center"/>
      <protection hidden="1"/>
    </xf>
    <xf numFmtId="0" fontId="9" fillId="16" borderId="306" xfId="0" applyFont="1" applyFill="1" applyBorder="1" applyAlignment="1" applyProtection="1">
      <alignment horizontal="center" vertical="center"/>
      <protection hidden="1"/>
    </xf>
    <xf numFmtId="0" fontId="9" fillId="16" borderId="305" xfId="0" applyFont="1" applyFill="1" applyBorder="1" applyAlignment="1" applyProtection="1">
      <alignment horizontal="center" vertical="center"/>
      <protection hidden="1"/>
    </xf>
    <xf numFmtId="0" fontId="9" fillId="6" borderId="354" xfId="0" applyFont="1" applyFill="1" applyBorder="1" applyAlignment="1" applyProtection="1">
      <alignment horizontal="right" vertical="center" shrinkToFit="1"/>
      <protection hidden="1"/>
    </xf>
    <xf numFmtId="176" fontId="9" fillId="16" borderId="354" xfId="0" applyNumberFormat="1" applyFont="1" applyFill="1" applyBorder="1" applyAlignment="1" applyProtection="1">
      <alignment horizontal="right" vertical="center" shrinkToFit="1"/>
      <protection hidden="1"/>
    </xf>
    <xf numFmtId="0" fontId="9" fillId="6" borderId="354" xfId="0" applyFont="1" applyFill="1" applyBorder="1" applyAlignment="1" applyProtection="1">
      <alignment horizontal="center" vertical="center" shrinkToFit="1"/>
      <protection hidden="1"/>
    </xf>
    <xf numFmtId="0" fontId="9" fillId="3" borderId="354" xfId="0" applyFont="1" applyFill="1" applyBorder="1" applyAlignment="1" applyProtection="1">
      <alignment horizontal="center" vertical="center" shrinkToFit="1"/>
      <protection hidden="1"/>
    </xf>
    <xf numFmtId="0" fontId="9" fillId="16" borderId="354" xfId="0" applyFont="1" applyFill="1" applyBorder="1" applyAlignment="1" applyProtection="1">
      <alignment horizontal="center" vertical="center" shrinkToFit="1"/>
      <protection hidden="1"/>
    </xf>
    <xf numFmtId="176" fontId="9" fillId="16" borderId="354" xfId="0" applyNumberFormat="1" applyFont="1" applyFill="1" applyBorder="1" applyAlignment="1" applyProtection="1">
      <alignment horizontal="center" vertical="center" shrinkToFit="1"/>
      <protection hidden="1"/>
    </xf>
    <xf numFmtId="176" fontId="9" fillId="16" borderId="353" xfId="0" applyNumberFormat="1" applyFont="1" applyFill="1" applyBorder="1" applyAlignment="1" applyProtection="1">
      <alignment horizontal="center" vertical="center" shrinkToFit="1"/>
      <protection hidden="1"/>
    </xf>
    <xf numFmtId="0" fontId="9" fillId="19" borderId="349" xfId="0" applyFont="1" applyFill="1" applyBorder="1" applyAlignment="1" applyProtection="1">
      <alignment horizontal="center" vertical="center" shrinkToFit="1"/>
      <protection locked="0"/>
    </xf>
    <xf numFmtId="0" fontId="9" fillId="3" borderId="352" xfId="0" applyFont="1" applyFill="1" applyBorder="1" applyAlignment="1" applyProtection="1">
      <alignment horizontal="center" vertical="center" shrinkToFit="1"/>
      <protection hidden="1"/>
    </xf>
    <xf numFmtId="0" fontId="9" fillId="3" borderId="351" xfId="0" applyFont="1" applyFill="1" applyBorder="1" applyAlignment="1" applyProtection="1">
      <alignment horizontal="center" vertical="center" shrinkToFit="1"/>
      <protection hidden="1"/>
    </xf>
    <xf numFmtId="176" fontId="9" fillId="19" borderId="351" xfId="0" applyNumberFormat="1" applyFont="1" applyFill="1" applyBorder="1" applyAlignment="1" applyProtection="1">
      <alignment horizontal="right" vertical="center" shrinkToFit="1"/>
      <protection locked="0"/>
    </xf>
    <xf numFmtId="0" fontId="33" fillId="16" borderId="356" xfId="0" applyNumberFormat="1" applyFont="1" applyFill="1" applyBorder="1" applyAlignment="1" applyProtection="1">
      <alignment horizontal="center" vertical="center" shrinkToFit="1"/>
      <protection hidden="1"/>
    </xf>
    <xf numFmtId="0" fontId="33" fillId="16" borderId="160" xfId="0" applyNumberFormat="1" applyFont="1" applyFill="1" applyBorder="1" applyAlignment="1" applyProtection="1">
      <alignment horizontal="center" vertical="center" shrinkToFit="1"/>
      <protection hidden="1"/>
    </xf>
    <xf numFmtId="0" fontId="33" fillId="16" borderId="162" xfId="0" applyNumberFormat="1" applyFont="1" applyFill="1" applyBorder="1" applyAlignment="1" applyProtection="1">
      <alignment horizontal="center" vertical="center" shrinkToFit="1"/>
      <protection hidden="1"/>
    </xf>
    <xf numFmtId="0" fontId="9" fillId="16" borderId="195" xfId="0" quotePrefix="1" applyFont="1" applyFill="1" applyBorder="1" applyAlignment="1" applyProtection="1">
      <alignment horizontal="left" vertical="center" shrinkToFit="1"/>
      <protection hidden="1"/>
    </xf>
    <xf numFmtId="0" fontId="9" fillId="16" borderId="195" xfId="0" quotePrefix="1" applyFont="1" applyFill="1" applyBorder="1" applyAlignment="1" applyProtection="1">
      <alignment horizontal="center" vertical="center" shrinkToFit="1"/>
      <protection hidden="1"/>
    </xf>
    <xf numFmtId="0" fontId="9" fillId="16" borderId="262" xfId="0" quotePrefix="1" applyFont="1" applyFill="1" applyBorder="1" applyAlignment="1" applyProtection="1">
      <alignment horizontal="center" vertical="center" shrinkToFit="1"/>
      <protection hidden="1"/>
    </xf>
    <xf numFmtId="0" fontId="9" fillId="19" borderId="160" xfId="0" quotePrefix="1" applyFont="1" applyFill="1" applyBorder="1" applyAlignment="1" applyProtection="1">
      <alignment horizontal="center" vertical="center" shrinkToFit="1"/>
      <protection locked="0"/>
    </xf>
    <xf numFmtId="0" fontId="9" fillId="19" borderId="162" xfId="0" quotePrefix="1" applyFont="1" applyFill="1" applyBorder="1" applyAlignment="1" applyProtection="1">
      <alignment horizontal="center" vertical="center" shrinkToFit="1"/>
      <protection locked="0"/>
    </xf>
    <xf numFmtId="0" fontId="9" fillId="6" borderId="238" xfId="0" applyFont="1" applyFill="1" applyBorder="1" applyAlignment="1" applyProtection="1">
      <alignment horizontal="center" vertical="center" shrinkToFit="1"/>
      <protection hidden="1"/>
    </xf>
    <xf numFmtId="179" fontId="9" fillId="16" borderId="195" xfId="0" applyNumberFormat="1" applyFont="1" applyFill="1" applyBorder="1" applyAlignment="1" applyProtection="1">
      <alignment horizontal="center" vertical="center" shrinkToFit="1"/>
      <protection hidden="1"/>
    </xf>
    <xf numFmtId="0" fontId="9" fillId="6" borderId="44" xfId="0" applyFont="1" applyFill="1" applyBorder="1" applyAlignment="1" applyProtection="1">
      <alignment horizontal="center" vertical="center" shrinkToFit="1"/>
      <protection hidden="1"/>
    </xf>
    <xf numFmtId="0" fontId="9" fillId="6" borderId="357" xfId="0" applyFont="1" applyFill="1" applyBorder="1" applyAlignment="1" applyProtection="1">
      <alignment horizontal="center" vertical="center" shrinkToFit="1"/>
      <protection hidden="1"/>
    </xf>
    <xf numFmtId="0" fontId="9" fillId="6" borderId="283" xfId="0" applyFont="1" applyFill="1" applyBorder="1" applyAlignment="1" applyProtection="1">
      <alignment horizontal="center" vertical="center" shrinkToFit="1"/>
      <protection hidden="1"/>
    </xf>
    <xf numFmtId="0" fontId="9" fillId="6" borderId="282" xfId="0" applyFont="1" applyFill="1" applyBorder="1" applyAlignment="1" applyProtection="1">
      <alignment horizontal="center" vertical="center" shrinkToFit="1"/>
      <protection hidden="1"/>
    </xf>
    <xf numFmtId="0" fontId="9" fillId="6" borderId="161" xfId="0" applyFont="1" applyFill="1" applyBorder="1" applyAlignment="1" applyProtection="1">
      <alignment horizontal="center" vertical="top" textRotation="180" shrinkToFit="1"/>
      <protection hidden="1"/>
    </xf>
    <xf numFmtId="0" fontId="9" fillId="6" borderId="0" xfId="0" applyFont="1" applyFill="1" applyBorder="1" applyAlignment="1" applyProtection="1">
      <alignment horizontal="center" vertical="top" textRotation="180" shrinkToFit="1"/>
      <protection hidden="1"/>
    </xf>
    <xf numFmtId="0" fontId="9" fillId="6" borderId="167" xfId="0" applyFont="1" applyFill="1" applyBorder="1" applyAlignment="1" applyProtection="1">
      <alignment horizontal="center" vertical="top" textRotation="180" shrinkToFit="1"/>
      <protection hidden="1"/>
    </xf>
    <xf numFmtId="0" fontId="9" fillId="19" borderId="195" xfId="0" applyFont="1" applyFill="1" applyBorder="1" applyAlignment="1" applyProtection="1">
      <alignment horizontal="center" vertical="center" shrinkToFit="1"/>
      <protection hidden="1"/>
    </xf>
    <xf numFmtId="0" fontId="9" fillId="19" borderId="349" xfId="0" applyFont="1" applyFill="1" applyBorder="1" applyAlignment="1" applyProtection="1">
      <alignment horizontal="center" vertical="center" shrinkToFit="1"/>
      <protection hidden="1"/>
    </xf>
    <xf numFmtId="176" fontId="9" fillId="16" borderId="354" xfId="0" applyNumberFormat="1" applyFont="1" applyFill="1" applyBorder="1" applyAlignment="1" applyProtection="1">
      <alignment horizontal="center" vertical="center" shrinkToFit="1"/>
      <protection locked="0"/>
    </xf>
    <xf numFmtId="176" fontId="9" fillId="16" borderId="353" xfId="0" applyNumberFormat="1" applyFont="1" applyFill="1" applyBorder="1" applyAlignment="1" applyProtection="1">
      <alignment horizontal="center" vertical="center" shrinkToFit="1"/>
      <protection locked="0"/>
    </xf>
    <xf numFmtId="0" fontId="8" fillId="0" borderId="0" xfId="0" applyFont="1" applyFill="1" applyBorder="1" applyAlignment="1" applyProtection="1">
      <alignment horizontal="center" vertical="center"/>
      <protection hidden="1"/>
    </xf>
    <xf numFmtId="0" fontId="9" fillId="6" borderId="327" xfId="0" applyFont="1" applyFill="1" applyBorder="1" applyAlignment="1" applyProtection="1">
      <alignment horizontal="center" vertical="center" shrinkToFit="1"/>
      <protection hidden="1"/>
    </xf>
    <xf numFmtId="0" fontId="9" fillId="6" borderId="369" xfId="0" applyFont="1" applyFill="1" applyBorder="1" applyAlignment="1" applyProtection="1">
      <alignment horizontal="center" vertical="center" shrinkToFit="1"/>
      <protection hidden="1"/>
    </xf>
    <xf numFmtId="0" fontId="9" fillId="6" borderId="293" xfId="0" applyFont="1" applyFill="1" applyBorder="1" applyAlignment="1" applyProtection="1">
      <alignment horizontal="center" vertical="center" shrinkToFit="1"/>
      <protection hidden="1"/>
    </xf>
    <xf numFmtId="0" fontId="9" fillId="6" borderId="365" xfId="0" applyFont="1" applyFill="1" applyBorder="1" applyAlignment="1" applyProtection="1">
      <alignment horizontal="center" vertical="center" shrinkToFit="1"/>
      <protection hidden="1"/>
    </xf>
    <xf numFmtId="0" fontId="9" fillId="6" borderId="362" xfId="0" applyFont="1" applyFill="1" applyBorder="1" applyAlignment="1" applyProtection="1">
      <alignment horizontal="center" vertical="center" shrinkToFit="1"/>
      <protection hidden="1"/>
    </xf>
    <xf numFmtId="0" fontId="9" fillId="6" borderId="361" xfId="0" applyFont="1" applyFill="1" applyBorder="1" applyAlignment="1" applyProtection="1">
      <alignment horizontal="center" vertical="center" shrinkToFit="1"/>
      <protection hidden="1"/>
    </xf>
    <xf numFmtId="0" fontId="9" fillId="6" borderId="157" xfId="0" applyFont="1" applyFill="1" applyBorder="1" applyAlignment="1" applyProtection="1">
      <alignment horizontal="center" vertical="center" shrinkToFit="1"/>
      <protection hidden="1"/>
    </xf>
    <xf numFmtId="0" fontId="9" fillId="6" borderId="156" xfId="0" applyFont="1" applyFill="1" applyBorder="1" applyAlignment="1" applyProtection="1">
      <alignment horizontal="center" vertical="center" shrinkToFit="1"/>
      <protection hidden="1"/>
    </xf>
    <xf numFmtId="0" fontId="9" fillId="6" borderId="364" xfId="0" applyFont="1" applyFill="1" applyBorder="1" applyAlignment="1" applyProtection="1">
      <alignment horizontal="center" vertical="center" shrinkToFit="1"/>
      <protection hidden="1"/>
    </xf>
    <xf numFmtId="0" fontId="33" fillId="15" borderId="114" xfId="0" applyFont="1" applyFill="1" applyBorder="1" applyAlignment="1" applyProtection="1">
      <alignment horizontal="center" vertical="center" shrinkToFit="1"/>
      <protection hidden="1"/>
    </xf>
    <xf numFmtId="0" fontId="33" fillId="0" borderId="134" xfId="0" applyFont="1" applyFill="1" applyBorder="1" applyAlignment="1" applyProtection="1">
      <alignment horizontal="center" vertical="center" shrinkToFit="1"/>
      <protection hidden="1"/>
    </xf>
    <xf numFmtId="0" fontId="33" fillId="0" borderId="133" xfId="0" applyFont="1" applyFill="1" applyBorder="1" applyAlignment="1" applyProtection="1">
      <alignment horizontal="center" vertical="center" shrinkToFit="1"/>
      <protection hidden="1"/>
    </xf>
    <xf numFmtId="0" fontId="33" fillId="15" borderId="279" xfId="0" applyFont="1" applyFill="1" applyBorder="1" applyAlignment="1" applyProtection="1">
      <alignment horizontal="center" vertical="center"/>
      <protection hidden="1"/>
    </xf>
    <xf numFmtId="0" fontId="33" fillId="15" borderId="274" xfId="0" applyFont="1" applyFill="1" applyBorder="1" applyAlignment="1" applyProtection="1">
      <alignment horizontal="center" vertical="center"/>
      <protection hidden="1"/>
    </xf>
    <xf numFmtId="0" fontId="33" fillId="15" borderId="336" xfId="0" applyFont="1" applyFill="1" applyBorder="1" applyAlignment="1" applyProtection="1">
      <alignment horizontal="center" vertical="center" shrinkToFit="1"/>
      <protection hidden="1"/>
    </xf>
    <xf numFmtId="0" fontId="33" fillId="15" borderId="112" xfId="0" applyFont="1" applyFill="1" applyBorder="1" applyAlignment="1" applyProtection="1">
      <alignment horizontal="center" vertical="center" shrinkToFit="1"/>
      <protection hidden="1"/>
    </xf>
    <xf numFmtId="0" fontId="18" fillId="4" borderId="111" xfId="0" applyFont="1" applyFill="1" applyBorder="1" applyAlignment="1" applyProtection="1">
      <alignment horizontal="center" vertical="center" shrinkToFit="1"/>
      <protection hidden="1"/>
    </xf>
    <xf numFmtId="0" fontId="18" fillId="4" borderId="114" xfId="0" applyFont="1" applyFill="1" applyBorder="1" applyAlignment="1" applyProtection="1">
      <alignment horizontal="center" vertical="center" shrinkToFit="1"/>
      <protection hidden="1"/>
    </xf>
    <xf numFmtId="0" fontId="18" fillId="4" borderId="112" xfId="0" applyFont="1" applyFill="1" applyBorder="1" applyAlignment="1" applyProtection="1">
      <alignment horizontal="center" vertical="center" shrinkToFit="1"/>
      <protection hidden="1"/>
    </xf>
    <xf numFmtId="0" fontId="9" fillId="19" borderId="111" xfId="0" applyFont="1" applyFill="1" applyBorder="1" applyAlignment="1" applyProtection="1">
      <alignment horizontal="center" vertical="center" shrinkToFit="1"/>
      <protection locked="0"/>
    </xf>
    <xf numFmtId="0" fontId="9" fillId="19" borderId="114" xfId="0" applyFont="1" applyFill="1" applyBorder="1" applyAlignment="1" applyProtection="1">
      <alignment horizontal="center" vertical="center" shrinkToFit="1"/>
      <protection locked="0"/>
    </xf>
    <xf numFmtId="0" fontId="9" fillId="19" borderId="112" xfId="0" applyFont="1" applyFill="1" applyBorder="1" applyAlignment="1" applyProtection="1">
      <alignment horizontal="center" vertical="center" shrinkToFit="1"/>
      <protection locked="0"/>
    </xf>
    <xf numFmtId="0" fontId="8" fillId="0" borderId="3" xfId="0" applyFont="1" applyFill="1" applyBorder="1" applyAlignment="1" applyProtection="1">
      <alignment horizontal="center" vertical="center" shrinkToFit="1"/>
      <protection hidden="1"/>
    </xf>
    <xf numFmtId="182" fontId="9" fillId="2" borderId="169" xfId="0" applyNumberFormat="1" applyFont="1" applyFill="1" applyBorder="1" applyAlignment="1" applyProtection="1">
      <alignment vertical="center" shrinkToFit="1"/>
      <protection hidden="1"/>
    </xf>
    <xf numFmtId="182" fontId="9" fillId="2" borderId="168" xfId="0" applyNumberFormat="1" applyFont="1" applyFill="1" applyBorder="1" applyAlignment="1" applyProtection="1">
      <alignment vertical="center" shrinkToFit="1"/>
      <protection hidden="1"/>
    </xf>
    <xf numFmtId="182" fontId="9" fillId="7" borderId="155" xfId="0" applyNumberFormat="1" applyFont="1" applyFill="1" applyBorder="1" applyAlignment="1" applyProtection="1">
      <alignment horizontal="right" vertical="center" shrinkToFit="1"/>
      <protection locked="0"/>
    </xf>
    <xf numFmtId="182" fontId="9" fillId="7" borderId="160" xfId="0" applyNumberFormat="1" applyFont="1" applyFill="1" applyBorder="1" applyAlignment="1" applyProtection="1">
      <alignment horizontal="right" vertical="center" shrinkToFit="1"/>
      <protection locked="0"/>
    </xf>
    <xf numFmtId="182" fontId="9" fillId="7" borderId="162" xfId="0" applyNumberFormat="1" applyFont="1" applyFill="1" applyBorder="1" applyAlignment="1" applyProtection="1">
      <alignment horizontal="right" vertical="center" shrinkToFit="1"/>
      <protection locked="0"/>
    </xf>
    <xf numFmtId="0" fontId="9" fillId="6" borderId="218" xfId="0" applyFont="1" applyFill="1" applyBorder="1" applyAlignment="1" applyProtection="1">
      <alignment horizontal="right" vertical="center" shrinkToFit="1"/>
      <protection hidden="1"/>
    </xf>
    <xf numFmtId="0" fontId="9" fillId="6" borderId="217" xfId="0" applyFont="1" applyFill="1" applyBorder="1" applyAlignment="1" applyProtection="1">
      <alignment horizontal="right" vertical="center" shrinkToFit="1"/>
      <protection hidden="1"/>
    </xf>
    <xf numFmtId="0" fontId="9" fillId="6" borderId="216" xfId="0" applyFont="1" applyFill="1" applyBorder="1" applyAlignment="1" applyProtection="1">
      <alignment horizontal="right" vertical="center" shrinkToFit="1"/>
      <protection hidden="1"/>
    </xf>
    <xf numFmtId="0" fontId="9" fillId="16" borderId="371" xfId="0" applyFont="1" applyFill="1" applyBorder="1" applyAlignment="1" applyProtection="1">
      <alignment horizontal="center" vertical="center"/>
      <protection hidden="1"/>
    </xf>
    <xf numFmtId="0" fontId="9" fillId="16" borderId="370" xfId="0" applyFont="1" applyFill="1" applyBorder="1" applyAlignment="1" applyProtection="1">
      <alignment horizontal="center" vertical="center"/>
      <protection hidden="1"/>
    </xf>
    <xf numFmtId="182" fontId="9" fillId="2" borderId="160" xfId="0" applyNumberFormat="1" applyFont="1" applyFill="1" applyBorder="1" applyAlignment="1" applyProtection="1">
      <alignment vertical="center" shrinkToFit="1"/>
      <protection hidden="1"/>
    </xf>
    <xf numFmtId="182" fontId="9" fillId="2" borderId="162" xfId="0" applyNumberFormat="1" applyFont="1" applyFill="1" applyBorder="1" applyAlignment="1" applyProtection="1">
      <alignment vertical="center" shrinkToFit="1"/>
      <protection hidden="1"/>
    </xf>
    <xf numFmtId="0" fontId="9" fillId="9" borderId="111" xfId="0" applyFont="1" applyFill="1" applyBorder="1" applyAlignment="1" applyProtection="1">
      <alignment horizontal="right" vertical="center"/>
      <protection hidden="1"/>
    </xf>
    <xf numFmtId="0" fontId="9" fillId="9" borderId="114" xfId="0" applyFont="1" applyFill="1" applyBorder="1" applyAlignment="1" applyProtection="1">
      <alignment horizontal="right" vertical="center"/>
      <protection hidden="1"/>
    </xf>
    <xf numFmtId="0" fontId="9" fillId="9" borderId="112" xfId="0" applyFont="1" applyFill="1" applyBorder="1" applyAlignment="1" applyProtection="1">
      <alignment horizontal="right" vertical="center"/>
      <protection hidden="1"/>
    </xf>
    <xf numFmtId="0" fontId="20" fillId="21" borderId="117" xfId="0" applyFont="1" applyFill="1" applyBorder="1" applyAlignment="1" applyProtection="1">
      <alignment horizontal="center" shrinkToFit="1"/>
      <protection hidden="1"/>
    </xf>
    <xf numFmtId="0" fontId="204" fillId="21" borderId="369" xfId="0" applyFont="1" applyFill="1" applyBorder="1" applyAlignment="1" applyProtection="1">
      <alignment horizontal="center" vertical="center"/>
      <protection hidden="1"/>
    </xf>
    <xf numFmtId="0" fontId="204" fillId="21" borderId="293" xfId="0" applyFont="1" applyFill="1" applyBorder="1" applyAlignment="1" applyProtection="1">
      <alignment horizontal="center" vertical="center"/>
      <protection hidden="1"/>
    </xf>
    <xf numFmtId="0" fontId="204" fillId="21" borderId="363" xfId="0" applyFont="1" applyFill="1" applyBorder="1" applyAlignment="1" applyProtection="1">
      <alignment horizontal="center" vertical="center"/>
      <protection hidden="1"/>
    </xf>
    <xf numFmtId="0" fontId="204" fillId="21" borderId="362" xfId="0" applyFont="1" applyFill="1" applyBorder="1" applyAlignment="1" applyProtection="1">
      <alignment horizontal="center" vertical="center"/>
      <protection hidden="1"/>
    </xf>
    <xf numFmtId="0" fontId="204" fillId="21" borderId="0" xfId="0" applyFont="1" applyFill="1" applyBorder="1" applyAlignment="1" applyProtection="1">
      <alignment horizontal="center" vertical="center"/>
      <protection hidden="1"/>
    </xf>
    <xf numFmtId="0" fontId="204" fillId="21" borderId="358" xfId="0" applyFont="1" applyFill="1" applyBorder="1" applyAlignment="1" applyProtection="1">
      <alignment horizontal="center" vertical="center"/>
      <protection hidden="1"/>
    </xf>
    <xf numFmtId="0" fontId="203" fillId="15" borderId="0" xfId="0" applyFont="1" applyFill="1" applyBorder="1" applyAlignment="1" applyProtection="1">
      <alignment horizontal="center" vertical="center"/>
      <protection hidden="1"/>
    </xf>
    <xf numFmtId="182" fontId="9" fillId="2" borderId="155" xfId="0" applyNumberFormat="1" applyFont="1" applyFill="1" applyBorder="1" applyAlignment="1" applyProtection="1">
      <alignment vertical="center" shrinkToFit="1"/>
      <protection hidden="1"/>
    </xf>
    <xf numFmtId="0" fontId="9" fillId="6" borderId="368" xfId="0" applyFont="1" applyFill="1" applyBorder="1" applyAlignment="1" applyProtection="1">
      <alignment horizontal="center" vertical="center" shrinkToFit="1"/>
      <protection hidden="1"/>
    </xf>
    <xf numFmtId="0" fontId="9" fillId="6" borderId="367" xfId="0" applyFont="1" applyFill="1" applyBorder="1" applyAlignment="1" applyProtection="1">
      <alignment horizontal="center" vertical="center" shrinkToFit="1"/>
      <protection hidden="1"/>
    </xf>
    <xf numFmtId="0" fontId="9" fillId="6" borderId="366" xfId="0" applyFont="1" applyFill="1" applyBorder="1" applyAlignment="1" applyProtection="1">
      <alignment horizontal="center" vertical="center" shrinkToFit="1"/>
      <protection hidden="1"/>
    </xf>
    <xf numFmtId="0" fontId="9" fillId="6" borderId="364" xfId="0" applyFont="1" applyFill="1" applyBorder="1" applyAlignment="1" applyProtection="1">
      <alignment horizontal="center" vertical="center" wrapText="1" shrinkToFit="1"/>
      <protection hidden="1"/>
    </xf>
    <xf numFmtId="0" fontId="9" fillId="6" borderId="360" xfId="0" applyFont="1" applyFill="1" applyBorder="1" applyAlignment="1" applyProtection="1">
      <alignment horizontal="center" vertical="center" shrinkToFit="1"/>
      <protection hidden="1"/>
    </xf>
    <xf numFmtId="0" fontId="9" fillId="6" borderId="98" xfId="0" applyFont="1" applyFill="1" applyBorder="1" applyAlignment="1" applyProtection="1">
      <alignment horizontal="center" vertical="center" shrinkToFit="1"/>
      <protection hidden="1"/>
    </xf>
    <xf numFmtId="0" fontId="9" fillId="6" borderId="359" xfId="0" applyFont="1" applyFill="1" applyBorder="1" applyAlignment="1" applyProtection="1">
      <alignment horizontal="center" vertical="center" shrinkToFit="1"/>
      <protection hidden="1"/>
    </xf>
    <xf numFmtId="0" fontId="33" fillId="16" borderId="356" xfId="0" applyFont="1" applyFill="1" applyBorder="1" applyAlignment="1" applyProtection="1">
      <alignment horizontal="center" vertical="center" shrinkToFit="1"/>
      <protection hidden="1"/>
    </xf>
    <xf numFmtId="0" fontId="33" fillId="16" borderId="160" xfId="0" applyFont="1" applyFill="1" applyBorder="1" applyAlignment="1" applyProtection="1">
      <alignment horizontal="center" vertical="center" shrinkToFit="1"/>
      <protection hidden="1"/>
    </xf>
    <xf numFmtId="0" fontId="33" fillId="16" borderId="162" xfId="0" applyFont="1" applyFill="1" applyBorder="1" applyAlignment="1" applyProtection="1">
      <alignment horizontal="center" vertical="center" shrinkToFit="1"/>
      <protection hidden="1"/>
    </xf>
    <xf numFmtId="0" fontId="9" fillId="6" borderId="358" xfId="0" applyFont="1" applyFill="1" applyBorder="1" applyAlignment="1" applyProtection="1">
      <alignment horizontal="center" vertical="top" textRotation="180" shrinkToFit="1"/>
      <protection hidden="1"/>
    </xf>
    <xf numFmtId="0" fontId="9" fillId="6" borderId="363" xfId="0" applyFont="1" applyFill="1" applyBorder="1" applyAlignment="1" applyProtection="1">
      <alignment horizontal="center" vertical="center" shrinkToFit="1"/>
      <protection hidden="1"/>
    </xf>
    <xf numFmtId="176" fontId="9" fillId="16" borderId="0" xfId="0" applyNumberFormat="1" applyFont="1" applyFill="1" applyBorder="1" applyAlignment="1" applyProtection="1">
      <alignment horizontal="center" vertical="center" shrinkToFit="1"/>
      <protection hidden="1"/>
    </xf>
    <xf numFmtId="0" fontId="33" fillId="0" borderId="336" xfId="0" applyFont="1" applyFill="1" applyBorder="1" applyAlignment="1" applyProtection="1">
      <alignment horizontal="center" vertical="center" shrinkToFit="1"/>
      <protection hidden="1"/>
    </xf>
    <xf numFmtId="0" fontId="33" fillId="0" borderId="333" xfId="0" applyFont="1" applyFill="1" applyBorder="1" applyAlignment="1" applyProtection="1">
      <alignment horizontal="center" vertical="center" shrinkToFit="1"/>
      <protection hidden="1"/>
    </xf>
    <xf numFmtId="0" fontId="9" fillId="6" borderId="358" xfId="0" applyFont="1" applyFill="1" applyBorder="1" applyAlignment="1" applyProtection="1">
      <alignment horizontal="center" vertical="center" shrinkToFit="1"/>
      <protection hidden="1"/>
    </xf>
    <xf numFmtId="0" fontId="33" fillId="15" borderId="333" xfId="0" applyFont="1" applyFill="1" applyBorder="1" applyAlignment="1" applyProtection="1">
      <alignment horizontal="center" vertical="center" shrinkToFit="1"/>
      <protection hidden="1"/>
    </xf>
    <xf numFmtId="0" fontId="18" fillId="10" borderId="111" xfId="0" applyFont="1" applyFill="1" applyBorder="1" applyAlignment="1" applyProtection="1">
      <alignment horizontal="center" vertical="center" shrinkToFit="1"/>
      <protection locked="0"/>
    </xf>
    <xf numFmtId="0" fontId="18" fillId="10" borderId="114" xfId="0" applyFont="1" applyFill="1" applyBorder="1" applyAlignment="1" applyProtection="1">
      <alignment horizontal="center" vertical="center" shrinkToFit="1"/>
      <protection locked="0"/>
    </xf>
    <xf numFmtId="0" fontId="18" fillId="10" borderId="112" xfId="0" applyFont="1" applyFill="1" applyBorder="1" applyAlignment="1" applyProtection="1">
      <alignment horizontal="center" vertical="center" shrinkToFit="1"/>
      <protection locked="0"/>
    </xf>
    <xf numFmtId="49" fontId="33" fillId="16" borderId="356" xfId="0" applyNumberFormat="1" applyFont="1" applyFill="1" applyBorder="1" applyAlignment="1" applyProtection="1">
      <alignment horizontal="center" vertical="center" shrinkToFit="1"/>
      <protection hidden="1"/>
    </xf>
    <xf numFmtId="184" fontId="9" fillId="19" borderId="109" xfId="0" quotePrefix="1" applyNumberFormat="1" applyFont="1" applyFill="1" applyBorder="1" applyAlignment="1" applyProtection="1">
      <alignment horizontal="center" vertical="center" shrinkToFit="1"/>
      <protection locked="0"/>
    </xf>
    <xf numFmtId="184" fontId="9" fillId="19" borderId="109" xfId="0" applyNumberFormat="1" applyFont="1" applyFill="1" applyBorder="1" applyAlignment="1" applyProtection="1">
      <alignment horizontal="center" vertical="center" shrinkToFit="1"/>
      <protection locked="0"/>
    </xf>
    <xf numFmtId="184" fontId="9" fillId="16" borderId="114" xfId="0" quotePrefix="1" applyNumberFormat="1" applyFont="1" applyFill="1" applyBorder="1" applyAlignment="1" applyProtection="1">
      <alignment horizontal="center" vertical="center" shrinkToFit="1"/>
      <protection hidden="1"/>
    </xf>
    <xf numFmtId="0" fontId="9" fillId="3" borderId="111" xfId="0" applyFont="1" applyFill="1" applyBorder="1" applyAlignment="1" applyProtection="1">
      <alignment horizontal="right" vertical="center"/>
      <protection hidden="1"/>
    </xf>
    <xf numFmtId="0" fontId="9" fillId="3" borderId="114" xfId="0" applyFont="1" applyFill="1" applyBorder="1" applyAlignment="1" applyProtection="1">
      <alignment horizontal="right" vertical="center"/>
      <protection hidden="1"/>
    </xf>
    <xf numFmtId="0" fontId="9" fillId="3" borderId="114" xfId="0" applyFont="1" applyFill="1" applyBorder="1" applyAlignment="1" applyProtection="1">
      <alignment horizontal="center" vertical="center"/>
      <protection hidden="1"/>
    </xf>
    <xf numFmtId="0" fontId="9" fillId="3" borderId="112" xfId="0" applyFont="1" applyFill="1" applyBorder="1" applyAlignment="1" applyProtection="1">
      <alignment horizontal="center" vertical="center"/>
      <protection hidden="1"/>
    </xf>
    <xf numFmtId="0" fontId="30" fillId="16" borderId="155" xfId="0" applyFont="1" applyFill="1" applyBorder="1" applyAlignment="1" applyProtection="1">
      <alignment horizontal="center" vertical="center"/>
      <protection hidden="1"/>
    </xf>
    <xf numFmtId="0" fontId="30" fillId="16" borderId="160" xfId="0" applyFont="1" applyFill="1" applyBorder="1" applyAlignment="1" applyProtection="1">
      <alignment horizontal="center" vertical="center"/>
      <protection hidden="1"/>
    </xf>
    <xf numFmtId="0" fontId="30" fillId="16" borderId="162" xfId="0" applyFont="1" applyFill="1" applyBorder="1" applyAlignment="1" applyProtection="1">
      <alignment horizontal="center" vertical="center"/>
      <protection hidden="1"/>
    </xf>
    <xf numFmtId="0" fontId="33" fillId="16" borderId="50" xfId="0" applyFont="1" applyFill="1" applyBorder="1" applyAlignment="1" applyProtection="1">
      <alignment horizontal="center" vertical="center" shrinkToFit="1"/>
      <protection hidden="1"/>
    </xf>
    <xf numFmtId="0" fontId="33" fillId="16" borderId="206" xfId="0" applyFont="1" applyFill="1" applyBorder="1" applyAlignment="1" applyProtection="1">
      <alignment horizontal="center" vertical="center" shrinkToFit="1"/>
      <protection hidden="1"/>
    </xf>
    <xf numFmtId="181" fontId="9" fillId="3" borderId="114" xfId="0" applyNumberFormat="1" applyFont="1" applyFill="1" applyBorder="1" applyAlignment="1" applyProtection="1">
      <alignment horizontal="left" vertical="center" shrinkToFit="1"/>
      <protection hidden="1"/>
    </xf>
    <xf numFmtId="181" fontId="9" fillId="3" borderId="112" xfId="0" applyNumberFormat="1" applyFont="1" applyFill="1" applyBorder="1" applyAlignment="1" applyProtection="1">
      <alignment horizontal="left" vertical="center" shrinkToFit="1"/>
      <protection hidden="1"/>
    </xf>
    <xf numFmtId="181" fontId="33" fillId="3" borderId="114" xfId="0" applyNumberFormat="1" applyFont="1" applyFill="1" applyBorder="1" applyAlignment="1" applyProtection="1">
      <alignment horizontal="left" vertical="center" shrinkToFit="1"/>
      <protection hidden="1"/>
    </xf>
    <xf numFmtId="181" fontId="33" fillId="3" borderId="112" xfId="0" applyNumberFormat="1" applyFont="1" applyFill="1" applyBorder="1" applyAlignment="1" applyProtection="1">
      <alignment horizontal="left" vertical="center" shrinkToFit="1"/>
      <protection hidden="1"/>
    </xf>
    <xf numFmtId="0" fontId="33" fillId="3" borderId="206" xfId="0" applyFont="1" applyFill="1" applyBorder="1" applyAlignment="1" applyProtection="1">
      <alignment horizontal="center" vertical="center" shrinkToFit="1"/>
      <protection hidden="1"/>
    </xf>
    <xf numFmtId="0" fontId="33" fillId="3" borderId="51" xfId="0" applyFont="1" applyFill="1" applyBorder="1" applyAlignment="1" applyProtection="1">
      <alignment horizontal="center" vertical="center" shrinkToFit="1"/>
      <protection hidden="1"/>
    </xf>
    <xf numFmtId="181" fontId="9" fillId="3" borderId="97" xfId="0" applyNumberFormat="1" applyFont="1" applyFill="1" applyBorder="1" applyAlignment="1" applyProtection="1">
      <alignment horizontal="left" vertical="center" shrinkToFit="1"/>
      <protection hidden="1"/>
    </xf>
    <xf numFmtId="0" fontId="9" fillId="3" borderId="109" xfId="0" applyFont="1" applyFill="1" applyBorder="1" applyAlignment="1" applyProtection="1">
      <alignment horizontal="center" vertical="center" shrinkToFit="1"/>
      <protection hidden="1"/>
    </xf>
    <xf numFmtId="0" fontId="9" fillId="3" borderId="111" xfId="0" applyFont="1" applyFill="1" applyBorder="1" applyAlignment="1" applyProtection="1">
      <alignment horizontal="center" vertical="center" shrinkToFit="1"/>
      <protection hidden="1"/>
    </xf>
    <xf numFmtId="0" fontId="9" fillId="3" borderId="114" xfId="0" applyFont="1" applyFill="1" applyBorder="1" applyAlignment="1" applyProtection="1">
      <alignment horizontal="center" vertical="center" shrinkToFit="1"/>
      <protection hidden="1"/>
    </xf>
    <xf numFmtId="0" fontId="9" fillId="3" borderId="112" xfId="0" applyFont="1" applyFill="1" applyBorder="1" applyAlignment="1" applyProtection="1">
      <alignment horizontal="center" vertical="center" shrinkToFit="1"/>
      <protection hidden="1"/>
    </xf>
    <xf numFmtId="0" fontId="9" fillId="2" borderId="111" xfId="0" applyFont="1" applyFill="1" applyBorder="1" applyAlignment="1" applyProtection="1">
      <alignment horizontal="center" vertical="center" shrinkToFit="1"/>
      <protection hidden="1"/>
    </xf>
    <xf numFmtId="0" fontId="9" fillId="2" borderId="114" xfId="0" applyFont="1" applyFill="1" applyBorder="1" applyAlignment="1" applyProtection="1">
      <alignment horizontal="center" vertical="center" shrinkToFit="1"/>
      <protection hidden="1"/>
    </xf>
    <xf numFmtId="0" fontId="9" fillId="2" borderId="112" xfId="0" applyFont="1" applyFill="1" applyBorder="1" applyAlignment="1" applyProtection="1">
      <alignment horizontal="center" vertical="center" shrinkToFit="1"/>
      <protection hidden="1"/>
    </xf>
    <xf numFmtId="180" fontId="9" fillId="4" borderId="111" xfId="0" quotePrefix="1" applyNumberFormat="1" applyFont="1" applyFill="1" applyBorder="1" applyAlignment="1" applyProtection="1">
      <alignment horizontal="right" vertical="center" shrinkToFit="1"/>
      <protection hidden="1"/>
    </xf>
    <xf numFmtId="180" fontId="9" fillId="4" borderId="114" xfId="0" applyNumberFormat="1" applyFont="1" applyFill="1" applyBorder="1" applyAlignment="1" applyProtection="1">
      <alignment horizontal="right" vertical="center" shrinkToFit="1"/>
      <protection hidden="1"/>
    </xf>
    <xf numFmtId="180" fontId="9" fillId="4" borderId="112" xfId="0" applyNumberFormat="1" applyFont="1" applyFill="1" applyBorder="1" applyAlignment="1" applyProtection="1">
      <alignment horizontal="right" vertical="center" shrinkToFit="1"/>
      <protection hidden="1"/>
    </xf>
    <xf numFmtId="0" fontId="9" fillId="3" borderId="111" xfId="0" applyFont="1" applyFill="1" applyBorder="1" applyAlignment="1" applyProtection="1">
      <alignment horizontal="left" vertical="center" indent="1" shrinkToFit="1"/>
      <protection hidden="1"/>
    </xf>
    <xf numFmtId="0" fontId="9" fillId="3" borderId="114" xfId="0" applyFont="1" applyFill="1" applyBorder="1" applyAlignment="1" applyProtection="1">
      <alignment horizontal="left" vertical="center" indent="1" shrinkToFit="1"/>
      <protection hidden="1"/>
    </xf>
    <xf numFmtId="0" fontId="9" fillId="3" borderId="112" xfId="0" applyFont="1" applyFill="1" applyBorder="1" applyAlignment="1" applyProtection="1">
      <alignment horizontal="left" vertical="center" indent="1" shrinkToFit="1"/>
      <protection hidden="1"/>
    </xf>
    <xf numFmtId="0" fontId="9" fillId="3" borderId="111" xfId="0" applyFont="1" applyFill="1" applyBorder="1" applyAlignment="1" applyProtection="1">
      <alignment horizontal="center" vertical="center"/>
      <protection hidden="1"/>
    </xf>
    <xf numFmtId="0" fontId="9" fillId="3" borderId="97" xfId="0" applyFont="1" applyFill="1" applyBorder="1" applyAlignment="1" applyProtection="1">
      <alignment horizontal="center" vertical="center" shrinkToFit="1"/>
      <protection hidden="1"/>
    </xf>
    <xf numFmtId="0" fontId="9" fillId="16" borderId="206" xfId="0" applyFont="1" applyFill="1" applyBorder="1" applyAlignment="1" applyProtection="1">
      <alignment horizontal="center" vertical="center" shrinkToFit="1"/>
      <protection hidden="1"/>
    </xf>
    <xf numFmtId="0" fontId="9" fillId="16" borderId="120" xfId="0" applyFont="1" applyFill="1" applyBorder="1" applyAlignment="1" applyProtection="1">
      <alignment horizontal="center" vertical="center" shrinkToFit="1"/>
      <protection hidden="1"/>
    </xf>
    <xf numFmtId="0" fontId="9" fillId="3" borderId="50" xfId="0" applyFont="1" applyFill="1" applyBorder="1" applyAlignment="1" applyProtection="1">
      <alignment horizontal="center" vertical="center"/>
      <protection hidden="1"/>
    </xf>
    <xf numFmtId="0" fontId="9" fillId="3" borderId="206" xfId="0" applyFont="1" applyFill="1" applyBorder="1" applyAlignment="1" applyProtection="1">
      <alignment horizontal="center" vertical="center"/>
      <protection hidden="1"/>
    </xf>
    <xf numFmtId="197" fontId="30" fillId="13" borderId="109" xfId="0" applyNumberFormat="1" applyFont="1" applyFill="1" applyBorder="1" applyAlignment="1" applyProtection="1">
      <alignment horizontal="center" vertical="center" shrinkToFit="1"/>
      <protection locked="0"/>
    </xf>
    <xf numFmtId="182" fontId="9" fillId="3" borderId="111" xfId="0" applyNumberFormat="1" applyFont="1" applyFill="1" applyBorder="1" applyAlignment="1" applyProtection="1">
      <alignment horizontal="right" vertical="center" shrinkToFit="1"/>
      <protection hidden="1"/>
    </xf>
    <xf numFmtId="182" fontId="9" fillId="3" borderId="114" xfId="0" applyNumberFormat="1" applyFont="1" applyFill="1" applyBorder="1" applyAlignment="1" applyProtection="1">
      <alignment horizontal="right" vertical="center" shrinkToFit="1"/>
      <protection hidden="1"/>
    </xf>
    <xf numFmtId="182" fontId="9" fillId="3" borderId="112" xfId="0" applyNumberFormat="1" applyFont="1" applyFill="1" applyBorder="1" applyAlignment="1" applyProtection="1">
      <alignment horizontal="right" vertical="center" shrinkToFit="1"/>
      <protection hidden="1"/>
    </xf>
    <xf numFmtId="0" fontId="9" fillId="13" borderId="111" xfId="0" applyFont="1" applyFill="1" applyBorder="1" applyAlignment="1" applyProtection="1">
      <alignment horizontal="center" vertical="center"/>
      <protection locked="0"/>
    </xf>
    <xf numFmtId="0" fontId="9" fillId="13" borderId="114" xfId="0" applyFont="1" applyFill="1" applyBorder="1" applyAlignment="1" applyProtection="1">
      <alignment horizontal="center" vertical="center"/>
      <protection locked="0"/>
    </xf>
    <xf numFmtId="0" fontId="9" fillId="13" borderId="112" xfId="0" applyFont="1" applyFill="1" applyBorder="1" applyAlignment="1" applyProtection="1">
      <alignment horizontal="center" vertical="center"/>
      <protection locked="0"/>
    </xf>
    <xf numFmtId="0" fontId="9" fillId="3" borderId="111" xfId="0" quotePrefix="1" applyFont="1" applyFill="1" applyBorder="1" applyAlignment="1" applyProtection="1">
      <alignment horizontal="center" vertical="center"/>
      <protection hidden="1"/>
    </xf>
    <xf numFmtId="182" fontId="9" fillId="3" borderId="111" xfId="0" applyNumberFormat="1" applyFont="1" applyFill="1" applyBorder="1" applyAlignment="1" applyProtection="1">
      <alignment horizontal="right" vertical="center"/>
      <protection hidden="1"/>
    </xf>
    <xf numFmtId="182" fontId="9" fillId="3" borderId="114" xfId="0" applyNumberFormat="1" applyFont="1" applyFill="1" applyBorder="1" applyAlignment="1" applyProtection="1">
      <alignment horizontal="right" vertical="center"/>
      <protection hidden="1"/>
    </xf>
    <xf numFmtId="182" fontId="9" fillId="3" borderId="112" xfId="0" applyNumberFormat="1" applyFont="1" applyFill="1" applyBorder="1" applyAlignment="1" applyProtection="1">
      <alignment horizontal="right" vertical="center"/>
      <protection hidden="1"/>
    </xf>
    <xf numFmtId="184" fontId="9" fillId="3" borderId="111" xfId="0" applyNumberFormat="1" applyFont="1" applyFill="1" applyBorder="1" applyAlignment="1" applyProtection="1">
      <alignment horizontal="right" vertical="center" shrinkToFit="1"/>
      <protection hidden="1"/>
    </xf>
    <xf numFmtId="184" fontId="9" fillId="3" borderId="114" xfId="0" applyNumberFormat="1" applyFont="1" applyFill="1" applyBorder="1" applyAlignment="1" applyProtection="1">
      <alignment horizontal="right" vertical="center" shrinkToFit="1"/>
      <protection hidden="1"/>
    </xf>
    <xf numFmtId="184" fontId="9" fillId="3" borderId="112" xfId="0" applyNumberFormat="1" applyFont="1" applyFill="1" applyBorder="1" applyAlignment="1" applyProtection="1">
      <alignment horizontal="right" vertical="center" shrinkToFit="1"/>
      <protection hidden="1"/>
    </xf>
    <xf numFmtId="187" fontId="9" fillId="3" borderId="111" xfId="0" applyNumberFormat="1" applyFont="1" applyFill="1" applyBorder="1" applyAlignment="1" applyProtection="1">
      <alignment horizontal="right" vertical="center" shrinkToFit="1"/>
      <protection hidden="1"/>
    </xf>
    <xf numFmtId="187" fontId="9" fillId="3" borderId="114" xfId="0" applyNumberFormat="1" applyFont="1" applyFill="1" applyBorder="1" applyAlignment="1" applyProtection="1">
      <alignment horizontal="right" vertical="center" shrinkToFit="1"/>
      <protection hidden="1"/>
    </xf>
    <xf numFmtId="187" fontId="9" fillId="3" borderId="112" xfId="0" applyNumberFormat="1" applyFont="1" applyFill="1" applyBorder="1" applyAlignment="1" applyProtection="1">
      <alignment horizontal="right" vertical="center" shrinkToFit="1"/>
      <protection hidden="1"/>
    </xf>
    <xf numFmtId="182" fontId="9" fillId="6" borderId="111" xfId="0" applyNumberFormat="1" applyFont="1" applyFill="1" applyBorder="1" applyAlignment="1" applyProtection="1">
      <alignment horizontal="right" vertical="center"/>
      <protection hidden="1"/>
    </xf>
    <xf numFmtId="182" fontId="9" fillId="6" borderId="114" xfId="0" applyNumberFormat="1" applyFont="1" applyFill="1" applyBorder="1" applyAlignment="1" applyProtection="1">
      <alignment horizontal="right" vertical="center"/>
      <protection hidden="1"/>
    </xf>
    <xf numFmtId="182" fontId="9" fillId="6" borderId="112" xfId="0" applyNumberFormat="1" applyFont="1" applyFill="1" applyBorder="1" applyAlignment="1" applyProtection="1">
      <alignment horizontal="right" vertical="center"/>
      <protection hidden="1"/>
    </xf>
    <xf numFmtId="187" fontId="9" fillId="6" borderId="111" xfId="0" applyNumberFormat="1" applyFont="1" applyFill="1" applyBorder="1" applyAlignment="1" applyProtection="1">
      <alignment horizontal="right" vertical="center" shrinkToFit="1"/>
      <protection hidden="1"/>
    </xf>
    <xf numFmtId="187" fontId="9" fillId="6" borderId="114" xfId="0" applyNumberFormat="1" applyFont="1" applyFill="1" applyBorder="1" applyAlignment="1" applyProtection="1">
      <alignment horizontal="right" vertical="center" shrinkToFit="1"/>
      <protection hidden="1"/>
    </xf>
    <xf numFmtId="187" fontId="9" fillId="6" borderId="112" xfId="0" applyNumberFormat="1" applyFont="1" applyFill="1" applyBorder="1" applyAlignment="1" applyProtection="1">
      <alignment horizontal="right" vertical="center" shrinkToFit="1"/>
      <protection hidden="1"/>
    </xf>
    <xf numFmtId="182" fontId="9" fillId="15" borderId="0" xfId="0" applyNumberFormat="1" applyFont="1" applyFill="1" applyBorder="1" applyAlignment="1" applyProtection="1">
      <alignment horizontal="center" vertical="center"/>
      <protection hidden="1"/>
    </xf>
    <xf numFmtId="182" fontId="9" fillId="15" borderId="0" xfId="0" applyNumberFormat="1" applyFont="1" applyFill="1" applyBorder="1" applyAlignment="1" applyProtection="1">
      <alignment horizontal="right" vertical="center"/>
      <protection hidden="1"/>
    </xf>
    <xf numFmtId="182" fontId="9" fillId="3" borderId="111" xfId="0" quotePrefix="1" applyNumberFormat="1" applyFont="1" applyFill="1" applyBorder="1" applyAlignment="1" applyProtection="1">
      <alignment horizontal="right" vertical="center" shrinkToFit="1"/>
      <protection hidden="1"/>
    </xf>
    <xf numFmtId="181" fontId="9" fillId="16" borderId="111" xfId="0" applyNumberFormat="1" applyFont="1" applyFill="1" applyBorder="1" applyAlignment="1" applyProtection="1">
      <alignment horizontal="right" vertical="center" shrinkToFit="1"/>
      <protection hidden="1"/>
    </xf>
    <xf numFmtId="181" fontId="9" fillId="16" borderId="114" xfId="0" applyNumberFormat="1" applyFont="1" applyFill="1" applyBorder="1" applyAlignment="1" applyProtection="1">
      <alignment horizontal="right" vertical="center" shrinkToFit="1"/>
      <protection hidden="1"/>
    </xf>
    <xf numFmtId="0" fontId="9" fillId="16" borderId="112" xfId="0" applyFont="1" applyFill="1" applyBorder="1" applyAlignment="1" applyProtection="1">
      <alignment horizontal="left" vertical="center"/>
      <protection hidden="1"/>
    </xf>
    <xf numFmtId="181" fontId="9" fillId="16" borderId="111" xfId="0" applyNumberFormat="1" applyFont="1" applyFill="1" applyBorder="1" applyAlignment="1" applyProtection="1">
      <alignment horizontal="center" vertical="center"/>
      <protection hidden="1"/>
    </xf>
    <xf numFmtId="181" fontId="9" fillId="16" borderId="114" xfId="0" applyNumberFormat="1" applyFont="1" applyFill="1" applyBorder="1" applyAlignment="1" applyProtection="1">
      <alignment horizontal="center" vertical="center"/>
      <protection hidden="1"/>
    </xf>
    <xf numFmtId="181" fontId="9" fillId="16" borderId="112" xfId="0" applyNumberFormat="1" applyFont="1" applyFill="1" applyBorder="1" applyAlignment="1" applyProtection="1">
      <alignment horizontal="center" vertical="center"/>
      <protection hidden="1"/>
    </xf>
    <xf numFmtId="181" fontId="9" fillId="13" borderId="111" xfId="0" applyNumberFormat="1" applyFont="1" applyFill="1" applyBorder="1" applyAlignment="1" applyProtection="1">
      <alignment horizontal="center" vertical="center" shrinkToFit="1"/>
      <protection locked="0"/>
    </xf>
    <xf numFmtId="181" fontId="9" fillId="13" borderId="112" xfId="0" applyNumberFormat="1" applyFont="1" applyFill="1" applyBorder="1" applyAlignment="1" applyProtection="1">
      <alignment horizontal="center" vertical="center" shrinkToFit="1"/>
      <protection locked="0"/>
    </xf>
    <xf numFmtId="0" fontId="29" fillId="16" borderId="111" xfId="0" applyFont="1" applyFill="1" applyBorder="1" applyAlignment="1" applyProtection="1">
      <alignment horizontal="center" vertical="center" shrinkToFit="1"/>
      <protection hidden="1"/>
    </xf>
    <xf numFmtId="0" fontId="29" fillId="16" borderId="114" xfId="0" applyFont="1" applyFill="1" applyBorder="1" applyAlignment="1" applyProtection="1">
      <alignment horizontal="center" vertical="center" shrinkToFit="1"/>
      <protection hidden="1"/>
    </xf>
    <xf numFmtId="0" fontId="29" fillId="16" borderId="112" xfId="0" applyFont="1" applyFill="1" applyBorder="1" applyAlignment="1" applyProtection="1">
      <alignment horizontal="center" vertical="center" shrinkToFit="1"/>
      <protection hidden="1"/>
    </xf>
    <xf numFmtId="0" fontId="9" fillId="32" borderId="362" xfId="0" applyFont="1" applyFill="1" applyBorder="1" applyAlignment="1" applyProtection="1">
      <alignment horizontal="center" vertical="center"/>
      <protection hidden="1"/>
    </xf>
    <xf numFmtId="0" fontId="9" fillId="32" borderId="0" xfId="0" applyFont="1" applyFill="1" applyBorder="1" applyAlignment="1" applyProtection="1">
      <alignment horizontal="center" vertical="center"/>
      <protection hidden="1"/>
    </xf>
    <xf numFmtId="0" fontId="9" fillId="32" borderId="358" xfId="0" applyFont="1" applyFill="1" applyBorder="1" applyAlignment="1" applyProtection="1">
      <alignment horizontal="center" vertical="center"/>
      <protection hidden="1"/>
    </xf>
    <xf numFmtId="178" fontId="9" fillId="4" borderId="111" xfId="0" applyNumberFormat="1" applyFont="1" applyFill="1" applyBorder="1" applyAlignment="1" applyProtection="1">
      <alignment horizontal="right" vertical="center" shrinkToFit="1"/>
      <protection hidden="1"/>
    </xf>
    <xf numFmtId="178" fontId="9" fillId="4" borderId="114" xfId="0" applyNumberFormat="1" applyFont="1" applyFill="1" applyBorder="1" applyAlignment="1" applyProtection="1">
      <alignment horizontal="right" vertical="center" shrinkToFit="1"/>
      <protection hidden="1"/>
    </xf>
    <xf numFmtId="0" fontId="8" fillId="0" borderId="0" xfId="0" applyFont="1" applyFill="1" applyAlignment="1" applyProtection="1">
      <alignment horizontal="center"/>
      <protection hidden="1"/>
    </xf>
    <xf numFmtId="0" fontId="8" fillId="0" borderId="117" xfId="0" applyFont="1" applyFill="1" applyBorder="1" applyAlignment="1" applyProtection="1">
      <alignment horizontal="center"/>
      <protection hidden="1"/>
    </xf>
    <xf numFmtId="0" fontId="205" fillId="33" borderId="1" xfId="0" applyFont="1" applyFill="1" applyBorder="1" applyAlignment="1" applyProtection="1">
      <alignment horizontal="right" vertical="center" shrinkToFit="1"/>
      <protection hidden="1"/>
    </xf>
    <xf numFmtId="0" fontId="124" fillId="33" borderId="0" xfId="0" applyFont="1" applyFill="1" applyBorder="1" applyAlignment="1" applyProtection="1">
      <alignment horizontal="center" vertical="center"/>
      <protection hidden="1"/>
    </xf>
    <xf numFmtId="0" fontId="205" fillId="33" borderId="0" xfId="0" applyFont="1" applyFill="1" applyBorder="1" applyAlignment="1" applyProtection="1">
      <alignment horizontal="right" vertical="center" shrinkToFit="1"/>
      <protection hidden="1"/>
    </xf>
    <xf numFmtId="0" fontId="124" fillId="3" borderId="0" xfId="0" applyFont="1" applyFill="1" applyBorder="1" applyAlignment="1" applyProtection="1">
      <alignment horizontal="center" vertical="center"/>
      <protection hidden="1"/>
    </xf>
    <xf numFmtId="0" fontId="8" fillId="0" borderId="0" xfId="0" applyFont="1" applyFill="1" applyAlignment="1" applyProtection="1">
      <alignment horizontal="center" shrinkToFit="1"/>
      <protection hidden="1"/>
    </xf>
    <xf numFmtId="182" fontId="9" fillId="2" borderId="111" xfId="0" applyNumberFormat="1" applyFont="1" applyFill="1" applyBorder="1" applyAlignment="1" applyProtection="1">
      <alignment horizontal="center" vertical="center" shrinkToFit="1"/>
      <protection hidden="1"/>
    </xf>
    <xf numFmtId="182" fontId="9" fillId="2" borderId="114" xfId="0" applyNumberFormat="1" applyFont="1" applyFill="1" applyBorder="1" applyAlignment="1" applyProtection="1">
      <alignment horizontal="center" vertical="center" shrinkToFit="1"/>
      <protection hidden="1"/>
    </xf>
    <xf numFmtId="182" fontId="9" fillId="2" borderId="112" xfId="0" applyNumberFormat="1" applyFont="1" applyFill="1" applyBorder="1" applyAlignment="1" applyProtection="1">
      <alignment horizontal="center" vertical="center" shrinkToFit="1"/>
      <protection hidden="1"/>
    </xf>
    <xf numFmtId="0" fontId="9" fillId="4" borderId="111" xfId="0" quotePrefix="1" applyNumberFormat="1" applyFont="1" applyFill="1" applyBorder="1" applyAlignment="1" applyProtection="1">
      <alignment horizontal="center" vertical="center" shrinkToFit="1"/>
      <protection hidden="1"/>
    </xf>
    <xf numFmtId="0" fontId="9" fillId="4" borderId="112" xfId="0" applyNumberFormat="1" applyFont="1" applyFill="1" applyBorder="1" applyAlignment="1" applyProtection="1">
      <alignment horizontal="center" vertical="center" shrinkToFit="1"/>
      <protection hidden="1"/>
    </xf>
    <xf numFmtId="182" fontId="9" fillId="10" borderId="111" xfId="0" applyNumberFormat="1" applyFont="1" applyFill="1" applyBorder="1" applyAlignment="1" applyProtection="1">
      <alignment horizontal="center" vertical="center" shrinkToFit="1"/>
      <protection locked="0"/>
    </xf>
    <xf numFmtId="182" fontId="9" fillId="10" borderId="112" xfId="0" applyNumberFormat="1" applyFont="1" applyFill="1" applyBorder="1" applyAlignment="1" applyProtection="1">
      <alignment horizontal="center" vertical="center" shrinkToFit="1"/>
      <protection locked="0"/>
    </xf>
    <xf numFmtId="182" fontId="9" fillId="2" borderId="109" xfId="0" applyNumberFormat="1" applyFont="1" applyFill="1" applyBorder="1" applyAlignment="1" applyProtection="1">
      <alignment horizontal="center" vertical="center" shrinkToFit="1"/>
      <protection hidden="1"/>
    </xf>
    <xf numFmtId="182" fontId="9" fillId="4" borderId="111" xfId="0" quotePrefix="1" applyNumberFormat="1" applyFont="1" applyFill="1" applyBorder="1" applyAlignment="1" applyProtection="1">
      <alignment horizontal="center" shrinkToFit="1"/>
      <protection hidden="1"/>
    </xf>
    <xf numFmtId="182" fontId="9" fillId="4" borderId="112" xfId="0" applyNumberFormat="1" applyFont="1" applyFill="1" applyBorder="1" applyAlignment="1" applyProtection="1">
      <alignment horizontal="center" shrinkToFit="1"/>
      <protection hidden="1"/>
    </xf>
    <xf numFmtId="0" fontId="9" fillId="16" borderId="114" xfId="0" applyFont="1" applyFill="1" applyBorder="1" applyAlignment="1" applyProtection="1">
      <alignment horizontal="left" vertical="center" shrinkToFit="1"/>
      <protection hidden="1"/>
    </xf>
    <xf numFmtId="0" fontId="9" fillId="16" borderId="112" xfId="0" applyFont="1" applyFill="1" applyBorder="1" applyAlignment="1" applyProtection="1">
      <alignment horizontal="left" vertical="center" shrinkToFit="1"/>
      <protection hidden="1"/>
    </xf>
    <xf numFmtId="182" fontId="9" fillId="2" borderId="111" xfId="0" applyNumberFormat="1" applyFont="1" applyFill="1" applyBorder="1" applyAlignment="1" applyProtection="1">
      <alignment horizontal="right" vertical="center" shrinkToFit="1"/>
      <protection hidden="1"/>
    </xf>
    <xf numFmtId="182" fontId="9" fillId="2" borderId="114" xfId="0" applyNumberFormat="1" applyFont="1" applyFill="1" applyBorder="1" applyAlignment="1" applyProtection="1">
      <alignment horizontal="right" vertical="center" shrinkToFit="1"/>
      <protection hidden="1"/>
    </xf>
    <xf numFmtId="182" fontId="9" fillId="2" borderId="112" xfId="0" applyNumberFormat="1" applyFont="1" applyFill="1" applyBorder="1" applyAlignment="1" applyProtection="1">
      <alignment horizontal="right" vertical="center" shrinkToFit="1"/>
      <protection hidden="1"/>
    </xf>
    <xf numFmtId="176" fontId="8" fillId="0" borderId="0" xfId="0" applyNumberFormat="1" applyFont="1" applyFill="1" applyAlignment="1" applyProtection="1">
      <alignment horizontal="center"/>
      <protection hidden="1"/>
    </xf>
    <xf numFmtId="176" fontId="8" fillId="0" borderId="117" xfId="0" applyNumberFormat="1" applyFont="1" applyFill="1" applyBorder="1" applyAlignment="1" applyProtection="1">
      <alignment horizontal="center"/>
      <protection hidden="1"/>
    </xf>
    <xf numFmtId="0" fontId="9" fillId="3" borderId="118" xfId="0" applyFont="1" applyFill="1" applyBorder="1" applyAlignment="1" applyProtection="1">
      <alignment horizontal="right" vertical="top"/>
      <protection hidden="1"/>
    </xf>
    <xf numFmtId="0" fontId="9" fillId="3" borderId="116" xfId="0" applyFont="1" applyFill="1" applyBorder="1" applyAlignment="1" applyProtection="1">
      <alignment horizontal="right" vertical="top"/>
      <protection hidden="1"/>
    </xf>
    <xf numFmtId="0" fontId="9" fillId="3" borderId="1" xfId="0" applyFont="1" applyFill="1" applyBorder="1" applyAlignment="1" applyProtection="1">
      <alignment horizontal="right" vertical="top"/>
      <protection hidden="1"/>
    </xf>
    <xf numFmtId="0" fontId="9" fillId="3" borderId="0" xfId="0" applyFont="1" applyFill="1" applyBorder="1" applyAlignment="1" applyProtection="1">
      <alignment horizontal="right" vertical="top"/>
      <protection hidden="1"/>
    </xf>
    <xf numFmtId="0" fontId="98" fillId="3" borderId="116" xfId="0" applyFont="1" applyFill="1" applyBorder="1" applyAlignment="1" applyProtection="1">
      <alignment horizontal="left" vertical="top"/>
      <protection hidden="1"/>
    </xf>
    <xf numFmtId="0" fontId="98" fillId="3" borderId="119" xfId="0" applyFont="1" applyFill="1" applyBorder="1" applyAlignment="1" applyProtection="1">
      <alignment horizontal="left" vertical="top"/>
      <protection hidden="1"/>
    </xf>
    <xf numFmtId="0" fontId="98" fillId="3" borderId="0" xfId="0" applyFont="1" applyFill="1" applyBorder="1" applyAlignment="1" applyProtection="1">
      <alignment horizontal="left" vertical="top"/>
      <protection hidden="1"/>
    </xf>
    <xf numFmtId="0" fontId="98" fillId="3" borderId="2" xfId="0" applyFont="1" applyFill="1" applyBorder="1" applyAlignment="1" applyProtection="1">
      <alignment horizontal="left" vertical="top"/>
      <protection hidden="1"/>
    </xf>
    <xf numFmtId="182" fontId="9" fillId="4" borderId="111" xfId="0" applyNumberFormat="1" applyFont="1" applyFill="1" applyBorder="1" applyAlignment="1" applyProtection="1">
      <alignment horizontal="right" vertical="center" shrinkToFit="1"/>
      <protection hidden="1"/>
    </xf>
    <xf numFmtId="182" fontId="9" fillId="4" borderId="114" xfId="0" applyNumberFormat="1" applyFont="1" applyFill="1" applyBorder="1" applyAlignment="1" applyProtection="1">
      <alignment horizontal="right" vertical="center" shrinkToFit="1"/>
      <protection hidden="1"/>
    </xf>
    <xf numFmtId="0" fontId="9" fillId="4" borderId="111" xfId="0" applyFont="1" applyFill="1" applyBorder="1" applyAlignment="1" applyProtection="1">
      <alignment horizontal="center" vertical="center" shrinkToFit="1"/>
      <protection hidden="1"/>
    </xf>
    <xf numFmtId="0" fontId="9" fillId="4" borderId="112" xfId="0" applyFont="1" applyFill="1" applyBorder="1" applyAlignment="1" applyProtection="1">
      <alignment horizontal="center" vertical="center" shrinkToFit="1"/>
      <protection hidden="1"/>
    </xf>
    <xf numFmtId="182" fontId="9" fillId="10" borderId="111" xfId="0" applyNumberFormat="1" applyFont="1" applyFill="1" applyBorder="1" applyAlignment="1" applyProtection="1">
      <alignment horizontal="center" vertical="center" shrinkToFit="1"/>
      <protection hidden="1"/>
    </xf>
    <xf numFmtId="182" fontId="9" fillId="10" borderId="112" xfId="0" applyNumberFormat="1" applyFont="1" applyFill="1" applyBorder="1" applyAlignment="1" applyProtection="1">
      <alignment horizontal="center" vertical="center" shrinkToFit="1"/>
      <protection hidden="1"/>
    </xf>
    <xf numFmtId="181" fontId="9" fillId="16" borderId="111" xfId="0" applyNumberFormat="1" applyFont="1" applyFill="1" applyBorder="1" applyAlignment="1" applyProtection="1">
      <alignment horizontal="center" vertical="center" shrinkToFit="1"/>
      <protection hidden="1"/>
    </xf>
    <xf numFmtId="181" fontId="9" fillId="16" borderId="114" xfId="0" applyNumberFormat="1" applyFont="1" applyFill="1" applyBorder="1" applyAlignment="1" applyProtection="1">
      <alignment horizontal="center" vertical="center" shrinkToFit="1"/>
      <protection hidden="1"/>
    </xf>
    <xf numFmtId="181" fontId="9" fillId="16" borderId="112" xfId="0" applyNumberFormat="1" applyFont="1" applyFill="1" applyBorder="1" applyAlignment="1" applyProtection="1">
      <alignment horizontal="center" vertical="center" shrinkToFit="1"/>
      <protection hidden="1"/>
    </xf>
    <xf numFmtId="0" fontId="9" fillId="16" borderId="111" xfId="0" applyFont="1" applyFill="1" applyBorder="1" applyAlignment="1" applyProtection="1">
      <alignment horizontal="right" vertical="center"/>
      <protection hidden="1"/>
    </xf>
    <xf numFmtId="0" fontId="9" fillId="16" borderId="114" xfId="0" applyFont="1" applyFill="1" applyBorder="1" applyAlignment="1" applyProtection="1">
      <alignment horizontal="right" vertical="center"/>
      <protection hidden="1"/>
    </xf>
    <xf numFmtId="0" fontId="9" fillId="16" borderId="112" xfId="0" applyFont="1" applyFill="1" applyBorder="1" applyAlignment="1" applyProtection="1">
      <alignment horizontal="right" vertical="center"/>
      <protection hidden="1"/>
    </xf>
    <xf numFmtId="181" fontId="9" fillId="3" borderId="111" xfId="0" applyNumberFormat="1" applyFont="1" applyFill="1" applyBorder="1" applyAlignment="1" applyProtection="1">
      <alignment horizontal="center" vertical="center" shrinkToFit="1"/>
      <protection hidden="1"/>
    </xf>
    <xf numFmtId="181" fontId="9" fillId="3" borderId="114" xfId="0" applyNumberFormat="1" applyFont="1" applyFill="1" applyBorder="1" applyAlignment="1" applyProtection="1">
      <alignment horizontal="center" vertical="center" shrinkToFit="1"/>
      <protection hidden="1"/>
    </xf>
    <xf numFmtId="181" fontId="9" fillId="3" borderId="112" xfId="0" applyNumberFormat="1" applyFont="1" applyFill="1" applyBorder="1" applyAlignment="1" applyProtection="1">
      <alignment horizontal="center" vertical="center" shrinkToFit="1"/>
      <protection hidden="1"/>
    </xf>
    <xf numFmtId="0" fontId="9" fillId="3" borderId="111" xfId="0" quotePrefix="1" applyFont="1" applyFill="1" applyBorder="1" applyAlignment="1" applyProtection="1">
      <alignment horizontal="center" vertical="center" shrinkToFit="1"/>
      <protection hidden="1"/>
    </xf>
    <xf numFmtId="0" fontId="33" fillId="16" borderId="51" xfId="0" applyFont="1" applyFill="1" applyBorder="1" applyAlignment="1" applyProtection="1">
      <alignment horizontal="center" vertical="center" shrinkToFit="1"/>
      <protection hidden="1"/>
    </xf>
    <xf numFmtId="0" fontId="33" fillId="16" borderId="114" xfId="0" applyFont="1" applyFill="1" applyBorder="1" applyAlignment="1" applyProtection="1">
      <alignment horizontal="center" vertical="center" shrinkToFit="1"/>
      <protection hidden="1"/>
    </xf>
    <xf numFmtId="181" fontId="33" fillId="3" borderId="114" xfId="0" applyNumberFormat="1" applyFont="1" applyFill="1" applyBorder="1" applyAlignment="1" applyProtection="1">
      <alignment horizontal="center" vertical="center" shrinkToFit="1"/>
      <protection hidden="1"/>
    </xf>
    <xf numFmtId="181" fontId="33" fillId="3" borderId="97" xfId="0" applyNumberFormat="1" applyFont="1" applyFill="1" applyBorder="1" applyAlignment="1" applyProtection="1">
      <alignment horizontal="center" vertical="center" shrinkToFit="1"/>
      <protection hidden="1"/>
    </xf>
    <xf numFmtId="0" fontId="9" fillId="6" borderId="111" xfId="0" applyFont="1" applyFill="1" applyBorder="1" applyAlignment="1" applyProtection="1">
      <alignment horizontal="center" vertical="center" wrapText="1" shrinkToFit="1"/>
      <protection hidden="1"/>
    </xf>
    <xf numFmtId="0" fontId="9" fillId="6" borderId="114" xfId="0" applyFont="1" applyFill="1" applyBorder="1" applyAlignment="1" applyProtection="1">
      <alignment horizontal="center" vertical="center" wrapText="1" shrinkToFit="1"/>
      <protection hidden="1"/>
    </xf>
    <xf numFmtId="0" fontId="9" fillId="6" borderId="112" xfId="0" applyFont="1" applyFill="1" applyBorder="1" applyAlignment="1" applyProtection="1">
      <alignment horizontal="center" vertical="center" wrapText="1" shrinkToFit="1"/>
      <protection hidden="1"/>
    </xf>
    <xf numFmtId="0" fontId="9" fillId="31" borderId="111" xfId="0" applyFont="1" applyFill="1" applyBorder="1" applyAlignment="1" applyProtection="1">
      <alignment horizontal="right" vertical="center" shrinkToFit="1"/>
      <protection hidden="1"/>
    </xf>
    <xf numFmtId="0" fontId="9" fillId="31" borderId="114" xfId="0" applyFont="1" applyFill="1" applyBorder="1" applyAlignment="1" applyProtection="1">
      <alignment horizontal="right" vertical="center" shrinkToFit="1"/>
      <protection hidden="1"/>
    </xf>
    <xf numFmtId="0" fontId="9" fillId="19" borderId="111" xfId="0" applyFont="1" applyFill="1" applyBorder="1" applyAlignment="1" applyProtection="1">
      <alignment horizontal="center" vertical="center"/>
      <protection locked="0"/>
    </xf>
    <xf numFmtId="0" fontId="9" fillId="19" borderId="114" xfId="0" applyFont="1" applyFill="1" applyBorder="1" applyAlignment="1" applyProtection="1">
      <alignment horizontal="center" vertical="center"/>
      <protection locked="0"/>
    </xf>
    <xf numFmtId="0" fontId="9" fillId="19" borderId="112" xfId="0" applyFont="1" applyFill="1" applyBorder="1" applyAlignment="1" applyProtection="1">
      <alignment horizontal="center" vertical="center"/>
      <protection locked="0"/>
    </xf>
    <xf numFmtId="0" fontId="9" fillId="19" borderId="111" xfId="0" applyFont="1" applyFill="1" applyBorder="1" applyAlignment="1" applyProtection="1">
      <alignment horizontal="center" vertical="center" textRotation="91" shrinkToFit="1"/>
      <protection locked="0"/>
    </xf>
    <xf numFmtId="0" fontId="9" fillId="19" borderId="114" xfId="0" applyFont="1" applyFill="1" applyBorder="1" applyAlignment="1" applyProtection="1">
      <alignment horizontal="center" vertical="center" textRotation="91" shrinkToFit="1"/>
      <protection locked="0"/>
    </xf>
    <xf numFmtId="0" fontId="9" fillId="19" borderId="112" xfId="0" applyFont="1" applyFill="1" applyBorder="1" applyAlignment="1" applyProtection="1">
      <alignment horizontal="center" vertical="center" textRotation="91" shrinkToFit="1"/>
      <protection locked="0"/>
    </xf>
    <xf numFmtId="179" fontId="2" fillId="0" borderId="0" xfId="0" applyNumberFormat="1" applyFont="1" applyFill="1" applyAlignment="1" applyProtection="1">
      <alignment horizontal="center" vertical="center"/>
      <protection hidden="1"/>
    </xf>
    <xf numFmtId="0" fontId="20" fillId="21" borderId="362" xfId="0" applyFont="1" applyFill="1" applyBorder="1" applyAlignment="1" applyProtection="1">
      <alignment horizontal="center" vertical="center"/>
      <protection hidden="1"/>
    </xf>
    <xf numFmtId="0" fontId="20" fillId="21" borderId="0" xfId="0" applyFont="1" applyFill="1" applyBorder="1" applyAlignment="1" applyProtection="1">
      <alignment horizontal="center" vertical="center"/>
      <protection hidden="1"/>
    </xf>
    <xf numFmtId="0" fontId="9" fillId="6" borderId="313" xfId="0" applyFont="1" applyFill="1" applyBorder="1" applyAlignment="1" applyProtection="1">
      <alignment horizontal="center" vertical="center" shrinkToFit="1"/>
      <protection hidden="1"/>
    </xf>
    <xf numFmtId="0" fontId="9" fillId="6" borderId="312" xfId="0" applyFont="1" applyFill="1" applyBorder="1" applyAlignment="1" applyProtection="1">
      <alignment horizontal="center" vertical="center" shrinkToFit="1"/>
      <protection hidden="1"/>
    </xf>
    <xf numFmtId="0" fontId="9" fillId="6" borderId="311" xfId="0" applyFont="1" applyFill="1" applyBorder="1" applyAlignment="1" applyProtection="1">
      <alignment horizontal="center" vertical="center" shrinkToFit="1"/>
      <protection hidden="1"/>
    </xf>
    <xf numFmtId="180" fontId="9" fillId="4" borderId="111" xfId="0" applyNumberFormat="1" applyFont="1" applyFill="1" applyBorder="1" applyAlignment="1" applyProtection="1">
      <alignment horizontal="right" vertical="center" shrinkToFit="1"/>
      <protection hidden="1"/>
    </xf>
    <xf numFmtId="0" fontId="20" fillId="11" borderId="12" xfId="1" applyFont="1" applyFill="1" applyBorder="1" applyAlignment="1" applyProtection="1">
      <alignment horizontal="center" vertical="center" shrinkToFit="1"/>
      <protection hidden="1"/>
    </xf>
    <xf numFmtId="0" fontId="20" fillId="11" borderId="13" xfId="1" applyFont="1" applyFill="1" applyBorder="1" applyAlignment="1" applyProtection="1">
      <alignment horizontal="center" vertical="center" shrinkToFit="1"/>
      <protection hidden="1"/>
    </xf>
    <xf numFmtId="0" fontId="20" fillId="11" borderId="14" xfId="1" applyFont="1" applyFill="1" applyBorder="1" applyAlignment="1" applyProtection="1">
      <alignment horizontal="center" vertical="center" shrinkToFit="1"/>
      <protection hidden="1"/>
    </xf>
    <xf numFmtId="0" fontId="8" fillId="0" borderId="116" xfId="0" applyFont="1" applyFill="1" applyBorder="1" applyAlignment="1" applyProtection="1">
      <alignment horizontal="center"/>
      <protection hidden="1"/>
    </xf>
    <xf numFmtId="0" fontId="9" fillId="3" borderId="0" xfId="0" applyFont="1" applyFill="1" applyBorder="1" applyAlignment="1" applyProtection="1">
      <alignment horizontal="center" vertical="center"/>
      <protection hidden="1"/>
    </xf>
    <xf numFmtId="0" fontId="9" fillId="6" borderId="109" xfId="0" applyFont="1" applyFill="1" applyBorder="1" applyAlignment="1" applyProtection="1">
      <alignment horizontal="center" vertical="center" shrinkToFit="1"/>
      <protection hidden="1"/>
    </xf>
    <xf numFmtId="0" fontId="9" fillId="16" borderId="111" xfId="0" applyFont="1" applyFill="1" applyBorder="1" applyAlignment="1" applyProtection="1">
      <alignment horizontal="center" vertical="center"/>
      <protection hidden="1"/>
    </xf>
    <xf numFmtId="0" fontId="9" fillId="16" borderId="114" xfId="0" applyFont="1" applyFill="1" applyBorder="1" applyAlignment="1" applyProtection="1">
      <alignment horizontal="center" vertical="center"/>
      <protection hidden="1"/>
    </xf>
    <xf numFmtId="0" fontId="9" fillId="16" borderId="112" xfId="0" applyFont="1" applyFill="1" applyBorder="1" applyAlignment="1" applyProtection="1">
      <alignment horizontal="center" vertical="center"/>
      <protection hidden="1"/>
    </xf>
    <xf numFmtId="0" fontId="33" fillId="6" borderId="384" xfId="0" applyFont="1" applyFill="1" applyBorder="1" applyAlignment="1" applyProtection="1">
      <alignment horizontal="center" vertical="center"/>
      <protection hidden="1"/>
    </xf>
    <xf numFmtId="0" fontId="33" fillId="6" borderId="383" xfId="0" applyFont="1" applyFill="1" applyBorder="1" applyAlignment="1" applyProtection="1">
      <alignment horizontal="center" vertical="center"/>
      <protection hidden="1"/>
    </xf>
    <xf numFmtId="183" fontId="18" fillId="16" borderId="118" xfId="0" applyNumberFormat="1" applyFont="1" applyFill="1" applyBorder="1" applyAlignment="1" applyProtection="1">
      <alignment horizontal="center" vertical="center" wrapText="1"/>
      <protection hidden="1"/>
    </xf>
    <xf numFmtId="183" fontId="18" fillId="16" borderId="116" xfId="0" applyNumberFormat="1" applyFont="1" applyFill="1" applyBorder="1" applyAlignment="1" applyProtection="1">
      <alignment horizontal="center" vertical="center" wrapText="1"/>
      <protection hidden="1"/>
    </xf>
    <xf numFmtId="183" fontId="18" fillId="16" borderId="119" xfId="0" applyNumberFormat="1" applyFont="1" applyFill="1" applyBorder="1" applyAlignment="1" applyProtection="1">
      <alignment horizontal="center" vertical="center" wrapText="1"/>
      <protection hidden="1"/>
    </xf>
    <xf numFmtId="183" fontId="18" fillId="16" borderId="1" xfId="0" applyNumberFormat="1" applyFont="1" applyFill="1" applyBorder="1" applyAlignment="1" applyProtection="1">
      <alignment horizontal="center" vertical="center" wrapText="1"/>
      <protection hidden="1"/>
    </xf>
    <xf numFmtId="183" fontId="18" fillId="16" borderId="0" xfId="0" applyNumberFormat="1" applyFont="1" applyFill="1" applyBorder="1" applyAlignment="1" applyProtection="1">
      <alignment horizontal="center" vertical="center" wrapText="1"/>
      <protection hidden="1"/>
    </xf>
    <xf numFmtId="183" fontId="18" fillId="16" borderId="2" xfId="0" applyNumberFormat="1" applyFont="1" applyFill="1" applyBorder="1" applyAlignment="1" applyProtection="1">
      <alignment horizontal="center" vertical="center" wrapText="1"/>
      <protection hidden="1"/>
    </xf>
    <xf numFmtId="183" fontId="18" fillId="16" borderId="113" xfId="0" applyNumberFormat="1" applyFont="1" applyFill="1" applyBorder="1" applyAlignment="1" applyProtection="1">
      <alignment horizontal="center" vertical="center" wrapText="1"/>
      <protection hidden="1"/>
    </xf>
    <xf numFmtId="183" fontId="18" fillId="16" borderId="117" xfId="0" applyNumberFormat="1" applyFont="1" applyFill="1" applyBorder="1" applyAlignment="1" applyProtection="1">
      <alignment horizontal="center" vertical="center" wrapText="1"/>
      <protection hidden="1"/>
    </xf>
    <xf numFmtId="183" fontId="18" fillId="16" borderId="5" xfId="0" applyNumberFormat="1" applyFont="1" applyFill="1" applyBorder="1" applyAlignment="1" applyProtection="1">
      <alignment horizontal="center" vertical="center" wrapText="1"/>
      <protection hidden="1"/>
    </xf>
    <xf numFmtId="0" fontId="29" fillId="6" borderId="111" xfId="0" applyFont="1" applyFill="1" applyBorder="1" applyAlignment="1" applyProtection="1">
      <alignment horizontal="center" vertical="center" wrapText="1"/>
      <protection hidden="1"/>
    </xf>
    <xf numFmtId="0" fontId="29" fillId="6" borderId="114" xfId="0" applyFont="1" applyFill="1" applyBorder="1" applyAlignment="1" applyProtection="1">
      <alignment horizontal="center" vertical="center" wrapText="1"/>
      <protection hidden="1"/>
    </xf>
    <xf numFmtId="0" fontId="29" fillId="6" borderId="117" xfId="0" applyFont="1" applyFill="1" applyBorder="1" applyAlignment="1" applyProtection="1">
      <alignment horizontal="center" vertical="center" wrapText="1"/>
      <protection hidden="1"/>
    </xf>
    <xf numFmtId="0" fontId="29" fillId="6" borderId="5" xfId="0" applyFont="1" applyFill="1" applyBorder="1" applyAlignment="1" applyProtection="1">
      <alignment horizontal="center" vertical="center" wrapText="1"/>
      <protection hidden="1"/>
    </xf>
    <xf numFmtId="0" fontId="29" fillId="6" borderId="376" xfId="0" applyFont="1" applyFill="1" applyBorder="1" applyAlignment="1" applyProtection="1">
      <alignment horizontal="center" vertical="center" wrapText="1"/>
      <protection hidden="1"/>
    </xf>
    <xf numFmtId="0" fontId="29" fillId="6" borderId="116" xfId="0" applyFont="1" applyFill="1" applyBorder="1" applyAlignment="1" applyProtection="1">
      <alignment horizontal="center" vertical="center"/>
      <protection hidden="1"/>
    </xf>
    <xf numFmtId="0" fontId="29" fillId="6" borderId="119" xfId="0" applyFont="1" applyFill="1" applyBorder="1" applyAlignment="1" applyProtection="1">
      <alignment horizontal="center" vertical="center"/>
      <protection hidden="1"/>
    </xf>
    <xf numFmtId="0" fontId="29" fillId="6" borderId="284" xfId="0" applyFont="1" applyFill="1" applyBorder="1" applyAlignment="1" applyProtection="1">
      <alignment horizontal="center" vertical="center"/>
      <protection hidden="1"/>
    </xf>
    <xf numFmtId="0" fontId="29" fillId="6" borderId="0" xfId="0" applyFont="1" applyFill="1" applyBorder="1" applyAlignment="1" applyProtection="1">
      <alignment horizontal="center" vertical="center"/>
      <protection hidden="1"/>
    </xf>
    <xf numFmtId="0" fontId="29" fillId="6" borderId="2" xfId="0" applyFont="1" applyFill="1" applyBorder="1" applyAlignment="1" applyProtection="1">
      <alignment horizontal="center" vertical="center"/>
      <protection hidden="1"/>
    </xf>
    <xf numFmtId="0" fontId="29" fillId="6" borderId="377" xfId="0" applyFont="1" applyFill="1" applyBorder="1" applyAlignment="1" applyProtection="1">
      <alignment horizontal="center" vertical="center"/>
      <protection hidden="1"/>
    </xf>
    <xf numFmtId="0" fontId="29" fillId="6" borderId="233" xfId="0" applyFont="1" applyFill="1" applyBorder="1" applyAlignment="1" applyProtection="1">
      <alignment horizontal="center" vertical="center"/>
      <protection hidden="1"/>
    </xf>
    <xf numFmtId="0" fontId="29" fillId="6" borderId="232" xfId="0" applyFont="1" applyFill="1" applyBorder="1" applyAlignment="1" applyProtection="1">
      <alignment horizontal="center" vertical="center"/>
      <protection hidden="1"/>
    </xf>
    <xf numFmtId="186" fontId="33" fillId="16" borderId="231" xfId="0" applyNumberFormat="1" applyFont="1" applyFill="1" applyBorder="1" applyAlignment="1" applyProtection="1">
      <alignment horizontal="center" vertical="center" shrinkToFit="1"/>
      <protection hidden="1"/>
    </xf>
    <xf numFmtId="186" fontId="33" fillId="16" borderId="230" xfId="0" applyNumberFormat="1" applyFont="1" applyFill="1" applyBorder="1" applyAlignment="1" applyProtection="1">
      <alignment horizontal="center" vertical="center" shrinkToFit="1"/>
      <protection hidden="1"/>
    </xf>
    <xf numFmtId="186" fontId="33" fillId="16" borderId="229" xfId="0" applyNumberFormat="1" applyFont="1" applyFill="1" applyBorder="1" applyAlignment="1" applyProtection="1">
      <alignment horizontal="center" vertical="center" shrinkToFit="1"/>
      <protection hidden="1"/>
    </xf>
    <xf numFmtId="0" fontId="33" fillId="19" borderId="231" xfId="0" applyFont="1" applyFill="1" applyBorder="1" applyAlignment="1" applyProtection="1">
      <alignment horizontal="center" vertical="center" shrinkToFit="1"/>
      <protection locked="0"/>
    </xf>
    <xf numFmtId="0" fontId="33" fillId="19" borderId="230" xfId="0" applyFont="1" applyFill="1" applyBorder="1" applyAlignment="1" applyProtection="1">
      <alignment horizontal="center" vertical="center" shrinkToFit="1"/>
      <protection locked="0"/>
    </xf>
    <xf numFmtId="0" fontId="33" fillId="19" borderId="229" xfId="0" applyFont="1" applyFill="1" applyBorder="1" applyAlignment="1" applyProtection="1">
      <alignment horizontal="center" vertical="center" shrinkToFit="1"/>
      <protection locked="0"/>
    </xf>
    <xf numFmtId="0" fontId="33" fillId="19" borderId="155" xfId="0" applyFont="1" applyFill="1" applyBorder="1" applyAlignment="1" applyProtection="1">
      <alignment horizontal="center" vertical="center" shrinkToFit="1"/>
      <protection locked="0"/>
    </xf>
    <xf numFmtId="0" fontId="33" fillId="19" borderId="160" xfId="0" applyFont="1" applyFill="1" applyBorder="1" applyAlignment="1" applyProtection="1">
      <alignment horizontal="center" vertical="center" shrinkToFit="1"/>
      <protection locked="0"/>
    </xf>
    <xf numFmtId="0" fontId="33" fillId="19" borderId="162" xfId="0" applyFont="1" applyFill="1" applyBorder="1" applyAlignment="1" applyProtection="1">
      <alignment horizontal="center" vertical="center" shrinkToFit="1"/>
      <protection locked="0"/>
    </xf>
    <xf numFmtId="0" fontId="18" fillId="3" borderId="111" xfId="0" applyFont="1" applyFill="1" applyBorder="1" applyAlignment="1" applyProtection="1">
      <alignment horizontal="center" vertical="center" shrinkToFit="1"/>
      <protection hidden="1"/>
    </xf>
    <xf numFmtId="0" fontId="18" fillId="3" borderId="114" xfId="0" applyFont="1" applyFill="1" applyBorder="1" applyAlignment="1" applyProtection="1">
      <alignment horizontal="center" vertical="center" shrinkToFit="1"/>
      <protection hidden="1"/>
    </xf>
    <xf numFmtId="0" fontId="18" fillId="3" borderId="112" xfId="0" applyFont="1" applyFill="1" applyBorder="1" applyAlignment="1" applyProtection="1">
      <alignment horizontal="center" vertical="center" shrinkToFit="1"/>
      <protection hidden="1"/>
    </xf>
    <xf numFmtId="183" fontId="16" fillId="13" borderId="231" xfId="0" applyNumberFormat="1" applyFont="1" applyFill="1" applyBorder="1" applyAlignment="1" applyProtection="1">
      <alignment vertical="center" shrinkToFit="1"/>
      <protection locked="0"/>
    </xf>
    <xf numFmtId="183" fontId="16" fillId="13" borderId="230" xfId="0" applyNumberFormat="1" applyFont="1" applyFill="1" applyBorder="1" applyAlignment="1" applyProtection="1">
      <alignment vertical="center" shrinkToFit="1"/>
      <protection locked="0"/>
    </xf>
    <xf numFmtId="183" fontId="16" fillId="13" borderId="378" xfId="0" applyNumberFormat="1" applyFont="1" applyFill="1" applyBorder="1" applyAlignment="1" applyProtection="1">
      <alignment vertical="center" shrinkToFit="1"/>
      <protection locked="0"/>
    </xf>
    <xf numFmtId="183" fontId="29" fillId="16" borderId="231" xfId="0" applyNumberFormat="1" applyFont="1" applyFill="1" applyBorder="1" applyAlignment="1" applyProtection="1">
      <alignment horizontal="right" vertical="center" shrinkToFit="1"/>
      <protection hidden="1"/>
    </xf>
    <xf numFmtId="183" fontId="29" fillId="16" borderId="230" xfId="0" applyNumberFormat="1" applyFont="1" applyFill="1" applyBorder="1" applyAlignment="1" applyProtection="1">
      <alignment horizontal="right" vertical="center" shrinkToFit="1"/>
      <protection hidden="1"/>
    </xf>
    <xf numFmtId="183" fontId="29" fillId="16" borderId="229" xfId="0" applyNumberFormat="1" applyFont="1" applyFill="1" applyBorder="1" applyAlignment="1" applyProtection="1">
      <alignment horizontal="right" vertical="center" shrinkToFit="1"/>
      <protection hidden="1"/>
    </xf>
    <xf numFmtId="0" fontId="33" fillId="6" borderId="111" xfId="0" applyFont="1" applyFill="1" applyBorder="1" applyAlignment="1" applyProtection="1">
      <alignment horizontal="center" vertical="center"/>
      <protection hidden="1"/>
    </xf>
    <xf numFmtId="0" fontId="33" fillId="6" borderId="114" xfId="0" applyFont="1" applyFill="1" applyBorder="1" applyAlignment="1" applyProtection="1">
      <alignment horizontal="center" vertical="center"/>
      <protection hidden="1"/>
    </xf>
    <xf numFmtId="0" fontId="33" fillId="6" borderId="112" xfId="0" applyFont="1" applyFill="1" applyBorder="1" applyAlignment="1" applyProtection="1">
      <alignment horizontal="center" vertical="center"/>
      <protection hidden="1"/>
    </xf>
    <xf numFmtId="0" fontId="9" fillId="16" borderId="385" xfId="0" applyFont="1" applyFill="1" applyBorder="1" applyAlignment="1" applyProtection="1">
      <alignment horizontal="center" vertical="center" shrinkToFit="1"/>
      <protection hidden="1"/>
    </xf>
    <xf numFmtId="0" fontId="9" fillId="19" borderId="177" xfId="0" applyFont="1" applyFill="1" applyBorder="1" applyAlignment="1" applyProtection="1">
      <alignment horizontal="center" vertical="center" shrinkToFit="1"/>
      <protection locked="0"/>
    </xf>
    <xf numFmtId="0" fontId="9" fillId="19" borderId="163" xfId="0" applyFont="1" applyFill="1" applyBorder="1" applyAlignment="1" applyProtection="1">
      <alignment horizontal="center" vertical="center" shrinkToFit="1"/>
      <protection locked="0"/>
    </xf>
    <xf numFmtId="0" fontId="177" fillId="16" borderId="50" xfId="0" applyFont="1" applyFill="1" applyBorder="1" applyAlignment="1" applyProtection="1">
      <alignment horizontal="center" vertical="center" shrinkToFit="1"/>
      <protection hidden="1"/>
    </xf>
    <xf numFmtId="0" fontId="177" fillId="16" borderId="206" xfId="0" applyFont="1" applyFill="1" applyBorder="1" applyAlignment="1" applyProtection="1">
      <alignment horizontal="center" vertical="center" shrinkToFit="1"/>
      <protection hidden="1"/>
    </xf>
    <xf numFmtId="0" fontId="29" fillId="6" borderId="111" xfId="0" applyFont="1" applyFill="1" applyBorder="1" applyAlignment="1" applyProtection="1">
      <alignment horizontal="center" vertical="center"/>
      <protection hidden="1"/>
    </xf>
    <xf numFmtId="0" fontId="29" fillId="6" borderId="114" xfId="0" applyFont="1" applyFill="1" applyBorder="1" applyAlignment="1" applyProtection="1">
      <alignment horizontal="center" vertical="center"/>
      <protection hidden="1"/>
    </xf>
    <xf numFmtId="0" fontId="29" fillId="6" borderId="112" xfId="0" applyFont="1" applyFill="1" applyBorder="1" applyAlignment="1" applyProtection="1">
      <alignment horizontal="center" vertical="center"/>
      <protection hidden="1"/>
    </xf>
    <xf numFmtId="0" fontId="33" fillId="6" borderId="51" xfId="0" applyFont="1" applyFill="1" applyBorder="1" applyAlignment="1" applyProtection="1">
      <alignment horizontal="center" vertical="center"/>
      <protection hidden="1"/>
    </xf>
    <xf numFmtId="0" fontId="33" fillId="6" borderId="97" xfId="0" applyFont="1" applyFill="1" applyBorder="1" applyAlignment="1" applyProtection="1">
      <alignment horizontal="center" vertical="center"/>
      <protection hidden="1"/>
    </xf>
    <xf numFmtId="0" fontId="33" fillId="6" borderId="114" xfId="0" applyFont="1" applyFill="1" applyBorder="1" applyAlignment="1" applyProtection="1">
      <alignment horizontal="left" vertical="center" shrinkToFit="1"/>
      <protection hidden="1"/>
    </xf>
    <xf numFmtId="0" fontId="33" fillId="6" borderId="97" xfId="0" applyFont="1" applyFill="1" applyBorder="1" applyAlignment="1" applyProtection="1">
      <alignment horizontal="left" vertical="center" shrinkToFit="1"/>
      <protection hidden="1"/>
    </xf>
    <xf numFmtId="0" fontId="33" fillId="6" borderId="112" xfId="0" applyFont="1" applyFill="1" applyBorder="1" applyAlignment="1" applyProtection="1">
      <alignment horizontal="left" vertical="center" shrinkToFit="1"/>
      <protection hidden="1"/>
    </xf>
    <xf numFmtId="0" fontId="33" fillId="16" borderId="266" xfId="0" applyFont="1" applyFill="1" applyBorder="1" applyAlignment="1" applyProtection="1">
      <alignment horizontal="center" vertical="center" shrinkToFit="1"/>
      <protection hidden="1"/>
    </xf>
    <xf numFmtId="0" fontId="33" fillId="16" borderId="265" xfId="0" applyFont="1" applyFill="1" applyBorder="1" applyAlignment="1" applyProtection="1">
      <alignment horizontal="center" vertical="center" shrinkToFit="1"/>
      <protection hidden="1"/>
    </xf>
    <xf numFmtId="0" fontId="33" fillId="19" borderId="211" xfId="0" applyFont="1" applyFill="1" applyBorder="1" applyAlignment="1" applyProtection="1">
      <alignment horizontal="center" vertical="center" shrinkToFit="1"/>
      <protection locked="0"/>
    </xf>
    <xf numFmtId="0" fontId="33" fillId="19" borderId="208" xfId="0" applyFont="1" applyFill="1" applyBorder="1" applyAlignment="1" applyProtection="1">
      <alignment horizontal="center" vertical="center" shrinkToFit="1"/>
      <protection locked="0"/>
    </xf>
    <xf numFmtId="0" fontId="33" fillId="19" borderId="212" xfId="0" applyFont="1" applyFill="1" applyBorder="1" applyAlignment="1" applyProtection="1">
      <alignment horizontal="center" vertical="center" shrinkToFit="1"/>
      <protection locked="0"/>
    </xf>
    <xf numFmtId="0" fontId="256" fillId="13" borderId="109" xfId="0" applyFont="1" applyFill="1" applyBorder="1" applyAlignment="1" applyProtection="1">
      <alignment horizontal="center" vertical="center" shrinkToFit="1"/>
      <protection locked="0"/>
    </xf>
    <xf numFmtId="0" fontId="33" fillId="16" borderId="111" xfId="0" applyFont="1" applyFill="1" applyBorder="1" applyAlignment="1" applyProtection="1">
      <alignment horizontal="center" vertical="center" shrinkToFit="1"/>
      <protection hidden="1"/>
    </xf>
    <xf numFmtId="0" fontId="33" fillId="16" borderId="112" xfId="0" applyFont="1" applyFill="1" applyBorder="1" applyAlignment="1" applyProtection="1">
      <alignment horizontal="center" vertical="center" shrinkToFit="1"/>
      <protection hidden="1"/>
    </xf>
    <xf numFmtId="0" fontId="33" fillId="19" borderId="111" xfId="0" applyFont="1" applyFill="1" applyBorder="1" applyAlignment="1" applyProtection="1">
      <alignment horizontal="center" vertical="center" shrinkToFit="1"/>
      <protection locked="0"/>
    </xf>
    <xf numFmtId="0" fontId="33" fillId="19" borderId="114" xfId="0" applyFont="1" applyFill="1" applyBorder="1" applyAlignment="1" applyProtection="1">
      <alignment horizontal="center" vertical="center" shrinkToFit="1"/>
      <protection locked="0"/>
    </xf>
    <xf numFmtId="183" fontId="29" fillId="16" borderId="111" xfId="0" applyNumberFormat="1" applyFont="1" applyFill="1" applyBorder="1" applyAlignment="1" applyProtection="1">
      <alignment horizontal="right" vertical="center" shrinkToFit="1"/>
      <protection hidden="1"/>
    </xf>
    <xf numFmtId="183" fontId="29" fillId="16" borderId="114" xfId="0" applyNumberFormat="1" applyFont="1" applyFill="1" applyBorder="1" applyAlignment="1" applyProtection="1">
      <alignment horizontal="right" vertical="center" shrinkToFit="1"/>
      <protection hidden="1"/>
    </xf>
    <xf numFmtId="183" fontId="29" fillId="16" borderId="112" xfId="0" applyNumberFormat="1" applyFont="1" applyFill="1" applyBorder="1" applyAlignment="1" applyProtection="1">
      <alignment horizontal="right" vertical="center" shrinkToFit="1"/>
      <protection hidden="1"/>
    </xf>
    <xf numFmtId="0" fontId="256" fillId="13" borderId="206" xfId="0" applyFont="1" applyFill="1" applyBorder="1" applyAlignment="1" applyProtection="1">
      <alignment horizontal="center" vertical="center" shrinkToFit="1"/>
      <protection locked="0"/>
    </xf>
    <xf numFmtId="0" fontId="256" fillId="13" borderId="120" xfId="0" applyFont="1" applyFill="1" applyBorder="1" applyAlignment="1" applyProtection="1">
      <alignment horizontal="center" vertical="center" shrinkToFit="1"/>
      <protection locked="0"/>
    </xf>
    <xf numFmtId="183" fontId="29" fillId="16" borderId="267" xfId="0" applyNumberFormat="1" applyFont="1" applyFill="1" applyBorder="1" applyAlignment="1" applyProtection="1">
      <alignment horizontal="right" vertical="center" shrinkToFit="1"/>
      <protection hidden="1"/>
    </xf>
    <xf numFmtId="183" fontId="29" fillId="16" borderId="266" xfId="0" applyNumberFormat="1" applyFont="1" applyFill="1" applyBorder="1" applyAlignment="1" applyProtection="1">
      <alignment horizontal="right" vertical="center" shrinkToFit="1"/>
      <protection hidden="1"/>
    </xf>
    <xf numFmtId="183" fontId="29" fillId="16" borderId="265" xfId="0" applyNumberFormat="1" applyFont="1" applyFill="1" applyBorder="1" applyAlignment="1" applyProtection="1">
      <alignment horizontal="right" vertical="center" shrinkToFit="1"/>
      <protection hidden="1"/>
    </xf>
    <xf numFmtId="0" fontId="177" fillId="16" borderId="111" xfId="0" applyFont="1" applyFill="1" applyBorder="1" applyAlignment="1" applyProtection="1">
      <alignment horizontal="center" vertical="center" shrinkToFit="1"/>
      <protection hidden="1"/>
    </xf>
    <xf numFmtId="0" fontId="177" fillId="16" borderId="112" xfId="0" applyFont="1" applyFill="1" applyBorder="1" applyAlignment="1" applyProtection="1">
      <alignment horizontal="center" vertical="center" shrinkToFit="1"/>
      <protection hidden="1"/>
    </xf>
    <xf numFmtId="198" fontId="18" fillId="16" borderId="111" xfId="0" applyNumberFormat="1" applyFont="1" applyFill="1" applyBorder="1" applyAlignment="1" applyProtection="1">
      <alignment vertical="center" shrinkToFit="1"/>
      <protection hidden="1"/>
    </xf>
    <xf numFmtId="198" fontId="18" fillId="16" borderId="114" xfId="0" applyNumberFormat="1" applyFont="1" applyFill="1" applyBorder="1" applyAlignment="1" applyProtection="1">
      <alignment vertical="center" shrinkToFit="1"/>
      <protection hidden="1"/>
    </xf>
    <xf numFmtId="198" fontId="18" fillId="16" borderId="112" xfId="0" applyNumberFormat="1" applyFont="1" applyFill="1" applyBorder="1" applyAlignment="1" applyProtection="1">
      <alignment vertical="center" shrinkToFit="1"/>
      <protection hidden="1"/>
    </xf>
    <xf numFmtId="0" fontId="15" fillId="6" borderId="51" xfId="0" applyFont="1" applyFill="1" applyBorder="1" applyAlignment="1" applyProtection="1">
      <alignment horizontal="center" vertical="center"/>
      <protection hidden="1"/>
    </xf>
    <xf numFmtId="0" fontId="15" fillId="6" borderId="112" xfId="0" applyFont="1" applyFill="1" applyBorder="1" applyAlignment="1" applyProtection="1">
      <alignment horizontal="center" vertical="center"/>
      <protection hidden="1"/>
    </xf>
    <xf numFmtId="0" fontId="33" fillId="6" borderId="120" xfId="0" applyFont="1" applyFill="1" applyBorder="1" applyAlignment="1" applyProtection="1">
      <alignment horizontal="center" vertical="center"/>
      <protection hidden="1"/>
    </xf>
    <xf numFmtId="0" fontId="33" fillId="6" borderId="109" xfId="0" applyFont="1" applyFill="1" applyBorder="1" applyAlignment="1" applyProtection="1">
      <alignment horizontal="center" vertical="center"/>
      <protection hidden="1"/>
    </xf>
    <xf numFmtId="0" fontId="33" fillId="6" borderId="50" xfId="0" applyFont="1" applyFill="1" applyBorder="1" applyAlignment="1" applyProtection="1">
      <alignment horizontal="center" vertical="center"/>
      <protection hidden="1"/>
    </xf>
    <xf numFmtId="0" fontId="33" fillId="16" borderId="114" xfId="0" quotePrefix="1" applyFont="1" applyFill="1" applyBorder="1" applyAlignment="1" applyProtection="1">
      <alignment horizontal="left" vertical="center" shrinkToFit="1"/>
      <protection hidden="1"/>
    </xf>
    <xf numFmtId="0" fontId="33" fillId="16" borderId="114" xfId="0" applyFont="1" applyFill="1" applyBorder="1" applyAlignment="1" applyProtection="1">
      <alignment horizontal="left" vertical="center" shrinkToFit="1"/>
      <protection hidden="1"/>
    </xf>
    <xf numFmtId="0" fontId="33" fillId="16" borderId="158" xfId="0" applyFont="1" applyFill="1" applyBorder="1" applyAlignment="1" applyProtection="1">
      <alignment horizontal="left" vertical="center" shrinkToFit="1"/>
      <protection hidden="1"/>
    </xf>
    <xf numFmtId="0" fontId="256" fillId="13" borderId="111" xfId="0" applyFont="1" applyFill="1" applyBorder="1" applyAlignment="1" applyProtection="1">
      <alignment horizontal="center" vertical="center" shrinkToFit="1"/>
      <protection locked="0"/>
    </xf>
    <xf numFmtId="0" fontId="256" fillId="13" borderId="112" xfId="0" applyFont="1" applyFill="1" applyBorder="1" applyAlignment="1" applyProtection="1">
      <alignment horizontal="center" vertical="center" shrinkToFit="1"/>
      <protection locked="0"/>
    </xf>
    <xf numFmtId="176" fontId="254" fillId="16" borderId="253" xfId="0" quotePrefix="1" applyNumberFormat="1" applyFont="1" applyFill="1" applyBorder="1" applyAlignment="1" applyProtection="1">
      <alignment horizontal="center" vertical="center" shrinkToFit="1"/>
      <protection hidden="1"/>
    </xf>
    <xf numFmtId="0" fontId="254" fillId="16" borderId="117" xfId="0" applyFont="1" applyFill="1" applyBorder="1" applyAlignment="1" applyProtection="1">
      <alignment horizontal="center" vertical="center" shrinkToFit="1"/>
      <protection hidden="1"/>
    </xf>
    <xf numFmtId="0" fontId="254" fillId="16" borderId="382" xfId="0" applyFont="1" applyFill="1" applyBorder="1" applyAlignment="1" applyProtection="1">
      <alignment horizontal="center" vertical="center" shrinkToFit="1"/>
      <protection hidden="1"/>
    </xf>
    <xf numFmtId="0" fontId="254" fillId="16" borderId="253" xfId="0" applyFont="1" applyFill="1" applyBorder="1" applyAlignment="1" applyProtection="1">
      <alignment horizontal="center" vertical="center" shrinkToFit="1"/>
      <protection hidden="1"/>
    </xf>
    <xf numFmtId="0" fontId="255" fillId="16" borderId="253" xfId="0" applyFont="1" applyFill="1" applyBorder="1" applyAlignment="1" applyProtection="1">
      <alignment horizontal="center" vertical="center" shrinkToFit="1"/>
      <protection hidden="1"/>
    </xf>
    <xf numFmtId="0" fontId="255" fillId="16" borderId="117" xfId="0" applyFont="1" applyFill="1" applyBorder="1" applyAlignment="1" applyProtection="1">
      <alignment horizontal="center" vertical="center" shrinkToFit="1"/>
      <protection hidden="1"/>
    </xf>
    <xf numFmtId="0" fontId="254" fillId="16" borderId="51" xfId="0" applyFont="1" applyFill="1" applyBorder="1" applyAlignment="1" applyProtection="1">
      <alignment horizontal="center" vertical="center" shrinkToFit="1"/>
      <protection hidden="1"/>
    </xf>
    <xf numFmtId="0" fontId="254" fillId="16" borderId="112" xfId="0" applyFont="1" applyFill="1" applyBorder="1" applyAlignment="1" applyProtection="1">
      <alignment horizontal="center" vertical="center" shrinkToFit="1"/>
      <protection hidden="1"/>
    </xf>
    <xf numFmtId="0" fontId="29" fillId="6" borderId="111" xfId="0" applyFont="1" applyFill="1" applyBorder="1" applyAlignment="1" applyProtection="1">
      <alignment horizontal="center" vertical="center" shrinkToFit="1"/>
      <protection hidden="1"/>
    </xf>
    <xf numFmtId="0" fontId="29" fillId="6" borderId="114" xfId="0" applyFont="1" applyFill="1" applyBorder="1" applyAlignment="1" applyProtection="1">
      <alignment horizontal="center" vertical="center" shrinkToFit="1"/>
      <protection hidden="1"/>
    </xf>
    <xf numFmtId="0" fontId="29" fillId="6" borderId="112" xfId="0" applyFont="1" applyFill="1" applyBorder="1" applyAlignment="1" applyProtection="1">
      <alignment horizontal="center" vertical="center" shrinkToFit="1"/>
      <protection hidden="1"/>
    </xf>
    <xf numFmtId="186" fontId="26" fillId="4" borderId="111" xfId="0" applyNumberFormat="1" applyFont="1" applyFill="1" applyBorder="1" applyAlignment="1" applyProtection="1">
      <alignment horizontal="center" vertical="center" shrinkToFit="1"/>
      <protection hidden="1"/>
    </xf>
    <xf numFmtId="186" fontId="26" fillId="4" borderId="112" xfId="0" applyNumberFormat="1" applyFont="1" applyFill="1" applyBorder="1" applyAlignment="1" applyProtection="1">
      <alignment horizontal="center" vertical="center" shrinkToFit="1"/>
      <protection hidden="1"/>
    </xf>
    <xf numFmtId="179" fontId="26" fillId="4" borderId="111" xfId="0" applyNumberFormat="1" applyFont="1" applyFill="1" applyBorder="1" applyAlignment="1" applyProtection="1">
      <alignment horizontal="center" vertical="center" shrinkToFit="1"/>
      <protection hidden="1"/>
    </xf>
    <xf numFmtId="179" fontId="26" fillId="4" borderId="114" xfId="0" applyNumberFormat="1" applyFont="1" applyFill="1" applyBorder="1" applyAlignment="1" applyProtection="1">
      <alignment horizontal="center" vertical="center" shrinkToFit="1"/>
      <protection hidden="1"/>
    </xf>
    <xf numFmtId="179" fontId="26" fillId="4" borderId="112" xfId="0" applyNumberFormat="1" applyFont="1" applyFill="1" applyBorder="1" applyAlignment="1" applyProtection="1">
      <alignment horizontal="center" vertical="center" shrinkToFit="1"/>
      <protection hidden="1"/>
    </xf>
    <xf numFmtId="0" fontId="29" fillId="6" borderId="268" xfId="0" applyFont="1" applyFill="1" applyBorder="1" applyAlignment="1" applyProtection="1">
      <alignment horizontal="center" vertical="center" shrinkToFit="1"/>
      <protection hidden="1"/>
    </xf>
    <xf numFmtId="0" fontId="29" fillId="6" borderId="116" xfId="0" applyFont="1" applyFill="1" applyBorder="1" applyAlignment="1" applyProtection="1">
      <alignment horizontal="center" vertical="center" shrinkToFit="1"/>
      <protection hidden="1"/>
    </xf>
    <xf numFmtId="0" fontId="29" fillId="6" borderId="119" xfId="0" applyFont="1" applyFill="1" applyBorder="1" applyAlignment="1" applyProtection="1">
      <alignment horizontal="center" vertical="center" shrinkToFit="1"/>
      <protection hidden="1"/>
    </xf>
    <xf numFmtId="0" fontId="8" fillId="0" borderId="0" xfId="0" quotePrefix="1" applyFont="1" applyFill="1" applyBorder="1" applyAlignment="1" applyProtection="1">
      <alignment horizontal="center" vertical="center" shrinkToFit="1"/>
      <protection hidden="1"/>
    </xf>
    <xf numFmtId="0" fontId="8" fillId="0" borderId="0" xfId="0" applyFont="1" applyFill="1" applyBorder="1" applyAlignment="1" applyProtection="1">
      <alignment horizontal="center" vertical="center" shrinkToFit="1"/>
      <protection hidden="1"/>
    </xf>
    <xf numFmtId="0" fontId="33" fillId="16" borderId="270" xfId="0" applyFont="1" applyFill="1" applyBorder="1" applyAlignment="1" applyProtection="1">
      <alignment horizontal="center" vertical="center" shrinkToFit="1"/>
      <protection hidden="1"/>
    </xf>
    <xf numFmtId="0" fontId="33" fillId="16" borderId="269" xfId="0" applyFont="1" applyFill="1" applyBorder="1" applyAlignment="1" applyProtection="1">
      <alignment horizontal="center" vertical="center" shrinkToFit="1"/>
      <protection hidden="1"/>
    </xf>
    <xf numFmtId="179" fontId="33" fillId="16" borderId="195" xfId="0" applyNumberFormat="1" applyFont="1" applyFill="1" applyBorder="1" applyAlignment="1" applyProtection="1">
      <alignment horizontal="center" vertical="center" shrinkToFit="1"/>
      <protection hidden="1"/>
    </xf>
    <xf numFmtId="0" fontId="33" fillId="16" borderId="195" xfId="0" applyFont="1" applyFill="1" applyBorder="1" applyAlignment="1" applyProtection="1">
      <alignment horizontal="center" vertical="center" shrinkToFit="1"/>
      <protection hidden="1"/>
    </xf>
    <xf numFmtId="176" fontId="33" fillId="16" borderId="271" xfId="0" applyNumberFormat="1" applyFont="1" applyFill="1" applyBorder="1" applyAlignment="1" applyProtection="1">
      <alignment horizontal="right" vertical="center" shrinkToFit="1"/>
      <protection hidden="1"/>
    </xf>
    <xf numFmtId="176" fontId="33" fillId="16" borderId="256" xfId="0" applyNumberFormat="1" applyFont="1" applyFill="1" applyBorder="1" applyAlignment="1" applyProtection="1">
      <alignment horizontal="right" vertical="center" shrinkToFit="1"/>
      <protection hidden="1"/>
    </xf>
    <xf numFmtId="0" fontId="33" fillId="16" borderId="256" xfId="0" applyFont="1" applyFill="1" applyBorder="1" applyAlignment="1" applyProtection="1">
      <alignment horizontal="center" vertical="center" shrinkToFit="1"/>
      <protection hidden="1"/>
    </xf>
    <xf numFmtId="0" fontId="33" fillId="16" borderId="271" xfId="0" applyFont="1" applyFill="1" applyBorder="1" applyAlignment="1" applyProtection="1">
      <alignment horizontal="center" vertical="center" shrinkToFit="1"/>
      <protection hidden="1"/>
    </xf>
    <xf numFmtId="198" fontId="18" fillId="16" borderId="275" xfId="0" applyNumberFormat="1" applyFont="1" applyFill="1" applyBorder="1" applyAlignment="1" applyProtection="1">
      <alignment vertical="center" shrinkToFit="1"/>
      <protection hidden="1"/>
    </xf>
    <xf numFmtId="183" fontId="16" fillId="13" borderId="211" xfId="0" applyNumberFormat="1" applyFont="1" applyFill="1" applyBorder="1" applyAlignment="1" applyProtection="1">
      <alignment vertical="center" shrinkToFit="1"/>
      <protection locked="0"/>
    </xf>
    <xf numFmtId="183" fontId="16" fillId="13" borderId="208" xfId="0" applyNumberFormat="1" applyFont="1" applyFill="1" applyBorder="1" applyAlignment="1" applyProtection="1">
      <alignment vertical="center" shrinkToFit="1"/>
      <protection locked="0"/>
    </xf>
    <xf numFmtId="183" fontId="16" fillId="13" borderId="210" xfId="0" applyNumberFormat="1" applyFont="1" applyFill="1" applyBorder="1" applyAlignment="1" applyProtection="1">
      <alignment vertical="center" shrinkToFit="1"/>
      <protection locked="0"/>
    </xf>
    <xf numFmtId="0" fontId="257" fillId="13" borderId="206" xfId="0" applyFont="1" applyFill="1" applyBorder="1" applyAlignment="1" applyProtection="1">
      <alignment horizontal="center" vertical="center" shrinkToFit="1"/>
      <protection locked="0"/>
    </xf>
    <xf numFmtId="0" fontId="257" fillId="13" borderId="120" xfId="0" applyFont="1" applyFill="1" applyBorder="1" applyAlignment="1" applyProtection="1">
      <alignment horizontal="center" vertical="center" shrinkToFit="1"/>
      <protection locked="0"/>
    </xf>
    <xf numFmtId="0" fontId="29" fillId="6" borderId="264" xfId="0" applyFont="1" applyFill="1" applyBorder="1" applyAlignment="1" applyProtection="1">
      <alignment horizontal="center" vertical="center" shrinkToFit="1"/>
      <protection hidden="1"/>
    </xf>
    <xf numFmtId="0" fontId="29" fillId="6" borderId="117" xfId="0" applyFont="1" applyFill="1" applyBorder="1" applyAlignment="1" applyProtection="1">
      <alignment horizontal="center" vertical="center" shrinkToFit="1"/>
      <protection hidden="1"/>
    </xf>
    <xf numFmtId="0" fontId="29" fillId="6" borderId="5" xfId="0" applyFont="1" applyFill="1" applyBorder="1" applyAlignment="1" applyProtection="1">
      <alignment horizontal="center" vertical="center" shrinkToFit="1"/>
      <protection hidden="1"/>
    </xf>
    <xf numFmtId="0" fontId="33" fillId="6" borderId="113" xfId="0" applyFont="1" applyFill="1" applyBorder="1" applyAlignment="1" applyProtection="1">
      <alignment horizontal="center" vertical="center"/>
      <protection hidden="1"/>
    </xf>
    <xf numFmtId="0" fontId="33" fillId="6" borderId="117" xfId="0" applyFont="1" applyFill="1" applyBorder="1" applyAlignment="1" applyProtection="1">
      <alignment horizontal="center" vertical="center"/>
      <protection hidden="1"/>
    </xf>
    <xf numFmtId="0" fontId="33" fillId="6" borderId="253" xfId="0" applyFont="1" applyFill="1" applyBorder="1" applyAlignment="1" applyProtection="1">
      <alignment horizontal="center" vertical="center"/>
      <protection hidden="1"/>
    </xf>
    <xf numFmtId="0" fontId="33" fillId="6" borderId="382" xfId="0" applyFont="1" applyFill="1" applyBorder="1" applyAlignment="1" applyProtection="1">
      <alignment horizontal="center" vertical="center"/>
      <protection hidden="1"/>
    </xf>
    <xf numFmtId="0" fontId="29" fillId="6" borderId="268" xfId="0" applyFont="1" applyFill="1" applyBorder="1" applyAlignment="1" applyProtection="1">
      <alignment horizontal="center" vertical="center" wrapText="1" shrinkToFit="1"/>
      <protection hidden="1"/>
    </xf>
    <xf numFmtId="0" fontId="29" fillId="6" borderId="116" xfId="0" applyFont="1" applyFill="1" applyBorder="1" applyAlignment="1" applyProtection="1">
      <alignment horizontal="center" vertical="center" wrapText="1" shrinkToFit="1"/>
      <protection hidden="1"/>
    </xf>
    <xf numFmtId="0" fontId="29" fillId="6" borderId="119" xfId="0" applyFont="1" applyFill="1" applyBorder="1" applyAlignment="1" applyProtection="1">
      <alignment horizontal="center" vertical="center" wrapText="1" shrinkToFit="1"/>
      <protection hidden="1"/>
    </xf>
    <xf numFmtId="0" fontId="29" fillId="6" borderId="264" xfId="0" applyFont="1" applyFill="1" applyBorder="1" applyAlignment="1" applyProtection="1">
      <alignment horizontal="center" vertical="center" wrapText="1" shrinkToFit="1"/>
      <protection hidden="1"/>
    </xf>
    <xf numFmtId="0" fontId="29" fillId="6" borderId="117" xfId="0" applyFont="1" applyFill="1" applyBorder="1" applyAlignment="1" applyProtection="1">
      <alignment horizontal="center" vertical="center" wrapText="1" shrinkToFit="1"/>
      <protection hidden="1"/>
    </xf>
    <xf numFmtId="0" fontId="29" fillId="6" borderId="5" xfId="0" applyFont="1" applyFill="1" applyBorder="1" applyAlignment="1" applyProtection="1">
      <alignment horizontal="center" vertical="center" wrapText="1" shrinkToFit="1"/>
      <protection hidden="1"/>
    </xf>
    <xf numFmtId="0" fontId="29" fillId="6" borderId="118" xfId="0" applyFont="1" applyFill="1" applyBorder="1" applyAlignment="1" applyProtection="1">
      <alignment horizontal="center" vertical="center" shrinkToFit="1"/>
      <protection hidden="1"/>
    </xf>
    <xf numFmtId="0" fontId="29" fillId="6" borderId="254" xfId="0" applyFont="1" applyFill="1" applyBorder="1" applyAlignment="1" applyProtection="1">
      <alignment horizontal="center" vertical="center" shrinkToFit="1"/>
      <protection hidden="1"/>
    </xf>
    <xf numFmtId="0" fontId="18" fillId="16" borderId="109" xfId="0" applyFont="1" applyFill="1" applyBorder="1" applyAlignment="1" applyProtection="1">
      <alignment horizontal="center" vertical="center" shrinkToFit="1"/>
      <protection hidden="1"/>
    </xf>
    <xf numFmtId="0" fontId="29" fillId="19" borderId="109" xfId="0" applyFont="1" applyFill="1" applyBorder="1" applyAlignment="1" applyProtection="1">
      <alignment horizontal="center" vertical="center"/>
      <protection locked="0"/>
    </xf>
    <xf numFmtId="0" fontId="29" fillId="19" borderId="111" xfId="0" applyFont="1" applyFill="1" applyBorder="1" applyAlignment="1" applyProtection="1">
      <alignment horizontal="center" vertical="center"/>
      <protection locked="0"/>
    </xf>
    <xf numFmtId="0" fontId="29" fillId="3" borderId="213" xfId="0" applyFont="1" applyFill="1" applyBorder="1" applyAlignment="1" applyProtection="1">
      <alignment horizontal="center" vertical="center"/>
      <protection hidden="1"/>
    </xf>
    <xf numFmtId="0" fontId="29" fillId="3" borderId="208" xfId="0" applyFont="1" applyFill="1" applyBorder="1" applyAlignment="1" applyProtection="1">
      <alignment horizontal="center" vertical="center"/>
      <protection hidden="1"/>
    </xf>
    <xf numFmtId="0" fontId="29" fillId="3" borderId="212" xfId="0" applyFont="1" applyFill="1" applyBorder="1" applyAlignment="1" applyProtection="1">
      <alignment horizontal="center" vertical="center"/>
      <protection hidden="1"/>
    </xf>
    <xf numFmtId="0" fontId="29" fillId="3" borderId="379" xfId="0" applyFont="1" applyFill="1" applyBorder="1" applyAlignment="1" applyProtection="1">
      <alignment horizontal="center" vertical="center"/>
      <protection hidden="1"/>
    </xf>
    <xf numFmtId="0" fontId="29" fillId="3" borderId="266" xfId="0" applyFont="1" applyFill="1" applyBorder="1" applyAlignment="1" applyProtection="1">
      <alignment horizontal="center" vertical="center"/>
      <protection hidden="1"/>
    </xf>
    <xf numFmtId="0" fontId="29" fillId="3" borderId="265" xfId="0" applyFont="1" applyFill="1" applyBorder="1" applyAlignment="1" applyProtection="1">
      <alignment horizontal="center" vertical="center"/>
      <protection hidden="1"/>
    </xf>
    <xf numFmtId="0" fontId="33" fillId="16" borderId="267" xfId="0" applyFont="1" applyFill="1" applyBorder="1" applyAlignment="1" applyProtection="1">
      <alignment horizontal="center" vertical="center" shrinkToFit="1"/>
      <protection hidden="1"/>
    </xf>
    <xf numFmtId="0" fontId="33" fillId="19" borderId="267" xfId="0" applyFont="1" applyFill="1" applyBorder="1" applyAlignment="1" applyProtection="1">
      <alignment horizontal="center" vertical="center" shrinkToFit="1"/>
      <protection locked="0"/>
    </xf>
    <xf numFmtId="0" fontId="33" fillId="19" borderId="266" xfId="0" applyFont="1" applyFill="1" applyBorder="1" applyAlignment="1" applyProtection="1">
      <alignment horizontal="center" vertical="center" shrinkToFit="1"/>
      <protection locked="0"/>
    </xf>
    <xf numFmtId="0" fontId="33" fillId="19" borderId="265" xfId="0" applyFont="1" applyFill="1" applyBorder="1" applyAlignment="1" applyProtection="1">
      <alignment horizontal="center" vertical="center" shrinkToFit="1"/>
      <protection locked="0"/>
    </xf>
    <xf numFmtId="183" fontId="18" fillId="13" borderId="267" xfId="0" applyNumberFormat="1" applyFont="1" applyFill="1" applyBorder="1" applyAlignment="1" applyProtection="1">
      <alignment horizontal="right" vertical="center" shrinkToFit="1"/>
      <protection locked="0"/>
    </xf>
    <xf numFmtId="183" fontId="18" fillId="13" borderId="266" xfId="0" applyNumberFormat="1" applyFont="1" applyFill="1" applyBorder="1" applyAlignment="1" applyProtection="1">
      <alignment horizontal="right" vertical="center" shrinkToFit="1"/>
      <protection locked="0"/>
    </xf>
    <xf numFmtId="183" fontId="18" fillId="13" borderId="265" xfId="0" applyNumberFormat="1" applyFont="1" applyFill="1" applyBorder="1" applyAlignment="1" applyProtection="1">
      <alignment horizontal="right" vertical="center" shrinkToFit="1"/>
      <protection locked="0"/>
    </xf>
    <xf numFmtId="0" fontId="33" fillId="6" borderId="385" xfId="0" applyFont="1" applyFill="1" applyBorder="1" applyAlignment="1" applyProtection="1">
      <alignment horizontal="center" vertical="center" shrinkToFit="1"/>
      <protection hidden="1"/>
    </xf>
    <xf numFmtId="0" fontId="33" fillId="16" borderId="385" xfId="0" applyNumberFormat="1" applyFont="1" applyFill="1" applyBorder="1" applyAlignment="1" applyProtection="1">
      <alignment horizontal="center" vertical="center" shrinkToFit="1"/>
      <protection hidden="1"/>
    </xf>
    <xf numFmtId="0" fontId="33" fillId="16" borderId="386" xfId="0" applyNumberFormat="1" applyFont="1" applyFill="1" applyBorder="1" applyAlignment="1" applyProtection="1">
      <alignment horizontal="center" vertical="center" shrinkToFit="1"/>
      <protection hidden="1"/>
    </xf>
    <xf numFmtId="0" fontId="33" fillId="16" borderId="111" xfId="0" quotePrefix="1" applyFont="1" applyFill="1" applyBorder="1" applyAlignment="1" applyProtection="1">
      <alignment horizontal="left" vertical="center" shrinkToFit="1"/>
      <protection hidden="1"/>
    </xf>
    <xf numFmtId="0" fontId="33" fillId="16" borderId="333" xfId="0" quotePrefix="1" applyFont="1" applyFill="1" applyBorder="1" applyAlignment="1" applyProtection="1">
      <alignment horizontal="left" vertical="center" shrinkToFit="1"/>
      <protection hidden="1"/>
    </xf>
    <xf numFmtId="0" fontId="33" fillId="6" borderId="384" xfId="0" applyFont="1" applyFill="1" applyBorder="1" applyAlignment="1" applyProtection="1">
      <alignment horizontal="center" vertical="center" shrinkToFit="1"/>
      <protection hidden="1"/>
    </xf>
    <xf numFmtId="0" fontId="33" fillId="6" borderId="383" xfId="0" applyFont="1" applyFill="1" applyBorder="1" applyAlignment="1" applyProtection="1">
      <alignment horizontal="center" vertical="center" shrinkToFit="1"/>
      <protection hidden="1"/>
    </xf>
    <xf numFmtId="0" fontId="33" fillId="6" borderId="264" xfId="0" applyFont="1" applyFill="1" applyBorder="1" applyAlignment="1" applyProtection="1">
      <alignment horizontal="center" vertical="center" shrinkToFit="1"/>
      <protection hidden="1"/>
    </xf>
    <xf numFmtId="0" fontId="33" fillId="6" borderId="117" xfId="0" applyFont="1" applyFill="1" applyBorder="1" applyAlignment="1" applyProtection="1">
      <alignment horizontal="center" vertical="center" shrinkToFit="1"/>
      <protection hidden="1"/>
    </xf>
    <xf numFmtId="0" fontId="33" fillId="6" borderId="259" xfId="0" applyFont="1" applyFill="1" applyBorder="1" applyAlignment="1" applyProtection="1">
      <alignment horizontal="center" vertical="center" shrinkToFit="1"/>
      <protection hidden="1"/>
    </xf>
    <xf numFmtId="0" fontId="33" fillId="6" borderId="5" xfId="0" applyFont="1" applyFill="1" applyBorder="1" applyAlignment="1" applyProtection="1">
      <alignment horizontal="center" vertical="center" shrinkToFit="1"/>
      <protection hidden="1"/>
    </xf>
    <xf numFmtId="0" fontId="33" fillId="6" borderId="113" xfId="0" applyFont="1" applyFill="1" applyBorder="1" applyAlignment="1" applyProtection="1">
      <alignment horizontal="center" vertical="center" shrinkToFit="1"/>
      <protection hidden="1"/>
    </xf>
    <xf numFmtId="0" fontId="33" fillId="6" borderId="2" xfId="0" applyFont="1" applyFill="1" applyBorder="1" applyAlignment="1" applyProtection="1">
      <alignment horizontal="center" vertical="center" shrinkToFit="1"/>
      <protection hidden="1"/>
    </xf>
    <xf numFmtId="0" fontId="29" fillId="6" borderId="161" xfId="0" applyFont="1" applyFill="1" applyBorder="1" applyAlignment="1" applyProtection="1">
      <alignment horizontal="center" vertical="center" shrinkToFit="1"/>
      <protection hidden="1"/>
    </xf>
    <xf numFmtId="0" fontId="29" fillId="6" borderId="0" xfId="0" applyFont="1" applyFill="1" applyBorder="1" applyAlignment="1" applyProtection="1">
      <alignment horizontal="center" vertical="center" shrinkToFit="1"/>
      <protection hidden="1"/>
    </xf>
    <xf numFmtId="0" fontId="29" fillId="6" borderId="167" xfId="0" applyFont="1" applyFill="1" applyBorder="1" applyAlignment="1" applyProtection="1">
      <alignment horizontal="center" vertical="center" shrinkToFit="1"/>
      <protection hidden="1"/>
    </xf>
    <xf numFmtId="0" fontId="29" fillId="6" borderId="197" xfId="0" applyFont="1" applyFill="1" applyBorder="1" applyAlignment="1" applyProtection="1">
      <alignment horizontal="center" vertical="center"/>
      <protection hidden="1"/>
    </xf>
    <xf numFmtId="0" fontId="29" fillId="6" borderId="45" xfId="0" applyFont="1" applyFill="1" applyBorder="1" applyAlignment="1" applyProtection="1">
      <alignment horizontal="center" vertical="center"/>
      <protection hidden="1"/>
    </xf>
    <xf numFmtId="0" fontId="29" fillId="3" borderId="381" xfId="0" applyFont="1" applyFill="1" applyBorder="1" applyAlignment="1" applyProtection="1">
      <alignment horizontal="center" vertical="center"/>
      <protection hidden="1"/>
    </xf>
    <xf numFmtId="0" fontId="29" fillId="3" borderId="276" xfId="0" applyFont="1" applyFill="1" applyBorder="1" applyAlignment="1" applyProtection="1">
      <alignment horizontal="center" vertical="center"/>
      <protection hidden="1"/>
    </xf>
    <xf numFmtId="0" fontId="29" fillId="6" borderId="118" xfId="0" applyFont="1" applyFill="1" applyBorder="1" applyAlignment="1" applyProtection="1">
      <alignment horizontal="center" vertical="center" wrapText="1"/>
      <protection hidden="1"/>
    </xf>
    <xf numFmtId="0" fontId="29" fillId="6" borderId="1" xfId="0" applyFont="1" applyFill="1" applyBorder="1" applyAlignment="1" applyProtection="1">
      <alignment horizontal="center" vertical="center"/>
      <protection hidden="1"/>
    </xf>
    <xf numFmtId="0" fontId="29" fillId="6" borderId="113" xfId="0" applyFont="1" applyFill="1" applyBorder="1" applyAlignment="1" applyProtection="1">
      <alignment horizontal="center" vertical="center"/>
      <protection hidden="1"/>
    </xf>
    <xf numFmtId="0" fontId="29" fillId="6" borderId="117" xfId="0" applyFont="1" applyFill="1" applyBorder="1" applyAlignment="1" applyProtection="1">
      <alignment horizontal="center" vertical="center"/>
      <protection hidden="1"/>
    </xf>
    <xf numFmtId="0" fontId="29" fillId="6" borderId="5" xfId="0" applyFont="1" applyFill="1" applyBorder="1" applyAlignment="1" applyProtection="1">
      <alignment horizontal="center" vertical="center"/>
      <protection hidden="1"/>
    </xf>
    <xf numFmtId="0" fontId="33" fillId="16" borderId="276" xfId="0" applyFont="1" applyFill="1" applyBorder="1" applyAlignment="1" applyProtection="1">
      <alignment horizontal="center" vertical="center" shrinkToFit="1"/>
      <protection hidden="1"/>
    </xf>
    <xf numFmtId="198" fontId="18" fillId="16" borderId="276" xfId="0" applyNumberFormat="1" applyFont="1" applyFill="1" applyBorder="1" applyAlignment="1" applyProtection="1">
      <alignment vertical="center" shrinkToFit="1"/>
      <protection hidden="1"/>
    </xf>
    <xf numFmtId="0" fontId="18" fillId="19" borderId="111" xfId="0" applyFont="1" applyFill="1" applyBorder="1" applyAlignment="1" applyProtection="1">
      <alignment horizontal="center" vertical="center" shrinkToFit="1"/>
      <protection locked="0"/>
    </xf>
    <xf numFmtId="0" fontId="18" fillId="19" borderId="114" xfId="0" applyFont="1" applyFill="1" applyBorder="1" applyAlignment="1" applyProtection="1">
      <alignment horizontal="center" vertical="center" shrinkToFit="1"/>
      <protection locked="0"/>
    </xf>
    <xf numFmtId="0" fontId="18" fillId="19" borderId="112" xfId="0" applyFont="1" applyFill="1" applyBorder="1" applyAlignment="1" applyProtection="1">
      <alignment horizontal="center" vertical="center" shrinkToFit="1"/>
      <protection locked="0"/>
    </xf>
    <xf numFmtId="0" fontId="10" fillId="6" borderId="111" xfId="0" applyFont="1" applyFill="1" applyBorder="1" applyAlignment="1" applyProtection="1">
      <alignment horizontal="center" vertical="center" shrinkToFit="1"/>
      <protection hidden="1"/>
    </xf>
    <xf numFmtId="0" fontId="10" fillId="6" borderId="112" xfId="0" applyFont="1" applyFill="1" applyBorder="1" applyAlignment="1" applyProtection="1">
      <alignment horizontal="center" vertical="center" shrinkToFit="1"/>
      <protection hidden="1"/>
    </xf>
    <xf numFmtId="0" fontId="16" fillId="16" borderId="111" xfId="0" applyFont="1" applyFill="1" applyBorder="1" applyAlignment="1" applyProtection="1">
      <alignment horizontal="center" vertical="center" shrinkToFit="1"/>
      <protection hidden="1"/>
    </xf>
    <xf numFmtId="0" fontId="16" fillId="16" borderId="114" xfId="0" applyFont="1" applyFill="1" applyBorder="1" applyAlignment="1" applyProtection="1">
      <alignment horizontal="center" vertical="center" shrinkToFit="1"/>
      <protection hidden="1"/>
    </xf>
    <xf numFmtId="0" fontId="16" fillId="16" borderId="112" xfId="0" applyFont="1" applyFill="1" applyBorder="1" applyAlignment="1" applyProtection="1">
      <alignment horizontal="center" vertical="center" shrinkToFit="1"/>
      <protection hidden="1"/>
    </xf>
    <xf numFmtId="0" fontId="16" fillId="19" borderId="111" xfId="0" applyFont="1" applyFill="1" applyBorder="1" applyAlignment="1" applyProtection="1">
      <alignment horizontal="center" vertical="center" shrinkToFit="1"/>
      <protection locked="0"/>
    </xf>
    <xf numFmtId="0" fontId="16" fillId="19" borderId="114" xfId="0" applyFont="1" applyFill="1" applyBorder="1" applyAlignment="1" applyProtection="1">
      <alignment horizontal="center" vertical="center" shrinkToFit="1"/>
      <protection locked="0"/>
    </xf>
    <xf numFmtId="0" fontId="16" fillId="19" borderId="112" xfId="0" applyFont="1" applyFill="1" applyBorder="1" applyAlignment="1" applyProtection="1">
      <alignment horizontal="center" vertical="center" shrinkToFit="1"/>
      <protection locked="0"/>
    </xf>
    <xf numFmtId="0" fontId="16" fillId="16" borderId="111" xfId="0" quotePrefix="1" applyFont="1" applyFill="1" applyBorder="1" applyAlignment="1" applyProtection="1">
      <alignment horizontal="center" vertical="center"/>
      <protection hidden="1"/>
    </xf>
    <xf numFmtId="0" fontId="16" fillId="16" borderId="114" xfId="0" quotePrefix="1" applyFont="1" applyFill="1" applyBorder="1" applyAlignment="1" applyProtection="1">
      <alignment horizontal="center" vertical="center"/>
      <protection hidden="1"/>
    </xf>
    <xf numFmtId="0" fontId="613" fillId="11" borderId="0" xfId="1" applyFont="1" applyFill="1" applyBorder="1" applyAlignment="1" applyProtection="1">
      <alignment horizontal="center" vertical="center" shrinkToFit="1"/>
      <protection hidden="1"/>
    </xf>
    <xf numFmtId="0" fontId="264" fillId="21" borderId="319" xfId="0" applyFont="1" applyFill="1" applyBorder="1" applyAlignment="1" applyProtection="1">
      <alignment horizontal="center" vertical="center"/>
      <protection hidden="1"/>
    </xf>
    <xf numFmtId="0" fontId="264" fillId="21" borderId="0" xfId="0" applyFont="1" applyFill="1" applyBorder="1" applyAlignment="1" applyProtection="1">
      <alignment horizontal="center" vertical="center"/>
      <protection hidden="1"/>
    </xf>
    <xf numFmtId="0" fontId="14" fillId="12" borderId="0" xfId="0" applyFont="1" applyFill="1" applyBorder="1" applyAlignment="1" applyProtection="1">
      <alignment horizontal="right"/>
      <protection hidden="1"/>
    </xf>
    <xf numFmtId="0" fontId="14" fillId="21" borderId="45" xfId="0" applyFont="1" applyFill="1" applyBorder="1" applyAlignment="1" applyProtection="1">
      <alignment horizontal="center"/>
      <protection hidden="1"/>
    </xf>
    <xf numFmtId="0" fontId="14" fillId="21" borderId="157" xfId="0" applyFont="1" applyFill="1" applyBorder="1" applyAlignment="1" applyProtection="1">
      <alignment horizontal="center"/>
      <protection hidden="1"/>
    </xf>
    <xf numFmtId="182" fontId="207" fillId="2" borderId="111" xfId="0" applyNumberFormat="1" applyFont="1" applyFill="1" applyBorder="1" applyAlignment="1" applyProtection="1">
      <alignment horizontal="right" vertical="center" shrinkToFit="1"/>
      <protection hidden="1"/>
    </xf>
    <xf numFmtId="182" fontId="207" fillId="2" borderId="114" xfId="0" applyNumberFormat="1" applyFont="1" applyFill="1" applyBorder="1" applyAlignment="1" applyProtection="1">
      <alignment horizontal="right" vertical="center" shrinkToFit="1"/>
      <protection hidden="1"/>
    </xf>
    <xf numFmtId="182" fontId="262" fillId="34" borderId="111" xfId="0" applyNumberFormat="1" applyFont="1" applyFill="1" applyBorder="1" applyAlignment="1" applyProtection="1">
      <alignment horizontal="right" vertical="center" shrinkToFit="1"/>
      <protection locked="0"/>
    </xf>
    <xf numFmtId="182" fontId="262" fillId="34" borderId="114" xfId="0" applyNumberFormat="1" applyFont="1" applyFill="1" applyBorder="1" applyAlignment="1" applyProtection="1">
      <alignment horizontal="right" vertical="center" shrinkToFit="1"/>
      <protection locked="0"/>
    </xf>
    <xf numFmtId="182" fontId="262" fillId="34" borderId="112" xfId="0" applyNumberFormat="1" applyFont="1" applyFill="1" applyBorder="1" applyAlignment="1" applyProtection="1">
      <alignment horizontal="right" vertical="center" shrinkToFit="1"/>
      <protection locked="0"/>
    </xf>
    <xf numFmtId="182" fontId="207" fillId="2" borderId="158" xfId="0" applyNumberFormat="1" applyFont="1" applyFill="1" applyBorder="1" applyAlignment="1" applyProtection="1">
      <alignment horizontal="right" vertical="center" shrinkToFit="1"/>
      <protection hidden="1"/>
    </xf>
    <xf numFmtId="0" fontId="15" fillId="16" borderId="111" xfId="0" applyFont="1" applyFill="1" applyBorder="1" applyAlignment="1" applyProtection="1">
      <alignment horizontal="right" vertical="center"/>
      <protection hidden="1"/>
    </xf>
    <xf numFmtId="0" fontId="15" fillId="16" borderId="114" xfId="0" applyFont="1" applyFill="1" applyBorder="1" applyAlignment="1" applyProtection="1">
      <alignment horizontal="right" vertical="center"/>
      <protection hidden="1"/>
    </xf>
    <xf numFmtId="179" fontId="177" fillId="16" borderId="114" xfId="0" applyNumberFormat="1" applyFont="1" applyFill="1" applyBorder="1" applyAlignment="1" applyProtection="1">
      <alignment horizontal="left" vertical="center"/>
      <protection hidden="1"/>
    </xf>
    <xf numFmtId="179" fontId="177" fillId="16" borderId="112" xfId="0" applyNumberFormat="1" applyFont="1" applyFill="1" applyBorder="1" applyAlignment="1" applyProtection="1">
      <alignment horizontal="left" vertical="center"/>
      <protection hidden="1"/>
    </xf>
    <xf numFmtId="0" fontId="2" fillId="16" borderId="109" xfId="0" applyFont="1" applyFill="1" applyBorder="1" applyAlignment="1" applyProtection="1">
      <alignment horizontal="center" vertical="center"/>
      <protection hidden="1"/>
    </xf>
    <xf numFmtId="0" fontId="2" fillId="16" borderId="111" xfId="0" applyFont="1" applyFill="1" applyBorder="1" applyAlignment="1" applyProtection="1">
      <alignment horizontal="left" vertical="center"/>
      <protection hidden="1"/>
    </xf>
    <xf numFmtId="0" fontId="2" fillId="16" borderId="114" xfId="0" applyFont="1" applyFill="1" applyBorder="1" applyAlignment="1" applyProtection="1">
      <alignment horizontal="left" vertical="center"/>
      <protection hidden="1"/>
    </xf>
    <xf numFmtId="0" fontId="20" fillId="11" borderId="12" xfId="1" quotePrefix="1" applyFont="1" applyFill="1" applyBorder="1" applyAlignment="1" applyProtection="1">
      <alignment horizontal="center" vertical="center"/>
      <protection hidden="1"/>
    </xf>
    <xf numFmtId="0" fontId="20" fillId="11" borderId="13" xfId="1" applyFont="1" applyFill="1" applyBorder="1" applyAlignment="1" applyProtection="1">
      <alignment horizontal="center" vertical="center"/>
      <protection hidden="1"/>
    </xf>
    <xf numFmtId="0" fontId="20" fillId="11" borderId="14" xfId="1" applyFont="1" applyFill="1" applyBorder="1" applyAlignment="1" applyProtection="1">
      <alignment horizontal="center" vertical="center"/>
      <protection hidden="1"/>
    </xf>
    <xf numFmtId="0" fontId="26" fillId="4" borderId="109" xfId="0" applyFont="1" applyFill="1" applyBorder="1" applyAlignment="1" applyProtection="1">
      <alignment horizontal="center" vertical="center"/>
      <protection hidden="1"/>
    </xf>
    <xf numFmtId="0" fontId="26" fillId="10" borderId="109" xfId="0" applyFont="1" applyFill="1" applyBorder="1" applyAlignment="1" applyProtection="1">
      <alignment horizontal="center" vertical="center"/>
      <protection locked="0"/>
    </xf>
    <xf numFmtId="0" fontId="37" fillId="3" borderId="87" xfId="0" applyFont="1" applyFill="1" applyBorder="1" applyAlignment="1" applyProtection="1">
      <alignment horizontal="center" vertical="center"/>
      <protection hidden="1"/>
    </xf>
    <xf numFmtId="0" fontId="14" fillId="21" borderId="0" xfId="0" applyFont="1" applyFill="1" applyBorder="1" applyAlignment="1" applyProtection="1">
      <alignment horizontal="center"/>
      <protection hidden="1"/>
    </xf>
    <xf numFmtId="0" fontId="14" fillId="12" borderId="0" xfId="0" applyFont="1" applyFill="1" applyBorder="1" applyAlignment="1" applyProtection="1">
      <alignment horizontal="center" shrinkToFit="1"/>
      <protection hidden="1"/>
    </xf>
    <xf numFmtId="0" fontId="14" fillId="12" borderId="117" xfId="0" applyFont="1" applyFill="1" applyBorder="1" applyAlignment="1" applyProtection="1">
      <alignment horizontal="center" shrinkToFit="1"/>
      <protection hidden="1"/>
    </xf>
    <xf numFmtId="0" fontId="125" fillId="3" borderId="194" xfId="0" applyFont="1" applyFill="1" applyBorder="1" applyAlignment="1" applyProtection="1">
      <alignment horizontal="left"/>
      <protection hidden="1"/>
    </xf>
    <xf numFmtId="0" fontId="125" fillId="3" borderId="0" xfId="0" applyFont="1" applyFill="1" applyBorder="1" applyAlignment="1" applyProtection="1">
      <alignment horizontal="left"/>
      <protection hidden="1"/>
    </xf>
    <xf numFmtId="0" fontId="187" fillId="3" borderId="393" xfId="0" applyFont="1" applyFill="1" applyBorder="1" applyAlignment="1" applyProtection="1">
      <alignment horizontal="center" wrapText="1" shrinkToFit="1"/>
      <protection hidden="1"/>
    </xf>
    <xf numFmtId="0" fontId="187" fillId="3" borderId="190" xfId="0" applyFont="1" applyFill="1" applyBorder="1" applyAlignment="1" applyProtection="1">
      <alignment horizontal="center" wrapText="1" shrinkToFit="1"/>
      <protection hidden="1"/>
    </xf>
    <xf numFmtId="0" fontId="2" fillId="3" borderId="407" xfId="0" applyFont="1" applyFill="1" applyBorder="1" applyAlignment="1" applyProtection="1">
      <alignment horizontal="center" vertical="center"/>
      <protection hidden="1"/>
    </xf>
    <xf numFmtId="0" fontId="2" fillId="3" borderId="395" xfId="0" applyFont="1" applyFill="1" applyBorder="1" applyAlignment="1" applyProtection="1">
      <alignment horizontal="center" vertical="center"/>
      <protection hidden="1"/>
    </xf>
    <xf numFmtId="0" fontId="37" fillId="6" borderId="118" xfId="0" applyFont="1" applyFill="1" applyBorder="1" applyAlignment="1" applyProtection="1">
      <alignment horizontal="center" vertical="center" wrapText="1"/>
      <protection hidden="1"/>
    </xf>
    <xf numFmtId="0" fontId="37" fillId="6" borderId="116" xfId="0" applyFont="1" applyFill="1" applyBorder="1" applyAlignment="1" applyProtection="1">
      <alignment horizontal="center" vertical="center" wrapText="1"/>
      <protection hidden="1"/>
    </xf>
    <xf numFmtId="0" fontId="37" fillId="6" borderId="119" xfId="0" applyFont="1" applyFill="1" applyBorder="1" applyAlignment="1" applyProtection="1">
      <alignment horizontal="center" vertical="center" wrapText="1"/>
      <protection hidden="1"/>
    </xf>
    <xf numFmtId="0" fontId="37" fillId="6" borderId="113" xfId="0" applyFont="1" applyFill="1" applyBorder="1" applyAlignment="1" applyProtection="1">
      <alignment horizontal="center" vertical="center" wrapText="1"/>
      <protection hidden="1"/>
    </xf>
    <xf numFmtId="0" fontId="37" fillId="6" borderId="117" xfId="0" applyFont="1" applyFill="1" applyBorder="1" applyAlignment="1" applyProtection="1">
      <alignment horizontal="center" vertical="center" wrapText="1"/>
      <protection hidden="1"/>
    </xf>
    <xf numFmtId="0" fontId="37" fillId="6" borderId="5" xfId="0" applyFont="1" applyFill="1" applyBorder="1" applyAlignment="1" applyProtection="1">
      <alignment horizontal="center" vertical="center" wrapText="1"/>
      <protection hidden="1"/>
    </xf>
    <xf numFmtId="0" fontId="142" fillId="3" borderId="111" xfId="0" applyFont="1" applyFill="1" applyBorder="1" applyAlignment="1" applyProtection="1">
      <alignment horizontal="center" vertical="center" shrinkToFit="1"/>
      <protection hidden="1"/>
    </xf>
    <xf numFmtId="0" fontId="142" fillId="3" borderId="114" xfId="0" applyFont="1" applyFill="1" applyBorder="1" applyAlignment="1" applyProtection="1">
      <alignment horizontal="center" vertical="center" shrinkToFit="1"/>
      <protection hidden="1"/>
    </xf>
    <xf numFmtId="0" fontId="142" fillId="3" borderId="394" xfId="0" applyFont="1" applyFill="1" applyBorder="1" applyAlignment="1" applyProtection="1">
      <alignment horizontal="center" vertical="center" shrinkToFit="1"/>
      <protection hidden="1"/>
    </xf>
    <xf numFmtId="0" fontId="114" fillId="3" borderId="0" xfId="0" applyFont="1" applyFill="1" applyBorder="1" applyAlignment="1" applyProtection="1">
      <alignment horizontal="center" vertical="top"/>
      <protection hidden="1"/>
    </xf>
    <xf numFmtId="0" fontId="114" fillId="3" borderId="71" xfId="0" applyFont="1" applyFill="1" applyBorder="1" applyAlignment="1" applyProtection="1">
      <alignment horizontal="center" vertical="top"/>
      <protection hidden="1"/>
    </xf>
    <xf numFmtId="182" fontId="207" fillId="2" borderId="112" xfId="0" applyNumberFormat="1" applyFont="1" applyFill="1" applyBorder="1" applyAlignment="1" applyProtection="1">
      <alignment horizontal="right" vertical="center" shrinkToFit="1"/>
      <protection hidden="1"/>
    </xf>
    <xf numFmtId="182" fontId="262" fillId="34" borderId="260" xfId="0" applyNumberFormat="1" applyFont="1" applyFill="1" applyBorder="1" applyAlignment="1" applyProtection="1">
      <alignment horizontal="right" vertical="center" shrinkToFit="1"/>
      <protection locked="0"/>
    </xf>
    <xf numFmtId="0" fontId="125" fillId="3" borderId="194" xfId="0" applyFont="1" applyFill="1" applyBorder="1" applyAlignment="1" applyProtection="1">
      <alignment horizontal="left" vertical="top"/>
      <protection hidden="1"/>
    </xf>
    <xf numFmtId="0" fontId="125" fillId="3" borderId="0" xfId="0" applyFont="1" applyFill="1" applyBorder="1" applyAlignment="1" applyProtection="1">
      <alignment horizontal="left" vertical="top"/>
      <protection hidden="1"/>
    </xf>
    <xf numFmtId="0" fontId="95" fillId="3" borderId="202" xfId="0" applyFont="1" applyFill="1" applyBorder="1" applyAlignment="1" applyProtection="1">
      <alignment horizontal="center"/>
      <protection hidden="1"/>
    </xf>
    <xf numFmtId="0" fontId="95" fillId="3" borderId="178" xfId="0" applyFont="1" applyFill="1" applyBorder="1" applyAlignment="1" applyProtection="1">
      <alignment horizontal="center"/>
      <protection hidden="1"/>
    </xf>
    <xf numFmtId="0" fontId="95" fillId="3" borderId="411" xfId="0" applyFont="1" applyFill="1" applyBorder="1" applyAlignment="1" applyProtection="1">
      <alignment horizontal="center"/>
      <protection hidden="1"/>
    </xf>
    <xf numFmtId="182" fontId="263" fillId="34" borderId="260" xfId="0" applyNumberFormat="1" applyFont="1" applyFill="1" applyBorder="1" applyAlignment="1" applyProtection="1">
      <alignment horizontal="right" vertical="center" shrinkToFit="1"/>
      <protection locked="0"/>
    </xf>
    <xf numFmtId="182" fontId="263" fillId="34" borderId="114" xfId="0" applyNumberFormat="1" applyFont="1" applyFill="1" applyBorder="1" applyAlignment="1" applyProtection="1">
      <alignment horizontal="right" vertical="center" shrinkToFit="1"/>
      <protection locked="0"/>
    </xf>
    <xf numFmtId="0" fontId="187" fillId="15" borderId="0" xfId="0" applyFont="1" applyFill="1" applyBorder="1" applyAlignment="1" applyProtection="1">
      <alignment horizontal="right" wrapText="1" shrinkToFit="1"/>
      <protection hidden="1"/>
    </xf>
    <xf numFmtId="0" fontId="29" fillId="16" borderId="24" xfId="0" applyFont="1" applyFill="1" applyBorder="1" applyAlignment="1" applyProtection="1">
      <alignment horizontal="center" vertical="center"/>
      <protection hidden="1"/>
    </xf>
    <xf numFmtId="0" fontId="29" fillId="16" borderId="21" xfId="0" applyFont="1" applyFill="1" applyBorder="1" applyAlignment="1" applyProtection="1">
      <alignment horizontal="center" vertical="center"/>
      <protection hidden="1"/>
    </xf>
    <xf numFmtId="0" fontId="29" fillId="19" borderId="177" xfId="0" applyFont="1" applyFill="1" applyBorder="1" applyAlignment="1" applyProtection="1">
      <alignment horizontal="center" vertical="center" shrinkToFit="1"/>
      <protection locked="0"/>
    </xf>
    <xf numFmtId="0" fontId="29" fillId="19" borderId="163" xfId="0" applyFont="1" applyFill="1" applyBorder="1" applyAlignment="1" applyProtection="1">
      <alignment horizontal="center" vertical="center" shrinkToFit="1"/>
      <protection locked="0"/>
    </xf>
    <xf numFmtId="0" fontId="37" fillId="15" borderId="183" xfId="0" applyFont="1" applyFill="1" applyBorder="1" applyAlignment="1" applyProtection="1">
      <alignment horizontal="center" vertical="top" shrinkToFit="1"/>
      <protection hidden="1"/>
    </xf>
    <xf numFmtId="0" fontId="37" fillId="15" borderId="182" xfId="0" applyFont="1" applyFill="1" applyBorder="1" applyAlignment="1" applyProtection="1">
      <alignment horizontal="center" vertical="top" shrinkToFit="1"/>
      <protection hidden="1"/>
    </xf>
    <xf numFmtId="0" fontId="37" fillId="15" borderId="91" xfId="0" applyFont="1" applyFill="1" applyBorder="1" applyAlignment="1" applyProtection="1">
      <alignment horizontal="center" vertical="top" shrinkToFit="1"/>
      <protection hidden="1"/>
    </xf>
    <xf numFmtId="0" fontId="37" fillId="15" borderId="180" xfId="0" applyFont="1" applyFill="1" applyBorder="1" applyAlignment="1" applyProtection="1">
      <alignment horizontal="center" vertical="top" shrinkToFit="1"/>
      <protection hidden="1"/>
    </xf>
    <xf numFmtId="0" fontId="37" fillId="3" borderId="400" xfId="0" applyFont="1" applyFill="1" applyBorder="1" applyAlignment="1" applyProtection="1">
      <alignment horizontal="center" vertical="top" shrinkToFit="1"/>
      <protection hidden="1"/>
    </xf>
    <xf numFmtId="0" fontId="37" fillId="3" borderId="393" xfId="0" applyFont="1" applyFill="1" applyBorder="1" applyAlignment="1" applyProtection="1">
      <alignment horizontal="center" vertical="top" shrinkToFit="1"/>
      <protection hidden="1"/>
    </xf>
    <xf numFmtId="0" fontId="2" fillId="3" borderId="390" xfId="0"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0" fontId="252" fillId="3" borderId="111" xfId="0" applyFont="1" applyFill="1" applyBorder="1" applyAlignment="1" applyProtection="1">
      <alignment horizontal="right" vertical="center" shrinkToFit="1"/>
      <protection hidden="1"/>
    </xf>
    <xf numFmtId="0" fontId="252" fillId="3" borderId="114" xfId="0" applyFont="1" applyFill="1" applyBorder="1" applyAlignment="1" applyProtection="1">
      <alignment horizontal="right" vertical="center" shrinkToFit="1"/>
      <protection hidden="1"/>
    </xf>
    <xf numFmtId="0" fontId="18" fillId="3" borderId="114" xfId="0" quotePrefix="1" applyFont="1" applyFill="1" applyBorder="1" applyAlignment="1" applyProtection="1">
      <alignment horizontal="left" vertical="center" shrinkToFit="1"/>
      <protection hidden="1"/>
    </xf>
    <xf numFmtId="0" fontId="18" fillId="3" borderId="114" xfId="0" applyFont="1" applyFill="1" applyBorder="1" applyAlignment="1" applyProtection="1">
      <alignment horizontal="left" vertical="center" shrinkToFit="1"/>
      <protection hidden="1"/>
    </xf>
    <xf numFmtId="0" fontId="18" fillId="3" borderId="112" xfId="0" applyFont="1" applyFill="1" applyBorder="1" applyAlignment="1" applyProtection="1">
      <alignment horizontal="left" vertical="center" shrinkToFit="1"/>
      <protection hidden="1"/>
    </xf>
    <xf numFmtId="0" fontId="16" fillId="4" borderId="111" xfId="0" applyFont="1" applyFill="1" applyBorder="1" applyAlignment="1" applyProtection="1">
      <alignment horizontal="center" vertical="center" shrinkToFit="1"/>
      <protection hidden="1"/>
    </xf>
    <xf numFmtId="0" fontId="16" fillId="4" borderId="114" xfId="0" applyFont="1" applyFill="1" applyBorder="1" applyAlignment="1" applyProtection="1">
      <alignment horizontal="center" vertical="center" shrinkToFit="1"/>
      <protection hidden="1"/>
    </xf>
    <xf numFmtId="0" fontId="33" fillId="19" borderId="394" xfId="0" applyFont="1" applyFill="1" applyBorder="1" applyAlignment="1" applyProtection="1">
      <alignment horizontal="center" vertical="center" shrinkToFit="1"/>
      <protection locked="0"/>
    </xf>
    <xf numFmtId="0" fontId="18" fillId="6" borderId="111" xfId="0" applyFont="1" applyFill="1" applyBorder="1" applyAlignment="1" applyProtection="1">
      <alignment horizontal="right" vertical="center" shrinkToFit="1"/>
      <protection hidden="1"/>
    </xf>
    <xf numFmtId="0" fontId="18" fillId="6" borderId="114" xfId="0" applyFont="1" applyFill="1" applyBorder="1" applyAlignment="1" applyProtection="1">
      <alignment horizontal="right" vertical="center" shrinkToFit="1"/>
      <protection hidden="1"/>
    </xf>
    <xf numFmtId="0" fontId="18" fillId="6" borderId="112" xfId="0" applyFont="1" applyFill="1" applyBorder="1" applyAlignment="1" applyProtection="1">
      <alignment horizontal="right" vertical="center" shrinkToFit="1"/>
      <protection hidden="1"/>
    </xf>
    <xf numFmtId="181" fontId="260" fillId="16" borderId="111" xfId="0" applyNumberFormat="1" applyFont="1" applyFill="1" applyBorder="1" applyAlignment="1" applyProtection="1">
      <alignment horizontal="right" vertical="center" shrinkToFit="1"/>
      <protection hidden="1"/>
    </xf>
    <xf numFmtId="181" fontId="260" fillId="16" borderId="114" xfId="0" applyNumberFormat="1" applyFont="1" applyFill="1" applyBorder="1" applyAlignment="1" applyProtection="1">
      <alignment horizontal="right" vertical="center" shrinkToFit="1"/>
      <protection hidden="1"/>
    </xf>
    <xf numFmtId="0" fontId="16" fillId="6" borderId="111" xfId="0" applyFont="1" applyFill="1" applyBorder="1" applyAlignment="1" applyProtection="1">
      <alignment horizontal="right" shrinkToFit="1"/>
      <protection hidden="1"/>
    </xf>
    <xf numFmtId="0" fontId="16" fillId="6" borderId="114" xfId="0" applyFont="1" applyFill="1" applyBorder="1" applyAlignment="1" applyProtection="1">
      <alignment horizontal="right" shrinkToFit="1"/>
      <protection hidden="1"/>
    </xf>
    <xf numFmtId="0" fontId="16" fillId="6" borderId="112" xfId="0" applyFont="1" applyFill="1" applyBorder="1" applyAlignment="1" applyProtection="1">
      <alignment horizontal="right" shrinkToFit="1"/>
      <protection hidden="1"/>
    </xf>
    <xf numFmtId="0" fontId="14" fillId="12" borderId="118" xfId="0" applyFont="1" applyFill="1" applyBorder="1" applyAlignment="1" applyProtection="1">
      <alignment horizontal="right" vertical="center"/>
      <protection hidden="1"/>
    </xf>
    <xf numFmtId="0" fontId="14" fillId="12" borderId="116" xfId="0" applyFont="1" applyFill="1" applyBorder="1" applyAlignment="1" applyProtection="1">
      <alignment horizontal="right" vertical="center"/>
      <protection hidden="1"/>
    </xf>
    <xf numFmtId="0" fontId="14" fillId="12" borderId="1" xfId="0" applyFont="1" applyFill="1" applyBorder="1" applyAlignment="1" applyProtection="1">
      <alignment horizontal="right" vertical="center"/>
      <protection hidden="1"/>
    </xf>
    <xf numFmtId="0" fontId="14" fillId="12" borderId="0" xfId="0" applyFont="1" applyFill="1" applyBorder="1" applyAlignment="1" applyProtection="1">
      <alignment horizontal="right" vertical="center"/>
      <protection hidden="1"/>
    </xf>
    <xf numFmtId="0" fontId="29" fillId="16" borderId="116" xfId="0" applyFont="1" applyFill="1" applyBorder="1" applyAlignment="1" applyProtection="1">
      <alignment horizontal="center" vertical="center"/>
      <protection hidden="1"/>
    </xf>
    <xf numFmtId="0" fontId="29" fillId="16" borderId="0" xfId="0" applyFont="1" applyFill="1" applyBorder="1" applyAlignment="1" applyProtection="1">
      <alignment horizontal="center" vertical="center"/>
      <protection hidden="1"/>
    </xf>
    <xf numFmtId="0" fontId="34" fillId="3" borderId="118" xfId="0" applyFont="1" applyFill="1" applyBorder="1" applyAlignment="1" applyProtection="1">
      <alignment horizontal="center" vertical="center" textRotation="180" shrinkToFit="1"/>
      <protection hidden="1"/>
    </xf>
    <xf numFmtId="0" fontId="34" fillId="3" borderId="258" xfId="0" applyFont="1" applyFill="1" applyBorder="1" applyAlignment="1" applyProtection="1">
      <alignment horizontal="center" vertical="center" textRotation="180" shrinkToFit="1"/>
      <protection hidden="1"/>
    </xf>
    <xf numFmtId="0" fontId="9" fillId="19" borderId="118" xfId="0" applyFont="1" applyFill="1" applyBorder="1" applyAlignment="1" applyProtection="1">
      <alignment horizontal="center" vertical="center" shrinkToFit="1"/>
      <protection locked="0"/>
    </xf>
    <xf numFmtId="0" fontId="9" fillId="19" borderId="119" xfId="0" applyFont="1" applyFill="1" applyBorder="1" applyAlignment="1" applyProtection="1">
      <alignment horizontal="center" vertical="center" shrinkToFit="1"/>
      <protection locked="0"/>
    </xf>
    <xf numFmtId="0" fontId="9" fillId="19" borderId="113" xfId="0" applyFont="1" applyFill="1" applyBorder="1" applyAlignment="1" applyProtection="1">
      <alignment horizontal="center" vertical="center" shrinkToFit="1"/>
      <protection locked="0"/>
    </xf>
    <xf numFmtId="0" fontId="9" fillId="19" borderId="5" xfId="0" applyFont="1" applyFill="1" applyBorder="1" applyAlignment="1" applyProtection="1">
      <alignment horizontal="center" vertical="center" shrinkToFit="1"/>
      <protection locked="0"/>
    </xf>
    <xf numFmtId="0" fontId="34" fillId="3" borderId="3" xfId="0" applyFont="1" applyFill="1" applyBorder="1" applyAlignment="1" applyProtection="1">
      <alignment horizontal="center" vertical="center" textRotation="180" shrinkToFit="1"/>
      <protection hidden="1"/>
    </xf>
    <xf numFmtId="0" fontId="34" fillId="3" borderId="6" xfId="0" applyFont="1" applyFill="1" applyBorder="1" applyAlignment="1" applyProtection="1">
      <alignment horizontal="center" vertical="center" textRotation="180" shrinkToFit="1"/>
      <protection hidden="1"/>
    </xf>
    <xf numFmtId="0" fontId="16" fillId="19" borderId="118" xfId="0" applyFont="1" applyFill="1" applyBorder="1" applyAlignment="1" applyProtection="1">
      <alignment horizontal="center" vertical="center" shrinkToFit="1"/>
      <protection hidden="1"/>
    </xf>
    <xf numFmtId="0" fontId="16" fillId="19" borderId="116" xfId="0" applyFont="1" applyFill="1" applyBorder="1" applyAlignment="1" applyProtection="1">
      <alignment horizontal="center" vertical="center" shrinkToFit="1"/>
      <protection hidden="1"/>
    </xf>
    <xf numFmtId="0" fontId="16" fillId="19" borderId="119" xfId="0" applyFont="1" applyFill="1" applyBorder="1" applyAlignment="1" applyProtection="1">
      <alignment horizontal="center" vertical="center" shrinkToFit="1"/>
      <protection hidden="1"/>
    </xf>
    <xf numFmtId="0" fontId="16" fillId="19" borderId="113" xfId="0" applyFont="1" applyFill="1" applyBorder="1" applyAlignment="1" applyProtection="1">
      <alignment horizontal="center" vertical="center" shrinkToFit="1"/>
      <protection hidden="1"/>
    </xf>
    <xf numFmtId="0" fontId="16" fillId="19" borderId="117" xfId="0" applyFont="1" applyFill="1" applyBorder="1" applyAlignment="1" applyProtection="1">
      <alignment horizontal="center" vertical="center" shrinkToFit="1"/>
      <protection hidden="1"/>
    </xf>
    <xf numFmtId="0" fontId="16" fillId="19" borderId="5" xfId="0" applyFont="1" applyFill="1" applyBorder="1" applyAlignment="1" applyProtection="1">
      <alignment horizontal="center" vertical="center" shrinkToFit="1"/>
      <protection hidden="1"/>
    </xf>
    <xf numFmtId="0" fontId="33" fillId="16" borderId="385" xfId="0" applyFont="1" applyFill="1" applyBorder="1" applyAlignment="1" applyProtection="1">
      <alignment horizontal="center" vertical="center" shrinkToFit="1"/>
      <protection hidden="1"/>
    </xf>
    <xf numFmtId="0" fontId="33" fillId="16" borderId="386" xfId="0" applyFont="1" applyFill="1" applyBorder="1" applyAlignment="1" applyProtection="1">
      <alignment horizontal="center" vertical="center" shrinkToFit="1"/>
      <protection hidden="1"/>
    </xf>
    <xf numFmtId="181" fontId="260" fillId="16" borderId="118" xfId="0" applyNumberFormat="1" applyFont="1" applyFill="1" applyBorder="1" applyAlignment="1" applyProtection="1">
      <alignment horizontal="right" vertical="center" shrinkToFit="1"/>
      <protection hidden="1"/>
    </xf>
    <xf numFmtId="181" fontId="260" fillId="16" borderId="116" xfId="0" applyNumberFormat="1" applyFont="1" applyFill="1" applyBorder="1" applyAlignment="1" applyProtection="1">
      <alignment horizontal="right" vertical="center" shrinkToFit="1"/>
      <protection hidden="1"/>
    </xf>
    <xf numFmtId="181" fontId="260" fillId="16" borderId="113" xfId="0" applyNumberFormat="1" applyFont="1" applyFill="1" applyBorder="1" applyAlignment="1" applyProtection="1">
      <alignment horizontal="right" vertical="center" shrinkToFit="1"/>
      <protection hidden="1"/>
    </xf>
    <xf numFmtId="181" fontId="260" fillId="16" borderId="117" xfId="0" applyNumberFormat="1" applyFont="1" applyFill="1" applyBorder="1" applyAlignment="1" applyProtection="1">
      <alignment horizontal="right" vertical="center" shrinkToFit="1"/>
      <protection hidden="1"/>
    </xf>
    <xf numFmtId="181" fontId="18" fillId="16" borderId="116" xfId="0" applyNumberFormat="1" applyFont="1" applyFill="1" applyBorder="1" applyAlignment="1" applyProtection="1">
      <alignment horizontal="left" vertical="center" shrinkToFit="1"/>
      <protection hidden="1"/>
    </xf>
    <xf numFmtId="181" fontId="18" fillId="16" borderId="0" xfId="0" applyNumberFormat="1" applyFont="1" applyFill="1" applyBorder="1" applyAlignment="1" applyProtection="1">
      <alignment horizontal="left" vertical="center" shrinkToFit="1"/>
      <protection hidden="1"/>
    </xf>
    <xf numFmtId="181" fontId="142" fillId="13" borderId="118" xfId="0" applyNumberFormat="1" applyFont="1" applyFill="1" applyBorder="1" applyAlignment="1" applyProtection="1">
      <alignment horizontal="center" vertical="center" shrinkToFit="1"/>
      <protection locked="0"/>
    </xf>
    <xf numFmtId="181" fontId="142" fillId="13" borderId="116" xfId="0" applyNumberFormat="1" applyFont="1" applyFill="1" applyBorder="1" applyAlignment="1" applyProtection="1">
      <alignment horizontal="center" vertical="center" shrinkToFit="1"/>
      <protection locked="0"/>
    </xf>
    <xf numFmtId="181" fontId="142" fillId="13" borderId="113" xfId="0" applyNumberFormat="1" applyFont="1" applyFill="1" applyBorder="1" applyAlignment="1" applyProtection="1">
      <alignment horizontal="center" vertical="center" shrinkToFit="1"/>
      <protection locked="0"/>
    </xf>
    <xf numFmtId="181" fontId="142" fillId="13" borderId="117" xfId="0" applyNumberFormat="1" applyFont="1" applyFill="1" applyBorder="1" applyAlignment="1" applyProtection="1">
      <alignment horizontal="center" vertical="center" shrinkToFit="1"/>
      <protection locked="0"/>
    </xf>
    <xf numFmtId="0" fontId="14" fillId="12" borderId="322" xfId="0" applyFont="1" applyFill="1" applyBorder="1" applyAlignment="1" applyProtection="1">
      <alignment horizontal="right" vertical="center"/>
      <protection hidden="1"/>
    </xf>
    <xf numFmtId="0" fontId="14" fillId="12" borderId="321" xfId="0" applyFont="1" applyFill="1" applyBorder="1" applyAlignment="1" applyProtection="1">
      <alignment horizontal="right" vertical="center"/>
      <protection hidden="1"/>
    </xf>
    <xf numFmtId="0" fontId="14" fillId="12" borderId="319" xfId="0" applyFont="1" applyFill="1" applyBorder="1" applyAlignment="1" applyProtection="1">
      <alignment horizontal="right" vertical="center"/>
      <protection hidden="1"/>
    </xf>
    <xf numFmtId="0" fontId="260" fillId="3" borderId="118" xfId="0" applyFont="1" applyFill="1" applyBorder="1" applyAlignment="1" applyProtection="1">
      <alignment horizontal="center" vertical="center" shrinkToFit="1"/>
      <protection hidden="1"/>
    </xf>
    <xf numFmtId="0" fontId="260" fillId="3" borderId="116" xfId="0" applyFont="1" applyFill="1" applyBorder="1" applyAlignment="1" applyProtection="1">
      <alignment horizontal="center" vertical="center" shrinkToFit="1"/>
      <protection hidden="1"/>
    </xf>
    <xf numFmtId="0" fontId="260" fillId="3" borderId="119" xfId="0" applyFont="1" applyFill="1" applyBorder="1" applyAlignment="1" applyProtection="1">
      <alignment horizontal="center" vertical="center" shrinkToFit="1"/>
      <protection hidden="1"/>
    </xf>
    <xf numFmtId="0" fontId="260" fillId="3" borderId="113" xfId="0" applyFont="1" applyFill="1" applyBorder="1" applyAlignment="1" applyProtection="1">
      <alignment horizontal="center" vertical="center" shrinkToFit="1"/>
      <protection hidden="1"/>
    </xf>
    <xf numFmtId="0" fontId="260" fillId="3" borderId="117" xfId="0" applyFont="1" applyFill="1" applyBorder="1" applyAlignment="1" applyProtection="1">
      <alignment horizontal="center" vertical="center" shrinkToFit="1"/>
      <protection hidden="1"/>
    </xf>
    <xf numFmtId="0" fontId="260" fillId="3" borderId="5" xfId="0" applyFont="1" applyFill="1" applyBorder="1" applyAlignment="1" applyProtection="1">
      <alignment horizontal="center" vertical="center" shrinkToFit="1"/>
      <protection hidden="1"/>
    </xf>
    <xf numFmtId="179" fontId="33" fillId="16" borderId="7" xfId="0" applyNumberFormat="1" applyFont="1" applyFill="1" applyBorder="1" applyAlignment="1" applyProtection="1">
      <alignment horizontal="center" vertical="center" shrinkToFit="1"/>
      <protection hidden="1"/>
    </xf>
    <xf numFmtId="0" fontId="33" fillId="16" borderId="7" xfId="0" applyFont="1" applyFill="1" applyBorder="1" applyAlignment="1" applyProtection="1">
      <alignment horizontal="center" vertical="center" shrinkToFit="1"/>
      <protection hidden="1"/>
    </xf>
    <xf numFmtId="198" fontId="18" fillId="16" borderId="111" xfId="0" quotePrefix="1" applyNumberFormat="1" applyFont="1" applyFill="1" applyBorder="1" applyAlignment="1" applyProtection="1">
      <alignment vertical="center" shrinkToFit="1"/>
      <protection hidden="1"/>
    </xf>
    <xf numFmtId="0" fontId="33" fillId="19" borderId="112" xfId="0" applyFont="1" applyFill="1" applyBorder="1" applyAlignment="1" applyProtection="1">
      <alignment horizontal="center" vertical="center" shrinkToFit="1"/>
      <protection locked="0"/>
    </xf>
    <xf numFmtId="183" fontId="18" fillId="13" borderId="109" xfId="0" applyNumberFormat="1" applyFont="1" applyFill="1" applyBorder="1" applyAlignment="1" applyProtection="1">
      <alignment horizontal="right" vertical="center" shrinkToFit="1"/>
      <protection locked="0"/>
    </xf>
    <xf numFmtId="0" fontId="33" fillId="16" borderId="109" xfId="0" applyFont="1" applyFill="1" applyBorder="1" applyAlignment="1" applyProtection="1">
      <alignment horizontal="center" vertical="center" shrinkToFit="1"/>
      <protection hidden="1"/>
    </xf>
    <xf numFmtId="183" fontId="18" fillId="13" borderId="231" xfId="0" applyNumberFormat="1" applyFont="1" applyFill="1" applyBorder="1" applyAlignment="1" applyProtection="1">
      <alignment horizontal="right" vertical="center" shrinkToFit="1"/>
      <protection locked="0"/>
    </xf>
    <xf numFmtId="183" fontId="18" fillId="13" borderId="230" xfId="0" applyNumberFormat="1" applyFont="1" applyFill="1" applyBorder="1" applyAlignment="1" applyProtection="1">
      <alignment horizontal="right" vertical="center" shrinkToFit="1"/>
      <protection locked="0"/>
    </xf>
    <xf numFmtId="183" fontId="18" fillId="13" borderId="229" xfId="0" applyNumberFormat="1" applyFont="1" applyFill="1" applyBorder="1" applyAlignment="1" applyProtection="1">
      <alignment horizontal="right" vertical="center" shrinkToFit="1"/>
      <protection locked="0"/>
    </xf>
    <xf numFmtId="0" fontId="29" fillId="6" borderId="109" xfId="0" applyFont="1" applyFill="1" applyBorder="1" applyAlignment="1" applyProtection="1">
      <alignment horizontal="center" vertical="center"/>
      <protection hidden="1"/>
    </xf>
    <xf numFmtId="0" fontId="29" fillId="6" borderId="116" xfId="0" applyFont="1" applyFill="1" applyBorder="1" applyAlignment="1" applyProtection="1">
      <alignment horizontal="center" vertical="center" wrapText="1"/>
      <protection hidden="1"/>
    </xf>
    <xf numFmtId="0" fontId="90" fillId="16" borderId="111" xfId="0" applyFont="1" applyFill="1" applyBorder="1" applyAlignment="1" applyProtection="1">
      <alignment horizontal="center" vertical="center"/>
      <protection hidden="1"/>
    </xf>
    <xf numFmtId="0" fontId="90" fillId="16" borderId="114" xfId="0" applyFont="1" applyFill="1" applyBorder="1" applyAlignment="1" applyProtection="1">
      <alignment horizontal="center" vertical="center"/>
      <protection hidden="1"/>
    </xf>
    <xf numFmtId="177" fontId="254" fillId="16" borderId="51" xfId="0" applyNumberFormat="1" applyFont="1" applyFill="1" applyBorder="1" applyAlignment="1" applyProtection="1">
      <alignment horizontal="center" vertical="center" shrinkToFit="1"/>
      <protection hidden="1"/>
    </xf>
    <xf numFmtId="177" fontId="254" fillId="16" borderId="114" xfId="0" applyNumberFormat="1" applyFont="1" applyFill="1" applyBorder="1" applyAlignment="1" applyProtection="1">
      <alignment horizontal="center" vertical="center" shrinkToFit="1"/>
      <protection hidden="1"/>
    </xf>
    <xf numFmtId="177" fontId="254" fillId="16" borderId="97" xfId="0" applyNumberFormat="1" applyFont="1" applyFill="1" applyBorder="1" applyAlignment="1" applyProtection="1">
      <alignment horizontal="center" vertical="center" shrinkToFit="1"/>
      <protection hidden="1"/>
    </xf>
    <xf numFmtId="198" fontId="254" fillId="16" borderId="51" xfId="0" applyNumberFormat="1" applyFont="1" applyFill="1" applyBorder="1" applyAlignment="1" applyProtection="1">
      <alignment horizontal="center" vertical="center" shrinkToFit="1"/>
      <protection hidden="1"/>
    </xf>
    <xf numFmtId="198" fontId="254" fillId="16" borderId="114" xfId="0" applyNumberFormat="1" applyFont="1" applyFill="1" applyBorder="1" applyAlignment="1" applyProtection="1">
      <alignment horizontal="center" vertical="center" shrinkToFit="1"/>
      <protection hidden="1"/>
    </xf>
    <xf numFmtId="198" fontId="254" fillId="16" borderId="97" xfId="0" applyNumberFormat="1" applyFont="1" applyFill="1" applyBorder="1" applyAlignment="1" applyProtection="1">
      <alignment horizontal="center" vertical="center" shrinkToFit="1"/>
      <protection hidden="1"/>
    </xf>
    <xf numFmtId="0" fontId="255" fillId="16" borderId="51" xfId="0" applyFont="1" applyFill="1" applyBorder="1" applyAlignment="1" applyProtection="1">
      <alignment horizontal="center" vertical="center" shrinkToFit="1"/>
      <protection hidden="1"/>
    </xf>
    <xf numFmtId="0" fontId="255" fillId="16" borderId="114" xfId="0" applyFont="1" applyFill="1" applyBorder="1" applyAlignment="1" applyProtection="1">
      <alignment horizontal="center" vertical="center" shrinkToFit="1"/>
      <protection hidden="1"/>
    </xf>
    <xf numFmtId="0" fontId="255" fillId="16" borderId="97" xfId="0" applyFont="1" applyFill="1" applyBorder="1" applyAlignment="1" applyProtection="1">
      <alignment horizontal="center" vertical="center" shrinkToFit="1"/>
      <protection hidden="1"/>
    </xf>
    <xf numFmtId="176" fontId="254" fillId="16" borderId="111" xfId="0" applyNumberFormat="1" applyFont="1" applyFill="1" applyBorder="1" applyAlignment="1" applyProtection="1">
      <alignment horizontal="center" vertical="center" shrinkToFit="1"/>
      <protection hidden="1"/>
    </xf>
    <xf numFmtId="176" fontId="254" fillId="16" borderId="114" xfId="0" applyNumberFormat="1" applyFont="1" applyFill="1" applyBorder="1" applyAlignment="1" applyProtection="1">
      <alignment horizontal="center" vertical="center" shrinkToFit="1"/>
      <protection hidden="1"/>
    </xf>
    <xf numFmtId="0" fontId="33" fillId="16" borderId="227" xfId="0" applyFont="1" applyFill="1" applyBorder="1" applyAlignment="1" applyProtection="1">
      <alignment horizontal="center" vertical="center" shrinkToFit="1"/>
      <protection hidden="1"/>
    </xf>
    <xf numFmtId="176" fontId="254" fillId="16" borderId="112" xfId="0" applyNumberFormat="1" applyFont="1" applyFill="1" applyBorder="1" applyAlignment="1" applyProtection="1">
      <alignment horizontal="center" vertical="center" shrinkToFit="1"/>
      <protection hidden="1"/>
    </xf>
    <xf numFmtId="182" fontId="29" fillId="16" borderId="111" xfId="0" applyNumberFormat="1" applyFont="1" applyFill="1" applyBorder="1" applyAlignment="1" applyProtection="1">
      <alignment horizontal="right" vertical="center"/>
      <protection hidden="1"/>
    </xf>
    <xf numFmtId="182" fontId="29" fillId="16" borderId="114" xfId="0" applyNumberFormat="1" applyFont="1" applyFill="1" applyBorder="1" applyAlignment="1" applyProtection="1">
      <alignment horizontal="right" vertical="center"/>
      <protection hidden="1"/>
    </xf>
    <xf numFmtId="182" fontId="29" fillId="16" borderId="375" xfId="0" applyNumberFormat="1" applyFont="1" applyFill="1" applyBorder="1" applyAlignment="1" applyProtection="1">
      <alignment horizontal="right" vertical="center"/>
      <protection hidden="1"/>
    </xf>
    <xf numFmtId="0" fontId="29" fillId="6" borderId="113" xfId="0" applyFont="1" applyFill="1" applyBorder="1" applyAlignment="1" applyProtection="1">
      <alignment horizontal="center" vertical="center" wrapText="1"/>
      <protection hidden="1"/>
    </xf>
    <xf numFmtId="0" fontId="254" fillId="16" borderId="114" xfId="0" applyFont="1" applyFill="1" applyBorder="1" applyAlignment="1" applyProtection="1">
      <alignment horizontal="center" vertical="center" shrinkToFit="1"/>
      <protection hidden="1"/>
    </xf>
    <xf numFmtId="0" fontId="254" fillId="16" borderId="97" xfId="0" applyFont="1" applyFill="1" applyBorder="1" applyAlignment="1" applyProtection="1">
      <alignment horizontal="center" vertical="center" shrinkToFit="1"/>
      <protection hidden="1"/>
    </xf>
    <xf numFmtId="0" fontId="29" fillId="16" borderId="111" xfId="0" applyFont="1" applyFill="1" applyBorder="1" applyAlignment="1" applyProtection="1">
      <alignment horizontal="center" vertical="center"/>
      <protection hidden="1"/>
    </xf>
    <xf numFmtId="0" fontId="29" fillId="16" borderId="114" xfId="0" applyFont="1" applyFill="1" applyBorder="1" applyAlignment="1" applyProtection="1">
      <alignment horizontal="center" vertical="center"/>
      <protection hidden="1"/>
    </xf>
    <xf numFmtId="0" fontId="29" fillId="16" borderId="112" xfId="0" applyFont="1" applyFill="1" applyBorder="1" applyAlignment="1" applyProtection="1">
      <alignment horizontal="center" vertical="center"/>
      <protection hidden="1"/>
    </xf>
    <xf numFmtId="199" fontId="254" fillId="16" borderId="111" xfId="0" applyNumberFormat="1" applyFont="1" applyFill="1" applyBorder="1" applyAlignment="1" applyProtection="1">
      <alignment horizontal="center" vertical="center" shrinkToFit="1"/>
      <protection hidden="1"/>
    </xf>
    <xf numFmtId="199" fontId="254" fillId="16" borderId="114" xfId="0" applyNumberFormat="1" applyFont="1" applyFill="1" applyBorder="1" applyAlignment="1" applyProtection="1">
      <alignment horizontal="center" vertical="center" shrinkToFit="1"/>
      <protection hidden="1"/>
    </xf>
    <xf numFmtId="199" fontId="254" fillId="16" borderId="97" xfId="0" applyNumberFormat="1" applyFont="1" applyFill="1" applyBorder="1" applyAlignment="1" applyProtection="1">
      <alignment horizontal="center" vertical="center" shrinkToFit="1"/>
      <protection hidden="1"/>
    </xf>
    <xf numFmtId="0" fontId="90" fillId="16" borderId="112" xfId="0" applyFont="1" applyFill="1" applyBorder="1" applyAlignment="1" applyProtection="1">
      <alignment horizontal="center" vertical="center"/>
      <protection hidden="1"/>
    </xf>
    <xf numFmtId="0" fontId="29" fillId="6" borderId="113" xfId="0" applyFont="1" applyFill="1" applyBorder="1" applyAlignment="1" applyProtection="1">
      <alignment horizontal="center" vertical="center" shrinkToFit="1"/>
      <protection hidden="1"/>
    </xf>
    <xf numFmtId="177" fontId="254" fillId="16" borderId="111" xfId="0" applyNumberFormat="1" applyFont="1" applyFill="1" applyBorder="1" applyAlignment="1" applyProtection="1">
      <alignment horizontal="center" vertical="center" shrinkToFit="1"/>
      <protection hidden="1"/>
    </xf>
    <xf numFmtId="0" fontId="254" fillId="6" borderId="114" xfId="0" applyFont="1" applyFill="1" applyBorder="1" applyAlignment="1" applyProtection="1">
      <alignment horizontal="center" vertical="center" shrinkToFit="1"/>
      <protection hidden="1"/>
    </xf>
    <xf numFmtId="0" fontId="90" fillId="6" borderId="114" xfId="0" applyFont="1" applyFill="1" applyBorder="1" applyAlignment="1" applyProtection="1">
      <alignment horizontal="center" vertical="center"/>
      <protection hidden="1"/>
    </xf>
    <xf numFmtId="0" fontId="33" fillId="6" borderId="114" xfId="0" applyFont="1" applyFill="1" applyBorder="1" applyAlignment="1" applyProtection="1">
      <alignment horizontal="center" vertical="center" shrinkToFit="1"/>
      <protection hidden="1"/>
    </xf>
    <xf numFmtId="177" fontId="254" fillId="6" borderId="114" xfId="0" applyNumberFormat="1" applyFont="1" applyFill="1" applyBorder="1" applyAlignment="1" applyProtection="1">
      <alignment horizontal="center" vertical="center" shrinkToFit="1"/>
      <protection hidden="1"/>
    </xf>
    <xf numFmtId="0" fontId="255" fillId="6" borderId="114" xfId="0" applyFont="1" applyFill="1" applyBorder="1" applyAlignment="1" applyProtection="1">
      <alignment horizontal="center" vertical="center" shrinkToFit="1"/>
      <protection hidden="1"/>
    </xf>
    <xf numFmtId="186" fontId="15" fillId="0" borderId="0" xfId="0" applyNumberFormat="1" applyFont="1" applyFill="1" applyAlignment="1" applyProtection="1">
      <alignment horizontal="center" vertical="top"/>
      <protection hidden="1"/>
    </xf>
    <xf numFmtId="0" fontId="29" fillId="6" borderId="376" xfId="0" applyFont="1" applyFill="1" applyBorder="1" applyAlignment="1" applyProtection="1">
      <alignment horizontal="center" vertical="center"/>
      <protection hidden="1"/>
    </xf>
    <xf numFmtId="0" fontId="29" fillId="6" borderId="228" xfId="0" applyFont="1" applyFill="1" applyBorder="1" applyAlignment="1" applyProtection="1">
      <alignment horizontal="center" vertical="center"/>
      <protection hidden="1"/>
    </xf>
    <xf numFmtId="182" fontId="29" fillId="16" borderId="227" xfId="0" applyNumberFormat="1" applyFont="1" applyFill="1" applyBorder="1" applyAlignment="1" applyProtection="1">
      <alignment horizontal="right" vertical="center"/>
      <protection hidden="1"/>
    </xf>
    <xf numFmtId="182" fontId="29" fillId="16" borderId="112" xfId="0" applyNumberFormat="1" applyFont="1" applyFill="1" applyBorder="1" applyAlignment="1" applyProtection="1">
      <alignment horizontal="right" vertical="center"/>
      <protection hidden="1"/>
    </xf>
    <xf numFmtId="0" fontId="9" fillId="16" borderId="111" xfId="0" applyFont="1" applyFill="1" applyBorder="1" applyAlignment="1" applyProtection="1">
      <alignment horizontal="left" vertical="center" shrinkToFit="1"/>
      <protection hidden="1"/>
    </xf>
    <xf numFmtId="176" fontId="9" fillId="13" borderId="111" xfId="0" applyNumberFormat="1" applyFont="1" applyFill="1" applyBorder="1" applyAlignment="1" applyProtection="1">
      <alignment horizontal="center" vertical="center"/>
      <protection locked="0"/>
    </xf>
    <xf numFmtId="176" fontId="9" fillId="13" borderId="114" xfId="0" applyNumberFormat="1" applyFont="1" applyFill="1" applyBorder="1" applyAlignment="1" applyProtection="1">
      <alignment horizontal="center" vertical="center"/>
      <protection locked="0"/>
    </xf>
    <xf numFmtId="176" fontId="9" fillId="13" borderId="112" xfId="0" applyNumberFormat="1" applyFont="1" applyFill="1" applyBorder="1" applyAlignment="1" applyProtection="1">
      <alignment horizontal="center" vertical="center"/>
      <protection locked="0"/>
    </xf>
    <xf numFmtId="0" fontId="9" fillId="16" borderId="111" xfId="0" quotePrefix="1" applyFont="1" applyFill="1" applyBorder="1" applyAlignment="1" applyProtection="1">
      <alignment horizontal="center" vertical="center"/>
      <protection hidden="1"/>
    </xf>
    <xf numFmtId="0" fontId="29" fillId="13" borderId="111" xfId="0" applyFont="1" applyFill="1" applyBorder="1" applyAlignment="1" applyProtection="1">
      <alignment horizontal="left" vertical="center"/>
      <protection locked="0"/>
    </xf>
    <xf numFmtId="0" fontId="29" fillId="13" borderId="114" xfId="0" applyFont="1" applyFill="1" applyBorder="1" applyAlignment="1" applyProtection="1">
      <alignment horizontal="left" vertical="center"/>
      <protection locked="0"/>
    </xf>
    <xf numFmtId="0" fontId="29" fillId="13" borderId="112" xfId="0" applyFont="1" applyFill="1" applyBorder="1" applyAlignment="1" applyProtection="1">
      <alignment horizontal="left" vertical="center"/>
      <protection locked="0"/>
    </xf>
    <xf numFmtId="182" fontId="90" fillId="16" borderId="227" xfId="0" applyNumberFormat="1" applyFont="1" applyFill="1" applyBorder="1" applyAlignment="1" applyProtection="1">
      <alignment horizontal="right" vertical="center"/>
      <protection hidden="1"/>
    </xf>
    <xf numFmtId="182" fontId="90" fillId="16" borderId="114" xfId="0" applyNumberFormat="1" applyFont="1" applyFill="1" applyBorder="1" applyAlignment="1" applyProtection="1">
      <alignment horizontal="right" vertical="center"/>
      <protection hidden="1"/>
    </xf>
    <xf numFmtId="182" fontId="90" fillId="16" borderId="112" xfId="0" applyNumberFormat="1" applyFont="1" applyFill="1" applyBorder="1" applyAlignment="1" applyProtection="1">
      <alignment horizontal="right" vertical="center"/>
      <protection hidden="1"/>
    </xf>
    <xf numFmtId="0" fontId="2" fillId="0" borderId="0" xfId="0" applyFont="1" applyFill="1" applyBorder="1" applyAlignment="1" applyProtection="1">
      <alignment horizontal="center" vertical="center"/>
      <protection hidden="1"/>
    </xf>
    <xf numFmtId="0" fontId="113" fillId="11" borderId="12" xfId="1" applyFont="1" applyFill="1" applyBorder="1" applyAlignment="1" applyProtection="1">
      <alignment horizontal="center" vertical="center"/>
      <protection hidden="1"/>
    </xf>
    <xf numFmtId="0" fontId="113" fillId="11" borderId="13" xfId="1" applyFont="1" applyFill="1" applyBorder="1" applyAlignment="1" applyProtection="1">
      <alignment horizontal="center" vertical="center"/>
      <protection hidden="1"/>
    </xf>
    <xf numFmtId="0" fontId="113" fillId="11" borderId="14" xfId="1" applyFont="1" applyFill="1" applyBorder="1" applyAlignment="1" applyProtection="1">
      <alignment horizontal="center" vertical="center"/>
      <protection hidden="1"/>
    </xf>
    <xf numFmtId="0" fontId="9" fillId="31" borderId="111" xfId="0" applyFont="1" applyFill="1" applyBorder="1" applyAlignment="1" applyProtection="1">
      <alignment horizontal="center" vertical="center"/>
      <protection hidden="1"/>
    </xf>
    <xf numFmtId="0" fontId="9" fillId="31" borderId="114" xfId="0" applyFont="1" applyFill="1" applyBorder="1" applyAlignment="1" applyProtection="1">
      <alignment horizontal="center" vertical="center"/>
      <protection hidden="1"/>
    </xf>
    <xf numFmtId="0" fontId="9" fillId="31" borderId="112" xfId="0" applyFont="1" applyFill="1" applyBorder="1" applyAlignment="1" applyProtection="1">
      <alignment horizontal="center" vertical="center"/>
      <protection hidden="1"/>
    </xf>
    <xf numFmtId="0" fontId="20" fillId="11" borderId="13" xfId="1" quotePrefix="1" applyFont="1" applyFill="1" applyBorder="1" applyAlignment="1" applyProtection="1">
      <alignment horizontal="center" vertical="center"/>
      <protection hidden="1"/>
    </xf>
    <xf numFmtId="0" fontId="20" fillId="11" borderId="14" xfId="1" quotePrefix="1" applyFont="1" applyFill="1" applyBorder="1" applyAlignment="1" applyProtection="1">
      <alignment horizontal="center" vertical="center"/>
      <protection hidden="1"/>
    </xf>
    <xf numFmtId="182" fontId="33" fillId="16" borderId="111" xfId="0" applyNumberFormat="1" applyFont="1" applyFill="1" applyBorder="1" applyAlignment="1" applyProtection="1">
      <alignment horizontal="right" vertical="center"/>
      <protection hidden="1"/>
    </xf>
    <xf numFmtId="182" fontId="33" fillId="16" borderId="114" xfId="0" applyNumberFormat="1" applyFont="1" applyFill="1" applyBorder="1" applyAlignment="1" applyProtection="1">
      <alignment horizontal="right" vertical="center"/>
      <protection hidden="1"/>
    </xf>
    <xf numFmtId="182" fontId="33" fillId="16" borderId="112" xfId="0" applyNumberFormat="1" applyFont="1" applyFill="1" applyBorder="1" applyAlignment="1" applyProtection="1">
      <alignment horizontal="right" vertical="center"/>
      <protection hidden="1"/>
    </xf>
    <xf numFmtId="0" fontId="9" fillId="6" borderId="6" xfId="0" applyFont="1" applyFill="1" applyBorder="1" applyAlignment="1" applyProtection="1">
      <alignment horizontal="center" vertical="center"/>
      <protection hidden="1"/>
    </xf>
    <xf numFmtId="0" fontId="9" fillId="6" borderId="111" xfId="0" applyFont="1" applyFill="1" applyBorder="1" applyAlignment="1" applyProtection="1">
      <alignment horizontal="left" vertical="center"/>
      <protection hidden="1"/>
    </xf>
    <xf numFmtId="0" fontId="9" fillId="6" borderId="114" xfId="0" applyFont="1" applyFill="1" applyBorder="1" applyAlignment="1" applyProtection="1">
      <alignment horizontal="left" vertical="center"/>
      <protection hidden="1"/>
    </xf>
    <xf numFmtId="0" fontId="9" fillId="6" borderId="112" xfId="0" applyFont="1" applyFill="1" applyBorder="1" applyAlignment="1" applyProtection="1">
      <alignment horizontal="left" vertical="center"/>
      <protection hidden="1"/>
    </xf>
    <xf numFmtId="187" fontId="9" fillId="3" borderId="111" xfId="0" applyNumberFormat="1" applyFont="1" applyFill="1" applyBorder="1" applyAlignment="1" applyProtection="1">
      <alignment vertical="center" shrinkToFit="1"/>
      <protection hidden="1"/>
    </xf>
    <xf numFmtId="187" fontId="9" fillId="3" borderId="114" xfId="0" applyNumberFormat="1" applyFont="1" applyFill="1" applyBorder="1" applyAlignment="1" applyProtection="1">
      <alignment vertical="center" shrinkToFit="1"/>
      <protection hidden="1"/>
    </xf>
    <xf numFmtId="187" fontId="9" fillId="3" borderId="112" xfId="0" applyNumberFormat="1" applyFont="1" applyFill="1" applyBorder="1" applyAlignment="1" applyProtection="1">
      <alignment vertical="center" shrinkToFit="1"/>
      <protection hidden="1"/>
    </xf>
    <xf numFmtId="182" fontId="29" fillId="16" borderId="111" xfId="0" applyNumberFormat="1" applyFont="1" applyFill="1" applyBorder="1" applyAlignment="1" applyProtection="1">
      <alignment horizontal="center" vertical="center"/>
      <protection hidden="1"/>
    </xf>
    <xf numFmtId="182" fontId="29" fillId="16" borderId="114" xfId="0" applyNumberFormat="1" applyFont="1" applyFill="1" applyBorder="1" applyAlignment="1" applyProtection="1">
      <alignment horizontal="center" vertical="center"/>
      <protection hidden="1"/>
    </xf>
    <xf numFmtId="187" fontId="33" fillId="16" borderId="111" xfId="0" applyNumberFormat="1" applyFont="1" applyFill="1" applyBorder="1" applyAlignment="1" applyProtection="1">
      <alignment horizontal="right" vertical="center" shrinkToFit="1"/>
      <protection hidden="1"/>
    </xf>
    <xf numFmtId="187" fontId="33" fillId="16" borderId="114" xfId="0" applyNumberFormat="1" applyFont="1" applyFill="1" applyBorder="1" applyAlignment="1" applyProtection="1">
      <alignment horizontal="right" vertical="center" shrinkToFit="1"/>
      <protection hidden="1"/>
    </xf>
    <xf numFmtId="187" fontId="33" fillId="16" borderId="112" xfId="0" applyNumberFormat="1" applyFont="1" applyFill="1" applyBorder="1" applyAlignment="1" applyProtection="1">
      <alignment horizontal="right" vertical="center" shrinkToFit="1"/>
      <protection hidden="1"/>
    </xf>
    <xf numFmtId="0" fontId="29" fillId="6" borderId="118" xfId="0" applyFont="1" applyFill="1" applyBorder="1" applyAlignment="1" applyProtection="1">
      <alignment horizontal="center" vertical="center"/>
      <protection hidden="1"/>
    </xf>
    <xf numFmtId="0" fontId="29" fillId="6" borderId="376" xfId="0" applyFont="1" applyFill="1" applyBorder="1" applyAlignment="1" applyProtection="1">
      <alignment horizontal="center" vertical="center" shrinkToFit="1"/>
      <protection hidden="1"/>
    </xf>
    <xf numFmtId="0" fontId="29" fillId="6" borderId="228" xfId="0" applyFont="1" applyFill="1" applyBorder="1" applyAlignment="1" applyProtection="1">
      <alignment horizontal="center" vertical="center" shrinkToFit="1"/>
      <protection hidden="1"/>
    </xf>
    <xf numFmtId="177" fontId="9" fillId="16" borderId="118" xfId="0" applyNumberFormat="1" applyFont="1" applyFill="1" applyBorder="1" applyAlignment="1" applyProtection="1">
      <alignment horizontal="right" vertical="center" shrinkToFit="1"/>
      <protection hidden="1"/>
    </xf>
    <xf numFmtId="177" fontId="9" fillId="16" borderId="116" xfId="0" applyNumberFormat="1" applyFont="1" applyFill="1" applyBorder="1" applyAlignment="1" applyProtection="1">
      <alignment horizontal="right" vertical="center" shrinkToFit="1"/>
      <protection hidden="1"/>
    </xf>
    <xf numFmtId="177" fontId="9" fillId="16" borderId="119" xfId="0" applyNumberFormat="1" applyFont="1" applyFill="1" applyBorder="1" applyAlignment="1" applyProtection="1">
      <alignment horizontal="right" vertical="center" shrinkToFit="1"/>
      <protection hidden="1"/>
    </xf>
    <xf numFmtId="177" fontId="9" fillId="16" borderId="111" xfId="0" applyNumberFormat="1" applyFont="1" applyFill="1" applyBorder="1" applyAlignment="1" applyProtection="1">
      <alignment horizontal="right" vertical="center" shrinkToFit="1"/>
      <protection hidden="1"/>
    </xf>
    <xf numFmtId="177" fontId="9" fillId="16" borderId="114" xfId="0" applyNumberFormat="1" applyFont="1" applyFill="1" applyBorder="1" applyAlignment="1" applyProtection="1">
      <alignment horizontal="right" vertical="center" shrinkToFit="1"/>
      <protection hidden="1"/>
    </xf>
    <xf numFmtId="177" fontId="9" fillId="16" borderId="112" xfId="0" applyNumberFormat="1" applyFont="1" applyFill="1" applyBorder="1" applyAlignment="1" applyProtection="1">
      <alignment horizontal="right" vertical="center" shrinkToFit="1"/>
      <protection hidden="1"/>
    </xf>
    <xf numFmtId="0" fontId="9" fillId="13" borderId="111" xfId="0" applyFont="1" applyFill="1" applyBorder="1" applyAlignment="1" applyProtection="1">
      <alignment horizontal="right" vertical="center"/>
      <protection locked="0"/>
    </xf>
    <xf numFmtId="0" fontId="9" fillId="13" borderId="114" xfId="0" applyFont="1" applyFill="1" applyBorder="1" applyAlignment="1" applyProtection="1">
      <alignment horizontal="right" vertical="center"/>
      <protection locked="0"/>
    </xf>
    <xf numFmtId="0" fontId="9" fillId="13" borderId="112" xfId="0" applyFont="1" applyFill="1" applyBorder="1" applyAlignment="1" applyProtection="1">
      <alignment horizontal="right" vertical="center"/>
      <protection locked="0"/>
    </xf>
    <xf numFmtId="0" fontId="9" fillId="13" borderId="118" xfId="0" applyFont="1" applyFill="1" applyBorder="1" applyAlignment="1" applyProtection="1">
      <alignment horizontal="right" vertical="center"/>
      <protection locked="0"/>
    </xf>
    <xf numFmtId="0" fontId="9" fillId="13" borderId="116" xfId="0" applyFont="1" applyFill="1" applyBorder="1" applyAlignment="1" applyProtection="1">
      <alignment horizontal="right" vertical="center"/>
      <protection locked="0"/>
    </xf>
    <xf numFmtId="0" fontId="9" fillId="13" borderId="119" xfId="0" applyFont="1" applyFill="1" applyBorder="1" applyAlignment="1" applyProtection="1">
      <alignment horizontal="right" vertical="center"/>
      <protection locked="0"/>
    </xf>
    <xf numFmtId="197" fontId="30" fillId="16" borderId="111" xfId="0" applyNumberFormat="1" applyFont="1" applyFill="1" applyBorder="1" applyAlignment="1" applyProtection="1">
      <alignment horizontal="center" vertical="center" shrinkToFit="1"/>
      <protection hidden="1"/>
    </xf>
    <xf numFmtId="197" fontId="30" fillId="16" borderId="114" xfId="0" applyNumberFormat="1" applyFont="1" applyFill="1" applyBorder="1" applyAlignment="1" applyProtection="1">
      <alignment horizontal="center" vertical="center" shrinkToFit="1"/>
      <protection hidden="1"/>
    </xf>
    <xf numFmtId="197" fontId="30" fillId="16" borderId="112" xfId="0" applyNumberFormat="1" applyFont="1" applyFill="1" applyBorder="1" applyAlignment="1" applyProtection="1">
      <alignment horizontal="center" vertical="center" shrinkToFit="1"/>
      <protection hidden="1"/>
    </xf>
    <xf numFmtId="178" fontId="9" fillId="13" borderId="111" xfId="0" applyNumberFormat="1" applyFont="1" applyFill="1" applyBorder="1" applyAlignment="1" applyProtection="1">
      <alignment horizontal="center" vertical="center"/>
      <protection locked="0"/>
    </xf>
    <xf numFmtId="178" fontId="9" fillId="13" borderId="114" xfId="0" applyNumberFormat="1" applyFont="1" applyFill="1" applyBorder="1" applyAlignment="1" applyProtection="1">
      <alignment horizontal="center" vertical="center"/>
      <protection locked="0"/>
    </xf>
    <xf numFmtId="178" fontId="9" fillId="13" borderId="112" xfId="0" applyNumberFormat="1" applyFont="1" applyFill="1" applyBorder="1" applyAlignment="1" applyProtection="1">
      <alignment horizontal="center" vertical="center"/>
      <protection locked="0"/>
    </xf>
    <xf numFmtId="182" fontId="2" fillId="16" borderId="111" xfId="0" applyNumberFormat="1" applyFont="1" applyFill="1" applyBorder="1" applyAlignment="1" applyProtection="1">
      <alignment horizontal="right" vertical="center" shrinkToFit="1"/>
      <protection hidden="1"/>
    </xf>
    <xf numFmtId="182" fontId="2" fillId="16" borderId="114" xfId="0" applyNumberFormat="1" applyFont="1" applyFill="1" applyBorder="1" applyAlignment="1" applyProtection="1">
      <alignment horizontal="right" vertical="center" shrinkToFit="1"/>
      <protection hidden="1"/>
    </xf>
    <xf numFmtId="182" fontId="2" fillId="16" borderId="112" xfId="0" applyNumberFormat="1" applyFont="1" applyFill="1" applyBorder="1" applyAlignment="1" applyProtection="1">
      <alignment horizontal="right" vertical="center" shrinkToFit="1"/>
      <protection hidden="1"/>
    </xf>
    <xf numFmtId="182" fontId="2" fillId="13" borderId="111" xfId="0" applyNumberFormat="1" applyFont="1" applyFill="1" applyBorder="1" applyAlignment="1" applyProtection="1">
      <alignment horizontal="right" vertical="center" shrinkToFit="1"/>
      <protection locked="0"/>
    </xf>
    <xf numFmtId="182" fontId="2" fillId="13" borderId="114" xfId="0" applyNumberFormat="1" applyFont="1" applyFill="1" applyBorder="1" applyAlignment="1" applyProtection="1">
      <alignment horizontal="right" vertical="center" shrinkToFit="1"/>
      <protection locked="0"/>
    </xf>
    <xf numFmtId="182" fontId="2" fillId="13" borderId="112" xfId="0" applyNumberFormat="1" applyFont="1" applyFill="1" applyBorder="1" applyAlignment="1" applyProtection="1">
      <alignment horizontal="right" vertical="center" shrinkToFit="1"/>
      <protection locked="0"/>
    </xf>
    <xf numFmtId="0" fontId="9" fillId="3" borderId="267" xfId="0" applyFont="1" applyFill="1" applyBorder="1" applyAlignment="1" applyProtection="1">
      <alignment horizontal="right" vertical="center" shrinkToFit="1"/>
      <protection hidden="1"/>
    </xf>
    <xf numFmtId="0" fontId="9" fillId="3" borderId="266" xfId="0" applyFont="1" applyFill="1" applyBorder="1" applyAlignment="1" applyProtection="1">
      <alignment horizontal="right" vertical="center" shrinkToFit="1"/>
      <protection hidden="1"/>
    </xf>
    <xf numFmtId="0" fontId="9" fillId="3" borderId="265" xfId="0" applyFont="1" applyFill="1" applyBorder="1" applyAlignment="1" applyProtection="1">
      <alignment horizontal="right" vertical="center" shrinkToFit="1"/>
      <protection hidden="1"/>
    </xf>
    <xf numFmtId="182" fontId="9" fillId="3" borderId="267" xfId="0" applyNumberFormat="1" applyFont="1" applyFill="1" applyBorder="1" applyAlignment="1" applyProtection="1">
      <alignment horizontal="right" vertical="center" shrinkToFit="1"/>
      <protection hidden="1"/>
    </xf>
    <xf numFmtId="182" fontId="9" fillId="3" borderId="266" xfId="0" applyNumberFormat="1" applyFont="1" applyFill="1" applyBorder="1" applyAlignment="1" applyProtection="1">
      <alignment horizontal="right" vertical="center" shrinkToFit="1"/>
      <protection hidden="1"/>
    </xf>
    <xf numFmtId="182" fontId="9" fillId="3" borderId="265" xfId="0" applyNumberFormat="1" applyFont="1" applyFill="1" applyBorder="1" applyAlignment="1" applyProtection="1">
      <alignment horizontal="right" vertical="center" shrinkToFit="1"/>
      <protection hidden="1"/>
    </xf>
    <xf numFmtId="0" fontId="9" fillId="3" borderId="275" xfId="0" applyFont="1" applyFill="1" applyBorder="1" applyAlignment="1" applyProtection="1">
      <alignment horizontal="center" vertical="center"/>
      <protection hidden="1"/>
    </xf>
    <xf numFmtId="182" fontId="9" fillId="3" borderId="267" xfId="0" applyNumberFormat="1" applyFont="1" applyFill="1" applyBorder="1" applyAlignment="1" applyProtection="1">
      <alignment horizontal="right" vertical="center"/>
      <protection hidden="1"/>
    </xf>
    <xf numFmtId="182" fontId="9" fillId="3" borderId="266" xfId="0" applyNumberFormat="1" applyFont="1" applyFill="1" applyBorder="1" applyAlignment="1" applyProtection="1">
      <alignment horizontal="right" vertical="center"/>
      <protection hidden="1"/>
    </xf>
    <xf numFmtId="182" fontId="9" fillId="3" borderId="265" xfId="0" applyNumberFormat="1" applyFont="1" applyFill="1" applyBorder="1" applyAlignment="1" applyProtection="1">
      <alignment horizontal="right" vertical="center"/>
      <protection hidden="1"/>
    </xf>
    <xf numFmtId="184" fontId="9" fillId="3" borderId="267" xfId="0" applyNumberFormat="1" applyFont="1" applyFill="1" applyBorder="1" applyAlignment="1" applyProtection="1">
      <alignment horizontal="center" vertical="center" shrinkToFit="1"/>
      <protection hidden="1"/>
    </xf>
    <xf numFmtId="184" fontId="9" fillId="3" borderId="266" xfId="0" applyNumberFormat="1" applyFont="1" applyFill="1" applyBorder="1" applyAlignment="1" applyProtection="1">
      <alignment horizontal="center" vertical="center" shrinkToFit="1"/>
      <protection hidden="1"/>
    </xf>
    <xf numFmtId="184" fontId="9" fillId="3" borderId="265" xfId="0" applyNumberFormat="1" applyFont="1" applyFill="1" applyBorder="1" applyAlignment="1" applyProtection="1">
      <alignment horizontal="center" vertical="center" shrinkToFit="1"/>
      <protection hidden="1"/>
    </xf>
    <xf numFmtId="187" fontId="9" fillId="3" borderId="267" xfId="0" applyNumberFormat="1" applyFont="1" applyFill="1" applyBorder="1" applyAlignment="1" applyProtection="1">
      <alignment horizontal="right" vertical="center" shrinkToFit="1"/>
      <protection hidden="1"/>
    </xf>
    <xf numFmtId="187" fontId="9" fillId="3" borderId="266" xfId="0" applyNumberFormat="1" applyFont="1" applyFill="1" applyBorder="1" applyAlignment="1" applyProtection="1">
      <alignment horizontal="right" vertical="center" shrinkToFit="1"/>
      <protection hidden="1"/>
    </xf>
    <xf numFmtId="187" fontId="9" fillId="3" borderId="265" xfId="0" applyNumberFormat="1" applyFont="1" applyFill="1" applyBorder="1" applyAlignment="1" applyProtection="1">
      <alignment horizontal="right" vertical="center" shrinkToFit="1"/>
      <protection hidden="1"/>
    </xf>
    <xf numFmtId="0" fontId="33" fillId="19" borderId="349" xfId="0" applyFont="1" applyFill="1" applyBorder="1" applyAlignment="1" applyProtection="1">
      <alignment horizontal="center" vertical="top" shrinkToFit="1"/>
      <protection locked="0"/>
    </xf>
    <xf numFmtId="0" fontId="33" fillId="19" borderId="415" xfId="0" applyFont="1" applyFill="1" applyBorder="1" applyAlignment="1" applyProtection="1">
      <alignment horizontal="center" vertical="top" shrinkToFit="1"/>
      <protection locked="0"/>
    </xf>
    <xf numFmtId="0" fontId="33" fillId="19" borderId="342" xfId="0" applyFont="1" applyFill="1" applyBorder="1" applyAlignment="1" applyProtection="1">
      <alignment horizontal="center" vertical="top" shrinkToFit="1"/>
      <protection locked="0"/>
    </xf>
    <xf numFmtId="184" fontId="9" fillId="3" borderId="111" xfId="0" applyNumberFormat="1" applyFont="1" applyFill="1" applyBorder="1" applyAlignment="1" applyProtection="1">
      <alignment horizontal="center" vertical="center" shrinkToFit="1"/>
      <protection hidden="1"/>
    </xf>
    <xf numFmtId="184" fontId="9" fillId="3" borderId="114" xfId="0" applyNumberFormat="1" applyFont="1" applyFill="1" applyBorder="1" applyAlignment="1" applyProtection="1">
      <alignment horizontal="center" vertical="center" shrinkToFit="1"/>
      <protection hidden="1"/>
    </xf>
    <xf numFmtId="184" fontId="9" fillId="3" borderId="112" xfId="0" applyNumberFormat="1" applyFont="1" applyFill="1" applyBorder="1" applyAlignment="1" applyProtection="1">
      <alignment horizontal="center" vertical="center" shrinkToFit="1"/>
      <protection hidden="1"/>
    </xf>
    <xf numFmtId="0" fontId="9" fillId="3" borderId="111" xfId="0" applyFont="1" applyFill="1" applyBorder="1" applyAlignment="1" applyProtection="1">
      <alignment horizontal="right" vertical="center" shrinkToFit="1"/>
      <protection hidden="1"/>
    </xf>
    <xf numFmtId="0" fontId="9" fillId="3" borderId="114" xfId="0" applyFont="1" applyFill="1" applyBorder="1" applyAlignment="1" applyProtection="1">
      <alignment horizontal="right" vertical="center" shrinkToFit="1"/>
      <protection hidden="1"/>
    </xf>
    <xf numFmtId="0" fontId="9" fillId="3" borderId="112" xfId="0" applyFont="1" applyFill="1" applyBorder="1" applyAlignment="1" applyProtection="1">
      <alignment horizontal="right" vertical="center" shrinkToFit="1"/>
      <protection hidden="1"/>
    </xf>
    <xf numFmtId="0" fontId="113" fillId="11" borderId="12" xfId="1" applyFont="1" applyFill="1" applyBorder="1" applyProtection="1">
      <alignment vertical="center"/>
      <protection hidden="1"/>
    </xf>
    <xf numFmtId="0" fontId="113" fillId="11" borderId="13" xfId="1" applyFont="1" applyFill="1" applyBorder="1" applyProtection="1">
      <alignment vertical="center"/>
      <protection hidden="1"/>
    </xf>
    <xf numFmtId="0" fontId="113" fillId="11" borderId="14" xfId="1" applyFont="1" applyFill="1" applyBorder="1" applyProtection="1">
      <alignment vertical="center"/>
      <protection hidden="1"/>
    </xf>
    <xf numFmtId="0" fontId="2" fillId="0" borderId="2" xfId="0" applyFont="1" applyFill="1" applyBorder="1" applyAlignment="1" applyProtection="1">
      <alignment horizontal="center" vertical="center"/>
      <protection hidden="1"/>
    </xf>
    <xf numFmtId="0" fontId="9" fillId="3" borderId="231" xfId="0" applyFont="1" applyFill="1" applyBorder="1" applyAlignment="1" applyProtection="1">
      <alignment horizontal="right" vertical="center" shrinkToFit="1"/>
      <protection hidden="1"/>
    </xf>
    <xf numFmtId="0" fontId="9" fillId="3" borderId="230" xfId="0" applyFont="1" applyFill="1" applyBorder="1" applyAlignment="1" applyProtection="1">
      <alignment horizontal="right" vertical="center" shrinkToFit="1"/>
      <protection hidden="1"/>
    </xf>
    <xf numFmtId="0" fontId="9" fillId="3" borderId="229" xfId="0" applyFont="1" applyFill="1" applyBorder="1" applyAlignment="1" applyProtection="1">
      <alignment horizontal="right" vertical="center" shrinkToFit="1"/>
      <protection hidden="1"/>
    </xf>
    <xf numFmtId="182" fontId="9" fillId="3" borderId="231" xfId="0" applyNumberFormat="1" applyFont="1" applyFill="1" applyBorder="1" applyAlignment="1" applyProtection="1">
      <alignment horizontal="right" vertical="center" shrinkToFit="1"/>
      <protection hidden="1"/>
    </xf>
    <xf numFmtId="182" fontId="9" fillId="3" borderId="230" xfId="0" applyNumberFormat="1" applyFont="1" applyFill="1" applyBorder="1" applyAlignment="1" applyProtection="1">
      <alignment horizontal="right" vertical="center" shrinkToFit="1"/>
      <protection hidden="1"/>
    </xf>
    <xf numFmtId="182" fontId="9" fillId="3" borderId="229" xfId="0" applyNumberFormat="1" applyFont="1" applyFill="1" applyBorder="1" applyAlignment="1" applyProtection="1">
      <alignment horizontal="right" vertical="center" shrinkToFit="1"/>
      <protection hidden="1"/>
    </xf>
    <xf numFmtId="0" fontId="33" fillId="15" borderId="0" xfId="0" applyFont="1" applyFill="1" applyBorder="1" applyAlignment="1" applyProtection="1">
      <alignment horizontal="left" vertical="center"/>
      <protection hidden="1"/>
    </xf>
    <xf numFmtId="0" fontId="29" fillId="6" borderId="44" xfId="0" applyFont="1" applyFill="1" applyBorder="1" applyAlignment="1" applyProtection="1">
      <alignment horizontal="center" vertical="center" wrapText="1" shrinkToFit="1"/>
      <protection hidden="1"/>
    </xf>
    <xf numFmtId="0" fontId="29" fillId="6" borderId="45" xfId="0" applyFont="1" applyFill="1" applyBorder="1" applyAlignment="1" applyProtection="1">
      <alignment horizontal="center" vertical="center" wrapText="1" shrinkToFit="1"/>
      <protection hidden="1"/>
    </xf>
    <xf numFmtId="0" fontId="29" fillId="6" borderId="125" xfId="0" applyFont="1" applyFill="1" applyBorder="1" applyAlignment="1" applyProtection="1">
      <alignment horizontal="center" vertical="center" wrapText="1" shrinkToFit="1"/>
      <protection hidden="1"/>
    </xf>
    <xf numFmtId="0" fontId="29" fillId="6" borderId="198" xfId="0" applyFont="1" applyFill="1" applyBorder="1" applyAlignment="1" applyProtection="1">
      <alignment horizontal="center" vertical="center" wrapText="1" shrinkToFit="1"/>
      <protection hidden="1"/>
    </xf>
    <xf numFmtId="0" fontId="29" fillId="6" borderId="157" xfId="0" applyFont="1" applyFill="1" applyBorder="1" applyAlignment="1" applyProtection="1">
      <alignment horizontal="center" vertical="center" wrapText="1" shrinkToFit="1"/>
      <protection hidden="1"/>
    </xf>
    <xf numFmtId="0" fontId="29" fillId="6" borderId="156" xfId="0" applyFont="1" applyFill="1" applyBorder="1" applyAlignment="1" applyProtection="1">
      <alignment horizontal="center" vertical="center" wrapText="1" shrinkToFit="1"/>
      <protection hidden="1"/>
    </xf>
    <xf numFmtId="0" fontId="9" fillId="3" borderId="276" xfId="0" applyFont="1" applyFill="1" applyBorder="1" applyAlignment="1" applyProtection="1">
      <alignment horizontal="center" vertical="center"/>
      <protection hidden="1"/>
    </xf>
    <xf numFmtId="184" fontId="9" fillId="3" borderId="231" xfId="0" applyNumberFormat="1" applyFont="1" applyFill="1" applyBorder="1" applyAlignment="1" applyProtection="1">
      <alignment horizontal="center" vertical="center" shrinkToFit="1"/>
      <protection hidden="1"/>
    </xf>
    <xf numFmtId="184" fontId="9" fillId="3" borderId="230" xfId="0" applyNumberFormat="1" applyFont="1" applyFill="1" applyBorder="1" applyAlignment="1" applyProtection="1">
      <alignment horizontal="center" vertical="center" shrinkToFit="1"/>
      <protection hidden="1"/>
    </xf>
    <xf numFmtId="184" fontId="9" fillId="3" borderId="229" xfId="0" applyNumberFormat="1" applyFont="1" applyFill="1" applyBorder="1" applyAlignment="1" applyProtection="1">
      <alignment horizontal="center" vertical="center" shrinkToFit="1"/>
      <protection hidden="1"/>
    </xf>
    <xf numFmtId="187" fontId="9" fillId="3" borderId="231" xfId="0" applyNumberFormat="1" applyFont="1" applyFill="1" applyBorder="1" applyAlignment="1" applyProtection="1">
      <alignment horizontal="right" vertical="center" shrinkToFit="1"/>
      <protection hidden="1"/>
    </xf>
    <xf numFmtId="187" fontId="9" fillId="3" borderId="230" xfId="0" applyNumberFormat="1" applyFont="1" applyFill="1" applyBorder="1" applyAlignment="1" applyProtection="1">
      <alignment horizontal="right" vertical="center" shrinkToFit="1"/>
      <protection hidden="1"/>
    </xf>
    <xf numFmtId="187" fontId="9" fillId="3" borderId="229" xfId="0" applyNumberFormat="1" applyFont="1" applyFill="1" applyBorder="1" applyAlignment="1" applyProtection="1">
      <alignment horizontal="right" vertical="center" shrinkToFit="1"/>
      <protection hidden="1"/>
    </xf>
    <xf numFmtId="182" fontId="9" fillId="3" borderId="109" xfId="0" applyNumberFormat="1" applyFont="1" applyFill="1" applyBorder="1" applyAlignment="1" applyProtection="1">
      <alignment horizontal="right" vertical="center"/>
      <protection hidden="1"/>
    </xf>
    <xf numFmtId="0" fontId="9" fillId="3" borderId="109" xfId="0" applyFont="1" applyFill="1" applyBorder="1" applyAlignment="1" applyProtection="1">
      <alignment horizontal="right" vertical="center"/>
      <protection hidden="1"/>
    </xf>
    <xf numFmtId="0" fontId="33" fillId="6" borderId="155" xfId="0" applyFont="1" applyFill="1" applyBorder="1" applyAlignment="1" applyProtection="1">
      <alignment horizontal="center" vertical="center" shrinkToFit="1"/>
      <protection hidden="1"/>
    </xf>
    <xf numFmtId="0" fontId="33" fillId="6" borderId="162" xfId="0" applyFont="1" applyFill="1" applyBorder="1" applyAlignment="1" applyProtection="1">
      <alignment horizontal="center" vertical="center" shrinkToFit="1"/>
      <protection hidden="1"/>
    </xf>
    <xf numFmtId="0" fontId="29" fillId="19" borderId="155" xfId="0" applyFont="1" applyFill="1" applyBorder="1" applyAlignment="1" applyProtection="1">
      <alignment horizontal="center" vertical="center" shrinkToFit="1"/>
      <protection locked="0"/>
    </xf>
    <xf numFmtId="0" fontId="29" fillId="19" borderId="160" xfId="0" applyFont="1" applyFill="1" applyBorder="1" applyAlignment="1" applyProtection="1">
      <alignment horizontal="center" vertical="center" shrinkToFit="1"/>
      <protection locked="0"/>
    </xf>
    <xf numFmtId="0" fontId="29" fillId="19" borderId="162" xfId="0" applyFont="1" applyFill="1" applyBorder="1" applyAlignment="1" applyProtection="1">
      <alignment horizontal="center" vertical="center" shrinkToFit="1"/>
      <protection locked="0"/>
    </xf>
    <xf numFmtId="181" fontId="33" fillId="16" borderId="166" xfId="0" applyNumberFormat="1" applyFont="1" applyFill="1" applyBorder="1" applyAlignment="1" applyProtection="1">
      <alignment horizontal="center" vertical="center" shrinkToFit="1"/>
      <protection hidden="1"/>
    </xf>
    <xf numFmtId="181" fontId="33" fillId="16" borderId="160" xfId="0" applyNumberFormat="1" applyFont="1" applyFill="1" applyBorder="1" applyAlignment="1" applyProtection="1">
      <alignment horizontal="center" vertical="center" shrinkToFit="1"/>
      <protection hidden="1"/>
    </xf>
    <xf numFmtId="181" fontId="33" fillId="16" borderId="162" xfId="0" applyNumberFormat="1" applyFont="1" applyFill="1" applyBorder="1" applyAlignment="1" applyProtection="1">
      <alignment horizontal="center" vertical="center" shrinkToFit="1"/>
      <protection hidden="1"/>
    </xf>
    <xf numFmtId="181" fontId="33" fillId="16" borderId="197" xfId="0" applyNumberFormat="1" applyFont="1" applyFill="1" applyBorder="1" applyAlignment="1" applyProtection="1">
      <alignment horizontal="center" vertical="center" shrinkToFit="1"/>
      <protection hidden="1"/>
    </xf>
    <xf numFmtId="181" fontId="33" fillId="16" borderId="45" xfId="0" applyNumberFormat="1" applyFont="1" applyFill="1" applyBorder="1" applyAlignment="1" applyProtection="1">
      <alignment horizontal="center" vertical="center" shrinkToFit="1"/>
      <protection hidden="1"/>
    </xf>
    <xf numFmtId="181" fontId="33" fillId="16" borderId="125" xfId="0" applyNumberFormat="1" applyFont="1" applyFill="1" applyBorder="1" applyAlignment="1" applyProtection="1">
      <alignment horizontal="center" vertical="center" shrinkToFit="1"/>
      <protection hidden="1"/>
    </xf>
    <xf numFmtId="0" fontId="9" fillId="6" borderId="155" xfId="0" quotePrefix="1" applyFont="1" applyFill="1" applyBorder="1" applyAlignment="1" applyProtection="1">
      <alignment horizontal="center" vertical="center" shrinkToFit="1"/>
      <protection hidden="1"/>
    </xf>
    <xf numFmtId="0" fontId="9" fillId="6" borderId="160" xfId="0" quotePrefix="1" applyFont="1" applyFill="1" applyBorder="1" applyAlignment="1" applyProtection="1">
      <alignment horizontal="center" vertical="center" shrinkToFit="1"/>
      <protection hidden="1"/>
    </xf>
    <xf numFmtId="0" fontId="9" fillId="6" borderId="162" xfId="0" quotePrefix="1" applyFont="1" applyFill="1" applyBorder="1" applyAlignment="1" applyProtection="1">
      <alignment horizontal="center" vertical="center" shrinkToFit="1"/>
      <protection hidden="1"/>
    </xf>
    <xf numFmtId="176" fontId="9" fillId="16" borderId="155" xfId="0" applyNumberFormat="1" applyFont="1" applyFill="1" applyBorder="1" applyAlignment="1" applyProtection="1">
      <alignment vertical="center" shrinkToFit="1"/>
      <protection hidden="1"/>
    </xf>
    <xf numFmtId="0" fontId="9" fillId="16" borderId="162" xfId="0" applyNumberFormat="1" applyFont="1" applyFill="1" applyBorder="1" applyAlignment="1" applyProtection="1">
      <alignment vertical="center" shrinkToFit="1"/>
      <protection hidden="1"/>
    </xf>
    <xf numFmtId="0" fontId="9" fillId="16" borderId="155" xfId="0" applyFont="1" applyFill="1" applyBorder="1" applyAlignment="1" applyProtection="1">
      <alignment horizontal="center" vertical="center" shrinkToFit="1"/>
      <protection hidden="1"/>
    </xf>
    <xf numFmtId="0" fontId="9" fillId="16" borderId="160" xfId="0" applyFont="1" applyFill="1" applyBorder="1" applyAlignment="1" applyProtection="1">
      <alignment horizontal="center" vertical="center" shrinkToFit="1"/>
      <protection hidden="1"/>
    </xf>
    <xf numFmtId="0" fontId="9" fillId="16" borderId="162" xfId="0" applyFont="1" applyFill="1" applyBorder="1" applyAlignment="1" applyProtection="1">
      <alignment horizontal="center" vertical="center" shrinkToFit="1"/>
      <protection hidden="1"/>
    </xf>
    <xf numFmtId="179" fontId="29" fillId="16" borderId="155" xfId="0" applyNumberFormat="1" applyFont="1" applyFill="1" applyBorder="1" applyAlignment="1" applyProtection="1">
      <alignment horizontal="center" vertical="center" shrinkToFit="1"/>
      <protection hidden="1"/>
    </xf>
    <xf numFmtId="179" fontId="29" fillId="16" borderId="160" xfId="0" applyNumberFormat="1" applyFont="1" applyFill="1" applyBorder="1" applyAlignment="1" applyProtection="1">
      <alignment horizontal="center" vertical="center" shrinkToFit="1"/>
      <protection hidden="1"/>
    </xf>
    <xf numFmtId="179" fontId="29" fillId="16" borderId="162" xfId="0" applyNumberFormat="1" applyFont="1" applyFill="1" applyBorder="1" applyAlignment="1" applyProtection="1">
      <alignment horizontal="center" vertical="center" shrinkToFit="1"/>
      <protection hidden="1"/>
    </xf>
    <xf numFmtId="0" fontId="9" fillId="6" borderId="195" xfId="0" quotePrefix="1" applyFont="1" applyFill="1" applyBorder="1" applyAlignment="1" applyProtection="1">
      <alignment horizontal="center" vertical="center" shrinkToFit="1"/>
      <protection hidden="1"/>
    </xf>
    <xf numFmtId="0" fontId="9" fillId="16" borderId="155" xfId="0" quotePrefix="1" applyFont="1" applyFill="1" applyBorder="1" applyAlignment="1" applyProtection="1">
      <alignment horizontal="center" vertical="center" shrinkToFit="1"/>
      <protection hidden="1"/>
    </xf>
    <xf numFmtId="0" fontId="9" fillId="16" borderId="162" xfId="0" quotePrefix="1" applyFont="1" applyFill="1" applyBorder="1" applyAlignment="1" applyProtection="1">
      <alignment horizontal="center" vertical="center" shrinkToFit="1"/>
      <protection hidden="1"/>
    </xf>
    <xf numFmtId="182" fontId="29" fillId="16" borderId="155" xfId="0" applyNumberFormat="1" applyFont="1" applyFill="1" applyBorder="1" applyAlignment="1" applyProtection="1">
      <alignment horizontal="right" vertical="center" shrinkToFit="1"/>
      <protection hidden="1"/>
    </xf>
    <xf numFmtId="182" fontId="29" fillId="16" borderId="160" xfId="0" applyNumberFormat="1" applyFont="1" applyFill="1" applyBorder="1" applyAlignment="1" applyProtection="1">
      <alignment horizontal="right" vertical="center" shrinkToFit="1"/>
      <protection hidden="1"/>
    </xf>
    <xf numFmtId="182" fontId="29" fillId="16" borderId="162" xfId="0" applyNumberFormat="1" applyFont="1" applyFill="1" applyBorder="1" applyAlignment="1" applyProtection="1">
      <alignment horizontal="right" vertical="center" shrinkToFit="1"/>
      <protection hidden="1"/>
    </xf>
    <xf numFmtId="179" fontId="29" fillId="16" borderId="198" xfId="0" applyNumberFormat="1" applyFont="1" applyFill="1" applyBorder="1" applyAlignment="1" applyProtection="1">
      <alignment horizontal="center" vertical="center" shrinkToFit="1"/>
      <protection hidden="1"/>
    </xf>
    <xf numFmtId="179" fontId="29" fillId="16" borderId="157" xfId="0" applyNumberFormat="1" applyFont="1" applyFill="1" applyBorder="1" applyAlignment="1" applyProtection="1">
      <alignment horizontal="center" vertical="center" shrinkToFit="1"/>
      <protection hidden="1"/>
    </xf>
    <xf numFmtId="179" fontId="29" fillId="16" borderId="156" xfId="0" applyNumberFormat="1" applyFont="1" applyFill="1" applyBorder="1" applyAlignment="1" applyProtection="1">
      <alignment horizontal="center" vertical="center" shrinkToFit="1"/>
      <protection hidden="1"/>
    </xf>
    <xf numFmtId="0" fontId="33" fillId="6" borderId="195" xfId="0" applyFont="1" applyFill="1" applyBorder="1" applyAlignment="1" applyProtection="1">
      <alignment horizontal="center" vertical="center" shrinkToFit="1"/>
      <protection hidden="1"/>
    </xf>
    <xf numFmtId="0" fontId="9" fillId="6" borderId="261" xfId="0" applyFont="1" applyFill="1" applyBorder="1" applyAlignment="1" applyProtection="1">
      <alignment horizontal="center" vertical="center" shrinkToFit="1"/>
      <protection hidden="1"/>
    </xf>
    <xf numFmtId="0" fontId="9" fillId="16" borderId="197" xfId="0" applyFont="1" applyFill="1" applyBorder="1" applyAlignment="1" applyProtection="1">
      <alignment horizontal="center" vertical="center" shrinkToFit="1"/>
      <protection hidden="1"/>
    </xf>
    <xf numFmtId="0" fontId="9" fillId="16" borderId="261" xfId="0" applyFont="1" applyFill="1" applyBorder="1" applyAlignment="1" applyProtection="1">
      <alignment horizontal="center" vertical="center" shrinkToFit="1"/>
      <protection hidden="1"/>
    </xf>
    <xf numFmtId="182" fontId="9" fillId="10" borderId="44" xfId="0" applyNumberFormat="1" applyFont="1" applyFill="1" applyBorder="1" applyAlignment="1" applyProtection="1">
      <alignment horizontal="center" vertical="center" shrinkToFit="1"/>
      <protection locked="0"/>
    </xf>
    <xf numFmtId="182" fontId="9" fillId="10" borderId="45" xfId="0" applyNumberFormat="1" applyFont="1" applyFill="1" applyBorder="1" applyAlignment="1" applyProtection="1">
      <alignment horizontal="center" vertical="center" shrinkToFit="1"/>
      <protection locked="0"/>
    </xf>
    <xf numFmtId="182" fontId="9" fillId="10" borderId="125" xfId="0" applyNumberFormat="1" applyFont="1" applyFill="1" applyBorder="1" applyAlignment="1" applyProtection="1">
      <alignment horizontal="center" vertical="center" shrinkToFit="1"/>
      <protection locked="0"/>
    </xf>
    <xf numFmtId="0" fontId="9" fillId="6" borderId="197" xfId="0" applyFont="1" applyFill="1" applyBorder="1" applyAlignment="1" applyProtection="1">
      <alignment horizontal="center" vertical="center" shrinkToFit="1"/>
      <protection hidden="1"/>
    </xf>
    <xf numFmtId="0" fontId="9" fillId="6" borderId="155" xfId="0" applyFont="1" applyFill="1" applyBorder="1" applyAlignment="1" applyProtection="1">
      <alignment horizontal="center" vertical="center" shrinkToFit="1"/>
      <protection hidden="1"/>
    </xf>
    <xf numFmtId="0" fontId="9" fillId="16" borderId="166" xfId="0" applyNumberFormat="1" applyFont="1" applyFill="1" applyBorder="1" applyAlignment="1" applyProtection="1">
      <alignment horizontal="center" vertical="center" shrinkToFit="1"/>
      <protection hidden="1"/>
    </xf>
    <xf numFmtId="0" fontId="9" fillId="16" borderId="160" xfId="0" applyNumberFormat="1" applyFont="1" applyFill="1" applyBorder="1" applyAlignment="1" applyProtection="1">
      <alignment horizontal="center" vertical="center" shrinkToFit="1"/>
      <protection hidden="1"/>
    </xf>
    <xf numFmtId="0" fontId="9" fillId="16" borderId="159" xfId="0" applyNumberFormat="1" applyFont="1" applyFill="1" applyBorder="1" applyAlignment="1" applyProtection="1">
      <alignment horizontal="center" vertical="center" shrinkToFit="1"/>
      <protection hidden="1"/>
    </xf>
    <xf numFmtId="0" fontId="29" fillId="16" borderId="166" xfId="0" quotePrefix="1" applyFont="1" applyFill="1" applyBorder="1" applyAlignment="1" applyProtection="1">
      <alignment horizontal="left" vertical="center" shrinkToFit="1"/>
      <protection hidden="1"/>
    </xf>
    <xf numFmtId="0" fontId="29" fillId="16" borderId="160" xfId="0" quotePrefix="1" applyFont="1" applyFill="1" applyBorder="1" applyAlignment="1" applyProtection="1">
      <alignment horizontal="left" vertical="center" shrinkToFit="1"/>
      <protection hidden="1"/>
    </xf>
    <xf numFmtId="0" fontId="29" fillId="16" borderId="159" xfId="0" quotePrefix="1" applyFont="1" applyFill="1" applyBorder="1" applyAlignment="1" applyProtection="1">
      <alignment horizontal="left" vertical="center" shrinkToFit="1"/>
      <protection hidden="1"/>
    </xf>
    <xf numFmtId="0" fontId="29" fillId="6" borderId="166" xfId="0" applyFont="1" applyFill="1" applyBorder="1" applyAlignment="1" applyProtection="1">
      <alignment horizontal="center" vertical="center" shrinkToFit="1"/>
      <protection hidden="1"/>
    </xf>
    <xf numFmtId="0" fontId="29" fillId="16" borderId="195" xfId="0" applyFont="1" applyFill="1" applyBorder="1" applyAlignment="1" applyProtection="1">
      <alignment horizontal="center" vertical="center" shrinkToFit="1"/>
      <protection hidden="1"/>
    </xf>
    <xf numFmtId="0" fontId="33" fillId="19" borderId="195" xfId="0" applyFont="1" applyFill="1" applyBorder="1" applyAlignment="1" applyProtection="1">
      <alignment horizontal="center" vertical="top" shrinkToFit="1"/>
      <protection locked="0"/>
    </xf>
    <xf numFmtId="0" fontId="29" fillId="6" borderId="166" xfId="0" quotePrefix="1" applyFont="1" applyFill="1" applyBorder="1" applyAlignment="1" applyProtection="1">
      <alignment horizontal="center" vertical="center"/>
      <protection hidden="1"/>
    </xf>
    <xf numFmtId="0" fontId="29" fillId="6" borderId="160" xfId="0" quotePrefix="1" applyFont="1" applyFill="1" applyBorder="1" applyAlignment="1" applyProtection="1">
      <alignment horizontal="center" vertical="center"/>
      <protection hidden="1"/>
    </xf>
    <xf numFmtId="0" fontId="29" fillId="6" borderId="162" xfId="0" quotePrefix="1" applyFont="1" applyFill="1" applyBorder="1" applyAlignment="1" applyProtection="1">
      <alignment horizontal="center" vertical="center"/>
      <protection hidden="1"/>
    </xf>
    <xf numFmtId="0" fontId="9" fillId="6" borderId="160" xfId="0" applyFont="1" applyFill="1" applyBorder="1" applyAlignment="1" applyProtection="1">
      <alignment horizontal="center" vertical="center" shrinkToFit="1"/>
      <protection hidden="1"/>
    </xf>
    <xf numFmtId="0" fontId="9" fillId="6" borderId="162" xfId="0" applyFont="1" applyFill="1" applyBorder="1" applyAlignment="1" applyProtection="1">
      <alignment horizontal="center" vertical="center" shrinkToFit="1"/>
      <protection hidden="1"/>
    </xf>
    <xf numFmtId="0" fontId="9" fillId="13" borderId="162" xfId="0" applyFont="1" applyFill="1" applyBorder="1" applyAlignment="1" applyProtection="1">
      <alignment horizontal="center" vertical="center" shrinkToFit="1"/>
      <protection locked="0"/>
    </xf>
    <xf numFmtId="182" fontId="29" fillId="13" borderId="155" xfId="0" applyNumberFormat="1" applyFont="1" applyFill="1" applyBorder="1" applyAlignment="1" applyProtection="1">
      <alignment horizontal="right" vertical="center" shrinkToFit="1"/>
      <protection locked="0"/>
    </xf>
    <xf numFmtId="182" fontId="29" fillId="13" borderId="160" xfId="0" applyNumberFormat="1" applyFont="1" applyFill="1" applyBorder="1" applyAlignment="1" applyProtection="1">
      <alignment horizontal="right" vertical="center" shrinkToFit="1"/>
      <protection locked="0"/>
    </xf>
    <xf numFmtId="182" fontId="29" fillId="13" borderId="162" xfId="0" applyNumberFormat="1" applyFont="1" applyFill="1" applyBorder="1" applyAlignment="1" applyProtection="1">
      <alignment horizontal="right" vertical="center" shrinkToFit="1"/>
      <protection locked="0"/>
    </xf>
    <xf numFmtId="0" fontId="9" fillId="16" borderId="155" xfId="0" applyNumberFormat="1" applyFont="1" applyFill="1" applyBorder="1" applyAlignment="1" applyProtection="1">
      <alignment vertical="center" shrinkToFit="1"/>
      <protection hidden="1"/>
    </xf>
    <xf numFmtId="0" fontId="33" fillId="6" borderId="160" xfId="0" applyFont="1" applyFill="1" applyBorder="1" applyAlignment="1" applyProtection="1">
      <alignment horizontal="center" vertical="center" shrinkToFit="1"/>
      <protection hidden="1"/>
    </xf>
    <xf numFmtId="0" fontId="33" fillId="6" borderId="161" xfId="0" applyFont="1" applyFill="1" applyBorder="1" applyAlignment="1" applyProtection="1">
      <alignment horizontal="center" vertical="top" shrinkToFit="1"/>
      <protection hidden="1"/>
    </xf>
    <xf numFmtId="0" fontId="33" fillId="6" borderId="167" xfId="0" applyFont="1" applyFill="1" applyBorder="1" applyAlignment="1" applyProtection="1">
      <alignment horizontal="center" vertical="top" shrinkToFit="1"/>
      <protection hidden="1"/>
    </xf>
    <xf numFmtId="0" fontId="29" fillId="16" borderId="155" xfId="0" applyFont="1" applyFill="1" applyBorder="1" applyAlignment="1" applyProtection="1">
      <alignment horizontal="center" vertical="center" shrinkToFit="1"/>
      <protection hidden="1"/>
    </xf>
    <xf numFmtId="0" fontId="29" fillId="16" borderId="160" xfId="0" applyFont="1" applyFill="1" applyBorder="1" applyAlignment="1" applyProtection="1">
      <alignment horizontal="center" vertical="center" shrinkToFit="1"/>
      <protection hidden="1"/>
    </xf>
    <xf numFmtId="0" fontId="29" fillId="16" borderId="162" xfId="0" applyFont="1" applyFill="1" applyBorder="1" applyAlignment="1" applyProtection="1">
      <alignment horizontal="center" vertical="center" shrinkToFit="1"/>
      <protection hidden="1"/>
    </xf>
    <xf numFmtId="176" fontId="29" fillId="13" borderId="155" xfId="0" applyNumberFormat="1" applyFont="1" applyFill="1" applyBorder="1" applyAlignment="1" applyProtection="1">
      <alignment horizontal="right" vertical="center" shrinkToFit="1"/>
      <protection locked="0"/>
    </xf>
    <xf numFmtId="176" fontId="29" fillId="13" borderId="160" xfId="0" applyNumberFormat="1" applyFont="1" applyFill="1" applyBorder="1" applyAlignment="1" applyProtection="1">
      <alignment horizontal="right" vertical="center" shrinkToFit="1"/>
      <protection locked="0"/>
    </xf>
    <xf numFmtId="176" fontId="29" fillId="13" borderId="162" xfId="0" applyNumberFormat="1" applyFont="1" applyFill="1" applyBorder="1" applyAlignment="1" applyProtection="1">
      <alignment horizontal="right" vertical="center" shrinkToFit="1"/>
      <protection locked="0"/>
    </xf>
    <xf numFmtId="0" fontId="9" fillId="13" borderId="160" xfId="0" applyFont="1" applyFill="1" applyBorder="1" applyAlignment="1" applyProtection="1">
      <alignment horizontal="center" vertical="center" shrinkToFit="1"/>
      <protection locked="0"/>
    </xf>
    <xf numFmtId="0" fontId="29" fillId="16" borderId="414" xfId="0" applyFont="1" applyFill="1" applyBorder="1" applyAlignment="1" applyProtection="1">
      <alignment horizontal="center" vertical="center" shrinkToFit="1"/>
      <protection hidden="1"/>
    </xf>
    <xf numFmtId="179" fontId="29" fillId="16" borderId="195" xfId="0" applyNumberFormat="1" applyFont="1" applyFill="1" applyBorder="1" applyAlignment="1" applyProtection="1">
      <alignment horizontal="center" vertical="center" shrinkToFit="1"/>
      <protection hidden="1"/>
    </xf>
    <xf numFmtId="176" fontId="29" fillId="16" borderId="195" xfId="0" applyNumberFormat="1" applyFont="1" applyFill="1" applyBorder="1" applyAlignment="1" applyProtection="1">
      <alignment horizontal="right" vertical="center" shrinkToFit="1"/>
      <protection hidden="1"/>
    </xf>
    <xf numFmtId="0" fontId="33" fillId="6" borderId="44" xfId="0" applyFont="1" applyFill="1" applyBorder="1" applyAlignment="1" applyProtection="1">
      <alignment horizontal="center" vertical="center" shrinkToFit="1"/>
      <protection hidden="1"/>
    </xf>
    <xf numFmtId="0" fontId="33" fillId="6" borderId="125" xfId="0" applyFont="1" applyFill="1" applyBorder="1" applyAlignment="1" applyProtection="1">
      <alignment horizontal="center" vertical="center" shrinkToFit="1"/>
      <protection hidden="1"/>
    </xf>
    <xf numFmtId="0" fontId="33" fillId="6" borderId="417" xfId="0" applyFont="1" applyFill="1" applyBorder="1" applyAlignment="1" applyProtection="1">
      <alignment horizontal="center" vertical="center" shrinkToFit="1"/>
      <protection hidden="1"/>
    </xf>
    <xf numFmtId="0" fontId="33" fillId="6" borderId="416" xfId="0" applyFont="1" applyFill="1" applyBorder="1" applyAlignment="1" applyProtection="1">
      <alignment horizontal="center" vertical="center" shrinkToFit="1"/>
      <protection hidden="1"/>
    </xf>
    <xf numFmtId="0" fontId="33" fillId="6" borderId="44" xfId="0" applyFont="1" applyFill="1" applyBorder="1" applyAlignment="1" applyProtection="1">
      <alignment horizontal="center" vertical="top" shrinkToFit="1"/>
      <protection hidden="1"/>
    </xf>
    <xf numFmtId="0" fontId="33" fillId="6" borderId="125" xfId="0" applyFont="1" applyFill="1" applyBorder="1" applyAlignment="1" applyProtection="1">
      <alignment horizontal="center" vertical="top" shrinkToFit="1"/>
      <protection hidden="1"/>
    </xf>
    <xf numFmtId="0" fontId="33" fillId="6" borderId="45" xfId="0" applyFont="1" applyFill="1" applyBorder="1" applyAlignment="1" applyProtection="1">
      <alignment horizontal="center" vertical="top" shrinkToFit="1"/>
      <protection hidden="1"/>
    </xf>
    <xf numFmtId="0" fontId="33" fillId="6" borderId="198" xfId="0" applyFont="1" applyFill="1" applyBorder="1" applyAlignment="1" applyProtection="1">
      <alignment horizontal="center" vertical="top" shrinkToFit="1"/>
      <protection hidden="1"/>
    </xf>
    <xf numFmtId="0" fontId="33" fillId="6" borderId="156" xfId="0" applyFont="1" applyFill="1" applyBorder="1" applyAlignment="1" applyProtection="1">
      <alignment horizontal="center" vertical="top" shrinkToFit="1"/>
      <protection hidden="1"/>
    </xf>
    <xf numFmtId="0" fontId="33" fillId="6" borderId="44" xfId="0" applyFont="1" applyFill="1" applyBorder="1" applyAlignment="1" applyProtection="1">
      <alignment horizontal="center" shrinkToFit="1"/>
      <protection hidden="1"/>
    </xf>
    <xf numFmtId="0" fontId="33" fillId="6" borderId="125" xfId="0" applyFont="1" applyFill="1" applyBorder="1" applyAlignment="1" applyProtection="1">
      <alignment horizontal="center" shrinkToFit="1"/>
      <protection hidden="1"/>
    </xf>
    <xf numFmtId="0" fontId="15" fillId="0" borderId="0" xfId="0" quotePrefix="1" applyNumberFormat="1" applyFont="1" applyFill="1" applyAlignment="1" applyProtection="1">
      <alignment horizontal="center" vertical="center" shrinkToFit="1"/>
      <protection hidden="1"/>
    </xf>
    <xf numFmtId="0" fontId="15" fillId="0" borderId="0" xfId="0" applyNumberFormat="1" applyFont="1" applyFill="1" applyAlignment="1" applyProtection="1">
      <alignment horizontal="center" vertical="center" shrinkToFit="1"/>
      <protection hidden="1"/>
    </xf>
    <xf numFmtId="0" fontId="15" fillId="0" borderId="2" xfId="0" applyNumberFormat="1" applyFont="1" applyFill="1" applyBorder="1" applyAlignment="1" applyProtection="1">
      <alignment horizontal="center" vertical="center" shrinkToFit="1"/>
      <protection hidden="1"/>
    </xf>
    <xf numFmtId="0" fontId="8" fillId="16" borderId="0" xfId="0" applyFont="1" applyFill="1" applyBorder="1" applyAlignment="1" applyProtection="1">
      <alignment horizontal="right"/>
      <protection hidden="1"/>
    </xf>
    <xf numFmtId="49" fontId="9" fillId="16" borderId="166" xfId="0" applyNumberFormat="1" applyFont="1" applyFill="1" applyBorder="1" applyAlignment="1" applyProtection="1">
      <alignment horizontal="center" vertical="center" shrinkToFit="1"/>
      <protection hidden="1"/>
    </xf>
    <xf numFmtId="0" fontId="9" fillId="16" borderId="159" xfId="0" applyFont="1" applyFill="1" applyBorder="1" applyAlignment="1" applyProtection="1">
      <alignment horizontal="center" vertical="center" shrinkToFit="1"/>
      <protection hidden="1"/>
    </xf>
    <xf numFmtId="0" fontId="9" fillId="16" borderId="166" xfId="0" applyFont="1" applyFill="1" applyBorder="1" applyAlignment="1" applyProtection="1">
      <alignment horizontal="center" vertical="center" shrinkToFit="1"/>
      <protection hidden="1"/>
    </xf>
    <xf numFmtId="182" fontId="254" fillId="2" borderId="169" xfId="0" applyNumberFormat="1" applyFont="1" applyFill="1" applyBorder="1" applyAlignment="1" applyProtection="1">
      <alignment horizontal="right" vertical="center" shrinkToFit="1"/>
      <protection hidden="1"/>
    </xf>
    <xf numFmtId="182" fontId="254" fillId="2" borderId="168" xfId="0" applyNumberFormat="1" applyFont="1" applyFill="1" applyBorder="1" applyAlignment="1" applyProtection="1">
      <alignment horizontal="right" vertical="center" shrinkToFit="1"/>
      <protection hidden="1"/>
    </xf>
    <xf numFmtId="182" fontId="254" fillId="2" borderId="160" xfId="0" applyNumberFormat="1" applyFont="1" applyFill="1" applyBorder="1" applyAlignment="1" applyProtection="1">
      <alignment horizontal="right" vertical="center" shrinkToFit="1"/>
      <protection hidden="1"/>
    </xf>
    <xf numFmtId="182" fontId="254" fillId="2" borderId="162" xfId="0" applyNumberFormat="1" applyFont="1" applyFill="1" applyBorder="1" applyAlignment="1" applyProtection="1">
      <alignment horizontal="right" vertical="center" shrinkToFit="1"/>
      <protection hidden="1"/>
    </xf>
    <xf numFmtId="182" fontId="256" fillId="7" borderId="155" xfId="0" applyNumberFormat="1" applyFont="1" applyFill="1" applyBorder="1" applyAlignment="1" applyProtection="1">
      <alignment horizontal="right" vertical="center" shrinkToFit="1"/>
      <protection locked="0"/>
    </xf>
    <xf numFmtId="182" fontId="256" fillId="7" borderId="160" xfId="0" applyNumberFormat="1" applyFont="1" applyFill="1" applyBorder="1" applyAlignment="1" applyProtection="1">
      <alignment horizontal="right" vertical="center" shrinkToFit="1"/>
      <protection locked="0"/>
    </xf>
    <xf numFmtId="182" fontId="256" fillId="7" borderId="162" xfId="0" applyNumberFormat="1" applyFont="1" applyFill="1" applyBorder="1" applyAlignment="1" applyProtection="1">
      <alignment horizontal="right" vertical="center" shrinkToFit="1"/>
      <protection locked="0"/>
    </xf>
    <xf numFmtId="182" fontId="254" fillId="2" borderId="155" xfId="0" applyNumberFormat="1" applyFont="1" applyFill="1" applyBorder="1" applyAlignment="1" applyProtection="1">
      <alignment vertical="center" shrinkToFit="1"/>
      <protection hidden="1"/>
    </xf>
    <xf numFmtId="182" fontId="254" fillId="2" borderId="160" xfId="0" applyNumberFormat="1" applyFont="1" applyFill="1" applyBorder="1" applyAlignment="1" applyProtection="1">
      <alignment vertical="center" shrinkToFit="1"/>
      <protection hidden="1"/>
    </xf>
    <xf numFmtId="182" fontId="254" fillId="2" borderId="162" xfId="0" applyNumberFormat="1" applyFont="1" applyFill="1" applyBorder="1" applyAlignment="1" applyProtection="1">
      <alignment vertical="center" shrinkToFit="1"/>
      <protection hidden="1"/>
    </xf>
    <xf numFmtId="0" fontId="9" fillId="6" borderId="218" xfId="0" applyFont="1" applyFill="1" applyBorder="1" applyAlignment="1" applyProtection="1">
      <alignment horizontal="center" vertical="center" shrinkToFit="1"/>
      <protection hidden="1"/>
    </xf>
    <xf numFmtId="0" fontId="9" fillId="6" borderId="217" xfId="0" applyFont="1" applyFill="1" applyBorder="1" applyAlignment="1" applyProtection="1">
      <alignment horizontal="center" vertical="center" shrinkToFit="1"/>
      <protection hidden="1"/>
    </xf>
    <xf numFmtId="0" fontId="9" fillId="6" borderId="216" xfId="0" applyFont="1" applyFill="1" applyBorder="1" applyAlignment="1" applyProtection="1">
      <alignment horizontal="center" vertical="center" shrinkToFit="1"/>
      <protection hidden="1"/>
    </xf>
    <xf numFmtId="0" fontId="9" fillId="16" borderId="218" xfId="0" applyFont="1" applyFill="1" applyBorder="1" applyAlignment="1" applyProtection="1">
      <alignment horizontal="center" vertical="center" shrinkToFit="1"/>
      <protection hidden="1"/>
    </xf>
    <xf numFmtId="0" fontId="9" fillId="16" borderId="217" xfId="0" applyFont="1" applyFill="1" applyBorder="1" applyAlignment="1" applyProtection="1">
      <alignment horizontal="center" vertical="center" shrinkToFit="1"/>
      <protection hidden="1"/>
    </xf>
    <xf numFmtId="0" fontId="9" fillId="19" borderId="260" xfId="0" applyFont="1" applyFill="1" applyBorder="1" applyAlignment="1" applyProtection="1">
      <alignment horizontal="center" vertical="center" shrinkToFit="1"/>
      <protection locked="0"/>
    </xf>
    <xf numFmtId="0" fontId="9" fillId="19" borderId="158" xfId="0" applyFont="1" applyFill="1" applyBorder="1" applyAlignment="1" applyProtection="1">
      <alignment horizontal="center" vertical="center" shrinkToFit="1"/>
      <protection locked="0"/>
    </xf>
    <xf numFmtId="0" fontId="2" fillId="16" borderId="112" xfId="0" applyFont="1" applyFill="1" applyBorder="1" applyAlignment="1" applyProtection="1">
      <alignment horizontal="left" vertical="center"/>
      <protection hidden="1"/>
    </xf>
    <xf numFmtId="182" fontId="29" fillId="13" borderId="285" xfId="0" applyNumberFormat="1" applyFont="1" applyFill="1" applyBorder="1" applyAlignment="1" applyProtection="1">
      <alignment horizontal="right" vertical="center" shrinkToFit="1"/>
      <protection locked="0"/>
    </xf>
    <xf numFmtId="182" fontId="29" fillId="13" borderId="286" xfId="0" applyNumberFormat="1" applyFont="1" applyFill="1" applyBorder="1" applyAlignment="1" applyProtection="1">
      <alignment horizontal="right" vertical="center" shrinkToFit="1"/>
      <protection locked="0"/>
    </xf>
    <xf numFmtId="187" fontId="9" fillId="3" borderId="113" xfId="0" applyNumberFormat="1" applyFont="1" applyFill="1" applyBorder="1" applyAlignment="1" applyProtection="1">
      <alignment horizontal="right" vertical="center" shrinkToFit="1"/>
      <protection hidden="1"/>
    </xf>
    <xf numFmtId="187" fontId="9" fillId="3" borderId="117" xfId="0" applyNumberFormat="1" applyFont="1" applyFill="1" applyBorder="1" applyAlignment="1" applyProtection="1">
      <alignment horizontal="right" vertical="center" shrinkToFit="1"/>
      <protection hidden="1"/>
    </xf>
    <xf numFmtId="187" fontId="9" fillId="3" borderId="5" xfId="0" applyNumberFormat="1" applyFont="1" applyFill="1" applyBorder="1" applyAlignment="1" applyProtection="1">
      <alignment horizontal="right" vertical="center" shrinkToFit="1"/>
      <protection hidden="1"/>
    </xf>
    <xf numFmtId="182" fontId="9" fillId="3" borderId="231" xfId="0" applyNumberFormat="1" applyFont="1" applyFill="1" applyBorder="1" applyAlignment="1" applyProtection="1">
      <alignment horizontal="right" vertical="center"/>
      <protection hidden="1"/>
    </xf>
    <xf numFmtId="182" fontId="9" fillId="3" borderId="230" xfId="0" applyNumberFormat="1" applyFont="1" applyFill="1" applyBorder="1" applyAlignment="1" applyProtection="1">
      <alignment horizontal="right" vertical="center"/>
      <protection hidden="1"/>
    </xf>
    <xf numFmtId="182" fontId="9" fillId="3" borderId="229" xfId="0" applyNumberFormat="1"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117" xfId="0" applyFont="1" applyFill="1" applyBorder="1" applyAlignment="1" applyProtection="1">
      <alignment horizontal="center" vertical="center" shrinkToFit="1"/>
      <protection hidden="1"/>
    </xf>
    <xf numFmtId="0" fontId="8" fillId="0" borderId="5" xfId="0" applyFont="1" applyFill="1" applyBorder="1" applyAlignment="1" applyProtection="1">
      <alignment horizontal="center" vertical="center" shrinkToFit="1"/>
      <protection hidden="1"/>
    </xf>
    <xf numFmtId="182" fontId="9" fillId="3" borderId="267" xfId="0" quotePrefix="1" applyNumberFormat="1" applyFont="1" applyFill="1" applyBorder="1" applyAlignment="1" applyProtection="1">
      <alignment horizontal="right" vertical="center" shrinkToFit="1"/>
      <protection hidden="1"/>
    </xf>
    <xf numFmtId="183" fontId="29" fillId="16" borderId="111" xfId="0" applyNumberFormat="1" applyFont="1" applyFill="1" applyBorder="1" applyAlignment="1" applyProtection="1">
      <alignment horizontal="center" vertical="center" shrinkToFit="1"/>
      <protection hidden="1"/>
    </xf>
    <xf numFmtId="183" fontId="29" fillId="16" borderId="114" xfId="0" applyNumberFormat="1" applyFont="1" applyFill="1" applyBorder="1" applyAlignment="1" applyProtection="1">
      <alignment horizontal="center" vertical="center" shrinkToFit="1"/>
      <protection hidden="1"/>
    </xf>
    <xf numFmtId="183" fontId="29" fillId="16" borderId="112" xfId="0" applyNumberFormat="1" applyFont="1" applyFill="1" applyBorder="1" applyAlignment="1" applyProtection="1">
      <alignment horizontal="center" vertical="center" shrinkToFit="1"/>
      <protection hidden="1"/>
    </xf>
    <xf numFmtId="0" fontId="8" fillId="0" borderId="1" xfId="0" applyFont="1" applyFill="1" applyBorder="1" applyAlignment="1" applyProtection="1">
      <alignment horizontal="right" vertical="center" shrinkToFit="1"/>
      <protection hidden="1"/>
    </xf>
    <xf numFmtId="0" fontId="8" fillId="0" borderId="2" xfId="0" applyFont="1" applyFill="1" applyBorder="1" applyAlignment="1" applyProtection="1">
      <alignment horizontal="right" vertical="center" shrinkToFit="1"/>
      <protection hidden="1"/>
    </xf>
    <xf numFmtId="0" fontId="8" fillId="0" borderId="0" xfId="0" applyFont="1" applyFill="1" applyBorder="1" applyAlignment="1" applyProtection="1">
      <alignment horizontal="right" vertical="center" shrinkToFit="1"/>
      <protection hidden="1"/>
    </xf>
    <xf numFmtId="187" fontId="28" fillId="3" borderId="109" xfId="0" applyNumberFormat="1" applyFont="1" applyFill="1" applyBorder="1" applyAlignment="1" applyProtection="1">
      <alignment horizontal="right" vertical="center" shrinkToFit="1"/>
      <protection hidden="1"/>
    </xf>
    <xf numFmtId="0" fontId="29" fillId="13" borderId="111" xfId="0" applyFont="1" applyFill="1" applyBorder="1" applyAlignment="1" applyProtection="1">
      <alignment horizontal="center" vertical="center"/>
      <protection hidden="1"/>
    </xf>
    <xf numFmtId="0" fontId="29" fillId="13" borderId="112" xfId="0" applyFont="1" applyFill="1" applyBorder="1" applyAlignment="1" applyProtection="1">
      <alignment horizontal="center" vertical="center"/>
      <protection hidden="1"/>
    </xf>
    <xf numFmtId="197" fontId="30" fillId="13" borderId="111" xfId="0" applyNumberFormat="1" applyFont="1" applyFill="1" applyBorder="1" applyAlignment="1" applyProtection="1">
      <alignment horizontal="center" vertical="center" shrinkToFit="1"/>
      <protection locked="0"/>
    </xf>
    <xf numFmtId="197" fontId="30" fillId="13" borderId="114" xfId="0" applyNumberFormat="1" applyFont="1" applyFill="1" applyBorder="1" applyAlignment="1" applyProtection="1">
      <alignment horizontal="center" vertical="center" shrinkToFit="1"/>
      <protection locked="0"/>
    </xf>
    <xf numFmtId="197" fontId="30" fillId="13" borderId="112" xfId="0" applyNumberFormat="1" applyFont="1" applyFill="1" applyBorder="1" applyAlignment="1" applyProtection="1">
      <alignment horizontal="center" vertical="center" shrinkToFit="1"/>
      <protection locked="0"/>
    </xf>
    <xf numFmtId="182" fontId="29" fillId="16" borderId="111" xfId="0" applyNumberFormat="1" applyFont="1" applyFill="1" applyBorder="1" applyAlignment="1" applyProtection="1">
      <alignment horizontal="right" vertical="center" shrinkToFit="1"/>
      <protection hidden="1"/>
    </xf>
    <xf numFmtId="182" fontId="29" fillId="16" borderId="114" xfId="0" applyNumberFormat="1" applyFont="1" applyFill="1" applyBorder="1" applyAlignment="1" applyProtection="1">
      <alignment horizontal="right" vertical="center" shrinkToFit="1"/>
      <protection hidden="1"/>
    </xf>
    <xf numFmtId="182" fontId="29" fillId="16" borderId="112" xfId="0" applyNumberFormat="1" applyFont="1" applyFill="1" applyBorder="1" applyAlignment="1" applyProtection="1">
      <alignment horizontal="right" vertical="center" shrinkToFit="1"/>
      <protection hidden="1"/>
    </xf>
    <xf numFmtId="182" fontId="29" fillId="13" borderId="111" xfId="0" applyNumberFormat="1" applyFont="1" applyFill="1" applyBorder="1" applyAlignment="1" applyProtection="1">
      <alignment horizontal="right" vertical="center" shrinkToFit="1"/>
      <protection locked="0"/>
    </xf>
    <xf numFmtId="182" fontId="29" fillId="13" borderId="114" xfId="0" applyNumberFormat="1" applyFont="1" applyFill="1" applyBorder="1" applyAlignment="1" applyProtection="1">
      <alignment horizontal="right" vertical="center" shrinkToFit="1"/>
      <protection locked="0"/>
    </xf>
    <xf numFmtId="182" fontId="29" fillId="13" borderId="112" xfId="0" applyNumberFormat="1" applyFont="1" applyFill="1" applyBorder="1" applyAlignment="1" applyProtection="1">
      <alignment horizontal="right" vertical="center" shrinkToFit="1"/>
      <protection locked="0"/>
    </xf>
    <xf numFmtId="0" fontId="29" fillId="19" borderId="111" xfId="0" applyFont="1" applyFill="1" applyBorder="1" applyAlignment="1" applyProtection="1">
      <alignment horizontal="center" vertical="center" shrinkToFit="1"/>
      <protection locked="0"/>
    </xf>
    <xf numFmtId="0" fontId="29" fillId="19" borderId="114" xfId="0" applyFont="1" applyFill="1" applyBorder="1" applyAlignment="1" applyProtection="1">
      <alignment horizontal="center" vertical="center" shrinkToFit="1"/>
      <protection locked="0"/>
    </xf>
    <xf numFmtId="0" fontId="29" fillId="19" borderId="112" xfId="0" applyFont="1" applyFill="1" applyBorder="1" applyAlignment="1" applyProtection="1">
      <alignment horizontal="center" vertical="center" shrinkToFit="1"/>
      <protection locked="0"/>
    </xf>
    <xf numFmtId="0" fontId="18" fillId="10" borderId="394" xfId="0" applyFont="1" applyFill="1" applyBorder="1" applyAlignment="1" applyProtection="1">
      <alignment horizontal="center" vertical="center" shrinkToFit="1"/>
      <protection locked="0"/>
    </xf>
    <xf numFmtId="0" fontId="204" fillId="21" borderId="418" xfId="0" applyFont="1" applyFill="1" applyBorder="1" applyAlignment="1" applyProtection="1">
      <alignment horizontal="center" vertical="center"/>
      <protection hidden="1"/>
    </xf>
    <xf numFmtId="0" fontId="204" fillId="21" borderId="298" xfId="0" applyFont="1" applyFill="1" applyBorder="1" applyAlignment="1" applyProtection="1">
      <alignment horizontal="center" vertical="center"/>
      <protection hidden="1"/>
    </xf>
    <xf numFmtId="0" fontId="204" fillId="21" borderId="372" xfId="0" applyFont="1" applyFill="1" applyBorder="1" applyAlignment="1" applyProtection="1">
      <alignment horizontal="center" vertical="center"/>
      <protection hidden="1"/>
    </xf>
    <xf numFmtId="176" fontId="8" fillId="16" borderId="0" xfId="0" applyNumberFormat="1" applyFont="1" applyFill="1" applyAlignment="1" applyProtection="1">
      <alignment horizontal="center" vertical="center"/>
      <protection hidden="1"/>
    </xf>
    <xf numFmtId="0" fontId="9" fillId="16" borderId="444" xfId="0" applyFont="1" applyFill="1" applyBorder="1" applyAlignment="1" applyProtection="1">
      <alignment horizontal="right" vertical="center" shrinkToFit="1"/>
      <protection hidden="1"/>
    </xf>
    <xf numFmtId="0" fontId="9" fillId="6" borderId="447" xfId="0" applyFont="1" applyFill="1" applyBorder="1" applyAlignment="1" applyProtection="1">
      <alignment horizontal="center" vertical="center" shrinkToFit="1"/>
      <protection hidden="1"/>
    </xf>
    <xf numFmtId="176" fontId="9" fillId="13" borderId="111" xfId="0" applyNumberFormat="1" applyFont="1" applyFill="1" applyBorder="1" applyAlignment="1" applyProtection="1">
      <alignment horizontal="right" vertical="center"/>
      <protection locked="0"/>
    </xf>
    <xf numFmtId="176" fontId="9" fillId="13" borderId="114" xfId="0" applyNumberFormat="1" applyFont="1" applyFill="1" applyBorder="1" applyAlignment="1" applyProtection="1">
      <alignment horizontal="right" vertical="center"/>
      <protection locked="0"/>
    </xf>
    <xf numFmtId="176" fontId="9" fillId="13" borderId="112" xfId="0" applyNumberFormat="1" applyFont="1" applyFill="1" applyBorder="1" applyAlignment="1" applyProtection="1">
      <alignment horizontal="right" vertical="center"/>
      <protection locked="0"/>
    </xf>
    <xf numFmtId="181" fontId="9" fillId="16" borderId="41" xfId="0" applyNumberFormat="1" applyFont="1" applyFill="1" applyBorder="1" applyAlignment="1" applyProtection="1">
      <alignment horizontal="center" vertical="center" shrinkToFit="1"/>
      <protection hidden="1"/>
    </xf>
    <xf numFmtId="181" fontId="9" fillId="16" borderId="58" xfId="0" applyNumberFormat="1" applyFont="1" applyFill="1" applyBorder="1" applyAlignment="1" applyProtection="1">
      <alignment horizontal="center" vertical="center" shrinkToFit="1"/>
      <protection hidden="1"/>
    </xf>
    <xf numFmtId="181" fontId="9" fillId="16" borderId="122" xfId="0" applyNumberFormat="1" applyFont="1" applyFill="1" applyBorder="1" applyAlignment="1" applyProtection="1">
      <alignment horizontal="center" vertical="center" shrinkToFit="1"/>
      <protection hidden="1"/>
    </xf>
    <xf numFmtId="181" fontId="9" fillId="16" borderId="59" xfId="0" applyNumberFormat="1" applyFont="1" applyFill="1" applyBorder="1" applyAlignment="1" applyProtection="1">
      <alignment horizontal="center" vertical="center" shrinkToFit="1"/>
      <protection hidden="1"/>
    </xf>
    <xf numFmtId="181" fontId="9" fillId="16" borderId="38" xfId="0" applyNumberFormat="1" applyFont="1" applyFill="1" applyBorder="1" applyAlignment="1" applyProtection="1">
      <alignment horizontal="right" vertical="center" shrinkToFit="1"/>
      <protection hidden="1"/>
    </xf>
    <xf numFmtId="181" fontId="9" fillId="16" borderId="40" xfId="0" applyNumberFormat="1" applyFont="1" applyFill="1" applyBorder="1" applyAlignment="1" applyProtection="1">
      <alignment horizontal="right" vertical="center" shrinkToFit="1"/>
      <protection hidden="1"/>
    </xf>
    <xf numFmtId="0" fontId="9" fillId="19" borderId="444" xfId="0" applyFont="1" applyFill="1" applyBorder="1" applyAlignment="1" applyProtection="1">
      <alignment horizontal="center" vertical="center" shrinkToFit="1"/>
      <protection locked="0"/>
    </xf>
    <xf numFmtId="0" fontId="9" fillId="6" borderId="482" xfId="0" applyFont="1" applyFill="1" applyBorder="1" applyAlignment="1" applyProtection="1">
      <alignment horizontal="center" vertical="center" shrinkToFit="1"/>
      <protection hidden="1"/>
    </xf>
    <xf numFmtId="0" fontId="9" fillId="6" borderId="481" xfId="0" applyFont="1" applyFill="1" applyBorder="1" applyAlignment="1" applyProtection="1">
      <alignment horizontal="center" vertical="center" shrinkToFit="1"/>
      <protection hidden="1"/>
    </xf>
    <xf numFmtId="0" fontId="9" fillId="6" borderId="485" xfId="0" applyFont="1" applyFill="1" applyBorder="1" applyAlignment="1" applyProtection="1">
      <alignment horizontal="center" vertical="center" shrinkToFit="1"/>
      <protection hidden="1"/>
    </xf>
    <xf numFmtId="0" fontId="9" fillId="19" borderId="448" xfId="0" applyFont="1" applyFill="1" applyBorder="1" applyAlignment="1" applyProtection="1">
      <alignment horizontal="center" vertical="center"/>
      <protection locked="0"/>
    </xf>
    <xf numFmtId="179" fontId="33" fillId="16" borderId="447" xfId="0" applyNumberFormat="1" applyFont="1" applyFill="1" applyBorder="1" applyAlignment="1" applyProtection="1">
      <alignment horizontal="center" shrinkToFit="1"/>
      <protection hidden="1"/>
    </xf>
    <xf numFmtId="179" fontId="33" fillId="16" borderId="217" xfId="0" applyNumberFormat="1" applyFont="1" applyFill="1" applyBorder="1" applyAlignment="1" applyProtection="1">
      <alignment horizontal="center" shrinkToFit="1"/>
      <protection hidden="1"/>
    </xf>
    <xf numFmtId="179" fontId="33" fillId="16" borderId="446" xfId="0" applyNumberFormat="1" applyFont="1" applyFill="1" applyBorder="1" applyAlignment="1" applyProtection="1">
      <alignment horizontal="center" shrinkToFit="1"/>
      <protection hidden="1"/>
    </xf>
    <xf numFmtId="0" fontId="9" fillId="19" borderId="444" xfId="0" applyFont="1" applyFill="1" applyBorder="1" applyAlignment="1" applyProtection="1">
      <alignment horizontal="right" vertical="center" shrinkToFit="1"/>
      <protection locked="0"/>
    </xf>
    <xf numFmtId="181" fontId="9" fillId="16" borderId="238" xfId="0" applyNumberFormat="1" applyFont="1" applyFill="1" applyBorder="1" applyAlignment="1" applyProtection="1">
      <alignment horizontal="right" vertical="center" shrinkToFit="1"/>
      <protection hidden="1"/>
    </xf>
    <xf numFmtId="181" fontId="9" fillId="16" borderId="504" xfId="0" applyNumberFormat="1" applyFont="1" applyFill="1" applyBorder="1" applyAlignment="1" applyProtection="1">
      <alignment horizontal="right" vertical="center" shrinkToFit="1"/>
      <protection hidden="1"/>
    </xf>
    <xf numFmtId="0" fontId="9" fillId="6" borderId="484" xfId="0" applyFont="1" applyFill="1" applyBorder="1" applyAlignment="1" applyProtection="1">
      <alignment horizontal="center" vertical="center" shrinkToFit="1"/>
      <protection hidden="1"/>
    </xf>
    <xf numFmtId="0" fontId="9" fillId="6" borderId="483" xfId="0" applyFont="1" applyFill="1" applyBorder="1" applyAlignment="1" applyProtection="1">
      <alignment horizontal="center" vertical="center" shrinkToFit="1"/>
      <protection hidden="1"/>
    </xf>
    <xf numFmtId="182" fontId="9" fillId="13" borderId="111" xfId="0" applyNumberFormat="1" applyFont="1" applyFill="1" applyBorder="1" applyAlignment="1" applyProtection="1">
      <alignment horizontal="center" vertical="center"/>
      <protection locked="0"/>
    </xf>
    <xf numFmtId="182" fontId="9" fillId="13" borderId="114" xfId="0" applyNumberFormat="1" applyFont="1" applyFill="1" applyBorder="1" applyAlignment="1" applyProtection="1">
      <alignment horizontal="center" vertical="center"/>
      <protection locked="0"/>
    </xf>
    <xf numFmtId="182" fontId="9" fillId="13" borderId="112" xfId="0" applyNumberFormat="1" applyFont="1" applyFill="1" applyBorder="1" applyAlignment="1" applyProtection="1">
      <alignment horizontal="center" vertical="center"/>
      <protection locked="0"/>
    </xf>
    <xf numFmtId="0" fontId="9" fillId="19" borderId="278" xfId="0" applyFont="1" applyFill="1" applyBorder="1" applyAlignment="1" applyProtection="1">
      <alignment horizontal="right" vertical="center" shrinkToFit="1"/>
      <protection locked="0"/>
    </xf>
    <xf numFmtId="181" fontId="9" fillId="16" borderId="8" xfId="0" applyNumberFormat="1" applyFont="1" applyFill="1" applyBorder="1" applyAlignment="1" applyProtection="1">
      <alignment horizontal="right" vertical="center" shrinkToFit="1"/>
      <protection hidden="1"/>
    </xf>
    <xf numFmtId="181" fontId="9" fillId="16" borderId="131" xfId="0" applyNumberFormat="1" applyFont="1" applyFill="1" applyBorder="1" applyAlignment="1" applyProtection="1">
      <alignment horizontal="right" vertical="center" shrinkToFit="1"/>
      <protection hidden="1"/>
    </xf>
    <xf numFmtId="0" fontId="9" fillId="19" borderId="278" xfId="0" applyFont="1" applyFill="1" applyBorder="1" applyAlignment="1" applyProtection="1">
      <alignment horizontal="center" vertical="center" shrinkToFit="1"/>
      <protection locked="0"/>
    </xf>
    <xf numFmtId="176" fontId="9" fillId="16" borderId="238" xfId="0" applyNumberFormat="1" applyFont="1" applyFill="1" applyBorder="1" applyAlignment="1" applyProtection="1">
      <alignment horizontal="right" vertical="center" shrinkToFit="1"/>
      <protection hidden="1"/>
    </xf>
    <xf numFmtId="181" fontId="9" fillId="16" borderId="444" xfId="0" applyNumberFormat="1" applyFont="1" applyFill="1" applyBorder="1" applyAlignment="1" applyProtection="1">
      <alignment horizontal="right" vertical="center" shrinkToFit="1"/>
      <protection hidden="1"/>
    </xf>
    <xf numFmtId="181" fontId="9" fillId="16" borderId="506" xfId="0" applyNumberFormat="1" applyFont="1" applyFill="1" applyBorder="1" applyAlignment="1" applyProtection="1">
      <alignment horizontal="right" vertical="center" shrinkToFit="1"/>
      <protection hidden="1"/>
    </xf>
    <xf numFmtId="0" fontId="9" fillId="16" borderId="236" xfId="0" applyFont="1" applyFill="1" applyBorder="1" applyAlignment="1" applyProtection="1">
      <alignment horizontal="right" vertical="center" shrinkToFit="1"/>
      <protection hidden="1"/>
    </xf>
    <xf numFmtId="0" fontId="9" fillId="3" borderId="116" xfId="0" applyFont="1" applyFill="1" applyBorder="1" applyAlignment="1" applyProtection="1">
      <alignment horizontal="center" vertical="top"/>
      <protection hidden="1"/>
    </xf>
    <xf numFmtId="0" fontId="9" fillId="3" borderId="119" xfId="0" applyFont="1" applyFill="1" applyBorder="1" applyAlignment="1" applyProtection="1">
      <alignment horizontal="center" vertical="top"/>
      <protection hidden="1"/>
    </xf>
    <xf numFmtId="0" fontId="9" fillId="3" borderId="0" xfId="0" applyFont="1" applyFill="1" applyBorder="1" applyAlignment="1" applyProtection="1">
      <alignment horizontal="center" vertical="top"/>
      <protection hidden="1"/>
    </xf>
    <xf numFmtId="0" fontId="9" fillId="3" borderId="2" xfId="0" applyFont="1" applyFill="1" applyBorder="1" applyAlignment="1" applyProtection="1">
      <alignment horizontal="center" vertical="top"/>
      <protection hidden="1"/>
    </xf>
    <xf numFmtId="0" fontId="33" fillId="16" borderId="111" xfId="0" applyFont="1" applyFill="1" applyBorder="1" applyAlignment="1" applyProtection="1">
      <alignment horizontal="right" vertical="center" shrinkToFit="1"/>
      <protection hidden="1"/>
    </xf>
    <xf numFmtId="0" fontId="33" fillId="16" borderId="114" xfId="0" applyFont="1" applyFill="1" applyBorder="1" applyAlignment="1" applyProtection="1">
      <alignment horizontal="right" vertical="center" shrinkToFit="1"/>
      <protection hidden="1"/>
    </xf>
    <xf numFmtId="179" fontId="31" fillId="16" borderId="114" xfId="0" applyNumberFormat="1" applyFont="1" applyFill="1" applyBorder="1" applyAlignment="1" applyProtection="1">
      <alignment horizontal="left" vertical="center" shrinkToFit="1"/>
      <protection hidden="1"/>
    </xf>
    <xf numFmtId="179" fontId="31" fillId="16" borderId="112" xfId="0" applyNumberFormat="1" applyFont="1" applyFill="1" applyBorder="1" applyAlignment="1" applyProtection="1">
      <alignment horizontal="left" vertical="center" shrinkToFit="1"/>
      <protection hidden="1"/>
    </xf>
    <xf numFmtId="0" fontId="9" fillId="3" borderId="357" xfId="0" applyFont="1" applyFill="1" applyBorder="1" applyAlignment="1" applyProtection="1">
      <alignment horizontal="center" vertical="center" shrinkToFit="1"/>
      <protection hidden="1"/>
    </xf>
    <xf numFmtId="0" fontId="9" fillId="3" borderId="283" xfId="0" applyFont="1" applyFill="1" applyBorder="1" applyAlignment="1" applyProtection="1">
      <alignment horizontal="center" vertical="center" shrinkToFit="1"/>
      <protection hidden="1"/>
    </xf>
    <xf numFmtId="0" fontId="9" fillId="3" borderId="282" xfId="0" applyFont="1" applyFill="1" applyBorder="1" applyAlignment="1" applyProtection="1">
      <alignment horizontal="center" vertical="center" shrinkToFit="1"/>
      <protection hidden="1"/>
    </xf>
    <xf numFmtId="0" fontId="9" fillId="3" borderId="470" xfId="0" applyFont="1" applyFill="1" applyBorder="1" applyAlignment="1" applyProtection="1">
      <alignment horizontal="center" vertical="center" shrinkToFit="1"/>
      <protection hidden="1"/>
    </xf>
    <xf numFmtId="0" fontId="9" fillId="3" borderId="469" xfId="0" applyFont="1" applyFill="1" applyBorder="1" applyAlignment="1" applyProtection="1">
      <alignment horizontal="center" vertical="center" shrinkToFit="1"/>
      <protection hidden="1"/>
    </xf>
    <xf numFmtId="0" fontId="9" fillId="3" borderId="498" xfId="0" applyFont="1" applyFill="1" applyBorder="1" applyAlignment="1" applyProtection="1">
      <alignment horizontal="center" vertical="center" shrinkToFit="1"/>
      <protection hidden="1"/>
    </xf>
    <xf numFmtId="181" fontId="9" fillId="16" borderId="495" xfId="0" applyNumberFormat="1" applyFont="1" applyFill="1" applyBorder="1" applyAlignment="1" applyProtection="1">
      <alignment horizontal="right" vertical="center" shrinkToFit="1"/>
      <protection hidden="1"/>
    </xf>
    <xf numFmtId="181" fontId="9" fillId="16" borderId="494" xfId="0" applyNumberFormat="1" applyFont="1" applyFill="1" applyBorder="1" applyAlignment="1" applyProtection="1">
      <alignment horizontal="right" vertical="center" shrinkToFit="1"/>
      <protection hidden="1"/>
    </xf>
    <xf numFmtId="0" fontId="9" fillId="3" borderId="491" xfId="0" applyFont="1" applyFill="1" applyBorder="1" applyAlignment="1" applyProtection="1">
      <alignment horizontal="center" vertical="center" shrinkToFit="1"/>
      <protection hidden="1"/>
    </xf>
    <xf numFmtId="0" fontId="9" fillId="3" borderId="462" xfId="0" quotePrefix="1" applyFont="1" applyFill="1" applyBorder="1" applyAlignment="1" applyProtection="1">
      <alignment horizontal="center" vertical="center" shrinkToFit="1"/>
      <protection hidden="1"/>
    </xf>
    <xf numFmtId="0" fontId="9" fillId="3" borderId="462" xfId="0" applyFont="1" applyFill="1" applyBorder="1" applyAlignment="1" applyProtection="1">
      <alignment horizontal="center" vertical="center" shrinkToFit="1"/>
      <protection hidden="1"/>
    </xf>
    <xf numFmtId="0" fontId="9" fillId="3" borderId="461" xfId="0" applyFont="1" applyFill="1" applyBorder="1" applyAlignment="1" applyProtection="1">
      <alignment horizontal="center" vertical="center" shrinkToFit="1"/>
      <protection hidden="1"/>
    </xf>
    <xf numFmtId="14" fontId="9" fillId="3" borderId="460" xfId="0" quotePrefix="1" applyNumberFormat="1" applyFont="1" applyFill="1" applyBorder="1" applyAlignment="1" applyProtection="1">
      <alignment horizontal="center" vertical="center" shrinkToFit="1"/>
      <protection hidden="1"/>
    </xf>
    <xf numFmtId="0" fontId="9" fillId="3" borderId="459" xfId="0" applyFont="1" applyFill="1" applyBorder="1" applyAlignment="1" applyProtection="1">
      <alignment horizontal="center" vertical="center" shrinkToFit="1"/>
      <protection hidden="1"/>
    </xf>
    <xf numFmtId="0" fontId="9" fillId="16" borderId="448" xfId="0" applyFont="1" applyFill="1" applyBorder="1" applyAlignment="1" applyProtection="1">
      <alignment horizontal="center" vertical="center"/>
      <protection hidden="1"/>
    </xf>
    <xf numFmtId="0" fontId="9" fillId="6" borderId="447" xfId="0" applyFont="1" applyFill="1" applyBorder="1" applyAlignment="1" applyProtection="1">
      <alignment horizontal="center" vertical="center"/>
      <protection hidden="1"/>
    </xf>
    <xf numFmtId="0" fontId="9" fillId="6" borderId="217" xfId="0" applyFont="1" applyFill="1" applyBorder="1" applyAlignment="1" applyProtection="1">
      <alignment horizontal="center" vertical="center"/>
      <protection hidden="1"/>
    </xf>
    <xf numFmtId="0" fontId="9" fillId="6" borderId="446" xfId="0" applyFont="1" applyFill="1" applyBorder="1" applyAlignment="1" applyProtection="1">
      <alignment horizontal="center" vertical="center"/>
      <protection hidden="1"/>
    </xf>
    <xf numFmtId="0" fontId="9" fillId="19" borderId="448" xfId="0" applyFont="1" applyFill="1" applyBorder="1" applyAlignment="1" applyProtection="1">
      <alignment horizontal="center" vertical="center"/>
      <protection hidden="1"/>
    </xf>
    <xf numFmtId="0" fontId="9" fillId="16" borderId="111" xfId="0" applyFont="1" applyFill="1" applyBorder="1" applyAlignment="1" applyProtection="1">
      <alignment horizontal="left" vertical="center" indent="1" shrinkToFit="1"/>
      <protection hidden="1"/>
    </xf>
    <xf numFmtId="0" fontId="9" fillId="16" borderId="114" xfId="0" applyFont="1" applyFill="1" applyBorder="1" applyAlignment="1" applyProtection="1">
      <alignment horizontal="left" vertical="center" indent="1" shrinkToFit="1"/>
      <protection hidden="1"/>
    </xf>
    <xf numFmtId="0" fontId="9" fillId="16" borderId="112" xfId="0" applyFont="1" applyFill="1" applyBorder="1" applyAlignment="1" applyProtection="1">
      <alignment horizontal="left" vertical="center" indent="1" shrinkToFit="1"/>
      <protection hidden="1"/>
    </xf>
    <xf numFmtId="182" fontId="33" fillId="16" borderId="111" xfId="0" applyNumberFormat="1" applyFont="1" applyFill="1" applyBorder="1" applyAlignment="1" applyProtection="1">
      <alignment horizontal="right" vertical="center" shrinkToFit="1"/>
      <protection hidden="1"/>
    </xf>
    <xf numFmtId="182" fontId="33" fillId="16" borderId="114" xfId="0" applyNumberFormat="1" applyFont="1" applyFill="1" applyBorder="1" applyAlignment="1" applyProtection="1">
      <alignment horizontal="right" vertical="center" shrinkToFit="1"/>
      <protection hidden="1"/>
    </xf>
    <xf numFmtId="182" fontId="33" fillId="16" borderId="112" xfId="0" applyNumberFormat="1" applyFont="1" applyFill="1" applyBorder="1" applyAlignment="1" applyProtection="1">
      <alignment horizontal="right" vertical="center" shrinkToFit="1"/>
      <protection hidden="1"/>
    </xf>
    <xf numFmtId="0" fontId="5" fillId="11" borderId="12" xfId="1" applyFont="1" applyFill="1" applyBorder="1" applyAlignment="1" applyProtection="1">
      <alignment horizontal="center" vertical="center"/>
      <protection hidden="1"/>
    </xf>
    <xf numFmtId="0" fontId="5" fillId="11" borderId="13" xfId="1" applyFont="1" applyFill="1" applyBorder="1" applyAlignment="1" applyProtection="1">
      <alignment horizontal="center" vertical="center"/>
      <protection hidden="1"/>
    </xf>
    <xf numFmtId="0" fontId="5" fillId="11" borderId="14" xfId="1" applyFont="1" applyFill="1" applyBorder="1" applyAlignment="1" applyProtection="1">
      <alignment horizontal="center" vertical="center"/>
      <protection hidden="1"/>
    </xf>
    <xf numFmtId="179" fontId="9" fillId="13" borderId="111" xfId="0" applyNumberFormat="1" applyFont="1" applyFill="1" applyBorder="1" applyAlignment="1" applyProtection="1">
      <alignment horizontal="right" vertical="center"/>
      <protection locked="0"/>
    </xf>
    <xf numFmtId="179" fontId="9" fillId="13" borderId="114" xfId="0" applyNumberFormat="1" applyFont="1" applyFill="1" applyBorder="1" applyAlignment="1" applyProtection="1">
      <alignment horizontal="right" vertical="center"/>
      <protection locked="0"/>
    </xf>
    <xf numFmtId="179" fontId="9" fillId="13" borderId="112" xfId="0" applyNumberFormat="1" applyFont="1" applyFill="1" applyBorder="1" applyAlignment="1" applyProtection="1">
      <alignment horizontal="right" vertical="center"/>
      <protection locked="0"/>
    </xf>
    <xf numFmtId="0" fontId="8" fillId="0" borderId="215" xfId="0" applyFont="1" applyFill="1" applyBorder="1" applyAlignment="1" applyProtection="1">
      <alignment horizontal="center" vertical="center" shrinkToFit="1"/>
      <protection hidden="1"/>
    </xf>
    <xf numFmtId="0" fontId="8" fillId="0" borderId="419" xfId="0" applyFont="1" applyFill="1" applyBorder="1" applyAlignment="1" applyProtection="1">
      <alignment horizontal="center" vertical="center" shrinkToFit="1"/>
      <protection hidden="1"/>
    </xf>
    <xf numFmtId="0" fontId="8" fillId="0" borderId="396" xfId="0" applyFont="1" applyFill="1" applyBorder="1" applyAlignment="1" applyProtection="1">
      <alignment horizontal="center" vertical="center" shrinkToFit="1"/>
      <protection hidden="1"/>
    </xf>
    <xf numFmtId="0" fontId="8" fillId="0" borderId="118" xfId="0" applyFont="1" applyFill="1" applyBorder="1" applyAlignment="1" applyProtection="1">
      <alignment horizontal="center" vertical="center" shrinkToFit="1"/>
      <protection hidden="1"/>
    </xf>
    <xf numFmtId="0" fontId="8" fillId="0" borderId="226" xfId="0" applyFont="1" applyFill="1" applyBorder="1" applyAlignment="1" applyProtection="1">
      <alignment horizontal="center" vertical="center" shrinkToFit="1"/>
      <protection hidden="1"/>
    </xf>
    <xf numFmtId="0" fontId="8" fillId="0" borderId="1" xfId="0" applyFont="1" applyFill="1" applyBorder="1" applyAlignment="1" applyProtection="1">
      <alignment horizontal="center" vertical="center" shrinkToFit="1"/>
      <protection hidden="1"/>
    </xf>
    <xf numFmtId="0" fontId="8" fillId="0" borderId="71" xfId="0" applyFont="1" applyFill="1" applyBorder="1" applyAlignment="1" applyProtection="1">
      <alignment horizontal="center" vertical="center" shrinkToFit="1"/>
      <protection hidden="1"/>
    </xf>
    <xf numFmtId="0" fontId="8" fillId="0" borderId="113" xfId="0" applyFont="1" applyFill="1" applyBorder="1" applyAlignment="1" applyProtection="1">
      <alignment horizontal="center" vertical="center" shrinkToFit="1"/>
      <protection hidden="1"/>
    </xf>
    <xf numFmtId="0" fontId="8" fillId="0" borderId="225" xfId="0" applyFont="1" applyFill="1" applyBorder="1" applyAlignment="1" applyProtection="1">
      <alignment horizontal="center" vertical="center" shrinkToFit="1"/>
      <protection hidden="1"/>
    </xf>
    <xf numFmtId="0" fontId="2" fillId="15" borderId="119" xfId="0" applyFont="1" applyFill="1" applyBorder="1" applyAlignment="1" applyProtection="1">
      <alignment horizontal="center" vertical="center"/>
      <protection hidden="1"/>
    </xf>
    <xf numFmtId="0" fontId="2" fillId="15" borderId="2" xfId="0" applyFont="1" applyFill="1" applyBorder="1" applyAlignment="1" applyProtection="1">
      <alignment horizontal="center" vertical="center"/>
      <protection hidden="1"/>
    </xf>
    <xf numFmtId="0" fontId="20" fillId="11" borderId="12" xfId="1" applyFont="1" applyFill="1" applyBorder="1" applyAlignment="1" applyProtection="1">
      <alignment vertical="center" shrinkToFit="1"/>
      <protection hidden="1"/>
    </xf>
    <xf numFmtId="0" fontId="20" fillId="11" borderId="13" xfId="1" applyFont="1" applyFill="1" applyBorder="1" applyAlignment="1" applyProtection="1">
      <alignment vertical="center" shrinkToFit="1"/>
      <protection hidden="1"/>
    </xf>
    <xf numFmtId="0" fontId="20" fillId="11" borderId="14" xfId="1" applyFont="1" applyFill="1" applyBorder="1" applyAlignment="1" applyProtection="1">
      <alignment vertical="center" shrinkToFit="1"/>
      <protection hidden="1"/>
    </xf>
    <xf numFmtId="181" fontId="8" fillId="16" borderId="31" xfId="0" applyNumberFormat="1" applyFont="1" applyFill="1" applyBorder="1" applyAlignment="1" applyProtection="1">
      <alignment horizontal="center" vertical="center" shrinkToFit="1"/>
      <protection hidden="1"/>
    </xf>
    <xf numFmtId="181" fontId="8" fillId="16" borderId="99" xfId="0" applyNumberFormat="1" applyFont="1" applyFill="1" applyBorder="1" applyAlignment="1" applyProtection="1">
      <alignment horizontal="center" vertical="center" shrinkToFit="1"/>
      <protection hidden="1"/>
    </xf>
    <xf numFmtId="181" fontId="9" fillId="16" borderId="31" xfId="0" applyNumberFormat="1" applyFont="1" applyFill="1" applyBorder="1" applyAlignment="1" applyProtection="1">
      <alignment horizontal="center" vertical="center" shrinkToFit="1"/>
      <protection hidden="1"/>
    </xf>
    <xf numFmtId="181" fontId="9" fillId="16" borderId="94" xfId="0" applyNumberFormat="1" applyFont="1" applyFill="1" applyBorder="1" applyAlignment="1" applyProtection="1">
      <alignment horizontal="center" vertical="center" shrinkToFit="1"/>
      <protection hidden="1"/>
    </xf>
    <xf numFmtId="181" fontId="9" fillId="16" borderId="252" xfId="0" applyNumberFormat="1" applyFont="1" applyFill="1" applyBorder="1" applyAlignment="1" applyProtection="1">
      <alignment horizontal="center" vertical="center" shrinkToFit="1"/>
      <protection hidden="1"/>
    </xf>
    <xf numFmtId="181" fontId="9" fillId="16" borderId="151" xfId="0" applyNumberFormat="1" applyFont="1" applyFill="1" applyBorder="1" applyAlignment="1" applyProtection="1">
      <alignment horizontal="center" vertical="center" shrinkToFit="1"/>
      <protection hidden="1"/>
    </xf>
    <xf numFmtId="181" fontId="9" fillId="16" borderId="28" xfId="0" applyNumberFormat="1" applyFont="1" applyFill="1" applyBorder="1" applyAlignment="1" applyProtection="1">
      <alignment horizontal="center" vertical="center" shrinkToFit="1"/>
      <protection hidden="1"/>
    </xf>
    <xf numFmtId="181" fontId="9" fillId="16" borderId="29" xfId="0" applyNumberFormat="1" applyFont="1" applyFill="1" applyBorder="1" applyAlignment="1" applyProtection="1">
      <alignment horizontal="center" vertical="center" shrinkToFit="1"/>
      <protection hidden="1"/>
    </xf>
    <xf numFmtId="181" fontId="9" fillId="16" borderId="27" xfId="0" applyNumberFormat="1" applyFont="1" applyFill="1" applyBorder="1" applyAlignment="1" applyProtection="1">
      <alignment horizontal="center" vertical="center" shrinkToFit="1"/>
      <protection hidden="1"/>
    </xf>
    <xf numFmtId="181" fontId="9" fillId="16" borderId="152" xfId="0" applyNumberFormat="1" applyFont="1" applyFill="1" applyBorder="1" applyAlignment="1" applyProtection="1">
      <alignment horizontal="center" vertical="center" shrinkToFit="1"/>
      <protection hidden="1"/>
    </xf>
    <xf numFmtId="181" fontId="8" fillId="16" borderId="27" xfId="0" applyNumberFormat="1" applyFont="1" applyFill="1" applyBorder="1" applyAlignment="1" applyProtection="1">
      <alignment horizontal="center" vertical="center" shrinkToFit="1"/>
      <protection hidden="1"/>
    </xf>
    <xf numFmtId="181" fontId="8" fillId="16" borderId="28" xfId="0" applyNumberFormat="1" applyFont="1" applyFill="1" applyBorder="1" applyAlignment="1" applyProtection="1">
      <alignment horizontal="center" vertical="center" shrinkToFit="1"/>
      <protection hidden="1"/>
    </xf>
    <xf numFmtId="181" fontId="8" fillId="16" borderId="151" xfId="0" applyNumberFormat="1" applyFont="1" applyFill="1" applyBorder="1" applyAlignment="1" applyProtection="1">
      <alignment horizontal="center" vertical="center" shrinkToFit="1"/>
      <protection hidden="1"/>
    </xf>
    <xf numFmtId="181" fontId="8" fillId="16" borderId="423" xfId="0" applyNumberFormat="1" applyFont="1" applyFill="1" applyBorder="1" applyAlignment="1" applyProtection="1">
      <alignment horizontal="center" vertical="center" shrinkToFit="1"/>
      <protection hidden="1"/>
    </xf>
    <xf numFmtId="181" fontId="8" fillId="16" borderId="152" xfId="0" applyNumberFormat="1" applyFont="1" applyFill="1" applyBorder="1" applyAlignment="1" applyProtection="1">
      <alignment horizontal="center" vertical="center" shrinkToFit="1"/>
      <protection hidden="1"/>
    </xf>
    <xf numFmtId="181" fontId="8" fillId="16" borderId="29" xfId="0" applyNumberFormat="1" applyFont="1" applyFill="1" applyBorder="1" applyAlignment="1" applyProtection="1">
      <alignment horizontal="center" vertical="center" shrinkToFit="1"/>
      <protection hidden="1"/>
    </xf>
    <xf numFmtId="0" fontId="8" fillId="0" borderId="72" xfId="0" applyFont="1" applyFill="1" applyBorder="1" applyAlignment="1" applyProtection="1">
      <alignment horizontal="center" vertical="center" shrinkToFit="1"/>
      <protection hidden="1"/>
    </xf>
    <xf numFmtId="0" fontId="8" fillId="0" borderId="73" xfId="0" applyFont="1" applyFill="1" applyBorder="1" applyAlignment="1" applyProtection="1">
      <alignment horizontal="center" vertical="center" shrinkToFit="1"/>
      <protection hidden="1"/>
    </xf>
    <xf numFmtId="181" fontId="8" fillId="16" borderId="37" xfId="0" applyNumberFormat="1" applyFont="1" applyFill="1" applyBorder="1" applyAlignment="1" applyProtection="1">
      <alignment horizontal="center" vertical="center" shrinkToFit="1"/>
      <protection hidden="1"/>
    </xf>
    <xf numFmtId="181" fontId="8" fillId="16" borderId="38" xfId="0" applyNumberFormat="1" applyFont="1" applyFill="1" applyBorder="1" applyAlignment="1" applyProtection="1">
      <alignment horizontal="center" vertical="center" shrinkToFit="1"/>
      <protection hidden="1"/>
    </xf>
    <xf numFmtId="181" fontId="8" fillId="16" borderId="59" xfId="0" applyNumberFormat="1" applyFont="1" applyFill="1" applyBorder="1" applyAlignment="1" applyProtection="1">
      <alignment horizontal="center" vertical="center" shrinkToFit="1"/>
      <protection hidden="1"/>
    </xf>
    <xf numFmtId="181" fontId="8" fillId="16" borderId="421" xfId="0" applyNumberFormat="1" applyFont="1" applyFill="1" applyBorder="1" applyAlignment="1" applyProtection="1">
      <alignment horizontal="center" vertical="center" shrinkToFit="1"/>
      <protection hidden="1"/>
    </xf>
    <xf numFmtId="0" fontId="9" fillId="16" borderId="57" xfId="0" applyFont="1" applyFill="1" applyBorder="1" applyAlignment="1" applyProtection="1">
      <alignment horizontal="center" vertical="center" shrinkToFit="1"/>
      <protection hidden="1"/>
    </xf>
    <xf numFmtId="0" fontId="9" fillId="16" borderId="58" xfId="0" applyFont="1" applyFill="1" applyBorder="1" applyAlignment="1" applyProtection="1">
      <alignment horizontal="center" vertical="center" shrinkToFit="1"/>
      <protection hidden="1"/>
    </xf>
    <xf numFmtId="0" fontId="9" fillId="16" borderId="59" xfId="0" applyFont="1" applyFill="1" applyBorder="1" applyAlignment="1" applyProtection="1">
      <alignment horizontal="center" vertical="center" shrinkToFit="1"/>
      <protection hidden="1"/>
    </xf>
    <xf numFmtId="176" fontId="9" fillId="16" borderId="57" xfId="0" applyNumberFormat="1" applyFont="1" applyFill="1" applyBorder="1" applyAlignment="1" applyProtection="1">
      <alignment horizontal="center" vertical="center" shrinkToFit="1"/>
      <protection hidden="1"/>
    </xf>
    <xf numFmtId="176" fontId="9" fillId="16" borderId="58" xfId="0" applyNumberFormat="1" applyFont="1" applyFill="1" applyBorder="1" applyAlignment="1" applyProtection="1">
      <alignment horizontal="center" vertical="center" shrinkToFit="1"/>
      <protection hidden="1"/>
    </xf>
    <xf numFmtId="176" fontId="9" fillId="16" borderId="59" xfId="0" applyNumberFormat="1" applyFont="1" applyFill="1" applyBorder="1" applyAlignment="1" applyProtection="1">
      <alignment horizontal="center" vertical="center" shrinkToFit="1"/>
      <protection hidden="1"/>
    </xf>
    <xf numFmtId="181" fontId="9" fillId="16" borderId="57" xfId="0" applyNumberFormat="1" applyFont="1" applyFill="1" applyBorder="1" applyAlignment="1" applyProtection="1">
      <alignment horizontal="center" vertical="center" shrinkToFit="1"/>
      <protection hidden="1"/>
    </xf>
    <xf numFmtId="181" fontId="9" fillId="16" borderId="37" xfId="0" applyNumberFormat="1" applyFont="1" applyFill="1" applyBorder="1" applyAlignment="1" applyProtection="1">
      <alignment horizontal="right" vertical="center" shrinkToFit="1"/>
      <protection hidden="1"/>
    </xf>
    <xf numFmtId="181" fontId="9" fillId="16" borderId="57" xfId="0" applyNumberFormat="1" applyFont="1" applyFill="1" applyBorder="1" applyAlignment="1" applyProtection="1">
      <alignment horizontal="right" vertical="center" shrinkToFit="1"/>
      <protection hidden="1"/>
    </xf>
    <xf numFmtId="181" fontId="9" fillId="16" borderId="58" xfId="0" applyNumberFormat="1" applyFont="1" applyFill="1" applyBorder="1" applyAlignment="1" applyProtection="1">
      <alignment horizontal="right" vertical="center" shrinkToFit="1"/>
      <protection hidden="1"/>
    </xf>
    <xf numFmtId="181" fontId="9" fillId="16" borderId="122" xfId="0" applyNumberFormat="1" applyFont="1" applyFill="1" applyBorder="1" applyAlignment="1" applyProtection="1">
      <alignment horizontal="right" vertical="center" shrinkToFit="1"/>
      <protection hidden="1"/>
    </xf>
    <xf numFmtId="0" fontId="8" fillId="0" borderId="153" xfId="0" applyFont="1" applyFill="1" applyBorder="1" applyAlignment="1" applyProtection="1">
      <alignment horizontal="center" vertical="center" shrinkToFit="1"/>
      <protection hidden="1"/>
    </xf>
    <xf numFmtId="0" fontId="8" fillId="0" borderId="108" xfId="0" applyFont="1" applyFill="1" applyBorder="1" applyAlignment="1" applyProtection="1">
      <alignment horizontal="center" vertical="center" shrinkToFit="1"/>
      <protection hidden="1"/>
    </xf>
    <xf numFmtId="0" fontId="8" fillId="0" borderId="111" xfId="0" applyFont="1" applyFill="1" applyBorder="1" applyAlignment="1" applyProtection="1">
      <alignment horizontal="center" vertical="center" shrinkToFit="1"/>
      <protection hidden="1"/>
    </xf>
    <xf numFmtId="0" fontId="8" fillId="0" borderId="148" xfId="0" applyFont="1" applyFill="1" applyBorder="1" applyAlignment="1" applyProtection="1">
      <alignment horizontal="center" vertical="center" shrinkToFit="1"/>
      <protection hidden="1"/>
    </xf>
    <xf numFmtId="181" fontId="8" fillId="0" borderId="111" xfId="0" applyNumberFormat="1" applyFont="1" applyFill="1" applyBorder="1" applyAlignment="1" applyProtection="1">
      <alignment horizontal="center" vertical="center" shrinkToFit="1"/>
      <protection hidden="1"/>
    </xf>
    <xf numFmtId="181" fontId="8" fillId="0" borderId="148" xfId="0" applyNumberFormat="1" applyFont="1" applyFill="1" applyBorder="1" applyAlignment="1" applyProtection="1">
      <alignment horizontal="center" vertical="center" shrinkToFit="1"/>
      <protection hidden="1"/>
    </xf>
    <xf numFmtId="181" fontId="8" fillId="16" borderId="209" xfId="0" applyNumberFormat="1" applyFont="1" applyFill="1" applyBorder="1" applyAlignment="1" applyProtection="1">
      <alignment horizontal="center" vertical="center" shrinkToFit="1"/>
      <protection hidden="1"/>
    </xf>
    <xf numFmtId="186" fontId="9" fillId="16" borderId="28" xfId="0" applyNumberFormat="1" applyFont="1" applyFill="1" applyBorder="1" applyAlignment="1" applyProtection="1">
      <alignment horizontal="right" vertical="center" shrinkToFit="1"/>
      <protection hidden="1"/>
    </xf>
    <xf numFmtId="186" fontId="9" fillId="16" borderId="29" xfId="0" applyNumberFormat="1" applyFont="1" applyFill="1" applyBorder="1" applyAlignment="1" applyProtection="1">
      <alignment horizontal="right" vertical="center" shrinkToFit="1"/>
      <protection hidden="1"/>
    </xf>
    <xf numFmtId="0" fontId="9" fillId="16" borderId="31" xfId="0" applyFont="1" applyFill="1" applyBorder="1" applyAlignment="1" applyProtection="1">
      <alignment horizontal="center" vertical="center"/>
      <protection hidden="1"/>
    </xf>
    <xf numFmtId="0" fontId="9" fillId="16" borderId="151" xfId="0" applyFont="1" applyFill="1" applyBorder="1" applyAlignment="1" applyProtection="1">
      <alignment horizontal="center" vertical="center"/>
      <protection hidden="1"/>
    </xf>
    <xf numFmtId="0" fontId="8" fillId="0" borderId="152" xfId="0" applyFont="1" applyFill="1" applyBorder="1" applyAlignment="1" applyProtection="1">
      <alignment horizontal="center" vertical="center"/>
      <protection hidden="1"/>
    </xf>
    <xf numFmtId="0" fontId="8" fillId="0" borderId="94" xfId="0" applyFont="1" applyFill="1" applyBorder="1" applyAlignment="1" applyProtection="1">
      <alignment horizontal="center" vertical="center"/>
      <protection hidden="1"/>
    </xf>
    <xf numFmtId="181" fontId="8" fillId="16" borderId="41" xfId="0" applyNumberFormat="1" applyFont="1" applyFill="1" applyBorder="1" applyAlignment="1" applyProtection="1">
      <alignment horizontal="center" vertical="center" shrinkToFit="1"/>
      <protection hidden="1"/>
    </xf>
    <xf numFmtId="181" fontId="8" fillId="16" borderId="123" xfId="0" applyNumberFormat="1" applyFont="1" applyFill="1" applyBorder="1" applyAlignment="1" applyProtection="1">
      <alignment horizontal="center" vertical="center" shrinkToFit="1"/>
      <protection hidden="1"/>
    </xf>
    <xf numFmtId="181" fontId="8" fillId="16" borderId="57" xfId="0" applyNumberFormat="1" applyFont="1" applyFill="1" applyBorder="1" applyAlignment="1" applyProtection="1">
      <alignment horizontal="center" vertical="center" shrinkToFit="1"/>
      <protection hidden="1"/>
    </xf>
    <xf numFmtId="181" fontId="8" fillId="16" borderId="40" xfId="0" applyNumberFormat="1" applyFont="1" applyFill="1" applyBorder="1" applyAlignment="1" applyProtection="1">
      <alignment horizontal="center" vertical="center" shrinkToFit="1"/>
      <protection hidden="1"/>
    </xf>
    <xf numFmtId="181" fontId="8" fillId="16" borderId="207" xfId="0" applyNumberFormat="1" applyFont="1" applyFill="1" applyBorder="1" applyAlignment="1" applyProtection="1">
      <alignment horizontal="center" vertical="center" shrinkToFit="1"/>
      <protection hidden="1"/>
    </xf>
    <xf numFmtId="186" fontId="9" fillId="16" borderId="38" xfId="0" applyNumberFormat="1" applyFont="1" applyFill="1" applyBorder="1" applyAlignment="1" applyProtection="1">
      <alignment horizontal="right" vertical="center" shrinkToFit="1"/>
      <protection hidden="1"/>
    </xf>
    <xf numFmtId="186" fontId="9" fillId="16" borderId="40" xfId="0" applyNumberFormat="1" applyFont="1" applyFill="1" applyBorder="1" applyAlignment="1" applyProtection="1">
      <alignment horizontal="right" vertical="center" shrinkToFit="1"/>
      <protection hidden="1"/>
    </xf>
    <xf numFmtId="0" fontId="9" fillId="16" borderId="41" xfId="0" applyFont="1" applyFill="1" applyBorder="1" applyAlignment="1" applyProtection="1">
      <alignment horizontal="center" vertical="center"/>
      <protection hidden="1"/>
    </xf>
    <xf numFmtId="0" fontId="9" fillId="16" borderId="59"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58" xfId="0" applyFont="1" applyFill="1" applyBorder="1" applyAlignment="1" applyProtection="1">
      <alignment horizontal="center" vertical="center"/>
      <protection hidden="1"/>
    </xf>
    <xf numFmtId="181" fontId="8" fillId="16" borderId="66" xfId="0" applyNumberFormat="1" applyFont="1" applyFill="1" applyBorder="1" applyAlignment="1" applyProtection="1">
      <alignment horizontal="center" vertical="center" shrinkToFit="1"/>
      <protection hidden="1"/>
    </xf>
    <xf numFmtId="181" fontId="8" fillId="16" borderId="124" xfId="0" applyNumberFormat="1" applyFont="1" applyFill="1" applyBorder="1" applyAlignment="1" applyProtection="1">
      <alignment horizontal="center" vertical="center" shrinkToFit="1"/>
      <protection hidden="1"/>
    </xf>
    <xf numFmtId="181" fontId="8" fillId="16" borderId="69" xfId="0" applyNumberFormat="1" applyFont="1" applyFill="1" applyBorder="1" applyAlignment="1" applyProtection="1">
      <alignment horizontal="center" vertical="center" shrinkToFit="1"/>
      <protection hidden="1"/>
    </xf>
    <xf numFmtId="181" fontId="8" fillId="16" borderId="425" xfId="0" applyNumberFormat="1" applyFont="1" applyFill="1" applyBorder="1" applyAlignment="1" applyProtection="1">
      <alignment horizontal="center" vertical="center" shrinkToFit="1"/>
      <protection hidden="1"/>
    </xf>
    <xf numFmtId="181" fontId="8" fillId="16" borderId="67" xfId="0" applyNumberFormat="1" applyFont="1" applyFill="1" applyBorder="1" applyAlignment="1" applyProtection="1">
      <alignment horizontal="center" vertical="center" shrinkToFit="1"/>
      <protection hidden="1"/>
    </xf>
    <xf numFmtId="181" fontId="8" fillId="16" borderId="30" xfId="0" applyNumberFormat="1" applyFont="1" applyFill="1" applyBorder="1" applyAlignment="1" applyProtection="1">
      <alignment horizontal="center" vertical="center" shrinkToFit="1"/>
      <protection hidden="1"/>
    </xf>
    <xf numFmtId="181" fontId="8" fillId="16" borderId="205" xfId="0" applyNumberFormat="1" applyFont="1" applyFill="1" applyBorder="1" applyAlignment="1" applyProtection="1">
      <alignment horizontal="center" vertical="center" shrinkToFit="1"/>
      <protection hidden="1"/>
    </xf>
    <xf numFmtId="0" fontId="9" fillId="16" borderId="118" xfId="0" applyFont="1" applyFill="1" applyBorder="1" applyAlignment="1" applyProtection="1">
      <alignment horizontal="center" vertical="center" shrinkToFit="1"/>
      <protection hidden="1"/>
    </xf>
    <xf numFmtId="0" fontId="9" fillId="16" borderId="116" xfId="0" applyFont="1" applyFill="1" applyBorder="1" applyAlignment="1" applyProtection="1">
      <alignment horizontal="center" vertical="center" shrinkToFit="1"/>
      <protection hidden="1"/>
    </xf>
    <xf numFmtId="0" fontId="9" fillId="16" borderId="119" xfId="0" applyFont="1" applyFill="1" applyBorder="1" applyAlignment="1" applyProtection="1">
      <alignment horizontal="center" vertical="center" shrinkToFit="1"/>
      <protection hidden="1"/>
    </xf>
    <xf numFmtId="0" fontId="9" fillId="16" borderId="113" xfId="0" applyFont="1" applyFill="1" applyBorder="1" applyAlignment="1" applyProtection="1">
      <alignment horizontal="center" vertical="center" shrinkToFit="1"/>
      <protection hidden="1"/>
    </xf>
    <xf numFmtId="0" fontId="9" fillId="16" borderId="117" xfId="0" applyFont="1" applyFill="1" applyBorder="1" applyAlignment="1" applyProtection="1">
      <alignment horizontal="center" vertical="center" shrinkToFit="1"/>
      <protection hidden="1"/>
    </xf>
    <xf numFmtId="0" fontId="9" fillId="16" borderId="5" xfId="0" applyFont="1" applyFill="1" applyBorder="1" applyAlignment="1" applyProtection="1">
      <alignment horizontal="center" vertical="center" shrinkToFit="1"/>
      <protection hidden="1"/>
    </xf>
    <xf numFmtId="0" fontId="9" fillId="16" borderId="152" xfId="0" applyFont="1" applyFill="1" applyBorder="1" applyAlignment="1" applyProtection="1">
      <alignment horizontal="center" vertical="center" shrinkToFit="1"/>
      <protection hidden="1"/>
    </xf>
    <xf numFmtId="0" fontId="9" fillId="16" borderId="151" xfId="0" applyFont="1" applyFill="1" applyBorder="1" applyAlignment="1" applyProtection="1">
      <alignment horizontal="center" vertical="center" shrinkToFit="1"/>
      <protection hidden="1"/>
    </xf>
    <xf numFmtId="0" fontId="9" fillId="19" borderId="54" xfId="0" applyFont="1" applyFill="1" applyBorder="1" applyAlignment="1" applyProtection="1">
      <alignment horizontal="center" vertical="center"/>
      <protection locked="0"/>
    </xf>
    <xf numFmtId="0" fontId="9" fillId="19" borderId="56" xfId="0" applyFont="1" applyFill="1" applyBorder="1" applyAlignment="1" applyProtection="1">
      <alignment horizontal="center" vertical="center"/>
      <protection locked="0"/>
    </xf>
    <xf numFmtId="176" fontId="9" fillId="16" borderId="152" xfId="0" applyNumberFormat="1" applyFont="1" applyFill="1" applyBorder="1" applyAlignment="1" applyProtection="1">
      <alignment horizontal="center" vertical="center" shrinkToFit="1"/>
      <protection hidden="1"/>
    </xf>
    <xf numFmtId="176" fontId="9" fillId="16" borderId="94" xfId="0" applyNumberFormat="1" applyFont="1" applyFill="1" applyBorder="1" applyAlignment="1" applyProtection="1">
      <alignment horizontal="center" vertical="center" shrinkToFit="1"/>
      <protection hidden="1"/>
    </xf>
    <xf numFmtId="176" fontId="9" fillId="16" borderId="151" xfId="0" applyNumberFormat="1" applyFont="1" applyFill="1" applyBorder="1" applyAlignment="1" applyProtection="1">
      <alignment horizontal="center" vertical="center" shrinkToFit="1"/>
      <protection hidden="1"/>
    </xf>
    <xf numFmtId="181" fontId="9" fillId="16" borderId="29" xfId="0" quotePrefix="1" applyNumberFormat="1" applyFont="1" applyFill="1" applyBorder="1" applyAlignment="1" applyProtection="1">
      <alignment horizontal="right" vertical="center" shrinkToFit="1"/>
      <protection hidden="1"/>
    </xf>
    <xf numFmtId="181" fontId="9" fillId="16" borderId="29" xfId="0" applyNumberFormat="1" applyFont="1" applyFill="1" applyBorder="1" applyAlignment="1" applyProtection="1">
      <alignment horizontal="right" vertical="center" shrinkToFit="1"/>
      <protection hidden="1"/>
    </xf>
    <xf numFmtId="181" fontId="9" fillId="16" borderId="27" xfId="0" applyNumberFormat="1" applyFont="1" applyFill="1" applyBorder="1" applyAlignment="1" applyProtection="1">
      <alignment horizontal="right" vertical="center" shrinkToFit="1"/>
      <protection hidden="1"/>
    </xf>
    <xf numFmtId="181" fontId="9" fillId="16" borderId="152" xfId="0" applyNumberFormat="1" applyFont="1" applyFill="1" applyBorder="1" applyAlignment="1" applyProtection="1">
      <alignment horizontal="right" vertical="center" shrinkToFit="1"/>
      <protection hidden="1"/>
    </xf>
    <xf numFmtId="181" fontId="9" fillId="16" borderId="94" xfId="0" applyNumberFormat="1" applyFont="1" applyFill="1" applyBorder="1" applyAlignment="1" applyProtection="1">
      <alignment horizontal="right" vertical="center" shrinkToFit="1"/>
      <protection hidden="1"/>
    </xf>
    <xf numFmtId="181" fontId="9" fillId="16" borderId="252" xfId="0" applyNumberFormat="1" applyFont="1" applyFill="1" applyBorder="1" applyAlignment="1" applyProtection="1">
      <alignment horizontal="right" vertical="center" shrinkToFit="1"/>
      <protection hidden="1"/>
    </xf>
    <xf numFmtId="181" fontId="9" fillId="16" borderId="241" xfId="0" applyNumberFormat="1" applyFont="1" applyFill="1" applyBorder="1" applyAlignment="1" applyProtection="1">
      <alignment horizontal="right" vertical="center" shrinkToFit="1"/>
      <protection hidden="1"/>
    </xf>
    <xf numFmtId="181" fontId="9" fillId="16" borderId="116" xfId="0" applyNumberFormat="1" applyFont="1" applyFill="1" applyBorder="1" applyAlignment="1" applyProtection="1">
      <alignment horizontal="right" vertical="center" shrinkToFit="1"/>
      <protection hidden="1"/>
    </xf>
    <xf numFmtId="181" fontId="9" fillId="16" borderId="243" xfId="0" applyNumberFormat="1" applyFont="1" applyFill="1" applyBorder="1" applyAlignment="1" applyProtection="1">
      <alignment horizontal="right" vertical="center" shrinkToFit="1"/>
      <protection hidden="1"/>
    </xf>
    <xf numFmtId="181" fontId="9" fillId="16" borderId="253" xfId="0" applyNumberFormat="1" applyFont="1" applyFill="1" applyBorder="1" applyAlignment="1" applyProtection="1">
      <alignment horizontal="right" vertical="center" shrinkToFit="1"/>
      <protection hidden="1"/>
    </xf>
    <xf numFmtId="181" fontId="9" fillId="16" borderId="117" xfId="0" applyNumberFormat="1" applyFont="1" applyFill="1" applyBorder="1" applyAlignment="1" applyProtection="1">
      <alignment horizontal="right" vertical="center" shrinkToFit="1"/>
      <protection hidden="1"/>
    </xf>
    <xf numFmtId="181" fontId="9" fillId="16" borderId="382" xfId="0" applyNumberFormat="1" applyFont="1" applyFill="1" applyBorder="1" applyAlignment="1" applyProtection="1">
      <alignment horizontal="right" vertical="center" shrinkToFit="1"/>
      <protection hidden="1"/>
    </xf>
    <xf numFmtId="181" fontId="9" fillId="16" borderId="241" xfId="0" quotePrefix="1" applyNumberFormat="1" applyFont="1" applyFill="1" applyBorder="1" applyAlignment="1" applyProtection="1">
      <alignment horizontal="center" vertical="center" shrinkToFit="1"/>
      <protection hidden="1"/>
    </xf>
    <xf numFmtId="181" fontId="9" fillId="16" borderId="116" xfId="0" quotePrefix="1" applyNumberFormat="1" applyFont="1" applyFill="1" applyBorder="1" applyAlignment="1" applyProtection="1">
      <alignment horizontal="center" vertical="center" shrinkToFit="1"/>
      <protection hidden="1"/>
    </xf>
    <xf numFmtId="181" fontId="9" fillId="16" borderId="119" xfId="0" quotePrefix="1" applyNumberFormat="1" applyFont="1" applyFill="1" applyBorder="1" applyAlignment="1" applyProtection="1">
      <alignment horizontal="center" vertical="center" shrinkToFit="1"/>
      <protection hidden="1"/>
    </xf>
    <xf numFmtId="181" fontId="9" fillId="16" borderId="253" xfId="0" quotePrefix="1" applyNumberFormat="1" applyFont="1" applyFill="1" applyBorder="1" applyAlignment="1" applyProtection="1">
      <alignment horizontal="center" vertical="center" shrinkToFit="1"/>
      <protection hidden="1"/>
    </xf>
    <xf numFmtId="181" fontId="9" fillId="16" borderId="117" xfId="0" quotePrefix="1" applyNumberFormat="1" applyFont="1" applyFill="1" applyBorder="1" applyAlignment="1" applyProtection="1">
      <alignment horizontal="center" vertical="center" shrinkToFit="1"/>
      <protection hidden="1"/>
    </xf>
    <xf numFmtId="181" fontId="9" fillId="16" borderId="5" xfId="0" quotePrefix="1" applyNumberFormat="1" applyFont="1" applyFill="1" applyBorder="1" applyAlignment="1" applyProtection="1">
      <alignment horizontal="center" vertical="center" shrinkToFit="1"/>
      <protection hidden="1"/>
    </xf>
    <xf numFmtId="181" fontId="9" fillId="16" borderId="118" xfId="0" applyNumberFormat="1" applyFont="1" applyFill="1" applyBorder="1" applyAlignment="1" applyProtection="1">
      <alignment horizontal="right" vertical="center" shrinkToFit="1"/>
      <protection hidden="1"/>
    </xf>
    <xf numFmtId="181" fontId="9" fillId="16" borderId="113" xfId="0" applyNumberFormat="1" applyFont="1" applyFill="1" applyBorder="1" applyAlignment="1" applyProtection="1">
      <alignment horizontal="right" vertical="center" shrinkToFit="1"/>
      <protection hidden="1"/>
    </xf>
    <xf numFmtId="181" fontId="9" fillId="16" borderId="119" xfId="0" applyNumberFormat="1" applyFont="1" applyFill="1" applyBorder="1" applyAlignment="1" applyProtection="1">
      <alignment horizontal="right" vertical="center" shrinkToFit="1"/>
      <protection hidden="1"/>
    </xf>
    <xf numFmtId="181" fontId="9" fillId="16" borderId="5" xfId="0" applyNumberFormat="1" applyFont="1" applyFill="1" applyBorder="1" applyAlignment="1" applyProtection="1">
      <alignment horizontal="right" vertical="center" shrinkToFit="1"/>
      <protection hidden="1"/>
    </xf>
    <xf numFmtId="181" fontId="9" fillId="16" borderId="209" xfId="0" applyNumberFormat="1" applyFont="1" applyFill="1" applyBorder="1" applyAlignment="1" applyProtection="1">
      <alignment horizontal="center" vertical="center" shrinkToFit="1"/>
      <protection hidden="1"/>
    </xf>
    <xf numFmtId="181" fontId="9" fillId="16" borderId="207" xfId="0" applyNumberFormat="1" applyFont="1" applyFill="1" applyBorder="1" applyAlignment="1" applyProtection="1">
      <alignment horizontal="center" vertical="center" shrinkToFit="1"/>
      <protection hidden="1"/>
    </xf>
    <xf numFmtId="181" fontId="9" fillId="16" borderId="38" xfId="0" applyNumberFormat="1" applyFont="1" applyFill="1" applyBorder="1" applyAlignment="1" applyProtection="1">
      <alignment horizontal="center" vertical="center" shrinkToFit="1"/>
      <protection hidden="1"/>
    </xf>
    <xf numFmtId="181" fontId="9" fillId="16" borderId="41" xfId="0" applyNumberFormat="1" applyFont="1" applyFill="1" applyBorder="1" applyAlignment="1" applyProtection="1">
      <alignment horizontal="right" vertical="center" shrinkToFit="1"/>
      <protection hidden="1"/>
    </xf>
    <xf numFmtId="181" fontId="9" fillId="16" borderId="59" xfId="0" applyNumberFormat="1" applyFont="1" applyFill="1" applyBorder="1" applyAlignment="1" applyProtection="1">
      <alignment horizontal="right" vertical="center" shrinkToFit="1"/>
      <protection hidden="1"/>
    </xf>
    <xf numFmtId="181" fontId="9" fillId="16" borderId="51" xfId="0" applyNumberFormat="1" applyFont="1" applyFill="1" applyBorder="1" applyAlignment="1" applyProtection="1">
      <alignment horizontal="right" vertical="center" shrinkToFit="1"/>
      <protection hidden="1"/>
    </xf>
    <xf numFmtId="181" fontId="9" fillId="16" borderId="112" xfId="0" applyNumberFormat="1" applyFont="1" applyFill="1" applyBorder="1" applyAlignment="1" applyProtection="1">
      <alignment horizontal="right" vertical="center" shrinkToFit="1"/>
      <protection hidden="1"/>
    </xf>
    <xf numFmtId="181" fontId="9" fillId="16" borderId="97" xfId="0" applyNumberFormat="1" applyFont="1" applyFill="1" applyBorder="1" applyAlignment="1" applyProtection="1">
      <alignment horizontal="right" vertical="center" shrinkToFit="1"/>
      <protection hidden="1"/>
    </xf>
    <xf numFmtId="181" fontId="9" fillId="16" borderId="31" xfId="0" quotePrefix="1" applyNumberFormat="1" applyFont="1" applyFill="1" applyBorder="1" applyAlignment="1" applyProtection="1">
      <alignment horizontal="right" vertical="center" shrinkToFit="1"/>
      <protection hidden="1"/>
    </xf>
    <xf numFmtId="181" fontId="9" fillId="16" borderId="94" xfId="0" quotePrefix="1" applyNumberFormat="1" applyFont="1" applyFill="1" applyBorder="1" applyAlignment="1" applyProtection="1">
      <alignment horizontal="right" vertical="center" shrinkToFit="1"/>
      <protection hidden="1"/>
    </xf>
    <xf numFmtId="181" fontId="9" fillId="16" borderId="151" xfId="0" quotePrefix="1" applyNumberFormat="1" applyFont="1" applyFill="1" applyBorder="1" applyAlignment="1" applyProtection="1">
      <alignment horizontal="right" vertical="center" shrinkToFit="1"/>
      <protection hidden="1"/>
    </xf>
    <xf numFmtId="181" fontId="8" fillId="16" borderId="428" xfId="0" applyNumberFormat="1" applyFont="1" applyFill="1" applyBorder="1" applyAlignment="1" applyProtection="1">
      <alignment horizontal="center" vertical="center" shrinkToFit="1"/>
      <protection hidden="1"/>
    </xf>
    <xf numFmtId="191" fontId="9" fillId="16" borderId="38" xfId="0" applyNumberFormat="1" applyFont="1" applyFill="1" applyBorder="1" applyAlignment="1" applyProtection="1">
      <alignment horizontal="right" vertical="center" shrinkToFit="1"/>
      <protection hidden="1"/>
    </xf>
    <xf numFmtId="191" fontId="9" fillId="16" borderId="40" xfId="0" applyNumberFormat="1" applyFont="1" applyFill="1" applyBorder="1" applyAlignment="1" applyProtection="1">
      <alignment horizontal="right" vertical="center" shrinkToFit="1"/>
      <protection hidden="1"/>
    </xf>
    <xf numFmtId="181" fontId="8" fillId="16" borderId="219" xfId="0" applyNumberFormat="1" applyFont="1" applyFill="1" applyBorder="1" applyAlignment="1" applyProtection="1">
      <alignment horizontal="center" vertical="center" shrinkToFit="1"/>
      <protection hidden="1"/>
    </xf>
    <xf numFmtId="181" fontId="8" fillId="16" borderId="221" xfId="0" applyNumberFormat="1" applyFont="1" applyFill="1" applyBorder="1" applyAlignment="1" applyProtection="1">
      <alignment horizontal="center" vertical="center" shrinkToFit="1"/>
      <protection hidden="1"/>
    </xf>
    <xf numFmtId="0" fontId="9" fillId="16" borderId="1" xfId="0" applyFont="1" applyFill="1" applyBorder="1" applyAlignment="1" applyProtection="1">
      <alignment horizontal="center" vertical="center" shrinkToFit="1"/>
      <protection hidden="1"/>
    </xf>
    <xf numFmtId="0" fontId="9" fillId="16" borderId="0" xfId="0" applyFont="1" applyFill="1" applyBorder="1" applyAlignment="1" applyProtection="1">
      <alignment horizontal="center" vertical="center" shrinkToFit="1"/>
      <protection hidden="1"/>
    </xf>
    <xf numFmtId="0" fontId="9" fillId="16" borderId="2" xfId="0" applyFont="1" applyFill="1" applyBorder="1" applyAlignment="1" applyProtection="1">
      <alignment horizontal="center" vertical="center" shrinkToFit="1"/>
      <protection hidden="1"/>
    </xf>
    <xf numFmtId="0" fontId="9" fillId="16" borderId="54" xfId="0" applyFont="1" applyFill="1" applyBorder="1" applyAlignment="1" applyProtection="1">
      <alignment horizontal="center" vertical="center" shrinkToFit="1"/>
      <protection hidden="1"/>
    </xf>
    <xf numFmtId="0" fontId="9" fillId="16" borderId="56" xfId="0" applyFont="1" applyFill="1" applyBorder="1" applyAlignment="1" applyProtection="1">
      <alignment horizontal="center" vertical="center" shrinkToFit="1"/>
      <protection hidden="1"/>
    </xf>
    <xf numFmtId="176" fontId="9" fillId="16" borderId="54" xfId="0" applyNumberFormat="1" applyFont="1" applyFill="1" applyBorder="1" applyAlignment="1" applyProtection="1">
      <alignment horizontal="center" vertical="center" shrinkToFit="1"/>
      <protection hidden="1"/>
    </xf>
    <xf numFmtId="176" fontId="9" fillId="16" borderId="55" xfId="0" applyNumberFormat="1" applyFont="1" applyFill="1" applyBorder="1" applyAlignment="1" applyProtection="1">
      <alignment horizontal="center" vertical="center" shrinkToFit="1"/>
      <protection hidden="1"/>
    </xf>
    <xf numFmtId="176" fontId="9" fillId="16" borderId="56" xfId="0" applyNumberFormat="1" applyFont="1" applyFill="1" applyBorder="1" applyAlignment="1" applyProtection="1">
      <alignment horizontal="center" vertical="center" shrinkToFit="1"/>
      <protection hidden="1"/>
    </xf>
    <xf numFmtId="181" fontId="9" fillId="16" borderId="54" xfId="0" applyNumberFormat="1" applyFont="1" applyFill="1" applyBorder="1" applyAlignment="1" applyProtection="1">
      <alignment horizontal="center" vertical="center" shrinkToFit="1"/>
      <protection hidden="1"/>
    </xf>
    <xf numFmtId="181" fontId="9" fillId="16" borderId="55" xfId="0" applyNumberFormat="1" applyFont="1" applyFill="1" applyBorder="1" applyAlignment="1" applyProtection="1">
      <alignment horizontal="center" vertical="center" shrinkToFit="1"/>
      <protection hidden="1"/>
    </xf>
    <xf numFmtId="181" fontId="9" fillId="16" borderId="78" xfId="0" applyNumberFormat="1" applyFont="1" applyFill="1" applyBorder="1" applyAlignment="1" applyProtection="1">
      <alignment horizontal="center" vertical="center" shrinkToFit="1"/>
      <protection hidden="1"/>
    </xf>
    <xf numFmtId="181" fontId="9" fillId="16" borderId="26" xfId="0" quotePrefix="1" applyNumberFormat="1" applyFont="1" applyFill="1" applyBorder="1" applyAlignment="1" applyProtection="1">
      <alignment horizontal="right" vertical="center" shrinkToFit="1"/>
      <protection hidden="1"/>
    </xf>
    <xf numFmtId="181" fontId="9" fillId="16" borderId="26" xfId="0" applyNumberFormat="1" applyFont="1" applyFill="1" applyBorder="1" applyAlignment="1" applyProtection="1">
      <alignment horizontal="right" vertical="center" shrinkToFit="1"/>
      <protection hidden="1"/>
    </xf>
    <xf numFmtId="181" fontId="9" fillId="16" borderId="61" xfId="0" applyNumberFormat="1" applyFont="1" applyFill="1" applyBorder="1" applyAlignment="1" applyProtection="1">
      <alignment horizontal="right" vertical="center" shrinkToFit="1"/>
      <protection hidden="1"/>
    </xf>
    <xf numFmtId="0" fontId="8" fillId="0" borderId="221" xfId="0" applyFont="1" applyFill="1" applyBorder="1" applyAlignment="1" applyProtection="1">
      <alignment horizontal="center" vertical="center"/>
      <protection hidden="1"/>
    </xf>
    <xf numFmtId="0" fontId="8" fillId="0" borderId="220" xfId="0" applyFont="1" applyFill="1" applyBorder="1" applyAlignment="1" applyProtection="1">
      <alignment horizontal="center" vertical="center"/>
      <protection hidden="1"/>
    </xf>
    <xf numFmtId="181" fontId="8" fillId="16" borderId="431" xfId="0" applyNumberFormat="1" applyFont="1" applyFill="1" applyBorder="1" applyAlignment="1" applyProtection="1">
      <alignment horizontal="center" vertical="center" shrinkToFit="1"/>
      <protection hidden="1"/>
    </xf>
    <xf numFmtId="181" fontId="8" fillId="16" borderId="430" xfId="0" applyNumberFormat="1" applyFont="1" applyFill="1" applyBorder="1" applyAlignment="1" applyProtection="1">
      <alignment horizontal="center" vertical="center" shrinkToFit="1"/>
      <protection hidden="1"/>
    </xf>
    <xf numFmtId="181" fontId="8" fillId="16" borderId="434" xfId="0" applyNumberFormat="1" applyFont="1" applyFill="1" applyBorder="1" applyAlignment="1" applyProtection="1">
      <alignment horizontal="center" vertical="center" shrinkToFit="1"/>
      <protection hidden="1"/>
    </xf>
    <xf numFmtId="181" fontId="8" fillId="16" borderId="433" xfId="0" applyNumberFormat="1" applyFont="1" applyFill="1" applyBorder="1" applyAlignment="1" applyProtection="1">
      <alignment horizontal="center" vertical="center" shrinkToFit="1"/>
      <protection hidden="1"/>
    </xf>
    <xf numFmtId="181" fontId="8" fillId="16" borderId="429" xfId="0" applyNumberFormat="1" applyFont="1" applyFill="1" applyBorder="1" applyAlignment="1" applyProtection="1">
      <alignment horizontal="center" vertical="center" shrinkToFit="1"/>
      <protection hidden="1"/>
    </xf>
    <xf numFmtId="181" fontId="8" fillId="16" borderId="427" xfId="0" applyNumberFormat="1" applyFont="1" applyFill="1" applyBorder="1" applyAlignment="1" applyProtection="1">
      <alignment horizontal="center" vertical="center" shrinkToFit="1"/>
      <protection hidden="1"/>
    </xf>
    <xf numFmtId="0" fontId="8" fillId="3" borderId="51" xfId="0" applyFont="1" applyFill="1" applyBorder="1" applyAlignment="1" applyProtection="1">
      <alignment horizontal="center" vertical="center" shrinkToFit="1"/>
      <protection hidden="1"/>
    </xf>
    <xf numFmtId="0" fontId="8" fillId="3" borderId="97" xfId="0" applyFont="1" applyFill="1" applyBorder="1" applyAlignment="1" applyProtection="1">
      <alignment horizontal="center" vertical="center" shrinkToFit="1"/>
      <protection hidden="1"/>
    </xf>
    <xf numFmtId="0" fontId="8" fillId="3" borderId="112" xfId="0" applyFont="1" applyFill="1" applyBorder="1" applyAlignment="1" applyProtection="1">
      <alignment horizontal="center" vertical="center" shrinkToFit="1"/>
      <protection hidden="1"/>
    </xf>
    <xf numFmtId="0" fontId="9" fillId="3" borderId="51" xfId="0" applyFont="1" applyFill="1" applyBorder="1" applyAlignment="1" applyProtection="1">
      <alignment horizontal="center" vertical="center" shrinkToFit="1"/>
      <protection hidden="1"/>
    </xf>
    <xf numFmtId="0" fontId="9" fillId="3" borderId="206" xfId="0" applyFont="1" applyFill="1" applyBorder="1" applyAlignment="1" applyProtection="1">
      <alignment horizontal="center" vertical="center" shrinkToFit="1"/>
      <protection hidden="1"/>
    </xf>
    <xf numFmtId="0" fontId="9" fillId="3" borderId="120" xfId="0" applyFont="1" applyFill="1" applyBorder="1" applyAlignment="1" applyProtection="1">
      <alignment horizontal="center" vertical="center" shrinkToFit="1"/>
      <protection hidden="1"/>
    </xf>
    <xf numFmtId="0" fontId="9" fillId="3" borderId="50" xfId="0" applyFont="1" applyFill="1" applyBorder="1" applyAlignment="1" applyProtection="1">
      <alignment horizontal="center" vertical="center" shrinkToFit="1"/>
      <protection hidden="1"/>
    </xf>
    <xf numFmtId="0" fontId="8" fillId="3" borderId="147" xfId="0" applyFont="1" applyFill="1" applyBorder="1" applyAlignment="1" applyProtection="1">
      <alignment horizontal="center" vertical="center" shrinkToFit="1"/>
      <protection hidden="1"/>
    </xf>
    <xf numFmtId="0" fontId="8" fillId="3" borderId="144" xfId="0" applyFont="1" applyFill="1" applyBorder="1" applyAlignment="1" applyProtection="1">
      <alignment horizontal="center" vertical="center" shrinkToFit="1"/>
      <protection hidden="1"/>
    </xf>
    <xf numFmtId="0" fontId="8" fillId="3" borderId="116" xfId="0" applyFont="1" applyFill="1" applyBorder="1" applyAlignment="1" applyProtection="1">
      <alignment horizontal="center" vertical="center" shrinkToFit="1"/>
      <protection hidden="1"/>
    </xf>
    <xf numFmtId="0" fontId="8" fillId="3" borderId="119" xfId="0" applyFont="1" applyFill="1" applyBorder="1" applyAlignment="1" applyProtection="1">
      <alignment horizontal="center" vertical="center" shrinkToFit="1"/>
      <protection hidden="1"/>
    </xf>
    <xf numFmtId="0" fontId="8" fillId="3" borderId="179" xfId="0" applyFont="1" applyFill="1" applyBorder="1" applyAlignment="1" applyProtection="1">
      <alignment horizontal="center" vertical="center" shrinkToFit="1"/>
      <protection hidden="1"/>
    </xf>
    <xf numFmtId="0" fontId="8" fillId="3" borderId="118" xfId="0" applyFont="1" applyFill="1" applyBorder="1" applyAlignment="1" applyProtection="1">
      <alignment horizontal="center" vertical="center" shrinkToFit="1"/>
      <protection hidden="1"/>
    </xf>
    <xf numFmtId="0" fontId="8" fillId="3" borderId="241" xfId="0" applyFont="1" applyFill="1" applyBorder="1" applyAlignment="1" applyProtection="1">
      <alignment horizontal="center" vertical="center" shrinkToFit="1"/>
      <protection hidden="1"/>
    </xf>
    <xf numFmtId="0" fontId="8" fillId="3" borderId="243" xfId="0" applyFont="1" applyFill="1" applyBorder="1" applyAlignment="1" applyProtection="1">
      <alignment horizontal="center" vertical="center" shrinkToFit="1"/>
      <protection hidden="1"/>
    </xf>
    <xf numFmtId="0" fontId="8" fillId="3" borderId="226" xfId="0" applyFont="1" applyFill="1" applyBorder="1" applyAlignment="1" applyProtection="1">
      <alignment horizontal="center" vertical="center" shrinkToFit="1"/>
      <protection hidden="1"/>
    </xf>
    <xf numFmtId="0" fontId="8" fillId="3" borderId="435" xfId="0" applyFont="1" applyFill="1" applyBorder="1" applyAlignment="1" applyProtection="1">
      <alignment horizontal="center" vertical="center" shrinkToFit="1"/>
      <protection hidden="1"/>
    </xf>
    <xf numFmtId="0" fontId="9" fillId="6" borderId="118" xfId="0" applyFont="1" applyFill="1" applyBorder="1" applyAlignment="1" applyProtection="1">
      <alignment horizontal="center" vertical="center" shrinkToFit="1"/>
      <protection hidden="1"/>
    </xf>
    <xf numFmtId="0" fontId="9" fillId="6" borderId="116" xfId="0" applyFont="1" applyFill="1" applyBorder="1" applyAlignment="1" applyProtection="1">
      <alignment horizontal="center" vertical="center" shrinkToFit="1"/>
      <protection hidden="1"/>
    </xf>
    <xf numFmtId="0" fontId="9" fillId="6" borderId="119" xfId="0" applyFont="1" applyFill="1" applyBorder="1" applyAlignment="1" applyProtection="1">
      <alignment horizontal="center" vertical="center" shrinkToFit="1"/>
      <protection hidden="1"/>
    </xf>
    <xf numFmtId="0" fontId="9" fillId="6" borderId="1" xfId="0" applyFont="1" applyFill="1" applyBorder="1" applyAlignment="1" applyProtection="1">
      <alignment horizontal="center" vertical="center" shrinkToFit="1"/>
      <protection hidden="1"/>
    </xf>
    <xf numFmtId="0" fontId="9" fillId="6" borderId="2" xfId="0" applyFont="1" applyFill="1" applyBorder="1" applyAlignment="1" applyProtection="1">
      <alignment horizontal="center" vertical="center" shrinkToFit="1"/>
      <protection hidden="1"/>
    </xf>
    <xf numFmtId="0" fontId="9" fillId="6" borderId="113" xfId="0" applyFont="1" applyFill="1" applyBorder="1" applyAlignment="1" applyProtection="1">
      <alignment horizontal="center" vertical="center" shrinkToFit="1"/>
      <protection hidden="1"/>
    </xf>
    <xf numFmtId="0" fontId="9" fillId="6" borderId="117" xfId="0" applyFont="1" applyFill="1" applyBorder="1" applyAlignment="1" applyProtection="1">
      <alignment horizontal="center" vertical="center" shrinkToFit="1"/>
      <protection hidden="1"/>
    </xf>
    <xf numFmtId="0" fontId="9" fillId="6" borderId="5" xfId="0" applyFont="1" applyFill="1" applyBorder="1" applyAlignment="1" applyProtection="1">
      <alignment horizontal="center" vertical="center" shrinkToFit="1"/>
      <protection hidden="1"/>
    </xf>
    <xf numFmtId="0" fontId="9" fillId="6" borderId="118" xfId="0" applyFont="1" applyFill="1" applyBorder="1" applyAlignment="1" applyProtection="1">
      <alignment horizontal="center" vertical="center" wrapText="1"/>
      <protection hidden="1"/>
    </xf>
    <xf numFmtId="0" fontId="9" fillId="6" borderId="116" xfId="0" applyFont="1" applyFill="1" applyBorder="1" applyAlignment="1" applyProtection="1">
      <alignment horizontal="center" vertical="center" wrapText="1"/>
      <protection hidden="1"/>
    </xf>
    <xf numFmtId="0" fontId="9" fillId="6" borderId="119" xfId="0" applyFont="1" applyFill="1" applyBorder="1" applyAlignment="1" applyProtection="1">
      <alignment horizontal="center" vertical="center" wrapText="1"/>
      <protection hidden="1"/>
    </xf>
    <xf numFmtId="0" fontId="9" fillId="6"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9" fillId="6" borderId="2" xfId="0" applyFont="1" applyFill="1" applyBorder="1" applyAlignment="1" applyProtection="1">
      <alignment horizontal="center" vertical="center" wrapText="1"/>
      <protection hidden="1"/>
    </xf>
    <xf numFmtId="0" fontId="9" fillId="6" borderId="113" xfId="0" applyFont="1" applyFill="1" applyBorder="1" applyAlignment="1" applyProtection="1">
      <alignment horizontal="center" vertical="center" wrapText="1"/>
      <protection hidden="1"/>
    </xf>
    <xf numFmtId="0" fontId="9" fillId="6" borderId="117" xfId="0" applyFont="1" applyFill="1" applyBorder="1" applyAlignment="1" applyProtection="1">
      <alignment horizontal="center" vertical="center" wrapText="1"/>
      <protection hidden="1"/>
    </xf>
    <xf numFmtId="0" fontId="9" fillId="6" borderId="5" xfId="0" applyFont="1" applyFill="1" applyBorder="1" applyAlignment="1" applyProtection="1">
      <alignment horizontal="center" vertical="center" wrapText="1"/>
      <protection hidden="1"/>
    </xf>
    <xf numFmtId="0" fontId="9" fillId="3" borderId="36" xfId="0" applyFont="1" applyFill="1" applyBorder="1" applyAlignment="1" applyProtection="1">
      <alignment horizontal="center" vertical="center" shrinkToFit="1"/>
      <protection hidden="1"/>
    </xf>
    <xf numFmtId="0" fontId="9" fillId="3" borderId="441" xfId="0" applyFont="1" applyFill="1" applyBorder="1" applyAlignment="1" applyProtection="1">
      <alignment horizontal="center" vertical="center" shrinkToFit="1"/>
      <protection hidden="1"/>
    </xf>
    <xf numFmtId="0" fontId="9" fillId="3" borderId="440" xfId="0" applyFont="1" applyFill="1" applyBorder="1" applyAlignment="1" applyProtection="1">
      <alignment horizontal="center" vertical="center" shrinkToFit="1"/>
      <protection hidden="1"/>
    </xf>
    <xf numFmtId="0" fontId="9" fillId="3" borderId="1" xfId="0" applyFont="1" applyFill="1" applyBorder="1" applyAlignment="1" applyProtection="1">
      <alignment horizontal="center" vertical="center" wrapText="1" shrinkToFit="1"/>
      <protection hidden="1"/>
    </xf>
    <xf numFmtId="0" fontId="9" fillId="3" borderId="0" xfId="0" applyFont="1" applyFill="1" applyBorder="1" applyAlignment="1" applyProtection="1">
      <alignment horizontal="center" vertical="center" wrapText="1" shrinkToFit="1"/>
      <protection hidden="1"/>
    </xf>
    <xf numFmtId="0" fontId="9" fillId="3" borderId="439" xfId="0" applyFont="1" applyFill="1" applyBorder="1" applyAlignment="1" applyProtection="1">
      <alignment horizontal="center" vertical="center" wrapText="1" shrinkToFit="1"/>
      <protection hidden="1"/>
    </xf>
    <xf numFmtId="0" fontId="9" fillId="3" borderId="113" xfId="0" applyFont="1" applyFill="1" applyBorder="1" applyAlignment="1" applyProtection="1">
      <alignment horizontal="center" vertical="center" wrapText="1" shrinkToFit="1"/>
      <protection hidden="1"/>
    </xf>
    <xf numFmtId="0" fontId="9" fillId="3" borderId="117" xfId="0" applyFont="1" applyFill="1" applyBorder="1" applyAlignment="1" applyProtection="1">
      <alignment horizontal="center" vertical="center" wrapText="1" shrinkToFit="1"/>
      <protection hidden="1"/>
    </xf>
    <xf numFmtId="0" fontId="9" fillId="3" borderId="382" xfId="0" applyFont="1" applyFill="1" applyBorder="1" applyAlignment="1" applyProtection="1">
      <alignment horizontal="center" vertical="center" wrapText="1" shrinkToFit="1"/>
      <protection hidden="1"/>
    </xf>
    <xf numFmtId="0" fontId="9" fillId="3" borderId="241" xfId="0" applyFont="1" applyFill="1" applyBorder="1" applyAlignment="1" applyProtection="1">
      <alignment horizontal="center" vertical="center" wrapText="1"/>
      <protection hidden="1"/>
    </xf>
    <xf numFmtId="0" fontId="9" fillId="3" borderId="119" xfId="0" applyFont="1" applyFill="1" applyBorder="1" applyAlignment="1" applyProtection="1">
      <alignment horizontal="center" vertical="center" wrapText="1"/>
      <protection hidden="1"/>
    </xf>
    <xf numFmtId="0" fontId="9" fillId="3" borderId="253" xfId="0" applyFont="1" applyFill="1" applyBorder="1" applyAlignment="1" applyProtection="1">
      <alignment horizontal="center" vertical="center" wrapText="1"/>
      <protection hidden="1"/>
    </xf>
    <xf numFmtId="0" fontId="9" fillId="3" borderId="5" xfId="0" applyFont="1" applyFill="1" applyBorder="1" applyAlignment="1" applyProtection="1">
      <alignment horizontal="center" vertical="center" wrapText="1"/>
      <protection hidden="1"/>
    </xf>
    <xf numFmtId="0" fontId="8" fillId="3" borderId="114" xfId="0" applyFont="1" applyFill="1" applyBorder="1" applyAlignment="1" applyProtection="1">
      <alignment horizontal="center" vertical="center" shrinkToFit="1"/>
      <protection hidden="1"/>
    </xf>
    <xf numFmtId="0" fontId="8" fillId="3" borderId="148" xfId="0" applyFont="1" applyFill="1" applyBorder="1" applyAlignment="1" applyProtection="1">
      <alignment horizontal="center" vertical="center" shrinkToFit="1"/>
      <protection hidden="1"/>
    </xf>
    <xf numFmtId="0" fontId="8" fillId="3" borderId="437" xfId="0" applyFont="1" applyFill="1" applyBorder="1" applyAlignment="1" applyProtection="1">
      <alignment horizontal="center" vertical="center" shrinkToFit="1"/>
      <protection hidden="1"/>
    </xf>
    <xf numFmtId="0" fontId="8" fillId="3" borderId="436" xfId="0" applyFont="1" applyFill="1" applyBorder="1" applyAlignment="1" applyProtection="1">
      <alignment horizontal="center" vertical="center" shrinkToFit="1"/>
      <protection hidden="1"/>
    </xf>
    <xf numFmtId="0" fontId="8" fillId="3" borderId="143" xfId="0" applyFont="1" applyFill="1" applyBorder="1" applyAlignment="1" applyProtection="1">
      <alignment horizontal="center" vertical="center" shrinkToFit="1"/>
      <protection hidden="1"/>
    </xf>
    <xf numFmtId="0" fontId="8" fillId="3" borderId="142" xfId="0" applyFont="1" applyFill="1" applyBorder="1" applyAlignment="1" applyProtection="1">
      <alignment horizontal="center" vertical="center" shrinkToFit="1"/>
      <protection hidden="1"/>
    </xf>
    <xf numFmtId="0" fontId="8" fillId="3" borderId="149" xfId="0" quotePrefix="1" applyFont="1" applyFill="1" applyBorder="1" applyAlignment="1" applyProtection="1">
      <alignment horizontal="center" vertical="center" shrinkToFit="1"/>
      <protection hidden="1"/>
    </xf>
    <xf numFmtId="0" fontId="8" fillId="3" borderId="114" xfId="0" quotePrefix="1" applyFont="1" applyFill="1" applyBorder="1" applyAlignment="1" applyProtection="1">
      <alignment horizontal="center" vertical="center" shrinkToFit="1"/>
      <protection hidden="1"/>
    </xf>
    <xf numFmtId="181" fontId="8" fillId="0" borderId="109" xfId="0" applyNumberFormat="1" applyFont="1" applyFill="1" applyBorder="1" applyAlignment="1" applyProtection="1">
      <alignment horizontal="center" vertical="center" shrinkToFit="1"/>
      <protection hidden="1"/>
    </xf>
    <xf numFmtId="0" fontId="8" fillId="3" borderId="112" xfId="0" quotePrefix="1" applyFont="1" applyFill="1" applyBorder="1" applyAlignment="1" applyProtection="1">
      <alignment horizontal="center" vertical="center" shrinkToFit="1"/>
      <protection hidden="1"/>
    </xf>
    <xf numFmtId="0" fontId="8" fillId="3" borderId="109" xfId="0" quotePrefix="1" applyFont="1" applyFill="1" applyBorder="1" applyAlignment="1" applyProtection="1">
      <alignment horizontal="center" vertical="center" shrinkToFit="1"/>
      <protection hidden="1"/>
    </xf>
    <xf numFmtId="0" fontId="9" fillId="3" borderId="118" xfId="0" applyFont="1" applyFill="1" applyBorder="1" applyAlignment="1" applyProtection="1">
      <alignment horizontal="center" vertical="center" wrapText="1"/>
      <protection hidden="1"/>
    </xf>
    <xf numFmtId="0" fontId="9" fillId="3" borderId="116" xfId="0" applyFont="1" applyFill="1" applyBorder="1" applyAlignment="1" applyProtection="1">
      <alignment horizontal="center" vertical="center" wrapText="1"/>
      <protection hidden="1"/>
    </xf>
    <xf numFmtId="0" fontId="9" fillId="3" borderId="113" xfId="0" applyFont="1" applyFill="1" applyBorder="1" applyAlignment="1" applyProtection="1">
      <alignment horizontal="center" vertical="center" wrapText="1"/>
      <protection hidden="1"/>
    </xf>
    <xf numFmtId="0" fontId="9" fillId="3" borderId="117" xfId="0" applyFont="1" applyFill="1" applyBorder="1" applyAlignment="1" applyProtection="1">
      <alignment horizontal="center" vertical="center" wrapText="1"/>
      <protection hidden="1"/>
    </xf>
    <xf numFmtId="0" fontId="9" fillId="6" borderId="445" xfId="0" applyFont="1" applyFill="1" applyBorder="1" applyAlignment="1" applyProtection="1">
      <alignment horizontal="center" vertical="center" shrinkToFit="1"/>
      <protection hidden="1"/>
    </xf>
    <xf numFmtId="0" fontId="9" fillId="6" borderId="8" xfId="0" applyFont="1" applyFill="1" applyBorder="1" applyAlignment="1" applyProtection="1">
      <alignment horizontal="center" vertical="center" shrinkToFit="1"/>
      <protection hidden="1"/>
    </xf>
    <xf numFmtId="0" fontId="9" fillId="3" borderId="8" xfId="0" applyFont="1" applyFill="1" applyBorder="1" applyAlignment="1" applyProtection="1">
      <alignment horizontal="center" vertical="center" shrinkToFit="1"/>
      <protection hidden="1"/>
    </xf>
    <xf numFmtId="0" fontId="9" fillId="19" borderId="450" xfId="0" applyFont="1" applyFill="1" applyBorder="1" applyAlignment="1" applyProtection="1">
      <alignment horizontal="center" vertical="center" shrinkToFit="1"/>
      <protection locked="0"/>
    </xf>
    <xf numFmtId="0" fontId="9" fillId="19" borderId="449" xfId="0" applyFont="1" applyFill="1" applyBorder="1" applyAlignment="1" applyProtection="1">
      <alignment horizontal="center" vertical="center" shrinkToFit="1"/>
      <protection locked="0"/>
    </xf>
    <xf numFmtId="0" fontId="9" fillId="19" borderId="362" xfId="0" applyFont="1" applyFill="1" applyBorder="1" applyAlignment="1" applyProtection="1">
      <alignment horizontal="center" vertical="center" shrinkToFit="1"/>
      <protection locked="0"/>
    </xf>
    <xf numFmtId="0" fontId="102" fillId="16" borderId="448" xfId="0" applyFont="1" applyFill="1" applyBorder="1" applyAlignment="1" applyProtection="1">
      <alignment horizontal="center" vertical="center"/>
      <protection hidden="1"/>
    </xf>
    <xf numFmtId="0" fontId="9" fillId="19" borderId="447" xfId="0" applyFont="1" applyFill="1" applyBorder="1" applyAlignment="1" applyProtection="1">
      <alignment horizontal="center" vertical="center"/>
      <protection locked="0"/>
    </xf>
    <xf numFmtId="0" fontId="9" fillId="19" borderId="217" xfId="0" applyFont="1" applyFill="1" applyBorder="1" applyAlignment="1" applyProtection="1">
      <alignment horizontal="center" vertical="center"/>
      <protection locked="0"/>
    </xf>
    <xf numFmtId="0" fontId="9" fillId="19" borderId="446" xfId="0" applyFont="1" applyFill="1" applyBorder="1" applyAlignment="1" applyProtection="1">
      <alignment horizontal="center" vertical="center"/>
      <protection locked="0"/>
    </xf>
    <xf numFmtId="0" fontId="9" fillId="3" borderId="442" xfId="0" applyFont="1" applyFill="1" applyBorder="1" applyAlignment="1" applyProtection="1">
      <alignment horizontal="center" vertical="center" shrinkToFit="1"/>
      <protection hidden="1"/>
    </xf>
    <xf numFmtId="0" fontId="9" fillId="16" borderId="442" xfId="0" applyFont="1" applyFill="1" applyBorder="1" applyAlignment="1" applyProtection="1">
      <alignment horizontal="right" vertical="center" shrinkToFit="1"/>
      <protection hidden="1"/>
    </xf>
    <xf numFmtId="181" fontId="9" fillId="16" borderId="442" xfId="0" applyNumberFormat="1" applyFont="1" applyFill="1" applyBorder="1" applyAlignment="1" applyProtection="1">
      <alignment horizontal="right" vertical="center" shrinkToFit="1"/>
      <protection hidden="1"/>
    </xf>
    <xf numFmtId="0" fontId="9" fillId="6" borderId="445" xfId="0" applyFont="1" applyFill="1" applyBorder="1" applyAlignment="1" applyProtection="1">
      <alignment horizontal="center" vertical="center" wrapText="1"/>
      <protection hidden="1"/>
    </xf>
    <xf numFmtId="0" fontId="9" fillId="6" borderId="8" xfId="0" applyFont="1" applyFill="1" applyBorder="1" applyAlignment="1" applyProtection="1">
      <alignment horizontal="center" vertical="center" wrapText="1"/>
      <protection hidden="1"/>
    </xf>
    <xf numFmtId="0" fontId="9" fillId="6" borderId="443" xfId="0" applyFont="1" applyFill="1" applyBorder="1" applyAlignment="1" applyProtection="1">
      <alignment horizontal="center" vertical="center" wrapText="1"/>
      <protection hidden="1"/>
    </xf>
    <xf numFmtId="0" fontId="9" fillId="6" borderId="442" xfId="0" applyFont="1" applyFill="1" applyBorder="1" applyAlignment="1" applyProtection="1">
      <alignment horizontal="center" vertical="center" wrapText="1"/>
      <protection hidden="1"/>
    </xf>
    <xf numFmtId="0" fontId="9" fillId="16" borderId="8" xfId="0" applyFont="1" applyFill="1" applyBorder="1" applyAlignment="1" applyProtection="1">
      <alignment horizontal="right" vertical="center" shrinkToFit="1"/>
      <protection hidden="1"/>
    </xf>
    <xf numFmtId="176" fontId="9" fillId="16" borderId="8" xfId="0" applyNumberFormat="1" applyFont="1" applyFill="1" applyBorder="1" applyAlignment="1" applyProtection="1">
      <alignment horizontal="right" vertical="center" shrinkToFit="1"/>
      <protection hidden="1"/>
    </xf>
    <xf numFmtId="181" fontId="8" fillId="0" borderId="112" xfId="0" applyNumberFormat="1" applyFont="1" applyFill="1" applyBorder="1" applyAlignment="1" applyProtection="1">
      <alignment horizontal="center" vertical="center" shrinkToFit="1"/>
      <protection hidden="1"/>
    </xf>
    <xf numFmtId="0" fontId="9" fillId="16" borderId="452" xfId="0" applyFont="1" applyFill="1" applyBorder="1" applyAlignment="1" applyProtection="1">
      <alignment horizontal="center" vertical="center" shrinkToFit="1"/>
      <protection hidden="1"/>
    </xf>
    <xf numFmtId="0" fontId="9" fillId="16" borderId="451" xfId="0" applyFont="1" applyFill="1" applyBorder="1" applyAlignment="1" applyProtection="1">
      <alignment horizontal="center" vertical="center" shrinkToFit="1"/>
      <protection hidden="1"/>
    </xf>
    <xf numFmtId="0" fontId="9" fillId="25" borderId="8" xfId="0" applyFont="1" applyFill="1" applyBorder="1" applyAlignment="1" applyProtection="1">
      <alignment horizontal="center" vertical="center" shrinkToFit="1"/>
      <protection locked="0"/>
    </xf>
    <xf numFmtId="0" fontId="9" fillId="16" borderId="8" xfId="0" quotePrefix="1" applyFont="1" applyFill="1" applyBorder="1" applyAlignment="1" applyProtection="1">
      <alignment horizontal="center" vertical="center" shrinkToFit="1"/>
      <protection hidden="1"/>
    </xf>
    <xf numFmtId="0" fontId="9" fillId="16" borderId="8" xfId="0" applyFont="1" applyFill="1" applyBorder="1" applyAlignment="1" applyProtection="1">
      <alignment horizontal="center" vertical="center" shrinkToFit="1"/>
      <protection hidden="1"/>
    </xf>
    <xf numFmtId="176" fontId="9" fillId="16" borderId="442" xfId="0" applyNumberFormat="1" applyFont="1" applyFill="1" applyBorder="1" applyAlignment="1" applyProtection="1">
      <alignment horizontal="right" vertical="center" shrinkToFit="1"/>
      <protection hidden="1"/>
    </xf>
    <xf numFmtId="0" fontId="9" fillId="3" borderId="161" xfId="0" applyFont="1" applyFill="1" applyBorder="1" applyAlignment="1" applyProtection="1">
      <alignment horizontal="center" vertical="center" shrinkToFit="1"/>
      <protection hidden="1"/>
    </xf>
    <xf numFmtId="0" fontId="9" fillId="3" borderId="0" xfId="0" applyFont="1" applyFill="1" applyBorder="1" applyAlignment="1" applyProtection="1">
      <alignment horizontal="center" vertical="center" shrinkToFit="1"/>
      <protection hidden="1"/>
    </xf>
    <xf numFmtId="0" fontId="9" fillId="3" borderId="167" xfId="0" applyFont="1" applyFill="1" applyBorder="1" applyAlignment="1" applyProtection="1">
      <alignment horizontal="center" vertical="center" shrinkToFit="1"/>
      <protection hidden="1"/>
    </xf>
    <xf numFmtId="0" fontId="8" fillId="0" borderId="113" xfId="0" applyFont="1" applyFill="1" applyBorder="1" applyAlignment="1" applyProtection="1">
      <alignment horizontal="center" shrinkToFit="1"/>
      <protection hidden="1"/>
    </xf>
    <xf numFmtId="0" fontId="8" fillId="0" borderId="117" xfId="0" applyFont="1" applyFill="1" applyBorder="1" applyAlignment="1" applyProtection="1">
      <alignment horizontal="center" shrinkToFit="1"/>
      <protection hidden="1"/>
    </xf>
    <xf numFmtId="0" fontId="8" fillId="0" borderId="114" xfId="0" applyFont="1" applyFill="1" applyBorder="1" applyAlignment="1" applyProtection="1">
      <alignment horizontal="center" shrinkToFit="1"/>
      <protection hidden="1"/>
    </xf>
    <xf numFmtId="0" fontId="8" fillId="0" borderId="116" xfId="0" applyFont="1" applyFill="1" applyBorder="1" applyAlignment="1" applyProtection="1">
      <alignment horizontal="center" shrinkToFit="1"/>
      <protection hidden="1"/>
    </xf>
    <xf numFmtId="0" fontId="8" fillId="0" borderId="0" xfId="0" applyFont="1" applyFill="1" applyBorder="1" applyAlignment="1" applyProtection="1">
      <alignment horizontal="center" shrinkToFit="1"/>
      <protection hidden="1"/>
    </xf>
    <xf numFmtId="0" fontId="9" fillId="3" borderId="161" xfId="0" applyFont="1" applyFill="1" applyBorder="1" applyAlignment="1" applyProtection="1">
      <alignment horizontal="center" vertical="center" wrapText="1" shrinkToFit="1"/>
      <protection hidden="1"/>
    </xf>
    <xf numFmtId="0" fontId="9" fillId="3" borderId="167" xfId="0" applyFont="1" applyFill="1" applyBorder="1" applyAlignment="1" applyProtection="1">
      <alignment horizontal="center" vertical="center" wrapText="1" shrinkToFit="1"/>
      <protection hidden="1"/>
    </xf>
    <xf numFmtId="0" fontId="9" fillId="3" borderId="460" xfId="0" applyFont="1" applyFill="1" applyBorder="1" applyAlignment="1" applyProtection="1">
      <alignment horizontal="center" vertical="center" shrinkToFit="1"/>
      <protection hidden="1"/>
    </xf>
    <xf numFmtId="0" fontId="9" fillId="3" borderId="466" xfId="0" applyFont="1" applyFill="1" applyBorder="1" applyAlignment="1" applyProtection="1">
      <alignment horizontal="center" vertical="center" shrinkToFit="1"/>
      <protection hidden="1"/>
    </xf>
    <xf numFmtId="14" fontId="9" fillId="3" borderId="465" xfId="0" quotePrefix="1" applyNumberFormat="1" applyFont="1" applyFill="1" applyBorder="1" applyAlignment="1" applyProtection="1">
      <alignment horizontal="center" vertical="center" shrinkToFit="1"/>
      <protection hidden="1"/>
    </xf>
    <xf numFmtId="0" fontId="9" fillId="3" borderId="281" xfId="0" applyNumberFormat="1" applyFont="1" applyFill="1" applyBorder="1" applyAlignment="1" applyProtection="1">
      <alignment horizontal="center" vertical="center" shrinkToFit="1"/>
      <protection hidden="1"/>
    </xf>
    <xf numFmtId="0" fontId="9" fillId="3" borderId="463" xfId="0" applyNumberFormat="1" applyFont="1" applyFill="1" applyBorder="1" applyAlignment="1" applyProtection="1">
      <alignment horizontal="center" vertical="center" shrinkToFit="1"/>
      <protection hidden="1"/>
    </xf>
    <xf numFmtId="0" fontId="9" fillId="3" borderId="464" xfId="0" quotePrefix="1" applyNumberFormat="1" applyFont="1" applyFill="1" applyBorder="1" applyAlignment="1" applyProtection="1">
      <alignment horizontal="center" vertical="center" shrinkToFit="1"/>
      <protection hidden="1"/>
    </xf>
    <xf numFmtId="0" fontId="9" fillId="3" borderId="280" xfId="0" applyNumberFormat="1" applyFont="1" applyFill="1" applyBorder="1" applyAlignment="1" applyProtection="1">
      <alignment horizontal="center" vertical="center" shrinkToFit="1"/>
      <protection hidden="1"/>
    </xf>
    <xf numFmtId="0" fontId="9" fillId="3" borderId="465" xfId="0" quotePrefix="1" applyNumberFormat="1" applyFont="1" applyFill="1" applyBorder="1" applyAlignment="1" applyProtection="1">
      <alignment horizontal="center" vertical="center" shrinkToFit="1"/>
      <protection hidden="1"/>
    </xf>
    <xf numFmtId="0" fontId="9" fillId="16" borderId="238" xfId="0" applyFont="1" applyFill="1" applyBorder="1" applyAlignment="1" applyProtection="1">
      <alignment horizontal="center" vertical="center" shrinkToFit="1"/>
      <protection hidden="1"/>
    </xf>
    <xf numFmtId="181" fontId="9" fillId="16" borderId="218" xfId="0" applyNumberFormat="1" applyFont="1" applyFill="1" applyBorder="1" applyAlignment="1" applyProtection="1">
      <alignment horizontal="right" vertical="center" shrinkToFit="1"/>
      <protection hidden="1"/>
    </xf>
    <xf numFmtId="181" fontId="9" fillId="16" borderId="217" xfId="0" applyNumberFormat="1" applyFont="1" applyFill="1" applyBorder="1" applyAlignment="1" applyProtection="1">
      <alignment horizontal="right" vertical="center" shrinkToFit="1"/>
      <protection hidden="1"/>
    </xf>
    <xf numFmtId="181" fontId="9" fillId="16" borderId="216" xfId="0" applyNumberFormat="1" applyFont="1" applyFill="1" applyBorder="1" applyAlignment="1" applyProtection="1">
      <alignment horizontal="right" vertical="center" shrinkToFit="1"/>
      <protection hidden="1"/>
    </xf>
    <xf numFmtId="182" fontId="9" fillId="16" borderId="218" xfId="0" applyNumberFormat="1" applyFont="1" applyFill="1" applyBorder="1" applyAlignment="1" applyProtection="1">
      <alignment horizontal="right" vertical="center" shrinkToFit="1"/>
      <protection hidden="1"/>
    </xf>
    <xf numFmtId="182" fontId="9" fillId="16" borderId="217" xfId="0" applyNumberFormat="1" applyFont="1" applyFill="1" applyBorder="1" applyAlignment="1" applyProtection="1">
      <alignment horizontal="right" vertical="center" shrinkToFit="1"/>
      <protection hidden="1"/>
    </xf>
    <xf numFmtId="182" fontId="9" fillId="16" borderId="216" xfId="0" applyNumberFormat="1" applyFont="1" applyFill="1" applyBorder="1" applyAlignment="1" applyProtection="1">
      <alignment horizontal="right" vertical="center" shrinkToFit="1"/>
      <protection hidden="1"/>
    </xf>
    <xf numFmtId="0" fontId="9" fillId="3" borderId="464" xfId="0" quotePrefix="1" applyFont="1" applyFill="1" applyBorder="1" applyAlignment="1" applyProtection="1">
      <alignment horizontal="center" vertical="center" shrinkToFit="1"/>
      <protection hidden="1"/>
    </xf>
    <xf numFmtId="0" fontId="9" fillId="3" borderId="281" xfId="0" applyFont="1" applyFill="1" applyBorder="1" applyAlignment="1" applyProtection="1">
      <alignment horizontal="center" vertical="center" shrinkToFit="1"/>
      <protection hidden="1"/>
    </xf>
    <xf numFmtId="0" fontId="9" fillId="3" borderId="463" xfId="0" applyFont="1" applyFill="1" applyBorder="1" applyAlignment="1" applyProtection="1">
      <alignment horizontal="center" vertical="center" shrinkToFit="1"/>
      <protection hidden="1"/>
    </xf>
    <xf numFmtId="0" fontId="9" fillId="16" borderId="454" xfId="0" applyFont="1" applyFill="1" applyBorder="1" applyAlignment="1" applyProtection="1">
      <alignment horizontal="center" vertical="center"/>
      <protection hidden="1"/>
    </xf>
    <xf numFmtId="0" fontId="9" fillId="16" borderId="451" xfId="0" applyFont="1" applyFill="1" applyBorder="1" applyAlignment="1" applyProtection="1">
      <alignment horizontal="center" vertical="center"/>
      <protection hidden="1"/>
    </xf>
    <xf numFmtId="0" fontId="9" fillId="16" borderId="453" xfId="0" applyFont="1" applyFill="1" applyBorder="1" applyAlignment="1" applyProtection="1">
      <alignment horizontal="center" vertical="center"/>
      <protection hidden="1"/>
    </xf>
    <xf numFmtId="0" fontId="9" fillId="3" borderId="459" xfId="0" quotePrefix="1" applyFont="1" applyFill="1" applyBorder="1" applyAlignment="1" applyProtection="1">
      <alignment horizontal="center" vertical="center" shrinkToFit="1"/>
      <protection hidden="1"/>
    </xf>
    <xf numFmtId="0" fontId="9" fillId="3" borderId="458" xfId="0" applyFont="1" applyFill="1" applyBorder="1" applyAlignment="1" applyProtection="1">
      <alignment horizontal="center" vertical="center" shrinkToFit="1"/>
      <protection hidden="1"/>
    </xf>
    <xf numFmtId="0" fontId="9" fillId="6" borderId="480" xfId="0" applyFont="1" applyFill="1" applyBorder="1" applyAlignment="1" applyProtection="1">
      <alignment horizontal="center" vertical="center" shrinkToFit="1"/>
      <protection hidden="1"/>
    </xf>
    <xf numFmtId="0" fontId="9" fillId="16" borderId="349" xfId="0" applyFont="1" applyFill="1" applyBorder="1" applyAlignment="1" applyProtection="1">
      <alignment horizontal="center" vertical="center" shrinkToFit="1"/>
      <protection hidden="1"/>
    </xf>
    <xf numFmtId="0" fontId="9" fillId="16" borderId="415" xfId="0" applyFont="1" applyFill="1" applyBorder="1" applyAlignment="1" applyProtection="1">
      <alignment horizontal="center" vertical="center" shrinkToFit="1"/>
      <protection hidden="1"/>
    </xf>
    <xf numFmtId="0" fontId="9" fillId="16" borderId="356" xfId="0" applyFont="1" applyFill="1" applyBorder="1" applyAlignment="1" applyProtection="1">
      <alignment horizontal="center" vertical="center" shrinkToFit="1"/>
      <protection hidden="1"/>
    </xf>
    <xf numFmtId="0" fontId="9" fillId="6" borderId="487" xfId="0" applyFont="1" applyFill="1" applyBorder="1" applyAlignment="1" applyProtection="1">
      <alignment horizontal="center" vertical="center" shrinkToFit="1"/>
      <protection hidden="1"/>
    </xf>
    <xf numFmtId="0" fontId="9" fillId="16" borderId="349" xfId="0" applyFont="1" applyFill="1" applyBorder="1" applyAlignment="1" applyProtection="1">
      <alignment horizontal="left" vertical="center" shrinkToFit="1"/>
      <protection hidden="1"/>
    </xf>
    <xf numFmtId="0" fontId="9" fillId="16" borderId="415" xfId="0" applyFont="1" applyFill="1" applyBorder="1" applyAlignment="1" applyProtection="1">
      <alignment horizontal="left" vertical="center" shrinkToFit="1"/>
      <protection hidden="1"/>
    </xf>
    <xf numFmtId="0" fontId="9" fillId="16" borderId="356" xfId="0" applyFont="1" applyFill="1" applyBorder="1" applyAlignment="1" applyProtection="1">
      <alignment horizontal="left" vertical="center" shrinkToFit="1"/>
      <protection hidden="1"/>
    </xf>
    <xf numFmtId="0" fontId="9" fillId="3" borderId="298" xfId="0" applyFont="1" applyFill="1" applyBorder="1" applyAlignment="1" applyProtection="1">
      <alignment horizontal="center" vertical="center" textRotation="90" shrinkToFit="1"/>
      <protection hidden="1"/>
    </xf>
    <xf numFmtId="0" fontId="9" fillId="3" borderId="479" xfId="0" applyFont="1" applyFill="1" applyBorder="1" applyAlignment="1" applyProtection="1">
      <alignment horizontal="center" vertical="center" textRotation="90" shrinkToFit="1"/>
      <protection hidden="1"/>
    </xf>
    <xf numFmtId="0" fontId="9" fillId="3" borderId="364" xfId="0" applyFont="1" applyFill="1" applyBorder="1" applyAlignment="1" applyProtection="1">
      <alignment horizontal="center" vertical="center" textRotation="90" shrinkToFit="1"/>
      <protection hidden="1"/>
    </xf>
    <xf numFmtId="0" fontId="9" fillId="3" borderId="486" xfId="0" applyFont="1" applyFill="1" applyBorder="1" applyAlignment="1" applyProtection="1">
      <alignment horizontal="center" vertical="center" textRotation="90" shrinkToFit="1"/>
      <protection hidden="1"/>
    </xf>
    <xf numFmtId="0" fontId="9" fillId="3" borderId="478" xfId="0" applyFont="1" applyFill="1" applyBorder="1" applyAlignment="1" applyProtection="1">
      <alignment horizontal="center" vertical="center" textRotation="90" shrinkToFit="1"/>
      <protection hidden="1"/>
    </xf>
    <xf numFmtId="0" fontId="9" fillId="3" borderId="467" xfId="0" applyFont="1" applyFill="1" applyBorder="1" applyAlignment="1" applyProtection="1">
      <alignment horizontal="center" vertical="center" textRotation="90" shrinkToFit="1"/>
      <protection hidden="1"/>
    </xf>
    <xf numFmtId="0" fontId="9" fillId="3" borderId="297" xfId="0" applyFont="1" applyFill="1" applyBorder="1" applyAlignment="1" applyProtection="1">
      <alignment horizontal="center" vertical="center" textRotation="90" shrinkToFit="1"/>
      <protection hidden="1"/>
    </xf>
    <xf numFmtId="0" fontId="9" fillId="3" borderId="477" xfId="0" applyFont="1" applyFill="1" applyBorder="1" applyAlignment="1" applyProtection="1">
      <alignment horizontal="center" vertical="center" textRotation="90" shrinkToFit="1"/>
      <protection hidden="1"/>
    </xf>
    <xf numFmtId="0" fontId="9" fillId="3" borderId="365" xfId="0" applyFont="1" applyFill="1" applyBorder="1" applyAlignment="1" applyProtection="1">
      <alignment horizontal="center" vertical="center" textRotation="90" shrinkToFit="1"/>
      <protection hidden="1"/>
    </xf>
    <xf numFmtId="0" fontId="9" fillId="3" borderId="44" xfId="0" applyFont="1" applyFill="1" applyBorder="1" applyAlignment="1" applyProtection="1">
      <alignment horizontal="center" vertical="center" wrapText="1" shrinkToFit="1"/>
      <protection hidden="1"/>
    </xf>
    <xf numFmtId="0" fontId="9" fillId="3" borderId="45" xfId="0" applyFont="1" applyFill="1" applyBorder="1" applyAlignment="1" applyProtection="1">
      <alignment horizontal="center" vertical="center" wrapText="1" shrinkToFit="1"/>
      <protection hidden="1"/>
    </xf>
    <xf numFmtId="0" fontId="9" fillId="3" borderId="125" xfId="0" applyFont="1" applyFill="1" applyBorder="1" applyAlignment="1" applyProtection="1">
      <alignment horizontal="center" vertical="center" wrapText="1" shrinkToFit="1"/>
      <protection hidden="1"/>
    </xf>
    <xf numFmtId="0" fontId="9" fillId="3" borderId="476" xfId="0" applyFont="1" applyFill="1" applyBorder="1" applyAlignment="1" applyProtection="1">
      <alignment horizontal="center" vertical="center" shrinkToFit="1"/>
      <protection hidden="1"/>
    </xf>
    <xf numFmtId="0" fontId="9" fillId="3" borderId="475" xfId="0" applyFont="1" applyFill="1" applyBorder="1" applyAlignment="1" applyProtection="1">
      <alignment horizontal="center" vertical="center" shrinkToFit="1"/>
      <protection hidden="1"/>
    </xf>
    <xf numFmtId="0" fontId="9" fillId="3" borderId="468" xfId="0" applyFont="1" applyFill="1" applyBorder="1" applyAlignment="1" applyProtection="1">
      <alignment horizontal="center" vertical="center" shrinkToFit="1"/>
      <protection hidden="1"/>
    </xf>
    <xf numFmtId="0" fontId="9" fillId="3" borderId="474" xfId="0" applyFont="1" applyFill="1" applyBorder="1" applyAlignment="1" applyProtection="1">
      <alignment horizontal="center" vertical="center" shrinkToFit="1"/>
      <protection hidden="1"/>
    </xf>
    <xf numFmtId="0" fontId="9" fillId="3" borderId="473" xfId="0" applyFont="1" applyFill="1" applyBorder="1" applyAlignment="1" applyProtection="1">
      <alignment horizontal="center" vertical="center" shrinkToFit="1"/>
      <protection hidden="1"/>
    </xf>
    <xf numFmtId="0" fontId="9" fillId="3" borderId="472" xfId="0" applyFont="1" applyFill="1" applyBorder="1" applyAlignment="1" applyProtection="1">
      <alignment horizontal="center" vertical="center" shrinkToFit="1"/>
      <protection hidden="1"/>
    </xf>
    <xf numFmtId="0" fontId="9" fillId="3" borderId="471" xfId="0" applyFont="1" applyFill="1" applyBorder="1" applyAlignment="1" applyProtection="1">
      <alignment horizontal="center" vertical="center" shrinkToFit="1"/>
      <protection hidden="1"/>
    </xf>
    <xf numFmtId="0" fontId="9" fillId="6" borderId="341" xfId="0" applyFont="1" applyFill="1" applyBorder="1" applyAlignment="1" applyProtection="1">
      <alignment horizontal="center" vertical="center" shrinkToFit="1"/>
      <protection hidden="1"/>
    </xf>
    <xf numFmtId="181" fontId="9" fillId="16" borderId="489" xfId="0" applyNumberFormat="1" applyFont="1" applyFill="1" applyBorder="1" applyAlignment="1" applyProtection="1">
      <alignment horizontal="right" vertical="center" shrinkToFit="1"/>
      <protection hidden="1"/>
    </xf>
    <xf numFmtId="0" fontId="9" fillId="3" borderId="489" xfId="0" applyFont="1" applyFill="1" applyBorder="1" applyAlignment="1" applyProtection="1">
      <alignment horizontal="center" vertical="center" shrinkToFit="1"/>
      <protection hidden="1"/>
    </xf>
    <xf numFmtId="0" fontId="9" fillId="16" borderId="489" xfId="0" applyFont="1" applyFill="1" applyBorder="1" applyAlignment="1" applyProtection="1">
      <alignment horizontal="right" vertical="center" shrinkToFit="1"/>
      <protection hidden="1"/>
    </xf>
    <xf numFmtId="176" fontId="9" fillId="16" borderId="489" xfId="0" applyNumberFormat="1" applyFont="1" applyFill="1" applyBorder="1" applyAlignment="1" applyProtection="1">
      <alignment horizontal="right" vertical="center" shrinkToFit="1"/>
      <protection hidden="1"/>
    </xf>
    <xf numFmtId="181" fontId="9" fillId="16" borderId="488" xfId="0" applyNumberFormat="1" applyFont="1" applyFill="1" applyBorder="1" applyAlignment="1" applyProtection="1">
      <alignment horizontal="right" vertical="center" shrinkToFit="1"/>
      <protection hidden="1"/>
    </xf>
    <xf numFmtId="0" fontId="9" fillId="6" borderId="489" xfId="0" applyFont="1" applyFill="1" applyBorder="1" applyAlignment="1" applyProtection="1">
      <alignment horizontal="center" vertical="center" wrapText="1"/>
      <protection hidden="1"/>
    </xf>
    <xf numFmtId="0" fontId="9" fillId="25" borderId="131" xfId="0" applyFont="1" applyFill="1" applyBorder="1" applyAlignment="1" applyProtection="1">
      <alignment horizontal="center" vertical="center" shrinkToFit="1"/>
      <protection locked="0"/>
    </xf>
    <xf numFmtId="181" fontId="8" fillId="0" borderId="2" xfId="0" applyNumberFormat="1" applyFont="1" applyFill="1" applyBorder="1" applyAlignment="1" applyProtection="1">
      <alignment horizontal="center" vertical="center" shrinkToFit="1"/>
      <protection hidden="1"/>
    </xf>
    <xf numFmtId="181" fontId="8" fillId="0" borderId="0" xfId="0" applyNumberFormat="1" applyFont="1" applyFill="1" applyBorder="1" applyAlignment="1" applyProtection="1">
      <alignment horizontal="center" vertical="center" shrinkToFit="1"/>
      <protection hidden="1"/>
    </xf>
    <xf numFmtId="181" fontId="8" fillId="0" borderId="1" xfId="0" applyNumberFormat="1" applyFont="1" applyFill="1" applyBorder="1" applyAlignment="1" applyProtection="1">
      <alignment horizontal="center" vertical="center" shrinkToFit="1"/>
      <protection hidden="1"/>
    </xf>
    <xf numFmtId="0" fontId="9" fillId="6" borderId="493" xfId="0" applyFont="1" applyFill="1" applyBorder="1" applyAlignment="1" applyProtection="1">
      <alignment horizontal="center" vertical="center" shrinkToFit="1"/>
      <protection hidden="1"/>
    </xf>
    <xf numFmtId="0" fontId="9" fillId="3" borderId="490" xfId="0" applyFont="1" applyFill="1" applyBorder="1" applyAlignment="1" applyProtection="1">
      <alignment horizontal="center" vertical="center" shrinkToFit="1"/>
      <protection hidden="1"/>
    </xf>
    <xf numFmtId="0" fontId="9" fillId="16" borderId="495" xfId="0" applyFont="1" applyFill="1" applyBorder="1" applyAlignment="1" applyProtection="1">
      <alignment horizontal="right" vertical="center" shrinkToFit="1"/>
      <protection hidden="1"/>
    </xf>
    <xf numFmtId="0" fontId="9" fillId="6" borderId="495" xfId="0" applyFont="1" applyFill="1" applyBorder="1" applyAlignment="1" applyProtection="1">
      <alignment horizontal="center" vertical="center" wrapText="1"/>
      <protection hidden="1"/>
    </xf>
    <xf numFmtId="0" fontId="9" fillId="6" borderId="492" xfId="0" applyFont="1" applyFill="1" applyBorder="1" applyAlignment="1" applyProtection="1">
      <alignment horizontal="center" vertical="center" shrinkToFit="1"/>
      <protection hidden="1"/>
    </xf>
    <xf numFmtId="176" fontId="9" fillId="16" borderId="495" xfId="0" applyNumberFormat="1" applyFont="1" applyFill="1" applyBorder="1" applyAlignment="1" applyProtection="1">
      <alignment horizontal="right" vertical="center" shrinkToFit="1"/>
      <protection hidden="1"/>
    </xf>
    <xf numFmtId="0" fontId="9" fillId="3" borderId="495" xfId="0" applyFont="1" applyFill="1" applyBorder="1" applyAlignment="1" applyProtection="1">
      <alignment horizontal="center" vertical="center" shrinkToFit="1"/>
      <protection hidden="1"/>
    </xf>
    <xf numFmtId="0" fontId="9" fillId="25" borderId="496" xfId="0" applyFont="1" applyFill="1" applyBorder="1" applyAlignment="1" applyProtection="1">
      <alignment horizontal="center" vertical="center" shrinkToFit="1"/>
      <protection locked="0"/>
    </xf>
    <xf numFmtId="181" fontId="9" fillId="16" borderId="496" xfId="0" applyNumberFormat="1" applyFont="1" applyFill="1" applyBorder="1" applyAlignment="1" applyProtection="1">
      <alignment horizontal="right" vertical="center" shrinkToFit="1"/>
      <protection hidden="1"/>
    </xf>
    <xf numFmtId="0" fontId="9" fillId="3" borderId="497" xfId="0" applyFont="1" applyFill="1" applyBorder="1" applyAlignment="1" applyProtection="1">
      <alignment horizontal="center" vertical="center" shrinkToFit="1"/>
      <protection hidden="1"/>
    </xf>
    <xf numFmtId="0" fontId="9" fillId="6" borderId="501" xfId="0" applyFont="1" applyFill="1" applyBorder="1" applyAlignment="1" applyProtection="1">
      <alignment horizontal="center" vertical="center" shrinkToFit="1"/>
      <protection hidden="1"/>
    </xf>
    <xf numFmtId="0" fontId="9" fillId="6" borderId="499" xfId="0" applyFont="1" applyFill="1" applyBorder="1" applyAlignment="1" applyProtection="1">
      <alignment horizontal="center" vertical="center" shrinkToFit="1"/>
      <protection hidden="1"/>
    </xf>
    <xf numFmtId="0" fontId="9" fillId="3" borderId="236" xfId="0" applyFont="1" applyFill="1" applyBorder="1" applyAlignment="1" applyProtection="1">
      <alignment horizontal="center" vertical="center" shrinkToFit="1"/>
      <protection hidden="1"/>
    </xf>
    <xf numFmtId="181" fontId="9" fillId="16" borderId="236" xfId="0" applyNumberFormat="1" applyFont="1" applyFill="1" applyBorder="1" applyAlignment="1" applyProtection="1">
      <alignment horizontal="right" vertical="center" shrinkToFit="1"/>
      <protection hidden="1"/>
    </xf>
    <xf numFmtId="0" fontId="9" fillId="3" borderId="238" xfId="0" applyFont="1" applyFill="1" applyBorder="1" applyAlignment="1" applyProtection="1">
      <alignment horizontal="center" vertical="center" shrinkToFit="1"/>
      <protection hidden="1"/>
    </xf>
    <xf numFmtId="0" fontId="9" fillId="6" borderId="238" xfId="0" applyFont="1" applyFill="1" applyBorder="1" applyAlignment="1" applyProtection="1">
      <alignment horizontal="center" vertical="center" wrapText="1"/>
      <protection hidden="1"/>
    </xf>
    <xf numFmtId="0" fontId="9" fillId="6" borderId="236" xfId="0" applyFont="1" applyFill="1" applyBorder="1" applyAlignment="1" applyProtection="1">
      <alignment horizontal="center" vertical="center" wrapText="1"/>
      <protection hidden="1"/>
    </xf>
    <xf numFmtId="181" fontId="9" fillId="16" borderId="502" xfId="0" applyNumberFormat="1" applyFont="1" applyFill="1" applyBorder="1" applyAlignment="1" applyProtection="1">
      <alignment horizontal="right" vertical="center" shrinkToFit="1"/>
      <protection hidden="1"/>
    </xf>
    <xf numFmtId="0" fontId="9" fillId="16" borderId="238" xfId="0" applyFont="1" applyFill="1" applyBorder="1" applyAlignment="1" applyProtection="1">
      <alignment horizontal="right" vertical="center" shrinkToFit="1"/>
      <protection hidden="1"/>
    </xf>
    <xf numFmtId="0" fontId="9" fillId="6" borderId="473" xfId="0" applyFont="1" applyFill="1" applyBorder="1" applyAlignment="1" applyProtection="1">
      <alignment horizontal="center" vertical="center" shrinkToFit="1"/>
      <protection hidden="1"/>
    </xf>
    <xf numFmtId="0" fontId="9" fillId="6" borderId="472" xfId="0" applyFont="1" applyFill="1" applyBorder="1" applyAlignment="1" applyProtection="1">
      <alignment horizontal="center" vertical="center" shrinkToFit="1"/>
      <protection hidden="1"/>
    </xf>
    <xf numFmtId="0" fontId="9" fillId="6" borderId="500" xfId="0" applyFont="1" applyFill="1" applyBorder="1" applyAlignment="1" applyProtection="1">
      <alignment horizontal="center" vertical="center" shrinkToFit="1"/>
      <protection hidden="1"/>
    </xf>
    <xf numFmtId="0" fontId="9" fillId="6" borderId="471" xfId="0" applyFont="1" applyFill="1" applyBorder="1" applyAlignment="1" applyProtection="1">
      <alignment horizontal="center" vertical="center" shrinkToFit="1"/>
      <protection hidden="1"/>
    </xf>
    <xf numFmtId="176" fontId="9" fillId="16" borderId="236" xfId="0" applyNumberFormat="1" applyFont="1" applyFill="1" applyBorder="1" applyAlignment="1" applyProtection="1">
      <alignment horizontal="right" vertical="center" shrinkToFit="1"/>
      <protection hidden="1"/>
    </xf>
    <xf numFmtId="181" fontId="9" fillId="16" borderId="237" xfId="0" applyNumberFormat="1" applyFont="1" applyFill="1" applyBorder="1" applyAlignment="1" applyProtection="1">
      <alignment horizontal="right" vertical="center" shrinkToFit="1"/>
      <protection hidden="1"/>
    </xf>
    <xf numFmtId="0" fontId="9" fillId="25" borderId="238" xfId="0" applyFont="1" applyFill="1" applyBorder="1" applyAlignment="1" applyProtection="1">
      <alignment horizontal="center" vertical="center" shrinkToFit="1"/>
      <protection locked="0"/>
    </xf>
    <xf numFmtId="0" fontId="9" fillId="16" borderId="238" xfId="0" quotePrefix="1" applyFont="1" applyFill="1" applyBorder="1" applyAlignment="1" applyProtection="1">
      <alignment horizontal="center" vertical="center" shrinkToFit="1"/>
      <protection hidden="1"/>
    </xf>
    <xf numFmtId="0" fontId="9" fillId="25" borderId="502" xfId="0" applyFont="1" applyFill="1" applyBorder="1" applyAlignment="1" applyProtection="1">
      <alignment horizontal="center" vertical="center" shrinkToFit="1"/>
      <protection locked="0"/>
    </xf>
    <xf numFmtId="0" fontId="9" fillId="25" borderId="504" xfId="0" applyFont="1" applyFill="1" applyBorder="1" applyAlignment="1" applyProtection="1">
      <alignment horizontal="center" vertical="center" shrinkToFit="1"/>
      <protection locked="0"/>
    </xf>
    <xf numFmtId="0" fontId="9" fillId="3" borderId="505" xfId="0" applyFont="1" applyFill="1" applyBorder="1" applyAlignment="1" applyProtection="1">
      <alignment horizontal="center" vertical="center" shrinkToFit="1"/>
      <protection hidden="1"/>
    </xf>
    <xf numFmtId="0" fontId="9" fillId="3" borderId="444" xfId="0" applyFont="1" applyFill="1" applyBorder="1" applyAlignment="1" applyProtection="1">
      <alignment horizontal="center" vertical="center" shrinkToFit="1"/>
      <protection hidden="1"/>
    </xf>
    <xf numFmtId="176" fontId="9" fillId="16" borderId="444" xfId="0" applyNumberFormat="1" applyFont="1" applyFill="1" applyBorder="1" applyAlignment="1" applyProtection="1">
      <alignment horizontal="right" vertical="center" shrinkToFit="1"/>
      <protection hidden="1"/>
    </xf>
    <xf numFmtId="0" fontId="9" fillId="6" borderId="444" xfId="0" applyFont="1" applyFill="1" applyBorder="1" applyAlignment="1" applyProtection="1">
      <alignment horizontal="center" vertical="center" wrapText="1"/>
      <protection hidden="1"/>
    </xf>
    <xf numFmtId="0" fontId="9" fillId="3" borderId="507" xfId="0" applyFont="1" applyFill="1" applyBorder="1" applyAlignment="1" applyProtection="1">
      <alignment horizontal="center" vertical="center" shrinkToFit="1"/>
      <protection hidden="1"/>
    </xf>
    <xf numFmtId="0" fontId="9" fillId="3" borderId="98" xfId="0" applyFont="1" applyFill="1" applyBorder="1" applyAlignment="1" applyProtection="1">
      <alignment horizontal="center" vertical="center" shrinkToFit="1"/>
      <protection hidden="1"/>
    </xf>
    <xf numFmtId="0" fontId="9" fillId="3" borderId="359" xfId="0" applyFont="1" applyFill="1" applyBorder="1" applyAlignment="1" applyProtection="1">
      <alignment horizontal="center" vertical="center" shrinkToFit="1"/>
      <protection hidden="1"/>
    </xf>
    <xf numFmtId="0" fontId="9" fillId="3" borderId="508" xfId="0" applyFont="1" applyFill="1" applyBorder="1" applyAlignment="1" applyProtection="1">
      <alignment horizontal="center" vertical="center" shrinkToFit="1"/>
      <protection hidden="1"/>
    </xf>
    <xf numFmtId="181" fontId="9" fillId="16" borderId="278" xfId="0" applyNumberFormat="1" applyFont="1" applyFill="1" applyBorder="1" applyAlignment="1" applyProtection="1">
      <alignment horizontal="right" vertical="center" shrinkToFit="1"/>
      <protection hidden="1"/>
    </xf>
    <xf numFmtId="0" fontId="9" fillId="3" borderId="278" xfId="0" applyFont="1" applyFill="1" applyBorder="1" applyAlignment="1" applyProtection="1">
      <alignment horizontal="center" vertical="center" shrinkToFit="1"/>
      <protection hidden="1"/>
    </xf>
    <xf numFmtId="0" fontId="9" fillId="16" borderId="278" xfId="0" applyFont="1" applyFill="1" applyBorder="1" applyAlignment="1" applyProtection="1">
      <alignment horizontal="right" vertical="center" shrinkToFit="1"/>
      <protection hidden="1"/>
    </xf>
    <xf numFmtId="176" fontId="9" fillId="16" borderId="278" xfId="0" applyNumberFormat="1" applyFont="1" applyFill="1" applyBorder="1" applyAlignment="1" applyProtection="1">
      <alignment horizontal="right" vertical="center" shrinkToFit="1"/>
      <protection hidden="1"/>
    </xf>
    <xf numFmtId="181" fontId="9" fillId="16" borderId="277" xfId="0" applyNumberFormat="1" applyFont="1" applyFill="1" applyBorder="1" applyAlignment="1" applyProtection="1">
      <alignment horizontal="right" vertical="center" shrinkToFit="1"/>
      <protection hidden="1"/>
    </xf>
    <xf numFmtId="181" fontId="8" fillId="0" borderId="0" xfId="0" applyNumberFormat="1" applyFont="1" applyFill="1" applyBorder="1" applyAlignment="1" applyProtection="1">
      <alignment horizontal="right" vertical="center" shrinkToFit="1"/>
      <protection hidden="1"/>
    </xf>
    <xf numFmtId="0" fontId="9" fillId="6" borderId="235" xfId="0" applyFont="1" applyFill="1" applyBorder="1" applyAlignment="1" applyProtection="1">
      <alignment horizontal="center" vertical="center" shrinkToFit="1"/>
      <protection hidden="1"/>
    </xf>
    <xf numFmtId="0" fontId="9" fillId="6" borderId="234" xfId="0" applyFont="1" applyFill="1" applyBorder="1" applyAlignment="1" applyProtection="1">
      <alignment horizontal="center" vertical="center" shrinkToFit="1"/>
      <protection hidden="1"/>
    </xf>
    <xf numFmtId="0" fontId="9" fillId="3" borderId="235" xfId="0" applyFont="1" applyFill="1" applyBorder="1" applyAlignment="1" applyProtection="1">
      <alignment horizontal="center" vertical="center" shrinkToFit="1"/>
      <protection hidden="1"/>
    </xf>
    <xf numFmtId="0" fontId="9" fillId="3" borderId="234" xfId="0" applyFont="1" applyFill="1" applyBorder="1" applyAlignment="1" applyProtection="1">
      <alignment horizontal="center" vertical="center" shrinkToFit="1"/>
      <protection hidden="1"/>
    </xf>
    <xf numFmtId="0" fontId="9" fillId="6" borderId="448" xfId="0" applyFont="1" applyFill="1" applyBorder="1" applyAlignment="1" applyProtection="1">
      <alignment horizontal="center" vertical="center" shrinkToFit="1"/>
      <protection hidden="1"/>
    </xf>
    <xf numFmtId="0" fontId="9" fillId="6" borderId="509" xfId="0" applyFont="1" applyFill="1" applyBorder="1" applyAlignment="1" applyProtection="1">
      <alignment horizontal="center" vertical="center" wrapText="1"/>
      <protection hidden="1"/>
    </xf>
    <xf numFmtId="0" fontId="9" fillId="25" borderId="451" xfId="0" applyFont="1" applyFill="1" applyBorder="1" applyAlignment="1" applyProtection="1">
      <alignment horizontal="center" vertical="center" shrinkToFit="1"/>
      <protection locked="0"/>
    </xf>
    <xf numFmtId="0" fontId="9" fillId="25" borderId="510" xfId="0" applyFont="1" applyFill="1" applyBorder="1" applyAlignment="1" applyProtection="1">
      <alignment horizontal="center" vertical="center" shrinkToFit="1"/>
      <protection locked="0"/>
    </xf>
    <xf numFmtId="0" fontId="9" fillId="16" borderId="454" xfId="0" applyFont="1" applyFill="1" applyBorder="1" applyAlignment="1" applyProtection="1">
      <alignment horizontal="center" vertical="center" shrinkToFit="1"/>
      <protection hidden="1"/>
    </xf>
    <xf numFmtId="0" fontId="9" fillId="25" borderId="453" xfId="0" applyFont="1" applyFill="1" applyBorder="1" applyAlignment="1" applyProtection="1">
      <alignment horizontal="center" vertical="center" shrinkToFit="1"/>
      <protection locked="0"/>
    </xf>
    <xf numFmtId="0" fontId="9" fillId="25" borderId="448" xfId="0" applyFont="1" applyFill="1" applyBorder="1" applyAlignment="1" applyProtection="1">
      <alignment horizontal="center" vertical="center" shrinkToFit="1"/>
      <protection locked="0"/>
    </xf>
    <xf numFmtId="0" fontId="9" fillId="16" borderId="454" xfId="0" quotePrefix="1" applyFont="1" applyFill="1" applyBorder="1" applyAlignment="1" applyProtection="1">
      <alignment horizontal="center" vertical="center" shrinkToFit="1"/>
      <protection hidden="1"/>
    </xf>
    <xf numFmtId="0" fontId="9" fillId="16" borderId="444" xfId="0" applyFont="1" applyFill="1" applyBorder="1" applyAlignment="1" applyProtection="1">
      <alignment horizontal="center" vertical="center" shrinkToFit="1"/>
      <protection hidden="1"/>
    </xf>
    <xf numFmtId="0" fontId="9" fillId="3" borderId="513" xfId="0" applyFont="1" applyFill="1" applyBorder="1" applyAlignment="1" applyProtection="1">
      <alignment horizontal="center" vertical="center" shrinkToFit="1"/>
      <protection hidden="1"/>
    </xf>
    <xf numFmtId="0" fontId="9" fillId="3" borderId="512" xfId="0" applyFont="1" applyFill="1" applyBorder="1" applyAlignment="1" applyProtection="1">
      <alignment horizontal="center" vertical="center" shrinkToFit="1"/>
      <protection hidden="1"/>
    </xf>
    <xf numFmtId="0" fontId="9" fillId="3" borderId="512" xfId="0" applyFont="1" applyFill="1" applyBorder="1" applyAlignment="1" applyProtection="1">
      <alignment horizontal="left" vertical="center" shrinkToFit="1"/>
      <protection hidden="1"/>
    </xf>
    <xf numFmtId="0" fontId="9" fillId="3" borderId="511" xfId="0" applyFont="1" applyFill="1" applyBorder="1" applyAlignment="1" applyProtection="1">
      <alignment horizontal="left" vertical="center" shrinkToFit="1"/>
      <protection hidden="1"/>
    </xf>
    <xf numFmtId="0" fontId="9" fillId="3" borderId="514" xfId="0" applyFont="1" applyFill="1" applyBorder="1" applyAlignment="1" applyProtection="1">
      <alignment horizontal="center" vertical="center" shrinkToFit="1"/>
      <protection hidden="1"/>
    </xf>
    <xf numFmtId="0" fontId="9" fillId="16" borderId="514" xfId="0" applyFont="1" applyFill="1" applyBorder="1" applyAlignment="1" applyProtection="1">
      <alignment horizontal="left" vertical="center" shrinkToFit="1"/>
      <protection hidden="1"/>
    </xf>
    <xf numFmtId="0" fontId="2" fillId="24" borderId="2" xfId="0" applyFont="1" applyFill="1" applyBorder="1" applyAlignment="1" applyProtection="1">
      <alignment horizontal="center" vertical="center"/>
      <protection hidden="1"/>
    </xf>
    <xf numFmtId="0" fontId="9" fillId="6" borderId="155" xfId="0" applyFont="1" applyFill="1" applyBorder="1" applyAlignment="1" applyProtection="1">
      <alignment horizontal="right" vertical="center" shrinkToFit="1"/>
      <protection hidden="1"/>
    </xf>
    <xf numFmtId="0" fontId="9" fillId="6" borderId="160" xfId="0" applyFont="1" applyFill="1" applyBorder="1" applyAlignment="1" applyProtection="1">
      <alignment horizontal="right" vertical="center" shrinkToFit="1"/>
      <protection hidden="1"/>
    </xf>
    <xf numFmtId="0" fontId="9" fillId="6" borderId="111" xfId="0" applyFont="1" applyFill="1" applyBorder="1" applyAlignment="1" applyProtection="1">
      <alignment horizontal="right" vertical="center" shrinkToFit="1"/>
      <protection hidden="1"/>
    </xf>
    <xf numFmtId="0" fontId="9" fillId="6" borderId="114" xfId="0" applyFont="1" applyFill="1" applyBorder="1" applyAlignment="1" applyProtection="1">
      <alignment horizontal="right" vertical="center" shrinkToFit="1"/>
      <protection hidden="1"/>
    </xf>
    <xf numFmtId="0" fontId="9" fillId="6" borderId="112" xfId="0" applyFont="1" applyFill="1" applyBorder="1" applyAlignment="1" applyProtection="1">
      <alignment horizontal="right" vertical="center" shrinkToFit="1"/>
      <protection hidden="1"/>
    </xf>
    <xf numFmtId="0" fontId="8" fillId="15" borderId="157" xfId="0" applyFont="1" applyFill="1" applyBorder="1" applyAlignment="1" applyProtection="1">
      <alignment horizontal="center" vertical="center"/>
      <protection hidden="1"/>
    </xf>
    <xf numFmtId="0" fontId="9" fillId="19" borderId="170" xfId="0" applyFont="1" applyFill="1" applyBorder="1" applyAlignment="1" applyProtection="1">
      <alignment horizontal="center" vertical="center" shrinkToFit="1"/>
      <protection locked="0"/>
    </xf>
    <xf numFmtId="0" fontId="9" fillId="19" borderId="169" xfId="0" applyFont="1" applyFill="1" applyBorder="1" applyAlignment="1" applyProtection="1">
      <alignment horizontal="center" vertical="center" shrinkToFit="1"/>
      <protection locked="0"/>
    </xf>
    <xf numFmtId="182" fontId="29" fillId="10" borderId="165" xfId="0" applyNumberFormat="1" applyFont="1" applyFill="1" applyBorder="1" applyAlignment="1" applyProtection="1">
      <alignment horizontal="center" vertical="center" shrinkToFit="1"/>
      <protection locked="0"/>
    </xf>
    <xf numFmtId="182" fontId="29" fillId="10" borderId="164" xfId="0" applyNumberFormat="1" applyFont="1" applyFill="1" applyBorder="1" applyAlignment="1" applyProtection="1">
      <alignment horizontal="center" vertical="center" shrinkToFit="1"/>
      <protection locked="0"/>
    </xf>
    <xf numFmtId="0" fontId="33" fillId="9" borderId="155" xfId="0" applyFont="1" applyFill="1" applyBorder="1" applyAlignment="1" applyProtection="1">
      <alignment horizontal="center" vertical="center"/>
      <protection hidden="1"/>
    </xf>
    <xf numFmtId="0" fontId="33" fillId="9" borderId="160" xfId="0" applyFont="1" applyFill="1" applyBorder="1" applyAlignment="1" applyProtection="1">
      <alignment horizontal="center" vertical="center"/>
      <protection hidden="1"/>
    </xf>
    <xf numFmtId="0" fontId="33" fillId="9" borderId="162" xfId="0" applyFont="1" applyFill="1" applyBorder="1" applyAlignment="1" applyProtection="1">
      <alignment horizontal="center" vertical="center"/>
      <protection hidden="1"/>
    </xf>
    <xf numFmtId="182" fontId="9" fillId="2" borderId="155" xfId="0" applyNumberFormat="1" applyFont="1" applyFill="1" applyBorder="1" applyAlignment="1" applyProtection="1">
      <alignment horizontal="right" vertical="center" shrinkToFit="1"/>
      <protection hidden="1"/>
    </xf>
    <xf numFmtId="182" fontId="9" fillId="2" borderId="160" xfId="0" applyNumberFormat="1" applyFont="1" applyFill="1" applyBorder="1" applyAlignment="1" applyProtection="1">
      <alignment horizontal="right" vertical="center" shrinkToFit="1"/>
      <protection hidden="1"/>
    </xf>
    <xf numFmtId="182" fontId="9" fillId="2" borderId="162" xfId="0" applyNumberFormat="1" applyFont="1" applyFill="1" applyBorder="1" applyAlignment="1" applyProtection="1">
      <alignment horizontal="right" vertical="center" shrinkToFit="1"/>
      <protection hidden="1"/>
    </xf>
    <xf numFmtId="0" fontId="2" fillId="15" borderId="116" xfId="0" applyFont="1" applyFill="1" applyBorder="1" applyAlignment="1" applyProtection="1">
      <alignment horizontal="center" vertical="top"/>
      <protection hidden="1"/>
    </xf>
    <xf numFmtId="0" fontId="2" fillId="15" borderId="0" xfId="0" applyFont="1" applyFill="1" applyBorder="1" applyAlignment="1" applyProtection="1">
      <alignment horizontal="center" vertical="top"/>
      <protection hidden="1"/>
    </xf>
    <xf numFmtId="0" fontId="33" fillId="9" borderId="155" xfId="0" applyFont="1" applyFill="1" applyBorder="1" applyAlignment="1" applyProtection="1">
      <alignment horizontal="right" vertical="center"/>
      <protection hidden="1"/>
    </xf>
    <xf numFmtId="0" fontId="33" fillId="9" borderId="160" xfId="0" applyFont="1" applyFill="1" applyBorder="1" applyAlignment="1" applyProtection="1">
      <alignment horizontal="right" vertical="center"/>
      <protection hidden="1"/>
    </xf>
    <xf numFmtId="0" fontId="33" fillId="9" borderId="162" xfId="0" applyFont="1" applyFill="1" applyBorder="1" applyAlignment="1" applyProtection="1">
      <alignment horizontal="right" vertical="center"/>
      <protection hidden="1"/>
    </xf>
    <xf numFmtId="0" fontId="9" fillId="9" borderId="155" xfId="0" applyFont="1" applyFill="1" applyBorder="1" applyAlignment="1" applyProtection="1">
      <alignment horizontal="right" vertical="center" shrinkToFit="1"/>
      <protection hidden="1"/>
    </xf>
    <xf numFmtId="0" fontId="9" fillId="9" borderId="160" xfId="0" applyFont="1" applyFill="1" applyBorder="1" applyAlignment="1" applyProtection="1">
      <alignment horizontal="right" vertical="center" shrinkToFit="1"/>
      <protection hidden="1"/>
    </xf>
    <xf numFmtId="0" fontId="9" fillId="9" borderId="162" xfId="0" applyFont="1" applyFill="1" applyBorder="1" applyAlignment="1" applyProtection="1">
      <alignment horizontal="right" vertical="center" shrinkToFit="1"/>
      <protection hidden="1"/>
    </xf>
    <xf numFmtId="182" fontId="9" fillId="4" borderId="155" xfId="0" quotePrefix="1" applyNumberFormat="1" applyFont="1" applyFill="1" applyBorder="1" applyAlignment="1" applyProtection="1">
      <alignment horizontal="center" vertical="center" shrinkToFit="1"/>
      <protection hidden="1"/>
    </xf>
    <xf numFmtId="182" fontId="9" fillId="4" borderId="160" xfId="0" quotePrefix="1" applyNumberFormat="1" applyFont="1" applyFill="1" applyBorder="1" applyAlignment="1" applyProtection="1">
      <alignment horizontal="center" vertical="center" shrinkToFit="1"/>
      <protection hidden="1"/>
    </xf>
    <xf numFmtId="182" fontId="9" fillId="4" borderId="162" xfId="0" quotePrefix="1" applyNumberFormat="1" applyFont="1" applyFill="1" applyBorder="1" applyAlignment="1" applyProtection="1">
      <alignment horizontal="center" vertical="center" shrinkToFit="1"/>
      <protection hidden="1"/>
    </xf>
    <xf numFmtId="182" fontId="29" fillId="4" borderId="155" xfId="0" applyNumberFormat="1" applyFont="1" applyFill="1" applyBorder="1" applyAlignment="1" applyProtection="1">
      <alignment horizontal="center" vertical="center" shrinkToFit="1"/>
      <protection hidden="1"/>
    </xf>
    <xf numFmtId="182" fontId="29" fillId="4" borderId="160" xfId="0" applyNumberFormat="1" applyFont="1" applyFill="1" applyBorder="1" applyAlignment="1" applyProtection="1">
      <alignment horizontal="center" vertical="center" shrinkToFit="1"/>
      <protection hidden="1"/>
    </xf>
    <xf numFmtId="182" fontId="29" fillId="4" borderId="162" xfId="0" applyNumberFormat="1" applyFont="1" applyFill="1" applyBorder="1" applyAlignment="1" applyProtection="1">
      <alignment horizontal="center" vertical="center" shrinkToFit="1"/>
      <protection hidden="1"/>
    </xf>
    <xf numFmtId="0" fontId="9" fillId="21" borderId="0" xfId="0" applyFont="1" applyFill="1" applyBorder="1" applyAlignment="1" applyProtection="1">
      <alignment horizontal="center" vertical="center"/>
      <protection hidden="1"/>
    </xf>
    <xf numFmtId="0" fontId="9" fillId="3" borderId="155" xfId="0" applyFont="1" applyFill="1" applyBorder="1" applyAlignment="1" applyProtection="1">
      <alignment horizontal="center" vertical="center"/>
      <protection hidden="1"/>
    </xf>
    <xf numFmtId="0" fontId="9" fillId="3" borderId="160" xfId="0" applyFont="1" applyFill="1" applyBorder="1" applyAlignment="1" applyProtection="1">
      <alignment horizontal="center" vertical="center"/>
      <protection hidden="1"/>
    </xf>
    <xf numFmtId="0" fontId="9" fillId="16" borderId="109" xfId="0" applyFont="1" applyFill="1" applyBorder="1" applyAlignment="1" applyProtection="1">
      <alignment horizontal="left" vertical="center" shrinkToFit="1"/>
      <protection hidden="1"/>
    </xf>
    <xf numFmtId="0" fontId="9" fillId="19" borderId="111" xfId="0" applyFont="1" applyFill="1" applyBorder="1" applyAlignment="1" applyProtection="1">
      <alignment horizontal="left" vertical="center"/>
      <protection locked="0"/>
    </xf>
    <xf numFmtId="0" fontId="9" fillId="19" borderId="114" xfId="0" applyFont="1" applyFill="1" applyBorder="1" applyAlignment="1" applyProtection="1">
      <alignment horizontal="left" vertical="center"/>
      <protection locked="0"/>
    </xf>
    <xf numFmtId="0" fontId="9" fillId="19" borderId="112" xfId="0" applyFont="1" applyFill="1" applyBorder="1" applyAlignment="1" applyProtection="1">
      <alignment horizontal="left" vertical="center"/>
      <protection locked="0"/>
    </xf>
    <xf numFmtId="182" fontId="15" fillId="7" borderId="155" xfId="0" applyNumberFormat="1" applyFont="1" applyFill="1" applyBorder="1" applyAlignment="1" applyProtection="1">
      <alignment horizontal="right" vertical="center" shrinkToFit="1"/>
      <protection locked="0"/>
    </xf>
    <xf numFmtId="182" fontId="15" fillId="7" borderId="160" xfId="0" applyNumberFormat="1" applyFont="1" applyFill="1" applyBorder="1" applyAlignment="1" applyProtection="1">
      <alignment horizontal="right" vertical="center" shrinkToFit="1"/>
      <protection locked="0"/>
    </xf>
    <xf numFmtId="182" fontId="15" fillId="7" borderId="162" xfId="0" applyNumberFormat="1" applyFont="1" applyFill="1" applyBorder="1" applyAlignment="1" applyProtection="1">
      <alignment horizontal="right" vertical="center" shrinkToFit="1"/>
      <protection locked="0"/>
    </xf>
    <xf numFmtId="0" fontId="33" fillId="9" borderId="155" xfId="0" applyFont="1" applyFill="1" applyBorder="1" applyAlignment="1" applyProtection="1">
      <alignment horizontal="right" vertical="center" shrinkToFit="1"/>
      <protection hidden="1"/>
    </xf>
    <xf numFmtId="0" fontId="33" fillId="9" borderId="160" xfId="0" applyFont="1" applyFill="1" applyBorder="1" applyAlignment="1" applyProtection="1">
      <alignment horizontal="right" vertical="center" shrinkToFit="1"/>
      <protection hidden="1"/>
    </xf>
    <xf numFmtId="0" fontId="33" fillId="9" borderId="162" xfId="0" applyFont="1" applyFill="1" applyBorder="1" applyAlignment="1" applyProtection="1">
      <alignment horizontal="right" vertical="center" shrinkToFit="1"/>
      <protection hidden="1"/>
    </xf>
    <xf numFmtId="0" fontId="9" fillId="19" borderId="195" xfId="0" applyFont="1" applyFill="1" applyBorder="1" applyAlignment="1" applyProtection="1">
      <alignment horizontal="center" vertical="center"/>
      <protection locked="0"/>
    </xf>
    <xf numFmtId="182" fontId="9" fillId="7" borderId="155" xfId="0" applyNumberFormat="1" applyFont="1" applyFill="1" applyBorder="1" applyAlignment="1" applyProtection="1">
      <alignment horizontal="center" vertical="center" shrinkToFit="1"/>
      <protection locked="0"/>
    </xf>
    <xf numFmtId="182" fontId="9" fillId="7" borderId="160" xfId="0" applyNumberFormat="1" applyFont="1" applyFill="1" applyBorder="1" applyAlignment="1" applyProtection="1">
      <alignment horizontal="center" vertical="center" shrinkToFit="1"/>
      <protection locked="0"/>
    </xf>
    <xf numFmtId="182" fontId="9" fillId="7" borderId="162" xfId="0" applyNumberFormat="1" applyFont="1" applyFill="1" applyBorder="1" applyAlignment="1" applyProtection="1">
      <alignment horizontal="center" vertical="center" shrinkToFit="1"/>
      <protection locked="0"/>
    </xf>
    <xf numFmtId="182" fontId="29" fillId="10" borderId="155" xfId="0" applyNumberFormat="1" applyFont="1" applyFill="1" applyBorder="1" applyAlignment="1" applyProtection="1">
      <alignment horizontal="center" vertical="center" shrinkToFit="1"/>
      <protection locked="0"/>
    </xf>
    <xf numFmtId="182" fontId="29" fillId="10" borderId="160" xfId="0" applyNumberFormat="1" applyFont="1" applyFill="1" applyBorder="1" applyAlignment="1" applyProtection="1">
      <alignment horizontal="center" vertical="center" shrinkToFit="1"/>
      <protection locked="0"/>
    </xf>
    <xf numFmtId="182" fontId="29" fillId="10" borderId="162" xfId="0" applyNumberFormat="1" applyFont="1" applyFill="1" applyBorder="1" applyAlignment="1" applyProtection="1">
      <alignment horizontal="center" vertical="center" shrinkToFit="1"/>
      <protection locked="0"/>
    </xf>
    <xf numFmtId="0" fontId="29" fillId="9" borderId="1" xfId="0" applyFont="1" applyFill="1" applyBorder="1" applyAlignment="1" applyProtection="1">
      <alignment horizontal="right" vertical="center"/>
      <protection hidden="1"/>
    </xf>
    <xf numFmtId="0" fontId="29" fillId="9" borderId="0" xfId="0" applyFont="1" applyFill="1" applyBorder="1" applyAlignment="1" applyProtection="1">
      <alignment horizontal="right" vertical="center"/>
      <protection hidden="1"/>
    </xf>
    <xf numFmtId="0" fontId="29" fillId="9" borderId="2" xfId="0" applyFont="1" applyFill="1" applyBorder="1" applyAlignment="1" applyProtection="1">
      <alignment horizontal="right" vertical="center"/>
      <protection hidden="1"/>
    </xf>
    <xf numFmtId="182" fontId="9" fillId="2" borderId="0" xfId="0" applyNumberFormat="1" applyFont="1" applyFill="1" applyBorder="1" applyAlignment="1" applyProtection="1">
      <alignment horizontal="center" vertical="center" shrinkToFit="1"/>
      <protection hidden="1"/>
    </xf>
    <xf numFmtId="182" fontId="9" fillId="2" borderId="160" xfId="0" applyNumberFormat="1" applyFont="1" applyFill="1" applyBorder="1" applyAlignment="1" applyProtection="1">
      <alignment horizontal="center" vertical="center" shrinkToFit="1"/>
      <protection hidden="1"/>
    </xf>
    <xf numFmtId="0" fontId="9" fillId="15" borderId="116" xfId="0" applyFont="1" applyFill="1" applyBorder="1" applyAlignment="1" applyProtection="1">
      <alignment horizontal="center" vertical="top" shrinkToFit="1"/>
      <protection hidden="1"/>
    </xf>
    <xf numFmtId="0" fontId="9" fillId="15" borderId="0" xfId="0" applyFont="1" applyFill="1" applyBorder="1" applyAlignment="1" applyProtection="1">
      <alignment horizontal="center" vertical="top" shrinkToFit="1"/>
      <protection hidden="1"/>
    </xf>
    <xf numFmtId="0" fontId="2" fillId="21" borderId="0" xfId="0" applyFont="1" applyFill="1" applyBorder="1" applyAlignment="1" applyProtection="1">
      <alignment horizontal="center" vertical="center"/>
      <protection hidden="1"/>
    </xf>
    <xf numFmtId="0" fontId="113" fillId="21" borderId="155" xfId="0" applyFont="1" applyFill="1" applyBorder="1" applyAlignment="1" applyProtection="1">
      <alignment horizontal="center" vertical="center" shrinkToFit="1"/>
      <protection hidden="1"/>
    </xf>
    <xf numFmtId="0" fontId="113" fillId="21" borderId="160" xfId="0" applyFont="1" applyFill="1" applyBorder="1" applyAlignment="1" applyProtection="1">
      <alignment horizontal="center" vertical="center" shrinkToFit="1"/>
      <protection hidden="1"/>
    </xf>
    <xf numFmtId="0" fontId="113" fillId="21" borderId="162" xfId="0" applyFont="1" applyFill="1" applyBorder="1" applyAlignment="1" applyProtection="1">
      <alignment horizontal="center" vertical="center" shrinkToFit="1"/>
      <protection hidden="1"/>
    </xf>
    <xf numFmtId="176" fontId="9" fillId="16" borderId="195" xfId="0" quotePrefix="1" applyNumberFormat="1" applyFont="1" applyFill="1" applyBorder="1" applyAlignment="1" applyProtection="1">
      <alignment horizontal="right" vertical="center"/>
      <protection hidden="1"/>
    </xf>
    <xf numFmtId="176" fontId="9" fillId="16" borderId="195" xfId="0" applyNumberFormat="1" applyFont="1" applyFill="1" applyBorder="1" applyAlignment="1" applyProtection="1">
      <alignment horizontal="right" vertical="center"/>
      <protection hidden="1"/>
    </xf>
    <xf numFmtId="176" fontId="9" fillId="19" borderId="195" xfId="0" applyNumberFormat="1" applyFont="1" applyFill="1" applyBorder="1" applyAlignment="1" applyProtection="1">
      <alignment horizontal="right" vertical="center"/>
      <protection locked="0"/>
    </xf>
    <xf numFmtId="0" fontId="9" fillId="15" borderId="114" xfId="0" applyFont="1" applyFill="1" applyBorder="1" applyAlignment="1" applyProtection="1">
      <alignment horizontal="right" vertical="center"/>
      <protection hidden="1"/>
    </xf>
    <xf numFmtId="0" fontId="9" fillId="15" borderId="112" xfId="0" applyFont="1" applyFill="1" applyBorder="1" applyAlignment="1" applyProtection="1">
      <alignment horizontal="right" vertical="center"/>
      <protection hidden="1"/>
    </xf>
    <xf numFmtId="0" fontId="9" fillId="15" borderId="116" xfId="0" applyFont="1" applyFill="1" applyBorder="1" applyAlignment="1" applyProtection="1">
      <alignment horizontal="right" vertical="center"/>
      <protection hidden="1"/>
    </xf>
    <xf numFmtId="0" fontId="9" fillId="15" borderId="119" xfId="0" applyFont="1" applyFill="1" applyBorder="1" applyAlignment="1" applyProtection="1">
      <alignment horizontal="right" vertical="center"/>
      <protection hidden="1"/>
    </xf>
    <xf numFmtId="0" fontId="282" fillId="12" borderId="0" xfId="0" applyFont="1" applyFill="1" applyBorder="1" applyAlignment="1" applyProtection="1">
      <alignment horizontal="center" vertical="center" shrinkToFit="1"/>
      <protection hidden="1"/>
    </xf>
    <xf numFmtId="181" fontId="15" fillId="3" borderId="1" xfId="0" applyNumberFormat="1" applyFont="1" applyFill="1" applyBorder="1" applyAlignment="1" applyProtection="1">
      <alignment horizontal="center" vertical="center" shrinkToFit="1"/>
      <protection hidden="1"/>
    </xf>
    <xf numFmtId="181" fontId="15" fillId="3" borderId="0" xfId="0" applyNumberFormat="1" applyFont="1" applyFill="1" applyBorder="1" applyAlignment="1" applyProtection="1">
      <alignment horizontal="center" vertical="center" shrinkToFit="1"/>
      <protection hidden="1"/>
    </xf>
    <xf numFmtId="0" fontId="20" fillId="11" borderId="12" xfId="1" applyFont="1" applyFill="1" applyBorder="1" applyAlignment="1" applyProtection="1">
      <alignment horizontal="center" vertical="center"/>
      <protection hidden="1"/>
    </xf>
    <xf numFmtId="0" fontId="20" fillId="12" borderId="0" xfId="0" applyFont="1" applyFill="1" applyBorder="1" applyAlignment="1" applyProtection="1">
      <alignment horizontal="right" shrinkToFit="1"/>
      <protection hidden="1"/>
    </xf>
    <xf numFmtId="182" fontId="15" fillId="7" borderId="44" xfId="0" applyNumberFormat="1" applyFont="1" applyFill="1" applyBorder="1" applyAlignment="1" applyProtection="1">
      <alignment horizontal="right" vertical="center" shrinkToFit="1"/>
      <protection locked="0"/>
    </xf>
    <xf numFmtId="182" fontId="15" fillId="7" borderId="45" xfId="0" applyNumberFormat="1" applyFont="1" applyFill="1" applyBorder="1" applyAlignment="1" applyProtection="1">
      <alignment horizontal="right" vertical="center" shrinkToFit="1"/>
      <protection locked="0"/>
    </xf>
    <xf numFmtId="182" fontId="15" fillId="7" borderId="125" xfId="0" applyNumberFormat="1" applyFont="1" applyFill="1" applyBorder="1" applyAlignment="1" applyProtection="1">
      <alignment horizontal="right" vertical="center" shrinkToFit="1"/>
      <protection locked="0"/>
    </xf>
    <xf numFmtId="182" fontId="9" fillId="2" borderId="516" xfId="0" applyNumberFormat="1" applyFont="1" applyFill="1" applyBorder="1" applyAlignment="1" applyProtection="1">
      <alignment horizontal="center" vertical="center" shrinkToFit="1"/>
      <protection hidden="1"/>
    </xf>
    <xf numFmtId="182" fontId="9" fillId="2" borderId="515" xfId="0" applyNumberFormat="1" applyFont="1" applyFill="1" applyBorder="1" applyAlignment="1" applyProtection="1">
      <alignment horizontal="center" vertical="center" shrinkToFit="1"/>
      <protection hidden="1"/>
    </xf>
    <xf numFmtId="0" fontId="9" fillId="16" borderId="195" xfId="0" applyFont="1" applyFill="1" applyBorder="1" applyAlignment="1" applyProtection="1">
      <alignment horizontal="left" vertical="center" shrinkToFit="1"/>
      <protection hidden="1"/>
    </xf>
    <xf numFmtId="0" fontId="9" fillId="19" borderId="155" xfId="0" applyFont="1" applyFill="1" applyBorder="1" applyAlignment="1" applyProtection="1">
      <alignment horizontal="left" vertical="center" shrinkToFit="1"/>
      <protection locked="0"/>
    </xf>
    <xf numFmtId="0" fontId="9" fillId="19" borderId="160" xfId="0" applyFont="1" applyFill="1" applyBorder="1" applyAlignment="1" applyProtection="1">
      <alignment horizontal="left" vertical="center" shrinkToFit="1"/>
      <protection locked="0"/>
    </xf>
    <xf numFmtId="0" fontId="9" fillId="19" borderId="162" xfId="0" applyFont="1" applyFill="1" applyBorder="1" applyAlignment="1" applyProtection="1">
      <alignment horizontal="left" vertical="center" shrinkToFit="1"/>
      <protection locked="0"/>
    </xf>
    <xf numFmtId="0" fontId="2" fillId="21" borderId="1" xfId="0" applyFont="1" applyFill="1" applyBorder="1" applyAlignment="1" applyProtection="1">
      <alignment horizontal="center" vertical="center"/>
      <protection hidden="1"/>
    </xf>
    <xf numFmtId="0" fontId="101" fillId="21" borderId="0" xfId="0" applyFont="1" applyFill="1" applyBorder="1" applyAlignment="1" applyProtection="1">
      <alignment horizontal="center" vertical="center" textRotation="180" shrinkToFit="1"/>
      <protection hidden="1"/>
    </xf>
    <xf numFmtId="0" fontId="101" fillId="21" borderId="2" xfId="0" applyFont="1" applyFill="1" applyBorder="1" applyAlignment="1" applyProtection="1">
      <alignment horizontal="center" vertical="center" textRotation="180" shrinkToFit="1"/>
      <protection hidden="1"/>
    </xf>
    <xf numFmtId="0" fontId="299" fillId="10" borderId="0" xfId="0" applyFont="1" applyFill="1" applyBorder="1" applyAlignment="1">
      <alignment horizontal="center" vertical="center"/>
    </xf>
    <xf numFmtId="0" fontId="299" fillId="10" borderId="11" xfId="0" applyFont="1" applyFill="1" applyBorder="1" applyAlignment="1">
      <alignment horizontal="center" vertical="center"/>
    </xf>
    <xf numFmtId="0" fontId="98" fillId="4" borderId="251" xfId="0" applyFont="1" applyFill="1" applyBorder="1" applyAlignment="1">
      <alignment horizontal="center" vertical="center" shrinkToFit="1"/>
    </xf>
    <xf numFmtId="0" fontId="98" fillId="4" borderId="17" xfId="0" applyFont="1" applyFill="1" applyBorder="1" applyAlignment="1">
      <alignment horizontal="center" vertical="center" shrinkToFit="1"/>
    </xf>
    <xf numFmtId="0" fontId="98" fillId="4" borderId="16" xfId="0" applyFont="1" applyFill="1" applyBorder="1" applyAlignment="1">
      <alignment horizontal="center" vertical="center" shrinkToFit="1"/>
    </xf>
    <xf numFmtId="0" fontId="98" fillId="4" borderId="249" xfId="0" applyFont="1" applyFill="1" applyBorder="1" applyAlignment="1">
      <alignment horizontal="center" vertical="center" shrinkToFit="1"/>
    </xf>
    <xf numFmtId="0" fontId="98" fillId="4" borderId="11" xfId="0" applyFont="1" applyFill="1" applyBorder="1" applyAlignment="1">
      <alignment horizontal="center" vertical="center" shrinkToFit="1"/>
    </xf>
    <xf numFmtId="0" fontId="98" fillId="4" borderId="23" xfId="0" applyFont="1" applyFill="1" applyBorder="1" applyAlignment="1">
      <alignment horizontal="center" vertical="center" shrinkToFit="1"/>
    </xf>
    <xf numFmtId="0" fontId="16" fillId="7" borderId="0" xfId="0" applyFont="1" applyFill="1" applyBorder="1" applyAlignment="1">
      <alignment horizontal="left"/>
    </xf>
    <xf numFmtId="0" fontId="294" fillId="12" borderId="0" xfId="0" applyFont="1" applyFill="1" applyBorder="1" applyAlignment="1">
      <alignment horizontal="center" vertical="center" shrinkToFit="1"/>
    </xf>
    <xf numFmtId="0" fontId="307" fillId="9" borderId="15" xfId="0" applyFont="1" applyFill="1" applyBorder="1" applyAlignment="1">
      <alignment horizontal="center" vertical="center" shrinkToFit="1"/>
    </xf>
    <xf numFmtId="0" fontId="307" fillId="9" borderId="17" xfId="0" applyFont="1" applyFill="1" applyBorder="1" applyAlignment="1">
      <alignment horizontal="center" vertical="center" shrinkToFit="1"/>
    </xf>
    <xf numFmtId="0" fontId="307" fillId="9" borderId="16" xfId="0" applyFont="1" applyFill="1" applyBorder="1" applyAlignment="1">
      <alignment horizontal="center" vertical="center" shrinkToFit="1"/>
    </xf>
    <xf numFmtId="0" fontId="307" fillId="9" borderId="20" xfId="0" applyFont="1" applyFill="1" applyBorder="1" applyAlignment="1">
      <alignment horizontal="center" vertical="center" shrinkToFit="1"/>
    </xf>
    <xf numFmtId="0" fontId="307" fillId="9" borderId="11" xfId="0" applyFont="1" applyFill="1" applyBorder="1" applyAlignment="1">
      <alignment horizontal="center" vertical="center" shrinkToFit="1"/>
    </xf>
    <xf numFmtId="0" fontId="307" fillId="9" borderId="23" xfId="0" applyFont="1" applyFill="1" applyBorder="1" applyAlignment="1">
      <alignment horizontal="center" vertical="center" shrinkToFit="1"/>
    </xf>
    <xf numFmtId="0" fontId="306" fillId="7" borderId="0" xfId="0" applyFont="1" applyFill="1" applyBorder="1" applyAlignment="1">
      <alignment horizontal="left" vertical="center" shrinkToFit="1"/>
    </xf>
    <xf numFmtId="0" fontId="620" fillId="11" borderId="88" xfId="1" applyFont="1" applyFill="1" applyBorder="1" applyAlignment="1">
      <alignment horizontal="center" vertical="center"/>
    </xf>
    <xf numFmtId="0" fontId="620" fillId="11" borderId="89" xfId="1" applyFont="1" applyFill="1" applyBorder="1" applyAlignment="1">
      <alignment horizontal="center" vertical="center"/>
    </xf>
    <xf numFmtId="0" fontId="620" fillId="11" borderId="90" xfId="1" applyFont="1" applyFill="1" applyBorder="1" applyAlignment="1">
      <alignment horizontal="center" vertical="center"/>
    </xf>
    <xf numFmtId="0" fontId="620" fillId="11" borderId="126" xfId="1" applyFont="1" applyFill="1" applyBorder="1" applyAlignment="1">
      <alignment horizontal="center" vertical="center"/>
    </xf>
    <xf numFmtId="0" fontId="620" fillId="11" borderId="127" xfId="1" applyFont="1" applyFill="1" applyBorder="1" applyAlignment="1">
      <alignment horizontal="center" vertical="center"/>
    </xf>
    <xf numFmtId="0" fontId="620" fillId="11" borderId="128" xfId="1" applyFont="1" applyFill="1" applyBorder="1" applyAlignment="1">
      <alignment horizontal="center" vertical="center"/>
    </xf>
    <xf numFmtId="0" fontId="4" fillId="11" borderId="88" xfId="1" applyFont="1" applyFill="1" applyBorder="1" applyAlignment="1">
      <alignment horizontal="center" vertical="center"/>
    </xf>
    <xf numFmtId="0" fontId="4" fillId="11" borderId="89" xfId="1" applyFont="1" applyFill="1" applyBorder="1" applyAlignment="1">
      <alignment horizontal="center" vertical="center"/>
    </xf>
    <xf numFmtId="0" fontId="4" fillId="11" borderId="90"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28" xfId="1" applyFont="1" applyFill="1" applyBorder="1" applyAlignment="1">
      <alignment horizontal="center" vertical="center"/>
    </xf>
    <xf numFmtId="0" fontId="616" fillId="11" borderId="88" xfId="1" applyFont="1" applyFill="1" applyBorder="1" applyAlignment="1">
      <alignment horizontal="center" vertical="center"/>
    </xf>
    <xf numFmtId="0" fontId="616" fillId="11" borderId="89" xfId="1" applyFont="1" applyFill="1" applyBorder="1" applyAlignment="1">
      <alignment horizontal="center" vertical="center"/>
    </xf>
    <xf numFmtId="0" fontId="616" fillId="11" borderId="90" xfId="1" applyFont="1" applyFill="1" applyBorder="1" applyAlignment="1">
      <alignment horizontal="center" vertical="center"/>
    </xf>
    <xf numFmtId="0" fontId="616" fillId="11" borderId="126" xfId="1" applyFont="1" applyFill="1" applyBorder="1" applyAlignment="1">
      <alignment horizontal="center" vertical="center"/>
    </xf>
    <xf numFmtId="0" fontId="616" fillId="11" borderId="127" xfId="1" applyFont="1" applyFill="1" applyBorder="1" applyAlignment="1">
      <alignment horizontal="center" vertical="center"/>
    </xf>
    <xf numFmtId="0" fontId="616" fillId="11" borderId="128" xfId="1" applyFont="1" applyFill="1" applyBorder="1" applyAlignment="1">
      <alignment horizontal="center" vertical="center"/>
    </xf>
    <xf numFmtId="0" fontId="2" fillId="7" borderId="116"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22" xfId="0" applyFont="1" applyFill="1" applyBorder="1" applyAlignment="1">
      <alignment horizontal="center" vertical="center"/>
    </xf>
    <xf numFmtId="0" fontId="34" fillId="7" borderId="0" xfId="0" applyFont="1" applyFill="1" applyBorder="1" applyAlignment="1">
      <alignment horizontal="center" shrinkToFit="1"/>
    </xf>
    <xf numFmtId="0" fontId="34" fillId="7" borderId="117" xfId="0" applyFont="1" applyFill="1" applyBorder="1" applyAlignment="1">
      <alignment horizontal="center" shrinkToFit="1"/>
    </xf>
    <xf numFmtId="0" fontId="124" fillId="10" borderId="0" xfId="0" applyFont="1" applyFill="1" applyBorder="1" applyAlignment="1">
      <alignment horizontal="center" vertical="center" shrinkToFit="1"/>
    </xf>
    <xf numFmtId="0" fontId="2" fillId="10" borderId="0" xfId="0" applyFont="1" applyFill="1" applyBorder="1" applyAlignment="1">
      <alignment horizontal="center" vertical="center"/>
    </xf>
    <xf numFmtId="179" fontId="297" fillId="7" borderId="15" xfId="0" applyNumberFormat="1" applyFont="1" applyFill="1" applyBorder="1" applyAlignment="1">
      <alignment horizontal="right" vertical="center" shrinkToFit="1"/>
    </xf>
    <xf numFmtId="179" fontId="297" fillId="7" borderId="17" xfId="0" applyNumberFormat="1" applyFont="1" applyFill="1" applyBorder="1" applyAlignment="1">
      <alignment horizontal="right" vertical="center" shrinkToFit="1"/>
    </xf>
    <xf numFmtId="179" fontId="297" fillId="7" borderId="16" xfId="0" applyNumberFormat="1" applyFont="1" applyFill="1" applyBorder="1" applyAlignment="1">
      <alignment horizontal="right" vertical="center" shrinkToFit="1"/>
    </xf>
    <xf numFmtId="179" fontId="297" fillId="7" borderId="20" xfId="0" applyNumberFormat="1" applyFont="1" applyFill="1" applyBorder="1" applyAlignment="1">
      <alignment horizontal="right" vertical="center" shrinkToFit="1"/>
    </xf>
    <xf numFmtId="179" fontId="297" fillId="7" borderId="11" xfId="0" applyNumberFormat="1" applyFont="1" applyFill="1" applyBorder="1" applyAlignment="1">
      <alignment horizontal="right" vertical="center" shrinkToFit="1"/>
    </xf>
    <xf numFmtId="179" fontId="297" fillId="7" borderId="23" xfId="0" applyNumberFormat="1" applyFont="1" applyFill="1" applyBorder="1" applyAlignment="1">
      <alignment horizontal="right" vertical="center" shrinkToFit="1"/>
    </xf>
    <xf numFmtId="179" fontId="8" fillId="4" borderId="15" xfId="0" applyNumberFormat="1" applyFont="1" applyFill="1" applyBorder="1" applyAlignment="1">
      <alignment horizontal="center" vertical="center" shrinkToFit="1"/>
    </xf>
    <xf numFmtId="179" fontId="8" fillId="4" borderId="17" xfId="0" applyNumberFormat="1" applyFont="1" applyFill="1" applyBorder="1" applyAlignment="1">
      <alignment horizontal="center" vertical="center" shrinkToFit="1"/>
    </xf>
    <xf numFmtId="179" fontId="8" fillId="4" borderId="16" xfId="0" applyNumberFormat="1" applyFont="1" applyFill="1" applyBorder="1" applyAlignment="1">
      <alignment horizontal="center" vertical="center" shrinkToFit="1"/>
    </xf>
    <xf numFmtId="179" fontId="298" fillId="36" borderId="20" xfId="0" applyNumberFormat="1" applyFont="1" applyFill="1" applyBorder="1" applyAlignment="1">
      <alignment horizontal="center" vertical="center" shrinkToFit="1"/>
    </xf>
    <xf numFmtId="179" fontId="298" fillId="36" borderId="11" xfId="0" applyNumberFormat="1" applyFont="1" applyFill="1" applyBorder="1" applyAlignment="1">
      <alignment horizontal="center" vertical="center" shrinkToFit="1"/>
    </xf>
    <xf numFmtId="179" fontId="298" fillId="36" borderId="23" xfId="0" applyNumberFormat="1" applyFont="1" applyFill="1" applyBorder="1" applyAlignment="1">
      <alignment horizontal="center" vertical="center" shrinkToFit="1"/>
    </xf>
    <xf numFmtId="0" fontId="34" fillId="7" borderId="0" xfId="0" applyFont="1" applyFill="1" applyBorder="1" applyAlignment="1">
      <alignment horizontal="left" shrinkToFit="1"/>
    </xf>
    <xf numFmtId="0" fontId="34" fillId="7" borderId="117" xfId="0" applyFont="1" applyFill="1" applyBorder="1" applyAlignment="1">
      <alignment horizontal="left" shrinkToFit="1"/>
    </xf>
    <xf numFmtId="179" fontId="297" fillId="10" borderId="15" xfId="0" applyNumberFormat="1" applyFont="1" applyFill="1" applyBorder="1" applyAlignment="1">
      <alignment horizontal="right" vertical="center" shrinkToFit="1"/>
    </xf>
    <xf numFmtId="179" fontId="297" fillId="10" borderId="17" xfId="0" applyNumberFormat="1" applyFont="1" applyFill="1" applyBorder="1" applyAlignment="1">
      <alignment horizontal="right" vertical="center" shrinkToFit="1"/>
    </xf>
    <xf numFmtId="179" fontId="297" fillId="10" borderId="16" xfId="0" applyNumberFormat="1" applyFont="1" applyFill="1" applyBorder="1" applyAlignment="1">
      <alignment horizontal="right" vertical="center" shrinkToFit="1"/>
    </xf>
    <xf numFmtId="179" fontId="297" fillId="10" borderId="20" xfId="0" applyNumberFormat="1" applyFont="1" applyFill="1" applyBorder="1" applyAlignment="1">
      <alignment horizontal="right" vertical="center" shrinkToFit="1"/>
    </xf>
    <xf numFmtId="179" fontId="297" fillId="10" borderId="11" xfId="0" applyNumberFormat="1" applyFont="1" applyFill="1" applyBorder="1" applyAlignment="1">
      <alignment horizontal="right" vertical="center" shrinkToFit="1"/>
    </xf>
    <xf numFmtId="179" fontId="297" fillId="10" borderId="23" xfId="0" applyNumberFormat="1" applyFont="1" applyFill="1" applyBorder="1" applyAlignment="1">
      <alignment horizontal="right" vertical="center" shrinkToFit="1"/>
    </xf>
    <xf numFmtId="0" fontId="23" fillId="7" borderId="0" xfId="0" applyFont="1" applyFill="1" applyBorder="1" applyAlignment="1">
      <alignment horizontal="center" vertical="top"/>
    </xf>
    <xf numFmtId="0" fontId="23" fillId="7" borderId="358" xfId="0" applyFont="1" applyFill="1" applyBorder="1" applyAlignment="1">
      <alignment horizontal="center" vertical="top"/>
    </xf>
    <xf numFmtId="0" fontId="34" fillId="7" borderId="1" xfId="0" applyFont="1" applyFill="1" applyBorder="1" applyAlignment="1">
      <alignment horizontal="left" vertical="center" shrinkToFit="1"/>
    </xf>
    <xf numFmtId="0" fontId="34" fillId="7" borderId="0" xfId="0" applyFont="1" applyFill="1" applyBorder="1" applyAlignment="1">
      <alignment horizontal="left" vertical="center" shrinkToFit="1"/>
    </xf>
    <xf numFmtId="0" fontId="34" fillId="7" borderId="1" xfId="0" applyFont="1" applyFill="1" applyBorder="1" applyAlignment="1">
      <alignment horizontal="center" vertical="center" shrinkToFit="1"/>
    </xf>
    <xf numFmtId="0" fontId="34" fillId="7" borderId="0" xfId="0" applyFont="1" applyFill="1" applyBorder="1" applyAlignment="1">
      <alignment horizontal="center" vertical="center" shrinkToFit="1"/>
    </xf>
    <xf numFmtId="0" fontId="32" fillId="7" borderId="1" xfId="0" applyFont="1" applyFill="1" applyBorder="1" applyAlignment="1">
      <alignment horizontal="left" vertical="center" shrinkToFit="1"/>
    </xf>
    <xf numFmtId="0" fontId="32" fillId="7" borderId="0" xfId="0" applyFont="1" applyFill="1" applyBorder="1" applyAlignment="1">
      <alignment horizontal="left" vertical="center" shrinkToFit="1"/>
    </xf>
    <xf numFmtId="0" fontId="104" fillId="10" borderId="0" xfId="0" applyFont="1" applyFill="1" applyBorder="1" applyAlignment="1">
      <alignment horizontal="center" vertical="center" shrinkToFit="1"/>
    </xf>
    <xf numFmtId="0" fontId="90" fillId="18" borderId="520" xfId="0" applyFont="1" applyFill="1" applyBorder="1" applyAlignment="1">
      <alignment horizontal="center" vertical="center" shrinkToFit="1"/>
    </xf>
    <xf numFmtId="0" fontId="90" fillId="18" borderId="519" xfId="0" applyFont="1" applyFill="1" applyBorder="1" applyAlignment="1">
      <alignment horizontal="center" vertical="center" shrinkToFit="1"/>
    </xf>
    <xf numFmtId="0" fontId="90" fillId="18" borderId="557" xfId="0" applyFont="1" applyFill="1" applyBorder="1" applyAlignment="1">
      <alignment horizontal="center" vertical="center" shrinkToFit="1"/>
    </xf>
    <xf numFmtId="0" fontId="90" fillId="18" borderId="523" xfId="0" applyFont="1" applyFill="1" applyBorder="1" applyAlignment="1">
      <alignment horizontal="center" vertical="center" shrinkToFit="1"/>
    </xf>
    <xf numFmtId="0" fontId="90" fillId="18" borderId="522" xfId="0" applyFont="1" applyFill="1" applyBorder="1" applyAlignment="1">
      <alignment horizontal="center" vertical="center" shrinkToFit="1"/>
    </xf>
    <xf numFmtId="0" fontId="90" fillId="18" borderId="555" xfId="0" applyFont="1" applyFill="1" applyBorder="1" applyAlignment="1">
      <alignment horizontal="center" vertical="center" shrinkToFit="1"/>
    </xf>
    <xf numFmtId="0" fontId="295" fillId="10" borderId="517" xfId="0" applyFont="1" applyFill="1" applyBorder="1" applyAlignment="1">
      <alignment horizontal="left" vertical="center" shrinkToFit="1"/>
    </xf>
    <xf numFmtId="0" fontId="295" fillId="10" borderId="0" xfId="0" applyFont="1" applyFill="1" applyBorder="1" applyAlignment="1">
      <alignment horizontal="left" vertical="center" shrinkToFit="1"/>
    </xf>
    <xf numFmtId="0" fontId="33" fillId="10" borderId="0" xfId="0" applyFont="1" applyFill="1" applyBorder="1" applyAlignment="1">
      <alignment horizontal="right" vertical="center" shrinkToFit="1"/>
    </xf>
    <xf numFmtId="179" fontId="207" fillId="10" borderId="0" xfId="0" applyNumberFormat="1" applyFont="1" applyFill="1" applyBorder="1" applyAlignment="1">
      <alignment horizontal="left" vertical="center" shrinkToFit="1"/>
    </xf>
    <xf numFmtId="0" fontId="20" fillId="11" borderId="88" xfId="1" applyFont="1" applyFill="1" applyBorder="1" applyAlignment="1">
      <alignment horizontal="center" vertical="center" wrapText="1"/>
    </xf>
    <xf numFmtId="0" fontId="20" fillId="11" borderId="89" xfId="1" applyFont="1" applyFill="1" applyBorder="1" applyAlignment="1">
      <alignment horizontal="center" vertical="center"/>
    </xf>
    <xf numFmtId="0" fontId="20" fillId="11" borderId="90" xfId="1" applyFont="1" applyFill="1" applyBorder="1" applyAlignment="1">
      <alignment horizontal="center" vertical="center"/>
    </xf>
    <xf numFmtId="0" fontId="20" fillId="11" borderId="129" xfId="1" applyFont="1" applyFill="1" applyBorder="1" applyAlignment="1">
      <alignment horizontal="center" vertical="center"/>
    </xf>
    <xf numFmtId="0" fontId="20" fillId="11" borderId="0" xfId="1" applyFont="1" applyFill="1" applyBorder="1" applyAlignment="1">
      <alignment horizontal="center" vertical="center"/>
    </xf>
    <xf numFmtId="0" fontId="20" fillId="11" borderId="130" xfId="1" applyFont="1" applyFill="1" applyBorder="1" applyAlignment="1">
      <alignment horizontal="center" vertical="center"/>
    </xf>
    <xf numFmtId="0" fontId="20" fillId="11" borderId="126" xfId="1" applyFont="1" applyFill="1" applyBorder="1" applyAlignment="1">
      <alignment horizontal="center" vertical="center"/>
    </xf>
    <xf numFmtId="0" fontId="20" fillId="11" borderId="127" xfId="1" applyFont="1" applyFill="1" applyBorder="1" applyAlignment="1">
      <alignment horizontal="center" vertical="center"/>
    </xf>
    <xf numFmtId="0" fontId="20" fillId="11" borderId="128" xfId="1" applyFont="1" applyFill="1" applyBorder="1" applyAlignment="1">
      <alignment horizontal="center" vertical="center"/>
    </xf>
    <xf numFmtId="0" fontId="617" fillId="11" borderId="88" xfId="1" applyFont="1" applyFill="1" applyBorder="1" applyAlignment="1">
      <alignment horizontal="center" vertical="center" wrapText="1"/>
    </xf>
    <xf numFmtId="0" fontId="617" fillId="11" borderId="89" xfId="1" applyFont="1" applyFill="1" applyBorder="1" applyAlignment="1">
      <alignment horizontal="center" vertical="center"/>
    </xf>
    <xf numFmtId="0" fontId="617" fillId="11" borderId="90" xfId="1" applyFont="1" applyFill="1" applyBorder="1" applyAlignment="1">
      <alignment horizontal="center" vertical="center"/>
    </xf>
    <xf numFmtId="0" fontId="617" fillId="11" borderId="129" xfId="1" applyFont="1" applyFill="1" applyBorder="1" applyAlignment="1">
      <alignment horizontal="center" vertical="center"/>
    </xf>
    <xf numFmtId="0" fontId="617" fillId="11" borderId="0" xfId="1" applyFont="1" applyFill="1" applyBorder="1" applyAlignment="1">
      <alignment horizontal="center" vertical="center"/>
    </xf>
    <xf numFmtId="0" fontId="617" fillId="11" borderId="130" xfId="1" applyFont="1" applyFill="1" applyBorder="1" applyAlignment="1">
      <alignment horizontal="center" vertical="center"/>
    </xf>
    <xf numFmtId="0" fontId="617" fillId="11" borderId="126" xfId="1" applyFont="1" applyFill="1" applyBorder="1" applyAlignment="1">
      <alignment horizontal="center" vertical="center"/>
    </xf>
    <xf numFmtId="0" fontId="617" fillId="11" borderId="127" xfId="1" applyFont="1" applyFill="1" applyBorder="1" applyAlignment="1">
      <alignment horizontal="center" vertical="center"/>
    </xf>
    <xf numFmtId="0" fontId="617" fillId="11" borderId="128" xfId="1" applyFont="1" applyFill="1" applyBorder="1" applyAlignment="1">
      <alignment horizontal="center" vertical="center"/>
    </xf>
    <xf numFmtId="0" fontId="16" fillId="7" borderId="0" xfId="0" applyFont="1" applyFill="1" applyBorder="1" applyAlignment="1">
      <alignment horizontal="center"/>
    </xf>
    <xf numFmtId="0" fontId="34" fillId="7" borderId="0" xfId="0" applyFont="1" applyFill="1" applyBorder="1" applyAlignment="1">
      <alignment horizontal="right" shrinkToFit="1"/>
    </xf>
    <xf numFmtId="0" fontId="34" fillId="7" borderId="117" xfId="0" applyFont="1" applyFill="1" applyBorder="1" applyAlignment="1">
      <alignment horizontal="right" shrinkToFit="1"/>
    </xf>
    <xf numFmtId="179" fontId="298" fillId="36" borderId="20" xfId="0" quotePrefix="1" applyNumberFormat="1" applyFont="1" applyFill="1" applyBorder="1" applyAlignment="1">
      <alignment horizontal="center" vertical="center" shrinkToFit="1"/>
    </xf>
    <xf numFmtId="0" fontId="34" fillId="7" borderId="0" xfId="0" applyFont="1" applyFill="1" applyBorder="1" applyAlignment="1">
      <alignment horizontal="right" vertical="center" shrinkToFit="1"/>
    </xf>
    <xf numFmtId="0" fontId="34" fillId="7" borderId="2" xfId="0" applyFont="1" applyFill="1" applyBorder="1" applyAlignment="1">
      <alignment horizontal="right" vertical="center" shrinkToFit="1"/>
    </xf>
    <xf numFmtId="0" fontId="34" fillId="7" borderId="1" xfId="0" applyFont="1" applyFill="1" applyBorder="1" applyAlignment="1">
      <alignment horizontal="left" vertical="top" shrinkToFit="1"/>
    </xf>
    <xf numFmtId="0" fontId="34" fillId="7" borderId="0" xfId="0" applyFont="1" applyFill="1" applyBorder="1" applyAlignment="1">
      <alignment horizontal="left" vertical="top" shrinkToFit="1"/>
    </xf>
    <xf numFmtId="179" fontId="8" fillId="10" borderId="517" xfId="0" applyNumberFormat="1" applyFont="1" applyFill="1" applyBorder="1" applyAlignment="1">
      <alignment horizontal="center" vertical="center"/>
    </xf>
    <xf numFmtId="0" fontId="8" fillId="10" borderId="517" xfId="0" applyFont="1" applyFill="1" applyBorder="1" applyAlignment="1">
      <alignment horizontal="center" vertical="center"/>
    </xf>
    <xf numFmtId="0" fontId="34" fillId="7" borderId="0" xfId="0" applyFont="1" applyFill="1" applyBorder="1" applyAlignment="1">
      <alignment horizontal="right" vertical="top" shrinkToFit="1"/>
    </xf>
    <xf numFmtId="0" fontId="34" fillId="7" borderId="2" xfId="0" applyFont="1" applyFill="1" applyBorder="1" applyAlignment="1">
      <alignment horizontal="right" vertical="top" shrinkToFit="1"/>
    </xf>
    <xf numFmtId="0" fontId="34" fillId="7" borderId="1" xfId="0" applyFont="1" applyFill="1" applyBorder="1" applyAlignment="1">
      <alignment horizontal="center" vertical="top" shrinkToFit="1"/>
    </xf>
    <xf numFmtId="0" fontId="34" fillId="7" borderId="0" xfId="0" applyFont="1" applyFill="1" applyBorder="1" applyAlignment="1">
      <alignment horizontal="center" vertical="top" shrinkToFit="1"/>
    </xf>
    <xf numFmtId="0" fontId="90" fillId="18" borderId="100" xfId="0" applyFont="1" applyFill="1" applyBorder="1" applyAlignment="1">
      <alignment horizontal="center" vertical="center" shrinkToFit="1"/>
    </xf>
    <xf numFmtId="0" fontId="90" fillId="18" borderId="101" xfId="0" applyFont="1" applyFill="1" applyBorder="1" applyAlignment="1">
      <alignment horizontal="center" vertical="center" shrinkToFit="1"/>
    </xf>
    <xf numFmtId="0" fontId="90" fillId="18" borderId="574" xfId="0" applyFont="1" applyFill="1" applyBorder="1" applyAlignment="1">
      <alignment horizontal="center" vertical="center" shrinkToFit="1"/>
    </xf>
    <xf numFmtId="0" fontId="90" fillId="18" borderId="10" xfId="0" applyFont="1" applyFill="1" applyBorder="1" applyAlignment="1">
      <alignment horizontal="center" vertical="center" shrinkToFit="1"/>
    </xf>
    <xf numFmtId="0" fontId="90" fillId="18" borderId="91" xfId="0" applyFont="1" applyFill="1" applyBorder="1" applyAlignment="1">
      <alignment horizontal="center" vertical="center" shrinkToFit="1"/>
    </xf>
    <xf numFmtId="0" fontId="90" fillId="18" borderId="102" xfId="0" applyFont="1" applyFill="1" applyBorder="1" applyAlignment="1">
      <alignment horizontal="center" vertical="center" shrinkToFit="1"/>
    </xf>
    <xf numFmtId="0" fontId="2" fillId="10" borderId="517" xfId="0" applyFont="1" applyFill="1" applyBorder="1" applyAlignment="1">
      <alignment horizontal="center" vertical="center"/>
    </xf>
    <xf numFmtId="0" fontId="34" fillId="7" borderId="116" xfId="0" applyFont="1" applyFill="1" applyBorder="1" applyAlignment="1">
      <alignment horizontal="center" vertical="top" shrinkToFit="1"/>
    </xf>
    <xf numFmtId="181" fontId="296" fillId="7" borderId="15" xfId="0" applyNumberFormat="1" applyFont="1" applyFill="1" applyBorder="1" applyAlignment="1">
      <alignment horizontal="right" vertical="center" shrinkToFit="1"/>
    </xf>
    <xf numFmtId="181" fontId="296" fillId="7" borderId="17" xfId="0" applyNumberFormat="1" applyFont="1" applyFill="1" applyBorder="1" applyAlignment="1">
      <alignment horizontal="right" vertical="center" shrinkToFit="1"/>
    </xf>
    <xf numFmtId="181" fontId="296" fillId="7" borderId="16" xfId="0" applyNumberFormat="1" applyFont="1" applyFill="1" applyBorder="1" applyAlignment="1">
      <alignment horizontal="right" vertical="center" shrinkToFit="1"/>
    </xf>
    <xf numFmtId="181" fontId="296" fillId="7" borderId="20" xfId="0" applyNumberFormat="1" applyFont="1" applyFill="1" applyBorder="1" applyAlignment="1">
      <alignment horizontal="right" vertical="center" shrinkToFit="1"/>
    </xf>
    <xf numFmtId="181" fontId="296" fillId="7" borderId="11" xfId="0" applyNumberFormat="1" applyFont="1" applyFill="1" applyBorder="1" applyAlignment="1">
      <alignment horizontal="right" vertical="center" shrinkToFit="1"/>
    </xf>
    <xf numFmtId="181" fontId="296" fillId="7" borderId="23" xfId="0" applyNumberFormat="1" applyFont="1" applyFill="1" applyBorder="1" applyAlignment="1">
      <alignment horizontal="right" vertical="center" shrinkToFit="1"/>
    </xf>
    <xf numFmtId="0" fontId="299" fillId="10" borderId="21" xfId="0" applyFont="1" applyFill="1" applyBorder="1" applyAlignment="1">
      <alignment horizontal="center" vertical="center"/>
    </xf>
    <xf numFmtId="0" fontId="299" fillId="10" borderId="519" xfId="0" applyFont="1" applyFill="1" applyBorder="1" applyAlignment="1">
      <alignment horizontal="center" vertical="center"/>
    </xf>
    <xf numFmtId="0" fontId="34" fillId="7" borderId="2" xfId="0" applyFont="1" applyFill="1" applyBorder="1" applyAlignment="1">
      <alignment horizontal="right" shrinkToFit="1"/>
    </xf>
    <xf numFmtId="0" fontId="34" fillId="7" borderId="1" xfId="0" applyFont="1" applyFill="1" applyBorder="1" applyAlignment="1">
      <alignment horizontal="left" shrinkToFit="1"/>
    </xf>
    <xf numFmtId="0" fontId="34" fillId="7" borderId="116" xfId="0" applyFont="1" applyFill="1" applyBorder="1" applyAlignment="1">
      <alignment horizontal="left" vertical="top" shrinkToFit="1"/>
    </xf>
    <xf numFmtId="0" fontId="34" fillId="7" borderId="116" xfId="0" applyFont="1" applyFill="1" applyBorder="1" applyAlignment="1">
      <alignment horizontal="right" vertical="top" shrinkToFit="1"/>
    </xf>
    <xf numFmtId="0" fontId="33" fillId="10" borderId="0" xfId="0" applyFont="1" applyFill="1" applyBorder="1" applyAlignment="1">
      <alignment horizontal="center" vertical="center" shrinkToFit="1"/>
    </xf>
    <xf numFmtId="0" fontId="34" fillId="7" borderId="2" xfId="0" applyFont="1" applyFill="1" applyBorder="1" applyAlignment="1">
      <alignment horizontal="left" shrinkToFit="1"/>
    </xf>
    <xf numFmtId="181" fontId="296" fillId="10" borderId="15" xfId="0" applyNumberFormat="1" applyFont="1" applyFill="1" applyBorder="1" applyAlignment="1">
      <alignment horizontal="right" vertical="center" shrinkToFit="1"/>
    </xf>
    <xf numFmtId="181" fontId="296" fillId="10" borderId="17" xfId="0" applyNumberFormat="1" applyFont="1" applyFill="1" applyBorder="1" applyAlignment="1">
      <alignment horizontal="right" vertical="center" shrinkToFit="1"/>
    </xf>
    <xf numFmtId="181" fontId="296" fillId="10" borderId="16" xfId="0" applyNumberFormat="1" applyFont="1" applyFill="1" applyBorder="1" applyAlignment="1">
      <alignment horizontal="right" vertical="center" shrinkToFit="1"/>
    </xf>
    <xf numFmtId="181" fontId="296" fillId="10" borderId="20" xfId="0" applyNumberFormat="1" applyFont="1" applyFill="1" applyBorder="1" applyAlignment="1">
      <alignment horizontal="right" vertical="center" shrinkToFit="1"/>
    </xf>
    <xf numFmtId="181" fontId="296" fillId="10" borderId="11" xfId="0" applyNumberFormat="1" applyFont="1" applyFill="1" applyBorder="1" applyAlignment="1">
      <alignment horizontal="right" vertical="center" shrinkToFit="1"/>
    </xf>
    <xf numFmtId="181" fontId="296" fillId="10" borderId="23" xfId="0" applyNumberFormat="1" applyFont="1" applyFill="1" applyBorder="1" applyAlignment="1">
      <alignment horizontal="right" vertical="center" shrinkToFit="1"/>
    </xf>
    <xf numFmtId="0" fontId="34" fillId="7" borderId="116" xfId="0" applyFont="1" applyFill="1" applyBorder="1" applyAlignment="1">
      <alignment horizontal="right" vertical="center" shrinkToFit="1"/>
    </xf>
    <xf numFmtId="0" fontId="34" fillId="7" borderId="116" xfId="0" applyFont="1" applyFill="1" applyBorder="1" applyAlignment="1">
      <alignment horizontal="center" vertical="center" shrinkToFit="1"/>
    </xf>
    <xf numFmtId="0" fontId="34" fillId="7" borderId="116" xfId="0" applyFont="1" applyFill="1" applyBorder="1" applyAlignment="1">
      <alignment horizontal="left" vertical="center" shrinkToFit="1"/>
    </xf>
    <xf numFmtId="0" fontId="295" fillId="10" borderId="556" xfId="0" applyFont="1" applyFill="1" applyBorder="1" applyAlignment="1">
      <alignment horizontal="left" vertical="center" shrinkToFit="1"/>
    </xf>
    <xf numFmtId="0" fontId="295" fillId="10" borderId="17" xfId="0" applyFont="1" applyFill="1" applyBorder="1" applyAlignment="1">
      <alignment horizontal="left" vertical="center" shrinkToFit="1"/>
    </xf>
    <xf numFmtId="179" fontId="207" fillId="10" borderId="0" xfId="0" quotePrefix="1" applyNumberFormat="1" applyFont="1" applyFill="1" applyBorder="1" applyAlignment="1">
      <alignment horizontal="center" vertical="center" shrinkToFit="1"/>
    </xf>
    <xf numFmtId="0" fontId="27" fillId="5" borderId="0" xfId="0" applyFont="1" applyFill="1" applyBorder="1" applyAlignment="1" applyProtection="1">
      <alignment horizontal="center" vertical="center" shrinkToFit="1"/>
      <protection hidden="1"/>
    </xf>
    <xf numFmtId="0" fontId="9" fillId="38" borderId="11" xfId="0" applyFont="1" applyFill="1" applyBorder="1" applyAlignment="1" applyProtection="1">
      <alignment horizontal="right" vertical="center" shrinkToFit="1"/>
      <protection locked="0"/>
    </xf>
    <xf numFmtId="0" fontId="9" fillId="38" borderId="23" xfId="0" applyFont="1" applyFill="1" applyBorder="1" applyAlignment="1" applyProtection="1">
      <alignment horizontal="right" vertical="center" shrinkToFit="1"/>
      <protection locked="0"/>
    </xf>
    <xf numFmtId="0" fontId="309" fillId="37" borderId="20" xfId="0" applyFont="1" applyFill="1" applyBorder="1" applyAlignment="1" applyProtection="1">
      <alignment horizontal="center" vertical="center"/>
      <protection locked="0"/>
    </xf>
    <xf numFmtId="0" fontId="309" fillId="37" borderId="23" xfId="0" applyFont="1" applyFill="1" applyBorder="1" applyAlignment="1" applyProtection="1">
      <alignment horizontal="center" vertical="center"/>
      <protection locked="0"/>
    </xf>
    <xf numFmtId="182" fontId="309" fillId="4" borderId="20" xfId="0" applyNumberFormat="1" applyFont="1" applyFill="1" applyBorder="1" applyAlignment="1" applyProtection="1">
      <alignment horizontal="right" vertical="center" shrinkToFit="1"/>
      <protection hidden="1"/>
    </xf>
    <xf numFmtId="182" fontId="309" fillId="4" borderId="23" xfId="0" applyNumberFormat="1" applyFont="1" applyFill="1" applyBorder="1" applyAlignment="1" applyProtection="1">
      <alignment horizontal="right" vertical="center" shrinkToFit="1"/>
      <protection hidden="1"/>
    </xf>
    <xf numFmtId="184" fontId="100" fillId="27" borderId="20" xfId="0" applyNumberFormat="1" applyFont="1" applyFill="1" applyBorder="1" applyAlignment="1" applyProtection="1">
      <alignment horizontal="right" vertical="center" shrinkToFit="1"/>
      <protection hidden="1"/>
    </xf>
    <xf numFmtId="184" fontId="100" fillId="27" borderId="23" xfId="0" applyNumberFormat="1" applyFont="1" applyFill="1" applyBorder="1" applyAlignment="1" applyProtection="1">
      <alignment horizontal="right" vertical="center" shrinkToFit="1"/>
      <protection hidden="1"/>
    </xf>
    <xf numFmtId="0" fontId="9" fillId="5" borderId="0" xfId="0" applyFont="1" applyFill="1" applyBorder="1" applyAlignment="1" applyProtection="1">
      <alignment horizontal="right" vertical="center" shrinkToFit="1"/>
      <protection hidden="1"/>
    </xf>
    <xf numFmtId="182" fontId="100" fillId="4" borderId="24" xfId="0" applyNumberFormat="1" applyFont="1" applyFill="1" applyBorder="1" applyAlignment="1" applyProtection="1">
      <alignment horizontal="right" vertical="center" shrinkToFit="1"/>
      <protection hidden="1"/>
    </xf>
    <xf numFmtId="182" fontId="100" fillId="4" borderId="21" xfId="0" applyNumberFormat="1" applyFont="1" applyFill="1" applyBorder="1" applyAlignment="1" applyProtection="1">
      <alignment horizontal="right" vertical="center" shrinkToFit="1"/>
      <protection hidden="1"/>
    </xf>
    <xf numFmtId="182" fontId="100" fillId="4" borderId="22" xfId="0" applyNumberFormat="1" applyFont="1" applyFill="1" applyBorder="1" applyAlignment="1" applyProtection="1">
      <alignment horizontal="right" vertical="center" shrinkToFit="1"/>
      <protection hidden="1"/>
    </xf>
    <xf numFmtId="182" fontId="90" fillId="4" borderId="24" xfId="0" applyNumberFormat="1" applyFont="1" applyFill="1" applyBorder="1" applyAlignment="1" applyProtection="1">
      <alignment horizontal="right" vertical="center" shrinkToFit="1"/>
      <protection hidden="1"/>
    </xf>
    <xf numFmtId="182" fontId="90" fillId="4" borderId="21" xfId="0" applyNumberFormat="1" applyFont="1" applyFill="1" applyBorder="1" applyAlignment="1" applyProtection="1">
      <alignment horizontal="right" vertical="center" shrinkToFit="1"/>
      <protection hidden="1"/>
    </xf>
    <xf numFmtId="182" fontId="90" fillId="4" borderId="22" xfId="0" applyNumberFormat="1" applyFont="1" applyFill="1" applyBorder="1" applyAlignment="1" applyProtection="1">
      <alignment horizontal="right" vertical="center" shrinkToFit="1"/>
      <protection hidden="1"/>
    </xf>
    <xf numFmtId="0" fontId="9" fillId="38" borderId="48" xfId="0" applyFont="1" applyFill="1" applyBorder="1" applyAlignment="1" applyProtection="1">
      <alignment horizontal="right" vertical="center" shrinkToFit="1"/>
      <protection locked="0"/>
    </xf>
    <xf numFmtId="0" fontId="9" fillId="38" borderId="47" xfId="0" applyFont="1" applyFill="1" applyBorder="1" applyAlignment="1" applyProtection="1">
      <alignment horizontal="right" vertical="center" shrinkToFit="1"/>
      <protection locked="0"/>
    </xf>
    <xf numFmtId="0" fontId="309" fillId="37" borderId="46" xfId="0" applyFont="1" applyFill="1" applyBorder="1" applyAlignment="1" applyProtection="1">
      <alignment horizontal="center" vertical="center"/>
      <protection locked="0"/>
    </xf>
    <xf numFmtId="0" fontId="309" fillId="37" borderId="47" xfId="0" applyFont="1" applyFill="1" applyBorder="1" applyAlignment="1" applyProtection="1">
      <alignment horizontal="center" vertical="center"/>
      <protection locked="0"/>
    </xf>
    <xf numFmtId="182" fontId="309" fillId="4" borderId="46" xfId="0" applyNumberFormat="1" applyFont="1" applyFill="1" applyBorder="1" applyAlignment="1" applyProtection="1">
      <alignment horizontal="right" vertical="center" shrinkToFit="1"/>
      <protection hidden="1"/>
    </xf>
    <xf numFmtId="182" fontId="309" fillId="4" borderId="47" xfId="0" applyNumberFormat="1" applyFont="1" applyFill="1" applyBorder="1" applyAlignment="1" applyProtection="1">
      <alignment horizontal="right" vertical="center" shrinkToFit="1"/>
      <protection hidden="1"/>
    </xf>
    <xf numFmtId="184" fontId="100" fillId="27" borderId="46" xfId="0" applyNumberFormat="1" applyFont="1" applyFill="1" applyBorder="1" applyAlignment="1" applyProtection="1">
      <alignment horizontal="right" vertical="center" shrinkToFit="1"/>
      <protection hidden="1"/>
    </xf>
    <xf numFmtId="184" fontId="100" fillId="27" borderId="47" xfId="0" applyNumberFormat="1" applyFont="1" applyFill="1" applyBorder="1" applyAlignment="1" applyProtection="1">
      <alignment horizontal="right" vertical="center" shrinkToFit="1"/>
      <protection hidden="1"/>
    </xf>
    <xf numFmtId="0" fontId="310" fillId="5" borderId="15" xfId="0" applyFont="1" applyFill="1" applyBorder="1" applyAlignment="1" applyProtection="1">
      <alignment horizontal="center" vertical="center" shrinkToFit="1"/>
      <protection hidden="1"/>
    </xf>
    <xf numFmtId="0" fontId="310" fillId="5" borderId="17" xfId="0" applyFont="1" applyFill="1" applyBorder="1" applyAlignment="1" applyProtection="1">
      <alignment horizontal="center" vertical="center" shrinkToFit="1"/>
      <protection hidden="1"/>
    </xf>
    <xf numFmtId="0" fontId="309" fillId="37" borderId="24" xfId="0" applyFont="1" applyFill="1" applyBorder="1" applyAlignment="1" applyProtection="1">
      <alignment horizontal="center" vertical="center"/>
      <protection locked="0"/>
    </xf>
    <xf numFmtId="0" fontId="309" fillId="37" borderId="22" xfId="0" applyFont="1" applyFill="1" applyBorder="1" applyAlignment="1" applyProtection="1">
      <alignment horizontal="center" vertical="center"/>
      <protection locked="0"/>
    </xf>
    <xf numFmtId="187" fontId="90" fillId="4" borderId="24" xfId="0" applyNumberFormat="1" applyFont="1" applyFill="1" applyBorder="1" applyAlignment="1" applyProtection="1">
      <alignment horizontal="right" vertical="center" shrinkToFit="1"/>
      <protection hidden="1"/>
    </xf>
    <xf numFmtId="187" fontId="90" fillId="4" borderId="21" xfId="0" applyNumberFormat="1" applyFont="1" applyFill="1" applyBorder="1" applyAlignment="1" applyProtection="1">
      <alignment horizontal="right" vertical="center" shrinkToFit="1"/>
      <protection hidden="1"/>
    </xf>
    <xf numFmtId="187" fontId="90" fillId="4" borderId="22" xfId="0" applyNumberFormat="1" applyFont="1" applyFill="1" applyBorder="1" applyAlignment="1" applyProtection="1">
      <alignment horizontal="right" vertical="center" shrinkToFit="1"/>
      <protection hidden="1"/>
    </xf>
    <xf numFmtId="0" fontId="9" fillId="38" borderId="17" xfId="0" applyFont="1" applyFill="1" applyBorder="1" applyAlignment="1" applyProtection="1">
      <alignment horizontal="right" vertical="center" shrinkToFit="1"/>
      <protection locked="0"/>
    </xf>
    <xf numFmtId="0" fontId="9" fillId="38" borderId="16" xfId="0" applyFont="1" applyFill="1" applyBorder="1" applyAlignment="1" applyProtection="1">
      <alignment horizontal="right" vertical="center" shrinkToFit="1"/>
      <protection locked="0"/>
    </xf>
    <xf numFmtId="0" fontId="309" fillId="37" borderId="15" xfId="0" applyFont="1" applyFill="1" applyBorder="1" applyAlignment="1" applyProtection="1">
      <alignment horizontal="center" vertical="center"/>
      <protection locked="0"/>
    </xf>
    <xf numFmtId="0" fontId="309" fillId="37" borderId="16" xfId="0" applyFont="1" applyFill="1" applyBorder="1" applyAlignment="1" applyProtection="1">
      <alignment horizontal="center" vertical="center"/>
      <protection locked="0"/>
    </xf>
    <xf numFmtId="182" fontId="309" fillId="4" borderId="15" xfId="0" applyNumberFormat="1" applyFont="1" applyFill="1" applyBorder="1" applyAlignment="1" applyProtection="1">
      <alignment horizontal="right" vertical="center" shrinkToFit="1"/>
      <protection hidden="1"/>
    </xf>
    <xf numFmtId="182" fontId="309" fillId="4" borderId="16" xfId="0" applyNumberFormat="1" applyFont="1" applyFill="1" applyBorder="1" applyAlignment="1" applyProtection="1">
      <alignment horizontal="right" vertical="center" shrinkToFit="1"/>
      <protection hidden="1"/>
    </xf>
    <xf numFmtId="184" fontId="100" fillId="27" borderId="15" xfId="0" applyNumberFormat="1" applyFont="1" applyFill="1" applyBorder="1" applyAlignment="1" applyProtection="1">
      <alignment horizontal="right" vertical="center" shrinkToFit="1"/>
      <protection hidden="1"/>
    </xf>
    <xf numFmtId="184" fontId="100" fillId="27" borderId="16" xfId="0" applyNumberFormat="1" applyFont="1" applyFill="1" applyBorder="1" applyAlignment="1" applyProtection="1">
      <alignment horizontal="right" vertical="center" shrinkToFit="1"/>
      <protection hidden="1"/>
    </xf>
    <xf numFmtId="0" fontId="9" fillId="38" borderId="24" xfId="0" applyFont="1" applyFill="1" applyBorder="1" applyAlignment="1" applyProtection="1">
      <alignment horizontal="center" vertical="center" shrinkToFit="1"/>
      <protection locked="0"/>
    </xf>
    <xf numFmtId="0" fontId="9" fillId="38" borderId="22" xfId="0" applyFont="1" applyFill="1" applyBorder="1" applyAlignment="1" applyProtection="1">
      <alignment horizontal="center" vertical="center" shrinkToFit="1"/>
      <protection locked="0"/>
    </xf>
    <xf numFmtId="0" fontId="9" fillId="38" borderId="24" xfId="0" applyFont="1" applyFill="1" applyBorder="1" applyAlignment="1" applyProtection="1">
      <alignment horizontal="center" vertical="center"/>
      <protection locked="0"/>
    </xf>
    <xf numFmtId="0" fontId="9" fillId="38" borderId="22" xfId="0" applyFont="1" applyFill="1" applyBorder="1" applyAlignment="1" applyProtection="1">
      <alignment horizontal="center" vertical="center"/>
      <protection locked="0"/>
    </xf>
    <xf numFmtId="182" fontId="309" fillId="4" borderId="24" xfId="0" applyNumberFormat="1" applyFont="1" applyFill="1" applyBorder="1" applyAlignment="1" applyProtection="1">
      <alignment horizontal="right" vertical="center" shrinkToFit="1"/>
      <protection hidden="1"/>
    </xf>
    <xf numFmtId="182" fontId="309" fillId="4" borderId="22" xfId="0" applyNumberFormat="1" applyFont="1" applyFill="1" applyBorder="1" applyAlignment="1" applyProtection="1">
      <alignment horizontal="right" vertical="center" shrinkToFit="1"/>
      <protection hidden="1"/>
    </xf>
    <xf numFmtId="0" fontId="309" fillId="37" borderId="21" xfId="0" applyFont="1" applyFill="1" applyBorder="1" applyAlignment="1" applyProtection="1">
      <alignment horizontal="center" vertical="center"/>
      <protection locked="0"/>
    </xf>
    <xf numFmtId="0" fontId="96" fillId="39" borderId="24" xfId="0" applyFont="1" applyFill="1" applyBorder="1" applyAlignment="1" applyProtection="1">
      <alignment horizontal="center" vertical="center" shrinkToFit="1"/>
      <protection hidden="1"/>
    </xf>
    <xf numFmtId="0" fontId="96" fillId="39" borderId="21" xfId="0" applyFont="1" applyFill="1" applyBorder="1" applyAlignment="1" applyProtection="1">
      <alignment horizontal="center" vertical="center" shrinkToFit="1"/>
      <protection hidden="1"/>
    </xf>
    <xf numFmtId="0" fontId="96" fillId="39" borderId="22" xfId="0" applyFont="1" applyFill="1" applyBorder="1" applyAlignment="1" applyProtection="1">
      <alignment horizontal="center" vertical="center" shrinkToFit="1"/>
      <protection hidden="1"/>
    </xf>
    <xf numFmtId="0" fontId="4" fillId="12" borderId="0" xfId="0" applyFont="1" applyFill="1" applyBorder="1" applyAlignment="1" applyProtection="1">
      <alignment horizontal="center" vertical="center"/>
      <protection hidden="1"/>
    </xf>
    <xf numFmtId="0" fontId="96" fillId="39" borderId="17" xfId="0" applyFont="1" applyFill="1" applyBorder="1" applyAlignment="1" applyProtection="1">
      <alignment horizontal="center" vertical="center" shrinkToFit="1"/>
      <protection hidden="1"/>
    </xf>
    <xf numFmtId="0" fontId="96" fillId="39" borderId="16" xfId="0" applyFont="1" applyFill="1" applyBorder="1" applyAlignment="1" applyProtection="1">
      <alignment horizontal="center" vertical="center" shrinkToFit="1"/>
      <protection hidden="1"/>
    </xf>
    <xf numFmtId="0" fontId="96" fillId="39" borderId="11" xfId="0" applyFont="1" applyFill="1" applyBorder="1" applyAlignment="1" applyProtection="1">
      <alignment horizontal="center" vertical="center" shrinkToFit="1"/>
      <protection hidden="1"/>
    </xf>
    <xf numFmtId="0" fontId="96" fillId="39" borderId="23" xfId="0" applyFont="1" applyFill="1" applyBorder="1" applyAlignment="1" applyProtection="1">
      <alignment horizontal="center" vertical="center" shrinkToFit="1"/>
      <protection hidden="1"/>
    </xf>
    <xf numFmtId="0" fontId="96" fillId="39" borderId="15" xfId="0" applyFont="1" applyFill="1" applyBorder="1" applyAlignment="1" applyProtection="1">
      <alignment horizontal="center" vertical="center" shrinkToFit="1"/>
      <protection hidden="1"/>
    </xf>
    <xf numFmtId="0" fontId="96" fillId="39" borderId="20" xfId="0" applyFont="1" applyFill="1" applyBorder="1" applyAlignment="1" applyProtection="1">
      <alignment horizontal="center" vertical="center" shrinkToFit="1"/>
      <protection hidden="1"/>
    </xf>
    <xf numFmtId="0" fontId="96" fillId="39" borderId="19" xfId="0" applyFont="1" applyFill="1" applyBorder="1" applyAlignment="1" applyProtection="1">
      <alignment horizontal="center" vertical="center" shrinkToFit="1"/>
      <protection hidden="1"/>
    </xf>
    <xf numFmtId="0" fontId="96" fillId="39" borderId="18" xfId="0" applyFont="1" applyFill="1" applyBorder="1" applyAlignment="1" applyProtection="1">
      <alignment horizontal="center" vertical="center" shrinkToFit="1"/>
      <protection hidden="1"/>
    </xf>
    <xf numFmtId="0" fontId="96" fillId="39" borderId="15" xfId="0" applyFont="1" applyFill="1" applyBorder="1" applyAlignment="1" applyProtection="1">
      <alignment horizontal="center" vertical="center" textRotation="255" shrinkToFit="1"/>
      <protection hidden="1"/>
    </xf>
    <xf numFmtId="0" fontId="96" fillId="39" borderId="20" xfId="0" applyFont="1" applyFill="1" applyBorder="1" applyAlignment="1" applyProtection="1">
      <alignment horizontal="center" vertical="center" textRotation="255" shrinkToFit="1"/>
      <protection hidden="1"/>
    </xf>
    <xf numFmtId="0" fontId="97" fillId="42" borderId="111" xfId="0" applyFont="1" applyFill="1" applyBorder="1" applyAlignment="1" applyProtection="1">
      <alignment horizontal="center" vertical="center" shrinkToFit="1"/>
      <protection hidden="1"/>
    </xf>
    <xf numFmtId="0" fontId="97" fillId="42" borderId="114" xfId="0" applyFont="1" applyFill="1" applyBorder="1" applyAlignment="1" applyProtection="1">
      <alignment horizontal="center" vertical="center" shrinkToFit="1"/>
      <protection hidden="1"/>
    </xf>
    <xf numFmtId="0" fontId="97" fillId="42" borderId="158" xfId="0" applyFont="1" applyFill="1" applyBorder="1" applyAlignment="1" applyProtection="1">
      <alignment horizontal="center" vertical="center" shrinkToFit="1"/>
      <protection hidden="1"/>
    </xf>
    <xf numFmtId="176" fontId="317" fillId="41" borderId="155" xfId="0" applyNumberFormat="1" applyFont="1" applyFill="1" applyBorder="1" applyAlignment="1" applyProtection="1">
      <alignment horizontal="right" vertical="center" shrinkToFit="1"/>
      <protection locked="0"/>
    </xf>
    <xf numFmtId="176" fontId="317" fillId="41" borderId="162" xfId="0" applyNumberFormat="1" applyFont="1" applyFill="1" applyBorder="1" applyAlignment="1" applyProtection="1">
      <alignment horizontal="right" vertical="center" shrinkToFit="1"/>
      <protection locked="0"/>
    </xf>
    <xf numFmtId="184" fontId="316" fillId="40" borderId="44" xfId="0" applyNumberFormat="1" applyFont="1" applyFill="1" applyBorder="1" applyAlignment="1" applyProtection="1">
      <alignment horizontal="center" vertical="center" shrinkToFit="1"/>
      <protection hidden="1"/>
    </xf>
    <xf numFmtId="184" fontId="316" fillId="40" borderId="45" xfId="0" applyNumberFormat="1" applyFont="1" applyFill="1" applyBorder="1" applyAlignment="1" applyProtection="1">
      <alignment horizontal="center" vertical="center" shrinkToFit="1"/>
      <protection hidden="1"/>
    </xf>
    <xf numFmtId="184" fontId="316" fillId="40" borderId="125" xfId="0" applyNumberFormat="1" applyFont="1" applyFill="1" applyBorder="1" applyAlignment="1" applyProtection="1">
      <alignment horizontal="center" vertical="center" shrinkToFit="1"/>
      <protection hidden="1"/>
    </xf>
    <xf numFmtId="0" fontId="203" fillId="42" borderId="155" xfId="0" applyFont="1" applyFill="1" applyBorder="1" applyAlignment="1" applyProtection="1">
      <alignment horizontal="center" vertical="center" shrinkToFit="1"/>
      <protection hidden="1"/>
    </xf>
    <xf numFmtId="0" fontId="203" fillId="42" borderId="160" xfId="0" applyFont="1" applyFill="1" applyBorder="1" applyAlignment="1" applyProtection="1">
      <alignment horizontal="center" vertical="center" shrinkToFit="1"/>
      <protection hidden="1"/>
    </xf>
    <xf numFmtId="0" fontId="203" fillId="42" borderId="162" xfId="0" applyFont="1" applyFill="1" applyBorder="1" applyAlignment="1" applyProtection="1">
      <alignment horizontal="center" vertical="center" shrinkToFit="1"/>
      <protection hidden="1"/>
    </xf>
    <xf numFmtId="0" fontId="21" fillId="9" borderId="109" xfId="0" applyFont="1" applyFill="1" applyBorder="1" applyAlignment="1" applyProtection="1">
      <alignment horizontal="center" vertical="center" shrinkToFit="1"/>
      <protection hidden="1"/>
    </xf>
    <xf numFmtId="184" fontId="314" fillId="4" borderId="24" xfId="0" applyNumberFormat="1" applyFont="1" applyFill="1" applyBorder="1" applyAlignment="1" applyProtection="1">
      <alignment horizontal="right" vertical="center"/>
      <protection hidden="1"/>
    </xf>
    <xf numFmtId="184" fontId="314" fillId="4" borderId="21" xfId="0" applyNumberFormat="1" applyFont="1" applyFill="1" applyBorder="1" applyAlignment="1" applyProtection="1">
      <alignment horizontal="right" vertical="center"/>
      <protection hidden="1"/>
    </xf>
    <xf numFmtId="184" fontId="314" fillId="4" borderId="22" xfId="0" applyNumberFormat="1" applyFont="1" applyFill="1" applyBorder="1" applyAlignment="1" applyProtection="1">
      <alignment horizontal="right" vertical="center"/>
      <protection hidden="1"/>
    </xf>
    <xf numFmtId="0" fontId="97" fillId="9" borderId="24" xfId="0" applyFont="1" applyFill="1" applyBorder="1" applyAlignment="1" applyProtection="1">
      <alignment horizontal="center" vertical="center" shrinkToFit="1"/>
      <protection hidden="1"/>
    </xf>
    <xf numFmtId="0" fontId="97" fillId="9" borderId="21" xfId="0" applyFont="1" applyFill="1" applyBorder="1" applyAlignment="1" applyProtection="1">
      <alignment horizontal="center" vertical="center" shrinkToFit="1"/>
      <protection hidden="1"/>
    </xf>
    <xf numFmtId="0" fontId="97" fillId="9" borderId="22" xfId="0" applyFont="1" applyFill="1" applyBorder="1" applyAlignment="1" applyProtection="1">
      <alignment horizontal="center" vertical="center" shrinkToFit="1"/>
      <protection hidden="1"/>
    </xf>
    <xf numFmtId="184" fontId="311" fillId="4" borderId="20" xfId="0" applyNumberFormat="1" applyFont="1" applyFill="1" applyBorder="1" applyAlignment="1" applyProtection="1">
      <alignment horizontal="right" vertical="center" shrinkToFit="1"/>
      <protection hidden="1"/>
    </xf>
    <xf numFmtId="184" fontId="311" fillId="4" borderId="11" xfId="0" applyNumberFormat="1" applyFont="1" applyFill="1" applyBorder="1" applyAlignment="1" applyProtection="1">
      <alignment horizontal="right" vertical="center" shrinkToFit="1"/>
      <protection hidden="1"/>
    </xf>
    <xf numFmtId="184" fontId="311" fillId="4" borderId="23" xfId="0" applyNumberFormat="1" applyFont="1" applyFill="1" applyBorder="1" applyAlignment="1" applyProtection="1">
      <alignment horizontal="right" vertical="center" shrinkToFit="1"/>
      <protection hidden="1"/>
    </xf>
    <xf numFmtId="184" fontId="316" fillId="40" borderId="155" xfId="0" applyNumberFormat="1" applyFont="1" applyFill="1" applyBorder="1" applyAlignment="1" applyProtection="1">
      <alignment horizontal="center" vertical="center" shrinkToFit="1"/>
      <protection hidden="1"/>
    </xf>
    <xf numFmtId="184" fontId="316" fillId="40" borderId="160" xfId="0" applyNumberFormat="1" applyFont="1" applyFill="1" applyBorder="1" applyAlignment="1" applyProtection="1">
      <alignment horizontal="center" vertical="center" shrinkToFit="1"/>
      <protection hidden="1"/>
    </xf>
    <xf numFmtId="184" fontId="316" fillId="40" borderId="162" xfId="0" applyNumberFormat="1" applyFont="1" applyFill="1" applyBorder="1" applyAlignment="1" applyProtection="1">
      <alignment horizontal="center" vertical="center" shrinkToFit="1"/>
      <protection hidden="1"/>
    </xf>
    <xf numFmtId="0" fontId="7" fillId="42" borderId="302" xfId="0" applyFont="1" applyFill="1" applyBorder="1" applyAlignment="1" applyProtection="1">
      <alignment horizontal="center" vertical="center" shrinkToFit="1"/>
      <protection hidden="1"/>
    </xf>
    <xf numFmtId="0" fontId="7" fillId="42" borderId="301" xfId="0" applyFont="1" applyFill="1" applyBorder="1" applyAlignment="1" applyProtection="1">
      <alignment horizontal="center" vertical="center" shrinkToFit="1"/>
      <protection hidden="1"/>
    </xf>
    <xf numFmtId="0" fontId="7" fillId="42" borderId="300" xfId="0" applyFont="1" applyFill="1" applyBorder="1" applyAlignment="1" applyProtection="1">
      <alignment horizontal="center" vertical="center" shrinkToFit="1"/>
      <protection hidden="1"/>
    </xf>
    <xf numFmtId="176" fontId="317" fillId="41" borderId="302" xfId="0" applyNumberFormat="1" applyFont="1" applyFill="1" applyBorder="1" applyAlignment="1" applyProtection="1">
      <alignment horizontal="right" vertical="center" shrinkToFit="1"/>
      <protection locked="0"/>
    </xf>
    <xf numFmtId="176" fontId="317" fillId="41" borderId="300" xfId="0" applyNumberFormat="1" applyFont="1" applyFill="1" applyBorder="1" applyAlignment="1" applyProtection="1">
      <alignment horizontal="right" vertical="center" shrinkToFit="1"/>
      <protection locked="0"/>
    </xf>
    <xf numFmtId="184" fontId="121" fillId="40" borderId="302" xfId="0" applyNumberFormat="1" applyFont="1" applyFill="1" applyBorder="1" applyAlignment="1" applyProtection="1">
      <alignment horizontal="center" vertical="center" shrinkToFit="1"/>
      <protection hidden="1"/>
    </xf>
    <xf numFmtId="184" fontId="121" fillId="40" borderId="301" xfId="0" applyNumberFormat="1" applyFont="1" applyFill="1" applyBorder="1" applyAlignment="1" applyProtection="1">
      <alignment horizontal="center" vertical="center" shrinkToFit="1"/>
      <protection hidden="1"/>
    </xf>
    <xf numFmtId="184" fontId="121" fillId="40" borderId="300" xfId="0" applyNumberFormat="1" applyFont="1" applyFill="1" applyBorder="1" applyAlignment="1" applyProtection="1">
      <alignment horizontal="center" vertical="center" shrinkToFit="1"/>
      <protection hidden="1"/>
    </xf>
    <xf numFmtId="0" fontId="203" fillId="42" borderId="310" xfId="0" applyFont="1" applyFill="1" applyBorder="1" applyAlignment="1" applyProtection="1">
      <alignment horizontal="center" vertical="center" shrinkToFit="1"/>
      <protection hidden="1"/>
    </xf>
    <xf numFmtId="0" fontId="203" fillId="42" borderId="309" xfId="0" applyFont="1" applyFill="1" applyBorder="1" applyAlignment="1" applyProtection="1">
      <alignment horizontal="center" vertical="center" shrinkToFit="1"/>
      <protection hidden="1"/>
    </xf>
    <xf numFmtId="0" fontId="203" fillId="42" borderId="308" xfId="0" applyFont="1" applyFill="1" applyBorder="1" applyAlignment="1" applyProtection="1">
      <alignment horizontal="center" vertical="center" shrinkToFit="1"/>
      <protection hidden="1"/>
    </xf>
    <xf numFmtId="176" fontId="317" fillId="41" borderId="310" xfId="0" applyNumberFormat="1" applyFont="1" applyFill="1" applyBorder="1" applyAlignment="1" applyProtection="1">
      <alignment horizontal="right" vertical="center" shrinkToFit="1"/>
      <protection locked="0"/>
    </xf>
    <xf numFmtId="176" fontId="317" fillId="41" borderId="308" xfId="0" applyNumberFormat="1" applyFont="1" applyFill="1" applyBorder="1" applyAlignment="1" applyProtection="1">
      <alignment horizontal="right" vertical="center" shrinkToFit="1"/>
      <protection locked="0"/>
    </xf>
    <xf numFmtId="184" fontId="316" fillId="40" borderId="310" xfId="0" applyNumberFormat="1" applyFont="1" applyFill="1" applyBorder="1" applyAlignment="1" applyProtection="1">
      <alignment horizontal="center" vertical="center" shrinkToFit="1"/>
      <protection hidden="1"/>
    </xf>
    <xf numFmtId="184" fontId="316" fillId="40" borderId="309" xfId="0" applyNumberFormat="1" applyFont="1" applyFill="1" applyBorder="1" applyAlignment="1" applyProtection="1">
      <alignment horizontal="center" vertical="center" shrinkToFit="1"/>
      <protection hidden="1"/>
    </xf>
    <xf numFmtId="184" fontId="316" fillId="40" borderId="308" xfId="0" applyNumberFormat="1" applyFont="1" applyFill="1" applyBorder="1" applyAlignment="1" applyProtection="1">
      <alignment horizontal="center" vertical="center" shrinkToFit="1"/>
      <protection hidden="1"/>
    </xf>
    <xf numFmtId="0" fontId="7" fillId="42" borderId="155" xfId="0" applyFont="1" applyFill="1" applyBorder="1" applyAlignment="1" applyProtection="1">
      <alignment horizontal="center" vertical="center" shrinkToFit="1"/>
      <protection hidden="1"/>
    </xf>
    <xf numFmtId="0" fontId="7" fillId="42" borderId="160" xfId="0" applyFont="1" applyFill="1" applyBorder="1" applyAlignment="1" applyProtection="1">
      <alignment horizontal="center" vertical="center" shrinkToFit="1"/>
      <protection hidden="1"/>
    </xf>
    <xf numFmtId="0" fontId="7" fillId="42" borderId="162" xfId="0" applyFont="1" applyFill="1" applyBorder="1" applyAlignment="1" applyProtection="1">
      <alignment horizontal="center" vertical="center" shrinkToFit="1"/>
      <protection hidden="1"/>
    </xf>
    <xf numFmtId="184" fontId="121" fillId="40" borderId="155" xfId="0" applyNumberFormat="1" applyFont="1" applyFill="1" applyBorder="1" applyAlignment="1" applyProtection="1">
      <alignment horizontal="center" vertical="center" shrinkToFit="1"/>
      <protection hidden="1"/>
    </xf>
    <xf numFmtId="184" fontId="121" fillId="40" borderId="160" xfId="0" applyNumberFormat="1" applyFont="1" applyFill="1" applyBorder="1" applyAlignment="1" applyProtection="1">
      <alignment horizontal="center" vertical="center" shrinkToFit="1"/>
      <protection hidden="1"/>
    </xf>
    <xf numFmtId="184" fontId="121" fillId="40" borderId="162" xfId="0" applyNumberFormat="1" applyFont="1" applyFill="1" applyBorder="1" applyAlignment="1" applyProtection="1">
      <alignment horizontal="center" vertical="center" shrinkToFit="1"/>
      <protection hidden="1"/>
    </xf>
    <xf numFmtId="0" fontId="319" fillId="40" borderId="109" xfId="0" applyFont="1" applyFill="1" applyBorder="1" applyAlignment="1" applyProtection="1">
      <alignment horizontal="center" vertical="center" shrinkToFit="1"/>
      <protection hidden="1"/>
    </xf>
    <xf numFmtId="0" fontId="96" fillId="43" borderId="111" xfId="0" applyFont="1" applyFill="1" applyBorder="1" applyAlignment="1" applyProtection="1">
      <alignment horizontal="center" vertical="center" shrinkToFit="1"/>
      <protection hidden="1"/>
    </xf>
    <xf numFmtId="0" fontId="96" fillId="43" borderId="114" xfId="0" applyFont="1" applyFill="1" applyBorder="1" applyAlignment="1" applyProtection="1">
      <alignment horizontal="center" vertical="center" shrinkToFit="1"/>
      <protection hidden="1"/>
    </xf>
    <xf numFmtId="0" fontId="96" fillId="43" borderId="158" xfId="0" applyFont="1" applyFill="1" applyBorder="1" applyAlignment="1" applyProtection="1">
      <alignment horizontal="center" vertical="center" shrinkToFit="1"/>
      <protection hidden="1"/>
    </xf>
    <xf numFmtId="0" fontId="96" fillId="43" borderId="155" xfId="0" applyFont="1" applyFill="1" applyBorder="1" applyAlignment="1" applyProtection="1">
      <alignment horizontal="center" vertical="center" shrinkToFit="1"/>
      <protection hidden="1"/>
    </xf>
    <xf numFmtId="0" fontId="96" fillId="43" borderId="162" xfId="0" applyFont="1" applyFill="1" applyBorder="1" applyAlignment="1" applyProtection="1">
      <alignment horizontal="center" vertical="center" shrinkToFit="1"/>
      <protection hidden="1"/>
    </xf>
    <xf numFmtId="0" fontId="96" fillId="43" borderId="160" xfId="0" applyFont="1" applyFill="1" applyBorder="1" applyAlignment="1" applyProtection="1">
      <alignment horizontal="center" vertical="center" shrinkToFit="1"/>
      <protection hidden="1"/>
    </xf>
    <xf numFmtId="0" fontId="96" fillId="44" borderId="155" xfId="0" applyFont="1" applyFill="1" applyBorder="1" applyAlignment="1" applyProtection="1">
      <alignment horizontal="center" vertical="center" shrinkToFit="1"/>
      <protection hidden="1"/>
    </xf>
    <xf numFmtId="0" fontId="96" fillId="44" borderId="160" xfId="0" applyFont="1" applyFill="1" applyBorder="1" applyAlignment="1" applyProtection="1">
      <alignment horizontal="center" vertical="center" shrinkToFit="1"/>
      <protection hidden="1"/>
    </xf>
    <xf numFmtId="0" fontId="96" fillId="44" borderId="162" xfId="0" applyFont="1" applyFill="1" applyBorder="1" applyAlignment="1" applyProtection="1">
      <alignment horizontal="center" vertical="center" shrinkToFit="1"/>
      <protection hidden="1"/>
    </xf>
    <xf numFmtId="0" fontId="319" fillId="40" borderId="111" xfId="0" applyFont="1" applyFill="1" applyBorder="1" applyAlignment="1" applyProtection="1">
      <alignment horizontal="center" vertical="center" shrinkToFit="1"/>
      <protection hidden="1"/>
    </xf>
    <xf numFmtId="0" fontId="319" fillId="44" borderId="109" xfId="0" applyFont="1" applyFill="1" applyBorder="1" applyAlignment="1" applyProtection="1">
      <alignment horizontal="center" vertical="center" shrinkToFit="1"/>
      <protection hidden="1"/>
    </xf>
    <xf numFmtId="0" fontId="319" fillId="44" borderId="111" xfId="0" applyFont="1" applyFill="1" applyBorder="1" applyAlignment="1" applyProtection="1">
      <alignment horizontal="center" vertical="center" shrinkToFit="1"/>
      <protection hidden="1"/>
    </xf>
    <xf numFmtId="0" fontId="126" fillId="11" borderId="12" xfId="1" applyFont="1" applyFill="1" applyBorder="1" applyAlignment="1">
      <alignment horizontal="center" vertical="center"/>
    </xf>
    <xf numFmtId="0" fontId="126" fillId="11" borderId="13" xfId="1" applyFont="1" applyFill="1" applyBorder="1" applyAlignment="1">
      <alignment horizontal="center" vertical="center"/>
    </xf>
    <xf numFmtId="0" fontId="126" fillId="11" borderId="14" xfId="1" applyFont="1" applyFill="1" applyBorder="1" applyAlignment="1">
      <alignment horizontal="center" vertical="center"/>
    </xf>
    <xf numFmtId="0" fontId="82" fillId="43" borderId="109" xfId="0" applyFont="1" applyFill="1" applyBorder="1" applyAlignment="1" applyProtection="1">
      <alignment horizontal="center" vertical="center"/>
      <protection hidden="1"/>
    </xf>
    <xf numFmtId="0" fontId="82" fillId="44" borderId="109" xfId="0" applyFont="1" applyFill="1" applyBorder="1" applyAlignment="1" applyProtection="1">
      <alignment horizontal="center" vertical="center"/>
      <protection hidden="1"/>
    </xf>
    <xf numFmtId="0" fontId="3" fillId="8" borderId="0" xfId="2" applyFont="1" applyFill="1" applyAlignment="1" applyProtection="1">
      <alignment horizontal="center" vertical="center" textRotation="90"/>
      <protection hidden="1"/>
    </xf>
    <xf numFmtId="0" fontId="449" fillId="8" borderId="118" xfId="2" applyNumberFormat="1" applyFont="1" applyFill="1" applyBorder="1" applyAlignment="1" applyProtection="1">
      <alignment horizontal="center" vertical="center"/>
      <protection hidden="1"/>
    </xf>
    <xf numFmtId="0" fontId="449" fillId="8" borderId="116" xfId="2" applyNumberFormat="1" applyFont="1" applyFill="1" applyBorder="1" applyAlignment="1" applyProtection="1">
      <alignment horizontal="center" vertical="center"/>
      <protection hidden="1"/>
    </xf>
    <xf numFmtId="0" fontId="449" fillId="8" borderId="243" xfId="2" applyNumberFormat="1" applyFont="1" applyFill="1" applyBorder="1" applyAlignment="1" applyProtection="1">
      <alignment horizontal="center" vertical="center"/>
      <protection hidden="1"/>
    </xf>
    <xf numFmtId="0" fontId="449" fillId="8" borderId="54" xfId="2" applyNumberFormat="1" applyFont="1" applyFill="1" applyBorder="1" applyAlignment="1" applyProtection="1">
      <alignment horizontal="center" vertical="center"/>
      <protection hidden="1"/>
    </xf>
    <xf numFmtId="0" fontId="449" fillId="8" borderId="55" xfId="2" applyNumberFormat="1" applyFont="1" applyFill="1" applyBorder="1" applyAlignment="1" applyProtection="1">
      <alignment horizontal="center" vertical="center"/>
      <protection hidden="1"/>
    </xf>
    <xf numFmtId="0" fontId="449" fillId="8" borderId="78" xfId="2" applyNumberFormat="1" applyFont="1" applyFill="1" applyBorder="1" applyAlignment="1" applyProtection="1">
      <alignment horizontal="center" vertical="center"/>
      <protection hidden="1"/>
    </xf>
    <xf numFmtId="0" fontId="260" fillId="28" borderId="67" xfId="2" applyNumberFormat="1" applyFont="1" applyFill="1" applyBorder="1" applyAlignment="1" applyProtection="1">
      <alignment horizontal="right" shrinkToFit="1"/>
      <protection locked="0"/>
    </xf>
    <xf numFmtId="0" fontId="260" fillId="28" borderId="68" xfId="2" applyNumberFormat="1" applyFont="1" applyFill="1" applyBorder="1" applyAlignment="1" applyProtection="1">
      <alignment horizontal="right" shrinkToFit="1"/>
      <protection locked="0"/>
    </xf>
    <xf numFmtId="0" fontId="160" fillId="8" borderId="68" xfId="2" applyNumberFormat="1" applyFont="1" applyFill="1" applyBorder="1" applyAlignment="1" applyProtection="1">
      <alignment horizontal="left" shrinkToFit="1"/>
      <protection hidden="1"/>
    </xf>
    <xf numFmtId="0" fontId="160" fillId="8" borderId="602" xfId="2" applyNumberFormat="1" applyFont="1" applyFill="1" applyBorder="1" applyAlignment="1" applyProtection="1">
      <alignment horizontal="left" shrinkToFit="1"/>
      <protection hidden="1"/>
    </xf>
    <xf numFmtId="0" fontId="260" fillId="28" borderId="65" xfId="2" applyNumberFormat="1" applyFont="1" applyFill="1" applyBorder="1" applyAlignment="1" applyProtection="1">
      <alignment horizontal="right" shrinkToFit="1"/>
      <protection locked="0"/>
    </xf>
    <xf numFmtId="0" fontId="111" fillId="8" borderId="0" xfId="2" applyFont="1" applyFill="1" applyAlignment="1" applyProtection="1">
      <alignment horizontal="center" vertical="center"/>
      <protection locked="0"/>
    </xf>
    <xf numFmtId="0" fontId="460" fillId="8" borderId="111" xfId="2" applyNumberFormat="1" applyFont="1" applyFill="1" applyBorder="1" applyAlignment="1" applyProtection="1">
      <alignment horizontal="center" vertical="center"/>
      <protection hidden="1"/>
    </xf>
    <xf numFmtId="0" fontId="460" fillId="8" borderId="114" xfId="2" applyNumberFormat="1" applyFont="1" applyFill="1" applyBorder="1" applyAlignment="1" applyProtection="1">
      <alignment horizontal="center" vertical="center"/>
      <protection hidden="1"/>
    </xf>
    <xf numFmtId="0" fontId="460" fillId="8" borderId="112" xfId="2" applyNumberFormat="1" applyFont="1" applyFill="1" applyBorder="1" applyAlignment="1" applyProtection="1">
      <alignment horizontal="center" vertical="center"/>
      <protection hidden="1"/>
    </xf>
    <xf numFmtId="0" fontId="462" fillId="8" borderId="3" xfId="2" applyNumberFormat="1" applyFont="1" applyFill="1" applyBorder="1" applyAlignment="1" applyProtection="1">
      <alignment horizontal="center" vertical="center" wrapText="1"/>
      <protection hidden="1"/>
    </xf>
    <xf numFmtId="0" fontId="462" fillId="8" borderId="6" xfId="2" applyNumberFormat="1" applyFont="1" applyFill="1" applyBorder="1" applyAlignment="1" applyProtection="1">
      <alignment horizontal="center" vertical="center" wrapText="1"/>
      <protection hidden="1"/>
    </xf>
    <xf numFmtId="0" fontId="160" fillId="8" borderId="144" xfId="2" applyNumberFormat="1" applyFont="1" applyFill="1" applyBorder="1" applyAlignment="1" applyProtection="1">
      <alignment horizontal="left" vertical="center"/>
      <protection locked="0"/>
    </xf>
    <xf numFmtId="0" fontId="160" fillId="8" borderId="143" xfId="2" applyNumberFormat="1" applyFont="1" applyFill="1" applyBorder="1" applyAlignment="1" applyProtection="1">
      <alignment horizontal="left" vertical="center"/>
      <protection locked="0"/>
    </xf>
    <xf numFmtId="0" fontId="160" fillId="8" borderId="145" xfId="2" applyNumberFormat="1" applyFont="1" applyFill="1" applyBorder="1" applyAlignment="1" applyProtection="1">
      <alignment horizontal="left" vertical="center"/>
      <protection locked="0"/>
    </xf>
    <xf numFmtId="0" fontId="160" fillId="8" borderId="144" xfId="2" applyNumberFormat="1" applyFont="1" applyFill="1" applyBorder="1" applyAlignment="1" applyProtection="1">
      <alignment horizontal="center" vertical="center"/>
      <protection hidden="1"/>
    </xf>
    <xf numFmtId="0" fontId="160" fillId="8" borderId="143" xfId="2" applyNumberFormat="1" applyFont="1" applyFill="1" applyBorder="1" applyAlignment="1" applyProtection="1">
      <alignment horizontal="center" vertical="center"/>
      <protection hidden="1"/>
    </xf>
    <xf numFmtId="0" fontId="160" fillId="8" borderId="145" xfId="2" applyNumberFormat="1" applyFont="1" applyFill="1" applyBorder="1" applyAlignment="1" applyProtection="1">
      <alignment horizontal="center" vertical="center"/>
      <protection hidden="1"/>
    </xf>
    <xf numFmtId="0" fontId="460" fillId="8" borderId="144" xfId="2" applyNumberFormat="1" applyFont="1" applyFill="1" applyBorder="1" applyAlignment="1" applyProtection="1">
      <alignment horizontal="center" vertical="center"/>
      <protection hidden="1"/>
    </xf>
    <xf numFmtId="0" fontId="460" fillId="8" borderId="143" xfId="2" applyNumberFormat="1" applyFont="1" applyFill="1" applyBorder="1" applyAlignment="1" applyProtection="1">
      <alignment horizontal="center" vertical="center"/>
      <protection hidden="1"/>
    </xf>
    <xf numFmtId="0" fontId="460" fillId="8" borderId="145" xfId="2" applyNumberFormat="1" applyFont="1" applyFill="1" applyBorder="1" applyAlignment="1" applyProtection="1">
      <alignment horizontal="center" vertical="center"/>
      <protection hidden="1"/>
    </xf>
    <xf numFmtId="0" fontId="260" fillId="8" borderId="63" xfId="2" applyNumberFormat="1" applyFont="1" applyFill="1" applyBorder="1" applyAlignment="1" applyProtection="1">
      <alignment horizontal="center"/>
      <protection hidden="1"/>
    </xf>
    <xf numFmtId="0" fontId="449" fillId="8" borderId="31" xfId="2" applyNumberFormat="1" applyFont="1" applyFill="1" applyBorder="1" applyAlignment="1" applyProtection="1">
      <alignment horizontal="center" vertical="center" shrinkToFit="1"/>
      <protection hidden="1"/>
    </xf>
    <xf numFmtId="0" fontId="449" fillId="8" borderId="99" xfId="2" applyNumberFormat="1" applyFont="1" applyFill="1" applyBorder="1" applyAlignment="1" applyProtection="1">
      <alignment horizontal="center" vertical="center" shrinkToFit="1"/>
      <protection hidden="1"/>
    </xf>
    <xf numFmtId="0" fontId="449" fillId="8" borderId="62" xfId="2" applyNumberFormat="1" applyFont="1" applyFill="1" applyBorder="1" applyAlignment="1" applyProtection="1">
      <alignment horizontal="center"/>
      <protection hidden="1"/>
    </xf>
    <xf numFmtId="0" fontId="449" fillId="8" borderId="63" xfId="2" applyNumberFormat="1" applyFont="1" applyFill="1" applyBorder="1" applyAlignment="1" applyProtection="1">
      <alignment horizontal="center"/>
      <protection hidden="1"/>
    </xf>
    <xf numFmtId="0" fontId="449" fillId="8" borderId="34" xfId="2" applyNumberFormat="1" applyFont="1" applyFill="1" applyBorder="1" applyAlignment="1" applyProtection="1">
      <alignment horizontal="center"/>
      <protection hidden="1"/>
    </xf>
    <xf numFmtId="0" fontId="449" fillId="8" borderId="81" xfId="2" applyNumberFormat="1" applyFont="1" applyFill="1" applyBorder="1" applyAlignment="1" applyProtection="1">
      <alignment horizontal="center"/>
      <protection hidden="1"/>
    </xf>
    <xf numFmtId="0" fontId="474" fillId="8" borderId="63" xfId="2" applyNumberFormat="1" applyFont="1" applyFill="1" applyBorder="1" applyAlignment="1" applyProtection="1">
      <alignment horizontal="center"/>
      <protection hidden="1"/>
    </xf>
    <xf numFmtId="181" fontId="260" fillId="8" borderId="55" xfId="2" applyNumberFormat="1" applyFont="1" applyFill="1" applyBorder="1" applyAlignment="1" applyProtection="1">
      <alignment horizontal="left" vertical="center"/>
      <protection hidden="1"/>
    </xf>
    <xf numFmtId="181" fontId="260" fillId="8" borderId="63" xfId="2" applyNumberFormat="1" applyFont="1" applyFill="1" applyBorder="1" applyAlignment="1" applyProtection="1">
      <alignment horizontal="left" vertical="center"/>
      <protection hidden="1"/>
    </xf>
    <xf numFmtId="0" fontId="435" fillId="8" borderId="63" xfId="2" applyNumberFormat="1" applyFont="1" applyFill="1" applyBorder="1" applyAlignment="1" applyProtection="1">
      <alignment horizontal="left" shrinkToFit="1"/>
      <protection hidden="1"/>
    </xf>
    <xf numFmtId="14" fontId="480" fillId="8" borderId="0" xfId="2" applyNumberFormat="1" applyFont="1" applyFill="1" applyBorder="1" applyAlignment="1" applyProtection="1">
      <alignment horizontal="left"/>
      <protection hidden="1"/>
    </xf>
    <xf numFmtId="0" fontId="111" fillId="8" borderId="0" xfId="2" applyFont="1" applyFill="1" applyBorder="1" applyAlignment="1" applyProtection="1">
      <alignment horizontal="center"/>
      <protection locked="0"/>
    </xf>
    <xf numFmtId="0" fontId="111" fillId="8" borderId="0" xfId="2" applyFont="1" applyFill="1" applyBorder="1" applyAlignment="1" applyProtection="1">
      <alignment horizontal="center" vertical="top"/>
      <protection locked="0"/>
    </xf>
    <xf numFmtId="0" fontId="462" fillId="8" borderId="118" xfId="2" applyNumberFormat="1" applyFont="1" applyFill="1" applyBorder="1" applyAlignment="1" applyProtection="1">
      <alignment horizontal="center" vertical="center" wrapText="1"/>
      <protection locked="0"/>
    </xf>
    <xf numFmtId="0" fontId="462" fillId="8" borderId="116" xfId="2" applyNumberFormat="1" applyFont="1" applyFill="1" applyBorder="1" applyAlignment="1" applyProtection="1">
      <alignment horizontal="center" vertical="center"/>
      <protection locked="0"/>
    </xf>
    <xf numFmtId="0" fontId="462" fillId="8" borderId="119" xfId="2" applyNumberFormat="1" applyFont="1" applyFill="1" applyBorder="1" applyAlignment="1" applyProtection="1">
      <alignment horizontal="center" vertical="center"/>
      <protection locked="0"/>
    </xf>
    <xf numFmtId="0" fontId="462" fillId="8" borderId="246" xfId="2" applyNumberFormat="1" applyFont="1" applyFill="1" applyBorder="1" applyAlignment="1" applyProtection="1">
      <alignment horizontal="center" vertical="center"/>
      <protection locked="0"/>
    </xf>
    <xf numFmtId="0" fontId="462" fillId="8" borderId="92" xfId="2" applyNumberFormat="1" applyFont="1" applyFill="1" applyBorder="1" applyAlignment="1" applyProtection="1">
      <alignment horizontal="center" vertical="center"/>
      <protection locked="0"/>
    </xf>
    <xf numFmtId="0" fontId="462" fillId="8" borderId="245" xfId="2" applyNumberFormat="1" applyFont="1" applyFill="1" applyBorder="1" applyAlignment="1" applyProtection="1">
      <alignment horizontal="center" vertical="center"/>
      <protection locked="0"/>
    </xf>
    <xf numFmtId="0" fontId="160" fillId="8" borderId="111" xfId="2" applyNumberFormat="1" applyFont="1" applyFill="1" applyBorder="1" applyAlignment="1" applyProtection="1">
      <alignment horizontal="center" vertical="center"/>
      <protection hidden="1"/>
    </xf>
    <xf numFmtId="0" fontId="160" fillId="8" borderId="112" xfId="2" applyNumberFormat="1" applyFont="1" applyFill="1" applyBorder="1" applyAlignment="1" applyProtection="1">
      <alignment horizontal="center" vertical="center"/>
      <protection hidden="1"/>
    </xf>
    <xf numFmtId="0" fontId="483" fillId="8" borderId="113" xfId="2" applyNumberFormat="1" applyFont="1" applyFill="1" applyBorder="1" applyAlignment="1" applyProtection="1">
      <alignment horizontal="left" vertical="center"/>
      <protection locked="0"/>
    </xf>
    <xf numFmtId="0" fontId="483" fillId="8" borderId="117" xfId="2" applyNumberFormat="1" applyFont="1" applyFill="1" applyBorder="1" applyAlignment="1" applyProtection="1">
      <alignment horizontal="left" vertical="center"/>
      <protection locked="0"/>
    </xf>
    <xf numFmtId="0" fontId="483" fillId="8" borderId="5" xfId="2" applyNumberFormat="1" applyFont="1" applyFill="1" applyBorder="1" applyAlignment="1" applyProtection="1">
      <alignment horizontal="left" vertical="center"/>
      <protection locked="0"/>
    </xf>
    <xf numFmtId="0" fontId="467" fillId="8" borderId="1" xfId="2" applyNumberFormat="1" applyFont="1" applyFill="1" applyBorder="1" applyAlignment="1" applyProtection="1">
      <alignment horizontal="center" wrapText="1"/>
      <protection hidden="1"/>
    </xf>
    <xf numFmtId="0" fontId="467" fillId="8" borderId="0" xfId="2" applyNumberFormat="1" applyFont="1" applyFill="1" applyBorder="1" applyAlignment="1" applyProtection="1">
      <alignment horizontal="center" wrapText="1"/>
      <protection hidden="1"/>
    </xf>
    <xf numFmtId="0" fontId="467" fillId="8" borderId="2" xfId="2" applyNumberFormat="1" applyFont="1" applyFill="1" applyBorder="1" applyAlignment="1" applyProtection="1">
      <alignment horizontal="center" wrapText="1"/>
      <protection hidden="1"/>
    </xf>
    <xf numFmtId="0" fontId="467" fillId="8" borderId="246" xfId="2" applyNumberFormat="1" applyFont="1" applyFill="1" applyBorder="1" applyAlignment="1" applyProtection="1">
      <alignment horizontal="center" wrapText="1"/>
      <protection hidden="1"/>
    </xf>
    <xf numFmtId="0" fontId="467" fillId="8" borderId="92" xfId="2" applyNumberFormat="1" applyFont="1" applyFill="1" applyBorder="1" applyAlignment="1" applyProtection="1">
      <alignment horizontal="center" wrapText="1"/>
      <protection hidden="1"/>
    </xf>
    <xf numFmtId="0" fontId="467" fillId="8" borderId="245" xfId="2" applyNumberFormat="1" applyFont="1" applyFill="1" applyBorder="1" applyAlignment="1" applyProtection="1">
      <alignment horizontal="center" wrapText="1"/>
      <protection hidden="1"/>
    </xf>
    <xf numFmtId="0" fontId="3" fillId="8" borderId="1" xfId="2" applyNumberFormat="1" applyFont="1" applyFill="1" applyBorder="1" applyAlignment="1" applyProtection="1">
      <alignment horizontal="center" wrapText="1"/>
      <protection locked="0"/>
    </xf>
    <xf numFmtId="0" fontId="3" fillId="8" borderId="0" xfId="2" applyNumberFormat="1" applyFont="1" applyFill="1" applyBorder="1" applyAlignment="1" applyProtection="1">
      <alignment horizontal="center"/>
      <protection locked="0"/>
    </xf>
    <xf numFmtId="0" fontId="3" fillId="8" borderId="71" xfId="2" applyNumberFormat="1" applyFont="1" applyFill="1" applyBorder="1" applyAlignment="1" applyProtection="1">
      <alignment horizontal="center"/>
      <protection locked="0"/>
    </xf>
    <xf numFmtId="0" fontId="3" fillId="8" borderId="246" xfId="2" applyNumberFormat="1" applyFont="1" applyFill="1" applyBorder="1" applyAlignment="1" applyProtection="1">
      <alignment horizontal="center"/>
      <protection locked="0"/>
    </xf>
    <xf numFmtId="0" fontId="3" fillId="8" borderId="92" xfId="2" applyNumberFormat="1" applyFont="1" applyFill="1" applyBorder="1" applyAlignment="1" applyProtection="1">
      <alignment horizontal="center"/>
      <protection locked="0"/>
    </xf>
    <xf numFmtId="0" fontId="3" fillId="8" borderId="93" xfId="2" applyNumberFormat="1" applyFont="1" applyFill="1" applyBorder="1" applyAlignment="1" applyProtection="1">
      <alignment horizontal="center"/>
      <protection locked="0"/>
    </xf>
    <xf numFmtId="0" fontId="162" fillId="8" borderId="241" xfId="2" applyNumberFormat="1" applyFont="1" applyFill="1" applyBorder="1" applyAlignment="1" applyProtection="1">
      <alignment horizontal="center" vertical="center"/>
      <protection hidden="1"/>
    </xf>
    <xf numFmtId="0" fontId="162" fillId="8" borderId="116" xfId="2" applyNumberFormat="1" applyFont="1" applyFill="1" applyBorder="1" applyAlignment="1" applyProtection="1">
      <alignment horizontal="center" vertical="center"/>
      <protection hidden="1"/>
    </xf>
    <xf numFmtId="0" fontId="162" fillId="8" borderId="243" xfId="2" applyNumberFormat="1" applyFont="1" applyFill="1" applyBorder="1" applyAlignment="1" applyProtection="1">
      <alignment horizontal="center" vertical="center"/>
      <protection hidden="1"/>
    </xf>
    <xf numFmtId="0" fontId="162" fillId="8" borderId="53" xfId="2" applyNumberFormat="1" applyFont="1" applyFill="1" applyBorder="1" applyAlignment="1" applyProtection="1">
      <alignment horizontal="center" vertical="center"/>
      <protection hidden="1"/>
    </xf>
    <xf numFmtId="0" fontId="162" fillId="8" borderId="0" xfId="2" applyNumberFormat="1" applyFont="1" applyFill="1" applyBorder="1" applyAlignment="1" applyProtection="1">
      <alignment horizontal="center" vertical="center"/>
      <protection hidden="1"/>
    </xf>
    <xf numFmtId="0" fontId="162" fillId="8" borderId="439" xfId="2" applyNumberFormat="1" applyFont="1" applyFill="1" applyBorder="1" applyAlignment="1" applyProtection="1">
      <alignment horizontal="center" vertical="center"/>
      <protection hidden="1"/>
    </xf>
    <xf numFmtId="0" fontId="162" fillId="8" borderId="42" xfId="2" applyNumberFormat="1" applyFont="1" applyFill="1" applyBorder="1" applyAlignment="1" applyProtection="1">
      <alignment horizontal="center" vertical="center"/>
      <protection hidden="1"/>
    </xf>
    <xf numFmtId="0" fontId="484" fillId="8" borderId="0" xfId="2" applyFont="1" applyFill="1" applyAlignment="1" applyProtection="1">
      <alignment horizontal="center" vertical="center" shrinkToFit="1"/>
      <protection locked="0"/>
    </xf>
    <xf numFmtId="0" fontId="458" fillId="8" borderId="0" xfId="6" applyFont="1" applyFill="1" applyAlignment="1" applyProtection="1">
      <alignment horizontal="left" vertical="top"/>
      <protection locked="0"/>
    </xf>
    <xf numFmtId="0" fontId="436" fillId="8" borderId="608" xfId="2" applyNumberFormat="1" applyFont="1" applyFill="1" applyBorder="1" applyAlignment="1" applyProtection="1">
      <alignment horizontal="center" vertical="center"/>
      <protection hidden="1"/>
    </xf>
    <xf numFmtId="0" fontId="436" fillId="8" borderId="610" xfId="2" applyNumberFormat="1" applyFont="1" applyFill="1" applyBorder="1" applyAlignment="1" applyProtection="1">
      <alignment horizontal="center" vertical="center"/>
      <protection hidden="1"/>
    </xf>
    <xf numFmtId="181" fontId="162" fillId="8" borderId="3" xfId="2" applyNumberFormat="1" applyFont="1" applyFill="1" applyBorder="1" applyAlignment="1" applyProtection="1">
      <alignment horizontal="center" vertical="center"/>
      <protection locked="0"/>
    </xf>
    <xf numFmtId="181" fontId="162" fillId="8" borderId="136" xfId="2" applyNumberFormat="1" applyFont="1" applyFill="1" applyBorder="1" applyAlignment="1" applyProtection="1">
      <alignment horizontal="center" vertical="center"/>
      <protection locked="0"/>
    </xf>
    <xf numFmtId="0" fontId="162" fillId="8" borderId="60" xfId="2" applyNumberFormat="1" applyFont="1" applyFill="1" applyBorder="1" applyAlignment="1" applyProtection="1">
      <alignment horizontal="center" vertical="center"/>
      <protection hidden="1"/>
    </xf>
    <xf numFmtId="0" fontId="162" fillId="8" borderId="55" xfId="2" applyNumberFormat="1" applyFont="1" applyFill="1" applyBorder="1" applyAlignment="1" applyProtection="1">
      <alignment horizontal="center" vertical="center"/>
      <protection hidden="1"/>
    </xf>
    <xf numFmtId="0" fontId="162" fillId="8" borderId="78" xfId="2" applyNumberFormat="1" applyFont="1" applyFill="1" applyBorder="1" applyAlignment="1" applyProtection="1">
      <alignment horizontal="center" vertical="center"/>
      <protection hidden="1"/>
    </xf>
    <xf numFmtId="0" fontId="449" fillId="8" borderId="118" xfId="2" applyNumberFormat="1" applyFont="1" applyFill="1" applyBorder="1" applyAlignment="1" applyProtection="1">
      <alignment horizontal="center" shrinkToFit="1"/>
      <protection hidden="1"/>
    </xf>
    <xf numFmtId="0" fontId="449" fillId="8" borderId="116" xfId="2" applyNumberFormat="1" applyFont="1" applyFill="1" applyBorder="1" applyAlignment="1" applyProtection="1">
      <alignment horizontal="center" shrinkToFit="1"/>
      <protection hidden="1"/>
    </xf>
    <xf numFmtId="0" fontId="449" fillId="8" borderId="243" xfId="2" applyNumberFormat="1" applyFont="1" applyFill="1" applyBorder="1" applyAlignment="1" applyProtection="1">
      <alignment horizontal="center" shrinkToFit="1"/>
      <protection hidden="1"/>
    </xf>
    <xf numFmtId="0" fontId="449" fillId="8" borderId="241" xfId="2" applyNumberFormat="1" applyFont="1" applyFill="1" applyBorder="1" applyAlignment="1" applyProtection="1">
      <alignment horizontal="center" shrinkToFit="1"/>
      <protection hidden="1"/>
    </xf>
    <xf numFmtId="0" fontId="449" fillId="8" borderId="119" xfId="2" applyNumberFormat="1" applyFont="1" applyFill="1" applyBorder="1" applyAlignment="1" applyProtection="1">
      <alignment horizontal="center" shrinkToFit="1"/>
      <protection hidden="1"/>
    </xf>
    <xf numFmtId="0" fontId="449" fillId="8" borderId="118" xfId="2" applyNumberFormat="1" applyFont="1" applyFill="1" applyBorder="1" applyAlignment="1" applyProtection="1">
      <alignment horizontal="center" vertical="center" shrinkToFit="1"/>
      <protection hidden="1"/>
    </xf>
    <xf numFmtId="0" fontId="449" fillId="8" borderId="243" xfId="2" applyNumberFormat="1" applyFont="1" applyFill="1" applyBorder="1" applyAlignment="1" applyProtection="1">
      <alignment horizontal="center" vertical="center" shrinkToFit="1"/>
      <protection hidden="1"/>
    </xf>
    <xf numFmtId="0" fontId="449" fillId="8" borderId="1" xfId="2" applyNumberFormat="1" applyFont="1" applyFill="1" applyBorder="1" applyAlignment="1" applyProtection="1">
      <alignment horizontal="center" vertical="center" shrinkToFit="1"/>
      <protection hidden="1"/>
    </xf>
    <xf numFmtId="0" fontId="449" fillId="8" borderId="439" xfId="2" applyNumberFormat="1" applyFont="1" applyFill="1" applyBorder="1" applyAlignment="1" applyProtection="1">
      <alignment horizontal="center" vertical="center" shrinkToFit="1"/>
      <protection hidden="1"/>
    </xf>
    <xf numFmtId="0" fontId="449" fillId="8" borderId="241" xfId="2" applyNumberFormat="1" applyFont="1" applyFill="1" applyBorder="1" applyAlignment="1" applyProtection="1">
      <alignment horizontal="center" vertical="center" shrinkToFit="1"/>
      <protection hidden="1"/>
    </xf>
    <xf numFmtId="0" fontId="449" fillId="8" borderId="60" xfId="2" applyNumberFormat="1" applyFont="1" applyFill="1" applyBorder="1" applyAlignment="1" applyProtection="1">
      <alignment horizontal="center" vertical="center" shrinkToFit="1"/>
      <protection hidden="1"/>
    </xf>
    <xf numFmtId="0" fontId="449" fillId="8" borderId="78" xfId="2" applyNumberFormat="1" applyFont="1" applyFill="1" applyBorder="1" applyAlignment="1" applyProtection="1">
      <alignment horizontal="center" vertical="center" shrinkToFit="1"/>
      <protection hidden="1"/>
    </xf>
    <xf numFmtId="0" fontId="437" fillId="8" borderId="241" xfId="2" applyNumberFormat="1" applyFont="1" applyFill="1" applyBorder="1" applyAlignment="1" applyProtection="1">
      <alignment horizontal="center" vertical="center" wrapText="1" shrinkToFit="1"/>
      <protection hidden="1"/>
    </xf>
    <xf numFmtId="0" fontId="449" fillId="8" borderId="119" xfId="2" applyNumberFormat="1" applyFont="1" applyFill="1" applyBorder="1" applyAlignment="1" applyProtection="1">
      <alignment horizontal="center" vertical="center" shrinkToFit="1"/>
      <protection hidden="1"/>
    </xf>
    <xf numFmtId="0" fontId="449" fillId="8" borderId="56" xfId="2" applyNumberFormat="1" applyFont="1" applyFill="1" applyBorder="1" applyAlignment="1" applyProtection="1">
      <alignment horizontal="center" vertical="center" shrinkToFit="1"/>
      <protection hidden="1"/>
    </xf>
    <xf numFmtId="0" fontId="165" fillId="8" borderId="25" xfId="2" applyNumberFormat="1" applyFont="1" applyFill="1" applyBorder="1" applyAlignment="1" applyProtection="1">
      <alignment horizontal="center" vertical="center" wrapText="1"/>
      <protection hidden="1"/>
    </xf>
    <xf numFmtId="0" fontId="165" fillId="8" borderId="242" xfId="2" applyNumberFormat="1" applyFont="1" applyFill="1" applyBorder="1" applyAlignment="1" applyProtection="1">
      <alignment horizontal="center" vertical="center" wrapText="1"/>
      <protection hidden="1"/>
    </xf>
    <xf numFmtId="0" fontId="165" fillId="8" borderId="52" xfId="2" applyNumberFormat="1" applyFont="1" applyFill="1" applyBorder="1" applyAlignment="1" applyProtection="1">
      <alignment horizontal="center" vertical="center" wrapText="1"/>
      <protection hidden="1"/>
    </xf>
    <xf numFmtId="0" fontId="165" fillId="8" borderId="214" xfId="2" applyNumberFormat="1" applyFont="1" applyFill="1" applyBorder="1" applyAlignment="1" applyProtection="1">
      <alignment horizontal="center" vertical="center" wrapText="1"/>
      <protection hidden="1"/>
    </xf>
    <xf numFmtId="0" fontId="165" fillId="8" borderId="39" xfId="2" applyNumberFormat="1" applyFont="1" applyFill="1" applyBorder="1" applyAlignment="1" applyProtection="1">
      <alignment horizontal="center" vertical="center" wrapText="1"/>
      <protection hidden="1"/>
    </xf>
    <xf numFmtId="0" fontId="165" fillId="8" borderId="26" xfId="2" applyNumberFormat="1" applyFont="1" applyFill="1" applyBorder="1" applyAlignment="1" applyProtection="1">
      <alignment horizontal="center" vertical="center" wrapText="1"/>
      <protection hidden="1"/>
    </xf>
    <xf numFmtId="176" fontId="121" fillId="28" borderId="34" xfId="2" applyNumberFormat="1" applyFont="1" applyFill="1" applyBorder="1" applyAlignment="1" applyProtection="1">
      <alignment horizontal="center"/>
      <protection locked="0"/>
    </xf>
    <xf numFmtId="176" fontId="121" fillId="28" borderId="63" xfId="2" applyNumberFormat="1" applyFont="1" applyFill="1" applyBorder="1" applyAlignment="1" applyProtection="1">
      <alignment horizontal="center"/>
      <protection locked="0"/>
    </xf>
    <xf numFmtId="176" fontId="121" fillId="28" borderId="81" xfId="2" applyNumberFormat="1" applyFont="1" applyFill="1" applyBorder="1" applyAlignment="1" applyProtection="1">
      <alignment horizontal="center"/>
      <protection locked="0"/>
    </xf>
    <xf numFmtId="0" fontId="121" fillId="8" borderId="63" xfId="2" applyNumberFormat="1" applyFont="1" applyFill="1" applyBorder="1" applyAlignment="1" applyProtection="1">
      <alignment horizontal="center"/>
      <protection hidden="1"/>
    </xf>
    <xf numFmtId="0" fontId="121" fillId="8" borderId="84" xfId="2" applyNumberFormat="1" applyFont="1" applyFill="1" applyBorder="1" applyAlignment="1" applyProtection="1">
      <alignment horizontal="center"/>
      <protection hidden="1"/>
    </xf>
    <xf numFmtId="0" fontId="449" fillId="8" borderId="152" xfId="2" applyNumberFormat="1" applyFont="1" applyFill="1" applyBorder="1" applyAlignment="1" applyProtection="1">
      <alignment horizontal="center" vertical="center"/>
      <protection hidden="1"/>
    </xf>
    <xf numFmtId="0" fontId="449" fillId="8" borderId="94" xfId="2" applyNumberFormat="1" applyFont="1" applyFill="1" applyBorder="1" applyAlignment="1" applyProtection="1">
      <alignment horizontal="center" vertical="center"/>
      <protection hidden="1"/>
    </xf>
    <xf numFmtId="0" fontId="449" fillId="8" borderId="31" xfId="2" applyNumberFormat="1" applyFont="1" applyFill="1" applyBorder="1" applyAlignment="1" applyProtection="1">
      <alignment horizontal="center" vertical="center"/>
      <protection hidden="1"/>
    </xf>
    <xf numFmtId="0" fontId="449" fillId="8" borderId="252" xfId="2" applyNumberFormat="1" applyFont="1" applyFill="1" applyBorder="1" applyAlignment="1" applyProtection="1">
      <alignment horizontal="center" vertical="center"/>
      <protection hidden="1"/>
    </xf>
    <xf numFmtId="0" fontId="165" fillId="8" borderId="273" xfId="2" applyNumberFormat="1" applyFont="1" applyFill="1" applyBorder="1" applyAlignment="1" applyProtection="1">
      <alignment horizontal="center" vertical="center" wrapText="1"/>
      <protection hidden="1"/>
    </xf>
    <xf numFmtId="0" fontId="165" fillId="8" borderId="606" xfId="2" applyNumberFormat="1" applyFont="1" applyFill="1" applyBorder="1" applyAlignment="1" applyProtection="1">
      <alignment horizontal="center" vertical="center" wrapText="1"/>
      <protection hidden="1"/>
    </xf>
    <xf numFmtId="0" fontId="165" fillId="8" borderId="85" xfId="2" applyNumberFormat="1" applyFont="1" applyFill="1" applyBorder="1" applyAlignment="1" applyProtection="1">
      <alignment horizontal="center" vertical="center" wrapText="1"/>
      <protection hidden="1"/>
    </xf>
    <xf numFmtId="179" fontId="260" fillId="46" borderId="439" xfId="2" applyNumberFormat="1" applyFont="1" applyFill="1" applyBorder="1" applyAlignment="1" applyProtection="1">
      <alignment horizontal="left" vertical="center" shrinkToFit="1"/>
      <protection hidden="1"/>
    </xf>
    <xf numFmtId="0" fontId="260" fillId="8" borderId="1" xfId="2" applyNumberFormat="1" applyFont="1" applyFill="1" applyBorder="1" applyAlignment="1" applyProtection="1">
      <alignment horizontal="right" vertical="center" shrinkToFit="1"/>
      <protection hidden="1"/>
    </xf>
    <xf numFmtId="181" fontId="260" fillId="8" borderId="0" xfId="2" applyNumberFormat="1" applyFont="1" applyFill="1" applyBorder="1" applyAlignment="1" applyProtection="1">
      <alignment horizontal="left" vertical="center" shrinkToFit="1"/>
      <protection hidden="1"/>
    </xf>
    <xf numFmtId="181" fontId="260" fillId="8" borderId="439" xfId="2" applyNumberFormat="1" applyFont="1" applyFill="1" applyBorder="1" applyAlignment="1" applyProtection="1">
      <alignment horizontal="left" vertical="center" shrinkToFit="1"/>
      <protection hidden="1"/>
    </xf>
    <xf numFmtId="0" fontId="439" fillId="8" borderId="34" xfId="2" applyNumberFormat="1" applyFont="1" applyFill="1" applyBorder="1" applyAlignment="1" applyProtection="1">
      <alignment horizontal="center"/>
      <protection hidden="1"/>
    </xf>
    <xf numFmtId="0" fontId="260" fillId="8" borderId="84" xfId="2" applyNumberFormat="1" applyFont="1" applyFill="1" applyBorder="1" applyAlignment="1" applyProtection="1">
      <alignment horizontal="center"/>
      <protection hidden="1"/>
    </xf>
    <xf numFmtId="0" fontId="435" fillId="8" borderId="241" xfId="2" applyNumberFormat="1" applyFont="1" applyFill="1" applyBorder="1" applyAlignment="1" applyProtection="1">
      <alignment horizontal="center" vertical="center" wrapText="1"/>
      <protection hidden="1"/>
    </xf>
    <xf numFmtId="0" fontId="435" fillId="8" borderId="243" xfId="2" applyNumberFormat="1" applyFont="1" applyFill="1" applyBorder="1" applyAlignment="1" applyProtection="1">
      <alignment horizontal="center" vertical="center"/>
      <protection hidden="1"/>
    </xf>
    <xf numFmtId="0" fontId="435" fillId="8" borderId="60" xfId="2" applyNumberFormat="1" applyFont="1" applyFill="1" applyBorder="1" applyAlignment="1" applyProtection="1">
      <alignment horizontal="center" vertical="center"/>
      <protection hidden="1"/>
    </xf>
    <xf numFmtId="0" fontId="435" fillId="8" borderId="78" xfId="2" applyNumberFormat="1" applyFont="1" applyFill="1" applyBorder="1" applyAlignment="1" applyProtection="1">
      <alignment horizontal="center" vertical="center"/>
      <protection hidden="1"/>
    </xf>
    <xf numFmtId="0" fontId="435" fillId="8" borderId="116" xfId="2" applyNumberFormat="1" applyFont="1" applyFill="1" applyBorder="1" applyAlignment="1" applyProtection="1">
      <alignment horizontal="center" vertical="center"/>
      <protection hidden="1"/>
    </xf>
    <xf numFmtId="0" fontId="435" fillId="8" borderId="226" xfId="2" applyNumberFormat="1" applyFont="1" applyFill="1" applyBorder="1" applyAlignment="1" applyProtection="1">
      <alignment horizontal="center" vertical="center"/>
      <protection hidden="1"/>
    </xf>
    <xf numFmtId="0" fontId="435" fillId="8" borderId="55" xfId="2" applyNumberFormat="1" applyFont="1" applyFill="1" applyBorder="1" applyAlignment="1" applyProtection="1">
      <alignment horizontal="center" vertical="center"/>
      <protection hidden="1"/>
    </xf>
    <xf numFmtId="0" fontId="435" fillId="8" borderId="103" xfId="2" applyNumberFormat="1" applyFont="1" applyFill="1" applyBorder="1" applyAlignment="1" applyProtection="1">
      <alignment horizontal="center" vertical="center"/>
      <protection hidden="1"/>
    </xf>
    <xf numFmtId="0" fontId="260" fillId="8" borderId="32" xfId="2" applyNumberFormat="1" applyFont="1" applyFill="1" applyBorder="1" applyAlignment="1" applyProtection="1">
      <alignment horizontal="center" vertical="center"/>
      <protection hidden="1"/>
    </xf>
    <xf numFmtId="0" fontId="82" fillId="8" borderId="4" xfId="2" applyNumberFormat="1" applyFont="1" applyFill="1" applyBorder="1" applyAlignment="1" applyProtection="1">
      <alignment horizontal="center" vertical="center"/>
      <protection hidden="1"/>
    </xf>
    <xf numFmtId="0" fontId="260" fillId="8" borderId="4" xfId="2" applyNumberFormat="1" applyFont="1" applyFill="1" applyBorder="1" applyAlignment="1" applyProtection="1">
      <alignment horizontal="center" vertical="center"/>
      <protection hidden="1"/>
    </xf>
    <xf numFmtId="0" fontId="260" fillId="8" borderId="34" xfId="2" applyNumberFormat="1" applyFont="1" applyFill="1" applyBorder="1" applyAlignment="1" applyProtection="1">
      <alignment horizontal="center" vertical="center"/>
      <protection hidden="1"/>
    </xf>
    <xf numFmtId="0" fontId="82" fillId="8" borderId="81" xfId="2" applyNumberFormat="1" applyFont="1" applyFill="1" applyBorder="1" applyAlignment="1" applyProtection="1">
      <alignment horizontal="center" vertical="center"/>
      <protection hidden="1"/>
    </xf>
    <xf numFmtId="0" fontId="260" fillId="8" borderId="81" xfId="2" applyNumberFormat="1" applyFont="1" applyFill="1" applyBorder="1" applyAlignment="1" applyProtection="1">
      <alignment horizontal="center" vertical="center"/>
      <protection hidden="1"/>
    </xf>
    <xf numFmtId="0" fontId="260" fillId="8" borderId="4" xfId="2" applyNumberFormat="1" applyFont="1" applyFill="1" applyBorder="1" applyAlignment="1" applyProtection="1">
      <alignment horizontal="center" vertical="center" shrinkToFit="1"/>
      <protection hidden="1"/>
    </xf>
    <xf numFmtId="0" fontId="165" fillId="8" borderId="4" xfId="2" applyNumberFormat="1" applyFont="1" applyFill="1" applyBorder="1" applyAlignment="1" applyProtection="1">
      <alignment horizontal="center" vertical="center" shrinkToFit="1"/>
      <protection hidden="1"/>
    </xf>
    <xf numFmtId="0" fontId="260" fillId="8" borderId="63" xfId="2" applyNumberFormat="1" applyFont="1" applyFill="1" applyBorder="1" applyAlignment="1" applyProtection="1">
      <alignment horizontal="center" vertical="center" shrinkToFit="1"/>
      <protection hidden="1"/>
    </xf>
    <xf numFmtId="0" fontId="165" fillId="8" borderId="84" xfId="2" applyNumberFormat="1" applyFont="1" applyFill="1" applyBorder="1" applyAlignment="1" applyProtection="1">
      <alignment horizontal="center" vertical="center" shrinkToFit="1"/>
      <protection hidden="1"/>
    </xf>
    <xf numFmtId="0" fontId="435" fillId="8" borderId="241" xfId="2" applyNumberFormat="1" applyFont="1" applyFill="1" applyBorder="1" applyAlignment="1" applyProtection="1">
      <alignment horizontal="center" vertical="center"/>
      <protection hidden="1"/>
    </xf>
    <xf numFmtId="0" fontId="460" fillId="8" borderId="111" xfId="2" applyNumberFormat="1" applyFont="1" applyFill="1" applyBorder="1" applyAlignment="1" applyProtection="1">
      <alignment horizontal="center" vertical="center" shrinkToFit="1"/>
      <protection hidden="1"/>
    </xf>
    <xf numFmtId="0" fontId="460" fillId="8" borderId="114" xfId="2" applyNumberFormat="1" applyFont="1" applyFill="1" applyBorder="1" applyAlignment="1" applyProtection="1">
      <alignment horizontal="center" vertical="center" shrinkToFit="1"/>
      <protection hidden="1"/>
    </xf>
    <xf numFmtId="0" fontId="460" fillId="8" borderId="148" xfId="2" applyNumberFormat="1" applyFont="1" applyFill="1" applyBorder="1" applyAlignment="1" applyProtection="1">
      <alignment horizontal="center" vertical="center" shrinkToFit="1"/>
      <protection hidden="1"/>
    </xf>
    <xf numFmtId="0" fontId="162" fillId="8" borderId="214" xfId="2" applyNumberFormat="1" applyFont="1" applyFill="1" applyBorder="1" applyAlignment="1" applyProtection="1">
      <alignment horizontal="center" vertical="center"/>
      <protection hidden="1"/>
    </xf>
    <xf numFmtId="0" fontId="442" fillId="8" borderId="62" xfId="2" applyNumberFormat="1" applyFont="1" applyFill="1" applyBorder="1" applyAlignment="1" applyProtection="1">
      <alignment horizontal="right" shrinkToFit="1"/>
      <protection hidden="1"/>
    </xf>
    <xf numFmtId="0" fontId="442" fillId="8" borderId="63" xfId="2" applyNumberFormat="1" applyFont="1" applyFill="1" applyBorder="1" applyAlignment="1" applyProtection="1">
      <alignment horizontal="right" shrinkToFit="1"/>
      <protection hidden="1"/>
    </xf>
    <xf numFmtId="0" fontId="486" fillId="8" borderId="63" xfId="2" applyNumberFormat="1" applyFont="1" applyFill="1" applyBorder="1" applyAlignment="1" applyProtection="1">
      <alignment horizontal="right" shrinkToFit="1"/>
      <protection hidden="1"/>
    </xf>
    <xf numFmtId="0" fontId="260" fillId="8" borderId="58" xfId="2" applyNumberFormat="1" applyFont="1" applyFill="1" applyBorder="1" applyAlignment="1" applyProtection="1">
      <alignment horizontal="center"/>
      <protection hidden="1"/>
    </xf>
    <xf numFmtId="181" fontId="260" fillId="46" borderId="0" xfId="2" applyNumberFormat="1" applyFont="1" applyFill="1" applyBorder="1" applyAlignment="1" applyProtection="1">
      <alignment horizontal="left" vertical="center" shrinkToFit="1"/>
      <protection locked="0"/>
    </xf>
    <xf numFmtId="0" fontId="260" fillId="8" borderId="53" xfId="2" applyNumberFormat="1" applyFont="1" applyFill="1" applyBorder="1" applyAlignment="1" applyProtection="1">
      <alignment horizontal="right" vertical="center" shrinkToFit="1"/>
      <protection hidden="1"/>
    </xf>
    <xf numFmtId="0" fontId="458" fillId="8" borderId="53" xfId="2" applyNumberFormat="1" applyFont="1" applyFill="1" applyBorder="1" applyAlignment="1" applyProtection="1">
      <alignment horizontal="right" vertical="center" shrinkToFit="1"/>
      <protection hidden="1"/>
    </xf>
    <xf numFmtId="0" fontId="260" fillId="8" borderId="58" xfId="2" applyNumberFormat="1" applyFont="1" applyFill="1" applyBorder="1" applyAlignment="1" applyProtection="1">
      <alignment horizontal="center" shrinkToFit="1"/>
      <protection hidden="1"/>
    </xf>
    <xf numFmtId="181" fontId="260" fillId="8" borderId="63" xfId="2" applyNumberFormat="1" applyFont="1" applyFill="1" applyBorder="1" applyAlignment="1" applyProtection="1">
      <alignment horizontal="left" shrinkToFit="1"/>
      <protection hidden="1"/>
    </xf>
    <xf numFmtId="0" fontId="435" fillId="8" borderId="63" xfId="2" applyNumberFormat="1" applyFont="1" applyFill="1" applyBorder="1" applyAlignment="1" applyProtection="1">
      <alignment horizontal="left"/>
      <protection hidden="1"/>
    </xf>
    <xf numFmtId="0" fontId="260" fillId="8" borderId="63" xfId="2" applyNumberFormat="1" applyFont="1" applyFill="1" applyBorder="1" applyAlignment="1" applyProtection="1">
      <alignment horizontal="left"/>
      <protection hidden="1"/>
    </xf>
    <xf numFmtId="184" fontId="435" fillId="8" borderId="63" xfId="2" applyNumberFormat="1" applyFont="1" applyFill="1" applyBorder="1" applyAlignment="1" applyProtection="1">
      <alignment horizontal="left"/>
      <protection hidden="1"/>
    </xf>
    <xf numFmtId="0" fontId="435" fillId="8" borderId="118" xfId="2" applyNumberFormat="1" applyFont="1" applyFill="1" applyBorder="1" applyAlignment="1" applyProtection="1">
      <alignment horizontal="center" vertical="center" shrinkToFit="1"/>
      <protection hidden="1"/>
    </xf>
    <xf numFmtId="0" fontId="435" fillId="8" borderId="243" xfId="2" applyNumberFormat="1" applyFont="1" applyFill="1" applyBorder="1" applyAlignment="1" applyProtection="1">
      <alignment horizontal="center" vertical="center" shrinkToFit="1"/>
      <protection hidden="1"/>
    </xf>
    <xf numFmtId="0" fontId="435" fillId="8" borderId="1" xfId="2" applyNumberFormat="1" applyFont="1" applyFill="1" applyBorder="1" applyAlignment="1" applyProtection="1">
      <alignment horizontal="center" vertical="center" shrinkToFit="1"/>
      <protection hidden="1"/>
    </xf>
    <xf numFmtId="0" fontId="435" fillId="8" borderId="439" xfId="2" applyNumberFormat="1" applyFont="1" applyFill="1" applyBorder="1" applyAlignment="1" applyProtection="1">
      <alignment horizontal="center" vertical="center" shrinkToFit="1"/>
      <protection hidden="1"/>
    </xf>
    <xf numFmtId="0" fontId="435" fillId="8" borderId="54" xfId="2" applyNumberFormat="1" applyFont="1" applyFill="1" applyBorder="1" applyAlignment="1" applyProtection="1">
      <alignment horizontal="center" vertical="center" shrinkToFit="1"/>
      <protection hidden="1"/>
    </xf>
    <xf numFmtId="0" fontId="435" fillId="8" borderId="78" xfId="2" applyNumberFormat="1" applyFont="1" applyFill="1" applyBorder="1" applyAlignment="1" applyProtection="1">
      <alignment horizontal="center" vertical="center" shrinkToFit="1"/>
      <protection hidden="1"/>
    </xf>
    <xf numFmtId="0" fontId="435" fillId="8" borderId="241" xfId="2" applyNumberFormat="1" applyFont="1" applyFill="1" applyBorder="1" applyAlignment="1" applyProtection="1">
      <alignment horizontal="center" vertical="center" shrinkToFit="1"/>
      <protection hidden="1"/>
    </xf>
    <xf numFmtId="0" fontId="435" fillId="8" borderId="119" xfId="2" applyNumberFormat="1" applyFont="1" applyFill="1" applyBorder="1" applyAlignment="1" applyProtection="1">
      <alignment horizontal="center" vertical="center" shrinkToFit="1"/>
      <protection hidden="1"/>
    </xf>
    <xf numFmtId="0" fontId="435" fillId="8" borderId="53" xfId="2" applyNumberFormat="1" applyFont="1" applyFill="1" applyBorder="1" applyAlignment="1" applyProtection="1">
      <alignment horizontal="center" vertical="center" shrinkToFit="1"/>
      <protection hidden="1"/>
    </xf>
    <xf numFmtId="0" fontId="435" fillId="8" borderId="2" xfId="2" applyNumberFormat="1" applyFont="1" applyFill="1" applyBorder="1" applyAlignment="1" applyProtection="1">
      <alignment horizontal="center" vertical="center" shrinkToFit="1"/>
      <protection hidden="1"/>
    </xf>
    <xf numFmtId="0" fontId="435" fillId="8" borderId="60" xfId="2" applyNumberFormat="1" applyFont="1" applyFill="1" applyBorder="1" applyAlignment="1" applyProtection="1">
      <alignment horizontal="center" vertical="center" shrinkToFit="1"/>
      <protection hidden="1"/>
    </xf>
    <xf numFmtId="0" fontId="435" fillId="8" borderId="56" xfId="2" applyNumberFormat="1" applyFont="1" applyFill="1" applyBorder="1" applyAlignment="1" applyProtection="1">
      <alignment horizontal="center" vertical="center" shrinkToFit="1"/>
      <protection hidden="1"/>
    </xf>
    <xf numFmtId="176" fontId="121" fillId="28" borderId="62" xfId="2" applyNumberFormat="1" applyFont="1" applyFill="1" applyBorder="1" applyAlignment="1" applyProtection="1">
      <alignment horizontal="right"/>
      <protection locked="0"/>
    </xf>
    <xf numFmtId="176" fontId="121" fillId="28" borderId="63" xfId="2" applyNumberFormat="1" applyFont="1" applyFill="1" applyBorder="1" applyAlignment="1" applyProtection="1">
      <alignment horizontal="right"/>
      <protection locked="0"/>
    </xf>
    <xf numFmtId="0" fontId="160" fillId="8" borderId="63" xfId="2" applyNumberFormat="1" applyFont="1" applyFill="1" applyBorder="1" applyAlignment="1" applyProtection="1">
      <alignment horizontal="left"/>
      <protection hidden="1"/>
    </xf>
    <xf numFmtId="0" fontId="160" fillId="8" borderId="81" xfId="2" applyNumberFormat="1" applyFont="1" applyFill="1" applyBorder="1" applyAlignment="1" applyProtection="1">
      <alignment horizontal="left"/>
      <protection hidden="1"/>
    </xf>
    <xf numFmtId="176" fontId="121" fillId="28" borderId="34" xfId="2" applyNumberFormat="1" applyFont="1" applyFill="1" applyBorder="1" applyAlignment="1" applyProtection="1">
      <alignment horizontal="right"/>
      <protection locked="0"/>
    </xf>
    <xf numFmtId="0" fontId="252" fillId="28" borderId="67" xfId="2" applyNumberFormat="1" applyFont="1" applyFill="1" applyBorder="1" applyAlignment="1" applyProtection="1">
      <alignment horizontal="center" vertical="center" wrapText="1"/>
      <protection locked="0"/>
    </xf>
    <xf numFmtId="0" fontId="252" fillId="28" borderId="602" xfId="2" applyNumberFormat="1" applyFont="1" applyFill="1" applyBorder="1" applyAlignment="1" applyProtection="1">
      <alignment horizontal="center" vertical="center" wrapText="1"/>
      <protection locked="0"/>
    </xf>
    <xf numFmtId="0" fontId="252" fillId="28" borderId="54" xfId="2" applyNumberFormat="1" applyFont="1" applyFill="1" applyBorder="1" applyAlignment="1" applyProtection="1">
      <alignment horizontal="center" vertical="center" wrapText="1"/>
      <protection locked="0"/>
    </xf>
    <xf numFmtId="0" fontId="252" fillId="28" borderId="78" xfId="2" applyNumberFormat="1" applyFont="1" applyFill="1" applyBorder="1" applyAlignment="1" applyProtection="1">
      <alignment horizontal="center" vertical="center" wrapText="1"/>
      <protection locked="0"/>
    </xf>
    <xf numFmtId="0" fontId="252" fillId="28" borderId="65" xfId="2" applyNumberFormat="1" applyFont="1" applyFill="1" applyBorder="1" applyAlignment="1" applyProtection="1">
      <alignment horizontal="right" vertical="center" shrinkToFit="1"/>
      <protection locked="0"/>
    </xf>
    <xf numFmtId="0" fontId="252" fillId="28" borderId="60" xfId="2" applyNumberFormat="1" applyFont="1" applyFill="1" applyBorder="1" applyAlignment="1" applyProtection="1">
      <alignment horizontal="right" vertical="center" shrinkToFit="1"/>
      <protection locked="0"/>
    </xf>
    <xf numFmtId="0" fontId="175" fillId="8" borderId="67" xfId="2" applyNumberFormat="1" applyFont="1" applyFill="1" applyBorder="1" applyAlignment="1" applyProtection="1">
      <alignment horizontal="center" vertical="center" wrapText="1"/>
      <protection hidden="1"/>
    </xf>
    <xf numFmtId="0" fontId="175" fillId="8" borderId="602" xfId="2" applyNumberFormat="1" applyFont="1" applyFill="1" applyBorder="1" applyAlignment="1" applyProtection="1">
      <alignment horizontal="center" vertical="center"/>
      <protection hidden="1"/>
    </xf>
    <xf numFmtId="181" fontId="162" fillId="8" borderId="30" xfId="2" applyNumberFormat="1" applyFont="1" applyFill="1" applyBorder="1" applyAlignment="1" applyProtection="1">
      <alignment horizontal="center" vertical="center"/>
      <protection hidden="1"/>
    </xf>
    <xf numFmtId="181" fontId="162" fillId="8" borderId="26" xfId="2" applyNumberFormat="1" applyFont="1" applyFill="1" applyBorder="1" applyAlignment="1" applyProtection="1">
      <alignment horizontal="center" vertical="center"/>
      <protection hidden="1"/>
    </xf>
    <xf numFmtId="181" fontId="162" fillId="8" borderId="65" xfId="2" applyNumberFormat="1" applyFont="1" applyFill="1" applyBorder="1" applyAlignment="1" applyProtection="1">
      <alignment horizontal="center" vertical="center"/>
      <protection hidden="1"/>
    </xf>
    <xf numFmtId="181" fontId="162" fillId="8" borderId="68" xfId="2" applyNumberFormat="1" applyFont="1" applyFill="1" applyBorder="1" applyAlignment="1" applyProtection="1">
      <alignment horizontal="center" vertical="center"/>
      <protection hidden="1"/>
    </xf>
    <xf numFmtId="181" fontId="162" fillId="8" borderId="602" xfId="2" applyNumberFormat="1" applyFont="1" applyFill="1" applyBorder="1" applyAlignment="1" applyProtection="1">
      <alignment horizontal="center" vertical="center"/>
      <protection hidden="1"/>
    </xf>
    <xf numFmtId="181" fontId="162" fillId="8" borderId="60" xfId="2" applyNumberFormat="1" applyFont="1" applyFill="1" applyBorder="1" applyAlignment="1" applyProtection="1">
      <alignment horizontal="center" vertical="center"/>
      <protection hidden="1"/>
    </xf>
    <xf numFmtId="181" fontId="162" fillId="8" borderId="55" xfId="2" applyNumberFormat="1" applyFont="1" applyFill="1" applyBorder="1" applyAlignment="1" applyProtection="1">
      <alignment horizontal="center" vertical="center"/>
      <protection hidden="1"/>
    </xf>
    <xf numFmtId="181" fontId="162" fillId="8" borderId="78" xfId="2" applyNumberFormat="1" applyFont="1" applyFill="1" applyBorder="1" applyAlignment="1" applyProtection="1">
      <alignment horizontal="center" vertical="center"/>
      <protection hidden="1"/>
    </xf>
    <xf numFmtId="181" fontId="162" fillId="8" borderId="66" xfId="2" applyNumberFormat="1" applyFont="1" applyFill="1" applyBorder="1" applyAlignment="1" applyProtection="1">
      <alignment horizontal="center" vertical="center"/>
      <protection hidden="1"/>
    </xf>
    <xf numFmtId="181" fontId="162" fillId="8" borderId="61" xfId="2" applyNumberFormat="1" applyFont="1" applyFill="1" applyBorder="1" applyAlignment="1" applyProtection="1">
      <alignment horizontal="center" vertical="center"/>
      <protection hidden="1"/>
    </xf>
    <xf numFmtId="181" fontId="162" fillId="8" borderId="205" xfId="2" applyNumberFormat="1" applyFont="1" applyFill="1" applyBorder="1" applyAlignment="1" applyProtection="1">
      <alignment horizontal="center" vertical="center"/>
      <protection hidden="1"/>
    </xf>
    <xf numFmtId="181" fontId="162" fillId="8" borderId="136" xfId="2" applyNumberFormat="1" applyFont="1" applyFill="1" applyBorder="1" applyAlignment="1" applyProtection="1">
      <alignment horizontal="center" vertical="center"/>
      <protection hidden="1"/>
    </xf>
    <xf numFmtId="0" fontId="175" fillId="8" borderId="54" xfId="2" applyNumberFormat="1" applyFont="1" applyFill="1" applyBorder="1" applyAlignment="1" applyProtection="1">
      <alignment horizontal="center" vertical="center"/>
      <protection hidden="1"/>
    </xf>
    <xf numFmtId="0" fontId="175" fillId="8" borderId="78" xfId="2" applyNumberFormat="1" applyFont="1" applyFill="1" applyBorder="1" applyAlignment="1" applyProtection="1">
      <alignment horizontal="center" vertical="center"/>
      <protection hidden="1"/>
    </xf>
    <xf numFmtId="0" fontId="260" fillId="28" borderId="65" xfId="2" applyNumberFormat="1" applyFont="1" applyFill="1" applyBorder="1" applyAlignment="1" applyProtection="1">
      <alignment horizontal="right" vertical="center" shrinkToFit="1"/>
      <protection locked="0"/>
    </xf>
    <xf numFmtId="0" fontId="260" fillId="28" borderId="60" xfId="2" applyNumberFormat="1" applyFont="1" applyFill="1" applyBorder="1" applyAlignment="1" applyProtection="1">
      <alignment horizontal="right" vertical="center" shrinkToFit="1"/>
      <protection locked="0"/>
    </xf>
    <xf numFmtId="49" fontId="259" fillId="8" borderId="69" xfId="2" applyNumberFormat="1" applyFont="1" applyFill="1" applyBorder="1" applyAlignment="1" applyProtection="1">
      <alignment horizontal="left" vertical="center"/>
      <protection hidden="1"/>
    </xf>
    <xf numFmtId="49" fontId="437" fillId="8" borderId="56" xfId="2" applyNumberFormat="1" applyFont="1" applyFill="1" applyBorder="1" applyAlignment="1" applyProtection="1">
      <alignment horizontal="left" vertical="center"/>
      <protection hidden="1"/>
    </xf>
    <xf numFmtId="0" fontId="175" fillId="8" borderId="67" xfId="2" applyNumberFormat="1" applyFont="1" applyFill="1" applyBorder="1" applyAlignment="1" applyProtection="1">
      <alignment horizontal="center" vertical="center"/>
      <protection hidden="1"/>
    </xf>
    <xf numFmtId="0" fontId="259" fillId="8" borderId="1" xfId="2" applyNumberFormat="1" applyFont="1" applyFill="1" applyBorder="1" applyAlignment="1" applyProtection="1">
      <alignment horizontal="center" vertical="top" wrapText="1"/>
      <protection hidden="1"/>
    </xf>
    <xf numFmtId="0" fontId="259" fillId="8" borderId="439" xfId="2" applyNumberFormat="1" applyFont="1" applyFill="1" applyBorder="1" applyAlignment="1" applyProtection="1">
      <alignment horizontal="center" vertical="top"/>
      <protection hidden="1"/>
    </xf>
    <xf numFmtId="0" fontId="259" fillId="8" borderId="54" xfId="2" applyNumberFormat="1" applyFont="1" applyFill="1" applyBorder="1" applyAlignment="1" applyProtection="1">
      <alignment horizontal="center" vertical="top"/>
      <protection hidden="1"/>
    </xf>
    <xf numFmtId="0" fontId="259" fillId="8" borderId="78" xfId="2" applyNumberFormat="1" applyFont="1" applyFill="1" applyBorder="1" applyAlignment="1" applyProtection="1">
      <alignment horizontal="center" vertical="top"/>
      <protection hidden="1"/>
    </xf>
    <xf numFmtId="0" fontId="162" fillId="8" borderId="1" xfId="2" applyNumberFormat="1" applyFont="1" applyFill="1" applyBorder="1" applyAlignment="1" applyProtection="1">
      <alignment horizontal="right" vertical="center" shrinkToFit="1"/>
      <protection hidden="1"/>
    </xf>
    <xf numFmtId="0" fontId="260" fillId="8" borderId="69" xfId="2" applyNumberFormat="1" applyFont="1" applyFill="1" applyBorder="1" applyAlignment="1" applyProtection="1">
      <alignment horizontal="left" vertical="center" wrapText="1" shrinkToFit="1"/>
      <protection hidden="1"/>
    </xf>
    <xf numFmtId="0" fontId="260" fillId="8" borderId="56" xfId="2" applyNumberFormat="1" applyFont="1" applyFill="1" applyBorder="1" applyAlignment="1" applyProtection="1">
      <alignment horizontal="left" vertical="center" wrapText="1" shrinkToFit="1"/>
      <protection hidden="1"/>
    </xf>
    <xf numFmtId="181" fontId="260" fillId="8" borderId="2" xfId="2" applyNumberFormat="1" applyFont="1" applyFill="1" applyBorder="1" applyAlignment="1" applyProtection="1">
      <alignment horizontal="left" vertical="center" shrinkToFit="1"/>
      <protection hidden="1"/>
    </xf>
    <xf numFmtId="0" fontId="437" fillId="8" borderId="67" xfId="2" applyNumberFormat="1" applyFont="1" applyFill="1" applyBorder="1" applyAlignment="1" applyProtection="1">
      <alignment horizontal="right" vertical="center" shrinkToFit="1"/>
      <protection hidden="1"/>
    </xf>
    <xf numFmtId="0" fontId="437" fillId="8" borderId="68" xfId="2" applyNumberFormat="1" applyFont="1" applyFill="1" applyBorder="1" applyAlignment="1" applyProtection="1">
      <alignment horizontal="right" vertical="center" shrinkToFit="1"/>
      <protection hidden="1"/>
    </xf>
    <xf numFmtId="0" fontId="437" fillId="8" borderId="602" xfId="2" applyNumberFormat="1" applyFont="1" applyFill="1" applyBorder="1" applyAlignment="1" applyProtection="1">
      <alignment horizontal="right" vertical="center" shrinkToFit="1"/>
      <protection hidden="1"/>
    </xf>
    <xf numFmtId="0" fontId="437" fillId="8" borderId="54" xfId="2" applyNumberFormat="1" applyFont="1" applyFill="1" applyBorder="1" applyAlignment="1" applyProtection="1">
      <alignment horizontal="right" vertical="center" shrinkToFit="1"/>
      <protection hidden="1"/>
    </xf>
    <xf numFmtId="0" fontId="437" fillId="8" borderId="55" xfId="2" applyNumberFormat="1" applyFont="1" applyFill="1" applyBorder="1" applyAlignment="1" applyProtection="1">
      <alignment horizontal="right" vertical="center" shrinkToFit="1"/>
      <protection hidden="1"/>
    </xf>
    <xf numFmtId="0" fontId="437" fillId="8" borderId="78" xfId="2" applyNumberFormat="1" applyFont="1" applyFill="1" applyBorder="1" applyAlignment="1" applyProtection="1">
      <alignment horizontal="right" vertical="center" shrinkToFit="1"/>
      <protection hidden="1"/>
    </xf>
    <xf numFmtId="176" fontId="252" fillId="28" borderId="602" xfId="2" applyNumberFormat="1" applyFont="1" applyFill="1" applyBorder="1" applyAlignment="1" applyProtection="1">
      <alignment horizontal="left" vertical="center"/>
      <protection locked="0"/>
    </xf>
    <xf numFmtId="176" fontId="252" fillId="28" borderId="78" xfId="2" applyNumberFormat="1" applyFont="1" applyFill="1" applyBorder="1" applyAlignment="1" applyProtection="1">
      <alignment horizontal="left" vertical="center"/>
      <protection locked="0"/>
    </xf>
    <xf numFmtId="179" fontId="252" fillId="8" borderId="65" xfId="8" applyNumberFormat="1" applyFont="1" applyFill="1" applyBorder="1" applyAlignment="1" applyProtection="1">
      <alignment horizontal="right" shrinkToFit="1"/>
      <protection hidden="1"/>
    </xf>
    <xf numFmtId="179" fontId="252" fillId="8" borderId="60" xfId="8" applyNumberFormat="1" applyFont="1" applyFill="1" applyBorder="1" applyAlignment="1" applyProtection="1">
      <alignment horizontal="right" shrinkToFit="1"/>
      <protection hidden="1"/>
    </xf>
    <xf numFmtId="0" fontId="259" fillId="8" borderId="1" xfId="2" applyNumberFormat="1" applyFont="1" applyFill="1" applyBorder="1" applyAlignment="1" applyProtection="1">
      <alignment horizontal="center" vertical="center" wrapText="1"/>
      <protection hidden="1"/>
    </xf>
    <xf numFmtId="0" fontId="259" fillId="8" borderId="0" xfId="2" applyNumberFormat="1" applyFont="1" applyFill="1" applyBorder="1" applyAlignment="1" applyProtection="1">
      <alignment horizontal="center" vertical="center" wrapText="1"/>
      <protection hidden="1"/>
    </xf>
    <xf numFmtId="0" fontId="259" fillId="8" borderId="439" xfId="2" applyNumberFormat="1" applyFont="1" applyFill="1" applyBorder="1" applyAlignment="1" applyProtection="1">
      <alignment horizontal="center" vertical="center" wrapText="1"/>
      <protection hidden="1"/>
    </xf>
    <xf numFmtId="0" fontId="259" fillId="8" borderId="54" xfId="2" applyNumberFormat="1" applyFont="1" applyFill="1" applyBorder="1" applyAlignment="1" applyProtection="1">
      <alignment horizontal="center" vertical="center" wrapText="1"/>
      <protection hidden="1"/>
    </xf>
    <xf numFmtId="0" fontId="259" fillId="8" borderId="55" xfId="2" applyNumberFormat="1" applyFont="1" applyFill="1" applyBorder="1" applyAlignment="1" applyProtection="1">
      <alignment horizontal="center" vertical="center" wrapText="1"/>
      <protection hidden="1"/>
    </xf>
    <xf numFmtId="0" fontId="259" fillId="8" borderId="78" xfId="2" applyNumberFormat="1" applyFont="1" applyFill="1" applyBorder="1" applyAlignment="1" applyProtection="1">
      <alignment horizontal="center" vertical="center" wrapText="1"/>
      <protection hidden="1"/>
    </xf>
    <xf numFmtId="0" fontId="259" fillId="8" borderId="53" xfId="2" applyNumberFormat="1" applyFont="1" applyFill="1" applyBorder="1" applyAlignment="1" applyProtection="1">
      <alignment horizontal="center" vertical="center" wrapText="1"/>
      <protection hidden="1"/>
    </xf>
    <xf numFmtId="0" fontId="259" fillId="8" borderId="2" xfId="2" applyNumberFormat="1" applyFont="1" applyFill="1" applyBorder="1" applyAlignment="1" applyProtection="1">
      <alignment horizontal="center" vertical="center" wrapText="1"/>
      <protection hidden="1"/>
    </xf>
    <xf numFmtId="0" fontId="259" fillId="8" borderId="60" xfId="2" applyNumberFormat="1" applyFont="1" applyFill="1" applyBorder="1" applyAlignment="1" applyProtection="1">
      <alignment horizontal="center" vertical="center" wrapText="1"/>
      <protection hidden="1"/>
    </xf>
    <xf numFmtId="0" fontId="259" fillId="8" borderId="56" xfId="2" applyNumberFormat="1" applyFont="1" applyFill="1" applyBorder="1" applyAlignment="1" applyProtection="1">
      <alignment horizontal="center" vertical="center" wrapText="1"/>
      <protection hidden="1"/>
    </xf>
    <xf numFmtId="0" fontId="111" fillId="8" borderId="0" xfId="2" applyFont="1" applyFill="1" applyAlignment="1" applyProtection="1">
      <alignment horizontal="center" vertical="center"/>
      <protection hidden="1"/>
    </xf>
    <xf numFmtId="0" fontId="111" fillId="8" borderId="0" xfId="2" applyFont="1" applyFill="1" applyBorder="1" applyAlignment="1" applyProtection="1">
      <alignment horizontal="center"/>
      <protection hidden="1"/>
    </xf>
    <xf numFmtId="0" fontId="111" fillId="8" borderId="0" xfId="2" applyFont="1" applyFill="1" applyBorder="1" applyAlignment="1" applyProtection="1">
      <alignment horizontal="center" vertical="top"/>
      <protection hidden="1"/>
    </xf>
    <xf numFmtId="0" fontId="259" fillId="8" borderId="30" xfId="2" applyNumberFormat="1" applyFont="1" applyFill="1" applyBorder="1" applyAlignment="1" applyProtection="1">
      <alignment horizontal="center" vertical="center" wrapText="1"/>
      <protection hidden="1"/>
    </xf>
    <xf numFmtId="0" fontId="165" fillId="8" borderId="26" xfId="2" applyNumberFormat="1" applyFont="1" applyFill="1" applyBorder="1" applyAlignment="1" applyProtection="1">
      <alignment horizontal="center" vertical="center"/>
      <protection hidden="1"/>
    </xf>
    <xf numFmtId="0" fontId="259" fillId="8" borderId="53" xfId="2" applyNumberFormat="1" applyFont="1" applyFill="1" applyBorder="1" applyAlignment="1" applyProtection="1">
      <alignment horizontal="center" vertical="top"/>
      <protection hidden="1"/>
    </xf>
    <xf numFmtId="0" fontId="259" fillId="8" borderId="2" xfId="2" applyNumberFormat="1" applyFont="1" applyFill="1" applyBorder="1" applyAlignment="1" applyProtection="1">
      <alignment horizontal="center" vertical="top"/>
      <protection hidden="1"/>
    </xf>
    <xf numFmtId="0" fontId="259" fillId="8" borderId="60" xfId="2" applyNumberFormat="1" applyFont="1" applyFill="1" applyBorder="1" applyAlignment="1" applyProtection="1">
      <alignment horizontal="center" vertical="top"/>
      <protection hidden="1"/>
    </xf>
    <xf numFmtId="0" fontId="259" fillId="8" borderId="56" xfId="2" applyNumberFormat="1" applyFont="1" applyFill="1" applyBorder="1" applyAlignment="1" applyProtection="1">
      <alignment horizontal="center" vertical="top"/>
      <protection hidden="1"/>
    </xf>
    <xf numFmtId="0" fontId="259" fillId="8" borderId="601" xfId="2" applyNumberFormat="1" applyFont="1" applyFill="1" applyBorder="1" applyAlignment="1" applyProtection="1">
      <alignment horizontal="center" vertical="center" wrapText="1"/>
      <protection hidden="1"/>
    </xf>
    <xf numFmtId="0" fontId="165" fillId="8" borderId="85" xfId="2" applyNumberFormat="1" applyFont="1" applyFill="1" applyBorder="1" applyAlignment="1" applyProtection="1">
      <alignment horizontal="center" vertical="center"/>
      <protection hidden="1"/>
    </xf>
    <xf numFmtId="0" fontId="175" fillId="8" borderId="62" xfId="2" applyNumberFormat="1" applyFont="1" applyFill="1" applyBorder="1" applyAlignment="1" applyProtection="1">
      <alignment horizontal="center" vertical="center"/>
      <protection hidden="1"/>
    </xf>
    <xf numFmtId="0" fontId="175" fillId="8" borderId="81" xfId="2" applyNumberFormat="1" applyFont="1" applyFill="1" applyBorder="1" applyAlignment="1" applyProtection="1">
      <alignment horizontal="center" vertical="center"/>
      <protection hidden="1"/>
    </xf>
    <xf numFmtId="181" fontId="162" fillId="8" borderId="34" xfId="2" applyNumberFormat="1" applyFont="1" applyFill="1" applyBorder="1" applyAlignment="1" applyProtection="1">
      <alignment horizontal="center" vertical="center"/>
      <protection hidden="1"/>
    </xf>
    <xf numFmtId="181" fontId="162" fillId="8" borderId="63" xfId="2" applyNumberFormat="1" applyFont="1" applyFill="1" applyBorder="1" applyAlignment="1" applyProtection="1">
      <alignment horizontal="center" vertical="center"/>
      <protection hidden="1"/>
    </xf>
    <xf numFmtId="181" fontId="162" fillId="8" borderId="81" xfId="2" applyNumberFormat="1" applyFont="1" applyFill="1" applyBorder="1" applyAlignment="1" applyProtection="1">
      <alignment horizontal="center" vertical="center"/>
      <protection hidden="1"/>
    </xf>
    <xf numFmtId="0" fontId="163" fillId="8" borderId="113" xfId="2" applyNumberFormat="1" applyFont="1" applyFill="1" applyBorder="1" applyAlignment="1" applyProtection="1">
      <alignment horizontal="center" vertical="center"/>
      <protection hidden="1"/>
    </xf>
    <xf numFmtId="0" fontId="163" fillId="8" borderId="117" xfId="2" applyNumberFormat="1" applyFont="1" applyFill="1" applyBorder="1" applyAlignment="1" applyProtection="1">
      <alignment horizontal="center" vertical="center"/>
      <protection hidden="1"/>
    </xf>
    <xf numFmtId="0" fontId="163" fillId="8" borderId="5" xfId="2" applyNumberFormat="1" applyFont="1" applyFill="1" applyBorder="1" applyAlignment="1" applyProtection="1">
      <alignment horizontal="center" vertical="center"/>
      <protection hidden="1"/>
    </xf>
    <xf numFmtId="0" fontId="82" fillId="8" borderId="117" xfId="2" applyNumberFormat="1" applyFont="1" applyFill="1" applyBorder="1" applyAlignment="1" applyProtection="1">
      <alignment horizontal="center" vertical="center"/>
      <protection hidden="1"/>
    </xf>
    <xf numFmtId="0" fontId="82" fillId="8" borderId="225" xfId="2" applyNumberFormat="1" applyFont="1" applyFill="1" applyBorder="1" applyAlignment="1" applyProtection="1">
      <alignment horizontal="center" vertical="center"/>
      <protection hidden="1"/>
    </xf>
    <xf numFmtId="0" fontId="259" fillId="8" borderId="1" xfId="2" applyNumberFormat="1" applyFont="1" applyFill="1" applyBorder="1" applyAlignment="1" applyProtection="1">
      <alignment horizontal="center" vertical="top"/>
      <protection hidden="1"/>
    </xf>
    <xf numFmtId="0" fontId="259" fillId="8" borderId="0" xfId="2" applyNumberFormat="1" applyFont="1" applyFill="1" applyBorder="1" applyAlignment="1" applyProtection="1">
      <alignment horizontal="center" vertical="top"/>
      <protection hidden="1"/>
    </xf>
    <xf numFmtId="0" fontId="259" fillId="8" borderId="55" xfId="2" applyNumberFormat="1" applyFont="1" applyFill="1" applyBorder="1" applyAlignment="1" applyProtection="1">
      <alignment horizontal="center" vertical="top"/>
      <protection hidden="1"/>
    </xf>
    <xf numFmtId="0" fontId="175" fillId="28" borderId="1" xfId="2" applyNumberFormat="1" applyFont="1" applyFill="1" applyBorder="1" applyAlignment="1" applyProtection="1">
      <alignment horizontal="center" vertical="center" wrapText="1"/>
      <protection locked="0"/>
    </xf>
    <xf numFmtId="0" fontId="175" fillId="28" borderId="0" xfId="2" applyNumberFormat="1" applyFont="1" applyFill="1" applyBorder="1" applyAlignment="1" applyProtection="1">
      <alignment horizontal="center" vertical="center" wrapText="1"/>
      <protection locked="0"/>
    </xf>
    <xf numFmtId="0" fontId="175" fillId="28" borderId="2" xfId="2" applyNumberFormat="1" applyFont="1" applyFill="1" applyBorder="1" applyAlignment="1" applyProtection="1">
      <alignment horizontal="center" vertical="center" wrapText="1"/>
      <protection locked="0"/>
    </xf>
    <xf numFmtId="0" fontId="175" fillId="28" borderId="54" xfId="2" applyNumberFormat="1" applyFont="1" applyFill="1" applyBorder="1" applyAlignment="1" applyProtection="1">
      <alignment horizontal="center" vertical="center" wrapText="1"/>
      <protection locked="0"/>
    </xf>
    <xf numFmtId="0" fontId="175" fillId="28" borderId="55" xfId="2" applyNumberFormat="1" applyFont="1" applyFill="1" applyBorder="1" applyAlignment="1" applyProtection="1">
      <alignment horizontal="center" vertical="center" wrapText="1"/>
      <protection locked="0"/>
    </xf>
    <xf numFmtId="0" fontId="175" fillId="28" borderId="56" xfId="2" applyNumberFormat="1" applyFont="1" applyFill="1" applyBorder="1" applyAlignment="1" applyProtection="1">
      <alignment horizontal="center" vertical="center" wrapText="1"/>
      <protection locked="0"/>
    </xf>
    <xf numFmtId="0" fontId="260" fillId="28" borderId="67" xfId="2" applyNumberFormat="1" applyFont="1" applyFill="1" applyBorder="1" applyAlignment="1" applyProtection="1">
      <alignment horizontal="right" vertical="center" shrinkToFit="1"/>
      <protection locked="0"/>
    </xf>
    <xf numFmtId="0" fontId="260" fillId="28" borderId="54" xfId="2" applyNumberFormat="1" applyFont="1" applyFill="1" applyBorder="1" applyAlignment="1" applyProtection="1">
      <alignment horizontal="right" vertical="center" shrinkToFit="1"/>
      <protection locked="0"/>
    </xf>
    <xf numFmtId="0" fontId="260" fillId="8" borderId="114" xfId="2" applyNumberFormat="1" applyFont="1" applyFill="1" applyBorder="1" applyAlignment="1" applyProtection="1">
      <alignment horizontal="center"/>
      <protection hidden="1"/>
    </xf>
    <xf numFmtId="0" fontId="260" fillId="8" borderId="94" xfId="2" applyNumberFormat="1" applyFont="1" applyFill="1" applyBorder="1" applyAlignment="1" applyProtection="1">
      <alignment horizontal="center" vertical="top"/>
      <protection hidden="1"/>
    </xf>
    <xf numFmtId="0" fontId="435" fillId="8" borderId="58" xfId="2" applyNumberFormat="1" applyFont="1" applyFill="1" applyBorder="1" applyAlignment="1" applyProtection="1">
      <alignment horizontal="left"/>
      <protection hidden="1"/>
    </xf>
    <xf numFmtId="0" fontId="435" fillId="8" borderId="68" xfId="2" applyNumberFormat="1" applyFont="1" applyFill="1" applyBorder="1" applyAlignment="1" applyProtection="1">
      <alignment horizontal="left" vertical="center"/>
      <protection hidden="1"/>
    </xf>
    <xf numFmtId="14" fontId="476" fillId="8" borderId="0" xfId="2" applyNumberFormat="1" applyFont="1" applyFill="1" applyBorder="1" applyAlignment="1" applyProtection="1">
      <alignment horizontal="left"/>
      <protection hidden="1"/>
    </xf>
    <xf numFmtId="0" fontId="458" fillId="8" borderId="0" xfId="6" applyFont="1" applyFill="1" applyAlignment="1" applyProtection="1">
      <alignment horizontal="left" vertical="top"/>
      <protection hidden="1"/>
    </xf>
    <xf numFmtId="0" fontId="163" fillId="8" borderId="6" xfId="2" applyNumberFormat="1" applyFont="1" applyFill="1" applyBorder="1" applyAlignment="1" applyProtection="1">
      <alignment horizontal="center" vertical="center"/>
      <protection hidden="1"/>
    </xf>
    <xf numFmtId="0" fontId="3" fillId="8" borderId="0" xfId="8" applyFont="1" applyFill="1" applyAlignment="1" applyProtection="1">
      <alignment horizontal="center" vertical="center" textRotation="180"/>
      <protection locked="0"/>
    </xf>
    <xf numFmtId="0" fontId="160" fillId="8" borderId="111" xfId="8" applyNumberFormat="1" applyFont="1" applyFill="1" applyBorder="1" applyAlignment="1" applyProtection="1">
      <alignment horizontal="center" vertical="center"/>
      <protection hidden="1"/>
    </xf>
    <xf numFmtId="0" fontId="160" fillId="8" borderId="112" xfId="8" applyNumberFormat="1" applyFont="1" applyFill="1" applyBorder="1" applyAlignment="1" applyProtection="1">
      <alignment horizontal="center" vertical="center"/>
      <protection hidden="1"/>
    </xf>
    <xf numFmtId="0" fontId="483" fillId="8" borderId="113" xfId="8" applyNumberFormat="1" applyFont="1" applyFill="1" applyBorder="1" applyAlignment="1" applyProtection="1">
      <alignment horizontal="left" vertical="center"/>
      <protection locked="0"/>
    </xf>
    <xf numFmtId="0" fontId="483" fillId="8" borderId="117" xfId="8" applyNumberFormat="1" applyFont="1" applyFill="1" applyBorder="1" applyAlignment="1" applyProtection="1">
      <alignment horizontal="left" vertical="center"/>
      <protection locked="0"/>
    </xf>
    <xf numFmtId="0" fontId="483" fillId="8" borderId="5" xfId="8" applyNumberFormat="1" applyFont="1" applyFill="1" applyBorder="1" applyAlignment="1" applyProtection="1">
      <alignment horizontal="left" vertical="center"/>
      <protection locked="0"/>
    </xf>
    <xf numFmtId="0" fontId="467" fillId="8" borderId="1" xfId="8" applyNumberFormat="1" applyFont="1" applyFill="1" applyBorder="1" applyAlignment="1" applyProtection="1">
      <alignment horizontal="center" wrapText="1"/>
      <protection hidden="1"/>
    </xf>
    <xf numFmtId="0" fontId="467" fillId="8" borderId="0" xfId="8" applyNumberFormat="1" applyFont="1" applyFill="1" applyBorder="1" applyAlignment="1" applyProtection="1">
      <alignment horizontal="center" wrapText="1"/>
      <protection hidden="1"/>
    </xf>
    <xf numFmtId="0" fontId="467" fillId="8" borderId="2" xfId="8" applyNumberFormat="1" applyFont="1" applyFill="1" applyBorder="1" applyAlignment="1" applyProtection="1">
      <alignment horizontal="center" wrapText="1"/>
      <protection hidden="1"/>
    </xf>
    <xf numFmtId="0" fontId="467" fillId="8" borderId="246" xfId="8" applyNumberFormat="1" applyFont="1" applyFill="1" applyBorder="1" applyAlignment="1" applyProtection="1">
      <alignment horizontal="center" wrapText="1"/>
      <protection hidden="1"/>
    </xf>
    <xf numFmtId="0" fontId="467" fillId="8" borderId="92" xfId="8" applyNumberFormat="1" applyFont="1" applyFill="1" applyBorder="1" applyAlignment="1" applyProtection="1">
      <alignment horizontal="center" wrapText="1"/>
      <protection hidden="1"/>
    </xf>
    <xf numFmtId="0" fontId="467" fillId="8" borderId="245" xfId="8" applyNumberFormat="1" applyFont="1" applyFill="1" applyBorder="1" applyAlignment="1" applyProtection="1">
      <alignment horizontal="center" wrapText="1"/>
      <protection hidden="1"/>
    </xf>
    <xf numFmtId="0" fontId="449" fillId="8" borderId="62" xfId="8" applyNumberFormat="1" applyFont="1" applyFill="1" applyBorder="1" applyAlignment="1" applyProtection="1">
      <alignment horizontal="center"/>
      <protection hidden="1"/>
    </xf>
    <xf numFmtId="0" fontId="449" fillId="8" borderId="63" xfId="8" applyNumberFormat="1" applyFont="1" applyFill="1" applyBorder="1" applyAlignment="1" applyProtection="1">
      <alignment horizontal="center"/>
      <protection hidden="1"/>
    </xf>
    <xf numFmtId="0" fontId="449" fillId="8" borderId="34" xfId="8" applyNumberFormat="1" applyFont="1" applyFill="1" applyBorder="1" applyAlignment="1" applyProtection="1">
      <alignment horizontal="center"/>
      <protection hidden="1"/>
    </xf>
    <xf numFmtId="0" fontId="449" fillId="8" borderId="81" xfId="8" applyNumberFormat="1" applyFont="1" applyFill="1" applyBorder="1" applyAlignment="1" applyProtection="1">
      <alignment horizontal="center"/>
      <protection hidden="1"/>
    </xf>
    <xf numFmtId="0" fontId="3" fillId="8" borderId="1" xfId="8" applyNumberFormat="1" applyFont="1" applyFill="1" applyBorder="1" applyAlignment="1" applyProtection="1">
      <alignment horizontal="center" wrapText="1"/>
      <protection locked="0"/>
    </xf>
    <xf numFmtId="0" fontId="3" fillId="8" borderId="0" xfId="8" applyNumberFormat="1" applyFont="1" applyFill="1" applyBorder="1" applyAlignment="1" applyProtection="1">
      <alignment horizontal="center"/>
      <protection locked="0"/>
    </xf>
    <xf numFmtId="0" fontId="3" fillId="8" borderId="71" xfId="8" applyNumberFormat="1" applyFont="1" applyFill="1" applyBorder="1" applyAlignment="1" applyProtection="1">
      <alignment horizontal="center"/>
      <protection locked="0"/>
    </xf>
    <xf numFmtId="0" fontId="3" fillId="8" borderId="246" xfId="8" applyNumberFormat="1" applyFont="1" applyFill="1" applyBorder="1" applyAlignment="1" applyProtection="1">
      <alignment horizontal="center"/>
      <protection locked="0"/>
    </xf>
    <xf numFmtId="0" fontId="3" fillId="8" borderId="92" xfId="8" applyNumberFormat="1" applyFont="1" applyFill="1" applyBorder="1" applyAlignment="1" applyProtection="1">
      <alignment horizontal="center"/>
      <protection locked="0"/>
    </xf>
    <xf numFmtId="0" fontId="3" fillId="8" borderId="93" xfId="8" applyNumberFormat="1" applyFont="1" applyFill="1" applyBorder="1" applyAlignment="1" applyProtection="1">
      <alignment horizontal="center"/>
      <protection locked="0"/>
    </xf>
    <xf numFmtId="0" fontId="160" fillId="8" borderId="144" xfId="8" applyNumberFormat="1" applyFont="1" applyFill="1" applyBorder="1" applyAlignment="1" applyProtection="1">
      <alignment horizontal="center" vertical="center"/>
      <protection hidden="1"/>
    </xf>
    <xf numFmtId="0" fontId="160" fillId="8" borderId="145" xfId="8" applyNumberFormat="1" applyFont="1" applyFill="1" applyBorder="1" applyAlignment="1" applyProtection="1">
      <alignment horizontal="center" vertical="center"/>
      <protection hidden="1"/>
    </xf>
    <xf numFmtId="0" fontId="160" fillId="8" borderId="144" xfId="8" applyNumberFormat="1" applyFont="1" applyFill="1" applyBorder="1" applyAlignment="1" applyProtection="1">
      <alignment horizontal="left" vertical="center"/>
      <protection locked="0"/>
    </xf>
    <xf numFmtId="0" fontId="160" fillId="8" borderId="143" xfId="8" applyNumberFormat="1" applyFont="1" applyFill="1" applyBorder="1" applyAlignment="1" applyProtection="1">
      <alignment horizontal="left" vertical="center"/>
      <protection locked="0"/>
    </xf>
    <xf numFmtId="0" fontId="160" fillId="8" borderId="145" xfId="8" applyNumberFormat="1" applyFont="1" applyFill="1" applyBorder="1" applyAlignment="1" applyProtection="1">
      <alignment horizontal="left" vertical="center"/>
      <protection locked="0"/>
    </xf>
    <xf numFmtId="0" fontId="160" fillId="8" borderId="143" xfId="8" applyNumberFormat="1" applyFont="1" applyFill="1" applyBorder="1" applyAlignment="1" applyProtection="1">
      <alignment horizontal="center" vertical="center"/>
      <protection hidden="1"/>
    </xf>
    <xf numFmtId="0" fontId="462" fillId="8" borderId="144" xfId="8" applyNumberFormat="1" applyFont="1" applyFill="1" applyBorder="1" applyAlignment="1" applyProtection="1">
      <alignment horizontal="center" vertical="center"/>
      <protection locked="0"/>
    </xf>
    <xf numFmtId="0" fontId="462" fillId="8" borderId="143" xfId="8" applyNumberFormat="1" applyFont="1" applyFill="1" applyBorder="1" applyAlignment="1" applyProtection="1">
      <alignment horizontal="center" vertical="center"/>
      <protection locked="0"/>
    </xf>
    <xf numFmtId="0" fontId="462" fillId="8" borderId="145" xfId="8" applyNumberFormat="1" applyFont="1" applyFill="1" applyBorder="1" applyAlignment="1" applyProtection="1">
      <alignment horizontal="center" vertical="center"/>
      <protection locked="0"/>
    </xf>
    <xf numFmtId="0" fontId="260" fillId="8" borderId="63" xfId="8" applyNumberFormat="1" applyFont="1" applyFill="1" applyBorder="1" applyAlignment="1" applyProtection="1">
      <alignment horizontal="center" vertical="top"/>
      <protection hidden="1"/>
    </xf>
    <xf numFmtId="0" fontId="449" fillId="8" borderId="118" xfId="8" applyNumberFormat="1" applyFont="1" applyFill="1" applyBorder="1" applyAlignment="1" applyProtection="1">
      <alignment horizontal="center" vertical="center"/>
      <protection hidden="1"/>
    </xf>
    <xf numFmtId="0" fontId="449" fillId="8" borderId="116" xfId="8" applyNumberFormat="1" applyFont="1" applyFill="1" applyBorder="1" applyAlignment="1" applyProtection="1">
      <alignment horizontal="center" vertical="center"/>
      <protection hidden="1"/>
    </xf>
    <xf numFmtId="0" fontId="449" fillId="8" borderId="243" xfId="8" applyNumberFormat="1" applyFont="1" applyFill="1" applyBorder="1" applyAlignment="1" applyProtection="1">
      <alignment horizontal="center" vertical="center"/>
      <protection hidden="1"/>
    </xf>
    <xf numFmtId="0" fontId="449" fillId="8" borderId="1" xfId="8" applyNumberFormat="1" applyFont="1" applyFill="1" applyBorder="1" applyAlignment="1" applyProtection="1">
      <alignment horizontal="center" vertical="center"/>
      <protection hidden="1"/>
    </xf>
    <xf numFmtId="0" fontId="449" fillId="8" borderId="0" xfId="8" applyNumberFormat="1" applyFont="1" applyFill="1" applyBorder="1" applyAlignment="1" applyProtection="1">
      <alignment horizontal="center" vertical="center"/>
      <protection hidden="1"/>
    </xf>
    <xf numFmtId="0" fontId="449" fillId="8" borderId="439" xfId="8" applyNumberFormat="1" applyFont="1" applyFill="1" applyBorder="1" applyAlignment="1" applyProtection="1">
      <alignment horizontal="center" vertical="center"/>
      <protection hidden="1"/>
    </xf>
    <xf numFmtId="0" fontId="449" fillId="8" borderId="54" xfId="8" applyNumberFormat="1" applyFont="1" applyFill="1" applyBorder="1" applyAlignment="1" applyProtection="1">
      <alignment horizontal="center" vertical="center"/>
      <protection hidden="1"/>
    </xf>
    <xf numFmtId="0" fontId="449" fillId="8" borderId="55" xfId="8" applyNumberFormat="1" applyFont="1" applyFill="1" applyBorder="1" applyAlignment="1" applyProtection="1">
      <alignment horizontal="center" vertical="center"/>
      <protection hidden="1"/>
    </xf>
    <xf numFmtId="0" fontId="449" fillId="8" borderId="78" xfId="8" applyNumberFormat="1" applyFont="1" applyFill="1" applyBorder="1" applyAlignment="1" applyProtection="1">
      <alignment horizontal="center" vertical="center"/>
      <protection hidden="1"/>
    </xf>
    <xf numFmtId="0" fontId="449" fillId="8" borderId="242" xfId="8" applyNumberFormat="1" applyFont="1" applyFill="1" applyBorder="1" applyAlignment="1" applyProtection="1">
      <alignment horizontal="center" vertical="center"/>
      <protection hidden="1"/>
    </xf>
    <xf numFmtId="0" fontId="449" fillId="8" borderId="214" xfId="8" applyNumberFormat="1" applyFont="1" applyFill="1" applyBorder="1" applyAlignment="1" applyProtection="1">
      <alignment horizontal="center" vertical="center"/>
      <protection hidden="1"/>
    </xf>
    <xf numFmtId="0" fontId="449" fillId="8" borderId="26" xfId="8" applyNumberFormat="1" applyFont="1" applyFill="1" applyBorder="1" applyAlignment="1" applyProtection="1">
      <alignment horizontal="center" vertical="center"/>
      <protection hidden="1"/>
    </xf>
    <xf numFmtId="0" fontId="437" fillId="8" borderId="242" xfId="8" applyNumberFormat="1" applyFont="1" applyFill="1" applyBorder="1" applyAlignment="1" applyProtection="1">
      <alignment horizontal="center" vertical="center" wrapText="1"/>
      <protection hidden="1"/>
    </xf>
    <xf numFmtId="0" fontId="437" fillId="8" borderId="214" xfId="8" applyNumberFormat="1" applyFont="1" applyFill="1" applyBorder="1" applyAlignment="1" applyProtection="1">
      <alignment horizontal="center" vertical="center" wrapText="1"/>
      <protection hidden="1"/>
    </xf>
    <xf numFmtId="0" fontId="437" fillId="8" borderId="26" xfId="8" applyNumberFormat="1" applyFont="1" applyFill="1" applyBorder="1" applyAlignment="1" applyProtection="1">
      <alignment horizontal="center" vertical="center" wrapText="1"/>
      <protection hidden="1"/>
    </xf>
    <xf numFmtId="0" fontId="437" fillId="8" borderId="241" xfId="8" applyNumberFormat="1" applyFont="1" applyFill="1" applyBorder="1" applyAlignment="1" applyProtection="1">
      <alignment horizontal="center" vertical="center" wrapText="1"/>
      <protection hidden="1"/>
    </xf>
    <xf numFmtId="0" fontId="437" fillId="8" borderId="53" xfId="8" applyNumberFormat="1" applyFont="1" applyFill="1" applyBorder="1" applyAlignment="1" applyProtection="1">
      <alignment horizontal="center" vertical="center" wrapText="1"/>
      <protection hidden="1"/>
    </xf>
    <xf numFmtId="0" fontId="437" fillId="8" borderId="60" xfId="8" applyNumberFormat="1" applyFont="1" applyFill="1" applyBorder="1" applyAlignment="1" applyProtection="1">
      <alignment horizontal="center" vertical="center" wrapText="1"/>
      <protection hidden="1"/>
    </xf>
    <xf numFmtId="0" fontId="437" fillId="8" borderId="226" xfId="8" applyNumberFormat="1" applyFont="1" applyFill="1" applyBorder="1" applyAlignment="1" applyProtection="1">
      <alignment horizontal="center" vertical="center" wrapText="1"/>
      <protection hidden="1"/>
    </xf>
    <xf numFmtId="0" fontId="437" fillId="8" borderId="71" xfId="8" applyNumberFormat="1" applyFont="1" applyFill="1" applyBorder="1" applyAlignment="1" applyProtection="1">
      <alignment horizontal="center" vertical="center" wrapText="1"/>
      <protection hidden="1"/>
    </xf>
    <xf numFmtId="0" fontId="437" fillId="8" borderId="103" xfId="8" applyNumberFormat="1" applyFont="1" applyFill="1" applyBorder="1" applyAlignment="1" applyProtection="1">
      <alignment horizontal="center" vertical="center" wrapText="1"/>
      <protection hidden="1"/>
    </xf>
    <xf numFmtId="0" fontId="260" fillId="8" borderId="32" xfId="8" applyNumberFormat="1" applyFont="1" applyFill="1" applyBorder="1" applyAlignment="1" applyProtection="1">
      <alignment horizontal="center" vertical="center"/>
      <protection hidden="1"/>
    </xf>
    <xf numFmtId="0" fontId="82" fillId="8" borderId="4" xfId="8" applyNumberFormat="1" applyFont="1" applyFill="1" applyBorder="1" applyAlignment="1" applyProtection="1">
      <alignment horizontal="center" vertical="center"/>
      <protection hidden="1"/>
    </xf>
    <xf numFmtId="0" fontId="260" fillId="8" borderId="4" xfId="8" applyNumberFormat="1" applyFont="1" applyFill="1" applyBorder="1" applyAlignment="1" applyProtection="1">
      <alignment horizontal="center" vertical="center"/>
      <protection hidden="1"/>
    </xf>
    <xf numFmtId="0" fontId="260" fillId="8" borderId="34" xfId="8" applyNumberFormat="1" applyFont="1" applyFill="1" applyBorder="1" applyAlignment="1" applyProtection="1">
      <alignment horizontal="center" vertical="center"/>
      <protection hidden="1"/>
    </xf>
    <xf numFmtId="0" fontId="82" fillId="8" borderId="81" xfId="8" applyNumberFormat="1" applyFont="1" applyFill="1" applyBorder="1" applyAlignment="1" applyProtection="1">
      <alignment horizontal="center" vertical="center"/>
      <protection hidden="1"/>
    </xf>
    <xf numFmtId="0" fontId="83" fillId="0" borderId="81" xfId="8" applyBorder="1" applyProtection="1">
      <alignment vertical="center"/>
      <protection hidden="1"/>
    </xf>
    <xf numFmtId="0" fontId="260" fillId="8" borderId="4" xfId="8" applyNumberFormat="1" applyFont="1" applyFill="1" applyBorder="1" applyAlignment="1" applyProtection="1">
      <alignment horizontal="center" vertical="center" shrinkToFit="1"/>
      <protection hidden="1"/>
    </xf>
    <xf numFmtId="0" fontId="165" fillId="8" borderId="4" xfId="8" applyNumberFormat="1" applyFont="1" applyFill="1" applyBorder="1" applyAlignment="1" applyProtection="1">
      <alignment horizontal="center" vertical="center" shrinkToFit="1"/>
      <protection hidden="1"/>
    </xf>
    <xf numFmtId="0" fontId="462" fillId="8" borderId="241" xfId="8" applyNumberFormat="1" applyFont="1" applyFill="1" applyBorder="1" applyAlignment="1" applyProtection="1">
      <alignment horizontal="center" vertical="center" wrapText="1"/>
      <protection locked="0"/>
    </xf>
    <xf numFmtId="0" fontId="462" fillId="8" borderId="116" xfId="8" applyNumberFormat="1" applyFont="1" applyFill="1" applyBorder="1" applyAlignment="1" applyProtection="1">
      <alignment horizontal="center" vertical="center" wrapText="1"/>
      <protection locked="0"/>
    </xf>
    <xf numFmtId="0" fontId="462" fillId="8" borderId="119" xfId="8" applyNumberFormat="1" applyFont="1" applyFill="1" applyBorder="1" applyAlignment="1" applyProtection="1">
      <alignment horizontal="center" vertical="center" wrapText="1"/>
      <protection locked="0"/>
    </xf>
    <xf numFmtId="0" fontId="462" fillId="8" borderId="604" xfId="8" applyNumberFormat="1" applyFont="1" applyFill="1" applyBorder="1" applyAlignment="1" applyProtection="1">
      <alignment horizontal="center" vertical="center" wrapText="1"/>
      <protection locked="0"/>
    </xf>
    <xf numFmtId="0" fontId="462" fillId="8" borderId="92" xfId="8" applyNumberFormat="1" applyFont="1" applyFill="1" applyBorder="1" applyAlignment="1" applyProtection="1">
      <alignment horizontal="center" vertical="center" wrapText="1"/>
      <protection locked="0"/>
    </xf>
    <xf numFmtId="0" fontId="462" fillId="8" borderId="245" xfId="8" applyNumberFormat="1" applyFont="1" applyFill="1" applyBorder="1" applyAlignment="1" applyProtection="1">
      <alignment horizontal="center" vertical="center" wrapText="1"/>
      <protection locked="0"/>
    </xf>
    <xf numFmtId="0" fontId="260" fillId="8" borderId="63" xfId="8" applyNumberFormat="1" applyFont="1" applyFill="1" applyBorder="1" applyAlignment="1" applyProtection="1">
      <alignment horizontal="center" vertical="center" shrinkToFit="1"/>
      <protection hidden="1"/>
    </xf>
    <xf numFmtId="0" fontId="165" fillId="8" borderId="84" xfId="8" applyNumberFormat="1" applyFont="1" applyFill="1" applyBorder="1" applyAlignment="1" applyProtection="1">
      <alignment horizontal="center" vertical="center" shrinkToFit="1"/>
      <protection hidden="1"/>
    </xf>
    <xf numFmtId="201" fontId="260" fillId="28" borderId="41" xfId="8" applyNumberFormat="1" applyFont="1" applyFill="1" applyBorder="1" applyAlignment="1" applyProtection="1">
      <alignment horizontal="right" shrinkToFit="1"/>
      <protection locked="0"/>
    </xf>
    <xf numFmtId="201" fontId="260" fillId="28" borderId="58" xfId="8" applyNumberFormat="1" applyFont="1" applyFill="1" applyBorder="1" applyAlignment="1" applyProtection="1">
      <alignment horizontal="right" shrinkToFit="1"/>
      <protection locked="0"/>
    </xf>
    <xf numFmtId="201" fontId="260" fillId="28" borderId="122" xfId="8" applyNumberFormat="1" applyFont="1" applyFill="1" applyBorder="1" applyAlignment="1" applyProtection="1">
      <alignment horizontal="right" shrinkToFit="1"/>
      <protection locked="0"/>
    </xf>
    <xf numFmtId="0" fontId="449" fillId="8" borderId="152" xfId="8" applyNumberFormat="1" applyFont="1" applyFill="1" applyBorder="1" applyAlignment="1" applyProtection="1">
      <alignment horizontal="center" vertical="center"/>
      <protection hidden="1"/>
    </xf>
    <xf numFmtId="0" fontId="449" fillId="8" borderId="94" xfId="8" applyNumberFormat="1" applyFont="1" applyFill="1" applyBorder="1" applyAlignment="1" applyProtection="1">
      <alignment horizontal="center" vertical="center"/>
      <protection hidden="1"/>
    </xf>
    <xf numFmtId="0" fontId="449" fillId="8" borderId="31" xfId="8" applyNumberFormat="1" applyFont="1" applyFill="1" applyBorder="1" applyAlignment="1" applyProtection="1">
      <alignment horizontal="center" vertical="center"/>
      <protection hidden="1"/>
    </xf>
    <xf numFmtId="0" fontId="449" fillId="8" borderId="252" xfId="8" applyNumberFormat="1" applyFont="1" applyFill="1" applyBorder="1" applyAlignment="1" applyProtection="1">
      <alignment horizontal="center" vertical="center"/>
      <protection hidden="1"/>
    </xf>
    <xf numFmtId="0" fontId="449" fillId="8" borderId="31" xfId="8" applyNumberFormat="1" applyFont="1" applyFill="1" applyBorder="1" applyAlignment="1" applyProtection="1">
      <alignment horizontal="center" vertical="center" shrinkToFit="1"/>
      <protection hidden="1"/>
    </xf>
    <xf numFmtId="0" fontId="449" fillId="8" borderId="99" xfId="8" applyNumberFormat="1" applyFont="1" applyFill="1" applyBorder="1" applyAlignment="1" applyProtection="1">
      <alignment horizontal="center" vertical="center" shrinkToFit="1"/>
      <protection hidden="1"/>
    </xf>
    <xf numFmtId="0" fontId="474" fillId="8" borderId="63" xfId="8" applyNumberFormat="1" applyFont="1" applyFill="1" applyBorder="1" applyAlignment="1" applyProtection="1">
      <alignment horizontal="center"/>
      <protection hidden="1"/>
    </xf>
    <xf numFmtId="0" fontId="439" fillId="8" borderId="34" xfId="8" applyNumberFormat="1" applyFont="1" applyFill="1" applyBorder="1" applyAlignment="1" applyProtection="1">
      <alignment horizontal="center"/>
      <protection hidden="1"/>
    </xf>
    <xf numFmtId="0" fontId="260" fillId="8" borderId="84" xfId="8" applyNumberFormat="1" applyFont="1" applyFill="1" applyBorder="1" applyAlignment="1" applyProtection="1">
      <alignment horizontal="center"/>
      <protection hidden="1"/>
    </xf>
    <xf numFmtId="176" fontId="121" fillId="28" borderId="62" xfId="8" applyNumberFormat="1" applyFont="1" applyFill="1" applyBorder="1" applyAlignment="1" applyProtection="1">
      <alignment horizontal="right"/>
      <protection locked="0"/>
    </xf>
    <xf numFmtId="176" fontId="121" fillId="28" borderId="63" xfId="8" applyNumberFormat="1" applyFont="1" applyFill="1" applyBorder="1" applyAlignment="1" applyProtection="1">
      <alignment horizontal="right"/>
      <protection locked="0"/>
    </xf>
    <xf numFmtId="0" fontId="160" fillId="8" borderId="63" xfId="8" applyNumberFormat="1" applyFont="1" applyFill="1" applyBorder="1" applyAlignment="1" applyProtection="1">
      <alignment horizontal="center"/>
      <protection hidden="1"/>
    </xf>
    <xf numFmtId="0" fontId="160" fillId="8" borderId="81" xfId="8" applyNumberFormat="1" applyFont="1" applyFill="1" applyBorder="1" applyAlignment="1" applyProtection="1">
      <alignment horizontal="center"/>
      <protection hidden="1"/>
    </xf>
    <xf numFmtId="176" fontId="121" fillId="28" borderId="34" xfId="8" applyNumberFormat="1" applyFont="1" applyFill="1" applyBorder="1" applyAlignment="1" applyProtection="1">
      <alignment horizontal="right" shrinkToFit="1"/>
      <protection locked="0"/>
    </xf>
    <xf numFmtId="176" fontId="121" fillId="28" borderId="63" xfId="8" applyNumberFormat="1" applyFont="1" applyFill="1" applyBorder="1" applyAlignment="1" applyProtection="1">
      <alignment horizontal="right" shrinkToFit="1"/>
      <protection locked="0"/>
    </xf>
    <xf numFmtId="176" fontId="121" fillId="28" borderId="34" xfId="8" applyNumberFormat="1" applyFont="1" applyFill="1" applyBorder="1" applyAlignment="1" applyProtection="1">
      <alignment horizontal="center"/>
      <protection locked="0"/>
    </xf>
    <xf numFmtId="176" fontId="121" fillId="28" borderId="63" xfId="8" applyNumberFormat="1" applyFont="1" applyFill="1" applyBorder="1" applyAlignment="1" applyProtection="1">
      <alignment horizontal="center"/>
      <protection locked="0"/>
    </xf>
    <xf numFmtId="176" fontId="121" fillId="28" borderId="81" xfId="8" applyNumberFormat="1" applyFont="1" applyFill="1" applyBorder="1" applyAlignment="1" applyProtection="1">
      <alignment horizontal="center"/>
      <protection locked="0"/>
    </xf>
    <xf numFmtId="0" fontId="121" fillId="8" borderId="63" xfId="8" applyNumberFormat="1" applyFont="1" applyFill="1" applyBorder="1" applyAlignment="1" applyProtection="1">
      <alignment horizontal="center"/>
      <protection hidden="1"/>
    </xf>
    <xf numFmtId="0" fontId="121" fillId="8" borderId="84" xfId="8" applyNumberFormat="1" applyFont="1" applyFill="1" applyBorder="1" applyAlignment="1" applyProtection="1">
      <alignment horizontal="center"/>
      <protection hidden="1"/>
    </xf>
    <xf numFmtId="0" fontId="460" fillId="8" borderId="111" xfId="8" applyNumberFormat="1" applyFont="1" applyFill="1" applyBorder="1" applyAlignment="1" applyProtection="1">
      <alignment horizontal="center" vertical="center" shrinkToFit="1"/>
      <protection hidden="1"/>
    </xf>
    <xf numFmtId="0" fontId="460" fillId="8" borderId="114" xfId="8" applyNumberFormat="1" applyFont="1" applyFill="1" applyBorder="1" applyAlignment="1" applyProtection="1">
      <alignment horizontal="center" vertical="center" shrinkToFit="1"/>
      <protection hidden="1"/>
    </xf>
    <xf numFmtId="0" fontId="460" fillId="8" borderId="148" xfId="8" applyNumberFormat="1" applyFont="1" applyFill="1" applyBorder="1" applyAlignment="1" applyProtection="1">
      <alignment horizontal="center" vertical="center" shrinkToFit="1"/>
      <protection hidden="1"/>
    </xf>
    <xf numFmtId="0" fontId="162" fillId="8" borderId="214" xfId="8" applyNumberFormat="1" applyFont="1" applyFill="1" applyBorder="1" applyAlignment="1" applyProtection="1">
      <alignment horizontal="center" vertical="center"/>
      <protection hidden="1"/>
    </xf>
    <xf numFmtId="0" fontId="165" fillId="8" borderId="25" xfId="8" applyNumberFormat="1" applyFont="1" applyFill="1" applyBorder="1" applyAlignment="1" applyProtection="1">
      <alignment horizontal="center" vertical="center" wrapText="1"/>
      <protection hidden="1"/>
    </xf>
    <xf numFmtId="0" fontId="165" fillId="8" borderId="242" xfId="8" applyNumberFormat="1" applyFont="1" applyFill="1" applyBorder="1" applyAlignment="1" applyProtection="1">
      <alignment horizontal="center" vertical="center" wrapText="1"/>
      <protection hidden="1"/>
    </xf>
    <xf numFmtId="0" fontId="165" fillId="8" borderId="52" xfId="8" applyNumberFormat="1" applyFont="1" applyFill="1" applyBorder="1" applyAlignment="1" applyProtection="1">
      <alignment horizontal="center" vertical="center" wrapText="1"/>
      <protection hidden="1"/>
    </xf>
    <xf numFmtId="0" fontId="165" fillId="8" borderId="214" xfId="8" applyNumberFormat="1" applyFont="1" applyFill="1" applyBorder="1" applyAlignment="1" applyProtection="1">
      <alignment horizontal="center" vertical="center" wrapText="1"/>
      <protection hidden="1"/>
    </xf>
    <xf numFmtId="0" fontId="165" fillId="8" borderId="39" xfId="8" applyNumberFormat="1" applyFont="1" applyFill="1" applyBorder="1" applyAlignment="1" applyProtection="1">
      <alignment horizontal="center" vertical="center" wrapText="1"/>
      <protection hidden="1"/>
    </xf>
    <xf numFmtId="0" fontId="165" fillId="8" borderId="26" xfId="8" applyNumberFormat="1" applyFont="1" applyFill="1" applyBorder="1" applyAlignment="1" applyProtection="1">
      <alignment horizontal="center" vertical="center" wrapText="1"/>
      <protection hidden="1"/>
    </xf>
    <xf numFmtId="0" fontId="165" fillId="8" borderId="273" xfId="8" applyNumberFormat="1" applyFont="1" applyFill="1" applyBorder="1" applyAlignment="1" applyProtection="1">
      <alignment horizontal="center" vertical="center" wrapText="1"/>
      <protection hidden="1"/>
    </xf>
    <xf numFmtId="0" fontId="165" fillId="8" borderId="606" xfId="8" applyNumberFormat="1" applyFont="1" applyFill="1" applyBorder="1" applyAlignment="1" applyProtection="1">
      <alignment horizontal="center" vertical="center" wrapText="1"/>
      <protection hidden="1"/>
    </xf>
    <xf numFmtId="0" fontId="165" fillId="8" borderId="85" xfId="8" applyNumberFormat="1" applyFont="1" applyFill="1" applyBorder="1" applyAlignment="1" applyProtection="1">
      <alignment horizontal="center" vertical="center" wrapText="1"/>
      <protection hidden="1"/>
    </xf>
    <xf numFmtId="0" fontId="162" fillId="8" borderId="42" xfId="8" applyNumberFormat="1" applyFont="1" applyFill="1" applyBorder="1" applyAlignment="1" applyProtection="1">
      <alignment horizontal="center" vertical="center"/>
      <protection hidden="1"/>
    </xf>
    <xf numFmtId="0" fontId="162" fillId="8" borderId="53" xfId="8" applyNumberFormat="1" applyFont="1" applyFill="1" applyBorder="1" applyAlignment="1" applyProtection="1">
      <alignment horizontal="center" vertical="center"/>
      <protection hidden="1"/>
    </xf>
    <xf numFmtId="179" fontId="252" fillId="28" borderId="602" xfId="8" applyNumberFormat="1" applyFont="1" applyFill="1" applyBorder="1" applyAlignment="1" applyProtection="1">
      <alignment horizontal="left" vertical="center"/>
      <protection locked="0"/>
    </xf>
    <xf numFmtId="179" fontId="252" fillId="28" borderId="78" xfId="8" applyNumberFormat="1" applyFont="1" applyFill="1" applyBorder="1" applyAlignment="1" applyProtection="1">
      <alignment horizontal="left" vertical="center"/>
      <protection locked="0"/>
    </xf>
    <xf numFmtId="181" fontId="252" fillId="8" borderId="65" xfId="8" applyNumberFormat="1" applyFont="1" applyFill="1" applyBorder="1" applyAlignment="1" applyProtection="1">
      <alignment horizontal="right" shrinkToFit="1"/>
      <protection hidden="1"/>
    </xf>
    <xf numFmtId="181" fontId="252" fillId="8" borderId="60" xfId="8" applyNumberFormat="1" applyFont="1" applyFill="1" applyBorder="1" applyAlignment="1" applyProtection="1">
      <alignment horizontal="right" shrinkToFit="1"/>
      <protection hidden="1"/>
    </xf>
    <xf numFmtId="0" fontId="435" fillId="8" borderId="241" xfId="8" applyNumberFormat="1" applyFont="1" applyFill="1" applyBorder="1" applyAlignment="1" applyProtection="1">
      <alignment horizontal="center" vertical="center" shrinkToFit="1"/>
      <protection hidden="1"/>
    </xf>
    <xf numFmtId="0" fontId="435" fillId="8" borderId="119" xfId="8" applyNumberFormat="1" applyFont="1" applyFill="1" applyBorder="1" applyAlignment="1" applyProtection="1">
      <alignment horizontal="center" vertical="center" shrinkToFit="1"/>
      <protection hidden="1"/>
    </xf>
    <xf numFmtId="0" fontId="435" fillId="8" borderId="53" xfId="8" applyNumberFormat="1" applyFont="1" applyFill="1" applyBorder="1" applyAlignment="1" applyProtection="1">
      <alignment horizontal="center" vertical="center" shrinkToFit="1"/>
      <protection hidden="1"/>
    </xf>
    <xf numFmtId="0" fontId="435" fillId="8" borderId="2" xfId="8" applyNumberFormat="1" applyFont="1" applyFill="1" applyBorder="1" applyAlignment="1" applyProtection="1">
      <alignment horizontal="center" vertical="center" shrinkToFit="1"/>
      <protection hidden="1"/>
    </xf>
    <xf numFmtId="0" fontId="435" fillId="8" borderId="60" xfId="8" applyNumberFormat="1" applyFont="1" applyFill="1" applyBorder="1" applyAlignment="1" applyProtection="1">
      <alignment horizontal="center" vertical="center" shrinkToFit="1"/>
      <protection hidden="1"/>
    </xf>
    <xf numFmtId="0" fontId="435" fillId="8" borderId="56" xfId="8" applyNumberFormat="1" applyFont="1" applyFill="1" applyBorder="1" applyAlignment="1" applyProtection="1">
      <alignment horizontal="center" vertical="center" shrinkToFit="1"/>
      <protection hidden="1"/>
    </xf>
    <xf numFmtId="0" fontId="449" fillId="8" borderId="118" xfId="8" applyNumberFormat="1" applyFont="1" applyFill="1" applyBorder="1" applyAlignment="1" applyProtection="1">
      <alignment horizontal="center" shrinkToFit="1"/>
      <protection hidden="1"/>
    </xf>
    <xf numFmtId="0" fontId="449" fillId="8" borderId="116" xfId="8" applyNumberFormat="1" applyFont="1" applyFill="1" applyBorder="1" applyAlignment="1" applyProtection="1">
      <alignment horizontal="center" shrinkToFit="1"/>
      <protection hidden="1"/>
    </xf>
    <xf numFmtId="0" fontId="449" fillId="8" borderId="243" xfId="8" applyNumberFormat="1" applyFont="1" applyFill="1" applyBorder="1" applyAlignment="1" applyProtection="1">
      <alignment horizontal="center" shrinkToFit="1"/>
      <protection hidden="1"/>
    </xf>
    <xf numFmtId="0" fontId="449" fillId="8" borderId="241" xfId="8" applyNumberFormat="1" applyFont="1" applyFill="1" applyBorder="1" applyAlignment="1" applyProtection="1">
      <alignment horizontal="center" shrinkToFit="1"/>
      <protection hidden="1"/>
    </xf>
    <xf numFmtId="0" fontId="449" fillId="8" borderId="119" xfId="8" applyNumberFormat="1" applyFont="1" applyFill="1" applyBorder="1" applyAlignment="1" applyProtection="1">
      <alignment horizontal="center" shrinkToFit="1"/>
      <protection hidden="1"/>
    </xf>
    <xf numFmtId="0" fontId="449" fillId="8" borderId="118" xfId="8" applyNumberFormat="1" applyFont="1" applyFill="1" applyBorder="1" applyAlignment="1" applyProtection="1">
      <alignment horizontal="center" vertical="center" shrinkToFit="1"/>
      <protection hidden="1"/>
    </xf>
    <xf numFmtId="0" fontId="449" fillId="8" borderId="243" xfId="8" applyNumberFormat="1" applyFont="1" applyFill="1" applyBorder="1" applyAlignment="1" applyProtection="1">
      <alignment horizontal="center" vertical="center" shrinkToFit="1"/>
      <protection hidden="1"/>
    </xf>
    <xf numFmtId="0" fontId="449" fillId="8" borderId="1" xfId="8" applyNumberFormat="1" applyFont="1" applyFill="1" applyBorder="1" applyAlignment="1" applyProtection="1">
      <alignment horizontal="center" vertical="center" shrinkToFit="1"/>
      <protection hidden="1"/>
    </xf>
    <xf numFmtId="0" fontId="449" fillId="8" borderId="439" xfId="8" applyNumberFormat="1" applyFont="1" applyFill="1" applyBorder="1" applyAlignment="1" applyProtection="1">
      <alignment horizontal="center" vertical="center" shrinkToFit="1"/>
      <protection hidden="1"/>
    </xf>
    <xf numFmtId="0" fontId="449" fillId="8" borderId="241" xfId="8" applyNumberFormat="1" applyFont="1" applyFill="1" applyBorder="1" applyAlignment="1" applyProtection="1">
      <alignment horizontal="center" vertical="center" wrapText="1" shrinkToFit="1"/>
      <protection hidden="1"/>
    </xf>
    <xf numFmtId="0" fontId="449" fillId="8" borderId="60" xfId="8" applyNumberFormat="1" applyFont="1" applyFill="1" applyBorder="1" applyAlignment="1" applyProtection="1">
      <alignment horizontal="center" vertical="center" shrinkToFit="1"/>
      <protection hidden="1"/>
    </xf>
    <xf numFmtId="0" fontId="449" fillId="8" borderId="78" xfId="8" applyNumberFormat="1" applyFont="1" applyFill="1" applyBorder="1" applyAlignment="1" applyProtection="1">
      <alignment horizontal="center" vertical="center" shrinkToFit="1"/>
      <protection hidden="1"/>
    </xf>
    <xf numFmtId="0" fontId="473" fillId="8" borderId="241" xfId="8" applyNumberFormat="1" applyFont="1" applyFill="1" applyBorder="1" applyAlignment="1" applyProtection="1">
      <alignment horizontal="center" vertical="center" wrapText="1" shrinkToFit="1"/>
      <protection hidden="1"/>
    </xf>
    <xf numFmtId="0" fontId="449" fillId="8" borderId="119" xfId="8" applyNumberFormat="1" applyFont="1" applyFill="1" applyBorder="1" applyAlignment="1" applyProtection="1">
      <alignment horizontal="center" vertical="center" shrinkToFit="1"/>
      <protection hidden="1"/>
    </xf>
    <xf numFmtId="0" fontId="449" fillId="8" borderId="56" xfId="8" applyNumberFormat="1" applyFont="1" applyFill="1" applyBorder="1" applyAlignment="1" applyProtection="1">
      <alignment horizontal="center" vertical="center" shrinkToFit="1"/>
      <protection hidden="1"/>
    </xf>
    <xf numFmtId="0" fontId="260" fillId="8" borderId="69" xfId="8" applyNumberFormat="1" applyFont="1" applyFill="1" applyBorder="1" applyAlignment="1" applyProtection="1">
      <alignment horizontal="left" vertical="center" wrapText="1" shrinkToFit="1"/>
      <protection hidden="1"/>
    </xf>
    <xf numFmtId="0" fontId="260" fillId="8" borderId="56" xfId="8" applyNumberFormat="1" applyFont="1" applyFill="1" applyBorder="1" applyAlignment="1" applyProtection="1">
      <alignment horizontal="left" vertical="center" wrapText="1" shrinkToFit="1"/>
      <protection hidden="1"/>
    </xf>
    <xf numFmtId="0" fontId="460" fillId="8" borderId="51" xfId="8" applyNumberFormat="1" applyFont="1" applyFill="1" applyBorder="1" applyAlignment="1" applyProtection="1">
      <alignment horizontal="center" vertical="center"/>
      <protection hidden="1"/>
    </xf>
    <xf numFmtId="0" fontId="460" fillId="8" borderId="114" xfId="8" applyNumberFormat="1" applyFont="1" applyFill="1" applyBorder="1" applyAlignment="1" applyProtection="1">
      <alignment horizontal="center" vertical="center"/>
      <protection hidden="1"/>
    </xf>
    <xf numFmtId="0" fontId="460" fillId="8" borderId="112" xfId="8" applyNumberFormat="1" applyFont="1" applyFill="1" applyBorder="1" applyAlignment="1" applyProtection="1">
      <alignment horizontal="center" vertical="center"/>
      <protection hidden="1"/>
    </xf>
    <xf numFmtId="0" fontId="436" fillId="8" borderId="426" xfId="8" applyNumberFormat="1" applyFont="1" applyFill="1" applyBorder="1" applyAlignment="1" applyProtection="1">
      <alignment horizontal="center" vertical="center"/>
      <protection locked="0"/>
    </xf>
    <xf numFmtId="0" fontId="436" fillId="8" borderId="599" xfId="8" applyNumberFormat="1" applyFont="1" applyFill="1" applyBorder="1" applyAlignment="1" applyProtection="1">
      <alignment horizontal="center" vertical="center"/>
      <protection locked="0"/>
    </xf>
    <xf numFmtId="181" fontId="162" fillId="8" borderId="3" xfId="8" applyNumberFormat="1" applyFont="1" applyFill="1" applyBorder="1" applyAlignment="1" applyProtection="1">
      <alignment horizontal="center" vertical="center"/>
      <protection hidden="1"/>
    </xf>
    <xf numFmtId="181" fontId="162" fillId="8" borderId="136" xfId="8" applyNumberFormat="1" applyFont="1" applyFill="1" applyBorder="1" applyAlignment="1" applyProtection="1">
      <alignment horizontal="center" vertical="center"/>
      <protection hidden="1"/>
    </xf>
    <xf numFmtId="0" fontId="260" fillId="8" borderId="1" xfId="8" applyNumberFormat="1" applyFont="1" applyFill="1" applyBorder="1" applyAlignment="1" applyProtection="1">
      <alignment horizontal="center" vertical="center" wrapText="1"/>
      <protection hidden="1"/>
    </xf>
    <xf numFmtId="0" fontId="259" fillId="8" borderId="0" xfId="8" applyNumberFormat="1" applyFont="1" applyFill="1" applyBorder="1" applyAlignment="1" applyProtection="1">
      <alignment horizontal="center" vertical="center" wrapText="1"/>
      <protection hidden="1"/>
    </xf>
    <xf numFmtId="0" fontId="259" fillId="8" borderId="439" xfId="8" applyNumberFormat="1" applyFont="1" applyFill="1" applyBorder="1" applyAlignment="1" applyProtection="1">
      <alignment horizontal="center" vertical="center" wrapText="1"/>
      <protection hidden="1"/>
    </xf>
    <xf numFmtId="0" fontId="259" fillId="8" borderId="54" xfId="8" applyNumberFormat="1" applyFont="1" applyFill="1" applyBorder="1" applyAlignment="1" applyProtection="1">
      <alignment horizontal="center" vertical="center" wrapText="1"/>
      <protection hidden="1"/>
    </xf>
    <xf numFmtId="0" fontId="259" fillId="8" borderId="55" xfId="8" applyNumberFormat="1" applyFont="1" applyFill="1" applyBorder="1" applyAlignment="1" applyProtection="1">
      <alignment horizontal="center" vertical="center" wrapText="1"/>
      <protection hidden="1"/>
    </xf>
    <xf numFmtId="0" fontId="259" fillId="8" borderId="78" xfId="8" applyNumberFormat="1" applyFont="1" applyFill="1" applyBorder="1" applyAlignment="1" applyProtection="1">
      <alignment horizontal="center" vertical="center" wrapText="1"/>
      <protection hidden="1"/>
    </xf>
    <xf numFmtId="0" fontId="260" fillId="8" borderId="53" xfId="8" applyNumberFormat="1" applyFont="1" applyFill="1" applyBorder="1" applyAlignment="1" applyProtection="1">
      <alignment horizontal="center" vertical="center" wrapText="1"/>
      <protection hidden="1"/>
    </xf>
    <xf numFmtId="0" fontId="259" fillId="8" borderId="2" xfId="8" applyNumberFormat="1" applyFont="1" applyFill="1" applyBorder="1" applyAlignment="1" applyProtection="1">
      <alignment horizontal="center" vertical="center" wrapText="1"/>
      <protection hidden="1"/>
    </xf>
    <xf numFmtId="0" fontId="259" fillId="8" borderId="60" xfId="8" applyNumberFormat="1" applyFont="1" applyFill="1" applyBorder="1" applyAlignment="1" applyProtection="1">
      <alignment horizontal="center" vertical="center" wrapText="1"/>
      <protection hidden="1"/>
    </xf>
    <xf numFmtId="0" fontId="259" fillId="8" borderId="56" xfId="8" applyNumberFormat="1" applyFont="1" applyFill="1" applyBorder="1" applyAlignment="1" applyProtection="1">
      <alignment horizontal="center" vertical="center" wrapText="1"/>
      <protection hidden="1"/>
    </xf>
    <xf numFmtId="0" fontId="252" fillId="28" borderId="67" xfId="8" applyNumberFormat="1" applyFont="1" applyFill="1" applyBorder="1" applyAlignment="1" applyProtection="1">
      <alignment horizontal="center" vertical="center" wrapText="1"/>
      <protection locked="0"/>
    </xf>
    <xf numFmtId="0" fontId="252" fillId="28" borderId="602" xfId="8" applyNumberFormat="1" applyFont="1" applyFill="1" applyBorder="1" applyAlignment="1" applyProtection="1">
      <alignment horizontal="center" vertical="center" wrapText="1"/>
      <protection locked="0"/>
    </xf>
    <xf numFmtId="0" fontId="252" fillId="28" borderId="54" xfId="8" applyNumberFormat="1" applyFont="1" applyFill="1" applyBorder="1" applyAlignment="1" applyProtection="1">
      <alignment horizontal="center" vertical="center" wrapText="1"/>
      <protection locked="0"/>
    </xf>
    <xf numFmtId="0" fontId="252" fillId="28" borderId="78" xfId="8" applyNumberFormat="1" applyFont="1" applyFill="1" applyBorder="1" applyAlignment="1" applyProtection="1">
      <alignment horizontal="center" vertical="center" wrapText="1"/>
      <protection locked="0"/>
    </xf>
    <xf numFmtId="0" fontId="171" fillId="28" borderId="65" xfId="8" applyNumberFormat="1" applyFont="1" applyFill="1" applyBorder="1" applyAlignment="1" applyProtection="1">
      <alignment horizontal="right" vertical="center" shrinkToFit="1"/>
      <protection locked="0"/>
    </xf>
    <xf numFmtId="0" fontId="121" fillId="28" borderId="60" xfId="8" applyNumberFormat="1" applyFont="1" applyFill="1" applyBorder="1" applyAlignment="1" applyProtection="1">
      <alignment horizontal="right" vertical="center" shrinkToFit="1"/>
      <protection locked="0"/>
    </xf>
    <xf numFmtId="0" fontId="435" fillId="8" borderId="118" xfId="8" applyNumberFormat="1" applyFont="1" applyFill="1" applyBorder="1" applyAlignment="1" applyProtection="1">
      <alignment horizontal="center" vertical="center" shrinkToFit="1"/>
      <protection hidden="1"/>
    </xf>
    <xf numFmtId="0" fontId="435" fillId="8" borderId="243" xfId="8" applyNumberFormat="1" applyFont="1" applyFill="1" applyBorder="1" applyAlignment="1" applyProtection="1">
      <alignment horizontal="center" vertical="center" shrinkToFit="1"/>
      <protection hidden="1"/>
    </xf>
    <xf numFmtId="0" fontId="435" fillId="8" borderId="1" xfId="8" applyNumberFormat="1" applyFont="1" applyFill="1" applyBorder="1" applyAlignment="1" applyProtection="1">
      <alignment horizontal="center" vertical="center" shrinkToFit="1"/>
      <protection hidden="1"/>
    </xf>
    <xf numFmtId="0" fontId="435" fillId="8" borderId="439" xfId="8" applyNumberFormat="1" applyFont="1" applyFill="1" applyBorder="1" applyAlignment="1" applyProtection="1">
      <alignment horizontal="center" vertical="center" shrinkToFit="1"/>
      <protection hidden="1"/>
    </xf>
    <xf numFmtId="0" fontId="435" fillId="8" borderId="54" xfId="8" applyNumberFormat="1" applyFont="1" applyFill="1" applyBorder="1" applyAlignment="1" applyProtection="1">
      <alignment horizontal="center" vertical="center" shrinkToFit="1"/>
      <protection hidden="1"/>
    </xf>
    <xf numFmtId="0" fontId="435" fillId="8" borderId="78" xfId="8" applyNumberFormat="1" applyFont="1" applyFill="1" applyBorder="1" applyAlignment="1" applyProtection="1">
      <alignment horizontal="center" vertical="center" shrinkToFit="1"/>
      <protection hidden="1"/>
    </xf>
    <xf numFmtId="0" fontId="175" fillId="8" borderId="65" xfId="8" applyNumberFormat="1" applyFont="1" applyFill="1" applyBorder="1" applyAlignment="1" applyProtection="1">
      <alignment horizontal="center" vertical="center" wrapText="1"/>
      <protection hidden="1"/>
    </xf>
    <xf numFmtId="0" fontId="175" fillId="8" borderId="602" xfId="8" applyNumberFormat="1" applyFont="1" applyFill="1" applyBorder="1" applyAlignment="1" applyProtection="1">
      <alignment horizontal="center" vertical="center"/>
      <protection hidden="1"/>
    </xf>
    <xf numFmtId="181" fontId="162" fillId="8" borderId="30" xfId="8" applyNumberFormat="1" applyFont="1" applyFill="1" applyBorder="1" applyAlignment="1" applyProtection="1">
      <alignment horizontal="center" vertical="center"/>
      <protection hidden="1"/>
    </xf>
    <xf numFmtId="181" fontId="162" fillId="8" borderId="26" xfId="8" applyNumberFormat="1" applyFont="1" applyFill="1" applyBorder="1" applyAlignment="1" applyProtection="1">
      <alignment horizontal="center" vertical="center"/>
      <protection hidden="1"/>
    </xf>
    <xf numFmtId="181" fontId="162" fillId="8" borderId="66" xfId="8" applyNumberFormat="1" applyFont="1" applyFill="1" applyBorder="1" applyAlignment="1" applyProtection="1">
      <alignment horizontal="center" vertical="center"/>
      <protection hidden="1"/>
    </xf>
    <xf numFmtId="181" fontId="162" fillId="8" borderId="61" xfId="8" applyNumberFormat="1" applyFont="1" applyFill="1" applyBorder="1" applyAlignment="1" applyProtection="1">
      <alignment horizontal="center" vertical="center"/>
      <protection hidden="1"/>
    </xf>
    <xf numFmtId="0" fontId="436" fillId="8" borderId="605" xfId="8" applyNumberFormat="1" applyFont="1" applyFill="1" applyBorder="1" applyAlignment="1" applyProtection="1">
      <alignment horizontal="center" vertical="center"/>
      <protection locked="0"/>
    </xf>
    <xf numFmtId="0" fontId="175" fillId="8" borderId="65" xfId="8" applyNumberFormat="1" applyFont="1" applyFill="1" applyBorder="1" applyAlignment="1" applyProtection="1">
      <alignment horizontal="center" vertical="center"/>
      <protection hidden="1"/>
    </xf>
    <xf numFmtId="0" fontId="175" fillId="8" borderId="60" xfId="8" applyNumberFormat="1" applyFont="1" applyFill="1" applyBorder="1" applyAlignment="1" applyProtection="1">
      <alignment horizontal="center" vertical="center"/>
      <protection hidden="1"/>
    </xf>
    <xf numFmtId="0" fontId="175" fillId="8" borderId="78" xfId="8" applyNumberFormat="1" applyFont="1" applyFill="1" applyBorder="1" applyAlignment="1" applyProtection="1">
      <alignment horizontal="center" vertical="center"/>
      <protection hidden="1"/>
    </xf>
    <xf numFmtId="181" fontId="162" fillId="8" borderId="65" xfId="8" applyNumberFormat="1" applyFont="1" applyFill="1" applyBorder="1" applyAlignment="1" applyProtection="1">
      <alignment horizontal="center" vertical="center"/>
      <protection hidden="1"/>
    </xf>
    <xf numFmtId="181" fontId="162" fillId="8" borderId="60" xfId="8" applyNumberFormat="1" applyFont="1" applyFill="1" applyBorder="1" applyAlignment="1" applyProtection="1">
      <alignment horizontal="center" vertical="center"/>
      <protection hidden="1"/>
    </xf>
    <xf numFmtId="0" fontId="260" fillId="8" borderId="1" xfId="8" applyNumberFormat="1" applyFont="1" applyFill="1" applyBorder="1" applyAlignment="1" applyProtection="1">
      <alignment horizontal="right" vertical="center" shrinkToFit="1"/>
      <protection hidden="1"/>
    </xf>
    <xf numFmtId="0" fontId="162" fillId="8" borderId="1" xfId="8" applyNumberFormat="1" applyFont="1" applyFill="1" applyBorder="1" applyAlignment="1" applyProtection="1">
      <alignment horizontal="right" vertical="center" shrinkToFit="1"/>
      <protection hidden="1"/>
    </xf>
    <xf numFmtId="181" fontId="162" fillId="8" borderId="205" xfId="8" applyNumberFormat="1" applyFont="1" applyFill="1" applyBorder="1" applyAlignment="1" applyProtection="1">
      <alignment horizontal="center" vertical="center"/>
      <protection hidden="1"/>
    </xf>
    <xf numFmtId="0" fontId="462" fillId="8" borderId="3" xfId="8" applyNumberFormat="1" applyFont="1" applyFill="1" applyBorder="1" applyAlignment="1" applyProtection="1">
      <alignment horizontal="center" vertical="center" wrapText="1"/>
      <protection hidden="1"/>
    </xf>
    <xf numFmtId="0" fontId="462" fillId="8" borderId="6" xfId="8" applyNumberFormat="1" applyFont="1" applyFill="1" applyBorder="1" applyAlignment="1" applyProtection="1">
      <alignment horizontal="center" vertical="center" wrapText="1"/>
      <protection hidden="1"/>
    </xf>
    <xf numFmtId="0" fontId="460" fillId="8" borderId="111" xfId="8" applyNumberFormat="1" applyFont="1" applyFill="1" applyBorder="1" applyAlignment="1" applyProtection="1">
      <alignment horizontal="center" vertical="center"/>
      <protection hidden="1"/>
    </xf>
    <xf numFmtId="0" fontId="259" fillId="8" borderId="53" xfId="8" applyNumberFormat="1" applyFont="1" applyFill="1" applyBorder="1" applyAlignment="1" applyProtection="1">
      <alignment horizontal="center" vertical="top"/>
      <protection hidden="1"/>
    </xf>
    <xf numFmtId="0" fontId="259" fillId="8" borderId="2" xfId="8" applyNumberFormat="1" applyFont="1" applyFill="1" applyBorder="1" applyAlignment="1" applyProtection="1">
      <alignment horizontal="center" vertical="top"/>
      <protection hidden="1"/>
    </xf>
    <xf numFmtId="0" fontId="259" fillId="8" borderId="1" xfId="8" applyNumberFormat="1" applyFont="1" applyFill="1" applyBorder="1" applyAlignment="1" applyProtection="1">
      <alignment horizontal="center" vertical="top"/>
      <protection hidden="1"/>
    </xf>
    <xf numFmtId="0" fontId="259" fillId="8" borderId="0" xfId="8" applyNumberFormat="1" applyFont="1" applyFill="1" applyBorder="1" applyAlignment="1" applyProtection="1">
      <alignment horizontal="center" vertical="top"/>
      <protection hidden="1"/>
    </xf>
    <xf numFmtId="0" fontId="259" fillId="8" borderId="439" xfId="8" applyNumberFormat="1" applyFont="1" applyFill="1" applyBorder="1" applyAlignment="1" applyProtection="1">
      <alignment horizontal="center" vertical="top"/>
      <protection hidden="1"/>
    </xf>
    <xf numFmtId="0" fontId="175" fillId="28" borderId="1" xfId="8" applyNumberFormat="1" applyFont="1" applyFill="1" applyBorder="1" applyAlignment="1" applyProtection="1">
      <alignment horizontal="center" vertical="center" wrapText="1"/>
      <protection locked="0"/>
    </xf>
    <xf numFmtId="0" fontId="175" fillId="28" borderId="0" xfId="8" applyNumberFormat="1" applyFont="1" applyFill="1" applyBorder="1" applyAlignment="1" applyProtection="1">
      <alignment horizontal="center" vertical="center" wrapText="1"/>
      <protection locked="0"/>
    </xf>
    <xf numFmtId="0" fontId="175" fillId="28" borderId="2" xfId="8" applyNumberFormat="1" applyFont="1" applyFill="1" applyBorder="1" applyAlignment="1" applyProtection="1">
      <alignment horizontal="center" vertical="center" wrapText="1"/>
      <protection locked="0"/>
    </xf>
    <xf numFmtId="0" fontId="260" fillId="8" borderId="53" xfId="8" applyNumberFormat="1" applyFont="1" applyFill="1" applyBorder="1" applyAlignment="1" applyProtection="1">
      <alignment horizontal="right" vertical="center" shrinkToFit="1"/>
      <protection hidden="1"/>
    </xf>
    <xf numFmtId="0" fontId="260" fillId="8" borderId="0" xfId="8" applyNumberFormat="1" applyFont="1" applyFill="1" applyBorder="1" applyAlignment="1" applyProtection="1">
      <alignment horizontal="right" vertical="center" shrinkToFit="1"/>
      <protection hidden="1"/>
    </xf>
    <xf numFmtId="0" fontId="260" fillId="8" borderId="0" xfId="8" applyNumberFormat="1" applyFont="1" applyFill="1" applyBorder="1" applyAlignment="1" applyProtection="1">
      <alignment horizontal="center" vertical="center" shrinkToFit="1"/>
      <protection hidden="1"/>
    </xf>
    <xf numFmtId="0" fontId="260" fillId="8" borderId="2" xfId="8" applyNumberFormat="1" applyFont="1" applyFill="1" applyBorder="1" applyAlignment="1" applyProtection="1">
      <alignment horizontal="center" vertical="center" shrinkToFit="1"/>
      <protection hidden="1"/>
    </xf>
    <xf numFmtId="0" fontId="437" fillId="8" borderId="67" xfId="8" applyNumberFormat="1" applyFont="1" applyFill="1" applyBorder="1" applyAlignment="1" applyProtection="1">
      <alignment horizontal="right" vertical="center" shrinkToFit="1"/>
      <protection hidden="1"/>
    </xf>
    <xf numFmtId="0" fontId="437" fillId="8" borderId="68" xfId="8" applyNumberFormat="1" applyFont="1" applyFill="1" applyBorder="1" applyAlignment="1" applyProtection="1">
      <alignment horizontal="right" vertical="center" shrinkToFit="1"/>
      <protection hidden="1"/>
    </xf>
    <xf numFmtId="0" fontId="437" fillId="8" borderId="602" xfId="8" applyNumberFormat="1" applyFont="1" applyFill="1" applyBorder="1" applyAlignment="1" applyProtection="1">
      <alignment horizontal="right" vertical="center" shrinkToFit="1"/>
      <protection hidden="1"/>
    </xf>
    <xf numFmtId="0" fontId="437" fillId="8" borderId="54" xfId="8" applyNumberFormat="1" applyFont="1" applyFill="1" applyBorder="1" applyAlignment="1" applyProtection="1">
      <alignment horizontal="right" vertical="center" shrinkToFit="1"/>
      <protection hidden="1"/>
    </xf>
    <xf numFmtId="0" fontId="437" fillId="8" borderId="55" xfId="8" applyNumberFormat="1" applyFont="1" applyFill="1" applyBorder="1" applyAlignment="1" applyProtection="1">
      <alignment horizontal="right" vertical="center" shrinkToFit="1"/>
      <protection hidden="1"/>
    </xf>
    <xf numFmtId="0" fontId="437" fillId="8" borderId="78" xfId="8" applyNumberFormat="1" applyFont="1" applyFill="1" applyBorder="1" applyAlignment="1" applyProtection="1">
      <alignment horizontal="right" vertical="center" shrinkToFit="1"/>
      <protection hidden="1"/>
    </xf>
    <xf numFmtId="176" fontId="260" fillId="8" borderId="65" xfId="8" applyNumberFormat="1" applyFont="1" applyFill="1" applyBorder="1" applyAlignment="1" applyProtection="1">
      <alignment horizontal="right" vertical="center" shrinkToFit="1"/>
      <protection hidden="1"/>
    </xf>
    <xf numFmtId="176" fontId="260" fillId="8" borderId="60" xfId="8" applyNumberFormat="1" applyFont="1" applyFill="1" applyBorder="1" applyAlignment="1" applyProtection="1">
      <alignment horizontal="right" vertical="center" shrinkToFit="1"/>
      <protection hidden="1"/>
    </xf>
    <xf numFmtId="49" fontId="259" fillId="8" borderId="69" xfId="8" applyNumberFormat="1" applyFont="1" applyFill="1" applyBorder="1" applyAlignment="1" applyProtection="1">
      <alignment horizontal="left" vertical="center"/>
      <protection hidden="1"/>
    </xf>
    <xf numFmtId="49" fontId="437" fillId="8" borderId="56" xfId="8" applyNumberFormat="1" applyFont="1" applyFill="1" applyBorder="1" applyAlignment="1" applyProtection="1">
      <alignment horizontal="left" vertical="center"/>
      <protection hidden="1"/>
    </xf>
    <xf numFmtId="0" fontId="260" fillId="28" borderId="67" xfId="8" applyNumberFormat="1" applyFont="1" applyFill="1" applyBorder="1" applyAlignment="1" applyProtection="1">
      <alignment horizontal="right" vertical="center" shrinkToFit="1"/>
      <protection locked="0"/>
    </xf>
    <xf numFmtId="0" fontId="260" fillId="28" borderId="1" xfId="8" applyNumberFormat="1" applyFont="1" applyFill="1" applyBorder="1" applyAlignment="1" applyProtection="1">
      <alignment horizontal="right" vertical="center" shrinkToFit="1"/>
      <protection locked="0"/>
    </xf>
    <xf numFmtId="0" fontId="259" fillId="8" borderId="30" xfId="8" applyNumberFormat="1" applyFont="1" applyFill="1" applyBorder="1" applyAlignment="1" applyProtection="1">
      <alignment horizontal="center" vertical="center" wrapText="1"/>
      <protection hidden="1"/>
    </xf>
    <xf numFmtId="0" fontId="165" fillId="8" borderId="214" xfId="8" applyNumberFormat="1" applyFont="1" applyFill="1" applyBorder="1" applyAlignment="1" applyProtection="1">
      <alignment horizontal="center" vertical="center"/>
      <protection hidden="1"/>
    </xf>
    <xf numFmtId="0" fontId="260" fillId="28" borderId="65" xfId="8" applyNumberFormat="1" applyFont="1" applyFill="1" applyBorder="1" applyAlignment="1" applyProtection="1">
      <alignment horizontal="right" vertical="center" shrinkToFit="1"/>
      <protection locked="0"/>
    </xf>
    <xf numFmtId="0" fontId="260" fillId="28" borderId="53" xfId="8" applyNumberFormat="1" applyFont="1" applyFill="1" applyBorder="1" applyAlignment="1" applyProtection="1">
      <alignment horizontal="right" vertical="center" shrinkToFit="1"/>
      <protection locked="0"/>
    </xf>
    <xf numFmtId="0" fontId="259" fillId="8" borderId="601" xfId="8" applyNumberFormat="1" applyFont="1" applyFill="1" applyBorder="1" applyAlignment="1" applyProtection="1">
      <alignment horizontal="center" vertical="center" wrapText="1"/>
      <protection hidden="1"/>
    </xf>
    <xf numFmtId="0" fontId="165" fillId="8" borderId="606" xfId="8" applyNumberFormat="1" applyFont="1" applyFill="1" applyBorder="1" applyAlignment="1" applyProtection="1">
      <alignment horizontal="center" vertical="center"/>
      <protection hidden="1"/>
    </xf>
    <xf numFmtId="0" fontId="171" fillId="8" borderId="253" xfId="8" applyNumberFormat="1" applyFont="1" applyFill="1" applyBorder="1" applyAlignment="1" applyProtection="1">
      <alignment horizontal="center" vertical="center"/>
      <protection hidden="1"/>
    </xf>
    <xf numFmtId="0" fontId="82" fillId="8" borderId="117" xfId="8" applyNumberFormat="1" applyFont="1" applyFill="1" applyBorder="1" applyAlignment="1" applyProtection="1">
      <alignment horizontal="center" vertical="center"/>
      <protection hidden="1"/>
    </xf>
    <xf numFmtId="0" fontId="171" fillId="8" borderId="113" xfId="8" applyNumberFormat="1" applyFont="1" applyFill="1" applyBorder="1" applyAlignment="1" applyProtection="1">
      <alignment horizontal="center" vertical="center"/>
      <protection hidden="1"/>
    </xf>
    <xf numFmtId="0" fontId="171" fillId="8" borderId="117" xfId="8" applyNumberFormat="1" applyFont="1" applyFill="1" applyBorder="1" applyAlignment="1" applyProtection="1">
      <alignment horizontal="center" vertical="center"/>
      <protection hidden="1"/>
    </xf>
    <xf numFmtId="0" fontId="171" fillId="8" borderId="5" xfId="8" applyNumberFormat="1" applyFont="1" applyFill="1" applyBorder="1" applyAlignment="1" applyProtection="1">
      <alignment horizontal="center" vertical="center"/>
      <protection hidden="1"/>
    </xf>
    <xf numFmtId="0" fontId="82" fillId="8" borderId="225" xfId="8" applyNumberFormat="1" applyFont="1" applyFill="1" applyBorder="1" applyAlignment="1" applyProtection="1">
      <alignment horizontal="center" vertical="center"/>
      <protection hidden="1"/>
    </xf>
    <xf numFmtId="0" fontId="259" fillId="8" borderId="1" xfId="8" applyNumberFormat="1" applyFont="1" applyFill="1" applyBorder="1" applyAlignment="1" applyProtection="1">
      <alignment horizontal="center" vertical="top" wrapText="1"/>
      <protection hidden="1"/>
    </xf>
    <xf numFmtId="181" fontId="260" fillId="46" borderId="0" xfId="8" applyNumberFormat="1" applyFont="1" applyFill="1" applyBorder="1" applyAlignment="1" applyProtection="1">
      <alignment horizontal="left" vertical="center" shrinkToFit="1"/>
      <protection hidden="1"/>
    </xf>
    <xf numFmtId="0" fontId="458" fillId="8" borderId="53" xfId="8" applyNumberFormat="1" applyFont="1" applyFill="1" applyBorder="1" applyAlignment="1" applyProtection="1">
      <alignment horizontal="right" vertical="center" shrinkToFit="1"/>
      <protection hidden="1"/>
    </xf>
    <xf numFmtId="179" fontId="260" fillId="46" borderId="439" xfId="8" applyNumberFormat="1" applyFont="1" applyFill="1" applyBorder="1" applyAlignment="1" applyProtection="1">
      <alignment horizontal="left" vertical="center" shrinkToFit="1"/>
      <protection hidden="1"/>
    </xf>
    <xf numFmtId="181" fontId="260" fillId="8" borderId="0" xfId="8" applyNumberFormat="1" applyFont="1" applyFill="1" applyBorder="1" applyAlignment="1" applyProtection="1">
      <alignment horizontal="left" vertical="center" shrinkToFit="1"/>
      <protection hidden="1"/>
    </xf>
    <xf numFmtId="181" fontId="260" fillId="8" borderId="439" xfId="8" applyNumberFormat="1" applyFont="1" applyFill="1" applyBorder="1" applyAlignment="1" applyProtection="1">
      <alignment horizontal="left" vertical="center" shrinkToFit="1"/>
      <protection hidden="1"/>
    </xf>
    <xf numFmtId="0" fontId="121" fillId="8" borderId="94" xfId="8" applyNumberFormat="1" applyFont="1" applyFill="1" applyBorder="1" applyAlignment="1" applyProtection="1">
      <alignment horizontal="center"/>
      <protection hidden="1"/>
    </xf>
    <xf numFmtId="0" fontId="260" fillId="8" borderId="94" xfId="8" applyNumberFormat="1" applyFont="1" applyFill="1" applyBorder="1" applyAlignment="1" applyProtection="1">
      <alignment horizontal="center"/>
      <protection hidden="1"/>
    </xf>
    <xf numFmtId="0" fontId="121" fillId="8" borderId="55" xfId="8" applyNumberFormat="1" applyFont="1" applyFill="1" applyBorder="1" applyAlignment="1" applyProtection="1">
      <alignment horizontal="center" vertical="top"/>
      <protection hidden="1"/>
    </xf>
    <xf numFmtId="0" fontId="260" fillId="8" borderId="55" xfId="8" applyNumberFormat="1" applyFont="1" applyFill="1" applyBorder="1" applyAlignment="1" applyProtection="1">
      <alignment horizontal="center" vertical="top"/>
      <protection hidden="1"/>
    </xf>
    <xf numFmtId="179" fontId="121" fillId="8" borderId="63" xfId="8" applyNumberFormat="1" applyFont="1" applyFill="1" applyBorder="1" applyAlignment="1" applyProtection="1">
      <alignment horizontal="left" vertical="center" shrinkToFit="1"/>
      <protection hidden="1"/>
    </xf>
    <xf numFmtId="184" fontId="432" fillId="8" borderId="63" xfId="8" applyNumberFormat="1" applyFont="1" applyFill="1" applyBorder="1" applyAlignment="1" applyProtection="1">
      <alignment horizontal="left" vertical="center"/>
      <protection hidden="1"/>
    </xf>
    <xf numFmtId="184" fontId="432" fillId="8" borderId="84" xfId="8" applyNumberFormat="1" applyFont="1" applyFill="1" applyBorder="1" applyAlignment="1" applyProtection="1">
      <alignment horizontal="left" vertical="center"/>
      <protection hidden="1"/>
    </xf>
    <xf numFmtId="181" fontId="260" fillId="8" borderId="63" xfId="8" applyNumberFormat="1" applyFont="1" applyFill="1" applyBorder="1" applyAlignment="1" applyProtection="1">
      <alignment horizontal="left"/>
      <protection hidden="1"/>
    </xf>
    <xf numFmtId="181" fontId="435" fillId="8" borderId="63" xfId="8" applyNumberFormat="1" applyFont="1" applyFill="1" applyBorder="1" applyAlignment="1" applyProtection="1">
      <alignment horizontal="center"/>
      <protection hidden="1"/>
    </xf>
    <xf numFmtId="179" fontId="121" fillId="8" borderId="63" xfId="8" applyNumberFormat="1" applyFont="1" applyFill="1" applyBorder="1" applyAlignment="1" applyProtection="1">
      <alignment horizontal="left" shrinkToFit="1"/>
      <protection hidden="1"/>
    </xf>
    <xf numFmtId="179" fontId="121" fillId="8" borderId="63" xfId="8" applyNumberFormat="1" applyFont="1" applyFill="1" applyBorder="1" applyAlignment="1" applyProtection="1">
      <alignment horizontal="left" vertical="center"/>
      <protection hidden="1"/>
    </xf>
    <xf numFmtId="179" fontId="121" fillId="8" borderId="84" xfId="8" applyNumberFormat="1" applyFont="1" applyFill="1" applyBorder="1" applyAlignment="1" applyProtection="1">
      <alignment horizontal="left" vertical="center" shrinkToFit="1"/>
      <protection hidden="1"/>
    </xf>
    <xf numFmtId="0" fontId="432" fillId="8" borderId="63" xfId="8" applyNumberFormat="1" applyFont="1" applyFill="1" applyBorder="1" applyAlignment="1" applyProtection="1">
      <alignment horizontal="left" shrinkToFit="1"/>
      <protection hidden="1"/>
    </xf>
    <xf numFmtId="0" fontId="432" fillId="8" borderId="84" xfId="8" applyNumberFormat="1" applyFont="1" applyFill="1" applyBorder="1" applyAlignment="1" applyProtection="1">
      <alignment horizontal="left" shrinkToFit="1"/>
      <protection hidden="1"/>
    </xf>
    <xf numFmtId="179" fontId="260" fillId="8" borderId="63" xfId="8" applyNumberFormat="1" applyFont="1" applyFill="1" applyBorder="1" applyAlignment="1" applyProtection="1">
      <alignment horizontal="left" vertical="center"/>
      <protection hidden="1"/>
    </xf>
    <xf numFmtId="0" fontId="260" fillId="8" borderId="63" xfId="8" applyNumberFormat="1" applyFont="1" applyFill="1" applyBorder="1" applyAlignment="1" applyProtection="1">
      <alignment horizontal="left" vertical="center"/>
      <protection hidden="1"/>
    </xf>
    <xf numFmtId="0" fontId="260" fillId="8" borderId="84" xfId="8" applyNumberFormat="1" applyFont="1" applyFill="1" applyBorder="1" applyAlignment="1" applyProtection="1">
      <alignment horizontal="left" vertical="center"/>
      <protection hidden="1"/>
    </xf>
    <xf numFmtId="0" fontId="260" fillId="8" borderId="55" xfId="8" applyNumberFormat="1" applyFont="1" applyFill="1" applyBorder="1" applyAlignment="1" applyProtection="1">
      <alignment horizontal="center" vertical="top"/>
      <protection locked="0"/>
    </xf>
    <xf numFmtId="0" fontId="3" fillId="8" borderId="0" xfId="9" applyFont="1" applyFill="1" applyAlignment="1" applyProtection="1">
      <alignment horizontal="center" vertical="center" textRotation="180"/>
      <protection locked="0"/>
    </xf>
    <xf numFmtId="0" fontId="467" fillId="8" borderId="241" xfId="9" applyNumberFormat="1" applyFont="1" applyFill="1" applyBorder="1" applyAlignment="1" applyProtection="1">
      <alignment horizontal="center" vertical="center" wrapText="1"/>
      <protection hidden="1"/>
    </xf>
    <xf numFmtId="0" fontId="462" fillId="8" borderId="116" xfId="9" applyNumberFormat="1" applyFont="1" applyFill="1" applyBorder="1" applyAlignment="1" applyProtection="1">
      <alignment horizontal="center" vertical="center" wrapText="1"/>
      <protection hidden="1"/>
    </xf>
    <xf numFmtId="0" fontId="462" fillId="8" borderId="119" xfId="9" applyNumberFormat="1" applyFont="1" applyFill="1" applyBorder="1" applyAlignment="1" applyProtection="1">
      <alignment horizontal="center" vertical="center" wrapText="1"/>
      <protection hidden="1"/>
    </xf>
    <xf numFmtId="0" fontId="462" fillId="8" borderId="604" xfId="9" applyNumberFormat="1" applyFont="1" applyFill="1" applyBorder="1" applyAlignment="1" applyProtection="1">
      <alignment horizontal="center" vertical="center" wrapText="1"/>
      <protection hidden="1"/>
    </xf>
    <xf numFmtId="0" fontId="462" fillId="8" borderId="92" xfId="9" applyNumberFormat="1" applyFont="1" applyFill="1" applyBorder="1" applyAlignment="1" applyProtection="1">
      <alignment horizontal="center" vertical="center" wrapText="1"/>
      <protection hidden="1"/>
    </xf>
    <xf numFmtId="0" fontId="462" fillId="8" borderId="245" xfId="9" applyNumberFormat="1" applyFont="1" applyFill="1" applyBorder="1" applyAlignment="1" applyProtection="1">
      <alignment horizontal="center" vertical="center" wrapText="1"/>
      <protection hidden="1"/>
    </xf>
    <xf numFmtId="0" fontId="163" fillId="8" borderId="118" xfId="9" applyNumberFormat="1" applyFont="1" applyFill="1" applyBorder="1" applyAlignment="1" applyProtection="1">
      <alignment horizontal="center" vertical="center" wrapText="1"/>
      <protection locked="0"/>
    </xf>
    <xf numFmtId="0" fontId="462" fillId="8" borderId="116" xfId="9" applyNumberFormat="1" applyFont="1" applyFill="1" applyBorder="1" applyAlignment="1" applyProtection="1">
      <alignment horizontal="center" vertical="center"/>
      <protection locked="0"/>
    </xf>
    <xf numFmtId="0" fontId="462" fillId="8" borderId="119" xfId="9" applyNumberFormat="1" applyFont="1" applyFill="1" applyBorder="1" applyAlignment="1" applyProtection="1">
      <alignment horizontal="center" vertical="center"/>
      <protection locked="0"/>
    </xf>
    <xf numFmtId="0" fontId="462" fillId="8" borderId="246" xfId="9" applyNumberFormat="1" applyFont="1" applyFill="1" applyBorder="1" applyAlignment="1" applyProtection="1">
      <alignment horizontal="center" vertical="center"/>
      <protection locked="0"/>
    </xf>
    <xf numFmtId="0" fontId="462" fillId="8" borderId="92" xfId="9" applyNumberFormat="1" applyFont="1" applyFill="1" applyBorder="1" applyAlignment="1" applyProtection="1">
      <alignment horizontal="center" vertical="center"/>
      <protection locked="0"/>
    </xf>
    <xf numFmtId="0" fontId="462" fillId="8" borderId="245" xfId="9" applyNumberFormat="1" applyFont="1" applyFill="1" applyBorder="1" applyAlignment="1" applyProtection="1">
      <alignment horizontal="center" vertical="center"/>
      <protection locked="0"/>
    </xf>
    <xf numFmtId="0" fontId="160" fillId="8" borderId="111" xfId="9" applyNumberFormat="1" applyFont="1" applyFill="1" applyBorder="1" applyAlignment="1" applyProtection="1">
      <alignment horizontal="center" vertical="center"/>
      <protection hidden="1"/>
    </xf>
    <xf numFmtId="0" fontId="160" fillId="8" borderId="114" xfId="9" applyNumberFormat="1" applyFont="1" applyFill="1" applyBorder="1" applyAlignment="1" applyProtection="1">
      <alignment horizontal="center" vertical="center"/>
      <protection hidden="1"/>
    </xf>
    <xf numFmtId="0" fontId="160" fillId="8" borderId="112" xfId="9" applyNumberFormat="1" applyFont="1" applyFill="1" applyBorder="1" applyAlignment="1" applyProtection="1">
      <alignment horizontal="center" vertical="center"/>
      <protection hidden="1"/>
    </xf>
    <xf numFmtId="0" fontId="466" fillId="8" borderId="111" xfId="9" applyNumberFormat="1" applyFont="1" applyFill="1" applyBorder="1" applyAlignment="1" applyProtection="1">
      <alignment horizontal="left" vertical="center"/>
      <protection locked="0"/>
    </xf>
    <xf numFmtId="0" fontId="466" fillId="8" borderId="114" xfId="9" applyNumberFormat="1" applyFont="1" applyFill="1" applyBorder="1" applyAlignment="1" applyProtection="1">
      <alignment horizontal="left" vertical="center"/>
      <protection locked="0"/>
    </xf>
    <xf numFmtId="0" fontId="466" fillId="8" borderId="112" xfId="9" applyNumberFormat="1" applyFont="1" applyFill="1" applyBorder="1" applyAlignment="1" applyProtection="1">
      <alignment horizontal="left" vertical="center"/>
      <protection locked="0"/>
    </xf>
    <xf numFmtId="0" fontId="449" fillId="8" borderId="62" xfId="9" applyNumberFormat="1" applyFont="1" applyFill="1" applyBorder="1" applyAlignment="1" applyProtection="1">
      <alignment horizontal="center"/>
      <protection hidden="1"/>
    </xf>
    <xf numFmtId="0" fontId="449" fillId="8" borderId="63" xfId="9" applyNumberFormat="1" applyFont="1" applyFill="1" applyBorder="1" applyAlignment="1" applyProtection="1">
      <alignment horizontal="center"/>
      <protection hidden="1"/>
    </xf>
    <xf numFmtId="0" fontId="3" fillId="8" borderId="1" xfId="9" applyNumberFormat="1" applyFont="1" applyFill="1" applyBorder="1" applyAlignment="1" applyProtection="1">
      <alignment horizontal="center" wrapText="1"/>
      <protection locked="0"/>
    </xf>
    <xf numFmtId="0" fontId="3" fillId="8" borderId="0" xfId="9" applyNumberFormat="1" applyFont="1" applyFill="1" applyBorder="1" applyAlignment="1" applyProtection="1">
      <alignment horizontal="center"/>
      <protection locked="0"/>
    </xf>
    <xf numFmtId="0" fontId="3" fillId="8" borderId="71" xfId="9" applyNumberFormat="1" applyFont="1" applyFill="1" applyBorder="1" applyAlignment="1" applyProtection="1">
      <alignment horizontal="center"/>
      <protection locked="0"/>
    </xf>
    <xf numFmtId="0" fontId="3" fillId="8" borderId="246" xfId="9" applyNumberFormat="1" applyFont="1" applyFill="1" applyBorder="1" applyAlignment="1" applyProtection="1">
      <alignment horizontal="center"/>
      <protection locked="0"/>
    </xf>
    <xf numFmtId="0" fontId="3" fillId="8" borderId="92" xfId="9" applyNumberFormat="1" applyFont="1" applyFill="1" applyBorder="1" applyAlignment="1" applyProtection="1">
      <alignment horizontal="center"/>
      <protection locked="0"/>
    </xf>
    <xf numFmtId="0" fontId="3" fillId="8" borderId="93" xfId="9" applyNumberFormat="1" applyFont="1" applyFill="1" applyBorder="1" applyAlignment="1" applyProtection="1">
      <alignment horizontal="center"/>
      <protection locked="0"/>
    </xf>
    <xf numFmtId="0" fontId="160" fillId="8" borderId="144" xfId="9" applyNumberFormat="1" applyFont="1" applyFill="1" applyBorder="1" applyAlignment="1" applyProtection="1">
      <alignment horizontal="center" vertical="center"/>
      <protection hidden="1"/>
    </xf>
    <xf numFmtId="0" fontId="160" fillId="8" borderId="143" xfId="9" applyNumberFormat="1" applyFont="1" applyFill="1" applyBorder="1" applyAlignment="1" applyProtection="1">
      <alignment horizontal="center" vertical="center"/>
      <protection hidden="1"/>
    </xf>
    <xf numFmtId="0" fontId="160" fillId="8" borderId="145" xfId="9" applyNumberFormat="1" applyFont="1" applyFill="1" applyBorder="1" applyAlignment="1" applyProtection="1">
      <alignment horizontal="center" vertical="center"/>
      <protection hidden="1"/>
    </xf>
    <xf numFmtId="0" fontId="160" fillId="8" borderId="244" xfId="9" applyNumberFormat="1" applyFont="1" applyFill="1" applyBorder="1" applyAlignment="1" applyProtection="1">
      <alignment horizontal="center" vertical="center"/>
      <protection locked="0"/>
    </xf>
    <xf numFmtId="0" fontId="160" fillId="8" borderId="244" xfId="9" applyNumberFormat="1" applyFont="1" applyFill="1" applyBorder="1" applyAlignment="1" applyProtection="1">
      <alignment horizontal="center" vertical="center"/>
      <protection hidden="1"/>
    </xf>
    <xf numFmtId="0" fontId="460" fillId="8" borderId="244" xfId="9" applyNumberFormat="1" applyFont="1" applyFill="1" applyBorder="1" applyAlignment="1" applyProtection="1">
      <alignment horizontal="center" vertical="center"/>
      <protection locked="0"/>
    </xf>
    <xf numFmtId="0" fontId="260" fillId="8" borderId="63" xfId="9" applyNumberFormat="1" applyFont="1" applyFill="1" applyBorder="1" applyAlignment="1" applyProtection="1">
      <alignment horizontal="left"/>
      <protection locked="0"/>
    </xf>
    <xf numFmtId="0" fontId="260" fillId="8" borderId="63" xfId="9" applyNumberFormat="1" applyFont="1" applyFill="1" applyBorder="1" applyAlignment="1" applyProtection="1">
      <alignment horizontal="center" vertical="top"/>
      <protection hidden="1"/>
    </xf>
    <xf numFmtId="0" fontId="449" fillId="8" borderId="118" xfId="9" applyNumberFormat="1" applyFont="1" applyFill="1" applyBorder="1" applyAlignment="1" applyProtection="1">
      <alignment horizontal="center" vertical="center"/>
      <protection hidden="1"/>
    </xf>
    <xf numFmtId="0" fontId="449" fillId="8" borderId="116" xfId="9" applyNumberFormat="1" applyFont="1" applyFill="1" applyBorder="1" applyAlignment="1" applyProtection="1">
      <alignment horizontal="center" vertical="center"/>
      <protection hidden="1"/>
    </xf>
    <xf numFmtId="0" fontId="449" fillId="8" borderId="243" xfId="9" applyNumberFormat="1" applyFont="1" applyFill="1" applyBorder="1" applyAlignment="1" applyProtection="1">
      <alignment horizontal="center" vertical="center"/>
      <protection hidden="1"/>
    </xf>
    <xf numFmtId="0" fontId="449" fillId="8" borderId="1" xfId="9" applyNumberFormat="1" applyFont="1" applyFill="1" applyBorder="1" applyAlignment="1" applyProtection="1">
      <alignment horizontal="center" vertical="center"/>
      <protection hidden="1"/>
    </xf>
    <xf numFmtId="0" fontId="449" fillId="8" borderId="0" xfId="9" applyNumberFormat="1" applyFont="1" applyFill="1" applyBorder="1" applyAlignment="1" applyProtection="1">
      <alignment horizontal="center" vertical="center"/>
      <protection hidden="1"/>
    </xf>
    <xf numFmtId="0" fontId="449" fillId="8" borderId="439" xfId="9" applyNumberFormat="1" applyFont="1" applyFill="1" applyBorder="1" applyAlignment="1" applyProtection="1">
      <alignment horizontal="center" vertical="center"/>
      <protection hidden="1"/>
    </xf>
    <xf numFmtId="0" fontId="449" fillId="8" borderId="54" xfId="9" applyNumberFormat="1" applyFont="1" applyFill="1" applyBorder="1" applyAlignment="1" applyProtection="1">
      <alignment horizontal="center" vertical="center"/>
      <protection hidden="1"/>
    </xf>
    <xf numFmtId="0" fontId="449" fillId="8" borderId="55" xfId="9" applyNumberFormat="1" applyFont="1" applyFill="1" applyBorder="1" applyAlignment="1" applyProtection="1">
      <alignment horizontal="center" vertical="center"/>
      <protection hidden="1"/>
    </xf>
    <xf numFmtId="0" fontId="449" fillId="8" borderId="78" xfId="9" applyNumberFormat="1" applyFont="1" applyFill="1" applyBorder="1" applyAlignment="1" applyProtection="1">
      <alignment horizontal="center" vertical="center"/>
      <protection hidden="1"/>
    </xf>
    <xf numFmtId="0" fontId="449" fillId="8" borderId="242" xfId="9" applyNumberFormat="1" applyFont="1" applyFill="1" applyBorder="1" applyAlignment="1" applyProtection="1">
      <alignment horizontal="center" vertical="center"/>
      <protection hidden="1"/>
    </xf>
    <xf numFmtId="0" fontId="449" fillId="8" borderId="214" xfId="9" applyNumberFormat="1" applyFont="1" applyFill="1" applyBorder="1" applyAlignment="1" applyProtection="1">
      <alignment horizontal="center" vertical="center"/>
      <protection hidden="1"/>
    </xf>
    <xf numFmtId="0" fontId="449" fillId="8" borderId="26" xfId="9" applyNumberFormat="1" applyFont="1" applyFill="1" applyBorder="1" applyAlignment="1" applyProtection="1">
      <alignment horizontal="center" vertical="center"/>
      <protection hidden="1"/>
    </xf>
    <xf numFmtId="0" fontId="437" fillId="8" borderId="242" xfId="9" applyNumberFormat="1" applyFont="1" applyFill="1" applyBorder="1" applyAlignment="1" applyProtection="1">
      <alignment horizontal="center" vertical="center" wrapText="1"/>
      <protection hidden="1"/>
    </xf>
    <xf numFmtId="0" fontId="437" fillId="8" borderId="214" xfId="9" applyNumberFormat="1" applyFont="1" applyFill="1" applyBorder="1" applyAlignment="1" applyProtection="1">
      <alignment horizontal="center" vertical="center" wrapText="1"/>
      <protection hidden="1"/>
    </xf>
    <xf numFmtId="0" fontId="437" fillId="8" borderId="26" xfId="9" applyNumberFormat="1" applyFont="1" applyFill="1" applyBorder="1" applyAlignment="1" applyProtection="1">
      <alignment horizontal="center" vertical="center" wrapText="1"/>
      <protection hidden="1"/>
    </xf>
    <xf numFmtId="0" fontId="437" fillId="8" borderId="241" xfId="9" applyNumberFormat="1" applyFont="1" applyFill="1" applyBorder="1" applyAlignment="1" applyProtection="1">
      <alignment horizontal="center" vertical="center" wrapText="1"/>
      <protection hidden="1"/>
    </xf>
    <xf numFmtId="0" fontId="437" fillId="8" borderId="53" xfId="9" applyNumberFormat="1" applyFont="1" applyFill="1" applyBorder="1" applyAlignment="1" applyProtection="1">
      <alignment horizontal="center" vertical="center" wrapText="1"/>
      <protection hidden="1"/>
    </xf>
    <xf numFmtId="0" fontId="437" fillId="8" borderId="60" xfId="9" applyNumberFormat="1" applyFont="1" applyFill="1" applyBorder="1" applyAlignment="1" applyProtection="1">
      <alignment horizontal="center" vertical="center" wrapText="1"/>
      <protection hidden="1"/>
    </xf>
    <xf numFmtId="0" fontId="481" fillId="8" borderId="0" xfId="2" applyFont="1" applyFill="1" applyAlignment="1" applyProtection="1">
      <alignment horizontal="center" vertical="center" shrinkToFit="1"/>
      <protection locked="0"/>
    </xf>
    <xf numFmtId="0" fontId="436" fillId="8" borderId="598" xfId="9" applyNumberFormat="1" applyFont="1" applyFill="1" applyBorder="1" applyAlignment="1" applyProtection="1">
      <alignment horizontal="center" vertical="center"/>
      <protection locked="0"/>
    </xf>
    <xf numFmtId="0" fontId="260" fillId="8" borderId="1" xfId="9" applyNumberFormat="1" applyFont="1" applyFill="1" applyBorder="1" applyAlignment="1" applyProtection="1">
      <alignment horizontal="center" vertical="center" wrapText="1"/>
      <protection hidden="1"/>
    </xf>
    <xf numFmtId="0" fontId="259" fillId="8" borderId="0" xfId="9" applyNumberFormat="1" applyFont="1" applyFill="1" applyBorder="1" applyAlignment="1" applyProtection="1">
      <alignment horizontal="center" vertical="center" wrapText="1"/>
      <protection hidden="1"/>
    </xf>
    <xf numFmtId="0" fontId="259" fillId="8" borderId="439" xfId="9" applyNumberFormat="1" applyFont="1" applyFill="1" applyBorder="1" applyAlignment="1" applyProtection="1">
      <alignment horizontal="center" vertical="center" wrapText="1"/>
      <protection hidden="1"/>
    </xf>
    <xf numFmtId="0" fontId="259" fillId="8" borderId="54" xfId="9" applyNumberFormat="1" applyFont="1" applyFill="1" applyBorder="1" applyAlignment="1" applyProtection="1">
      <alignment horizontal="center" vertical="center" wrapText="1"/>
      <protection hidden="1"/>
    </xf>
    <xf numFmtId="0" fontId="259" fillId="8" borderId="55" xfId="9" applyNumberFormat="1" applyFont="1" applyFill="1" applyBorder="1" applyAlignment="1" applyProtection="1">
      <alignment horizontal="center" vertical="center" wrapText="1"/>
      <protection hidden="1"/>
    </xf>
    <xf numFmtId="0" fontId="259" fillId="8" borderId="78" xfId="9" applyNumberFormat="1" applyFont="1" applyFill="1" applyBorder="1" applyAlignment="1" applyProtection="1">
      <alignment horizontal="center" vertical="center" wrapText="1"/>
      <protection hidden="1"/>
    </xf>
    <xf numFmtId="0" fontId="260" fillId="8" borderId="53" xfId="9" applyNumberFormat="1" applyFont="1" applyFill="1" applyBorder="1" applyAlignment="1" applyProtection="1">
      <alignment horizontal="center" vertical="center" wrapText="1"/>
      <protection hidden="1"/>
    </xf>
    <xf numFmtId="0" fontId="259" fillId="8" borderId="2" xfId="9" applyNumberFormat="1" applyFont="1" applyFill="1" applyBorder="1" applyAlignment="1" applyProtection="1">
      <alignment horizontal="center" vertical="center" wrapText="1"/>
      <protection hidden="1"/>
    </xf>
    <xf numFmtId="0" fontId="259" fillId="8" borderId="60" xfId="9" applyNumberFormat="1" applyFont="1" applyFill="1" applyBorder="1" applyAlignment="1" applyProtection="1">
      <alignment horizontal="center" vertical="center" wrapText="1"/>
      <protection hidden="1"/>
    </xf>
    <xf numFmtId="0" fontId="259" fillId="8" borderId="56" xfId="9" applyNumberFormat="1" applyFont="1" applyFill="1" applyBorder="1" applyAlignment="1" applyProtection="1">
      <alignment horizontal="center" vertical="center" wrapText="1"/>
      <protection hidden="1"/>
    </xf>
    <xf numFmtId="0" fontId="252" fillId="28" borderId="67" xfId="9" applyNumberFormat="1" applyFont="1" applyFill="1" applyBorder="1" applyAlignment="1" applyProtection="1">
      <alignment horizontal="center" vertical="center" wrapText="1"/>
      <protection locked="0"/>
    </xf>
    <xf numFmtId="0" fontId="252" fillId="28" borderId="602" xfId="9" applyNumberFormat="1" applyFont="1" applyFill="1" applyBorder="1" applyAlignment="1" applyProtection="1">
      <alignment horizontal="center" vertical="center" wrapText="1"/>
      <protection locked="0"/>
    </xf>
    <xf numFmtId="0" fontId="252" fillId="28" borderId="54" xfId="9" applyNumberFormat="1" applyFont="1" applyFill="1" applyBorder="1" applyAlignment="1" applyProtection="1">
      <alignment horizontal="center" vertical="center" wrapText="1"/>
      <protection locked="0"/>
    </xf>
    <xf numFmtId="0" fontId="252" fillId="28" borderId="78" xfId="9" applyNumberFormat="1" applyFont="1" applyFill="1" applyBorder="1" applyAlignment="1" applyProtection="1">
      <alignment horizontal="center" vertical="center" wrapText="1"/>
      <protection locked="0"/>
    </xf>
    <xf numFmtId="0" fontId="7" fillId="28" borderId="65" xfId="9" applyNumberFormat="1" applyFont="1" applyFill="1" applyBorder="1" applyAlignment="1" applyProtection="1">
      <alignment horizontal="right" vertical="center" shrinkToFit="1"/>
      <protection locked="0"/>
    </xf>
    <xf numFmtId="0" fontId="7" fillId="28" borderId="60" xfId="9" applyNumberFormat="1" applyFont="1" applyFill="1" applyBorder="1" applyAlignment="1" applyProtection="1">
      <alignment horizontal="right" vertical="center" shrinkToFit="1"/>
      <protection locked="0"/>
    </xf>
    <xf numFmtId="0" fontId="437" fillId="8" borderId="226" xfId="9" applyNumberFormat="1" applyFont="1" applyFill="1" applyBorder="1" applyAlignment="1" applyProtection="1">
      <alignment horizontal="center" vertical="center" wrapText="1"/>
      <protection hidden="1"/>
    </xf>
    <xf numFmtId="0" fontId="437" fillId="8" borderId="71" xfId="9" applyNumberFormat="1" applyFont="1" applyFill="1" applyBorder="1" applyAlignment="1" applyProtection="1">
      <alignment horizontal="center" vertical="center" wrapText="1"/>
      <protection hidden="1"/>
    </xf>
    <xf numFmtId="0" fontId="437" fillId="8" borderId="103" xfId="9" applyNumberFormat="1" applyFont="1" applyFill="1" applyBorder="1" applyAlignment="1" applyProtection="1">
      <alignment horizontal="center" vertical="center" wrapText="1"/>
      <protection hidden="1"/>
    </xf>
    <xf numFmtId="0" fontId="260" fillId="8" borderId="32" xfId="9" applyNumberFormat="1" applyFont="1" applyFill="1" applyBorder="1" applyAlignment="1" applyProtection="1">
      <alignment horizontal="center" vertical="center"/>
      <protection hidden="1"/>
    </xf>
    <xf numFmtId="0" fontId="82" fillId="8" borderId="4" xfId="9" applyNumberFormat="1" applyFont="1" applyFill="1" applyBorder="1" applyAlignment="1" applyProtection="1">
      <alignment horizontal="center" vertical="center"/>
      <protection hidden="1"/>
    </xf>
    <xf numFmtId="0" fontId="260" fillId="8" borderId="4" xfId="9" applyNumberFormat="1" applyFont="1" applyFill="1" applyBorder="1" applyAlignment="1" applyProtection="1">
      <alignment horizontal="center" vertical="center"/>
      <protection hidden="1"/>
    </xf>
    <xf numFmtId="0" fontId="260" fillId="8" borderId="34" xfId="9" applyNumberFormat="1" applyFont="1" applyFill="1" applyBorder="1" applyAlignment="1" applyProtection="1">
      <alignment horizontal="center" vertical="center"/>
      <protection hidden="1"/>
    </xf>
    <xf numFmtId="0" fontId="82" fillId="8" borderId="81" xfId="9" applyNumberFormat="1" applyFont="1" applyFill="1" applyBorder="1" applyAlignment="1" applyProtection="1">
      <alignment horizontal="center" vertical="center"/>
      <protection hidden="1"/>
    </xf>
    <xf numFmtId="0" fontId="83" fillId="0" borderId="81" xfId="9" applyBorder="1" applyProtection="1">
      <alignment vertical="center"/>
      <protection hidden="1"/>
    </xf>
    <xf numFmtId="0" fontId="260" fillId="8" borderId="4" xfId="9" applyNumberFormat="1" applyFont="1" applyFill="1" applyBorder="1" applyAlignment="1" applyProtection="1">
      <alignment horizontal="center" vertical="center" shrinkToFit="1"/>
      <protection hidden="1"/>
    </xf>
    <xf numFmtId="0" fontId="165" fillId="8" borderId="4" xfId="9" applyNumberFormat="1" applyFont="1" applyFill="1" applyBorder="1" applyAlignment="1" applyProtection="1">
      <alignment horizontal="center" vertical="center" shrinkToFit="1"/>
      <protection hidden="1"/>
    </xf>
    <xf numFmtId="0" fontId="260" fillId="8" borderId="63" xfId="9" applyNumberFormat="1" applyFont="1" applyFill="1" applyBorder="1" applyAlignment="1" applyProtection="1">
      <alignment horizontal="center" vertical="center" shrinkToFit="1"/>
      <protection hidden="1"/>
    </xf>
    <xf numFmtId="0" fontId="165" fillId="8" borderId="84" xfId="9" applyNumberFormat="1" applyFont="1" applyFill="1" applyBorder="1" applyAlignment="1" applyProtection="1">
      <alignment horizontal="center" vertical="center" shrinkToFit="1"/>
      <protection hidden="1"/>
    </xf>
    <xf numFmtId="202" fontId="260" fillId="28" borderId="41" xfId="9" applyNumberFormat="1" applyFont="1" applyFill="1" applyBorder="1" applyAlignment="1" applyProtection="1">
      <alignment horizontal="right" shrinkToFit="1"/>
      <protection locked="0"/>
    </xf>
    <xf numFmtId="202" fontId="260" fillId="28" borderId="58" xfId="9" applyNumberFormat="1" applyFont="1" applyFill="1" applyBorder="1" applyAlignment="1" applyProtection="1">
      <alignment horizontal="right" shrinkToFit="1"/>
      <protection locked="0"/>
    </xf>
    <xf numFmtId="202" fontId="260" fillId="28" borderId="122" xfId="9" applyNumberFormat="1" applyFont="1" applyFill="1" applyBorder="1" applyAlignment="1" applyProtection="1">
      <alignment horizontal="right" shrinkToFit="1"/>
      <protection locked="0"/>
    </xf>
    <xf numFmtId="0" fontId="449" fillId="8" borderId="152" xfId="9" applyNumberFormat="1" applyFont="1" applyFill="1" applyBorder="1" applyAlignment="1" applyProtection="1">
      <alignment horizontal="center" vertical="center"/>
      <protection hidden="1"/>
    </xf>
    <xf numFmtId="0" fontId="449" fillId="8" borderId="94" xfId="9" applyNumberFormat="1" applyFont="1" applyFill="1" applyBorder="1" applyAlignment="1" applyProtection="1">
      <alignment horizontal="center" vertical="center"/>
      <protection hidden="1"/>
    </xf>
    <xf numFmtId="0" fontId="449" fillId="8" borderId="31" xfId="9" applyNumberFormat="1" applyFont="1" applyFill="1" applyBorder="1" applyAlignment="1" applyProtection="1">
      <alignment horizontal="center" vertical="center"/>
      <protection hidden="1"/>
    </xf>
    <xf numFmtId="0" fontId="449" fillId="8" borderId="252" xfId="9" applyNumberFormat="1" applyFont="1" applyFill="1" applyBorder="1" applyAlignment="1" applyProtection="1">
      <alignment horizontal="center" vertical="center"/>
      <protection hidden="1"/>
    </xf>
    <xf numFmtId="0" fontId="449" fillId="8" borderId="31" xfId="9" applyNumberFormat="1" applyFont="1" applyFill="1" applyBorder="1" applyAlignment="1" applyProtection="1">
      <alignment horizontal="center" vertical="center" shrinkToFit="1"/>
      <protection hidden="1"/>
    </xf>
    <xf numFmtId="0" fontId="449" fillId="8" borderId="99" xfId="9" applyNumberFormat="1" applyFont="1" applyFill="1" applyBorder="1" applyAlignment="1" applyProtection="1">
      <alignment horizontal="center" vertical="center" shrinkToFit="1"/>
      <protection hidden="1"/>
    </xf>
    <xf numFmtId="0" fontId="449" fillId="8" borderId="34" xfId="9" applyNumberFormat="1" applyFont="1" applyFill="1" applyBorder="1" applyAlignment="1" applyProtection="1">
      <alignment horizontal="center"/>
      <protection hidden="1"/>
    </xf>
    <xf numFmtId="0" fontId="449" fillId="8" borderId="81" xfId="9" applyNumberFormat="1" applyFont="1" applyFill="1" applyBorder="1" applyAlignment="1" applyProtection="1">
      <alignment horizontal="center"/>
      <protection hidden="1"/>
    </xf>
    <xf numFmtId="0" fontId="474" fillId="8" borderId="63" xfId="9" applyNumberFormat="1" applyFont="1" applyFill="1" applyBorder="1" applyAlignment="1" applyProtection="1">
      <alignment horizontal="center"/>
      <protection hidden="1"/>
    </xf>
    <xf numFmtId="0" fontId="439" fillId="8" borderId="34" xfId="9" applyNumberFormat="1" applyFont="1" applyFill="1" applyBorder="1" applyAlignment="1" applyProtection="1">
      <alignment horizontal="center"/>
      <protection hidden="1"/>
    </xf>
    <xf numFmtId="0" fontId="260" fillId="8" borderId="84" xfId="9" applyNumberFormat="1" applyFont="1" applyFill="1" applyBorder="1" applyAlignment="1" applyProtection="1">
      <alignment horizontal="center"/>
      <protection hidden="1"/>
    </xf>
    <xf numFmtId="176" fontId="121" fillId="28" borderId="62" xfId="9" applyNumberFormat="1" applyFont="1" applyFill="1" applyBorder="1" applyAlignment="1" applyProtection="1">
      <alignment horizontal="right"/>
      <protection locked="0"/>
    </xf>
    <xf numFmtId="176" fontId="121" fillId="28" borderId="63" xfId="9" applyNumberFormat="1" applyFont="1" applyFill="1" applyBorder="1" applyAlignment="1" applyProtection="1">
      <alignment horizontal="right"/>
      <protection locked="0"/>
    </xf>
    <xf numFmtId="0" fontId="160" fillId="8" borderId="63" xfId="9" applyNumberFormat="1" applyFont="1" applyFill="1" applyBorder="1" applyAlignment="1" applyProtection="1">
      <alignment horizontal="center"/>
      <protection hidden="1"/>
    </xf>
    <xf numFmtId="0" fontId="160" fillId="8" borderId="81" xfId="9" applyNumberFormat="1" applyFont="1" applyFill="1" applyBorder="1" applyAlignment="1" applyProtection="1">
      <alignment horizontal="center"/>
      <protection hidden="1"/>
    </xf>
    <xf numFmtId="176" fontId="121" fillId="28" borderId="34" xfId="9" applyNumberFormat="1" applyFont="1" applyFill="1" applyBorder="1" applyAlignment="1" applyProtection="1">
      <alignment horizontal="right" shrinkToFit="1"/>
      <protection locked="0"/>
    </xf>
    <xf numFmtId="176" fontId="121" fillId="28" borderId="63" xfId="9" applyNumberFormat="1" applyFont="1" applyFill="1" applyBorder="1" applyAlignment="1" applyProtection="1">
      <alignment horizontal="right" shrinkToFit="1"/>
      <protection locked="0"/>
    </xf>
    <xf numFmtId="176" fontId="121" fillId="28" borderId="34" xfId="9" applyNumberFormat="1" applyFont="1" applyFill="1" applyBorder="1" applyAlignment="1" applyProtection="1">
      <alignment horizontal="center"/>
      <protection locked="0"/>
    </xf>
    <xf numFmtId="176" fontId="121" fillId="28" borderId="63" xfId="9" applyNumberFormat="1" applyFont="1" applyFill="1" applyBorder="1" applyAlignment="1" applyProtection="1">
      <alignment horizontal="center"/>
      <protection locked="0"/>
    </xf>
    <xf numFmtId="176" fontId="121" fillId="28" borderId="81" xfId="9" applyNumberFormat="1" applyFont="1" applyFill="1" applyBorder="1" applyAlignment="1" applyProtection="1">
      <alignment horizontal="center"/>
      <protection locked="0"/>
    </xf>
    <xf numFmtId="0" fontId="121" fillId="8" borderId="63" xfId="9" applyNumberFormat="1" applyFont="1" applyFill="1" applyBorder="1" applyAlignment="1" applyProtection="1">
      <alignment horizontal="center"/>
      <protection hidden="1"/>
    </xf>
    <xf numFmtId="0" fontId="121" fillId="8" borderId="84" xfId="9" applyNumberFormat="1" applyFont="1" applyFill="1" applyBorder="1" applyAlignment="1" applyProtection="1">
      <alignment horizontal="center"/>
      <protection hidden="1"/>
    </xf>
    <xf numFmtId="0" fontId="460" fillId="8" borderId="51" xfId="9" applyNumberFormat="1" applyFont="1" applyFill="1" applyBorder="1" applyAlignment="1" applyProtection="1">
      <alignment horizontal="center" vertical="center"/>
      <protection hidden="1"/>
    </xf>
    <xf numFmtId="0" fontId="460" fillId="8" borderId="114" xfId="9" applyNumberFormat="1" applyFont="1" applyFill="1" applyBorder="1" applyAlignment="1" applyProtection="1">
      <alignment horizontal="center" vertical="center"/>
      <protection hidden="1"/>
    </xf>
    <xf numFmtId="0" fontId="460" fillId="8" borderId="112" xfId="9" applyNumberFormat="1" applyFont="1" applyFill="1" applyBorder="1" applyAlignment="1" applyProtection="1">
      <alignment horizontal="center" vertical="center"/>
      <protection hidden="1"/>
    </xf>
    <xf numFmtId="0" fontId="462" fillId="8" borderId="3" xfId="9" applyNumberFormat="1" applyFont="1" applyFill="1" applyBorder="1" applyAlignment="1" applyProtection="1">
      <alignment horizontal="center" vertical="center" wrapText="1"/>
      <protection hidden="1"/>
    </xf>
    <xf numFmtId="0" fontId="462" fillId="8" borderId="6" xfId="9" applyNumberFormat="1" applyFont="1" applyFill="1" applyBorder="1" applyAlignment="1" applyProtection="1">
      <alignment horizontal="center" vertical="center" wrapText="1"/>
      <protection hidden="1"/>
    </xf>
    <xf numFmtId="0" fontId="460" fillId="8" borderId="111" xfId="9" applyNumberFormat="1" applyFont="1" applyFill="1" applyBorder="1" applyAlignment="1" applyProtection="1">
      <alignment horizontal="center" vertical="center"/>
      <protection hidden="1"/>
    </xf>
    <xf numFmtId="0" fontId="460" fillId="8" borderId="111" xfId="9" applyNumberFormat="1" applyFont="1" applyFill="1" applyBorder="1" applyAlignment="1" applyProtection="1">
      <alignment horizontal="center" vertical="center" shrinkToFit="1"/>
      <protection hidden="1"/>
    </xf>
    <xf numFmtId="0" fontId="460" fillId="8" borderId="114" xfId="9" applyNumberFormat="1" applyFont="1" applyFill="1" applyBorder="1" applyAlignment="1" applyProtection="1">
      <alignment horizontal="center" vertical="center" shrinkToFit="1"/>
      <protection hidden="1"/>
    </xf>
    <xf numFmtId="0" fontId="460" fillId="8" borderId="148" xfId="9" applyNumberFormat="1" applyFont="1" applyFill="1" applyBorder="1" applyAlignment="1" applyProtection="1">
      <alignment horizontal="center" vertical="center" shrinkToFit="1"/>
      <protection hidden="1"/>
    </xf>
    <xf numFmtId="0" fontId="162" fillId="8" borderId="214" xfId="9" applyNumberFormat="1" applyFont="1" applyFill="1" applyBorder="1" applyAlignment="1" applyProtection="1">
      <alignment horizontal="center" vertical="center"/>
      <protection hidden="1"/>
    </xf>
    <xf numFmtId="0" fontId="162" fillId="8" borderId="42" xfId="9" applyNumberFormat="1" applyFont="1" applyFill="1" applyBorder="1" applyAlignment="1" applyProtection="1">
      <alignment horizontal="center" vertical="center"/>
      <protection hidden="1"/>
    </xf>
    <xf numFmtId="0" fontId="162" fillId="8" borderId="53" xfId="9" applyNumberFormat="1" applyFont="1" applyFill="1" applyBorder="1" applyAlignment="1" applyProtection="1">
      <alignment horizontal="center" vertical="center"/>
      <protection hidden="1"/>
    </xf>
    <xf numFmtId="0" fontId="435" fillId="8" borderId="118" xfId="9" applyNumberFormat="1" applyFont="1" applyFill="1" applyBorder="1" applyAlignment="1" applyProtection="1">
      <alignment horizontal="center" vertical="center" shrinkToFit="1"/>
      <protection hidden="1"/>
    </xf>
    <xf numFmtId="0" fontId="435" fillId="8" borderId="243" xfId="9" applyNumberFormat="1" applyFont="1" applyFill="1" applyBorder="1" applyAlignment="1" applyProtection="1">
      <alignment horizontal="center" vertical="center" shrinkToFit="1"/>
      <protection hidden="1"/>
    </xf>
    <xf numFmtId="0" fontId="435" fillId="8" borderId="1" xfId="9" applyNumberFormat="1" applyFont="1" applyFill="1" applyBorder="1" applyAlignment="1" applyProtection="1">
      <alignment horizontal="center" vertical="center" shrinkToFit="1"/>
      <protection hidden="1"/>
    </xf>
    <xf numFmtId="0" fontId="435" fillId="8" borderId="439" xfId="9" applyNumberFormat="1" applyFont="1" applyFill="1" applyBorder="1" applyAlignment="1" applyProtection="1">
      <alignment horizontal="center" vertical="center" shrinkToFit="1"/>
      <protection hidden="1"/>
    </xf>
    <xf numFmtId="0" fontId="435" fillId="8" borderId="54" xfId="9" applyNumberFormat="1" applyFont="1" applyFill="1" applyBorder="1" applyAlignment="1" applyProtection="1">
      <alignment horizontal="center" vertical="center" shrinkToFit="1"/>
      <protection hidden="1"/>
    </xf>
    <xf numFmtId="0" fontId="435" fillId="8" borderId="78" xfId="9" applyNumberFormat="1" applyFont="1" applyFill="1" applyBorder="1" applyAlignment="1" applyProtection="1">
      <alignment horizontal="center" vertical="center" shrinkToFit="1"/>
      <protection hidden="1"/>
    </xf>
    <xf numFmtId="0" fontId="165" fillId="8" borderId="25" xfId="9" applyNumberFormat="1" applyFont="1" applyFill="1" applyBorder="1" applyAlignment="1" applyProtection="1">
      <alignment horizontal="center" vertical="center" wrapText="1"/>
      <protection hidden="1"/>
    </xf>
    <xf numFmtId="0" fontId="165" fillId="8" borderId="242" xfId="9" applyNumberFormat="1" applyFont="1" applyFill="1" applyBorder="1" applyAlignment="1" applyProtection="1">
      <alignment horizontal="center" vertical="center" wrapText="1"/>
      <protection hidden="1"/>
    </xf>
    <xf numFmtId="0" fontId="165" fillId="8" borderId="52" xfId="9" applyNumberFormat="1" applyFont="1" applyFill="1" applyBorder="1" applyAlignment="1" applyProtection="1">
      <alignment horizontal="center" vertical="center" wrapText="1"/>
      <protection hidden="1"/>
    </xf>
    <xf numFmtId="0" fontId="165" fillId="8" borderId="214" xfId="9" applyNumberFormat="1" applyFont="1" applyFill="1" applyBorder="1" applyAlignment="1" applyProtection="1">
      <alignment horizontal="center" vertical="center" wrapText="1"/>
      <protection hidden="1"/>
    </xf>
    <xf numFmtId="0" fontId="165" fillId="8" borderId="39" xfId="9" applyNumberFormat="1" applyFont="1" applyFill="1" applyBorder="1" applyAlignment="1" applyProtection="1">
      <alignment horizontal="center" vertical="center" wrapText="1"/>
      <protection hidden="1"/>
    </xf>
    <xf numFmtId="0" fontId="165" fillId="8" borderId="26" xfId="9" applyNumberFormat="1" applyFont="1" applyFill="1" applyBorder="1" applyAlignment="1" applyProtection="1">
      <alignment horizontal="center" vertical="center" wrapText="1"/>
      <protection hidden="1"/>
    </xf>
    <xf numFmtId="179" fontId="252" fillId="28" borderId="602" xfId="9" applyNumberFormat="1" applyFont="1" applyFill="1" applyBorder="1" applyAlignment="1" applyProtection="1">
      <alignment horizontal="left" vertical="center"/>
      <protection locked="0"/>
    </xf>
    <xf numFmtId="179" fontId="252" fillId="28" borderId="78" xfId="9" applyNumberFormat="1" applyFont="1" applyFill="1" applyBorder="1" applyAlignment="1" applyProtection="1">
      <alignment horizontal="left" vertical="center"/>
      <protection locked="0"/>
    </xf>
    <xf numFmtId="0" fontId="435" fillId="8" borderId="241" xfId="9" applyNumberFormat="1" applyFont="1" applyFill="1" applyBorder="1" applyAlignment="1" applyProtection="1">
      <alignment horizontal="center" vertical="center" shrinkToFit="1"/>
      <protection hidden="1"/>
    </xf>
    <xf numFmtId="0" fontId="435" fillId="8" borderId="119" xfId="9" applyNumberFormat="1" applyFont="1" applyFill="1" applyBorder="1" applyAlignment="1" applyProtection="1">
      <alignment horizontal="center" vertical="center" shrinkToFit="1"/>
      <protection hidden="1"/>
    </xf>
    <xf numFmtId="0" fontId="435" fillId="8" borderId="53" xfId="9" applyNumberFormat="1" applyFont="1" applyFill="1" applyBorder="1" applyAlignment="1" applyProtection="1">
      <alignment horizontal="center" vertical="center" shrinkToFit="1"/>
      <protection hidden="1"/>
    </xf>
    <xf numFmtId="0" fontId="435" fillId="8" borderId="2" xfId="9" applyNumberFormat="1" applyFont="1" applyFill="1" applyBorder="1" applyAlignment="1" applyProtection="1">
      <alignment horizontal="center" vertical="center" shrinkToFit="1"/>
      <protection hidden="1"/>
    </xf>
    <xf numFmtId="0" fontId="435" fillId="8" borderId="60" xfId="9" applyNumberFormat="1" applyFont="1" applyFill="1" applyBorder="1" applyAlignment="1" applyProtection="1">
      <alignment horizontal="center" vertical="center" shrinkToFit="1"/>
      <protection hidden="1"/>
    </xf>
    <xf numFmtId="0" fontId="435" fillId="8" borderId="56" xfId="9" applyNumberFormat="1" applyFont="1" applyFill="1" applyBorder="1" applyAlignment="1" applyProtection="1">
      <alignment horizontal="center" vertical="center" shrinkToFit="1"/>
      <protection hidden="1"/>
    </xf>
    <xf numFmtId="0" fontId="449" fillId="8" borderId="118" xfId="9" applyNumberFormat="1" applyFont="1" applyFill="1" applyBorder="1" applyAlignment="1" applyProtection="1">
      <alignment horizontal="center" shrinkToFit="1"/>
      <protection hidden="1"/>
    </xf>
    <xf numFmtId="0" fontId="449" fillId="8" borderId="116" xfId="9" applyNumberFormat="1" applyFont="1" applyFill="1" applyBorder="1" applyAlignment="1" applyProtection="1">
      <alignment horizontal="center" shrinkToFit="1"/>
      <protection hidden="1"/>
    </xf>
    <xf numFmtId="0" fontId="449" fillId="8" borderId="243" xfId="9" applyNumberFormat="1" applyFont="1" applyFill="1" applyBorder="1" applyAlignment="1" applyProtection="1">
      <alignment horizontal="center" shrinkToFit="1"/>
      <protection hidden="1"/>
    </xf>
    <xf numFmtId="0" fontId="449" fillId="8" borderId="241" xfId="9" applyNumberFormat="1" applyFont="1" applyFill="1" applyBorder="1" applyAlignment="1" applyProtection="1">
      <alignment horizontal="center" shrinkToFit="1"/>
      <protection hidden="1"/>
    </xf>
    <xf numFmtId="0" fontId="449" fillId="8" borderId="119" xfId="9" applyNumberFormat="1" applyFont="1" applyFill="1" applyBorder="1" applyAlignment="1" applyProtection="1">
      <alignment horizontal="center" shrinkToFit="1"/>
      <protection hidden="1"/>
    </xf>
    <xf numFmtId="0" fontId="449" fillId="8" borderId="118" xfId="9" applyNumberFormat="1" applyFont="1" applyFill="1" applyBorder="1" applyAlignment="1" applyProtection="1">
      <alignment horizontal="center" vertical="center" shrinkToFit="1"/>
      <protection hidden="1"/>
    </xf>
    <xf numFmtId="0" fontId="449" fillId="8" borderId="243" xfId="9" applyNumberFormat="1" applyFont="1" applyFill="1" applyBorder="1" applyAlignment="1" applyProtection="1">
      <alignment horizontal="center" vertical="center" shrinkToFit="1"/>
      <protection hidden="1"/>
    </xf>
    <xf numFmtId="0" fontId="449" fillId="8" borderId="1" xfId="9" applyNumberFormat="1" applyFont="1" applyFill="1" applyBorder="1" applyAlignment="1" applyProtection="1">
      <alignment horizontal="center" vertical="center" shrinkToFit="1"/>
      <protection hidden="1"/>
    </xf>
    <xf numFmtId="0" fontId="449" fillId="8" borderId="439" xfId="9" applyNumberFormat="1" applyFont="1" applyFill="1" applyBorder="1" applyAlignment="1" applyProtection="1">
      <alignment horizontal="center" vertical="center" shrinkToFit="1"/>
      <protection hidden="1"/>
    </xf>
    <xf numFmtId="0" fontId="449" fillId="8" borderId="241" xfId="9" applyNumberFormat="1" applyFont="1" applyFill="1" applyBorder="1" applyAlignment="1" applyProtection="1">
      <alignment horizontal="center" vertical="center" wrapText="1" shrinkToFit="1"/>
      <protection hidden="1"/>
    </xf>
    <xf numFmtId="0" fontId="449" fillId="8" borderId="60" xfId="9" applyNumberFormat="1" applyFont="1" applyFill="1" applyBorder="1" applyAlignment="1" applyProtection="1">
      <alignment horizontal="center" vertical="center" shrinkToFit="1"/>
      <protection hidden="1"/>
    </xf>
    <xf numFmtId="0" fontId="449" fillId="8" borderId="78" xfId="9" applyNumberFormat="1" applyFont="1" applyFill="1" applyBorder="1" applyAlignment="1" applyProtection="1">
      <alignment horizontal="center" vertical="center" shrinkToFit="1"/>
      <protection hidden="1"/>
    </xf>
    <xf numFmtId="0" fontId="473" fillId="8" borderId="241" xfId="9" applyNumberFormat="1" applyFont="1" applyFill="1" applyBorder="1" applyAlignment="1" applyProtection="1">
      <alignment horizontal="center" vertical="center" wrapText="1" shrinkToFit="1"/>
      <protection hidden="1"/>
    </xf>
    <xf numFmtId="0" fontId="449" fillId="8" borderId="119" xfId="9" applyNumberFormat="1" applyFont="1" applyFill="1" applyBorder="1" applyAlignment="1" applyProtection="1">
      <alignment horizontal="center" vertical="center" shrinkToFit="1"/>
      <protection hidden="1"/>
    </xf>
    <xf numFmtId="0" fontId="449" fillId="8" borderId="56" xfId="9" applyNumberFormat="1" applyFont="1" applyFill="1" applyBorder="1" applyAlignment="1" applyProtection="1">
      <alignment horizontal="center" vertical="center" shrinkToFit="1"/>
      <protection hidden="1"/>
    </xf>
    <xf numFmtId="0" fontId="260" fillId="8" borderId="69" xfId="9" applyNumberFormat="1" applyFont="1" applyFill="1" applyBorder="1" applyAlignment="1" applyProtection="1">
      <alignment horizontal="left" vertical="center" wrapText="1" shrinkToFit="1"/>
      <protection hidden="1"/>
    </xf>
    <xf numFmtId="0" fontId="260" fillId="8" borderId="56" xfId="9" applyNumberFormat="1" applyFont="1" applyFill="1" applyBorder="1" applyAlignment="1" applyProtection="1">
      <alignment horizontal="left" vertical="center" wrapText="1" shrinkToFit="1"/>
      <protection hidden="1"/>
    </xf>
    <xf numFmtId="0" fontId="175" fillId="8" borderId="34" xfId="9" applyNumberFormat="1" applyFont="1" applyFill="1" applyBorder="1" applyAlignment="1" applyProtection="1">
      <alignment horizontal="center" vertical="center"/>
      <protection hidden="1"/>
    </xf>
    <xf numFmtId="0" fontId="175" fillId="8" borderId="81" xfId="9" applyNumberFormat="1" applyFont="1" applyFill="1" applyBorder="1" applyAlignment="1" applyProtection="1">
      <alignment horizontal="center" vertical="center"/>
      <protection hidden="1"/>
    </xf>
    <xf numFmtId="0" fontId="171" fillId="8" borderId="253" xfId="9" applyNumberFormat="1" applyFont="1" applyFill="1" applyBorder="1" applyAlignment="1" applyProtection="1">
      <alignment horizontal="center" vertical="center"/>
      <protection hidden="1"/>
    </xf>
    <xf numFmtId="0" fontId="82" fillId="8" borderId="117" xfId="9" applyNumberFormat="1" applyFont="1" applyFill="1" applyBorder="1" applyAlignment="1" applyProtection="1">
      <alignment horizontal="center" vertical="center"/>
      <protection hidden="1"/>
    </xf>
    <xf numFmtId="0" fontId="171" fillId="8" borderId="113" xfId="9" applyNumberFormat="1" applyFont="1" applyFill="1" applyBorder="1" applyAlignment="1" applyProtection="1">
      <alignment horizontal="center" vertical="center"/>
      <protection hidden="1"/>
    </xf>
    <xf numFmtId="0" fontId="171" fillId="8" borderId="117" xfId="9" applyNumberFormat="1" applyFont="1" applyFill="1" applyBorder="1" applyAlignment="1" applyProtection="1">
      <alignment horizontal="center" vertical="center"/>
      <protection hidden="1"/>
    </xf>
    <xf numFmtId="0" fontId="171" fillId="8" borderId="5" xfId="9" applyNumberFormat="1" applyFont="1" applyFill="1" applyBorder="1" applyAlignment="1" applyProtection="1">
      <alignment horizontal="center" vertical="center"/>
      <protection hidden="1"/>
    </xf>
    <xf numFmtId="0" fontId="82" fillId="8" borderId="225" xfId="9" applyNumberFormat="1" applyFont="1" applyFill="1" applyBorder="1" applyAlignment="1" applyProtection="1">
      <alignment horizontal="center" vertical="center"/>
      <protection hidden="1"/>
    </xf>
    <xf numFmtId="181" fontId="162" fillId="8" borderId="205" xfId="9" applyNumberFormat="1" applyFont="1" applyFill="1" applyBorder="1" applyAlignment="1" applyProtection="1">
      <alignment horizontal="center" vertical="center"/>
      <protection hidden="1"/>
    </xf>
    <xf numFmtId="181" fontId="162" fillId="8" borderId="136" xfId="9" applyNumberFormat="1" applyFont="1" applyFill="1" applyBorder="1" applyAlignment="1" applyProtection="1">
      <alignment horizontal="center" vertical="center"/>
      <protection hidden="1"/>
    </xf>
    <xf numFmtId="0" fontId="259" fillId="8" borderId="1" xfId="9" applyNumberFormat="1" applyFont="1" applyFill="1" applyBorder="1" applyAlignment="1" applyProtection="1">
      <alignment horizontal="center" vertical="top" wrapText="1"/>
      <protection hidden="1"/>
    </xf>
    <xf numFmtId="0" fontId="259" fillId="8" borderId="439" xfId="9" applyNumberFormat="1" applyFont="1" applyFill="1" applyBorder="1" applyAlignment="1" applyProtection="1">
      <alignment horizontal="center" vertical="top"/>
      <protection hidden="1"/>
    </xf>
    <xf numFmtId="0" fontId="259" fillId="8" borderId="54" xfId="9" applyNumberFormat="1" applyFont="1" applyFill="1" applyBorder="1" applyAlignment="1" applyProtection="1">
      <alignment horizontal="center" vertical="top"/>
      <protection hidden="1"/>
    </xf>
    <xf numFmtId="0" fontId="259" fillId="8" borderId="78" xfId="9" applyNumberFormat="1" applyFont="1" applyFill="1" applyBorder="1" applyAlignment="1" applyProtection="1">
      <alignment horizontal="center" vertical="top"/>
      <protection hidden="1"/>
    </xf>
    <xf numFmtId="181" fontId="260" fillId="46" borderId="0" xfId="9" applyNumberFormat="1" applyFont="1" applyFill="1" applyBorder="1" applyAlignment="1" applyProtection="1">
      <alignment horizontal="left" vertical="center" shrinkToFit="1"/>
      <protection hidden="1"/>
    </xf>
    <xf numFmtId="0" fontId="260" fillId="8" borderId="53" xfId="9" applyNumberFormat="1" applyFont="1" applyFill="1" applyBorder="1" applyAlignment="1" applyProtection="1">
      <alignment horizontal="right" vertical="center" shrinkToFit="1"/>
      <protection hidden="1"/>
    </xf>
    <xf numFmtId="0" fontId="458" fillId="8" borderId="53" xfId="9" applyNumberFormat="1" applyFont="1" applyFill="1" applyBorder="1" applyAlignment="1" applyProtection="1">
      <alignment horizontal="right" vertical="center" shrinkToFit="1"/>
      <protection hidden="1"/>
    </xf>
    <xf numFmtId="179" fontId="260" fillId="46" borderId="439" xfId="9" applyNumberFormat="1" applyFont="1" applyFill="1" applyBorder="1" applyAlignment="1" applyProtection="1">
      <alignment horizontal="left" vertical="center" shrinkToFit="1"/>
      <protection hidden="1"/>
    </xf>
    <xf numFmtId="0" fontId="260" fillId="8" borderId="1" xfId="9" applyNumberFormat="1" applyFont="1" applyFill="1" applyBorder="1" applyAlignment="1" applyProtection="1">
      <alignment horizontal="right" vertical="center" shrinkToFit="1"/>
      <protection hidden="1"/>
    </xf>
    <xf numFmtId="0" fontId="260" fillId="8" borderId="0" xfId="9" applyNumberFormat="1" applyFont="1" applyFill="1" applyBorder="1" applyAlignment="1" applyProtection="1">
      <alignment horizontal="right" vertical="center" shrinkToFit="1"/>
      <protection hidden="1"/>
    </xf>
    <xf numFmtId="181" fontId="260" fillId="8" borderId="0" xfId="9" applyNumberFormat="1" applyFont="1" applyFill="1" applyBorder="1" applyAlignment="1" applyProtection="1">
      <alignment horizontal="left" vertical="center" shrinkToFit="1"/>
      <protection hidden="1"/>
    </xf>
    <xf numFmtId="181" fontId="260" fillId="8" borderId="439" xfId="9" applyNumberFormat="1" applyFont="1" applyFill="1" applyBorder="1" applyAlignment="1" applyProtection="1">
      <alignment horizontal="left" vertical="center" shrinkToFit="1"/>
      <protection hidden="1"/>
    </xf>
    <xf numFmtId="0" fontId="175" fillId="8" borderId="65" xfId="9" applyNumberFormat="1" applyFont="1" applyFill="1" applyBorder="1" applyAlignment="1" applyProtection="1">
      <alignment horizontal="center" vertical="center" wrapText="1"/>
      <protection hidden="1"/>
    </xf>
    <xf numFmtId="0" fontId="175" fillId="8" borderId="602" xfId="9" applyNumberFormat="1" applyFont="1" applyFill="1" applyBorder="1" applyAlignment="1" applyProtection="1">
      <alignment horizontal="center" vertical="center"/>
      <protection hidden="1"/>
    </xf>
    <xf numFmtId="181" fontId="162" fillId="8" borderId="30" xfId="9" applyNumberFormat="1" applyFont="1" applyFill="1" applyBorder="1" applyAlignment="1" applyProtection="1">
      <alignment horizontal="center" vertical="center"/>
      <protection hidden="1"/>
    </xf>
    <xf numFmtId="181" fontId="162" fillId="8" borderId="26" xfId="9" applyNumberFormat="1" applyFont="1" applyFill="1" applyBorder="1" applyAlignment="1" applyProtection="1">
      <alignment horizontal="center" vertical="center"/>
      <protection hidden="1"/>
    </xf>
    <xf numFmtId="181" fontId="162" fillId="8" borderId="66" xfId="9" applyNumberFormat="1" applyFont="1" applyFill="1" applyBorder="1" applyAlignment="1" applyProtection="1">
      <alignment horizontal="center" vertical="center"/>
      <protection hidden="1"/>
    </xf>
    <xf numFmtId="181" fontId="162" fillId="8" borderId="61" xfId="9" applyNumberFormat="1" applyFont="1" applyFill="1" applyBorder="1" applyAlignment="1" applyProtection="1">
      <alignment horizontal="center" vertical="center"/>
      <protection hidden="1"/>
    </xf>
    <xf numFmtId="0" fontId="436" fillId="8" borderId="605" xfId="9" applyNumberFormat="1" applyFont="1" applyFill="1" applyBorder="1" applyAlignment="1" applyProtection="1">
      <alignment horizontal="center" vertical="center"/>
      <protection locked="0"/>
    </xf>
    <xf numFmtId="0" fontId="436" fillId="8" borderId="599" xfId="9" applyNumberFormat="1" applyFont="1" applyFill="1" applyBorder="1" applyAlignment="1" applyProtection="1">
      <alignment horizontal="center" vertical="center"/>
      <protection locked="0"/>
    </xf>
    <xf numFmtId="0" fontId="175" fillId="8" borderId="65" xfId="9" applyNumberFormat="1" applyFont="1" applyFill="1" applyBorder="1" applyAlignment="1" applyProtection="1">
      <alignment horizontal="center" vertical="center"/>
      <protection hidden="1"/>
    </xf>
    <xf numFmtId="0" fontId="175" fillId="8" borderId="60" xfId="9" applyNumberFormat="1" applyFont="1" applyFill="1" applyBorder="1" applyAlignment="1" applyProtection="1">
      <alignment horizontal="center" vertical="center"/>
      <protection hidden="1"/>
    </xf>
    <xf numFmtId="0" fontId="175" fillId="8" borderId="78" xfId="9" applyNumberFormat="1" applyFont="1" applyFill="1" applyBorder="1" applyAlignment="1" applyProtection="1">
      <alignment horizontal="center" vertical="center"/>
      <protection hidden="1"/>
    </xf>
    <xf numFmtId="181" fontId="162" fillId="8" borderId="65" xfId="9" applyNumberFormat="1" applyFont="1" applyFill="1" applyBorder="1" applyAlignment="1" applyProtection="1">
      <alignment horizontal="center" vertical="center"/>
      <protection hidden="1"/>
    </xf>
    <xf numFmtId="181" fontId="162" fillId="8" borderId="60" xfId="9" applyNumberFormat="1" applyFont="1" applyFill="1" applyBorder="1" applyAlignment="1" applyProtection="1">
      <alignment horizontal="center" vertical="center"/>
      <protection hidden="1"/>
    </xf>
    <xf numFmtId="0" fontId="162" fillId="8" borderId="1" xfId="9" applyNumberFormat="1" applyFont="1" applyFill="1" applyBorder="1" applyAlignment="1" applyProtection="1">
      <alignment horizontal="right" vertical="center" shrinkToFit="1"/>
      <protection hidden="1"/>
    </xf>
    <xf numFmtId="0" fontId="165" fillId="8" borderId="273" xfId="9" applyNumberFormat="1" applyFont="1" applyFill="1" applyBorder="1" applyAlignment="1" applyProtection="1">
      <alignment horizontal="center" vertical="center" wrapText="1"/>
      <protection hidden="1"/>
    </xf>
    <xf numFmtId="0" fontId="165" fillId="8" borderId="606" xfId="9" applyNumberFormat="1" applyFont="1" applyFill="1" applyBorder="1" applyAlignment="1" applyProtection="1">
      <alignment horizontal="center" vertical="center" wrapText="1"/>
      <protection hidden="1"/>
    </xf>
    <xf numFmtId="0" fontId="165" fillId="8" borderId="85" xfId="9" applyNumberFormat="1" applyFont="1" applyFill="1" applyBorder="1" applyAlignment="1" applyProtection="1">
      <alignment horizontal="center" vertical="center" wrapText="1"/>
      <protection hidden="1"/>
    </xf>
    <xf numFmtId="0" fontId="259" fillId="8" borderId="53" xfId="9" applyNumberFormat="1" applyFont="1" applyFill="1" applyBorder="1" applyAlignment="1" applyProtection="1">
      <alignment horizontal="center" vertical="top"/>
      <protection hidden="1"/>
    </xf>
    <xf numFmtId="0" fontId="259" fillId="8" borderId="2" xfId="9" applyNumberFormat="1" applyFont="1" applyFill="1" applyBorder="1" applyAlignment="1" applyProtection="1">
      <alignment horizontal="center" vertical="top"/>
      <protection hidden="1"/>
    </xf>
    <xf numFmtId="0" fontId="259" fillId="8" borderId="60" xfId="9" applyNumberFormat="1" applyFont="1" applyFill="1" applyBorder="1" applyAlignment="1" applyProtection="1">
      <alignment horizontal="center" vertical="top"/>
      <protection hidden="1"/>
    </xf>
    <xf numFmtId="0" fontId="259" fillId="8" borderId="56" xfId="9" applyNumberFormat="1" applyFont="1" applyFill="1" applyBorder="1" applyAlignment="1" applyProtection="1">
      <alignment horizontal="center" vertical="top"/>
      <protection hidden="1"/>
    </xf>
    <xf numFmtId="0" fontId="259" fillId="8" borderId="1" xfId="9" applyNumberFormat="1" applyFont="1" applyFill="1" applyBorder="1" applyAlignment="1" applyProtection="1">
      <alignment horizontal="center" vertical="top"/>
      <protection hidden="1"/>
    </xf>
    <xf numFmtId="0" fontId="259" fillId="8" borderId="0" xfId="9" applyNumberFormat="1" applyFont="1" applyFill="1" applyBorder="1" applyAlignment="1" applyProtection="1">
      <alignment horizontal="center" vertical="top"/>
      <protection hidden="1"/>
    </xf>
    <xf numFmtId="0" fontId="259" fillId="8" borderId="55" xfId="9" applyNumberFormat="1" applyFont="1" applyFill="1" applyBorder="1" applyAlignment="1" applyProtection="1">
      <alignment horizontal="center" vertical="top"/>
      <protection hidden="1"/>
    </xf>
    <xf numFmtId="0" fontId="175" fillId="28" borderId="1" xfId="9" applyNumberFormat="1" applyFont="1" applyFill="1" applyBorder="1" applyAlignment="1" applyProtection="1">
      <alignment horizontal="center" vertical="center" wrapText="1"/>
      <protection locked="0"/>
    </xf>
    <xf numFmtId="0" fontId="175" fillId="28" borderId="0" xfId="9" applyNumberFormat="1" applyFont="1" applyFill="1" applyBorder="1" applyAlignment="1" applyProtection="1">
      <alignment horizontal="center" vertical="center" wrapText="1"/>
      <protection locked="0"/>
    </xf>
    <xf numFmtId="0" fontId="175" fillId="28" borderId="2" xfId="9" applyNumberFormat="1" applyFont="1" applyFill="1" applyBorder="1" applyAlignment="1" applyProtection="1">
      <alignment horizontal="center" vertical="center" wrapText="1"/>
      <protection locked="0"/>
    </xf>
    <xf numFmtId="0" fontId="175" fillId="28" borderId="54" xfId="9" applyNumberFormat="1" applyFont="1" applyFill="1" applyBorder="1" applyAlignment="1" applyProtection="1">
      <alignment horizontal="center" vertical="center" wrapText="1"/>
      <protection locked="0"/>
    </xf>
    <xf numFmtId="0" fontId="175" fillId="28" borderId="55" xfId="9" applyNumberFormat="1" applyFont="1" applyFill="1" applyBorder="1" applyAlignment="1" applyProtection="1">
      <alignment horizontal="center" vertical="center" wrapText="1"/>
      <protection locked="0"/>
    </xf>
    <xf numFmtId="0" fontId="175" fillId="28" borderId="56" xfId="9" applyNumberFormat="1" applyFont="1" applyFill="1" applyBorder="1" applyAlignment="1" applyProtection="1">
      <alignment horizontal="center" vertical="center" wrapText="1"/>
      <protection locked="0"/>
    </xf>
    <xf numFmtId="0" fontId="260" fillId="8" borderId="0" xfId="9" applyNumberFormat="1" applyFont="1" applyFill="1" applyBorder="1" applyAlignment="1" applyProtection="1">
      <alignment horizontal="center" vertical="center" shrinkToFit="1"/>
      <protection hidden="1"/>
    </xf>
    <xf numFmtId="0" fontId="260" fillId="8" borderId="2" xfId="9" applyNumberFormat="1" applyFont="1" applyFill="1" applyBorder="1" applyAlignment="1" applyProtection="1">
      <alignment horizontal="center" vertical="center" shrinkToFit="1"/>
      <protection hidden="1"/>
    </xf>
    <xf numFmtId="0" fontId="437" fillId="8" borderId="67" xfId="9" applyNumberFormat="1" applyFont="1" applyFill="1" applyBorder="1" applyAlignment="1" applyProtection="1">
      <alignment horizontal="right" vertical="center" shrinkToFit="1"/>
      <protection hidden="1"/>
    </xf>
    <xf numFmtId="0" fontId="437" fillId="8" borderId="68" xfId="9" applyNumberFormat="1" applyFont="1" applyFill="1" applyBorder="1" applyAlignment="1" applyProtection="1">
      <alignment horizontal="right" vertical="center" shrinkToFit="1"/>
      <protection hidden="1"/>
    </xf>
    <xf numFmtId="0" fontId="437" fillId="8" borderId="602" xfId="9" applyNumberFormat="1" applyFont="1" applyFill="1" applyBorder="1" applyAlignment="1" applyProtection="1">
      <alignment horizontal="right" vertical="center" shrinkToFit="1"/>
      <protection hidden="1"/>
    </xf>
    <xf numFmtId="0" fontId="437" fillId="8" borderId="54" xfId="9" applyNumberFormat="1" applyFont="1" applyFill="1" applyBorder="1" applyAlignment="1" applyProtection="1">
      <alignment horizontal="right" vertical="center" shrinkToFit="1"/>
      <protection hidden="1"/>
    </xf>
    <xf numFmtId="0" fontId="437" fillId="8" borderId="55" xfId="9" applyNumberFormat="1" applyFont="1" applyFill="1" applyBorder="1" applyAlignment="1" applyProtection="1">
      <alignment horizontal="right" vertical="center" shrinkToFit="1"/>
      <protection hidden="1"/>
    </xf>
    <xf numFmtId="0" fontId="437" fillId="8" borderId="78" xfId="9" applyNumberFormat="1" applyFont="1" applyFill="1" applyBorder="1" applyAlignment="1" applyProtection="1">
      <alignment horizontal="right" vertical="center" shrinkToFit="1"/>
      <protection hidden="1"/>
    </xf>
    <xf numFmtId="176" fontId="260" fillId="8" borderId="65" xfId="9" applyNumberFormat="1" applyFont="1" applyFill="1" applyBorder="1" applyAlignment="1" applyProtection="1">
      <alignment horizontal="right" vertical="center" shrinkToFit="1"/>
      <protection hidden="1"/>
    </xf>
    <xf numFmtId="176" fontId="260" fillId="8" borderId="60" xfId="9" applyNumberFormat="1" applyFont="1" applyFill="1" applyBorder="1" applyAlignment="1" applyProtection="1">
      <alignment horizontal="right" vertical="center" shrinkToFit="1"/>
      <protection hidden="1"/>
    </xf>
    <xf numFmtId="49" fontId="259" fillId="8" borderId="69" xfId="9" applyNumberFormat="1" applyFont="1" applyFill="1" applyBorder="1" applyAlignment="1" applyProtection="1">
      <alignment horizontal="left" vertical="center"/>
      <protection hidden="1"/>
    </xf>
    <xf numFmtId="49" fontId="437" fillId="8" borderId="56" xfId="9" applyNumberFormat="1" applyFont="1" applyFill="1" applyBorder="1" applyAlignment="1" applyProtection="1">
      <alignment horizontal="left" vertical="center"/>
      <protection hidden="1"/>
    </xf>
    <xf numFmtId="0" fontId="260" fillId="28" borderId="67" xfId="9" applyNumberFormat="1" applyFont="1" applyFill="1" applyBorder="1" applyAlignment="1" applyProtection="1">
      <alignment horizontal="right" vertical="center" shrinkToFit="1"/>
      <protection locked="0"/>
    </xf>
    <xf numFmtId="0" fontId="260" fillId="28" borderId="54" xfId="9" applyNumberFormat="1" applyFont="1" applyFill="1" applyBorder="1" applyAlignment="1" applyProtection="1">
      <alignment horizontal="right" vertical="center" shrinkToFit="1"/>
      <protection locked="0"/>
    </xf>
    <xf numFmtId="0" fontId="259" fillId="8" borderId="30" xfId="9" applyNumberFormat="1" applyFont="1" applyFill="1" applyBorder="1" applyAlignment="1" applyProtection="1">
      <alignment horizontal="center" vertical="center" wrapText="1"/>
      <protection hidden="1"/>
    </xf>
    <xf numFmtId="0" fontId="165" fillId="8" borderId="26" xfId="9" applyNumberFormat="1" applyFont="1" applyFill="1" applyBorder="1" applyAlignment="1" applyProtection="1">
      <alignment horizontal="center" vertical="center"/>
      <protection hidden="1"/>
    </xf>
    <xf numFmtId="0" fontId="260" fillId="28" borderId="65" xfId="9" applyNumberFormat="1" applyFont="1" applyFill="1" applyBorder="1" applyAlignment="1" applyProtection="1">
      <alignment horizontal="right" vertical="center" shrinkToFit="1"/>
      <protection locked="0"/>
    </xf>
    <xf numFmtId="0" fontId="260" fillId="28" borderId="60" xfId="9" applyNumberFormat="1" applyFont="1" applyFill="1" applyBorder="1" applyAlignment="1" applyProtection="1">
      <alignment horizontal="right" vertical="center" shrinkToFit="1"/>
      <protection locked="0"/>
    </xf>
    <xf numFmtId="0" fontId="259" fillId="8" borderId="601" xfId="9" applyNumberFormat="1" applyFont="1" applyFill="1" applyBorder="1" applyAlignment="1" applyProtection="1">
      <alignment horizontal="center" vertical="center" wrapText="1"/>
      <protection hidden="1"/>
    </xf>
    <xf numFmtId="0" fontId="165" fillId="8" borderId="85" xfId="9" applyNumberFormat="1" applyFont="1" applyFill="1" applyBorder="1" applyAlignment="1" applyProtection="1">
      <alignment horizontal="center" vertical="center"/>
      <protection hidden="1"/>
    </xf>
    <xf numFmtId="0" fontId="449" fillId="8" borderId="241" xfId="9" applyNumberFormat="1" applyFont="1" applyFill="1" applyBorder="1" applyAlignment="1" applyProtection="1">
      <alignment horizontal="center" vertical="center"/>
      <protection hidden="1"/>
    </xf>
    <xf numFmtId="0" fontId="449" fillId="8" borderId="53" xfId="9" applyNumberFormat="1" applyFont="1" applyFill="1" applyBorder="1" applyAlignment="1" applyProtection="1">
      <alignment horizontal="center" vertical="center"/>
      <protection hidden="1"/>
    </xf>
    <xf numFmtId="0" fontId="171" fillId="8" borderId="111" xfId="9" applyNumberFormat="1" applyFont="1" applyFill="1" applyBorder="1" applyAlignment="1" applyProtection="1">
      <alignment horizontal="center" vertical="center" shrinkToFit="1"/>
      <protection hidden="1"/>
    </xf>
    <xf numFmtId="0" fontId="171" fillId="8" borderId="114" xfId="9" applyNumberFormat="1" applyFont="1" applyFill="1" applyBorder="1" applyAlignment="1" applyProtection="1">
      <alignment horizontal="center" vertical="center" shrinkToFit="1"/>
      <protection hidden="1"/>
    </xf>
    <xf numFmtId="0" fontId="437" fillId="8" borderId="114" xfId="9" applyNumberFormat="1" applyFont="1" applyFill="1" applyBorder="1" applyAlignment="1" applyProtection="1">
      <alignment horizontal="left" vertical="center" shrinkToFit="1"/>
      <protection locked="0"/>
    </xf>
    <xf numFmtId="0" fontId="437" fillId="8" borderId="148" xfId="9" applyNumberFormat="1" applyFont="1" applyFill="1" applyBorder="1" applyAlignment="1" applyProtection="1">
      <alignment horizontal="left" vertical="center" shrinkToFit="1"/>
      <protection locked="0"/>
    </xf>
    <xf numFmtId="0" fontId="3" fillId="8" borderId="31" xfId="9" applyNumberFormat="1" applyFont="1" applyFill="1" applyBorder="1" applyAlignment="1" applyProtection="1">
      <alignment horizontal="left" vertical="center" shrinkToFit="1"/>
      <protection hidden="1"/>
    </xf>
    <xf numFmtId="0" fontId="3" fillId="8" borderId="94" xfId="9" applyNumberFormat="1" applyFont="1" applyFill="1" applyBorder="1" applyAlignment="1" applyProtection="1">
      <alignment horizontal="left" vertical="center" shrinkToFit="1"/>
      <protection hidden="1"/>
    </xf>
    <xf numFmtId="0" fontId="3" fillId="8" borderId="99" xfId="9" applyNumberFormat="1" applyFont="1" applyFill="1" applyBorder="1" applyAlignment="1" applyProtection="1">
      <alignment horizontal="left" vertical="center" shrinkToFit="1"/>
      <protection hidden="1"/>
    </xf>
    <xf numFmtId="0" fontId="260" fillId="8" borderId="62" xfId="9" applyNumberFormat="1" applyFont="1" applyFill="1" applyBorder="1" applyAlignment="1" applyProtection="1">
      <alignment horizontal="center"/>
      <protection hidden="1"/>
    </xf>
    <xf numFmtId="0" fontId="260" fillId="8" borderId="63" xfId="9" applyNumberFormat="1" applyFont="1" applyFill="1" applyBorder="1" applyAlignment="1" applyProtection="1">
      <alignment horizontal="center"/>
      <protection hidden="1"/>
    </xf>
    <xf numFmtId="0" fontId="260" fillId="8" borderId="63" xfId="9" applyNumberFormat="1" applyFont="1" applyFill="1" applyBorder="1" applyAlignment="1" applyProtection="1">
      <alignment horizontal="center" vertical="center"/>
      <protection hidden="1"/>
    </xf>
    <xf numFmtId="0" fontId="260" fillId="8" borderId="81" xfId="9" applyNumberFormat="1" applyFont="1" applyFill="1" applyBorder="1" applyAlignment="1" applyProtection="1">
      <alignment horizontal="center" vertical="center"/>
      <protection hidden="1"/>
    </xf>
    <xf numFmtId="0" fontId="83" fillId="0" borderId="63" xfId="9" applyBorder="1" applyProtection="1">
      <alignment vertical="center"/>
      <protection hidden="1"/>
    </xf>
    <xf numFmtId="0" fontId="449" fillId="8" borderId="62" xfId="9" applyNumberFormat="1" applyFont="1" applyFill="1" applyBorder="1" applyAlignment="1" applyProtection="1">
      <alignment horizontal="center" vertical="center"/>
      <protection hidden="1"/>
    </xf>
    <xf numFmtId="0" fontId="449" fillId="8" borderId="63" xfId="9" applyNumberFormat="1" applyFont="1" applyFill="1" applyBorder="1" applyAlignment="1" applyProtection="1">
      <alignment horizontal="center" vertical="center"/>
      <protection hidden="1"/>
    </xf>
    <xf numFmtId="176" fontId="3" fillId="8" borderId="34" xfId="9" applyNumberFormat="1" applyFont="1" applyFill="1" applyBorder="1" applyAlignment="1" applyProtection="1">
      <alignment horizontal="left" vertical="center" shrinkToFit="1"/>
      <protection hidden="1"/>
    </xf>
    <xf numFmtId="176" fontId="3" fillId="8" borderId="63" xfId="9" applyNumberFormat="1" applyFont="1" applyFill="1" applyBorder="1" applyAlignment="1" applyProtection="1">
      <alignment horizontal="left" vertical="center" shrinkToFit="1"/>
      <protection hidden="1"/>
    </xf>
    <xf numFmtId="176" fontId="3" fillId="8" borderId="84" xfId="9" applyNumberFormat="1" applyFont="1" applyFill="1" applyBorder="1" applyAlignment="1" applyProtection="1">
      <alignment horizontal="left" vertical="center" shrinkToFit="1"/>
      <protection hidden="1"/>
    </xf>
    <xf numFmtId="201" fontId="260" fillId="8" borderId="57" xfId="9" applyNumberFormat="1" applyFont="1" applyFill="1" applyBorder="1" applyAlignment="1" applyProtection="1">
      <alignment horizontal="center" shrinkToFit="1"/>
      <protection hidden="1"/>
    </xf>
    <xf numFmtId="201" fontId="260" fillId="8" borderId="122" xfId="9" applyNumberFormat="1" applyFont="1" applyFill="1" applyBorder="1" applyAlignment="1" applyProtection="1">
      <alignment horizontal="center" shrinkToFit="1"/>
      <protection hidden="1"/>
    </xf>
    <xf numFmtId="201" fontId="260" fillId="8" borderId="41" xfId="9" applyNumberFormat="1" applyFont="1" applyFill="1" applyBorder="1" applyAlignment="1" applyProtection="1">
      <alignment horizontal="right" shrinkToFit="1"/>
      <protection hidden="1"/>
    </xf>
    <xf numFmtId="201" fontId="260" fillId="8" borderId="58" xfId="9" applyNumberFormat="1" applyFont="1" applyFill="1" applyBorder="1" applyAlignment="1" applyProtection="1">
      <alignment horizontal="right" shrinkToFit="1"/>
      <protection hidden="1"/>
    </xf>
    <xf numFmtId="201" fontId="260" fillId="8" borderId="122" xfId="9" applyNumberFormat="1" applyFont="1" applyFill="1" applyBorder="1" applyAlignment="1" applyProtection="1">
      <alignment horizontal="right" shrinkToFit="1"/>
      <protection hidden="1"/>
    </xf>
    <xf numFmtId="201" fontId="260" fillId="8" borderId="41" xfId="9" applyNumberFormat="1" applyFont="1" applyFill="1" applyBorder="1" applyAlignment="1" applyProtection="1">
      <alignment horizontal="center" shrinkToFit="1"/>
      <protection hidden="1"/>
    </xf>
    <xf numFmtId="201" fontId="260" fillId="8" borderId="58" xfId="9" applyNumberFormat="1" applyFont="1" applyFill="1" applyBorder="1" applyAlignment="1" applyProtection="1">
      <alignment horizontal="center" shrinkToFit="1"/>
      <protection hidden="1"/>
    </xf>
    <xf numFmtId="176" fontId="449" fillId="8" borderId="62" xfId="9" applyNumberFormat="1" applyFont="1" applyFill="1" applyBorder="1" applyAlignment="1" applyProtection="1">
      <alignment horizontal="center" vertical="center"/>
      <protection hidden="1"/>
    </xf>
    <xf numFmtId="176" fontId="449" fillId="8" borderId="63" xfId="9" applyNumberFormat="1" applyFont="1" applyFill="1" applyBorder="1" applyAlignment="1" applyProtection="1">
      <alignment horizontal="center" vertical="center"/>
      <protection hidden="1"/>
    </xf>
    <xf numFmtId="176" fontId="260" fillId="8" borderId="34" xfId="9" applyNumberFormat="1" applyFont="1" applyFill="1" applyBorder="1" applyAlignment="1" applyProtection="1">
      <alignment horizontal="center" shrinkToFit="1"/>
      <protection hidden="1"/>
    </xf>
    <xf numFmtId="176" fontId="260" fillId="8" borderId="81" xfId="9" applyNumberFormat="1" applyFont="1" applyFill="1" applyBorder="1" applyAlignment="1" applyProtection="1">
      <alignment horizontal="center" shrinkToFit="1"/>
      <protection hidden="1"/>
    </xf>
    <xf numFmtId="0" fontId="121" fillId="28" borderId="34" xfId="9" applyNumberFormat="1" applyFont="1" applyFill="1" applyBorder="1" applyAlignment="1" applyProtection="1">
      <alignment horizontal="center" shrinkToFit="1"/>
      <protection locked="0"/>
    </xf>
    <xf numFmtId="0" fontId="121" fillId="28" borderId="84" xfId="9" applyNumberFormat="1" applyFont="1" applyFill="1" applyBorder="1" applyAlignment="1" applyProtection="1">
      <alignment horizontal="center" shrinkToFit="1"/>
      <protection locked="0"/>
    </xf>
    <xf numFmtId="0" fontId="121" fillId="28" borderId="65" xfId="9" applyNumberFormat="1" applyFont="1" applyFill="1" applyBorder="1" applyAlignment="1" applyProtection="1">
      <alignment horizontal="center" shrinkToFit="1"/>
      <protection locked="0"/>
    </xf>
    <xf numFmtId="0" fontId="121" fillId="28" borderId="86" xfId="9" applyNumberFormat="1" applyFont="1" applyFill="1" applyBorder="1" applyAlignment="1" applyProtection="1">
      <alignment horizontal="center" shrinkToFit="1"/>
      <protection locked="0"/>
    </xf>
    <xf numFmtId="0" fontId="160" fillId="8" borderId="152" xfId="9" applyNumberFormat="1" applyFont="1" applyFill="1" applyBorder="1" applyAlignment="1" applyProtection="1">
      <alignment horizontal="center"/>
      <protection hidden="1"/>
    </xf>
    <xf numFmtId="0" fontId="160" fillId="8" borderId="94" xfId="9" applyNumberFormat="1" applyFont="1" applyFill="1" applyBorder="1" applyAlignment="1" applyProtection="1">
      <alignment horizontal="center"/>
      <protection hidden="1"/>
    </xf>
    <xf numFmtId="0" fontId="439" fillId="8" borderId="31" xfId="9" applyNumberFormat="1" applyFont="1" applyFill="1" applyBorder="1" applyAlignment="1" applyProtection="1">
      <alignment horizontal="center"/>
      <protection hidden="1"/>
    </xf>
    <xf numFmtId="0" fontId="439" fillId="8" borderId="252" xfId="9" applyNumberFormat="1" applyFont="1" applyFill="1" applyBorder="1" applyAlignment="1" applyProtection="1">
      <alignment horizontal="center"/>
      <protection hidden="1"/>
    </xf>
    <xf numFmtId="0" fontId="121" fillId="28" borderId="116" xfId="9" applyNumberFormat="1" applyFont="1" applyFill="1" applyBorder="1" applyAlignment="1" applyProtection="1">
      <alignment horizontal="right" shrinkToFit="1"/>
      <protection locked="0"/>
    </xf>
    <xf numFmtId="0" fontId="121" fillId="28" borderId="34" xfId="9" applyNumberFormat="1" applyFont="1" applyFill="1" applyBorder="1" applyAlignment="1" applyProtection="1">
      <alignment horizontal="center" vertical="center" shrinkToFit="1"/>
      <protection locked="0"/>
    </xf>
    <xf numFmtId="0" fontId="121" fillId="28" borderId="84" xfId="9" applyNumberFormat="1" applyFont="1" applyFill="1" applyBorder="1" applyAlignment="1" applyProtection="1">
      <alignment horizontal="center" vertical="center" shrinkToFit="1"/>
      <protection locked="0"/>
    </xf>
    <xf numFmtId="0" fontId="160" fillId="8" borderId="62" xfId="9" applyNumberFormat="1" applyFont="1" applyFill="1" applyBorder="1" applyAlignment="1" applyProtection="1">
      <alignment horizontal="center"/>
      <protection hidden="1"/>
    </xf>
    <xf numFmtId="0" fontId="439" fillId="8" borderId="81" xfId="9" applyNumberFormat="1" applyFont="1" applyFill="1" applyBorder="1" applyAlignment="1" applyProtection="1">
      <alignment horizontal="center"/>
      <protection hidden="1"/>
    </xf>
    <xf numFmtId="0" fontId="121" fillId="8" borderId="63" xfId="9" applyNumberFormat="1" applyFont="1" applyFill="1" applyBorder="1" applyAlignment="1" applyProtection="1">
      <alignment horizontal="right" shrinkToFit="1"/>
      <protection hidden="1"/>
    </xf>
    <xf numFmtId="0" fontId="449" fillId="8" borderId="62" xfId="9" applyNumberFormat="1" applyFont="1" applyFill="1" applyBorder="1" applyAlignment="1" applyProtection="1">
      <alignment horizontal="center" vertical="center" shrinkToFit="1"/>
      <protection hidden="1"/>
    </xf>
    <xf numFmtId="0" fontId="449" fillId="8" borderId="63" xfId="9" applyNumberFormat="1" applyFont="1" applyFill="1" applyBorder="1" applyAlignment="1" applyProtection="1">
      <alignment horizontal="center" vertical="center" shrinkToFit="1"/>
      <protection hidden="1"/>
    </xf>
    <xf numFmtId="0" fontId="449" fillId="8" borderId="81" xfId="9" applyNumberFormat="1" applyFont="1" applyFill="1" applyBorder="1" applyAlignment="1" applyProtection="1">
      <alignment horizontal="center" vertical="center" shrinkToFit="1"/>
      <protection hidden="1"/>
    </xf>
    <xf numFmtId="0" fontId="3" fillId="8" borderId="62" xfId="9" applyNumberFormat="1" applyFont="1" applyFill="1" applyBorder="1" applyAlignment="1" applyProtection="1">
      <alignment horizontal="center"/>
      <protection hidden="1"/>
    </xf>
    <xf numFmtId="0" fontId="3" fillId="8" borderId="63" xfId="9" applyNumberFormat="1" applyFont="1" applyFill="1" applyBorder="1" applyAlignment="1" applyProtection="1">
      <alignment horizontal="center"/>
      <protection hidden="1"/>
    </xf>
    <xf numFmtId="0" fontId="121" fillId="28" borderId="63" xfId="9" applyNumberFormat="1" applyFont="1" applyFill="1" applyBorder="1" applyAlignment="1" applyProtection="1">
      <alignment horizontal="right" shrinkToFit="1"/>
      <protection locked="0"/>
    </xf>
    <xf numFmtId="0" fontId="449" fillId="8" borderId="67" xfId="9" applyNumberFormat="1" applyFont="1" applyFill="1" applyBorder="1" applyAlignment="1" applyProtection="1">
      <alignment horizontal="center" vertical="center" shrinkToFit="1"/>
      <protection hidden="1"/>
    </xf>
    <xf numFmtId="0" fontId="449" fillId="8" borderId="68" xfId="9" applyNumberFormat="1" applyFont="1" applyFill="1" applyBorder="1" applyAlignment="1" applyProtection="1">
      <alignment horizontal="center" vertical="center" shrinkToFit="1"/>
      <protection hidden="1"/>
    </xf>
    <xf numFmtId="0" fontId="449" fillId="8" borderId="602" xfId="9" applyNumberFormat="1" applyFont="1" applyFill="1" applyBorder="1" applyAlignment="1" applyProtection="1">
      <alignment horizontal="center" vertical="center" shrinkToFit="1"/>
      <protection hidden="1"/>
    </xf>
    <xf numFmtId="176" fontId="260" fillId="8" borderId="65" xfId="9" applyNumberFormat="1" applyFont="1" applyFill="1" applyBorder="1" applyAlignment="1" applyProtection="1">
      <alignment horizontal="center" shrinkToFit="1"/>
      <protection hidden="1"/>
    </xf>
    <xf numFmtId="176" fontId="260" fillId="8" borderId="602" xfId="9" applyNumberFormat="1" applyFont="1" applyFill="1" applyBorder="1" applyAlignment="1" applyProtection="1">
      <alignment horizontal="center" shrinkToFit="1"/>
      <protection hidden="1"/>
    </xf>
    <xf numFmtId="0" fontId="121" fillId="8" borderId="55" xfId="9" applyNumberFormat="1" applyFont="1" applyFill="1" applyBorder="1" applyAlignment="1" applyProtection="1">
      <alignment horizontal="right" shrinkToFit="1"/>
      <protection hidden="1"/>
    </xf>
    <xf numFmtId="0" fontId="449" fillId="8" borderId="57" xfId="9" applyNumberFormat="1" applyFont="1" applyFill="1" applyBorder="1" applyAlignment="1" applyProtection="1">
      <alignment horizontal="center" vertical="center" shrinkToFit="1"/>
      <protection hidden="1"/>
    </xf>
    <xf numFmtId="0" fontId="449" fillId="8" borderId="58" xfId="9" applyNumberFormat="1" applyFont="1" applyFill="1" applyBorder="1" applyAlignment="1" applyProtection="1">
      <alignment horizontal="center" vertical="center" shrinkToFit="1"/>
      <protection hidden="1"/>
    </xf>
    <xf numFmtId="0" fontId="449" fillId="8" borderId="122" xfId="9" applyNumberFormat="1" applyFont="1" applyFill="1" applyBorder="1" applyAlignment="1" applyProtection="1">
      <alignment horizontal="center" vertical="center" shrinkToFit="1"/>
      <protection hidden="1"/>
    </xf>
    <xf numFmtId="176" fontId="260" fillId="8" borderId="41" xfId="9" applyNumberFormat="1" applyFont="1" applyFill="1" applyBorder="1" applyAlignment="1" applyProtection="1">
      <alignment horizontal="center" shrinkToFit="1"/>
      <protection hidden="1"/>
    </xf>
    <xf numFmtId="176" fontId="260" fillId="8" borderId="122" xfId="9" applyNumberFormat="1" applyFont="1" applyFill="1" applyBorder="1" applyAlignment="1" applyProtection="1">
      <alignment horizontal="center" shrinkToFit="1"/>
      <protection hidden="1"/>
    </xf>
    <xf numFmtId="0" fontId="437" fillId="8" borderId="41" xfId="9" applyNumberFormat="1" applyFont="1" applyFill="1" applyBorder="1" applyAlignment="1" applyProtection="1">
      <alignment horizontal="center" vertical="center" shrinkToFit="1"/>
      <protection hidden="1"/>
    </xf>
    <xf numFmtId="0" fontId="437" fillId="8" borderId="123" xfId="9" applyNumberFormat="1" applyFont="1" applyFill="1" applyBorder="1" applyAlignment="1" applyProtection="1">
      <alignment horizontal="center" vertical="center" shrinkToFit="1"/>
      <protection hidden="1"/>
    </xf>
    <xf numFmtId="0" fontId="121" fillId="8" borderId="65" xfId="9" applyNumberFormat="1" applyFont="1" applyFill="1" applyBorder="1" applyAlignment="1" applyProtection="1">
      <alignment horizontal="right"/>
      <protection hidden="1"/>
    </xf>
    <xf numFmtId="0" fontId="121" fillId="8" borderId="68" xfId="9" applyNumberFormat="1" applyFont="1" applyFill="1" applyBorder="1" applyAlignment="1" applyProtection="1">
      <alignment horizontal="right"/>
      <protection hidden="1"/>
    </xf>
    <xf numFmtId="0" fontId="171" fillId="8" borderId="118" xfId="9" applyNumberFormat="1" applyFont="1" applyFill="1" applyBorder="1" applyAlignment="1" applyProtection="1">
      <alignment horizontal="center" vertical="center" shrinkToFit="1"/>
      <protection hidden="1"/>
    </xf>
    <xf numFmtId="0" fontId="171" fillId="8" borderId="116" xfId="9" applyNumberFormat="1" applyFont="1" applyFill="1" applyBorder="1" applyAlignment="1" applyProtection="1">
      <alignment horizontal="center" vertical="center" shrinkToFit="1"/>
      <protection hidden="1"/>
    </xf>
    <xf numFmtId="0" fontId="437" fillId="8" borderId="116" xfId="9" applyNumberFormat="1" applyFont="1" applyFill="1" applyBorder="1" applyAlignment="1" applyProtection="1">
      <alignment horizontal="left" vertical="center" shrinkToFit="1"/>
      <protection locked="0"/>
    </xf>
    <xf numFmtId="0" fontId="437" fillId="8" borderId="226" xfId="9" applyNumberFormat="1" applyFont="1" applyFill="1" applyBorder="1" applyAlignment="1" applyProtection="1">
      <alignment horizontal="left" vertical="center" shrinkToFit="1"/>
      <protection locked="0"/>
    </xf>
    <xf numFmtId="0" fontId="3" fillId="8" borderId="31" xfId="9" applyNumberFormat="1" applyFont="1" applyFill="1" applyBorder="1" applyAlignment="1" applyProtection="1">
      <alignment horizontal="left" vertical="center" shrinkToFit="1"/>
      <protection locked="0"/>
    </xf>
    <xf numFmtId="0" fontId="3" fillId="8" borderId="94" xfId="9" applyNumberFormat="1" applyFont="1" applyFill="1" applyBorder="1" applyAlignment="1" applyProtection="1">
      <alignment horizontal="left" vertical="center" shrinkToFit="1"/>
      <protection locked="0"/>
    </xf>
    <xf numFmtId="0" fontId="3" fillId="8" borderId="99" xfId="9" applyNumberFormat="1" applyFont="1" applyFill="1" applyBorder="1" applyAlignment="1" applyProtection="1">
      <alignment horizontal="left" vertical="center" shrinkToFit="1"/>
      <protection locked="0"/>
    </xf>
    <xf numFmtId="0" fontId="439" fillId="8" borderId="65" xfId="9" applyNumberFormat="1" applyFont="1" applyFill="1" applyBorder="1" applyAlignment="1" applyProtection="1">
      <alignment horizontal="center"/>
      <protection hidden="1"/>
    </xf>
    <xf numFmtId="0" fontId="439" fillId="8" borderId="602" xfId="9" applyNumberFormat="1" applyFont="1" applyFill="1" applyBorder="1" applyAlignment="1" applyProtection="1">
      <alignment horizontal="center"/>
      <protection hidden="1"/>
    </xf>
    <xf numFmtId="176" fontId="260" fillId="8" borderId="30" xfId="9" applyNumberFormat="1" applyFont="1" applyFill="1" applyBorder="1" applyAlignment="1" applyProtection="1">
      <alignment horizontal="center" shrinkToFit="1"/>
      <protection locked="0"/>
    </xf>
    <xf numFmtId="176" fontId="260" fillId="8" borderId="26" xfId="9" applyNumberFormat="1" applyFont="1" applyFill="1" applyBorder="1" applyAlignment="1" applyProtection="1">
      <alignment horizontal="center" shrinkToFit="1"/>
      <protection locked="0"/>
    </xf>
    <xf numFmtId="0" fontId="435" fillId="8" borderId="116" xfId="9" applyNumberFormat="1" applyFont="1" applyFill="1" applyBorder="1" applyAlignment="1" applyProtection="1">
      <alignment horizontal="center" vertical="center" shrinkToFit="1"/>
      <protection hidden="1"/>
    </xf>
    <xf numFmtId="0" fontId="435" fillId="8" borderId="0" xfId="9" applyNumberFormat="1" applyFont="1" applyFill="1" applyBorder="1" applyAlignment="1" applyProtection="1">
      <alignment horizontal="center" vertical="center" shrinkToFit="1"/>
      <protection hidden="1"/>
    </xf>
    <xf numFmtId="0" fontId="435" fillId="8" borderId="55" xfId="9" applyNumberFormat="1" applyFont="1" applyFill="1" applyBorder="1" applyAlignment="1" applyProtection="1">
      <alignment horizontal="center" vertical="center" shrinkToFit="1"/>
      <protection hidden="1"/>
    </xf>
    <xf numFmtId="176" fontId="121" fillId="8" borderId="34" xfId="9" applyNumberFormat="1" applyFont="1" applyFill="1" applyBorder="1" applyAlignment="1" applyProtection="1">
      <alignment horizontal="center"/>
      <protection locked="0"/>
    </xf>
    <xf numFmtId="176" fontId="121" fillId="8" borderId="63" xfId="9" applyNumberFormat="1" applyFont="1" applyFill="1" applyBorder="1" applyAlignment="1" applyProtection="1">
      <alignment horizontal="center"/>
      <protection locked="0"/>
    </xf>
    <xf numFmtId="176" fontId="121" fillId="8" borderId="84" xfId="9" applyNumberFormat="1" applyFont="1" applyFill="1" applyBorder="1" applyAlignment="1" applyProtection="1">
      <alignment horizontal="center"/>
      <protection locked="0"/>
    </xf>
    <xf numFmtId="181" fontId="121" fillId="28" borderId="65" xfId="9" applyNumberFormat="1" applyFont="1" applyFill="1" applyBorder="1" applyAlignment="1" applyProtection="1">
      <alignment horizontal="right" shrinkToFit="1"/>
      <protection locked="0"/>
    </xf>
    <xf numFmtId="181" fontId="121" fillId="28" borderId="60" xfId="9" applyNumberFormat="1" applyFont="1" applyFill="1" applyBorder="1" applyAlignment="1" applyProtection="1">
      <alignment horizontal="right" shrinkToFit="1"/>
      <protection locked="0"/>
    </xf>
    <xf numFmtId="200" fontId="3" fillId="28" borderId="601" xfId="9" applyNumberFormat="1" applyFont="1" applyFill="1" applyBorder="1" applyAlignment="1" applyProtection="1">
      <alignment horizontal="center" shrinkToFit="1"/>
      <protection locked="0"/>
    </xf>
    <xf numFmtId="200" fontId="3" fillId="28" borderId="85" xfId="9" applyNumberFormat="1" applyFont="1" applyFill="1" applyBorder="1" applyAlignment="1" applyProtection="1">
      <alignment horizontal="center" shrinkToFit="1"/>
      <protection locked="0"/>
    </xf>
    <xf numFmtId="0" fontId="436" fillId="8" borderId="178" xfId="9" applyNumberFormat="1" applyFont="1" applyFill="1" applyBorder="1" applyAlignment="1" applyProtection="1">
      <alignment horizontal="center" vertical="center"/>
      <protection locked="0"/>
    </xf>
    <xf numFmtId="0" fontId="436" fillId="8" borderId="80" xfId="9" applyNumberFormat="1" applyFont="1" applyFill="1" applyBorder="1" applyAlignment="1" applyProtection="1">
      <alignment horizontal="center" vertical="center"/>
      <protection locked="0"/>
    </xf>
    <xf numFmtId="0" fontId="260" fillId="8" borderId="0" xfId="9" applyNumberFormat="1" applyFont="1" applyFill="1" applyBorder="1" applyAlignment="1" applyProtection="1">
      <alignment horizontal="center" vertical="center" wrapText="1"/>
      <protection hidden="1"/>
    </xf>
    <xf numFmtId="0" fontId="260" fillId="8" borderId="439" xfId="9" applyNumberFormat="1" applyFont="1" applyFill="1" applyBorder="1" applyAlignment="1" applyProtection="1">
      <alignment horizontal="center" vertical="center" wrapText="1"/>
      <protection hidden="1"/>
    </xf>
    <xf numFmtId="0" fontId="260" fillId="8" borderId="54" xfId="9" applyNumberFormat="1" applyFont="1" applyFill="1" applyBorder="1" applyAlignment="1" applyProtection="1">
      <alignment horizontal="center" vertical="center" wrapText="1"/>
      <protection hidden="1"/>
    </xf>
    <xf numFmtId="0" fontId="260" fillId="8" borderId="55" xfId="9" applyNumberFormat="1" applyFont="1" applyFill="1" applyBorder="1" applyAlignment="1" applyProtection="1">
      <alignment horizontal="center" vertical="center" wrapText="1"/>
      <protection hidden="1"/>
    </xf>
    <xf numFmtId="0" fontId="260" fillId="8" borderId="78" xfId="9" applyNumberFormat="1" applyFont="1" applyFill="1" applyBorder="1" applyAlignment="1" applyProtection="1">
      <alignment horizontal="center" vertical="center" wrapText="1"/>
      <protection hidden="1"/>
    </xf>
    <xf numFmtId="0" fontId="260" fillId="8" borderId="60" xfId="9" applyNumberFormat="1" applyFont="1" applyFill="1" applyBorder="1" applyAlignment="1" applyProtection="1">
      <alignment horizontal="center" vertical="center" wrapText="1"/>
      <protection hidden="1"/>
    </xf>
    <xf numFmtId="49" fontId="449" fillId="8" borderId="67" xfId="9" applyNumberFormat="1" applyFont="1" applyFill="1" applyBorder="1" applyAlignment="1" applyProtection="1">
      <alignment horizontal="right" vertical="center" shrinkToFit="1"/>
      <protection locked="0"/>
    </xf>
    <xf numFmtId="49" fontId="449" fillId="8" borderId="68" xfId="9" applyNumberFormat="1" applyFont="1" applyFill="1" applyBorder="1" applyAlignment="1" applyProtection="1">
      <alignment horizontal="right" vertical="center" shrinkToFit="1"/>
      <protection locked="0"/>
    </xf>
    <xf numFmtId="49" fontId="449" fillId="8" borderId="54" xfId="9" applyNumberFormat="1" applyFont="1" applyFill="1" applyBorder="1" applyAlignment="1" applyProtection="1">
      <alignment horizontal="right" vertical="center" shrinkToFit="1"/>
      <protection locked="0"/>
    </xf>
    <xf numFmtId="49" fontId="449" fillId="8" borderId="55" xfId="9" applyNumberFormat="1" applyFont="1" applyFill="1" applyBorder="1" applyAlignment="1" applyProtection="1">
      <alignment horizontal="right" vertical="center" shrinkToFit="1"/>
      <protection locked="0"/>
    </xf>
    <xf numFmtId="176" fontId="121" fillId="8" borderId="30" xfId="9" applyNumberFormat="1" applyFont="1" applyFill="1" applyBorder="1" applyAlignment="1" applyProtection="1">
      <alignment horizontal="center" shrinkToFit="1"/>
      <protection locked="0"/>
    </xf>
    <xf numFmtId="176" fontId="450" fillId="8" borderId="26" xfId="9" applyNumberFormat="1" applyFont="1" applyFill="1" applyBorder="1" applyAlignment="1" applyProtection="1">
      <alignment horizontal="center" shrinkToFit="1"/>
      <protection locked="0"/>
    </xf>
    <xf numFmtId="0" fontId="259" fillId="8" borderId="65" xfId="9" applyNumberFormat="1" applyFont="1" applyFill="1" applyBorder="1" applyAlignment="1" applyProtection="1">
      <alignment horizontal="center"/>
      <protection hidden="1"/>
    </xf>
    <xf numFmtId="0" fontId="259" fillId="8" borderId="69" xfId="9" applyNumberFormat="1" applyFont="1" applyFill="1" applyBorder="1" applyAlignment="1" applyProtection="1">
      <alignment horizontal="center"/>
      <protection hidden="1"/>
    </xf>
    <xf numFmtId="0" fontId="259" fillId="8" borderId="53" xfId="9" applyNumberFormat="1" applyFont="1" applyFill="1" applyBorder="1" applyAlignment="1" applyProtection="1">
      <alignment horizontal="center"/>
      <protection hidden="1"/>
    </xf>
    <xf numFmtId="0" fontId="259" fillId="8" borderId="2" xfId="9" applyNumberFormat="1" applyFont="1" applyFill="1" applyBorder="1" applyAlignment="1" applyProtection="1">
      <alignment horizontal="center"/>
      <protection hidden="1"/>
    </xf>
    <xf numFmtId="0" fontId="260" fillId="8" borderId="602" xfId="9" applyNumberFormat="1" applyFont="1" applyFill="1" applyBorder="1" applyAlignment="1" applyProtection="1">
      <alignment horizontal="left" vertical="center" shrinkToFit="1"/>
      <protection hidden="1"/>
    </xf>
    <xf numFmtId="0" fontId="260" fillId="8" borderId="439" xfId="9" applyNumberFormat="1" applyFont="1" applyFill="1" applyBorder="1" applyAlignment="1" applyProtection="1">
      <alignment horizontal="left" vertical="center" shrinkToFit="1"/>
      <protection hidden="1"/>
    </xf>
    <xf numFmtId="0" fontId="259" fillId="8" borderId="68" xfId="9" applyNumberFormat="1" applyFont="1" applyFill="1" applyBorder="1" applyAlignment="1" applyProtection="1">
      <alignment horizontal="center"/>
      <protection hidden="1"/>
    </xf>
    <xf numFmtId="0" fontId="259" fillId="8" borderId="602" xfId="9" applyNumberFormat="1" applyFont="1" applyFill="1" applyBorder="1" applyAlignment="1" applyProtection="1">
      <alignment horizontal="center"/>
      <protection hidden="1"/>
    </xf>
    <xf numFmtId="0" fontId="259" fillId="8" borderId="0" xfId="9" applyNumberFormat="1" applyFont="1" applyFill="1" applyBorder="1" applyAlignment="1" applyProtection="1">
      <alignment horizontal="center"/>
      <protection hidden="1"/>
    </xf>
    <xf numFmtId="0" fontId="259" fillId="8" borderId="439" xfId="9" applyNumberFormat="1" applyFont="1" applyFill="1" applyBorder="1" applyAlignment="1" applyProtection="1">
      <alignment horizontal="center"/>
      <protection hidden="1"/>
    </xf>
    <xf numFmtId="0" fontId="260" fillId="8" borderId="65" xfId="9" applyNumberFormat="1" applyFont="1" applyFill="1" applyBorder="1" applyAlignment="1" applyProtection="1">
      <alignment horizontal="center" vertical="center" shrinkToFit="1"/>
      <protection hidden="1"/>
    </xf>
    <xf numFmtId="0" fontId="260" fillId="8" borderId="68" xfId="9" applyNumberFormat="1" applyFont="1" applyFill="1" applyBorder="1" applyAlignment="1" applyProtection="1">
      <alignment horizontal="center" vertical="center" shrinkToFit="1"/>
      <protection hidden="1"/>
    </xf>
    <xf numFmtId="0" fontId="260" fillId="8" borderId="53" xfId="9" applyNumberFormat="1" applyFont="1" applyFill="1" applyBorder="1" applyAlignment="1" applyProtection="1">
      <alignment horizontal="center" vertical="center" shrinkToFit="1"/>
      <protection hidden="1"/>
    </xf>
    <xf numFmtId="0" fontId="260" fillId="8" borderId="68" xfId="9" applyNumberFormat="1" applyFont="1" applyFill="1" applyBorder="1" applyAlignment="1" applyProtection="1">
      <alignment horizontal="left" vertical="center" shrinkToFit="1"/>
      <protection hidden="1"/>
    </xf>
    <xf numFmtId="0" fontId="260" fillId="8" borderId="0" xfId="9" applyNumberFormat="1" applyFont="1" applyFill="1" applyBorder="1" applyAlignment="1" applyProtection="1">
      <alignment horizontal="left" vertical="center" shrinkToFit="1"/>
      <protection hidden="1"/>
    </xf>
    <xf numFmtId="181" fontId="260" fillId="46" borderId="68" xfId="9" applyNumberFormat="1" applyFont="1" applyFill="1" applyBorder="1" applyAlignment="1" applyProtection="1">
      <alignment horizontal="left" vertical="center" shrinkToFit="1"/>
      <protection hidden="1"/>
    </xf>
    <xf numFmtId="0" fontId="260" fillId="8" borderId="65" xfId="9" applyNumberFormat="1" applyFont="1" applyFill="1" applyBorder="1" applyAlignment="1" applyProtection="1">
      <alignment horizontal="center" wrapText="1"/>
      <protection hidden="1"/>
    </xf>
    <xf numFmtId="0" fontId="260" fillId="8" borderId="602" xfId="9" applyNumberFormat="1" applyFont="1" applyFill="1" applyBorder="1" applyAlignment="1" applyProtection="1">
      <alignment horizontal="center" wrapText="1"/>
      <protection hidden="1"/>
    </xf>
    <xf numFmtId="0" fontId="260" fillId="8" borderId="53" xfId="9" applyNumberFormat="1" applyFont="1" applyFill="1" applyBorder="1" applyAlignment="1" applyProtection="1">
      <alignment horizontal="center" wrapText="1"/>
      <protection hidden="1"/>
    </xf>
    <xf numFmtId="0" fontId="260" fillId="8" borderId="439" xfId="9" applyNumberFormat="1" applyFont="1" applyFill="1" applyBorder="1" applyAlignment="1" applyProtection="1">
      <alignment horizontal="center" wrapText="1"/>
      <protection hidden="1"/>
    </xf>
    <xf numFmtId="0" fontId="260" fillId="8" borderId="30" xfId="9" applyNumberFormat="1" applyFont="1" applyFill="1" applyBorder="1" applyAlignment="1" applyProtection="1">
      <alignment horizontal="center" vertical="center" shrinkToFit="1"/>
      <protection hidden="1"/>
    </xf>
    <xf numFmtId="0" fontId="260" fillId="8" borderId="214" xfId="9" applyNumberFormat="1" applyFont="1" applyFill="1" applyBorder="1" applyAlignment="1" applyProtection="1">
      <alignment horizontal="center" vertical="center" shrinkToFit="1"/>
      <protection hidden="1"/>
    </xf>
    <xf numFmtId="179" fontId="260" fillId="8" borderId="30" xfId="9" applyNumberFormat="1" applyFont="1" applyFill="1" applyBorder="1" applyAlignment="1" applyProtection="1">
      <alignment horizontal="left" vertical="center"/>
      <protection hidden="1"/>
    </xf>
    <xf numFmtId="179" fontId="260" fillId="8" borderId="214" xfId="9" applyNumberFormat="1" applyFont="1" applyFill="1" applyBorder="1" applyAlignment="1" applyProtection="1">
      <alignment horizontal="left" vertical="center"/>
      <protection hidden="1"/>
    </xf>
    <xf numFmtId="0" fontId="260" fillId="8" borderId="67" xfId="9" applyNumberFormat="1" applyFont="1" applyFill="1" applyBorder="1" applyAlignment="1" applyProtection="1">
      <alignment horizontal="center" vertical="center" shrinkToFit="1"/>
      <protection hidden="1"/>
    </xf>
    <xf numFmtId="0" fontId="260" fillId="8" borderId="1" xfId="9" applyNumberFormat="1" applyFont="1" applyFill="1" applyBorder="1" applyAlignment="1" applyProtection="1">
      <alignment horizontal="center" vertical="center" shrinkToFit="1"/>
      <protection hidden="1"/>
    </xf>
    <xf numFmtId="49" fontId="449" fillId="8" borderId="67" xfId="9" quotePrefix="1" applyNumberFormat="1" applyFont="1" applyFill="1" applyBorder="1" applyAlignment="1" applyProtection="1">
      <alignment horizontal="right" vertical="center" shrinkToFit="1"/>
      <protection locked="0"/>
    </xf>
    <xf numFmtId="49" fontId="449" fillId="8" borderId="57" xfId="9" quotePrefix="1" applyNumberFormat="1" applyFont="1" applyFill="1" applyBorder="1" applyAlignment="1" applyProtection="1">
      <alignment horizontal="right" vertical="center" shrinkToFit="1"/>
      <protection locked="0"/>
    </xf>
    <xf numFmtId="49" fontId="449" fillId="8" borderId="58" xfId="9" applyNumberFormat="1" applyFont="1" applyFill="1" applyBorder="1" applyAlignment="1" applyProtection="1">
      <alignment horizontal="right" vertical="center" shrinkToFit="1"/>
      <protection locked="0"/>
    </xf>
    <xf numFmtId="49" fontId="449" fillId="8" borderId="122" xfId="9" applyNumberFormat="1" applyFont="1" applyFill="1" applyBorder="1" applyAlignment="1" applyProtection="1">
      <alignment horizontal="right" vertical="center" shrinkToFit="1"/>
      <protection locked="0"/>
    </xf>
    <xf numFmtId="176" fontId="260" fillId="8" borderId="41" xfId="9" applyNumberFormat="1" applyFont="1" applyFill="1" applyBorder="1" applyAlignment="1" applyProtection="1">
      <alignment horizontal="center" shrinkToFit="1"/>
      <protection locked="0"/>
    </xf>
    <xf numFmtId="176" fontId="260" fillId="8" borderId="122" xfId="9" applyNumberFormat="1" applyFont="1" applyFill="1" applyBorder="1" applyAlignment="1" applyProtection="1">
      <alignment horizontal="center" shrinkToFit="1"/>
      <protection locked="0"/>
    </xf>
    <xf numFmtId="0" fontId="121" fillId="8" borderId="68" xfId="9" applyNumberFormat="1" applyFont="1" applyFill="1" applyBorder="1" applyAlignment="1" applyProtection="1">
      <alignment horizontal="center" shrinkToFit="1"/>
      <protection hidden="1"/>
    </xf>
    <xf numFmtId="0" fontId="121" fillId="8" borderId="117" xfId="9" applyNumberFormat="1" applyFont="1" applyFill="1" applyBorder="1" applyAlignment="1" applyProtection="1">
      <alignment horizontal="center" shrinkToFit="1"/>
      <protection hidden="1"/>
    </xf>
    <xf numFmtId="0" fontId="121" fillId="8" borderId="68" xfId="9" applyNumberFormat="1" applyFont="1" applyFill="1" applyBorder="1" applyAlignment="1" applyProtection="1">
      <alignment horizontal="left" shrinkToFit="1"/>
      <protection hidden="1"/>
    </xf>
    <xf numFmtId="0" fontId="121" fillId="8" borderId="117" xfId="9" applyNumberFormat="1" applyFont="1" applyFill="1" applyBorder="1" applyAlignment="1" applyProtection="1">
      <alignment horizontal="left" shrinkToFit="1"/>
      <protection hidden="1"/>
    </xf>
    <xf numFmtId="0" fontId="121" fillId="8" borderId="68" xfId="9" applyNumberFormat="1" applyFont="1" applyFill="1" applyBorder="1" applyAlignment="1" applyProtection="1">
      <alignment horizontal="center"/>
      <protection hidden="1"/>
    </xf>
    <xf numFmtId="0" fontId="121" fillId="8" borderId="0" xfId="9" applyNumberFormat="1" applyFont="1" applyFill="1" applyBorder="1" applyAlignment="1" applyProtection="1">
      <alignment horizontal="center"/>
      <protection hidden="1"/>
    </xf>
    <xf numFmtId="0" fontId="121" fillId="8" borderId="0" xfId="9" applyNumberFormat="1" applyFont="1" applyFill="1" applyBorder="1" applyAlignment="1" applyProtection="1">
      <alignment horizontal="center" shrinkToFit="1"/>
      <protection hidden="1"/>
    </xf>
    <xf numFmtId="0" fontId="439" fillId="8" borderId="53" xfId="9" applyNumberFormat="1" applyFont="1" applyFill="1" applyBorder="1" applyAlignment="1" applyProtection="1">
      <alignment horizontal="right"/>
      <protection hidden="1"/>
    </xf>
    <xf numFmtId="0" fontId="435" fillId="8" borderId="0" xfId="9" applyNumberFormat="1" applyFont="1" applyFill="1" applyBorder="1" applyAlignment="1" applyProtection="1">
      <alignment horizontal="right"/>
      <protection hidden="1"/>
    </xf>
    <xf numFmtId="0" fontId="435" fillId="8" borderId="53" xfId="9" applyNumberFormat="1" applyFont="1" applyFill="1" applyBorder="1" applyAlignment="1" applyProtection="1">
      <alignment horizontal="right"/>
      <protection hidden="1"/>
    </xf>
    <xf numFmtId="0" fontId="440" fillId="8" borderId="0" xfId="9" applyNumberFormat="1" applyFont="1" applyFill="1" applyBorder="1" applyAlignment="1" applyProtection="1">
      <alignment horizontal="center" vertical="center" shrinkToFit="1"/>
      <protection hidden="1"/>
    </xf>
    <xf numFmtId="0" fontId="121" fillId="8" borderId="0" xfId="9" applyNumberFormat="1" applyFont="1" applyFill="1" applyBorder="1" applyAlignment="1" applyProtection="1">
      <alignment horizontal="right" vertical="center"/>
      <protection hidden="1"/>
    </xf>
    <xf numFmtId="0" fontId="118" fillId="8" borderId="0" xfId="9" applyNumberFormat="1" applyFont="1" applyFill="1" applyBorder="1" applyAlignment="1" applyProtection="1">
      <alignment horizontal="center" vertical="center"/>
      <protection hidden="1"/>
    </xf>
    <xf numFmtId="0" fontId="439" fillId="8" borderId="0" xfId="9" applyNumberFormat="1" applyFont="1" applyFill="1" applyBorder="1" applyAlignment="1" applyProtection="1">
      <alignment horizontal="left" vertical="center" shrinkToFit="1"/>
      <protection hidden="1"/>
    </xf>
    <xf numFmtId="0" fontId="121" fillId="8" borderId="0" xfId="9" applyNumberFormat="1" applyFont="1" applyFill="1" applyBorder="1" applyAlignment="1" applyProtection="1">
      <alignment horizontal="left" vertical="center"/>
      <protection hidden="1"/>
    </xf>
    <xf numFmtId="0" fontId="121" fillId="8" borderId="116" xfId="9" applyNumberFormat="1" applyFont="1" applyFill="1" applyBorder="1" applyAlignment="1" applyProtection="1">
      <alignment horizontal="center" vertical="top" shrinkToFit="1"/>
      <protection hidden="1"/>
    </xf>
    <xf numFmtId="0" fontId="121" fillId="8" borderId="55" xfId="9" applyNumberFormat="1" applyFont="1" applyFill="1" applyBorder="1" applyAlignment="1" applyProtection="1">
      <alignment horizontal="center" vertical="top" shrinkToFit="1"/>
      <protection hidden="1"/>
    </xf>
    <xf numFmtId="0" fontId="121" fillId="8" borderId="116" xfId="9" applyNumberFormat="1" applyFont="1" applyFill="1" applyBorder="1" applyAlignment="1" applyProtection="1">
      <alignment horizontal="center" vertical="top"/>
      <protection hidden="1"/>
    </xf>
    <xf numFmtId="0" fontId="121" fillId="8" borderId="55" xfId="9" applyNumberFormat="1" applyFont="1" applyFill="1" applyBorder="1" applyAlignment="1" applyProtection="1">
      <alignment horizontal="center" vertical="top"/>
      <protection hidden="1"/>
    </xf>
    <xf numFmtId="0" fontId="439" fillId="8" borderId="68" xfId="9" applyNumberFormat="1" applyFont="1" applyFill="1" applyBorder="1" applyAlignment="1" applyProtection="1">
      <alignment horizontal="right" vertical="center" shrinkToFit="1"/>
      <protection hidden="1"/>
    </xf>
    <xf numFmtId="0" fontId="439" fillId="8" borderId="55" xfId="9" applyNumberFormat="1" applyFont="1" applyFill="1" applyBorder="1" applyAlignment="1" applyProtection="1">
      <alignment horizontal="right" vertical="center" shrinkToFit="1"/>
      <protection hidden="1"/>
    </xf>
    <xf numFmtId="0" fontId="121" fillId="8" borderId="68" xfId="9" applyNumberFormat="1" applyFont="1" applyFill="1" applyBorder="1" applyAlignment="1" applyProtection="1">
      <alignment horizontal="left" vertical="center" shrinkToFit="1"/>
      <protection hidden="1"/>
    </xf>
    <xf numFmtId="0" fontId="121" fillId="8" borderId="55" xfId="9" applyNumberFormat="1" applyFont="1" applyFill="1" applyBorder="1" applyAlignment="1" applyProtection="1">
      <alignment horizontal="left" vertical="center" shrinkToFit="1"/>
      <protection hidden="1"/>
    </xf>
    <xf numFmtId="0" fontId="121" fillId="8" borderId="117" xfId="9" applyNumberFormat="1" applyFont="1" applyFill="1" applyBorder="1" applyAlignment="1" applyProtection="1">
      <alignment horizontal="center"/>
      <protection hidden="1"/>
    </xf>
    <xf numFmtId="0" fontId="121" fillId="8" borderId="55" xfId="9" applyNumberFormat="1" applyFont="1" applyFill="1" applyBorder="1" applyAlignment="1" applyProtection="1">
      <alignment horizontal="right" vertical="center"/>
      <protection hidden="1"/>
    </xf>
    <xf numFmtId="0" fontId="121" fillId="8" borderId="0" xfId="9" applyNumberFormat="1" applyFont="1" applyFill="1" applyBorder="1" applyAlignment="1" applyProtection="1">
      <alignment horizontal="left" vertical="center" shrinkToFit="1"/>
      <protection hidden="1"/>
    </xf>
    <xf numFmtId="0" fontId="439" fillId="8" borderId="55" xfId="9" applyNumberFormat="1" applyFont="1" applyFill="1" applyBorder="1" applyAlignment="1" applyProtection="1">
      <alignment horizontal="center" vertical="center" shrinkToFit="1"/>
      <protection hidden="1"/>
    </xf>
    <xf numFmtId="0" fontId="439" fillId="8" borderId="0" xfId="9" applyNumberFormat="1" applyFont="1" applyFill="1" applyBorder="1" applyAlignment="1" applyProtection="1">
      <alignment horizontal="center" vertical="center" shrinkToFit="1"/>
      <protection hidden="1"/>
    </xf>
    <xf numFmtId="0" fontId="439" fillId="8" borderId="53" xfId="9" applyNumberFormat="1" applyFont="1" applyFill="1" applyBorder="1" applyAlignment="1" applyProtection="1">
      <alignment horizontal="right" vertical="center" shrinkToFit="1"/>
      <protection hidden="1"/>
    </xf>
    <xf numFmtId="0" fontId="439" fillId="8" borderId="0" xfId="9" applyNumberFormat="1" applyFont="1" applyFill="1" applyBorder="1" applyAlignment="1" applyProtection="1">
      <alignment horizontal="right" vertical="center" shrinkToFit="1"/>
      <protection hidden="1"/>
    </xf>
    <xf numFmtId="0" fontId="439" fillId="8" borderId="63" xfId="9" applyNumberFormat="1" applyFont="1" applyFill="1" applyBorder="1" applyAlignment="1" applyProtection="1">
      <alignment horizontal="right" vertical="center"/>
      <protection hidden="1"/>
    </xf>
    <xf numFmtId="0" fontId="439" fillId="8" borderId="63" xfId="9" applyNumberFormat="1" applyFont="1" applyFill="1" applyBorder="1" applyAlignment="1" applyProtection="1">
      <alignment horizontal="left" vertical="center"/>
      <protection hidden="1"/>
    </xf>
    <xf numFmtId="0" fontId="439" fillId="8" borderId="34" xfId="9" applyNumberFormat="1" applyFont="1" applyFill="1" applyBorder="1" applyAlignment="1" applyProtection="1">
      <alignment horizontal="right" vertical="center" shrinkToFit="1"/>
      <protection hidden="1"/>
    </xf>
    <xf numFmtId="0" fontId="439" fillId="8" borderId="63" xfId="9" applyNumberFormat="1" applyFont="1" applyFill="1" applyBorder="1" applyAlignment="1" applyProtection="1">
      <alignment horizontal="right" vertical="center" shrinkToFit="1"/>
      <protection hidden="1"/>
    </xf>
    <xf numFmtId="0" fontId="121" fillId="8" borderId="63" xfId="9" applyNumberFormat="1" applyFont="1" applyFill="1" applyBorder="1" applyAlignment="1" applyProtection="1">
      <alignment horizontal="left" vertical="center" shrinkToFit="1"/>
      <protection hidden="1"/>
    </xf>
    <xf numFmtId="0" fontId="439" fillId="8" borderId="63" xfId="9" applyNumberFormat="1" applyFont="1" applyFill="1" applyBorder="1" applyAlignment="1" applyProtection="1">
      <alignment horizontal="left" shrinkToFit="1"/>
      <protection hidden="1"/>
    </xf>
    <xf numFmtId="0" fontId="439" fillId="8" borderId="63" xfId="9" applyNumberFormat="1" applyFont="1" applyFill="1" applyBorder="1" applyAlignment="1" applyProtection="1">
      <alignment horizontal="right" shrinkToFit="1"/>
      <protection hidden="1"/>
    </xf>
    <xf numFmtId="0" fontId="121" fillId="8" borderId="0" xfId="9" applyNumberFormat="1" applyFont="1" applyFill="1" applyBorder="1" applyAlignment="1" applyProtection="1">
      <alignment horizontal="center" vertical="top" shrinkToFit="1"/>
      <protection hidden="1"/>
    </xf>
    <xf numFmtId="0" fontId="437" fillId="8" borderId="68" xfId="9" applyNumberFormat="1" applyFont="1" applyFill="1" applyBorder="1" applyAlignment="1" applyProtection="1">
      <alignment horizontal="left" vertical="top"/>
      <protection hidden="1"/>
    </xf>
    <xf numFmtId="0" fontId="437" fillId="8" borderId="86" xfId="9" applyNumberFormat="1" applyFont="1" applyFill="1" applyBorder="1" applyAlignment="1" applyProtection="1">
      <alignment horizontal="left" vertical="top"/>
      <protection hidden="1"/>
    </xf>
    <xf numFmtId="0" fontId="437" fillId="8" borderId="0" xfId="9" applyNumberFormat="1" applyFont="1" applyFill="1" applyBorder="1" applyAlignment="1" applyProtection="1">
      <alignment horizontal="left" vertical="top"/>
      <protection hidden="1"/>
    </xf>
    <xf numFmtId="0" fontId="437" fillId="8" borderId="71" xfId="9" applyNumberFormat="1" applyFont="1" applyFill="1" applyBorder="1" applyAlignment="1" applyProtection="1">
      <alignment horizontal="left" vertical="top"/>
      <protection hidden="1"/>
    </xf>
    <xf numFmtId="0" fontId="436" fillId="8" borderId="426" xfId="9" applyNumberFormat="1" applyFont="1" applyFill="1" applyBorder="1" applyAlignment="1" applyProtection="1">
      <alignment horizontal="center" vertical="center"/>
      <protection locked="0"/>
    </xf>
    <xf numFmtId="0" fontId="437" fillId="8" borderId="68" xfId="9" applyNumberFormat="1" applyFont="1" applyFill="1" applyBorder="1" applyAlignment="1" applyProtection="1">
      <alignment horizontal="left"/>
      <protection hidden="1"/>
    </xf>
    <xf numFmtId="0" fontId="437" fillId="8" borderId="86" xfId="9" applyNumberFormat="1" applyFont="1" applyFill="1" applyBorder="1" applyAlignment="1" applyProtection="1">
      <alignment horizontal="left"/>
      <protection hidden="1"/>
    </xf>
    <xf numFmtId="0" fontId="437" fillId="8" borderId="55" xfId="9" applyNumberFormat="1" applyFont="1" applyFill="1" applyBorder="1" applyAlignment="1" applyProtection="1">
      <alignment horizontal="left"/>
      <protection hidden="1"/>
    </xf>
    <xf numFmtId="0" fontId="437" fillId="8" borderId="103" xfId="9" applyNumberFormat="1" applyFont="1" applyFill="1" applyBorder="1" applyAlignment="1" applyProtection="1">
      <alignment horizontal="left"/>
      <protection hidden="1"/>
    </xf>
    <xf numFmtId="0" fontId="439" fillId="8" borderId="0" xfId="9" applyNumberFormat="1" applyFont="1" applyFill="1" applyBorder="1" applyAlignment="1" applyProtection="1">
      <alignment horizontal="right" vertical="center"/>
      <protection hidden="1"/>
    </xf>
    <xf numFmtId="0" fontId="439" fillId="8" borderId="55" xfId="9" applyNumberFormat="1" applyFont="1" applyFill="1" applyBorder="1" applyAlignment="1" applyProtection="1">
      <alignment horizontal="center"/>
      <protection hidden="1"/>
    </xf>
    <xf numFmtId="0" fontId="439" fillId="8" borderId="0" xfId="9" applyNumberFormat="1" applyFont="1" applyFill="1" applyBorder="1" applyAlignment="1" applyProtection="1">
      <alignment horizontal="center"/>
      <protection hidden="1"/>
    </xf>
    <xf numFmtId="0" fontId="439" fillId="8" borderId="202" xfId="9" applyNumberFormat="1" applyFont="1" applyFill="1" applyBorder="1" applyAlignment="1" applyProtection="1">
      <alignment horizontal="center" vertical="center" shrinkToFit="1"/>
      <protection hidden="1"/>
    </xf>
    <xf numFmtId="0" fontId="439" fillId="8" borderId="87" xfId="9" applyNumberFormat="1" applyFont="1" applyFill="1" applyBorder="1" applyAlignment="1" applyProtection="1">
      <alignment horizontal="center" vertical="center" shrinkToFit="1"/>
      <protection hidden="1"/>
    </xf>
    <xf numFmtId="0" fontId="439" fillId="8" borderId="200" xfId="9" applyNumberFormat="1" applyFont="1" applyFill="1" applyBorder="1" applyAlignment="1" applyProtection="1">
      <alignment horizontal="center" vertical="center" shrinkToFit="1"/>
      <protection hidden="1"/>
    </xf>
    <xf numFmtId="0" fontId="439" fillId="8" borderId="175" xfId="9" applyNumberFormat="1" applyFont="1" applyFill="1" applyBorder="1" applyAlignment="1" applyProtection="1">
      <alignment horizontal="center" vertical="center" shrinkToFit="1"/>
      <protection hidden="1"/>
    </xf>
    <xf numFmtId="0" fontId="439" fillId="8" borderId="92" xfId="9" applyNumberFormat="1" applyFont="1" applyFill="1" applyBorder="1" applyAlignment="1" applyProtection="1">
      <alignment horizontal="center" vertical="center" shrinkToFit="1"/>
      <protection hidden="1"/>
    </xf>
    <xf numFmtId="0" fontId="439" fillId="8" borderId="93" xfId="9" applyNumberFormat="1" applyFont="1" applyFill="1" applyBorder="1" applyAlignment="1" applyProtection="1">
      <alignment horizontal="center" vertical="center" shrinkToFit="1"/>
      <protection hidden="1"/>
    </xf>
    <xf numFmtId="0" fontId="85" fillId="8" borderId="0" xfId="9" applyNumberFormat="1" applyFont="1" applyFill="1" applyBorder="1" applyAlignment="1" applyProtection="1">
      <alignment horizontal="left" vertical="center" shrinkToFit="1"/>
      <protection hidden="1"/>
    </xf>
    <xf numFmtId="0" fontId="439" fillId="8" borderId="63" xfId="9" applyNumberFormat="1" applyFont="1" applyFill="1" applyBorder="1" applyAlignment="1" applyProtection="1">
      <alignment horizontal="left" vertical="center" shrinkToFit="1"/>
      <protection hidden="1"/>
    </xf>
    <xf numFmtId="0" fontId="83" fillId="8" borderId="0" xfId="2" applyFill="1" applyAlignment="1" applyProtection="1">
      <alignment horizontal="center"/>
      <protection hidden="1"/>
    </xf>
    <xf numFmtId="0" fontId="83" fillId="8" borderId="0" xfId="8" applyFill="1" applyAlignment="1" applyProtection="1">
      <alignment horizontal="center" vertical="center"/>
      <protection locked="0"/>
    </xf>
    <xf numFmtId="0" fontId="83" fillId="8" borderId="0" xfId="9" applyFill="1" applyAlignment="1" applyProtection="1">
      <alignment horizontal="center" vertical="center"/>
      <protection locked="0"/>
    </xf>
    <xf numFmtId="181" fontId="174" fillId="3" borderId="40" xfId="2" applyNumberFormat="1" applyFont="1" applyFill="1" applyBorder="1" applyAlignment="1" applyProtection="1">
      <alignment horizontal="right" shrinkToFit="1"/>
      <protection hidden="1"/>
    </xf>
    <xf numFmtId="181" fontId="174" fillId="3" borderId="600" xfId="2" applyNumberFormat="1" applyFont="1" applyFill="1" applyBorder="1" applyAlignment="1" applyProtection="1">
      <alignment horizontal="right" shrinkToFit="1"/>
      <protection hidden="1"/>
    </xf>
    <xf numFmtId="181" fontId="174" fillId="3" borderId="4" xfId="2" applyNumberFormat="1" applyFont="1" applyFill="1" applyBorder="1" applyAlignment="1" applyProtection="1">
      <alignment horizontal="right" shrinkToFit="1"/>
      <protection hidden="1"/>
    </xf>
    <xf numFmtId="181" fontId="174" fillId="3" borderId="33" xfId="2" applyNumberFormat="1" applyFont="1" applyFill="1" applyBorder="1" applyAlignment="1" applyProtection="1">
      <alignment horizontal="right" shrinkToFit="1"/>
      <protection hidden="1"/>
    </xf>
    <xf numFmtId="181" fontId="174" fillId="3" borderId="32" xfId="2" applyNumberFormat="1" applyFont="1" applyFill="1" applyBorder="1" applyAlignment="1" applyProtection="1">
      <alignment horizontal="right" shrinkToFit="1"/>
      <protection hidden="1"/>
    </xf>
    <xf numFmtId="181" fontId="174" fillId="3" borderId="83" xfId="2" applyNumberFormat="1" applyFont="1" applyFill="1" applyBorder="1" applyAlignment="1" applyProtection="1">
      <alignment horizontal="right" shrinkToFit="1"/>
      <protection hidden="1"/>
    </xf>
    <xf numFmtId="0" fontId="111" fillId="16" borderId="31" xfId="2" applyNumberFormat="1" applyFont="1" applyFill="1" applyBorder="1" applyAlignment="1" applyProtection="1">
      <alignment horizontal="left" shrinkToFit="1"/>
      <protection hidden="1"/>
    </xf>
    <xf numFmtId="0" fontId="111" fillId="16" borderId="94" xfId="2" applyNumberFormat="1" applyFont="1" applyFill="1" applyBorder="1" applyAlignment="1" applyProtection="1">
      <alignment horizontal="left" shrinkToFit="1"/>
      <protection hidden="1"/>
    </xf>
    <xf numFmtId="0" fontId="111" fillId="16" borderId="252" xfId="2" applyNumberFormat="1" applyFont="1" applyFill="1" applyBorder="1" applyAlignment="1" applyProtection="1">
      <alignment horizontal="left" shrinkToFit="1"/>
      <protection hidden="1"/>
    </xf>
    <xf numFmtId="0" fontId="111" fillId="16" borderId="34" xfId="2" applyNumberFormat="1" applyFont="1" applyFill="1" applyBorder="1" applyAlignment="1" applyProtection="1">
      <alignment horizontal="left" vertical="center" shrinkToFit="1"/>
      <protection hidden="1"/>
    </xf>
    <xf numFmtId="0" fontId="111" fillId="16" borderId="63" xfId="2" applyNumberFormat="1" applyFont="1" applyFill="1" applyBorder="1" applyAlignment="1" applyProtection="1">
      <alignment horizontal="left" vertical="center" shrinkToFit="1"/>
      <protection hidden="1"/>
    </xf>
    <xf numFmtId="0" fontId="111" fillId="16" borderId="81" xfId="2" applyNumberFormat="1" applyFont="1" applyFill="1" applyBorder="1" applyAlignment="1" applyProtection="1">
      <alignment horizontal="left" vertical="center" shrinkToFit="1"/>
      <protection hidden="1"/>
    </xf>
    <xf numFmtId="181" fontId="174" fillId="3" borderId="32" xfId="2" quotePrefix="1" applyNumberFormat="1" applyFont="1" applyFill="1" applyBorder="1" applyAlignment="1" applyProtection="1">
      <alignment horizontal="right" shrinkToFit="1"/>
      <protection hidden="1"/>
    </xf>
    <xf numFmtId="181" fontId="174" fillId="3" borderId="37" xfId="2" applyNumberFormat="1" applyFont="1" applyFill="1" applyBorder="1" applyAlignment="1" applyProtection="1">
      <alignment horizontal="right" shrinkToFit="1"/>
      <protection hidden="1"/>
    </xf>
    <xf numFmtId="181" fontId="174" fillId="3" borderId="38" xfId="2" applyNumberFormat="1" applyFont="1" applyFill="1" applyBorder="1" applyAlignment="1" applyProtection="1">
      <alignment horizontal="right" shrinkToFit="1"/>
      <protection hidden="1"/>
    </xf>
    <xf numFmtId="181" fontId="105" fillId="6" borderId="57" xfId="2" applyNumberFormat="1" applyFont="1" applyFill="1" applyBorder="1" applyAlignment="1" applyProtection="1">
      <alignment horizontal="right"/>
      <protection hidden="1"/>
    </xf>
    <xf numFmtId="181" fontId="105" fillId="6" borderId="59" xfId="2" applyNumberFormat="1" applyFont="1" applyFill="1" applyBorder="1" applyAlignment="1" applyProtection="1">
      <alignment horizontal="right"/>
      <protection hidden="1"/>
    </xf>
    <xf numFmtId="181" fontId="174" fillId="3" borderId="57" xfId="2" applyNumberFormat="1" applyFont="1" applyFill="1" applyBorder="1" applyAlignment="1" applyProtection="1">
      <alignment horizontal="right" shrinkToFit="1"/>
      <protection hidden="1"/>
    </xf>
    <xf numFmtId="181" fontId="174" fillId="3" borderId="122" xfId="2" applyNumberFormat="1" applyFont="1" applyFill="1" applyBorder="1" applyAlignment="1" applyProtection="1">
      <alignment horizontal="right" shrinkToFit="1"/>
      <protection hidden="1"/>
    </xf>
    <xf numFmtId="181" fontId="174" fillId="3" borderId="41" xfId="2" applyNumberFormat="1" applyFont="1" applyFill="1" applyBorder="1" applyAlignment="1" applyProtection="1">
      <alignment horizontal="right" shrinkToFit="1"/>
      <protection hidden="1"/>
    </xf>
    <xf numFmtId="181" fontId="174" fillId="3" borderId="59" xfId="2" applyNumberFormat="1" applyFont="1" applyFill="1" applyBorder="1" applyAlignment="1" applyProtection="1">
      <alignment horizontal="right" shrinkToFit="1"/>
      <protection hidden="1"/>
    </xf>
    <xf numFmtId="181" fontId="105" fillId="6" borderId="62" xfId="2" applyNumberFormat="1" applyFont="1" applyFill="1" applyBorder="1" applyAlignment="1" applyProtection="1">
      <alignment horizontal="right"/>
      <protection hidden="1"/>
    </xf>
    <xf numFmtId="181" fontId="105" fillId="6" borderId="64" xfId="2" applyNumberFormat="1" applyFont="1" applyFill="1" applyBorder="1" applyAlignment="1" applyProtection="1">
      <alignment horizontal="right"/>
      <protection hidden="1"/>
    </xf>
    <xf numFmtId="181" fontId="174" fillId="3" borderId="62" xfId="2" applyNumberFormat="1" applyFont="1" applyFill="1" applyBorder="1" applyAlignment="1" applyProtection="1">
      <alignment horizontal="right" shrinkToFit="1"/>
      <protection hidden="1"/>
    </xf>
    <xf numFmtId="181" fontId="174" fillId="3" borderId="81" xfId="2" applyNumberFormat="1" applyFont="1" applyFill="1" applyBorder="1" applyAlignment="1" applyProtection="1">
      <alignment horizontal="right" shrinkToFit="1"/>
      <protection hidden="1"/>
    </xf>
    <xf numFmtId="181" fontId="174" fillId="3" borderId="34" xfId="2" applyNumberFormat="1" applyFont="1" applyFill="1" applyBorder="1" applyAlignment="1" applyProtection="1">
      <alignment horizontal="right" shrinkToFit="1"/>
      <protection hidden="1"/>
    </xf>
    <xf numFmtId="181" fontId="174" fillId="3" borderId="64" xfId="2" applyNumberFormat="1" applyFont="1" applyFill="1" applyBorder="1" applyAlignment="1" applyProtection="1">
      <alignment horizontal="right" shrinkToFit="1"/>
      <protection hidden="1"/>
    </xf>
    <xf numFmtId="181" fontId="105" fillId="6" borderId="152" xfId="2" applyNumberFormat="1" applyFont="1" applyFill="1" applyBorder="1" applyAlignment="1" applyProtection="1">
      <alignment horizontal="right"/>
      <protection hidden="1"/>
    </xf>
    <xf numFmtId="181" fontId="105" fillId="6" borderId="151" xfId="2" applyNumberFormat="1" applyFont="1" applyFill="1" applyBorder="1" applyAlignment="1" applyProtection="1">
      <alignment horizontal="right"/>
      <protection hidden="1"/>
    </xf>
    <xf numFmtId="181" fontId="174" fillId="3" borderId="118" xfId="2" applyNumberFormat="1" applyFont="1" applyFill="1" applyBorder="1" applyAlignment="1" applyProtection="1">
      <alignment horizontal="right" shrinkToFit="1"/>
      <protection hidden="1"/>
    </xf>
    <xf numFmtId="181" fontId="174" fillId="3" borderId="116" xfId="2" applyNumberFormat="1" applyFont="1" applyFill="1" applyBorder="1" applyAlignment="1" applyProtection="1">
      <alignment horizontal="right" shrinkToFit="1"/>
      <protection hidden="1"/>
    </xf>
    <xf numFmtId="181" fontId="174" fillId="3" borderId="31" xfId="2" applyNumberFormat="1" applyFont="1" applyFill="1" applyBorder="1" applyAlignment="1" applyProtection="1">
      <alignment horizontal="right" shrinkToFit="1"/>
      <protection hidden="1"/>
    </xf>
    <xf numFmtId="181" fontId="174" fillId="3" borderId="252" xfId="2" applyNumberFormat="1" applyFont="1" applyFill="1" applyBorder="1" applyAlignment="1" applyProtection="1">
      <alignment horizontal="right" shrinkToFit="1"/>
      <protection hidden="1"/>
    </xf>
    <xf numFmtId="181" fontId="174" fillId="3" borderId="151" xfId="2" applyNumberFormat="1" applyFont="1" applyFill="1" applyBorder="1" applyAlignment="1" applyProtection="1">
      <alignment horizontal="right" shrinkToFit="1"/>
      <protection hidden="1"/>
    </xf>
    <xf numFmtId="181" fontId="174" fillId="3" borderId="28" xfId="2" applyNumberFormat="1" applyFont="1" applyFill="1" applyBorder="1" applyAlignment="1" applyProtection="1">
      <alignment horizontal="right" shrinkToFit="1"/>
      <protection hidden="1"/>
    </xf>
    <xf numFmtId="181" fontId="174" fillId="3" borderId="29" xfId="2" applyNumberFormat="1" applyFont="1" applyFill="1" applyBorder="1" applyAlignment="1" applyProtection="1">
      <alignment horizontal="right" shrinkToFit="1"/>
      <protection hidden="1"/>
    </xf>
    <xf numFmtId="181" fontId="174" fillId="3" borderId="612" xfId="2" applyNumberFormat="1" applyFont="1" applyFill="1" applyBorder="1" applyAlignment="1" applyProtection="1">
      <alignment horizontal="right" shrinkToFit="1"/>
      <protection hidden="1"/>
    </xf>
    <xf numFmtId="181" fontId="174" fillId="3" borderId="27" xfId="2" applyNumberFormat="1" applyFont="1" applyFill="1" applyBorder="1" applyAlignment="1" applyProtection="1">
      <alignment horizontal="right" shrinkToFit="1"/>
      <protection hidden="1"/>
    </xf>
    <xf numFmtId="0" fontId="496" fillId="16" borderId="63" xfId="2" applyNumberFormat="1" applyFont="1" applyFill="1" applyBorder="1" applyAlignment="1" applyProtection="1">
      <alignment horizontal="left" shrinkToFit="1"/>
      <protection hidden="1"/>
    </xf>
    <xf numFmtId="0" fontId="496" fillId="16" borderId="84" xfId="2" applyNumberFormat="1" applyFont="1" applyFill="1" applyBorder="1" applyAlignment="1" applyProtection="1">
      <alignment horizontal="left" shrinkToFit="1"/>
      <protection hidden="1"/>
    </xf>
    <xf numFmtId="0" fontId="491" fillId="6" borderId="40" xfId="2" applyNumberFormat="1" applyFont="1" applyFill="1" applyBorder="1" applyAlignment="1" applyProtection="1">
      <alignment horizontal="center" vertical="center"/>
      <protection hidden="1"/>
    </xf>
    <xf numFmtId="0" fontId="491" fillId="6" borderId="600" xfId="2" applyNumberFormat="1" applyFont="1" applyFill="1" applyBorder="1" applyAlignment="1" applyProtection="1">
      <alignment horizontal="center" vertical="center"/>
      <protection hidden="1"/>
    </xf>
    <xf numFmtId="0" fontId="491" fillId="6" borderId="439" xfId="2" applyNumberFormat="1" applyFont="1" applyFill="1" applyBorder="1" applyAlignment="1" applyProtection="1">
      <alignment horizontal="center" vertical="center" wrapText="1"/>
      <protection hidden="1"/>
    </xf>
    <xf numFmtId="0" fontId="491" fillId="6" borderId="214" xfId="2" applyNumberFormat="1" applyFont="1" applyFill="1" applyBorder="1" applyAlignment="1" applyProtection="1">
      <alignment horizontal="center" vertical="center"/>
      <protection hidden="1"/>
    </xf>
    <xf numFmtId="0" fontId="491" fillId="6" borderId="382" xfId="2" applyNumberFormat="1" applyFont="1" applyFill="1" applyBorder="1" applyAlignment="1" applyProtection="1">
      <alignment horizontal="center" vertical="center"/>
      <protection hidden="1"/>
    </xf>
    <xf numFmtId="0" fontId="491" fillId="6" borderId="441" xfId="2" applyNumberFormat="1" applyFont="1" applyFill="1" applyBorder="1" applyAlignment="1" applyProtection="1">
      <alignment horizontal="center" vertical="center"/>
      <protection hidden="1"/>
    </xf>
    <xf numFmtId="0" fontId="491" fillId="6" borderId="214" xfId="2" applyNumberFormat="1" applyFont="1" applyFill="1" applyBorder="1" applyAlignment="1" applyProtection="1">
      <alignment horizontal="center" vertical="center" wrapText="1"/>
      <protection hidden="1"/>
    </xf>
    <xf numFmtId="0" fontId="491" fillId="6" borderId="42" xfId="2" applyNumberFormat="1" applyFont="1" applyFill="1" applyBorder="1" applyAlignment="1" applyProtection="1">
      <alignment horizontal="center" vertical="center" wrapText="1"/>
      <protection hidden="1"/>
    </xf>
    <xf numFmtId="0" fontId="491" fillId="6" borderId="79" xfId="2" applyNumberFormat="1" applyFont="1" applyFill="1" applyBorder="1" applyAlignment="1" applyProtection="1">
      <alignment horizontal="center" vertical="center"/>
      <protection hidden="1"/>
    </xf>
    <xf numFmtId="0" fontId="491" fillId="6" borderId="440" xfId="2" applyNumberFormat="1" applyFont="1" applyFill="1" applyBorder="1" applyAlignment="1" applyProtection="1">
      <alignment horizontal="center" vertical="center"/>
      <protection hidden="1"/>
    </xf>
    <xf numFmtId="0" fontId="491" fillId="6" borderId="6" xfId="2" applyNumberFormat="1" applyFont="1" applyFill="1" applyBorder="1" applyAlignment="1" applyProtection="1">
      <alignment horizontal="center" vertical="center"/>
      <protection hidden="1"/>
    </xf>
    <xf numFmtId="0" fontId="491" fillId="6" borderId="152" xfId="2" applyNumberFormat="1" applyFont="1" applyFill="1" applyBorder="1" applyAlignment="1" applyProtection="1">
      <alignment horizontal="center" vertical="center" wrapText="1"/>
      <protection hidden="1"/>
    </xf>
    <xf numFmtId="0" fontId="491" fillId="6" borderId="94" xfId="2" applyNumberFormat="1" applyFont="1" applyFill="1" applyBorder="1" applyAlignment="1" applyProtection="1">
      <alignment horizontal="center" vertical="center" wrapText="1"/>
      <protection hidden="1"/>
    </xf>
    <xf numFmtId="0" fontId="491" fillId="6" borderId="151" xfId="2" applyNumberFormat="1" applyFont="1" applyFill="1" applyBorder="1" applyAlignment="1" applyProtection="1">
      <alignment horizontal="center" vertical="center" wrapText="1"/>
      <protection hidden="1"/>
    </xf>
    <xf numFmtId="0" fontId="491" fillId="19" borderId="118" xfId="2" applyNumberFormat="1" applyFont="1" applyFill="1" applyBorder="1" applyAlignment="1" applyProtection="1">
      <alignment horizontal="center" vertical="center" wrapText="1"/>
      <protection locked="0"/>
    </xf>
    <xf numFmtId="0" fontId="491" fillId="19" borderId="116" xfId="2" applyNumberFormat="1" applyFont="1" applyFill="1" applyBorder="1" applyAlignment="1" applyProtection="1">
      <alignment horizontal="center" vertical="center" wrapText="1"/>
      <protection locked="0"/>
    </xf>
    <xf numFmtId="0" fontId="491" fillId="19" borderId="226" xfId="2" applyNumberFormat="1" applyFont="1" applyFill="1" applyBorder="1" applyAlignment="1" applyProtection="1">
      <alignment horizontal="center" vertical="center" wrapText="1"/>
      <protection locked="0"/>
    </xf>
    <xf numFmtId="0" fontId="491" fillId="6" borderId="57" xfId="2" applyNumberFormat="1" applyFont="1" applyFill="1" applyBorder="1" applyAlignment="1" applyProtection="1">
      <alignment horizontal="center" vertical="center"/>
      <protection hidden="1"/>
    </xf>
    <xf numFmtId="0" fontId="491" fillId="6" borderId="122" xfId="2" applyNumberFormat="1" applyFont="1" applyFill="1" applyBorder="1" applyAlignment="1" applyProtection="1">
      <alignment horizontal="center" vertical="center"/>
      <protection hidden="1"/>
    </xf>
    <xf numFmtId="0" fontId="491" fillId="6" borderId="37" xfId="2" applyNumberFormat="1" applyFont="1" applyFill="1" applyBorder="1" applyAlignment="1" applyProtection="1">
      <alignment horizontal="center" vertical="center"/>
      <protection hidden="1"/>
    </xf>
    <xf numFmtId="0" fontId="85" fillId="6" borderId="111" xfId="2" applyNumberFormat="1" applyFont="1" applyFill="1" applyBorder="1" applyAlignment="1" applyProtection="1">
      <alignment horizontal="center" vertical="center"/>
      <protection hidden="1"/>
    </xf>
    <xf numFmtId="0" fontId="85" fillId="6" borderId="114" xfId="2" applyNumberFormat="1" applyFont="1" applyFill="1" applyBorder="1" applyAlignment="1" applyProtection="1">
      <alignment horizontal="center" vertical="center"/>
      <protection hidden="1"/>
    </xf>
    <xf numFmtId="0" fontId="85" fillId="6" borderId="112" xfId="2" applyNumberFormat="1" applyFont="1" applyFill="1" applyBorder="1" applyAlignment="1" applyProtection="1">
      <alignment horizontal="center" vertical="center"/>
      <protection hidden="1"/>
    </xf>
    <xf numFmtId="0" fontId="491" fillId="6" borderId="118" xfId="2" applyNumberFormat="1" applyFont="1" applyFill="1" applyBorder="1" applyAlignment="1" applyProtection="1">
      <alignment horizontal="center" vertical="center" wrapText="1"/>
      <protection hidden="1"/>
    </xf>
    <xf numFmtId="0" fontId="491" fillId="6" borderId="119" xfId="2" applyNumberFormat="1" applyFont="1" applyFill="1" applyBorder="1" applyAlignment="1" applyProtection="1">
      <alignment horizontal="center" vertical="center"/>
      <protection hidden="1"/>
    </xf>
    <xf numFmtId="0" fontId="491" fillId="6" borderId="1" xfId="2" applyNumberFormat="1" applyFont="1" applyFill="1" applyBorder="1" applyAlignment="1" applyProtection="1">
      <alignment horizontal="center" vertical="center"/>
      <protection hidden="1"/>
    </xf>
    <xf numFmtId="0" fontId="491" fillId="6" borderId="2" xfId="2" applyNumberFormat="1" applyFont="1" applyFill="1" applyBorder="1" applyAlignment="1" applyProtection="1">
      <alignment horizontal="center" vertical="center"/>
      <protection hidden="1"/>
    </xf>
    <xf numFmtId="0" fontId="491" fillId="6" borderId="113" xfId="2" applyNumberFormat="1" applyFont="1" applyFill="1" applyBorder="1" applyAlignment="1" applyProtection="1">
      <alignment horizontal="center" vertical="center"/>
      <protection hidden="1"/>
    </xf>
    <xf numFmtId="0" fontId="491" fillId="6" borderId="5" xfId="2" applyNumberFormat="1" applyFont="1" applyFill="1" applyBorder="1" applyAlignment="1" applyProtection="1">
      <alignment horizontal="center" vertical="center"/>
      <protection hidden="1"/>
    </xf>
    <xf numFmtId="0" fontId="491" fillId="6" borderId="50" xfId="2" applyNumberFormat="1" applyFont="1" applyFill="1" applyBorder="1" applyAlignment="1" applyProtection="1">
      <alignment horizontal="center" vertical="center"/>
      <protection hidden="1"/>
    </xf>
    <xf numFmtId="0" fontId="491" fillId="6" borderId="206" xfId="2" applyNumberFormat="1" applyFont="1" applyFill="1" applyBorder="1" applyAlignment="1" applyProtection="1">
      <alignment horizontal="center" vertical="center"/>
      <protection hidden="1"/>
    </xf>
    <xf numFmtId="0" fontId="491" fillId="6" borderId="120" xfId="2" applyNumberFormat="1" applyFont="1" applyFill="1" applyBorder="1" applyAlignment="1" applyProtection="1">
      <alignment horizontal="center" vertical="center"/>
      <protection hidden="1"/>
    </xf>
    <xf numFmtId="0" fontId="110" fillId="6" borderId="118" xfId="2" applyNumberFormat="1" applyFont="1" applyFill="1" applyBorder="1" applyAlignment="1" applyProtection="1">
      <alignment horizontal="center" vertical="center" wrapText="1"/>
      <protection hidden="1"/>
    </xf>
    <xf numFmtId="0" fontId="110" fillId="6" borderId="119" xfId="2" applyNumberFormat="1" applyFont="1" applyFill="1" applyBorder="1" applyAlignment="1" applyProtection="1">
      <alignment horizontal="center" vertical="center"/>
      <protection hidden="1"/>
    </xf>
    <xf numFmtId="0" fontId="110" fillId="6" borderId="1" xfId="2" applyNumberFormat="1" applyFont="1" applyFill="1" applyBorder="1" applyAlignment="1" applyProtection="1">
      <alignment horizontal="center" vertical="center"/>
      <protection hidden="1"/>
    </xf>
    <xf numFmtId="0" fontId="110" fillId="6" borderId="2" xfId="2" applyNumberFormat="1" applyFont="1" applyFill="1" applyBorder="1" applyAlignment="1" applyProtection="1">
      <alignment horizontal="center" vertical="center"/>
      <protection hidden="1"/>
    </xf>
    <xf numFmtId="0" fontId="110" fillId="6" borderId="113" xfId="2" applyNumberFormat="1" applyFont="1" applyFill="1" applyBorder="1" applyAlignment="1" applyProtection="1">
      <alignment horizontal="center" vertical="center"/>
      <protection hidden="1"/>
    </xf>
    <xf numFmtId="0" fontId="110" fillId="6" borderId="5" xfId="2" applyNumberFormat="1" applyFont="1" applyFill="1" applyBorder="1" applyAlignment="1" applyProtection="1">
      <alignment horizontal="center" vertical="center"/>
      <protection hidden="1"/>
    </xf>
    <xf numFmtId="0" fontId="491" fillId="6" borderId="111" xfId="2" applyNumberFormat="1" applyFont="1" applyFill="1" applyBorder="1" applyAlignment="1" applyProtection="1">
      <alignment horizontal="center" vertical="center"/>
      <protection hidden="1"/>
    </xf>
    <xf numFmtId="0" fontId="491" fillId="6" borderId="114" xfId="2" applyNumberFormat="1" applyFont="1" applyFill="1" applyBorder="1" applyAlignment="1" applyProtection="1">
      <alignment horizontal="center" vertical="center"/>
      <protection hidden="1"/>
    </xf>
    <xf numFmtId="0" fontId="491" fillId="6" borderId="112" xfId="2" applyNumberFormat="1" applyFont="1" applyFill="1" applyBorder="1" applyAlignment="1" applyProtection="1">
      <alignment horizontal="center" vertical="center"/>
      <protection hidden="1"/>
    </xf>
    <xf numFmtId="0" fontId="491" fillId="6" borderId="148" xfId="2" applyNumberFormat="1" applyFont="1" applyFill="1" applyBorder="1" applyAlignment="1" applyProtection="1">
      <alignment horizontal="center" vertical="center"/>
      <protection hidden="1"/>
    </xf>
    <xf numFmtId="176" fontId="174" fillId="3" borderId="34" xfId="2" applyNumberFormat="1" applyFont="1" applyFill="1" applyBorder="1" applyAlignment="1" applyProtection="1">
      <alignment horizontal="right"/>
      <protection locked="0"/>
    </xf>
    <xf numFmtId="176" fontId="174" fillId="3" borderId="63" xfId="2" applyNumberFormat="1" applyFont="1" applyFill="1" applyBorder="1" applyAlignment="1" applyProtection="1">
      <alignment horizontal="right"/>
      <protection locked="0"/>
    </xf>
    <xf numFmtId="176" fontId="174" fillId="3" borderId="57" xfId="2" applyNumberFormat="1" applyFont="1" applyFill="1" applyBorder="1" applyAlignment="1" applyProtection="1">
      <alignment horizontal="right"/>
      <protection locked="0"/>
    </xf>
    <xf numFmtId="176" fontId="174" fillId="3" borderId="58" xfId="2" applyNumberFormat="1" applyFont="1" applyFill="1" applyBorder="1" applyAlignment="1" applyProtection="1">
      <alignment horizontal="right"/>
      <protection locked="0"/>
    </xf>
    <xf numFmtId="176" fontId="174" fillId="3" borderId="41" xfId="2" applyNumberFormat="1" applyFont="1" applyFill="1" applyBorder="1" applyAlignment="1" applyProtection="1">
      <alignment horizontal="right"/>
      <protection locked="0"/>
    </xf>
    <xf numFmtId="176" fontId="174" fillId="3" borderId="122" xfId="2" applyNumberFormat="1" applyFont="1" applyFill="1" applyBorder="1" applyAlignment="1" applyProtection="1">
      <alignment horizontal="right"/>
      <protection locked="0"/>
    </xf>
    <xf numFmtId="176" fontId="174" fillId="3" borderId="59" xfId="2" applyNumberFormat="1" applyFont="1" applyFill="1" applyBorder="1" applyAlignment="1" applyProtection="1">
      <alignment horizontal="right"/>
      <protection locked="0"/>
    </xf>
    <xf numFmtId="176" fontId="174" fillId="3" borderId="62" xfId="2" applyNumberFormat="1" applyFont="1" applyFill="1" applyBorder="1" applyAlignment="1" applyProtection="1">
      <alignment horizontal="right"/>
      <protection locked="0"/>
    </xf>
    <xf numFmtId="176" fontId="174" fillId="3" borderId="81" xfId="2" applyNumberFormat="1" applyFont="1" applyFill="1" applyBorder="1" applyAlignment="1" applyProtection="1">
      <alignment horizontal="right"/>
      <protection locked="0"/>
    </xf>
    <xf numFmtId="176" fontId="174" fillId="3" borderId="64" xfId="2" applyNumberFormat="1" applyFont="1" applyFill="1" applyBorder="1" applyAlignment="1" applyProtection="1">
      <alignment horizontal="right"/>
      <protection locked="0"/>
    </xf>
    <xf numFmtId="176" fontId="174" fillId="3" borderId="62" xfId="2" quotePrefix="1" applyNumberFormat="1" applyFont="1" applyFill="1" applyBorder="1" applyAlignment="1" applyProtection="1">
      <alignment horizontal="right"/>
      <protection locked="0"/>
    </xf>
    <xf numFmtId="176" fontId="174" fillId="3" borderId="63" xfId="2" quotePrefix="1" applyNumberFormat="1" applyFont="1" applyFill="1" applyBorder="1" applyAlignment="1" applyProtection="1">
      <alignment horizontal="right"/>
      <protection locked="0"/>
    </xf>
    <xf numFmtId="0" fontId="20" fillId="15" borderId="0" xfId="2" applyFont="1" applyFill="1" applyAlignment="1" applyProtection="1">
      <alignment horizontal="center" vertical="center" textRotation="90"/>
      <protection hidden="1"/>
    </xf>
    <xf numFmtId="0" fontId="613" fillId="11" borderId="12" xfId="1" applyFont="1" applyFill="1" applyBorder="1" applyAlignment="1">
      <alignment horizontal="center" vertical="center"/>
    </xf>
    <xf numFmtId="0" fontId="613" fillId="11" borderId="14" xfId="1" applyFont="1" applyFill="1" applyBorder="1" applyAlignment="1">
      <alignment horizontal="center" vertical="center"/>
    </xf>
    <xf numFmtId="0" fontId="500" fillId="6" borderId="118" xfId="2" applyNumberFormat="1" applyFont="1" applyFill="1" applyBorder="1" applyAlignment="1" applyProtection="1">
      <alignment horizontal="center" vertical="center" wrapText="1"/>
      <protection hidden="1"/>
    </xf>
    <xf numFmtId="0" fontId="500" fillId="6" borderId="119" xfId="2" applyNumberFormat="1" applyFont="1" applyFill="1" applyBorder="1" applyAlignment="1" applyProtection="1">
      <alignment horizontal="center" vertical="center"/>
      <protection hidden="1"/>
    </xf>
    <xf numFmtId="0" fontId="500" fillId="6" borderId="1" xfId="2" applyNumberFormat="1" applyFont="1" applyFill="1" applyBorder="1" applyAlignment="1" applyProtection="1">
      <alignment horizontal="center" vertical="center"/>
      <protection hidden="1"/>
    </xf>
    <xf numFmtId="0" fontId="500" fillId="6" borderId="2" xfId="2" applyNumberFormat="1" applyFont="1" applyFill="1" applyBorder="1" applyAlignment="1" applyProtection="1">
      <alignment horizontal="center" vertical="center"/>
      <protection hidden="1"/>
    </xf>
    <xf numFmtId="0" fontId="500" fillId="6" borderId="113" xfId="2" applyNumberFormat="1" applyFont="1" applyFill="1" applyBorder="1" applyAlignment="1" applyProtection="1">
      <alignment horizontal="center" vertical="center"/>
      <protection hidden="1"/>
    </xf>
    <xf numFmtId="0" fontId="500" fillId="6" borderId="5" xfId="2" applyNumberFormat="1" applyFont="1" applyFill="1" applyBorder="1" applyAlignment="1" applyProtection="1">
      <alignment horizontal="center" vertical="center"/>
      <protection hidden="1"/>
    </xf>
    <xf numFmtId="0" fontId="109" fillId="6" borderId="116" xfId="2" applyNumberFormat="1" applyFont="1" applyFill="1" applyBorder="1" applyAlignment="1" applyProtection="1">
      <alignment horizontal="center" vertical="center"/>
      <protection hidden="1"/>
    </xf>
    <xf numFmtId="0" fontId="109" fillId="6" borderId="226" xfId="2" applyNumberFormat="1" applyFont="1" applyFill="1" applyBorder="1" applyAlignment="1" applyProtection="1">
      <alignment horizontal="center" vertical="center"/>
      <protection hidden="1"/>
    </xf>
    <xf numFmtId="0" fontId="500" fillId="6" borderId="28" xfId="2" applyNumberFormat="1" applyFont="1" applyFill="1" applyBorder="1" applyAlignment="1" applyProtection="1">
      <alignment horizontal="center" vertical="center"/>
      <protection hidden="1"/>
    </xf>
    <xf numFmtId="0" fontId="500" fillId="6" borderId="29" xfId="2" applyNumberFormat="1" applyFont="1" applyFill="1" applyBorder="1" applyAlignment="1" applyProtection="1">
      <alignment horizontal="center" vertical="center"/>
      <protection hidden="1"/>
    </xf>
    <xf numFmtId="0" fontId="500" fillId="6" borderId="31" xfId="2" applyNumberFormat="1" applyFont="1" applyFill="1" applyBorder="1" applyAlignment="1" applyProtection="1">
      <alignment horizontal="center" vertical="center"/>
      <protection hidden="1"/>
    </xf>
    <xf numFmtId="0" fontId="500" fillId="6" borderId="27" xfId="2" applyNumberFormat="1" applyFont="1" applyFill="1" applyBorder="1" applyAlignment="1" applyProtection="1">
      <alignment horizontal="center" vertical="center"/>
      <protection hidden="1"/>
    </xf>
    <xf numFmtId="0" fontId="500" fillId="6" borderId="252" xfId="2" applyNumberFormat="1" applyFont="1" applyFill="1" applyBorder="1" applyAlignment="1" applyProtection="1">
      <alignment horizontal="center" vertical="center"/>
      <protection hidden="1"/>
    </xf>
    <xf numFmtId="0" fontId="500" fillId="6" borderId="612" xfId="2" applyNumberFormat="1" applyFont="1" applyFill="1" applyBorder="1" applyAlignment="1" applyProtection="1">
      <alignment horizontal="center" vertical="center"/>
      <protection hidden="1"/>
    </xf>
    <xf numFmtId="0" fontId="500" fillId="6" borderId="67" xfId="2" applyNumberFormat="1" applyFont="1" applyFill="1" applyBorder="1" applyAlignment="1" applyProtection="1">
      <alignment horizontal="center" vertical="center" wrapText="1"/>
      <protection hidden="1"/>
    </xf>
    <xf numFmtId="0" fontId="500" fillId="6" borderId="602" xfId="2" applyNumberFormat="1" applyFont="1" applyFill="1" applyBorder="1" applyAlignment="1" applyProtection="1">
      <alignment horizontal="center" vertical="center" wrapText="1"/>
      <protection hidden="1"/>
    </xf>
    <xf numFmtId="0" fontId="500" fillId="6" borderId="113" xfId="2" applyNumberFormat="1" applyFont="1" applyFill="1" applyBorder="1" applyAlignment="1" applyProtection="1">
      <alignment horizontal="center" vertical="center" wrapText="1"/>
      <protection hidden="1"/>
    </xf>
    <xf numFmtId="0" fontId="500" fillId="6" borderId="382" xfId="2" applyNumberFormat="1" applyFont="1" applyFill="1" applyBorder="1" applyAlignment="1" applyProtection="1">
      <alignment horizontal="center" vertical="center" wrapText="1"/>
      <protection hidden="1"/>
    </xf>
    <xf numFmtId="0" fontId="500" fillId="6" borderId="66" xfId="2" applyNumberFormat="1" applyFont="1" applyFill="1" applyBorder="1" applyAlignment="1" applyProtection="1">
      <alignment horizontal="center" vertical="center" wrapText="1"/>
      <protection hidden="1"/>
    </xf>
    <xf numFmtId="0" fontId="500" fillId="6" borderId="205" xfId="2" applyNumberFormat="1" applyFont="1" applyFill="1" applyBorder="1" applyAlignment="1" applyProtection="1">
      <alignment horizontal="center" vertical="center"/>
      <protection hidden="1"/>
    </xf>
    <xf numFmtId="0" fontId="500" fillId="6" borderId="440" xfId="2" applyNumberFormat="1" applyFont="1" applyFill="1" applyBorder="1" applyAlignment="1" applyProtection="1">
      <alignment horizontal="center" vertical="center"/>
      <protection hidden="1"/>
    </xf>
    <xf numFmtId="0" fontId="500" fillId="6" borderId="6" xfId="2" applyNumberFormat="1" applyFont="1" applyFill="1" applyBorder="1" applyAlignment="1" applyProtection="1">
      <alignment horizontal="center" vertical="center"/>
      <protection hidden="1"/>
    </xf>
    <xf numFmtId="0" fontId="500" fillId="6" borderId="124" xfId="2" applyNumberFormat="1" applyFont="1" applyFill="1" applyBorder="1" applyAlignment="1" applyProtection="1">
      <alignment horizontal="center" vertical="center" wrapText="1"/>
      <protection hidden="1"/>
    </xf>
    <xf numFmtId="0" fontId="500" fillId="6" borderId="30" xfId="2" applyNumberFormat="1" applyFont="1" applyFill="1" applyBorder="1" applyAlignment="1" applyProtection="1">
      <alignment horizontal="center" vertical="center" wrapText="1"/>
      <protection hidden="1"/>
    </xf>
    <xf numFmtId="0" fontId="500" fillId="6" borderId="36" xfId="2" applyNumberFormat="1" applyFont="1" applyFill="1" applyBorder="1" applyAlignment="1" applyProtection="1">
      <alignment horizontal="center" vertical="center" wrapText="1"/>
      <protection hidden="1"/>
    </xf>
    <xf numFmtId="0" fontId="500" fillId="6" borderId="441" xfId="2" applyNumberFormat="1" applyFont="1" applyFill="1" applyBorder="1" applyAlignment="1" applyProtection="1">
      <alignment horizontal="center" vertical="center" wrapText="1"/>
      <protection hidden="1"/>
    </xf>
    <xf numFmtId="176" fontId="174" fillId="3" borderId="31" xfId="2" applyNumberFormat="1" applyFont="1" applyFill="1" applyBorder="1" applyAlignment="1" applyProtection="1">
      <alignment horizontal="right"/>
      <protection locked="0"/>
    </xf>
    <xf numFmtId="176" fontId="174" fillId="3" borderId="94" xfId="2" applyNumberFormat="1" applyFont="1" applyFill="1" applyBorder="1" applyAlignment="1" applyProtection="1">
      <alignment horizontal="right"/>
      <protection locked="0"/>
    </xf>
    <xf numFmtId="0" fontId="500" fillId="6" borderId="30" xfId="2" applyNumberFormat="1" applyFont="1" applyFill="1" applyBorder="1" applyAlignment="1" applyProtection="1">
      <alignment horizontal="center" vertical="center"/>
      <protection hidden="1"/>
    </xf>
    <xf numFmtId="0" fontId="500" fillId="6" borderId="441" xfId="2" applyNumberFormat="1" applyFont="1" applyFill="1" applyBorder="1" applyAlignment="1" applyProtection="1">
      <alignment horizontal="center" vertical="center"/>
      <protection hidden="1"/>
    </xf>
    <xf numFmtId="0" fontId="500" fillId="6" borderId="205" xfId="2" applyNumberFormat="1" applyFont="1" applyFill="1" applyBorder="1" applyAlignment="1" applyProtection="1">
      <alignment horizontal="center" vertical="center" wrapText="1"/>
      <protection hidden="1"/>
    </xf>
    <xf numFmtId="0" fontId="500" fillId="6" borderId="124" xfId="2" applyNumberFormat="1" applyFont="1" applyFill="1" applyBorder="1" applyAlignment="1" applyProtection="1">
      <alignment horizontal="center" vertical="center"/>
      <protection hidden="1"/>
    </xf>
    <xf numFmtId="0" fontId="500" fillId="6" borderId="36" xfId="2" applyNumberFormat="1" applyFont="1" applyFill="1" applyBorder="1" applyAlignment="1" applyProtection="1">
      <alignment horizontal="center" vertical="center"/>
      <protection hidden="1"/>
    </xf>
    <xf numFmtId="0" fontId="500" fillId="6" borderId="601" xfId="2" applyNumberFormat="1" applyFont="1" applyFill="1" applyBorder="1" applyAlignment="1" applyProtection="1">
      <alignment horizontal="center" vertical="center" wrapText="1"/>
      <protection hidden="1"/>
    </xf>
    <xf numFmtId="0" fontId="500" fillId="6" borderId="613" xfId="2" applyNumberFormat="1" applyFont="1" applyFill="1" applyBorder="1" applyAlignment="1" applyProtection="1">
      <alignment horizontal="center" vertical="center" wrapText="1"/>
      <protection hidden="1"/>
    </xf>
    <xf numFmtId="176" fontId="174" fillId="3" borderId="152" xfId="2" applyNumberFormat="1" applyFont="1" applyFill="1" applyBorder="1" applyAlignment="1" applyProtection="1">
      <alignment horizontal="right"/>
      <protection locked="0"/>
    </xf>
    <xf numFmtId="176" fontId="174" fillId="3" borderId="252" xfId="2" applyNumberFormat="1" applyFont="1" applyFill="1" applyBorder="1" applyAlignment="1" applyProtection="1">
      <alignment horizontal="right"/>
      <protection locked="0"/>
    </xf>
    <xf numFmtId="176" fontId="174" fillId="3" borderId="151" xfId="2" applyNumberFormat="1" applyFont="1" applyFill="1" applyBorder="1" applyAlignment="1" applyProtection="1">
      <alignment horizontal="right"/>
      <protection locked="0"/>
    </xf>
    <xf numFmtId="196" fontId="459" fillId="8" borderId="149" xfId="7" applyNumberFormat="1" applyFont="1" applyFill="1" applyBorder="1" applyAlignment="1" applyProtection="1">
      <alignment horizontal="right" vertical="center" shrinkToFit="1"/>
      <protection hidden="1"/>
    </xf>
    <xf numFmtId="196" fontId="459" fillId="8" borderId="114" xfId="7" applyNumberFormat="1" applyFont="1" applyFill="1" applyBorder="1" applyAlignment="1" applyProtection="1">
      <alignment horizontal="right" vertical="center" shrinkToFit="1"/>
      <protection hidden="1"/>
    </xf>
    <xf numFmtId="196" fontId="459" fillId="8" borderId="112" xfId="7" applyNumberFormat="1" applyFont="1" applyFill="1" applyBorder="1" applyAlignment="1" applyProtection="1">
      <alignment horizontal="right" vertical="center" shrinkToFit="1"/>
      <protection hidden="1"/>
    </xf>
    <xf numFmtId="196" fontId="459" fillId="8" borderId="111" xfId="7" applyNumberFormat="1" applyFont="1" applyFill="1" applyBorder="1" applyAlignment="1" applyProtection="1">
      <alignment horizontal="right" vertical="center" shrinkToFit="1"/>
      <protection hidden="1"/>
    </xf>
    <xf numFmtId="0" fontId="506" fillId="8" borderId="111" xfId="7" applyNumberFormat="1" applyFont="1" applyFill="1" applyBorder="1" applyAlignment="1" applyProtection="1">
      <alignment horizontal="center" vertical="center" shrinkToFit="1"/>
      <protection hidden="1"/>
    </xf>
    <xf numFmtId="0" fontId="506" fillId="8" borderId="114" xfId="7" applyNumberFormat="1" applyFont="1" applyFill="1" applyBorder="1" applyAlignment="1" applyProtection="1">
      <alignment horizontal="center" vertical="center" shrinkToFit="1"/>
      <protection hidden="1"/>
    </xf>
    <xf numFmtId="0" fontId="506" fillId="8" borderId="148" xfId="7" applyNumberFormat="1" applyFont="1" applyFill="1" applyBorder="1" applyAlignment="1" applyProtection="1">
      <alignment horizontal="center" vertical="center" shrinkToFit="1"/>
      <protection hidden="1"/>
    </xf>
    <xf numFmtId="196" fontId="459" fillId="8" borderId="611" xfId="7" applyNumberFormat="1" applyFont="1" applyFill="1" applyBorder="1" applyAlignment="1" applyProtection="1">
      <alignment horizontal="right" vertical="center"/>
      <protection hidden="1"/>
    </xf>
    <xf numFmtId="196" fontId="459" fillId="8" borderId="94" xfId="7" applyNumberFormat="1" applyFont="1" applyFill="1" applyBorder="1" applyAlignment="1" applyProtection="1">
      <alignment horizontal="right" vertical="center"/>
      <protection hidden="1"/>
    </xf>
    <xf numFmtId="196" fontId="459" fillId="8" borderId="151" xfId="7" applyNumberFormat="1" applyFont="1" applyFill="1" applyBorder="1" applyAlignment="1" applyProtection="1">
      <alignment horizontal="right" vertical="center"/>
      <protection hidden="1"/>
    </xf>
    <xf numFmtId="196" fontId="459" fillId="8" borderId="152" xfId="7" applyNumberFormat="1" applyFont="1" applyFill="1" applyBorder="1" applyAlignment="1" applyProtection="1">
      <alignment horizontal="right" vertical="center"/>
      <protection hidden="1"/>
    </xf>
    <xf numFmtId="0" fontId="506" fillId="8" borderId="152" xfId="7" applyNumberFormat="1" applyFont="1" applyFill="1" applyBorder="1" applyAlignment="1" applyProtection="1">
      <alignment horizontal="center" vertical="center" shrinkToFit="1"/>
      <protection hidden="1"/>
    </xf>
    <xf numFmtId="0" fontId="506" fillId="8" borderId="94" xfId="7" applyNumberFormat="1" applyFont="1" applyFill="1" applyBorder="1" applyAlignment="1" applyProtection="1">
      <alignment horizontal="center" vertical="center" shrinkToFit="1"/>
      <protection hidden="1"/>
    </xf>
    <xf numFmtId="0" fontId="506" fillId="8" borderId="99" xfId="7" applyNumberFormat="1" applyFont="1" applyFill="1" applyBorder="1" applyAlignment="1" applyProtection="1">
      <alignment horizontal="center" vertical="center" shrinkToFit="1"/>
      <protection hidden="1"/>
    </xf>
    <xf numFmtId="184" fontId="459" fillId="8" borderId="149" xfId="7" applyNumberFormat="1" applyFont="1" applyFill="1" applyBorder="1" applyAlignment="1" applyProtection="1">
      <alignment horizontal="right" vertical="center" shrinkToFit="1"/>
      <protection hidden="1"/>
    </xf>
    <xf numFmtId="184" fontId="459" fillId="8" borderId="114" xfId="7" applyNumberFormat="1" applyFont="1" applyFill="1" applyBorder="1" applyAlignment="1" applyProtection="1">
      <alignment horizontal="right" vertical="center" shrinkToFit="1"/>
      <protection hidden="1"/>
    </xf>
    <xf numFmtId="184" fontId="459" fillId="8" borderId="112" xfId="7" applyNumberFormat="1" applyFont="1" applyFill="1" applyBorder="1" applyAlignment="1" applyProtection="1">
      <alignment horizontal="right" vertical="center" shrinkToFit="1"/>
      <protection hidden="1"/>
    </xf>
    <xf numFmtId="184" fontId="459" fillId="8" borderId="111" xfId="7" applyNumberFormat="1" applyFont="1" applyFill="1" applyBorder="1" applyAlignment="1" applyProtection="1">
      <alignment horizontal="right" vertical="center" shrinkToFit="1"/>
      <protection hidden="1"/>
    </xf>
    <xf numFmtId="184" fontId="459" fillId="8" borderId="110" xfId="7" applyNumberFormat="1" applyFont="1" applyFill="1" applyBorder="1" applyAlignment="1" applyProtection="1">
      <alignment horizontal="right" vertical="center"/>
      <protection hidden="1"/>
    </xf>
    <xf numFmtId="184" fontId="459" fillId="8" borderId="107" xfId="7" applyNumberFormat="1" applyFont="1" applyFill="1" applyBorder="1" applyAlignment="1" applyProtection="1">
      <alignment horizontal="right" vertical="center"/>
      <protection hidden="1"/>
    </xf>
    <xf numFmtId="184" fontId="459" fillId="8" borderId="154" xfId="7" applyNumberFormat="1" applyFont="1" applyFill="1" applyBorder="1" applyAlignment="1" applyProtection="1">
      <alignment horizontal="right" vertical="center"/>
      <protection hidden="1"/>
    </xf>
    <xf numFmtId="184" fontId="459" fillId="8" borderId="153" xfId="7" applyNumberFormat="1" applyFont="1" applyFill="1" applyBorder="1" applyAlignment="1" applyProtection="1">
      <alignment horizontal="right" vertical="center" shrinkToFit="1"/>
      <protection hidden="1"/>
    </xf>
    <xf numFmtId="184" fontId="459" fillId="8" borderId="107" xfId="7" applyNumberFormat="1" applyFont="1" applyFill="1" applyBorder="1" applyAlignment="1" applyProtection="1">
      <alignment horizontal="right" vertical="center" shrinkToFit="1"/>
      <protection hidden="1"/>
    </xf>
    <xf numFmtId="184" fontId="459" fillId="8" borderId="154" xfId="7" applyNumberFormat="1" applyFont="1" applyFill="1" applyBorder="1" applyAlignment="1" applyProtection="1">
      <alignment horizontal="right" vertical="center" shrinkToFit="1"/>
      <protection hidden="1"/>
    </xf>
    <xf numFmtId="0" fontId="451" fillId="8" borderId="153" xfId="7" applyNumberFormat="1" applyFont="1" applyFill="1" applyBorder="1" applyAlignment="1" applyProtection="1">
      <alignment horizontal="left"/>
      <protection hidden="1"/>
    </xf>
    <xf numFmtId="0" fontId="451" fillId="8" borderId="107" xfId="7" applyNumberFormat="1" applyFont="1" applyFill="1" applyBorder="1" applyAlignment="1" applyProtection="1">
      <alignment horizontal="left"/>
      <protection hidden="1"/>
    </xf>
    <xf numFmtId="0" fontId="451" fillId="8" borderId="108" xfId="7" applyNumberFormat="1" applyFont="1" applyFill="1" applyBorder="1" applyAlignment="1" applyProtection="1">
      <alignment horizontal="left"/>
      <protection hidden="1"/>
    </xf>
    <xf numFmtId="204" fontId="451" fillId="8" borderId="619" xfId="7" applyNumberFormat="1" applyFont="1" applyFill="1" applyBorder="1" applyAlignment="1" applyProtection="1">
      <alignment horizontal="left" shrinkToFit="1"/>
      <protection hidden="1"/>
    </xf>
    <xf numFmtId="204" fontId="451" fillId="8" borderId="618" xfId="7" applyNumberFormat="1" applyFont="1" applyFill="1" applyBorder="1" applyAlignment="1" applyProtection="1">
      <alignment horizontal="left" shrinkToFit="1"/>
      <protection hidden="1"/>
    </xf>
    <xf numFmtId="204" fontId="451" fillId="8" borderId="617" xfId="7" applyNumberFormat="1" applyFont="1" applyFill="1" applyBorder="1" applyAlignment="1" applyProtection="1">
      <alignment horizontal="left" shrinkToFit="1"/>
      <protection hidden="1"/>
    </xf>
    <xf numFmtId="204" fontId="451" fillId="8" borderId="616" xfId="7" applyNumberFormat="1" applyFont="1" applyFill="1" applyBorder="1" applyAlignment="1" applyProtection="1">
      <alignment horizontal="left" shrinkToFit="1"/>
      <protection hidden="1"/>
    </xf>
    <xf numFmtId="204" fontId="451" fillId="8" borderId="615" xfId="7" applyNumberFormat="1" applyFont="1" applyFill="1" applyBorder="1" applyAlignment="1" applyProtection="1">
      <alignment horizontal="left" shrinkToFit="1"/>
      <protection hidden="1"/>
    </xf>
    <xf numFmtId="204" fontId="451" fillId="8" borderId="614" xfId="7" applyNumberFormat="1" applyFont="1" applyFill="1" applyBorder="1" applyAlignment="1" applyProtection="1">
      <alignment horizontal="left" shrinkToFit="1"/>
      <protection hidden="1"/>
    </xf>
    <xf numFmtId="0" fontId="509" fillId="49" borderId="72" xfId="7" applyNumberFormat="1" applyFont="1" applyFill="1" applyBorder="1" applyAlignment="1" applyProtection="1">
      <alignment horizontal="center" vertical="center"/>
      <protection hidden="1"/>
    </xf>
    <xf numFmtId="0" fontId="509" fillId="49" borderId="73" xfId="7" applyNumberFormat="1" applyFont="1" applyFill="1" applyBorder="1" applyAlignment="1" applyProtection="1">
      <alignment horizontal="center" vertical="center"/>
      <protection hidden="1"/>
    </xf>
    <xf numFmtId="0" fontId="451" fillId="48" borderId="72" xfId="7" applyNumberFormat="1" applyFont="1" applyFill="1" applyBorder="1" applyAlignment="1" applyProtection="1">
      <alignment horizontal="center" vertical="center"/>
      <protection hidden="1"/>
    </xf>
    <xf numFmtId="0" fontId="451" fillId="48" borderId="76" xfId="7" applyNumberFormat="1" applyFont="1" applyFill="1" applyBorder="1" applyAlignment="1" applyProtection="1">
      <alignment horizontal="center" vertical="center"/>
      <protection hidden="1"/>
    </xf>
    <xf numFmtId="0" fontId="451" fillId="48" borderId="224" xfId="7" applyNumberFormat="1" applyFont="1" applyFill="1" applyBorder="1" applyAlignment="1" applyProtection="1">
      <alignment horizontal="center" vertical="center"/>
      <protection hidden="1"/>
    </xf>
    <xf numFmtId="0" fontId="85" fillId="48" borderId="223" xfId="7" applyNumberFormat="1" applyFont="1" applyFill="1" applyBorder="1" applyAlignment="1" applyProtection="1">
      <alignment horizontal="center" vertical="center"/>
      <protection hidden="1"/>
    </xf>
    <xf numFmtId="0" fontId="451" fillId="48" borderId="223" xfId="7" applyNumberFormat="1" applyFont="1" applyFill="1" applyBorder="1" applyAlignment="1" applyProtection="1">
      <alignment horizontal="center" vertical="center"/>
      <protection hidden="1"/>
    </xf>
    <xf numFmtId="0" fontId="508" fillId="8" borderId="223" xfId="7" applyNumberFormat="1" applyFont="1" applyFill="1" applyBorder="1" applyAlignment="1" applyProtection="1">
      <alignment horizontal="center" vertical="center"/>
      <protection hidden="1"/>
    </xf>
    <xf numFmtId="0" fontId="508" fillId="8" borderId="76" xfId="7" applyNumberFormat="1" applyFont="1" applyFill="1" applyBorder="1" applyAlignment="1" applyProtection="1">
      <alignment horizontal="center" vertical="center"/>
      <protection hidden="1"/>
    </xf>
    <xf numFmtId="0" fontId="508" fillId="8" borderId="73" xfId="7" applyNumberFormat="1" applyFont="1" applyFill="1" applyBorder="1" applyAlignment="1" applyProtection="1">
      <alignment horizontal="center" vertical="center"/>
      <protection hidden="1"/>
    </xf>
    <xf numFmtId="196" fontId="459" fillId="8" borderId="620" xfId="7" applyNumberFormat="1" applyFont="1" applyFill="1" applyBorder="1" applyAlignment="1" applyProtection="1">
      <alignment horizontal="right" vertical="center"/>
      <protection hidden="1"/>
    </xf>
    <xf numFmtId="196" fontId="459" fillId="8" borderId="143" xfId="7" applyNumberFormat="1" applyFont="1" applyFill="1" applyBorder="1" applyAlignment="1" applyProtection="1">
      <alignment horizontal="right" vertical="center"/>
      <protection hidden="1"/>
    </xf>
    <xf numFmtId="196" fontId="459" fillId="8" borderId="145" xfId="7" applyNumberFormat="1" applyFont="1" applyFill="1" applyBorder="1" applyAlignment="1" applyProtection="1">
      <alignment horizontal="right" vertical="center"/>
      <protection hidden="1"/>
    </xf>
    <xf numFmtId="196" fontId="459" fillId="8" borderId="144" xfId="7" applyNumberFormat="1" applyFont="1" applyFill="1" applyBorder="1" applyAlignment="1" applyProtection="1">
      <alignment horizontal="right" vertical="center"/>
      <protection hidden="1"/>
    </xf>
    <xf numFmtId="0" fontId="506" fillId="8" borderId="144" xfId="7" applyNumberFormat="1" applyFont="1" applyFill="1" applyBorder="1" applyAlignment="1" applyProtection="1">
      <alignment horizontal="center" vertical="center" shrinkToFit="1"/>
      <protection hidden="1"/>
    </xf>
    <xf numFmtId="0" fontId="506" fillId="8" borderId="143" xfId="7" applyNumberFormat="1" applyFont="1" applyFill="1" applyBorder="1" applyAlignment="1" applyProtection="1">
      <alignment horizontal="center" vertical="center" shrinkToFit="1"/>
      <protection hidden="1"/>
    </xf>
    <xf numFmtId="0" fontId="506" fillId="8" borderId="142" xfId="7" applyNumberFormat="1" applyFont="1" applyFill="1" applyBorder="1" applyAlignment="1" applyProtection="1">
      <alignment horizontal="center" vertical="center" shrinkToFit="1"/>
      <protection hidden="1"/>
    </xf>
    <xf numFmtId="196" fontId="459" fillId="8" borderId="111" xfId="7" applyNumberFormat="1" applyFont="1" applyFill="1" applyBorder="1" applyAlignment="1" applyProtection="1">
      <alignment horizontal="left"/>
      <protection hidden="1"/>
    </xf>
    <xf numFmtId="0" fontId="459" fillId="8" borderId="114" xfId="7" applyNumberFormat="1" applyFont="1" applyFill="1" applyBorder="1" applyAlignment="1" applyProtection="1">
      <alignment horizontal="left"/>
      <protection hidden="1"/>
    </xf>
    <xf numFmtId="0" fontId="459" fillId="8" borderId="112" xfId="7" applyNumberFormat="1" applyFont="1" applyFill="1" applyBorder="1" applyAlignment="1" applyProtection="1">
      <alignment horizontal="left"/>
      <protection hidden="1"/>
    </xf>
    <xf numFmtId="0" fontId="163" fillId="51" borderId="63" xfId="7" applyNumberFormat="1" applyFont="1" applyFill="1" applyBorder="1" applyAlignment="1" applyProtection="1">
      <alignment horizontal="center" vertical="center"/>
      <protection hidden="1"/>
    </xf>
    <xf numFmtId="204" fontId="451" fillId="50" borderId="623" xfId="7" applyNumberFormat="1" applyFont="1" applyFill="1" applyBorder="1" applyAlignment="1" applyProtection="1">
      <alignment horizontal="left" vertical="center" shrinkToFit="1"/>
      <protection hidden="1"/>
    </xf>
    <xf numFmtId="204" fontId="451" fillId="50" borderId="622" xfId="7" applyNumberFormat="1" applyFont="1" applyFill="1" applyBorder="1" applyAlignment="1" applyProtection="1">
      <alignment horizontal="left" vertical="center" shrinkToFit="1"/>
      <protection hidden="1"/>
    </xf>
    <xf numFmtId="204" fontId="451" fillId="50" borderId="621" xfId="7" applyNumberFormat="1" applyFont="1" applyFill="1" applyBorder="1" applyAlignment="1" applyProtection="1">
      <alignment horizontal="left" vertical="center" shrinkToFit="1"/>
      <protection hidden="1"/>
    </xf>
    <xf numFmtId="0" fontId="509" fillId="49" borderId="175" xfId="7" applyNumberFormat="1" applyFont="1" applyFill="1" applyBorder="1" applyAlignment="1" applyProtection="1">
      <alignment horizontal="center" vertical="center"/>
      <protection hidden="1"/>
    </xf>
    <xf numFmtId="0" fontId="509" fillId="49" borderId="93" xfId="7" applyNumberFormat="1" applyFont="1" applyFill="1" applyBorder="1" applyAlignment="1" applyProtection="1">
      <alignment horizontal="center" vertical="center"/>
      <protection hidden="1"/>
    </xf>
    <xf numFmtId="0" fontId="451" fillId="48" borderId="175" xfId="7" applyNumberFormat="1" applyFont="1" applyFill="1" applyBorder="1" applyAlignment="1" applyProtection="1">
      <alignment horizontal="center" vertical="center"/>
      <protection hidden="1"/>
    </xf>
    <xf numFmtId="0" fontId="451" fillId="48" borderId="92" xfId="7" applyNumberFormat="1" applyFont="1" applyFill="1" applyBorder="1" applyAlignment="1" applyProtection="1">
      <alignment horizontal="center" vertical="center"/>
      <protection hidden="1"/>
    </xf>
    <xf numFmtId="0" fontId="451" fillId="48" borderId="245" xfId="7" applyNumberFormat="1" applyFont="1" applyFill="1" applyBorder="1" applyAlignment="1" applyProtection="1">
      <alignment horizontal="center" vertical="center"/>
      <protection hidden="1"/>
    </xf>
    <xf numFmtId="0" fontId="85" fillId="48" borderId="246" xfId="7" applyNumberFormat="1" applyFont="1" applyFill="1" applyBorder="1" applyAlignment="1" applyProtection="1">
      <alignment horizontal="center" vertical="center"/>
      <protection hidden="1"/>
    </xf>
    <xf numFmtId="0" fontId="451" fillId="48" borderId="246" xfId="7" applyNumberFormat="1" applyFont="1" applyFill="1" applyBorder="1" applyAlignment="1" applyProtection="1">
      <alignment horizontal="center" vertical="center"/>
      <protection hidden="1"/>
    </xf>
    <xf numFmtId="0" fontId="508" fillId="8" borderId="246" xfId="7" applyNumberFormat="1" applyFont="1" applyFill="1" applyBorder="1" applyAlignment="1" applyProtection="1">
      <alignment horizontal="center" vertical="center"/>
      <protection hidden="1"/>
    </xf>
    <xf numFmtId="0" fontId="508" fillId="8" borderId="92" xfId="7" applyNumberFormat="1" applyFont="1" applyFill="1" applyBorder="1" applyAlignment="1" applyProtection="1">
      <alignment horizontal="center" vertical="center"/>
      <protection hidden="1"/>
    </xf>
    <xf numFmtId="0" fontId="508" fillId="8" borderId="93" xfId="7" applyNumberFormat="1" applyFont="1" applyFill="1" applyBorder="1" applyAlignment="1" applyProtection="1">
      <alignment horizontal="center" vertical="center"/>
      <protection hidden="1"/>
    </xf>
    <xf numFmtId="204" fontId="451" fillId="50" borderId="616" xfId="7" applyNumberFormat="1" applyFont="1" applyFill="1" applyBorder="1" applyAlignment="1" applyProtection="1">
      <alignment horizontal="left" shrinkToFit="1"/>
      <protection hidden="1"/>
    </xf>
    <xf numFmtId="204" fontId="451" fillId="50" borderId="615" xfId="7" applyNumberFormat="1" applyFont="1" applyFill="1" applyBorder="1" applyAlignment="1" applyProtection="1">
      <alignment horizontal="left" shrinkToFit="1"/>
      <protection hidden="1"/>
    </xf>
    <xf numFmtId="204" fontId="451" fillId="50" borderId="614" xfId="7" applyNumberFormat="1" applyFont="1" applyFill="1" applyBorder="1" applyAlignment="1" applyProtection="1">
      <alignment horizontal="left" shrinkToFit="1"/>
      <protection hidden="1"/>
    </xf>
    <xf numFmtId="0" fontId="522" fillId="23" borderId="633" xfId="7" applyNumberFormat="1" applyFont="1" applyFill="1" applyBorder="1" applyAlignment="1" applyProtection="1">
      <alignment horizontal="center" shrinkToFit="1"/>
      <protection hidden="1"/>
    </xf>
    <xf numFmtId="0" fontId="618" fillId="61" borderId="628" xfId="7" applyNumberFormat="1" applyFont="1" applyFill="1" applyBorder="1" applyAlignment="1" applyProtection="1">
      <alignment horizontal="center" shrinkToFit="1"/>
      <protection hidden="1"/>
    </xf>
    <xf numFmtId="0" fontId="618" fillId="61" borderId="627" xfId="7" applyNumberFormat="1" applyFont="1" applyFill="1" applyBorder="1" applyAlignment="1" applyProtection="1">
      <alignment horizontal="center" shrinkToFit="1"/>
      <protection hidden="1"/>
    </xf>
    <xf numFmtId="0" fontId="618" fillId="61" borderId="626" xfId="7" applyNumberFormat="1" applyFont="1" applyFill="1" applyBorder="1" applyAlignment="1" applyProtection="1">
      <alignment horizontal="center" shrinkToFit="1"/>
      <protection hidden="1"/>
    </xf>
    <xf numFmtId="0" fontId="520" fillId="23" borderId="63" xfId="7" applyNumberFormat="1" applyFont="1" applyFill="1" applyBorder="1" applyAlignment="1" applyProtection="1">
      <alignment horizontal="center" vertical="center" shrinkToFit="1"/>
      <protection hidden="1"/>
    </xf>
    <xf numFmtId="196" fontId="451" fillId="13" borderId="72" xfId="7" applyNumberFormat="1" applyFont="1" applyFill="1" applyBorder="1" applyAlignment="1" applyProtection="1">
      <alignment horizontal="left" shrinkToFit="1"/>
      <protection locked="0"/>
    </xf>
    <xf numFmtId="196" fontId="451" fillId="13" borderId="76" xfId="7" applyNumberFormat="1" applyFont="1" applyFill="1" applyBorder="1" applyAlignment="1" applyProtection="1">
      <alignment horizontal="left" shrinkToFit="1"/>
      <protection locked="0"/>
    </xf>
    <xf numFmtId="196" fontId="451" fillId="13" borderId="73" xfId="7" applyNumberFormat="1" applyFont="1" applyFill="1" applyBorder="1" applyAlignment="1" applyProtection="1">
      <alignment horizontal="left" shrinkToFit="1"/>
      <protection locked="0"/>
    </xf>
    <xf numFmtId="204" fontId="451" fillId="50" borderId="619" xfId="7" applyNumberFormat="1" applyFont="1" applyFill="1" applyBorder="1" applyAlignment="1" applyProtection="1">
      <alignment horizontal="left" shrinkToFit="1"/>
      <protection hidden="1"/>
    </xf>
    <xf numFmtId="204" fontId="451" fillId="50" borderId="618" xfId="7" applyNumberFormat="1" applyFont="1" applyFill="1" applyBorder="1" applyAlignment="1" applyProtection="1">
      <alignment horizontal="left" shrinkToFit="1"/>
      <protection hidden="1"/>
    </xf>
    <xf numFmtId="204" fontId="451" fillId="50" borderId="617" xfId="7" applyNumberFormat="1" applyFont="1" applyFill="1" applyBorder="1" applyAlignment="1" applyProtection="1">
      <alignment horizontal="left" shrinkToFit="1"/>
      <protection hidden="1"/>
    </xf>
    <xf numFmtId="0" fontId="523" fillId="28" borderId="111" xfId="5" applyFont="1" applyFill="1" applyBorder="1" applyAlignment="1" applyProtection="1">
      <alignment horizontal="center" vertical="center"/>
      <protection hidden="1"/>
    </xf>
    <xf numFmtId="0" fontId="523" fillId="28" borderId="114" xfId="5" applyFont="1" applyFill="1" applyBorder="1" applyAlignment="1" applyProtection="1">
      <alignment horizontal="center" vertical="center"/>
      <protection hidden="1"/>
    </xf>
    <xf numFmtId="196" fontId="451" fillId="51" borderId="619" xfId="7" applyNumberFormat="1" applyFont="1" applyFill="1" applyBorder="1" applyAlignment="1" applyProtection="1">
      <alignment horizontal="left"/>
      <protection hidden="1"/>
    </xf>
    <xf numFmtId="196" fontId="451" fillId="51" borderId="618" xfId="7" applyNumberFormat="1" applyFont="1" applyFill="1" applyBorder="1" applyAlignment="1" applyProtection="1">
      <alignment horizontal="left"/>
      <protection hidden="1"/>
    </xf>
    <xf numFmtId="196" fontId="451" fillId="51" borderId="617" xfId="7" applyNumberFormat="1" applyFont="1" applyFill="1" applyBorder="1" applyAlignment="1" applyProtection="1">
      <alignment horizontal="left"/>
      <protection hidden="1"/>
    </xf>
    <xf numFmtId="204" fontId="451" fillId="51" borderId="623" xfId="7" applyNumberFormat="1" applyFont="1" applyFill="1" applyBorder="1" applyAlignment="1" applyProtection="1">
      <alignment horizontal="left" vertical="center" shrinkToFit="1"/>
      <protection hidden="1"/>
    </xf>
    <xf numFmtId="204" fontId="451" fillId="51" borderId="622" xfId="7" applyNumberFormat="1" applyFont="1" applyFill="1" applyBorder="1" applyAlignment="1" applyProtection="1">
      <alignment horizontal="left" vertical="center" shrinkToFit="1"/>
      <protection hidden="1"/>
    </xf>
    <xf numFmtId="204" fontId="451" fillId="51" borderId="621" xfId="7" applyNumberFormat="1" applyFont="1" applyFill="1" applyBorder="1" applyAlignment="1" applyProtection="1">
      <alignment horizontal="left" vertical="center" shrinkToFit="1"/>
      <protection hidden="1"/>
    </xf>
    <xf numFmtId="196" fontId="451" fillId="51" borderId="616" xfId="7" applyNumberFormat="1" applyFont="1" applyFill="1" applyBorder="1" applyAlignment="1" applyProtection="1">
      <alignment horizontal="left"/>
      <protection hidden="1"/>
    </xf>
    <xf numFmtId="196" fontId="451" fillId="51" borderId="615" xfId="7" applyNumberFormat="1" applyFont="1" applyFill="1" applyBorder="1" applyAlignment="1" applyProtection="1">
      <alignment horizontal="left"/>
      <protection hidden="1"/>
    </xf>
    <xf numFmtId="196" fontId="451" fillId="51" borderId="614" xfId="7" applyNumberFormat="1" applyFont="1" applyFill="1" applyBorder="1" applyAlignment="1" applyProtection="1">
      <alignment horizontal="left"/>
      <protection hidden="1"/>
    </xf>
    <xf numFmtId="210" fontId="262" fillId="19" borderId="144" xfId="7" applyNumberFormat="1" applyFont="1" applyFill="1" applyBorder="1" applyAlignment="1" applyProtection="1">
      <alignment horizontal="right"/>
      <protection locked="0"/>
    </xf>
    <xf numFmtId="210" fontId="262" fillId="19" borderId="145" xfId="7" applyNumberFormat="1" applyFont="1" applyFill="1" applyBorder="1" applyAlignment="1" applyProtection="1">
      <alignment horizontal="right"/>
      <protection locked="0"/>
    </xf>
    <xf numFmtId="195" fontId="262" fillId="19" borderId="144" xfId="7" applyNumberFormat="1" applyFont="1" applyFill="1" applyBorder="1" applyAlignment="1" applyProtection="1">
      <alignment horizontal="right" shrinkToFit="1"/>
      <protection locked="0"/>
    </xf>
    <xf numFmtId="195" fontId="262" fillId="19" borderId="145" xfId="7" applyNumberFormat="1" applyFont="1" applyFill="1" applyBorder="1" applyAlignment="1" applyProtection="1">
      <alignment horizontal="right" shrinkToFit="1"/>
      <protection locked="0"/>
    </xf>
    <xf numFmtId="209" fontId="262" fillId="19" borderId="144" xfId="7" applyNumberFormat="1" applyFont="1" applyFill="1" applyBorder="1" applyAlignment="1" applyProtection="1">
      <alignment horizontal="right" shrinkToFit="1"/>
      <protection locked="0"/>
    </xf>
    <xf numFmtId="209" fontId="262" fillId="19" borderId="145" xfId="7" applyNumberFormat="1" applyFont="1" applyFill="1" applyBorder="1" applyAlignment="1" applyProtection="1">
      <alignment horizontal="right" shrinkToFit="1"/>
      <protection locked="0"/>
    </xf>
    <xf numFmtId="0" fontId="260" fillId="19" borderId="144" xfId="7" applyFont="1" applyFill="1" applyBorder="1" applyAlignment="1" applyProtection="1">
      <alignment horizontal="center"/>
      <protection locked="0"/>
    </xf>
    <xf numFmtId="0" fontId="260" fillId="19" borderId="145" xfId="7" applyFont="1" applyFill="1" applyBorder="1" applyAlignment="1" applyProtection="1">
      <alignment horizontal="center"/>
      <protection locked="0"/>
    </xf>
    <xf numFmtId="208" fontId="262" fillId="19" borderId="144" xfId="7" applyNumberFormat="1" applyFont="1" applyFill="1" applyBorder="1" applyAlignment="1" applyProtection="1">
      <alignment horizontal="right" shrinkToFit="1"/>
      <protection locked="0"/>
    </xf>
    <xf numFmtId="208" fontId="262" fillId="19" borderId="145" xfId="7" applyNumberFormat="1" applyFont="1" applyFill="1" applyBorder="1" applyAlignment="1" applyProtection="1">
      <alignment horizontal="right" shrinkToFit="1"/>
      <protection locked="0"/>
    </xf>
    <xf numFmtId="207" fontId="262" fillId="13" borderId="111" xfId="7" applyNumberFormat="1" applyFont="1" applyFill="1" applyBorder="1" applyAlignment="1" applyProtection="1">
      <alignment horizontal="right" shrinkToFit="1"/>
      <protection locked="0"/>
    </xf>
    <xf numFmtId="207" fontId="262" fillId="13" borderId="112" xfId="7" applyNumberFormat="1" applyFont="1" applyFill="1" applyBorder="1" applyAlignment="1" applyProtection="1">
      <alignment horizontal="right" shrinkToFit="1"/>
      <protection locked="0"/>
    </xf>
    <xf numFmtId="208" fontId="262" fillId="19" borderId="111" xfId="7" applyNumberFormat="1" applyFont="1" applyFill="1" applyBorder="1" applyAlignment="1" applyProtection="1">
      <alignment horizontal="right" shrinkToFit="1"/>
      <protection locked="0"/>
    </xf>
    <xf numFmtId="208" fontId="262" fillId="19" borderId="112" xfId="7" applyNumberFormat="1" applyFont="1" applyFill="1" applyBorder="1" applyAlignment="1" applyProtection="1">
      <alignment horizontal="right" shrinkToFit="1"/>
      <protection locked="0"/>
    </xf>
    <xf numFmtId="0" fontId="618" fillId="52" borderId="628" xfId="7" applyNumberFormat="1" applyFont="1" applyFill="1" applyBorder="1" applyAlignment="1" applyProtection="1">
      <alignment horizontal="center" shrinkToFit="1"/>
      <protection hidden="1"/>
    </xf>
    <xf numFmtId="0" fontId="618" fillId="52" borderId="627" xfId="7" applyNumberFormat="1" applyFont="1" applyFill="1" applyBorder="1" applyAlignment="1" applyProtection="1">
      <alignment horizontal="center" shrinkToFit="1"/>
      <protection hidden="1"/>
    </xf>
    <xf numFmtId="0" fontId="618" fillId="52" borderId="626" xfId="7" applyNumberFormat="1" applyFont="1" applyFill="1" applyBorder="1" applyAlignment="1" applyProtection="1">
      <alignment horizontal="center" shrinkToFit="1"/>
      <protection hidden="1"/>
    </xf>
    <xf numFmtId="207" fontId="262" fillId="13" borderId="144" xfId="7" applyNumberFormat="1" applyFont="1" applyFill="1" applyBorder="1" applyAlignment="1" applyProtection="1">
      <alignment horizontal="right" shrinkToFit="1"/>
      <protection locked="0"/>
    </xf>
    <xf numFmtId="207" fontId="262" fillId="13" borderId="145" xfId="7" applyNumberFormat="1" applyFont="1" applyFill="1" applyBorder="1" applyAlignment="1" applyProtection="1">
      <alignment horizontal="right" shrinkToFit="1"/>
      <protection locked="0"/>
    </xf>
    <xf numFmtId="0" fontId="260" fillId="13" borderId="144" xfId="7" applyFont="1" applyFill="1" applyBorder="1" applyAlignment="1" applyProtection="1">
      <alignment horizontal="center" shrinkToFit="1"/>
      <protection locked="0"/>
    </xf>
    <xf numFmtId="0" fontId="260" fillId="13" borderId="145" xfId="7" applyFont="1" applyFill="1" applyBorder="1" applyAlignment="1" applyProtection="1">
      <alignment horizontal="center" shrinkToFit="1"/>
      <protection locked="0"/>
    </xf>
    <xf numFmtId="185" fontId="262" fillId="13" borderId="144" xfId="7" applyNumberFormat="1" applyFont="1" applyFill="1" applyBorder="1" applyAlignment="1" applyProtection="1">
      <alignment horizontal="right" shrinkToFit="1"/>
      <protection locked="0"/>
    </xf>
    <xf numFmtId="185" fontId="262" fillId="13" borderId="145" xfId="7" applyNumberFormat="1" applyFont="1" applyFill="1" applyBorder="1" applyAlignment="1" applyProtection="1">
      <alignment horizontal="right" shrinkToFit="1"/>
      <protection locked="0"/>
    </xf>
    <xf numFmtId="188" fontId="262" fillId="13" borderId="144" xfId="7" applyNumberFormat="1" applyFont="1" applyFill="1" applyBorder="1" applyAlignment="1" applyProtection="1">
      <alignment horizontal="center" shrinkToFit="1"/>
      <protection locked="0"/>
    </xf>
    <xf numFmtId="188" fontId="262" fillId="13" borderId="145" xfId="7" applyNumberFormat="1" applyFont="1" applyFill="1" applyBorder="1" applyAlignment="1" applyProtection="1">
      <alignment horizontal="center" shrinkToFit="1"/>
      <protection locked="0"/>
    </xf>
    <xf numFmtId="186" fontId="534" fillId="26" borderId="144" xfId="7" applyNumberFormat="1" applyFont="1" applyFill="1" applyBorder="1" applyAlignment="1" applyProtection="1">
      <alignment horizontal="right" shrinkToFit="1"/>
      <protection hidden="1"/>
    </xf>
    <xf numFmtId="186" fontId="534" fillId="26" borderId="145" xfId="7" applyNumberFormat="1" applyFont="1" applyFill="1" applyBorder="1" applyAlignment="1" applyProtection="1">
      <alignment horizontal="right" shrinkToFit="1"/>
      <protection hidden="1"/>
    </xf>
    <xf numFmtId="186" fontId="534" fillId="26" borderId="142" xfId="7" applyNumberFormat="1" applyFont="1" applyFill="1" applyBorder="1" applyAlignment="1" applyProtection="1">
      <alignment horizontal="right" shrinkToFit="1"/>
      <protection hidden="1"/>
    </xf>
    <xf numFmtId="0" fontId="262" fillId="19" borderId="144" xfId="7" applyFont="1" applyFill="1" applyBorder="1" applyAlignment="1" applyProtection="1">
      <alignment horizontal="center" shrinkToFit="1"/>
      <protection locked="0"/>
    </xf>
    <xf numFmtId="0" fontId="262" fillId="19" borderId="145" xfId="7" applyFont="1" applyFill="1" applyBorder="1" applyAlignment="1" applyProtection="1">
      <alignment horizontal="center" shrinkToFit="1"/>
      <protection locked="0"/>
    </xf>
    <xf numFmtId="0" fontId="260" fillId="13" borderId="111" xfId="7" applyFont="1" applyFill="1" applyBorder="1" applyAlignment="1" applyProtection="1">
      <alignment horizontal="center" shrinkToFit="1"/>
      <protection locked="0"/>
    </xf>
    <xf numFmtId="0" fontId="260" fillId="13" borderId="112" xfId="7" applyFont="1" applyFill="1" applyBorder="1" applyAlignment="1" applyProtection="1">
      <alignment horizontal="center" shrinkToFit="1"/>
      <protection locked="0"/>
    </xf>
    <xf numFmtId="185" fontId="262" fillId="13" borderId="111" xfId="7" applyNumberFormat="1" applyFont="1" applyFill="1" applyBorder="1" applyAlignment="1" applyProtection="1">
      <alignment horizontal="right" shrinkToFit="1"/>
      <protection locked="0"/>
    </xf>
    <xf numFmtId="185" fontId="262" fillId="13" borderId="112" xfId="7" applyNumberFormat="1" applyFont="1" applyFill="1" applyBorder="1" applyAlignment="1" applyProtection="1">
      <alignment horizontal="right" shrinkToFit="1"/>
      <protection locked="0"/>
    </xf>
    <xf numFmtId="188" fontId="262" fillId="13" borderId="111" xfId="7" applyNumberFormat="1" applyFont="1" applyFill="1" applyBorder="1" applyAlignment="1" applyProtection="1">
      <alignment horizontal="center" shrinkToFit="1"/>
      <protection locked="0"/>
    </xf>
    <xf numFmtId="188" fontId="262" fillId="13" borderId="112" xfId="7" applyNumberFormat="1" applyFont="1" applyFill="1" applyBorder="1" applyAlignment="1" applyProtection="1">
      <alignment horizontal="center" shrinkToFit="1"/>
      <protection locked="0"/>
    </xf>
    <xf numFmtId="186" fontId="534" fillId="26" borderId="111" xfId="7" applyNumberFormat="1" applyFont="1" applyFill="1" applyBorder="1" applyAlignment="1" applyProtection="1">
      <alignment horizontal="right" shrinkToFit="1"/>
      <protection hidden="1"/>
    </xf>
    <xf numFmtId="186" fontId="534" fillId="26" borderId="112" xfId="7" applyNumberFormat="1" applyFont="1" applyFill="1" applyBorder="1" applyAlignment="1" applyProtection="1">
      <alignment horizontal="right" shrinkToFit="1"/>
      <protection hidden="1"/>
    </xf>
    <xf numFmtId="186" fontId="534" fillId="26" borderId="148" xfId="7" applyNumberFormat="1" applyFont="1" applyFill="1" applyBorder="1" applyAlignment="1" applyProtection="1">
      <alignment horizontal="right" shrinkToFit="1"/>
      <protection hidden="1"/>
    </xf>
    <xf numFmtId="0" fontId="262" fillId="19" borderId="111" xfId="7" applyFont="1" applyFill="1" applyBorder="1" applyAlignment="1" applyProtection="1">
      <alignment horizontal="center" shrinkToFit="1"/>
      <protection locked="0"/>
    </xf>
    <xf numFmtId="0" fontId="262" fillId="19" borderId="112" xfId="7" applyFont="1" applyFill="1" applyBorder="1" applyAlignment="1" applyProtection="1">
      <alignment horizontal="center" shrinkToFit="1"/>
      <protection locked="0"/>
    </xf>
    <xf numFmtId="210" fontId="262" fillId="19" borderId="111" xfId="7" applyNumberFormat="1" applyFont="1" applyFill="1" applyBorder="1" applyAlignment="1" applyProtection="1">
      <alignment horizontal="right"/>
      <protection locked="0"/>
    </xf>
    <xf numFmtId="210" fontId="262" fillId="19" borderId="112" xfId="7" applyNumberFormat="1" applyFont="1" applyFill="1" applyBorder="1" applyAlignment="1" applyProtection="1">
      <alignment horizontal="right"/>
      <protection locked="0"/>
    </xf>
    <xf numFmtId="195" fontId="262" fillId="19" borderId="111" xfId="7" applyNumberFormat="1" applyFont="1" applyFill="1" applyBorder="1" applyAlignment="1" applyProtection="1">
      <alignment horizontal="right" shrinkToFit="1"/>
      <protection locked="0"/>
    </xf>
    <xf numFmtId="195" fontId="262" fillId="19" borderId="112" xfId="7" applyNumberFormat="1" applyFont="1" applyFill="1" applyBorder="1" applyAlignment="1" applyProtection="1">
      <alignment horizontal="right" shrinkToFit="1"/>
      <protection locked="0"/>
    </xf>
    <xf numFmtId="209" fontId="262" fillId="19" borderId="111" xfId="7" applyNumberFormat="1" applyFont="1" applyFill="1" applyBorder="1" applyAlignment="1" applyProtection="1">
      <alignment horizontal="right" shrinkToFit="1"/>
      <protection locked="0"/>
    </xf>
    <xf numFmtId="209" fontId="262" fillId="19" borderId="112" xfId="7" applyNumberFormat="1" applyFont="1" applyFill="1" applyBorder="1" applyAlignment="1" applyProtection="1">
      <alignment horizontal="right" shrinkToFit="1"/>
      <protection locked="0"/>
    </xf>
    <xf numFmtId="0" fontId="260" fillId="19" borderId="111" xfId="7" applyFont="1" applyFill="1" applyBorder="1" applyAlignment="1" applyProtection="1">
      <alignment horizontal="center"/>
      <protection locked="0"/>
    </xf>
    <xf numFmtId="0" fontId="260" fillId="19" borderId="112" xfId="7" applyFont="1" applyFill="1" applyBorder="1" applyAlignment="1" applyProtection="1">
      <alignment horizontal="center"/>
      <protection locked="0"/>
    </xf>
    <xf numFmtId="0" fontId="538" fillId="28" borderId="72" xfId="7" applyFont="1" applyFill="1" applyBorder="1" applyAlignment="1" applyProtection="1">
      <alignment horizontal="center"/>
      <protection hidden="1"/>
    </xf>
    <xf numFmtId="0" fontId="537" fillId="28" borderId="73" xfId="7" applyFont="1" applyFill="1" applyBorder="1" applyAlignment="1" applyProtection="1">
      <alignment horizontal="center"/>
      <protection hidden="1"/>
    </xf>
    <xf numFmtId="0" fontId="536" fillId="14" borderId="175" xfId="7" applyFont="1" applyFill="1" applyBorder="1" applyAlignment="1" applyProtection="1">
      <alignment horizontal="center"/>
      <protection hidden="1"/>
    </xf>
    <xf numFmtId="0" fontId="262" fillId="14" borderId="92" xfId="7" applyFont="1" applyFill="1" applyBorder="1" applyAlignment="1" applyProtection="1">
      <alignment horizontal="center"/>
      <protection hidden="1"/>
    </xf>
    <xf numFmtId="0" fontId="536" fillId="14" borderId="92" xfId="7" applyFont="1" applyFill="1" applyBorder="1" applyAlignment="1" applyProtection="1">
      <alignment horizontal="center"/>
      <protection hidden="1"/>
    </xf>
    <xf numFmtId="193" fontId="451" fillId="50" borderId="616" xfId="7" applyNumberFormat="1" applyFont="1" applyFill="1" applyBorder="1" applyAlignment="1" applyProtection="1">
      <alignment horizontal="left"/>
      <protection hidden="1"/>
    </xf>
    <xf numFmtId="193" fontId="451" fillId="50" borderId="615" xfId="7" applyNumberFormat="1" applyFont="1" applyFill="1" applyBorder="1" applyAlignment="1" applyProtection="1">
      <alignment horizontal="left"/>
      <protection hidden="1"/>
    </xf>
    <xf numFmtId="193" fontId="451" fillId="50" borderId="614" xfId="7" applyNumberFormat="1" applyFont="1" applyFill="1" applyBorder="1" applyAlignment="1" applyProtection="1">
      <alignment horizontal="left"/>
      <protection hidden="1"/>
    </xf>
    <xf numFmtId="0" fontId="262" fillId="14" borderId="93" xfId="7" applyFont="1" applyFill="1" applyBorder="1" applyAlignment="1" applyProtection="1">
      <alignment horizontal="center"/>
      <protection hidden="1"/>
    </xf>
    <xf numFmtId="0" fontId="10" fillId="6" borderId="111" xfId="7" applyFont="1" applyFill="1" applyBorder="1" applyAlignment="1" applyProtection="1">
      <alignment horizontal="center" shrinkToFit="1"/>
      <protection hidden="1"/>
    </xf>
    <xf numFmtId="0" fontId="10" fillId="6" borderId="112" xfId="7" applyFont="1" applyFill="1" applyBorder="1" applyAlignment="1" applyProtection="1">
      <alignment horizontal="center" shrinkToFit="1"/>
      <protection hidden="1"/>
    </xf>
    <xf numFmtId="0" fontId="10" fillId="6" borderId="111" xfId="7" applyFont="1" applyFill="1" applyBorder="1" applyAlignment="1" applyProtection="1">
      <alignment horizontal="center" vertical="center" shrinkToFit="1"/>
      <protection hidden="1"/>
    </xf>
    <xf numFmtId="0" fontId="10" fillId="6" borderId="112" xfId="7" applyFont="1" applyFill="1" applyBorder="1" applyAlignment="1" applyProtection="1">
      <alignment horizontal="center" vertical="center" shrinkToFit="1"/>
      <protection hidden="1"/>
    </xf>
    <xf numFmtId="0" fontId="7" fillId="6" borderId="153" xfId="7" applyFont="1" applyFill="1" applyBorder="1" applyAlignment="1" applyProtection="1">
      <alignment horizontal="center" vertical="center"/>
      <protection hidden="1"/>
    </xf>
    <xf numFmtId="0" fontId="7" fillId="6" borderId="107" xfId="7" applyFont="1" applyFill="1" applyBorder="1" applyAlignment="1" applyProtection="1">
      <alignment horizontal="center" vertical="center"/>
      <protection hidden="1"/>
    </xf>
    <xf numFmtId="0" fontId="7" fillId="6" borderId="154" xfId="7" applyFont="1" applyFill="1" applyBorder="1" applyAlignment="1" applyProtection="1">
      <alignment horizontal="center" vertical="center"/>
      <protection hidden="1"/>
    </xf>
    <xf numFmtId="0" fontId="7" fillId="6" borderId="108" xfId="7" applyFont="1" applyFill="1" applyBorder="1" applyAlignment="1" applyProtection="1">
      <alignment horizontal="center" vertical="center"/>
      <protection hidden="1"/>
    </xf>
    <xf numFmtId="0" fontId="10" fillId="6" borderId="148" xfId="7" applyFont="1" applyFill="1" applyBorder="1" applyAlignment="1" applyProtection="1">
      <alignment horizontal="center" shrinkToFit="1"/>
      <protection hidden="1"/>
    </xf>
    <xf numFmtId="192" fontId="451" fillId="50" borderId="648" xfId="7" applyNumberFormat="1" applyFont="1" applyFill="1" applyBorder="1" applyAlignment="1" applyProtection="1">
      <alignment horizontal="left"/>
      <protection hidden="1"/>
    </xf>
    <xf numFmtId="192" fontId="451" fillId="50" borderId="140" xfId="7" applyNumberFormat="1" applyFont="1" applyFill="1" applyBorder="1" applyAlignment="1" applyProtection="1">
      <alignment horizontal="left"/>
      <protection hidden="1"/>
    </xf>
    <xf numFmtId="192" fontId="451" fillId="50" borderId="647" xfId="7" applyNumberFormat="1" applyFont="1" applyFill="1" applyBorder="1" applyAlignment="1" applyProtection="1">
      <alignment horizontal="left"/>
      <protection hidden="1"/>
    </xf>
    <xf numFmtId="193" fontId="451" fillId="50" borderId="616" xfId="7" applyNumberFormat="1" applyFont="1" applyFill="1" applyBorder="1" applyAlignment="1" applyProtection="1">
      <alignment horizontal="left" shrinkToFit="1"/>
      <protection hidden="1"/>
    </xf>
    <xf numFmtId="193" fontId="451" fillId="50" borderId="615" xfId="7" applyNumberFormat="1" applyFont="1" applyFill="1" applyBorder="1" applyAlignment="1" applyProtection="1">
      <alignment horizontal="left" shrinkToFit="1"/>
      <protection hidden="1"/>
    </xf>
    <xf numFmtId="193" fontId="451" fillId="50" borderId="614" xfId="7" applyNumberFormat="1" applyFont="1" applyFill="1" applyBorder="1" applyAlignment="1" applyProtection="1">
      <alignment horizontal="left" shrinkToFit="1"/>
      <protection hidden="1"/>
    </xf>
    <xf numFmtId="193" fontId="451" fillId="13" borderId="72" xfId="7" applyNumberFormat="1" applyFont="1" applyFill="1" applyBorder="1" applyAlignment="1" applyProtection="1">
      <alignment horizontal="right"/>
      <protection locked="0"/>
    </xf>
    <xf numFmtId="193" fontId="451" fillId="13" borderId="76" xfId="7" applyNumberFormat="1" applyFont="1" applyFill="1" applyBorder="1" applyAlignment="1" applyProtection="1">
      <alignment horizontal="right"/>
      <protection locked="0"/>
    </xf>
    <xf numFmtId="193" fontId="451" fillId="13" borderId="73" xfId="7" applyNumberFormat="1" applyFont="1" applyFill="1" applyBorder="1" applyAlignment="1" applyProtection="1">
      <alignment horizontal="right"/>
      <protection locked="0"/>
    </xf>
    <xf numFmtId="193" fontId="451" fillId="13" borderId="72" xfId="7" applyNumberFormat="1" applyFont="1" applyFill="1" applyBorder="1" applyAlignment="1" applyProtection="1">
      <alignment horizontal="left"/>
      <protection locked="0"/>
    </xf>
    <xf numFmtId="193" fontId="451" fillId="13" borderId="76" xfId="7" applyNumberFormat="1" applyFont="1" applyFill="1" applyBorder="1" applyAlignment="1" applyProtection="1">
      <alignment horizontal="left"/>
      <protection locked="0"/>
    </xf>
    <xf numFmtId="193" fontId="451" fillId="13" borderId="73" xfId="7" applyNumberFormat="1" applyFont="1" applyFill="1" applyBorder="1" applyAlignment="1" applyProtection="1">
      <alignment horizontal="left"/>
      <protection locked="0"/>
    </xf>
    <xf numFmtId="192" fontId="451" fillId="50" borderId="72" xfId="7" quotePrefix="1" applyNumberFormat="1" applyFont="1" applyFill="1" applyBorder="1" applyAlignment="1" applyProtection="1">
      <alignment horizontal="right"/>
      <protection hidden="1"/>
    </xf>
    <xf numFmtId="192" fontId="451" fillId="50" borderId="76" xfId="7" applyNumberFormat="1" applyFont="1" applyFill="1" applyBorder="1" applyAlignment="1" applyProtection="1">
      <alignment horizontal="right"/>
      <protection hidden="1"/>
    </xf>
    <xf numFmtId="192" fontId="451" fillId="50" borderId="73" xfId="7" applyNumberFormat="1" applyFont="1" applyFill="1" applyBorder="1" applyAlignment="1" applyProtection="1">
      <alignment horizontal="right"/>
      <protection hidden="1"/>
    </xf>
    <xf numFmtId="192" fontId="451" fillId="50" borderId="619" xfId="7" applyNumberFormat="1" applyFont="1" applyFill="1" applyBorder="1" applyAlignment="1" applyProtection="1">
      <alignment horizontal="left"/>
      <protection hidden="1"/>
    </xf>
    <xf numFmtId="192" fontId="451" fillId="50" borderId="618" xfId="7" applyNumberFormat="1" applyFont="1" applyFill="1" applyBorder="1" applyAlignment="1" applyProtection="1">
      <alignment horizontal="left"/>
      <protection hidden="1"/>
    </xf>
    <xf numFmtId="192" fontId="451" fillId="50" borderId="617" xfId="7" applyNumberFormat="1" applyFont="1" applyFill="1" applyBorder="1" applyAlignment="1" applyProtection="1">
      <alignment horizontal="left"/>
      <protection hidden="1"/>
    </xf>
    <xf numFmtId="0" fontId="541" fillId="8" borderId="63" xfId="7" applyFont="1" applyFill="1" applyBorder="1" applyAlignment="1" applyProtection="1">
      <alignment horizontal="left"/>
      <protection hidden="1"/>
    </xf>
    <xf numFmtId="0" fontId="540" fillId="8" borderId="63" xfId="7" applyFont="1" applyFill="1" applyBorder="1" applyAlignment="1" applyProtection="1">
      <alignment horizontal="left"/>
      <protection hidden="1"/>
    </xf>
    <xf numFmtId="192" fontId="451" fillId="50" borderId="72" xfId="7" applyNumberFormat="1" applyFont="1" applyFill="1" applyBorder="1" applyAlignment="1" applyProtection="1">
      <alignment horizontal="right"/>
      <protection hidden="1"/>
    </xf>
    <xf numFmtId="0" fontId="522" fillId="23" borderId="641" xfId="7" applyNumberFormat="1" applyFont="1" applyFill="1" applyBorder="1" applyAlignment="1" applyProtection="1">
      <alignment horizontal="center" shrinkToFit="1"/>
      <protection hidden="1"/>
    </xf>
    <xf numFmtId="0" fontId="618" fillId="54" borderId="628" xfId="7" applyNumberFormat="1" applyFont="1" applyFill="1" applyBorder="1" applyAlignment="1" applyProtection="1">
      <alignment horizontal="center" shrinkToFit="1"/>
      <protection hidden="1"/>
    </xf>
    <xf numFmtId="0" fontId="618" fillId="54" borderId="627" xfId="7" applyNumberFormat="1" applyFont="1" applyFill="1" applyBorder="1" applyAlignment="1" applyProtection="1">
      <alignment horizontal="center" shrinkToFit="1"/>
      <protection hidden="1"/>
    </xf>
    <xf numFmtId="0" fontId="618" fillId="54" borderId="626" xfId="7" applyNumberFormat="1" applyFont="1" applyFill="1" applyBorder="1" applyAlignment="1" applyProtection="1">
      <alignment horizontal="center" shrinkToFit="1"/>
      <protection hidden="1"/>
    </xf>
    <xf numFmtId="0" fontId="16" fillId="6" borderId="343" xfId="7" applyFont="1" applyFill="1" applyBorder="1" applyAlignment="1" applyProtection="1">
      <alignment horizontal="center" vertical="center" shrinkToFit="1"/>
      <protection hidden="1"/>
    </xf>
    <xf numFmtId="0" fontId="16" fillId="6" borderId="399" xfId="7" applyFont="1" applyFill="1" applyBorder="1" applyAlignment="1" applyProtection="1">
      <alignment horizontal="center" vertical="center" shrinkToFit="1"/>
      <protection hidden="1"/>
    </xf>
    <xf numFmtId="192" fontId="451" fillId="50" borderId="619" xfId="7" applyNumberFormat="1" applyFont="1" applyFill="1" applyBorder="1" applyAlignment="1" applyProtection="1">
      <alignment horizontal="left" shrinkToFit="1"/>
      <protection hidden="1"/>
    </xf>
    <xf numFmtId="192" fontId="451" fillId="50" borderId="618" xfId="7" applyNumberFormat="1" applyFont="1" applyFill="1" applyBorder="1" applyAlignment="1" applyProtection="1">
      <alignment horizontal="left" shrinkToFit="1"/>
      <protection hidden="1"/>
    </xf>
    <xf numFmtId="192" fontId="451" fillId="50" borderId="617" xfId="7" applyNumberFormat="1" applyFont="1" applyFill="1" applyBorder="1" applyAlignment="1" applyProtection="1">
      <alignment horizontal="left" shrinkToFit="1"/>
      <protection hidden="1"/>
    </xf>
    <xf numFmtId="192" fontId="451" fillId="50" borderId="648" xfId="7" applyNumberFormat="1" applyFont="1" applyFill="1" applyBorder="1" applyAlignment="1" applyProtection="1">
      <alignment horizontal="left" shrinkToFit="1"/>
      <protection hidden="1"/>
    </xf>
    <xf numFmtId="192" fontId="451" fillId="50" borderId="140" xfId="7" applyNumberFormat="1" applyFont="1" applyFill="1" applyBorder="1" applyAlignment="1" applyProtection="1">
      <alignment horizontal="left" shrinkToFit="1"/>
      <protection hidden="1"/>
    </xf>
    <xf numFmtId="192" fontId="451" fillId="50" borderId="647" xfId="7" applyNumberFormat="1" applyFont="1" applyFill="1" applyBorder="1" applyAlignment="1" applyProtection="1">
      <alignment horizontal="left" shrinkToFit="1"/>
      <protection hidden="1"/>
    </xf>
    <xf numFmtId="0" fontId="618" fillId="52" borderId="651" xfId="7" applyNumberFormat="1" applyFont="1" applyFill="1" applyBorder="1" applyAlignment="1" applyProtection="1">
      <alignment horizontal="center" shrinkToFit="1"/>
      <protection hidden="1"/>
    </xf>
    <xf numFmtId="0" fontId="618" fillId="52" borderId="650" xfId="7" applyNumberFormat="1" applyFont="1" applyFill="1" applyBorder="1" applyAlignment="1" applyProtection="1">
      <alignment horizontal="center" shrinkToFit="1"/>
      <protection hidden="1"/>
    </xf>
    <xf numFmtId="0" fontId="618" fillId="52" borderId="649" xfId="7" applyNumberFormat="1" applyFont="1" applyFill="1" applyBorder="1" applyAlignment="1" applyProtection="1">
      <alignment horizontal="center" shrinkToFit="1"/>
      <protection hidden="1"/>
    </xf>
    <xf numFmtId="0" fontId="38" fillId="16" borderId="68" xfId="7" applyFont="1" applyFill="1" applyBorder="1" applyAlignment="1" applyProtection="1">
      <alignment horizontal="center" vertical="center"/>
      <protection hidden="1"/>
    </xf>
    <xf numFmtId="0" fontId="38" fillId="16" borderId="55" xfId="7" applyFont="1" applyFill="1" applyBorder="1" applyAlignment="1" applyProtection="1">
      <alignment horizontal="center" vertical="center"/>
      <protection hidden="1"/>
    </xf>
    <xf numFmtId="0" fontId="10" fillId="8" borderId="68" xfId="7" applyFont="1" applyFill="1" applyBorder="1" applyAlignment="1" applyProtection="1">
      <alignment horizontal="center" vertical="center"/>
      <protection hidden="1"/>
    </xf>
    <xf numFmtId="0" fontId="10" fillId="8" borderId="55" xfId="7" applyFont="1" applyFill="1" applyBorder="1" applyAlignment="1" applyProtection="1">
      <alignment horizontal="center" vertical="center"/>
      <protection hidden="1"/>
    </xf>
    <xf numFmtId="179" fontId="259" fillId="16" borderId="144" xfId="7" applyNumberFormat="1" applyFont="1" applyFill="1" applyBorder="1" applyAlignment="1" applyProtection="1">
      <alignment horizontal="right" vertical="center" shrinkToFit="1"/>
      <protection hidden="1"/>
    </xf>
    <xf numFmtId="179" fontId="259" fillId="16" borderId="145" xfId="7" applyNumberFormat="1" applyFont="1" applyFill="1" applyBorder="1" applyAlignment="1" applyProtection="1">
      <alignment horizontal="right" vertical="center" shrinkToFit="1"/>
      <protection hidden="1"/>
    </xf>
    <xf numFmtId="176" fontId="260" fillId="57" borderId="144" xfId="7" applyNumberFormat="1" applyFont="1" applyFill="1" applyBorder="1" applyAlignment="1" applyProtection="1">
      <alignment horizontal="center" vertical="center" shrinkToFit="1"/>
      <protection locked="0"/>
    </xf>
    <xf numFmtId="176" fontId="260" fillId="57" borderId="145" xfId="7" applyNumberFormat="1" applyFont="1" applyFill="1" applyBorder="1" applyAlignment="1" applyProtection="1">
      <alignment horizontal="center" vertical="center" shrinkToFit="1"/>
      <protection locked="0"/>
    </xf>
    <xf numFmtId="0" fontId="16" fillId="19" borderId="144" xfId="7" applyNumberFormat="1" applyFont="1" applyFill="1" applyBorder="1" applyAlignment="1" applyProtection="1">
      <alignment horizontal="center" vertical="center" shrinkToFit="1"/>
      <protection locked="0"/>
    </xf>
    <xf numFmtId="0" fontId="16" fillId="19" borderId="145" xfId="7" applyNumberFormat="1" applyFont="1" applyFill="1" applyBorder="1" applyAlignment="1" applyProtection="1">
      <alignment horizontal="center" vertical="center" shrinkToFit="1"/>
      <protection locked="0"/>
    </xf>
    <xf numFmtId="0" fontId="16" fillId="56" borderId="144" xfId="7" applyNumberFormat="1" applyFont="1" applyFill="1" applyBorder="1" applyAlignment="1" applyProtection="1">
      <alignment horizontal="center" vertical="center" shrinkToFit="1"/>
      <protection hidden="1"/>
    </xf>
    <xf numFmtId="0" fontId="16" fillId="56" borderId="145" xfId="7" applyNumberFormat="1" applyFont="1" applyFill="1" applyBorder="1" applyAlignment="1" applyProtection="1">
      <alignment horizontal="center" vertical="center" shrinkToFit="1"/>
      <protection hidden="1"/>
    </xf>
    <xf numFmtId="179" fontId="259" fillId="16" borderId="111" xfId="7" applyNumberFormat="1" applyFont="1" applyFill="1" applyBorder="1" applyAlignment="1" applyProtection="1">
      <alignment horizontal="right" vertical="center" shrinkToFit="1"/>
      <protection hidden="1"/>
    </xf>
    <xf numFmtId="179" fontId="259" fillId="16" borderId="112" xfId="7" applyNumberFormat="1" applyFont="1" applyFill="1" applyBorder="1" applyAlignment="1" applyProtection="1">
      <alignment horizontal="right" vertical="center" shrinkToFit="1"/>
      <protection hidden="1"/>
    </xf>
    <xf numFmtId="176" fontId="260" fillId="57" borderId="111" xfId="7" applyNumberFormat="1" applyFont="1" applyFill="1" applyBorder="1" applyAlignment="1" applyProtection="1">
      <alignment horizontal="center" vertical="center" shrinkToFit="1"/>
      <protection locked="0"/>
    </xf>
    <xf numFmtId="176" fontId="260" fillId="57" borderId="112" xfId="7" applyNumberFormat="1" applyFont="1" applyFill="1" applyBorder="1" applyAlignment="1" applyProtection="1">
      <alignment horizontal="center" vertical="center" shrinkToFit="1"/>
      <protection locked="0"/>
    </xf>
    <xf numFmtId="0" fontId="16" fillId="19" borderId="111" xfId="7" applyNumberFormat="1" applyFont="1" applyFill="1" applyBorder="1" applyAlignment="1" applyProtection="1">
      <alignment horizontal="center" vertical="center" shrinkToFit="1"/>
      <protection locked="0"/>
    </xf>
    <xf numFmtId="0" fontId="16" fillId="19" borderId="112" xfId="7" applyNumberFormat="1" applyFont="1" applyFill="1" applyBorder="1" applyAlignment="1" applyProtection="1">
      <alignment horizontal="center" vertical="center" shrinkToFit="1"/>
      <protection locked="0"/>
    </xf>
    <xf numFmtId="0" fontId="16" fillId="56" borderId="111" xfId="7" applyNumberFormat="1" applyFont="1" applyFill="1" applyBorder="1" applyAlignment="1" applyProtection="1">
      <alignment horizontal="center" vertical="center" shrinkToFit="1"/>
      <protection hidden="1"/>
    </xf>
    <xf numFmtId="0" fontId="16" fillId="56" borderId="112" xfId="7" applyNumberFormat="1" applyFont="1" applyFill="1" applyBorder="1" applyAlignment="1" applyProtection="1">
      <alignment horizontal="center" vertical="center" shrinkToFit="1"/>
      <protection hidden="1"/>
    </xf>
    <xf numFmtId="182" fontId="259" fillId="13" borderId="111" xfId="7" applyNumberFormat="1" applyFont="1" applyFill="1" applyBorder="1" applyAlignment="1" applyProtection="1">
      <alignment horizontal="right" vertical="center" shrinkToFit="1"/>
      <protection locked="0"/>
    </xf>
    <xf numFmtId="182" fontId="259" fillId="13" borderId="112" xfId="7" applyNumberFormat="1" applyFont="1" applyFill="1" applyBorder="1" applyAlignment="1" applyProtection="1">
      <alignment horizontal="right" vertical="center" shrinkToFit="1"/>
      <protection locked="0"/>
    </xf>
    <xf numFmtId="176" fontId="260" fillId="26" borderId="111" xfId="7" applyNumberFormat="1" applyFont="1" applyFill="1" applyBorder="1" applyAlignment="1" applyProtection="1">
      <alignment horizontal="right" vertical="center" shrinkToFit="1"/>
      <protection hidden="1"/>
    </xf>
    <xf numFmtId="176" fontId="260" fillId="26" borderId="112" xfId="7" applyNumberFormat="1" applyFont="1" applyFill="1" applyBorder="1" applyAlignment="1" applyProtection="1">
      <alignment horizontal="right" vertical="center" shrinkToFit="1"/>
      <protection hidden="1"/>
    </xf>
    <xf numFmtId="182" fontId="259" fillId="13" borderId="144" xfId="7" applyNumberFormat="1" applyFont="1" applyFill="1" applyBorder="1" applyAlignment="1" applyProtection="1">
      <alignment horizontal="right" vertical="center" shrinkToFit="1"/>
      <protection locked="0"/>
    </xf>
    <xf numFmtId="182" fontId="259" fillId="13" borderId="145" xfId="7" applyNumberFormat="1" applyFont="1" applyFill="1" applyBorder="1" applyAlignment="1" applyProtection="1">
      <alignment horizontal="right" vertical="center" shrinkToFit="1"/>
      <protection locked="0"/>
    </xf>
    <xf numFmtId="176" fontId="260" fillId="26" borderId="144" xfId="7" applyNumberFormat="1" applyFont="1" applyFill="1" applyBorder="1" applyAlignment="1" applyProtection="1">
      <alignment horizontal="right" vertical="center" shrinkToFit="1"/>
      <protection hidden="1"/>
    </xf>
    <xf numFmtId="176" fontId="260" fillId="26" borderId="145" xfId="7" applyNumberFormat="1" applyFont="1" applyFill="1" applyBorder="1" applyAlignment="1" applyProtection="1">
      <alignment horizontal="right" vertical="center" shrinkToFit="1"/>
      <protection hidden="1"/>
    </xf>
    <xf numFmtId="176" fontId="260" fillId="26" borderId="114" xfId="7" applyNumberFormat="1" applyFont="1" applyFill="1" applyBorder="1" applyAlignment="1" applyProtection="1">
      <alignment horizontal="right" vertical="center" shrinkToFit="1"/>
      <protection hidden="1"/>
    </xf>
    <xf numFmtId="176" fontId="260" fillId="26" borderId="148" xfId="7" applyNumberFormat="1" applyFont="1" applyFill="1" applyBorder="1" applyAlignment="1" applyProtection="1">
      <alignment horizontal="right" vertical="center" shrinkToFit="1"/>
      <protection hidden="1"/>
    </xf>
    <xf numFmtId="176" fontId="260" fillId="26" borderId="143" xfId="7" applyNumberFormat="1" applyFont="1" applyFill="1" applyBorder="1" applyAlignment="1" applyProtection="1">
      <alignment horizontal="right" vertical="center" shrinkToFit="1"/>
      <protection hidden="1"/>
    </xf>
    <xf numFmtId="176" fontId="260" fillId="26" borderId="142" xfId="7" applyNumberFormat="1" applyFont="1" applyFill="1" applyBorder="1" applyAlignment="1" applyProtection="1">
      <alignment horizontal="right" vertical="center" shrinkToFit="1"/>
      <protection hidden="1"/>
    </xf>
    <xf numFmtId="176" fontId="260" fillId="26" borderId="153" xfId="7" applyNumberFormat="1" applyFont="1" applyFill="1" applyBorder="1" applyAlignment="1" applyProtection="1">
      <alignment horizontal="right" vertical="center" shrinkToFit="1"/>
      <protection hidden="1"/>
    </xf>
    <xf numFmtId="176" fontId="260" fillId="26" borderId="107" xfId="7" applyNumberFormat="1" applyFont="1" applyFill="1" applyBorder="1" applyAlignment="1" applyProtection="1">
      <alignment horizontal="right" vertical="center" shrinkToFit="1"/>
      <protection hidden="1"/>
    </xf>
    <xf numFmtId="176" fontId="260" fillId="26" borderId="108" xfId="7" applyNumberFormat="1" applyFont="1" applyFill="1" applyBorder="1" applyAlignment="1" applyProtection="1">
      <alignment horizontal="right" vertical="center" shrinkToFit="1"/>
      <protection hidden="1"/>
    </xf>
    <xf numFmtId="179" fontId="259" fillId="16" borderId="153" xfId="7" applyNumberFormat="1" applyFont="1" applyFill="1" applyBorder="1" applyAlignment="1" applyProtection="1">
      <alignment horizontal="right" vertical="center" shrinkToFit="1"/>
      <protection hidden="1"/>
    </xf>
    <xf numFmtId="179" fontId="259" fillId="16" borderId="154" xfId="7" applyNumberFormat="1" applyFont="1" applyFill="1" applyBorder="1" applyAlignment="1" applyProtection="1">
      <alignment horizontal="right" vertical="center" shrinkToFit="1"/>
      <protection hidden="1"/>
    </xf>
    <xf numFmtId="176" fontId="260" fillId="57" borderId="153" xfId="7" applyNumberFormat="1" applyFont="1" applyFill="1" applyBorder="1" applyAlignment="1" applyProtection="1">
      <alignment horizontal="center" vertical="center" shrinkToFit="1"/>
      <protection locked="0"/>
    </xf>
    <xf numFmtId="176" fontId="260" fillId="57" borderId="154" xfId="7" applyNumberFormat="1" applyFont="1" applyFill="1" applyBorder="1" applyAlignment="1" applyProtection="1">
      <alignment horizontal="center" vertical="center" shrinkToFit="1"/>
      <protection locked="0"/>
    </xf>
    <xf numFmtId="0" fontId="16" fillId="19" borderId="153" xfId="7" applyNumberFormat="1" applyFont="1" applyFill="1" applyBorder="1" applyAlignment="1" applyProtection="1">
      <alignment horizontal="center" vertical="center" shrinkToFit="1"/>
      <protection locked="0"/>
    </xf>
    <xf numFmtId="0" fontId="16" fillId="19" borderId="154" xfId="7" applyNumberFormat="1" applyFont="1" applyFill="1" applyBorder="1" applyAlignment="1" applyProtection="1">
      <alignment horizontal="center" vertical="center" shrinkToFit="1"/>
      <protection locked="0"/>
    </xf>
    <xf numFmtId="0" fontId="92" fillId="58" borderId="343" xfId="7" applyFont="1" applyFill="1" applyBorder="1" applyAlignment="1" applyProtection="1">
      <alignment horizontal="center" wrapText="1" shrinkToFit="1"/>
      <protection hidden="1"/>
    </xf>
    <xf numFmtId="0" fontId="92" fillId="58" borderId="196" xfId="7" applyFont="1" applyFill="1" applyBorder="1" applyAlignment="1" applyProtection="1">
      <alignment horizontal="center" shrinkToFit="1"/>
      <protection hidden="1"/>
    </xf>
    <xf numFmtId="0" fontId="92" fillId="58" borderId="639" xfId="7" applyFont="1" applyFill="1" applyBorder="1" applyAlignment="1" applyProtection="1">
      <alignment horizontal="center" shrinkToFit="1"/>
      <protection hidden="1"/>
    </xf>
    <xf numFmtId="0" fontId="92" fillId="58" borderId="153" xfId="7" applyFont="1" applyFill="1" applyBorder="1" applyAlignment="1" applyProtection="1">
      <alignment horizontal="center" shrinkToFit="1"/>
      <protection hidden="1"/>
    </xf>
    <xf numFmtId="0" fontId="92" fillId="58" borderId="107" xfId="7" applyFont="1" applyFill="1" applyBorder="1" applyAlignment="1" applyProtection="1">
      <alignment horizontal="center" shrinkToFit="1"/>
      <protection hidden="1"/>
    </xf>
    <xf numFmtId="0" fontId="92" fillId="58" borderId="154" xfId="7" applyFont="1" applyFill="1" applyBorder="1" applyAlignment="1" applyProtection="1">
      <alignment horizontal="center" shrinkToFit="1"/>
      <protection hidden="1"/>
    </xf>
    <xf numFmtId="0" fontId="92" fillId="58" borderId="257" xfId="7" applyFont="1" applyFill="1" applyBorder="1" applyAlignment="1" applyProtection="1">
      <alignment horizontal="center" wrapText="1" shrinkToFit="1"/>
      <protection hidden="1"/>
    </xf>
    <xf numFmtId="0" fontId="92" fillId="58" borderId="255" xfId="7" applyFont="1" applyFill="1" applyBorder="1" applyAlignment="1" applyProtection="1">
      <alignment horizontal="center" shrinkToFit="1"/>
      <protection hidden="1"/>
    </xf>
    <xf numFmtId="0" fontId="92" fillId="58" borderId="1" xfId="7" applyFont="1" applyFill="1" applyBorder="1" applyAlignment="1" applyProtection="1">
      <alignment horizontal="center" shrinkToFit="1"/>
      <protection hidden="1"/>
    </xf>
    <xf numFmtId="0" fontId="92" fillId="58" borderId="2" xfId="7" applyFont="1" applyFill="1" applyBorder="1" applyAlignment="1" applyProtection="1">
      <alignment horizontal="center" shrinkToFit="1"/>
      <protection hidden="1"/>
    </xf>
    <xf numFmtId="0" fontId="92" fillId="58" borderId="246" xfId="7" applyFont="1" applyFill="1" applyBorder="1" applyAlignment="1" applyProtection="1">
      <alignment horizontal="center" shrinkToFit="1"/>
      <protection hidden="1"/>
    </xf>
    <xf numFmtId="0" fontId="92" fillId="58" borderId="245" xfId="7" applyFont="1" applyFill="1" applyBorder="1" applyAlignment="1" applyProtection="1">
      <alignment horizontal="center" shrinkToFit="1"/>
      <protection hidden="1"/>
    </xf>
    <xf numFmtId="0" fontId="92" fillId="58" borderId="153" xfId="7" applyFont="1" applyFill="1" applyBorder="1" applyAlignment="1" applyProtection="1">
      <alignment horizontal="center" vertical="center" wrapText="1" shrinkToFit="1"/>
      <protection hidden="1"/>
    </xf>
    <xf numFmtId="0" fontId="92" fillId="58" borderId="107" xfId="7" applyFont="1" applyFill="1" applyBorder="1" applyAlignment="1" applyProtection="1">
      <alignment horizontal="center" vertical="center" wrapText="1" shrinkToFit="1"/>
      <protection hidden="1"/>
    </xf>
    <xf numFmtId="0" fontId="92" fillId="58" borderId="108" xfId="7" applyFont="1" applyFill="1" applyBorder="1" applyAlignment="1" applyProtection="1">
      <alignment horizontal="center" vertical="center" wrapText="1" shrinkToFit="1"/>
      <protection hidden="1"/>
    </xf>
    <xf numFmtId="0" fontId="62" fillId="6" borderId="111" xfId="7" applyFont="1" applyFill="1" applyBorder="1" applyAlignment="1" applyProtection="1">
      <alignment horizontal="center" shrinkToFit="1"/>
      <protection hidden="1"/>
    </xf>
    <xf numFmtId="0" fontId="62" fillId="6" borderId="114" xfId="7" applyFont="1" applyFill="1" applyBorder="1" applyAlignment="1" applyProtection="1">
      <alignment horizontal="center" shrinkToFit="1"/>
      <protection hidden="1"/>
    </xf>
    <xf numFmtId="0" fontId="62" fillId="6" borderId="112" xfId="7" applyFont="1" applyFill="1" applyBorder="1" applyAlignment="1" applyProtection="1">
      <alignment horizontal="center" shrinkToFit="1"/>
      <protection hidden="1"/>
    </xf>
    <xf numFmtId="0" fontId="16" fillId="56" borderId="153" xfId="7" applyNumberFormat="1" applyFont="1" applyFill="1" applyBorder="1" applyAlignment="1" applyProtection="1">
      <alignment horizontal="center" vertical="center" shrinkToFit="1"/>
      <protection hidden="1"/>
    </xf>
    <xf numFmtId="0" fontId="16" fillId="56" borderId="154" xfId="7" applyNumberFormat="1" applyFont="1" applyFill="1" applyBorder="1" applyAlignment="1" applyProtection="1">
      <alignment horizontal="center" vertical="center" shrinkToFit="1"/>
      <protection hidden="1"/>
    </xf>
    <xf numFmtId="182" fontId="259" fillId="13" borderId="153" xfId="7" applyNumberFormat="1" applyFont="1" applyFill="1" applyBorder="1" applyAlignment="1" applyProtection="1">
      <alignment horizontal="right" vertical="center" shrinkToFit="1"/>
      <protection locked="0"/>
    </xf>
    <xf numFmtId="182" fontId="259" fillId="13" borderId="154" xfId="7" applyNumberFormat="1" applyFont="1" applyFill="1" applyBorder="1" applyAlignment="1" applyProtection="1">
      <alignment horizontal="right" vertical="center" shrinkToFit="1"/>
      <protection locked="0"/>
    </xf>
    <xf numFmtId="176" fontId="260" fillId="26" borderId="154" xfId="7" applyNumberFormat="1" applyFont="1" applyFill="1" applyBorder="1" applyAlignment="1" applyProtection="1">
      <alignment horizontal="right" vertical="center" shrinkToFit="1"/>
      <protection hidden="1"/>
    </xf>
    <xf numFmtId="0" fontId="451" fillId="8" borderId="68" xfId="7" applyFont="1" applyFill="1" applyBorder="1" applyAlignment="1" applyProtection="1">
      <alignment horizontal="center" vertical="center"/>
      <protection hidden="1"/>
    </xf>
    <xf numFmtId="0" fontId="451" fillId="8" borderId="0" xfId="7" applyFont="1" applyFill="1" applyBorder="1" applyAlignment="1" applyProtection="1">
      <alignment horizontal="center" vertical="center"/>
      <protection hidden="1"/>
    </xf>
    <xf numFmtId="0" fontId="451" fillId="8" borderId="55" xfId="7" applyFont="1" applyFill="1" applyBorder="1" applyAlignment="1" applyProtection="1">
      <alignment horizontal="center" vertical="center"/>
      <protection hidden="1"/>
    </xf>
    <xf numFmtId="0" fontId="451" fillId="8" borderId="68" xfId="7" applyFont="1" applyFill="1" applyBorder="1" applyAlignment="1" applyProtection="1">
      <alignment horizontal="right" vertical="center"/>
      <protection hidden="1"/>
    </xf>
    <xf numFmtId="0" fontId="451" fillId="8" borderId="0" xfId="7" applyFont="1" applyFill="1" applyBorder="1" applyAlignment="1" applyProtection="1">
      <alignment horizontal="right" vertical="center"/>
      <protection hidden="1"/>
    </xf>
    <xf numFmtId="0" fontId="451" fillId="8" borderId="55" xfId="7" applyFont="1" applyFill="1" applyBorder="1" applyAlignment="1" applyProtection="1">
      <alignment horizontal="right" vertical="center"/>
      <protection hidden="1"/>
    </xf>
    <xf numFmtId="0" fontId="522" fillId="23" borderId="652" xfId="7" applyNumberFormat="1" applyFont="1" applyFill="1" applyBorder="1" applyAlignment="1" applyProtection="1">
      <alignment horizontal="center" shrinkToFit="1"/>
      <protection hidden="1"/>
    </xf>
    <xf numFmtId="0" fontId="126" fillId="11" borderId="653" xfId="1" applyFont="1" applyFill="1" applyBorder="1" applyAlignment="1">
      <alignment horizontal="center" vertical="center"/>
    </xf>
    <xf numFmtId="0" fontId="126" fillId="11" borderId="654" xfId="1" applyFont="1" applyFill="1" applyBorder="1" applyAlignment="1">
      <alignment horizontal="center" vertical="center"/>
    </xf>
    <xf numFmtId="0" fontId="613" fillId="11" borderId="653" xfId="1" applyFont="1" applyFill="1" applyBorder="1" applyAlignment="1">
      <alignment horizontal="center" vertical="center"/>
    </xf>
    <xf numFmtId="0" fontId="613" fillId="11" borderId="654" xfId="1" applyFont="1" applyFill="1" applyBorder="1" applyAlignment="1">
      <alignment horizontal="center" vertical="center"/>
    </xf>
    <xf numFmtId="0" fontId="21" fillId="59" borderId="3" xfId="7" applyNumberFormat="1" applyFont="1" applyFill="1" applyBorder="1" applyAlignment="1" applyProtection="1">
      <alignment horizontal="center" vertical="center" shrinkToFit="1"/>
      <protection hidden="1"/>
    </xf>
    <xf numFmtId="0" fontId="21" fillId="59" borderId="3" xfId="7" applyFont="1" applyFill="1" applyBorder="1" applyAlignment="1" applyProtection="1">
      <alignment horizontal="center" vertical="center" shrinkToFit="1"/>
      <protection hidden="1"/>
    </xf>
    <xf numFmtId="0" fontId="62" fillId="6" borderId="118" xfId="7" applyFont="1" applyFill="1" applyBorder="1" applyAlignment="1" applyProtection="1">
      <alignment horizontal="center" vertical="center" wrapText="1" shrinkToFit="1"/>
      <protection hidden="1"/>
    </xf>
    <xf numFmtId="0" fontId="62" fillId="6" borderId="116" xfId="7" applyFont="1" applyFill="1" applyBorder="1" applyAlignment="1" applyProtection="1">
      <alignment horizontal="center" vertical="center" wrapText="1" shrinkToFit="1"/>
      <protection hidden="1"/>
    </xf>
    <xf numFmtId="0" fontId="62" fillId="6" borderId="226" xfId="7" applyFont="1" applyFill="1" applyBorder="1" applyAlignment="1" applyProtection="1">
      <alignment horizontal="center" vertical="center" wrapText="1" shrinkToFit="1"/>
      <protection hidden="1"/>
    </xf>
    <xf numFmtId="0" fontId="62" fillId="6" borderId="246" xfId="7" applyFont="1" applyFill="1" applyBorder="1" applyAlignment="1" applyProtection="1">
      <alignment horizontal="center" vertical="center" wrapText="1" shrinkToFit="1"/>
      <protection hidden="1"/>
    </xf>
    <xf numFmtId="0" fontId="62" fillId="6" borderId="92" xfId="7" applyFont="1" applyFill="1" applyBorder="1" applyAlignment="1" applyProtection="1">
      <alignment horizontal="center" vertical="center" wrapText="1" shrinkToFit="1"/>
      <protection hidden="1"/>
    </xf>
    <xf numFmtId="0" fontId="62" fillId="6" borderId="93" xfId="7" applyFont="1" applyFill="1" applyBorder="1" applyAlignment="1" applyProtection="1">
      <alignment horizontal="center" vertical="center" wrapText="1" shrinkToFit="1"/>
      <protection hidden="1"/>
    </xf>
    <xf numFmtId="0" fontId="62" fillId="6" borderId="246" xfId="7" applyFont="1" applyFill="1" applyBorder="1" applyAlignment="1" applyProtection="1">
      <alignment horizontal="center" vertical="center" shrinkToFit="1"/>
      <protection hidden="1"/>
    </xf>
    <xf numFmtId="0" fontId="62" fillId="6" borderId="245" xfId="7" applyFont="1" applyFill="1" applyBorder="1" applyAlignment="1" applyProtection="1">
      <alignment horizontal="center" vertical="center" shrinkToFit="1"/>
      <protection hidden="1"/>
    </xf>
    <xf numFmtId="0" fontId="567" fillId="6" borderId="3" xfId="7" applyFont="1" applyFill="1" applyBorder="1" applyAlignment="1" applyProtection="1">
      <alignment horizontal="center" vertical="center" wrapText="1" shrinkToFit="1"/>
      <protection hidden="1"/>
    </xf>
    <xf numFmtId="0" fontId="62" fillId="6" borderId="244" xfId="7" applyFont="1" applyFill="1" applyBorder="1" applyAlignment="1" applyProtection="1">
      <alignment horizontal="center" vertical="center" shrinkToFit="1"/>
      <protection hidden="1"/>
    </xf>
    <xf numFmtId="0" fontId="62" fillId="6" borderId="244" xfId="7" applyFont="1" applyFill="1" applyBorder="1" applyAlignment="1" applyProtection="1">
      <alignment horizontal="center" vertical="center" wrapText="1" shrinkToFit="1"/>
      <protection hidden="1"/>
    </xf>
    <xf numFmtId="0" fontId="570" fillId="6" borderId="3" xfId="7" applyFont="1" applyFill="1" applyBorder="1" applyAlignment="1" applyProtection="1">
      <alignment horizontal="center" vertical="center" wrapText="1" shrinkToFit="1"/>
      <protection hidden="1"/>
    </xf>
    <xf numFmtId="0" fontId="92" fillId="6" borderId="244" xfId="7" applyFont="1" applyFill="1" applyBorder="1" applyAlignment="1" applyProtection="1">
      <alignment horizontal="center" vertical="center" wrapText="1" shrinkToFit="1"/>
      <protection hidden="1"/>
    </xf>
    <xf numFmtId="0" fontId="62" fillId="6" borderId="119" xfId="7" applyFont="1" applyFill="1" applyBorder="1" applyAlignment="1" applyProtection="1">
      <alignment horizontal="center" vertical="center" wrapText="1" shrinkToFit="1"/>
      <protection hidden="1"/>
    </xf>
    <xf numFmtId="0" fontId="62" fillId="6" borderId="245" xfId="7" applyFont="1" applyFill="1" applyBorder="1" applyAlignment="1" applyProtection="1">
      <alignment horizontal="center" vertical="center" wrapText="1" shrinkToFit="1"/>
      <protection hidden="1"/>
    </xf>
    <xf numFmtId="0" fontId="62" fillId="6" borderId="118" xfId="7" applyFont="1" applyFill="1" applyBorder="1" applyAlignment="1" applyProtection="1">
      <alignment horizontal="center" shrinkToFit="1"/>
      <protection hidden="1"/>
    </xf>
    <xf numFmtId="0" fontId="62" fillId="6" borderId="119" xfId="7" applyFont="1" applyFill="1" applyBorder="1" applyAlignment="1" applyProtection="1">
      <alignment horizontal="center" shrinkToFit="1"/>
      <protection hidden="1"/>
    </xf>
    <xf numFmtId="0" fontId="62" fillId="6" borderId="118" xfId="7" applyFont="1" applyFill="1" applyBorder="1" applyAlignment="1" applyProtection="1">
      <alignment horizontal="center" vertical="center" shrinkToFit="1"/>
      <protection hidden="1"/>
    </xf>
    <xf numFmtId="0" fontId="62" fillId="6" borderId="119" xfId="7" applyFont="1" applyFill="1" applyBorder="1" applyAlignment="1" applyProtection="1">
      <alignment horizontal="center" vertical="center" shrinkToFit="1"/>
      <protection hidden="1"/>
    </xf>
  </cellXfs>
  <cellStyles count="10">
    <cellStyle name="ハイパーリンク" xfId="1" builtinId="8"/>
    <cellStyle name="ハイパーリンク 2" xfId="6"/>
    <cellStyle name="標準" xfId="0" builtinId="0"/>
    <cellStyle name="標準 2" xfId="2"/>
    <cellStyle name="標準 3" xfId="3"/>
    <cellStyle name="標準 4" xfId="4"/>
    <cellStyle name="標準 5" xfId="5"/>
    <cellStyle name="標準_(UL)三次方程式実根解mini (version 1)" xfId="7"/>
    <cellStyle name="標準_03.壁掛ＤＰの耐震措置計算［A4］-2007.12.14" xfId="8"/>
    <cellStyle name="標準_ＬＧＳ壁ＤＰの耐震措置計算［A4］-2008.01.24サンプル" xfId="9"/>
  </cellStyles>
  <dxfs count="0"/>
  <tableStyles count="0" defaultTableStyle="TableStyleMedium2" defaultPivotStyle="PivotStyleLight16"/>
  <colors>
    <mruColors>
      <color rgb="FF0000FF"/>
      <color rgb="FF0066CC"/>
      <color rgb="FF974706"/>
      <color rgb="FFAFAFFF"/>
      <color rgb="FFE1FFFF"/>
      <color rgb="FF000066"/>
      <color rgb="FFE1E1AF"/>
      <color rgb="FFFFFFCC"/>
      <color rgb="FFCCECFF"/>
      <color rgb="FFC8C8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hyperlink" Target="mailto:RQzS@#RQzS@&#xA;&#xA;" TargetMode="External"/></Relationships>
</file>

<file path=xl/drawings/drawing1.xml><?xml version="1.0" encoding="utf-8"?>
<xdr:wsDr xmlns:xdr="http://schemas.openxmlformats.org/drawingml/2006/spreadsheetDrawing" xmlns:a="http://schemas.openxmlformats.org/drawingml/2006/main">
  <xdr:twoCellAnchor>
    <xdr:from>
      <xdr:col>2</xdr:col>
      <xdr:colOff>0</xdr:colOff>
      <xdr:row>3</xdr:row>
      <xdr:rowOff>183173</xdr:rowOff>
    </xdr:from>
    <xdr:to>
      <xdr:col>31</xdr:col>
      <xdr:colOff>279889</xdr:colOff>
      <xdr:row>3</xdr:row>
      <xdr:rowOff>183173</xdr:rowOff>
    </xdr:to>
    <xdr:sp macro="" textlink="">
      <xdr:nvSpPr>
        <xdr:cNvPr id="2" name="Line 7"/>
        <xdr:cNvSpPr>
          <a:spLocks noChangeShapeType="1"/>
        </xdr:cNvSpPr>
      </xdr:nvSpPr>
      <xdr:spPr bwMode="auto">
        <a:xfrm>
          <a:off x="1219200" y="611798"/>
          <a:ext cx="17958289" cy="0"/>
        </a:xfrm>
        <a:prstGeom prst="line">
          <a:avLst/>
        </a:prstGeom>
        <a:noFill/>
        <a:ln w="57150" cmpd="thinThick">
          <a:solidFill>
            <a:srgbClr val="000000"/>
          </a:solidFill>
          <a:round/>
          <a:headEnd/>
          <a:tailEnd/>
        </a:ln>
      </xdr:spPr>
    </xdr:sp>
    <xdr:clientData/>
  </xdr:twoCellAnchor>
  <xdr:twoCellAnchor>
    <xdr:from>
      <xdr:col>25</xdr:col>
      <xdr:colOff>178454</xdr:colOff>
      <xdr:row>12</xdr:row>
      <xdr:rowOff>22540</xdr:rowOff>
    </xdr:from>
    <xdr:to>
      <xdr:col>25</xdr:col>
      <xdr:colOff>287906</xdr:colOff>
      <xdr:row>13</xdr:row>
      <xdr:rowOff>3986</xdr:rowOff>
    </xdr:to>
    <xdr:sp macro="" textlink="">
      <xdr:nvSpPr>
        <xdr:cNvPr id="3" name="Text Box 70"/>
        <xdr:cNvSpPr txBox="1">
          <a:spLocks noChangeArrowheads="1"/>
        </xdr:cNvSpPr>
      </xdr:nvSpPr>
      <xdr:spPr bwMode="auto">
        <a:xfrm>
          <a:off x="15418454" y="1851340"/>
          <a:ext cx="109452" cy="13384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H</a:t>
          </a:r>
        </a:p>
      </xdr:txBody>
    </xdr:sp>
    <xdr:clientData/>
  </xdr:twoCellAnchor>
  <xdr:twoCellAnchor>
    <xdr:from>
      <xdr:col>27</xdr:col>
      <xdr:colOff>106130</xdr:colOff>
      <xdr:row>7</xdr:row>
      <xdr:rowOff>29335</xdr:rowOff>
    </xdr:from>
    <xdr:to>
      <xdr:col>30</xdr:col>
      <xdr:colOff>12570</xdr:colOff>
      <xdr:row>17</xdr:row>
      <xdr:rowOff>53956</xdr:rowOff>
    </xdr:to>
    <xdr:grpSp>
      <xdr:nvGrpSpPr>
        <xdr:cNvPr id="4" name="Group 83"/>
        <xdr:cNvGrpSpPr>
          <a:grpSpLocks/>
        </xdr:cNvGrpSpPr>
      </xdr:nvGrpSpPr>
      <xdr:grpSpPr bwMode="auto">
        <a:xfrm>
          <a:off x="6162443" y="1251710"/>
          <a:ext cx="763690" cy="1929621"/>
          <a:chOff x="386" y="146"/>
          <a:chExt cx="163" cy="202"/>
        </a:xfrm>
      </xdr:grpSpPr>
      <xdr:sp macro="" textlink="">
        <xdr:nvSpPr>
          <xdr:cNvPr id="5" name="Line 48"/>
          <xdr:cNvSpPr>
            <a:spLocks noChangeShapeType="1"/>
          </xdr:cNvSpPr>
        </xdr:nvSpPr>
        <xdr:spPr bwMode="auto">
          <a:xfrm>
            <a:off x="549" y="146"/>
            <a:ext cx="0" cy="202"/>
          </a:xfrm>
          <a:prstGeom prst="line">
            <a:avLst/>
          </a:prstGeom>
          <a:noFill/>
          <a:ln w="6350">
            <a:solidFill>
              <a:srgbClr val="000000"/>
            </a:solidFill>
            <a:round/>
            <a:headEnd/>
            <a:tailEnd/>
          </a:ln>
        </xdr:spPr>
      </xdr:sp>
      <xdr:sp macro="" textlink="">
        <xdr:nvSpPr>
          <xdr:cNvPr id="6" name="Line 50"/>
          <xdr:cNvSpPr>
            <a:spLocks noChangeShapeType="1"/>
          </xdr:cNvSpPr>
        </xdr:nvSpPr>
        <xdr:spPr bwMode="auto">
          <a:xfrm>
            <a:off x="386" y="146"/>
            <a:ext cx="0" cy="202"/>
          </a:xfrm>
          <a:prstGeom prst="line">
            <a:avLst/>
          </a:prstGeom>
          <a:noFill/>
          <a:ln w="6350">
            <a:solidFill>
              <a:srgbClr val="000000"/>
            </a:solidFill>
            <a:round/>
            <a:headEnd/>
            <a:tailEnd/>
          </a:ln>
        </xdr:spPr>
      </xdr:sp>
      <xdr:sp macro="" textlink="">
        <xdr:nvSpPr>
          <xdr:cNvPr id="7" name="Line 58"/>
          <xdr:cNvSpPr>
            <a:spLocks noChangeShapeType="1"/>
          </xdr:cNvSpPr>
        </xdr:nvSpPr>
        <xdr:spPr bwMode="auto">
          <a:xfrm>
            <a:off x="386" y="348"/>
            <a:ext cx="163" cy="0"/>
          </a:xfrm>
          <a:prstGeom prst="line">
            <a:avLst/>
          </a:prstGeom>
          <a:noFill/>
          <a:ln w="6350">
            <a:solidFill>
              <a:srgbClr val="000000"/>
            </a:solidFill>
            <a:round/>
            <a:headEnd/>
            <a:tailEnd/>
          </a:ln>
        </xdr:spPr>
      </xdr:sp>
      <xdr:sp macro="" textlink="">
        <xdr:nvSpPr>
          <xdr:cNvPr id="8" name="Line 81"/>
          <xdr:cNvSpPr>
            <a:spLocks noChangeShapeType="1"/>
          </xdr:cNvSpPr>
        </xdr:nvSpPr>
        <xdr:spPr bwMode="auto">
          <a:xfrm>
            <a:off x="386" y="146"/>
            <a:ext cx="163" cy="0"/>
          </a:xfrm>
          <a:prstGeom prst="line">
            <a:avLst/>
          </a:prstGeom>
          <a:noFill/>
          <a:ln w="6350">
            <a:solidFill>
              <a:srgbClr val="000000"/>
            </a:solidFill>
            <a:round/>
            <a:headEnd/>
            <a:tailEnd/>
          </a:ln>
        </xdr:spPr>
      </xdr:sp>
    </xdr:grpSp>
    <xdr:clientData/>
  </xdr:twoCellAnchor>
  <xdr:twoCellAnchor>
    <xdr:from>
      <xdr:col>5</xdr:col>
      <xdr:colOff>73870</xdr:colOff>
      <xdr:row>18</xdr:row>
      <xdr:rowOff>188243</xdr:rowOff>
    </xdr:from>
    <xdr:to>
      <xdr:col>10</xdr:col>
      <xdr:colOff>80420</xdr:colOff>
      <xdr:row>18</xdr:row>
      <xdr:rowOff>188243</xdr:rowOff>
    </xdr:to>
    <xdr:sp macro="" textlink="">
      <xdr:nvSpPr>
        <xdr:cNvPr id="9" name="Line 60"/>
        <xdr:cNvSpPr>
          <a:spLocks noChangeShapeType="1"/>
        </xdr:cNvSpPr>
      </xdr:nvSpPr>
      <xdr:spPr bwMode="auto">
        <a:xfrm>
          <a:off x="3121870" y="2893343"/>
          <a:ext cx="3054550" cy="0"/>
        </a:xfrm>
        <a:prstGeom prst="line">
          <a:avLst/>
        </a:prstGeom>
        <a:noFill/>
        <a:ln w="9525">
          <a:solidFill>
            <a:srgbClr val="000000"/>
          </a:solidFill>
          <a:round/>
          <a:headEnd/>
          <a:tailEnd/>
        </a:ln>
      </xdr:spPr>
    </xdr:sp>
    <xdr:clientData/>
  </xdr:twoCellAnchor>
  <xdr:twoCellAnchor>
    <xdr:from>
      <xdr:col>4</xdr:col>
      <xdr:colOff>45355</xdr:colOff>
      <xdr:row>18</xdr:row>
      <xdr:rowOff>130928</xdr:rowOff>
    </xdr:from>
    <xdr:to>
      <xdr:col>11</xdr:col>
      <xdr:colOff>138785</xdr:colOff>
      <xdr:row>18</xdr:row>
      <xdr:rowOff>130928</xdr:rowOff>
    </xdr:to>
    <xdr:sp macro="" textlink="">
      <xdr:nvSpPr>
        <xdr:cNvPr id="10" name="Line 65"/>
        <xdr:cNvSpPr>
          <a:spLocks noChangeShapeType="1"/>
        </xdr:cNvSpPr>
      </xdr:nvSpPr>
      <xdr:spPr bwMode="auto">
        <a:xfrm>
          <a:off x="2483755" y="2874128"/>
          <a:ext cx="4360630" cy="0"/>
        </a:xfrm>
        <a:prstGeom prst="line">
          <a:avLst/>
        </a:prstGeom>
        <a:noFill/>
        <a:ln w="3175">
          <a:solidFill>
            <a:srgbClr val="000000"/>
          </a:solidFill>
          <a:prstDash val="lgDashDot"/>
          <a:round/>
          <a:headEnd/>
          <a:tailEnd/>
        </a:ln>
      </xdr:spPr>
    </xdr:sp>
    <xdr:clientData/>
  </xdr:twoCellAnchor>
  <xdr:twoCellAnchor>
    <xdr:from>
      <xdr:col>4</xdr:col>
      <xdr:colOff>244359</xdr:colOff>
      <xdr:row>18</xdr:row>
      <xdr:rowOff>73613</xdr:rowOff>
    </xdr:from>
    <xdr:to>
      <xdr:col>10</xdr:col>
      <xdr:colOff>199822</xdr:colOff>
      <xdr:row>18</xdr:row>
      <xdr:rowOff>73613</xdr:rowOff>
    </xdr:to>
    <xdr:sp macro="" textlink="">
      <xdr:nvSpPr>
        <xdr:cNvPr id="11" name="Line 82"/>
        <xdr:cNvSpPr>
          <a:spLocks noChangeShapeType="1"/>
        </xdr:cNvSpPr>
      </xdr:nvSpPr>
      <xdr:spPr bwMode="auto">
        <a:xfrm>
          <a:off x="2682759" y="2816813"/>
          <a:ext cx="3613063" cy="0"/>
        </a:xfrm>
        <a:prstGeom prst="line">
          <a:avLst/>
        </a:prstGeom>
        <a:noFill/>
        <a:ln w="9525">
          <a:solidFill>
            <a:srgbClr val="000000"/>
          </a:solidFill>
          <a:round/>
          <a:headEnd/>
          <a:tailEnd/>
        </a:ln>
      </xdr:spPr>
    </xdr:sp>
    <xdr:clientData/>
  </xdr:twoCellAnchor>
  <xdr:twoCellAnchor>
    <xdr:from>
      <xdr:col>27</xdr:col>
      <xdr:colOff>106130</xdr:colOff>
      <xdr:row>18</xdr:row>
      <xdr:rowOff>25850</xdr:rowOff>
    </xdr:from>
    <xdr:to>
      <xdr:col>30</xdr:col>
      <xdr:colOff>12570</xdr:colOff>
      <xdr:row>18</xdr:row>
      <xdr:rowOff>25850</xdr:rowOff>
    </xdr:to>
    <xdr:sp macro="" textlink="">
      <xdr:nvSpPr>
        <xdr:cNvPr id="12" name="Line 87"/>
        <xdr:cNvSpPr>
          <a:spLocks noChangeShapeType="1"/>
        </xdr:cNvSpPr>
      </xdr:nvSpPr>
      <xdr:spPr bwMode="auto">
        <a:xfrm>
          <a:off x="16565330" y="2769050"/>
          <a:ext cx="1735240" cy="0"/>
        </a:xfrm>
        <a:prstGeom prst="line">
          <a:avLst/>
        </a:prstGeom>
        <a:noFill/>
        <a:ln w="9525">
          <a:solidFill>
            <a:srgbClr val="000000"/>
          </a:solidFill>
          <a:round/>
          <a:headEnd/>
          <a:tailEnd/>
        </a:ln>
      </xdr:spPr>
    </xdr:sp>
    <xdr:clientData/>
  </xdr:twoCellAnchor>
  <xdr:twoCellAnchor>
    <xdr:from>
      <xdr:col>27</xdr:col>
      <xdr:colOff>106130</xdr:colOff>
      <xdr:row>17</xdr:row>
      <xdr:rowOff>53956</xdr:rowOff>
    </xdr:from>
    <xdr:to>
      <xdr:col>30</xdr:col>
      <xdr:colOff>12570</xdr:colOff>
      <xdr:row>17</xdr:row>
      <xdr:rowOff>53956</xdr:rowOff>
    </xdr:to>
    <xdr:sp macro="" textlink="">
      <xdr:nvSpPr>
        <xdr:cNvPr id="13" name="Line 88"/>
        <xdr:cNvSpPr>
          <a:spLocks noChangeShapeType="1"/>
        </xdr:cNvSpPr>
      </xdr:nvSpPr>
      <xdr:spPr bwMode="auto">
        <a:xfrm>
          <a:off x="16565330" y="2644756"/>
          <a:ext cx="1735240" cy="0"/>
        </a:xfrm>
        <a:prstGeom prst="line">
          <a:avLst/>
        </a:prstGeom>
        <a:noFill/>
        <a:ln w="9525">
          <a:solidFill>
            <a:srgbClr val="000000"/>
          </a:solidFill>
          <a:round/>
          <a:headEnd/>
          <a:tailEnd/>
        </a:ln>
      </xdr:spPr>
    </xdr:sp>
    <xdr:clientData/>
  </xdr:twoCellAnchor>
  <xdr:twoCellAnchor>
    <xdr:from>
      <xdr:col>16</xdr:col>
      <xdr:colOff>24098</xdr:colOff>
      <xdr:row>7</xdr:row>
      <xdr:rowOff>29335</xdr:rowOff>
    </xdr:from>
    <xdr:to>
      <xdr:col>24</xdr:col>
      <xdr:colOff>80288</xdr:colOff>
      <xdr:row>17</xdr:row>
      <xdr:rowOff>53956</xdr:rowOff>
    </xdr:to>
    <xdr:grpSp>
      <xdr:nvGrpSpPr>
        <xdr:cNvPr id="14" name="Group 89"/>
        <xdr:cNvGrpSpPr>
          <a:grpSpLocks/>
        </xdr:cNvGrpSpPr>
      </xdr:nvGrpSpPr>
      <xdr:grpSpPr bwMode="auto">
        <a:xfrm>
          <a:off x="3953161" y="1251710"/>
          <a:ext cx="1342065" cy="1929621"/>
          <a:chOff x="386" y="146"/>
          <a:chExt cx="163" cy="202"/>
        </a:xfrm>
      </xdr:grpSpPr>
      <xdr:sp macro="" textlink="">
        <xdr:nvSpPr>
          <xdr:cNvPr id="15" name="Line 90"/>
          <xdr:cNvSpPr>
            <a:spLocks noChangeShapeType="1"/>
          </xdr:cNvSpPr>
        </xdr:nvSpPr>
        <xdr:spPr bwMode="auto">
          <a:xfrm>
            <a:off x="549" y="146"/>
            <a:ext cx="0" cy="202"/>
          </a:xfrm>
          <a:prstGeom prst="line">
            <a:avLst/>
          </a:prstGeom>
          <a:noFill/>
          <a:ln w="6350">
            <a:solidFill>
              <a:srgbClr val="000000"/>
            </a:solidFill>
            <a:round/>
            <a:headEnd/>
            <a:tailEnd/>
          </a:ln>
        </xdr:spPr>
      </xdr:sp>
      <xdr:sp macro="" textlink="">
        <xdr:nvSpPr>
          <xdr:cNvPr id="16" name="Line 91"/>
          <xdr:cNvSpPr>
            <a:spLocks noChangeShapeType="1"/>
          </xdr:cNvSpPr>
        </xdr:nvSpPr>
        <xdr:spPr bwMode="auto">
          <a:xfrm>
            <a:off x="386" y="146"/>
            <a:ext cx="0" cy="202"/>
          </a:xfrm>
          <a:prstGeom prst="line">
            <a:avLst/>
          </a:prstGeom>
          <a:noFill/>
          <a:ln w="6350">
            <a:solidFill>
              <a:srgbClr val="000000"/>
            </a:solidFill>
            <a:round/>
            <a:headEnd/>
            <a:tailEnd/>
          </a:ln>
        </xdr:spPr>
      </xdr:sp>
      <xdr:sp macro="" textlink="">
        <xdr:nvSpPr>
          <xdr:cNvPr id="17" name="Line 92"/>
          <xdr:cNvSpPr>
            <a:spLocks noChangeShapeType="1"/>
          </xdr:cNvSpPr>
        </xdr:nvSpPr>
        <xdr:spPr bwMode="auto">
          <a:xfrm>
            <a:off x="386" y="348"/>
            <a:ext cx="163" cy="0"/>
          </a:xfrm>
          <a:prstGeom prst="line">
            <a:avLst/>
          </a:prstGeom>
          <a:noFill/>
          <a:ln w="6350">
            <a:solidFill>
              <a:srgbClr val="000000"/>
            </a:solidFill>
            <a:round/>
            <a:headEnd/>
            <a:tailEnd/>
          </a:ln>
        </xdr:spPr>
      </xdr:sp>
      <xdr:sp macro="" textlink="">
        <xdr:nvSpPr>
          <xdr:cNvPr id="18" name="Line 93"/>
          <xdr:cNvSpPr>
            <a:spLocks noChangeShapeType="1"/>
          </xdr:cNvSpPr>
        </xdr:nvSpPr>
        <xdr:spPr bwMode="auto">
          <a:xfrm>
            <a:off x="386" y="146"/>
            <a:ext cx="163" cy="0"/>
          </a:xfrm>
          <a:prstGeom prst="line">
            <a:avLst/>
          </a:prstGeom>
          <a:noFill/>
          <a:ln w="6350">
            <a:solidFill>
              <a:srgbClr val="000000"/>
            </a:solidFill>
            <a:round/>
            <a:headEnd/>
            <a:tailEnd/>
          </a:ln>
        </xdr:spPr>
      </xdr:sp>
    </xdr:grpSp>
    <xdr:clientData/>
  </xdr:twoCellAnchor>
  <xdr:twoCellAnchor>
    <xdr:from>
      <xdr:col>16</xdr:col>
      <xdr:colOff>24098</xdr:colOff>
      <xdr:row>17</xdr:row>
      <xdr:rowOff>53956</xdr:rowOff>
    </xdr:from>
    <xdr:to>
      <xdr:col>24</xdr:col>
      <xdr:colOff>80288</xdr:colOff>
      <xdr:row>18</xdr:row>
      <xdr:rowOff>25850</xdr:rowOff>
    </xdr:to>
    <xdr:grpSp>
      <xdr:nvGrpSpPr>
        <xdr:cNvPr id="19" name="Group 94"/>
        <xdr:cNvGrpSpPr>
          <a:grpSpLocks/>
        </xdr:cNvGrpSpPr>
      </xdr:nvGrpSpPr>
      <xdr:grpSpPr bwMode="auto">
        <a:xfrm>
          <a:off x="3953161" y="3181331"/>
          <a:ext cx="1342065" cy="162394"/>
          <a:chOff x="386" y="146"/>
          <a:chExt cx="163" cy="202"/>
        </a:xfrm>
      </xdr:grpSpPr>
      <xdr:sp macro="" textlink="">
        <xdr:nvSpPr>
          <xdr:cNvPr id="20" name="Line 95"/>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21" name="Line 96"/>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22" name="Line 97"/>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23" name="Line 98"/>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24</xdr:col>
      <xdr:colOff>80288</xdr:colOff>
      <xdr:row>18</xdr:row>
      <xdr:rowOff>54507</xdr:rowOff>
    </xdr:from>
    <xdr:to>
      <xdr:col>24</xdr:col>
      <xdr:colOff>80288</xdr:colOff>
      <xdr:row>19</xdr:row>
      <xdr:rowOff>131479</xdr:rowOff>
    </xdr:to>
    <xdr:sp macro="" textlink="">
      <xdr:nvSpPr>
        <xdr:cNvPr id="24" name="Line 99"/>
        <xdr:cNvSpPr>
          <a:spLocks noChangeShapeType="1"/>
        </xdr:cNvSpPr>
      </xdr:nvSpPr>
      <xdr:spPr bwMode="auto">
        <a:xfrm>
          <a:off x="14710688" y="2797707"/>
          <a:ext cx="0" cy="229372"/>
        </a:xfrm>
        <a:prstGeom prst="line">
          <a:avLst/>
        </a:prstGeom>
        <a:noFill/>
        <a:ln w="3175">
          <a:solidFill>
            <a:srgbClr val="000000"/>
          </a:solidFill>
          <a:round/>
          <a:headEnd/>
          <a:tailEnd/>
        </a:ln>
      </xdr:spPr>
    </xdr:sp>
    <xdr:clientData/>
  </xdr:twoCellAnchor>
  <xdr:twoCellAnchor>
    <xdr:from>
      <xdr:col>16</xdr:col>
      <xdr:colOff>24098</xdr:colOff>
      <xdr:row>18</xdr:row>
      <xdr:rowOff>54507</xdr:rowOff>
    </xdr:from>
    <xdr:to>
      <xdr:col>16</xdr:col>
      <xdr:colOff>24098</xdr:colOff>
      <xdr:row>19</xdr:row>
      <xdr:rowOff>131479</xdr:rowOff>
    </xdr:to>
    <xdr:sp macro="" textlink="">
      <xdr:nvSpPr>
        <xdr:cNvPr id="25" name="Line 100"/>
        <xdr:cNvSpPr>
          <a:spLocks noChangeShapeType="1"/>
        </xdr:cNvSpPr>
      </xdr:nvSpPr>
      <xdr:spPr bwMode="auto">
        <a:xfrm>
          <a:off x="9777698" y="2797707"/>
          <a:ext cx="0" cy="229372"/>
        </a:xfrm>
        <a:prstGeom prst="line">
          <a:avLst/>
        </a:prstGeom>
        <a:noFill/>
        <a:ln w="3175">
          <a:solidFill>
            <a:srgbClr val="000000"/>
          </a:solidFill>
          <a:round/>
          <a:headEnd/>
          <a:tailEnd/>
        </a:ln>
      </xdr:spPr>
    </xdr:sp>
    <xdr:clientData/>
  </xdr:twoCellAnchor>
  <xdr:twoCellAnchor>
    <xdr:from>
      <xdr:col>27</xdr:col>
      <xdr:colOff>106130</xdr:colOff>
      <xdr:row>19</xdr:row>
      <xdr:rowOff>64611</xdr:rowOff>
    </xdr:from>
    <xdr:to>
      <xdr:col>30</xdr:col>
      <xdr:colOff>12570</xdr:colOff>
      <xdr:row>19</xdr:row>
      <xdr:rowOff>64611</xdr:rowOff>
    </xdr:to>
    <xdr:sp macro="" textlink="">
      <xdr:nvSpPr>
        <xdr:cNvPr id="26" name="Line 101"/>
        <xdr:cNvSpPr>
          <a:spLocks noChangeShapeType="1"/>
        </xdr:cNvSpPr>
      </xdr:nvSpPr>
      <xdr:spPr bwMode="auto">
        <a:xfrm>
          <a:off x="16565330" y="2960211"/>
          <a:ext cx="1735240" cy="0"/>
        </a:xfrm>
        <a:prstGeom prst="line">
          <a:avLst/>
        </a:prstGeom>
        <a:noFill/>
        <a:ln w="6350">
          <a:solidFill>
            <a:srgbClr val="000000"/>
          </a:solidFill>
          <a:round/>
          <a:headEnd type="triangle" w="sm" len="med"/>
          <a:tailEnd type="triangle" w="sm" len="med"/>
        </a:ln>
      </xdr:spPr>
    </xdr:sp>
    <xdr:clientData/>
  </xdr:twoCellAnchor>
  <xdr:twoCellAnchor>
    <xdr:from>
      <xdr:col>29</xdr:col>
      <xdr:colOff>183060</xdr:colOff>
      <xdr:row>17</xdr:row>
      <xdr:rowOff>53956</xdr:rowOff>
    </xdr:from>
    <xdr:to>
      <xdr:col>29</xdr:col>
      <xdr:colOff>183060</xdr:colOff>
      <xdr:row>18</xdr:row>
      <xdr:rowOff>25850</xdr:rowOff>
    </xdr:to>
    <xdr:sp macro="" textlink="">
      <xdr:nvSpPr>
        <xdr:cNvPr id="27" name="Line 104"/>
        <xdr:cNvSpPr>
          <a:spLocks noChangeShapeType="1"/>
        </xdr:cNvSpPr>
      </xdr:nvSpPr>
      <xdr:spPr bwMode="auto">
        <a:xfrm>
          <a:off x="17861460" y="2644756"/>
          <a:ext cx="0" cy="124294"/>
        </a:xfrm>
        <a:prstGeom prst="line">
          <a:avLst/>
        </a:prstGeom>
        <a:noFill/>
        <a:ln w="12700">
          <a:solidFill>
            <a:srgbClr val="000000"/>
          </a:solidFill>
          <a:round/>
          <a:headEnd/>
          <a:tailEnd/>
        </a:ln>
      </xdr:spPr>
    </xdr:sp>
    <xdr:clientData/>
  </xdr:twoCellAnchor>
  <xdr:twoCellAnchor>
    <xdr:from>
      <xdr:col>27</xdr:col>
      <xdr:colOff>225532</xdr:colOff>
      <xdr:row>17</xdr:row>
      <xdr:rowOff>53956</xdr:rowOff>
    </xdr:from>
    <xdr:to>
      <xdr:col>27</xdr:col>
      <xdr:colOff>225532</xdr:colOff>
      <xdr:row>18</xdr:row>
      <xdr:rowOff>25850</xdr:rowOff>
    </xdr:to>
    <xdr:sp macro="" textlink="">
      <xdr:nvSpPr>
        <xdr:cNvPr id="28" name="Line 105"/>
        <xdr:cNvSpPr>
          <a:spLocks noChangeShapeType="1"/>
        </xdr:cNvSpPr>
      </xdr:nvSpPr>
      <xdr:spPr bwMode="auto">
        <a:xfrm>
          <a:off x="16684732" y="2644756"/>
          <a:ext cx="0" cy="124294"/>
        </a:xfrm>
        <a:prstGeom prst="line">
          <a:avLst/>
        </a:prstGeom>
        <a:noFill/>
        <a:ln w="12700">
          <a:solidFill>
            <a:srgbClr val="000000"/>
          </a:solidFill>
          <a:round/>
          <a:headEnd/>
          <a:tailEnd/>
        </a:ln>
      </xdr:spPr>
    </xdr:sp>
    <xdr:clientData/>
  </xdr:twoCellAnchor>
  <xdr:twoCellAnchor>
    <xdr:from>
      <xdr:col>27</xdr:col>
      <xdr:colOff>165831</xdr:colOff>
      <xdr:row>17</xdr:row>
      <xdr:rowOff>159034</xdr:rowOff>
    </xdr:from>
    <xdr:to>
      <xdr:col>27</xdr:col>
      <xdr:colOff>165831</xdr:colOff>
      <xdr:row>18</xdr:row>
      <xdr:rowOff>140480</xdr:rowOff>
    </xdr:to>
    <xdr:sp macro="" textlink="">
      <xdr:nvSpPr>
        <xdr:cNvPr id="29" name="Line 106"/>
        <xdr:cNvSpPr>
          <a:spLocks noChangeShapeType="1"/>
        </xdr:cNvSpPr>
      </xdr:nvSpPr>
      <xdr:spPr bwMode="auto">
        <a:xfrm>
          <a:off x="16625031" y="2740309"/>
          <a:ext cx="0" cy="143371"/>
        </a:xfrm>
        <a:prstGeom prst="line">
          <a:avLst/>
        </a:prstGeom>
        <a:noFill/>
        <a:ln w="19050">
          <a:solidFill>
            <a:srgbClr val="000000"/>
          </a:solidFill>
          <a:round/>
          <a:headEnd/>
          <a:tailEnd/>
        </a:ln>
      </xdr:spPr>
    </xdr:sp>
    <xdr:clientData/>
  </xdr:twoCellAnchor>
  <xdr:twoCellAnchor>
    <xdr:from>
      <xdr:col>16</xdr:col>
      <xdr:colOff>93750</xdr:colOff>
      <xdr:row>17</xdr:row>
      <xdr:rowOff>159034</xdr:rowOff>
    </xdr:from>
    <xdr:to>
      <xdr:col>16</xdr:col>
      <xdr:colOff>93750</xdr:colOff>
      <xdr:row>18</xdr:row>
      <xdr:rowOff>140480</xdr:rowOff>
    </xdr:to>
    <xdr:sp macro="" textlink="">
      <xdr:nvSpPr>
        <xdr:cNvPr id="30" name="Line 108"/>
        <xdr:cNvSpPr>
          <a:spLocks noChangeShapeType="1"/>
        </xdr:cNvSpPr>
      </xdr:nvSpPr>
      <xdr:spPr bwMode="auto">
        <a:xfrm>
          <a:off x="9847350" y="2740309"/>
          <a:ext cx="0" cy="143371"/>
        </a:xfrm>
        <a:prstGeom prst="line">
          <a:avLst/>
        </a:prstGeom>
        <a:noFill/>
        <a:ln w="19050">
          <a:solidFill>
            <a:srgbClr val="000000"/>
          </a:solidFill>
          <a:round/>
          <a:headEnd/>
          <a:tailEnd/>
        </a:ln>
      </xdr:spPr>
    </xdr:sp>
    <xdr:clientData/>
  </xdr:twoCellAnchor>
  <xdr:twoCellAnchor>
    <xdr:from>
      <xdr:col>21</xdr:col>
      <xdr:colOff>17022</xdr:colOff>
      <xdr:row>17</xdr:row>
      <xdr:rowOff>159034</xdr:rowOff>
    </xdr:from>
    <xdr:to>
      <xdr:col>21</xdr:col>
      <xdr:colOff>17022</xdr:colOff>
      <xdr:row>18</xdr:row>
      <xdr:rowOff>140480</xdr:rowOff>
    </xdr:to>
    <xdr:sp macro="" textlink="">
      <xdr:nvSpPr>
        <xdr:cNvPr id="31" name="Line 109"/>
        <xdr:cNvSpPr>
          <a:spLocks noChangeShapeType="1"/>
        </xdr:cNvSpPr>
      </xdr:nvSpPr>
      <xdr:spPr bwMode="auto">
        <a:xfrm>
          <a:off x="12818622" y="2740309"/>
          <a:ext cx="0" cy="143371"/>
        </a:xfrm>
        <a:prstGeom prst="line">
          <a:avLst/>
        </a:prstGeom>
        <a:noFill/>
        <a:ln w="19050">
          <a:solidFill>
            <a:srgbClr val="000000"/>
          </a:solidFill>
          <a:round/>
          <a:headEnd/>
          <a:tailEnd/>
        </a:ln>
      </xdr:spPr>
    </xdr:sp>
    <xdr:clientData/>
  </xdr:twoCellAnchor>
  <xdr:twoCellAnchor>
    <xdr:from>
      <xdr:col>29</xdr:col>
      <xdr:colOff>242761</xdr:colOff>
      <xdr:row>17</xdr:row>
      <xdr:rowOff>159034</xdr:rowOff>
    </xdr:from>
    <xdr:to>
      <xdr:col>29</xdr:col>
      <xdr:colOff>242761</xdr:colOff>
      <xdr:row>18</xdr:row>
      <xdr:rowOff>140480</xdr:rowOff>
    </xdr:to>
    <xdr:sp macro="" textlink="">
      <xdr:nvSpPr>
        <xdr:cNvPr id="32" name="Line 110"/>
        <xdr:cNvSpPr>
          <a:spLocks noChangeShapeType="1"/>
        </xdr:cNvSpPr>
      </xdr:nvSpPr>
      <xdr:spPr bwMode="auto">
        <a:xfrm>
          <a:off x="17921161" y="2740309"/>
          <a:ext cx="0" cy="143371"/>
        </a:xfrm>
        <a:prstGeom prst="line">
          <a:avLst/>
        </a:prstGeom>
        <a:noFill/>
        <a:ln w="19050">
          <a:solidFill>
            <a:srgbClr val="000000"/>
          </a:solidFill>
          <a:round/>
          <a:headEnd/>
          <a:tailEnd/>
        </a:ln>
      </xdr:spPr>
    </xdr:sp>
    <xdr:clientData/>
  </xdr:twoCellAnchor>
  <xdr:twoCellAnchor>
    <xdr:from>
      <xdr:col>24</xdr:col>
      <xdr:colOff>10637</xdr:colOff>
      <xdr:row>17</xdr:row>
      <xdr:rowOff>159034</xdr:rowOff>
    </xdr:from>
    <xdr:to>
      <xdr:col>24</xdr:col>
      <xdr:colOff>10637</xdr:colOff>
      <xdr:row>18</xdr:row>
      <xdr:rowOff>140480</xdr:rowOff>
    </xdr:to>
    <xdr:sp macro="" textlink="">
      <xdr:nvSpPr>
        <xdr:cNvPr id="33" name="Line 111"/>
        <xdr:cNvSpPr>
          <a:spLocks noChangeShapeType="1"/>
        </xdr:cNvSpPr>
      </xdr:nvSpPr>
      <xdr:spPr bwMode="auto">
        <a:xfrm>
          <a:off x="14641037" y="2740309"/>
          <a:ext cx="0" cy="143371"/>
        </a:xfrm>
        <a:prstGeom prst="line">
          <a:avLst/>
        </a:prstGeom>
        <a:noFill/>
        <a:ln w="19050">
          <a:solidFill>
            <a:srgbClr val="000000"/>
          </a:solidFill>
          <a:round/>
          <a:headEnd/>
          <a:tailEnd/>
        </a:ln>
      </xdr:spPr>
    </xdr:sp>
    <xdr:clientData/>
  </xdr:twoCellAnchor>
  <xdr:twoCellAnchor>
    <xdr:from>
      <xdr:col>30</xdr:col>
      <xdr:colOff>12570</xdr:colOff>
      <xdr:row>18</xdr:row>
      <xdr:rowOff>54507</xdr:rowOff>
    </xdr:from>
    <xdr:to>
      <xdr:col>30</xdr:col>
      <xdr:colOff>12570</xdr:colOff>
      <xdr:row>19</xdr:row>
      <xdr:rowOff>131479</xdr:rowOff>
    </xdr:to>
    <xdr:sp macro="" textlink="">
      <xdr:nvSpPr>
        <xdr:cNvPr id="34" name="Line 114"/>
        <xdr:cNvSpPr>
          <a:spLocks noChangeShapeType="1"/>
        </xdr:cNvSpPr>
      </xdr:nvSpPr>
      <xdr:spPr bwMode="auto">
        <a:xfrm>
          <a:off x="18300570" y="2797707"/>
          <a:ext cx="0" cy="229372"/>
        </a:xfrm>
        <a:prstGeom prst="line">
          <a:avLst/>
        </a:prstGeom>
        <a:noFill/>
        <a:ln w="3175">
          <a:solidFill>
            <a:srgbClr val="000000"/>
          </a:solidFill>
          <a:round/>
          <a:headEnd/>
          <a:tailEnd/>
        </a:ln>
      </xdr:spPr>
    </xdr:sp>
    <xdr:clientData/>
  </xdr:twoCellAnchor>
  <xdr:twoCellAnchor>
    <xdr:from>
      <xdr:col>27</xdr:col>
      <xdr:colOff>106130</xdr:colOff>
      <xdr:row>18</xdr:row>
      <xdr:rowOff>54507</xdr:rowOff>
    </xdr:from>
    <xdr:to>
      <xdr:col>27</xdr:col>
      <xdr:colOff>106130</xdr:colOff>
      <xdr:row>19</xdr:row>
      <xdr:rowOff>131479</xdr:rowOff>
    </xdr:to>
    <xdr:sp macro="" textlink="">
      <xdr:nvSpPr>
        <xdr:cNvPr id="35" name="Line 115"/>
        <xdr:cNvSpPr>
          <a:spLocks noChangeShapeType="1"/>
        </xdr:cNvSpPr>
      </xdr:nvSpPr>
      <xdr:spPr bwMode="auto">
        <a:xfrm>
          <a:off x="16565330" y="2797707"/>
          <a:ext cx="0" cy="229372"/>
        </a:xfrm>
        <a:prstGeom prst="line">
          <a:avLst/>
        </a:prstGeom>
        <a:noFill/>
        <a:ln w="3175">
          <a:solidFill>
            <a:srgbClr val="000000"/>
          </a:solidFill>
          <a:round/>
          <a:headEnd/>
          <a:tailEnd/>
        </a:ln>
      </xdr:spPr>
    </xdr:sp>
    <xdr:clientData/>
  </xdr:twoCellAnchor>
  <xdr:twoCellAnchor>
    <xdr:from>
      <xdr:col>16</xdr:col>
      <xdr:colOff>24098</xdr:colOff>
      <xdr:row>19</xdr:row>
      <xdr:rowOff>64611</xdr:rowOff>
    </xdr:from>
    <xdr:to>
      <xdr:col>24</xdr:col>
      <xdr:colOff>80288</xdr:colOff>
      <xdr:row>19</xdr:row>
      <xdr:rowOff>64611</xdr:rowOff>
    </xdr:to>
    <xdr:sp macro="" textlink="">
      <xdr:nvSpPr>
        <xdr:cNvPr id="36" name="Line 116"/>
        <xdr:cNvSpPr>
          <a:spLocks noChangeShapeType="1"/>
        </xdr:cNvSpPr>
      </xdr:nvSpPr>
      <xdr:spPr bwMode="auto">
        <a:xfrm>
          <a:off x="9777698" y="2960211"/>
          <a:ext cx="4932990" cy="0"/>
        </a:xfrm>
        <a:prstGeom prst="line">
          <a:avLst/>
        </a:prstGeom>
        <a:noFill/>
        <a:ln w="6350">
          <a:solidFill>
            <a:srgbClr val="000000"/>
          </a:solidFill>
          <a:round/>
          <a:headEnd type="triangle" w="sm" len="med"/>
          <a:tailEnd type="triangle" w="sm" len="med"/>
        </a:ln>
      </xdr:spPr>
    </xdr:sp>
    <xdr:clientData/>
  </xdr:twoCellAnchor>
  <xdr:twoCellAnchor>
    <xdr:from>
      <xdr:col>24</xdr:col>
      <xdr:colOff>120089</xdr:colOff>
      <xdr:row>7</xdr:row>
      <xdr:rowOff>29335</xdr:rowOff>
    </xdr:from>
    <xdr:to>
      <xdr:col>25</xdr:col>
      <xdr:colOff>277956</xdr:colOff>
      <xdr:row>7</xdr:row>
      <xdr:rowOff>29335</xdr:rowOff>
    </xdr:to>
    <xdr:sp macro="" textlink="">
      <xdr:nvSpPr>
        <xdr:cNvPr id="37" name="Line 118"/>
        <xdr:cNvSpPr>
          <a:spLocks noChangeShapeType="1"/>
        </xdr:cNvSpPr>
      </xdr:nvSpPr>
      <xdr:spPr bwMode="auto">
        <a:xfrm>
          <a:off x="14750489" y="1096135"/>
          <a:ext cx="767467" cy="0"/>
        </a:xfrm>
        <a:prstGeom prst="line">
          <a:avLst/>
        </a:prstGeom>
        <a:noFill/>
        <a:ln w="3175">
          <a:solidFill>
            <a:srgbClr val="000000"/>
          </a:solidFill>
          <a:round/>
          <a:headEnd/>
          <a:tailEnd/>
        </a:ln>
      </xdr:spPr>
    </xdr:sp>
    <xdr:clientData/>
  </xdr:twoCellAnchor>
  <xdr:twoCellAnchor>
    <xdr:from>
      <xdr:col>24</xdr:col>
      <xdr:colOff>120089</xdr:colOff>
      <xdr:row>18</xdr:row>
      <xdr:rowOff>25850</xdr:rowOff>
    </xdr:from>
    <xdr:to>
      <xdr:col>25</xdr:col>
      <xdr:colOff>277956</xdr:colOff>
      <xdr:row>18</xdr:row>
      <xdr:rowOff>25850</xdr:rowOff>
    </xdr:to>
    <xdr:sp macro="" textlink="">
      <xdr:nvSpPr>
        <xdr:cNvPr id="38" name="Line 119"/>
        <xdr:cNvSpPr>
          <a:spLocks noChangeShapeType="1"/>
        </xdr:cNvSpPr>
      </xdr:nvSpPr>
      <xdr:spPr bwMode="auto">
        <a:xfrm>
          <a:off x="14750489" y="2769050"/>
          <a:ext cx="767467" cy="0"/>
        </a:xfrm>
        <a:prstGeom prst="line">
          <a:avLst/>
        </a:prstGeom>
        <a:noFill/>
        <a:ln w="3175">
          <a:solidFill>
            <a:srgbClr val="000000"/>
          </a:solidFill>
          <a:round/>
          <a:headEnd/>
          <a:tailEnd/>
        </a:ln>
      </xdr:spPr>
    </xdr:sp>
    <xdr:clientData/>
  </xdr:twoCellAnchor>
  <xdr:twoCellAnchor>
    <xdr:from>
      <xdr:col>25</xdr:col>
      <xdr:colOff>178454</xdr:colOff>
      <xdr:row>7</xdr:row>
      <xdr:rowOff>29335</xdr:rowOff>
    </xdr:from>
    <xdr:to>
      <xdr:col>25</xdr:col>
      <xdr:colOff>178454</xdr:colOff>
      <xdr:row>18</xdr:row>
      <xdr:rowOff>25849</xdr:rowOff>
    </xdr:to>
    <xdr:sp macro="" textlink="">
      <xdr:nvSpPr>
        <xdr:cNvPr id="39" name="Line 120"/>
        <xdr:cNvSpPr>
          <a:spLocks noChangeShapeType="1"/>
        </xdr:cNvSpPr>
      </xdr:nvSpPr>
      <xdr:spPr bwMode="auto">
        <a:xfrm>
          <a:off x="15418454" y="1096135"/>
          <a:ext cx="0" cy="1672914"/>
        </a:xfrm>
        <a:prstGeom prst="line">
          <a:avLst/>
        </a:prstGeom>
        <a:noFill/>
        <a:ln w="3175">
          <a:solidFill>
            <a:srgbClr val="000000"/>
          </a:solidFill>
          <a:round/>
          <a:headEnd type="triangle" w="sm" len="med"/>
          <a:tailEnd type="triangle" w="sm" len="med"/>
        </a:ln>
      </xdr:spPr>
    </xdr:sp>
    <xdr:clientData/>
  </xdr:twoCellAnchor>
  <xdr:twoCellAnchor>
    <xdr:from>
      <xdr:col>25</xdr:col>
      <xdr:colOff>218255</xdr:colOff>
      <xdr:row>19</xdr:row>
      <xdr:rowOff>188795</xdr:rowOff>
    </xdr:from>
    <xdr:to>
      <xdr:col>27</xdr:col>
      <xdr:colOff>275283</xdr:colOff>
      <xdr:row>20</xdr:row>
      <xdr:rowOff>160689</xdr:rowOff>
    </xdr:to>
    <xdr:sp macro="" textlink="">
      <xdr:nvSpPr>
        <xdr:cNvPr id="40" name="Text Box 121"/>
        <xdr:cNvSpPr txBox="1">
          <a:spLocks noChangeArrowheads="1"/>
        </xdr:cNvSpPr>
      </xdr:nvSpPr>
      <xdr:spPr bwMode="auto">
        <a:xfrm>
          <a:off x="15458255" y="3046295"/>
          <a:ext cx="1276228" cy="152869"/>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900" b="0" i="0" strike="noStrike">
              <a:solidFill>
                <a:srgbClr val="000000"/>
              </a:solidFill>
              <a:latin typeface="ＭＳ Ｐ明朝"/>
              <a:ea typeface="ＭＳ Ｐ明朝"/>
            </a:rPr>
            <a:t>アンカボルト</a:t>
          </a:r>
        </a:p>
      </xdr:txBody>
    </xdr:sp>
    <xdr:clientData/>
  </xdr:twoCellAnchor>
  <xdr:twoCellAnchor>
    <xdr:from>
      <xdr:col>10</xdr:col>
      <xdr:colOff>70469</xdr:colOff>
      <xdr:row>16</xdr:row>
      <xdr:rowOff>177588</xdr:rowOff>
    </xdr:from>
    <xdr:to>
      <xdr:col>10</xdr:col>
      <xdr:colOff>229672</xdr:colOff>
      <xdr:row>17</xdr:row>
      <xdr:rowOff>168587</xdr:rowOff>
    </xdr:to>
    <xdr:sp macro="" textlink="">
      <xdr:nvSpPr>
        <xdr:cNvPr id="41" name="Text Box 150"/>
        <xdr:cNvSpPr txBox="1">
          <a:spLocks noChangeArrowheads="1"/>
        </xdr:cNvSpPr>
      </xdr:nvSpPr>
      <xdr:spPr bwMode="auto">
        <a:xfrm>
          <a:off x="6166469" y="2587413"/>
          <a:ext cx="159203" cy="152924"/>
        </a:xfrm>
        <a:prstGeom prst="rect">
          <a:avLst/>
        </a:prstGeom>
        <a:noFill/>
        <a:ln w="9525">
          <a:noFill/>
          <a:miter lim="800000"/>
          <a:headEnd/>
          <a:tailEnd/>
        </a:ln>
      </xdr:spPr>
      <xdr:txBody>
        <a:bodyPr wrap="none" lIns="0" tIns="18288" rIns="18288" bIns="0" anchor="t" upright="1">
          <a:noAutofit/>
        </a:bodyPr>
        <a:lstStyle/>
        <a:p>
          <a:pPr algn="r" rtl="1">
            <a:defRPr sz="1000"/>
          </a:pPr>
          <a:r>
            <a:rPr lang="ja-JP" altLang="de-DE" sz="1000" b="1" i="0" strike="noStrike">
              <a:solidFill>
                <a:srgbClr val="000000"/>
              </a:solidFill>
              <a:latin typeface="ＭＳ Ｐ明朝"/>
              <a:ea typeface="ＭＳ Ｐ明朝"/>
            </a:rPr>
            <a:t>ｎ</a:t>
          </a:r>
          <a:r>
            <a:rPr lang="de-DE" altLang="ja-JP" sz="700" b="1" i="0" strike="noStrike">
              <a:solidFill>
                <a:srgbClr val="000000"/>
              </a:solidFill>
              <a:latin typeface="Times New Roman"/>
              <a:cs typeface="Times New Roman"/>
            </a:rPr>
            <a:t>2</a:t>
          </a:r>
        </a:p>
      </xdr:txBody>
    </xdr:sp>
    <xdr:clientData/>
  </xdr:twoCellAnchor>
  <xdr:twoCellAnchor>
    <xdr:from>
      <xdr:col>3</xdr:col>
      <xdr:colOff>48304</xdr:colOff>
      <xdr:row>18</xdr:row>
      <xdr:rowOff>35402</xdr:rowOff>
    </xdr:from>
    <xdr:to>
      <xdr:col>4</xdr:col>
      <xdr:colOff>18936</xdr:colOff>
      <xdr:row>19</xdr:row>
      <xdr:rowOff>26401</xdr:rowOff>
    </xdr:to>
    <xdr:sp macro="" textlink="">
      <xdr:nvSpPr>
        <xdr:cNvPr id="42" name="Text Box 155"/>
        <xdr:cNvSpPr txBox="1">
          <a:spLocks noChangeArrowheads="1"/>
        </xdr:cNvSpPr>
      </xdr:nvSpPr>
      <xdr:spPr bwMode="auto">
        <a:xfrm>
          <a:off x="1877104" y="2778602"/>
          <a:ext cx="580232" cy="143399"/>
        </a:xfrm>
        <a:prstGeom prst="rect">
          <a:avLst/>
        </a:prstGeom>
        <a:noFill/>
        <a:ln w="9525">
          <a:noFill/>
          <a:miter lim="800000"/>
          <a:headEnd/>
          <a:tailEnd/>
        </a:ln>
      </xdr:spPr>
      <xdr:txBody>
        <a:bodyPr vertOverflow="clip" wrap="square" lIns="0" tIns="18288" rIns="27432" bIns="0" anchor="t" upright="1"/>
        <a:lstStyle/>
        <a:p>
          <a:pPr algn="r" rtl="1">
            <a:defRPr sz="1000"/>
          </a:pPr>
          <a:r>
            <a:rPr lang="ja-JP" altLang="de-DE" sz="1000" b="1" i="0" strike="noStrike">
              <a:solidFill>
                <a:srgbClr val="000000"/>
              </a:solidFill>
              <a:latin typeface="ＭＳ Ｐ明朝"/>
              <a:ea typeface="ＭＳ Ｐ明朝"/>
            </a:rPr>
            <a:t>ｎ</a:t>
          </a:r>
          <a:r>
            <a:rPr lang="de-DE" altLang="ja-JP" sz="700" b="1" i="0" strike="noStrike">
              <a:solidFill>
                <a:srgbClr val="000000"/>
              </a:solidFill>
              <a:latin typeface="Times New Roman"/>
              <a:cs typeface="Times New Roman"/>
            </a:rPr>
            <a:t>1</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10</xdr:col>
      <xdr:colOff>199822</xdr:colOff>
      <xdr:row>7</xdr:row>
      <xdr:rowOff>10230</xdr:rowOff>
    </xdr:from>
    <xdr:to>
      <xdr:col>10</xdr:col>
      <xdr:colOff>199822</xdr:colOff>
      <xdr:row>14</xdr:row>
      <xdr:rowOff>109617</xdr:rowOff>
    </xdr:to>
    <xdr:sp macro="" textlink="">
      <xdr:nvSpPr>
        <xdr:cNvPr id="43" name="Line 157"/>
        <xdr:cNvSpPr>
          <a:spLocks noChangeShapeType="1"/>
        </xdr:cNvSpPr>
      </xdr:nvSpPr>
      <xdr:spPr bwMode="auto">
        <a:xfrm flipV="1">
          <a:off x="6295822" y="1077030"/>
          <a:ext cx="0" cy="1166187"/>
        </a:xfrm>
        <a:prstGeom prst="line">
          <a:avLst/>
        </a:prstGeom>
        <a:noFill/>
        <a:ln w="6350">
          <a:solidFill>
            <a:srgbClr val="000000"/>
          </a:solidFill>
          <a:round/>
          <a:headEnd/>
          <a:tailEnd/>
        </a:ln>
      </xdr:spPr>
    </xdr:sp>
    <xdr:clientData/>
  </xdr:twoCellAnchor>
  <xdr:twoCellAnchor>
    <xdr:from>
      <xdr:col>4</xdr:col>
      <xdr:colOff>244359</xdr:colOff>
      <xdr:row>7</xdr:row>
      <xdr:rowOff>10230</xdr:rowOff>
    </xdr:from>
    <xdr:to>
      <xdr:col>4</xdr:col>
      <xdr:colOff>244359</xdr:colOff>
      <xdr:row>14</xdr:row>
      <xdr:rowOff>109617</xdr:rowOff>
    </xdr:to>
    <xdr:sp macro="" textlink="">
      <xdr:nvSpPr>
        <xdr:cNvPr id="44" name="Line 158"/>
        <xdr:cNvSpPr>
          <a:spLocks noChangeShapeType="1"/>
        </xdr:cNvSpPr>
      </xdr:nvSpPr>
      <xdr:spPr bwMode="auto">
        <a:xfrm flipV="1">
          <a:off x="2682759" y="1077030"/>
          <a:ext cx="0" cy="1166187"/>
        </a:xfrm>
        <a:prstGeom prst="line">
          <a:avLst/>
        </a:prstGeom>
        <a:noFill/>
        <a:ln w="6350">
          <a:solidFill>
            <a:srgbClr val="000000"/>
          </a:solidFill>
          <a:round/>
          <a:headEnd/>
          <a:tailEnd/>
        </a:ln>
      </xdr:spPr>
    </xdr:sp>
    <xdr:clientData/>
  </xdr:twoCellAnchor>
  <xdr:twoCellAnchor>
    <xdr:from>
      <xdr:col>4</xdr:col>
      <xdr:colOff>244359</xdr:colOff>
      <xdr:row>7</xdr:row>
      <xdr:rowOff>10230</xdr:rowOff>
    </xdr:from>
    <xdr:to>
      <xdr:col>10</xdr:col>
      <xdr:colOff>199822</xdr:colOff>
      <xdr:row>7</xdr:row>
      <xdr:rowOff>10230</xdr:rowOff>
    </xdr:to>
    <xdr:sp macro="" textlink="">
      <xdr:nvSpPr>
        <xdr:cNvPr id="45" name="Line 159"/>
        <xdr:cNvSpPr>
          <a:spLocks noChangeShapeType="1"/>
        </xdr:cNvSpPr>
      </xdr:nvSpPr>
      <xdr:spPr bwMode="auto">
        <a:xfrm>
          <a:off x="2682759" y="1077030"/>
          <a:ext cx="3613063" cy="0"/>
        </a:xfrm>
        <a:prstGeom prst="line">
          <a:avLst/>
        </a:prstGeom>
        <a:noFill/>
        <a:ln w="6350">
          <a:solidFill>
            <a:srgbClr val="000000"/>
          </a:solidFill>
          <a:round/>
          <a:headEnd/>
          <a:tailEnd/>
        </a:ln>
      </xdr:spPr>
    </xdr:sp>
    <xdr:clientData/>
  </xdr:twoCellAnchor>
  <xdr:twoCellAnchor>
    <xdr:from>
      <xdr:col>4</xdr:col>
      <xdr:colOff>244359</xdr:colOff>
      <xdr:row>14</xdr:row>
      <xdr:rowOff>109617</xdr:rowOff>
    </xdr:from>
    <xdr:to>
      <xdr:col>10</xdr:col>
      <xdr:colOff>199822</xdr:colOff>
      <xdr:row>14</xdr:row>
      <xdr:rowOff>109617</xdr:rowOff>
    </xdr:to>
    <xdr:sp macro="" textlink="">
      <xdr:nvSpPr>
        <xdr:cNvPr id="46" name="Line 160"/>
        <xdr:cNvSpPr>
          <a:spLocks noChangeShapeType="1"/>
        </xdr:cNvSpPr>
      </xdr:nvSpPr>
      <xdr:spPr bwMode="auto">
        <a:xfrm>
          <a:off x="2682759" y="2243217"/>
          <a:ext cx="3613063" cy="0"/>
        </a:xfrm>
        <a:prstGeom prst="line">
          <a:avLst/>
        </a:prstGeom>
        <a:noFill/>
        <a:ln w="9525">
          <a:solidFill>
            <a:srgbClr val="000000"/>
          </a:solidFill>
          <a:round/>
          <a:headEnd/>
          <a:tailEnd/>
        </a:ln>
      </xdr:spPr>
    </xdr:sp>
    <xdr:clientData/>
  </xdr:twoCellAnchor>
  <xdr:twoCellAnchor>
    <xdr:from>
      <xdr:col>10</xdr:col>
      <xdr:colOff>120220</xdr:colOff>
      <xdr:row>18</xdr:row>
      <xdr:rowOff>111823</xdr:rowOff>
    </xdr:from>
    <xdr:to>
      <xdr:col>10</xdr:col>
      <xdr:colOff>160021</xdr:colOff>
      <xdr:row>18</xdr:row>
      <xdr:rowOff>150033</xdr:rowOff>
    </xdr:to>
    <xdr:sp macro="" textlink="">
      <xdr:nvSpPr>
        <xdr:cNvPr id="47" name="Oval 164"/>
        <xdr:cNvSpPr>
          <a:spLocks noChangeArrowheads="1"/>
        </xdr:cNvSpPr>
      </xdr:nvSpPr>
      <xdr:spPr bwMode="auto">
        <a:xfrm>
          <a:off x="6216220" y="2855023"/>
          <a:ext cx="39801" cy="38210"/>
        </a:xfrm>
        <a:prstGeom prst="ellipse">
          <a:avLst/>
        </a:prstGeom>
        <a:noFill/>
        <a:ln w="9525">
          <a:solidFill>
            <a:srgbClr val="000000"/>
          </a:solidFill>
          <a:round/>
          <a:headEnd/>
          <a:tailEnd/>
        </a:ln>
      </xdr:spPr>
    </xdr:sp>
    <xdr:clientData/>
  </xdr:twoCellAnchor>
  <xdr:twoCellAnchor>
    <xdr:from>
      <xdr:col>4</xdr:col>
      <xdr:colOff>284159</xdr:colOff>
      <xdr:row>18</xdr:row>
      <xdr:rowOff>111823</xdr:rowOff>
    </xdr:from>
    <xdr:to>
      <xdr:col>5</xdr:col>
      <xdr:colOff>34069</xdr:colOff>
      <xdr:row>18</xdr:row>
      <xdr:rowOff>150033</xdr:rowOff>
    </xdr:to>
    <xdr:sp macro="" textlink="">
      <xdr:nvSpPr>
        <xdr:cNvPr id="48" name="Oval 165"/>
        <xdr:cNvSpPr>
          <a:spLocks noChangeArrowheads="1"/>
        </xdr:cNvSpPr>
      </xdr:nvSpPr>
      <xdr:spPr bwMode="auto">
        <a:xfrm>
          <a:off x="2722559" y="2855023"/>
          <a:ext cx="359510" cy="38210"/>
        </a:xfrm>
        <a:prstGeom prst="ellipse">
          <a:avLst/>
        </a:prstGeom>
        <a:noFill/>
        <a:ln w="9525">
          <a:solidFill>
            <a:srgbClr val="000000"/>
          </a:solidFill>
          <a:round/>
          <a:headEnd/>
          <a:tailEnd/>
        </a:ln>
      </xdr:spPr>
    </xdr:sp>
    <xdr:clientData/>
  </xdr:twoCellAnchor>
  <xdr:twoCellAnchor>
    <xdr:from>
      <xdr:col>7</xdr:col>
      <xdr:colOff>223156</xdr:colOff>
      <xdr:row>18</xdr:row>
      <xdr:rowOff>106916</xdr:rowOff>
    </xdr:from>
    <xdr:to>
      <xdr:col>7</xdr:col>
      <xdr:colOff>268738</xdr:colOff>
      <xdr:row>18</xdr:row>
      <xdr:rowOff>152635</xdr:rowOff>
    </xdr:to>
    <xdr:sp macro="" textlink="">
      <xdr:nvSpPr>
        <xdr:cNvPr id="49" name="Oval 166"/>
        <xdr:cNvSpPr>
          <a:spLocks noChangeArrowheads="1"/>
        </xdr:cNvSpPr>
      </xdr:nvSpPr>
      <xdr:spPr bwMode="auto">
        <a:xfrm>
          <a:off x="4490356" y="2850116"/>
          <a:ext cx="45582" cy="45719"/>
        </a:xfrm>
        <a:prstGeom prst="ellipse">
          <a:avLst/>
        </a:prstGeom>
        <a:noFill/>
        <a:ln w="9525">
          <a:solidFill>
            <a:srgbClr val="000000"/>
          </a:solidFill>
          <a:round/>
          <a:headEnd/>
          <a:tailEnd/>
        </a:ln>
      </xdr:spPr>
    </xdr:sp>
    <xdr:clientData/>
  </xdr:twoCellAnchor>
  <xdr:twoCellAnchor>
    <xdr:from>
      <xdr:col>10</xdr:col>
      <xdr:colOff>199822</xdr:colOff>
      <xdr:row>14</xdr:row>
      <xdr:rowOff>109617</xdr:rowOff>
    </xdr:from>
    <xdr:to>
      <xdr:col>10</xdr:col>
      <xdr:colOff>199822</xdr:colOff>
      <xdr:row>15</xdr:row>
      <xdr:rowOff>52853</xdr:rowOff>
    </xdr:to>
    <xdr:sp macro="" textlink="">
      <xdr:nvSpPr>
        <xdr:cNvPr id="50" name="Line 167"/>
        <xdr:cNvSpPr>
          <a:spLocks noChangeShapeType="1"/>
        </xdr:cNvSpPr>
      </xdr:nvSpPr>
      <xdr:spPr bwMode="auto">
        <a:xfrm>
          <a:off x="6295822" y="2243217"/>
          <a:ext cx="0" cy="95636"/>
        </a:xfrm>
        <a:prstGeom prst="line">
          <a:avLst/>
        </a:prstGeom>
        <a:noFill/>
        <a:ln w="9525">
          <a:solidFill>
            <a:srgbClr val="000000"/>
          </a:solidFill>
          <a:round/>
          <a:headEnd/>
          <a:tailEnd/>
        </a:ln>
      </xdr:spPr>
    </xdr:sp>
    <xdr:clientData/>
  </xdr:twoCellAnchor>
  <xdr:twoCellAnchor>
    <xdr:from>
      <xdr:col>4</xdr:col>
      <xdr:colOff>244359</xdr:colOff>
      <xdr:row>14</xdr:row>
      <xdr:rowOff>109617</xdr:rowOff>
    </xdr:from>
    <xdr:to>
      <xdr:col>4</xdr:col>
      <xdr:colOff>244359</xdr:colOff>
      <xdr:row>15</xdr:row>
      <xdr:rowOff>52853</xdr:rowOff>
    </xdr:to>
    <xdr:sp macro="" textlink="">
      <xdr:nvSpPr>
        <xdr:cNvPr id="51" name="Line 168"/>
        <xdr:cNvSpPr>
          <a:spLocks noChangeShapeType="1"/>
        </xdr:cNvSpPr>
      </xdr:nvSpPr>
      <xdr:spPr bwMode="auto">
        <a:xfrm>
          <a:off x="2682759" y="2243217"/>
          <a:ext cx="0" cy="95636"/>
        </a:xfrm>
        <a:prstGeom prst="line">
          <a:avLst/>
        </a:prstGeom>
        <a:noFill/>
        <a:ln w="9525">
          <a:solidFill>
            <a:srgbClr val="000000"/>
          </a:solidFill>
          <a:round/>
          <a:headEnd/>
          <a:tailEnd/>
        </a:ln>
      </xdr:spPr>
    </xdr:sp>
    <xdr:clientData/>
  </xdr:twoCellAnchor>
  <xdr:twoCellAnchor>
    <xdr:from>
      <xdr:col>5</xdr:col>
      <xdr:colOff>4219</xdr:colOff>
      <xdr:row>12</xdr:row>
      <xdr:rowOff>51198</xdr:rowOff>
    </xdr:from>
    <xdr:to>
      <xdr:col>5</xdr:col>
      <xdr:colOff>4219</xdr:colOff>
      <xdr:row>15</xdr:row>
      <xdr:rowOff>43300</xdr:rowOff>
    </xdr:to>
    <xdr:sp macro="" textlink="">
      <xdr:nvSpPr>
        <xdr:cNvPr id="52" name="Line 169"/>
        <xdr:cNvSpPr>
          <a:spLocks noChangeShapeType="1"/>
        </xdr:cNvSpPr>
      </xdr:nvSpPr>
      <xdr:spPr bwMode="auto">
        <a:xfrm flipV="1">
          <a:off x="3052219" y="1879998"/>
          <a:ext cx="0" cy="449302"/>
        </a:xfrm>
        <a:prstGeom prst="line">
          <a:avLst/>
        </a:prstGeom>
        <a:noFill/>
        <a:ln w="12700">
          <a:solidFill>
            <a:srgbClr val="000000"/>
          </a:solidFill>
          <a:round/>
          <a:headEnd/>
          <a:tailEnd type="stealth" w="med" len="med"/>
        </a:ln>
      </xdr:spPr>
    </xdr:sp>
    <xdr:clientData/>
  </xdr:twoCellAnchor>
  <xdr:twoCellAnchor>
    <xdr:from>
      <xdr:col>7</xdr:col>
      <xdr:colOff>256761</xdr:colOff>
      <xdr:row>10</xdr:row>
      <xdr:rowOff>59648</xdr:rowOff>
    </xdr:from>
    <xdr:to>
      <xdr:col>10</xdr:col>
      <xdr:colOff>160021</xdr:colOff>
      <xdr:row>10</xdr:row>
      <xdr:rowOff>59648</xdr:rowOff>
    </xdr:to>
    <xdr:sp macro="" textlink="">
      <xdr:nvSpPr>
        <xdr:cNvPr id="53" name="Line 170"/>
        <xdr:cNvSpPr>
          <a:spLocks noChangeShapeType="1"/>
        </xdr:cNvSpPr>
      </xdr:nvSpPr>
      <xdr:spPr bwMode="auto">
        <a:xfrm>
          <a:off x="4523961" y="1583648"/>
          <a:ext cx="1732060" cy="0"/>
        </a:xfrm>
        <a:prstGeom prst="line">
          <a:avLst/>
        </a:prstGeom>
        <a:noFill/>
        <a:ln w="12700">
          <a:solidFill>
            <a:srgbClr val="000000"/>
          </a:solidFill>
          <a:round/>
          <a:headEnd/>
          <a:tailEnd type="stealth" w="med" len="med"/>
        </a:ln>
      </xdr:spPr>
    </xdr:sp>
    <xdr:clientData/>
  </xdr:twoCellAnchor>
  <xdr:twoCellAnchor>
    <xdr:from>
      <xdr:col>10</xdr:col>
      <xdr:colOff>239622</xdr:colOff>
      <xdr:row>10</xdr:row>
      <xdr:rowOff>59648</xdr:rowOff>
    </xdr:from>
    <xdr:to>
      <xdr:col>12</xdr:col>
      <xdr:colOff>251847</xdr:colOff>
      <xdr:row>10</xdr:row>
      <xdr:rowOff>59648</xdr:rowOff>
    </xdr:to>
    <xdr:sp macro="" textlink="">
      <xdr:nvSpPr>
        <xdr:cNvPr id="54" name="Line 171"/>
        <xdr:cNvSpPr>
          <a:spLocks noChangeShapeType="1"/>
        </xdr:cNvSpPr>
      </xdr:nvSpPr>
      <xdr:spPr bwMode="auto">
        <a:xfrm>
          <a:off x="6335622" y="1583648"/>
          <a:ext cx="1231425" cy="0"/>
        </a:xfrm>
        <a:prstGeom prst="line">
          <a:avLst/>
        </a:prstGeom>
        <a:noFill/>
        <a:ln w="3175">
          <a:solidFill>
            <a:srgbClr val="000000"/>
          </a:solidFill>
          <a:round/>
          <a:headEnd/>
          <a:tailEnd/>
        </a:ln>
      </xdr:spPr>
    </xdr:sp>
    <xdr:clientData/>
  </xdr:twoCellAnchor>
  <xdr:twoCellAnchor>
    <xdr:from>
      <xdr:col>11</xdr:col>
      <xdr:colOff>148735</xdr:colOff>
      <xdr:row>15</xdr:row>
      <xdr:rowOff>52853</xdr:rowOff>
    </xdr:from>
    <xdr:to>
      <xdr:col>12</xdr:col>
      <xdr:colOff>261798</xdr:colOff>
      <xdr:row>15</xdr:row>
      <xdr:rowOff>52853</xdr:rowOff>
    </xdr:to>
    <xdr:sp macro="" textlink="">
      <xdr:nvSpPr>
        <xdr:cNvPr id="55" name="Line 172"/>
        <xdr:cNvSpPr>
          <a:spLocks noChangeShapeType="1"/>
        </xdr:cNvSpPr>
      </xdr:nvSpPr>
      <xdr:spPr bwMode="auto">
        <a:xfrm>
          <a:off x="6854335" y="2338853"/>
          <a:ext cx="722663" cy="0"/>
        </a:xfrm>
        <a:prstGeom prst="line">
          <a:avLst/>
        </a:prstGeom>
        <a:noFill/>
        <a:ln w="3175">
          <a:solidFill>
            <a:srgbClr val="000000"/>
          </a:solidFill>
          <a:round/>
          <a:headEnd/>
          <a:tailEnd/>
        </a:ln>
      </xdr:spPr>
    </xdr:sp>
    <xdr:clientData/>
  </xdr:twoCellAnchor>
  <xdr:twoCellAnchor>
    <xdr:from>
      <xdr:col>12</xdr:col>
      <xdr:colOff>32944</xdr:colOff>
      <xdr:row>10</xdr:row>
      <xdr:rowOff>59648</xdr:rowOff>
    </xdr:from>
    <xdr:to>
      <xdr:col>12</xdr:col>
      <xdr:colOff>32944</xdr:colOff>
      <xdr:row>15</xdr:row>
      <xdr:rowOff>52853</xdr:rowOff>
    </xdr:to>
    <xdr:sp macro="" textlink="">
      <xdr:nvSpPr>
        <xdr:cNvPr id="56" name="Line 173"/>
        <xdr:cNvSpPr>
          <a:spLocks noChangeShapeType="1"/>
        </xdr:cNvSpPr>
      </xdr:nvSpPr>
      <xdr:spPr bwMode="auto">
        <a:xfrm flipV="1">
          <a:off x="7348144" y="1583648"/>
          <a:ext cx="0" cy="755205"/>
        </a:xfrm>
        <a:prstGeom prst="line">
          <a:avLst/>
        </a:prstGeom>
        <a:noFill/>
        <a:ln w="3175">
          <a:solidFill>
            <a:srgbClr val="000000"/>
          </a:solidFill>
          <a:round/>
          <a:headEnd type="triangle" w="sm" len="med"/>
          <a:tailEnd type="triangle" w="sm" len="med"/>
        </a:ln>
      </xdr:spPr>
    </xdr:sp>
    <xdr:clientData/>
  </xdr:twoCellAnchor>
  <xdr:twoCellAnchor>
    <xdr:from>
      <xdr:col>21</xdr:col>
      <xdr:colOff>30159</xdr:colOff>
      <xdr:row>18</xdr:row>
      <xdr:rowOff>111823</xdr:rowOff>
    </xdr:from>
    <xdr:to>
      <xdr:col>21</xdr:col>
      <xdr:colOff>158083</xdr:colOff>
      <xdr:row>19</xdr:row>
      <xdr:rowOff>93269</xdr:rowOff>
    </xdr:to>
    <xdr:sp macro="" textlink="">
      <xdr:nvSpPr>
        <xdr:cNvPr id="57" name="Text Box 174"/>
        <xdr:cNvSpPr txBox="1">
          <a:spLocks noChangeArrowheads="1"/>
        </xdr:cNvSpPr>
      </xdr:nvSpPr>
      <xdr:spPr bwMode="auto">
        <a:xfrm>
          <a:off x="12831759" y="2855023"/>
          <a:ext cx="127924" cy="13384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a:t>
          </a:r>
        </a:p>
      </xdr:txBody>
    </xdr:sp>
    <xdr:clientData/>
  </xdr:twoCellAnchor>
  <xdr:twoCellAnchor>
    <xdr:from>
      <xdr:col>12</xdr:col>
      <xdr:colOff>22993</xdr:colOff>
      <xdr:row>12</xdr:row>
      <xdr:rowOff>60751</xdr:rowOff>
    </xdr:from>
    <xdr:to>
      <xdr:col>12</xdr:col>
      <xdr:colOff>182196</xdr:colOff>
      <xdr:row>13</xdr:row>
      <xdr:rowOff>42197</xdr:rowOff>
    </xdr:to>
    <xdr:sp macro="" textlink="">
      <xdr:nvSpPr>
        <xdr:cNvPr id="58" name="Text Box 175"/>
        <xdr:cNvSpPr txBox="1">
          <a:spLocks noChangeArrowheads="1"/>
        </xdr:cNvSpPr>
      </xdr:nvSpPr>
      <xdr:spPr bwMode="auto">
        <a:xfrm>
          <a:off x="7338193" y="1889551"/>
          <a:ext cx="159203" cy="13384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H</a:t>
          </a:r>
          <a:r>
            <a:rPr lang="de-DE" altLang="ja-JP" sz="700" b="1" i="0" strike="noStrike">
              <a:solidFill>
                <a:srgbClr val="000000"/>
              </a:solidFill>
              <a:latin typeface="Times New Roman"/>
              <a:cs typeface="Times New Roman"/>
            </a:rPr>
            <a:t>g</a:t>
          </a:r>
        </a:p>
      </xdr:txBody>
    </xdr:sp>
    <xdr:clientData/>
  </xdr:twoCellAnchor>
  <xdr:twoCellAnchor>
    <xdr:from>
      <xdr:col>8</xdr:col>
      <xdr:colOff>288931</xdr:colOff>
      <xdr:row>9</xdr:row>
      <xdr:rowOff>87754</xdr:rowOff>
    </xdr:from>
    <xdr:to>
      <xdr:col>9</xdr:col>
      <xdr:colOff>207994</xdr:colOff>
      <xdr:row>10</xdr:row>
      <xdr:rowOff>88306</xdr:rowOff>
    </xdr:to>
    <xdr:sp macro="" textlink="">
      <xdr:nvSpPr>
        <xdr:cNvPr id="59" name="Text Box 176"/>
        <xdr:cNvSpPr txBox="1">
          <a:spLocks noChangeArrowheads="1"/>
        </xdr:cNvSpPr>
      </xdr:nvSpPr>
      <xdr:spPr bwMode="auto">
        <a:xfrm>
          <a:off x="5165731" y="1459354"/>
          <a:ext cx="528663" cy="152952"/>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4</xdr:col>
      <xdr:colOff>234409</xdr:colOff>
      <xdr:row>11</xdr:row>
      <xdr:rowOff>98409</xdr:rowOff>
    </xdr:from>
    <xdr:to>
      <xdr:col>5</xdr:col>
      <xdr:colOff>153471</xdr:colOff>
      <xdr:row>12</xdr:row>
      <xdr:rowOff>98961</xdr:rowOff>
    </xdr:to>
    <xdr:sp macro="" textlink="">
      <xdr:nvSpPr>
        <xdr:cNvPr id="60" name="Text Box 177"/>
        <xdr:cNvSpPr txBox="1">
          <a:spLocks noChangeArrowheads="1"/>
        </xdr:cNvSpPr>
      </xdr:nvSpPr>
      <xdr:spPr bwMode="auto">
        <a:xfrm>
          <a:off x="2672809" y="1774809"/>
          <a:ext cx="528662" cy="152952"/>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R</a:t>
          </a:r>
          <a:r>
            <a:rPr lang="de-DE" altLang="ja-JP" sz="700" b="1" i="0" strike="noStrike">
              <a:solidFill>
                <a:srgbClr val="000000"/>
              </a:solidFill>
              <a:latin typeface="Times New Roman"/>
              <a:cs typeface="Times New Roman"/>
            </a:rPr>
            <a:t>b</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11</xdr:col>
      <xdr:colOff>118884</xdr:colOff>
      <xdr:row>16</xdr:row>
      <xdr:rowOff>43852</xdr:rowOff>
    </xdr:from>
    <xdr:to>
      <xdr:col>11</xdr:col>
      <xdr:colOff>118884</xdr:colOff>
      <xdr:row>16</xdr:row>
      <xdr:rowOff>43852</xdr:rowOff>
    </xdr:to>
    <xdr:sp macro="" textlink="">
      <xdr:nvSpPr>
        <xdr:cNvPr id="61" name="Line 211"/>
        <xdr:cNvSpPr>
          <a:spLocks noChangeShapeType="1"/>
        </xdr:cNvSpPr>
      </xdr:nvSpPr>
      <xdr:spPr bwMode="auto">
        <a:xfrm flipH="1">
          <a:off x="6824484" y="2482252"/>
          <a:ext cx="0" cy="0"/>
        </a:xfrm>
        <a:prstGeom prst="line">
          <a:avLst/>
        </a:prstGeom>
        <a:noFill/>
        <a:ln w="6350">
          <a:solidFill>
            <a:srgbClr val="000000"/>
          </a:solidFill>
          <a:round/>
          <a:headEnd/>
          <a:tailEnd/>
        </a:ln>
      </xdr:spPr>
    </xdr:sp>
    <xdr:clientData/>
  </xdr:twoCellAnchor>
  <xdr:twoCellAnchor>
    <xdr:from>
      <xdr:col>7</xdr:col>
      <xdr:colOff>258694</xdr:colOff>
      <xdr:row>10</xdr:row>
      <xdr:rowOff>59648</xdr:rowOff>
    </xdr:from>
    <xdr:to>
      <xdr:col>7</xdr:col>
      <xdr:colOff>258694</xdr:colOff>
      <xdr:row>12</xdr:row>
      <xdr:rowOff>98961</xdr:rowOff>
    </xdr:to>
    <xdr:sp macro="" textlink="">
      <xdr:nvSpPr>
        <xdr:cNvPr id="62" name="Line 213"/>
        <xdr:cNvSpPr>
          <a:spLocks noChangeShapeType="1"/>
        </xdr:cNvSpPr>
      </xdr:nvSpPr>
      <xdr:spPr bwMode="auto">
        <a:xfrm>
          <a:off x="4525894" y="1583648"/>
          <a:ext cx="0" cy="344113"/>
        </a:xfrm>
        <a:prstGeom prst="line">
          <a:avLst/>
        </a:prstGeom>
        <a:noFill/>
        <a:ln w="12700">
          <a:solidFill>
            <a:srgbClr val="000000"/>
          </a:solidFill>
          <a:round/>
          <a:headEnd/>
          <a:tailEnd type="stealth" w="med" len="med"/>
        </a:ln>
      </xdr:spPr>
    </xdr:sp>
    <xdr:clientData/>
  </xdr:twoCellAnchor>
  <xdr:twoCellAnchor>
    <xdr:from>
      <xdr:col>7</xdr:col>
      <xdr:colOff>87763</xdr:colOff>
      <xdr:row>9</xdr:row>
      <xdr:rowOff>164174</xdr:rowOff>
    </xdr:from>
    <xdr:to>
      <xdr:col>8</xdr:col>
      <xdr:colOff>25105</xdr:colOff>
      <xdr:row>10</xdr:row>
      <xdr:rowOff>164726</xdr:rowOff>
    </xdr:to>
    <xdr:sp macro="" textlink="">
      <xdr:nvSpPr>
        <xdr:cNvPr id="63" name="Text Box 214"/>
        <xdr:cNvSpPr txBox="1">
          <a:spLocks noChangeArrowheads="1"/>
        </xdr:cNvSpPr>
      </xdr:nvSpPr>
      <xdr:spPr bwMode="auto">
        <a:xfrm>
          <a:off x="4354963" y="1526249"/>
          <a:ext cx="546942" cy="152952"/>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24</xdr:col>
      <xdr:colOff>10637</xdr:colOff>
      <xdr:row>18</xdr:row>
      <xdr:rowOff>140481</xdr:rowOff>
    </xdr:from>
    <xdr:to>
      <xdr:col>25</xdr:col>
      <xdr:colOff>208305</xdr:colOff>
      <xdr:row>20</xdr:row>
      <xdr:rowOff>132032</xdr:rowOff>
    </xdr:to>
    <xdr:sp macro="" textlink="">
      <xdr:nvSpPr>
        <xdr:cNvPr id="64" name="Line 216"/>
        <xdr:cNvSpPr>
          <a:spLocks noChangeShapeType="1"/>
        </xdr:cNvSpPr>
      </xdr:nvSpPr>
      <xdr:spPr bwMode="auto">
        <a:xfrm>
          <a:off x="14641037" y="2883681"/>
          <a:ext cx="807268" cy="296351"/>
        </a:xfrm>
        <a:prstGeom prst="line">
          <a:avLst/>
        </a:prstGeom>
        <a:noFill/>
        <a:ln w="3175">
          <a:solidFill>
            <a:srgbClr val="000000"/>
          </a:solidFill>
          <a:round/>
          <a:headEnd type="triangle" w="sm" len="lg"/>
          <a:tailEnd/>
        </a:ln>
      </xdr:spPr>
    </xdr:sp>
    <xdr:clientData/>
  </xdr:twoCellAnchor>
  <xdr:twoCellAnchor>
    <xdr:from>
      <xdr:col>28</xdr:col>
      <xdr:colOff>144595</xdr:colOff>
      <xdr:row>18</xdr:row>
      <xdr:rowOff>111823</xdr:rowOff>
    </xdr:from>
    <xdr:to>
      <xdr:col>28</xdr:col>
      <xdr:colOff>254047</xdr:colOff>
      <xdr:row>19</xdr:row>
      <xdr:rowOff>93269</xdr:rowOff>
    </xdr:to>
    <xdr:sp macro="" textlink="">
      <xdr:nvSpPr>
        <xdr:cNvPr id="65" name="Text Box 218"/>
        <xdr:cNvSpPr txBox="1">
          <a:spLocks noChangeArrowheads="1"/>
        </xdr:cNvSpPr>
      </xdr:nvSpPr>
      <xdr:spPr bwMode="auto">
        <a:xfrm>
          <a:off x="17213395" y="2855023"/>
          <a:ext cx="109452" cy="13384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D</a:t>
          </a:r>
        </a:p>
      </xdr:txBody>
    </xdr:sp>
    <xdr:clientData/>
  </xdr:twoCellAnchor>
  <xdr:twoCellAnchor>
    <xdr:from>
      <xdr:col>7</xdr:col>
      <xdr:colOff>154245</xdr:colOff>
      <xdr:row>12</xdr:row>
      <xdr:rowOff>79856</xdr:rowOff>
    </xdr:from>
    <xdr:to>
      <xdr:col>8</xdr:col>
      <xdr:colOff>88156</xdr:colOff>
      <xdr:row>13</xdr:row>
      <xdr:rowOff>80408</xdr:rowOff>
    </xdr:to>
    <xdr:sp macro="" textlink="">
      <xdr:nvSpPr>
        <xdr:cNvPr id="66" name="Text Box 220"/>
        <xdr:cNvSpPr txBox="1">
          <a:spLocks noChangeArrowheads="1"/>
        </xdr:cNvSpPr>
      </xdr:nvSpPr>
      <xdr:spPr bwMode="auto">
        <a:xfrm>
          <a:off x="4421445" y="1908656"/>
          <a:ext cx="543511" cy="152952"/>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Wt</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4</xdr:col>
      <xdr:colOff>190344</xdr:colOff>
      <xdr:row>15</xdr:row>
      <xdr:rowOff>55582</xdr:rowOff>
    </xdr:from>
    <xdr:to>
      <xdr:col>10</xdr:col>
      <xdr:colOff>272912</xdr:colOff>
      <xdr:row>16</xdr:row>
      <xdr:rowOff>59149</xdr:rowOff>
    </xdr:to>
    <xdr:grpSp>
      <xdr:nvGrpSpPr>
        <xdr:cNvPr id="67" name="グループ化 66"/>
        <xdr:cNvGrpSpPr/>
      </xdr:nvGrpSpPr>
      <xdr:grpSpPr>
        <a:xfrm>
          <a:off x="936469" y="2801957"/>
          <a:ext cx="1781193" cy="194067"/>
          <a:chOff x="752475" y="2759242"/>
          <a:chExt cx="1737561" cy="193507"/>
        </a:xfrm>
      </xdr:grpSpPr>
      <xdr:sp macro="" textlink="">
        <xdr:nvSpPr>
          <xdr:cNvPr id="68" name="Line 115"/>
          <xdr:cNvSpPr>
            <a:spLocks noChangeShapeType="1"/>
          </xdr:cNvSpPr>
        </xdr:nvSpPr>
        <xdr:spPr bwMode="auto">
          <a:xfrm>
            <a:off x="752475" y="2759242"/>
            <a:ext cx="1737561" cy="0"/>
          </a:xfrm>
          <a:prstGeom prst="line">
            <a:avLst/>
          </a:prstGeom>
          <a:noFill/>
          <a:ln w="15875">
            <a:solidFill>
              <a:srgbClr val="000000"/>
            </a:solidFill>
            <a:round/>
            <a:headEnd/>
            <a:tailEnd/>
          </a:ln>
        </xdr:spPr>
      </xdr:sp>
      <xdr:sp macro="" textlink="">
        <xdr:nvSpPr>
          <xdr:cNvPr id="69" name="Line 135"/>
          <xdr:cNvSpPr>
            <a:spLocks noChangeShapeType="1"/>
          </xdr:cNvSpPr>
        </xdr:nvSpPr>
        <xdr:spPr bwMode="auto">
          <a:xfrm flipH="1">
            <a:off x="771525" y="2759242"/>
            <a:ext cx="180975" cy="180975"/>
          </a:xfrm>
          <a:prstGeom prst="line">
            <a:avLst/>
          </a:prstGeom>
          <a:noFill/>
          <a:ln w="6350">
            <a:solidFill>
              <a:srgbClr val="000000"/>
            </a:solidFill>
            <a:round/>
            <a:headEnd/>
            <a:tailEnd/>
          </a:ln>
        </xdr:spPr>
      </xdr:sp>
      <xdr:sp macro="" textlink="">
        <xdr:nvSpPr>
          <xdr:cNvPr id="70" name="Line 136"/>
          <xdr:cNvSpPr>
            <a:spLocks noChangeShapeType="1"/>
          </xdr:cNvSpPr>
        </xdr:nvSpPr>
        <xdr:spPr bwMode="auto">
          <a:xfrm flipH="1">
            <a:off x="885825" y="2759242"/>
            <a:ext cx="180975" cy="180975"/>
          </a:xfrm>
          <a:prstGeom prst="line">
            <a:avLst/>
          </a:prstGeom>
          <a:noFill/>
          <a:ln w="6350">
            <a:solidFill>
              <a:srgbClr val="000000"/>
            </a:solidFill>
            <a:round/>
            <a:headEnd/>
            <a:tailEnd/>
          </a:ln>
        </xdr:spPr>
      </xdr:sp>
      <xdr:sp macro="" textlink="">
        <xdr:nvSpPr>
          <xdr:cNvPr id="71" name="Line 137"/>
          <xdr:cNvSpPr>
            <a:spLocks noChangeShapeType="1"/>
          </xdr:cNvSpPr>
        </xdr:nvSpPr>
        <xdr:spPr bwMode="auto">
          <a:xfrm flipH="1">
            <a:off x="752475" y="2759242"/>
            <a:ext cx="85725" cy="85725"/>
          </a:xfrm>
          <a:prstGeom prst="line">
            <a:avLst/>
          </a:prstGeom>
          <a:noFill/>
          <a:ln w="6350">
            <a:solidFill>
              <a:srgbClr val="000000"/>
            </a:solidFill>
            <a:round/>
            <a:headEnd/>
            <a:tailEnd/>
          </a:ln>
        </xdr:spPr>
      </xdr:sp>
      <xdr:sp macro="" textlink="">
        <xdr:nvSpPr>
          <xdr:cNvPr id="72" name="Line 138"/>
          <xdr:cNvSpPr>
            <a:spLocks noChangeShapeType="1"/>
          </xdr:cNvSpPr>
        </xdr:nvSpPr>
        <xdr:spPr bwMode="auto">
          <a:xfrm flipH="1">
            <a:off x="752475" y="2759242"/>
            <a:ext cx="28575" cy="28575"/>
          </a:xfrm>
          <a:prstGeom prst="line">
            <a:avLst/>
          </a:prstGeom>
          <a:noFill/>
          <a:ln w="6350">
            <a:solidFill>
              <a:srgbClr val="000000"/>
            </a:solidFill>
            <a:round/>
            <a:headEnd/>
            <a:tailEnd/>
          </a:ln>
        </xdr:spPr>
      </xdr:sp>
      <xdr:sp macro="" textlink="">
        <xdr:nvSpPr>
          <xdr:cNvPr id="73" name="Line 139"/>
          <xdr:cNvSpPr>
            <a:spLocks noChangeShapeType="1"/>
          </xdr:cNvSpPr>
        </xdr:nvSpPr>
        <xdr:spPr bwMode="auto">
          <a:xfrm flipH="1">
            <a:off x="752475" y="2759242"/>
            <a:ext cx="142875" cy="142875"/>
          </a:xfrm>
          <a:prstGeom prst="line">
            <a:avLst/>
          </a:prstGeom>
          <a:noFill/>
          <a:ln w="6350">
            <a:solidFill>
              <a:srgbClr val="000000"/>
            </a:solidFill>
            <a:round/>
            <a:headEnd/>
            <a:tailEnd/>
          </a:ln>
        </xdr:spPr>
      </xdr:sp>
      <xdr:sp macro="" textlink="">
        <xdr:nvSpPr>
          <xdr:cNvPr id="74" name="Line 140"/>
          <xdr:cNvSpPr>
            <a:spLocks noChangeShapeType="1"/>
          </xdr:cNvSpPr>
        </xdr:nvSpPr>
        <xdr:spPr bwMode="auto">
          <a:xfrm flipH="1">
            <a:off x="942975" y="2759242"/>
            <a:ext cx="180975" cy="180975"/>
          </a:xfrm>
          <a:prstGeom prst="line">
            <a:avLst/>
          </a:prstGeom>
          <a:noFill/>
          <a:ln w="6350">
            <a:solidFill>
              <a:srgbClr val="000000"/>
            </a:solidFill>
            <a:round/>
            <a:headEnd/>
            <a:tailEnd/>
          </a:ln>
        </xdr:spPr>
      </xdr:sp>
      <xdr:sp macro="" textlink="">
        <xdr:nvSpPr>
          <xdr:cNvPr id="75" name="Line 141"/>
          <xdr:cNvSpPr>
            <a:spLocks noChangeShapeType="1"/>
          </xdr:cNvSpPr>
        </xdr:nvSpPr>
        <xdr:spPr bwMode="auto">
          <a:xfrm flipH="1">
            <a:off x="1000125" y="2759242"/>
            <a:ext cx="180975" cy="180975"/>
          </a:xfrm>
          <a:prstGeom prst="line">
            <a:avLst/>
          </a:prstGeom>
          <a:noFill/>
          <a:ln w="6350">
            <a:solidFill>
              <a:srgbClr val="000000"/>
            </a:solidFill>
            <a:round/>
            <a:headEnd/>
            <a:tailEnd/>
          </a:ln>
        </xdr:spPr>
      </xdr:sp>
      <xdr:sp macro="" textlink="">
        <xdr:nvSpPr>
          <xdr:cNvPr id="76" name="Line 142"/>
          <xdr:cNvSpPr>
            <a:spLocks noChangeShapeType="1"/>
          </xdr:cNvSpPr>
        </xdr:nvSpPr>
        <xdr:spPr bwMode="auto">
          <a:xfrm flipH="1">
            <a:off x="1057275" y="2759242"/>
            <a:ext cx="180975" cy="180975"/>
          </a:xfrm>
          <a:prstGeom prst="line">
            <a:avLst/>
          </a:prstGeom>
          <a:noFill/>
          <a:ln w="6350">
            <a:solidFill>
              <a:srgbClr val="000000"/>
            </a:solidFill>
            <a:round/>
            <a:headEnd/>
            <a:tailEnd/>
          </a:ln>
        </xdr:spPr>
      </xdr:sp>
      <xdr:sp macro="" textlink="">
        <xdr:nvSpPr>
          <xdr:cNvPr id="77" name="Line 143"/>
          <xdr:cNvSpPr>
            <a:spLocks noChangeShapeType="1"/>
          </xdr:cNvSpPr>
        </xdr:nvSpPr>
        <xdr:spPr bwMode="auto">
          <a:xfrm flipH="1">
            <a:off x="1114425" y="2759242"/>
            <a:ext cx="180975" cy="180975"/>
          </a:xfrm>
          <a:prstGeom prst="line">
            <a:avLst/>
          </a:prstGeom>
          <a:noFill/>
          <a:ln w="6350">
            <a:solidFill>
              <a:srgbClr val="000000"/>
            </a:solidFill>
            <a:round/>
            <a:headEnd/>
            <a:tailEnd/>
          </a:ln>
        </xdr:spPr>
      </xdr:sp>
      <xdr:sp macro="" textlink="">
        <xdr:nvSpPr>
          <xdr:cNvPr id="78" name="Line 144"/>
          <xdr:cNvSpPr>
            <a:spLocks noChangeShapeType="1"/>
          </xdr:cNvSpPr>
        </xdr:nvSpPr>
        <xdr:spPr bwMode="auto">
          <a:xfrm flipH="1">
            <a:off x="1171575" y="2759242"/>
            <a:ext cx="180975" cy="180975"/>
          </a:xfrm>
          <a:prstGeom prst="line">
            <a:avLst/>
          </a:prstGeom>
          <a:noFill/>
          <a:ln w="6350">
            <a:solidFill>
              <a:srgbClr val="000000"/>
            </a:solidFill>
            <a:round/>
            <a:headEnd/>
            <a:tailEnd/>
          </a:ln>
        </xdr:spPr>
      </xdr:sp>
      <xdr:sp macro="" textlink="">
        <xdr:nvSpPr>
          <xdr:cNvPr id="79" name="Line 145"/>
          <xdr:cNvSpPr>
            <a:spLocks noChangeShapeType="1"/>
          </xdr:cNvSpPr>
        </xdr:nvSpPr>
        <xdr:spPr bwMode="auto">
          <a:xfrm flipH="1">
            <a:off x="1228725" y="2759242"/>
            <a:ext cx="180975" cy="180975"/>
          </a:xfrm>
          <a:prstGeom prst="line">
            <a:avLst/>
          </a:prstGeom>
          <a:noFill/>
          <a:ln w="6350">
            <a:solidFill>
              <a:srgbClr val="000000"/>
            </a:solidFill>
            <a:round/>
            <a:headEnd/>
            <a:tailEnd/>
          </a:ln>
        </xdr:spPr>
      </xdr:sp>
      <xdr:sp macro="" textlink="">
        <xdr:nvSpPr>
          <xdr:cNvPr id="80" name="Line 146"/>
          <xdr:cNvSpPr>
            <a:spLocks noChangeShapeType="1"/>
          </xdr:cNvSpPr>
        </xdr:nvSpPr>
        <xdr:spPr bwMode="auto">
          <a:xfrm flipH="1">
            <a:off x="1285875" y="2759242"/>
            <a:ext cx="180975" cy="180975"/>
          </a:xfrm>
          <a:prstGeom prst="line">
            <a:avLst/>
          </a:prstGeom>
          <a:noFill/>
          <a:ln w="6350">
            <a:solidFill>
              <a:srgbClr val="000000"/>
            </a:solidFill>
            <a:round/>
            <a:headEnd/>
            <a:tailEnd/>
          </a:ln>
        </xdr:spPr>
      </xdr:sp>
      <xdr:sp macro="" textlink="">
        <xdr:nvSpPr>
          <xdr:cNvPr id="81" name="Line 147"/>
          <xdr:cNvSpPr>
            <a:spLocks noChangeShapeType="1"/>
          </xdr:cNvSpPr>
        </xdr:nvSpPr>
        <xdr:spPr bwMode="auto">
          <a:xfrm flipH="1">
            <a:off x="1343025" y="2759242"/>
            <a:ext cx="183482" cy="180975"/>
          </a:xfrm>
          <a:prstGeom prst="line">
            <a:avLst/>
          </a:prstGeom>
          <a:noFill/>
          <a:ln w="6350">
            <a:solidFill>
              <a:srgbClr val="000000"/>
            </a:solidFill>
            <a:round/>
            <a:headEnd/>
            <a:tailEnd/>
          </a:ln>
        </xdr:spPr>
      </xdr:sp>
      <xdr:sp macro="" textlink="">
        <xdr:nvSpPr>
          <xdr:cNvPr id="82" name="Line 148"/>
          <xdr:cNvSpPr>
            <a:spLocks noChangeShapeType="1"/>
          </xdr:cNvSpPr>
        </xdr:nvSpPr>
        <xdr:spPr bwMode="auto">
          <a:xfrm flipH="1">
            <a:off x="1400175" y="2759242"/>
            <a:ext cx="183482" cy="180975"/>
          </a:xfrm>
          <a:prstGeom prst="line">
            <a:avLst/>
          </a:prstGeom>
          <a:noFill/>
          <a:ln w="6350">
            <a:solidFill>
              <a:srgbClr val="000000"/>
            </a:solidFill>
            <a:round/>
            <a:headEnd/>
            <a:tailEnd/>
          </a:ln>
        </xdr:spPr>
      </xdr:sp>
      <xdr:sp macro="" textlink="">
        <xdr:nvSpPr>
          <xdr:cNvPr id="83" name="Line 149"/>
          <xdr:cNvSpPr>
            <a:spLocks noChangeShapeType="1"/>
          </xdr:cNvSpPr>
        </xdr:nvSpPr>
        <xdr:spPr bwMode="auto">
          <a:xfrm flipH="1">
            <a:off x="1516982" y="2759242"/>
            <a:ext cx="183481" cy="180975"/>
          </a:xfrm>
          <a:prstGeom prst="line">
            <a:avLst/>
          </a:prstGeom>
          <a:noFill/>
          <a:ln w="6350">
            <a:solidFill>
              <a:srgbClr val="000000"/>
            </a:solidFill>
            <a:round/>
            <a:headEnd/>
            <a:tailEnd/>
          </a:ln>
        </xdr:spPr>
      </xdr:sp>
      <xdr:sp macro="" textlink="">
        <xdr:nvSpPr>
          <xdr:cNvPr id="84" name="Line 150"/>
          <xdr:cNvSpPr>
            <a:spLocks noChangeShapeType="1"/>
          </xdr:cNvSpPr>
        </xdr:nvSpPr>
        <xdr:spPr bwMode="auto">
          <a:xfrm flipH="1">
            <a:off x="828675" y="2759242"/>
            <a:ext cx="180975" cy="180975"/>
          </a:xfrm>
          <a:prstGeom prst="line">
            <a:avLst/>
          </a:prstGeom>
          <a:noFill/>
          <a:ln w="6350">
            <a:solidFill>
              <a:srgbClr val="000000"/>
            </a:solidFill>
            <a:round/>
            <a:headEnd/>
            <a:tailEnd/>
          </a:ln>
        </xdr:spPr>
      </xdr:sp>
      <xdr:sp macro="" textlink="">
        <xdr:nvSpPr>
          <xdr:cNvPr id="85" name="Line 151"/>
          <xdr:cNvSpPr>
            <a:spLocks noChangeShapeType="1"/>
          </xdr:cNvSpPr>
        </xdr:nvSpPr>
        <xdr:spPr bwMode="auto">
          <a:xfrm flipH="1">
            <a:off x="1574132" y="2759242"/>
            <a:ext cx="183481" cy="180975"/>
          </a:xfrm>
          <a:prstGeom prst="line">
            <a:avLst/>
          </a:prstGeom>
          <a:noFill/>
          <a:ln w="6350">
            <a:solidFill>
              <a:srgbClr val="000000"/>
            </a:solidFill>
            <a:round/>
            <a:headEnd/>
            <a:tailEnd/>
          </a:ln>
        </xdr:spPr>
      </xdr:sp>
      <xdr:sp macro="" textlink="">
        <xdr:nvSpPr>
          <xdr:cNvPr id="86" name="Line 152"/>
          <xdr:cNvSpPr>
            <a:spLocks noChangeShapeType="1"/>
          </xdr:cNvSpPr>
        </xdr:nvSpPr>
        <xdr:spPr bwMode="auto">
          <a:xfrm flipH="1">
            <a:off x="2090988" y="2759242"/>
            <a:ext cx="180975" cy="180975"/>
          </a:xfrm>
          <a:prstGeom prst="line">
            <a:avLst/>
          </a:prstGeom>
          <a:noFill/>
          <a:ln w="6350">
            <a:solidFill>
              <a:srgbClr val="000000"/>
            </a:solidFill>
            <a:round/>
            <a:headEnd/>
            <a:tailEnd/>
          </a:ln>
        </xdr:spPr>
      </xdr:sp>
      <xdr:sp macro="" textlink="">
        <xdr:nvSpPr>
          <xdr:cNvPr id="87" name="Line 153"/>
          <xdr:cNvSpPr>
            <a:spLocks noChangeShapeType="1"/>
          </xdr:cNvSpPr>
        </xdr:nvSpPr>
        <xdr:spPr bwMode="auto">
          <a:xfrm flipH="1">
            <a:off x="2148138" y="2759242"/>
            <a:ext cx="180975" cy="180975"/>
          </a:xfrm>
          <a:prstGeom prst="line">
            <a:avLst/>
          </a:prstGeom>
          <a:noFill/>
          <a:ln w="6350">
            <a:solidFill>
              <a:srgbClr val="000000"/>
            </a:solidFill>
            <a:round/>
            <a:headEnd/>
            <a:tailEnd/>
          </a:ln>
        </xdr:spPr>
      </xdr:sp>
      <xdr:sp macro="" textlink="">
        <xdr:nvSpPr>
          <xdr:cNvPr id="88" name="Line 154"/>
          <xdr:cNvSpPr>
            <a:spLocks noChangeShapeType="1"/>
          </xdr:cNvSpPr>
        </xdr:nvSpPr>
        <xdr:spPr bwMode="auto">
          <a:xfrm flipH="1">
            <a:off x="2205288" y="2759242"/>
            <a:ext cx="180975" cy="180975"/>
          </a:xfrm>
          <a:prstGeom prst="line">
            <a:avLst/>
          </a:prstGeom>
          <a:noFill/>
          <a:ln w="6350">
            <a:solidFill>
              <a:srgbClr val="000000"/>
            </a:solidFill>
            <a:round/>
            <a:headEnd/>
            <a:tailEnd/>
          </a:ln>
        </xdr:spPr>
      </xdr:sp>
      <xdr:sp macro="" textlink="">
        <xdr:nvSpPr>
          <xdr:cNvPr id="89" name="Line 155"/>
          <xdr:cNvSpPr>
            <a:spLocks noChangeShapeType="1"/>
          </xdr:cNvSpPr>
        </xdr:nvSpPr>
        <xdr:spPr bwMode="auto">
          <a:xfrm flipH="1">
            <a:off x="2262438" y="2759242"/>
            <a:ext cx="180975" cy="180975"/>
          </a:xfrm>
          <a:prstGeom prst="line">
            <a:avLst/>
          </a:prstGeom>
          <a:noFill/>
          <a:ln w="6350">
            <a:solidFill>
              <a:srgbClr val="000000"/>
            </a:solidFill>
            <a:round/>
            <a:headEnd/>
            <a:tailEnd/>
          </a:ln>
        </xdr:spPr>
      </xdr:sp>
      <xdr:sp macro="" textlink="">
        <xdr:nvSpPr>
          <xdr:cNvPr id="90" name="Line 156"/>
          <xdr:cNvSpPr>
            <a:spLocks noChangeShapeType="1"/>
          </xdr:cNvSpPr>
        </xdr:nvSpPr>
        <xdr:spPr bwMode="auto">
          <a:xfrm flipH="1">
            <a:off x="2319588" y="2768767"/>
            <a:ext cx="170448" cy="171450"/>
          </a:xfrm>
          <a:prstGeom prst="line">
            <a:avLst/>
          </a:prstGeom>
          <a:noFill/>
          <a:ln w="6350">
            <a:solidFill>
              <a:srgbClr val="000000"/>
            </a:solidFill>
            <a:round/>
            <a:headEnd/>
            <a:tailEnd/>
          </a:ln>
        </xdr:spPr>
      </xdr:sp>
      <xdr:sp macro="" textlink="">
        <xdr:nvSpPr>
          <xdr:cNvPr id="91" name="Line 157"/>
          <xdr:cNvSpPr>
            <a:spLocks noChangeShapeType="1"/>
          </xdr:cNvSpPr>
        </xdr:nvSpPr>
        <xdr:spPr bwMode="auto">
          <a:xfrm flipH="1">
            <a:off x="2376738" y="2825917"/>
            <a:ext cx="113298" cy="114300"/>
          </a:xfrm>
          <a:prstGeom prst="line">
            <a:avLst/>
          </a:prstGeom>
          <a:noFill/>
          <a:ln w="6350">
            <a:solidFill>
              <a:srgbClr val="000000"/>
            </a:solidFill>
            <a:round/>
            <a:headEnd/>
            <a:tailEnd/>
          </a:ln>
        </xdr:spPr>
      </xdr:sp>
      <xdr:sp macro="" textlink="">
        <xdr:nvSpPr>
          <xdr:cNvPr id="92" name="Line 158"/>
          <xdr:cNvSpPr>
            <a:spLocks noChangeShapeType="1"/>
          </xdr:cNvSpPr>
        </xdr:nvSpPr>
        <xdr:spPr bwMode="auto">
          <a:xfrm flipH="1">
            <a:off x="2416342" y="2883066"/>
            <a:ext cx="73694" cy="69683"/>
          </a:xfrm>
          <a:prstGeom prst="line">
            <a:avLst/>
          </a:prstGeom>
          <a:noFill/>
          <a:ln w="6350">
            <a:solidFill>
              <a:srgbClr val="000000"/>
            </a:solidFill>
            <a:round/>
            <a:headEnd/>
            <a:tailEnd/>
          </a:ln>
        </xdr:spPr>
      </xdr:sp>
      <xdr:sp macro="" textlink="">
        <xdr:nvSpPr>
          <xdr:cNvPr id="93" name="Line 159"/>
          <xdr:cNvSpPr>
            <a:spLocks noChangeShapeType="1"/>
          </xdr:cNvSpPr>
        </xdr:nvSpPr>
        <xdr:spPr bwMode="auto">
          <a:xfrm flipH="1" flipV="1">
            <a:off x="2466474" y="2917658"/>
            <a:ext cx="23562" cy="22559"/>
          </a:xfrm>
          <a:prstGeom prst="line">
            <a:avLst/>
          </a:prstGeom>
          <a:noFill/>
          <a:ln w="6350">
            <a:solidFill>
              <a:srgbClr val="000000"/>
            </a:solidFill>
            <a:round/>
            <a:headEnd/>
            <a:tailEnd/>
          </a:ln>
        </xdr:spPr>
      </xdr:sp>
      <xdr:sp macro="" textlink="">
        <xdr:nvSpPr>
          <xdr:cNvPr id="94" name="Line 160"/>
          <xdr:cNvSpPr>
            <a:spLocks noChangeShapeType="1"/>
          </xdr:cNvSpPr>
        </xdr:nvSpPr>
        <xdr:spPr bwMode="auto">
          <a:xfrm flipH="1">
            <a:off x="1457325" y="2759242"/>
            <a:ext cx="185988" cy="180975"/>
          </a:xfrm>
          <a:prstGeom prst="line">
            <a:avLst/>
          </a:prstGeom>
          <a:noFill/>
          <a:ln w="6350">
            <a:solidFill>
              <a:srgbClr val="000000"/>
            </a:solidFill>
            <a:round/>
            <a:headEnd/>
            <a:tailEnd/>
          </a:ln>
        </xdr:spPr>
      </xdr:sp>
      <xdr:sp macro="" textlink="">
        <xdr:nvSpPr>
          <xdr:cNvPr id="95" name="Line 169"/>
          <xdr:cNvSpPr>
            <a:spLocks noChangeShapeType="1"/>
          </xdr:cNvSpPr>
        </xdr:nvSpPr>
        <xdr:spPr bwMode="auto">
          <a:xfrm flipH="1">
            <a:off x="1633788" y="2759242"/>
            <a:ext cx="180975" cy="180975"/>
          </a:xfrm>
          <a:prstGeom prst="line">
            <a:avLst/>
          </a:prstGeom>
          <a:noFill/>
          <a:ln w="6350">
            <a:solidFill>
              <a:srgbClr val="000000"/>
            </a:solidFill>
            <a:round/>
            <a:headEnd/>
            <a:tailEnd/>
          </a:ln>
        </xdr:spPr>
      </xdr:sp>
      <xdr:sp macro="" textlink="">
        <xdr:nvSpPr>
          <xdr:cNvPr id="96" name="Line 170"/>
          <xdr:cNvSpPr>
            <a:spLocks noChangeShapeType="1"/>
          </xdr:cNvSpPr>
        </xdr:nvSpPr>
        <xdr:spPr bwMode="auto">
          <a:xfrm flipH="1">
            <a:off x="1690938" y="2759242"/>
            <a:ext cx="180975" cy="180975"/>
          </a:xfrm>
          <a:prstGeom prst="line">
            <a:avLst/>
          </a:prstGeom>
          <a:noFill/>
          <a:ln w="6350">
            <a:solidFill>
              <a:srgbClr val="000000"/>
            </a:solidFill>
            <a:round/>
            <a:headEnd/>
            <a:tailEnd/>
          </a:ln>
        </xdr:spPr>
      </xdr:sp>
      <xdr:sp macro="" textlink="">
        <xdr:nvSpPr>
          <xdr:cNvPr id="97" name="Line 171"/>
          <xdr:cNvSpPr>
            <a:spLocks noChangeShapeType="1"/>
          </xdr:cNvSpPr>
        </xdr:nvSpPr>
        <xdr:spPr bwMode="auto">
          <a:xfrm flipH="1">
            <a:off x="1748088" y="2759242"/>
            <a:ext cx="180975" cy="180975"/>
          </a:xfrm>
          <a:prstGeom prst="line">
            <a:avLst/>
          </a:prstGeom>
          <a:noFill/>
          <a:ln w="6350">
            <a:solidFill>
              <a:srgbClr val="000000"/>
            </a:solidFill>
            <a:round/>
            <a:headEnd/>
            <a:tailEnd/>
          </a:ln>
        </xdr:spPr>
      </xdr:sp>
      <xdr:sp macro="" textlink="">
        <xdr:nvSpPr>
          <xdr:cNvPr id="98" name="Line 172"/>
          <xdr:cNvSpPr>
            <a:spLocks noChangeShapeType="1"/>
          </xdr:cNvSpPr>
        </xdr:nvSpPr>
        <xdr:spPr bwMode="auto">
          <a:xfrm flipH="1">
            <a:off x="1805238" y="2759242"/>
            <a:ext cx="180975" cy="180975"/>
          </a:xfrm>
          <a:prstGeom prst="line">
            <a:avLst/>
          </a:prstGeom>
          <a:noFill/>
          <a:ln w="6350">
            <a:solidFill>
              <a:srgbClr val="000000"/>
            </a:solidFill>
            <a:round/>
            <a:headEnd/>
            <a:tailEnd/>
          </a:ln>
        </xdr:spPr>
      </xdr:sp>
      <xdr:sp macro="" textlink="">
        <xdr:nvSpPr>
          <xdr:cNvPr id="99" name="Line 173"/>
          <xdr:cNvSpPr>
            <a:spLocks noChangeShapeType="1"/>
          </xdr:cNvSpPr>
        </xdr:nvSpPr>
        <xdr:spPr bwMode="auto">
          <a:xfrm flipH="1">
            <a:off x="1862388" y="2759242"/>
            <a:ext cx="180975" cy="180975"/>
          </a:xfrm>
          <a:prstGeom prst="line">
            <a:avLst/>
          </a:prstGeom>
          <a:noFill/>
          <a:ln w="6350">
            <a:solidFill>
              <a:srgbClr val="000000"/>
            </a:solidFill>
            <a:round/>
            <a:headEnd/>
            <a:tailEnd/>
          </a:ln>
        </xdr:spPr>
      </xdr:sp>
      <xdr:sp macro="" textlink="">
        <xdr:nvSpPr>
          <xdr:cNvPr id="100" name="Line 174"/>
          <xdr:cNvSpPr>
            <a:spLocks noChangeShapeType="1"/>
          </xdr:cNvSpPr>
        </xdr:nvSpPr>
        <xdr:spPr bwMode="auto">
          <a:xfrm flipH="1">
            <a:off x="1976688" y="2759242"/>
            <a:ext cx="180975" cy="180975"/>
          </a:xfrm>
          <a:prstGeom prst="line">
            <a:avLst/>
          </a:prstGeom>
          <a:noFill/>
          <a:ln w="6350">
            <a:solidFill>
              <a:srgbClr val="000000"/>
            </a:solidFill>
            <a:round/>
            <a:headEnd/>
            <a:tailEnd/>
          </a:ln>
        </xdr:spPr>
      </xdr:sp>
      <xdr:sp macro="" textlink="">
        <xdr:nvSpPr>
          <xdr:cNvPr id="101" name="Line 175"/>
          <xdr:cNvSpPr>
            <a:spLocks noChangeShapeType="1"/>
          </xdr:cNvSpPr>
        </xdr:nvSpPr>
        <xdr:spPr bwMode="auto">
          <a:xfrm flipH="1">
            <a:off x="2033838" y="2759242"/>
            <a:ext cx="180975" cy="180975"/>
          </a:xfrm>
          <a:prstGeom prst="line">
            <a:avLst/>
          </a:prstGeom>
          <a:noFill/>
          <a:ln w="6350">
            <a:solidFill>
              <a:srgbClr val="000000"/>
            </a:solidFill>
            <a:round/>
            <a:headEnd/>
            <a:tailEnd/>
          </a:ln>
        </xdr:spPr>
      </xdr:sp>
      <xdr:sp macro="" textlink="">
        <xdr:nvSpPr>
          <xdr:cNvPr id="102" name="Line 176"/>
          <xdr:cNvSpPr>
            <a:spLocks noChangeShapeType="1"/>
          </xdr:cNvSpPr>
        </xdr:nvSpPr>
        <xdr:spPr bwMode="auto">
          <a:xfrm flipH="1">
            <a:off x="1919538" y="2759242"/>
            <a:ext cx="180975" cy="180975"/>
          </a:xfrm>
          <a:prstGeom prst="line">
            <a:avLst/>
          </a:prstGeom>
          <a:noFill/>
          <a:ln w="6350">
            <a:solidFill>
              <a:srgbClr val="000000"/>
            </a:solidFill>
            <a:round/>
            <a:headEnd/>
            <a:tailEnd/>
          </a:ln>
        </xdr:spPr>
      </xdr:sp>
    </xdr:grpSp>
    <xdr:clientData/>
  </xdr:twoCellAnchor>
  <xdr:twoCellAnchor>
    <xdr:from>
      <xdr:col>2</xdr:col>
      <xdr:colOff>0</xdr:colOff>
      <xdr:row>3</xdr:row>
      <xdr:rowOff>183173</xdr:rowOff>
    </xdr:from>
    <xdr:to>
      <xdr:col>31</xdr:col>
      <xdr:colOff>279889</xdr:colOff>
      <xdr:row>3</xdr:row>
      <xdr:rowOff>183173</xdr:rowOff>
    </xdr:to>
    <xdr:sp macro="" textlink="">
      <xdr:nvSpPr>
        <xdr:cNvPr id="103" name="Line 7"/>
        <xdr:cNvSpPr>
          <a:spLocks noChangeShapeType="1"/>
        </xdr:cNvSpPr>
      </xdr:nvSpPr>
      <xdr:spPr bwMode="auto">
        <a:xfrm>
          <a:off x="1219200" y="611798"/>
          <a:ext cx="17958289" cy="0"/>
        </a:xfrm>
        <a:prstGeom prst="line">
          <a:avLst/>
        </a:prstGeom>
        <a:noFill/>
        <a:ln w="57150" cmpd="thinThick">
          <a:solidFill>
            <a:srgbClr val="000000"/>
          </a:solidFill>
          <a:round/>
          <a:headEnd/>
          <a:tailEnd/>
        </a:ln>
      </xdr:spPr>
    </xdr:sp>
    <xdr:clientData/>
  </xdr:twoCellAnchor>
  <xdr:twoCellAnchor>
    <xdr:from>
      <xdr:col>2</xdr:col>
      <xdr:colOff>0</xdr:colOff>
      <xdr:row>61</xdr:row>
      <xdr:rowOff>224937</xdr:rowOff>
    </xdr:from>
    <xdr:to>
      <xdr:col>31</xdr:col>
      <xdr:colOff>279889</xdr:colOff>
      <xdr:row>61</xdr:row>
      <xdr:rowOff>224937</xdr:rowOff>
    </xdr:to>
    <xdr:sp macro="" textlink="">
      <xdr:nvSpPr>
        <xdr:cNvPr id="104" name="Line 8"/>
        <xdr:cNvSpPr>
          <a:spLocks noChangeShapeType="1"/>
        </xdr:cNvSpPr>
      </xdr:nvSpPr>
      <xdr:spPr bwMode="auto">
        <a:xfrm>
          <a:off x="1219200" y="9445137"/>
          <a:ext cx="17958289" cy="0"/>
        </a:xfrm>
        <a:prstGeom prst="line">
          <a:avLst/>
        </a:prstGeom>
        <a:noFill/>
        <a:ln w="57150" cmpd="thickThin">
          <a:solidFill>
            <a:srgbClr val="000000"/>
          </a:solidFill>
          <a:round/>
          <a:headEnd/>
          <a:tailEnd/>
        </a:ln>
      </xdr:spPr>
    </xdr:sp>
    <xdr:clientData/>
  </xdr:twoCellAnchor>
  <xdr:twoCellAnchor>
    <xdr:from>
      <xdr:col>6</xdr:col>
      <xdr:colOff>32733</xdr:colOff>
      <xdr:row>60</xdr:row>
      <xdr:rowOff>33334</xdr:rowOff>
    </xdr:from>
    <xdr:to>
      <xdr:col>6</xdr:col>
      <xdr:colOff>181986</xdr:colOff>
      <xdr:row>61</xdr:row>
      <xdr:rowOff>14780</xdr:rowOff>
    </xdr:to>
    <xdr:sp macro="" textlink="">
      <xdr:nvSpPr>
        <xdr:cNvPr id="105" name="Text Box 13"/>
        <xdr:cNvSpPr txBox="1">
          <a:spLocks noChangeArrowheads="1"/>
        </xdr:cNvSpPr>
      </xdr:nvSpPr>
      <xdr:spPr bwMode="auto">
        <a:xfrm>
          <a:off x="3690333" y="9177334"/>
          <a:ext cx="149253" cy="133846"/>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167706</xdr:colOff>
      <xdr:row>50</xdr:row>
      <xdr:rowOff>180660</xdr:rowOff>
    </xdr:from>
    <xdr:to>
      <xdr:col>4</xdr:col>
      <xdr:colOff>37121</xdr:colOff>
      <xdr:row>51</xdr:row>
      <xdr:rowOff>171659</xdr:rowOff>
    </xdr:to>
    <xdr:sp macro="" textlink="">
      <xdr:nvSpPr>
        <xdr:cNvPr id="106" name="Text Box 15"/>
        <xdr:cNvSpPr txBox="1">
          <a:spLocks noChangeArrowheads="1"/>
        </xdr:cNvSpPr>
      </xdr:nvSpPr>
      <xdr:spPr bwMode="auto">
        <a:xfrm>
          <a:off x="1996506" y="7772085"/>
          <a:ext cx="479015" cy="152924"/>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24</xdr:col>
      <xdr:colOff>113734</xdr:colOff>
      <xdr:row>55</xdr:row>
      <xdr:rowOff>30576</xdr:rowOff>
    </xdr:from>
    <xdr:to>
      <xdr:col>31</xdr:col>
      <xdr:colOff>173297</xdr:colOff>
      <xdr:row>56</xdr:row>
      <xdr:rowOff>159547</xdr:rowOff>
    </xdr:to>
    <xdr:sp macro="" textlink="">
      <xdr:nvSpPr>
        <xdr:cNvPr id="107" name="Text Box 16"/>
        <xdr:cNvSpPr txBox="1">
          <a:spLocks noChangeArrowheads="1"/>
        </xdr:cNvSpPr>
      </xdr:nvSpPr>
      <xdr:spPr bwMode="auto">
        <a:xfrm>
          <a:off x="14744134" y="8412576"/>
          <a:ext cx="4326763" cy="271846"/>
        </a:xfrm>
        <a:prstGeom prst="rect">
          <a:avLst/>
        </a:prstGeom>
        <a:solidFill>
          <a:srgbClr val="FFFFFF"/>
        </a:solidFill>
        <a:ln w="6350">
          <a:solidFill>
            <a:srgbClr val="000000"/>
          </a:solid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Ｐ明朝"/>
              <a:ea typeface="ＭＳ Ｐ明朝"/>
            </a:rPr>
            <a:t>判定基準</a:t>
          </a:r>
          <a:r>
            <a:rPr lang="ja-JP" altLang="en-US" sz="800" b="0" i="0" strike="noStrike">
              <a:solidFill>
                <a:srgbClr val="000000"/>
              </a:solidFill>
              <a:latin typeface="ＭＳ Ｐゴシック"/>
              <a:ea typeface="ＭＳ Ｐゴシック"/>
            </a:rPr>
            <a:t> </a:t>
          </a:r>
          <a:r>
            <a:rPr lang="el-GR" altLang="ja-JP" sz="900" b="1" i="0" strike="noStrike">
              <a:solidFill>
                <a:srgbClr val="000000"/>
              </a:solidFill>
              <a:latin typeface="ＭＳ Ｐゴシック"/>
              <a:ea typeface="ＭＳ Ｐゴシック"/>
            </a:rPr>
            <a:t>τ≦</a:t>
          </a:r>
          <a:r>
            <a:rPr lang="ja-JP" altLang="de-DE" sz="900" b="1" i="0" strike="noStrike">
              <a:solidFill>
                <a:srgbClr val="000000"/>
              </a:solidFill>
              <a:latin typeface="ＭＳ Ｐゴシック"/>
              <a:ea typeface="ＭＳ Ｐゴシック"/>
            </a:rPr>
            <a:t>ｆ</a:t>
          </a:r>
          <a:r>
            <a:rPr lang="de-DE" altLang="ja-JP" sz="900" b="1" i="0" strike="noStrike">
              <a:solidFill>
                <a:srgbClr val="000000"/>
              </a:solidFill>
              <a:latin typeface="ＭＳ Ｐゴシック"/>
              <a:ea typeface="ＭＳ Ｐゴシック"/>
            </a:rPr>
            <a:t>s</a:t>
          </a:r>
          <a:r>
            <a:rPr lang="de-DE" altLang="ja-JP" sz="4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の場合；強度は合格</a:t>
          </a:r>
        </a:p>
        <a:p>
          <a:pPr algn="l" rtl="1">
            <a:defRPr sz="1000"/>
          </a:pPr>
          <a:r>
            <a:rPr lang="ja-JP" altLang="en-US" sz="800" b="0" i="0" strike="noStrike">
              <a:solidFill>
                <a:srgbClr val="000000"/>
              </a:solidFill>
              <a:latin typeface="ＭＳ Ｐ明朝"/>
              <a:ea typeface="ＭＳ Ｐ明朝"/>
            </a:rPr>
            <a:t>　　　　　　</a:t>
          </a:r>
          <a:r>
            <a:rPr lang="ja-JP" altLang="en-US" sz="600" b="0" i="0" strike="noStrike">
              <a:solidFill>
                <a:srgbClr val="000000"/>
              </a:solidFill>
              <a:latin typeface="ＭＳ Ｐゴシック"/>
              <a:ea typeface="ＭＳ Ｐゴシック"/>
            </a:rPr>
            <a:t> </a:t>
          </a:r>
          <a:r>
            <a:rPr lang="el-GR" altLang="ja-JP" sz="900" b="1" i="0" strike="noStrike">
              <a:solidFill>
                <a:srgbClr val="000000"/>
              </a:solidFill>
              <a:latin typeface="ＭＳ Ｐゴシック"/>
              <a:ea typeface="ＭＳ Ｐゴシック"/>
            </a:rPr>
            <a:t>τ</a:t>
          </a:r>
          <a:r>
            <a:rPr lang="ja-JP" altLang="el-GR" sz="900" b="1" i="0" strike="noStrike">
              <a:solidFill>
                <a:srgbClr val="000000"/>
              </a:solidFill>
              <a:latin typeface="ＭＳ Ｐゴシック"/>
              <a:ea typeface="ＭＳ Ｐゴシック"/>
            </a:rPr>
            <a:t>＞</a:t>
          </a:r>
          <a:r>
            <a:rPr lang="ja-JP" altLang="de-DE" sz="900" b="1" i="0" strike="noStrike">
              <a:solidFill>
                <a:srgbClr val="000000"/>
              </a:solidFill>
              <a:latin typeface="ＭＳ Ｐゴシック"/>
              <a:ea typeface="ＭＳ Ｐゴシック"/>
            </a:rPr>
            <a:t>ｆ</a:t>
          </a:r>
          <a:r>
            <a:rPr lang="de-DE" altLang="ja-JP" sz="900" b="1" i="0" strike="noStrike">
              <a:solidFill>
                <a:srgbClr val="000000"/>
              </a:solidFill>
              <a:latin typeface="ＭＳ Ｐゴシック"/>
              <a:ea typeface="ＭＳ Ｐゴシック"/>
            </a:rPr>
            <a:t>s</a:t>
          </a:r>
          <a:r>
            <a:rPr lang="de-DE" altLang="ja-JP" sz="2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の場合；強度不足で不合格</a:t>
          </a:r>
        </a:p>
      </xdr:txBody>
    </xdr:sp>
    <xdr:clientData/>
  </xdr:twoCellAnchor>
  <xdr:twoCellAnchor>
    <xdr:from>
      <xdr:col>3</xdr:col>
      <xdr:colOff>222238</xdr:colOff>
      <xdr:row>55</xdr:row>
      <xdr:rowOff>30576</xdr:rowOff>
    </xdr:from>
    <xdr:to>
      <xdr:col>11</xdr:col>
      <xdr:colOff>83788</xdr:colOff>
      <xdr:row>56</xdr:row>
      <xdr:rowOff>166661</xdr:rowOff>
    </xdr:to>
    <xdr:sp macro="" textlink="">
      <xdr:nvSpPr>
        <xdr:cNvPr id="108" name="Text Box 19"/>
        <xdr:cNvSpPr txBox="1">
          <a:spLocks noChangeArrowheads="1"/>
        </xdr:cNvSpPr>
      </xdr:nvSpPr>
      <xdr:spPr bwMode="auto">
        <a:xfrm>
          <a:off x="2051038" y="8412576"/>
          <a:ext cx="4738350" cy="278960"/>
        </a:xfrm>
        <a:prstGeom prst="rect">
          <a:avLst/>
        </a:prstGeom>
        <a:solidFill>
          <a:srgbClr val="FFFFFF"/>
        </a:solidFill>
        <a:ln w="6350">
          <a:solidFill>
            <a:srgbClr val="000000"/>
          </a:solid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Ｐ明朝"/>
              <a:ea typeface="ＭＳ Ｐ明朝"/>
            </a:rPr>
            <a:t>判定基準</a:t>
          </a:r>
          <a:r>
            <a:rPr lang="ja-JP" altLang="en-US" sz="1000" b="0" i="0" strike="noStrike">
              <a:solidFill>
                <a:srgbClr val="000000"/>
              </a:solidFill>
              <a:latin typeface="ＭＳ Ｐゴシック"/>
              <a:ea typeface="ＭＳ Ｐゴシック"/>
            </a:rPr>
            <a:t> </a:t>
          </a:r>
          <a:r>
            <a:rPr lang="ja-JP" altLang="de-DE" sz="900" b="1" i="0" strike="noStrike">
              <a:solidFill>
                <a:srgbClr val="000000"/>
              </a:solidFill>
              <a:latin typeface="ＭＳ Ｐゴシック"/>
              <a:ea typeface="ＭＳ Ｐゴシック"/>
            </a:rPr>
            <a:t>Ｒ</a:t>
          </a:r>
          <a:r>
            <a:rPr lang="de-DE" altLang="ja-JP" sz="900" b="1" i="0" strike="noStrike">
              <a:solidFill>
                <a:srgbClr val="000000"/>
              </a:solidFill>
              <a:latin typeface="ＭＳ Ｐゴシック"/>
              <a:ea typeface="ＭＳ Ｐゴシック"/>
            </a:rPr>
            <a:t>b≦</a:t>
          </a:r>
          <a:r>
            <a:rPr lang="ja-JP" altLang="de-DE" sz="900" b="1" i="0" strike="noStrike">
              <a:solidFill>
                <a:srgbClr val="000000"/>
              </a:solidFill>
              <a:latin typeface="ＭＳ Ｐゴシック"/>
              <a:ea typeface="ＭＳ Ｐゴシック"/>
            </a:rPr>
            <a:t>Ｔ</a:t>
          </a:r>
          <a:r>
            <a:rPr lang="de-DE" altLang="ja-JP" sz="900" b="1" i="0" strike="noStrike">
              <a:solidFill>
                <a:srgbClr val="000000"/>
              </a:solidFill>
              <a:latin typeface="ＭＳ Ｐゴシック"/>
              <a:ea typeface="ＭＳ Ｐゴシック"/>
            </a:rPr>
            <a:t>a</a:t>
          </a:r>
          <a:r>
            <a:rPr lang="ja-JP" altLang="en-US" sz="800" b="0" i="0" strike="noStrike">
              <a:solidFill>
                <a:srgbClr val="000000"/>
              </a:solidFill>
              <a:latin typeface="ＭＳ Ｐ明朝"/>
              <a:ea typeface="ＭＳ Ｐ明朝"/>
            </a:rPr>
            <a:t>の場合；強度は合格</a:t>
          </a:r>
        </a:p>
        <a:p>
          <a:pPr algn="l" rtl="1">
            <a:defRPr sz="1000"/>
          </a:pPr>
          <a:r>
            <a:rPr lang="ja-JP" altLang="en-US" sz="800" b="0" i="0" strike="noStrike">
              <a:solidFill>
                <a:srgbClr val="000000"/>
              </a:solidFill>
              <a:latin typeface="ＭＳ Ｐ明朝"/>
              <a:ea typeface="ＭＳ Ｐ明朝"/>
            </a:rPr>
            <a:t>　　　　　　</a:t>
          </a:r>
          <a:r>
            <a:rPr lang="ja-JP" altLang="en-US" sz="600" b="0" i="0" strike="noStrike">
              <a:solidFill>
                <a:srgbClr val="000000"/>
              </a:solidFill>
              <a:latin typeface="ＭＳ Ｐゴシック"/>
              <a:ea typeface="ＭＳ Ｐゴシック"/>
            </a:rPr>
            <a:t> </a:t>
          </a:r>
          <a:r>
            <a:rPr lang="ja-JP" altLang="de-DE" sz="900" b="1" i="0" strike="noStrike">
              <a:solidFill>
                <a:srgbClr val="000000"/>
              </a:solidFill>
              <a:latin typeface="ＭＳ Ｐゴシック"/>
              <a:ea typeface="ＭＳ Ｐゴシック"/>
            </a:rPr>
            <a:t>Ｒ</a:t>
          </a:r>
          <a:r>
            <a:rPr lang="de-DE" altLang="ja-JP" sz="900" b="1" i="0" strike="noStrike">
              <a:solidFill>
                <a:srgbClr val="000000"/>
              </a:solidFill>
              <a:latin typeface="ＭＳ Ｐゴシック"/>
              <a:ea typeface="ＭＳ Ｐゴシック"/>
            </a:rPr>
            <a:t>b</a:t>
          </a:r>
          <a:r>
            <a:rPr lang="ja-JP" altLang="de-DE" sz="900" b="1" i="0" strike="noStrike">
              <a:solidFill>
                <a:srgbClr val="000000"/>
              </a:solidFill>
              <a:latin typeface="ＭＳ Ｐゴシック"/>
              <a:ea typeface="ＭＳ Ｐゴシック"/>
            </a:rPr>
            <a:t>＞</a:t>
          </a:r>
          <a:r>
            <a:rPr lang="de-DE" altLang="ja-JP" sz="900" b="1" i="0" strike="noStrike">
              <a:solidFill>
                <a:srgbClr val="000000"/>
              </a:solidFill>
              <a:latin typeface="ＭＳ Ｐゴシック"/>
              <a:ea typeface="ＭＳ Ｐゴシック"/>
            </a:rPr>
            <a:t>Ta</a:t>
          </a:r>
          <a:r>
            <a:rPr lang="de-DE" altLang="ja-JP" sz="2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の場合；強度不足で不合格</a:t>
          </a:r>
        </a:p>
      </xdr:txBody>
    </xdr:sp>
    <xdr:clientData/>
  </xdr:twoCellAnchor>
  <xdr:twoCellAnchor>
    <xdr:from>
      <xdr:col>12</xdr:col>
      <xdr:colOff>97758</xdr:colOff>
      <xdr:row>55</xdr:row>
      <xdr:rowOff>30576</xdr:rowOff>
    </xdr:from>
    <xdr:to>
      <xdr:col>23</xdr:col>
      <xdr:colOff>146208</xdr:colOff>
      <xdr:row>56</xdr:row>
      <xdr:rowOff>159547</xdr:rowOff>
    </xdr:to>
    <xdr:sp macro="" textlink="">
      <xdr:nvSpPr>
        <xdr:cNvPr id="109" name="Text Box 21"/>
        <xdr:cNvSpPr txBox="1">
          <a:spLocks noChangeArrowheads="1"/>
        </xdr:cNvSpPr>
      </xdr:nvSpPr>
      <xdr:spPr bwMode="auto">
        <a:xfrm>
          <a:off x="7412958" y="8412576"/>
          <a:ext cx="6754050" cy="271846"/>
        </a:xfrm>
        <a:prstGeom prst="rect">
          <a:avLst/>
        </a:prstGeom>
        <a:solidFill>
          <a:srgbClr val="FFFFFF"/>
        </a:solidFill>
        <a:ln w="6350">
          <a:solidFill>
            <a:srgbClr val="000000"/>
          </a:solid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Ｐ明朝"/>
              <a:ea typeface="ＭＳ Ｐ明朝"/>
            </a:rPr>
            <a:t>判定基準</a:t>
          </a:r>
          <a:r>
            <a:rPr lang="ja-JP" altLang="en-US" sz="800" b="0" i="0" strike="noStrike">
              <a:solidFill>
                <a:srgbClr val="000000"/>
              </a:solidFill>
              <a:latin typeface="ＭＳ Ｐゴシック"/>
              <a:ea typeface="ＭＳ Ｐゴシック"/>
            </a:rPr>
            <a:t> </a:t>
          </a:r>
          <a:r>
            <a:rPr lang="el-GR" altLang="ja-JP" sz="900" b="1" i="0" strike="noStrike">
              <a:solidFill>
                <a:srgbClr val="000000"/>
              </a:solidFill>
              <a:latin typeface="ＭＳ Ｐゴシック"/>
              <a:ea typeface="ＭＳ Ｐゴシック"/>
            </a:rPr>
            <a:t>σ≦</a:t>
          </a:r>
          <a:r>
            <a:rPr lang="ja-JP" altLang="de-DE" sz="900" b="1" i="0" strike="noStrike">
              <a:solidFill>
                <a:srgbClr val="000000"/>
              </a:solidFill>
              <a:latin typeface="ＭＳ Ｐゴシック"/>
              <a:ea typeface="ＭＳ Ｐゴシック"/>
            </a:rPr>
            <a:t>ｆｔ</a:t>
          </a:r>
          <a:r>
            <a:rPr lang="ja-JP" altLang="de-DE" sz="4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の場合；強度は合格</a:t>
          </a:r>
        </a:p>
        <a:p>
          <a:pPr algn="l" rtl="1">
            <a:defRPr sz="1000"/>
          </a:pPr>
          <a:r>
            <a:rPr lang="ja-JP" altLang="en-US" sz="800" b="0" i="0" strike="noStrike">
              <a:solidFill>
                <a:srgbClr val="000000"/>
              </a:solidFill>
              <a:latin typeface="ＭＳ Ｐ明朝"/>
              <a:ea typeface="ＭＳ Ｐ明朝"/>
            </a:rPr>
            <a:t>　　　　　　</a:t>
          </a:r>
          <a:r>
            <a:rPr lang="ja-JP" altLang="en-US" sz="600" b="0" i="0" strike="noStrike">
              <a:solidFill>
                <a:srgbClr val="000000"/>
              </a:solidFill>
              <a:latin typeface="ＭＳ Ｐゴシック"/>
              <a:ea typeface="ＭＳ Ｐゴシック"/>
            </a:rPr>
            <a:t> </a:t>
          </a:r>
          <a:r>
            <a:rPr lang="el-GR" altLang="ja-JP" sz="900" b="1" i="0" strike="noStrike">
              <a:solidFill>
                <a:srgbClr val="000000"/>
              </a:solidFill>
              <a:latin typeface="ＭＳ Ｐゴシック"/>
              <a:ea typeface="ＭＳ Ｐゴシック"/>
            </a:rPr>
            <a:t>σ</a:t>
          </a:r>
          <a:r>
            <a:rPr lang="ja-JP" altLang="el-GR" sz="900" b="1" i="0" strike="noStrike">
              <a:solidFill>
                <a:srgbClr val="000000"/>
              </a:solidFill>
              <a:latin typeface="ＭＳ Ｐゴシック"/>
              <a:ea typeface="ＭＳ Ｐゴシック"/>
            </a:rPr>
            <a:t>＞</a:t>
          </a:r>
          <a:r>
            <a:rPr lang="ja-JP" altLang="de-DE" sz="900" b="1" i="0" strike="noStrike">
              <a:solidFill>
                <a:srgbClr val="000000"/>
              </a:solidFill>
              <a:latin typeface="ＭＳ Ｐゴシック"/>
              <a:ea typeface="ＭＳ Ｐゴシック"/>
            </a:rPr>
            <a:t>ｆｔ</a:t>
          </a:r>
          <a:r>
            <a:rPr lang="ja-JP" altLang="de-DE" sz="2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の場合；強度不足で不合格</a:t>
          </a:r>
        </a:p>
      </xdr:txBody>
    </xdr:sp>
    <xdr:clientData/>
  </xdr:twoCellAnchor>
  <xdr:twoCellAnchor>
    <xdr:from>
      <xdr:col>3</xdr:col>
      <xdr:colOff>18454</xdr:colOff>
      <xdr:row>47</xdr:row>
      <xdr:rowOff>102584</xdr:rowOff>
    </xdr:from>
    <xdr:to>
      <xdr:col>4</xdr:col>
      <xdr:colOff>86872</xdr:colOff>
      <xdr:row>48</xdr:row>
      <xdr:rowOff>93583</xdr:rowOff>
    </xdr:to>
    <xdr:sp macro="" textlink="">
      <xdr:nvSpPr>
        <xdr:cNvPr id="110" name="Text Box 22"/>
        <xdr:cNvSpPr txBox="1">
          <a:spLocks noChangeArrowheads="1"/>
        </xdr:cNvSpPr>
      </xdr:nvSpPr>
      <xdr:spPr bwMode="auto">
        <a:xfrm>
          <a:off x="1847254" y="7265384"/>
          <a:ext cx="678018" cy="143399"/>
        </a:xfrm>
        <a:prstGeom prst="rect">
          <a:avLst/>
        </a:prstGeom>
        <a:noFill/>
        <a:ln w="9525">
          <a:noFill/>
          <a:miter lim="800000"/>
          <a:headEnd/>
          <a:tailEnd/>
        </a:ln>
      </xdr:spPr>
      <xdr:txBody>
        <a:bodyPr vertOverflow="clip" wrap="square" lIns="27432" tIns="18288" rIns="0" bIns="0" anchor="t" upright="1"/>
        <a:lstStyle/>
        <a:p>
          <a:pPr algn="l" rtl="1">
            <a:defRPr sz="1000"/>
          </a:pPr>
          <a:r>
            <a:rPr lang="de-DE" altLang="ja-JP" sz="1000" b="1" i="0" strike="noStrike">
              <a:solidFill>
                <a:srgbClr val="000000"/>
              </a:solidFill>
              <a:latin typeface="ＭＳ Ｐゴシック"/>
              <a:ea typeface="ＭＳ Ｐゴシック"/>
            </a:rPr>
            <a:t>Rb</a:t>
          </a:r>
          <a:r>
            <a:rPr lang="ja-JP" altLang="de-DE" sz="1000" b="0" i="0" strike="noStrike">
              <a:solidFill>
                <a:srgbClr val="000000"/>
              </a:solidFill>
              <a:latin typeface="ＭＳ Ｐゴシック"/>
              <a:ea typeface="ＭＳ Ｐゴシック"/>
            </a:rPr>
            <a:t>＝</a:t>
          </a:r>
        </a:p>
      </xdr:txBody>
    </xdr:sp>
    <xdr:clientData/>
  </xdr:twoCellAnchor>
  <xdr:twoCellAnchor>
    <xdr:from>
      <xdr:col>3</xdr:col>
      <xdr:colOff>157756</xdr:colOff>
      <xdr:row>58</xdr:row>
      <xdr:rowOff>108651</xdr:rowOff>
    </xdr:from>
    <xdr:to>
      <xdr:col>4</xdr:col>
      <xdr:colOff>274209</xdr:colOff>
      <xdr:row>59</xdr:row>
      <xdr:rowOff>99650</xdr:rowOff>
    </xdr:to>
    <xdr:sp macro="" textlink="">
      <xdr:nvSpPr>
        <xdr:cNvPr id="111" name="Text Box 25"/>
        <xdr:cNvSpPr txBox="1">
          <a:spLocks noChangeArrowheads="1"/>
        </xdr:cNvSpPr>
      </xdr:nvSpPr>
      <xdr:spPr bwMode="auto">
        <a:xfrm>
          <a:off x="1986556" y="8947851"/>
          <a:ext cx="726053" cy="143399"/>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de-DE" sz="1000" b="1" i="0" strike="noStrike">
              <a:solidFill>
                <a:srgbClr val="000000"/>
              </a:solidFill>
              <a:latin typeface="ＭＳ Ｐゴシック"/>
              <a:ea typeface="ＭＳ Ｐゴシック"/>
            </a:rPr>
            <a:t>Ｓ</a:t>
          </a:r>
          <a:r>
            <a:rPr lang="de-DE" altLang="ja-JP" sz="1000" b="1" i="0" strike="noStrike">
              <a:solidFill>
                <a:srgbClr val="000000"/>
              </a:solidFill>
              <a:latin typeface="Times New Roman"/>
              <a:cs typeface="Times New Roman"/>
            </a:rPr>
            <a:t>fRb</a:t>
          </a:r>
          <a:r>
            <a:rPr lang="ja-JP" altLang="de-DE" sz="1000" b="0" i="0" strike="noStrike">
              <a:solidFill>
                <a:srgbClr val="000000"/>
              </a:solidFill>
              <a:latin typeface="ＭＳ Ｐゴシック"/>
              <a:ea typeface="ＭＳ Ｐゴシック"/>
            </a:rPr>
            <a:t>＝</a:t>
          </a:r>
        </a:p>
      </xdr:txBody>
    </xdr:sp>
    <xdr:clientData/>
  </xdr:twoCellAnchor>
  <xdr:twoCellAnchor>
    <xdr:from>
      <xdr:col>6</xdr:col>
      <xdr:colOff>32733</xdr:colOff>
      <xdr:row>58</xdr:row>
      <xdr:rowOff>108651</xdr:rowOff>
    </xdr:from>
    <xdr:to>
      <xdr:col>6</xdr:col>
      <xdr:colOff>181986</xdr:colOff>
      <xdr:row>59</xdr:row>
      <xdr:rowOff>90097</xdr:rowOff>
    </xdr:to>
    <xdr:sp macro="" textlink="">
      <xdr:nvSpPr>
        <xdr:cNvPr id="112" name="Text Box 26"/>
        <xdr:cNvSpPr txBox="1">
          <a:spLocks noChangeArrowheads="1"/>
        </xdr:cNvSpPr>
      </xdr:nvSpPr>
      <xdr:spPr bwMode="auto">
        <a:xfrm>
          <a:off x="3690333" y="8947851"/>
          <a:ext cx="149253" cy="133846"/>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15</xdr:col>
      <xdr:colOff>90304</xdr:colOff>
      <xdr:row>60</xdr:row>
      <xdr:rowOff>23781</xdr:rowOff>
    </xdr:from>
    <xdr:to>
      <xdr:col>16</xdr:col>
      <xdr:colOff>123600</xdr:colOff>
      <xdr:row>61</xdr:row>
      <xdr:rowOff>5227</xdr:rowOff>
    </xdr:to>
    <xdr:sp macro="" textlink="">
      <xdr:nvSpPr>
        <xdr:cNvPr id="113" name="Text Box 27"/>
        <xdr:cNvSpPr txBox="1">
          <a:spLocks noChangeArrowheads="1"/>
        </xdr:cNvSpPr>
      </xdr:nvSpPr>
      <xdr:spPr bwMode="auto">
        <a:xfrm>
          <a:off x="9234304" y="9167781"/>
          <a:ext cx="642896" cy="133846"/>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12</xdr:col>
      <xdr:colOff>291648</xdr:colOff>
      <xdr:row>58</xdr:row>
      <xdr:rowOff>108651</xdr:rowOff>
    </xdr:from>
    <xdr:to>
      <xdr:col>14</xdr:col>
      <xdr:colOff>88305</xdr:colOff>
      <xdr:row>59</xdr:row>
      <xdr:rowOff>99650</xdr:rowOff>
    </xdr:to>
    <xdr:sp macro="" textlink="">
      <xdr:nvSpPr>
        <xdr:cNvPr id="114" name="Text Box 28"/>
        <xdr:cNvSpPr txBox="1">
          <a:spLocks noChangeArrowheads="1"/>
        </xdr:cNvSpPr>
      </xdr:nvSpPr>
      <xdr:spPr bwMode="auto">
        <a:xfrm>
          <a:off x="7606848" y="8947851"/>
          <a:ext cx="1015857" cy="143399"/>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de-DE" sz="1000" b="1" i="0" strike="noStrike">
              <a:solidFill>
                <a:srgbClr val="000000"/>
              </a:solidFill>
              <a:latin typeface="ＭＳ Ｐゴシック"/>
              <a:ea typeface="ＭＳ Ｐゴシック"/>
            </a:rPr>
            <a:t>Ｓ</a:t>
          </a:r>
          <a:r>
            <a:rPr lang="de-DE" altLang="ja-JP" sz="1000" b="1" i="0" strike="noStrike">
              <a:solidFill>
                <a:srgbClr val="000000"/>
              </a:solidFill>
              <a:latin typeface="Times New Roman"/>
              <a:cs typeface="Times New Roman"/>
            </a:rPr>
            <a:t>f</a:t>
          </a:r>
          <a:r>
            <a:rPr lang="el-GR" altLang="ja-JP" sz="1000" b="1" i="0" strike="noStrike">
              <a:solidFill>
                <a:srgbClr val="000000"/>
              </a:solidFill>
              <a:latin typeface="Times New Roman"/>
              <a:cs typeface="Times New Roman"/>
            </a:rPr>
            <a:t>σ</a:t>
          </a:r>
          <a:r>
            <a:rPr lang="ja-JP" altLang="el-GR" sz="1000" b="0" i="0" strike="noStrike">
              <a:solidFill>
                <a:srgbClr val="000000"/>
              </a:solidFill>
              <a:latin typeface="ＭＳ Ｐゴシック"/>
              <a:ea typeface="ＭＳ Ｐゴシック"/>
            </a:rPr>
            <a:t>＝</a:t>
          </a:r>
        </a:p>
      </xdr:txBody>
    </xdr:sp>
    <xdr:clientData/>
  </xdr:twoCellAnchor>
  <xdr:twoCellAnchor>
    <xdr:from>
      <xdr:col>15</xdr:col>
      <xdr:colOff>90304</xdr:colOff>
      <xdr:row>58</xdr:row>
      <xdr:rowOff>108651</xdr:rowOff>
    </xdr:from>
    <xdr:to>
      <xdr:col>16</xdr:col>
      <xdr:colOff>123600</xdr:colOff>
      <xdr:row>59</xdr:row>
      <xdr:rowOff>90097</xdr:rowOff>
    </xdr:to>
    <xdr:sp macro="" textlink="">
      <xdr:nvSpPr>
        <xdr:cNvPr id="115" name="Text Box 29"/>
        <xdr:cNvSpPr txBox="1">
          <a:spLocks noChangeArrowheads="1"/>
        </xdr:cNvSpPr>
      </xdr:nvSpPr>
      <xdr:spPr bwMode="auto">
        <a:xfrm>
          <a:off x="9234304" y="8947851"/>
          <a:ext cx="642896" cy="133846"/>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27</xdr:col>
      <xdr:colOff>6628</xdr:colOff>
      <xdr:row>60</xdr:row>
      <xdr:rowOff>33334</xdr:rowOff>
    </xdr:from>
    <xdr:to>
      <xdr:col>27</xdr:col>
      <xdr:colOff>155881</xdr:colOff>
      <xdr:row>61</xdr:row>
      <xdr:rowOff>14780</xdr:rowOff>
    </xdr:to>
    <xdr:sp macro="" textlink="">
      <xdr:nvSpPr>
        <xdr:cNvPr id="116" name="Text Box 30"/>
        <xdr:cNvSpPr txBox="1">
          <a:spLocks noChangeArrowheads="1"/>
        </xdr:cNvSpPr>
      </xdr:nvSpPr>
      <xdr:spPr bwMode="auto">
        <a:xfrm>
          <a:off x="16465828" y="9177334"/>
          <a:ext cx="149253" cy="133846"/>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24</xdr:col>
      <xdr:colOff>60388</xdr:colOff>
      <xdr:row>58</xdr:row>
      <xdr:rowOff>108651</xdr:rowOff>
    </xdr:from>
    <xdr:to>
      <xdr:col>25</xdr:col>
      <xdr:colOff>128703</xdr:colOff>
      <xdr:row>59</xdr:row>
      <xdr:rowOff>99650</xdr:rowOff>
    </xdr:to>
    <xdr:sp macro="" textlink="">
      <xdr:nvSpPr>
        <xdr:cNvPr id="117" name="Text Box 31"/>
        <xdr:cNvSpPr txBox="1">
          <a:spLocks noChangeArrowheads="1"/>
        </xdr:cNvSpPr>
      </xdr:nvSpPr>
      <xdr:spPr bwMode="auto">
        <a:xfrm>
          <a:off x="14690788" y="8947851"/>
          <a:ext cx="677915" cy="143399"/>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de-DE" sz="1000" b="1" i="0" strike="noStrike">
              <a:solidFill>
                <a:srgbClr val="000000"/>
              </a:solidFill>
              <a:latin typeface="ＭＳ Ｐゴシック"/>
              <a:ea typeface="ＭＳ Ｐゴシック"/>
            </a:rPr>
            <a:t>Ｓ</a:t>
          </a:r>
          <a:r>
            <a:rPr lang="de-DE" altLang="ja-JP" sz="1000" b="1" i="0" strike="noStrike">
              <a:solidFill>
                <a:srgbClr val="000000"/>
              </a:solidFill>
              <a:latin typeface="Times New Roman"/>
              <a:cs typeface="Times New Roman"/>
            </a:rPr>
            <a:t>f</a:t>
          </a:r>
          <a:r>
            <a:rPr lang="el-GR" altLang="ja-JP" sz="10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27</xdr:col>
      <xdr:colOff>6628</xdr:colOff>
      <xdr:row>58</xdr:row>
      <xdr:rowOff>108651</xdr:rowOff>
    </xdr:from>
    <xdr:to>
      <xdr:col>27</xdr:col>
      <xdr:colOff>155881</xdr:colOff>
      <xdr:row>59</xdr:row>
      <xdr:rowOff>90097</xdr:rowOff>
    </xdr:to>
    <xdr:sp macro="" textlink="">
      <xdr:nvSpPr>
        <xdr:cNvPr id="118" name="Text Box 32"/>
        <xdr:cNvSpPr txBox="1">
          <a:spLocks noChangeArrowheads="1"/>
        </xdr:cNvSpPr>
      </xdr:nvSpPr>
      <xdr:spPr bwMode="auto">
        <a:xfrm>
          <a:off x="16465828" y="8947851"/>
          <a:ext cx="149253" cy="133846"/>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13</xdr:col>
      <xdr:colOff>233947</xdr:colOff>
      <xdr:row>49</xdr:row>
      <xdr:rowOff>36820</xdr:rowOff>
    </xdr:from>
    <xdr:to>
      <xdr:col>14</xdr:col>
      <xdr:colOff>187807</xdr:colOff>
      <xdr:row>50</xdr:row>
      <xdr:rowOff>27819</xdr:rowOff>
    </xdr:to>
    <xdr:sp macro="" textlink="">
      <xdr:nvSpPr>
        <xdr:cNvPr id="119" name="Text Box 33"/>
        <xdr:cNvSpPr txBox="1">
          <a:spLocks noChangeArrowheads="1"/>
        </xdr:cNvSpPr>
      </xdr:nvSpPr>
      <xdr:spPr bwMode="auto">
        <a:xfrm>
          <a:off x="8158747" y="7504420"/>
          <a:ext cx="563460" cy="143399"/>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15</xdr:col>
      <xdr:colOff>90304</xdr:colOff>
      <xdr:row>47</xdr:row>
      <xdr:rowOff>102584</xdr:rowOff>
    </xdr:from>
    <xdr:to>
      <xdr:col>16</xdr:col>
      <xdr:colOff>123600</xdr:colOff>
      <xdr:row>48</xdr:row>
      <xdr:rowOff>84030</xdr:rowOff>
    </xdr:to>
    <xdr:sp macro="" textlink="">
      <xdr:nvSpPr>
        <xdr:cNvPr id="120" name="Text Box 34"/>
        <xdr:cNvSpPr txBox="1">
          <a:spLocks noChangeArrowheads="1"/>
        </xdr:cNvSpPr>
      </xdr:nvSpPr>
      <xdr:spPr bwMode="auto">
        <a:xfrm>
          <a:off x="9234304" y="7265384"/>
          <a:ext cx="642896" cy="133846"/>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13</xdr:col>
      <xdr:colOff>94644</xdr:colOff>
      <xdr:row>47</xdr:row>
      <xdr:rowOff>102584</xdr:rowOff>
    </xdr:from>
    <xdr:to>
      <xdr:col>14</xdr:col>
      <xdr:colOff>227607</xdr:colOff>
      <xdr:row>48</xdr:row>
      <xdr:rowOff>93583</xdr:rowOff>
    </xdr:to>
    <xdr:sp macro="" textlink="">
      <xdr:nvSpPr>
        <xdr:cNvPr id="121" name="Text Box 35"/>
        <xdr:cNvSpPr txBox="1">
          <a:spLocks noChangeArrowheads="1"/>
        </xdr:cNvSpPr>
      </xdr:nvSpPr>
      <xdr:spPr bwMode="auto">
        <a:xfrm>
          <a:off x="8019444" y="7265384"/>
          <a:ext cx="742563" cy="143399"/>
        </a:xfrm>
        <a:prstGeom prst="rect">
          <a:avLst/>
        </a:prstGeom>
        <a:noFill/>
        <a:ln w="9525">
          <a:noFill/>
          <a:miter lim="800000"/>
          <a:headEnd/>
          <a:tailEnd/>
        </a:ln>
      </xdr:spPr>
      <xdr:txBody>
        <a:bodyPr vertOverflow="clip" wrap="square" lIns="27432" tIns="18288" rIns="0" bIns="0" anchor="t" upright="1"/>
        <a:lstStyle/>
        <a:p>
          <a:pPr algn="l" rtl="1">
            <a:defRPr sz="1000"/>
          </a:pPr>
          <a:r>
            <a:rPr lang="el-GR" altLang="ja-JP" sz="1000" b="1" i="0" strike="noStrike">
              <a:solidFill>
                <a:srgbClr val="000000"/>
              </a:solidFill>
              <a:latin typeface="ＭＳ Ｐゴシック"/>
              <a:ea typeface="ＭＳ Ｐゴシック"/>
            </a:rPr>
            <a:t>σ</a:t>
          </a:r>
          <a:r>
            <a:rPr lang="ja-JP" altLang="el-GR" sz="1000" b="0" i="0" strike="noStrike">
              <a:solidFill>
                <a:srgbClr val="000000"/>
              </a:solidFill>
              <a:latin typeface="ＭＳ Ｐゴシック"/>
              <a:ea typeface="ＭＳ Ｐゴシック"/>
            </a:rPr>
            <a:t>＝</a:t>
          </a:r>
        </a:p>
      </xdr:txBody>
    </xdr:sp>
    <xdr:clientData/>
  </xdr:twoCellAnchor>
  <xdr:twoCellAnchor>
    <xdr:from>
      <xdr:col>25</xdr:col>
      <xdr:colOff>39151</xdr:colOff>
      <xdr:row>49</xdr:row>
      <xdr:rowOff>36820</xdr:rowOff>
    </xdr:from>
    <xdr:to>
      <xdr:col>25</xdr:col>
      <xdr:colOff>248104</xdr:colOff>
      <xdr:row>50</xdr:row>
      <xdr:rowOff>27819</xdr:rowOff>
    </xdr:to>
    <xdr:sp macro="" textlink="">
      <xdr:nvSpPr>
        <xdr:cNvPr id="122" name="Text Box 36"/>
        <xdr:cNvSpPr txBox="1">
          <a:spLocks noChangeArrowheads="1"/>
        </xdr:cNvSpPr>
      </xdr:nvSpPr>
      <xdr:spPr bwMode="auto">
        <a:xfrm>
          <a:off x="15279151" y="7504420"/>
          <a:ext cx="208953" cy="143399"/>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27</xdr:col>
      <xdr:colOff>6628</xdr:colOff>
      <xdr:row>47</xdr:row>
      <xdr:rowOff>102584</xdr:rowOff>
    </xdr:from>
    <xdr:to>
      <xdr:col>27</xdr:col>
      <xdr:colOff>155881</xdr:colOff>
      <xdr:row>48</xdr:row>
      <xdr:rowOff>84030</xdr:rowOff>
    </xdr:to>
    <xdr:sp macro="" textlink="">
      <xdr:nvSpPr>
        <xdr:cNvPr id="123" name="Text Box 37"/>
        <xdr:cNvSpPr txBox="1">
          <a:spLocks noChangeArrowheads="1"/>
        </xdr:cNvSpPr>
      </xdr:nvSpPr>
      <xdr:spPr bwMode="auto">
        <a:xfrm>
          <a:off x="16465828" y="7265384"/>
          <a:ext cx="149253" cy="133846"/>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24</xdr:col>
      <xdr:colOff>169840</xdr:colOff>
      <xdr:row>47</xdr:row>
      <xdr:rowOff>102584</xdr:rowOff>
    </xdr:from>
    <xdr:to>
      <xdr:col>25</xdr:col>
      <xdr:colOff>277956</xdr:colOff>
      <xdr:row>48</xdr:row>
      <xdr:rowOff>93583</xdr:rowOff>
    </xdr:to>
    <xdr:sp macro="" textlink="">
      <xdr:nvSpPr>
        <xdr:cNvPr id="124" name="Text Box 38"/>
        <xdr:cNvSpPr txBox="1">
          <a:spLocks noChangeArrowheads="1"/>
        </xdr:cNvSpPr>
      </xdr:nvSpPr>
      <xdr:spPr bwMode="auto">
        <a:xfrm>
          <a:off x="14800240" y="7265384"/>
          <a:ext cx="717716" cy="143399"/>
        </a:xfrm>
        <a:prstGeom prst="rect">
          <a:avLst/>
        </a:prstGeom>
        <a:noFill/>
        <a:ln w="9525">
          <a:noFill/>
          <a:miter lim="800000"/>
          <a:headEnd/>
          <a:tailEnd/>
        </a:ln>
      </xdr:spPr>
      <xdr:txBody>
        <a:bodyPr vertOverflow="clip" wrap="square" lIns="27432" tIns="18288" rIns="0" bIns="0" anchor="t" upright="1"/>
        <a:lstStyle/>
        <a:p>
          <a:pPr algn="l" rtl="1">
            <a:defRPr sz="1000"/>
          </a:pPr>
          <a:r>
            <a:rPr lang="el-GR" altLang="ja-JP" sz="1000" b="1" i="0" strike="noStrike">
              <a:solidFill>
                <a:srgbClr val="000000"/>
              </a:solidFill>
              <a:latin typeface="ＭＳ Ｐゴシック"/>
              <a:ea typeface="ＭＳ Ｐゴシック"/>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3</xdr:col>
      <xdr:colOff>8504</xdr:colOff>
      <xdr:row>37</xdr:row>
      <xdr:rowOff>7671</xdr:rowOff>
    </xdr:from>
    <xdr:to>
      <xdr:col>5</xdr:col>
      <xdr:colOff>24119</xdr:colOff>
      <xdr:row>39</xdr:row>
      <xdr:rowOff>99882</xdr:rowOff>
    </xdr:to>
    <xdr:sp macro="" textlink="">
      <xdr:nvSpPr>
        <xdr:cNvPr id="125" name="Line 39"/>
        <xdr:cNvSpPr>
          <a:spLocks noChangeShapeType="1"/>
        </xdr:cNvSpPr>
      </xdr:nvSpPr>
      <xdr:spPr bwMode="auto">
        <a:xfrm>
          <a:off x="1837304" y="5646471"/>
          <a:ext cx="1234815" cy="397011"/>
        </a:xfrm>
        <a:prstGeom prst="line">
          <a:avLst/>
        </a:prstGeom>
        <a:noFill/>
        <a:ln w="3175">
          <a:solidFill>
            <a:srgbClr val="000000"/>
          </a:solidFill>
          <a:round/>
          <a:headEnd/>
          <a:tailEnd/>
        </a:ln>
      </xdr:spPr>
    </xdr:sp>
    <xdr:clientData/>
  </xdr:twoCellAnchor>
  <xdr:twoCellAnchor>
    <xdr:from>
      <xdr:col>3</xdr:col>
      <xdr:colOff>98055</xdr:colOff>
      <xdr:row>38</xdr:row>
      <xdr:rowOff>55986</xdr:rowOff>
    </xdr:from>
    <xdr:to>
      <xdr:col>4</xdr:col>
      <xdr:colOff>194608</xdr:colOff>
      <xdr:row>39</xdr:row>
      <xdr:rowOff>90330</xdr:rowOff>
    </xdr:to>
    <xdr:sp macro="" textlink="">
      <xdr:nvSpPr>
        <xdr:cNvPr id="126" name="Text Box 41"/>
        <xdr:cNvSpPr txBox="1">
          <a:spLocks noChangeArrowheads="1"/>
        </xdr:cNvSpPr>
      </xdr:nvSpPr>
      <xdr:spPr bwMode="auto">
        <a:xfrm>
          <a:off x="1926855" y="5847186"/>
          <a:ext cx="706153" cy="186744"/>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設置階</a:t>
          </a:r>
        </a:p>
      </xdr:txBody>
    </xdr:sp>
    <xdr:clientData/>
  </xdr:twoCellAnchor>
  <xdr:twoCellAnchor>
    <xdr:from>
      <xdr:col>4</xdr:col>
      <xdr:colOff>65256</xdr:colOff>
      <xdr:row>37</xdr:row>
      <xdr:rowOff>122302</xdr:rowOff>
    </xdr:from>
    <xdr:to>
      <xdr:col>5</xdr:col>
      <xdr:colOff>153472</xdr:colOff>
      <xdr:row>38</xdr:row>
      <xdr:rowOff>55986</xdr:rowOff>
    </xdr:to>
    <xdr:sp macro="" textlink="">
      <xdr:nvSpPr>
        <xdr:cNvPr id="127" name="Text Box 42"/>
        <xdr:cNvSpPr txBox="1">
          <a:spLocks noChangeArrowheads="1"/>
        </xdr:cNvSpPr>
      </xdr:nvSpPr>
      <xdr:spPr bwMode="auto">
        <a:xfrm>
          <a:off x="2503656" y="5761102"/>
          <a:ext cx="697816" cy="86084"/>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クラス</a:t>
          </a:r>
        </a:p>
      </xdr:txBody>
    </xdr:sp>
    <xdr:clientData/>
  </xdr:twoCellAnchor>
  <xdr:twoCellAnchor>
    <xdr:from>
      <xdr:col>4</xdr:col>
      <xdr:colOff>65256</xdr:colOff>
      <xdr:row>37</xdr:row>
      <xdr:rowOff>26776</xdr:rowOff>
    </xdr:from>
    <xdr:to>
      <xdr:col>5</xdr:col>
      <xdr:colOff>153472</xdr:colOff>
      <xdr:row>37</xdr:row>
      <xdr:rowOff>179617</xdr:rowOff>
    </xdr:to>
    <xdr:sp macro="" textlink="">
      <xdr:nvSpPr>
        <xdr:cNvPr id="128" name="Text Box 43"/>
        <xdr:cNvSpPr txBox="1">
          <a:spLocks noChangeArrowheads="1"/>
        </xdr:cNvSpPr>
      </xdr:nvSpPr>
      <xdr:spPr bwMode="auto">
        <a:xfrm>
          <a:off x="2503656" y="5665576"/>
          <a:ext cx="697816" cy="12426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耐</a:t>
          </a:r>
          <a:r>
            <a:rPr lang="ja-JP" altLang="en-US" sz="4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震</a:t>
          </a:r>
        </a:p>
      </xdr:txBody>
    </xdr:sp>
    <xdr:clientData/>
  </xdr:twoCellAnchor>
  <xdr:twoCellAnchor>
    <xdr:from>
      <xdr:col>25</xdr:col>
      <xdr:colOff>178454</xdr:colOff>
      <xdr:row>12</xdr:row>
      <xdr:rowOff>22540</xdr:rowOff>
    </xdr:from>
    <xdr:to>
      <xdr:col>25</xdr:col>
      <xdr:colOff>287906</xdr:colOff>
      <xdr:row>13</xdr:row>
      <xdr:rowOff>3986</xdr:rowOff>
    </xdr:to>
    <xdr:sp macro="" textlink="">
      <xdr:nvSpPr>
        <xdr:cNvPr id="129" name="Text Box 70"/>
        <xdr:cNvSpPr txBox="1">
          <a:spLocks noChangeArrowheads="1"/>
        </xdr:cNvSpPr>
      </xdr:nvSpPr>
      <xdr:spPr bwMode="auto">
        <a:xfrm>
          <a:off x="15418454" y="1851340"/>
          <a:ext cx="109452" cy="13384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H</a:t>
          </a:r>
        </a:p>
      </xdr:txBody>
    </xdr:sp>
    <xdr:clientData/>
  </xdr:twoCellAnchor>
  <xdr:twoCellAnchor>
    <xdr:from>
      <xdr:col>27</xdr:col>
      <xdr:colOff>106130</xdr:colOff>
      <xdr:row>7</xdr:row>
      <xdr:rowOff>29335</xdr:rowOff>
    </xdr:from>
    <xdr:to>
      <xdr:col>30</xdr:col>
      <xdr:colOff>12570</xdr:colOff>
      <xdr:row>17</xdr:row>
      <xdr:rowOff>53956</xdr:rowOff>
    </xdr:to>
    <xdr:grpSp>
      <xdr:nvGrpSpPr>
        <xdr:cNvPr id="130" name="Group 83"/>
        <xdr:cNvGrpSpPr>
          <a:grpSpLocks/>
        </xdr:cNvGrpSpPr>
      </xdr:nvGrpSpPr>
      <xdr:grpSpPr bwMode="auto">
        <a:xfrm>
          <a:off x="6162443" y="1251710"/>
          <a:ext cx="763690" cy="1929621"/>
          <a:chOff x="386" y="146"/>
          <a:chExt cx="163" cy="202"/>
        </a:xfrm>
      </xdr:grpSpPr>
      <xdr:sp macro="" textlink="">
        <xdr:nvSpPr>
          <xdr:cNvPr id="131" name="Line 48"/>
          <xdr:cNvSpPr>
            <a:spLocks noChangeShapeType="1"/>
          </xdr:cNvSpPr>
        </xdr:nvSpPr>
        <xdr:spPr bwMode="auto">
          <a:xfrm>
            <a:off x="549" y="146"/>
            <a:ext cx="0" cy="202"/>
          </a:xfrm>
          <a:prstGeom prst="line">
            <a:avLst/>
          </a:prstGeom>
          <a:noFill/>
          <a:ln w="6350">
            <a:solidFill>
              <a:srgbClr val="000000"/>
            </a:solidFill>
            <a:round/>
            <a:headEnd/>
            <a:tailEnd/>
          </a:ln>
        </xdr:spPr>
      </xdr:sp>
      <xdr:sp macro="" textlink="">
        <xdr:nvSpPr>
          <xdr:cNvPr id="132" name="Line 50"/>
          <xdr:cNvSpPr>
            <a:spLocks noChangeShapeType="1"/>
          </xdr:cNvSpPr>
        </xdr:nvSpPr>
        <xdr:spPr bwMode="auto">
          <a:xfrm>
            <a:off x="386" y="146"/>
            <a:ext cx="0" cy="202"/>
          </a:xfrm>
          <a:prstGeom prst="line">
            <a:avLst/>
          </a:prstGeom>
          <a:noFill/>
          <a:ln w="6350">
            <a:solidFill>
              <a:srgbClr val="000000"/>
            </a:solidFill>
            <a:round/>
            <a:headEnd/>
            <a:tailEnd/>
          </a:ln>
        </xdr:spPr>
      </xdr:sp>
      <xdr:sp macro="" textlink="">
        <xdr:nvSpPr>
          <xdr:cNvPr id="133" name="Line 58"/>
          <xdr:cNvSpPr>
            <a:spLocks noChangeShapeType="1"/>
          </xdr:cNvSpPr>
        </xdr:nvSpPr>
        <xdr:spPr bwMode="auto">
          <a:xfrm>
            <a:off x="386" y="348"/>
            <a:ext cx="163" cy="0"/>
          </a:xfrm>
          <a:prstGeom prst="line">
            <a:avLst/>
          </a:prstGeom>
          <a:noFill/>
          <a:ln w="6350">
            <a:solidFill>
              <a:srgbClr val="000000"/>
            </a:solidFill>
            <a:round/>
            <a:headEnd/>
            <a:tailEnd/>
          </a:ln>
        </xdr:spPr>
      </xdr:sp>
      <xdr:sp macro="" textlink="">
        <xdr:nvSpPr>
          <xdr:cNvPr id="134" name="Line 81"/>
          <xdr:cNvSpPr>
            <a:spLocks noChangeShapeType="1"/>
          </xdr:cNvSpPr>
        </xdr:nvSpPr>
        <xdr:spPr bwMode="auto">
          <a:xfrm>
            <a:off x="386" y="146"/>
            <a:ext cx="163" cy="0"/>
          </a:xfrm>
          <a:prstGeom prst="line">
            <a:avLst/>
          </a:prstGeom>
          <a:noFill/>
          <a:ln w="6350">
            <a:solidFill>
              <a:srgbClr val="000000"/>
            </a:solidFill>
            <a:round/>
            <a:headEnd/>
            <a:tailEnd/>
          </a:ln>
        </xdr:spPr>
      </xdr:sp>
    </xdr:grpSp>
    <xdr:clientData/>
  </xdr:twoCellAnchor>
  <xdr:twoCellAnchor>
    <xdr:from>
      <xdr:col>10</xdr:col>
      <xdr:colOff>199822</xdr:colOff>
      <xdr:row>18</xdr:row>
      <xdr:rowOff>73613</xdr:rowOff>
    </xdr:from>
    <xdr:to>
      <xdr:col>10</xdr:col>
      <xdr:colOff>199822</xdr:colOff>
      <xdr:row>21</xdr:row>
      <xdr:rowOff>151688</xdr:rowOff>
    </xdr:to>
    <xdr:sp macro="" textlink="">
      <xdr:nvSpPr>
        <xdr:cNvPr id="135" name="Line 47"/>
        <xdr:cNvSpPr>
          <a:spLocks noChangeShapeType="1"/>
        </xdr:cNvSpPr>
      </xdr:nvSpPr>
      <xdr:spPr bwMode="auto">
        <a:xfrm>
          <a:off x="6295822" y="2816813"/>
          <a:ext cx="0" cy="535275"/>
        </a:xfrm>
        <a:prstGeom prst="line">
          <a:avLst/>
        </a:prstGeom>
        <a:noFill/>
        <a:ln w="9525">
          <a:solidFill>
            <a:srgbClr val="000000"/>
          </a:solidFill>
          <a:round/>
          <a:headEnd/>
          <a:tailEnd/>
        </a:ln>
      </xdr:spPr>
    </xdr:sp>
    <xdr:clientData/>
  </xdr:twoCellAnchor>
  <xdr:twoCellAnchor>
    <xdr:from>
      <xdr:col>7</xdr:col>
      <xdr:colOff>250411</xdr:colOff>
      <xdr:row>6</xdr:row>
      <xdr:rowOff>57441</xdr:rowOff>
    </xdr:from>
    <xdr:to>
      <xdr:col>7</xdr:col>
      <xdr:colOff>250411</xdr:colOff>
      <xdr:row>23</xdr:row>
      <xdr:rowOff>47712</xdr:rowOff>
    </xdr:to>
    <xdr:sp macro="" textlink="">
      <xdr:nvSpPr>
        <xdr:cNvPr id="136" name="Line 49"/>
        <xdr:cNvSpPr>
          <a:spLocks noChangeShapeType="1"/>
        </xdr:cNvSpPr>
      </xdr:nvSpPr>
      <xdr:spPr bwMode="auto">
        <a:xfrm>
          <a:off x="4517611" y="971841"/>
          <a:ext cx="0" cy="2581071"/>
        </a:xfrm>
        <a:prstGeom prst="line">
          <a:avLst/>
        </a:prstGeom>
        <a:noFill/>
        <a:ln w="6350">
          <a:solidFill>
            <a:srgbClr val="000000"/>
          </a:solidFill>
          <a:prstDash val="lgDashDot"/>
          <a:round/>
          <a:headEnd/>
          <a:tailEnd/>
        </a:ln>
      </xdr:spPr>
    </xdr:sp>
    <xdr:clientData/>
  </xdr:twoCellAnchor>
  <xdr:twoCellAnchor>
    <xdr:from>
      <xdr:col>5</xdr:col>
      <xdr:colOff>73870</xdr:colOff>
      <xdr:row>18</xdr:row>
      <xdr:rowOff>188243</xdr:rowOff>
    </xdr:from>
    <xdr:to>
      <xdr:col>5</xdr:col>
      <xdr:colOff>73870</xdr:colOff>
      <xdr:row>21</xdr:row>
      <xdr:rowOff>46609</xdr:rowOff>
    </xdr:to>
    <xdr:sp macro="" textlink="">
      <xdr:nvSpPr>
        <xdr:cNvPr id="137" name="Line 51"/>
        <xdr:cNvSpPr>
          <a:spLocks noChangeShapeType="1"/>
        </xdr:cNvSpPr>
      </xdr:nvSpPr>
      <xdr:spPr bwMode="auto">
        <a:xfrm>
          <a:off x="3121870" y="2893343"/>
          <a:ext cx="0" cy="353666"/>
        </a:xfrm>
        <a:prstGeom prst="line">
          <a:avLst/>
        </a:prstGeom>
        <a:noFill/>
        <a:ln w="9525">
          <a:solidFill>
            <a:srgbClr val="000000"/>
          </a:solidFill>
          <a:round/>
          <a:headEnd/>
          <a:tailEnd/>
        </a:ln>
      </xdr:spPr>
    </xdr:sp>
    <xdr:clientData/>
  </xdr:twoCellAnchor>
  <xdr:twoCellAnchor>
    <xdr:from>
      <xdr:col>10</xdr:col>
      <xdr:colOff>80419</xdr:colOff>
      <xdr:row>18</xdr:row>
      <xdr:rowOff>188243</xdr:rowOff>
    </xdr:from>
    <xdr:to>
      <xdr:col>10</xdr:col>
      <xdr:colOff>80419</xdr:colOff>
      <xdr:row>21</xdr:row>
      <xdr:rowOff>46609</xdr:rowOff>
    </xdr:to>
    <xdr:sp macro="" textlink="">
      <xdr:nvSpPr>
        <xdr:cNvPr id="138" name="Line 52"/>
        <xdr:cNvSpPr>
          <a:spLocks noChangeShapeType="1"/>
        </xdr:cNvSpPr>
      </xdr:nvSpPr>
      <xdr:spPr bwMode="auto">
        <a:xfrm>
          <a:off x="6176419" y="2893343"/>
          <a:ext cx="0" cy="353666"/>
        </a:xfrm>
        <a:prstGeom prst="line">
          <a:avLst/>
        </a:prstGeom>
        <a:noFill/>
        <a:ln w="9525">
          <a:solidFill>
            <a:srgbClr val="000000"/>
          </a:solidFill>
          <a:round/>
          <a:headEnd/>
          <a:tailEnd/>
        </a:ln>
      </xdr:spPr>
    </xdr:sp>
    <xdr:clientData/>
  </xdr:twoCellAnchor>
  <xdr:twoCellAnchor>
    <xdr:from>
      <xdr:col>4</xdr:col>
      <xdr:colOff>244359</xdr:colOff>
      <xdr:row>18</xdr:row>
      <xdr:rowOff>73613</xdr:rowOff>
    </xdr:from>
    <xdr:to>
      <xdr:col>4</xdr:col>
      <xdr:colOff>244359</xdr:colOff>
      <xdr:row>21</xdr:row>
      <xdr:rowOff>151688</xdr:rowOff>
    </xdr:to>
    <xdr:sp macro="" textlink="">
      <xdr:nvSpPr>
        <xdr:cNvPr id="139" name="Line 53"/>
        <xdr:cNvSpPr>
          <a:spLocks noChangeShapeType="1"/>
        </xdr:cNvSpPr>
      </xdr:nvSpPr>
      <xdr:spPr bwMode="auto">
        <a:xfrm>
          <a:off x="2682759" y="2816813"/>
          <a:ext cx="0" cy="535275"/>
        </a:xfrm>
        <a:prstGeom prst="line">
          <a:avLst/>
        </a:prstGeom>
        <a:noFill/>
        <a:ln w="9525">
          <a:solidFill>
            <a:srgbClr val="000000"/>
          </a:solidFill>
          <a:round/>
          <a:headEnd/>
          <a:tailEnd/>
        </a:ln>
      </xdr:spPr>
    </xdr:sp>
    <xdr:clientData/>
  </xdr:twoCellAnchor>
  <xdr:twoCellAnchor>
    <xdr:from>
      <xdr:col>10</xdr:col>
      <xdr:colOff>140121</xdr:colOff>
      <xdr:row>17</xdr:row>
      <xdr:rowOff>149482</xdr:rowOff>
    </xdr:from>
    <xdr:to>
      <xdr:col>10</xdr:col>
      <xdr:colOff>140121</xdr:colOff>
      <xdr:row>23</xdr:row>
      <xdr:rowOff>28608</xdr:rowOff>
    </xdr:to>
    <xdr:sp macro="" textlink="">
      <xdr:nvSpPr>
        <xdr:cNvPr id="140" name="Line 54"/>
        <xdr:cNvSpPr>
          <a:spLocks noChangeShapeType="1"/>
        </xdr:cNvSpPr>
      </xdr:nvSpPr>
      <xdr:spPr bwMode="auto">
        <a:xfrm>
          <a:off x="6236121" y="2740282"/>
          <a:ext cx="0" cy="793526"/>
        </a:xfrm>
        <a:prstGeom prst="line">
          <a:avLst/>
        </a:prstGeom>
        <a:noFill/>
        <a:ln w="3175">
          <a:solidFill>
            <a:srgbClr val="000000"/>
          </a:solidFill>
          <a:prstDash val="lgDashDot"/>
          <a:round/>
          <a:headEnd/>
          <a:tailEnd/>
        </a:ln>
      </xdr:spPr>
    </xdr:sp>
    <xdr:clientData/>
  </xdr:twoCellAnchor>
  <xdr:twoCellAnchor>
    <xdr:from>
      <xdr:col>4</xdr:col>
      <xdr:colOff>55305</xdr:colOff>
      <xdr:row>20</xdr:row>
      <xdr:rowOff>17400</xdr:rowOff>
    </xdr:from>
    <xdr:to>
      <xdr:col>12</xdr:col>
      <xdr:colOff>3093</xdr:colOff>
      <xdr:row>20</xdr:row>
      <xdr:rowOff>17400</xdr:rowOff>
    </xdr:to>
    <xdr:sp macro="" textlink="">
      <xdr:nvSpPr>
        <xdr:cNvPr id="141" name="Line 57"/>
        <xdr:cNvSpPr>
          <a:spLocks noChangeShapeType="1"/>
        </xdr:cNvSpPr>
      </xdr:nvSpPr>
      <xdr:spPr bwMode="auto">
        <a:xfrm>
          <a:off x="2493705" y="3065400"/>
          <a:ext cx="4824588" cy="0"/>
        </a:xfrm>
        <a:prstGeom prst="line">
          <a:avLst/>
        </a:prstGeom>
        <a:noFill/>
        <a:ln w="6350">
          <a:solidFill>
            <a:srgbClr val="000000"/>
          </a:solidFill>
          <a:prstDash val="lgDashDot"/>
          <a:round/>
          <a:headEnd/>
          <a:tailEnd/>
        </a:ln>
      </xdr:spPr>
    </xdr:sp>
    <xdr:clientData/>
  </xdr:twoCellAnchor>
  <xdr:twoCellAnchor>
    <xdr:from>
      <xdr:col>5</xdr:col>
      <xdr:colOff>73870</xdr:colOff>
      <xdr:row>21</xdr:row>
      <xdr:rowOff>46609</xdr:rowOff>
    </xdr:from>
    <xdr:to>
      <xdr:col>10</xdr:col>
      <xdr:colOff>80420</xdr:colOff>
      <xdr:row>21</xdr:row>
      <xdr:rowOff>46609</xdr:rowOff>
    </xdr:to>
    <xdr:sp macro="" textlink="">
      <xdr:nvSpPr>
        <xdr:cNvPr id="142" name="Line 59"/>
        <xdr:cNvSpPr>
          <a:spLocks noChangeShapeType="1"/>
        </xdr:cNvSpPr>
      </xdr:nvSpPr>
      <xdr:spPr bwMode="auto">
        <a:xfrm>
          <a:off x="3121870" y="3247009"/>
          <a:ext cx="3054550" cy="0"/>
        </a:xfrm>
        <a:prstGeom prst="line">
          <a:avLst/>
        </a:prstGeom>
        <a:noFill/>
        <a:ln w="9525">
          <a:solidFill>
            <a:srgbClr val="000000"/>
          </a:solidFill>
          <a:round/>
          <a:headEnd/>
          <a:tailEnd/>
        </a:ln>
      </xdr:spPr>
    </xdr:sp>
    <xdr:clientData/>
  </xdr:twoCellAnchor>
  <xdr:twoCellAnchor>
    <xdr:from>
      <xdr:col>5</xdr:col>
      <xdr:colOff>73870</xdr:colOff>
      <xdr:row>18</xdr:row>
      <xdr:rowOff>188243</xdr:rowOff>
    </xdr:from>
    <xdr:to>
      <xdr:col>10</xdr:col>
      <xdr:colOff>80420</xdr:colOff>
      <xdr:row>18</xdr:row>
      <xdr:rowOff>188243</xdr:rowOff>
    </xdr:to>
    <xdr:sp macro="" textlink="">
      <xdr:nvSpPr>
        <xdr:cNvPr id="143" name="Line 60"/>
        <xdr:cNvSpPr>
          <a:spLocks noChangeShapeType="1"/>
        </xdr:cNvSpPr>
      </xdr:nvSpPr>
      <xdr:spPr bwMode="auto">
        <a:xfrm>
          <a:off x="3121870" y="2893343"/>
          <a:ext cx="3054550" cy="0"/>
        </a:xfrm>
        <a:prstGeom prst="line">
          <a:avLst/>
        </a:prstGeom>
        <a:noFill/>
        <a:ln w="9525">
          <a:solidFill>
            <a:srgbClr val="000000"/>
          </a:solidFill>
          <a:round/>
          <a:headEnd/>
          <a:tailEnd/>
        </a:ln>
      </xdr:spPr>
    </xdr:sp>
    <xdr:clientData/>
  </xdr:twoCellAnchor>
  <xdr:twoCellAnchor>
    <xdr:from>
      <xdr:col>4</xdr:col>
      <xdr:colOff>138309</xdr:colOff>
      <xdr:row>21</xdr:row>
      <xdr:rowOff>94372</xdr:rowOff>
    </xdr:from>
    <xdr:to>
      <xdr:col>11</xdr:col>
      <xdr:colOff>162087</xdr:colOff>
      <xdr:row>21</xdr:row>
      <xdr:rowOff>94372</xdr:rowOff>
    </xdr:to>
    <xdr:sp macro="" textlink="">
      <xdr:nvSpPr>
        <xdr:cNvPr id="144" name="Line 61"/>
        <xdr:cNvSpPr>
          <a:spLocks noChangeShapeType="1"/>
        </xdr:cNvSpPr>
      </xdr:nvSpPr>
      <xdr:spPr bwMode="auto">
        <a:xfrm>
          <a:off x="2576709" y="3294772"/>
          <a:ext cx="4290978" cy="0"/>
        </a:xfrm>
        <a:prstGeom prst="line">
          <a:avLst/>
        </a:prstGeom>
        <a:noFill/>
        <a:ln w="3175">
          <a:solidFill>
            <a:srgbClr val="000000"/>
          </a:solidFill>
          <a:prstDash val="lgDashDot"/>
          <a:round/>
          <a:headEnd/>
          <a:tailEnd/>
        </a:ln>
      </xdr:spPr>
    </xdr:sp>
    <xdr:clientData/>
  </xdr:twoCellAnchor>
  <xdr:twoCellAnchor>
    <xdr:from>
      <xdr:col>4</xdr:col>
      <xdr:colOff>244359</xdr:colOff>
      <xdr:row>21</xdr:row>
      <xdr:rowOff>151688</xdr:rowOff>
    </xdr:from>
    <xdr:to>
      <xdr:col>10</xdr:col>
      <xdr:colOff>199822</xdr:colOff>
      <xdr:row>21</xdr:row>
      <xdr:rowOff>151688</xdr:rowOff>
    </xdr:to>
    <xdr:sp macro="" textlink="">
      <xdr:nvSpPr>
        <xdr:cNvPr id="145" name="Line 62"/>
        <xdr:cNvSpPr>
          <a:spLocks noChangeShapeType="1"/>
        </xdr:cNvSpPr>
      </xdr:nvSpPr>
      <xdr:spPr bwMode="auto">
        <a:xfrm>
          <a:off x="2682759" y="3352088"/>
          <a:ext cx="3613063" cy="0"/>
        </a:xfrm>
        <a:prstGeom prst="line">
          <a:avLst/>
        </a:prstGeom>
        <a:noFill/>
        <a:ln w="9525">
          <a:solidFill>
            <a:srgbClr val="000000"/>
          </a:solidFill>
          <a:round/>
          <a:headEnd/>
          <a:tailEnd/>
        </a:ln>
      </xdr:spPr>
    </xdr:sp>
    <xdr:clientData/>
  </xdr:twoCellAnchor>
  <xdr:twoCellAnchor>
    <xdr:from>
      <xdr:col>5</xdr:col>
      <xdr:colOff>14169</xdr:colOff>
      <xdr:row>17</xdr:row>
      <xdr:rowOff>178139</xdr:rowOff>
    </xdr:from>
    <xdr:to>
      <xdr:col>5</xdr:col>
      <xdr:colOff>14169</xdr:colOff>
      <xdr:row>23</xdr:row>
      <xdr:rowOff>28607</xdr:rowOff>
    </xdr:to>
    <xdr:sp macro="" textlink="">
      <xdr:nvSpPr>
        <xdr:cNvPr id="146" name="Line 64"/>
        <xdr:cNvSpPr>
          <a:spLocks noChangeShapeType="1"/>
        </xdr:cNvSpPr>
      </xdr:nvSpPr>
      <xdr:spPr bwMode="auto">
        <a:xfrm>
          <a:off x="3062169" y="2740364"/>
          <a:ext cx="0" cy="793443"/>
        </a:xfrm>
        <a:prstGeom prst="line">
          <a:avLst/>
        </a:prstGeom>
        <a:noFill/>
        <a:ln w="3175">
          <a:solidFill>
            <a:srgbClr val="000000"/>
          </a:solidFill>
          <a:prstDash val="lgDashDot"/>
          <a:round/>
          <a:headEnd/>
          <a:tailEnd/>
        </a:ln>
      </xdr:spPr>
    </xdr:sp>
    <xdr:clientData/>
  </xdr:twoCellAnchor>
  <xdr:twoCellAnchor>
    <xdr:from>
      <xdr:col>4</xdr:col>
      <xdr:colOff>45355</xdr:colOff>
      <xdr:row>18</xdr:row>
      <xdr:rowOff>130928</xdr:rowOff>
    </xdr:from>
    <xdr:to>
      <xdr:col>11</xdr:col>
      <xdr:colOff>138785</xdr:colOff>
      <xdr:row>18</xdr:row>
      <xdr:rowOff>130928</xdr:rowOff>
    </xdr:to>
    <xdr:sp macro="" textlink="">
      <xdr:nvSpPr>
        <xdr:cNvPr id="147" name="Line 65"/>
        <xdr:cNvSpPr>
          <a:spLocks noChangeShapeType="1"/>
        </xdr:cNvSpPr>
      </xdr:nvSpPr>
      <xdr:spPr bwMode="auto">
        <a:xfrm>
          <a:off x="2483755" y="2874128"/>
          <a:ext cx="4360630" cy="0"/>
        </a:xfrm>
        <a:prstGeom prst="line">
          <a:avLst/>
        </a:prstGeom>
        <a:noFill/>
        <a:ln w="3175">
          <a:solidFill>
            <a:srgbClr val="000000"/>
          </a:solidFill>
          <a:prstDash val="lgDashDot"/>
          <a:round/>
          <a:headEnd/>
          <a:tailEnd/>
        </a:ln>
      </xdr:spPr>
    </xdr:sp>
    <xdr:clientData/>
  </xdr:twoCellAnchor>
  <xdr:twoCellAnchor>
    <xdr:from>
      <xdr:col>5</xdr:col>
      <xdr:colOff>4219</xdr:colOff>
      <xdr:row>22</xdr:row>
      <xdr:rowOff>161792</xdr:rowOff>
    </xdr:from>
    <xdr:to>
      <xdr:col>10</xdr:col>
      <xdr:colOff>130171</xdr:colOff>
      <xdr:row>22</xdr:row>
      <xdr:rowOff>161792</xdr:rowOff>
    </xdr:to>
    <xdr:sp macro="" textlink="">
      <xdr:nvSpPr>
        <xdr:cNvPr id="148" name="Line 68"/>
        <xdr:cNvSpPr>
          <a:spLocks noChangeShapeType="1"/>
        </xdr:cNvSpPr>
      </xdr:nvSpPr>
      <xdr:spPr bwMode="auto">
        <a:xfrm>
          <a:off x="3052219" y="3505067"/>
          <a:ext cx="3173952" cy="0"/>
        </a:xfrm>
        <a:prstGeom prst="line">
          <a:avLst/>
        </a:prstGeom>
        <a:noFill/>
        <a:ln w="6350">
          <a:solidFill>
            <a:srgbClr val="000000"/>
          </a:solidFill>
          <a:round/>
          <a:headEnd type="triangle" w="sm" len="med"/>
          <a:tailEnd type="triangle" w="sm" len="med"/>
        </a:ln>
      </xdr:spPr>
    </xdr:sp>
    <xdr:clientData/>
  </xdr:twoCellAnchor>
  <xdr:twoCellAnchor>
    <xdr:from>
      <xdr:col>11</xdr:col>
      <xdr:colOff>79084</xdr:colOff>
      <xdr:row>18</xdr:row>
      <xdr:rowOff>130928</xdr:rowOff>
    </xdr:from>
    <xdr:to>
      <xdr:col>11</xdr:col>
      <xdr:colOff>79084</xdr:colOff>
      <xdr:row>21</xdr:row>
      <xdr:rowOff>94372</xdr:rowOff>
    </xdr:to>
    <xdr:sp macro="" textlink="">
      <xdr:nvSpPr>
        <xdr:cNvPr id="149" name="Line 71"/>
        <xdr:cNvSpPr>
          <a:spLocks noChangeShapeType="1"/>
        </xdr:cNvSpPr>
      </xdr:nvSpPr>
      <xdr:spPr bwMode="auto">
        <a:xfrm>
          <a:off x="6784684" y="2874128"/>
          <a:ext cx="0" cy="420644"/>
        </a:xfrm>
        <a:prstGeom prst="line">
          <a:avLst/>
        </a:prstGeom>
        <a:noFill/>
        <a:ln w="6350">
          <a:solidFill>
            <a:srgbClr val="000000"/>
          </a:solidFill>
          <a:round/>
          <a:headEnd type="triangle" w="sm" len="med"/>
          <a:tailEnd type="triangle" w="sm" len="med"/>
        </a:ln>
      </xdr:spPr>
    </xdr:sp>
    <xdr:clientData/>
  </xdr:twoCellAnchor>
  <xdr:twoCellAnchor>
    <xdr:from>
      <xdr:col>10</xdr:col>
      <xdr:colOff>120220</xdr:colOff>
      <xdr:row>21</xdr:row>
      <xdr:rowOff>75267</xdr:rowOff>
    </xdr:from>
    <xdr:to>
      <xdr:col>10</xdr:col>
      <xdr:colOff>160021</xdr:colOff>
      <xdr:row>21</xdr:row>
      <xdr:rowOff>113477</xdr:rowOff>
    </xdr:to>
    <xdr:sp macro="" textlink="">
      <xdr:nvSpPr>
        <xdr:cNvPr id="150" name="Oval 79"/>
        <xdr:cNvSpPr>
          <a:spLocks noChangeArrowheads="1"/>
        </xdr:cNvSpPr>
      </xdr:nvSpPr>
      <xdr:spPr bwMode="auto">
        <a:xfrm>
          <a:off x="6216220" y="3275667"/>
          <a:ext cx="39801" cy="38210"/>
        </a:xfrm>
        <a:prstGeom prst="ellipse">
          <a:avLst/>
        </a:prstGeom>
        <a:noFill/>
        <a:ln w="9525">
          <a:solidFill>
            <a:srgbClr val="000000"/>
          </a:solidFill>
          <a:round/>
          <a:headEnd/>
          <a:tailEnd/>
        </a:ln>
      </xdr:spPr>
    </xdr:sp>
    <xdr:clientData/>
  </xdr:twoCellAnchor>
  <xdr:twoCellAnchor>
    <xdr:from>
      <xdr:col>4</xdr:col>
      <xdr:colOff>284159</xdr:colOff>
      <xdr:row>21</xdr:row>
      <xdr:rowOff>75267</xdr:rowOff>
    </xdr:from>
    <xdr:to>
      <xdr:col>5</xdr:col>
      <xdr:colOff>34069</xdr:colOff>
      <xdr:row>21</xdr:row>
      <xdr:rowOff>113477</xdr:rowOff>
    </xdr:to>
    <xdr:sp macro="" textlink="">
      <xdr:nvSpPr>
        <xdr:cNvPr id="151" name="Oval 80"/>
        <xdr:cNvSpPr>
          <a:spLocks noChangeArrowheads="1"/>
        </xdr:cNvSpPr>
      </xdr:nvSpPr>
      <xdr:spPr bwMode="auto">
        <a:xfrm>
          <a:off x="2722559" y="3275667"/>
          <a:ext cx="359510" cy="38210"/>
        </a:xfrm>
        <a:prstGeom prst="ellipse">
          <a:avLst/>
        </a:prstGeom>
        <a:noFill/>
        <a:ln w="9525">
          <a:solidFill>
            <a:srgbClr val="000000"/>
          </a:solidFill>
          <a:round/>
          <a:headEnd/>
          <a:tailEnd/>
        </a:ln>
      </xdr:spPr>
    </xdr:sp>
    <xdr:clientData/>
  </xdr:twoCellAnchor>
  <xdr:twoCellAnchor>
    <xdr:from>
      <xdr:col>4</xdr:col>
      <xdr:colOff>244359</xdr:colOff>
      <xdr:row>18</xdr:row>
      <xdr:rowOff>73613</xdr:rowOff>
    </xdr:from>
    <xdr:to>
      <xdr:col>10</xdr:col>
      <xdr:colOff>199822</xdr:colOff>
      <xdr:row>18</xdr:row>
      <xdr:rowOff>73613</xdr:rowOff>
    </xdr:to>
    <xdr:sp macro="" textlink="">
      <xdr:nvSpPr>
        <xdr:cNvPr id="152" name="Line 82"/>
        <xdr:cNvSpPr>
          <a:spLocks noChangeShapeType="1"/>
        </xdr:cNvSpPr>
      </xdr:nvSpPr>
      <xdr:spPr bwMode="auto">
        <a:xfrm>
          <a:off x="2682759" y="2816813"/>
          <a:ext cx="3613063" cy="0"/>
        </a:xfrm>
        <a:prstGeom prst="line">
          <a:avLst/>
        </a:prstGeom>
        <a:noFill/>
        <a:ln w="9525">
          <a:solidFill>
            <a:srgbClr val="000000"/>
          </a:solidFill>
          <a:round/>
          <a:headEnd/>
          <a:tailEnd/>
        </a:ln>
      </xdr:spPr>
    </xdr:sp>
    <xdr:clientData/>
  </xdr:twoCellAnchor>
  <xdr:twoCellAnchor>
    <xdr:from>
      <xdr:col>27</xdr:col>
      <xdr:colOff>106130</xdr:colOff>
      <xdr:row>18</xdr:row>
      <xdr:rowOff>25850</xdr:rowOff>
    </xdr:from>
    <xdr:to>
      <xdr:col>30</xdr:col>
      <xdr:colOff>12570</xdr:colOff>
      <xdr:row>18</xdr:row>
      <xdr:rowOff>25850</xdr:rowOff>
    </xdr:to>
    <xdr:sp macro="" textlink="">
      <xdr:nvSpPr>
        <xdr:cNvPr id="153" name="Line 87"/>
        <xdr:cNvSpPr>
          <a:spLocks noChangeShapeType="1"/>
        </xdr:cNvSpPr>
      </xdr:nvSpPr>
      <xdr:spPr bwMode="auto">
        <a:xfrm>
          <a:off x="16565330" y="2769050"/>
          <a:ext cx="1735240" cy="0"/>
        </a:xfrm>
        <a:prstGeom prst="line">
          <a:avLst/>
        </a:prstGeom>
        <a:noFill/>
        <a:ln w="9525">
          <a:solidFill>
            <a:srgbClr val="000000"/>
          </a:solidFill>
          <a:round/>
          <a:headEnd/>
          <a:tailEnd/>
        </a:ln>
      </xdr:spPr>
    </xdr:sp>
    <xdr:clientData/>
  </xdr:twoCellAnchor>
  <xdr:twoCellAnchor>
    <xdr:from>
      <xdr:col>27</xdr:col>
      <xdr:colOff>106130</xdr:colOff>
      <xdr:row>17</xdr:row>
      <xdr:rowOff>53956</xdr:rowOff>
    </xdr:from>
    <xdr:to>
      <xdr:col>30</xdr:col>
      <xdr:colOff>12570</xdr:colOff>
      <xdr:row>17</xdr:row>
      <xdr:rowOff>53956</xdr:rowOff>
    </xdr:to>
    <xdr:sp macro="" textlink="">
      <xdr:nvSpPr>
        <xdr:cNvPr id="154" name="Line 88"/>
        <xdr:cNvSpPr>
          <a:spLocks noChangeShapeType="1"/>
        </xdr:cNvSpPr>
      </xdr:nvSpPr>
      <xdr:spPr bwMode="auto">
        <a:xfrm>
          <a:off x="16565330" y="2644756"/>
          <a:ext cx="1735240" cy="0"/>
        </a:xfrm>
        <a:prstGeom prst="line">
          <a:avLst/>
        </a:prstGeom>
        <a:noFill/>
        <a:ln w="9525">
          <a:solidFill>
            <a:srgbClr val="000000"/>
          </a:solidFill>
          <a:round/>
          <a:headEnd/>
          <a:tailEnd/>
        </a:ln>
      </xdr:spPr>
    </xdr:sp>
    <xdr:clientData/>
  </xdr:twoCellAnchor>
  <xdr:twoCellAnchor>
    <xdr:from>
      <xdr:col>16</xdr:col>
      <xdr:colOff>24098</xdr:colOff>
      <xdr:row>7</xdr:row>
      <xdr:rowOff>29335</xdr:rowOff>
    </xdr:from>
    <xdr:to>
      <xdr:col>24</xdr:col>
      <xdr:colOff>80288</xdr:colOff>
      <xdr:row>17</xdr:row>
      <xdr:rowOff>53956</xdr:rowOff>
    </xdr:to>
    <xdr:grpSp>
      <xdr:nvGrpSpPr>
        <xdr:cNvPr id="155" name="Group 89"/>
        <xdr:cNvGrpSpPr>
          <a:grpSpLocks/>
        </xdr:cNvGrpSpPr>
      </xdr:nvGrpSpPr>
      <xdr:grpSpPr bwMode="auto">
        <a:xfrm>
          <a:off x="3953161" y="1251710"/>
          <a:ext cx="1342065" cy="1929621"/>
          <a:chOff x="386" y="146"/>
          <a:chExt cx="163" cy="202"/>
        </a:xfrm>
      </xdr:grpSpPr>
      <xdr:sp macro="" textlink="">
        <xdr:nvSpPr>
          <xdr:cNvPr id="156" name="Line 90"/>
          <xdr:cNvSpPr>
            <a:spLocks noChangeShapeType="1"/>
          </xdr:cNvSpPr>
        </xdr:nvSpPr>
        <xdr:spPr bwMode="auto">
          <a:xfrm>
            <a:off x="549" y="146"/>
            <a:ext cx="0" cy="202"/>
          </a:xfrm>
          <a:prstGeom prst="line">
            <a:avLst/>
          </a:prstGeom>
          <a:noFill/>
          <a:ln w="6350">
            <a:solidFill>
              <a:srgbClr val="000000"/>
            </a:solidFill>
            <a:round/>
            <a:headEnd/>
            <a:tailEnd/>
          </a:ln>
        </xdr:spPr>
      </xdr:sp>
      <xdr:sp macro="" textlink="">
        <xdr:nvSpPr>
          <xdr:cNvPr id="157" name="Line 91"/>
          <xdr:cNvSpPr>
            <a:spLocks noChangeShapeType="1"/>
          </xdr:cNvSpPr>
        </xdr:nvSpPr>
        <xdr:spPr bwMode="auto">
          <a:xfrm>
            <a:off x="386" y="146"/>
            <a:ext cx="0" cy="202"/>
          </a:xfrm>
          <a:prstGeom prst="line">
            <a:avLst/>
          </a:prstGeom>
          <a:noFill/>
          <a:ln w="6350">
            <a:solidFill>
              <a:srgbClr val="000000"/>
            </a:solidFill>
            <a:round/>
            <a:headEnd/>
            <a:tailEnd/>
          </a:ln>
        </xdr:spPr>
      </xdr:sp>
      <xdr:sp macro="" textlink="">
        <xdr:nvSpPr>
          <xdr:cNvPr id="158" name="Line 92"/>
          <xdr:cNvSpPr>
            <a:spLocks noChangeShapeType="1"/>
          </xdr:cNvSpPr>
        </xdr:nvSpPr>
        <xdr:spPr bwMode="auto">
          <a:xfrm>
            <a:off x="386" y="348"/>
            <a:ext cx="163" cy="0"/>
          </a:xfrm>
          <a:prstGeom prst="line">
            <a:avLst/>
          </a:prstGeom>
          <a:noFill/>
          <a:ln w="6350">
            <a:solidFill>
              <a:srgbClr val="000000"/>
            </a:solidFill>
            <a:round/>
            <a:headEnd/>
            <a:tailEnd/>
          </a:ln>
        </xdr:spPr>
      </xdr:sp>
      <xdr:sp macro="" textlink="">
        <xdr:nvSpPr>
          <xdr:cNvPr id="159" name="Line 93"/>
          <xdr:cNvSpPr>
            <a:spLocks noChangeShapeType="1"/>
          </xdr:cNvSpPr>
        </xdr:nvSpPr>
        <xdr:spPr bwMode="auto">
          <a:xfrm>
            <a:off x="386" y="146"/>
            <a:ext cx="163" cy="0"/>
          </a:xfrm>
          <a:prstGeom prst="line">
            <a:avLst/>
          </a:prstGeom>
          <a:noFill/>
          <a:ln w="6350">
            <a:solidFill>
              <a:srgbClr val="000000"/>
            </a:solidFill>
            <a:round/>
            <a:headEnd/>
            <a:tailEnd/>
          </a:ln>
        </xdr:spPr>
      </xdr:sp>
    </xdr:grpSp>
    <xdr:clientData/>
  </xdr:twoCellAnchor>
  <xdr:twoCellAnchor>
    <xdr:from>
      <xdr:col>16</xdr:col>
      <xdr:colOff>24098</xdr:colOff>
      <xdr:row>17</xdr:row>
      <xdr:rowOff>53956</xdr:rowOff>
    </xdr:from>
    <xdr:to>
      <xdr:col>24</xdr:col>
      <xdr:colOff>80288</xdr:colOff>
      <xdr:row>18</xdr:row>
      <xdr:rowOff>25850</xdr:rowOff>
    </xdr:to>
    <xdr:grpSp>
      <xdr:nvGrpSpPr>
        <xdr:cNvPr id="160" name="Group 94"/>
        <xdr:cNvGrpSpPr>
          <a:grpSpLocks/>
        </xdr:cNvGrpSpPr>
      </xdr:nvGrpSpPr>
      <xdr:grpSpPr bwMode="auto">
        <a:xfrm>
          <a:off x="3953161" y="3181331"/>
          <a:ext cx="1342065" cy="162394"/>
          <a:chOff x="386" y="146"/>
          <a:chExt cx="163" cy="202"/>
        </a:xfrm>
      </xdr:grpSpPr>
      <xdr:sp macro="" textlink="">
        <xdr:nvSpPr>
          <xdr:cNvPr id="161" name="Line 95"/>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162" name="Line 96"/>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163" name="Line 97"/>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164" name="Line 98"/>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24</xdr:col>
      <xdr:colOff>80288</xdr:colOff>
      <xdr:row>18</xdr:row>
      <xdr:rowOff>54507</xdr:rowOff>
    </xdr:from>
    <xdr:to>
      <xdr:col>24</xdr:col>
      <xdr:colOff>80288</xdr:colOff>
      <xdr:row>19</xdr:row>
      <xdr:rowOff>131479</xdr:rowOff>
    </xdr:to>
    <xdr:sp macro="" textlink="">
      <xdr:nvSpPr>
        <xdr:cNvPr id="165" name="Line 99"/>
        <xdr:cNvSpPr>
          <a:spLocks noChangeShapeType="1"/>
        </xdr:cNvSpPr>
      </xdr:nvSpPr>
      <xdr:spPr bwMode="auto">
        <a:xfrm>
          <a:off x="14710688" y="2797707"/>
          <a:ext cx="0" cy="229372"/>
        </a:xfrm>
        <a:prstGeom prst="line">
          <a:avLst/>
        </a:prstGeom>
        <a:noFill/>
        <a:ln w="3175">
          <a:solidFill>
            <a:srgbClr val="000000"/>
          </a:solidFill>
          <a:round/>
          <a:headEnd/>
          <a:tailEnd/>
        </a:ln>
      </xdr:spPr>
    </xdr:sp>
    <xdr:clientData/>
  </xdr:twoCellAnchor>
  <xdr:twoCellAnchor>
    <xdr:from>
      <xdr:col>16</xdr:col>
      <xdr:colOff>24098</xdr:colOff>
      <xdr:row>18</xdr:row>
      <xdr:rowOff>54507</xdr:rowOff>
    </xdr:from>
    <xdr:to>
      <xdr:col>16</xdr:col>
      <xdr:colOff>24098</xdr:colOff>
      <xdr:row>19</xdr:row>
      <xdr:rowOff>131479</xdr:rowOff>
    </xdr:to>
    <xdr:sp macro="" textlink="">
      <xdr:nvSpPr>
        <xdr:cNvPr id="166" name="Line 100"/>
        <xdr:cNvSpPr>
          <a:spLocks noChangeShapeType="1"/>
        </xdr:cNvSpPr>
      </xdr:nvSpPr>
      <xdr:spPr bwMode="auto">
        <a:xfrm>
          <a:off x="9777698" y="2797707"/>
          <a:ext cx="0" cy="229372"/>
        </a:xfrm>
        <a:prstGeom prst="line">
          <a:avLst/>
        </a:prstGeom>
        <a:noFill/>
        <a:ln w="3175">
          <a:solidFill>
            <a:srgbClr val="000000"/>
          </a:solidFill>
          <a:round/>
          <a:headEnd/>
          <a:tailEnd/>
        </a:ln>
      </xdr:spPr>
    </xdr:sp>
    <xdr:clientData/>
  </xdr:twoCellAnchor>
  <xdr:twoCellAnchor>
    <xdr:from>
      <xdr:col>27</xdr:col>
      <xdr:colOff>106130</xdr:colOff>
      <xdr:row>19</xdr:row>
      <xdr:rowOff>64611</xdr:rowOff>
    </xdr:from>
    <xdr:to>
      <xdr:col>30</xdr:col>
      <xdr:colOff>12570</xdr:colOff>
      <xdr:row>19</xdr:row>
      <xdr:rowOff>64611</xdr:rowOff>
    </xdr:to>
    <xdr:sp macro="" textlink="">
      <xdr:nvSpPr>
        <xdr:cNvPr id="167" name="Line 101"/>
        <xdr:cNvSpPr>
          <a:spLocks noChangeShapeType="1"/>
        </xdr:cNvSpPr>
      </xdr:nvSpPr>
      <xdr:spPr bwMode="auto">
        <a:xfrm>
          <a:off x="16565330" y="2960211"/>
          <a:ext cx="1735240" cy="0"/>
        </a:xfrm>
        <a:prstGeom prst="line">
          <a:avLst/>
        </a:prstGeom>
        <a:noFill/>
        <a:ln w="6350">
          <a:solidFill>
            <a:srgbClr val="000000"/>
          </a:solidFill>
          <a:round/>
          <a:headEnd type="triangle" w="sm" len="med"/>
          <a:tailEnd type="triangle" w="sm" len="med"/>
        </a:ln>
      </xdr:spPr>
    </xdr:sp>
    <xdr:clientData/>
  </xdr:twoCellAnchor>
  <xdr:twoCellAnchor>
    <xdr:from>
      <xdr:col>29</xdr:col>
      <xdr:colOff>183060</xdr:colOff>
      <xdr:row>17</xdr:row>
      <xdr:rowOff>53956</xdr:rowOff>
    </xdr:from>
    <xdr:to>
      <xdr:col>29</xdr:col>
      <xdr:colOff>183060</xdr:colOff>
      <xdr:row>18</xdr:row>
      <xdr:rowOff>25850</xdr:rowOff>
    </xdr:to>
    <xdr:sp macro="" textlink="">
      <xdr:nvSpPr>
        <xdr:cNvPr id="168" name="Line 104"/>
        <xdr:cNvSpPr>
          <a:spLocks noChangeShapeType="1"/>
        </xdr:cNvSpPr>
      </xdr:nvSpPr>
      <xdr:spPr bwMode="auto">
        <a:xfrm>
          <a:off x="17861460" y="2644756"/>
          <a:ext cx="0" cy="124294"/>
        </a:xfrm>
        <a:prstGeom prst="line">
          <a:avLst/>
        </a:prstGeom>
        <a:noFill/>
        <a:ln w="12700">
          <a:solidFill>
            <a:srgbClr val="000000"/>
          </a:solidFill>
          <a:round/>
          <a:headEnd/>
          <a:tailEnd/>
        </a:ln>
      </xdr:spPr>
    </xdr:sp>
    <xdr:clientData/>
  </xdr:twoCellAnchor>
  <xdr:twoCellAnchor>
    <xdr:from>
      <xdr:col>27</xdr:col>
      <xdr:colOff>225532</xdr:colOff>
      <xdr:row>17</xdr:row>
      <xdr:rowOff>53956</xdr:rowOff>
    </xdr:from>
    <xdr:to>
      <xdr:col>27</xdr:col>
      <xdr:colOff>225532</xdr:colOff>
      <xdr:row>18</xdr:row>
      <xdr:rowOff>25850</xdr:rowOff>
    </xdr:to>
    <xdr:sp macro="" textlink="">
      <xdr:nvSpPr>
        <xdr:cNvPr id="169" name="Line 105"/>
        <xdr:cNvSpPr>
          <a:spLocks noChangeShapeType="1"/>
        </xdr:cNvSpPr>
      </xdr:nvSpPr>
      <xdr:spPr bwMode="auto">
        <a:xfrm>
          <a:off x="16684732" y="2644756"/>
          <a:ext cx="0" cy="124294"/>
        </a:xfrm>
        <a:prstGeom prst="line">
          <a:avLst/>
        </a:prstGeom>
        <a:noFill/>
        <a:ln w="12700">
          <a:solidFill>
            <a:srgbClr val="000000"/>
          </a:solidFill>
          <a:round/>
          <a:headEnd/>
          <a:tailEnd/>
        </a:ln>
      </xdr:spPr>
    </xdr:sp>
    <xdr:clientData/>
  </xdr:twoCellAnchor>
  <xdr:twoCellAnchor>
    <xdr:from>
      <xdr:col>27</xdr:col>
      <xdr:colOff>165831</xdr:colOff>
      <xdr:row>17</xdr:row>
      <xdr:rowOff>159034</xdr:rowOff>
    </xdr:from>
    <xdr:to>
      <xdr:col>27</xdr:col>
      <xdr:colOff>165831</xdr:colOff>
      <xdr:row>18</xdr:row>
      <xdr:rowOff>140480</xdr:rowOff>
    </xdr:to>
    <xdr:sp macro="" textlink="">
      <xdr:nvSpPr>
        <xdr:cNvPr id="170" name="Line 106"/>
        <xdr:cNvSpPr>
          <a:spLocks noChangeShapeType="1"/>
        </xdr:cNvSpPr>
      </xdr:nvSpPr>
      <xdr:spPr bwMode="auto">
        <a:xfrm>
          <a:off x="16625031" y="2740309"/>
          <a:ext cx="0" cy="143371"/>
        </a:xfrm>
        <a:prstGeom prst="line">
          <a:avLst/>
        </a:prstGeom>
        <a:noFill/>
        <a:ln w="19050">
          <a:solidFill>
            <a:srgbClr val="000000"/>
          </a:solidFill>
          <a:round/>
          <a:headEnd/>
          <a:tailEnd/>
        </a:ln>
      </xdr:spPr>
    </xdr:sp>
    <xdr:clientData/>
  </xdr:twoCellAnchor>
  <xdr:twoCellAnchor>
    <xdr:from>
      <xdr:col>16</xdr:col>
      <xdr:colOff>93750</xdr:colOff>
      <xdr:row>17</xdr:row>
      <xdr:rowOff>159034</xdr:rowOff>
    </xdr:from>
    <xdr:to>
      <xdr:col>16</xdr:col>
      <xdr:colOff>93750</xdr:colOff>
      <xdr:row>18</xdr:row>
      <xdr:rowOff>140480</xdr:rowOff>
    </xdr:to>
    <xdr:sp macro="" textlink="">
      <xdr:nvSpPr>
        <xdr:cNvPr id="171" name="Line 108"/>
        <xdr:cNvSpPr>
          <a:spLocks noChangeShapeType="1"/>
        </xdr:cNvSpPr>
      </xdr:nvSpPr>
      <xdr:spPr bwMode="auto">
        <a:xfrm>
          <a:off x="9847350" y="2740309"/>
          <a:ext cx="0" cy="143371"/>
        </a:xfrm>
        <a:prstGeom prst="line">
          <a:avLst/>
        </a:prstGeom>
        <a:noFill/>
        <a:ln w="19050">
          <a:solidFill>
            <a:srgbClr val="000000"/>
          </a:solidFill>
          <a:round/>
          <a:headEnd/>
          <a:tailEnd/>
        </a:ln>
      </xdr:spPr>
    </xdr:sp>
    <xdr:clientData/>
  </xdr:twoCellAnchor>
  <xdr:twoCellAnchor>
    <xdr:from>
      <xdr:col>21</xdr:col>
      <xdr:colOff>17022</xdr:colOff>
      <xdr:row>17</xdr:row>
      <xdr:rowOff>159034</xdr:rowOff>
    </xdr:from>
    <xdr:to>
      <xdr:col>21</xdr:col>
      <xdr:colOff>17022</xdr:colOff>
      <xdr:row>18</xdr:row>
      <xdr:rowOff>140480</xdr:rowOff>
    </xdr:to>
    <xdr:sp macro="" textlink="">
      <xdr:nvSpPr>
        <xdr:cNvPr id="172" name="Line 109"/>
        <xdr:cNvSpPr>
          <a:spLocks noChangeShapeType="1"/>
        </xdr:cNvSpPr>
      </xdr:nvSpPr>
      <xdr:spPr bwMode="auto">
        <a:xfrm>
          <a:off x="12818622" y="2740309"/>
          <a:ext cx="0" cy="143371"/>
        </a:xfrm>
        <a:prstGeom prst="line">
          <a:avLst/>
        </a:prstGeom>
        <a:noFill/>
        <a:ln w="19050">
          <a:solidFill>
            <a:srgbClr val="000000"/>
          </a:solidFill>
          <a:round/>
          <a:headEnd/>
          <a:tailEnd/>
        </a:ln>
      </xdr:spPr>
    </xdr:sp>
    <xdr:clientData/>
  </xdr:twoCellAnchor>
  <xdr:twoCellAnchor>
    <xdr:from>
      <xdr:col>29</xdr:col>
      <xdr:colOff>242761</xdr:colOff>
      <xdr:row>17</xdr:row>
      <xdr:rowOff>159034</xdr:rowOff>
    </xdr:from>
    <xdr:to>
      <xdr:col>29</xdr:col>
      <xdr:colOff>242761</xdr:colOff>
      <xdr:row>18</xdr:row>
      <xdr:rowOff>140480</xdr:rowOff>
    </xdr:to>
    <xdr:sp macro="" textlink="">
      <xdr:nvSpPr>
        <xdr:cNvPr id="173" name="Line 110"/>
        <xdr:cNvSpPr>
          <a:spLocks noChangeShapeType="1"/>
        </xdr:cNvSpPr>
      </xdr:nvSpPr>
      <xdr:spPr bwMode="auto">
        <a:xfrm>
          <a:off x="17921161" y="2740309"/>
          <a:ext cx="0" cy="143371"/>
        </a:xfrm>
        <a:prstGeom prst="line">
          <a:avLst/>
        </a:prstGeom>
        <a:noFill/>
        <a:ln w="19050">
          <a:solidFill>
            <a:srgbClr val="000000"/>
          </a:solidFill>
          <a:round/>
          <a:headEnd/>
          <a:tailEnd/>
        </a:ln>
      </xdr:spPr>
    </xdr:sp>
    <xdr:clientData/>
  </xdr:twoCellAnchor>
  <xdr:twoCellAnchor>
    <xdr:from>
      <xdr:col>24</xdr:col>
      <xdr:colOff>10637</xdr:colOff>
      <xdr:row>17</xdr:row>
      <xdr:rowOff>159034</xdr:rowOff>
    </xdr:from>
    <xdr:to>
      <xdr:col>24</xdr:col>
      <xdr:colOff>10637</xdr:colOff>
      <xdr:row>18</xdr:row>
      <xdr:rowOff>140480</xdr:rowOff>
    </xdr:to>
    <xdr:sp macro="" textlink="">
      <xdr:nvSpPr>
        <xdr:cNvPr id="174" name="Line 111"/>
        <xdr:cNvSpPr>
          <a:spLocks noChangeShapeType="1"/>
        </xdr:cNvSpPr>
      </xdr:nvSpPr>
      <xdr:spPr bwMode="auto">
        <a:xfrm>
          <a:off x="14641037" y="2740309"/>
          <a:ext cx="0" cy="143371"/>
        </a:xfrm>
        <a:prstGeom prst="line">
          <a:avLst/>
        </a:prstGeom>
        <a:noFill/>
        <a:ln w="19050">
          <a:solidFill>
            <a:srgbClr val="000000"/>
          </a:solidFill>
          <a:round/>
          <a:headEnd/>
          <a:tailEnd/>
        </a:ln>
      </xdr:spPr>
    </xdr:sp>
    <xdr:clientData/>
  </xdr:twoCellAnchor>
  <xdr:twoCellAnchor>
    <xdr:from>
      <xdr:col>30</xdr:col>
      <xdr:colOff>12570</xdr:colOff>
      <xdr:row>18</xdr:row>
      <xdr:rowOff>54507</xdr:rowOff>
    </xdr:from>
    <xdr:to>
      <xdr:col>30</xdr:col>
      <xdr:colOff>12570</xdr:colOff>
      <xdr:row>19</xdr:row>
      <xdr:rowOff>131479</xdr:rowOff>
    </xdr:to>
    <xdr:sp macro="" textlink="">
      <xdr:nvSpPr>
        <xdr:cNvPr id="175" name="Line 114"/>
        <xdr:cNvSpPr>
          <a:spLocks noChangeShapeType="1"/>
        </xdr:cNvSpPr>
      </xdr:nvSpPr>
      <xdr:spPr bwMode="auto">
        <a:xfrm>
          <a:off x="18300570" y="2797707"/>
          <a:ext cx="0" cy="229372"/>
        </a:xfrm>
        <a:prstGeom prst="line">
          <a:avLst/>
        </a:prstGeom>
        <a:noFill/>
        <a:ln w="3175">
          <a:solidFill>
            <a:srgbClr val="000000"/>
          </a:solidFill>
          <a:round/>
          <a:headEnd/>
          <a:tailEnd/>
        </a:ln>
      </xdr:spPr>
    </xdr:sp>
    <xdr:clientData/>
  </xdr:twoCellAnchor>
  <xdr:twoCellAnchor>
    <xdr:from>
      <xdr:col>27</xdr:col>
      <xdr:colOff>106130</xdr:colOff>
      <xdr:row>18</xdr:row>
      <xdr:rowOff>54507</xdr:rowOff>
    </xdr:from>
    <xdr:to>
      <xdr:col>27</xdr:col>
      <xdr:colOff>106130</xdr:colOff>
      <xdr:row>19</xdr:row>
      <xdr:rowOff>131479</xdr:rowOff>
    </xdr:to>
    <xdr:sp macro="" textlink="">
      <xdr:nvSpPr>
        <xdr:cNvPr id="176" name="Line 115"/>
        <xdr:cNvSpPr>
          <a:spLocks noChangeShapeType="1"/>
        </xdr:cNvSpPr>
      </xdr:nvSpPr>
      <xdr:spPr bwMode="auto">
        <a:xfrm>
          <a:off x="16565330" y="2797707"/>
          <a:ext cx="0" cy="229372"/>
        </a:xfrm>
        <a:prstGeom prst="line">
          <a:avLst/>
        </a:prstGeom>
        <a:noFill/>
        <a:ln w="3175">
          <a:solidFill>
            <a:srgbClr val="000000"/>
          </a:solidFill>
          <a:round/>
          <a:headEnd/>
          <a:tailEnd/>
        </a:ln>
      </xdr:spPr>
    </xdr:sp>
    <xdr:clientData/>
  </xdr:twoCellAnchor>
  <xdr:twoCellAnchor>
    <xdr:from>
      <xdr:col>16</xdr:col>
      <xdr:colOff>24098</xdr:colOff>
      <xdr:row>19</xdr:row>
      <xdr:rowOff>64611</xdr:rowOff>
    </xdr:from>
    <xdr:to>
      <xdr:col>24</xdr:col>
      <xdr:colOff>80288</xdr:colOff>
      <xdr:row>19</xdr:row>
      <xdr:rowOff>64611</xdr:rowOff>
    </xdr:to>
    <xdr:sp macro="" textlink="">
      <xdr:nvSpPr>
        <xdr:cNvPr id="177" name="Line 116"/>
        <xdr:cNvSpPr>
          <a:spLocks noChangeShapeType="1"/>
        </xdr:cNvSpPr>
      </xdr:nvSpPr>
      <xdr:spPr bwMode="auto">
        <a:xfrm>
          <a:off x="9777698" y="2960211"/>
          <a:ext cx="4932990" cy="0"/>
        </a:xfrm>
        <a:prstGeom prst="line">
          <a:avLst/>
        </a:prstGeom>
        <a:noFill/>
        <a:ln w="6350">
          <a:solidFill>
            <a:srgbClr val="000000"/>
          </a:solidFill>
          <a:round/>
          <a:headEnd type="triangle" w="sm" len="med"/>
          <a:tailEnd type="triangle" w="sm" len="med"/>
        </a:ln>
      </xdr:spPr>
    </xdr:sp>
    <xdr:clientData/>
  </xdr:twoCellAnchor>
  <xdr:twoCellAnchor>
    <xdr:from>
      <xdr:col>24</xdr:col>
      <xdr:colOff>120089</xdr:colOff>
      <xdr:row>7</xdr:row>
      <xdr:rowOff>29335</xdr:rowOff>
    </xdr:from>
    <xdr:to>
      <xdr:col>25</xdr:col>
      <xdr:colOff>277956</xdr:colOff>
      <xdr:row>7</xdr:row>
      <xdr:rowOff>29335</xdr:rowOff>
    </xdr:to>
    <xdr:sp macro="" textlink="">
      <xdr:nvSpPr>
        <xdr:cNvPr id="178" name="Line 118"/>
        <xdr:cNvSpPr>
          <a:spLocks noChangeShapeType="1"/>
        </xdr:cNvSpPr>
      </xdr:nvSpPr>
      <xdr:spPr bwMode="auto">
        <a:xfrm>
          <a:off x="14750489" y="1096135"/>
          <a:ext cx="767467" cy="0"/>
        </a:xfrm>
        <a:prstGeom prst="line">
          <a:avLst/>
        </a:prstGeom>
        <a:noFill/>
        <a:ln w="3175">
          <a:solidFill>
            <a:srgbClr val="000000"/>
          </a:solidFill>
          <a:round/>
          <a:headEnd/>
          <a:tailEnd/>
        </a:ln>
      </xdr:spPr>
    </xdr:sp>
    <xdr:clientData/>
  </xdr:twoCellAnchor>
  <xdr:twoCellAnchor>
    <xdr:from>
      <xdr:col>24</xdr:col>
      <xdr:colOff>120089</xdr:colOff>
      <xdr:row>18</xdr:row>
      <xdr:rowOff>25850</xdr:rowOff>
    </xdr:from>
    <xdr:to>
      <xdr:col>25</xdr:col>
      <xdr:colOff>277956</xdr:colOff>
      <xdr:row>18</xdr:row>
      <xdr:rowOff>25850</xdr:rowOff>
    </xdr:to>
    <xdr:sp macro="" textlink="">
      <xdr:nvSpPr>
        <xdr:cNvPr id="179" name="Line 119"/>
        <xdr:cNvSpPr>
          <a:spLocks noChangeShapeType="1"/>
        </xdr:cNvSpPr>
      </xdr:nvSpPr>
      <xdr:spPr bwMode="auto">
        <a:xfrm>
          <a:off x="14750489" y="2769050"/>
          <a:ext cx="767467" cy="0"/>
        </a:xfrm>
        <a:prstGeom prst="line">
          <a:avLst/>
        </a:prstGeom>
        <a:noFill/>
        <a:ln w="3175">
          <a:solidFill>
            <a:srgbClr val="000000"/>
          </a:solidFill>
          <a:round/>
          <a:headEnd/>
          <a:tailEnd/>
        </a:ln>
      </xdr:spPr>
    </xdr:sp>
    <xdr:clientData/>
  </xdr:twoCellAnchor>
  <xdr:twoCellAnchor>
    <xdr:from>
      <xdr:col>25</xdr:col>
      <xdr:colOff>178454</xdr:colOff>
      <xdr:row>7</xdr:row>
      <xdr:rowOff>29335</xdr:rowOff>
    </xdr:from>
    <xdr:to>
      <xdr:col>25</xdr:col>
      <xdr:colOff>178454</xdr:colOff>
      <xdr:row>18</xdr:row>
      <xdr:rowOff>25849</xdr:rowOff>
    </xdr:to>
    <xdr:sp macro="" textlink="">
      <xdr:nvSpPr>
        <xdr:cNvPr id="180" name="Line 120"/>
        <xdr:cNvSpPr>
          <a:spLocks noChangeShapeType="1"/>
        </xdr:cNvSpPr>
      </xdr:nvSpPr>
      <xdr:spPr bwMode="auto">
        <a:xfrm>
          <a:off x="15418454" y="1096135"/>
          <a:ext cx="0" cy="1672914"/>
        </a:xfrm>
        <a:prstGeom prst="line">
          <a:avLst/>
        </a:prstGeom>
        <a:noFill/>
        <a:ln w="3175">
          <a:solidFill>
            <a:srgbClr val="000000"/>
          </a:solidFill>
          <a:round/>
          <a:headEnd type="triangle" w="sm" len="med"/>
          <a:tailEnd type="triangle" w="sm" len="med"/>
        </a:ln>
      </xdr:spPr>
    </xdr:sp>
    <xdr:clientData/>
  </xdr:twoCellAnchor>
  <xdr:twoCellAnchor>
    <xdr:from>
      <xdr:col>25</xdr:col>
      <xdr:colOff>218255</xdr:colOff>
      <xdr:row>19</xdr:row>
      <xdr:rowOff>188795</xdr:rowOff>
    </xdr:from>
    <xdr:to>
      <xdr:col>27</xdr:col>
      <xdr:colOff>275283</xdr:colOff>
      <xdr:row>20</xdr:row>
      <xdr:rowOff>160689</xdr:rowOff>
    </xdr:to>
    <xdr:sp macro="" textlink="">
      <xdr:nvSpPr>
        <xdr:cNvPr id="181" name="Text Box 121"/>
        <xdr:cNvSpPr txBox="1">
          <a:spLocks noChangeArrowheads="1"/>
        </xdr:cNvSpPr>
      </xdr:nvSpPr>
      <xdr:spPr bwMode="auto">
        <a:xfrm>
          <a:off x="15458255" y="3046295"/>
          <a:ext cx="1276228" cy="152869"/>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900" b="0" i="0" strike="noStrike">
              <a:solidFill>
                <a:srgbClr val="000000"/>
              </a:solidFill>
              <a:latin typeface="ＭＳ Ｐ明朝"/>
              <a:ea typeface="ＭＳ Ｐ明朝"/>
            </a:rPr>
            <a:t>アンカボルト</a:t>
          </a:r>
        </a:p>
      </xdr:txBody>
    </xdr:sp>
    <xdr:clientData/>
  </xdr:twoCellAnchor>
  <xdr:twoCellAnchor>
    <xdr:from>
      <xdr:col>24</xdr:col>
      <xdr:colOff>80288</xdr:colOff>
      <xdr:row>20</xdr:row>
      <xdr:rowOff>170241</xdr:rowOff>
    </xdr:from>
    <xdr:to>
      <xdr:col>24</xdr:col>
      <xdr:colOff>80288</xdr:colOff>
      <xdr:row>24</xdr:row>
      <xdr:rowOff>153342</xdr:rowOff>
    </xdr:to>
    <xdr:sp macro="" textlink="">
      <xdr:nvSpPr>
        <xdr:cNvPr id="182" name="Line 123"/>
        <xdr:cNvSpPr>
          <a:spLocks noChangeShapeType="1"/>
        </xdr:cNvSpPr>
      </xdr:nvSpPr>
      <xdr:spPr bwMode="auto">
        <a:xfrm>
          <a:off x="14710688" y="3199191"/>
          <a:ext cx="0" cy="611751"/>
        </a:xfrm>
        <a:prstGeom prst="line">
          <a:avLst/>
        </a:prstGeom>
        <a:noFill/>
        <a:ln w="9525">
          <a:solidFill>
            <a:srgbClr val="000000"/>
          </a:solidFill>
          <a:round/>
          <a:headEnd/>
          <a:tailEnd/>
        </a:ln>
      </xdr:spPr>
    </xdr:sp>
    <xdr:clientData/>
  </xdr:twoCellAnchor>
  <xdr:twoCellAnchor>
    <xdr:from>
      <xdr:col>21</xdr:col>
      <xdr:colOff>21591</xdr:colOff>
      <xdr:row>6</xdr:row>
      <xdr:rowOff>57441</xdr:rowOff>
    </xdr:from>
    <xdr:to>
      <xdr:col>21</xdr:col>
      <xdr:colOff>21591</xdr:colOff>
      <xdr:row>26</xdr:row>
      <xdr:rowOff>97130</xdr:rowOff>
    </xdr:to>
    <xdr:sp macro="" textlink="">
      <xdr:nvSpPr>
        <xdr:cNvPr id="183" name="Line 124"/>
        <xdr:cNvSpPr>
          <a:spLocks noChangeShapeType="1"/>
        </xdr:cNvSpPr>
      </xdr:nvSpPr>
      <xdr:spPr bwMode="auto">
        <a:xfrm>
          <a:off x="12823191" y="971841"/>
          <a:ext cx="0" cy="3087689"/>
        </a:xfrm>
        <a:prstGeom prst="line">
          <a:avLst/>
        </a:prstGeom>
        <a:noFill/>
        <a:ln w="6350">
          <a:solidFill>
            <a:srgbClr val="000000"/>
          </a:solidFill>
          <a:prstDash val="lgDashDot"/>
          <a:round/>
          <a:headEnd/>
          <a:tailEnd/>
        </a:ln>
      </xdr:spPr>
    </xdr:sp>
    <xdr:clientData/>
  </xdr:twoCellAnchor>
  <xdr:twoCellAnchor>
    <xdr:from>
      <xdr:col>17</xdr:col>
      <xdr:colOff>29212</xdr:colOff>
      <xdr:row>21</xdr:row>
      <xdr:rowOff>113477</xdr:rowOff>
    </xdr:from>
    <xdr:to>
      <xdr:col>17</xdr:col>
      <xdr:colOff>29212</xdr:colOff>
      <xdr:row>24</xdr:row>
      <xdr:rowOff>29158</xdr:rowOff>
    </xdr:to>
    <xdr:sp macro="" textlink="">
      <xdr:nvSpPr>
        <xdr:cNvPr id="184" name="Line 125"/>
        <xdr:cNvSpPr>
          <a:spLocks noChangeShapeType="1"/>
        </xdr:cNvSpPr>
      </xdr:nvSpPr>
      <xdr:spPr bwMode="auto">
        <a:xfrm>
          <a:off x="10392412" y="3313877"/>
          <a:ext cx="0" cy="372881"/>
        </a:xfrm>
        <a:prstGeom prst="line">
          <a:avLst/>
        </a:prstGeom>
        <a:noFill/>
        <a:ln w="9525">
          <a:solidFill>
            <a:srgbClr val="000000"/>
          </a:solidFill>
          <a:round/>
          <a:headEnd/>
          <a:tailEnd/>
        </a:ln>
      </xdr:spPr>
    </xdr:sp>
    <xdr:clientData/>
  </xdr:twoCellAnchor>
  <xdr:twoCellAnchor>
    <xdr:from>
      <xdr:col>23</xdr:col>
      <xdr:colOff>220927</xdr:colOff>
      <xdr:row>21</xdr:row>
      <xdr:rowOff>113477</xdr:rowOff>
    </xdr:from>
    <xdr:to>
      <xdr:col>23</xdr:col>
      <xdr:colOff>220927</xdr:colOff>
      <xdr:row>24</xdr:row>
      <xdr:rowOff>38711</xdr:rowOff>
    </xdr:to>
    <xdr:sp macro="" textlink="">
      <xdr:nvSpPr>
        <xdr:cNvPr id="185" name="Line 126"/>
        <xdr:cNvSpPr>
          <a:spLocks noChangeShapeType="1"/>
        </xdr:cNvSpPr>
      </xdr:nvSpPr>
      <xdr:spPr bwMode="auto">
        <a:xfrm>
          <a:off x="14241727" y="3313877"/>
          <a:ext cx="0" cy="382434"/>
        </a:xfrm>
        <a:prstGeom prst="line">
          <a:avLst/>
        </a:prstGeom>
        <a:noFill/>
        <a:ln w="9525">
          <a:solidFill>
            <a:srgbClr val="000000"/>
          </a:solidFill>
          <a:round/>
          <a:headEnd/>
          <a:tailEnd/>
        </a:ln>
      </xdr:spPr>
    </xdr:sp>
    <xdr:clientData/>
  </xdr:twoCellAnchor>
  <xdr:twoCellAnchor>
    <xdr:from>
      <xdr:col>16</xdr:col>
      <xdr:colOff>14148</xdr:colOff>
      <xdr:row>20</xdr:row>
      <xdr:rowOff>170241</xdr:rowOff>
    </xdr:from>
    <xdr:to>
      <xdr:col>16</xdr:col>
      <xdr:colOff>14148</xdr:colOff>
      <xdr:row>24</xdr:row>
      <xdr:rowOff>153342</xdr:rowOff>
    </xdr:to>
    <xdr:sp macro="" textlink="">
      <xdr:nvSpPr>
        <xdr:cNvPr id="186" name="Line 127"/>
        <xdr:cNvSpPr>
          <a:spLocks noChangeShapeType="1"/>
        </xdr:cNvSpPr>
      </xdr:nvSpPr>
      <xdr:spPr bwMode="auto">
        <a:xfrm>
          <a:off x="9767748" y="3199191"/>
          <a:ext cx="0" cy="611751"/>
        </a:xfrm>
        <a:prstGeom prst="line">
          <a:avLst/>
        </a:prstGeom>
        <a:noFill/>
        <a:ln w="9525">
          <a:solidFill>
            <a:srgbClr val="000000"/>
          </a:solidFill>
          <a:round/>
          <a:headEnd/>
          <a:tailEnd/>
        </a:ln>
      </xdr:spPr>
    </xdr:sp>
    <xdr:clientData/>
  </xdr:twoCellAnchor>
  <xdr:twoCellAnchor>
    <xdr:from>
      <xdr:col>24</xdr:col>
      <xdr:colOff>687</xdr:colOff>
      <xdr:row>20</xdr:row>
      <xdr:rowOff>55610</xdr:rowOff>
    </xdr:from>
    <xdr:to>
      <xdr:col>24</xdr:col>
      <xdr:colOff>687</xdr:colOff>
      <xdr:row>26</xdr:row>
      <xdr:rowOff>78024</xdr:rowOff>
    </xdr:to>
    <xdr:sp macro="" textlink="">
      <xdr:nvSpPr>
        <xdr:cNvPr id="187" name="Line 128"/>
        <xdr:cNvSpPr>
          <a:spLocks noChangeShapeType="1"/>
        </xdr:cNvSpPr>
      </xdr:nvSpPr>
      <xdr:spPr bwMode="auto">
        <a:xfrm>
          <a:off x="14631087" y="3103610"/>
          <a:ext cx="0" cy="936814"/>
        </a:xfrm>
        <a:prstGeom prst="line">
          <a:avLst/>
        </a:prstGeom>
        <a:noFill/>
        <a:ln w="3175">
          <a:solidFill>
            <a:srgbClr val="000000"/>
          </a:solidFill>
          <a:prstDash val="lgDashDot"/>
          <a:round/>
          <a:headEnd/>
          <a:tailEnd/>
        </a:ln>
      </xdr:spPr>
    </xdr:sp>
    <xdr:clientData/>
  </xdr:twoCellAnchor>
  <xdr:twoCellAnchor>
    <xdr:from>
      <xdr:col>14</xdr:col>
      <xdr:colOff>267408</xdr:colOff>
      <xdr:row>22</xdr:row>
      <xdr:rowOff>161792</xdr:rowOff>
    </xdr:from>
    <xdr:to>
      <xdr:col>25</xdr:col>
      <xdr:colOff>208304</xdr:colOff>
      <xdr:row>22</xdr:row>
      <xdr:rowOff>161792</xdr:rowOff>
    </xdr:to>
    <xdr:sp macro="" textlink="">
      <xdr:nvSpPr>
        <xdr:cNvPr id="188" name="Line 129"/>
        <xdr:cNvSpPr>
          <a:spLocks noChangeShapeType="1"/>
        </xdr:cNvSpPr>
      </xdr:nvSpPr>
      <xdr:spPr bwMode="auto">
        <a:xfrm>
          <a:off x="8801808" y="3505067"/>
          <a:ext cx="6646496" cy="0"/>
        </a:xfrm>
        <a:prstGeom prst="line">
          <a:avLst/>
        </a:prstGeom>
        <a:noFill/>
        <a:ln w="6350">
          <a:solidFill>
            <a:srgbClr val="000000"/>
          </a:solidFill>
          <a:prstDash val="lgDashDot"/>
          <a:round/>
          <a:headEnd/>
          <a:tailEnd/>
        </a:ln>
      </xdr:spPr>
    </xdr:sp>
    <xdr:clientData/>
  </xdr:twoCellAnchor>
  <xdr:twoCellAnchor>
    <xdr:from>
      <xdr:col>17</xdr:col>
      <xdr:colOff>29212</xdr:colOff>
      <xdr:row>24</xdr:row>
      <xdr:rowOff>38711</xdr:rowOff>
    </xdr:from>
    <xdr:to>
      <xdr:col>23</xdr:col>
      <xdr:colOff>220928</xdr:colOff>
      <xdr:row>24</xdr:row>
      <xdr:rowOff>38711</xdr:rowOff>
    </xdr:to>
    <xdr:sp macro="" textlink="">
      <xdr:nvSpPr>
        <xdr:cNvPr id="189" name="Line 130"/>
        <xdr:cNvSpPr>
          <a:spLocks noChangeShapeType="1"/>
        </xdr:cNvSpPr>
      </xdr:nvSpPr>
      <xdr:spPr bwMode="auto">
        <a:xfrm>
          <a:off x="10392412" y="3696311"/>
          <a:ext cx="3849316" cy="0"/>
        </a:xfrm>
        <a:prstGeom prst="line">
          <a:avLst/>
        </a:prstGeom>
        <a:noFill/>
        <a:ln w="9525">
          <a:solidFill>
            <a:srgbClr val="000000"/>
          </a:solidFill>
          <a:round/>
          <a:headEnd/>
          <a:tailEnd/>
        </a:ln>
      </xdr:spPr>
    </xdr:sp>
    <xdr:clientData/>
  </xdr:twoCellAnchor>
  <xdr:twoCellAnchor>
    <xdr:from>
      <xdr:col>17</xdr:col>
      <xdr:colOff>29212</xdr:colOff>
      <xdr:row>21</xdr:row>
      <xdr:rowOff>113477</xdr:rowOff>
    </xdr:from>
    <xdr:to>
      <xdr:col>23</xdr:col>
      <xdr:colOff>220928</xdr:colOff>
      <xdr:row>21</xdr:row>
      <xdr:rowOff>113477</xdr:rowOff>
    </xdr:to>
    <xdr:sp macro="" textlink="">
      <xdr:nvSpPr>
        <xdr:cNvPr id="190" name="Line 131"/>
        <xdr:cNvSpPr>
          <a:spLocks noChangeShapeType="1"/>
        </xdr:cNvSpPr>
      </xdr:nvSpPr>
      <xdr:spPr bwMode="auto">
        <a:xfrm>
          <a:off x="10392412" y="3313877"/>
          <a:ext cx="3849316" cy="0"/>
        </a:xfrm>
        <a:prstGeom prst="line">
          <a:avLst/>
        </a:prstGeom>
        <a:noFill/>
        <a:ln w="9525">
          <a:solidFill>
            <a:srgbClr val="000000"/>
          </a:solidFill>
          <a:round/>
          <a:headEnd/>
          <a:tailEnd/>
        </a:ln>
      </xdr:spPr>
    </xdr:sp>
    <xdr:clientData/>
  </xdr:twoCellAnchor>
  <xdr:twoCellAnchor>
    <xdr:from>
      <xdr:col>14</xdr:col>
      <xdr:colOff>297259</xdr:colOff>
      <xdr:row>24</xdr:row>
      <xdr:rowOff>96027</xdr:rowOff>
    </xdr:from>
    <xdr:to>
      <xdr:col>25</xdr:col>
      <xdr:colOff>98853</xdr:colOff>
      <xdr:row>24</xdr:row>
      <xdr:rowOff>96027</xdr:rowOff>
    </xdr:to>
    <xdr:sp macro="" textlink="">
      <xdr:nvSpPr>
        <xdr:cNvPr id="191" name="Line 132"/>
        <xdr:cNvSpPr>
          <a:spLocks noChangeShapeType="1"/>
        </xdr:cNvSpPr>
      </xdr:nvSpPr>
      <xdr:spPr bwMode="auto">
        <a:xfrm>
          <a:off x="8831659" y="3753627"/>
          <a:ext cx="6507194" cy="0"/>
        </a:xfrm>
        <a:prstGeom prst="line">
          <a:avLst/>
        </a:prstGeom>
        <a:noFill/>
        <a:ln w="3175">
          <a:solidFill>
            <a:srgbClr val="000000"/>
          </a:solidFill>
          <a:prstDash val="lgDashDot"/>
          <a:round/>
          <a:headEnd/>
          <a:tailEnd/>
        </a:ln>
      </xdr:spPr>
    </xdr:sp>
    <xdr:clientData/>
  </xdr:twoCellAnchor>
  <xdr:twoCellAnchor>
    <xdr:from>
      <xdr:col>16</xdr:col>
      <xdr:colOff>14148</xdr:colOff>
      <xdr:row>24</xdr:row>
      <xdr:rowOff>153342</xdr:rowOff>
    </xdr:from>
    <xdr:to>
      <xdr:col>24</xdr:col>
      <xdr:colOff>80288</xdr:colOff>
      <xdr:row>24</xdr:row>
      <xdr:rowOff>153342</xdr:rowOff>
    </xdr:to>
    <xdr:sp macro="" textlink="">
      <xdr:nvSpPr>
        <xdr:cNvPr id="192" name="Line 133"/>
        <xdr:cNvSpPr>
          <a:spLocks noChangeShapeType="1"/>
        </xdr:cNvSpPr>
      </xdr:nvSpPr>
      <xdr:spPr bwMode="auto">
        <a:xfrm>
          <a:off x="9767748" y="3810942"/>
          <a:ext cx="4942940" cy="0"/>
        </a:xfrm>
        <a:prstGeom prst="line">
          <a:avLst/>
        </a:prstGeom>
        <a:noFill/>
        <a:ln w="9525">
          <a:solidFill>
            <a:srgbClr val="000000"/>
          </a:solidFill>
          <a:round/>
          <a:headEnd/>
          <a:tailEnd/>
        </a:ln>
      </xdr:spPr>
    </xdr:sp>
    <xdr:clientData/>
  </xdr:twoCellAnchor>
  <xdr:twoCellAnchor>
    <xdr:from>
      <xdr:col>16</xdr:col>
      <xdr:colOff>83799</xdr:colOff>
      <xdr:row>20</xdr:row>
      <xdr:rowOff>65163</xdr:rowOff>
    </xdr:from>
    <xdr:to>
      <xdr:col>16</xdr:col>
      <xdr:colOff>83799</xdr:colOff>
      <xdr:row>26</xdr:row>
      <xdr:rowOff>78025</xdr:rowOff>
    </xdr:to>
    <xdr:sp macro="" textlink="">
      <xdr:nvSpPr>
        <xdr:cNvPr id="193" name="Line 134"/>
        <xdr:cNvSpPr>
          <a:spLocks noChangeShapeType="1"/>
        </xdr:cNvSpPr>
      </xdr:nvSpPr>
      <xdr:spPr bwMode="auto">
        <a:xfrm>
          <a:off x="9837399" y="3113163"/>
          <a:ext cx="0" cy="927262"/>
        </a:xfrm>
        <a:prstGeom prst="line">
          <a:avLst/>
        </a:prstGeom>
        <a:noFill/>
        <a:ln w="3175">
          <a:solidFill>
            <a:srgbClr val="000000"/>
          </a:solidFill>
          <a:prstDash val="lgDashDot"/>
          <a:round/>
          <a:headEnd/>
          <a:tailEnd/>
        </a:ln>
      </xdr:spPr>
    </xdr:sp>
    <xdr:clientData/>
  </xdr:twoCellAnchor>
  <xdr:twoCellAnchor>
    <xdr:from>
      <xdr:col>15</xdr:col>
      <xdr:colOff>753</xdr:colOff>
      <xdr:row>21</xdr:row>
      <xdr:rowOff>46609</xdr:rowOff>
    </xdr:from>
    <xdr:to>
      <xdr:col>25</xdr:col>
      <xdr:colOff>108803</xdr:colOff>
      <xdr:row>21</xdr:row>
      <xdr:rowOff>46609</xdr:rowOff>
    </xdr:to>
    <xdr:sp macro="" textlink="">
      <xdr:nvSpPr>
        <xdr:cNvPr id="194" name="Line 135"/>
        <xdr:cNvSpPr>
          <a:spLocks noChangeShapeType="1"/>
        </xdr:cNvSpPr>
      </xdr:nvSpPr>
      <xdr:spPr bwMode="auto">
        <a:xfrm>
          <a:off x="9144753" y="3247009"/>
          <a:ext cx="6204050" cy="0"/>
        </a:xfrm>
        <a:prstGeom prst="line">
          <a:avLst/>
        </a:prstGeom>
        <a:noFill/>
        <a:ln w="3175">
          <a:solidFill>
            <a:srgbClr val="000000"/>
          </a:solidFill>
          <a:prstDash val="lgDashDot"/>
          <a:round/>
          <a:headEnd/>
          <a:tailEnd/>
        </a:ln>
      </xdr:spPr>
    </xdr:sp>
    <xdr:clientData/>
  </xdr:twoCellAnchor>
  <xdr:twoCellAnchor>
    <xdr:from>
      <xdr:col>21</xdr:col>
      <xdr:colOff>63004</xdr:colOff>
      <xdr:row>25</xdr:row>
      <xdr:rowOff>153894</xdr:rowOff>
    </xdr:from>
    <xdr:to>
      <xdr:col>23</xdr:col>
      <xdr:colOff>280628</xdr:colOff>
      <xdr:row>25</xdr:row>
      <xdr:rowOff>153894</xdr:rowOff>
    </xdr:to>
    <xdr:sp macro="" textlink="">
      <xdr:nvSpPr>
        <xdr:cNvPr id="195" name="Line 136"/>
        <xdr:cNvSpPr>
          <a:spLocks noChangeShapeType="1"/>
        </xdr:cNvSpPr>
      </xdr:nvSpPr>
      <xdr:spPr bwMode="auto">
        <a:xfrm>
          <a:off x="12864604" y="3963894"/>
          <a:ext cx="1436824" cy="0"/>
        </a:xfrm>
        <a:prstGeom prst="line">
          <a:avLst/>
        </a:prstGeom>
        <a:noFill/>
        <a:ln w="6350">
          <a:solidFill>
            <a:srgbClr val="000000"/>
          </a:solidFill>
          <a:round/>
          <a:headEnd type="triangle" w="sm" len="med"/>
          <a:tailEnd type="triangle" w="sm" len="med"/>
        </a:ln>
      </xdr:spPr>
    </xdr:sp>
    <xdr:clientData/>
  </xdr:twoCellAnchor>
  <xdr:twoCellAnchor>
    <xdr:from>
      <xdr:col>16</xdr:col>
      <xdr:colOff>103700</xdr:colOff>
      <xdr:row>25</xdr:row>
      <xdr:rowOff>153894</xdr:rowOff>
    </xdr:from>
    <xdr:to>
      <xdr:col>21</xdr:col>
      <xdr:colOff>63005</xdr:colOff>
      <xdr:row>25</xdr:row>
      <xdr:rowOff>153894</xdr:rowOff>
    </xdr:to>
    <xdr:sp macro="" textlink="">
      <xdr:nvSpPr>
        <xdr:cNvPr id="196" name="Line 137"/>
        <xdr:cNvSpPr>
          <a:spLocks noChangeShapeType="1"/>
        </xdr:cNvSpPr>
      </xdr:nvSpPr>
      <xdr:spPr bwMode="auto">
        <a:xfrm>
          <a:off x="9857300" y="3963894"/>
          <a:ext cx="3007305" cy="0"/>
        </a:xfrm>
        <a:prstGeom prst="line">
          <a:avLst/>
        </a:prstGeom>
        <a:noFill/>
        <a:ln w="6350">
          <a:solidFill>
            <a:srgbClr val="000000"/>
          </a:solidFill>
          <a:round/>
          <a:headEnd type="triangle" w="sm" len="med"/>
          <a:tailEnd type="triangle" w="sm" len="med"/>
        </a:ln>
      </xdr:spPr>
    </xdr:sp>
    <xdr:clientData/>
  </xdr:twoCellAnchor>
  <xdr:twoCellAnchor>
    <xdr:from>
      <xdr:col>11</xdr:col>
      <xdr:colOff>89034</xdr:colOff>
      <xdr:row>20</xdr:row>
      <xdr:rowOff>26953</xdr:rowOff>
    </xdr:from>
    <xdr:to>
      <xdr:col>12</xdr:col>
      <xdr:colOff>301599</xdr:colOff>
      <xdr:row>21</xdr:row>
      <xdr:rowOff>8399</xdr:rowOff>
    </xdr:to>
    <xdr:sp macro="" textlink="">
      <xdr:nvSpPr>
        <xdr:cNvPr id="197" name="Text Box 138"/>
        <xdr:cNvSpPr txBox="1">
          <a:spLocks noChangeArrowheads="1"/>
        </xdr:cNvSpPr>
      </xdr:nvSpPr>
      <xdr:spPr bwMode="auto">
        <a:xfrm>
          <a:off x="6794634" y="3074953"/>
          <a:ext cx="822165" cy="13384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 </a:t>
          </a:r>
          <a:r>
            <a:rPr lang="de-DE" altLang="ja-JP" sz="900" b="0" i="0" strike="noStrike">
              <a:solidFill>
                <a:srgbClr val="000000"/>
              </a:solidFill>
              <a:latin typeface="ＭＳ Ｐ明朝"/>
              <a:ea typeface="ＭＳ Ｐ明朝"/>
            </a:rPr>
            <a:t>(</a:t>
          </a:r>
          <a:r>
            <a:rPr lang="ja-JP" altLang="en-US" sz="900" b="0" i="0" strike="noStrike">
              <a:solidFill>
                <a:srgbClr val="000000"/>
              </a:solidFill>
              <a:latin typeface="ＭＳ Ｐ明朝"/>
              <a:ea typeface="ＭＳ Ｐ明朝"/>
            </a:rPr>
            <a:t>短辺</a:t>
          </a:r>
          <a:r>
            <a:rPr lang="en-US" altLang="ja-JP" sz="900" b="0" i="0" strike="noStrike">
              <a:solidFill>
                <a:srgbClr val="000000"/>
              </a:solidFill>
              <a:latin typeface="ＭＳ Ｐ明朝"/>
              <a:ea typeface="ＭＳ Ｐ明朝"/>
            </a:rPr>
            <a:t>)</a:t>
          </a:r>
        </a:p>
      </xdr:txBody>
    </xdr:sp>
    <xdr:clientData/>
  </xdr:twoCellAnchor>
  <xdr:twoCellAnchor>
    <xdr:from>
      <xdr:col>25</xdr:col>
      <xdr:colOff>39151</xdr:colOff>
      <xdr:row>22</xdr:row>
      <xdr:rowOff>161792</xdr:rowOff>
    </xdr:from>
    <xdr:to>
      <xdr:col>25</xdr:col>
      <xdr:colOff>39151</xdr:colOff>
      <xdr:row>24</xdr:row>
      <xdr:rowOff>96027</xdr:rowOff>
    </xdr:to>
    <xdr:sp macro="" textlink="">
      <xdr:nvSpPr>
        <xdr:cNvPr id="198" name="Line 139"/>
        <xdr:cNvSpPr>
          <a:spLocks noChangeShapeType="1"/>
        </xdr:cNvSpPr>
      </xdr:nvSpPr>
      <xdr:spPr bwMode="auto">
        <a:xfrm>
          <a:off x="15279151" y="3505067"/>
          <a:ext cx="0" cy="248560"/>
        </a:xfrm>
        <a:prstGeom prst="line">
          <a:avLst/>
        </a:prstGeom>
        <a:noFill/>
        <a:ln w="6350">
          <a:solidFill>
            <a:srgbClr val="000000"/>
          </a:solidFill>
          <a:round/>
          <a:headEnd type="triangle" w="sm" len="med"/>
          <a:tailEnd type="triangle" w="sm" len="med"/>
        </a:ln>
      </xdr:spPr>
    </xdr:sp>
    <xdr:clientData/>
  </xdr:twoCellAnchor>
  <xdr:twoCellAnchor>
    <xdr:from>
      <xdr:col>25</xdr:col>
      <xdr:colOff>39151</xdr:colOff>
      <xdr:row>21</xdr:row>
      <xdr:rowOff>37057</xdr:rowOff>
    </xdr:from>
    <xdr:to>
      <xdr:col>25</xdr:col>
      <xdr:colOff>39151</xdr:colOff>
      <xdr:row>22</xdr:row>
      <xdr:rowOff>171345</xdr:rowOff>
    </xdr:to>
    <xdr:sp macro="" textlink="">
      <xdr:nvSpPr>
        <xdr:cNvPr id="199" name="Line 140"/>
        <xdr:cNvSpPr>
          <a:spLocks noChangeShapeType="1"/>
        </xdr:cNvSpPr>
      </xdr:nvSpPr>
      <xdr:spPr bwMode="auto">
        <a:xfrm>
          <a:off x="15279151" y="3237457"/>
          <a:ext cx="0" cy="267638"/>
        </a:xfrm>
        <a:prstGeom prst="line">
          <a:avLst/>
        </a:prstGeom>
        <a:noFill/>
        <a:ln w="6350">
          <a:solidFill>
            <a:srgbClr val="000000"/>
          </a:solidFill>
          <a:round/>
          <a:headEnd type="triangle" w="sm" len="med"/>
          <a:tailEnd type="triangle" w="sm" len="med"/>
        </a:ln>
      </xdr:spPr>
    </xdr:sp>
    <xdr:clientData/>
  </xdr:twoCellAnchor>
  <xdr:twoCellAnchor>
    <xdr:from>
      <xdr:col>24</xdr:col>
      <xdr:colOff>259391</xdr:colOff>
      <xdr:row>23</xdr:row>
      <xdr:rowOff>47712</xdr:rowOff>
    </xdr:from>
    <xdr:to>
      <xdr:col>25</xdr:col>
      <xdr:colOff>268004</xdr:colOff>
      <xdr:row>24</xdr:row>
      <xdr:rowOff>38711</xdr:rowOff>
    </xdr:to>
    <xdr:sp macro="" textlink="">
      <xdr:nvSpPr>
        <xdr:cNvPr id="200" name="Text Box 141"/>
        <xdr:cNvSpPr txBox="1">
          <a:spLocks noChangeArrowheads="1"/>
        </xdr:cNvSpPr>
      </xdr:nvSpPr>
      <xdr:spPr bwMode="auto">
        <a:xfrm>
          <a:off x="14889791" y="3552912"/>
          <a:ext cx="618213" cy="143399"/>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16</xdr:col>
      <xdr:colOff>63899</xdr:colOff>
      <xdr:row>24</xdr:row>
      <xdr:rowOff>76922</xdr:rowOff>
    </xdr:from>
    <xdr:to>
      <xdr:col>16</xdr:col>
      <xdr:colOff>103700</xdr:colOff>
      <xdr:row>24</xdr:row>
      <xdr:rowOff>115132</xdr:rowOff>
    </xdr:to>
    <xdr:sp macro="" textlink="">
      <xdr:nvSpPr>
        <xdr:cNvPr id="201" name="Oval 142"/>
        <xdr:cNvSpPr>
          <a:spLocks noChangeArrowheads="1"/>
        </xdr:cNvSpPr>
      </xdr:nvSpPr>
      <xdr:spPr bwMode="auto">
        <a:xfrm>
          <a:off x="9817499" y="3734522"/>
          <a:ext cx="39801" cy="38210"/>
        </a:xfrm>
        <a:prstGeom prst="ellipse">
          <a:avLst/>
        </a:prstGeom>
        <a:noFill/>
        <a:ln w="9525">
          <a:solidFill>
            <a:srgbClr val="000000"/>
          </a:solidFill>
          <a:round/>
          <a:headEnd/>
          <a:tailEnd/>
        </a:ln>
      </xdr:spPr>
    </xdr:sp>
    <xdr:clientData/>
  </xdr:twoCellAnchor>
  <xdr:twoCellAnchor>
    <xdr:from>
      <xdr:col>23</xdr:col>
      <xdr:colOff>240207</xdr:colOff>
      <xdr:row>24</xdr:row>
      <xdr:rowOff>76921</xdr:rowOff>
    </xdr:from>
    <xdr:to>
      <xdr:col>24</xdr:col>
      <xdr:colOff>20587</xdr:colOff>
      <xdr:row>24</xdr:row>
      <xdr:rowOff>122640</xdr:rowOff>
    </xdr:to>
    <xdr:sp macro="" textlink="">
      <xdr:nvSpPr>
        <xdr:cNvPr id="202" name="Oval 143"/>
        <xdr:cNvSpPr>
          <a:spLocks noChangeArrowheads="1"/>
        </xdr:cNvSpPr>
      </xdr:nvSpPr>
      <xdr:spPr bwMode="auto">
        <a:xfrm>
          <a:off x="14261007" y="3734521"/>
          <a:ext cx="389980" cy="45719"/>
        </a:xfrm>
        <a:prstGeom prst="ellipse">
          <a:avLst/>
        </a:prstGeom>
        <a:noFill/>
        <a:ln w="9525">
          <a:solidFill>
            <a:srgbClr val="000000"/>
          </a:solidFill>
          <a:round/>
          <a:headEnd/>
          <a:tailEnd/>
        </a:ln>
      </xdr:spPr>
    </xdr:sp>
    <xdr:clientData/>
  </xdr:twoCellAnchor>
  <xdr:twoCellAnchor>
    <xdr:from>
      <xdr:col>16</xdr:col>
      <xdr:colOff>63899</xdr:colOff>
      <xdr:row>21</xdr:row>
      <xdr:rowOff>27504</xdr:rowOff>
    </xdr:from>
    <xdr:to>
      <xdr:col>16</xdr:col>
      <xdr:colOff>103700</xdr:colOff>
      <xdr:row>21</xdr:row>
      <xdr:rowOff>65714</xdr:rowOff>
    </xdr:to>
    <xdr:sp macro="" textlink="">
      <xdr:nvSpPr>
        <xdr:cNvPr id="203" name="Oval 145"/>
        <xdr:cNvSpPr>
          <a:spLocks noChangeArrowheads="1"/>
        </xdr:cNvSpPr>
      </xdr:nvSpPr>
      <xdr:spPr bwMode="auto">
        <a:xfrm>
          <a:off x="9817499" y="3227904"/>
          <a:ext cx="39801" cy="38210"/>
        </a:xfrm>
        <a:prstGeom prst="ellipse">
          <a:avLst/>
        </a:prstGeom>
        <a:noFill/>
        <a:ln w="9525">
          <a:solidFill>
            <a:srgbClr val="000000"/>
          </a:solidFill>
          <a:round/>
          <a:headEnd/>
          <a:tailEnd/>
        </a:ln>
      </xdr:spPr>
    </xdr:sp>
    <xdr:clientData/>
  </xdr:twoCellAnchor>
  <xdr:twoCellAnchor>
    <xdr:from>
      <xdr:col>23</xdr:col>
      <xdr:colOff>240207</xdr:colOff>
      <xdr:row>21</xdr:row>
      <xdr:rowOff>27503</xdr:rowOff>
    </xdr:from>
    <xdr:to>
      <xdr:col>24</xdr:col>
      <xdr:colOff>20587</xdr:colOff>
      <xdr:row>21</xdr:row>
      <xdr:rowOff>73222</xdr:rowOff>
    </xdr:to>
    <xdr:sp macro="" textlink="">
      <xdr:nvSpPr>
        <xdr:cNvPr id="204" name="Oval 146"/>
        <xdr:cNvSpPr>
          <a:spLocks noChangeArrowheads="1"/>
        </xdr:cNvSpPr>
      </xdr:nvSpPr>
      <xdr:spPr bwMode="auto">
        <a:xfrm>
          <a:off x="14261007" y="3227903"/>
          <a:ext cx="389980" cy="45719"/>
        </a:xfrm>
        <a:prstGeom prst="ellipse">
          <a:avLst/>
        </a:prstGeom>
        <a:noFill/>
        <a:ln w="9525">
          <a:solidFill>
            <a:srgbClr val="000000"/>
          </a:solidFill>
          <a:round/>
          <a:headEnd/>
          <a:tailEnd/>
        </a:ln>
      </xdr:spPr>
    </xdr:sp>
    <xdr:clientData/>
  </xdr:twoCellAnchor>
  <xdr:twoCellAnchor>
    <xdr:from>
      <xdr:col>16</xdr:col>
      <xdr:colOff>14148</xdr:colOff>
      <xdr:row>20</xdr:row>
      <xdr:rowOff>170241</xdr:rowOff>
    </xdr:from>
    <xdr:to>
      <xdr:col>24</xdr:col>
      <xdr:colOff>80288</xdr:colOff>
      <xdr:row>20</xdr:row>
      <xdr:rowOff>170241</xdr:rowOff>
    </xdr:to>
    <xdr:sp macro="" textlink="">
      <xdr:nvSpPr>
        <xdr:cNvPr id="205" name="Line 148"/>
        <xdr:cNvSpPr>
          <a:spLocks noChangeShapeType="1"/>
        </xdr:cNvSpPr>
      </xdr:nvSpPr>
      <xdr:spPr bwMode="auto">
        <a:xfrm>
          <a:off x="9767748" y="3199191"/>
          <a:ext cx="4942940" cy="0"/>
        </a:xfrm>
        <a:prstGeom prst="line">
          <a:avLst/>
        </a:prstGeom>
        <a:noFill/>
        <a:ln w="9525">
          <a:solidFill>
            <a:srgbClr val="000000"/>
          </a:solidFill>
          <a:round/>
          <a:headEnd/>
          <a:tailEnd/>
        </a:ln>
      </xdr:spPr>
    </xdr:sp>
    <xdr:clientData/>
  </xdr:twoCellAnchor>
  <xdr:twoCellAnchor>
    <xdr:from>
      <xdr:col>22</xdr:col>
      <xdr:colOff>76456</xdr:colOff>
      <xdr:row>24</xdr:row>
      <xdr:rowOff>182000</xdr:rowOff>
    </xdr:from>
    <xdr:to>
      <xdr:col>23</xdr:col>
      <xdr:colOff>91575</xdr:colOff>
      <xdr:row>25</xdr:row>
      <xdr:rowOff>163446</xdr:rowOff>
    </xdr:to>
    <xdr:sp macro="" textlink="">
      <xdr:nvSpPr>
        <xdr:cNvPr id="206" name="Text Box 149"/>
        <xdr:cNvSpPr txBox="1">
          <a:spLocks noChangeArrowheads="1"/>
        </xdr:cNvSpPr>
      </xdr:nvSpPr>
      <xdr:spPr bwMode="auto">
        <a:xfrm>
          <a:off x="13487656" y="3811025"/>
          <a:ext cx="624719" cy="15289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1g</a:t>
          </a:r>
        </a:p>
      </xdr:txBody>
    </xdr:sp>
    <xdr:clientData/>
  </xdr:twoCellAnchor>
  <xdr:twoCellAnchor>
    <xdr:from>
      <xdr:col>10</xdr:col>
      <xdr:colOff>70469</xdr:colOff>
      <xdr:row>16</xdr:row>
      <xdr:rowOff>177588</xdr:rowOff>
    </xdr:from>
    <xdr:to>
      <xdr:col>10</xdr:col>
      <xdr:colOff>229672</xdr:colOff>
      <xdr:row>17</xdr:row>
      <xdr:rowOff>168587</xdr:rowOff>
    </xdr:to>
    <xdr:sp macro="" textlink="">
      <xdr:nvSpPr>
        <xdr:cNvPr id="207" name="Text Box 150"/>
        <xdr:cNvSpPr txBox="1">
          <a:spLocks noChangeArrowheads="1"/>
        </xdr:cNvSpPr>
      </xdr:nvSpPr>
      <xdr:spPr bwMode="auto">
        <a:xfrm>
          <a:off x="6166469" y="2587413"/>
          <a:ext cx="159203" cy="152924"/>
        </a:xfrm>
        <a:prstGeom prst="rect">
          <a:avLst/>
        </a:prstGeom>
        <a:noFill/>
        <a:ln w="9525">
          <a:noFill/>
          <a:miter lim="800000"/>
          <a:headEnd/>
          <a:tailEnd/>
        </a:ln>
      </xdr:spPr>
      <xdr:txBody>
        <a:bodyPr wrap="none" lIns="0" tIns="18288" rIns="18288" bIns="0" anchor="t" upright="1">
          <a:noAutofit/>
        </a:bodyPr>
        <a:lstStyle/>
        <a:p>
          <a:pPr algn="r" rtl="1">
            <a:defRPr sz="1000"/>
          </a:pPr>
          <a:r>
            <a:rPr lang="ja-JP" altLang="de-DE" sz="1000" b="1" i="0" strike="noStrike">
              <a:solidFill>
                <a:srgbClr val="000000"/>
              </a:solidFill>
              <a:latin typeface="ＭＳ Ｐ明朝"/>
              <a:ea typeface="ＭＳ Ｐ明朝"/>
            </a:rPr>
            <a:t>ｎ</a:t>
          </a:r>
          <a:r>
            <a:rPr lang="de-DE" altLang="ja-JP" sz="700" b="1" i="0" strike="noStrike">
              <a:solidFill>
                <a:srgbClr val="000000"/>
              </a:solidFill>
              <a:latin typeface="Times New Roman"/>
              <a:cs typeface="Times New Roman"/>
            </a:rPr>
            <a:t>2</a:t>
          </a:r>
        </a:p>
      </xdr:txBody>
    </xdr:sp>
    <xdr:clientData/>
  </xdr:twoCellAnchor>
  <xdr:twoCellAnchor>
    <xdr:from>
      <xdr:col>18</xdr:col>
      <xdr:colOff>75674</xdr:colOff>
      <xdr:row>24</xdr:row>
      <xdr:rowOff>182000</xdr:rowOff>
    </xdr:from>
    <xdr:to>
      <xdr:col>19</xdr:col>
      <xdr:colOff>71380</xdr:colOff>
      <xdr:row>25</xdr:row>
      <xdr:rowOff>163446</xdr:rowOff>
    </xdr:to>
    <xdr:sp macro="" textlink="">
      <xdr:nvSpPr>
        <xdr:cNvPr id="208" name="Text Box 151"/>
        <xdr:cNvSpPr txBox="1">
          <a:spLocks noChangeArrowheads="1"/>
        </xdr:cNvSpPr>
      </xdr:nvSpPr>
      <xdr:spPr bwMode="auto">
        <a:xfrm>
          <a:off x="11048474" y="3811025"/>
          <a:ext cx="605306" cy="15289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1g</a:t>
          </a:r>
        </a:p>
      </xdr:txBody>
    </xdr:sp>
    <xdr:clientData/>
  </xdr:twoCellAnchor>
  <xdr:twoCellAnchor>
    <xdr:from>
      <xdr:col>6</xdr:col>
      <xdr:colOff>172036</xdr:colOff>
      <xdr:row>21</xdr:row>
      <xdr:rowOff>189898</xdr:rowOff>
    </xdr:from>
    <xdr:to>
      <xdr:col>8</xdr:col>
      <xdr:colOff>122892</xdr:colOff>
      <xdr:row>22</xdr:row>
      <xdr:rowOff>171344</xdr:rowOff>
    </xdr:to>
    <xdr:sp macro="" textlink="">
      <xdr:nvSpPr>
        <xdr:cNvPr id="209" name="Text Box 152"/>
        <xdr:cNvSpPr txBox="1">
          <a:spLocks noChangeArrowheads="1"/>
        </xdr:cNvSpPr>
      </xdr:nvSpPr>
      <xdr:spPr bwMode="auto">
        <a:xfrm>
          <a:off x="3829636" y="3352198"/>
          <a:ext cx="1170056" cy="15289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  </a:t>
          </a:r>
          <a:r>
            <a:rPr lang="de-DE" altLang="ja-JP" sz="900" b="0" i="0" strike="noStrike">
              <a:solidFill>
                <a:srgbClr val="000000"/>
              </a:solidFill>
              <a:latin typeface="ＭＳ Ｐ明朝"/>
              <a:ea typeface="ＭＳ Ｐ明朝"/>
            </a:rPr>
            <a:t>(</a:t>
          </a:r>
          <a:r>
            <a:rPr lang="ja-JP" altLang="en-US" sz="900" b="0" i="0" strike="noStrike">
              <a:solidFill>
                <a:srgbClr val="000000"/>
              </a:solidFill>
              <a:latin typeface="ＭＳ Ｐ明朝"/>
              <a:ea typeface="ＭＳ Ｐ明朝"/>
            </a:rPr>
            <a:t>長辺</a:t>
          </a:r>
          <a:r>
            <a:rPr lang="en-US" altLang="ja-JP" sz="900" b="0" i="0" strike="noStrike">
              <a:solidFill>
                <a:srgbClr val="000000"/>
              </a:solidFill>
              <a:latin typeface="ＭＳ Ｐ明朝"/>
              <a:ea typeface="ＭＳ Ｐ明朝"/>
            </a:rPr>
            <a:t>)</a:t>
          </a:r>
        </a:p>
      </xdr:txBody>
    </xdr:sp>
    <xdr:clientData/>
  </xdr:twoCellAnchor>
  <xdr:twoCellAnchor>
    <xdr:from>
      <xdr:col>24</xdr:col>
      <xdr:colOff>259391</xdr:colOff>
      <xdr:row>21</xdr:row>
      <xdr:rowOff>113477</xdr:rowOff>
    </xdr:from>
    <xdr:to>
      <xdr:col>25</xdr:col>
      <xdr:colOff>268004</xdr:colOff>
      <xdr:row>22</xdr:row>
      <xdr:rowOff>104476</xdr:rowOff>
    </xdr:to>
    <xdr:sp macro="" textlink="">
      <xdr:nvSpPr>
        <xdr:cNvPr id="210" name="Text Box 154"/>
        <xdr:cNvSpPr txBox="1">
          <a:spLocks noChangeArrowheads="1"/>
        </xdr:cNvSpPr>
      </xdr:nvSpPr>
      <xdr:spPr bwMode="auto">
        <a:xfrm>
          <a:off x="14889791" y="3313877"/>
          <a:ext cx="618213" cy="143399"/>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3</xdr:col>
      <xdr:colOff>48304</xdr:colOff>
      <xdr:row>18</xdr:row>
      <xdr:rowOff>35402</xdr:rowOff>
    </xdr:from>
    <xdr:to>
      <xdr:col>4</xdr:col>
      <xdr:colOff>18936</xdr:colOff>
      <xdr:row>19</xdr:row>
      <xdr:rowOff>26401</xdr:rowOff>
    </xdr:to>
    <xdr:sp macro="" textlink="">
      <xdr:nvSpPr>
        <xdr:cNvPr id="211" name="Text Box 155"/>
        <xdr:cNvSpPr txBox="1">
          <a:spLocks noChangeArrowheads="1"/>
        </xdr:cNvSpPr>
      </xdr:nvSpPr>
      <xdr:spPr bwMode="auto">
        <a:xfrm>
          <a:off x="1877104" y="2778602"/>
          <a:ext cx="580232" cy="143399"/>
        </a:xfrm>
        <a:prstGeom prst="rect">
          <a:avLst/>
        </a:prstGeom>
        <a:noFill/>
        <a:ln w="9525">
          <a:noFill/>
          <a:miter lim="800000"/>
          <a:headEnd/>
          <a:tailEnd/>
        </a:ln>
      </xdr:spPr>
      <xdr:txBody>
        <a:bodyPr vertOverflow="clip" wrap="square" lIns="0" tIns="18288" rIns="27432" bIns="0" anchor="t" upright="1"/>
        <a:lstStyle/>
        <a:p>
          <a:pPr algn="r" rtl="1">
            <a:defRPr sz="1000"/>
          </a:pPr>
          <a:r>
            <a:rPr lang="ja-JP" altLang="de-DE" sz="1000" b="1" i="0" strike="noStrike">
              <a:solidFill>
                <a:srgbClr val="000000"/>
              </a:solidFill>
              <a:latin typeface="ＭＳ Ｐ明朝"/>
              <a:ea typeface="ＭＳ Ｐ明朝"/>
            </a:rPr>
            <a:t>ｎ</a:t>
          </a:r>
          <a:r>
            <a:rPr lang="de-DE" altLang="ja-JP" sz="700" b="1" i="0" strike="noStrike">
              <a:solidFill>
                <a:srgbClr val="000000"/>
              </a:solidFill>
              <a:latin typeface="Times New Roman"/>
              <a:cs typeface="Times New Roman"/>
            </a:rPr>
            <a:t>1</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10</xdr:col>
      <xdr:colOff>199822</xdr:colOff>
      <xdr:row>7</xdr:row>
      <xdr:rowOff>10230</xdr:rowOff>
    </xdr:from>
    <xdr:to>
      <xdr:col>10</xdr:col>
      <xdr:colOff>199822</xdr:colOff>
      <xdr:row>14</xdr:row>
      <xdr:rowOff>109617</xdr:rowOff>
    </xdr:to>
    <xdr:sp macro="" textlink="">
      <xdr:nvSpPr>
        <xdr:cNvPr id="212" name="Line 157"/>
        <xdr:cNvSpPr>
          <a:spLocks noChangeShapeType="1"/>
        </xdr:cNvSpPr>
      </xdr:nvSpPr>
      <xdr:spPr bwMode="auto">
        <a:xfrm flipV="1">
          <a:off x="6295822" y="1077030"/>
          <a:ext cx="0" cy="1166187"/>
        </a:xfrm>
        <a:prstGeom prst="line">
          <a:avLst/>
        </a:prstGeom>
        <a:noFill/>
        <a:ln w="6350">
          <a:solidFill>
            <a:srgbClr val="000000"/>
          </a:solidFill>
          <a:round/>
          <a:headEnd/>
          <a:tailEnd/>
        </a:ln>
      </xdr:spPr>
    </xdr:sp>
    <xdr:clientData/>
  </xdr:twoCellAnchor>
  <xdr:twoCellAnchor>
    <xdr:from>
      <xdr:col>4</xdr:col>
      <xdr:colOff>244359</xdr:colOff>
      <xdr:row>7</xdr:row>
      <xdr:rowOff>10230</xdr:rowOff>
    </xdr:from>
    <xdr:to>
      <xdr:col>4</xdr:col>
      <xdr:colOff>244359</xdr:colOff>
      <xdr:row>14</xdr:row>
      <xdr:rowOff>109617</xdr:rowOff>
    </xdr:to>
    <xdr:sp macro="" textlink="">
      <xdr:nvSpPr>
        <xdr:cNvPr id="213" name="Line 158"/>
        <xdr:cNvSpPr>
          <a:spLocks noChangeShapeType="1"/>
        </xdr:cNvSpPr>
      </xdr:nvSpPr>
      <xdr:spPr bwMode="auto">
        <a:xfrm flipV="1">
          <a:off x="2682759" y="1077030"/>
          <a:ext cx="0" cy="1166187"/>
        </a:xfrm>
        <a:prstGeom prst="line">
          <a:avLst/>
        </a:prstGeom>
        <a:noFill/>
        <a:ln w="6350">
          <a:solidFill>
            <a:srgbClr val="000000"/>
          </a:solidFill>
          <a:round/>
          <a:headEnd/>
          <a:tailEnd/>
        </a:ln>
      </xdr:spPr>
    </xdr:sp>
    <xdr:clientData/>
  </xdr:twoCellAnchor>
  <xdr:twoCellAnchor>
    <xdr:from>
      <xdr:col>4</xdr:col>
      <xdr:colOff>244359</xdr:colOff>
      <xdr:row>7</xdr:row>
      <xdr:rowOff>10230</xdr:rowOff>
    </xdr:from>
    <xdr:to>
      <xdr:col>10</xdr:col>
      <xdr:colOff>199822</xdr:colOff>
      <xdr:row>7</xdr:row>
      <xdr:rowOff>10230</xdr:rowOff>
    </xdr:to>
    <xdr:sp macro="" textlink="">
      <xdr:nvSpPr>
        <xdr:cNvPr id="214" name="Line 159"/>
        <xdr:cNvSpPr>
          <a:spLocks noChangeShapeType="1"/>
        </xdr:cNvSpPr>
      </xdr:nvSpPr>
      <xdr:spPr bwMode="auto">
        <a:xfrm>
          <a:off x="2682759" y="1077030"/>
          <a:ext cx="3613063" cy="0"/>
        </a:xfrm>
        <a:prstGeom prst="line">
          <a:avLst/>
        </a:prstGeom>
        <a:noFill/>
        <a:ln w="6350">
          <a:solidFill>
            <a:srgbClr val="000000"/>
          </a:solidFill>
          <a:round/>
          <a:headEnd/>
          <a:tailEnd/>
        </a:ln>
      </xdr:spPr>
    </xdr:sp>
    <xdr:clientData/>
  </xdr:twoCellAnchor>
  <xdr:twoCellAnchor>
    <xdr:from>
      <xdr:col>4</xdr:col>
      <xdr:colOff>244359</xdr:colOff>
      <xdr:row>14</xdr:row>
      <xdr:rowOff>109617</xdr:rowOff>
    </xdr:from>
    <xdr:to>
      <xdr:col>10</xdr:col>
      <xdr:colOff>199822</xdr:colOff>
      <xdr:row>14</xdr:row>
      <xdr:rowOff>109617</xdr:rowOff>
    </xdr:to>
    <xdr:sp macro="" textlink="">
      <xdr:nvSpPr>
        <xdr:cNvPr id="215" name="Line 160"/>
        <xdr:cNvSpPr>
          <a:spLocks noChangeShapeType="1"/>
        </xdr:cNvSpPr>
      </xdr:nvSpPr>
      <xdr:spPr bwMode="auto">
        <a:xfrm>
          <a:off x="2682759" y="2243217"/>
          <a:ext cx="3613063" cy="0"/>
        </a:xfrm>
        <a:prstGeom prst="line">
          <a:avLst/>
        </a:prstGeom>
        <a:noFill/>
        <a:ln w="9525">
          <a:solidFill>
            <a:srgbClr val="000000"/>
          </a:solidFill>
          <a:round/>
          <a:headEnd/>
          <a:tailEnd/>
        </a:ln>
      </xdr:spPr>
    </xdr:sp>
    <xdr:clientData/>
  </xdr:twoCellAnchor>
  <xdr:twoCellAnchor>
    <xdr:from>
      <xdr:col>7</xdr:col>
      <xdr:colOff>223156</xdr:colOff>
      <xdr:row>21</xdr:row>
      <xdr:rowOff>70360</xdr:rowOff>
    </xdr:from>
    <xdr:to>
      <xdr:col>7</xdr:col>
      <xdr:colOff>268738</xdr:colOff>
      <xdr:row>21</xdr:row>
      <xdr:rowOff>116079</xdr:rowOff>
    </xdr:to>
    <xdr:sp macro="" textlink="">
      <xdr:nvSpPr>
        <xdr:cNvPr id="216" name="Oval 163"/>
        <xdr:cNvSpPr>
          <a:spLocks noChangeArrowheads="1"/>
        </xdr:cNvSpPr>
      </xdr:nvSpPr>
      <xdr:spPr bwMode="auto">
        <a:xfrm>
          <a:off x="4490356" y="3270760"/>
          <a:ext cx="45582" cy="45719"/>
        </a:xfrm>
        <a:prstGeom prst="ellipse">
          <a:avLst/>
        </a:prstGeom>
        <a:noFill/>
        <a:ln w="9525">
          <a:solidFill>
            <a:srgbClr val="000000"/>
          </a:solidFill>
          <a:round/>
          <a:headEnd/>
          <a:tailEnd/>
        </a:ln>
      </xdr:spPr>
    </xdr:sp>
    <xdr:clientData/>
  </xdr:twoCellAnchor>
  <xdr:twoCellAnchor>
    <xdr:from>
      <xdr:col>10</xdr:col>
      <xdr:colOff>120220</xdr:colOff>
      <xdr:row>18</xdr:row>
      <xdr:rowOff>111823</xdr:rowOff>
    </xdr:from>
    <xdr:to>
      <xdr:col>10</xdr:col>
      <xdr:colOff>160021</xdr:colOff>
      <xdr:row>18</xdr:row>
      <xdr:rowOff>150033</xdr:rowOff>
    </xdr:to>
    <xdr:sp macro="" textlink="">
      <xdr:nvSpPr>
        <xdr:cNvPr id="217" name="Oval 164"/>
        <xdr:cNvSpPr>
          <a:spLocks noChangeArrowheads="1"/>
        </xdr:cNvSpPr>
      </xdr:nvSpPr>
      <xdr:spPr bwMode="auto">
        <a:xfrm>
          <a:off x="6216220" y="2855023"/>
          <a:ext cx="39801" cy="38210"/>
        </a:xfrm>
        <a:prstGeom prst="ellipse">
          <a:avLst/>
        </a:prstGeom>
        <a:noFill/>
        <a:ln w="9525">
          <a:solidFill>
            <a:srgbClr val="000000"/>
          </a:solidFill>
          <a:round/>
          <a:headEnd/>
          <a:tailEnd/>
        </a:ln>
      </xdr:spPr>
    </xdr:sp>
    <xdr:clientData/>
  </xdr:twoCellAnchor>
  <xdr:twoCellAnchor>
    <xdr:from>
      <xdr:col>4</xdr:col>
      <xdr:colOff>284159</xdr:colOff>
      <xdr:row>18</xdr:row>
      <xdr:rowOff>111823</xdr:rowOff>
    </xdr:from>
    <xdr:to>
      <xdr:col>5</xdr:col>
      <xdr:colOff>34069</xdr:colOff>
      <xdr:row>18</xdr:row>
      <xdr:rowOff>150033</xdr:rowOff>
    </xdr:to>
    <xdr:sp macro="" textlink="">
      <xdr:nvSpPr>
        <xdr:cNvPr id="218" name="Oval 165"/>
        <xdr:cNvSpPr>
          <a:spLocks noChangeArrowheads="1"/>
        </xdr:cNvSpPr>
      </xdr:nvSpPr>
      <xdr:spPr bwMode="auto">
        <a:xfrm>
          <a:off x="2722559" y="2855023"/>
          <a:ext cx="359510" cy="38210"/>
        </a:xfrm>
        <a:prstGeom prst="ellipse">
          <a:avLst/>
        </a:prstGeom>
        <a:noFill/>
        <a:ln w="9525">
          <a:solidFill>
            <a:srgbClr val="000000"/>
          </a:solidFill>
          <a:round/>
          <a:headEnd/>
          <a:tailEnd/>
        </a:ln>
      </xdr:spPr>
    </xdr:sp>
    <xdr:clientData/>
  </xdr:twoCellAnchor>
  <xdr:twoCellAnchor>
    <xdr:from>
      <xdr:col>7</xdr:col>
      <xdr:colOff>223156</xdr:colOff>
      <xdr:row>18</xdr:row>
      <xdr:rowOff>106916</xdr:rowOff>
    </xdr:from>
    <xdr:to>
      <xdr:col>7</xdr:col>
      <xdr:colOff>268738</xdr:colOff>
      <xdr:row>18</xdr:row>
      <xdr:rowOff>152635</xdr:rowOff>
    </xdr:to>
    <xdr:sp macro="" textlink="">
      <xdr:nvSpPr>
        <xdr:cNvPr id="219" name="Oval 166"/>
        <xdr:cNvSpPr>
          <a:spLocks noChangeArrowheads="1"/>
        </xdr:cNvSpPr>
      </xdr:nvSpPr>
      <xdr:spPr bwMode="auto">
        <a:xfrm>
          <a:off x="4490356" y="2850116"/>
          <a:ext cx="45582" cy="45719"/>
        </a:xfrm>
        <a:prstGeom prst="ellipse">
          <a:avLst/>
        </a:prstGeom>
        <a:noFill/>
        <a:ln w="9525">
          <a:solidFill>
            <a:srgbClr val="000000"/>
          </a:solidFill>
          <a:round/>
          <a:headEnd/>
          <a:tailEnd/>
        </a:ln>
      </xdr:spPr>
    </xdr:sp>
    <xdr:clientData/>
  </xdr:twoCellAnchor>
  <xdr:twoCellAnchor>
    <xdr:from>
      <xdr:col>10</xdr:col>
      <xdr:colOff>199822</xdr:colOff>
      <xdr:row>14</xdr:row>
      <xdr:rowOff>109617</xdr:rowOff>
    </xdr:from>
    <xdr:to>
      <xdr:col>10</xdr:col>
      <xdr:colOff>199822</xdr:colOff>
      <xdr:row>15</xdr:row>
      <xdr:rowOff>52853</xdr:rowOff>
    </xdr:to>
    <xdr:sp macro="" textlink="">
      <xdr:nvSpPr>
        <xdr:cNvPr id="220" name="Line 167"/>
        <xdr:cNvSpPr>
          <a:spLocks noChangeShapeType="1"/>
        </xdr:cNvSpPr>
      </xdr:nvSpPr>
      <xdr:spPr bwMode="auto">
        <a:xfrm>
          <a:off x="6295822" y="2243217"/>
          <a:ext cx="0" cy="95636"/>
        </a:xfrm>
        <a:prstGeom prst="line">
          <a:avLst/>
        </a:prstGeom>
        <a:noFill/>
        <a:ln w="9525">
          <a:solidFill>
            <a:srgbClr val="000000"/>
          </a:solidFill>
          <a:round/>
          <a:headEnd/>
          <a:tailEnd/>
        </a:ln>
      </xdr:spPr>
    </xdr:sp>
    <xdr:clientData/>
  </xdr:twoCellAnchor>
  <xdr:twoCellAnchor>
    <xdr:from>
      <xdr:col>4</xdr:col>
      <xdr:colOff>244359</xdr:colOff>
      <xdr:row>14</xdr:row>
      <xdr:rowOff>109617</xdr:rowOff>
    </xdr:from>
    <xdr:to>
      <xdr:col>4</xdr:col>
      <xdr:colOff>244359</xdr:colOff>
      <xdr:row>15</xdr:row>
      <xdr:rowOff>52853</xdr:rowOff>
    </xdr:to>
    <xdr:sp macro="" textlink="">
      <xdr:nvSpPr>
        <xdr:cNvPr id="221" name="Line 168"/>
        <xdr:cNvSpPr>
          <a:spLocks noChangeShapeType="1"/>
        </xdr:cNvSpPr>
      </xdr:nvSpPr>
      <xdr:spPr bwMode="auto">
        <a:xfrm>
          <a:off x="2682759" y="2243217"/>
          <a:ext cx="0" cy="95636"/>
        </a:xfrm>
        <a:prstGeom prst="line">
          <a:avLst/>
        </a:prstGeom>
        <a:noFill/>
        <a:ln w="9525">
          <a:solidFill>
            <a:srgbClr val="000000"/>
          </a:solidFill>
          <a:round/>
          <a:headEnd/>
          <a:tailEnd/>
        </a:ln>
      </xdr:spPr>
    </xdr:sp>
    <xdr:clientData/>
  </xdr:twoCellAnchor>
  <xdr:twoCellAnchor>
    <xdr:from>
      <xdr:col>5</xdr:col>
      <xdr:colOff>4219</xdr:colOff>
      <xdr:row>12</xdr:row>
      <xdr:rowOff>51198</xdr:rowOff>
    </xdr:from>
    <xdr:to>
      <xdr:col>5</xdr:col>
      <xdr:colOff>4219</xdr:colOff>
      <xdr:row>15</xdr:row>
      <xdr:rowOff>43300</xdr:rowOff>
    </xdr:to>
    <xdr:sp macro="" textlink="">
      <xdr:nvSpPr>
        <xdr:cNvPr id="222" name="Line 169"/>
        <xdr:cNvSpPr>
          <a:spLocks noChangeShapeType="1"/>
        </xdr:cNvSpPr>
      </xdr:nvSpPr>
      <xdr:spPr bwMode="auto">
        <a:xfrm flipV="1">
          <a:off x="3052219" y="1879998"/>
          <a:ext cx="0" cy="449302"/>
        </a:xfrm>
        <a:prstGeom prst="line">
          <a:avLst/>
        </a:prstGeom>
        <a:noFill/>
        <a:ln w="12700">
          <a:solidFill>
            <a:srgbClr val="000000"/>
          </a:solidFill>
          <a:round/>
          <a:headEnd/>
          <a:tailEnd type="stealth" w="med" len="med"/>
        </a:ln>
      </xdr:spPr>
    </xdr:sp>
    <xdr:clientData/>
  </xdr:twoCellAnchor>
  <xdr:twoCellAnchor>
    <xdr:from>
      <xdr:col>7</xdr:col>
      <xdr:colOff>256761</xdr:colOff>
      <xdr:row>10</xdr:row>
      <xdr:rowOff>59648</xdr:rowOff>
    </xdr:from>
    <xdr:to>
      <xdr:col>10</xdr:col>
      <xdr:colOff>160021</xdr:colOff>
      <xdr:row>10</xdr:row>
      <xdr:rowOff>59648</xdr:rowOff>
    </xdr:to>
    <xdr:sp macro="" textlink="">
      <xdr:nvSpPr>
        <xdr:cNvPr id="223" name="Line 170"/>
        <xdr:cNvSpPr>
          <a:spLocks noChangeShapeType="1"/>
        </xdr:cNvSpPr>
      </xdr:nvSpPr>
      <xdr:spPr bwMode="auto">
        <a:xfrm>
          <a:off x="4523961" y="1583648"/>
          <a:ext cx="1732060" cy="0"/>
        </a:xfrm>
        <a:prstGeom prst="line">
          <a:avLst/>
        </a:prstGeom>
        <a:noFill/>
        <a:ln w="12700">
          <a:solidFill>
            <a:srgbClr val="000000"/>
          </a:solidFill>
          <a:round/>
          <a:headEnd/>
          <a:tailEnd type="stealth" w="med" len="med"/>
        </a:ln>
      </xdr:spPr>
    </xdr:sp>
    <xdr:clientData/>
  </xdr:twoCellAnchor>
  <xdr:twoCellAnchor>
    <xdr:from>
      <xdr:col>10</xdr:col>
      <xdr:colOff>239622</xdr:colOff>
      <xdr:row>10</xdr:row>
      <xdr:rowOff>59648</xdr:rowOff>
    </xdr:from>
    <xdr:to>
      <xdr:col>12</xdr:col>
      <xdr:colOff>251847</xdr:colOff>
      <xdr:row>10</xdr:row>
      <xdr:rowOff>59648</xdr:rowOff>
    </xdr:to>
    <xdr:sp macro="" textlink="">
      <xdr:nvSpPr>
        <xdr:cNvPr id="224" name="Line 171"/>
        <xdr:cNvSpPr>
          <a:spLocks noChangeShapeType="1"/>
        </xdr:cNvSpPr>
      </xdr:nvSpPr>
      <xdr:spPr bwMode="auto">
        <a:xfrm>
          <a:off x="6335622" y="1583648"/>
          <a:ext cx="1231425" cy="0"/>
        </a:xfrm>
        <a:prstGeom prst="line">
          <a:avLst/>
        </a:prstGeom>
        <a:noFill/>
        <a:ln w="3175">
          <a:solidFill>
            <a:srgbClr val="000000"/>
          </a:solidFill>
          <a:round/>
          <a:headEnd/>
          <a:tailEnd/>
        </a:ln>
      </xdr:spPr>
    </xdr:sp>
    <xdr:clientData/>
  </xdr:twoCellAnchor>
  <xdr:twoCellAnchor>
    <xdr:from>
      <xdr:col>11</xdr:col>
      <xdr:colOff>148735</xdr:colOff>
      <xdr:row>15</xdr:row>
      <xdr:rowOff>52853</xdr:rowOff>
    </xdr:from>
    <xdr:to>
      <xdr:col>12</xdr:col>
      <xdr:colOff>261798</xdr:colOff>
      <xdr:row>15</xdr:row>
      <xdr:rowOff>52853</xdr:rowOff>
    </xdr:to>
    <xdr:sp macro="" textlink="">
      <xdr:nvSpPr>
        <xdr:cNvPr id="225" name="Line 172"/>
        <xdr:cNvSpPr>
          <a:spLocks noChangeShapeType="1"/>
        </xdr:cNvSpPr>
      </xdr:nvSpPr>
      <xdr:spPr bwMode="auto">
        <a:xfrm>
          <a:off x="6854335" y="2338853"/>
          <a:ext cx="722663" cy="0"/>
        </a:xfrm>
        <a:prstGeom prst="line">
          <a:avLst/>
        </a:prstGeom>
        <a:noFill/>
        <a:ln w="3175">
          <a:solidFill>
            <a:srgbClr val="000000"/>
          </a:solidFill>
          <a:round/>
          <a:headEnd/>
          <a:tailEnd/>
        </a:ln>
      </xdr:spPr>
    </xdr:sp>
    <xdr:clientData/>
  </xdr:twoCellAnchor>
  <xdr:twoCellAnchor>
    <xdr:from>
      <xdr:col>12</xdr:col>
      <xdr:colOff>32944</xdr:colOff>
      <xdr:row>10</xdr:row>
      <xdr:rowOff>59648</xdr:rowOff>
    </xdr:from>
    <xdr:to>
      <xdr:col>12</xdr:col>
      <xdr:colOff>32944</xdr:colOff>
      <xdr:row>15</xdr:row>
      <xdr:rowOff>52853</xdr:rowOff>
    </xdr:to>
    <xdr:sp macro="" textlink="">
      <xdr:nvSpPr>
        <xdr:cNvPr id="226" name="Line 173"/>
        <xdr:cNvSpPr>
          <a:spLocks noChangeShapeType="1"/>
        </xdr:cNvSpPr>
      </xdr:nvSpPr>
      <xdr:spPr bwMode="auto">
        <a:xfrm flipV="1">
          <a:off x="7348144" y="1583648"/>
          <a:ext cx="0" cy="755205"/>
        </a:xfrm>
        <a:prstGeom prst="line">
          <a:avLst/>
        </a:prstGeom>
        <a:noFill/>
        <a:ln w="3175">
          <a:solidFill>
            <a:srgbClr val="000000"/>
          </a:solidFill>
          <a:round/>
          <a:headEnd type="triangle" w="sm" len="med"/>
          <a:tailEnd type="triangle" w="sm" len="med"/>
        </a:ln>
      </xdr:spPr>
    </xdr:sp>
    <xdr:clientData/>
  </xdr:twoCellAnchor>
  <xdr:twoCellAnchor>
    <xdr:from>
      <xdr:col>21</xdr:col>
      <xdr:colOff>30159</xdr:colOff>
      <xdr:row>18</xdr:row>
      <xdr:rowOff>111823</xdr:rowOff>
    </xdr:from>
    <xdr:to>
      <xdr:col>21</xdr:col>
      <xdr:colOff>158083</xdr:colOff>
      <xdr:row>19</xdr:row>
      <xdr:rowOff>93269</xdr:rowOff>
    </xdr:to>
    <xdr:sp macro="" textlink="">
      <xdr:nvSpPr>
        <xdr:cNvPr id="227" name="Text Box 174"/>
        <xdr:cNvSpPr txBox="1">
          <a:spLocks noChangeArrowheads="1"/>
        </xdr:cNvSpPr>
      </xdr:nvSpPr>
      <xdr:spPr bwMode="auto">
        <a:xfrm>
          <a:off x="12831759" y="2855023"/>
          <a:ext cx="127924" cy="13384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a:t>
          </a:r>
        </a:p>
      </xdr:txBody>
    </xdr:sp>
    <xdr:clientData/>
  </xdr:twoCellAnchor>
  <xdr:twoCellAnchor>
    <xdr:from>
      <xdr:col>12</xdr:col>
      <xdr:colOff>22993</xdr:colOff>
      <xdr:row>12</xdr:row>
      <xdr:rowOff>60751</xdr:rowOff>
    </xdr:from>
    <xdr:to>
      <xdr:col>12</xdr:col>
      <xdr:colOff>182196</xdr:colOff>
      <xdr:row>13</xdr:row>
      <xdr:rowOff>42197</xdr:rowOff>
    </xdr:to>
    <xdr:sp macro="" textlink="">
      <xdr:nvSpPr>
        <xdr:cNvPr id="228" name="Text Box 175"/>
        <xdr:cNvSpPr txBox="1">
          <a:spLocks noChangeArrowheads="1"/>
        </xdr:cNvSpPr>
      </xdr:nvSpPr>
      <xdr:spPr bwMode="auto">
        <a:xfrm>
          <a:off x="7338193" y="1889551"/>
          <a:ext cx="159203" cy="13384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H</a:t>
          </a:r>
          <a:r>
            <a:rPr lang="de-DE" altLang="ja-JP" sz="700" b="1" i="0" strike="noStrike">
              <a:solidFill>
                <a:srgbClr val="000000"/>
              </a:solidFill>
              <a:latin typeface="Times New Roman"/>
              <a:cs typeface="Times New Roman"/>
            </a:rPr>
            <a:t>g</a:t>
          </a:r>
        </a:p>
      </xdr:txBody>
    </xdr:sp>
    <xdr:clientData/>
  </xdr:twoCellAnchor>
  <xdr:twoCellAnchor>
    <xdr:from>
      <xdr:col>8</xdr:col>
      <xdr:colOff>288931</xdr:colOff>
      <xdr:row>9</xdr:row>
      <xdr:rowOff>87754</xdr:rowOff>
    </xdr:from>
    <xdr:to>
      <xdr:col>9</xdr:col>
      <xdr:colOff>207994</xdr:colOff>
      <xdr:row>10</xdr:row>
      <xdr:rowOff>88306</xdr:rowOff>
    </xdr:to>
    <xdr:sp macro="" textlink="">
      <xdr:nvSpPr>
        <xdr:cNvPr id="229" name="Text Box 176"/>
        <xdr:cNvSpPr txBox="1">
          <a:spLocks noChangeArrowheads="1"/>
        </xdr:cNvSpPr>
      </xdr:nvSpPr>
      <xdr:spPr bwMode="auto">
        <a:xfrm>
          <a:off x="5165731" y="1459354"/>
          <a:ext cx="528663" cy="152952"/>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4</xdr:col>
      <xdr:colOff>234409</xdr:colOff>
      <xdr:row>11</xdr:row>
      <xdr:rowOff>98409</xdr:rowOff>
    </xdr:from>
    <xdr:to>
      <xdr:col>5</xdr:col>
      <xdr:colOff>153471</xdr:colOff>
      <xdr:row>12</xdr:row>
      <xdr:rowOff>98961</xdr:rowOff>
    </xdr:to>
    <xdr:sp macro="" textlink="">
      <xdr:nvSpPr>
        <xdr:cNvPr id="230" name="Text Box 177"/>
        <xdr:cNvSpPr txBox="1">
          <a:spLocks noChangeArrowheads="1"/>
        </xdr:cNvSpPr>
      </xdr:nvSpPr>
      <xdr:spPr bwMode="auto">
        <a:xfrm>
          <a:off x="2672809" y="1774809"/>
          <a:ext cx="528662" cy="152952"/>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R</a:t>
          </a:r>
          <a:r>
            <a:rPr lang="de-DE" altLang="ja-JP" sz="700" b="1" i="0" strike="noStrike">
              <a:solidFill>
                <a:srgbClr val="000000"/>
              </a:solidFill>
              <a:latin typeface="Times New Roman"/>
              <a:cs typeface="Times New Roman"/>
            </a:rPr>
            <a:t>b</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11</xdr:col>
      <xdr:colOff>118884</xdr:colOff>
      <xdr:row>16</xdr:row>
      <xdr:rowOff>43852</xdr:rowOff>
    </xdr:from>
    <xdr:to>
      <xdr:col>11</xdr:col>
      <xdr:colOff>118884</xdr:colOff>
      <xdr:row>16</xdr:row>
      <xdr:rowOff>43852</xdr:rowOff>
    </xdr:to>
    <xdr:sp macro="" textlink="">
      <xdr:nvSpPr>
        <xdr:cNvPr id="231" name="Line 211"/>
        <xdr:cNvSpPr>
          <a:spLocks noChangeShapeType="1"/>
        </xdr:cNvSpPr>
      </xdr:nvSpPr>
      <xdr:spPr bwMode="auto">
        <a:xfrm flipH="1">
          <a:off x="6824484" y="2482252"/>
          <a:ext cx="0" cy="0"/>
        </a:xfrm>
        <a:prstGeom prst="line">
          <a:avLst/>
        </a:prstGeom>
        <a:noFill/>
        <a:ln w="6350">
          <a:solidFill>
            <a:srgbClr val="000000"/>
          </a:solidFill>
          <a:round/>
          <a:headEnd/>
          <a:tailEnd/>
        </a:ln>
      </xdr:spPr>
    </xdr:sp>
    <xdr:clientData/>
  </xdr:twoCellAnchor>
  <xdr:twoCellAnchor>
    <xdr:from>
      <xdr:col>7</xdr:col>
      <xdr:colOff>258694</xdr:colOff>
      <xdr:row>10</xdr:row>
      <xdr:rowOff>59648</xdr:rowOff>
    </xdr:from>
    <xdr:to>
      <xdr:col>7</xdr:col>
      <xdr:colOff>258694</xdr:colOff>
      <xdr:row>12</xdr:row>
      <xdr:rowOff>98961</xdr:rowOff>
    </xdr:to>
    <xdr:sp macro="" textlink="">
      <xdr:nvSpPr>
        <xdr:cNvPr id="232" name="Line 213"/>
        <xdr:cNvSpPr>
          <a:spLocks noChangeShapeType="1"/>
        </xdr:cNvSpPr>
      </xdr:nvSpPr>
      <xdr:spPr bwMode="auto">
        <a:xfrm>
          <a:off x="4525894" y="1583648"/>
          <a:ext cx="0" cy="344113"/>
        </a:xfrm>
        <a:prstGeom prst="line">
          <a:avLst/>
        </a:prstGeom>
        <a:noFill/>
        <a:ln w="12700">
          <a:solidFill>
            <a:srgbClr val="000000"/>
          </a:solidFill>
          <a:round/>
          <a:headEnd/>
          <a:tailEnd type="stealth" w="med" len="med"/>
        </a:ln>
      </xdr:spPr>
    </xdr:sp>
    <xdr:clientData/>
  </xdr:twoCellAnchor>
  <xdr:twoCellAnchor>
    <xdr:from>
      <xdr:col>7</xdr:col>
      <xdr:colOff>87763</xdr:colOff>
      <xdr:row>9</xdr:row>
      <xdr:rowOff>164174</xdr:rowOff>
    </xdr:from>
    <xdr:to>
      <xdr:col>8</xdr:col>
      <xdr:colOff>25105</xdr:colOff>
      <xdr:row>10</xdr:row>
      <xdr:rowOff>164726</xdr:rowOff>
    </xdr:to>
    <xdr:sp macro="" textlink="">
      <xdr:nvSpPr>
        <xdr:cNvPr id="233" name="Text Box 214"/>
        <xdr:cNvSpPr txBox="1">
          <a:spLocks noChangeArrowheads="1"/>
        </xdr:cNvSpPr>
      </xdr:nvSpPr>
      <xdr:spPr bwMode="auto">
        <a:xfrm>
          <a:off x="4354963" y="1526249"/>
          <a:ext cx="546942" cy="152952"/>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24</xdr:col>
      <xdr:colOff>10637</xdr:colOff>
      <xdr:row>18</xdr:row>
      <xdr:rowOff>140481</xdr:rowOff>
    </xdr:from>
    <xdr:to>
      <xdr:col>25</xdr:col>
      <xdr:colOff>208305</xdr:colOff>
      <xdr:row>20</xdr:row>
      <xdr:rowOff>132032</xdr:rowOff>
    </xdr:to>
    <xdr:sp macro="" textlink="">
      <xdr:nvSpPr>
        <xdr:cNvPr id="234" name="Line 216"/>
        <xdr:cNvSpPr>
          <a:spLocks noChangeShapeType="1"/>
        </xdr:cNvSpPr>
      </xdr:nvSpPr>
      <xdr:spPr bwMode="auto">
        <a:xfrm>
          <a:off x="14641037" y="2883681"/>
          <a:ext cx="807268" cy="296351"/>
        </a:xfrm>
        <a:prstGeom prst="line">
          <a:avLst/>
        </a:prstGeom>
        <a:noFill/>
        <a:ln w="3175">
          <a:solidFill>
            <a:srgbClr val="000000"/>
          </a:solidFill>
          <a:round/>
          <a:headEnd type="triangle" w="sm" len="lg"/>
          <a:tailEnd/>
        </a:ln>
      </xdr:spPr>
    </xdr:sp>
    <xdr:clientData/>
  </xdr:twoCellAnchor>
  <xdr:twoCellAnchor>
    <xdr:from>
      <xdr:col>25</xdr:col>
      <xdr:colOff>208304</xdr:colOff>
      <xdr:row>20</xdr:row>
      <xdr:rowOff>132031</xdr:rowOff>
    </xdr:from>
    <xdr:to>
      <xdr:col>28</xdr:col>
      <xdr:colOff>55043</xdr:colOff>
      <xdr:row>20</xdr:row>
      <xdr:rowOff>132031</xdr:rowOff>
    </xdr:to>
    <xdr:sp macro="" textlink="">
      <xdr:nvSpPr>
        <xdr:cNvPr id="235" name="Line 217"/>
        <xdr:cNvSpPr>
          <a:spLocks noChangeShapeType="1"/>
        </xdr:cNvSpPr>
      </xdr:nvSpPr>
      <xdr:spPr bwMode="auto">
        <a:xfrm>
          <a:off x="15448304" y="3180031"/>
          <a:ext cx="1675539" cy="0"/>
        </a:xfrm>
        <a:prstGeom prst="line">
          <a:avLst/>
        </a:prstGeom>
        <a:noFill/>
        <a:ln w="3175">
          <a:solidFill>
            <a:srgbClr val="000000"/>
          </a:solidFill>
          <a:round/>
          <a:headEnd/>
          <a:tailEnd/>
        </a:ln>
      </xdr:spPr>
    </xdr:sp>
    <xdr:clientData/>
  </xdr:twoCellAnchor>
  <xdr:twoCellAnchor>
    <xdr:from>
      <xdr:col>28</xdr:col>
      <xdr:colOff>144595</xdr:colOff>
      <xdr:row>18</xdr:row>
      <xdr:rowOff>111823</xdr:rowOff>
    </xdr:from>
    <xdr:to>
      <xdr:col>28</xdr:col>
      <xdr:colOff>254047</xdr:colOff>
      <xdr:row>19</xdr:row>
      <xdr:rowOff>93269</xdr:rowOff>
    </xdr:to>
    <xdr:sp macro="" textlink="">
      <xdr:nvSpPr>
        <xdr:cNvPr id="236" name="Text Box 218"/>
        <xdr:cNvSpPr txBox="1">
          <a:spLocks noChangeArrowheads="1"/>
        </xdr:cNvSpPr>
      </xdr:nvSpPr>
      <xdr:spPr bwMode="auto">
        <a:xfrm>
          <a:off x="17213395" y="2855023"/>
          <a:ext cx="109452" cy="13384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D</a:t>
          </a:r>
        </a:p>
      </xdr:txBody>
    </xdr:sp>
    <xdr:clientData/>
  </xdr:twoCellAnchor>
  <xdr:twoCellAnchor>
    <xdr:from>
      <xdr:col>24</xdr:col>
      <xdr:colOff>20587</xdr:colOff>
      <xdr:row>20</xdr:row>
      <xdr:rowOff>132031</xdr:rowOff>
    </xdr:from>
    <xdr:to>
      <xdr:col>25</xdr:col>
      <xdr:colOff>208305</xdr:colOff>
      <xdr:row>21</xdr:row>
      <xdr:rowOff>37057</xdr:rowOff>
    </xdr:to>
    <xdr:sp macro="" textlink="">
      <xdr:nvSpPr>
        <xdr:cNvPr id="237" name="Line 219"/>
        <xdr:cNvSpPr>
          <a:spLocks noChangeShapeType="1"/>
        </xdr:cNvSpPr>
      </xdr:nvSpPr>
      <xdr:spPr bwMode="auto">
        <a:xfrm flipH="1">
          <a:off x="14650987" y="3180031"/>
          <a:ext cx="797318" cy="57426"/>
        </a:xfrm>
        <a:prstGeom prst="line">
          <a:avLst/>
        </a:prstGeom>
        <a:noFill/>
        <a:ln w="3175">
          <a:solidFill>
            <a:srgbClr val="000000"/>
          </a:solidFill>
          <a:round/>
          <a:headEnd/>
          <a:tailEnd type="triangle" w="sm" len="lg"/>
        </a:ln>
      </xdr:spPr>
    </xdr:sp>
    <xdr:clientData/>
  </xdr:twoCellAnchor>
  <xdr:twoCellAnchor>
    <xdr:from>
      <xdr:col>7</xdr:col>
      <xdr:colOff>154245</xdr:colOff>
      <xdr:row>12</xdr:row>
      <xdr:rowOff>79856</xdr:rowOff>
    </xdr:from>
    <xdr:to>
      <xdr:col>8</xdr:col>
      <xdr:colOff>88156</xdr:colOff>
      <xdr:row>13</xdr:row>
      <xdr:rowOff>80408</xdr:rowOff>
    </xdr:to>
    <xdr:sp macro="" textlink="">
      <xdr:nvSpPr>
        <xdr:cNvPr id="238" name="Text Box 220"/>
        <xdr:cNvSpPr txBox="1">
          <a:spLocks noChangeArrowheads="1"/>
        </xdr:cNvSpPr>
      </xdr:nvSpPr>
      <xdr:spPr bwMode="auto">
        <a:xfrm>
          <a:off x="4421445" y="1908656"/>
          <a:ext cx="543511" cy="152952"/>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Wt</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3</xdr:col>
      <xdr:colOff>167706</xdr:colOff>
      <xdr:row>49</xdr:row>
      <xdr:rowOff>103688</xdr:rowOff>
    </xdr:from>
    <xdr:to>
      <xdr:col>4</xdr:col>
      <xdr:colOff>37121</xdr:colOff>
      <xdr:row>50</xdr:row>
      <xdr:rowOff>94687</xdr:rowOff>
    </xdr:to>
    <xdr:sp macro="" textlink="">
      <xdr:nvSpPr>
        <xdr:cNvPr id="239" name="Text Box 221"/>
        <xdr:cNvSpPr txBox="1">
          <a:spLocks noChangeArrowheads="1"/>
        </xdr:cNvSpPr>
      </xdr:nvSpPr>
      <xdr:spPr bwMode="auto">
        <a:xfrm>
          <a:off x="1996506" y="7571288"/>
          <a:ext cx="479015" cy="143399"/>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4</xdr:col>
      <xdr:colOff>190344</xdr:colOff>
      <xdr:row>15</xdr:row>
      <xdr:rowOff>55582</xdr:rowOff>
    </xdr:from>
    <xdr:to>
      <xdr:col>10</xdr:col>
      <xdr:colOff>272912</xdr:colOff>
      <xdr:row>16</xdr:row>
      <xdr:rowOff>59149</xdr:rowOff>
    </xdr:to>
    <xdr:grpSp>
      <xdr:nvGrpSpPr>
        <xdr:cNvPr id="240" name="グループ化 239"/>
        <xdr:cNvGrpSpPr/>
      </xdr:nvGrpSpPr>
      <xdr:grpSpPr>
        <a:xfrm>
          <a:off x="936469" y="2801957"/>
          <a:ext cx="1781193" cy="194067"/>
          <a:chOff x="752475" y="2759242"/>
          <a:chExt cx="1737561" cy="193507"/>
        </a:xfrm>
      </xdr:grpSpPr>
      <xdr:sp macro="" textlink="">
        <xdr:nvSpPr>
          <xdr:cNvPr id="241" name="Line 115"/>
          <xdr:cNvSpPr>
            <a:spLocks noChangeShapeType="1"/>
          </xdr:cNvSpPr>
        </xdr:nvSpPr>
        <xdr:spPr bwMode="auto">
          <a:xfrm>
            <a:off x="752475" y="2759242"/>
            <a:ext cx="1737561" cy="0"/>
          </a:xfrm>
          <a:prstGeom prst="line">
            <a:avLst/>
          </a:prstGeom>
          <a:noFill/>
          <a:ln w="15875">
            <a:solidFill>
              <a:srgbClr val="000000"/>
            </a:solidFill>
            <a:round/>
            <a:headEnd/>
            <a:tailEnd/>
          </a:ln>
        </xdr:spPr>
      </xdr:sp>
      <xdr:sp macro="" textlink="">
        <xdr:nvSpPr>
          <xdr:cNvPr id="242" name="Line 135"/>
          <xdr:cNvSpPr>
            <a:spLocks noChangeShapeType="1"/>
          </xdr:cNvSpPr>
        </xdr:nvSpPr>
        <xdr:spPr bwMode="auto">
          <a:xfrm flipH="1">
            <a:off x="771525" y="2759242"/>
            <a:ext cx="180975" cy="180975"/>
          </a:xfrm>
          <a:prstGeom prst="line">
            <a:avLst/>
          </a:prstGeom>
          <a:noFill/>
          <a:ln w="6350">
            <a:solidFill>
              <a:srgbClr val="000000"/>
            </a:solidFill>
            <a:round/>
            <a:headEnd/>
            <a:tailEnd/>
          </a:ln>
        </xdr:spPr>
      </xdr:sp>
      <xdr:sp macro="" textlink="">
        <xdr:nvSpPr>
          <xdr:cNvPr id="243" name="Line 136"/>
          <xdr:cNvSpPr>
            <a:spLocks noChangeShapeType="1"/>
          </xdr:cNvSpPr>
        </xdr:nvSpPr>
        <xdr:spPr bwMode="auto">
          <a:xfrm flipH="1">
            <a:off x="885825" y="2759242"/>
            <a:ext cx="180975" cy="180975"/>
          </a:xfrm>
          <a:prstGeom prst="line">
            <a:avLst/>
          </a:prstGeom>
          <a:noFill/>
          <a:ln w="6350">
            <a:solidFill>
              <a:srgbClr val="000000"/>
            </a:solidFill>
            <a:round/>
            <a:headEnd/>
            <a:tailEnd/>
          </a:ln>
        </xdr:spPr>
      </xdr:sp>
      <xdr:sp macro="" textlink="">
        <xdr:nvSpPr>
          <xdr:cNvPr id="244" name="Line 137"/>
          <xdr:cNvSpPr>
            <a:spLocks noChangeShapeType="1"/>
          </xdr:cNvSpPr>
        </xdr:nvSpPr>
        <xdr:spPr bwMode="auto">
          <a:xfrm flipH="1">
            <a:off x="752475" y="2759242"/>
            <a:ext cx="85725" cy="85725"/>
          </a:xfrm>
          <a:prstGeom prst="line">
            <a:avLst/>
          </a:prstGeom>
          <a:noFill/>
          <a:ln w="6350">
            <a:solidFill>
              <a:srgbClr val="000000"/>
            </a:solidFill>
            <a:round/>
            <a:headEnd/>
            <a:tailEnd/>
          </a:ln>
        </xdr:spPr>
      </xdr:sp>
      <xdr:sp macro="" textlink="">
        <xdr:nvSpPr>
          <xdr:cNvPr id="245" name="Line 138"/>
          <xdr:cNvSpPr>
            <a:spLocks noChangeShapeType="1"/>
          </xdr:cNvSpPr>
        </xdr:nvSpPr>
        <xdr:spPr bwMode="auto">
          <a:xfrm flipH="1">
            <a:off x="752475" y="2759242"/>
            <a:ext cx="28575" cy="28575"/>
          </a:xfrm>
          <a:prstGeom prst="line">
            <a:avLst/>
          </a:prstGeom>
          <a:noFill/>
          <a:ln w="6350">
            <a:solidFill>
              <a:srgbClr val="000000"/>
            </a:solidFill>
            <a:round/>
            <a:headEnd/>
            <a:tailEnd/>
          </a:ln>
        </xdr:spPr>
      </xdr:sp>
      <xdr:sp macro="" textlink="">
        <xdr:nvSpPr>
          <xdr:cNvPr id="246" name="Line 139"/>
          <xdr:cNvSpPr>
            <a:spLocks noChangeShapeType="1"/>
          </xdr:cNvSpPr>
        </xdr:nvSpPr>
        <xdr:spPr bwMode="auto">
          <a:xfrm flipH="1">
            <a:off x="752475" y="2759242"/>
            <a:ext cx="142875" cy="142875"/>
          </a:xfrm>
          <a:prstGeom prst="line">
            <a:avLst/>
          </a:prstGeom>
          <a:noFill/>
          <a:ln w="6350">
            <a:solidFill>
              <a:srgbClr val="000000"/>
            </a:solidFill>
            <a:round/>
            <a:headEnd/>
            <a:tailEnd/>
          </a:ln>
        </xdr:spPr>
      </xdr:sp>
      <xdr:sp macro="" textlink="">
        <xdr:nvSpPr>
          <xdr:cNvPr id="247" name="Line 140"/>
          <xdr:cNvSpPr>
            <a:spLocks noChangeShapeType="1"/>
          </xdr:cNvSpPr>
        </xdr:nvSpPr>
        <xdr:spPr bwMode="auto">
          <a:xfrm flipH="1">
            <a:off x="942975" y="2759242"/>
            <a:ext cx="180975" cy="180975"/>
          </a:xfrm>
          <a:prstGeom prst="line">
            <a:avLst/>
          </a:prstGeom>
          <a:noFill/>
          <a:ln w="6350">
            <a:solidFill>
              <a:srgbClr val="000000"/>
            </a:solidFill>
            <a:round/>
            <a:headEnd/>
            <a:tailEnd/>
          </a:ln>
        </xdr:spPr>
      </xdr:sp>
      <xdr:sp macro="" textlink="">
        <xdr:nvSpPr>
          <xdr:cNvPr id="248" name="Line 141"/>
          <xdr:cNvSpPr>
            <a:spLocks noChangeShapeType="1"/>
          </xdr:cNvSpPr>
        </xdr:nvSpPr>
        <xdr:spPr bwMode="auto">
          <a:xfrm flipH="1">
            <a:off x="1000125" y="2759242"/>
            <a:ext cx="180975" cy="180975"/>
          </a:xfrm>
          <a:prstGeom prst="line">
            <a:avLst/>
          </a:prstGeom>
          <a:noFill/>
          <a:ln w="6350">
            <a:solidFill>
              <a:srgbClr val="000000"/>
            </a:solidFill>
            <a:round/>
            <a:headEnd/>
            <a:tailEnd/>
          </a:ln>
        </xdr:spPr>
      </xdr:sp>
      <xdr:sp macro="" textlink="">
        <xdr:nvSpPr>
          <xdr:cNvPr id="249" name="Line 142"/>
          <xdr:cNvSpPr>
            <a:spLocks noChangeShapeType="1"/>
          </xdr:cNvSpPr>
        </xdr:nvSpPr>
        <xdr:spPr bwMode="auto">
          <a:xfrm flipH="1">
            <a:off x="1057275" y="2759242"/>
            <a:ext cx="180975" cy="180975"/>
          </a:xfrm>
          <a:prstGeom prst="line">
            <a:avLst/>
          </a:prstGeom>
          <a:noFill/>
          <a:ln w="6350">
            <a:solidFill>
              <a:srgbClr val="000000"/>
            </a:solidFill>
            <a:round/>
            <a:headEnd/>
            <a:tailEnd/>
          </a:ln>
        </xdr:spPr>
      </xdr:sp>
      <xdr:sp macro="" textlink="">
        <xdr:nvSpPr>
          <xdr:cNvPr id="250" name="Line 143"/>
          <xdr:cNvSpPr>
            <a:spLocks noChangeShapeType="1"/>
          </xdr:cNvSpPr>
        </xdr:nvSpPr>
        <xdr:spPr bwMode="auto">
          <a:xfrm flipH="1">
            <a:off x="1114425" y="2759242"/>
            <a:ext cx="180975" cy="180975"/>
          </a:xfrm>
          <a:prstGeom prst="line">
            <a:avLst/>
          </a:prstGeom>
          <a:noFill/>
          <a:ln w="6350">
            <a:solidFill>
              <a:srgbClr val="000000"/>
            </a:solidFill>
            <a:round/>
            <a:headEnd/>
            <a:tailEnd/>
          </a:ln>
        </xdr:spPr>
      </xdr:sp>
      <xdr:sp macro="" textlink="">
        <xdr:nvSpPr>
          <xdr:cNvPr id="251" name="Line 144"/>
          <xdr:cNvSpPr>
            <a:spLocks noChangeShapeType="1"/>
          </xdr:cNvSpPr>
        </xdr:nvSpPr>
        <xdr:spPr bwMode="auto">
          <a:xfrm flipH="1">
            <a:off x="1171575" y="2759242"/>
            <a:ext cx="180975" cy="180975"/>
          </a:xfrm>
          <a:prstGeom prst="line">
            <a:avLst/>
          </a:prstGeom>
          <a:noFill/>
          <a:ln w="6350">
            <a:solidFill>
              <a:srgbClr val="000000"/>
            </a:solidFill>
            <a:round/>
            <a:headEnd/>
            <a:tailEnd/>
          </a:ln>
        </xdr:spPr>
      </xdr:sp>
      <xdr:sp macro="" textlink="">
        <xdr:nvSpPr>
          <xdr:cNvPr id="252" name="Line 145"/>
          <xdr:cNvSpPr>
            <a:spLocks noChangeShapeType="1"/>
          </xdr:cNvSpPr>
        </xdr:nvSpPr>
        <xdr:spPr bwMode="auto">
          <a:xfrm flipH="1">
            <a:off x="1228725" y="2759242"/>
            <a:ext cx="180975" cy="180975"/>
          </a:xfrm>
          <a:prstGeom prst="line">
            <a:avLst/>
          </a:prstGeom>
          <a:noFill/>
          <a:ln w="6350">
            <a:solidFill>
              <a:srgbClr val="000000"/>
            </a:solidFill>
            <a:round/>
            <a:headEnd/>
            <a:tailEnd/>
          </a:ln>
        </xdr:spPr>
      </xdr:sp>
      <xdr:sp macro="" textlink="">
        <xdr:nvSpPr>
          <xdr:cNvPr id="253" name="Line 146"/>
          <xdr:cNvSpPr>
            <a:spLocks noChangeShapeType="1"/>
          </xdr:cNvSpPr>
        </xdr:nvSpPr>
        <xdr:spPr bwMode="auto">
          <a:xfrm flipH="1">
            <a:off x="1285875" y="2759242"/>
            <a:ext cx="180975" cy="180975"/>
          </a:xfrm>
          <a:prstGeom prst="line">
            <a:avLst/>
          </a:prstGeom>
          <a:noFill/>
          <a:ln w="6350">
            <a:solidFill>
              <a:srgbClr val="000000"/>
            </a:solidFill>
            <a:round/>
            <a:headEnd/>
            <a:tailEnd/>
          </a:ln>
        </xdr:spPr>
      </xdr:sp>
      <xdr:sp macro="" textlink="">
        <xdr:nvSpPr>
          <xdr:cNvPr id="254" name="Line 147"/>
          <xdr:cNvSpPr>
            <a:spLocks noChangeShapeType="1"/>
          </xdr:cNvSpPr>
        </xdr:nvSpPr>
        <xdr:spPr bwMode="auto">
          <a:xfrm flipH="1">
            <a:off x="1343025" y="2759242"/>
            <a:ext cx="183482" cy="180975"/>
          </a:xfrm>
          <a:prstGeom prst="line">
            <a:avLst/>
          </a:prstGeom>
          <a:noFill/>
          <a:ln w="6350">
            <a:solidFill>
              <a:srgbClr val="000000"/>
            </a:solidFill>
            <a:round/>
            <a:headEnd/>
            <a:tailEnd/>
          </a:ln>
        </xdr:spPr>
      </xdr:sp>
      <xdr:sp macro="" textlink="">
        <xdr:nvSpPr>
          <xdr:cNvPr id="255" name="Line 148"/>
          <xdr:cNvSpPr>
            <a:spLocks noChangeShapeType="1"/>
          </xdr:cNvSpPr>
        </xdr:nvSpPr>
        <xdr:spPr bwMode="auto">
          <a:xfrm flipH="1">
            <a:off x="1400175" y="2759242"/>
            <a:ext cx="183482" cy="180975"/>
          </a:xfrm>
          <a:prstGeom prst="line">
            <a:avLst/>
          </a:prstGeom>
          <a:noFill/>
          <a:ln w="6350">
            <a:solidFill>
              <a:srgbClr val="000000"/>
            </a:solidFill>
            <a:round/>
            <a:headEnd/>
            <a:tailEnd/>
          </a:ln>
        </xdr:spPr>
      </xdr:sp>
      <xdr:sp macro="" textlink="">
        <xdr:nvSpPr>
          <xdr:cNvPr id="256" name="Line 149"/>
          <xdr:cNvSpPr>
            <a:spLocks noChangeShapeType="1"/>
          </xdr:cNvSpPr>
        </xdr:nvSpPr>
        <xdr:spPr bwMode="auto">
          <a:xfrm flipH="1">
            <a:off x="1516982" y="2759242"/>
            <a:ext cx="183481" cy="180975"/>
          </a:xfrm>
          <a:prstGeom prst="line">
            <a:avLst/>
          </a:prstGeom>
          <a:noFill/>
          <a:ln w="6350">
            <a:solidFill>
              <a:srgbClr val="000000"/>
            </a:solidFill>
            <a:round/>
            <a:headEnd/>
            <a:tailEnd/>
          </a:ln>
        </xdr:spPr>
      </xdr:sp>
      <xdr:sp macro="" textlink="">
        <xdr:nvSpPr>
          <xdr:cNvPr id="257" name="Line 150"/>
          <xdr:cNvSpPr>
            <a:spLocks noChangeShapeType="1"/>
          </xdr:cNvSpPr>
        </xdr:nvSpPr>
        <xdr:spPr bwMode="auto">
          <a:xfrm flipH="1">
            <a:off x="828675" y="2759242"/>
            <a:ext cx="180975" cy="180975"/>
          </a:xfrm>
          <a:prstGeom prst="line">
            <a:avLst/>
          </a:prstGeom>
          <a:noFill/>
          <a:ln w="6350">
            <a:solidFill>
              <a:srgbClr val="000000"/>
            </a:solidFill>
            <a:round/>
            <a:headEnd/>
            <a:tailEnd/>
          </a:ln>
        </xdr:spPr>
      </xdr:sp>
      <xdr:sp macro="" textlink="">
        <xdr:nvSpPr>
          <xdr:cNvPr id="258" name="Line 151"/>
          <xdr:cNvSpPr>
            <a:spLocks noChangeShapeType="1"/>
          </xdr:cNvSpPr>
        </xdr:nvSpPr>
        <xdr:spPr bwMode="auto">
          <a:xfrm flipH="1">
            <a:off x="1574132" y="2759242"/>
            <a:ext cx="183481" cy="180975"/>
          </a:xfrm>
          <a:prstGeom prst="line">
            <a:avLst/>
          </a:prstGeom>
          <a:noFill/>
          <a:ln w="6350">
            <a:solidFill>
              <a:srgbClr val="000000"/>
            </a:solidFill>
            <a:round/>
            <a:headEnd/>
            <a:tailEnd/>
          </a:ln>
        </xdr:spPr>
      </xdr:sp>
      <xdr:sp macro="" textlink="">
        <xdr:nvSpPr>
          <xdr:cNvPr id="259" name="Line 152"/>
          <xdr:cNvSpPr>
            <a:spLocks noChangeShapeType="1"/>
          </xdr:cNvSpPr>
        </xdr:nvSpPr>
        <xdr:spPr bwMode="auto">
          <a:xfrm flipH="1">
            <a:off x="2090988" y="2759242"/>
            <a:ext cx="180975" cy="180975"/>
          </a:xfrm>
          <a:prstGeom prst="line">
            <a:avLst/>
          </a:prstGeom>
          <a:noFill/>
          <a:ln w="6350">
            <a:solidFill>
              <a:srgbClr val="000000"/>
            </a:solidFill>
            <a:round/>
            <a:headEnd/>
            <a:tailEnd/>
          </a:ln>
        </xdr:spPr>
      </xdr:sp>
      <xdr:sp macro="" textlink="">
        <xdr:nvSpPr>
          <xdr:cNvPr id="260" name="Line 153"/>
          <xdr:cNvSpPr>
            <a:spLocks noChangeShapeType="1"/>
          </xdr:cNvSpPr>
        </xdr:nvSpPr>
        <xdr:spPr bwMode="auto">
          <a:xfrm flipH="1">
            <a:off x="2148138" y="2759242"/>
            <a:ext cx="180975" cy="180975"/>
          </a:xfrm>
          <a:prstGeom prst="line">
            <a:avLst/>
          </a:prstGeom>
          <a:noFill/>
          <a:ln w="6350">
            <a:solidFill>
              <a:srgbClr val="000000"/>
            </a:solidFill>
            <a:round/>
            <a:headEnd/>
            <a:tailEnd/>
          </a:ln>
        </xdr:spPr>
      </xdr:sp>
      <xdr:sp macro="" textlink="">
        <xdr:nvSpPr>
          <xdr:cNvPr id="261" name="Line 154"/>
          <xdr:cNvSpPr>
            <a:spLocks noChangeShapeType="1"/>
          </xdr:cNvSpPr>
        </xdr:nvSpPr>
        <xdr:spPr bwMode="auto">
          <a:xfrm flipH="1">
            <a:off x="2205288" y="2759242"/>
            <a:ext cx="180975" cy="180975"/>
          </a:xfrm>
          <a:prstGeom prst="line">
            <a:avLst/>
          </a:prstGeom>
          <a:noFill/>
          <a:ln w="6350">
            <a:solidFill>
              <a:srgbClr val="000000"/>
            </a:solidFill>
            <a:round/>
            <a:headEnd/>
            <a:tailEnd/>
          </a:ln>
        </xdr:spPr>
      </xdr:sp>
      <xdr:sp macro="" textlink="">
        <xdr:nvSpPr>
          <xdr:cNvPr id="262" name="Line 155"/>
          <xdr:cNvSpPr>
            <a:spLocks noChangeShapeType="1"/>
          </xdr:cNvSpPr>
        </xdr:nvSpPr>
        <xdr:spPr bwMode="auto">
          <a:xfrm flipH="1">
            <a:off x="2262438" y="2759242"/>
            <a:ext cx="180975" cy="180975"/>
          </a:xfrm>
          <a:prstGeom prst="line">
            <a:avLst/>
          </a:prstGeom>
          <a:noFill/>
          <a:ln w="6350">
            <a:solidFill>
              <a:srgbClr val="000000"/>
            </a:solidFill>
            <a:round/>
            <a:headEnd/>
            <a:tailEnd/>
          </a:ln>
        </xdr:spPr>
      </xdr:sp>
      <xdr:sp macro="" textlink="">
        <xdr:nvSpPr>
          <xdr:cNvPr id="263" name="Line 156"/>
          <xdr:cNvSpPr>
            <a:spLocks noChangeShapeType="1"/>
          </xdr:cNvSpPr>
        </xdr:nvSpPr>
        <xdr:spPr bwMode="auto">
          <a:xfrm flipH="1">
            <a:off x="2319588" y="2768767"/>
            <a:ext cx="170448" cy="171450"/>
          </a:xfrm>
          <a:prstGeom prst="line">
            <a:avLst/>
          </a:prstGeom>
          <a:noFill/>
          <a:ln w="6350">
            <a:solidFill>
              <a:srgbClr val="000000"/>
            </a:solidFill>
            <a:round/>
            <a:headEnd/>
            <a:tailEnd/>
          </a:ln>
        </xdr:spPr>
      </xdr:sp>
      <xdr:sp macro="" textlink="">
        <xdr:nvSpPr>
          <xdr:cNvPr id="264" name="Line 157"/>
          <xdr:cNvSpPr>
            <a:spLocks noChangeShapeType="1"/>
          </xdr:cNvSpPr>
        </xdr:nvSpPr>
        <xdr:spPr bwMode="auto">
          <a:xfrm flipH="1">
            <a:off x="2376738" y="2825917"/>
            <a:ext cx="113298" cy="114300"/>
          </a:xfrm>
          <a:prstGeom prst="line">
            <a:avLst/>
          </a:prstGeom>
          <a:noFill/>
          <a:ln w="6350">
            <a:solidFill>
              <a:srgbClr val="000000"/>
            </a:solidFill>
            <a:round/>
            <a:headEnd/>
            <a:tailEnd/>
          </a:ln>
        </xdr:spPr>
      </xdr:sp>
      <xdr:sp macro="" textlink="">
        <xdr:nvSpPr>
          <xdr:cNvPr id="265" name="Line 158"/>
          <xdr:cNvSpPr>
            <a:spLocks noChangeShapeType="1"/>
          </xdr:cNvSpPr>
        </xdr:nvSpPr>
        <xdr:spPr bwMode="auto">
          <a:xfrm flipH="1">
            <a:off x="2416342" y="2883066"/>
            <a:ext cx="73694" cy="69683"/>
          </a:xfrm>
          <a:prstGeom prst="line">
            <a:avLst/>
          </a:prstGeom>
          <a:noFill/>
          <a:ln w="6350">
            <a:solidFill>
              <a:srgbClr val="000000"/>
            </a:solidFill>
            <a:round/>
            <a:headEnd/>
            <a:tailEnd/>
          </a:ln>
        </xdr:spPr>
      </xdr:sp>
      <xdr:sp macro="" textlink="">
        <xdr:nvSpPr>
          <xdr:cNvPr id="266" name="Line 159"/>
          <xdr:cNvSpPr>
            <a:spLocks noChangeShapeType="1"/>
          </xdr:cNvSpPr>
        </xdr:nvSpPr>
        <xdr:spPr bwMode="auto">
          <a:xfrm flipH="1" flipV="1">
            <a:off x="2466474" y="2917658"/>
            <a:ext cx="23562" cy="22559"/>
          </a:xfrm>
          <a:prstGeom prst="line">
            <a:avLst/>
          </a:prstGeom>
          <a:noFill/>
          <a:ln w="6350">
            <a:solidFill>
              <a:srgbClr val="000000"/>
            </a:solidFill>
            <a:round/>
            <a:headEnd/>
            <a:tailEnd/>
          </a:ln>
        </xdr:spPr>
      </xdr:sp>
      <xdr:sp macro="" textlink="">
        <xdr:nvSpPr>
          <xdr:cNvPr id="267" name="Line 160"/>
          <xdr:cNvSpPr>
            <a:spLocks noChangeShapeType="1"/>
          </xdr:cNvSpPr>
        </xdr:nvSpPr>
        <xdr:spPr bwMode="auto">
          <a:xfrm flipH="1">
            <a:off x="1457325" y="2759242"/>
            <a:ext cx="185988" cy="180975"/>
          </a:xfrm>
          <a:prstGeom prst="line">
            <a:avLst/>
          </a:prstGeom>
          <a:noFill/>
          <a:ln w="6350">
            <a:solidFill>
              <a:srgbClr val="000000"/>
            </a:solidFill>
            <a:round/>
            <a:headEnd/>
            <a:tailEnd/>
          </a:ln>
        </xdr:spPr>
      </xdr:sp>
      <xdr:sp macro="" textlink="">
        <xdr:nvSpPr>
          <xdr:cNvPr id="268" name="Line 169"/>
          <xdr:cNvSpPr>
            <a:spLocks noChangeShapeType="1"/>
          </xdr:cNvSpPr>
        </xdr:nvSpPr>
        <xdr:spPr bwMode="auto">
          <a:xfrm flipH="1">
            <a:off x="1633788" y="2759242"/>
            <a:ext cx="180975" cy="180975"/>
          </a:xfrm>
          <a:prstGeom prst="line">
            <a:avLst/>
          </a:prstGeom>
          <a:noFill/>
          <a:ln w="6350">
            <a:solidFill>
              <a:srgbClr val="000000"/>
            </a:solidFill>
            <a:round/>
            <a:headEnd/>
            <a:tailEnd/>
          </a:ln>
        </xdr:spPr>
      </xdr:sp>
      <xdr:sp macro="" textlink="">
        <xdr:nvSpPr>
          <xdr:cNvPr id="269" name="Line 170"/>
          <xdr:cNvSpPr>
            <a:spLocks noChangeShapeType="1"/>
          </xdr:cNvSpPr>
        </xdr:nvSpPr>
        <xdr:spPr bwMode="auto">
          <a:xfrm flipH="1">
            <a:off x="1690938" y="2759242"/>
            <a:ext cx="180975" cy="180975"/>
          </a:xfrm>
          <a:prstGeom prst="line">
            <a:avLst/>
          </a:prstGeom>
          <a:noFill/>
          <a:ln w="6350">
            <a:solidFill>
              <a:srgbClr val="000000"/>
            </a:solidFill>
            <a:round/>
            <a:headEnd/>
            <a:tailEnd/>
          </a:ln>
        </xdr:spPr>
      </xdr:sp>
      <xdr:sp macro="" textlink="">
        <xdr:nvSpPr>
          <xdr:cNvPr id="270" name="Line 171"/>
          <xdr:cNvSpPr>
            <a:spLocks noChangeShapeType="1"/>
          </xdr:cNvSpPr>
        </xdr:nvSpPr>
        <xdr:spPr bwMode="auto">
          <a:xfrm flipH="1">
            <a:off x="1748088" y="2759242"/>
            <a:ext cx="180975" cy="180975"/>
          </a:xfrm>
          <a:prstGeom prst="line">
            <a:avLst/>
          </a:prstGeom>
          <a:noFill/>
          <a:ln w="6350">
            <a:solidFill>
              <a:srgbClr val="000000"/>
            </a:solidFill>
            <a:round/>
            <a:headEnd/>
            <a:tailEnd/>
          </a:ln>
        </xdr:spPr>
      </xdr:sp>
      <xdr:sp macro="" textlink="">
        <xdr:nvSpPr>
          <xdr:cNvPr id="271" name="Line 172"/>
          <xdr:cNvSpPr>
            <a:spLocks noChangeShapeType="1"/>
          </xdr:cNvSpPr>
        </xdr:nvSpPr>
        <xdr:spPr bwMode="auto">
          <a:xfrm flipH="1">
            <a:off x="1805238" y="2759242"/>
            <a:ext cx="180975" cy="180975"/>
          </a:xfrm>
          <a:prstGeom prst="line">
            <a:avLst/>
          </a:prstGeom>
          <a:noFill/>
          <a:ln w="6350">
            <a:solidFill>
              <a:srgbClr val="000000"/>
            </a:solidFill>
            <a:round/>
            <a:headEnd/>
            <a:tailEnd/>
          </a:ln>
        </xdr:spPr>
      </xdr:sp>
      <xdr:sp macro="" textlink="">
        <xdr:nvSpPr>
          <xdr:cNvPr id="272" name="Line 173"/>
          <xdr:cNvSpPr>
            <a:spLocks noChangeShapeType="1"/>
          </xdr:cNvSpPr>
        </xdr:nvSpPr>
        <xdr:spPr bwMode="auto">
          <a:xfrm flipH="1">
            <a:off x="1862388" y="2759242"/>
            <a:ext cx="180975" cy="180975"/>
          </a:xfrm>
          <a:prstGeom prst="line">
            <a:avLst/>
          </a:prstGeom>
          <a:noFill/>
          <a:ln w="6350">
            <a:solidFill>
              <a:srgbClr val="000000"/>
            </a:solidFill>
            <a:round/>
            <a:headEnd/>
            <a:tailEnd/>
          </a:ln>
        </xdr:spPr>
      </xdr:sp>
      <xdr:sp macro="" textlink="">
        <xdr:nvSpPr>
          <xdr:cNvPr id="273" name="Line 174"/>
          <xdr:cNvSpPr>
            <a:spLocks noChangeShapeType="1"/>
          </xdr:cNvSpPr>
        </xdr:nvSpPr>
        <xdr:spPr bwMode="auto">
          <a:xfrm flipH="1">
            <a:off x="1976688" y="2759242"/>
            <a:ext cx="180975" cy="180975"/>
          </a:xfrm>
          <a:prstGeom prst="line">
            <a:avLst/>
          </a:prstGeom>
          <a:noFill/>
          <a:ln w="6350">
            <a:solidFill>
              <a:srgbClr val="000000"/>
            </a:solidFill>
            <a:round/>
            <a:headEnd/>
            <a:tailEnd/>
          </a:ln>
        </xdr:spPr>
      </xdr:sp>
      <xdr:sp macro="" textlink="">
        <xdr:nvSpPr>
          <xdr:cNvPr id="274" name="Line 175"/>
          <xdr:cNvSpPr>
            <a:spLocks noChangeShapeType="1"/>
          </xdr:cNvSpPr>
        </xdr:nvSpPr>
        <xdr:spPr bwMode="auto">
          <a:xfrm flipH="1">
            <a:off x="2033838" y="2759242"/>
            <a:ext cx="180975" cy="180975"/>
          </a:xfrm>
          <a:prstGeom prst="line">
            <a:avLst/>
          </a:prstGeom>
          <a:noFill/>
          <a:ln w="6350">
            <a:solidFill>
              <a:srgbClr val="000000"/>
            </a:solidFill>
            <a:round/>
            <a:headEnd/>
            <a:tailEnd/>
          </a:ln>
        </xdr:spPr>
      </xdr:sp>
      <xdr:sp macro="" textlink="">
        <xdr:nvSpPr>
          <xdr:cNvPr id="275" name="Line 176"/>
          <xdr:cNvSpPr>
            <a:spLocks noChangeShapeType="1"/>
          </xdr:cNvSpPr>
        </xdr:nvSpPr>
        <xdr:spPr bwMode="auto">
          <a:xfrm flipH="1">
            <a:off x="1919538" y="2759242"/>
            <a:ext cx="180975" cy="180975"/>
          </a:xfrm>
          <a:prstGeom prst="line">
            <a:avLst/>
          </a:prstGeom>
          <a:noFill/>
          <a:ln w="6350">
            <a:solidFill>
              <a:srgbClr val="000000"/>
            </a:solidFill>
            <a:round/>
            <a:headEnd/>
            <a:tailEnd/>
          </a:ln>
        </xdr:spPr>
      </xdr:sp>
    </xdr:grpSp>
    <xdr:clientData/>
  </xdr:twoCellAnchor>
  <xdr:twoCellAnchor>
    <xdr:from>
      <xdr:col>2</xdr:col>
      <xdr:colOff>0</xdr:colOff>
      <xdr:row>65</xdr:row>
      <xdr:rowOff>175846</xdr:rowOff>
    </xdr:from>
    <xdr:to>
      <xdr:col>31</xdr:col>
      <xdr:colOff>279889</xdr:colOff>
      <xdr:row>65</xdr:row>
      <xdr:rowOff>175846</xdr:rowOff>
    </xdr:to>
    <xdr:sp macro="" textlink="">
      <xdr:nvSpPr>
        <xdr:cNvPr id="276" name="Line 7"/>
        <xdr:cNvSpPr>
          <a:spLocks noChangeShapeType="1"/>
        </xdr:cNvSpPr>
      </xdr:nvSpPr>
      <xdr:spPr bwMode="auto">
        <a:xfrm>
          <a:off x="1219200" y="10062796"/>
          <a:ext cx="17958289" cy="0"/>
        </a:xfrm>
        <a:prstGeom prst="line">
          <a:avLst/>
        </a:prstGeom>
        <a:noFill/>
        <a:ln w="57150" cmpd="thinThick">
          <a:solidFill>
            <a:srgbClr val="000000"/>
          </a:solidFill>
          <a:round/>
          <a:headEnd/>
          <a:tailEnd/>
        </a:ln>
      </xdr:spPr>
    </xdr:sp>
    <xdr:clientData/>
  </xdr:twoCellAnchor>
  <xdr:twoCellAnchor>
    <xdr:from>
      <xdr:col>2</xdr:col>
      <xdr:colOff>0</xdr:colOff>
      <xdr:row>123</xdr:row>
      <xdr:rowOff>217610</xdr:rowOff>
    </xdr:from>
    <xdr:to>
      <xdr:col>31</xdr:col>
      <xdr:colOff>279889</xdr:colOff>
      <xdr:row>123</xdr:row>
      <xdr:rowOff>217610</xdr:rowOff>
    </xdr:to>
    <xdr:sp macro="" textlink="">
      <xdr:nvSpPr>
        <xdr:cNvPr id="277" name="Line 8"/>
        <xdr:cNvSpPr>
          <a:spLocks noChangeShapeType="1"/>
        </xdr:cNvSpPr>
      </xdr:nvSpPr>
      <xdr:spPr bwMode="auto">
        <a:xfrm>
          <a:off x="1219200" y="18896135"/>
          <a:ext cx="17958289" cy="0"/>
        </a:xfrm>
        <a:prstGeom prst="line">
          <a:avLst/>
        </a:prstGeom>
        <a:noFill/>
        <a:ln w="57150" cmpd="thickThin">
          <a:solidFill>
            <a:srgbClr val="000000"/>
          </a:solidFill>
          <a:round/>
          <a:headEnd/>
          <a:tailEnd/>
        </a:ln>
      </xdr:spPr>
    </xdr:sp>
    <xdr:clientData/>
  </xdr:twoCellAnchor>
  <xdr:twoCellAnchor>
    <xdr:from>
      <xdr:col>6</xdr:col>
      <xdr:colOff>29474</xdr:colOff>
      <xdr:row>122</xdr:row>
      <xdr:rowOff>27110</xdr:rowOff>
    </xdr:from>
    <xdr:to>
      <xdr:col>6</xdr:col>
      <xdr:colOff>177962</xdr:colOff>
      <xdr:row>123</xdr:row>
      <xdr:rowOff>8060</xdr:rowOff>
    </xdr:to>
    <xdr:sp macro="" textlink="">
      <xdr:nvSpPr>
        <xdr:cNvPr id="278" name="Text Box 13"/>
        <xdr:cNvSpPr txBox="1">
          <a:spLocks noChangeArrowheads="1"/>
        </xdr:cNvSpPr>
      </xdr:nvSpPr>
      <xdr:spPr bwMode="auto">
        <a:xfrm>
          <a:off x="3687074" y="18619910"/>
          <a:ext cx="148488" cy="13335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165872</xdr:colOff>
      <xdr:row>112</xdr:row>
      <xdr:rowOff>179510</xdr:rowOff>
    </xdr:from>
    <xdr:to>
      <xdr:col>4</xdr:col>
      <xdr:colOff>28526</xdr:colOff>
      <xdr:row>113</xdr:row>
      <xdr:rowOff>169985</xdr:rowOff>
    </xdr:to>
    <xdr:sp macro="" textlink="">
      <xdr:nvSpPr>
        <xdr:cNvPr id="279" name="Text Box 15"/>
        <xdr:cNvSpPr txBox="1">
          <a:spLocks noChangeArrowheads="1"/>
        </xdr:cNvSpPr>
      </xdr:nvSpPr>
      <xdr:spPr bwMode="auto">
        <a:xfrm>
          <a:off x="1994672" y="17219735"/>
          <a:ext cx="472254" cy="15240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24</xdr:col>
      <xdr:colOff>97445</xdr:colOff>
      <xdr:row>117</xdr:row>
      <xdr:rowOff>27110</xdr:rowOff>
    </xdr:from>
    <xdr:to>
      <xdr:col>31</xdr:col>
      <xdr:colOff>171496</xdr:colOff>
      <xdr:row>118</xdr:row>
      <xdr:rowOff>155159</xdr:rowOff>
    </xdr:to>
    <xdr:sp macro="" textlink="">
      <xdr:nvSpPr>
        <xdr:cNvPr id="280" name="Text Box 16"/>
        <xdr:cNvSpPr txBox="1">
          <a:spLocks noChangeArrowheads="1"/>
        </xdr:cNvSpPr>
      </xdr:nvSpPr>
      <xdr:spPr bwMode="auto">
        <a:xfrm>
          <a:off x="14727845" y="17857910"/>
          <a:ext cx="4341251" cy="280449"/>
        </a:xfrm>
        <a:prstGeom prst="rect">
          <a:avLst/>
        </a:prstGeom>
        <a:solidFill>
          <a:srgbClr val="FFFFFF"/>
        </a:solidFill>
        <a:ln w="6350">
          <a:solidFill>
            <a:srgbClr val="000000"/>
          </a:solid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Ｐ明朝"/>
              <a:ea typeface="ＭＳ Ｐ明朝"/>
            </a:rPr>
            <a:t>判定基準</a:t>
          </a:r>
          <a:r>
            <a:rPr lang="ja-JP" altLang="en-US" sz="800" b="0" i="0" strike="noStrike">
              <a:solidFill>
                <a:srgbClr val="000000"/>
              </a:solidFill>
              <a:latin typeface="ＭＳ Ｐゴシック"/>
              <a:ea typeface="ＭＳ Ｐゴシック"/>
            </a:rPr>
            <a:t> </a:t>
          </a:r>
          <a:r>
            <a:rPr lang="el-GR" altLang="ja-JP" sz="900" b="1" i="0" strike="noStrike">
              <a:solidFill>
                <a:srgbClr val="000000"/>
              </a:solidFill>
              <a:latin typeface="ＭＳ Ｐゴシック"/>
              <a:ea typeface="ＭＳ Ｐゴシック"/>
            </a:rPr>
            <a:t>τ≦</a:t>
          </a:r>
          <a:r>
            <a:rPr lang="ja-JP" altLang="de-DE" sz="900" b="1" i="0" strike="noStrike">
              <a:solidFill>
                <a:srgbClr val="000000"/>
              </a:solidFill>
              <a:latin typeface="ＭＳ Ｐゴシック"/>
              <a:ea typeface="ＭＳ Ｐゴシック"/>
            </a:rPr>
            <a:t>ｆ</a:t>
          </a:r>
          <a:r>
            <a:rPr lang="de-DE" altLang="ja-JP" sz="900" b="1" i="0" strike="noStrike">
              <a:solidFill>
                <a:srgbClr val="000000"/>
              </a:solidFill>
              <a:latin typeface="ＭＳ Ｐゴシック"/>
              <a:ea typeface="ＭＳ Ｐゴシック"/>
            </a:rPr>
            <a:t>s</a:t>
          </a:r>
          <a:r>
            <a:rPr lang="de-DE" altLang="ja-JP" sz="4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の場合；強度は合格</a:t>
          </a:r>
        </a:p>
        <a:p>
          <a:pPr algn="l" rtl="1">
            <a:defRPr sz="1000"/>
          </a:pPr>
          <a:r>
            <a:rPr lang="ja-JP" altLang="en-US" sz="800" b="0" i="0" strike="noStrike">
              <a:solidFill>
                <a:srgbClr val="000000"/>
              </a:solidFill>
              <a:latin typeface="ＭＳ Ｐ明朝"/>
              <a:ea typeface="ＭＳ Ｐ明朝"/>
            </a:rPr>
            <a:t>　　　　　　</a:t>
          </a:r>
          <a:r>
            <a:rPr lang="ja-JP" altLang="en-US" sz="600" b="0" i="0" strike="noStrike">
              <a:solidFill>
                <a:srgbClr val="000000"/>
              </a:solidFill>
              <a:latin typeface="ＭＳ Ｐゴシック"/>
              <a:ea typeface="ＭＳ Ｐゴシック"/>
            </a:rPr>
            <a:t> </a:t>
          </a:r>
          <a:r>
            <a:rPr lang="el-GR" altLang="ja-JP" sz="900" b="1" i="0" strike="noStrike">
              <a:solidFill>
                <a:srgbClr val="000000"/>
              </a:solidFill>
              <a:latin typeface="ＭＳ Ｐゴシック"/>
              <a:ea typeface="ＭＳ Ｐゴシック"/>
            </a:rPr>
            <a:t>τ</a:t>
          </a:r>
          <a:r>
            <a:rPr lang="ja-JP" altLang="el-GR" sz="900" b="1" i="0" strike="noStrike">
              <a:solidFill>
                <a:srgbClr val="000000"/>
              </a:solidFill>
              <a:latin typeface="ＭＳ Ｐゴシック"/>
              <a:ea typeface="ＭＳ Ｐゴシック"/>
            </a:rPr>
            <a:t>＞</a:t>
          </a:r>
          <a:r>
            <a:rPr lang="ja-JP" altLang="de-DE" sz="900" b="1" i="0" strike="noStrike">
              <a:solidFill>
                <a:srgbClr val="000000"/>
              </a:solidFill>
              <a:latin typeface="ＭＳ Ｐゴシック"/>
              <a:ea typeface="ＭＳ Ｐゴシック"/>
            </a:rPr>
            <a:t>ｆ</a:t>
          </a:r>
          <a:r>
            <a:rPr lang="de-DE" altLang="ja-JP" sz="900" b="1" i="0" strike="noStrike">
              <a:solidFill>
                <a:srgbClr val="000000"/>
              </a:solidFill>
              <a:latin typeface="ＭＳ Ｐゴシック"/>
              <a:ea typeface="ＭＳ Ｐゴシック"/>
            </a:rPr>
            <a:t>s</a:t>
          </a:r>
          <a:r>
            <a:rPr lang="de-DE" altLang="ja-JP" sz="2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の場合；強度不足で不合格</a:t>
          </a:r>
        </a:p>
      </xdr:txBody>
    </xdr:sp>
    <xdr:clientData/>
  </xdr:twoCellAnchor>
  <xdr:twoCellAnchor>
    <xdr:from>
      <xdr:col>3</xdr:col>
      <xdr:colOff>189956</xdr:colOff>
      <xdr:row>117</xdr:row>
      <xdr:rowOff>27110</xdr:rowOff>
    </xdr:from>
    <xdr:to>
      <xdr:col>11</xdr:col>
      <xdr:colOff>38121</xdr:colOff>
      <xdr:row>118</xdr:row>
      <xdr:rowOff>162252</xdr:rowOff>
    </xdr:to>
    <xdr:sp macro="" textlink="">
      <xdr:nvSpPr>
        <xdr:cNvPr id="281" name="Text Box 19"/>
        <xdr:cNvSpPr txBox="1">
          <a:spLocks noChangeArrowheads="1"/>
        </xdr:cNvSpPr>
      </xdr:nvSpPr>
      <xdr:spPr bwMode="auto">
        <a:xfrm>
          <a:off x="2018756" y="17857910"/>
          <a:ext cx="4724965" cy="278017"/>
        </a:xfrm>
        <a:prstGeom prst="rect">
          <a:avLst/>
        </a:prstGeom>
        <a:solidFill>
          <a:srgbClr val="FFFFFF"/>
        </a:solidFill>
        <a:ln w="6350">
          <a:solidFill>
            <a:srgbClr val="000000"/>
          </a:solid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Ｐ明朝"/>
              <a:ea typeface="ＭＳ Ｐ明朝"/>
            </a:rPr>
            <a:t>判定基準</a:t>
          </a:r>
          <a:r>
            <a:rPr lang="ja-JP" altLang="en-US" sz="1000" b="0" i="0" strike="noStrike">
              <a:solidFill>
                <a:srgbClr val="000000"/>
              </a:solidFill>
              <a:latin typeface="ＭＳ Ｐゴシック"/>
              <a:ea typeface="ＭＳ Ｐゴシック"/>
            </a:rPr>
            <a:t> </a:t>
          </a:r>
          <a:r>
            <a:rPr lang="ja-JP" altLang="de-DE" sz="900" b="1" i="0" strike="noStrike">
              <a:solidFill>
                <a:srgbClr val="000000"/>
              </a:solidFill>
              <a:latin typeface="ＭＳ Ｐゴシック"/>
              <a:ea typeface="ＭＳ Ｐゴシック"/>
            </a:rPr>
            <a:t>Ｒ</a:t>
          </a:r>
          <a:r>
            <a:rPr lang="de-DE" altLang="ja-JP" sz="900" b="1" i="0" strike="noStrike">
              <a:solidFill>
                <a:srgbClr val="000000"/>
              </a:solidFill>
              <a:latin typeface="ＭＳ Ｐゴシック"/>
              <a:ea typeface="ＭＳ Ｐゴシック"/>
            </a:rPr>
            <a:t>b≦</a:t>
          </a:r>
          <a:r>
            <a:rPr lang="ja-JP" altLang="de-DE" sz="900" b="1" i="0" strike="noStrike">
              <a:solidFill>
                <a:srgbClr val="000000"/>
              </a:solidFill>
              <a:latin typeface="ＭＳ Ｐゴシック"/>
              <a:ea typeface="ＭＳ Ｐゴシック"/>
            </a:rPr>
            <a:t>Ｔ</a:t>
          </a:r>
          <a:r>
            <a:rPr lang="de-DE" altLang="ja-JP" sz="900" b="1" i="0" strike="noStrike">
              <a:solidFill>
                <a:srgbClr val="000000"/>
              </a:solidFill>
              <a:latin typeface="ＭＳ Ｐゴシック"/>
              <a:ea typeface="ＭＳ Ｐゴシック"/>
            </a:rPr>
            <a:t>a</a:t>
          </a:r>
          <a:r>
            <a:rPr lang="ja-JP" altLang="en-US" sz="800" b="0" i="0" strike="noStrike">
              <a:solidFill>
                <a:srgbClr val="000000"/>
              </a:solidFill>
              <a:latin typeface="ＭＳ Ｐ明朝"/>
              <a:ea typeface="ＭＳ Ｐ明朝"/>
            </a:rPr>
            <a:t>の場合；強度は合格</a:t>
          </a:r>
        </a:p>
        <a:p>
          <a:pPr algn="l" rtl="1">
            <a:defRPr sz="1000"/>
          </a:pPr>
          <a:r>
            <a:rPr lang="ja-JP" altLang="en-US" sz="800" b="0" i="0" strike="noStrike">
              <a:solidFill>
                <a:srgbClr val="000000"/>
              </a:solidFill>
              <a:latin typeface="ＭＳ Ｐ明朝"/>
              <a:ea typeface="ＭＳ Ｐ明朝"/>
            </a:rPr>
            <a:t>　　　　　　</a:t>
          </a:r>
          <a:r>
            <a:rPr lang="ja-JP" altLang="en-US" sz="600" b="0" i="0" strike="noStrike">
              <a:solidFill>
                <a:srgbClr val="000000"/>
              </a:solidFill>
              <a:latin typeface="ＭＳ Ｐゴシック"/>
              <a:ea typeface="ＭＳ Ｐゴシック"/>
            </a:rPr>
            <a:t> </a:t>
          </a:r>
          <a:r>
            <a:rPr lang="ja-JP" altLang="de-DE" sz="900" b="1" i="0" strike="noStrike">
              <a:solidFill>
                <a:srgbClr val="000000"/>
              </a:solidFill>
              <a:latin typeface="ＭＳ Ｐゴシック"/>
              <a:ea typeface="ＭＳ Ｐゴシック"/>
            </a:rPr>
            <a:t>Ｒ</a:t>
          </a:r>
          <a:r>
            <a:rPr lang="de-DE" altLang="ja-JP" sz="900" b="1" i="0" strike="noStrike">
              <a:solidFill>
                <a:srgbClr val="000000"/>
              </a:solidFill>
              <a:latin typeface="ＭＳ Ｐゴシック"/>
              <a:ea typeface="ＭＳ Ｐゴシック"/>
            </a:rPr>
            <a:t>b</a:t>
          </a:r>
          <a:r>
            <a:rPr lang="ja-JP" altLang="de-DE" sz="900" b="1" i="0" strike="noStrike">
              <a:solidFill>
                <a:srgbClr val="000000"/>
              </a:solidFill>
              <a:latin typeface="ＭＳ Ｐゴシック"/>
              <a:ea typeface="ＭＳ Ｐゴシック"/>
            </a:rPr>
            <a:t>＞</a:t>
          </a:r>
          <a:r>
            <a:rPr lang="de-DE" altLang="ja-JP" sz="900" b="1" i="0" strike="noStrike">
              <a:solidFill>
                <a:srgbClr val="000000"/>
              </a:solidFill>
              <a:latin typeface="ＭＳ Ｐゴシック"/>
              <a:ea typeface="ＭＳ Ｐゴシック"/>
            </a:rPr>
            <a:t>Ta</a:t>
          </a:r>
          <a:r>
            <a:rPr lang="de-DE" altLang="ja-JP" sz="2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の場合；強度不足で不合格</a:t>
          </a:r>
        </a:p>
      </xdr:txBody>
    </xdr:sp>
    <xdr:clientData/>
  </xdr:twoCellAnchor>
  <xdr:twoCellAnchor>
    <xdr:from>
      <xdr:col>12</xdr:col>
      <xdr:colOff>107887</xdr:colOff>
      <xdr:row>117</xdr:row>
      <xdr:rowOff>27110</xdr:rowOff>
    </xdr:from>
    <xdr:to>
      <xdr:col>23</xdr:col>
      <xdr:colOff>153942</xdr:colOff>
      <xdr:row>118</xdr:row>
      <xdr:rowOff>155159</xdr:rowOff>
    </xdr:to>
    <xdr:sp macro="" textlink="">
      <xdr:nvSpPr>
        <xdr:cNvPr id="282" name="Text Box 21"/>
        <xdr:cNvSpPr txBox="1">
          <a:spLocks noChangeArrowheads="1"/>
        </xdr:cNvSpPr>
      </xdr:nvSpPr>
      <xdr:spPr bwMode="auto">
        <a:xfrm>
          <a:off x="7423087" y="17857910"/>
          <a:ext cx="6751655" cy="280449"/>
        </a:xfrm>
        <a:prstGeom prst="rect">
          <a:avLst/>
        </a:prstGeom>
        <a:solidFill>
          <a:srgbClr val="FFFFFF"/>
        </a:solidFill>
        <a:ln w="6350">
          <a:solidFill>
            <a:srgbClr val="000000"/>
          </a:solid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Ｐ明朝"/>
              <a:ea typeface="ＭＳ Ｐ明朝"/>
            </a:rPr>
            <a:t>判定基準</a:t>
          </a:r>
          <a:r>
            <a:rPr lang="ja-JP" altLang="en-US" sz="800" b="0" i="0" strike="noStrike">
              <a:solidFill>
                <a:srgbClr val="000000"/>
              </a:solidFill>
              <a:latin typeface="ＭＳ Ｐゴシック"/>
              <a:ea typeface="ＭＳ Ｐゴシック"/>
            </a:rPr>
            <a:t> </a:t>
          </a:r>
          <a:r>
            <a:rPr lang="el-GR" altLang="ja-JP" sz="900" b="1" i="0" strike="noStrike">
              <a:solidFill>
                <a:srgbClr val="000000"/>
              </a:solidFill>
              <a:latin typeface="ＭＳ Ｐゴシック"/>
              <a:ea typeface="ＭＳ Ｐゴシック"/>
            </a:rPr>
            <a:t>σ≦</a:t>
          </a:r>
          <a:r>
            <a:rPr lang="ja-JP" altLang="de-DE" sz="900" b="1" i="0" strike="noStrike">
              <a:solidFill>
                <a:srgbClr val="000000"/>
              </a:solidFill>
              <a:latin typeface="ＭＳ Ｐゴシック"/>
              <a:ea typeface="ＭＳ Ｐゴシック"/>
            </a:rPr>
            <a:t>ｆｔ</a:t>
          </a:r>
          <a:r>
            <a:rPr lang="ja-JP" altLang="de-DE" sz="4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の場合；強度は合格</a:t>
          </a:r>
        </a:p>
        <a:p>
          <a:pPr algn="l" rtl="1">
            <a:defRPr sz="1000"/>
          </a:pPr>
          <a:r>
            <a:rPr lang="ja-JP" altLang="en-US" sz="800" b="0" i="0" strike="noStrike">
              <a:solidFill>
                <a:srgbClr val="000000"/>
              </a:solidFill>
              <a:latin typeface="ＭＳ Ｐ明朝"/>
              <a:ea typeface="ＭＳ Ｐ明朝"/>
            </a:rPr>
            <a:t>　　　　　　</a:t>
          </a:r>
          <a:r>
            <a:rPr lang="ja-JP" altLang="en-US" sz="600" b="0" i="0" strike="noStrike">
              <a:solidFill>
                <a:srgbClr val="000000"/>
              </a:solidFill>
              <a:latin typeface="ＭＳ Ｐゴシック"/>
              <a:ea typeface="ＭＳ Ｐゴシック"/>
            </a:rPr>
            <a:t> </a:t>
          </a:r>
          <a:r>
            <a:rPr lang="el-GR" altLang="ja-JP" sz="900" b="1" i="0" strike="noStrike">
              <a:solidFill>
                <a:srgbClr val="000000"/>
              </a:solidFill>
              <a:latin typeface="ＭＳ Ｐゴシック"/>
              <a:ea typeface="ＭＳ Ｐゴシック"/>
            </a:rPr>
            <a:t>σ</a:t>
          </a:r>
          <a:r>
            <a:rPr lang="ja-JP" altLang="el-GR" sz="900" b="1" i="0" strike="noStrike">
              <a:solidFill>
                <a:srgbClr val="000000"/>
              </a:solidFill>
              <a:latin typeface="ＭＳ Ｐゴシック"/>
              <a:ea typeface="ＭＳ Ｐゴシック"/>
            </a:rPr>
            <a:t>＞</a:t>
          </a:r>
          <a:r>
            <a:rPr lang="ja-JP" altLang="de-DE" sz="900" b="1" i="0" strike="noStrike">
              <a:solidFill>
                <a:srgbClr val="000000"/>
              </a:solidFill>
              <a:latin typeface="ＭＳ Ｐゴシック"/>
              <a:ea typeface="ＭＳ Ｐゴシック"/>
            </a:rPr>
            <a:t>ｆｔ</a:t>
          </a:r>
          <a:r>
            <a:rPr lang="ja-JP" altLang="de-DE" sz="200" b="0" i="0" strike="noStrike">
              <a:solidFill>
                <a:srgbClr val="000000"/>
              </a:solidFill>
              <a:latin typeface="ＭＳ Ｐゴシック"/>
              <a:ea typeface="ＭＳ Ｐゴシック"/>
            </a:rPr>
            <a:t> </a:t>
          </a:r>
          <a:r>
            <a:rPr lang="ja-JP" altLang="en-US" sz="800" b="0" i="0" strike="noStrike">
              <a:solidFill>
                <a:srgbClr val="000000"/>
              </a:solidFill>
              <a:latin typeface="ＭＳ Ｐ明朝"/>
              <a:ea typeface="ＭＳ Ｐ明朝"/>
            </a:rPr>
            <a:t>の場合；強度不足で不合格</a:t>
          </a:r>
        </a:p>
      </xdr:txBody>
    </xdr:sp>
    <xdr:clientData/>
  </xdr:twoCellAnchor>
  <xdr:twoCellAnchor>
    <xdr:from>
      <xdr:col>3</xdr:col>
      <xdr:colOff>17384</xdr:colOff>
      <xdr:row>109</xdr:row>
      <xdr:rowOff>103310</xdr:rowOff>
    </xdr:from>
    <xdr:to>
      <xdr:col>4</xdr:col>
      <xdr:colOff>78023</xdr:colOff>
      <xdr:row>110</xdr:row>
      <xdr:rowOff>93785</xdr:rowOff>
    </xdr:to>
    <xdr:sp macro="" textlink="">
      <xdr:nvSpPr>
        <xdr:cNvPr id="283" name="Text Box 22"/>
        <xdr:cNvSpPr txBox="1">
          <a:spLocks noChangeArrowheads="1"/>
        </xdr:cNvSpPr>
      </xdr:nvSpPr>
      <xdr:spPr bwMode="auto">
        <a:xfrm>
          <a:off x="1846184" y="16714910"/>
          <a:ext cx="670239" cy="142875"/>
        </a:xfrm>
        <a:prstGeom prst="rect">
          <a:avLst/>
        </a:prstGeom>
        <a:noFill/>
        <a:ln w="9525">
          <a:noFill/>
          <a:miter lim="800000"/>
          <a:headEnd/>
          <a:tailEnd/>
        </a:ln>
      </xdr:spPr>
      <xdr:txBody>
        <a:bodyPr vertOverflow="clip" wrap="square" lIns="27432" tIns="18288" rIns="0" bIns="0" anchor="t" upright="1"/>
        <a:lstStyle/>
        <a:p>
          <a:pPr algn="l" rtl="1">
            <a:defRPr sz="1000"/>
          </a:pPr>
          <a:r>
            <a:rPr lang="de-DE" altLang="ja-JP" sz="1000" b="1" i="0" strike="noStrike">
              <a:solidFill>
                <a:srgbClr val="000000"/>
              </a:solidFill>
              <a:latin typeface="ＭＳ Ｐゴシック"/>
              <a:ea typeface="ＭＳ Ｐゴシック"/>
            </a:rPr>
            <a:t>Rb</a:t>
          </a:r>
          <a:r>
            <a:rPr lang="ja-JP" altLang="de-DE" sz="1000" b="0" i="0" strike="noStrike">
              <a:solidFill>
                <a:srgbClr val="000000"/>
              </a:solidFill>
              <a:latin typeface="ＭＳ Ｐゴシック"/>
              <a:ea typeface="ＭＳ Ｐゴシック"/>
            </a:rPr>
            <a:t>＝</a:t>
          </a:r>
        </a:p>
      </xdr:txBody>
    </xdr:sp>
    <xdr:clientData/>
  </xdr:twoCellAnchor>
  <xdr:twoCellAnchor>
    <xdr:from>
      <xdr:col>3</xdr:col>
      <xdr:colOff>155973</xdr:colOff>
      <xdr:row>120</xdr:row>
      <xdr:rowOff>103310</xdr:rowOff>
    </xdr:from>
    <xdr:to>
      <xdr:col>4</xdr:col>
      <xdr:colOff>264400</xdr:colOff>
      <xdr:row>121</xdr:row>
      <xdr:rowOff>93785</xdr:rowOff>
    </xdr:to>
    <xdr:sp macro="" textlink="">
      <xdr:nvSpPr>
        <xdr:cNvPr id="284" name="Text Box 25"/>
        <xdr:cNvSpPr txBox="1">
          <a:spLocks noChangeArrowheads="1"/>
        </xdr:cNvSpPr>
      </xdr:nvSpPr>
      <xdr:spPr bwMode="auto">
        <a:xfrm>
          <a:off x="1984773" y="18391310"/>
          <a:ext cx="718027" cy="142875"/>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de-DE" sz="1000" b="1" i="0" strike="noStrike">
              <a:solidFill>
                <a:srgbClr val="000000"/>
              </a:solidFill>
              <a:latin typeface="ＭＳ Ｐゴシック"/>
              <a:ea typeface="ＭＳ Ｐゴシック"/>
            </a:rPr>
            <a:t>Ｓ</a:t>
          </a:r>
          <a:r>
            <a:rPr lang="de-DE" altLang="ja-JP" sz="1000" b="1" i="0" strike="noStrike">
              <a:solidFill>
                <a:srgbClr val="000000"/>
              </a:solidFill>
              <a:latin typeface="Times New Roman"/>
              <a:cs typeface="Times New Roman"/>
            </a:rPr>
            <a:t>fRb</a:t>
          </a:r>
          <a:r>
            <a:rPr lang="ja-JP" altLang="de-DE" sz="1000" b="0" i="0" strike="noStrike">
              <a:solidFill>
                <a:srgbClr val="000000"/>
              </a:solidFill>
              <a:latin typeface="ＭＳ Ｐゴシック"/>
              <a:ea typeface="ＭＳ Ｐゴシック"/>
            </a:rPr>
            <a:t>＝</a:t>
          </a:r>
        </a:p>
      </xdr:txBody>
    </xdr:sp>
    <xdr:clientData/>
  </xdr:twoCellAnchor>
  <xdr:twoCellAnchor>
    <xdr:from>
      <xdr:col>6</xdr:col>
      <xdr:colOff>29474</xdr:colOff>
      <xdr:row>120</xdr:row>
      <xdr:rowOff>103310</xdr:rowOff>
    </xdr:from>
    <xdr:to>
      <xdr:col>6</xdr:col>
      <xdr:colOff>177962</xdr:colOff>
      <xdr:row>121</xdr:row>
      <xdr:rowOff>84260</xdr:rowOff>
    </xdr:to>
    <xdr:sp macro="" textlink="">
      <xdr:nvSpPr>
        <xdr:cNvPr id="285" name="Text Box 26"/>
        <xdr:cNvSpPr txBox="1">
          <a:spLocks noChangeArrowheads="1"/>
        </xdr:cNvSpPr>
      </xdr:nvSpPr>
      <xdr:spPr bwMode="auto">
        <a:xfrm>
          <a:off x="3687074" y="18391310"/>
          <a:ext cx="148488" cy="13335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15</xdr:col>
      <xdr:colOff>75874</xdr:colOff>
      <xdr:row>122</xdr:row>
      <xdr:rowOff>17585</xdr:rowOff>
    </xdr:from>
    <xdr:to>
      <xdr:col>16</xdr:col>
      <xdr:colOff>107131</xdr:colOff>
      <xdr:row>122</xdr:row>
      <xdr:rowOff>189035</xdr:rowOff>
    </xdr:to>
    <xdr:sp macro="" textlink="">
      <xdr:nvSpPr>
        <xdr:cNvPr id="286" name="Text Box 27"/>
        <xdr:cNvSpPr txBox="1">
          <a:spLocks noChangeArrowheads="1"/>
        </xdr:cNvSpPr>
      </xdr:nvSpPr>
      <xdr:spPr bwMode="auto">
        <a:xfrm>
          <a:off x="9219874" y="18610385"/>
          <a:ext cx="640857" cy="13335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12</xdr:col>
      <xdr:colOff>281956</xdr:colOff>
      <xdr:row>120</xdr:row>
      <xdr:rowOff>103310</xdr:rowOff>
    </xdr:from>
    <xdr:to>
      <xdr:col>14</xdr:col>
      <xdr:colOff>76727</xdr:colOff>
      <xdr:row>121</xdr:row>
      <xdr:rowOff>93785</xdr:rowOff>
    </xdr:to>
    <xdr:sp macro="" textlink="">
      <xdr:nvSpPr>
        <xdr:cNvPr id="287" name="Text Box 28"/>
        <xdr:cNvSpPr txBox="1">
          <a:spLocks noChangeArrowheads="1"/>
        </xdr:cNvSpPr>
      </xdr:nvSpPr>
      <xdr:spPr bwMode="auto">
        <a:xfrm>
          <a:off x="7597156" y="18391310"/>
          <a:ext cx="1013971" cy="142875"/>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de-DE" sz="1000" b="1" i="0" strike="noStrike">
              <a:solidFill>
                <a:srgbClr val="000000"/>
              </a:solidFill>
              <a:latin typeface="ＭＳ Ｐゴシック"/>
              <a:ea typeface="ＭＳ Ｐゴシック"/>
            </a:rPr>
            <a:t>Ｓ</a:t>
          </a:r>
          <a:r>
            <a:rPr lang="de-DE" altLang="ja-JP" sz="1000" b="1" i="0" strike="noStrike">
              <a:solidFill>
                <a:srgbClr val="000000"/>
              </a:solidFill>
              <a:latin typeface="Times New Roman"/>
              <a:cs typeface="Times New Roman"/>
            </a:rPr>
            <a:t>f</a:t>
          </a:r>
          <a:r>
            <a:rPr lang="el-GR" altLang="ja-JP" sz="1000" b="1" i="0" strike="noStrike">
              <a:solidFill>
                <a:srgbClr val="000000"/>
              </a:solidFill>
              <a:latin typeface="Times New Roman"/>
              <a:cs typeface="Times New Roman"/>
            </a:rPr>
            <a:t>σ</a:t>
          </a:r>
          <a:r>
            <a:rPr lang="ja-JP" altLang="el-GR" sz="1000" b="0" i="0" strike="noStrike">
              <a:solidFill>
                <a:srgbClr val="000000"/>
              </a:solidFill>
              <a:latin typeface="ＭＳ Ｐゴシック"/>
              <a:ea typeface="ＭＳ Ｐゴシック"/>
            </a:rPr>
            <a:t>＝</a:t>
          </a:r>
        </a:p>
      </xdr:txBody>
    </xdr:sp>
    <xdr:clientData/>
  </xdr:twoCellAnchor>
  <xdr:twoCellAnchor>
    <xdr:from>
      <xdr:col>15</xdr:col>
      <xdr:colOff>75874</xdr:colOff>
      <xdr:row>120</xdr:row>
      <xdr:rowOff>103310</xdr:rowOff>
    </xdr:from>
    <xdr:to>
      <xdr:col>16</xdr:col>
      <xdr:colOff>107131</xdr:colOff>
      <xdr:row>121</xdr:row>
      <xdr:rowOff>84260</xdr:rowOff>
    </xdr:to>
    <xdr:sp macro="" textlink="">
      <xdr:nvSpPr>
        <xdr:cNvPr id="288" name="Text Box 29"/>
        <xdr:cNvSpPr txBox="1">
          <a:spLocks noChangeArrowheads="1"/>
        </xdr:cNvSpPr>
      </xdr:nvSpPr>
      <xdr:spPr bwMode="auto">
        <a:xfrm>
          <a:off x="9219874" y="18391310"/>
          <a:ext cx="640857" cy="13335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26</xdr:col>
      <xdr:colOff>283151</xdr:colOff>
      <xdr:row>122</xdr:row>
      <xdr:rowOff>27110</xdr:rowOff>
    </xdr:from>
    <xdr:to>
      <xdr:col>27</xdr:col>
      <xdr:colOff>145889</xdr:colOff>
      <xdr:row>123</xdr:row>
      <xdr:rowOff>8060</xdr:rowOff>
    </xdr:to>
    <xdr:sp macro="" textlink="">
      <xdr:nvSpPr>
        <xdr:cNvPr id="289" name="Text Box 30"/>
        <xdr:cNvSpPr txBox="1">
          <a:spLocks noChangeArrowheads="1"/>
        </xdr:cNvSpPr>
      </xdr:nvSpPr>
      <xdr:spPr bwMode="auto">
        <a:xfrm>
          <a:off x="16132751" y="18619910"/>
          <a:ext cx="472338" cy="13335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24</xdr:col>
      <xdr:colOff>42914</xdr:colOff>
      <xdr:row>120</xdr:row>
      <xdr:rowOff>103310</xdr:rowOff>
    </xdr:from>
    <xdr:to>
      <xdr:col>25</xdr:col>
      <xdr:colOff>113536</xdr:colOff>
      <xdr:row>121</xdr:row>
      <xdr:rowOff>93785</xdr:rowOff>
    </xdr:to>
    <xdr:sp macro="" textlink="">
      <xdr:nvSpPr>
        <xdr:cNvPr id="290" name="Text Box 31"/>
        <xdr:cNvSpPr txBox="1">
          <a:spLocks noChangeArrowheads="1"/>
        </xdr:cNvSpPr>
      </xdr:nvSpPr>
      <xdr:spPr bwMode="auto">
        <a:xfrm>
          <a:off x="14673314" y="18391310"/>
          <a:ext cx="680222" cy="142875"/>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de-DE" sz="1000" b="1" i="0" strike="noStrike">
              <a:solidFill>
                <a:srgbClr val="000000"/>
              </a:solidFill>
              <a:latin typeface="ＭＳ Ｐゴシック"/>
              <a:ea typeface="ＭＳ Ｐゴシック"/>
            </a:rPr>
            <a:t>Ｓ</a:t>
          </a:r>
          <a:r>
            <a:rPr lang="de-DE" altLang="ja-JP" sz="1000" b="1" i="0" strike="noStrike">
              <a:solidFill>
                <a:srgbClr val="000000"/>
              </a:solidFill>
              <a:latin typeface="Times New Roman"/>
              <a:cs typeface="Times New Roman"/>
            </a:rPr>
            <a:t>f</a:t>
          </a:r>
          <a:r>
            <a:rPr lang="el-GR" altLang="ja-JP" sz="10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26</xdr:col>
      <xdr:colOff>283151</xdr:colOff>
      <xdr:row>120</xdr:row>
      <xdr:rowOff>103310</xdr:rowOff>
    </xdr:from>
    <xdr:to>
      <xdr:col>27</xdr:col>
      <xdr:colOff>145889</xdr:colOff>
      <xdr:row>121</xdr:row>
      <xdr:rowOff>84260</xdr:rowOff>
    </xdr:to>
    <xdr:sp macro="" textlink="">
      <xdr:nvSpPr>
        <xdr:cNvPr id="291" name="Text Box 32"/>
        <xdr:cNvSpPr txBox="1">
          <a:spLocks noChangeArrowheads="1"/>
        </xdr:cNvSpPr>
      </xdr:nvSpPr>
      <xdr:spPr bwMode="auto">
        <a:xfrm>
          <a:off x="16132751" y="18391310"/>
          <a:ext cx="472338" cy="13335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13</xdr:col>
      <xdr:colOff>221707</xdr:colOff>
      <xdr:row>111</xdr:row>
      <xdr:rowOff>36635</xdr:rowOff>
    </xdr:from>
    <xdr:to>
      <xdr:col>14</xdr:col>
      <xdr:colOff>175720</xdr:colOff>
      <xdr:row>112</xdr:row>
      <xdr:rowOff>27110</xdr:rowOff>
    </xdr:to>
    <xdr:sp macro="" textlink="">
      <xdr:nvSpPr>
        <xdr:cNvPr id="292" name="Text Box 33"/>
        <xdr:cNvSpPr txBox="1">
          <a:spLocks noChangeArrowheads="1"/>
        </xdr:cNvSpPr>
      </xdr:nvSpPr>
      <xdr:spPr bwMode="auto">
        <a:xfrm>
          <a:off x="8146507" y="16953035"/>
          <a:ext cx="563613" cy="14287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15</xdr:col>
      <xdr:colOff>75874</xdr:colOff>
      <xdr:row>109</xdr:row>
      <xdr:rowOff>103310</xdr:rowOff>
    </xdr:from>
    <xdr:to>
      <xdr:col>16</xdr:col>
      <xdr:colOff>107131</xdr:colOff>
      <xdr:row>110</xdr:row>
      <xdr:rowOff>84260</xdr:rowOff>
    </xdr:to>
    <xdr:sp macro="" textlink="">
      <xdr:nvSpPr>
        <xdr:cNvPr id="293" name="Text Box 34"/>
        <xdr:cNvSpPr txBox="1">
          <a:spLocks noChangeArrowheads="1"/>
        </xdr:cNvSpPr>
      </xdr:nvSpPr>
      <xdr:spPr bwMode="auto">
        <a:xfrm>
          <a:off x="9219874" y="16714910"/>
          <a:ext cx="640857" cy="13335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13</xdr:col>
      <xdr:colOff>83118</xdr:colOff>
      <xdr:row>109</xdr:row>
      <xdr:rowOff>103310</xdr:rowOff>
    </xdr:from>
    <xdr:to>
      <xdr:col>14</xdr:col>
      <xdr:colOff>215317</xdr:colOff>
      <xdr:row>110</xdr:row>
      <xdr:rowOff>93785</xdr:rowOff>
    </xdr:to>
    <xdr:sp macro="" textlink="">
      <xdr:nvSpPr>
        <xdr:cNvPr id="294" name="Text Box 35"/>
        <xdr:cNvSpPr txBox="1">
          <a:spLocks noChangeArrowheads="1"/>
        </xdr:cNvSpPr>
      </xdr:nvSpPr>
      <xdr:spPr bwMode="auto">
        <a:xfrm>
          <a:off x="8007918" y="16714910"/>
          <a:ext cx="741799" cy="142875"/>
        </a:xfrm>
        <a:prstGeom prst="rect">
          <a:avLst/>
        </a:prstGeom>
        <a:noFill/>
        <a:ln w="9525">
          <a:noFill/>
          <a:miter lim="800000"/>
          <a:headEnd/>
          <a:tailEnd/>
        </a:ln>
      </xdr:spPr>
      <xdr:txBody>
        <a:bodyPr vertOverflow="clip" wrap="square" lIns="27432" tIns="18288" rIns="0" bIns="0" anchor="t" upright="1"/>
        <a:lstStyle/>
        <a:p>
          <a:pPr algn="l" rtl="1">
            <a:defRPr sz="1000"/>
          </a:pPr>
          <a:r>
            <a:rPr lang="el-GR" altLang="ja-JP" sz="1000" b="1" i="0" strike="noStrike">
              <a:solidFill>
                <a:srgbClr val="000000"/>
              </a:solidFill>
              <a:latin typeface="ＭＳ Ｐゴシック"/>
              <a:ea typeface="ＭＳ Ｐゴシック"/>
            </a:rPr>
            <a:t>σ</a:t>
          </a:r>
          <a:r>
            <a:rPr lang="ja-JP" altLang="el-GR" sz="1000" b="0" i="0" strike="noStrike">
              <a:solidFill>
                <a:srgbClr val="000000"/>
              </a:solidFill>
              <a:latin typeface="ＭＳ Ｐゴシック"/>
              <a:ea typeface="ＭＳ Ｐゴシック"/>
            </a:rPr>
            <a:t>＝</a:t>
          </a:r>
        </a:p>
      </xdr:txBody>
    </xdr:sp>
    <xdr:clientData/>
  </xdr:twoCellAnchor>
  <xdr:twoCellAnchor>
    <xdr:from>
      <xdr:col>25</xdr:col>
      <xdr:colOff>24443</xdr:colOff>
      <xdr:row>111</xdr:row>
      <xdr:rowOff>36635</xdr:rowOff>
    </xdr:from>
    <xdr:to>
      <xdr:col>25</xdr:col>
      <xdr:colOff>232326</xdr:colOff>
      <xdr:row>112</xdr:row>
      <xdr:rowOff>27110</xdr:rowOff>
    </xdr:to>
    <xdr:sp macro="" textlink="">
      <xdr:nvSpPr>
        <xdr:cNvPr id="295" name="Text Box 36"/>
        <xdr:cNvSpPr txBox="1">
          <a:spLocks noChangeArrowheads="1"/>
        </xdr:cNvSpPr>
      </xdr:nvSpPr>
      <xdr:spPr bwMode="auto">
        <a:xfrm>
          <a:off x="15264443" y="16953035"/>
          <a:ext cx="207883" cy="14287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26</xdr:col>
      <xdr:colOff>283151</xdr:colOff>
      <xdr:row>109</xdr:row>
      <xdr:rowOff>103310</xdr:rowOff>
    </xdr:from>
    <xdr:to>
      <xdr:col>27</xdr:col>
      <xdr:colOff>145889</xdr:colOff>
      <xdr:row>110</xdr:row>
      <xdr:rowOff>84260</xdr:rowOff>
    </xdr:to>
    <xdr:sp macro="" textlink="">
      <xdr:nvSpPr>
        <xdr:cNvPr id="296" name="Text Box 37"/>
        <xdr:cNvSpPr txBox="1">
          <a:spLocks noChangeArrowheads="1"/>
        </xdr:cNvSpPr>
      </xdr:nvSpPr>
      <xdr:spPr bwMode="auto">
        <a:xfrm>
          <a:off x="16132751" y="16714910"/>
          <a:ext cx="472338" cy="13335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24</xdr:col>
      <xdr:colOff>151806</xdr:colOff>
      <xdr:row>109</xdr:row>
      <xdr:rowOff>103310</xdr:rowOff>
    </xdr:from>
    <xdr:to>
      <xdr:col>25</xdr:col>
      <xdr:colOff>262025</xdr:colOff>
      <xdr:row>110</xdr:row>
      <xdr:rowOff>93785</xdr:rowOff>
    </xdr:to>
    <xdr:sp macro="" textlink="">
      <xdr:nvSpPr>
        <xdr:cNvPr id="297" name="Text Box 38"/>
        <xdr:cNvSpPr txBox="1">
          <a:spLocks noChangeArrowheads="1"/>
        </xdr:cNvSpPr>
      </xdr:nvSpPr>
      <xdr:spPr bwMode="auto">
        <a:xfrm>
          <a:off x="14782206" y="16714910"/>
          <a:ext cx="719819" cy="142875"/>
        </a:xfrm>
        <a:prstGeom prst="rect">
          <a:avLst/>
        </a:prstGeom>
        <a:noFill/>
        <a:ln w="9525">
          <a:noFill/>
          <a:miter lim="800000"/>
          <a:headEnd/>
          <a:tailEnd/>
        </a:ln>
      </xdr:spPr>
      <xdr:txBody>
        <a:bodyPr vertOverflow="clip" wrap="square" lIns="27432" tIns="18288" rIns="0" bIns="0" anchor="t" upright="1"/>
        <a:lstStyle/>
        <a:p>
          <a:pPr algn="l" rtl="1">
            <a:defRPr sz="1000"/>
          </a:pPr>
          <a:r>
            <a:rPr lang="el-GR" altLang="ja-JP" sz="1000" b="1" i="0" strike="noStrike">
              <a:solidFill>
                <a:srgbClr val="000000"/>
              </a:solidFill>
              <a:latin typeface="ＭＳ Ｐゴシック"/>
              <a:ea typeface="ＭＳ Ｐゴシック"/>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3</xdr:col>
      <xdr:colOff>7485</xdr:colOff>
      <xdr:row>99</xdr:row>
      <xdr:rowOff>4130</xdr:rowOff>
    </xdr:from>
    <xdr:to>
      <xdr:col>5</xdr:col>
      <xdr:colOff>4330</xdr:colOff>
      <xdr:row>102</xdr:row>
      <xdr:rowOff>8659</xdr:rowOff>
    </xdr:to>
    <xdr:sp macro="" textlink="">
      <xdr:nvSpPr>
        <xdr:cNvPr id="298" name="Line 39"/>
        <xdr:cNvSpPr>
          <a:spLocks noChangeShapeType="1"/>
        </xdr:cNvSpPr>
      </xdr:nvSpPr>
      <xdr:spPr bwMode="auto">
        <a:xfrm>
          <a:off x="1836285" y="15091730"/>
          <a:ext cx="1216045" cy="461729"/>
        </a:xfrm>
        <a:prstGeom prst="line">
          <a:avLst/>
        </a:prstGeom>
        <a:noFill/>
        <a:ln w="3175">
          <a:solidFill>
            <a:srgbClr val="000000"/>
          </a:solidFill>
          <a:round/>
          <a:headEnd/>
          <a:tailEnd/>
        </a:ln>
      </xdr:spPr>
    </xdr:sp>
    <xdr:clientData/>
  </xdr:twoCellAnchor>
  <xdr:twoCellAnchor>
    <xdr:from>
      <xdr:col>3</xdr:col>
      <xdr:colOff>96578</xdr:colOff>
      <xdr:row>100</xdr:row>
      <xdr:rowOff>34437</xdr:rowOff>
    </xdr:from>
    <xdr:to>
      <xdr:col>4</xdr:col>
      <xdr:colOff>185207</xdr:colOff>
      <xdr:row>101</xdr:row>
      <xdr:rowOff>72537</xdr:rowOff>
    </xdr:to>
    <xdr:sp macro="" textlink="">
      <xdr:nvSpPr>
        <xdr:cNvPr id="299" name="Text Box 41"/>
        <xdr:cNvSpPr txBox="1">
          <a:spLocks noChangeArrowheads="1"/>
        </xdr:cNvSpPr>
      </xdr:nvSpPr>
      <xdr:spPr bwMode="auto">
        <a:xfrm>
          <a:off x="1925378" y="15274437"/>
          <a:ext cx="698229" cy="19050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設置階</a:t>
          </a:r>
        </a:p>
      </xdr:txBody>
    </xdr:sp>
    <xdr:clientData/>
  </xdr:twoCellAnchor>
  <xdr:twoCellAnchor>
    <xdr:from>
      <xdr:col>4</xdr:col>
      <xdr:colOff>56516</xdr:colOff>
      <xdr:row>99</xdr:row>
      <xdr:rowOff>101112</xdr:rowOff>
    </xdr:from>
    <xdr:to>
      <xdr:col>5</xdr:col>
      <xdr:colOff>146937</xdr:colOff>
      <xdr:row>100</xdr:row>
      <xdr:rowOff>34437</xdr:rowOff>
    </xdr:to>
    <xdr:sp macro="" textlink="">
      <xdr:nvSpPr>
        <xdr:cNvPr id="300" name="Text Box 42"/>
        <xdr:cNvSpPr txBox="1">
          <a:spLocks noChangeArrowheads="1"/>
        </xdr:cNvSpPr>
      </xdr:nvSpPr>
      <xdr:spPr bwMode="auto">
        <a:xfrm>
          <a:off x="2494916" y="15188712"/>
          <a:ext cx="700021" cy="8572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クラス</a:t>
          </a:r>
        </a:p>
      </xdr:txBody>
    </xdr:sp>
    <xdr:clientData/>
  </xdr:twoCellAnchor>
  <xdr:twoCellAnchor>
    <xdr:from>
      <xdr:col>4</xdr:col>
      <xdr:colOff>56516</xdr:colOff>
      <xdr:row>99</xdr:row>
      <xdr:rowOff>5862</xdr:rowOff>
    </xdr:from>
    <xdr:to>
      <xdr:col>5</xdr:col>
      <xdr:colOff>146937</xdr:colOff>
      <xdr:row>99</xdr:row>
      <xdr:rowOff>158262</xdr:rowOff>
    </xdr:to>
    <xdr:sp macro="" textlink="">
      <xdr:nvSpPr>
        <xdr:cNvPr id="301" name="Text Box 43"/>
        <xdr:cNvSpPr txBox="1">
          <a:spLocks noChangeArrowheads="1"/>
        </xdr:cNvSpPr>
      </xdr:nvSpPr>
      <xdr:spPr bwMode="auto">
        <a:xfrm>
          <a:off x="2494916" y="15093462"/>
          <a:ext cx="700021" cy="14287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耐</a:t>
          </a:r>
          <a:r>
            <a:rPr lang="ja-JP" altLang="en-US" sz="4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震</a:t>
          </a:r>
        </a:p>
      </xdr:txBody>
    </xdr:sp>
    <xdr:clientData/>
  </xdr:twoCellAnchor>
  <xdr:twoCellAnchor>
    <xdr:from>
      <xdr:col>25</xdr:col>
      <xdr:colOff>163032</xdr:colOff>
      <xdr:row>74</xdr:row>
      <xdr:rowOff>15387</xdr:rowOff>
    </xdr:from>
    <xdr:to>
      <xdr:col>25</xdr:col>
      <xdr:colOff>271923</xdr:colOff>
      <xdr:row>74</xdr:row>
      <xdr:rowOff>186837</xdr:rowOff>
    </xdr:to>
    <xdr:sp macro="" textlink="">
      <xdr:nvSpPr>
        <xdr:cNvPr id="302" name="Text Box 70"/>
        <xdr:cNvSpPr txBox="1">
          <a:spLocks noChangeArrowheads="1"/>
        </xdr:cNvSpPr>
      </xdr:nvSpPr>
      <xdr:spPr bwMode="auto">
        <a:xfrm>
          <a:off x="15403032" y="11292987"/>
          <a:ext cx="108891" cy="13335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H</a:t>
          </a:r>
        </a:p>
      </xdr:txBody>
    </xdr:sp>
    <xdr:clientData/>
  </xdr:twoCellAnchor>
  <xdr:twoCellAnchor>
    <xdr:from>
      <xdr:col>27</xdr:col>
      <xdr:colOff>96393</xdr:colOff>
      <xdr:row>69</xdr:row>
      <xdr:rowOff>24912</xdr:rowOff>
    </xdr:from>
    <xdr:to>
      <xdr:col>30</xdr:col>
      <xdr:colOff>11283</xdr:colOff>
      <xdr:row>79</xdr:row>
      <xdr:rowOff>43962</xdr:rowOff>
    </xdr:to>
    <xdr:grpSp>
      <xdr:nvGrpSpPr>
        <xdr:cNvPr id="303" name="Group 83"/>
        <xdr:cNvGrpSpPr>
          <a:grpSpLocks/>
        </xdr:cNvGrpSpPr>
      </xdr:nvGrpSpPr>
      <xdr:grpSpPr bwMode="auto">
        <a:xfrm>
          <a:off x="6152706" y="12391537"/>
          <a:ext cx="772140" cy="1924050"/>
          <a:chOff x="386" y="146"/>
          <a:chExt cx="163" cy="202"/>
        </a:xfrm>
      </xdr:grpSpPr>
      <xdr:sp macro="" textlink="">
        <xdr:nvSpPr>
          <xdr:cNvPr id="304" name="Line 48"/>
          <xdr:cNvSpPr>
            <a:spLocks noChangeShapeType="1"/>
          </xdr:cNvSpPr>
        </xdr:nvSpPr>
        <xdr:spPr bwMode="auto">
          <a:xfrm>
            <a:off x="549" y="146"/>
            <a:ext cx="0" cy="202"/>
          </a:xfrm>
          <a:prstGeom prst="line">
            <a:avLst/>
          </a:prstGeom>
          <a:noFill/>
          <a:ln w="6350">
            <a:solidFill>
              <a:srgbClr val="000000"/>
            </a:solidFill>
            <a:round/>
            <a:headEnd/>
            <a:tailEnd/>
          </a:ln>
        </xdr:spPr>
      </xdr:sp>
      <xdr:sp macro="" textlink="">
        <xdr:nvSpPr>
          <xdr:cNvPr id="305" name="Line 50"/>
          <xdr:cNvSpPr>
            <a:spLocks noChangeShapeType="1"/>
          </xdr:cNvSpPr>
        </xdr:nvSpPr>
        <xdr:spPr bwMode="auto">
          <a:xfrm>
            <a:off x="386" y="146"/>
            <a:ext cx="0" cy="202"/>
          </a:xfrm>
          <a:prstGeom prst="line">
            <a:avLst/>
          </a:prstGeom>
          <a:noFill/>
          <a:ln w="6350">
            <a:solidFill>
              <a:srgbClr val="000000"/>
            </a:solidFill>
            <a:round/>
            <a:headEnd/>
            <a:tailEnd/>
          </a:ln>
        </xdr:spPr>
      </xdr:sp>
      <xdr:sp macro="" textlink="">
        <xdr:nvSpPr>
          <xdr:cNvPr id="306" name="Line 58"/>
          <xdr:cNvSpPr>
            <a:spLocks noChangeShapeType="1"/>
          </xdr:cNvSpPr>
        </xdr:nvSpPr>
        <xdr:spPr bwMode="auto">
          <a:xfrm>
            <a:off x="386" y="348"/>
            <a:ext cx="163" cy="0"/>
          </a:xfrm>
          <a:prstGeom prst="line">
            <a:avLst/>
          </a:prstGeom>
          <a:noFill/>
          <a:ln w="6350">
            <a:solidFill>
              <a:srgbClr val="000000"/>
            </a:solidFill>
            <a:round/>
            <a:headEnd/>
            <a:tailEnd/>
          </a:ln>
        </xdr:spPr>
      </xdr:sp>
      <xdr:sp macro="" textlink="">
        <xdr:nvSpPr>
          <xdr:cNvPr id="307" name="Line 81"/>
          <xdr:cNvSpPr>
            <a:spLocks noChangeShapeType="1"/>
          </xdr:cNvSpPr>
        </xdr:nvSpPr>
        <xdr:spPr bwMode="auto">
          <a:xfrm>
            <a:off x="386" y="146"/>
            <a:ext cx="163" cy="0"/>
          </a:xfrm>
          <a:prstGeom prst="line">
            <a:avLst/>
          </a:prstGeom>
          <a:noFill/>
          <a:ln w="6350">
            <a:solidFill>
              <a:srgbClr val="000000"/>
            </a:solidFill>
            <a:round/>
            <a:headEnd/>
            <a:tailEnd/>
          </a:ln>
        </xdr:spPr>
      </xdr:sp>
    </xdr:grpSp>
    <xdr:clientData/>
  </xdr:twoCellAnchor>
  <xdr:twoCellAnchor>
    <xdr:from>
      <xdr:col>10</xdr:col>
      <xdr:colOff>188027</xdr:colOff>
      <xdr:row>80</xdr:row>
      <xdr:rowOff>63012</xdr:rowOff>
    </xdr:from>
    <xdr:to>
      <xdr:col>10</xdr:col>
      <xdr:colOff>188027</xdr:colOff>
      <xdr:row>83</xdr:row>
      <xdr:rowOff>139212</xdr:rowOff>
    </xdr:to>
    <xdr:sp macro="" textlink="">
      <xdr:nvSpPr>
        <xdr:cNvPr id="308" name="Line 47"/>
        <xdr:cNvSpPr>
          <a:spLocks noChangeShapeType="1"/>
        </xdr:cNvSpPr>
      </xdr:nvSpPr>
      <xdr:spPr bwMode="auto">
        <a:xfrm>
          <a:off x="6284027" y="12255012"/>
          <a:ext cx="0" cy="533400"/>
        </a:xfrm>
        <a:prstGeom prst="line">
          <a:avLst/>
        </a:prstGeom>
        <a:noFill/>
        <a:ln w="9525">
          <a:solidFill>
            <a:srgbClr val="000000"/>
          </a:solidFill>
          <a:round/>
          <a:headEnd/>
          <a:tailEnd/>
        </a:ln>
      </xdr:spPr>
    </xdr:sp>
    <xdr:clientData/>
  </xdr:twoCellAnchor>
  <xdr:twoCellAnchor>
    <xdr:from>
      <xdr:col>7</xdr:col>
      <xdr:colOff>252327</xdr:colOff>
      <xdr:row>68</xdr:row>
      <xdr:rowOff>53487</xdr:rowOff>
    </xdr:from>
    <xdr:to>
      <xdr:col>7</xdr:col>
      <xdr:colOff>252327</xdr:colOff>
      <xdr:row>85</xdr:row>
      <xdr:rowOff>34437</xdr:rowOff>
    </xdr:to>
    <xdr:sp macro="" textlink="">
      <xdr:nvSpPr>
        <xdr:cNvPr id="309" name="Line 49"/>
        <xdr:cNvSpPr>
          <a:spLocks noChangeShapeType="1"/>
        </xdr:cNvSpPr>
      </xdr:nvSpPr>
      <xdr:spPr bwMode="auto">
        <a:xfrm>
          <a:off x="4519527" y="10416687"/>
          <a:ext cx="0" cy="2571750"/>
        </a:xfrm>
        <a:prstGeom prst="line">
          <a:avLst/>
        </a:prstGeom>
        <a:noFill/>
        <a:ln w="6350">
          <a:solidFill>
            <a:srgbClr val="000000"/>
          </a:solidFill>
          <a:prstDash val="lgDashDot"/>
          <a:round/>
          <a:headEnd/>
          <a:tailEnd/>
        </a:ln>
      </xdr:spPr>
    </xdr:sp>
    <xdr:clientData/>
  </xdr:twoCellAnchor>
  <xdr:twoCellAnchor>
    <xdr:from>
      <xdr:col>5</xdr:col>
      <xdr:colOff>67743</xdr:colOff>
      <xdr:row>80</xdr:row>
      <xdr:rowOff>177312</xdr:rowOff>
    </xdr:from>
    <xdr:to>
      <xdr:col>5</xdr:col>
      <xdr:colOff>67743</xdr:colOff>
      <xdr:row>83</xdr:row>
      <xdr:rowOff>34437</xdr:rowOff>
    </xdr:to>
    <xdr:sp macro="" textlink="">
      <xdr:nvSpPr>
        <xdr:cNvPr id="310" name="Line 51"/>
        <xdr:cNvSpPr>
          <a:spLocks noChangeShapeType="1"/>
        </xdr:cNvSpPr>
      </xdr:nvSpPr>
      <xdr:spPr bwMode="auto">
        <a:xfrm>
          <a:off x="3115743" y="12340737"/>
          <a:ext cx="0" cy="342900"/>
        </a:xfrm>
        <a:prstGeom prst="line">
          <a:avLst/>
        </a:prstGeom>
        <a:noFill/>
        <a:ln w="9525">
          <a:solidFill>
            <a:srgbClr val="000000"/>
          </a:solidFill>
          <a:round/>
          <a:headEnd/>
          <a:tailEnd/>
        </a:ln>
      </xdr:spPr>
    </xdr:sp>
    <xdr:clientData/>
  </xdr:twoCellAnchor>
  <xdr:twoCellAnchor>
    <xdr:from>
      <xdr:col>10</xdr:col>
      <xdr:colOff>69236</xdr:colOff>
      <xdr:row>80</xdr:row>
      <xdr:rowOff>177312</xdr:rowOff>
    </xdr:from>
    <xdr:to>
      <xdr:col>10</xdr:col>
      <xdr:colOff>69236</xdr:colOff>
      <xdr:row>83</xdr:row>
      <xdr:rowOff>34437</xdr:rowOff>
    </xdr:to>
    <xdr:sp macro="" textlink="">
      <xdr:nvSpPr>
        <xdr:cNvPr id="311" name="Line 52"/>
        <xdr:cNvSpPr>
          <a:spLocks noChangeShapeType="1"/>
        </xdr:cNvSpPr>
      </xdr:nvSpPr>
      <xdr:spPr bwMode="auto">
        <a:xfrm>
          <a:off x="6165236" y="12340737"/>
          <a:ext cx="0" cy="342900"/>
        </a:xfrm>
        <a:prstGeom prst="line">
          <a:avLst/>
        </a:prstGeom>
        <a:noFill/>
        <a:ln w="9525">
          <a:solidFill>
            <a:srgbClr val="000000"/>
          </a:solidFill>
          <a:round/>
          <a:headEnd/>
          <a:tailEnd/>
        </a:ln>
      </xdr:spPr>
    </xdr:sp>
    <xdr:clientData/>
  </xdr:twoCellAnchor>
  <xdr:twoCellAnchor>
    <xdr:from>
      <xdr:col>4</xdr:col>
      <xdr:colOff>234702</xdr:colOff>
      <xdr:row>80</xdr:row>
      <xdr:rowOff>63012</xdr:rowOff>
    </xdr:from>
    <xdr:to>
      <xdr:col>4</xdr:col>
      <xdr:colOff>234702</xdr:colOff>
      <xdr:row>83</xdr:row>
      <xdr:rowOff>139212</xdr:rowOff>
    </xdr:to>
    <xdr:sp macro="" textlink="">
      <xdr:nvSpPr>
        <xdr:cNvPr id="312" name="Line 53"/>
        <xdr:cNvSpPr>
          <a:spLocks noChangeShapeType="1"/>
        </xdr:cNvSpPr>
      </xdr:nvSpPr>
      <xdr:spPr bwMode="auto">
        <a:xfrm>
          <a:off x="2673102" y="12255012"/>
          <a:ext cx="0" cy="533400"/>
        </a:xfrm>
        <a:prstGeom prst="line">
          <a:avLst/>
        </a:prstGeom>
        <a:noFill/>
        <a:ln w="9525">
          <a:solidFill>
            <a:srgbClr val="000000"/>
          </a:solidFill>
          <a:round/>
          <a:headEnd/>
          <a:tailEnd/>
        </a:ln>
      </xdr:spPr>
    </xdr:sp>
    <xdr:clientData/>
  </xdr:twoCellAnchor>
  <xdr:twoCellAnchor>
    <xdr:from>
      <xdr:col>10</xdr:col>
      <xdr:colOff>128631</xdr:colOff>
      <xdr:row>79</xdr:row>
      <xdr:rowOff>139212</xdr:rowOff>
    </xdr:from>
    <xdr:to>
      <xdr:col>10</xdr:col>
      <xdr:colOff>128631</xdr:colOff>
      <xdr:row>85</xdr:row>
      <xdr:rowOff>15387</xdr:rowOff>
    </xdr:to>
    <xdr:sp macro="" textlink="">
      <xdr:nvSpPr>
        <xdr:cNvPr id="313" name="Line 54"/>
        <xdr:cNvSpPr>
          <a:spLocks noChangeShapeType="1"/>
        </xdr:cNvSpPr>
      </xdr:nvSpPr>
      <xdr:spPr bwMode="auto">
        <a:xfrm>
          <a:off x="6224631" y="12178812"/>
          <a:ext cx="0" cy="790575"/>
        </a:xfrm>
        <a:prstGeom prst="line">
          <a:avLst/>
        </a:prstGeom>
        <a:noFill/>
        <a:ln w="3175">
          <a:solidFill>
            <a:srgbClr val="000000"/>
          </a:solidFill>
          <a:prstDash val="lgDashDot"/>
          <a:round/>
          <a:headEnd/>
          <a:tailEnd/>
        </a:ln>
      </xdr:spPr>
    </xdr:sp>
    <xdr:clientData/>
  </xdr:twoCellAnchor>
  <xdr:twoCellAnchor>
    <xdr:from>
      <xdr:col>4</xdr:col>
      <xdr:colOff>46617</xdr:colOff>
      <xdr:row>82</xdr:row>
      <xdr:rowOff>5862</xdr:rowOff>
    </xdr:from>
    <xdr:to>
      <xdr:col>11</xdr:col>
      <xdr:colOff>258649</xdr:colOff>
      <xdr:row>82</xdr:row>
      <xdr:rowOff>5862</xdr:rowOff>
    </xdr:to>
    <xdr:sp macro="" textlink="">
      <xdr:nvSpPr>
        <xdr:cNvPr id="314" name="Line 57"/>
        <xdr:cNvSpPr>
          <a:spLocks noChangeShapeType="1"/>
        </xdr:cNvSpPr>
      </xdr:nvSpPr>
      <xdr:spPr bwMode="auto">
        <a:xfrm>
          <a:off x="2485017" y="12502662"/>
          <a:ext cx="4479232" cy="0"/>
        </a:xfrm>
        <a:prstGeom prst="line">
          <a:avLst/>
        </a:prstGeom>
        <a:noFill/>
        <a:ln w="6350">
          <a:solidFill>
            <a:srgbClr val="000000"/>
          </a:solidFill>
          <a:prstDash val="lgDashDot"/>
          <a:round/>
          <a:headEnd/>
          <a:tailEnd/>
        </a:ln>
      </xdr:spPr>
    </xdr:sp>
    <xdr:clientData/>
  </xdr:twoCellAnchor>
  <xdr:twoCellAnchor>
    <xdr:from>
      <xdr:col>5</xdr:col>
      <xdr:colOff>67743</xdr:colOff>
      <xdr:row>83</xdr:row>
      <xdr:rowOff>34437</xdr:rowOff>
    </xdr:from>
    <xdr:to>
      <xdr:col>10</xdr:col>
      <xdr:colOff>69236</xdr:colOff>
      <xdr:row>83</xdr:row>
      <xdr:rowOff>34437</xdr:rowOff>
    </xdr:to>
    <xdr:sp macro="" textlink="">
      <xdr:nvSpPr>
        <xdr:cNvPr id="315" name="Line 59"/>
        <xdr:cNvSpPr>
          <a:spLocks noChangeShapeType="1"/>
        </xdr:cNvSpPr>
      </xdr:nvSpPr>
      <xdr:spPr bwMode="auto">
        <a:xfrm>
          <a:off x="3115743" y="12683637"/>
          <a:ext cx="3049493" cy="0"/>
        </a:xfrm>
        <a:prstGeom prst="line">
          <a:avLst/>
        </a:prstGeom>
        <a:noFill/>
        <a:ln w="9525">
          <a:solidFill>
            <a:srgbClr val="000000"/>
          </a:solidFill>
          <a:round/>
          <a:headEnd/>
          <a:tailEnd/>
        </a:ln>
      </xdr:spPr>
    </xdr:sp>
    <xdr:clientData/>
  </xdr:twoCellAnchor>
  <xdr:twoCellAnchor>
    <xdr:from>
      <xdr:col>5</xdr:col>
      <xdr:colOff>67743</xdr:colOff>
      <xdr:row>80</xdr:row>
      <xdr:rowOff>177312</xdr:rowOff>
    </xdr:from>
    <xdr:to>
      <xdr:col>10</xdr:col>
      <xdr:colOff>69236</xdr:colOff>
      <xdr:row>80</xdr:row>
      <xdr:rowOff>177312</xdr:rowOff>
    </xdr:to>
    <xdr:sp macro="" textlink="">
      <xdr:nvSpPr>
        <xdr:cNvPr id="316" name="Line 60"/>
        <xdr:cNvSpPr>
          <a:spLocks noChangeShapeType="1"/>
        </xdr:cNvSpPr>
      </xdr:nvSpPr>
      <xdr:spPr bwMode="auto">
        <a:xfrm>
          <a:off x="3115743" y="12340737"/>
          <a:ext cx="3049493" cy="0"/>
        </a:xfrm>
        <a:prstGeom prst="line">
          <a:avLst/>
        </a:prstGeom>
        <a:noFill/>
        <a:ln w="9525">
          <a:solidFill>
            <a:srgbClr val="000000"/>
          </a:solidFill>
          <a:round/>
          <a:headEnd/>
          <a:tailEnd/>
        </a:ln>
      </xdr:spPr>
    </xdr:sp>
    <xdr:clientData/>
  </xdr:twoCellAnchor>
  <xdr:twoCellAnchor>
    <xdr:from>
      <xdr:col>4</xdr:col>
      <xdr:colOff>125811</xdr:colOff>
      <xdr:row>83</xdr:row>
      <xdr:rowOff>82062</xdr:rowOff>
    </xdr:from>
    <xdr:to>
      <xdr:col>11</xdr:col>
      <xdr:colOff>149758</xdr:colOff>
      <xdr:row>83</xdr:row>
      <xdr:rowOff>82062</xdr:rowOff>
    </xdr:to>
    <xdr:sp macro="" textlink="">
      <xdr:nvSpPr>
        <xdr:cNvPr id="317" name="Line 61"/>
        <xdr:cNvSpPr>
          <a:spLocks noChangeShapeType="1"/>
        </xdr:cNvSpPr>
      </xdr:nvSpPr>
      <xdr:spPr bwMode="auto">
        <a:xfrm>
          <a:off x="2564211" y="12731262"/>
          <a:ext cx="4291147" cy="0"/>
        </a:xfrm>
        <a:prstGeom prst="line">
          <a:avLst/>
        </a:prstGeom>
        <a:noFill/>
        <a:ln w="3175">
          <a:solidFill>
            <a:srgbClr val="000000"/>
          </a:solidFill>
          <a:prstDash val="lgDashDot"/>
          <a:round/>
          <a:headEnd/>
          <a:tailEnd/>
        </a:ln>
      </xdr:spPr>
    </xdr:sp>
    <xdr:clientData/>
  </xdr:twoCellAnchor>
  <xdr:twoCellAnchor>
    <xdr:from>
      <xdr:col>4</xdr:col>
      <xdr:colOff>234702</xdr:colOff>
      <xdr:row>83</xdr:row>
      <xdr:rowOff>139212</xdr:rowOff>
    </xdr:from>
    <xdr:to>
      <xdr:col>10</xdr:col>
      <xdr:colOff>188026</xdr:colOff>
      <xdr:row>83</xdr:row>
      <xdr:rowOff>139212</xdr:rowOff>
    </xdr:to>
    <xdr:sp macro="" textlink="">
      <xdr:nvSpPr>
        <xdr:cNvPr id="318" name="Line 62"/>
        <xdr:cNvSpPr>
          <a:spLocks noChangeShapeType="1"/>
        </xdr:cNvSpPr>
      </xdr:nvSpPr>
      <xdr:spPr bwMode="auto">
        <a:xfrm>
          <a:off x="2673102" y="12788412"/>
          <a:ext cx="3610924" cy="0"/>
        </a:xfrm>
        <a:prstGeom prst="line">
          <a:avLst/>
        </a:prstGeom>
        <a:noFill/>
        <a:ln w="9525">
          <a:solidFill>
            <a:srgbClr val="000000"/>
          </a:solidFill>
          <a:round/>
          <a:headEnd/>
          <a:tailEnd/>
        </a:ln>
      </xdr:spPr>
    </xdr:sp>
    <xdr:clientData/>
  </xdr:twoCellAnchor>
  <xdr:twoCellAnchor>
    <xdr:from>
      <xdr:col>5</xdr:col>
      <xdr:colOff>8348</xdr:colOff>
      <xdr:row>79</xdr:row>
      <xdr:rowOff>167787</xdr:rowOff>
    </xdr:from>
    <xdr:to>
      <xdr:col>5</xdr:col>
      <xdr:colOff>8348</xdr:colOff>
      <xdr:row>85</xdr:row>
      <xdr:rowOff>15387</xdr:rowOff>
    </xdr:to>
    <xdr:sp macro="" textlink="">
      <xdr:nvSpPr>
        <xdr:cNvPr id="319" name="Line 64"/>
        <xdr:cNvSpPr>
          <a:spLocks noChangeShapeType="1"/>
        </xdr:cNvSpPr>
      </xdr:nvSpPr>
      <xdr:spPr bwMode="auto">
        <a:xfrm>
          <a:off x="3056348" y="12188337"/>
          <a:ext cx="0" cy="781050"/>
        </a:xfrm>
        <a:prstGeom prst="line">
          <a:avLst/>
        </a:prstGeom>
        <a:noFill/>
        <a:ln w="3175">
          <a:solidFill>
            <a:srgbClr val="000000"/>
          </a:solidFill>
          <a:prstDash val="lgDashDot"/>
          <a:round/>
          <a:headEnd/>
          <a:tailEnd/>
        </a:ln>
      </xdr:spPr>
    </xdr:sp>
    <xdr:clientData/>
  </xdr:twoCellAnchor>
  <xdr:twoCellAnchor>
    <xdr:from>
      <xdr:col>3</xdr:col>
      <xdr:colOff>266966</xdr:colOff>
      <xdr:row>80</xdr:row>
      <xdr:rowOff>120162</xdr:rowOff>
    </xdr:from>
    <xdr:to>
      <xdr:col>11</xdr:col>
      <xdr:colOff>26100</xdr:colOff>
      <xdr:row>80</xdr:row>
      <xdr:rowOff>120162</xdr:rowOff>
    </xdr:to>
    <xdr:sp macro="" textlink="">
      <xdr:nvSpPr>
        <xdr:cNvPr id="320" name="Line 65"/>
        <xdr:cNvSpPr>
          <a:spLocks noChangeShapeType="1"/>
        </xdr:cNvSpPr>
      </xdr:nvSpPr>
      <xdr:spPr bwMode="auto">
        <a:xfrm>
          <a:off x="2095766" y="12312162"/>
          <a:ext cx="4635934" cy="0"/>
        </a:xfrm>
        <a:prstGeom prst="line">
          <a:avLst/>
        </a:prstGeom>
        <a:noFill/>
        <a:ln w="3175">
          <a:solidFill>
            <a:srgbClr val="000000"/>
          </a:solidFill>
          <a:prstDash val="lgDashDot"/>
          <a:round/>
          <a:headEnd/>
          <a:tailEnd/>
        </a:ln>
      </xdr:spPr>
    </xdr:sp>
    <xdr:clientData/>
  </xdr:twoCellAnchor>
  <xdr:twoCellAnchor>
    <xdr:from>
      <xdr:col>4</xdr:col>
      <xdr:colOff>284198</xdr:colOff>
      <xdr:row>84</xdr:row>
      <xdr:rowOff>148737</xdr:rowOff>
    </xdr:from>
    <xdr:to>
      <xdr:col>10</xdr:col>
      <xdr:colOff>118732</xdr:colOff>
      <xdr:row>84</xdr:row>
      <xdr:rowOff>148737</xdr:rowOff>
    </xdr:to>
    <xdr:sp macro="" textlink="">
      <xdr:nvSpPr>
        <xdr:cNvPr id="321" name="Line 68"/>
        <xdr:cNvSpPr>
          <a:spLocks noChangeShapeType="1"/>
        </xdr:cNvSpPr>
      </xdr:nvSpPr>
      <xdr:spPr bwMode="auto">
        <a:xfrm>
          <a:off x="2722598" y="12950337"/>
          <a:ext cx="3492134" cy="0"/>
        </a:xfrm>
        <a:prstGeom prst="line">
          <a:avLst/>
        </a:prstGeom>
        <a:noFill/>
        <a:ln w="6350">
          <a:solidFill>
            <a:srgbClr val="000000"/>
          </a:solidFill>
          <a:round/>
          <a:headEnd type="triangle" w="sm" len="med"/>
          <a:tailEnd type="triangle" w="sm" len="med"/>
        </a:ln>
      </xdr:spPr>
    </xdr:sp>
    <xdr:clientData/>
  </xdr:twoCellAnchor>
  <xdr:twoCellAnchor>
    <xdr:from>
      <xdr:col>11</xdr:col>
      <xdr:colOff>70564</xdr:colOff>
      <xdr:row>80</xdr:row>
      <xdr:rowOff>120162</xdr:rowOff>
    </xdr:from>
    <xdr:to>
      <xdr:col>11</xdr:col>
      <xdr:colOff>70564</xdr:colOff>
      <xdr:row>83</xdr:row>
      <xdr:rowOff>82062</xdr:rowOff>
    </xdr:to>
    <xdr:sp macro="" textlink="">
      <xdr:nvSpPr>
        <xdr:cNvPr id="322" name="Line 71"/>
        <xdr:cNvSpPr>
          <a:spLocks noChangeShapeType="1"/>
        </xdr:cNvSpPr>
      </xdr:nvSpPr>
      <xdr:spPr bwMode="auto">
        <a:xfrm>
          <a:off x="6776164" y="12312162"/>
          <a:ext cx="0" cy="419100"/>
        </a:xfrm>
        <a:prstGeom prst="line">
          <a:avLst/>
        </a:prstGeom>
        <a:noFill/>
        <a:ln w="6350">
          <a:solidFill>
            <a:srgbClr val="000000"/>
          </a:solidFill>
          <a:round/>
          <a:headEnd type="triangle" w="sm" len="med"/>
          <a:tailEnd type="triangle" w="sm" len="med"/>
        </a:ln>
      </xdr:spPr>
    </xdr:sp>
    <xdr:clientData/>
  </xdr:twoCellAnchor>
  <xdr:twoCellAnchor>
    <xdr:from>
      <xdr:col>10</xdr:col>
      <xdr:colOff>108833</xdr:colOff>
      <xdr:row>83</xdr:row>
      <xdr:rowOff>63012</xdr:rowOff>
    </xdr:from>
    <xdr:to>
      <xdr:col>10</xdr:col>
      <xdr:colOff>148430</xdr:colOff>
      <xdr:row>83</xdr:row>
      <xdr:rowOff>101112</xdr:rowOff>
    </xdr:to>
    <xdr:sp macro="" textlink="">
      <xdr:nvSpPr>
        <xdr:cNvPr id="323" name="Oval 79"/>
        <xdr:cNvSpPr>
          <a:spLocks noChangeArrowheads="1"/>
        </xdr:cNvSpPr>
      </xdr:nvSpPr>
      <xdr:spPr bwMode="auto">
        <a:xfrm>
          <a:off x="6204833" y="12712212"/>
          <a:ext cx="39597" cy="38100"/>
        </a:xfrm>
        <a:prstGeom prst="ellipse">
          <a:avLst/>
        </a:prstGeom>
        <a:noFill/>
        <a:ln w="9525">
          <a:solidFill>
            <a:srgbClr val="000000"/>
          </a:solidFill>
          <a:round/>
          <a:headEnd/>
          <a:tailEnd/>
        </a:ln>
      </xdr:spPr>
    </xdr:sp>
    <xdr:clientData/>
  </xdr:twoCellAnchor>
  <xdr:twoCellAnchor>
    <xdr:from>
      <xdr:col>4</xdr:col>
      <xdr:colOff>274299</xdr:colOff>
      <xdr:row>83</xdr:row>
      <xdr:rowOff>63012</xdr:rowOff>
    </xdr:from>
    <xdr:to>
      <xdr:col>5</xdr:col>
      <xdr:colOff>28146</xdr:colOff>
      <xdr:row>83</xdr:row>
      <xdr:rowOff>101112</xdr:rowOff>
    </xdr:to>
    <xdr:sp macro="" textlink="">
      <xdr:nvSpPr>
        <xdr:cNvPr id="324" name="Oval 80"/>
        <xdr:cNvSpPr>
          <a:spLocks noChangeArrowheads="1"/>
        </xdr:cNvSpPr>
      </xdr:nvSpPr>
      <xdr:spPr bwMode="auto">
        <a:xfrm>
          <a:off x="2712699" y="12712212"/>
          <a:ext cx="363447" cy="38100"/>
        </a:xfrm>
        <a:prstGeom prst="ellipse">
          <a:avLst/>
        </a:prstGeom>
        <a:noFill/>
        <a:ln w="9525">
          <a:solidFill>
            <a:srgbClr val="000000"/>
          </a:solidFill>
          <a:round/>
          <a:headEnd/>
          <a:tailEnd/>
        </a:ln>
      </xdr:spPr>
    </xdr:sp>
    <xdr:clientData/>
  </xdr:twoCellAnchor>
  <xdr:twoCellAnchor>
    <xdr:from>
      <xdr:col>4</xdr:col>
      <xdr:colOff>234702</xdr:colOff>
      <xdr:row>80</xdr:row>
      <xdr:rowOff>63012</xdr:rowOff>
    </xdr:from>
    <xdr:to>
      <xdr:col>10</xdr:col>
      <xdr:colOff>188026</xdr:colOff>
      <xdr:row>80</xdr:row>
      <xdr:rowOff>63012</xdr:rowOff>
    </xdr:to>
    <xdr:sp macro="" textlink="">
      <xdr:nvSpPr>
        <xdr:cNvPr id="325" name="Line 82"/>
        <xdr:cNvSpPr>
          <a:spLocks noChangeShapeType="1"/>
        </xdr:cNvSpPr>
      </xdr:nvSpPr>
      <xdr:spPr bwMode="auto">
        <a:xfrm>
          <a:off x="2673102" y="12255012"/>
          <a:ext cx="3610924" cy="0"/>
        </a:xfrm>
        <a:prstGeom prst="line">
          <a:avLst/>
        </a:prstGeom>
        <a:noFill/>
        <a:ln w="9525">
          <a:solidFill>
            <a:srgbClr val="000000"/>
          </a:solidFill>
          <a:round/>
          <a:headEnd/>
          <a:tailEnd/>
        </a:ln>
      </xdr:spPr>
    </xdr:sp>
    <xdr:clientData/>
  </xdr:twoCellAnchor>
  <xdr:twoCellAnchor>
    <xdr:from>
      <xdr:col>27</xdr:col>
      <xdr:colOff>96393</xdr:colOff>
      <xdr:row>80</xdr:row>
      <xdr:rowOff>15387</xdr:rowOff>
    </xdr:from>
    <xdr:to>
      <xdr:col>30</xdr:col>
      <xdr:colOff>11283</xdr:colOff>
      <xdr:row>80</xdr:row>
      <xdr:rowOff>15387</xdr:rowOff>
    </xdr:to>
    <xdr:sp macro="" textlink="">
      <xdr:nvSpPr>
        <xdr:cNvPr id="326" name="Line 87"/>
        <xdr:cNvSpPr>
          <a:spLocks noChangeShapeType="1"/>
        </xdr:cNvSpPr>
      </xdr:nvSpPr>
      <xdr:spPr bwMode="auto">
        <a:xfrm>
          <a:off x="16555593" y="12207387"/>
          <a:ext cx="1743690" cy="0"/>
        </a:xfrm>
        <a:prstGeom prst="line">
          <a:avLst/>
        </a:prstGeom>
        <a:noFill/>
        <a:ln w="9525">
          <a:solidFill>
            <a:srgbClr val="000000"/>
          </a:solidFill>
          <a:round/>
          <a:headEnd/>
          <a:tailEnd/>
        </a:ln>
      </xdr:spPr>
    </xdr:sp>
    <xdr:clientData/>
  </xdr:twoCellAnchor>
  <xdr:twoCellAnchor>
    <xdr:from>
      <xdr:col>27</xdr:col>
      <xdr:colOff>96393</xdr:colOff>
      <xdr:row>79</xdr:row>
      <xdr:rowOff>43962</xdr:rowOff>
    </xdr:from>
    <xdr:to>
      <xdr:col>30</xdr:col>
      <xdr:colOff>11283</xdr:colOff>
      <xdr:row>79</xdr:row>
      <xdr:rowOff>43962</xdr:rowOff>
    </xdr:to>
    <xdr:sp macro="" textlink="">
      <xdr:nvSpPr>
        <xdr:cNvPr id="327" name="Line 88"/>
        <xdr:cNvSpPr>
          <a:spLocks noChangeShapeType="1"/>
        </xdr:cNvSpPr>
      </xdr:nvSpPr>
      <xdr:spPr bwMode="auto">
        <a:xfrm>
          <a:off x="16555593" y="12083562"/>
          <a:ext cx="1743690" cy="0"/>
        </a:xfrm>
        <a:prstGeom prst="line">
          <a:avLst/>
        </a:prstGeom>
        <a:noFill/>
        <a:ln w="9525">
          <a:solidFill>
            <a:srgbClr val="000000"/>
          </a:solidFill>
          <a:round/>
          <a:headEnd/>
          <a:tailEnd/>
        </a:ln>
      </xdr:spPr>
    </xdr:sp>
    <xdr:clientData/>
  </xdr:twoCellAnchor>
  <xdr:twoCellAnchor>
    <xdr:from>
      <xdr:col>16</xdr:col>
      <xdr:colOff>8139</xdr:colOff>
      <xdr:row>69</xdr:row>
      <xdr:rowOff>24912</xdr:rowOff>
    </xdr:from>
    <xdr:to>
      <xdr:col>24</xdr:col>
      <xdr:colOff>62713</xdr:colOff>
      <xdr:row>79</xdr:row>
      <xdr:rowOff>43962</xdr:rowOff>
    </xdr:to>
    <xdr:grpSp>
      <xdr:nvGrpSpPr>
        <xdr:cNvPr id="328" name="Group 89"/>
        <xdr:cNvGrpSpPr>
          <a:grpSpLocks/>
        </xdr:cNvGrpSpPr>
      </xdr:nvGrpSpPr>
      <xdr:grpSpPr bwMode="auto">
        <a:xfrm>
          <a:off x="3937202" y="12391537"/>
          <a:ext cx="1340449" cy="1924050"/>
          <a:chOff x="386" y="146"/>
          <a:chExt cx="163" cy="202"/>
        </a:xfrm>
      </xdr:grpSpPr>
      <xdr:sp macro="" textlink="">
        <xdr:nvSpPr>
          <xdr:cNvPr id="329" name="Line 90"/>
          <xdr:cNvSpPr>
            <a:spLocks noChangeShapeType="1"/>
          </xdr:cNvSpPr>
        </xdr:nvSpPr>
        <xdr:spPr bwMode="auto">
          <a:xfrm>
            <a:off x="549" y="146"/>
            <a:ext cx="0" cy="202"/>
          </a:xfrm>
          <a:prstGeom prst="line">
            <a:avLst/>
          </a:prstGeom>
          <a:noFill/>
          <a:ln w="6350">
            <a:solidFill>
              <a:srgbClr val="000000"/>
            </a:solidFill>
            <a:round/>
            <a:headEnd/>
            <a:tailEnd/>
          </a:ln>
        </xdr:spPr>
      </xdr:sp>
      <xdr:sp macro="" textlink="">
        <xdr:nvSpPr>
          <xdr:cNvPr id="330" name="Line 91"/>
          <xdr:cNvSpPr>
            <a:spLocks noChangeShapeType="1"/>
          </xdr:cNvSpPr>
        </xdr:nvSpPr>
        <xdr:spPr bwMode="auto">
          <a:xfrm>
            <a:off x="386" y="146"/>
            <a:ext cx="0" cy="202"/>
          </a:xfrm>
          <a:prstGeom prst="line">
            <a:avLst/>
          </a:prstGeom>
          <a:noFill/>
          <a:ln w="6350">
            <a:solidFill>
              <a:srgbClr val="000000"/>
            </a:solidFill>
            <a:round/>
            <a:headEnd/>
            <a:tailEnd/>
          </a:ln>
        </xdr:spPr>
      </xdr:sp>
      <xdr:sp macro="" textlink="">
        <xdr:nvSpPr>
          <xdr:cNvPr id="331" name="Line 92"/>
          <xdr:cNvSpPr>
            <a:spLocks noChangeShapeType="1"/>
          </xdr:cNvSpPr>
        </xdr:nvSpPr>
        <xdr:spPr bwMode="auto">
          <a:xfrm>
            <a:off x="386" y="348"/>
            <a:ext cx="163" cy="0"/>
          </a:xfrm>
          <a:prstGeom prst="line">
            <a:avLst/>
          </a:prstGeom>
          <a:noFill/>
          <a:ln w="6350">
            <a:solidFill>
              <a:srgbClr val="000000"/>
            </a:solidFill>
            <a:round/>
            <a:headEnd/>
            <a:tailEnd/>
          </a:ln>
        </xdr:spPr>
      </xdr:sp>
      <xdr:sp macro="" textlink="">
        <xdr:nvSpPr>
          <xdr:cNvPr id="332" name="Line 93"/>
          <xdr:cNvSpPr>
            <a:spLocks noChangeShapeType="1"/>
          </xdr:cNvSpPr>
        </xdr:nvSpPr>
        <xdr:spPr bwMode="auto">
          <a:xfrm>
            <a:off x="386" y="146"/>
            <a:ext cx="163" cy="0"/>
          </a:xfrm>
          <a:prstGeom prst="line">
            <a:avLst/>
          </a:prstGeom>
          <a:noFill/>
          <a:ln w="6350">
            <a:solidFill>
              <a:srgbClr val="000000"/>
            </a:solidFill>
            <a:round/>
            <a:headEnd/>
            <a:tailEnd/>
          </a:ln>
        </xdr:spPr>
      </xdr:sp>
    </xdr:grpSp>
    <xdr:clientData/>
  </xdr:twoCellAnchor>
  <xdr:twoCellAnchor>
    <xdr:from>
      <xdr:col>16</xdr:col>
      <xdr:colOff>8139</xdr:colOff>
      <xdr:row>79</xdr:row>
      <xdr:rowOff>43962</xdr:rowOff>
    </xdr:from>
    <xdr:to>
      <xdr:col>24</xdr:col>
      <xdr:colOff>62713</xdr:colOff>
      <xdr:row>80</xdr:row>
      <xdr:rowOff>15387</xdr:rowOff>
    </xdr:to>
    <xdr:grpSp>
      <xdr:nvGrpSpPr>
        <xdr:cNvPr id="333" name="Group 94"/>
        <xdr:cNvGrpSpPr>
          <a:grpSpLocks/>
        </xdr:cNvGrpSpPr>
      </xdr:nvGrpSpPr>
      <xdr:grpSpPr bwMode="auto">
        <a:xfrm>
          <a:off x="3937202" y="14315587"/>
          <a:ext cx="1340449" cy="161925"/>
          <a:chOff x="386" y="146"/>
          <a:chExt cx="163" cy="202"/>
        </a:xfrm>
      </xdr:grpSpPr>
      <xdr:sp macro="" textlink="">
        <xdr:nvSpPr>
          <xdr:cNvPr id="334" name="Line 95"/>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335" name="Line 96"/>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336" name="Line 97"/>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337" name="Line 98"/>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24</xdr:col>
      <xdr:colOff>62713</xdr:colOff>
      <xdr:row>80</xdr:row>
      <xdr:rowOff>43962</xdr:rowOff>
    </xdr:from>
    <xdr:to>
      <xdr:col>24</xdr:col>
      <xdr:colOff>62713</xdr:colOff>
      <xdr:row>81</xdr:row>
      <xdr:rowOff>120162</xdr:rowOff>
    </xdr:to>
    <xdr:sp macro="" textlink="">
      <xdr:nvSpPr>
        <xdr:cNvPr id="338" name="Line 99"/>
        <xdr:cNvSpPr>
          <a:spLocks noChangeShapeType="1"/>
        </xdr:cNvSpPr>
      </xdr:nvSpPr>
      <xdr:spPr bwMode="auto">
        <a:xfrm>
          <a:off x="14693113" y="12235962"/>
          <a:ext cx="0" cy="228600"/>
        </a:xfrm>
        <a:prstGeom prst="line">
          <a:avLst/>
        </a:prstGeom>
        <a:noFill/>
        <a:ln w="3175">
          <a:solidFill>
            <a:srgbClr val="000000"/>
          </a:solidFill>
          <a:round/>
          <a:headEnd/>
          <a:tailEnd/>
        </a:ln>
      </xdr:spPr>
    </xdr:sp>
    <xdr:clientData/>
  </xdr:twoCellAnchor>
  <xdr:twoCellAnchor>
    <xdr:from>
      <xdr:col>16</xdr:col>
      <xdr:colOff>8139</xdr:colOff>
      <xdr:row>80</xdr:row>
      <xdr:rowOff>43962</xdr:rowOff>
    </xdr:from>
    <xdr:to>
      <xdr:col>16</xdr:col>
      <xdr:colOff>8139</xdr:colOff>
      <xdr:row>81</xdr:row>
      <xdr:rowOff>120162</xdr:rowOff>
    </xdr:to>
    <xdr:sp macro="" textlink="">
      <xdr:nvSpPr>
        <xdr:cNvPr id="339" name="Line 100"/>
        <xdr:cNvSpPr>
          <a:spLocks noChangeShapeType="1"/>
        </xdr:cNvSpPr>
      </xdr:nvSpPr>
      <xdr:spPr bwMode="auto">
        <a:xfrm>
          <a:off x="9761739" y="12235962"/>
          <a:ext cx="0" cy="228600"/>
        </a:xfrm>
        <a:prstGeom prst="line">
          <a:avLst/>
        </a:prstGeom>
        <a:noFill/>
        <a:ln w="3175">
          <a:solidFill>
            <a:srgbClr val="000000"/>
          </a:solidFill>
          <a:round/>
          <a:headEnd/>
          <a:tailEnd/>
        </a:ln>
      </xdr:spPr>
    </xdr:sp>
    <xdr:clientData/>
  </xdr:twoCellAnchor>
  <xdr:twoCellAnchor>
    <xdr:from>
      <xdr:col>27</xdr:col>
      <xdr:colOff>96393</xdr:colOff>
      <xdr:row>81</xdr:row>
      <xdr:rowOff>53487</xdr:rowOff>
    </xdr:from>
    <xdr:to>
      <xdr:col>30</xdr:col>
      <xdr:colOff>11283</xdr:colOff>
      <xdr:row>81</xdr:row>
      <xdr:rowOff>53487</xdr:rowOff>
    </xdr:to>
    <xdr:sp macro="" textlink="">
      <xdr:nvSpPr>
        <xdr:cNvPr id="340" name="Line 101"/>
        <xdr:cNvSpPr>
          <a:spLocks noChangeShapeType="1"/>
        </xdr:cNvSpPr>
      </xdr:nvSpPr>
      <xdr:spPr bwMode="auto">
        <a:xfrm>
          <a:off x="16555593" y="12397887"/>
          <a:ext cx="1743690" cy="0"/>
        </a:xfrm>
        <a:prstGeom prst="line">
          <a:avLst/>
        </a:prstGeom>
        <a:noFill/>
        <a:ln w="6350">
          <a:solidFill>
            <a:srgbClr val="000000"/>
          </a:solidFill>
          <a:round/>
          <a:headEnd type="triangle" w="sm" len="med"/>
          <a:tailEnd type="triangle" w="sm" len="med"/>
        </a:ln>
      </xdr:spPr>
    </xdr:sp>
    <xdr:clientData/>
  </xdr:twoCellAnchor>
  <xdr:twoCellAnchor>
    <xdr:from>
      <xdr:col>29</xdr:col>
      <xdr:colOff>178242</xdr:colOff>
      <xdr:row>79</xdr:row>
      <xdr:rowOff>43962</xdr:rowOff>
    </xdr:from>
    <xdr:to>
      <xdr:col>29</xdr:col>
      <xdr:colOff>178242</xdr:colOff>
      <xdr:row>80</xdr:row>
      <xdr:rowOff>15387</xdr:rowOff>
    </xdr:to>
    <xdr:sp macro="" textlink="">
      <xdr:nvSpPr>
        <xdr:cNvPr id="341" name="Line 104"/>
        <xdr:cNvSpPr>
          <a:spLocks noChangeShapeType="1"/>
        </xdr:cNvSpPr>
      </xdr:nvSpPr>
      <xdr:spPr bwMode="auto">
        <a:xfrm>
          <a:off x="17856642" y="12083562"/>
          <a:ext cx="0" cy="123825"/>
        </a:xfrm>
        <a:prstGeom prst="line">
          <a:avLst/>
        </a:prstGeom>
        <a:noFill/>
        <a:ln w="12700">
          <a:solidFill>
            <a:srgbClr val="000000"/>
          </a:solidFill>
          <a:round/>
          <a:headEnd/>
          <a:tailEnd/>
        </a:ln>
      </xdr:spPr>
    </xdr:sp>
    <xdr:clientData/>
  </xdr:twoCellAnchor>
  <xdr:twoCellAnchor>
    <xdr:from>
      <xdr:col>27</xdr:col>
      <xdr:colOff>215184</xdr:colOff>
      <xdr:row>79</xdr:row>
      <xdr:rowOff>43962</xdr:rowOff>
    </xdr:from>
    <xdr:to>
      <xdr:col>27</xdr:col>
      <xdr:colOff>215184</xdr:colOff>
      <xdr:row>80</xdr:row>
      <xdr:rowOff>15387</xdr:rowOff>
    </xdr:to>
    <xdr:sp macro="" textlink="">
      <xdr:nvSpPr>
        <xdr:cNvPr id="342" name="Line 105"/>
        <xdr:cNvSpPr>
          <a:spLocks noChangeShapeType="1"/>
        </xdr:cNvSpPr>
      </xdr:nvSpPr>
      <xdr:spPr bwMode="auto">
        <a:xfrm>
          <a:off x="16674384" y="12083562"/>
          <a:ext cx="0" cy="123825"/>
        </a:xfrm>
        <a:prstGeom prst="line">
          <a:avLst/>
        </a:prstGeom>
        <a:noFill/>
        <a:ln w="12700">
          <a:solidFill>
            <a:srgbClr val="000000"/>
          </a:solidFill>
          <a:round/>
          <a:headEnd/>
          <a:tailEnd/>
        </a:ln>
      </xdr:spPr>
    </xdr:sp>
    <xdr:clientData/>
  </xdr:twoCellAnchor>
  <xdr:twoCellAnchor>
    <xdr:from>
      <xdr:col>27</xdr:col>
      <xdr:colOff>155788</xdr:colOff>
      <xdr:row>79</xdr:row>
      <xdr:rowOff>148737</xdr:rowOff>
    </xdr:from>
    <xdr:to>
      <xdr:col>27</xdr:col>
      <xdr:colOff>155788</xdr:colOff>
      <xdr:row>80</xdr:row>
      <xdr:rowOff>129687</xdr:rowOff>
    </xdr:to>
    <xdr:sp macro="" textlink="">
      <xdr:nvSpPr>
        <xdr:cNvPr id="343" name="Line 106"/>
        <xdr:cNvSpPr>
          <a:spLocks noChangeShapeType="1"/>
        </xdr:cNvSpPr>
      </xdr:nvSpPr>
      <xdr:spPr bwMode="auto">
        <a:xfrm>
          <a:off x="16614988" y="12188337"/>
          <a:ext cx="0" cy="133350"/>
        </a:xfrm>
        <a:prstGeom prst="line">
          <a:avLst/>
        </a:prstGeom>
        <a:noFill/>
        <a:ln w="19050">
          <a:solidFill>
            <a:srgbClr val="000000"/>
          </a:solidFill>
          <a:round/>
          <a:headEnd/>
          <a:tailEnd/>
        </a:ln>
      </xdr:spPr>
    </xdr:sp>
    <xdr:clientData/>
  </xdr:twoCellAnchor>
  <xdr:twoCellAnchor>
    <xdr:from>
      <xdr:col>16</xdr:col>
      <xdr:colOff>77433</xdr:colOff>
      <xdr:row>79</xdr:row>
      <xdr:rowOff>148737</xdr:rowOff>
    </xdr:from>
    <xdr:to>
      <xdr:col>16</xdr:col>
      <xdr:colOff>77433</xdr:colOff>
      <xdr:row>80</xdr:row>
      <xdr:rowOff>129687</xdr:rowOff>
    </xdr:to>
    <xdr:sp macro="" textlink="">
      <xdr:nvSpPr>
        <xdr:cNvPr id="344" name="Line 108"/>
        <xdr:cNvSpPr>
          <a:spLocks noChangeShapeType="1"/>
        </xdr:cNvSpPr>
      </xdr:nvSpPr>
      <xdr:spPr bwMode="auto">
        <a:xfrm>
          <a:off x="9831033" y="12188337"/>
          <a:ext cx="0" cy="133350"/>
        </a:xfrm>
        <a:prstGeom prst="line">
          <a:avLst/>
        </a:prstGeom>
        <a:noFill/>
        <a:ln w="19050">
          <a:solidFill>
            <a:srgbClr val="000000"/>
          </a:solidFill>
          <a:round/>
          <a:headEnd/>
          <a:tailEnd/>
        </a:ln>
      </xdr:spPr>
    </xdr:sp>
    <xdr:clientData/>
  </xdr:twoCellAnchor>
  <xdr:twoCellAnchor>
    <xdr:from>
      <xdr:col>21</xdr:col>
      <xdr:colOff>2067</xdr:colOff>
      <xdr:row>79</xdr:row>
      <xdr:rowOff>148737</xdr:rowOff>
    </xdr:from>
    <xdr:to>
      <xdr:col>21</xdr:col>
      <xdr:colOff>2067</xdr:colOff>
      <xdr:row>80</xdr:row>
      <xdr:rowOff>129687</xdr:rowOff>
    </xdr:to>
    <xdr:sp macro="" textlink="">
      <xdr:nvSpPr>
        <xdr:cNvPr id="345" name="Line 109"/>
        <xdr:cNvSpPr>
          <a:spLocks noChangeShapeType="1"/>
        </xdr:cNvSpPr>
      </xdr:nvSpPr>
      <xdr:spPr bwMode="auto">
        <a:xfrm>
          <a:off x="12803667" y="12188337"/>
          <a:ext cx="0" cy="133350"/>
        </a:xfrm>
        <a:prstGeom prst="line">
          <a:avLst/>
        </a:prstGeom>
        <a:noFill/>
        <a:ln w="19050">
          <a:solidFill>
            <a:srgbClr val="000000"/>
          </a:solidFill>
          <a:round/>
          <a:headEnd/>
          <a:tailEnd/>
        </a:ln>
      </xdr:spPr>
    </xdr:sp>
    <xdr:clientData/>
  </xdr:twoCellAnchor>
  <xdr:twoCellAnchor>
    <xdr:from>
      <xdr:col>29</xdr:col>
      <xdr:colOff>237637</xdr:colOff>
      <xdr:row>79</xdr:row>
      <xdr:rowOff>148737</xdr:rowOff>
    </xdr:from>
    <xdr:to>
      <xdr:col>29</xdr:col>
      <xdr:colOff>237637</xdr:colOff>
      <xdr:row>80</xdr:row>
      <xdr:rowOff>129687</xdr:rowOff>
    </xdr:to>
    <xdr:sp macro="" textlink="">
      <xdr:nvSpPr>
        <xdr:cNvPr id="346" name="Line 110"/>
        <xdr:cNvSpPr>
          <a:spLocks noChangeShapeType="1"/>
        </xdr:cNvSpPr>
      </xdr:nvSpPr>
      <xdr:spPr bwMode="auto">
        <a:xfrm>
          <a:off x="17916037" y="12188337"/>
          <a:ext cx="0" cy="133350"/>
        </a:xfrm>
        <a:prstGeom prst="line">
          <a:avLst/>
        </a:prstGeom>
        <a:noFill/>
        <a:ln w="19050">
          <a:solidFill>
            <a:srgbClr val="000000"/>
          </a:solidFill>
          <a:round/>
          <a:headEnd/>
          <a:tailEnd/>
        </a:ln>
      </xdr:spPr>
    </xdr:sp>
    <xdr:clientData/>
  </xdr:twoCellAnchor>
  <xdr:twoCellAnchor>
    <xdr:from>
      <xdr:col>23</xdr:col>
      <xdr:colOff>279168</xdr:colOff>
      <xdr:row>79</xdr:row>
      <xdr:rowOff>148737</xdr:rowOff>
    </xdr:from>
    <xdr:to>
      <xdr:col>23</xdr:col>
      <xdr:colOff>279168</xdr:colOff>
      <xdr:row>80</xdr:row>
      <xdr:rowOff>129687</xdr:rowOff>
    </xdr:to>
    <xdr:sp macro="" textlink="">
      <xdr:nvSpPr>
        <xdr:cNvPr id="347" name="Line 111"/>
        <xdr:cNvSpPr>
          <a:spLocks noChangeShapeType="1"/>
        </xdr:cNvSpPr>
      </xdr:nvSpPr>
      <xdr:spPr bwMode="auto">
        <a:xfrm>
          <a:off x="14299968" y="12188337"/>
          <a:ext cx="0" cy="133350"/>
        </a:xfrm>
        <a:prstGeom prst="line">
          <a:avLst/>
        </a:prstGeom>
        <a:noFill/>
        <a:ln w="19050">
          <a:solidFill>
            <a:srgbClr val="000000"/>
          </a:solidFill>
          <a:round/>
          <a:headEnd/>
          <a:tailEnd/>
        </a:ln>
      </xdr:spPr>
    </xdr:sp>
    <xdr:clientData/>
  </xdr:twoCellAnchor>
  <xdr:twoCellAnchor>
    <xdr:from>
      <xdr:col>30</xdr:col>
      <xdr:colOff>11282</xdr:colOff>
      <xdr:row>80</xdr:row>
      <xdr:rowOff>43962</xdr:rowOff>
    </xdr:from>
    <xdr:to>
      <xdr:col>30</xdr:col>
      <xdr:colOff>11282</xdr:colOff>
      <xdr:row>81</xdr:row>
      <xdr:rowOff>120162</xdr:rowOff>
    </xdr:to>
    <xdr:sp macro="" textlink="">
      <xdr:nvSpPr>
        <xdr:cNvPr id="348" name="Line 114"/>
        <xdr:cNvSpPr>
          <a:spLocks noChangeShapeType="1"/>
        </xdr:cNvSpPr>
      </xdr:nvSpPr>
      <xdr:spPr bwMode="auto">
        <a:xfrm>
          <a:off x="18299282" y="12235962"/>
          <a:ext cx="0" cy="228600"/>
        </a:xfrm>
        <a:prstGeom prst="line">
          <a:avLst/>
        </a:prstGeom>
        <a:noFill/>
        <a:ln w="3175">
          <a:solidFill>
            <a:srgbClr val="000000"/>
          </a:solidFill>
          <a:round/>
          <a:headEnd/>
          <a:tailEnd/>
        </a:ln>
      </xdr:spPr>
    </xdr:sp>
    <xdr:clientData/>
  </xdr:twoCellAnchor>
  <xdr:twoCellAnchor>
    <xdr:from>
      <xdr:col>27</xdr:col>
      <xdr:colOff>96393</xdr:colOff>
      <xdr:row>80</xdr:row>
      <xdr:rowOff>43962</xdr:rowOff>
    </xdr:from>
    <xdr:to>
      <xdr:col>27</xdr:col>
      <xdr:colOff>96393</xdr:colOff>
      <xdr:row>81</xdr:row>
      <xdr:rowOff>120162</xdr:rowOff>
    </xdr:to>
    <xdr:sp macro="" textlink="">
      <xdr:nvSpPr>
        <xdr:cNvPr id="349" name="Line 115"/>
        <xdr:cNvSpPr>
          <a:spLocks noChangeShapeType="1"/>
        </xdr:cNvSpPr>
      </xdr:nvSpPr>
      <xdr:spPr bwMode="auto">
        <a:xfrm>
          <a:off x="16555593" y="12235962"/>
          <a:ext cx="0" cy="228600"/>
        </a:xfrm>
        <a:prstGeom prst="line">
          <a:avLst/>
        </a:prstGeom>
        <a:noFill/>
        <a:ln w="3175">
          <a:solidFill>
            <a:srgbClr val="000000"/>
          </a:solidFill>
          <a:round/>
          <a:headEnd/>
          <a:tailEnd/>
        </a:ln>
      </xdr:spPr>
    </xdr:sp>
    <xdr:clientData/>
  </xdr:twoCellAnchor>
  <xdr:twoCellAnchor>
    <xdr:from>
      <xdr:col>16</xdr:col>
      <xdr:colOff>8139</xdr:colOff>
      <xdr:row>81</xdr:row>
      <xdr:rowOff>53487</xdr:rowOff>
    </xdr:from>
    <xdr:to>
      <xdr:col>24</xdr:col>
      <xdr:colOff>62713</xdr:colOff>
      <xdr:row>81</xdr:row>
      <xdr:rowOff>53487</xdr:rowOff>
    </xdr:to>
    <xdr:sp macro="" textlink="">
      <xdr:nvSpPr>
        <xdr:cNvPr id="350" name="Line 116"/>
        <xdr:cNvSpPr>
          <a:spLocks noChangeShapeType="1"/>
        </xdr:cNvSpPr>
      </xdr:nvSpPr>
      <xdr:spPr bwMode="auto">
        <a:xfrm>
          <a:off x="9761739" y="12397887"/>
          <a:ext cx="4931374" cy="0"/>
        </a:xfrm>
        <a:prstGeom prst="line">
          <a:avLst/>
        </a:prstGeom>
        <a:noFill/>
        <a:ln w="6350">
          <a:solidFill>
            <a:srgbClr val="000000"/>
          </a:solidFill>
          <a:round/>
          <a:headEnd type="triangle" w="sm" len="med"/>
          <a:tailEnd type="triangle" w="sm" len="med"/>
        </a:ln>
      </xdr:spPr>
    </xdr:sp>
    <xdr:clientData/>
  </xdr:twoCellAnchor>
  <xdr:twoCellAnchor>
    <xdr:from>
      <xdr:col>24</xdr:col>
      <xdr:colOff>102310</xdr:colOff>
      <xdr:row>69</xdr:row>
      <xdr:rowOff>24912</xdr:rowOff>
    </xdr:from>
    <xdr:to>
      <xdr:col>25</xdr:col>
      <xdr:colOff>262025</xdr:colOff>
      <xdr:row>69</xdr:row>
      <xdr:rowOff>24912</xdr:rowOff>
    </xdr:to>
    <xdr:sp macro="" textlink="">
      <xdr:nvSpPr>
        <xdr:cNvPr id="351" name="Line 118"/>
        <xdr:cNvSpPr>
          <a:spLocks noChangeShapeType="1"/>
        </xdr:cNvSpPr>
      </xdr:nvSpPr>
      <xdr:spPr bwMode="auto">
        <a:xfrm>
          <a:off x="14732710" y="10540512"/>
          <a:ext cx="769315" cy="0"/>
        </a:xfrm>
        <a:prstGeom prst="line">
          <a:avLst/>
        </a:prstGeom>
        <a:noFill/>
        <a:ln w="3175">
          <a:solidFill>
            <a:srgbClr val="000000"/>
          </a:solidFill>
          <a:round/>
          <a:headEnd/>
          <a:tailEnd/>
        </a:ln>
      </xdr:spPr>
    </xdr:sp>
    <xdr:clientData/>
  </xdr:twoCellAnchor>
  <xdr:twoCellAnchor>
    <xdr:from>
      <xdr:col>24</xdr:col>
      <xdr:colOff>102310</xdr:colOff>
      <xdr:row>80</xdr:row>
      <xdr:rowOff>15387</xdr:rowOff>
    </xdr:from>
    <xdr:to>
      <xdr:col>25</xdr:col>
      <xdr:colOff>262025</xdr:colOff>
      <xdr:row>80</xdr:row>
      <xdr:rowOff>15387</xdr:rowOff>
    </xdr:to>
    <xdr:sp macro="" textlink="">
      <xdr:nvSpPr>
        <xdr:cNvPr id="352" name="Line 119"/>
        <xdr:cNvSpPr>
          <a:spLocks noChangeShapeType="1"/>
        </xdr:cNvSpPr>
      </xdr:nvSpPr>
      <xdr:spPr bwMode="auto">
        <a:xfrm>
          <a:off x="14732710" y="12207387"/>
          <a:ext cx="769315" cy="0"/>
        </a:xfrm>
        <a:prstGeom prst="line">
          <a:avLst/>
        </a:prstGeom>
        <a:noFill/>
        <a:ln w="3175">
          <a:solidFill>
            <a:srgbClr val="000000"/>
          </a:solidFill>
          <a:round/>
          <a:headEnd/>
          <a:tailEnd/>
        </a:ln>
      </xdr:spPr>
    </xdr:sp>
    <xdr:clientData/>
  </xdr:twoCellAnchor>
  <xdr:twoCellAnchor>
    <xdr:from>
      <xdr:col>25</xdr:col>
      <xdr:colOff>163032</xdr:colOff>
      <xdr:row>69</xdr:row>
      <xdr:rowOff>24912</xdr:rowOff>
    </xdr:from>
    <xdr:to>
      <xdr:col>25</xdr:col>
      <xdr:colOff>163032</xdr:colOff>
      <xdr:row>80</xdr:row>
      <xdr:rowOff>15387</xdr:rowOff>
    </xdr:to>
    <xdr:sp macro="" textlink="">
      <xdr:nvSpPr>
        <xdr:cNvPr id="353" name="Line 120"/>
        <xdr:cNvSpPr>
          <a:spLocks noChangeShapeType="1"/>
        </xdr:cNvSpPr>
      </xdr:nvSpPr>
      <xdr:spPr bwMode="auto">
        <a:xfrm>
          <a:off x="15403032" y="10540512"/>
          <a:ext cx="0" cy="1666875"/>
        </a:xfrm>
        <a:prstGeom prst="line">
          <a:avLst/>
        </a:prstGeom>
        <a:noFill/>
        <a:ln w="3175">
          <a:solidFill>
            <a:srgbClr val="000000"/>
          </a:solidFill>
          <a:round/>
          <a:headEnd type="triangle" w="sm" len="med"/>
          <a:tailEnd type="triangle" w="sm" len="med"/>
        </a:ln>
      </xdr:spPr>
    </xdr:sp>
    <xdr:clientData/>
  </xdr:twoCellAnchor>
  <xdr:twoCellAnchor>
    <xdr:from>
      <xdr:col>25</xdr:col>
      <xdr:colOff>202629</xdr:colOff>
      <xdr:row>81</xdr:row>
      <xdr:rowOff>177312</xdr:rowOff>
    </xdr:from>
    <xdr:to>
      <xdr:col>27</xdr:col>
      <xdr:colOff>264679</xdr:colOff>
      <xdr:row>82</xdr:row>
      <xdr:rowOff>148737</xdr:rowOff>
    </xdr:to>
    <xdr:sp macro="" textlink="">
      <xdr:nvSpPr>
        <xdr:cNvPr id="354" name="Text Box 121"/>
        <xdr:cNvSpPr txBox="1">
          <a:spLocks noChangeArrowheads="1"/>
        </xdr:cNvSpPr>
      </xdr:nvSpPr>
      <xdr:spPr bwMode="auto">
        <a:xfrm>
          <a:off x="15442629" y="12493137"/>
          <a:ext cx="1281250" cy="15240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900" b="0" i="0" strike="noStrike">
              <a:solidFill>
                <a:srgbClr val="000000"/>
              </a:solidFill>
              <a:latin typeface="ＭＳ Ｐ明朝"/>
              <a:ea typeface="ＭＳ Ｐ明朝"/>
            </a:rPr>
            <a:t>アンカボルト</a:t>
          </a:r>
        </a:p>
      </xdr:txBody>
    </xdr:sp>
    <xdr:clientData/>
  </xdr:twoCellAnchor>
  <xdr:twoCellAnchor>
    <xdr:from>
      <xdr:col>24</xdr:col>
      <xdr:colOff>62713</xdr:colOff>
      <xdr:row>82</xdr:row>
      <xdr:rowOff>158262</xdr:rowOff>
    </xdr:from>
    <xdr:to>
      <xdr:col>24</xdr:col>
      <xdr:colOff>62713</xdr:colOff>
      <xdr:row>86</xdr:row>
      <xdr:rowOff>139212</xdr:rowOff>
    </xdr:to>
    <xdr:sp macro="" textlink="">
      <xdr:nvSpPr>
        <xdr:cNvPr id="355" name="Line 123"/>
        <xdr:cNvSpPr>
          <a:spLocks noChangeShapeType="1"/>
        </xdr:cNvSpPr>
      </xdr:nvSpPr>
      <xdr:spPr bwMode="auto">
        <a:xfrm>
          <a:off x="14693113" y="12645537"/>
          <a:ext cx="0" cy="600075"/>
        </a:xfrm>
        <a:prstGeom prst="line">
          <a:avLst/>
        </a:prstGeom>
        <a:noFill/>
        <a:ln w="9525">
          <a:solidFill>
            <a:srgbClr val="000000"/>
          </a:solidFill>
          <a:round/>
          <a:headEnd/>
          <a:tailEnd/>
        </a:ln>
      </xdr:spPr>
    </xdr:sp>
    <xdr:clientData/>
  </xdr:twoCellAnchor>
  <xdr:twoCellAnchor>
    <xdr:from>
      <xdr:col>20</xdr:col>
      <xdr:colOff>113606</xdr:colOff>
      <xdr:row>68</xdr:row>
      <xdr:rowOff>53487</xdr:rowOff>
    </xdr:from>
    <xdr:to>
      <xdr:col>20</xdr:col>
      <xdr:colOff>113606</xdr:colOff>
      <xdr:row>88</xdr:row>
      <xdr:rowOff>82062</xdr:rowOff>
    </xdr:to>
    <xdr:sp macro="" textlink="">
      <xdr:nvSpPr>
        <xdr:cNvPr id="356" name="Line 124"/>
        <xdr:cNvSpPr>
          <a:spLocks noChangeShapeType="1"/>
        </xdr:cNvSpPr>
      </xdr:nvSpPr>
      <xdr:spPr bwMode="auto">
        <a:xfrm>
          <a:off x="12305606" y="10416687"/>
          <a:ext cx="0" cy="3076575"/>
        </a:xfrm>
        <a:prstGeom prst="line">
          <a:avLst/>
        </a:prstGeom>
        <a:noFill/>
        <a:ln w="6350">
          <a:solidFill>
            <a:srgbClr val="000000"/>
          </a:solidFill>
          <a:prstDash val="lgDashDot"/>
          <a:round/>
          <a:headEnd/>
          <a:tailEnd/>
        </a:ln>
      </xdr:spPr>
    </xdr:sp>
    <xdr:clientData/>
  </xdr:twoCellAnchor>
  <xdr:twoCellAnchor>
    <xdr:from>
      <xdr:col>17</xdr:col>
      <xdr:colOff>12271</xdr:colOff>
      <xdr:row>83</xdr:row>
      <xdr:rowOff>101112</xdr:rowOff>
    </xdr:from>
    <xdr:to>
      <xdr:col>17</xdr:col>
      <xdr:colOff>12271</xdr:colOff>
      <xdr:row>86</xdr:row>
      <xdr:rowOff>15387</xdr:rowOff>
    </xdr:to>
    <xdr:sp macro="" textlink="">
      <xdr:nvSpPr>
        <xdr:cNvPr id="357" name="Line 125"/>
        <xdr:cNvSpPr>
          <a:spLocks noChangeShapeType="1"/>
        </xdr:cNvSpPr>
      </xdr:nvSpPr>
      <xdr:spPr bwMode="auto">
        <a:xfrm>
          <a:off x="10375471" y="12750312"/>
          <a:ext cx="0" cy="371475"/>
        </a:xfrm>
        <a:prstGeom prst="line">
          <a:avLst/>
        </a:prstGeom>
        <a:noFill/>
        <a:ln w="9525">
          <a:solidFill>
            <a:srgbClr val="000000"/>
          </a:solidFill>
          <a:round/>
          <a:headEnd/>
          <a:tailEnd/>
        </a:ln>
      </xdr:spPr>
    </xdr:sp>
    <xdr:clientData/>
  </xdr:twoCellAnchor>
  <xdr:twoCellAnchor>
    <xdr:from>
      <xdr:col>23</xdr:col>
      <xdr:colOff>199974</xdr:colOff>
      <xdr:row>83</xdr:row>
      <xdr:rowOff>101112</xdr:rowOff>
    </xdr:from>
    <xdr:to>
      <xdr:col>23</xdr:col>
      <xdr:colOff>199974</xdr:colOff>
      <xdr:row>86</xdr:row>
      <xdr:rowOff>24912</xdr:rowOff>
    </xdr:to>
    <xdr:sp macro="" textlink="">
      <xdr:nvSpPr>
        <xdr:cNvPr id="358" name="Line 126"/>
        <xdr:cNvSpPr>
          <a:spLocks noChangeShapeType="1"/>
        </xdr:cNvSpPr>
      </xdr:nvSpPr>
      <xdr:spPr bwMode="auto">
        <a:xfrm>
          <a:off x="14220774" y="12750312"/>
          <a:ext cx="0" cy="381000"/>
        </a:xfrm>
        <a:prstGeom prst="line">
          <a:avLst/>
        </a:prstGeom>
        <a:noFill/>
        <a:ln w="9525">
          <a:solidFill>
            <a:srgbClr val="000000"/>
          </a:solidFill>
          <a:round/>
          <a:headEnd/>
          <a:tailEnd/>
        </a:ln>
      </xdr:spPr>
    </xdr:sp>
    <xdr:clientData/>
  </xdr:twoCellAnchor>
  <xdr:twoCellAnchor>
    <xdr:from>
      <xdr:col>15</xdr:col>
      <xdr:colOff>115471</xdr:colOff>
      <xdr:row>82</xdr:row>
      <xdr:rowOff>158262</xdr:rowOff>
    </xdr:from>
    <xdr:to>
      <xdr:col>15</xdr:col>
      <xdr:colOff>115471</xdr:colOff>
      <xdr:row>86</xdr:row>
      <xdr:rowOff>139212</xdr:rowOff>
    </xdr:to>
    <xdr:sp macro="" textlink="">
      <xdr:nvSpPr>
        <xdr:cNvPr id="359" name="Line 127"/>
        <xdr:cNvSpPr>
          <a:spLocks noChangeShapeType="1"/>
        </xdr:cNvSpPr>
      </xdr:nvSpPr>
      <xdr:spPr bwMode="auto">
        <a:xfrm>
          <a:off x="9259471" y="12645537"/>
          <a:ext cx="0" cy="600075"/>
        </a:xfrm>
        <a:prstGeom prst="line">
          <a:avLst/>
        </a:prstGeom>
        <a:noFill/>
        <a:ln w="9525">
          <a:solidFill>
            <a:srgbClr val="000000"/>
          </a:solidFill>
          <a:round/>
          <a:headEnd/>
          <a:tailEnd/>
        </a:ln>
      </xdr:spPr>
    </xdr:sp>
    <xdr:clientData/>
  </xdr:twoCellAnchor>
  <xdr:twoCellAnchor>
    <xdr:from>
      <xdr:col>23</xdr:col>
      <xdr:colOff>269269</xdr:colOff>
      <xdr:row>82</xdr:row>
      <xdr:rowOff>43962</xdr:rowOff>
    </xdr:from>
    <xdr:to>
      <xdr:col>23</xdr:col>
      <xdr:colOff>269269</xdr:colOff>
      <xdr:row>88</xdr:row>
      <xdr:rowOff>63012</xdr:rowOff>
    </xdr:to>
    <xdr:sp macro="" textlink="">
      <xdr:nvSpPr>
        <xdr:cNvPr id="360" name="Line 128"/>
        <xdr:cNvSpPr>
          <a:spLocks noChangeShapeType="1"/>
        </xdr:cNvSpPr>
      </xdr:nvSpPr>
      <xdr:spPr bwMode="auto">
        <a:xfrm>
          <a:off x="14290069" y="12540762"/>
          <a:ext cx="0" cy="933450"/>
        </a:xfrm>
        <a:prstGeom prst="line">
          <a:avLst/>
        </a:prstGeom>
        <a:noFill/>
        <a:ln w="3175">
          <a:solidFill>
            <a:srgbClr val="000000"/>
          </a:solidFill>
          <a:prstDash val="lgDashDot"/>
          <a:round/>
          <a:headEnd/>
          <a:tailEnd/>
        </a:ln>
      </xdr:spPr>
    </xdr:sp>
    <xdr:clientData/>
  </xdr:twoCellAnchor>
  <xdr:twoCellAnchor>
    <xdr:from>
      <xdr:col>14</xdr:col>
      <xdr:colOff>254914</xdr:colOff>
      <xdr:row>84</xdr:row>
      <xdr:rowOff>148737</xdr:rowOff>
    </xdr:from>
    <xdr:to>
      <xdr:col>25</xdr:col>
      <xdr:colOff>192730</xdr:colOff>
      <xdr:row>84</xdr:row>
      <xdr:rowOff>148737</xdr:rowOff>
    </xdr:to>
    <xdr:sp macro="" textlink="">
      <xdr:nvSpPr>
        <xdr:cNvPr id="361" name="Line 129"/>
        <xdr:cNvSpPr>
          <a:spLocks noChangeShapeType="1"/>
        </xdr:cNvSpPr>
      </xdr:nvSpPr>
      <xdr:spPr bwMode="auto">
        <a:xfrm>
          <a:off x="8789314" y="12950337"/>
          <a:ext cx="6643416" cy="0"/>
        </a:xfrm>
        <a:prstGeom prst="line">
          <a:avLst/>
        </a:prstGeom>
        <a:noFill/>
        <a:ln w="6350">
          <a:solidFill>
            <a:srgbClr val="000000"/>
          </a:solidFill>
          <a:prstDash val="lgDashDot"/>
          <a:round/>
          <a:headEnd/>
          <a:tailEnd/>
        </a:ln>
      </xdr:spPr>
    </xdr:sp>
    <xdr:clientData/>
  </xdr:twoCellAnchor>
  <xdr:twoCellAnchor>
    <xdr:from>
      <xdr:col>17</xdr:col>
      <xdr:colOff>12271</xdr:colOff>
      <xdr:row>86</xdr:row>
      <xdr:rowOff>24912</xdr:rowOff>
    </xdr:from>
    <xdr:to>
      <xdr:col>23</xdr:col>
      <xdr:colOff>199975</xdr:colOff>
      <xdr:row>86</xdr:row>
      <xdr:rowOff>24912</xdr:rowOff>
    </xdr:to>
    <xdr:sp macro="" textlink="">
      <xdr:nvSpPr>
        <xdr:cNvPr id="362" name="Line 130"/>
        <xdr:cNvSpPr>
          <a:spLocks noChangeShapeType="1"/>
        </xdr:cNvSpPr>
      </xdr:nvSpPr>
      <xdr:spPr bwMode="auto">
        <a:xfrm>
          <a:off x="10375471" y="13131312"/>
          <a:ext cx="3845304" cy="0"/>
        </a:xfrm>
        <a:prstGeom prst="line">
          <a:avLst/>
        </a:prstGeom>
        <a:noFill/>
        <a:ln w="9525">
          <a:solidFill>
            <a:srgbClr val="000000"/>
          </a:solidFill>
          <a:round/>
          <a:headEnd/>
          <a:tailEnd/>
        </a:ln>
      </xdr:spPr>
    </xdr:sp>
    <xdr:clientData/>
  </xdr:twoCellAnchor>
  <xdr:twoCellAnchor>
    <xdr:from>
      <xdr:col>17</xdr:col>
      <xdr:colOff>12271</xdr:colOff>
      <xdr:row>83</xdr:row>
      <xdr:rowOff>101112</xdr:rowOff>
    </xdr:from>
    <xdr:to>
      <xdr:col>23</xdr:col>
      <xdr:colOff>199975</xdr:colOff>
      <xdr:row>83</xdr:row>
      <xdr:rowOff>101112</xdr:rowOff>
    </xdr:to>
    <xdr:sp macro="" textlink="">
      <xdr:nvSpPr>
        <xdr:cNvPr id="363" name="Line 131"/>
        <xdr:cNvSpPr>
          <a:spLocks noChangeShapeType="1"/>
        </xdr:cNvSpPr>
      </xdr:nvSpPr>
      <xdr:spPr bwMode="auto">
        <a:xfrm>
          <a:off x="10375471" y="12750312"/>
          <a:ext cx="3845304" cy="0"/>
        </a:xfrm>
        <a:prstGeom prst="line">
          <a:avLst/>
        </a:prstGeom>
        <a:noFill/>
        <a:ln w="9525">
          <a:solidFill>
            <a:srgbClr val="000000"/>
          </a:solidFill>
          <a:round/>
          <a:headEnd/>
          <a:tailEnd/>
        </a:ln>
      </xdr:spPr>
    </xdr:sp>
    <xdr:clientData/>
  </xdr:twoCellAnchor>
  <xdr:twoCellAnchor>
    <xdr:from>
      <xdr:col>14</xdr:col>
      <xdr:colOff>252145</xdr:colOff>
      <xdr:row>86</xdr:row>
      <xdr:rowOff>82062</xdr:rowOff>
    </xdr:from>
    <xdr:to>
      <xdr:col>25</xdr:col>
      <xdr:colOff>70422</xdr:colOff>
      <xdr:row>86</xdr:row>
      <xdr:rowOff>82062</xdr:rowOff>
    </xdr:to>
    <xdr:sp macro="" textlink="">
      <xdr:nvSpPr>
        <xdr:cNvPr id="364" name="Line 132"/>
        <xdr:cNvSpPr>
          <a:spLocks noChangeShapeType="1"/>
        </xdr:cNvSpPr>
      </xdr:nvSpPr>
      <xdr:spPr bwMode="auto">
        <a:xfrm>
          <a:off x="8786545" y="13188462"/>
          <a:ext cx="6523877" cy="0"/>
        </a:xfrm>
        <a:prstGeom prst="line">
          <a:avLst/>
        </a:prstGeom>
        <a:noFill/>
        <a:ln w="3175">
          <a:solidFill>
            <a:srgbClr val="000000"/>
          </a:solidFill>
          <a:prstDash val="lgDashDot"/>
          <a:round/>
          <a:headEnd/>
          <a:tailEnd/>
        </a:ln>
      </xdr:spPr>
    </xdr:sp>
    <xdr:clientData/>
  </xdr:twoCellAnchor>
  <xdr:twoCellAnchor>
    <xdr:from>
      <xdr:col>15</xdr:col>
      <xdr:colOff>115471</xdr:colOff>
      <xdr:row>86</xdr:row>
      <xdr:rowOff>139212</xdr:rowOff>
    </xdr:from>
    <xdr:to>
      <xdr:col>24</xdr:col>
      <xdr:colOff>62713</xdr:colOff>
      <xdr:row>86</xdr:row>
      <xdr:rowOff>139212</xdr:rowOff>
    </xdr:to>
    <xdr:sp macro="" textlink="">
      <xdr:nvSpPr>
        <xdr:cNvPr id="365" name="Line 133"/>
        <xdr:cNvSpPr>
          <a:spLocks noChangeShapeType="1"/>
        </xdr:cNvSpPr>
      </xdr:nvSpPr>
      <xdr:spPr bwMode="auto">
        <a:xfrm>
          <a:off x="9259471" y="13245612"/>
          <a:ext cx="5433642" cy="0"/>
        </a:xfrm>
        <a:prstGeom prst="line">
          <a:avLst/>
        </a:prstGeom>
        <a:noFill/>
        <a:ln w="9525">
          <a:solidFill>
            <a:srgbClr val="000000"/>
          </a:solidFill>
          <a:round/>
          <a:headEnd/>
          <a:tailEnd/>
        </a:ln>
      </xdr:spPr>
    </xdr:sp>
    <xdr:clientData/>
  </xdr:twoCellAnchor>
  <xdr:twoCellAnchor>
    <xdr:from>
      <xdr:col>16</xdr:col>
      <xdr:colOff>67534</xdr:colOff>
      <xdr:row>82</xdr:row>
      <xdr:rowOff>53487</xdr:rowOff>
    </xdr:from>
    <xdr:to>
      <xdr:col>16</xdr:col>
      <xdr:colOff>67534</xdr:colOff>
      <xdr:row>88</xdr:row>
      <xdr:rowOff>63012</xdr:rowOff>
    </xdr:to>
    <xdr:sp macro="" textlink="">
      <xdr:nvSpPr>
        <xdr:cNvPr id="366" name="Line 134"/>
        <xdr:cNvSpPr>
          <a:spLocks noChangeShapeType="1"/>
        </xdr:cNvSpPr>
      </xdr:nvSpPr>
      <xdr:spPr bwMode="auto">
        <a:xfrm>
          <a:off x="9821134" y="12550287"/>
          <a:ext cx="0" cy="923925"/>
        </a:xfrm>
        <a:prstGeom prst="line">
          <a:avLst/>
        </a:prstGeom>
        <a:noFill/>
        <a:ln w="3175">
          <a:solidFill>
            <a:srgbClr val="000000"/>
          </a:solidFill>
          <a:prstDash val="lgDashDot"/>
          <a:round/>
          <a:headEnd/>
          <a:tailEnd/>
        </a:ln>
      </xdr:spPr>
    </xdr:sp>
    <xdr:clientData/>
  </xdr:twoCellAnchor>
  <xdr:twoCellAnchor>
    <xdr:from>
      <xdr:col>14</xdr:col>
      <xdr:colOff>252520</xdr:colOff>
      <xdr:row>83</xdr:row>
      <xdr:rowOff>34437</xdr:rowOff>
    </xdr:from>
    <xdr:to>
      <xdr:col>25</xdr:col>
      <xdr:colOff>80322</xdr:colOff>
      <xdr:row>83</xdr:row>
      <xdr:rowOff>34437</xdr:rowOff>
    </xdr:to>
    <xdr:sp macro="" textlink="">
      <xdr:nvSpPr>
        <xdr:cNvPr id="367" name="Line 135"/>
        <xdr:cNvSpPr>
          <a:spLocks noChangeShapeType="1"/>
        </xdr:cNvSpPr>
      </xdr:nvSpPr>
      <xdr:spPr bwMode="auto">
        <a:xfrm>
          <a:off x="8786920" y="12683637"/>
          <a:ext cx="6533402" cy="0"/>
        </a:xfrm>
        <a:prstGeom prst="line">
          <a:avLst/>
        </a:prstGeom>
        <a:noFill/>
        <a:ln w="3175">
          <a:solidFill>
            <a:srgbClr val="000000"/>
          </a:solidFill>
          <a:prstDash val="lgDashDot"/>
          <a:round/>
          <a:headEnd/>
          <a:tailEnd/>
        </a:ln>
      </xdr:spPr>
    </xdr:sp>
    <xdr:clientData/>
  </xdr:twoCellAnchor>
  <xdr:twoCellAnchor>
    <xdr:from>
      <xdr:col>21</xdr:col>
      <xdr:colOff>34724</xdr:colOff>
      <xdr:row>87</xdr:row>
      <xdr:rowOff>139212</xdr:rowOff>
    </xdr:from>
    <xdr:to>
      <xdr:col>23</xdr:col>
      <xdr:colOff>259370</xdr:colOff>
      <xdr:row>87</xdr:row>
      <xdr:rowOff>139212</xdr:rowOff>
    </xdr:to>
    <xdr:sp macro="" textlink="">
      <xdr:nvSpPr>
        <xdr:cNvPr id="368" name="Line 136"/>
        <xdr:cNvSpPr>
          <a:spLocks noChangeShapeType="1"/>
        </xdr:cNvSpPr>
      </xdr:nvSpPr>
      <xdr:spPr bwMode="auto">
        <a:xfrm>
          <a:off x="12836324" y="13398012"/>
          <a:ext cx="1443846" cy="0"/>
        </a:xfrm>
        <a:prstGeom prst="line">
          <a:avLst/>
        </a:prstGeom>
        <a:noFill/>
        <a:ln w="6350">
          <a:solidFill>
            <a:srgbClr val="000000"/>
          </a:solidFill>
          <a:round/>
          <a:headEnd type="triangle" w="sm" len="med"/>
          <a:tailEnd type="triangle" w="sm" len="med"/>
        </a:ln>
      </xdr:spPr>
    </xdr:sp>
    <xdr:clientData/>
  </xdr:twoCellAnchor>
  <xdr:twoCellAnchor>
    <xdr:from>
      <xdr:col>16</xdr:col>
      <xdr:colOff>87333</xdr:colOff>
      <xdr:row>87</xdr:row>
      <xdr:rowOff>139212</xdr:rowOff>
    </xdr:from>
    <xdr:to>
      <xdr:col>21</xdr:col>
      <xdr:colOff>34725</xdr:colOff>
      <xdr:row>87</xdr:row>
      <xdr:rowOff>139212</xdr:rowOff>
    </xdr:to>
    <xdr:sp macro="" textlink="">
      <xdr:nvSpPr>
        <xdr:cNvPr id="369" name="Line 137"/>
        <xdr:cNvSpPr>
          <a:spLocks noChangeShapeType="1"/>
        </xdr:cNvSpPr>
      </xdr:nvSpPr>
      <xdr:spPr bwMode="auto">
        <a:xfrm>
          <a:off x="9840933" y="13398012"/>
          <a:ext cx="2995392" cy="0"/>
        </a:xfrm>
        <a:prstGeom prst="line">
          <a:avLst/>
        </a:prstGeom>
        <a:noFill/>
        <a:ln w="6350">
          <a:solidFill>
            <a:srgbClr val="000000"/>
          </a:solidFill>
          <a:round/>
          <a:headEnd type="triangle" w="sm" len="med"/>
          <a:tailEnd type="triangle" w="sm" len="med"/>
        </a:ln>
      </xdr:spPr>
    </xdr:sp>
    <xdr:clientData/>
  </xdr:twoCellAnchor>
  <xdr:twoCellAnchor>
    <xdr:from>
      <xdr:col>11</xdr:col>
      <xdr:colOff>80463</xdr:colOff>
      <xdr:row>82</xdr:row>
      <xdr:rowOff>15387</xdr:rowOff>
    </xdr:from>
    <xdr:to>
      <xdr:col>12</xdr:col>
      <xdr:colOff>291856</xdr:colOff>
      <xdr:row>82</xdr:row>
      <xdr:rowOff>186837</xdr:rowOff>
    </xdr:to>
    <xdr:sp macro="" textlink="">
      <xdr:nvSpPr>
        <xdr:cNvPr id="370" name="Text Box 138"/>
        <xdr:cNvSpPr txBox="1">
          <a:spLocks noChangeArrowheads="1"/>
        </xdr:cNvSpPr>
      </xdr:nvSpPr>
      <xdr:spPr bwMode="auto">
        <a:xfrm>
          <a:off x="6786063" y="12512187"/>
          <a:ext cx="820993" cy="13335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 </a:t>
          </a:r>
          <a:r>
            <a:rPr lang="de-DE" altLang="ja-JP" sz="900" b="0" i="0" strike="noStrike">
              <a:solidFill>
                <a:srgbClr val="000000"/>
              </a:solidFill>
              <a:latin typeface="ＭＳ Ｐ明朝"/>
              <a:ea typeface="ＭＳ Ｐ明朝"/>
            </a:rPr>
            <a:t>(</a:t>
          </a:r>
          <a:r>
            <a:rPr lang="ja-JP" altLang="en-US" sz="900" b="0" i="0" strike="noStrike">
              <a:solidFill>
                <a:srgbClr val="000000"/>
              </a:solidFill>
              <a:latin typeface="ＭＳ Ｐ明朝"/>
              <a:ea typeface="ＭＳ Ｐ明朝"/>
            </a:rPr>
            <a:t>短辺</a:t>
          </a:r>
          <a:r>
            <a:rPr lang="en-US" altLang="ja-JP" sz="900" b="0" i="0" strike="noStrike">
              <a:solidFill>
                <a:srgbClr val="000000"/>
              </a:solidFill>
              <a:latin typeface="ＭＳ Ｐ明朝"/>
              <a:ea typeface="ＭＳ Ｐ明朝"/>
            </a:rPr>
            <a:t>)</a:t>
          </a:r>
        </a:p>
      </xdr:txBody>
    </xdr:sp>
    <xdr:clientData/>
  </xdr:twoCellAnchor>
  <xdr:twoCellAnchor>
    <xdr:from>
      <xdr:col>25</xdr:col>
      <xdr:colOff>24443</xdr:colOff>
      <xdr:row>84</xdr:row>
      <xdr:rowOff>148737</xdr:rowOff>
    </xdr:from>
    <xdr:to>
      <xdr:col>25</xdr:col>
      <xdr:colOff>24443</xdr:colOff>
      <xdr:row>86</xdr:row>
      <xdr:rowOff>82062</xdr:rowOff>
    </xdr:to>
    <xdr:sp macro="" textlink="">
      <xdr:nvSpPr>
        <xdr:cNvPr id="371" name="Line 139"/>
        <xdr:cNvSpPr>
          <a:spLocks noChangeShapeType="1"/>
        </xdr:cNvSpPr>
      </xdr:nvSpPr>
      <xdr:spPr bwMode="auto">
        <a:xfrm>
          <a:off x="15264443" y="12950337"/>
          <a:ext cx="0" cy="238125"/>
        </a:xfrm>
        <a:prstGeom prst="line">
          <a:avLst/>
        </a:prstGeom>
        <a:noFill/>
        <a:ln w="6350">
          <a:solidFill>
            <a:srgbClr val="000000"/>
          </a:solidFill>
          <a:round/>
          <a:headEnd type="triangle" w="sm" len="med"/>
          <a:tailEnd type="triangle" w="sm" len="med"/>
        </a:ln>
      </xdr:spPr>
    </xdr:sp>
    <xdr:clientData/>
  </xdr:twoCellAnchor>
  <xdr:twoCellAnchor>
    <xdr:from>
      <xdr:col>25</xdr:col>
      <xdr:colOff>24443</xdr:colOff>
      <xdr:row>83</xdr:row>
      <xdr:rowOff>24912</xdr:rowOff>
    </xdr:from>
    <xdr:to>
      <xdr:col>25</xdr:col>
      <xdr:colOff>24443</xdr:colOff>
      <xdr:row>84</xdr:row>
      <xdr:rowOff>158262</xdr:rowOff>
    </xdr:to>
    <xdr:sp macro="" textlink="">
      <xdr:nvSpPr>
        <xdr:cNvPr id="372" name="Line 140"/>
        <xdr:cNvSpPr>
          <a:spLocks noChangeShapeType="1"/>
        </xdr:cNvSpPr>
      </xdr:nvSpPr>
      <xdr:spPr bwMode="auto">
        <a:xfrm>
          <a:off x="15264443" y="12674112"/>
          <a:ext cx="0" cy="276225"/>
        </a:xfrm>
        <a:prstGeom prst="line">
          <a:avLst/>
        </a:prstGeom>
        <a:noFill/>
        <a:ln w="6350">
          <a:solidFill>
            <a:srgbClr val="000000"/>
          </a:solidFill>
          <a:round/>
          <a:headEnd type="triangle" w="sm" len="med"/>
          <a:tailEnd type="triangle" w="sm" len="med"/>
        </a:ln>
      </xdr:spPr>
    </xdr:sp>
    <xdr:clientData/>
  </xdr:twoCellAnchor>
  <xdr:twoCellAnchor>
    <xdr:from>
      <xdr:col>24</xdr:col>
      <xdr:colOff>240899</xdr:colOff>
      <xdr:row>85</xdr:row>
      <xdr:rowOff>34437</xdr:rowOff>
    </xdr:from>
    <xdr:to>
      <xdr:col>25</xdr:col>
      <xdr:colOff>252125</xdr:colOff>
      <xdr:row>86</xdr:row>
      <xdr:rowOff>24912</xdr:rowOff>
    </xdr:to>
    <xdr:sp macro="" textlink="">
      <xdr:nvSpPr>
        <xdr:cNvPr id="373" name="Text Box 141"/>
        <xdr:cNvSpPr txBox="1">
          <a:spLocks noChangeArrowheads="1"/>
        </xdr:cNvSpPr>
      </xdr:nvSpPr>
      <xdr:spPr bwMode="auto">
        <a:xfrm>
          <a:off x="14871299" y="12988437"/>
          <a:ext cx="620826" cy="142875"/>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16</xdr:col>
      <xdr:colOff>47736</xdr:colOff>
      <xdr:row>86</xdr:row>
      <xdr:rowOff>63012</xdr:rowOff>
    </xdr:from>
    <xdr:to>
      <xdr:col>16</xdr:col>
      <xdr:colOff>87333</xdr:colOff>
      <xdr:row>86</xdr:row>
      <xdr:rowOff>101112</xdr:rowOff>
    </xdr:to>
    <xdr:sp macro="" textlink="">
      <xdr:nvSpPr>
        <xdr:cNvPr id="374" name="Oval 142"/>
        <xdr:cNvSpPr>
          <a:spLocks noChangeArrowheads="1"/>
        </xdr:cNvSpPr>
      </xdr:nvSpPr>
      <xdr:spPr bwMode="auto">
        <a:xfrm>
          <a:off x="9801336" y="13169412"/>
          <a:ext cx="39597" cy="38100"/>
        </a:xfrm>
        <a:prstGeom prst="ellipse">
          <a:avLst/>
        </a:prstGeom>
        <a:noFill/>
        <a:ln w="9525">
          <a:solidFill>
            <a:srgbClr val="000000"/>
          </a:solidFill>
          <a:round/>
          <a:headEnd/>
          <a:tailEnd/>
        </a:ln>
      </xdr:spPr>
    </xdr:sp>
    <xdr:clientData/>
  </xdr:twoCellAnchor>
  <xdr:twoCellAnchor>
    <xdr:from>
      <xdr:col>23</xdr:col>
      <xdr:colOff>249470</xdr:colOff>
      <xdr:row>86</xdr:row>
      <xdr:rowOff>63011</xdr:rowOff>
    </xdr:from>
    <xdr:to>
      <xdr:col>24</xdr:col>
      <xdr:colOff>29563</xdr:colOff>
      <xdr:row>86</xdr:row>
      <xdr:rowOff>108730</xdr:rowOff>
    </xdr:to>
    <xdr:sp macro="" textlink="">
      <xdr:nvSpPr>
        <xdr:cNvPr id="375" name="Oval 143"/>
        <xdr:cNvSpPr>
          <a:spLocks noChangeArrowheads="1"/>
        </xdr:cNvSpPr>
      </xdr:nvSpPr>
      <xdr:spPr bwMode="auto">
        <a:xfrm>
          <a:off x="14270270" y="13169411"/>
          <a:ext cx="389693" cy="45719"/>
        </a:xfrm>
        <a:prstGeom prst="ellipse">
          <a:avLst/>
        </a:prstGeom>
        <a:noFill/>
        <a:ln w="9525">
          <a:solidFill>
            <a:srgbClr val="000000"/>
          </a:solidFill>
          <a:round/>
          <a:headEnd/>
          <a:tailEnd/>
        </a:ln>
      </xdr:spPr>
    </xdr:sp>
    <xdr:clientData/>
  </xdr:twoCellAnchor>
  <xdr:twoCellAnchor>
    <xdr:from>
      <xdr:col>20</xdr:col>
      <xdr:colOff>88598</xdr:colOff>
      <xdr:row>86</xdr:row>
      <xdr:rowOff>63011</xdr:rowOff>
    </xdr:from>
    <xdr:to>
      <xdr:col>21</xdr:col>
      <xdr:colOff>21308</xdr:colOff>
      <xdr:row>86</xdr:row>
      <xdr:rowOff>108730</xdr:rowOff>
    </xdr:to>
    <xdr:sp macro="" textlink="">
      <xdr:nvSpPr>
        <xdr:cNvPr id="376" name="Oval 144"/>
        <xdr:cNvSpPr>
          <a:spLocks noChangeArrowheads="1"/>
        </xdr:cNvSpPr>
      </xdr:nvSpPr>
      <xdr:spPr bwMode="auto">
        <a:xfrm flipH="1">
          <a:off x="12280598" y="13169411"/>
          <a:ext cx="542310" cy="45719"/>
        </a:xfrm>
        <a:prstGeom prst="ellipse">
          <a:avLst/>
        </a:prstGeom>
        <a:noFill/>
        <a:ln w="9525">
          <a:solidFill>
            <a:srgbClr val="000000"/>
          </a:solidFill>
          <a:round/>
          <a:headEnd/>
          <a:tailEnd/>
        </a:ln>
      </xdr:spPr>
    </xdr:sp>
    <xdr:clientData/>
  </xdr:twoCellAnchor>
  <xdr:twoCellAnchor>
    <xdr:from>
      <xdr:col>16</xdr:col>
      <xdr:colOff>47736</xdr:colOff>
      <xdr:row>83</xdr:row>
      <xdr:rowOff>15387</xdr:rowOff>
    </xdr:from>
    <xdr:to>
      <xdr:col>16</xdr:col>
      <xdr:colOff>87333</xdr:colOff>
      <xdr:row>83</xdr:row>
      <xdr:rowOff>53487</xdr:rowOff>
    </xdr:to>
    <xdr:sp macro="" textlink="">
      <xdr:nvSpPr>
        <xdr:cNvPr id="377" name="Oval 145"/>
        <xdr:cNvSpPr>
          <a:spLocks noChangeArrowheads="1"/>
        </xdr:cNvSpPr>
      </xdr:nvSpPr>
      <xdr:spPr bwMode="auto">
        <a:xfrm>
          <a:off x="9801336" y="12664587"/>
          <a:ext cx="39597" cy="38100"/>
        </a:xfrm>
        <a:prstGeom prst="ellipse">
          <a:avLst/>
        </a:prstGeom>
        <a:noFill/>
        <a:ln w="9525">
          <a:solidFill>
            <a:srgbClr val="000000"/>
          </a:solidFill>
          <a:round/>
          <a:headEnd/>
          <a:tailEnd/>
        </a:ln>
      </xdr:spPr>
    </xdr:sp>
    <xdr:clientData/>
  </xdr:twoCellAnchor>
  <xdr:twoCellAnchor>
    <xdr:from>
      <xdr:col>23</xdr:col>
      <xdr:colOff>249470</xdr:colOff>
      <xdr:row>83</xdr:row>
      <xdr:rowOff>15386</xdr:rowOff>
    </xdr:from>
    <xdr:to>
      <xdr:col>24</xdr:col>
      <xdr:colOff>29563</xdr:colOff>
      <xdr:row>83</xdr:row>
      <xdr:rowOff>61711</xdr:rowOff>
    </xdr:to>
    <xdr:sp macro="" textlink="">
      <xdr:nvSpPr>
        <xdr:cNvPr id="378" name="Oval 146"/>
        <xdr:cNvSpPr>
          <a:spLocks noChangeArrowheads="1"/>
        </xdr:cNvSpPr>
      </xdr:nvSpPr>
      <xdr:spPr bwMode="auto">
        <a:xfrm>
          <a:off x="14270270" y="12664586"/>
          <a:ext cx="389693" cy="46325"/>
        </a:xfrm>
        <a:prstGeom prst="ellipse">
          <a:avLst/>
        </a:prstGeom>
        <a:noFill/>
        <a:ln w="9525">
          <a:solidFill>
            <a:srgbClr val="000000"/>
          </a:solidFill>
          <a:round/>
          <a:headEnd/>
          <a:tailEnd/>
        </a:ln>
      </xdr:spPr>
    </xdr:sp>
    <xdr:clientData/>
  </xdr:twoCellAnchor>
  <xdr:twoCellAnchor>
    <xdr:from>
      <xdr:col>20</xdr:col>
      <xdr:colOff>88598</xdr:colOff>
      <xdr:row>83</xdr:row>
      <xdr:rowOff>15386</xdr:rowOff>
    </xdr:from>
    <xdr:to>
      <xdr:col>21</xdr:col>
      <xdr:colOff>21308</xdr:colOff>
      <xdr:row>83</xdr:row>
      <xdr:rowOff>61105</xdr:rowOff>
    </xdr:to>
    <xdr:sp macro="" textlink="">
      <xdr:nvSpPr>
        <xdr:cNvPr id="379" name="Oval 147"/>
        <xdr:cNvSpPr>
          <a:spLocks noChangeArrowheads="1"/>
        </xdr:cNvSpPr>
      </xdr:nvSpPr>
      <xdr:spPr bwMode="auto">
        <a:xfrm flipH="1">
          <a:off x="12280598" y="12664586"/>
          <a:ext cx="542310" cy="45719"/>
        </a:xfrm>
        <a:prstGeom prst="ellipse">
          <a:avLst/>
        </a:prstGeom>
        <a:noFill/>
        <a:ln w="9525">
          <a:solidFill>
            <a:srgbClr val="000000"/>
          </a:solidFill>
          <a:round/>
          <a:headEnd/>
          <a:tailEnd/>
        </a:ln>
      </xdr:spPr>
    </xdr:sp>
    <xdr:clientData/>
  </xdr:twoCellAnchor>
  <xdr:twoCellAnchor>
    <xdr:from>
      <xdr:col>15</xdr:col>
      <xdr:colOff>115471</xdr:colOff>
      <xdr:row>82</xdr:row>
      <xdr:rowOff>158262</xdr:rowOff>
    </xdr:from>
    <xdr:to>
      <xdr:col>24</xdr:col>
      <xdr:colOff>62713</xdr:colOff>
      <xdr:row>82</xdr:row>
      <xdr:rowOff>158262</xdr:rowOff>
    </xdr:to>
    <xdr:sp macro="" textlink="">
      <xdr:nvSpPr>
        <xdr:cNvPr id="380" name="Line 148"/>
        <xdr:cNvSpPr>
          <a:spLocks noChangeShapeType="1"/>
        </xdr:cNvSpPr>
      </xdr:nvSpPr>
      <xdr:spPr bwMode="auto">
        <a:xfrm>
          <a:off x="9259471" y="12645537"/>
          <a:ext cx="5433642" cy="0"/>
        </a:xfrm>
        <a:prstGeom prst="line">
          <a:avLst/>
        </a:prstGeom>
        <a:noFill/>
        <a:ln w="9525">
          <a:solidFill>
            <a:srgbClr val="000000"/>
          </a:solidFill>
          <a:round/>
          <a:headEnd/>
          <a:tailEnd/>
        </a:ln>
      </xdr:spPr>
    </xdr:sp>
    <xdr:clientData/>
  </xdr:twoCellAnchor>
  <xdr:twoCellAnchor>
    <xdr:from>
      <xdr:col>22</xdr:col>
      <xdr:colOff>51718</xdr:colOff>
      <xdr:row>86</xdr:row>
      <xdr:rowOff>167787</xdr:rowOff>
    </xdr:from>
    <xdr:to>
      <xdr:col>23</xdr:col>
      <xdr:colOff>71284</xdr:colOff>
      <xdr:row>87</xdr:row>
      <xdr:rowOff>148737</xdr:rowOff>
    </xdr:to>
    <xdr:sp macro="" textlink="">
      <xdr:nvSpPr>
        <xdr:cNvPr id="381" name="Text Box 149"/>
        <xdr:cNvSpPr txBox="1">
          <a:spLocks noChangeArrowheads="1"/>
        </xdr:cNvSpPr>
      </xdr:nvSpPr>
      <xdr:spPr bwMode="auto">
        <a:xfrm>
          <a:off x="13462918" y="13255137"/>
          <a:ext cx="629166" cy="15240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1g</a:t>
          </a:r>
        </a:p>
      </xdr:txBody>
    </xdr:sp>
    <xdr:clientData/>
  </xdr:twoCellAnchor>
  <xdr:twoCellAnchor>
    <xdr:from>
      <xdr:col>10</xdr:col>
      <xdr:colOff>59337</xdr:colOff>
      <xdr:row>78</xdr:row>
      <xdr:rowOff>167787</xdr:rowOff>
    </xdr:from>
    <xdr:to>
      <xdr:col>10</xdr:col>
      <xdr:colOff>217725</xdr:colOff>
      <xdr:row>79</xdr:row>
      <xdr:rowOff>158262</xdr:rowOff>
    </xdr:to>
    <xdr:sp macro="" textlink="">
      <xdr:nvSpPr>
        <xdr:cNvPr id="382" name="Text Box 150"/>
        <xdr:cNvSpPr txBox="1">
          <a:spLocks noChangeArrowheads="1"/>
        </xdr:cNvSpPr>
      </xdr:nvSpPr>
      <xdr:spPr bwMode="auto">
        <a:xfrm>
          <a:off x="6155337" y="12035937"/>
          <a:ext cx="158388" cy="152400"/>
        </a:xfrm>
        <a:prstGeom prst="rect">
          <a:avLst/>
        </a:prstGeom>
        <a:noFill/>
        <a:ln w="9525">
          <a:noFill/>
          <a:miter lim="800000"/>
          <a:headEnd/>
          <a:tailEnd/>
        </a:ln>
      </xdr:spPr>
      <xdr:txBody>
        <a:bodyPr wrap="none" lIns="0" tIns="18288" rIns="18288" bIns="0" anchor="t" upright="1">
          <a:noAutofit/>
        </a:bodyPr>
        <a:lstStyle/>
        <a:p>
          <a:pPr algn="r" rtl="1">
            <a:defRPr sz="1000"/>
          </a:pPr>
          <a:r>
            <a:rPr lang="ja-JP" altLang="de-DE" sz="1000" b="1" i="0" strike="noStrike">
              <a:solidFill>
                <a:srgbClr val="000000"/>
              </a:solidFill>
              <a:latin typeface="ＭＳ Ｐ明朝"/>
              <a:ea typeface="ＭＳ Ｐ明朝"/>
            </a:rPr>
            <a:t>ｎ</a:t>
          </a:r>
          <a:r>
            <a:rPr lang="de-DE" altLang="ja-JP" sz="700" b="1" i="0" strike="noStrike">
              <a:solidFill>
                <a:srgbClr val="000000"/>
              </a:solidFill>
              <a:latin typeface="Times New Roman"/>
              <a:cs typeface="Times New Roman"/>
            </a:rPr>
            <a:t>2</a:t>
          </a:r>
        </a:p>
      </xdr:txBody>
    </xdr:sp>
    <xdr:clientData/>
  </xdr:twoCellAnchor>
  <xdr:twoCellAnchor>
    <xdr:from>
      <xdr:col>18</xdr:col>
      <xdr:colOff>45721</xdr:colOff>
      <xdr:row>86</xdr:row>
      <xdr:rowOff>167787</xdr:rowOff>
    </xdr:from>
    <xdr:to>
      <xdr:col>19</xdr:col>
      <xdr:colOff>39185</xdr:colOff>
      <xdr:row>87</xdr:row>
      <xdr:rowOff>148737</xdr:rowOff>
    </xdr:to>
    <xdr:sp macro="" textlink="">
      <xdr:nvSpPr>
        <xdr:cNvPr id="383" name="Text Box 151"/>
        <xdr:cNvSpPr txBox="1">
          <a:spLocks noChangeArrowheads="1"/>
        </xdr:cNvSpPr>
      </xdr:nvSpPr>
      <xdr:spPr bwMode="auto">
        <a:xfrm>
          <a:off x="11018521" y="13255137"/>
          <a:ext cx="603064" cy="15240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1g</a:t>
          </a:r>
        </a:p>
      </xdr:txBody>
    </xdr:sp>
    <xdr:clientData/>
  </xdr:twoCellAnchor>
  <xdr:twoCellAnchor>
    <xdr:from>
      <xdr:col>6</xdr:col>
      <xdr:colOff>168063</xdr:colOff>
      <xdr:row>83</xdr:row>
      <xdr:rowOff>177312</xdr:rowOff>
    </xdr:from>
    <xdr:to>
      <xdr:col>8</xdr:col>
      <xdr:colOff>106178</xdr:colOff>
      <xdr:row>84</xdr:row>
      <xdr:rowOff>158262</xdr:rowOff>
    </xdr:to>
    <xdr:sp macro="" textlink="">
      <xdr:nvSpPr>
        <xdr:cNvPr id="384" name="Text Box 152"/>
        <xdr:cNvSpPr txBox="1">
          <a:spLocks noChangeArrowheads="1"/>
        </xdr:cNvSpPr>
      </xdr:nvSpPr>
      <xdr:spPr bwMode="auto">
        <a:xfrm>
          <a:off x="3825663" y="12797937"/>
          <a:ext cx="1157315" cy="15240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  </a:t>
          </a:r>
          <a:r>
            <a:rPr lang="de-DE" altLang="ja-JP" sz="900" b="0" i="0" strike="noStrike">
              <a:solidFill>
                <a:srgbClr val="000000"/>
              </a:solidFill>
              <a:latin typeface="ＭＳ Ｐ明朝"/>
              <a:ea typeface="ＭＳ Ｐ明朝"/>
            </a:rPr>
            <a:t>(</a:t>
          </a:r>
          <a:r>
            <a:rPr lang="ja-JP" altLang="en-US" sz="900" b="0" i="0" strike="noStrike">
              <a:solidFill>
                <a:srgbClr val="000000"/>
              </a:solidFill>
              <a:latin typeface="ＭＳ Ｐ明朝"/>
              <a:ea typeface="ＭＳ Ｐ明朝"/>
            </a:rPr>
            <a:t>長辺</a:t>
          </a:r>
          <a:r>
            <a:rPr lang="en-US" altLang="ja-JP" sz="900" b="0" i="0" strike="noStrike">
              <a:solidFill>
                <a:srgbClr val="000000"/>
              </a:solidFill>
              <a:latin typeface="ＭＳ Ｐ明朝"/>
              <a:ea typeface="ＭＳ Ｐ明朝"/>
            </a:rPr>
            <a:t>)</a:t>
          </a:r>
        </a:p>
      </xdr:txBody>
    </xdr:sp>
    <xdr:clientData/>
  </xdr:twoCellAnchor>
  <xdr:twoCellAnchor>
    <xdr:from>
      <xdr:col>24</xdr:col>
      <xdr:colOff>240899</xdr:colOff>
      <xdr:row>83</xdr:row>
      <xdr:rowOff>101112</xdr:rowOff>
    </xdr:from>
    <xdr:to>
      <xdr:col>25</xdr:col>
      <xdr:colOff>252125</xdr:colOff>
      <xdr:row>84</xdr:row>
      <xdr:rowOff>91587</xdr:rowOff>
    </xdr:to>
    <xdr:sp macro="" textlink="">
      <xdr:nvSpPr>
        <xdr:cNvPr id="385" name="Text Box 154"/>
        <xdr:cNvSpPr txBox="1">
          <a:spLocks noChangeArrowheads="1"/>
        </xdr:cNvSpPr>
      </xdr:nvSpPr>
      <xdr:spPr bwMode="auto">
        <a:xfrm>
          <a:off x="14871299" y="12750312"/>
          <a:ext cx="620826" cy="142875"/>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3</xdr:col>
      <xdr:colOff>47081</xdr:colOff>
      <xdr:row>80</xdr:row>
      <xdr:rowOff>24912</xdr:rowOff>
    </xdr:from>
    <xdr:to>
      <xdr:col>4</xdr:col>
      <xdr:colOff>10434</xdr:colOff>
      <xdr:row>81</xdr:row>
      <xdr:rowOff>15387</xdr:rowOff>
    </xdr:to>
    <xdr:sp macro="" textlink="">
      <xdr:nvSpPr>
        <xdr:cNvPr id="386" name="Text Box 155"/>
        <xdr:cNvSpPr txBox="1">
          <a:spLocks noChangeArrowheads="1"/>
        </xdr:cNvSpPr>
      </xdr:nvSpPr>
      <xdr:spPr bwMode="auto">
        <a:xfrm>
          <a:off x="1875881" y="12216912"/>
          <a:ext cx="572953" cy="142875"/>
        </a:xfrm>
        <a:prstGeom prst="rect">
          <a:avLst/>
        </a:prstGeom>
        <a:noFill/>
        <a:ln w="9525">
          <a:noFill/>
          <a:miter lim="800000"/>
          <a:headEnd/>
          <a:tailEnd/>
        </a:ln>
      </xdr:spPr>
      <xdr:txBody>
        <a:bodyPr vertOverflow="clip" wrap="square" lIns="0" tIns="18288" rIns="27432" bIns="0" anchor="t" upright="1"/>
        <a:lstStyle/>
        <a:p>
          <a:pPr algn="r" rtl="1">
            <a:defRPr sz="1000"/>
          </a:pPr>
          <a:r>
            <a:rPr lang="ja-JP" altLang="de-DE" sz="1000" b="1" i="0" strike="noStrike">
              <a:solidFill>
                <a:srgbClr val="000000"/>
              </a:solidFill>
              <a:latin typeface="ＭＳ Ｐ明朝"/>
              <a:ea typeface="ＭＳ Ｐ明朝"/>
            </a:rPr>
            <a:t>ｎ</a:t>
          </a:r>
          <a:r>
            <a:rPr lang="de-DE" altLang="ja-JP" sz="700" b="1" i="0" strike="noStrike">
              <a:solidFill>
                <a:srgbClr val="000000"/>
              </a:solidFill>
              <a:latin typeface="Times New Roman"/>
              <a:cs typeface="Times New Roman"/>
            </a:rPr>
            <a:t>1</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10</xdr:col>
      <xdr:colOff>188027</xdr:colOff>
      <xdr:row>69</xdr:row>
      <xdr:rowOff>5862</xdr:rowOff>
    </xdr:from>
    <xdr:to>
      <xdr:col>10</xdr:col>
      <xdr:colOff>188027</xdr:colOff>
      <xdr:row>76</xdr:row>
      <xdr:rowOff>101112</xdr:rowOff>
    </xdr:to>
    <xdr:sp macro="" textlink="">
      <xdr:nvSpPr>
        <xdr:cNvPr id="387" name="Line 157"/>
        <xdr:cNvSpPr>
          <a:spLocks noChangeShapeType="1"/>
        </xdr:cNvSpPr>
      </xdr:nvSpPr>
      <xdr:spPr bwMode="auto">
        <a:xfrm flipV="1">
          <a:off x="6284027" y="10521462"/>
          <a:ext cx="0" cy="1162050"/>
        </a:xfrm>
        <a:prstGeom prst="line">
          <a:avLst/>
        </a:prstGeom>
        <a:noFill/>
        <a:ln w="6350">
          <a:solidFill>
            <a:srgbClr val="000000"/>
          </a:solidFill>
          <a:round/>
          <a:headEnd/>
          <a:tailEnd/>
        </a:ln>
      </xdr:spPr>
    </xdr:sp>
    <xdr:clientData/>
  </xdr:twoCellAnchor>
  <xdr:twoCellAnchor>
    <xdr:from>
      <xdr:col>4</xdr:col>
      <xdr:colOff>234702</xdr:colOff>
      <xdr:row>69</xdr:row>
      <xdr:rowOff>5862</xdr:rowOff>
    </xdr:from>
    <xdr:to>
      <xdr:col>4</xdr:col>
      <xdr:colOff>234702</xdr:colOff>
      <xdr:row>76</xdr:row>
      <xdr:rowOff>101112</xdr:rowOff>
    </xdr:to>
    <xdr:sp macro="" textlink="">
      <xdr:nvSpPr>
        <xdr:cNvPr id="388" name="Line 158"/>
        <xdr:cNvSpPr>
          <a:spLocks noChangeShapeType="1"/>
        </xdr:cNvSpPr>
      </xdr:nvSpPr>
      <xdr:spPr bwMode="auto">
        <a:xfrm flipV="1">
          <a:off x="2673102" y="10521462"/>
          <a:ext cx="0" cy="1162050"/>
        </a:xfrm>
        <a:prstGeom prst="line">
          <a:avLst/>
        </a:prstGeom>
        <a:noFill/>
        <a:ln w="6350">
          <a:solidFill>
            <a:srgbClr val="000000"/>
          </a:solidFill>
          <a:round/>
          <a:headEnd/>
          <a:tailEnd/>
        </a:ln>
      </xdr:spPr>
    </xdr:sp>
    <xdr:clientData/>
  </xdr:twoCellAnchor>
  <xdr:twoCellAnchor>
    <xdr:from>
      <xdr:col>4</xdr:col>
      <xdr:colOff>234702</xdr:colOff>
      <xdr:row>69</xdr:row>
      <xdr:rowOff>5862</xdr:rowOff>
    </xdr:from>
    <xdr:to>
      <xdr:col>10</xdr:col>
      <xdr:colOff>188026</xdr:colOff>
      <xdr:row>69</xdr:row>
      <xdr:rowOff>5862</xdr:rowOff>
    </xdr:to>
    <xdr:sp macro="" textlink="">
      <xdr:nvSpPr>
        <xdr:cNvPr id="389" name="Line 159"/>
        <xdr:cNvSpPr>
          <a:spLocks noChangeShapeType="1"/>
        </xdr:cNvSpPr>
      </xdr:nvSpPr>
      <xdr:spPr bwMode="auto">
        <a:xfrm>
          <a:off x="2673102" y="10521462"/>
          <a:ext cx="3610924" cy="0"/>
        </a:xfrm>
        <a:prstGeom prst="line">
          <a:avLst/>
        </a:prstGeom>
        <a:noFill/>
        <a:ln w="6350">
          <a:solidFill>
            <a:srgbClr val="000000"/>
          </a:solidFill>
          <a:round/>
          <a:headEnd/>
          <a:tailEnd/>
        </a:ln>
      </xdr:spPr>
    </xdr:sp>
    <xdr:clientData/>
  </xdr:twoCellAnchor>
  <xdr:twoCellAnchor>
    <xdr:from>
      <xdr:col>4</xdr:col>
      <xdr:colOff>234702</xdr:colOff>
      <xdr:row>76</xdr:row>
      <xdr:rowOff>101112</xdr:rowOff>
    </xdr:from>
    <xdr:to>
      <xdr:col>10</xdr:col>
      <xdr:colOff>188026</xdr:colOff>
      <xdr:row>76</xdr:row>
      <xdr:rowOff>101112</xdr:rowOff>
    </xdr:to>
    <xdr:sp macro="" textlink="">
      <xdr:nvSpPr>
        <xdr:cNvPr id="390" name="Line 160"/>
        <xdr:cNvSpPr>
          <a:spLocks noChangeShapeType="1"/>
        </xdr:cNvSpPr>
      </xdr:nvSpPr>
      <xdr:spPr bwMode="auto">
        <a:xfrm>
          <a:off x="2673102" y="11683512"/>
          <a:ext cx="3610924" cy="0"/>
        </a:xfrm>
        <a:prstGeom prst="line">
          <a:avLst/>
        </a:prstGeom>
        <a:noFill/>
        <a:ln w="9525">
          <a:solidFill>
            <a:srgbClr val="000000"/>
          </a:solidFill>
          <a:round/>
          <a:headEnd/>
          <a:tailEnd/>
        </a:ln>
      </xdr:spPr>
    </xdr:sp>
    <xdr:clientData/>
  </xdr:twoCellAnchor>
  <xdr:twoCellAnchor>
    <xdr:from>
      <xdr:col>7</xdr:col>
      <xdr:colOff>228316</xdr:colOff>
      <xdr:row>83</xdr:row>
      <xdr:rowOff>63012</xdr:rowOff>
    </xdr:from>
    <xdr:to>
      <xdr:col>7</xdr:col>
      <xdr:colOff>267913</xdr:colOff>
      <xdr:row>83</xdr:row>
      <xdr:rowOff>101112</xdr:rowOff>
    </xdr:to>
    <xdr:sp macro="" textlink="">
      <xdr:nvSpPr>
        <xdr:cNvPr id="391" name="Oval 163"/>
        <xdr:cNvSpPr>
          <a:spLocks noChangeArrowheads="1"/>
        </xdr:cNvSpPr>
      </xdr:nvSpPr>
      <xdr:spPr bwMode="auto">
        <a:xfrm>
          <a:off x="4495516" y="12712212"/>
          <a:ext cx="39597" cy="38100"/>
        </a:xfrm>
        <a:prstGeom prst="ellipse">
          <a:avLst/>
        </a:prstGeom>
        <a:noFill/>
        <a:ln w="9525">
          <a:solidFill>
            <a:srgbClr val="000000"/>
          </a:solidFill>
          <a:round/>
          <a:headEnd/>
          <a:tailEnd/>
        </a:ln>
      </xdr:spPr>
    </xdr:sp>
    <xdr:clientData/>
  </xdr:twoCellAnchor>
  <xdr:twoCellAnchor>
    <xdr:from>
      <xdr:col>10</xdr:col>
      <xdr:colOff>108833</xdr:colOff>
      <xdr:row>80</xdr:row>
      <xdr:rowOff>101112</xdr:rowOff>
    </xdr:from>
    <xdr:to>
      <xdr:col>10</xdr:col>
      <xdr:colOff>148430</xdr:colOff>
      <xdr:row>80</xdr:row>
      <xdr:rowOff>139212</xdr:rowOff>
    </xdr:to>
    <xdr:sp macro="" textlink="">
      <xdr:nvSpPr>
        <xdr:cNvPr id="392" name="Oval 164"/>
        <xdr:cNvSpPr>
          <a:spLocks noChangeArrowheads="1"/>
        </xdr:cNvSpPr>
      </xdr:nvSpPr>
      <xdr:spPr bwMode="auto">
        <a:xfrm>
          <a:off x="6204833" y="12293112"/>
          <a:ext cx="39597" cy="38100"/>
        </a:xfrm>
        <a:prstGeom prst="ellipse">
          <a:avLst/>
        </a:prstGeom>
        <a:noFill/>
        <a:ln w="9525">
          <a:solidFill>
            <a:srgbClr val="000000"/>
          </a:solidFill>
          <a:round/>
          <a:headEnd/>
          <a:tailEnd/>
        </a:ln>
      </xdr:spPr>
    </xdr:sp>
    <xdr:clientData/>
  </xdr:twoCellAnchor>
  <xdr:twoCellAnchor>
    <xdr:from>
      <xdr:col>4</xdr:col>
      <xdr:colOff>274299</xdr:colOff>
      <xdr:row>80</xdr:row>
      <xdr:rowOff>101112</xdr:rowOff>
    </xdr:from>
    <xdr:to>
      <xdr:col>5</xdr:col>
      <xdr:colOff>28146</xdr:colOff>
      <xdr:row>80</xdr:row>
      <xdr:rowOff>139212</xdr:rowOff>
    </xdr:to>
    <xdr:sp macro="" textlink="">
      <xdr:nvSpPr>
        <xdr:cNvPr id="393" name="Oval 165"/>
        <xdr:cNvSpPr>
          <a:spLocks noChangeArrowheads="1"/>
        </xdr:cNvSpPr>
      </xdr:nvSpPr>
      <xdr:spPr bwMode="auto">
        <a:xfrm>
          <a:off x="2712699" y="12293112"/>
          <a:ext cx="363447" cy="38100"/>
        </a:xfrm>
        <a:prstGeom prst="ellipse">
          <a:avLst/>
        </a:prstGeom>
        <a:noFill/>
        <a:ln w="9525">
          <a:solidFill>
            <a:srgbClr val="000000"/>
          </a:solidFill>
          <a:round/>
          <a:headEnd/>
          <a:tailEnd/>
        </a:ln>
      </xdr:spPr>
    </xdr:sp>
    <xdr:clientData/>
  </xdr:twoCellAnchor>
  <xdr:twoCellAnchor>
    <xdr:from>
      <xdr:col>7</xdr:col>
      <xdr:colOff>228316</xdr:colOff>
      <xdr:row>80</xdr:row>
      <xdr:rowOff>101112</xdr:rowOff>
    </xdr:from>
    <xdr:to>
      <xdr:col>7</xdr:col>
      <xdr:colOff>267913</xdr:colOff>
      <xdr:row>80</xdr:row>
      <xdr:rowOff>139212</xdr:rowOff>
    </xdr:to>
    <xdr:sp macro="" textlink="">
      <xdr:nvSpPr>
        <xdr:cNvPr id="394" name="Oval 166"/>
        <xdr:cNvSpPr>
          <a:spLocks noChangeArrowheads="1"/>
        </xdr:cNvSpPr>
      </xdr:nvSpPr>
      <xdr:spPr bwMode="auto">
        <a:xfrm>
          <a:off x="4495516" y="12293112"/>
          <a:ext cx="39597" cy="38100"/>
        </a:xfrm>
        <a:prstGeom prst="ellipse">
          <a:avLst/>
        </a:prstGeom>
        <a:noFill/>
        <a:ln w="9525">
          <a:solidFill>
            <a:srgbClr val="000000"/>
          </a:solidFill>
          <a:round/>
          <a:headEnd/>
          <a:tailEnd/>
        </a:ln>
      </xdr:spPr>
    </xdr:sp>
    <xdr:clientData/>
  </xdr:twoCellAnchor>
  <xdr:twoCellAnchor>
    <xdr:from>
      <xdr:col>10</xdr:col>
      <xdr:colOff>188027</xdr:colOff>
      <xdr:row>76</xdr:row>
      <xdr:rowOff>101112</xdr:rowOff>
    </xdr:from>
    <xdr:to>
      <xdr:col>10</xdr:col>
      <xdr:colOff>188027</xdr:colOff>
      <xdr:row>77</xdr:row>
      <xdr:rowOff>43962</xdr:rowOff>
    </xdr:to>
    <xdr:sp macro="" textlink="">
      <xdr:nvSpPr>
        <xdr:cNvPr id="395" name="Line 167"/>
        <xdr:cNvSpPr>
          <a:spLocks noChangeShapeType="1"/>
        </xdr:cNvSpPr>
      </xdr:nvSpPr>
      <xdr:spPr bwMode="auto">
        <a:xfrm>
          <a:off x="6284027" y="11683512"/>
          <a:ext cx="0" cy="95250"/>
        </a:xfrm>
        <a:prstGeom prst="line">
          <a:avLst/>
        </a:prstGeom>
        <a:noFill/>
        <a:ln w="9525">
          <a:solidFill>
            <a:srgbClr val="000000"/>
          </a:solidFill>
          <a:round/>
          <a:headEnd/>
          <a:tailEnd/>
        </a:ln>
      </xdr:spPr>
    </xdr:sp>
    <xdr:clientData/>
  </xdr:twoCellAnchor>
  <xdr:twoCellAnchor>
    <xdr:from>
      <xdr:col>4</xdr:col>
      <xdr:colOff>234702</xdr:colOff>
      <xdr:row>76</xdr:row>
      <xdr:rowOff>101112</xdr:rowOff>
    </xdr:from>
    <xdr:to>
      <xdr:col>4</xdr:col>
      <xdr:colOff>234702</xdr:colOff>
      <xdr:row>77</xdr:row>
      <xdr:rowOff>43962</xdr:rowOff>
    </xdr:to>
    <xdr:sp macro="" textlink="">
      <xdr:nvSpPr>
        <xdr:cNvPr id="396" name="Line 168"/>
        <xdr:cNvSpPr>
          <a:spLocks noChangeShapeType="1"/>
        </xdr:cNvSpPr>
      </xdr:nvSpPr>
      <xdr:spPr bwMode="auto">
        <a:xfrm>
          <a:off x="2673102" y="11683512"/>
          <a:ext cx="0" cy="95250"/>
        </a:xfrm>
        <a:prstGeom prst="line">
          <a:avLst/>
        </a:prstGeom>
        <a:noFill/>
        <a:ln w="9525">
          <a:solidFill>
            <a:srgbClr val="000000"/>
          </a:solidFill>
          <a:round/>
          <a:headEnd/>
          <a:tailEnd/>
        </a:ln>
      </xdr:spPr>
    </xdr:sp>
    <xdr:clientData/>
  </xdr:twoCellAnchor>
  <xdr:twoCellAnchor>
    <xdr:from>
      <xdr:col>4</xdr:col>
      <xdr:colOff>284198</xdr:colOff>
      <xdr:row>74</xdr:row>
      <xdr:rowOff>43962</xdr:rowOff>
    </xdr:from>
    <xdr:to>
      <xdr:col>4</xdr:col>
      <xdr:colOff>284198</xdr:colOff>
      <xdr:row>77</xdr:row>
      <xdr:rowOff>34437</xdr:rowOff>
    </xdr:to>
    <xdr:sp macro="" textlink="">
      <xdr:nvSpPr>
        <xdr:cNvPr id="397" name="Line 169"/>
        <xdr:cNvSpPr>
          <a:spLocks noChangeShapeType="1"/>
        </xdr:cNvSpPr>
      </xdr:nvSpPr>
      <xdr:spPr bwMode="auto">
        <a:xfrm flipV="1">
          <a:off x="2722598" y="11321562"/>
          <a:ext cx="0" cy="447675"/>
        </a:xfrm>
        <a:prstGeom prst="line">
          <a:avLst/>
        </a:prstGeom>
        <a:noFill/>
        <a:ln w="12700">
          <a:solidFill>
            <a:srgbClr val="000000"/>
          </a:solidFill>
          <a:round/>
          <a:headEnd/>
          <a:tailEnd type="stealth" w="med" len="med"/>
        </a:ln>
      </xdr:spPr>
    </xdr:sp>
    <xdr:clientData/>
  </xdr:twoCellAnchor>
  <xdr:twoCellAnchor>
    <xdr:from>
      <xdr:col>7</xdr:col>
      <xdr:colOff>263769</xdr:colOff>
      <xdr:row>72</xdr:row>
      <xdr:rowOff>53487</xdr:rowOff>
    </xdr:from>
    <xdr:to>
      <xdr:col>10</xdr:col>
      <xdr:colOff>148430</xdr:colOff>
      <xdr:row>72</xdr:row>
      <xdr:rowOff>53487</xdr:rowOff>
    </xdr:to>
    <xdr:sp macro="" textlink="">
      <xdr:nvSpPr>
        <xdr:cNvPr id="398" name="Line 170"/>
        <xdr:cNvSpPr>
          <a:spLocks noChangeShapeType="1"/>
        </xdr:cNvSpPr>
      </xdr:nvSpPr>
      <xdr:spPr bwMode="auto">
        <a:xfrm>
          <a:off x="4530969" y="11026287"/>
          <a:ext cx="1713461" cy="0"/>
        </a:xfrm>
        <a:prstGeom prst="line">
          <a:avLst/>
        </a:prstGeom>
        <a:noFill/>
        <a:ln w="12700">
          <a:solidFill>
            <a:srgbClr val="000000"/>
          </a:solidFill>
          <a:round/>
          <a:headEnd/>
          <a:tailEnd type="stealth" w="med" len="med"/>
        </a:ln>
      </xdr:spPr>
    </xdr:sp>
    <xdr:clientData/>
  </xdr:twoCellAnchor>
  <xdr:twoCellAnchor>
    <xdr:from>
      <xdr:col>10</xdr:col>
      <xdr:colOff>227624</xdr:colOff>
      <xdr:row>72</xdr:row>
      <xdr:rowOff>53487</xdr:rowOff>
    </xdr:from>
    <xdr:to>
      <xdr:col>12</xdr:col>
      <xdr:colOff>242360</xdr:colOff>
      <xdr:row>72</xdr:row>
      <xdr:rowOff>53487</xdr:rowOff>
    </xdr:to>
    <xdr:sp macro="" textlink="">
      <xdr:nvSpPr>
        <xdr:cNvPr id="399" name="Line 171"/>
        <xdr:cNvSpPr>
          <a:spLocks noChangeShapeType="1"/>
        </xdr:cNvSpPr>
      </xdr:nvSpPr>
      <xdr:spPr bwMode="auto">
        <a:xfrm>
          <a:off x="6323624" y="11026287"/>
          <a:ext cx="1233936" cy="0"/>
        </a:xfrm>
        <a:prstGeom prst="line">
          <a:avLst/>
        </a:prstGeom>
        <a:noFill/>
        <a:ln w="3175">
          <a:solidFill>
            <a:srgbClr val="000000"/>
          </a:solidFill>
          <a:round/>
          <a:headEnd/>
          <a:tailEnd/>
        </a:ln>
      </xdr:spPr>
    </xdr:sp>
    <xdr:clientData/>
  </xdr:twoCellAnchor>
  <xdr:twoCellAnchor>
    <xdr:from>
      <xdr:col>11</xdr:col>
      <xdr:colOff>139858</xdr:colOff>
      <xdr:row>77</xdr:row>
      <xdr:rowOff>43962</xdr:rowOff>
    </xdr:from>
    <xdr:to>
      <xdr:col>12</xdr:col>
      <xdr:colOff>252259</xdr:colOff>
      <xdr:row>77</xdr:row>
      <xdr:rowOff>43962</xdr:rowOff>
    </xdr:to>
    <xdr:sp macro="" textlink="">
      <xdr:nvSpPr>
        <xdr:cNvPr id="400" name="Line 172"/>
        <xdr:cNvSpPr>
          <a:spLocks noChangeShapeType="1"/>
        </xdr:cNvSpPr>
      </xdr:nvSpPr>
      <xdr:spPr bwMode="auto">
        <a:xfrm>
          <a:off x="6845458" y="11778762"/>
          <a:ext cx="722001" cy="0"/>
        </a:xfrm>
        <a:prstGeom prst="line">
          <a:avLst/>
        </a:prstGeom>
        <a:noFill/>
        <a:ln w="3175">
          <a:solidFill>
            <a:srgbClr val="000000"/>
          </a:solidFill>
          <a:round/>
          <a:headEnd/>
          <a:tailEnd/>
        </a:ln>
      </xdr:spPr>
    </xdr:sp>
    <xdr:clientData/>
  </xdr:twoCellAnchor>
  <xdr:twoCellAnchor>
    <xdr:from>
      <xdr:col>12</xdr:col>
      <xdr:colOff>24577</xdr:colOff>
      <xdr:row>72</xdr:row>
      <xdr:rowOff>53487</xdr:rowOff>
    </xdr:from>
    <xdr:to>
      <xdr:col>12</xdr:col>
      <xdr:colOff>24577</xdr:colOff>
      <xdr:row>77</xdr:row>
      <xdr:rowOff>43962</xdr:rowOff>
    </xdr:to>
    <xdr:sp macro="" textlink="">
      <xdr:nvSpPr>
        <xdr:cNvPr id="401" name="Line 173"/>
        <xdr:cNvSpPr>
          <a:spLocks noChangeShapeType="1"/>
        </xdr:cNvSpPr>
      </xdr:nvSpPr>
      <xdr:spPr bwMode="auto">
        <a:xfrm flipV="1">
          <a:off x="7339777" y="11026287"/>
          <a:ext cx="0" cy="752475"/>
        </a:xfrm>
        <a:prstGeom prst="line">
          <a:avLst/>
        </a:prstGeom>
        <a:noFill/>
        <a:ln w="3175">
          <a:solidFill>
            <a:srgbClr val="000000"/>
          </a:solidFill>
          <a:round/>
          <a:headEnd type="triangle" w="sm" len="med"/>
          <a:tailEnd type="triangle" w="sm" len="med"/>
        </a:ln>
      </xdr:spPr>
    </xdr:sp>
    <xdr:clientData/>
  </xdr:twoCellAnchor>
  <xdr:twoCellAnchor>
    <xdr:from>
      <xdr:col>21</xdr:col>
      <xdr:colOff>2067</xdr:colOff>
      <xdr:row>80</xdr:row>
      <xdr:rowOff>101112</xdr:rowOff>
    </xdr:from>
    <xdr:to>
      <xdr:col>21</xdr:col>
      <xdr:colOff>132850</xdr:colOff>
      <xdr:row>81</xdr:row>
      <xdr:rowOff>82062</xdr:rowOff>
    </xdr:to>
    <xdr:sp macro="" textlink="">
      <xdr:nvSpPr>
        <xdr:cNvPr id="402" name="Text Box 174"/>
        <xdr:cNvSpPr txBox="1">
          <a:spLocks noChangeArrowheads="1"/>
        </xdr:cNvSpPr>
      </xdr:nvSpPr>
      <xdr:spPr bwMode="auto">
        <a:xfrm>
          <a:off x="12803667" y="12293112"/>
          <a:ext cx="130783" cy="13335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a:t>
          </a:r>
        </a:p>
      </xdr:txBody>
    </xdr:sp>
    <xdr:clientData/>
  </xdr:twoCellAnchor>
  <xdr:twoCellAnchor>
    <xdr:from>
      <xdr:col>12</xdr:col>
      <xdr:colOff>14677</xdr:colOff>
      <xdr:row>74</xdr:row>
      <xdr:rowOff>53487</xdr:rowOff>
    </xdr:from>
    <xdr:to>
      <xdr:col>12</xdr:col>
      <xdr:colOff>173065</xdr:colOff>
      <xdr:row>75</xdr:row>
      <xdr:rowOff>34437</xdr:rowOff>
    </xdr:to>
    <xdr:sp macro="" textlink="">
      <xdr:nvSpPr>
        <xdr:cNvPr id="403" name="Text Box 175"/>
        <xdr:cNvSpPr txBox="1">
          <a:spLocks noChangeArrowheads="1"/>
        </xdr:cNvSpPr>
      </xdr:nvSpPr>
      <xdr:spPr bwMode="auto">
        <a:xfrm>
          <a:off x="7329877" y="11331087"/>
          <a:ext cx="158388" cy="13335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H</a:t>
          </a:r>
          <a:r>
            <a:rPr lang="de-DE" altLang="ja-JP" sz="700" b="1" i="0" strike="noStrike">
              <a:solidFill>
                <a:srgbClr val="000000"/>
              </a:solidFill>
              <a:latin typeface="Times New Roman"/>
              <a:cs typeface="Times New Roman"/>
            </a:rPr>
            <a:t>g</a:t>
          </a:r>
        </a:p>
      </xdr:txBody>
    </xdr:sp>
    <xdr:clientData/>
  </xdr:twoCellAnchor>
  <xdr:twoCellAnchor>
    <xdr:from>
      <xdr:col>9</xdr:col>
      <xdr:colOff>13036</xdr:colOff>
      <xdr:row>71</xdr:row>
      <xdr:rowOff>82062</xdr:rowOff>
    </xdr:from>
    <xdr:to>
      <xdr:col>9</xdr:col>
      <xdr:colOff>220920</xdr:colOff>
      <xdr:row>72</xdr:row>
      <xdr:rowOff>82062</xdr:rowOff>
    </xdr:to>
    <xdr:sp macro="" textlink="">
      <xdr:nvSpPr>
        <xdr:cNvPr id="404" name="Text Box 176"/>
        <xdr:cNvSpPr txBox="1">
          <a:spLocks noChangeArrowheads="1"/>
        </xdr:cNvSpPr>
      </xdr:nvSpPr>
      <xdr:spPr bwMode="auto">
        <a:xfrm>
          <a:off x="5499436" y="10902462"/>
          <a:ext cx="207884" cy="152400"/>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4</xdr:col>
      <xdr:colOff>224803</xdr:colOff>
      <xdr:row>73</xdr:row>
      <xdr:rowOff>91587</xdr:rowOff>
    </xdr:from>
    <xdr:to>
      <xdr:col>5</xdr:col>
      <xdr:colOff>146936</xdr:colOff>
      <xdr:row>74</xdr:row>
      <xdr:rowOff>91587</xdr:rowOff>
    </xdr:to>
    <xdr:sp macro="" textlink="">
      <xdr:nvSpPr>
        <xdr:cNvPr id="405" name="Text Box 177"/>
        <xdr:cNvSpPr txBox="1">
          <a:spLocks noChangeArrowheads="1"/>
        </xdr:cNvSpPr>
      </xdr:nvSpPr>
      <xdr:spPr bwMode="auto">
        <a:xfrm>
          <a:off x="2663203" y="11216787"/>
          <a:ext cx="531733" cy="152400"/>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R</a:t>
          </a:r>
          <a:r>
            <a:rPr lang="de-DE" altLang="ja-JP" sz="700" b="1" i="0" strike="noStrike">
              <a:solidFill>
                <a:srgbClr val="000000"/>
              </a:solidFill>
              <a:latin typeface="Times New Roman"/>
              <a:cs typeface="Times New Roman"/>
            </a:rPr>
            <a:t>b</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11</xdr:col>
      <xdr:colOff>110160</xdr:colOff>
      <xdr:row>78</xdr:row>
      <xdr:rowOff>34437</xdr:rowOff>
    </xdr:from>
    <xdr:to>
      <xdr:col>11</xdr:col>
      <xdr:colOff>110160</xdr:colOff>
      <xdr:row>78</xdr:row>
      <xdr:rowOff>34437</xdr:rowOff>
    </xdr:to>
    <xdr:sp macro="" textlink="">
      <xdr:nvSpPr>
        <xdr:cNvPr id="406" name="Line 211"/>
        <xdr:cNvSpPr>
          <a:spLocks noChangeShapeType="1"/>
        </xdr:cNvSpPr>
      </xdr:nvSpPr>
      <xdr:spPr bwMode="auto">
        <a:xfrm flipH="1">
          <a:off x="6815760" y="11921637"/>
          <a:ext cx="0" cy="0"/>
        </a:xfrm>
        <a:prstGeom prst="line">
          <a:avLst/>
        </a:prstGeom>
        <a:noFill/>
        <a:ln w="6350">
          <a:solidFill>
            <a:srgbClr val="000000"/>
          </a:solidFill>
          <a:round/>
          <a:headEnd/>
          <a:tailEnd/>
        </a:ln>
      </xdr:spPr>
    </xdr:sp>
    <xdr:clientData/>
  </xdr:twoCellAnchor>
  <xdr:twoCellAnchor>
    <xdr:from>
      <xdr:col>7</xdr:col>
      <xdr:colOff>259653</xdr:colOff>
      <xdr:row>72</xdr:row>
      <xdr:rowOff>53487</xdr:rowOff>
    </xdr:from>
    <xdr:to>
      <xdr:col>7</xdr:col>
      <xdr:colOff>259653</xdr:colOff>
      <xdr:row>74</xdr:row>
      <xdr:rowOff>91587</xdr:rowOff>
    </xdr:to>
    <xdr:sp macro="" textlink="">
      <xdr:nvSpPr>
        <xdr:cNvPr id="407" name="Line 213"/>
        <xdr:cNvSpPr>
          <a:spLocks noChangeShapeType="1"/>
        </xdr:cNvSpPr>
      </xdr:nvSpPr>
      <xdr:spPr bwMode="auto">
        <a:xfrm>
          <a:off x="4526853" y="11026287"/>
          <a:ext cx="0" cy="342900"/>
        </a:xfrm>
        <a:prstGeom prst="line">
          <a:avLst/>
        </a:prstGeom>
        <a:noFill/>
        <a:ln w="12700">
          <a:solidFill>
            <a:srgbClr val="000000"/>
          </a:solidFill>
          <a:round/>
          <a:headEnd/>
          <a:tailEnd type="stealth" w="med" len="med"/>
        </a:ln>
      </xdr:spPr>
    </xdr:sp>
    <xdr:clientData/>
  </xdr:twoCellAnchor>
  <xdr:twoCellAnchor>
    <xdr:from>
      <xdr:col>7</xdr:col>
      <xdr:colOff>77725</xdr:colOff>
      <xdr:row>71</xdr:row>
      <xdr:rowOff>158262</xdr:rowOff>
    </xdr:from>
    <xdr:to>
      <xdr:col>8</xdr:col>
      <xdr:colOff>8892</xdr:colOff>
      <xdr:row>72</xdr:row>
      <xdr:rowOff>158262</xdr:rowOff>
    </xdr:to>
    <xdr:sp macro="" textlink="">
      <xdr:nvSpPr>
        <xdr:cNvPr id="408" name="Text Box 214"/>
        <xdr:cNvSpPr txBox="1">
          <a:spLocks noChangeArrowheads="1"/>
        </xdr:cNvSpPr>
      </xdr:nvSpPr>
      <xdr:spPr bwMode="auto">
        <a:xfrm>
          <a:off x="4344925" y="10969137"/>
          <a:ext cx="540767" cy="152400"/>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23</xdr:col>
      <xdr:colOff>279168</xdr:colOff>
      <xdr:row>80</xdr:row>
      <xdr:rowOff>129687</xdr:rowOff>
    </xdr:from>
    <xdr:to>
      <xdr:col>25</xdr:col>
      <xdr:colOff>192730</xdr:colOff>
      <xdr:row>82</xdr:row>
      <xdr:rowOff>120162</xdr:rowOff>
    </xdr:to>
    <xdr:sp macro="" textlink="">
      <xdr:nvSpPr>
        <xdr:cNvPr id="409" name="Line 216"/>
        <xdr:cNvSpPr>
          <a:spLocks noChangeShapeType="1"/>
        </xdr:cNvSpPr>
      </xdr:nvSpPr>
      <xdr:spPr bwMode="auto">
        <a:xfrm>
          <a:off x="14299968" y="12321687"/>
          <a:ext cx="1132762" cy="295275"/>
        </a:xfrm>
        <a:prstGeom prst="line">
          <a:avLst/>
        </a:prstGeom>
        <a:noFill/>
        <a:ln w="3175">
          <a:solidFill>
            <a:srgbClr val="000000"/>
          </a:solidFill>
          <a:round/>
          <a:headEnd type="triangle" w="sm" len="lg"/>
          <a:tailEnd/>
        </a:ln>
      </xdr:spPr>
    </xdr:sp>
    <xdr:clientData/>
  </xdr:twoCellAnchor>
  <xdr:twoCellAnchor>
    <xdr:from>
      <xdr:col>25</xdr:col>
      <xdr:colOff>192730</xdr:colOff>
      <xdr:row>82</xdr:row>
      <xdr:rowOff>120162</xdr:rowOff>
    </xdr:from>
    <xdr:to>
      <xdr:col>28</xdr:col>
      <xdr:colOff>48224</xdr:colOff>
      <xdr:row>82</xdr:row>
      <xdr:rowOff>120162</xdr:rowOff>
    </xdr:to>
    <xdr:sp macro="" textlink="">
      <xdr:nvSpPr>
        <xdr:cNvPr id="410" name="Line 217"/>
        <xdr:cNvSpPr>
          <a:spLocks noChangeShapeType="1"/>
        </xdr:cNvSpPr>
      </xdr:nvSpPr>
      <xdr:spPr bwMode="auto">
        <a:xfrm>
          <a:off x="15432730" y="12616962"/>
          <a:ext cx="1684294" cy="0"/>
        </a:xfrm>
        <a:prstGeom prst="line">
          <a:avLst/>
        </a:prstGeom>
        <a:noFill/>
        <a:ln w="3175">
          <a:solidFill>
            <a:srgbClr val="000000"/>
          </a:solidFill>
          <a:round/>
          <a:headEnd/>
          <a:tailEnd/>
        </a:ln>
      </xdr:spPr>
    </xdr:sp>
    <xdr:clientData/>
  </xdr:twoCellAnchor>
  <xdr:twoCellAnchor>
    <xdr:from>
      <xdr:col>28</xdr:col>
      <xdr:colOff>137317</xdr:colOff>
      <xdr:row>80</xdr:row>
      <xdr:rowOff>101112</xdr:rowOff>
    </xdr:from>
    <xdr:to>
      <xdr:col>28</xdr:col>
      <xdr:colOff>246208</xdr:colOff>
      <xdr:row>81</xdr:row>
      <xdr:rowOff>82062</xdr:rowOff>
    </xdr:to>
    <xdr:sp macro="" textlink="">
      <xdr:nvSpPr>
        <xdr:cNvPr id="411" name="Text Box 218"/>
        <xdr:cNvSpPr txBox="1">
          <a:spLocks noChangeArrowheads="1"/>
        </xdr:cNvSpPr>
      </xdr:nvSpPr>
      <xdr:spPr bwMode="auto">
        <a:xfrm>
          <a:off x="17206117" y="12293112"/>
          <a:ext cx="108891" cy="13335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D</a:t>
          </a:r>
        </a:p>
      </xdr:txBody>
    </xdr:sp>
    <xdr:clientData/>
  </xdr:twoCellAnchor>
  <xdr:twoCellAnchor>
    <xdr:from>
      <xdr:col>24</xdr:col>
      <xdr:colOff>3317</xdr:colOff>
      <xdr:row>82</xdr:row>
      <xdr:rowOff>120162</xdr:rowOff>
    </xdr:from>
    <xdr:to>
      <xdr:col>25</xdr:col>
      <xdr:colOff>192730</xdr:colOff>
      <xdr:row>83</xdr:row>
      <xdr:rowOff>24912</xdr:rowOff>
    </xdr:to>
    <xdr:sp macro="" textlink="">
      <xdr:nvSpPr>
        <xdr:cNvPr id="412" name="Line 219"/>
        <xdr:cNvSpPr>
          <a:spLocks noChangeShapeType="1"/>
        </xdr:cNvSpPr>
      </xdr:nvSpPr>
      <xdr:spPr bwMode="auto">
        <a:xfrm flipH="1">
          <a:off x="14633717" y="12616962"/>
          <a:ext cx="799013" cy="57150"/>
        </a:xfrm>
        <a:prstGeom prst="line">
          <a:avLst/>
        </a:prstGeom>
        <a:noFill/>
        <a:ln w="3175">
          <a:solidFill>
            <a:srgbClr val="000000"/>
          </a:solidFill>
          <a:round/>
          <a:headEnd/>
          <a:tailEnd type="triangle" w="sm" len="lg"/>
        </a:ln>
      </xdr:spPr>
    </xdr:sp>
    <xdr:clientData/>
  </xdr:twoCellAnchor>
  <xdr:twoCellAnchor>
    <xdr:from>
      <xdr:col>7</xdr:col>
      <xdr:colOff>165805</xdr:colOff>
      <xdr:row>74</xdr:row>
      <xdr:rowOff>72537</xdr:rowOff>
    </xdr:from>
    <xdr:to>
      <xdr:col>8</xdr:col>
      <xdr:colOff>93559</xdr:colOff>
      <xdr:row>75</xdr:row>
      <xdr:rowOff>72537</xdr:rowOff>
    </xdr:to>
    <xdr:sp macro="" textlink="">
      <xdr:nvSpPr>
        <xdr:cNvPr id="413" name="Text Box 220"/>
        <xdr:cNvSpPr txBox="1">
          <a:spLocks noChangeArrowheads="1"/>
        </xdr:cNvSpPr>
      </xdr:nvSpPr>
      <xdr:spPr bwMode="auto">
        <a:xfrm>
          <a:off x="4433005" y="11350137"/>
          <a:ext cx="537354" cy="152400"/>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Wt</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3</xdr:col>
      <xdr:colOff>165872</xdr:colOff>
      <xdr:row>111</xdr:row>
      <xdr:rowOff>103310</xdr:rowOff>
    </xdr:from>
    <xdr:to>
      <xdr:col>4</xdr:col>
      <xdr:colOff>28526</xdr:colOff>
      <xdr:row>112</xdr:row>
      <xdr:rowOff>93785</xdr:rowOff>
    </xdr:to>
    <xdr:sp macro="" textlink="">
      <xdr:nvSpPr>
        <xdr:cNvPr id="414" name="Text Box 221"/>
        <xdr:cNvSpPr txBox="1">
          <a:spLocks noChangeArrowheads="1"/>
        </xdr:cNvSpPr>
      </xdr:nvSpPr>
      <xdr:spPr bwMode="auto">
        <a:xfrm>
          <a:off x="1994672" y="17019710"/>
          <a:ext cx="472254" cy="14287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4</xdr:col>
      <xdr:colOff>180964</xdr:colOff>
      <xdr:row>77</xdr:row>
      <xdr:rowOff>46683</xdr:rowOff>
    </xdr:from>
    <xdr:to>
      <xdr:col>10</xdr:col>
      <xdr:colOff>270219</xdr:colOff>
      <xdr:row>78</xdr:row>
      <xdr:rowOff>49690</xdr:rowOff>
    </xdr:to>
    <xdr:grpSp>
      <xdr:nvGrpSpPr>
        <xdr:cNvPr id="415" name="グループ化 414"/>
        <xdr:cNvGrpSpPr/>
      </xdr:nvGrpSpPr>
      <xdr:grpSpPr>
        <a:xfrm>
          <a:off x="927089" y="13937308"/>
          <a:ext cx="1787880" cy="193507"/>
          <a:chOff x="752475" y="2759242"/>
          <a:chExt cx="1737561" cy="193507"/>
        </a:xfrm>
      </xdr:grpSpPr>
      <xdr:sp macro="" textlink="">
        <xdr:nvSpPr>
          <xdr:cNvPr id="416" name="Line 115"/>
          <xdr:cNvSpPr>
            <a:spLocks noChangeShapeType="1"/>
          </xdr:cNvSpPr>
        </xdr:nvSpPr>
        <xdr:spPr bwMode="auto">
          <a:xfrm>
            <a:off x="752475" y="2759242"/>
            <a:ext cx="1737561" cy="0"/>
          </a:xfrm>
          <a:prstGeom prst="line">
            <a:avLst/>
          </a:prstGeom>
          <a:noFill/>
          <a:ln w="15875">
            <a:solidFill>
              <a:srgbClr val="000000"/>
            </a:solidFill>
            <a:round/>
            <a:headEnd/>
            <a:tailEnd/>
          </a:ln>
        </xdr:spPr>
      </xdr:sp>
      <xdr:sp macro="" textlink="">
        <xdr:nvSpPr>
          <xdr:cNvPr id="417" name="Line 135"/>
          <xdr:cNvSpPr>
            <a:spLocks noChangeShapeType="1"/>
          </xdr:cNvSpPr>
        </xdr:nvSpPr>
        <xdr:spPr bwMode="auto">
          <a:xfrm flipH="1">
            <a:off x="771525" y="2759242"/>
            <a:ext cx="180975" cy="180975"/>
          </a:xfrm>
          <a:prstGeom prst="line">
            <a:avLst/>
          </a:prstGeom>
          <a:noFill/>
          <a:ln w="6350">
            <a:solidFill>
              <a:srgbClr val="000000"/>
            </a:solidFill>
            <a:round/>
            <a:headEnd/>
            <a:tailEnd/>
          </a:ln>
        </xdr:spPr>
      </xdr:sp>
      <xdr:sp macro="" textlink="">
        <xdr:nvSpPr>
          <xdr:cNvPr id="418" name="Line 136"/>
          <xdr:cNvSpPr>
            <a:spLocks noChangeShapeType="1"/>
          </xdr:cNvSpPr>
        </xdr:nvSpPr>
        <xdr:spPr bwMode="auto">
          <a:xfrm flipH="1">
            <a:off x="885825" y="2759242"/>
            <a:ext cx="180975" cy="180975"/>
          </a:xfrm>
          <a:prstGeom prst="line">
            <a:avLst/>
          </a:prstGeom>
          <a:noFill/>
          <a:ln w="6350">
            <a:solidFill>
              <a:srgbClr val="000000"/>
            </a:solidFill>
            <a:round/>
            <a:headEnd/>
            <a:tailEnd/>
          </a:ln>
        </xdr:spPr>
      </xdr:sp>
      <xdr:sp macro="" textlink="">
        <xdr:nvSpPr>
          <xdr:cNvPr id="419" name="Line 137"/>
          <xdr:cNvSpPr>
            <a:spLocks noChangeShapeType="1"/>
          </xdr:cNvSpPr>
        </xdr:nvSpPr>
        <xdr:spPr bwMode="auto">
          <a:xfrm flipH="1">
            <a:off x="752475" y="2759242"/>
            <a:ext cx="85725" cy="85725"/>
          </a:xfrm>
          <a:prstGeom prst="line">
            <a:avLst/>
          </a:prstGeom>
          <a:noFill/>
          <a:ln w="6350">
            <a:solidFill>
              <a:srgbClr val="000000"/>
            </a:solidFill>
            <a:round/>
            <a:headEnd/>
            <a:tailEnd/>
          </a:ln>
        </xdr:spPr>
      </xdr:sp>
      <xdr:sp macro="" textlink="">
        <xdr:nvSpPr>
          <xdr:cNvPr id="420" name="Line 138"/>
          <xdr:cNvSpPr>
            <a:spLocks noChangeShapeType="1"/>
          </xdr:cNvSpPr>
        </xdr:nvSpPr>
        <xdr:spPr bwMode="auto">
          <a:xfrm flipH="1">
            <a:off x="752475" y="2759242"/>
            <a:ext cx="28575" cy="28575"/>
          </a:xfrm>
          <a:prstGeom prst="line">
            <a:avLst/>
          </a:prstGeom>
          <a:noFill/>
          <a:ln w="6350">
            <a:solidFill>
              <a:srgbClr val="000000"/>
            </a:solidFill>
            <a:round/>
            <a:headEnd/>
            <a:tailEnd/>
          </a:ln>
        </xdr:spPr>
      </xdr:sp>
      <xdr:sp macro="" textlink="">
        <xdr:nvSpPr>
          <xdr:cNvPr id="421" name="Line 139"/>
          <xdr:cNvSpPr>
            <a:spLocks noChangeShapeType="1"/>
          </xdr:cNvSpPr>
        </xdr:nvSpPr>
        <xdr:spPr bwMode="auto">
          <a:xfrm flipH="1">
            <a:off x="752475" y="2759242"/>
            <a:ext cx="142875" cy="142875"/>
          </a:xfrm>
          <a:prstGeom prst="line">
            <a:avLst/>
          </a:prstGeom>
          <a:noFill/>
          <a:ln w="6350">
            <a:solidFill>
              <a:srgbClr val="000000"/>
            </a:solidFill>
            <a:round/>
            <a:headEnd/>
            <a:tailEnd/>
          </a:ln>
        </xdr:spPr>
      </xdr:sp>
      <xdr:sp macro="" textlink="">
        <xdr:nvSpPr>
          <xdr:cNvPr id="422" name="Line 140"/>
          <xdr:cNvSpPr>
            <a:spLocks noChangeShapeType="1"/>
          </xdr:cNvSpPr>
        </xdr:nvSpPr>
        <xdr:spPr bwMode="auto">
          <a:xfrm flipH="1">
            <a:off x="942975" y="2759242"/>
            <a:ext cx="180975" cy="180975"/>
          </a:xfrm>
          <a:prstGeom prst="line">
            <a:avLst/>
          </a:prstGeom>
          <a:noFill/>
          <a:ln w="6350">
            <a:solidFill>
              <a:srgbClr val="000000"/>
            </a:solidFill>
            <a:round/>
            <a:headEnd/>
            <a:tailEnd/>
          </a:ln>
        </xdr:spPr>
      </xdr:sp>
      <xdr:sp macro="" textlink="">
        <xdr:nvSpPr>
          <xdr:cNvPr id="423" name="Line 141"/>
          <xdr:cNvSpPr>
            <a:spLocks noChangeShapeType="1"/>
          </xdr:cNvSpPr>
        </xdr:nvSpPr>
        <xdr:spPr bwMode="auto">
          <a:xfrm flipH="1">
            <a:off x="1000125" y="2759242"/>
            <a:ext cx="180975" cy="180975"/>
          </a:xfrm>
          <a:prstGeom prst="line">
            <a:avLst/>
          </a:prstGeom>
          <a:noFill/>
          <a:ln w="6350">
            <a:solidFill>
              <a:srgbClr val="000000"/>
            </a:solidFill>
            <a:round/>
            <a:headEnd/>
            <a:tailEnd/>
          </a:ln>
        </xdr:spPr>
      </xdr:sp>
      <xdr:sp macro="" textlink="">
        <xdr:nvSpPr>
          <xdr:cNvPr id="424" name="Line 142"/>
          <xdr:cNvSpPr>
            <a:spLocks noChangeShapeType="1"/>
          </xdr:cNvSpPr>
        </xdr:nvSpPr>
        <xdr:spPr bwMode="auto">
          <a:xfrm flipH="1">
            <a:off x="1057275" y="2759242"/>
            <a:ext cx="180975" cy="180975"/>
          </a:xfrm>
          <a:prstGeom prst="line">
            <a:avLst/>
          </a:prstGeom>
          <a:noFill/>
          <a:ln w="6350">
            <a:solidFill>
              <a:srgbClr val="000000"/>
            </a:solidFill>
            <a:round/>
            <a:headEnd/>
            <a:tailEnd/>
          </a:ln>
        </xdr:spPr>
      </xdr:sp>
      <xdr:sp macro="" textlink="">
        <xdr:nvSpPr>
          <xdr:cNvPr id="425" name="Line 143"/>
          <xdr:cNvSpPr>
            <a:spLocks noChangeShapeType="1"/>
          </xdr:cNvSpPr>
        </xdr:nvSpPr>
        <xdr:spPr bwMode="auto">
          <a:xfrm flipH="1">
            <a:off x="1114425" y="2759242"/>
            <a:ext cx="180975" cy="180975"/>
          </a:xfrm>
          <a:prstGeom prst="line">
            <a:avLst/>
          </a:prstGeom>
          <a:noFill/>
          <a:ln w="6350">
            <a:solidFill>
              <a:srgbClr val="000000"/>
            </a:solidFill>
            <a:round/>
            <a:headEnd/>
            <a:tailEnd/>
          </a:ln>
        </xdr:spPr>
      </xdr:sp>
      <xdr:sp macro="" textlink="">
        <xdr:nvSpPr>
          <xdr:cNvPr id="426" name="Line 144"/>
          <xdr:cNvSpPr>
            <a:spLocks noChangeShapeType="1"/>
          </xdr:cNvSpPr>
        </xdr:nvSpPr>
        <xdr:spPr bwMode="auto">
          <a:xfrm flipH="1">
            <a:off x="1171575" y="2759242"/>
            <a:ext cx="180975" cy="180975"/>
          </a:xfrm>
          <a:prstGeom prst="line">
            <a:avLst/>
          </a:prstGeom>
          <a:noFill/>
          <a:ln w="6350">
            <a:solidFill>
              <a:srgbClr val="000000"/>
            </a:solidFill>
            <a:round/>
            <a:headEnd/>
            <a:tailEnd/>
          </a:ln>
        </xdr:spPr>
      </xdr:sp>
      <xdr:sp macro="" textlink="">
        <xdr:nvSpPr>
          <xdr:cNvPr id="427" name="Line 145"/>
          <xdr:cNvSpPr>
            <a:spLocks noChangeShapeType="1"/>
          </xdr:cNvSpPr>
        </xdr:nvSpPr>
        <xdr:spPr bwMode="auto">
          <a:xfrm flipH="1">
            <a:off x="1228725" y="2759242"/>
            <a:ext cx="180975" cy="180975"/>
          </a:xfrm>
          <a:prstGeom prst="line">
            <a:avLst/>
          </a:prstGeom>
          <a:noFill/>
          <a:ln w="6350">
            <a:solidFill>
              <a:srgbClr val="000000"/>
            </a:solidFill>
            <a:round/>
            <a:headEnd/>
            <a:tailEnd/>
          </a:ln>
        </xdr:spPr>
      </xdr:sp>
      <xdr:sp macro="" textlink="">
        <xdr:nvSpPr>
          <xdr:cNvPr id="428" name="Line 146"/>
          <xdr:cNvSpPr>
            <a:spLocks noChangeShapeType="1"/>
          </xdr:cNvSpPr>
        </xdr:nvSpPr>
        <xdr:spPr bwMode="auto">
          <a:xfrm flipH="1">
            <a:off x="1285875" y="2759242"/>
            <a:ext cx="180975" cy="180975"/>
          </a:xfrm>
          <a:prstGeom prst="line">
            <a:avLst/>
          </a:prstGeom>
          <a:noFill/>
          <a:ln w="6350">
            <a:solidFill>
              <a:srgbClr val="000000"/>
            </a:solidFill>
            <a:round/>
            <a:headEnd/>
            <a:tailEnd/>
          </a:ln>
        </xdr:spPr>
      </xdr:sp>
      <xdr:sp macro="" textlink="">
        <xdr:nvSpPr>
          <xdr:cNvPr id="429" name="Line 147"/>
          <xdr:cNvSpPr>
            <a:spLocks noChangeShapeType="1"/>
          </xdr:cNvSpPr>
        </xdr:nvSpPr>
        <xdr:spPr bwMode="auto">
          <a:xfrm flipH="1">
            <a:off x="1343025" y="2759242"/>
            <a:ext cx="183482" cy="180975"/>
          </a:xfrm>
          <a:prstGeom prst="line">
            <a:avLst/>
          </a:prstGeom>
          <a:noFill/>
          <a:ln w="6350">
            <a:solidFill>
              <a:srgbClr val="000000"/>
            </a:solidFill>
            <a:round/>
            <a:headEnd/>
            <a:tailEnd/>
          </a:ln>
        </xdr:spPr>
      </xdr:sp>
      <xdr:sp macro="" textlink="">
        <xdr:nvSpPr>
          <xdr:cNvPr id="430" name="Line 148"/>
          <xdr:cNvSpPr>
            <a:spLocks noChangeShapeType="1"/>
          </xdr:cNvSpPr>
        </xdr:nvSpPr>
        <xdr:spPr bwMode="auto">
          <a:xfrm flipH="1">
            <a:off x="1400175" y="2759242"/>
            <a:ext cx="183482" cy="180975"/>
          </a:xfrm>
          <a:prstGeom prst="line">
            <a:avLst/>
          </a:prstGeom>
          <a:noFill/>
          <a:ln w="6350">
            <a:solidFill>
              <a:srgbClr val="000000"/>
            </a:solidFill>
            <a:round/>
            <a:headEnd/>
            <a:tailEnd/>
          </a:ln>
        </xdr:spPr>
      </xdr:sp>
      <xdr:sp macro="" textlink="">
        <xdr:nvSpPr>
          <xdr:cNvPr id="431" name="Line 149"/>
          <xdr:cNvSpPr>
            <a:spLocks noChangeShapeType="1"/>
          </xdr:cNvSpPr>
        </xdr:nvSpPr>
        <xdr:spPr bwMode="auto">
          <a:xfrm flipH="1">
            <a:off x="1516982" y="2759242"/>
            <a:ext cx="183481" cy="180975"/>
          </a:xfrm>
          <a:prstGeom prst="line">
            <a:avLst/>
          </a:prstGeom>
          <a:noFill/>
          <a:ln w="6350">
            <a:solidFill>
              <a:srgbClr val="000000"/>
            </a:solidFill>
            <a:round/>
            <a:headEnd/>
            <a:tailEnd/>
          </a:ln>
        </xdr:spPr>
      </xdr:sp>
      <xdr:sp macro="" textlink="">
        <xdr:nvSpPr>
          <xdr:cNvPr id="432" name="Line 150"/>
          <xdr:cNvSpPr>
            <a:spLocks noChangeShapeType="1"/>
          </xdr:cNvSpPr>
        </xdr:nvSpPr>
        <xdr:spPr bwMode="auto">
          <a:xfrm flipH="1">
            <a:off x="828675" y="2759242"/>
            <a:ext cx="180975" cy="180975"/>
          </a:xfrm>
          <a:prstGeom prst="line">
            <a:avLst/>
          </a:prstGeom>
          <a:noFill/>
          <a:ln w="6350">
            <a:solidFill>
              <a:srgbClr val="000000"/>
            </a:solidFill>
            <a:round/>
            <a:headEnd/>
            <a:tailEnd/>
          </a:ln>
        </xdr:spPr>
      </xdr:sp>
      <xdr:sp macro="" textlink="">
        <xdr:nvSpPr>
          <xdr:cNvPr id="433" name="Line 151"/>
          <xdr:cNvSpPr>
            <a:spLocks noChangeShapeType="1"/>
          </xdr:cNvSpPr>
        </xdr:nvSpPr>
        <xdr:spPr bwMode="auto">
          <a:xfrm flipH="1">
            <a:off x="1574132" y="2759242"/>
            <a:ext cx="183481" cy="180975"/>
          </a:xfrm>
          <a:prstGeom prst="line">
            <a:avLst/>
          </a:prstGeom>
          <a:noFill/>
          <a:ln w="6350">
            <a:solidFill>
              <a:srgbClr val="000000"/>
            </a:solidFill>
            <a:round/>
            <a:headEnd/>
            <a:tailEnd/>
          </a:ln>
        </xdr:spPr>
      </xdr:sp>
      <xdr:sp macro="" textlink="">
        <xdr:nvSpPr>
          <xdr:cNvPr id="434" name="Line 152"/>
          <xdr:cNvSpPr>
            <a:spLocks noChangeShapeType="1"/>
          </xdr:cNvSpPr>
        </xdr:nvSpPr>
        <xdr:spPr bwMode="auto">
          <a:xfrm flipH="1">
            <a:off x="2090988" y="2759242"/>
            <a:ext cx="180975" cy="180975"/>
          </a:xfrm>
          <a:prstGeom prst="line">
            <a:avLst/>
          </a:prstGeom>
          <a:noFill/>
          <a:ln w="6350">
            <a:solidFill>
              <a:srgbClr val="000000"/>
            </a:solidFill>
            <a:round/>
            <a:headEnd/>
            <a:tailEnd/>
          </a:ln>
        </xdr:spPr>
      </xdr:sp>
      <xdr:sp macro="" textlink="">
        <xdr:nvSpPr>
          <xdr:cNvPr id="435" name="Line 153"/>
          <xdr:cNvSpPr>
            <a:spLocks noChangeShapeType="1"/>
          </xdr:cNvSpPr>
        </xdr:nvSpPr>
        <xdr:spPr bwMode="auto">
          <a:xfrm flipH="1">
            <a:off x="2148138" y="2759242"/>
            <a:ext cx="180975" cy="180975"/>
          </a:xfrm>
          <a:prstGeom prst="line">
            <a:avLst/>
          </a:prstGeom>
          <a:noFill/>
          <a:ln w="6350">
            <a:solidFill>
              <a:srgbClr val="000000"/>
            </a:solidFill>
            <a:round/>
            <a:headEnd/>
            <a:tailEnd/>
          </a:ln>
        </xdr:spPr>
      </xdr:sp>
      <xdr:sp macro="" textlink="">
        <xdr:nvSpPr>
          <xdr:cNvPr id="436" name="Line 154"/>
          <xdr:cNvSpPr>
            <a:spLocks noChangeShapeType="1"/>
          </xdr:cNvSpPr>
        </xdr:nvSpPr>
        <xdr:spPr bwMode="auto">
          <a:xfrm flipH="1">
            <a:off x="2205288" y="2759242"/>
            <a:ext cx="180975" cy="180975"/>
          </a:xfrm>
          <a:prstGeom prst="line">
            <a:avLst/>
          </a:prstGeom>
          <a:noFill/>
          <a:ln w="6350">
            <a:solidFill>
              <a:srgbClr val="000000"/>
            </a:solidFill>
            <a:round/>
            <a:headEnd/>
            <a:tailEnd/>
          </a:ln>
        </xdr:spPr>
      </xdr:sp>
      <xdr:sp macro="" textlink="">
        <xdr:nvSpPr>
          <xdr:cNvPr id="437" name="Line 155"/>
          <xdr:cNvSpPr>
            <a:spLocks noChangeShapeType="1"/>
          </xdr:cNvSpPr>
        </xdr:nvSpPr>
        <xdr:spPr bwMode="auto">
          <a:xfrm flipH="1">
            <a:off x="2262438" y="2759242"/>
            <a:ext cx="180975" cy="180975"/>
          </a:xfrm>
          <a:prstGeom prst="line">
            <a:avLst/>
          </a:prstGeom>
          <a:noFill/>
          <a:ln w="6350">
            <a:solidFill>
              <a:srgbClr val="000000"/>
            </a:solidFill>
            <a:round/>
            <a:headEnd/>
            <a:tailEnd/>
          </a:ln>
        </xdr:spPr>
      </xdr:sp>
      <xdr:sp macro="" textlink="">
        <xdr:nvSpPr>
          <xdr:cNvPr id="438" name="Line 156"/>
          <xdr:cNvSpPr>
            <a:spLocks noChangeShapeType="1"/>
          </xdr:cNvSpPr>
        </xdr:nvSpPr>
        <xdr:spPr bwMode="auto">
          <a:xfrm flipH="1">
            <a:off x="2319588" y="2768767"/>
            <a:ext cx="170448" cy="171450"/>
          </a:xfrm>
          <a:prstGeom prst="line">
            <a:avLst/>
          </a:prstGeom>
          <a:noFill/>
          <a:ln w="6350">
            <a:solidFill>
              <a:srgbClr val="000000"/>
            </a:solidFill>
            <a:round/>
            <a:headEnd/>
            <a:tailEnd/>
          </a:ln>
        </xdr:spPr>
      </xdr:sp>
      <xdr:sp macro="" textlink="">
        <xdr:nvSpPr>
          <xdr:cNvPr id="439" name="Line 157"/>
          <xdr:cNvSpPr>
            <a:spLocks noChangeShapeType="1"/>
          </xdr:cNvSpPr>
        </xdr:nvSpPr>
        <xdr:spPr bwMode="auto">
          <a:xfrm flipH="1">
            <a:off x="2376738" y="2825917"/>
            <a:ext cx="113298" cy="114300"/>
          </a:xfrm>
          <a:prstGeom prst="line">
            <a:avLst/>
          </a:prstGeom>
          <a:noFill/>
          <a:ln w="6350">
            <a:solidFill>
              <a:srgbClr val="000000"/>
            </a:solidFill>
            <a:round/>
            <a:headEnd/>
            <a:tailEnd/>
          </a:ln>
        </xdr:spPr>
      </xdr:sp>
      <xdr:sp macro="" textlink="">
        <xdr:nvSpPr>
          <xdr:cNvPr id="440" name="Line 158"/>
          <xdr:cNvSpPr>
            <a:spLocks noChangeShapeType="1"/>
          </xdr:cNvSpPr>
        </xdr:nvSpPr>
        <xdr:spPr bwMode="auto">
          <a:xfrm flipH="1">
            <a:off x="2416342" y="2883066"/>
            <a:ext cx="73694" cy="69683"/>
          </a:xfrm>
          <a:prstGeom prst="line">
            <a:avLst/>
          </a:prstGeom>
          <a:noFill/>
          <a:ln w="6350">
            <a:solidFill>
              <a:srgbClr val="000000"/>
            </a:solidFill>
            <a:round/>
            <a:headEnd/>
            <a:tailEnd/>
          </a:ln>
        </xdr:spPr>
      </xdr:sp>
      <xdr:sp macro="" textlink="">
        <xdr:nvSpPr>
          <xdr:cNvPr id="441" name="Line 159"/>
          <xdr:cNvSpPr>
            <a:spLocks noChangeShapeType="1"/>
          </xdr:cNvSpPr>
        </xdr:nvSpPr>
        <xdr:spPr bwMode="auto">
          <a:xfrm flipH="1" flipV="1">
            <a:off x="2466474" y="2917658"/>
            <a:ext cx="23562" cy="22559"/>
          </a:xfrm>
          <a:prstGeom prst="line">
            <a:avLst/>
          </a:prstGeom>
          <a:noFill/>
          <a:ln w="6350">
            <a:solidFill>
              <a:srgbClr val="000000"/>
            </a:solidFill>
            <a:round/>
            <a:headEnd/>
            <a:tailEnd/>
          </a:ln>
        </xdr:spPr>
      </xdr:sp>
      <xdr:sp macro="" textlink="">
        <xdr:nvSpPr>
          <xdr:cNvPr id="442" name="Line 160"/>
          <xdr:cNvSpPr>
            <a:spLocks noChangeShapeType="1"/>
          </xdr:cNvSpPr>
        </xdr:nvSpPr>
        <xdr:spPr bwMode="auto">
          <a:xfrm flipH="1">
            <a:off x="1457325" y="2759242"/>
            <a:ext cx="185988" cy="180975"/>
          </a:xfrm>
          <a:prstGeom prst="line">
            <a:avLst/>
          </a:prstGeom>
          <a:noFill/>
          <a:ln w="6350">
            <a:solidFill>
              <a:srgbClr val="000000"/>
            </a:solidFill>
            <a:round/>
            <a:headEnd/>
            <a:tailEnd/>
          </a:ln>
        </xdr:spPr>
      </xdr:sp>
      <xdr:sp macro="" textlink="">
        <xdr:nvSpPr>
          <xdr:cNvPr id="443" name="Line 169"/>
          <xdr:cNvSpPr>
            <a:spLocks noChangeShapeType="1"/>
          </xdr:cNvSpPr>
        </xdr:nvSpPr>
        <xdr:spPr bwMode="auto">
          <a:xfrm flipH="1">
            <a:off x="1633788" y="2759242"/>
            <a:ext cx="180975" cy="180975"/>
          </a:xfrm>
          <a:prstGeom prst="line">
            <a:avLst/>
          </a:prstGeom>
          <a:noFill/>
          <a:ln w="6350">
            <a:solidFill>
              <a:srgbClr val="000000"/>
            </a:solidFill>
            <a:round/>
            <a:headEnd/>
            <a:tailEnd/>
          </a:ln>
        </xdr:spPr>
      </xdr:sp>
      <xdr:sp macro="" textlink="">
        <xdr:nvSpPr>
          <xdr:cNvPr id="444" name="Line 170"/>
          <xdr:cNvSpPr>
            <a:spLocks noChangeShapeType="1"/>
          </xdr:cNvSpPr>
        </xdr:nvSpPr>
        <xdr:spPr bwMode="auto">
          <a:xfrm flipH="1">
            <a:off x="1690938" y="2759242"/>
            <a:ext cx="180975" cy="180975"/>
          </a:xfrm>
          <a:prstGeom prst="line">
            <a:avLst/>
          </a:prstGeom>
          <a:noFill/>
          <a:ln w="6350">
            <a:solidFill>
              <a:srgbClr val="000000"/>
            </a:solidFill>
            <a:round/>
            <a:headEnd/>
            <a:tailEnd/>
          </a:ln>
        </xdr:spPr>
      </xdr:sp>
      <xdr:sp macro="" textlink="">
        <xdr:nvSpPr>
          <xdr:cNvPr id="445" name="Line 171"/>
          <xdr:cNvSpPr>
            <a:spLocks noChangeShapeType="1"/>
          </xdr:cNvSpPr>
        </xdr:nvSpPr>
        <xdr:spPr bwMode="auto">
          <a:xfrm flipH="1">
            <a:off x="1748088" y="2759242"/>
            <a:ext cx="180975" cy="180975"/>
          </a:xfrm>
          <a:prstGeom prst="line">
            <a:avLst/>
          </a:prstGeom>
          <a:noFill/>
          <a:ln w="6350">
            <a:solidFill>
              <a:srgbClr val="000000"/>
            </a:solidFill>
            <a:round/>
            <a:headEnd/>
            <a:tailEnd/>
          </a:ln>
        </xdr:spPr>
      </xdr:sp>
      <xdr:sp macro="" textlink="">
        <xdr:nvSpPr>
          <xdr:cNvPr id="446" name="Line 172"/>
          <xdr:cNvSpPr>
            <a:spLocks noChangeShapeType="1"/>
          </xdr:cNvSpPr>
        </xdr:nvSpPr>
        <xdr:spPr bwMode="auto">
          <a:xfrm flipH="1">
            <a:off x="1805238" y="2759242"/>
            <a:ext cx="180975" cy="180975"/>
          </a:xfrm>
          <a:prstGeom prst="line">
            <a:avLst/>
          </a:prstGeom>
          <a:noFill/>
          <a:ln w="6350">
            <a:solidFill>
              <a:srgbClr val="000000"/>
            </a:solidFill>
            <a:round/>
            <a:headEnd/>
            <a:tailEnd/>
          </a:ln>
        </xdr:spPr>
      </xdr:sp>
      <xdr:sp macro="" textlink="">
        <xdr:nvSpPr>
          <xdr:cNvPr id="447" name="Line 173"/>
          <xdr:cNvSpPr>
            <a:spLocks noChangeShapeType="1"/>
          </xdr:cNvSpPr>
        </xdr:nvSpPr>
        <xdr:spPr bwMode="auto">
          <a:xfrm flipH="1">
            <a:off x="1862388" y="2759242"/>
            <a:ext cx="180975" cy="180975"/>
          </a:xfrm>
          <a:prstGeom prst="line">
            <a:avLst/>
          </a:prstGeom>
          <a:noFill/>
          <a:ln w="6350">
            <a:solidFill>
              <a:srgbClr val="000000"/>
            </a:solidFill>
            <a:round/>
            <a:headEnd/>
            <a:tailEnd/>
          </a:ln>
        </xdr:spPr>
      </xdr:sp>
      <xdr:sp macro="" textlink="">
        <xdr:nvSpPr>
          <xdr:cNvPr id="448" name="Line 174"/>
          <xdr:cNvSpPr>
            <a:spLocks noChangeShapeType="1"/>
          </xdr:cNvSpPr>
        </xdr:nvSpPr>
        <xdr:spPr bwMode="auto">
          <a:xfrm flipH="1">
            <a:off x="1976688" y="2759242"/>
            <a:ext cx="180975" cy="180975"/>
          </a:xfrm>
          <a:prstGeom prst="line">
            <a:avLst/>
          </a:prstGeom>
          <a:noFill/>
          <a:ln w="6350">
            <a:solidFill>
              <a:srgbClr val="000000"/>
            </a:solidFill>
            <a:round/>
            <a:headEnd/>
            <a:tailEnd/>
          </a:ln>
        </xdr:spPr>
      </xdr:sp>
      <xdr:sp macro="" textlink="">
        <xdr:nvSpPr>
          <xdr:cNvPr id="449" name="Line 175"/>
          <xdr:cNvSpPr>
            <a:spLocks noChangeShapeType="1"/>
          </xdr:cNvSpPr>
        </xdr:nvSpPr>
        <xdr:spPr bwMode="auto">
          <a:xfrm flipH="1">
            <a:off x="2033838" y="2759242"/>
            <a:ext cx="180975" cy="180975"/>
          </a:xfrm>
          <a:prstGeom prst="line">
            <a:avLst/>
          </a:prstGeom>
          <a:noFill/>
          <a:ln w="6350">
            <a:solidFill>
              <a:srgbClr val="000000"/>
            </a:solidFill>
            <a:round/>
            <a:headEnd/>
            <a:tailEnd/>
          </a:ln>
        </xdr:spPr>
      </xdr:sp>
      <xdr:sp macro="" textlink="">
        <xdr:nvSpPr>
          <xdr:cNvPr id="450" name="Line 176"/>
          <xdr:cNvSpPr>
            <a:spLocks noChangeShapeType="1"/>
          </xdr:cNvSpPr>
        </xdr:nvSpPr>
        <xdr:spPr bwMode="auto">
          <a:xfrm flipH="1">
            <a:off x="1919538" y="2759242"/>
            <a:ext cx="180975" cy="180975"/>
          </a:xfrm>
          <a:prstGeom prst="line">
            <a:avLst/>
          </a:prstGeom>
          <a:noFill/>
          <a:ln w="6350">
            <a:solidFill>
              <a:srgbClr val="000000"/>
            </a:solidFill>
            <a:round/>
            <a:headEnd/>
            <a:tailEnd/>
          </a:ln>
        </xdr:spPr>
      </xdr:sp>
    </xdr:grpSp>
    <xdr:clientData/>
  </xdr:twoCellAnchor>
  <xdr:twoCellAnchor>
    <xdr:from>
      <xdr:col>2</xdr:col>
      <xdr:colOff>0</xdr:colOff>
      <xdr:row>185</xdr:row>
      <xdr:rowOff>185912</xdr:rowOff>
    </xdr:from>
    <xdr:to>
      <xdr:col>32</xdr:col>
      <xdr:colOff>14654</xdr:colOff>
      <xdr:row>185</xdr:row>
      <xdr:rowOff>185912</xdr:rowOff>
    </xdr:to>
    <xdr:sp macro="" textlink="">
      <xdr:nvSpPr>
        <xdr:cNvPr id="451" name="Line 4"/>
        <xdr:cNvSpPr>
          <a:spLocks noChangeShapeType="1"/>
        </xdr:cNvSpPr>
      </xdr:nvSpPr>
      <xdr:spPr bwMode="auto">
        <a:xfrm>
          <a:off x="1219200" y="28341812"/>
          <a:ext cx="18302654" cy="0"/>
        </a:xfrm>
        <a:prstGeom prst="line">
          <a:avLst/>
        </a:prstGeom>
        <a:noFill/>
        <a:ln w="57150" cmpd="thickThin">
          <a:solidFill>
            <a:srgbClr val="000000"/>
          </a:solidFill>
          <a:round/>
          <a:headEnd/>
          <a:tailEnd/>
        </a:ln>
      </xdr:spPr>
    </xdr:sp>
    <xdr:clientData/>
  </xdr:twoCellAnchor>
  <xdr:twoCellAnchor>
    <xdr:from>
      <xdr:col>2</xdr:col>
      <xdr:colOff>1</xdr:colOff>
      <xdr:row>127</xdr:row>
      <xdr:rowOff>168519</xdr:rowOff>
    </xdr:from>
    <xdr:to>
      <xdr:col>32</xdr:col>
      <xdr:colOff>7328</xdr:colOff>
      <xdr:row>127</xdr:row>
      <xdr:rowOff>168519</xdr:rowOff>
    </xdr:to>
    <xdr:sp macro="" textlink="">
      <xdr:nvSpPr>
        <xdr:cNvPr id="452" name="Line 34"/>
        <xdr:cNvSpPr>
          <a:spLocks noChangeShapeType="1"/>
        </xdr:cNvSpPr>
      </xdr:nvSpPr>
      <xdr:spPr bwMode="auto">
        <a:xfrm>
          <a:off x="1219201" y="19504269"/>
          <a:ext cx="18295327" cy="0"/>
        </a:xfrm>
        <a:prstGeom prst="line">
          <a:avLst/>
        </a:prstGeom>
        <a:noFill/>
        <a:ln w="57150" cmpd="thinThick">
          <a:solidFill>
            <a:srgbClr val="000000"/>
          </a:solidFill>
          <a:round/>
          <a:headEnd/>
          <a:tailEnd/>
        </a:ln>
      </xdr:spPr>
    </xdr:sp>
    <xdr:clientData/>
  </xdr:twoCellAnchor>
  <xdr:twoCellAnchor>
    <xdr:from>
      <xdr:col>29</xdr:col>
      <xdr:colOff>69757</xdr:colOff>
      <xdr:row>133</xdr:row>
      <xdr:rowOff>189570</xdr:rowOff>
    </xdr:from>
    <xdr:to>
      <xdr:col>30</xdr:col>
      <xdr:colOff>285319</xdr:colOff>
      <xdr:row>133</xdr:row>
      <xdr:rowOff>189570</xdr:rowOff>
    </xdr:to>
    <xdr:sp macro="" textlink="">
      <xdr:nvSpPr>
        <xdr:cNvPr id="453" name="Line 1"/>
        <xdr:cNvSpPr>
          <a:spLocks noChangeShapeType="1"/>
        </xdr:cNvSpPr>
      </xdr:nvSpPr>
      <xdr:spPr bwMode="auto">
        <a:xfrm>
          <a:off x="17748157" y="20420670"/>
          <a:ext cx="825162" cy="0"/>
        </a:xfrm>
        <a:prstGeom prst="line">
          <a:avLst/>
        </a:prstGeom>
        <a:noFill/>
        <a:ln w="6350">
          <a:solidFill>
            <a:srgbClr val="000000"/>
          </a:solidFill>
          <a:prstDash val="lgDashDot"/>
          <a:round/>
          <a:headEnd/>
          <a:tailEnd/>
        </a:ln>
      </xdr:spPr>
    </xdr:sp>
    <xdr:clientData/>
  </xdr:twoCellAnchor>
  <xdr:twoCellAnchor>
    <xdr:from>
      <xdr:col>28</xdr:col>
      <xdr:colOff>210898</xdr:colOff>
      <xdr:row>131</xdr:row>
      <xdr:rowOff>126255</xdr:rowOff>
    </xdr:from>
    <xdr:to>
      <xdr:col>28</xdr:col>
      <xdr:colOff>210898</xdr:colOff>
      <xdr:row>139</xdr:row>
      <xdr:rowOff>60769</xdr:rowOff>
    </xdr:to>
    <xdr:sp macro="" textlink="">
      <xdr:nvSpPr>
        <xdr:cNvPr id="454" name="Line 2"/>
        <xdr:cNvSpPr>
          <a:spLocks noChangeShapeType="1"/>
        </xdr:cNvSpPr>
      </xdr:nvSpPr>
      <xdr:spPr bwMode="auto">
        <a:xfrm>
          <a:off x="17279698" y="20090655"/>
          <a:ext cx="0" cy="1153714"/>
        </a:xfrm>
        <a:prstGeom prst="line">
          <a:avLst/>
        </a:prstGeom>
        <a:noFill/>
        <a:ln w="6350">
          <a:solidFill>
            <a:srgbClr val="000000"/>
          </a:solidFill>
          <a:prstDash val="lgDashDot"/>
          <a:round/>
          <a:headEnd/>
          <a:tailEnd/>
        </a:ln>
      </xdr:spPr>
    </xdr:sp>
    <xdr:clientData/>
  </xdr:twoCellAnchor>
  <xdr:twoCellAnchor>
    <xdr:from>
      <xdr:col>17</xdr:col>
      <xdr:colOff>92140</xdr:colOff>
      <xdr:row>139</xdr:row>
      <xdr:rowOff>70427</xdr:rowOff>
    </xdr:from>
    <xdr:to>
      <xdr:col>23</xdr:col>
      <xdr:colOff>251398</xdr:colOff>
      <xdr:row>139</xdr:row>
      <xdr:rowOff>70427</xdr:rowOff>
    </xdr:to>
    <xdr:sp macro="" textlink="">
      <xdr:nvSpPr>
        <xdr:cNvPr id="455" name="Line 3"/>
        <xdr:cNvSpPr>
          <a:spLocks noChangeShapeType="1"/>
        </xdr:cNvSpPr>
      </xdr:nvSpPr>
      <xdr:spPr bwMode="auto">
        <a:xfrm>
          <a:off x="10455340" y="21254027"/>
          <a:ext cx="3816858" cy="0"/>
        </a:xfrm>
        <a:prstGeom prst="line">
          <a:avLst/>
        </a:prstGeom>
        <a:noFill/>
        <a:ln w="6350">
          <a:solidFill>
            <a:srgbClr val="000000"/>
          </a:solidFill>
          <a:prstDash val="lgDashDot"/>
          <a:round/>
          <a:headEnd/>
          <a:tailEnd/>
        </a:ln>
      </xdr:spPr>
    </xdr:sp>
    <xdr:clientData/>
  </xdr:twoCellAnchor>
  <xdr:twoCellAnchor>
    <xdr:from>
      <xdr:col>8</xdr:col>
      <xdr:colOff>10789</xdr:colOff>
      <xdr:row>172</xdr:row>
      <xdr:rowOff>104885</xdr:rowOff>
    </xdr:from>
    <xdr:to>
      <xdr:col>8</xdr:col>
      <xdr:colOff>203601</xdr:colOff>
      <xdr:row>173</xdr:row>
      <xdr:rowOff>88248</xdr:rowOff>
    </xdr:to>
    <xdr:sp macro="" textlink="">
      <xdr:nvSpPr>
        <xdr:cNvPr id="456" name="Text Box 5"/>
        <xdr:cNvSpPr txBox="1">
          <a:spLocks noChangeArrowheads="1"/>
        </xdr:cNvSpPr>
      </xdr:nvSpPr>
      <xdr:spPr bwMode="auto">
        <a:xfrm>
          <a:off x="4887589" y="26317685"/>
          <a:ext cx="19281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224047</xdr:colOff>
      <xdr:row>177</xdr:row>
      <xdr:rowOff>98970</xdr:rowOff>
    </xdr:from>
    <xdr:to>
      <xdr:col>4</xdr:col>
      <xdr:colOff>262993</xdr:colOff>
      <xdr:row>178</xdr:row>
      <xdr:rowOff>111310</xdr:rowOff>
    </xdr:to>
    <xdr:sp macro="" textlink="">
      <xdr:nvSpPr>
        <xdr:cNvPr id="457" name="Text Box 6"/>
        <xdr:cNvSpPr txBox="1">
          <a:spLocks noChangeArrowheads="1"/>
        </xdr:cNvSpPr>
      </xdr:nvSpPr>
      <xdr:spPr bwMode="auto">
        <a:xfrm>
          <a:off x="2052847" y="27073770"/>
          <a:ext cx="648546" cy="16474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b2</a:t>
          </a:r>
          <a:r>
            <a:rPr lang="ja-JP" altLang="de-DE" sz="1000" b="1" i="0" strike="noStrike">
              <a:solidFill>
                <a:srgbClr val="000000"/>
              </a:solidFill>
              <a:latin typeface="ＭＳ Ｐゴシック"/>
              <a:ea typeface="ＭＳ Ｐゴシック"/>
            </a:rPr>
            <a:t>＝</a:t>
          </a:r>
        </a:p>
      </xdr:txBody>
    </xdr:sp>
    <xdr:clientData/>
  </xdr:twoCellAnchor>
  <xdr:twoCellAnchor>
    <xdr:from>
      <xdr:col>9</xdr:col>
      <xdr:colOff>52820</xdr:colOff>
      <xdr:row>170</xdr:row>
      <xdr:rowOff>128501</xdr:rowOff>
    </xdr:from>
    <xdr:to>
      <xdr:col>10</xdr:col>
      <xdr:colOff>104492</xdr:colOff>
      <xdr:row>171</xdr:row>
      <xdr:rowOff>179477</xdr:rowOff>
    </xdr:to>
    <xdr:sp macro="" textlink="">
      <xdr:nvSpPr>
        <xdr:cNvPr id="458" name="Text Box 7"/>
        <xdr:cNvSpPr txBox="1">
          <a:spLocks noChangeArrowheads="1"/>
        </xdr:cNvSpPr>
      </xdr:nvSpPr>
      <xdr:spPr bwMode="auto">
        <a:xfrm>
          <a:off x="5539220" y="26036501"/>
          <a:ext cx="661272" cy="174801"/>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3</xdr:col>
      <xdr:colOff>2312</xdr:colOff>
      <xdr:row>160</xdr:row>
      <xdr:rowOff>2625</xdr:rowOff>
    </xdr:from>
    <xdr:to>
      <xdr:col>4</xdr:col>
      <xdr:colOff>282274</xdr:colOff>
      <xdr:row>162</xdr:row>
      <xdr:rowOff>103236</xdr:rowOff>
    </xdr:to>
    <xdr:sp macro="" textlink="">
      <xdr:nvSpPr>
        <xdr:cNvPr id="459" name="Line 8"/>
        <xdr:cNvSpPr>
          <a:spLocks noChangeShapeType="1"/>
        </xdr:cNvSpPr>
      </xdr:nvSpPr>
      <xdr:spPr bwMode="auto">
        <a:xfrm>
          <a:off x="1831112" y="24386625"/>
          <a:ext cx="889562" cy="405411"/>
        </a:xfrm>
        <a:prstGeom prst="line">
          <a:avLst/>
        </a:prstGeom>
        <a:noFill/>
        <a:ln w="3175">
          <a:solidFill>
            <a:srgbClr val="000000"/>
          </a:solidFill>
          <a:round/>
          <a:headEnd/>
          <a:tailEnd/>
        </a:ln>
      </xdr:spPr>
    </xdr:sp>
    <xdr:clientData/>
  </xdr:twoCellAnchor>
  <xdr:twoCellAnchor>
    <xdr:from>
      <xdr:col>3</xdr:col>
      <xdr:colOff>89078</xdr:colOff>
      <xdr:row>161</xdr:row>
      <xdr:rowOff>13494</xdr:rowOff>
    </xdr:from>
    <xdr:to>
      <xdr:col>4</xdr:col>
      <xdr:colOff>166587</xdr:colOff>
      <xdr:row>162</xdr:row>
      <xdr:rowOff>53471</xdr:rowOff>
    </xdr:to>
    <xdr:sp macro="" textlink="">
      <xdr:nvSpPr>
        <xdr:cNvPr id="460" name="Text Box 9"/>
        <xdr:cNvSpPr txBox="1">
          <a:spLocks noChangeArrowheads="1"/>
        </xdr:cNvSpPr>
      </xdr:nvSpPr>
      <xdr:spPr bwMode="auto">
        <a:xfrm>
          <a:off x="1917878" y="24549894"/>
          <a:ext cx="687109" cy="192377"/>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設置階</a:t>
          </a:r>
        </a:p>
      </xdr:txBody>
    </xdr:sp>
    <xdr:clientData/>
  </xdr:twoCellAnchor>
  <xdr:twoCellAnchor>
    <xdr:from>
      <xdr:col>4</xdr:col>
      <xdr:colOff>41259</xdr:colOff>
      <xdr:row>160</xdr:row>
      <xdr:rowOff>78426</xdr:rowOff>
    </xdr:from>
    <xdr:to>
      <xdr:col>5</xdr:col>
      <xdr:colOff>121853</xdr:colOff>
      <xdr:row>161</xdr:row>
      <xdr:rowOff>13493</xdr:rowOff>
    </xdr:to>
    <xdr:sp macro="" textlink="">
      <xdr:nvSpPr>
        <xdr:cNvPr id="461" name="Text Box 10"/>
        <xdr:cNvSpPr txBox="1">
          <a:spLocks noChangeArrowheads="1"/>
        </xdr:cNvSpPr>
      </xdr:nvSpPr>
      <xdr:spPr bwMode="auto">
        <a:xfrm>
          <a:off x="2479659" y="24462426"/>
          <a:ext cx="690194" cy="87467"/>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クラス</a:t>
          </a:r>
        </a:p>
      </xdr:txBody>
    </xdr:sp>
    <xdr:clientData/>
  </xdr:twoCellAnchor>
  <xdr:twoCellAnchor>
    <xdr:from>
      <xdr:col>4</xdr:col>
      <xdr:colOff>41259</xdr:colOff>
      <xdr:row>159</xdr:row>
      <xdr:rowOff>172337</xdr:rowOff>
    </xdr:from>
    <xdr:to>
      <xdr:col>5</xdr:col>
      <xdr:colOff>121853</xdr:colOff>
      <xdr:row>160</xdr:row>
      <xdr:rowOff>136382</xdr:rowOff>
    </xdr:to>
    <xdr:sp macro="" textlink="">
      <xdr:nvSpPr>
        <xdr:cNvPr id="462" name="Text Box 11"/>
        <xdr:cNvSpPr txBox="1">
          <a:spLocks noChangeArrowheads="1"/>
        </xdr:cNvSpPr>
      </xdr:nvSpPr>
      <xdr:spPr bwMode="auto">
        <a:xfrm>
          <a:off x="2479659" y="24384887"/>
          <a:ext cx="690194" cy="13549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耐</a:t>
          </a:r>
          <a:r>
            <a:rPr lang="ja-JP" altLang="en-US" sz="4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震</a:t>
          </a:r>
        </a:p>
      </xdr:txBody>
    </xdr:sp>
    <xdr:clientData/>
  </xdr:twoCellAnchor>
  <xdr:twoCellAnchor>
    <xdr:from>
      <xdr:col>14</xdr:col>
      <xdr:colOff>265676</xdr:colOff>
      <xdr:row>139</xdr:row>
      <xdr:rowOff>22133</xdr:rowOff>
    </xdr:from>
    <xdr:to>
      <xdr:col>16</xdr:col>
      <xdr:colOff>43167</xdr:colOff>
      <xdr:row>139</xdr:row>
      <xdr:rowOff>118724</xdr:rowOff>
    </xdr:to>
    <xdr:sp macro="" textlink="">
      <xdr:nvSpPr>
        <xdr:cNvPr id="463" name="Text Box 12"/>
        <xdr:cNvSpPr txBox="1">
          <a:spLocks noChangeArrowheads="1"/>
        </xdr:cNvSpPr>
      </xdr:nvSpPr>
      <xdr:spPr bwMode="auto">
        <a:xfrm>
          <a:off x="8800076" y="21205733"/>
          <a:ext cx="996691" cy="96591"/>
        </a:xfrm>
        <a:prstGeom prst="rect">
          <a:avLst/>
        </a:prstGeom>
        <a:noFill/>
        <a:ln w="9525">
          <a:noFill/>
          <a:miter lim="800000"/>
          <a:headEnd/>
          <a:tailEnd/>
        </a:ln>
      </xdr:spPr>
      <xdr:txBody>
        <a:bodyPr vert="vert270" wrap="none" lIns="18288" tIns="22860" rIns="0" bIns="0" anchor="t" upright="1">
          <a:noAutofit/>
        </a:bodyPr>
        <a:lstStyle/>
        <a:p>
          <a:pPr algn="r" rtl="1">
            <a:defRPr sz="1000"/>
          </a:pPr>
          <a:r>
            <a:rPr lang="de-DE" altLang="ja-JP" sz="900" b="1" i="0" strike="noStrike">
              <a:solidFill>
                <a:srgbClr val="000000"/>
              </a:solidFill>
              <a:latin typeface="Times New Roman"/>
              <a:cs typeface="Times New Roman"/>
            </a:rPr>
            <a:t>H</a:t>
          </a:r>
        </a:p>
      </xdr:txBody>
    </xdr:sp>
    <xdr:clientData/>
  </xdr:twoCellAnchor>
  <xdr:twoCellAnchor>
    <xdr:from>
      <xdr:col>27</xdr:col>
      <xdr:colOff>274913</xdr:colOff>
      <xdr:row>133</xdr:row>
      <xdr:rowOff>35025</xdr:rowOff>
    </xdr:from>
    <xdr:to>
      <xdr:col>29</xdr:col>
      <xdr:colOff>252929</xdr:colOff>
      <xdr:row>145</xdr:row>
      <xdr:rowOff>144466</xdr:rowOff>
    </xdr:to>
    <xdr:grpSp>
      <xdr:nvGrpSpPr>
        <xdr:cNvPr id="464" name="Group 13"/>
        <xdr:cNvGrpSpPr>
          <a:grpSpLocks/>
        </xdr:cNvGrpSpPr>
      </xdr:nvGrpSpPr>
      <xdr:grpSpPr bwMode="auto">
        <a:xfrm>
          <a:off x="6331226" y="23926900"/>
          <a:ext cx="549516" cy="2395441"/>
          <a:chOff x="386" y="146"/>
          <a:chExt cx="163" cy="202"/>
        </a:xfrm>
      </xdr:grpSpPr>
      <xdr:sp macro="" textlink="">
        <xdr:nvSpPr>
          <xdr:cNvPr id="465" name="Line 14"/>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466" name="Line 15"/>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467" name="Line 16"/>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468" name="Line 17"/>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27</xdr:col>
      <xdr:colOff>284554</xdr:colOff>
      <xdr:row>146</xdr:row>
      <xdr:rowOff>2261</xdr:rowOff>
    </xdr:from>
    <xdr:to>
      <xdr:col>27</xdr:col>
      <xdr:colOff>284554</xdr:colOff>
      <xdr:row>147</xdr:row>
      <xdr:rowOff>178804</xdr:rowOff>
    </xdr:to>
    <xdr:sp macro="" textlink="">
      <xdr:nvSpPr>
        <xdr:cNvPr id="469" name="Line 18"/>
        <xdr:cNvSpPr>
          <a:spLocks noChangeShapeType="1"/>
        </xdr:cNvSpPr>
      </xdr:nvSpPr>
      <xdr:spPr bwMode="auto">
        <a:xfrm>
          <a:off x="16743754" y="22252661"/>
          <a:ext cx="0" cy="300368"/>
        </a:xfrm>
        <a:prstGeom prst="line">
          <a:avLst/>
        </a:prstGeom>
        <a:noFill/>
        <a:ln w="3175">
          <a:solidFill>
            <a:srgbClr val="000000"/>
          </a:solidFill>
          <a:round/>
          <a:headEnd/>
          <a:tailEnd/>
        </a:ln>
      </xdr:spPr>
    </xdr:sp>
    <xdr:clientData/>
  </xdr:twoCellAnchor>
  <xdr:twoCellAnchor>
    <xdr:from>
      <xdr:col>21</xdr:col>
      <xdr:colOff>89437</xdr:colOff>
      <xdr:row>131</xdr:row>
      <xdr:rowOff>97277</xdr:rowOff>
    </xdr:from>
    <xdr:to>
      <xdr:col>25</xdr:col>
      <xdr:colOff>210132</xdr:colOff>
      <xdr:row>131</xdr:row>
      <xdr:rowOff>97277</xdr:rowOff>
    </xdr:to>
    <xdr:sp macro="" textlink="">
      <xdr:nvSpPr>
        <xdr:cNvPr id="470" name="Line 19"/>
        <xdr:cNvSpPr>
          <a:spLocks noChangeShapeType="1"/>
        </xdr:cNvSpPr>
      </xdr:nvSpPr>
      <xdr:spPr bwMode="auto">
        <a:xfrm>
          <a:off x="12891037" y="20061677"/>
          <a:ext cx="2559095" cy="0"/>
        </a:xfrm>
        <a:prstGeom prst="line">
          <a:avLst/>
        </a:prstGeom>
        <a:noFill/>
        <a:ln w="6350">
          <a:solidFill>
            <a:srgbClr val="000000"/>
          </a:solidFill>
          <a:round/>
          <a:headEnd type="triangle" w="sm" len="med"/>
          <a:tailEnd type="triangle" w="sm" len="med"/>
        </a:ln>
      </xdr:spPr>
    </xdr:sp>
    <xdr:clientData/>
  </xdr:twoCellAnchor>
  <xdr:twoCellAnchor>
    <xdr:from>
      <xdr:col>27</xdr:col>
      <xdr:colOff>274913</xdr:colOff>
      <xdr:row>147</xdr:row>
      <xdr:rowOff>62896</xdr:rowOff>
    </xdr:from>
    <xdr:to>
      <xdr:col>29</xdr:col>
      <xdr:colOff>252929</xdr:colOff>
      <xdr:row>147</xdr:row>
      <xdr:rowOff>62896</xdr:rowOff>
    </xdr:to>
    <xdr:sp macro="" textlink="">
      <xdr:nvSpPr>
        <xdr:cNvPr id="471" name="Line 20"/>
        <xdr:cNvSpPr>
          <a:spLocks noChangeShapeType="1"/>
        </xdr:cNvSpPr>
      </xdr:nvSpPr>
      <xdr:spPr bwMode="auto">
        <a:xfrm>
          <a:off x="16734113" y="22465696"/>
          <a:ext cx="1197216" cy="0"/>
        </a:xfrm>
        <a:prstGeom prst="line">
          <a:avLst/>
        </a:prstGeom>
        <a:noFill/>
        <a:ln w="6350">
          <a:solidFill>
            <a:srgbClr val="000000"/>
          </a:solidFill>
          <a:round/>
          <a:headEnd type="triangle" w="sm" len="med"/>
          <a:tailEnd type="triangle" w="sm" len="med"/>
        </a:ln>
      </xdr:spPr>
    </xdr:sp>
    <xdr:clientData/>
  </xdr:twoCellAnchor>
  <xdr:twoCellAnchor>
    <xdr:from>
      <xdr:col>28</xdr:col>
      <xdr:colOff>8445</xdr:colOff>
      <xdr:row>141</xdr:row>
      <xdr:rowOff>104766</xdr:rowOff>
    </xdr:from>
    <xdr:to>
      <xdr:col>29</xdr:col>
      <xdr:colOff>69757</xdr:colOff>
      <xdr:row>142</xdr:row>
      <xdr:rowOff>88129</xdr:rowOff>
    </xdr:to>
    <xdr:sp macro="" textlink="">
      <xdr:nvSpPr>
        <xdr:cNvPr id="472" name="Text Box 21"/>
        <xdr:cNvSpPr txBox="1">
          <a:spLocks noChangeArrowheads="1"/>
        </xdr:cNvSpPr>
      </xdr:nvSpPr>
      <xdr:spPr bwMode="auto">
        <a:xfrm>
          <a:off x="17077245" y="21593166"/>
          <a:ext cx="670912" cy="13576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Wt</a:t>
          </a:r>
          <a:r>
            <a:rPr lang="de-DE" altLang="ja-JP" sz="900" b="1" i="0" strike="noStrike">
              <a:solidFill>
                <a:srgbClr val="000000"/>
              </a:solidFill>
              <a:latin typeface="ＭＳ Ｐ明朝"/>
              <a:ea typeface="ＭＳ Ｐ明朝"/>
            </a:rPr>
            <a:t>+</a:t>
          </a:r>
          <a:r>
            <a:rPr lang="de-DE" altLang="ja-JP" sz="900" b="1" i="0" strike="noStrike">
              <a:solidFill>
                <a:srgbClr val="000000"/>
              </a:solidFill>
              <a:latin typeface="Times New Roman"/>
              <a:cs typeface="Times New Roman"/>
            </a:rPr>
            <a:t>Fv</a:t>
          </a:r>
        </a:p>
      </xdr:txBody>
    </xdr:sp>
    <xdr:clientData/>
  </xdr:twoCellAnchor>
  <xdr:twoCellAnchor>
    <xdr:from>
      <xdr:col>18</xdr:col>
      <xdr:colOff>61290</xdr:colOff>
      <xdr:row>133</xdr:row>
      <xdr:rowOff>189570</xdr:rowOff>
    </xdr:from>
    <xdr:to>
      <xdr:col>18</xdr:col>
      <xdr:colOff>61290</xdr:colOff>
      <xdr:row>139</xdr:row>
      <xdr:rowOff>70427</xdr:rowOff>
    </xdr:to>
    <xdr:sp macro="" textlink="">
      <xdr:nvSpPr>
        <xdr:cNvPr id="473" name="Line 22"/>
        <xdr:cNvSpPr>
          <a:spLocks noChangeShapeType="1"/>
        </xdr:cNvSpPr>
      </xdr:nvSpPr>
      <xdr:spPr bwMode="auto">
        <a:xfrm>
          <a:off x="11034090" y="20420670"/>
          <a:ext cx="0" cy="833357"/>
        </a:xfrm>
        <a:prstGeom prst="line">
          <a:avLst/>
        </a:prstGeom>
        <a:noFill/>
        <a:ln w="3175">
          <a:solidFill>
            <a:srgbClr val="000000"/>
          </a:solidFill>
          <a:round/>
          <a:headEnd type="triangle" w="sm" len="med"/>
          <a:tailEnd type="triangle" w="sm" len="med"/>
        </a:ln>
      </xdr:spPr>
    </xdr:sp>
    <xdr:clientData/>
  </xdr:twoCellAnchor>
  <xdr:twoCellAnchor>
    <xdr:from>
      <xdr:col>11</xdr:col>
      <xdr:colOff>156164</xdr:colOff>
      <xdr:row>132</xdr:row>
      <xdr:rowOff>113271</xdr:rowOff>
    </xdr:from>
    <xdr:to>
      <xdr:col>12</xdr:col>
      <xdr:colOff>143051</xdr:colOff>
      <xdr:row>133</xdr:row>
      <xdr:rowOff>77316</xdr:rowOff>
    </xdr:to>
    <xdr:sp macro="" textlink="">
      <xdr:nvSpPr>
        <xdr:cNvPr id="474" name="Text Box 23"/>
        <xdr:cNvSpPr txBox="1">
          <a:spLocks noChangeArrowheads="1"/>
        </xdr:cNvSpPr>
      </xdr:nvSpPr>
      <xdr:spPr bwMode="auto">
        <a:xfrm>
          <a:off x="6861764" y="20230071"/>
          <a:ext cx="596487" cy="116445"/>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明朝"/>
              <a:ea typeface="ＭＳ 明朝"/>
            </a:rPr>
            <a:t>監修</a:t>
          </a:r>
        </a:p>
      </xdr:txBody>
    </xdr:sp>
    <xdr:clientData/>
  </xdr:twoCellAnchor>
  <xdr:twoCellAnchor>
    <xdr:from>
      <xdr:col>21</xdr:col>
      <xdr:colOff>89437</xdr:colOff>
      <xdr:row>131</xdr:row>
      <xdr:rowOff>686</xdr:rowOff>
    </xdr:from>
    <xdr:to>
      <xdr:col>21</xdr:col>
      <xdr:colOff>89437</xdr:colOff>
      <xdr:row>146</xdr:row>
      <xdr:rowOff>50555</xdr:rowOff>
    </xdr:to>
    <xdr:sp macro="" textlink="">
      <xdr:nvSpPr>
        <xdr:cNvPr id="475" name="Line 24"/>
        <xdr:cNvSpPr>
          <a:spLocks noChangeShapeType="1"/>
        </xdr:cNvSpPr>
      </xdr:nvSpPr>
      <xdr:spPr bwMode="auto">
        <a:xfrm>
          <a:off x="12891037" y="19965086"/>
          <a:ext cx="0" cy="2335869"/>
        </a:xfrm>
        <a:prstGeom prst="line">
          <a:avLst/>
        </a:prstGeom>
        <a:noFill/>
        <a:ln w="6350">
          <a:solidFill>
            <a:srgbClr val="000000"/>
          </a:solidFill>
          <a:prstDash val="lgDashDot"/>
          <a:round/>
          <a:headEnd/>
          <a:tailEnd/>
        </a:ln>
      </xdr:spPr>
    </xdr:sp>
    <xdr:clientData/>
  </xdr:twoCellAnchor>
  <xdr:twoCellAnchor>
    <xdr:from>
      <xdr:col>29</xdr:col>
      <xdr:colOff>69757</xdr:colOff>
      <xdr:row>145</xdr:row>
      <xdr:rowOff>9239</xdr:rowOff>
    </xdr:from>
    <xdr:to>
      <xdr:col>30</xdr:col>
      <xdr:colOff>285319</xdr:colOff>
      <xdr:row>145</xdr:row>
      <xdr:rowOff>9239</xdr:rowOff>
    </xdr:to>
    <xdr:sp macro="" textlink="">
      <xdr:nvSpPr>
        <xdr:cNvPr id="476" name="Line 25"/>
        <xdr:cNvSpPr>
          <a:spLocks noChangeShapeType="1"/>
        </xdr:cNvSpPr>
      </xdr:nvSpPr>
      <xdr:spPr bwMode="auto">
        <a:xfrm>
          <a:off x="17748157" y="22107239"/>
          <a:ext cx="825162" cy="0"/>
        </a:xfrm>
        <a:prstGeom prst="line">
          <a:avLst/>
        </a:prstGeom>
        <a:noFill/>
        <a:ln w="6350">
          <a:solidFill>
            <a:srgbClr val="000000"/>
          </a:solidFill>
          <a:prstDash val="lgDashDot"/>
          <a:round/>
          <a:headEnd/>
          <a:tailEnd/>
        </a:ln>
      </xdr:spPr>
    </xdr:sp>
    <xdr:clientData/>
  </xdr:twoCellAnchor>
  <xdr:twoCellAnchor>
    <xdr:from>
      <xdr:col>21</xdr:col>
      <xdr:colOff>70156</xdr:colOff>
      <xdr:row>133</xdr:row>
      <xdr:rowOff>170252</xdr:rowOff>
    </xdr:from>
    <xdr:to>
      <xdr:col>21</xdr:col>
      <xdr:colOff>108718</xdr:colOff>
      <xdr:row>134</xdr:row>
      <xdr:rowOff>18388</xdr:rowOff>
    </xdr:to>
    <xdr:sp macro="" textlink="">
      <xdr:nvSpPr>
        <xdr:cNvPr id="477" name="Oval 26"/>
        <xdr:cNvSpPr>
          <a:spLocks noChangeArrowheads="1"/>
        </xdr:cNvSpPr>
      </xdr:nvSpPr>
      <xdr:spPr bwMode="auto">
        <a:xfrm>
          <a:off x="12871756" y="20420402"/>
          <a:ext cx="38562" cy="19586"/>
        </a:xfrm>
        <a:prstGeom prst="ellipse">
          <a:avLst/>
        </a:prstGeom>
        <a:noFill/>
        <a:ln w="9525">
          <a:solidFill>
            <a:srgbClr val="000000"/>
          </a:solidFill>
          <a:round/>
          <a:headEnd/>
          <a:tailEnd/>
        </a:ln>
      </xdr:spPr>
    </xdr:sp>
    <xdr:clientData/>
  </xdr:twoCellAnchor>
  <xdr:twoCellAnchor>
    <xdr:from>
      <xdr:col>15</xdr:col>
      <xdr:colOff>102554</xdr:colOff>
      <xdr:row>139</xdr:row>
      <xdr:rowOff>2814</xdr:rowOff>
    </xdr:from>
    <xdr:to>
      <xdr:col>17</xdr:col>
      <xdr:colOff>63218</xdr:colOff>
      <xdr:row>139</xdr:row>
      <xdr:rowOff>118723</xdr:rowOff>
    </xdr:to>
    <xdr:sp macro="" textlink="">
      <xdr:nvSpPr>
        <xdr:cNvPr id="478" name="Text Box 27"/>
        <xdr:cNvSpPr txBox="1">
          <a:spLocks noChangeArrowheads="1"/>
        </xdr:cNvSpPr>
      </xdr:nvSpPr>
      <xdr:spPr bwMode="auto">
        <a:xfrm>
          <a:off x="9246554" y="21186414"/>
          <a:ext cx="1179864" cy="115909"/>
        </a:xfrm>
        <a:prstGeom prst="rect">
          <a:avLst/>
        </a:prstGeom>
        <a:noFill/>
        <a:ln w="9525">
          <a:noFill/>
          <a:miter lim="800000"/>
          <a:headEnd/>
          <a:tailEnd/>
        </a:ln>
      </xdr:spPr>
      <xdr:txBody>
        <a:bodyPr vert="vert270" wrap="none" lIns="18288" tIns="22860" rIns="0" bIns="0" anchor="t" upright="1">
          <a:noAutofit/>
        </a:bodyPr>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a:t>
          </a:r>
        </a:p>
      </xdr:txBody>
    </xdr:sp>
    <xdr:clientData/>
  </xdr:twoCellAnchor>
  <xdr:twoCellAnchor>
    <xdr:from>
      <xdr:col>23</xdr:col>
      <xdr:colOff>10382</xdr:colOff>
      <xdr:row>130</xdr:row>
      <xdr:rowOff>142892</xdr:rowOff>
    </xdr:from>
    <xdr:to>
      <xdr:col>24</xdr:col>
      <xdr:colOff>13851</xdr:colOff>
      <xdr:row>131</xdr:row>
      <xdr:rowOff>135913</xdr:rowOff>
    </xdr:to>
    <xdr:sp macro="" textlink="">
      <xdr:nvSpPr>
        <xdr:cNvPr id="479" name="Text Box 28"/>
        <xdr:cNvSpPr txBox="1">
          <a:spLocks noChangeArrowheads="1"/>
        </xdr:cNvSpPr>
      </xdr:nvSpPr>
      <xdr:spPr bwMode="auto">
        <a:xfrm>
          <a:off x="14031182" y="19954892"/>
          <a:ext cx="613069" cy="145421"/>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28</xdr:col>
      <xdr:colOff>162695</xdr:colOff>
      <xdr:row>133</xdr:row>
      <xdr:rowOff>189570</xdr:rowOff>
    </xdr:from>
    <xdr:to>
      <xdr:col>29</xdr:col>
      <xdr:colOff>233648</xdr:colOff>
      <xdr:row>133</xdr:row>
      <xdr:rowOff>189570</xdr:rowOff>
    </xdr:to>
    <xdr:sp macro="" textlink="">
      <xdr:nvSpPr>
        <xdr:cNvPr id="480" name="Line 29"/>
        <xdr:cNvSpPr>
          <a:spLocks noChangeShapeType="1"/>
        </xdr:cNvSpPr>
      </xdr:nvSpPr>
      <xdr:spPr bwMode="auto">
        <a:xfrm>
          <a:off x="17231495" y="20420670"/>
          <a:ext cx="680553" cy="0"/>
        </a:xfrm>
        <a:prstGeom prst="line">
          <a:avLst/>
        </a:prstGeom>
        <a:noFill/>
        <a:ln w="12700">
          <a:solidFill>
            <a:srgbClr val="000000"/>
          </a:solidFill>
          <a:round/>
          <a:headEnd type="stealth" w="med" len="med"/>
          <a:tailEnd/>
        </a:ln>
      </xdr:spPr>
    </xdr:sp>
    <xdr:clientData/>
  </xdr:twoCellAnchor>
  <xdr:twoCellAnchor>
    <xdr:from>
      <xdr:col>27</xdr:col>
      <xdr:colOff>284554</xdr:colOff>
      <xdr:row>133</xdr:row>
      <xdr:rowOff>102639</xdr:rowOff>
    </xdr:from>
    <xdr:to>
      <xdr:col>28</xdr:col>
      <xdr:colOff>201257</xdr:colOff>
      <xdr:row>134</xdr:row>
      <xdr:rowOff>105320</xdr:rowOff>
    </xdr:to>
    <xdr:sp macro="" textlink="">
      <xdr:nvSpPr>
        <xdr:cNvPr id="481" name="Text Box 30"/>
        <xdr:cNvSpPr txBox="1">
          <a:spLocks noChangeArrowheads="1"/>
        </xdr:cNvSpPr>
      </xdr:nvSpPr>
      <xdr:spPr bwMode="auto">
        <a:xfrm>
          <a:off x="16743754" y="20371839"/>
          <a:ext cx="526303" cy="155081"/>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R</a:t>
          </a:r>
          <a:r>
            <a:rPr lang="de-DE" altLang="ja-JP" sz="700" b="1" i="0" strike="noStrike">
              <a:solidFill>
                <a:srgbClr val="000000"/>
              </a:solidFill>
              <a:latin typeface="Times New Roman"/>
              <a:cs typeface="Times New Roman"/>
            </a:rPr>
            <a:t>b</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28</xdr:col>
      <xdr:colOff>210898</xdr:colOff>
      <xdr:row>139</xdr:row>
      <xdr:rowOff>70427</xdr:rowOff>
    </xdr:from>
    <xdr:to>
      <xdr:col>28</xdr:col>
      <xdr:colOff>210898</xdr:colOff>
      <xdr:row>141</xdr:row>
      <xdr:rowOff>133742</xdr:rowOff>
    </xdr:to>
    <xdr:sp macro="" textlink="">
      <xdr:nvSpPr>
        <xdr:cNvPr id="482" name="Line 32"/>
        <xdr:cNvSpPr>
          <a:spLocks noChangeShapeType="1"/>
        </xdr:cNvSpPr>
      </xdr:nvSpPr>
      <xdr:spPr bwMode="auto">
        <a:xfrm>
          <a:off x="17279698" y="21254027"/>
          <a:ext cx="0" cy="368115"/>
        </a:xfrm>
        <a:prstGeom prst="line">
          <a:avLst/>
        </a:prstGeom>
        <a:noFill/>
        <a:ln w="12700">
          <a:solidFill>
            <a:srgbClr val="000000"/>
          </a:solidFill>
          <a:round/>
          <a:headEnd/>
          <a:tailEnd type="stealth" w="med" len="med"/>
        </a:ln>
      </xdr:spPr>
    </xdr:sp>
    <xdr:clientData/>
  </xdr:twoCellAnchor>
  <xdr:twoCellAnchor>
    <xdr:from>
      <xdr:col>28</xdr:col>
      <xdr:colOff>201257</xdr:colOff>
      <xdr:row>138</xdr:row>
      <xdr:rowOff>125701</xdr:rowOff>
    </xdr:from>
    <xdr:to>
      <xdr:col>29</xdr:col>
      <xdr:colOff>117960</xdr:colOff>
      <xdr:row>139</xdr:row>
      <xdr:rowOff>128382</xdr:rowOff>
    </xdr:to>
    <xdr:sp macro="" textlink="">
      <xdr:nvSpPr>
        <xdr:cNvPr id="483" name="Text Box 33"/>
        <xdr:cNvSpPr txBox="1">
          <a:spLocks noChangeArrowheads="1"/>
        </xdr:cNvSpPr>
      </xdr:nvSpPr>
      <xdr:spPr bwMode="auto">
        <a:xfrm>
          <a:off x="17270057" y="21156901"/>
          <a:ext cx="526303" cy="155081"/>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26</xdr:col>
      <xdr:colOff>68992</xdr:colOff>
      <xdr:row>135</xdr:row>
      <xdr:rowOff>98340</xdr:rowOff>
    </xdr:from>
    <xdr:to>
      <xdr:col>28</xdr:col>
      <xdr:colOff>124133</xdr:colOff>
      <xdr:row>136</xdr:row>
      <xdr:rowOff>62385</xdr:rowOff>
    </xdr:to>
    <xdr:sp macro="" textlink="">
      <xdr:nvSpPr>
        <xdr:cNvPr id="484" name="Text Box 35"/>
        <xdr:cNvSpPr txBox="1">
          <a:spLocks noChangeArrowheads="1"/>
        </xdr:cNvSpPr>
      </xdr:nvSpPr>
      <xdr:spPr bwMode="auto">
        <a:xfrm>
          <a:off x="15918592" y="20672340"/>
          <a:ext cx="1274341" cy="116445"/>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800" b="1" i="0" strike="noStrike">
              <a:solidFill>
                <a:srgbClr val="000000"/>
              </a:solidFill>
              <a:latin typeface="ＭＳ Ｐゴシック"/>
              <a:ea typeface="ＭＳ Ｐゴシック"/>
            </a:rPr>
            <a:t>アンカボルト</a:t>
          </a:r>
        </a:p>
      </xdr:txBody>
    </xdr:sp>
    <xdr:clientData/>
  </xdr:twoCellAnchor>
  <xdr:twoCellAnchor>
    <xdr:from>
      <xdr:col>23</xdr:col>
      <xdr:colOff>261039</xdr:colOff>
      <xdr:row>143</xdr:row>
      <xdr:rowOff>100469</xdr:rowOff>
    </xdr:from>
    <xdr:to>
      <xdr:col>23</xdr:col>
      <xdr:colOff>261039</xdr:colOff>
      <xdr:row>146</xdr:row>
      <xdr:rowOff>98852</xdr:rowOff>
    </xdr:to>
    <xdr:sp macro="" textlink="">
      <xdr:nvSpPr>
        <xdr:cNvPr id="485" name="Line 40"/>
        <xdr:cNvSpPr>
          <a:spLocks noChangeShapeType="1"/>
        </xdr:cNvSpPr>
      </xdr:nvSpPr>
      <xdr:spPr bwMode="auto">
        <a:xfrm>
          <a:off x="14281839" y="21893669"/>
          <a:ext cx="0" cy="455583"/>
        </a:xfrm>
        <a:prstGeom prst="line">
          <a:avLst/>
        </a:prstGeom>
        <a:noFill/>
        <a:ln w="6350">
          <a:solidFill>
            <a:srgbClr val="000000"/>
          </a:solidFill>
          <a:prstDash val="lgDashDot"/>
          <a:round/>
          <a:headEnd/>
          <a:tailEnd/>
        </a:ln>
      </xdr:spPr>
    </xdr:sp>
    <xdr:clientData/>
  </xdr:twoCellAnchor>
  <xdr:twoCellAnchor>
    <xdr:from>
      <xdr:col>21</xdr:col>
      <xdr:colOff>70156</xdr:colOff>
      <xdr:row>144</xdr:row>
      <xdr:rowOff>180421</xdr:rowOff>
    </xdr:from>
    <xdr:to>
      <xdr:col>21</xdr:col>
      <xdr:colOff>108718</xdr:colOff>
      <xdr:row>145</xdr:row>
      <xdr:rowOff>28557</xdr:rowOff>
    </xdr:to>
    <xdr:sp macro="" textlink="">
      <xdr:nvSpPr>
        <xdr:cNvPr id="486" name="Oval 41"/>
        <xdr:cNvSpPr>
          <a:spLocks noChangeArrowheads="1"/>
        </xdr:cNvSpPr>
      </xdr:nvSpPr>
      <xdr:spPr bwMode="auto">
        <a:xfrm>
          <a:off x="12871756" y="22097446"/>
          <a:ext cx="38562" cy="29111"/>
        </a:xfrm>
        <a:prstGeom prst="ellipse">
          <a:avLst/>
        </a:prstGeom>
        <a:noFill/>
        <a:ln w="9525">
          <a:solidFill>
            <a:srgbClr val="000000"/>
          </a:solidFill>
          <a:round/>
          <a:headEnd/>
          <a:tailEnd/>
        </a:ln>
      </xdr:spPr>
    </xdr:sp>
    <xdr:clientData/>
  </xdr:twoCellAnchor>
  <xdr:twoCellAnchor>
    <xdr:from>
      <xdr:col>29</xdr:col>
      <xdr:colOff>252929</xdr:colOff>
      <xdr:row>131</xdr:row>
      <xdr:rowOff>48982</xdr:rowOff>
    </xdr:from>
    <xdr:to>
      <xdr:col>29</xdr:col>
      <xdr:colOff>252929</xdr:colOff>
      <xdr:row>147</xdr:row>
      <xdr:rowOff>149827</xdr:rowOff>
    </xdr:to>
    <xdr:sp macro="" textlink="">
      <xdr:nvSpPr>
        <xdr:cNvPr id="487" name="Line 43"/>
        <xdr:cNvSpPr>
          <a:spLocks noChangeShapeType="1"/>
        </xdr:cNvSpPr>
      </xdr:nvSpPr>
      <xdr:spPr bwMode="auto">
        <a:xfrm>
          <a:off x="17931329" y="20013382"/>
          <a:ext cx="0" cy="2539245"/>
        </a:xfrm>
        <a:prstGeom prst="line">
          <a:avLst/>
        </a:prstGeom>
        <a:noFill/>
        <a:ln w="9525">
          <a:solidFill>
            <a:srgbClr val="000000"/>
          </a:solidFill>
          <a:round/>
          <a:headEnd/>
          <a:tailEnd/>
        </a:ln>
      </xdr:spPr>
    </xdr:sp>
    <xdr:clientData/>
  </xdr:twoCellAnchor>
  <xdr:twoCellAnchor>
    <xdr:from>
      <xdr:col>15</xdr:col>
      <xdr:colOff>73632</xdr:colOff>
      <xdr:row>133</xdr:row>
      <xdr:rowOff>35025</xdr:rowOff>
    </xdr:from>
    <xdr:to>
      <xdr:col>15</xdr:col>
      <xdr:colOff>92913</xdr:colOff>
      <xdr:row>145</xdr:row>
      <xdr:rowOff>144466</xdr:rowOff>
    </xdr:to>
    <xdr:sp macro="" textlink="">
      <xdr:nvSpPr>
        <xdr:cNvPr id="488" name="Line 44"/>
        <xdr:cNvSpPr>
          <a:spLocks noChangeShapeType="1"/>
        </xdr:cNvSpPr>
      </xdr:nvSpPr>
      <xdr:spPr bwMode="auto">
        <a:xfrm>
          <a:off x="9217632" y="20304225"/>
          <a:ext cx="19281" cy="1938241"/>
        </a:xfrm>
        <a:prstGeom prst="line">
          <a:avLst/>
        </a:prstGeom>
        <a:noFill/>
        <a:ln w="3175">
          <a:solidFill>
            <a:srgbClr val="000000"/>
          </a:solidFill>
          <a:round/>
          <a:headEnd type="triangle" w="sm" len="med"/>
          <a:tailEnd type="triangle" w="sm" len="med"/>
        </a:ln>
      </xdr:spPr>
    </xdr:sp>
    <xdr:clientData/>
  </xdr:twoCellAnchor>
  <xdr:twoCellAnchor>
    <xdr:from>
      <xdr:col>16</xdr:col>
      <xdr:colOff>33526</xdr:colOff>
      <xdr:row>145</xdr:row>
      <xdr:rowOff>9239</xdr:rowOff>
    </xdr:from>
    <xdr:to>
      <xdr:col>26</xdr:col>
      <xdr:colOff>155757</xdr:colOff>
      <xdr:row>145</xdr:row>
      <xdr:rowOff>9239</xdr:rowOff>
    </xdr:to>
    <xdr:sp macro="" textlink="">
      <xdr:nvSpPr>
        <xdr:cNvPr id="489" name="Line 45"/>
        <xdr:cNvSpPr>
          <a:spLocks noChangeShapeType="1"/>
        </xdr:cNvSpPr>
      </xdr:nvSpPr>
      <xdr:spPr bwMode="auto">
        <a:xfrm>
          <a:off x="9787126" y="22107239"/>
          <a:ext cx="6218231" cy="0"/>
        </a:xfrm>
        <a:prstGeom prst="line">
          <a:avLst/>
        </a:prstGeom>
        <a:noFill/>
        <a:ln w="6350">
          <a:solidFill>
            <a:srgbClr val="000000"/>
          </a:solidFill>
          <a:prstDash val="lgDashDot"/>
          <a:round/>
          <a:headEnd/>
          <a:tailEnd/>
        </a:ln>
      </xdr:spPr>
    </xdr:sp>
    <xdr:clientData/>
  </xdr:twoCellAnchor>
  <xdr:twoCellAnchor>
    <xdr:from>
      <xdr:col>28</xdr:col>
      <xdr:colOff>210898</xdr:colOff>
      <xdr:row>132</xdr:row>
      <xdr:rowOff>51662</xdr:rowOff>
    </xdr:from>
    <xdr:to>
      <xdr:col>29</xdr:col>
      <xdr:colOff>252929</xdr:colOff>
      <xdr:row>132</xdr:row>
      <xdr:rowOff>51662</xdr:rowOff>
    </xdr:to>
    <xdr:sp macro="" textlink="">
      <xdr:nvSpPr>
        <xdr:cNvPr id="490" name="Line 46"/>
        <xdr:cNvSpPr>
          <a:spLocks noChangeShapeType="1"/>
        </xdr:cNvSpPr>
      </xdr:nvSpPr>
      <xdr:spPr bwMode="auto">
        <a:xfrm>
          <a:off x="17279698" y="20168462"/>
          <a:ext cx="651631" cy="0"/>
        </a:xfrm>
        <a:prstGeom prst="line">
          <a:avLst/>
        </a:prstGeom>
        <a:noFill/>
        <a:ln w="6350">
          <a:solidFill>
            <a:srgbClr val="000000"/>
          </a:solidFill>
          <a:round/>
          <a:headEnd type="triangle" w="sm" len="med"/>
          <a:tailEnd type="triangle" w="sm" len="med"/>
        </a:ln>
      </xdr:spPr>
    </xdr:sp>
    <xdr:clientData/>
  </xdr:twoCellAnchor>
  <xdr:twoCellAnchor>
    <xdr:from>
      <xdr:col>28</xdr:col>
      <xdr:colOff>191617</xdr:colOff>
      <xdr:row>146</xdr:row>
      <xdr:rowOff>118169</xdr:rowOff>
    </xdr:from>
    <xdr:to>
      <xdr:col>29</xdr:col>
      <xdr:colOff>11914</xdr:colOff>
      <xdr:row>147</xdr:row>
      <xdr:rowOff>101532</xdr:rowOff>
    </xdr:to>
    <xdr:sp macro="" textlink="">
      <xdr:nvSpPr>
        <xdr:cNvPr id="491" name="Text Box 47"/>
        <xdr:cNvSpPr txBox="1">
          <a:spLocks noChangeArrowheads="1"/>
        </xdr:cNvSpPr>
      </xdr:nvSpPr>
      <xdr:spPr bwMode="auto">
        <a:xfrm>
          <a:off x="17260417" y="22368569"/>
          <a:ext cx="429897" cy="13576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D</a:t>
          </a:r>
        </a:p>
      </xdr:txBody>
    </xdr:sp>
    <xdr:clientData/>
  </xdr:twoCellAnchor>
  <xdr:twoCellAnchor>
    <xdr:from>
      <xdr:col>20</xdr:col>
      <xdr:colOff>42778</xdr:colOff>
      <xdr:row>146</xdr:row>
      <xdr:rowOff>2261</xdr:rowOff>
    </xdr:from>
    <xdr:to>
      <xdr:col>20</xdr:col>
      <xdr:colOff>42778</xdr:colOff>
      <xdr:row>147</xdr:row>
      <xdr:rowOff>159486</xdr:rowOff>
    </xdr:to>
    <xdr:sp macro="" textlink="">
      <xdr:nvSpPr>
        <xdr:cNvPr id="492" name="Line 48"/>
        <xdr:cNvSpPr>
          <a:spLocks noChangeShapeType="1"/>
        </xdr:cNvSpPr>
      </xdr:nvSpPr>
      <xdr:spPr bwMode="auto">
        <a:xfrm>
          <a:off x="12234778" y="22252661"/>
          <a:ext cx="0" cy="300100"/>
        </a:xfrm>
        <a:prstGeom prst="line">
          <a:avLst/>
        </a:prstGeom>
        <a:noFill/>
        <a:ln w="3175">
          <a:solidFill>
            <a:srgbClr val="000000"/>
          </a:solidFill>
          <a:round/>
          <a:headEnd/>
          <a:tailEnd/>
        </a:ln>
      </xdr:spPr>
    </xdr:sp>
    <xdr:clientData/>
  </xdr:twoCellAnchor>
  <xdr:twoCellAnchor>
    <xdr:from>
      <xdr:col>17</xdr:col>
      <xdr:colOff>5375</xdr:colOff>
      <xdr:row>136</xdr:row>
      <xdr:rowOff>52727</xdr:rowOff>
    </xdr:from>
    <xdr:to>
      <xdr:col>18</xdr:col>
      <xdr:colOff>61290</xdr:colOff>
      <xdr:row>137</xdr:row>
      <xdr:rowOff>16772</xdr:rowOff>
    </xdr:to>
    <xdr:sp macro="" textlink="">
      <xdr:nvSpPr>
        <xdr:cNvPr id="493" name="Text Box 49"/>
        <xdr:cNvSpPr txBox="1">
          <a:spLocks noChangeArrowheads="1"/>
        </xdr:cNvSpPr>
      </xdr:nvSpPr>
      <xdr:spPr bwMode="auto">
        <a:xfrm>
          <a:off x="10368575" y="20779127"/>
          <a:ext cx="665515" cy="116445"/>
        </a:xfrm>
        <a:prstGeom prst="rect">
          <a:avLst/>
        </a:prstGeom>
        <a:noFill/>
        <a:ln w="9525">
          <a:noFill/>
          <a:miter lim="800000"/>
          <a:headEnd/>
          <a:tailEnd/>
        </a:ln>
      </xdr:spPr>
      <xdr:txBody>
        <a:bodyPr vert="vert270" wrap="none" lIns="0" tIns="22860" rIns="18288" bIns="0" anchor="b" upright="1">
          <a:noAutofit/>
        </a:bodyPr>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2g</a:t>
          </a:r>
        </a:p>
      </xdr:txBody>
    </xdr:sp>
    <xdr:clientData/>
  </xdr:twoCellAnchor>
  <xdr:twoCellAnchor>
    <xdr:from>
      <xdr:col>28</xdr:col>
      <xdr:colOff>172335</xdr:colOff>
      <xdr:row>131</xdr:row>
      <xdr:rowOff>87618</xdr:rowOff>
    </xdr:from>
    <xdr:to>
      <xdr:col>29</xdr:col>
      <xdr:colOff>175804</xdr:colOff>
      <xdr:row>132</xdr:row>
      <xdr:rowOff>80639</xdr:rowOff>
    </xdr:to>
    <xdr:sp macro="" textlink="">
      <xdr:nvSpPr>
        <xdr:cNvPr id="494" name="Text Box 50"/>
        <xdr:cNvSpPr txBox="1">
          <a:spLocks noChangeArrowheads="1"/>
        </xdr:cNvSpPr>
      </xdr:nvSpPr>
      <xdr:spPr bwMode="auto">
        <a:xfrm>
          <a:off x="17241135" y="20052018"/>
          <a:ext cx="613069" cy="145421"/>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3g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20</xdr:col>
      <xdr:colOff>42778</xdr:colOff>
      <xdr:row>133</xdr:row>
      <xdr:rowOff>35025</xdr:rowOff>
    </xdr:from>
    <xdr:to>
      <xdr:col>26</xdr:col>
      <xdr:colOff>78633</xdr:colOff>
      <xdr:row>145</xdr:row>
      <xdr:rowOff>144466</xdr:rowOff>
    </xdr:to>
    <xdr:grpSp>
      <xdr:nvGrpSpPr>
        <xdr:cNvPr id="495" name="Group 51"/>
        <xdr:cNvGrpSpPr>
          <a:grpSpLocks/>
        </xdr:cNvGrpSpPr>
      </xdr:nvGrpSpPr>
      <xdr:grpSpPr bwMode="auto">
        <a:xfrm>
          <a:off x="4543341" y="23926900"/>
          <a:ext cx="1305855" cy="2395441"/>
          <a:chOff x="386" y="146"/>
          <a:chExt cx="163" cy="202"/>
        </a:xfrm>
      </xdr:grpSpPr>
      <xdr:sp macro="" textlink="">
        <xdr:nvSpPr>
          <xdr:cNvPr id="496" name="Line 52"/>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497" name="Line 53"/>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498" name="Line 54"/>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499" name="Line 55"/>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26</xdr:col>
      <xdr:colOff>107554</xdr:colOff>
      <xdr:row>134</xdr:row>
      <xdr:rowOff>8728</xdr:rowOff>
    </xdr:from>
    <xdr:to>
      <xdr:col>26</xdr:col>
      <xdr:colOff>281085</xdr:colOff>
      <xdr:row>134</xdr:row>
      <xdr:rowOff>8728</xdr:rowOff>
    </xdr:to>
    <xdr:sp macro="" textlink="">
      <xdr:nvSpPr>
        <xdr:cNvPr id="500" name="Line 56"/>
        <xdr:cNvSpPr>
          <a:spLocks noChangeShapeType="1"/>
        </xdr:cNvSpPr>
      </xdr:nvSpPr>
      <xdr:spPr bwMode="auto">
        <a:xfrm>
          <a:off x="15957154" y="20430328"/>
          <a:ext cx="173531" cy="0"/>
        </a:xfrm>
        <a:prstGeom prst="line">
          <a:avLst/>
        </a:prstGeom>
        <a:noFill/>
        <a:ln w="9525">
          <a:noFill/>
          <a:round/>
          <a:headEnd/>
          <a:tailEnd/>
        </a:ln>
      </xdr:spPr>
    </xdr:sp>
    <xdr:clientData/>
  </xdr:twoCellAnchor>
  <xdr:twoCellAnchor>
    <xdr:from>
      <xdr:col>26</xdr:col>
      <xdr:colOff>97914</xdr:colOff>
      <xdr:row>133</xdr:row>
      <xdr:rowOff>189570</xdr:rowOff>
    </xdr:from>
    <xdr:to>
      <xdr:col>26</xdr:col>
      <xdr:colOff>271445</xdr:colOff>
      <xdr:row>133</xdr:row>
      <xdr:rowOff>189570</xdr:rowOff>
    </xdr:to>
    <xdr:sp macro="" textlink="">
      <xdr:nvSpPr>
        <xdr:cNvPr id="501" name="Line 57"/>
        <xdr:cNvSpPr>
          <a:spLocks noChangeShapeType="1"/>
        </xdr:cNvSpPr>
      </xdr:nvSpPr>
      <xdr:spPr bwMode="auto">
        <a:xfrm>
          <a:off x="15947514" y="20420670"/>
          <a:ext cx="173531" cy="0"/>
        </a:xfrm>
        <a:prstGeom prst="line">
          <a:avLst/>
        </a:prstGeom>
        <a:noFill/>
        <a:ln w="9525">
          <a:noFill/>
          <a:round/>
          <a:headEnd/>
          <a:tailEnd/>
        </a:ln>
      </xdr:spPr>
    </xdr:sp>
    <xdr:clientData/>
  </xdr:twoCellAnchor>
  <xdr:twoCellAnchor>
    <xdr:from>
      <xdr:col>26</xdr:col>
      <xdr:colOff>88273</xdr:colOff>
      <xdr:row>133</xdr:row>
      <xdr:rowOff>189570</xdr:rowOff>
    </xdr:from>
    <xdr:to>
      <xdr:col>26</xdr:col>
      <xdr:colOff>242523</xdr:colOff>
      <xdr:row>133</xdr:row>
      <xdr:rowOff>189570</xdr:rowOff>
    </xdr:to>
    <xdr:sp macro="" textlink="">
      <xdr:nvSpPr>
        <xdr:cNvPr id="502" name="Line 58"/>
        <xdr:cNvSpPr>
          <a:spLocks noChangeShapeType="1"/>
        </xdr:cNvSpPr>
      </xdr:nvSpPr>
      <xdr:spPr bwMode="auto">
        <a:xfrm>
          <a:off x="15937873" y="20420670"/>
          <a:ext cx="154250" cy="0"/>
        </a:xfrm>
        <a:prstGeom prst="line">
          <a:avLst/>
        </a:prstGeom>
        <a:noFill/>
        <a:ln w="9525">
          <a:noFill/>
          <a:round/>
          <a:headEnd/>
          <a:tailEnd/>
        </a:ln>
      </xdr:spPr>
    </xdr:sp>
    <xdr:clientData/>
  </xdr:twoCellAnchor>
  <xdr:twoCellAnchor>
    <xdr:from>
      <xdr:col>26</xdr:col>
      <xdr:colOff>97914</xdr:colOff>
      <xdr:row>133</xdr:row>
      <xdr:rowOff>189570</xdr:rowOff>
    </xdr:from>
    <xdr:to>
      <xdr:col>27</xdr:col>
      <xdr:colOff>53180</xdr:colOff>
      <xdr:row>133</xdr:row>
      <xdr:rowOff>189570</xdr:rowOff>
    </xdr:to>
    <xdr:sp macro="" textlink="">
      <xdr:nvSpPr>
        <xdr:cNvPr id="503" name="Line 59"/>
        <xdr:cNvSpPr>
          <a:spLocks noChangeShapeType="1"/>
        </xdr:cNvSpPr>
      </xdr:nvSpPr>
      <xdr:spPr bwMode="auto">
        <a:xfrm>
          <a:off x="15947514" y="20420670"/>
          <a:ext cx="564866" cy="0"/>
        </a:xfrm>
        <a:prstGeom prst="line">
          <a:avLst/>
        </a:prstGeom>
        <a:noFill/>
        <a:ln w="9525">
          <a:noFill/>
          <a:round/>
          <a:headEnd/>
          <a:tailEnd/>
        </a:ln>
      </xdr:spPr>
    </xdr:sp>
    <xdr:clientData/>
  </xdr:twoCellAnchor>
  <xdr:twoCellAnchor>
    <xdr:from>
      <xdr:col>29</xdr:col>
      <xdr:colOff>233648</xdr:colOff>
      <xdr:row>145</xdr:row>
      <xdr:rowOff>9239</xdr:rowOff>
    </xdr:from>
    <xdr:to>
      <xdr:col>30</xdr:col>
      <xdr:colOff>111789</xdr:colOff>
      <xdr:row>145</xdr:row>
      <xdr:rowOff>9239</xdr:rowOff>
    </xdr:to>
    <xdr:sp macro="" textlink="">
      <xdr:nvSpPr>
        <xdr:cNvPr id="504" name="Line 60"/>
        <xdr:cNvSpPr>
          <a:spLocks noChangeShapeType="1"/>
        </xdr:cNvSpPr>
      </xdr:nvSpPr>
      <xdr:spPr bwMode="auto">
        <a:xfrm>
          <a:off x="17912048" y="22107239"/>
          <a:ext cx="487741" cy="0"/>
        </a:xfrm>
        <a:prstGeom prst="line">
          <a:avLst/>
        </a:prstGeom>
        <a:noFill/>
        <a:ln w="25400">
          <a:solidFill>
            <a:srgbClr val="000000"/>
          </a:solidFill>
          <a:round/>
          <a:headEnd/>
          <a:tailEnd/>
        </a:ln>
      </xdr:spPr>
    </xdr:sp>
    <xdr:clientData/>
  </xdr:twoCellAnchor>
  <xdr:twoCellAnchor>
    <xdr:from>
      <xdr:col>29</xdr:col>
      <xdr:colOff>243288</xdr:colOff>
      <xdr:row>133</xdr:row>
      <xdr:rowOff>189570</xdr:rowOff>
    </xdr:from>
    <xdr:to>
      <xdr:col>30</xdr:col>
      <xdr:colOff>111788</xdr:colOff>
      <xdr:row>133</xdr:row>
      <xdr:rowOff>189570</xdr:rowOff>
    </xdr:to>
    <xdr:sp macro="" textlink="">
      <xdr:nvSpPr>
        <xdr:cNvPr id="505" name="Line 61"/>
        <xdr:cNvSpPr>
          <a:spLocks noChangeShapeType="1"/>
        </xdr:cNvSpPr>
      </xdr:nvSpPr>
      <xdr:spPr bwMode="auto">
        <a:xfrm>
          <a:off x="17921688" y="20420670"/>
          <a:ext cx="478100" cy="0"/>
        </a:xfrm>
        <a:prstGeom prst="line">
          <a:avLst/>
        </a:prstGeom>
        <a:noFill/>
        <a:ln w="25400">
          <a:solidFill>
            <a:srgbClr val="000000"/>
          </a:solidFill>
          <a:round/>
          <a:headEnd/>
          <a:tailEnd/>
        </a:ln>
      </xdr:spPr>
    </xdr:sp>
    <xdr:clientData/>
  </xdr:twoCellAnchor>
  <xdr:twoCellAnchor>
    <xdr:from>
      <xdr:col>25</xdr:col>
      <xdr:colOff>210132</xdr:colOff>
      <xdr:row>131</xdr:row>
      <xdr:rowOff>686</xdr:rowOff>
    </xdr:from>
    <xdr:to>
      <xdr:col>25</xdr:col>
      <xdr:colOff>210132</xdr:colOff>
      <xdr:row>146</xdr:row>
      <xdr:rowOff>50555</xdr:rowOff>
    </xdr:to>
    <xdr:sp macro="" textlink="">
      <xdr:nvSpPr>
        <xdr:cNvPr id="506" name="Line 62"/>
        <xdr:cNvSpPr>
          <a:spLocks noChangeShapeType="1"/>
        </xdr:cNvSpPr>
      </xdr:nvSpPr>
      <xdr:spPr bwMode="auto">
        <a:xfrm>
          <a:off x="15450132" y="19965086"/>
          <a:ext cx="0" cy="2335869"/>
        </a:xfrm>
        <a:prstGeom prst="line">
          <a:avLst/>
        </a:prstGeom>
        <a:noFill/>
        <a:ln w="6350">
          <a:solidFill>
            <a:srgbClr val="000000"/>
          </a:solidFill>
          <a:prstDash val="lgDashDot"/>
          <a:round/>
          <a:headEnd/>
          <a:tailEnd/>
        </a:ln>
      </xdr:spPr>
    </xdr:sp>
    <xdr:clientData/>
  </xdr:twoCellAnchor>
  <xdr:twoCellAnchor>
    <xdr:from>
      <xdr:col>29</xdr:col>
      <xdr:colOff>252929</xdr:colOff>
      <xdr:row>132</xdr:row>
      <xdr:rowOff>51662</xdr:rowOff>
    </xdr:from>
    <xdr:to>
      <xdr:col>30</xdr:col>
      <xdr:colOff>140710</xdr:colOff>
      <xdr:row>133</xdr:row>
      <xdr:rowOff>54343</xdr:rowOff>
    </xdr:to>
    <xdr:sp macro="" textlink="">
      <xdr:nvSpPr>
        <xdr:cNvPr id="507" name="Line 63"/>
        <xdr:cNvSpPr>
          <a:spLocks noChangeShapeType="1"/>
        </xdr:cNvSpPr>
      </xdr:nvSpPr>
      <xdr:spPr bwMode="auto">
        <a:xfrm flipV="1">
          <a:off x="17931329" y="20168462"/>
          <a:ext cx="497381" cy="155081"/>
        </a:xfrm>
        <a:prstGeom prst="line">
          <a:avLst/>
        </a:prstGeom>
        <a:noFill/>
        <a:ln w="3175">
          <a:solidFill>
            <a:srgbClr val="000000"/>
          </a:solidFill>
          <a:round/>
          <a:headEnd/>
          <a:tailEnd/>
        </a:ln>
      </xdr:spPr>
    </xdr:sp>
    <xdr:clientData/>
  </xdr:twoCellAnchor>
  <xdr:twoCellAnchor>
    <xdr:from>
      <xdr:col>29</xdr:col>
      <xdr:colOff>252929</xdr:colOff>
      <xdr:row>132</xdr:row>
      <xdr:rowOff>119276</xdr:rowOff>
    </xdr:from>
    <xdr:to>
      <xdr:col>30</xdr:col>
      <xdr:colOff>140710</xdr:colOff>
      <xdr:row>133</xdr:row>
      <xdr:rowOff>121957</xdr:rowOff>
    </xdr:to>
    <xdr:sp macro="" textlink="">
      <xdr:nvSpPr>
        <xdr:cNvPr id="508" name="Line 64"/>
        <xdr:cNvSpPr>
          <a:spLocks noChangeShapeType="1"/>
        </xdr:cNvSpPr>
      </xdr:nvSpPr>
      <xdr:spPr bwMode="auto">
        <a:xfrm flipV="1">
          <a:off x="17931329" y="20236076"/>
          <a:ext cx="497381" cy="155081"/>
        </a:xfrm>
        <a:prstGeom prst="line">
          <a:avLst/>
        </a:prstGeom>
        <a:noFill/>
        <a:ln w="3175">
          <a:solidFill>
            <a:srgbClr val="000000"/>
          </a:solidFill>
          <a:round/>
          <a:headEnd/>
          <a:tailEnd/>
        </a:ln>
      </xdr:spPr>
    </xdr:sp>
    <xdr:clientData/>
  </xdr:twoCellAnchor>
  <xdr:twoCellAnchor>
    <xdr:from>
      <xdr:col>29</xdr:col>
      <xdr:colOff>252929</xdr:colOff>
      <xdr:row>132</xdr:row>
      <xdr:rowOff>186889</xdr:rowOff>
    </xdr:from>
    <xdr:to>
      <xdr:col>30</xdr:col>
      <xdr:colOff>140710</xdr:colOff>
      <xdr:row>133</xdr:row>
      <xdr:rowOff>189570</xdr:rowOff>
    </xdr:to>
    <xdr:sp macro="" textlink="">
      <xdr:nvSpPr>
        <xdr:cNvPr id="509" name="Line 65"/>
        <xdr:cNvSpPr>
          <a:spLocks noChangeShapeType="1"/>
        </xdr:cNvSpPr>
      </xdr:nvSpPr>
      <xdr:spPr bwMode="auto">
        <a:xfrm flipV="1">
          <a:off x="17931329" y="20265589"/>
          <a:ext cx="497381" cy="155081"/>
        </a:xfrm>
        <a:prstGeom prst="line">
          <a:avLst/>
        </a:prstGeom>
        <a:noFill/>
        <a:ln w="3175">
          <a:solidFill>
            <a:srgbClr val="000000"/>
          </a:solidFill>
          <a:round/>
          <a:headEnd/>
          <a:tailEnd/>
        </a:ln>
      </xdr:spPr>
    </xdr:sp>
    <xdr:clientData/>
  </xdr:twoCellAnchor>
  <xdr:twoCellAnchor>
    <xdr:from>
      <xdr:col>29</xdr:col>
      <xdr:colOff>252929</xdr:colOff>
      <xdr:row>131</xdr:row>
      <xdr:rowOff>174549</xdr:rowOff>
    </xdr:from>
    <xdr:to>
      <xdr:col>30</xdr:col>
      <xdr:colOff>140710</xdr:colOff>
      <xdr:row>132</xdr:row>
      <xdr:rowOff>177230</xdr:rowOff>
    </xdr:to>
    <xdr:sp macro="" textlink="">
      <xdr:nvSpPr>
        <xdr:cNvPr id="510" name="Line 66"/>
        <xdr:cNvSpPr>
          <a:spLocks noChangeShapeType="1"/>
        </xdr:cNvSpPr>
      </xdr:nvSpPr>
      <xdr:spPr bwMode="auto">
        <a:xfrm flipV="1">
          <a:off x="17931329" y="20119899"/>
          <a:ext cx="497381" cy="145556"/>
        </a:xfrm>
        <a:prstGeom prst="line">
          <a:avLst/>
        </a:prstGeom>
        <a:noFill/>
        <a:ln w="3175">
          <a:solidFill>
            <a:srgbClr val="000000"/>
          </a:solidFill>
          <a:round/>
          <a:headEnd/>
          <a:tailEnd/>
        </a:ln>
      </xdr:spPr>
    </xdr:sp>
    <xdr:clientData/>
  </xdr:twoCellAnchor>
  <xdr:twoCellAnchor>
    <xdr:from>
      <xdr:col>29</xdr:col>
      <xdr:colOff>252929</xdr:colOff>
      <xdr:row>133</xdr:row>
      <xdr:rowOff>131616</xdr:rowOff>
    </xdr:from>
    <xdr:to>
      <xdr:col>30</xdr:col>
      <xdr:colOff>140710</xdr:colOff>
      <xdr:row>134</xdr:row>
      <xdr:rowOff>134297</xdr:rowOff>
    </xdr:to>
    <xdr:sp macro="" textlink="">
      <xdr:nvSpPr>
        <xdr:cNvPr id="511" name="Line 67"/>
        <xdr:cNvSpPr>
          <a:spLocks noChangeShapeType="1"/>
        </xdr:cNvSpPr>
      </xdr:nvSpPr>
      <xdr:spPr bwMode="auto">
        <a:xfrm flipV="1">
          <a:off x="17931329" y="20400816"/>
          <a:ext cx="497381" cy="155081"/>
        </a:xfrm>
        <a:prstGeom prst="line">
          <a:avLst/>
        </a:prstGeom>
        <a:noFill/>
        <a:ln w="3175">
          <a:solidFill>
            <a:srgbClr val="000000"/>
          </a:solidFill>
          <a:round/>
          <a:headEnd/>
          <a:tailEnd/>
        </a:ln>
      </xdr:spPr>
    </xdr:sp>
    <xdr:clientData/>
  </xdr:twoCellAnchor>
  <xdr:twoCellAnchor>
    <xdr:from>
      <xdr:col>29</xdr:col>
      <xdr:colOff>252929</xdr:colOff>
      <xdr:row>134</xdr:row>
      <xdr:rowOff>8728</xdr:rowOff>
    </xdr:from>
    <xdr:to>
      <xdr:col>30</xdr:col>
      <xdr:colOff>140710</xdr:colOff>
      <xdr:row>135</xdr:row>
      <xdr:rowOff>11409</xdr:rowOff>
    </xdr:to>
    <xdr:sp macro="" textlink="">
      <xdr:nvSpPr>
        <xdr:cNvPr id="512" name="Line 68"/>
        <xdr:cNvSpPr>
          <a:spLocks noChangeShapeType="1"/>
        </xdr:cNvSpPr>
      </xdr:nvSpPr>
      <xdr:spPr bwMode="auto">
        <a:xfrm flipV="1">
          <a:off x="17931329" y="20430328"/>
          <a:ext cx="497381" cy="155081"/>
        </a:xfrm>
        <a:prstGeom prst="line">
          <a:avLst/>
        </a:prstGeom>
        <a:noFill/>
        <a:ln w="3175">
          <a:solidFill>
            <a:srgbClr val="000000"/>
          </a:solidFill>
          <a:round/>
          <a:headEnd/>
          <a:tailEnd/>
        </a:ln>
      </xdr:spPr>
    </xdr:sp>
    <xdr:clientData/>
  </xdr:twoCellAnchor>
  <xdr:twoCellAnchor>
    <xdr:from>
      <xdr:col>29</xdr:col>
      <xdr:colOff>252929</xdr:colOff>
      <xdr:row>134</xdr:row>
      <xdr:rowOff>76342</xdr:rowOff>
    </xdr:from>
    <xdr:to>
      <xdr:col>30</xdr:col>
      <xdr:colOff>140710</xdr:colOff>
      <xdr:row>135</xdr:row>
      <xdr:rowOff>79023</xdr:rowOff>
    </xdr:to>
    <xdr:sp macro="" textlink="">
      <xdr:nvSpPr>
        <xdr:cNvPr id="513" name="Line 69"/>
        <xdr:cNvSpPr>
          <a:spLocks noChangeShapeType="1"/>
        </xdr:cNvSpPr>
      </xdr:nvSpPr>
      <xdr:spPr bwMode="auto">
        <a:xfrm flipV="1">
          <a:off x="17931329" y="20497942"/>
          <a:ext cx="497381" cy="155081"/>
        </a:xfrm>
        <a:prstGeom prst="line">
          <a:avLst/>
        </a:prstGeom>
        <a:noFill/>
        <a:ln w="3175">
          <a:solidFill>
            <a:srgbClr val="000000"/>
          </a:solidFill>
          <a:round/>
          <a:headEnd/>
          <a:tailEnd/>
        </a:ln>
      </xdr:spPr>
    </xdr:sp>
    <xdr:clientData/>
  </xdr:twoCellAnchor>
  <xdr:twoCellAnchor>
    <xdr:from>
      <xdr:col>29</xdr:col>
      <xdr:colOff>252929</xdr:colOff>
      <xdr:row>133</xdr:row>
      <xdr:rowOff>64003</xdr:rowOff>
    </xdr:from>
    <xdr:to>
      <xdr:col>30</xdr:col>
      <xdr:colOff>140710</xdr:colOff>
      <xdr:row>134</xdr:row>
      <xdr:rowOff>66684</xdr:rowOff>
    </xdr:to>
    <xdr:sp macro="" textlink="">
      <xdr:nvSpPr>
        <xdr:cNvPr id="514" name="Line 70"/>
        <xdr:cNvSpPr>
          <a:spLocks noChangeShapeType="1"/>
        </xdr:cNvSpPr>
      </xdr:nvSpPr>
      <xdr:spPr bwMode="auto">
        <a:xfrm flipV="1">
          <a:off x="17931329" y="20333203"/>
          <a:ext cx="497381" cy="155081"/>
        </a:xfrm>
        <a:prstGeom prst="line">
          <a:avLst/>
        </a:prstGeom>
        <a:noFill/>
        <a:ln w="3175">
          <a:solidFill>
            <a:srgbClr val="000000"/>
          </a:solidFill>
          <a:round/>
          <a:headEnd/>
          <a:tailEnd/>
        </a:ln>
      </xdr:spPr>
    </xdr:sp>
    <xdr:clientData/>
  </xdr:twoCellAnchor>
  <xdr:twoCellAnchor>
    <xdr:from>
      <xdr:col>29</xdr:col>
      <xdr:colOff>252929</xdr:colOff>
      <xdr:row>139</xdr:row>
      <xdr:rowOff>70427</xdr:rowOff>
    </xdr:from>
    <xdr:to>
      <xdr:col>30</xdr:col>
      <xdr:colOff>140710</xdr:colOff>
      <xdr:row>140</xdr:row>
      <xdr:rowOff>73108</xdr:rowOff>
    </xdr:to>
    <xdr:sp macro="" textlink="">
      <xdr:nvSpPr>
        <xdr:cNvPr id="515" name="Line 71"/>
        <xdr:cNvSpPr>
          <a:spLocks noChangeShapeType="1"/>
        </xdr:cNvSpPr>
      </xdr:nvSpPr>
      <xdr:spPr bwMode="auto">
        <a:xfrm flipV="1">
          <a:off x="17931329" y="21254027"/>
          <a:ext cx="497381" cy="155081"/>
        </a:xfrm>
        <a:prstGeom prst="line">
          <a:avLst/>
        </a:prstGeom>
        <a:noFill/>
        <a:ln w="3175">
          <a:solidFill>
            <a:srgbClr val="000000"/>
          </a:solidFill>
          <a:round/>
          <a:headEnd/>
          <a:tailEnd/>
        </a:ln>
      </xdr:spPr>
    </xdr:sp>
    <xdr:clientData/>
  </xdr:twoCellAnchor>
  <xdr:twoCellAnchor>
    <xdr:from>
      <xdr:col>29</xdr:col>
      <xdr:colOff>252929</xdr:colOff>
      <xdr:row>139</xdr:row>
      <xdr:rowOff>138040</xdr:rowOff>
    </xdr:from>
    <xdr:to>
      <xdr:col>30</xdr:col>
      <xdr:colOff>140710</xdr:colOff>
      <xdr:row>140</xdr:row>
      <xdr:rowOff>140721</xdr:rowOff>
    </xdr:to>
    <xdr:sp macro="" textlink="">
      <xdr:nvSpPr>
        <xdr:cNvPr id="516" name="Line 72"/>
        <xdr:cNvSpPr>
          <a:spLocks noChangeShapeType="1"/>
        </xdr:cNvSpPr>
      </xdr:nvSpPr>
      <xdr:spPr bwMode="auto">
        <a:xfrm flipV="1">
          <a:off x="17931329" y="21321640"/>
          <a:ext cx="497381" cy="155081"/>
        </a:xfrm>
        <a:prstGeom prst="line">
          <a:avLst/>
        </a:prstGeom>
        <a:noFill/>
        <a:ln w="3175">
          <a:solidFill>
            <a:srgbClr val="000000"/>
          </a:solidFill>
          <a:round/>
          <a:headEnd/>
          <a:tailEnd/>
        </a:ln>
      </xdr:spPr>
    </xdr:sp>
    <xdr:clientData/>
  </xdr:twoCellAnchor>
  <xdr:twoCellAnchor>
    <xdr:from>
      <xdr:col>29</xdr:col>
      <xdr:colOff>252929</xdr:colOff>
      <xdr:row>140</xdr:row>
      <xdr:rowOff>15154</xdr:rowOff>
    </xdr:from>
    <xdr:to>
      <xdr:col>30</xdr:col>
      <xdr:colOff>140710</xdr:colOff>
      <xdr:row>141</xdr:row>
      <xdr:rowOff>17835</xdr:rowOff>
    </xdr:to>
    <xdr:sp macro="" textlink="">
      <xdr:nvSpPr>
        <xdr:cNvPr id="517" name="Line 73"/>
        <xdr:cNvSpPr>
          <a:spLocks noChangeShapeType="1"/>
        </xdr:cNvSpPr>
      </xdr:nvSpPr>
      <xdr:spPr bwMode="auto">
        <a:xfrm flipV="1">
          <a:off x="17931329" y="21351154"/>
          <a:ext cx="497381" cy="155081"/>
        </a:xfrm>
        <a:prstGeom prst="line">
          <a:avLst/>
        </a:prstGeom>
        <a:noFill/>
        <a:ln w="3175">
          <a:solidFill>
            <a:srgbClr val="000000"/>
          </a:solidFill>
          <a:round/>
          <a:headEnd/>
          <a:tailEnd/>
        </a:ln>
      </xdr:spPr>
    </xdr:sp>
    <xdr:clientData/>
  </xdr:twoCellAnchor>
  <xdr:twoCellAnchor>
    <xdr:from>
      <xdr:col>29</xdr:col>
      <xdr:colOff>252929</xdr:colOff>
      <xdr:row>139</xdr:row>
      <xdr:rowOff>2814</xdr:rowOff>
    </xdr:from>
    <xdr:to>
      <xdr:col>30</xdr:col>
      <xdr:colOff>140710</xdr:colOff>
      <xdr:row>140</xdr:row>
      <xdr:rowOff>5495</xdr:rowOff>
    </xdr:to>
    <xdr:sp macro="" textlink="">
      <xdr:nvSpPr>
        <xdr:cNvPr id="518" name="Line 74"/>
        <xdr:cNvSpPr>
          <a:spLocks noChangeShapeType="1"/>
        </xdr:cNvSpPr>
      </xdr:nvSpPr>
      <xdr:spPr bwMode="auto">
        <a:xfrm flipV="1">
          <a:off x="17931329" y="21186414"/>
          <a:ext cx="497381" cy="155081"/>
        </a:xfrm>
        <a:prstGeom prst="line">
          <a:avLst/>
        </a:prstGeom>
        <a:noFill/>
        <a:ln w="3175">
          <a:solidFill>
            <a:srgbClr val="000000"/>
          </a:solidFill>
          <a:round/>
          <a:headEnd/>
          <a:tailEnd/>
        </a:ln>
      </xdr:spPr>
    </xdr:sp>
    <xdr:clientData/>
  </xdr:twoCellAnchor>
  <xdr:twoCellAnchor>
    <xdr:from>
      <xdr:col>29</xdr:col>
      <xdr:colOff>252929</xdr:colOff>
      <xdr:row>131</xdr:row>
      <xdr:rowOff>48982</xdr:rowOff>
    </xdr:from>
    <xdr:to>
      <xdr:col>30</xdr:col>
      <xdr:colOff>73226</xdr:colOff>
      <xdr:row>131</xdr:row>
      <xdr:rowOff>164891</xdr:rowOff>
    </xdr:to>
    <xdr:sp macro="" textlink="">
      <xdr:nvSpPr>
        <xdr:cNvPr id="519" name="Line 75"/>
        <xdr:cNvSpPr>
          <a:spLocks noChangeShapeType="1"/>
        </xdr:cNvSpPr>
      </xdr:nvSpPr>
      <xdr:spPr bwMode="auto">
        <a:xfrm flipV="1">
          <a:off x="17931329" y="20013382"/>
          <a:ext cx="429897" cy="106384"/>
        </a:xfrm>
        <a:prstGeom prst="line">
          <a:avLst/>
        </a:prstGeom>
        <a:noFill/>
        <a:ln w="3175">
          <a:solidFill>
            <a:srgbClr val="000000"/>
          </a:solidFill>
          <a:round/>
          <a:headEnd/>
          <a:tailEnd/>
        </a:ln>
      </xdr:spPr>
    </xdr:sp>
    <xdr:clientData/>
  </xdr:twoCellAnchor>
  <xdr:twoCellAnchor>
    <xdr:from>
      <xdr:col>29</xdr:col>
      <xdr:colOff>252929</xdr:colOff>
      <xdr:row>131</xdr:row>
      <xdr:rowOff>58641</xdr:rowOff>
    </xdr:from>
    <xdr:to>
      <xdr:col>30</xdr:col>
      <xdr:colOff>121429</xdr:colOff>
      <xdr:row>132</xdr:row>
      <xdr:rowOff>42004</xdr:rowOff>
    </xdr:to>
    <xdr:sp macro="" textlink="">
      <xdr:nvSpPr>
        <xdr:cNvPr id="520" name="Line 76"/>
        <xdr:cNvSpPr>
          <a:spLocks noChangeShapeType="1"/>
        </xdr:cNvSpPr>
      </xdr:nvSpPr>
      <xdr:spPr bwMode="auto">
        <a:xfrm flipV="1">
          <a:off x="17931329" y="20023041"/>
          <a:ext cx="478100" cy="135763"/>
        </a:xfrm>
        <a:prstGeom prst="line">
          <a:avLst/>
        </a:prstGeom>
        <a:noFill/>
        <a:ln w="3175">
          <a:solidFill>
            <a:srgbClr val="000000"/>
          </a:solidFill>
          <a:round/>
          <a:headEnd/>
          <a:tailEnd/>
        </a:ln>
      </xdr:spPr>
    </xdr:sp>
    <xdr:clientData/>
  </xdr:twoCellAnchor>
  <xdr:twoCellAnchor>
    <xdr:from>
      <xdr:col>29</xdr:col>
      <xdr:colOff>252929</xdr:colOff>
      <xdr:row>131</xdr:row>
      <xdr:rowOff>106936</xdr:rowOff>
    </xdr:from>
    <xdr:to>
      <xdr:col>30</xdr:col>
      <xdr:colOff>140710</xdr:colOff>
      <xdr:row>132</xdr:row>
      <xdr:rowOff>109617</xdr:rowOff>
    </xdr:to>
    <xdr:sp macro="" textlink="">
      <xdr:nvSpPr>
        <xdr:cNvPr id="521" name="Line 77"/>
        <xdr:cNvSpPr>
          <a:spLocks noChangeShapeType="1"/>
        </xdr:cNvSpPr>
      </xdr:nvSpPr>
      <xdr:spPr bwMode="auto">
        <a:xfrm flipV="1">
          <a:off x="17931329" y="20071336"/>
          <a:ext cx="497381" cy="155081"/>
        </a:xfrm>
        <a:prstGeom prst="line">
          <a:avLst/>
        </a:prstGeom>
        <a:noFill/>
        <a:ln w="3175">
          <a:solidFill>
            <a:srgbClr val="000000"/>
          </a:solidFill>
          <a:round/>
          <a:headEnd/>
          <a:tailEnd/>
        </a:ln>
      </xdr:spPr>
    </xdr:sp>
    <xdr:clientData/>
  </xdr:twoCellAnchor>
  <xdr:twoCellAnchor>
    <xdr:from>
      <xdr:col>29</xdr:col>
      <xdr:colOff>252930</xdr:colOff>
      <xdr:row>131</xdr:row>
      <xdr:rowOff>48981</xdr:rowOff>
    </xdr:from>
    <xdr:to>
      <xdr:col>30</xdr:col>
      <xdr:colOff>5742</xdr:colOff>
      <xdr:row>131</xdr:row>
      <xdr:rowOff>97276</xdr:rowOff>
    </xdr:to>
    <xdr:sp macro="" textlink="">
      <xdr:nvSpPr>
        <xdr:cNvPr id="522" name="Line 78"/>
        <xdr:cNvSpPr>
          <a:spLocks noChangeShapeType="1"/>
        </xdr:cNvSpPr>
      </xdr:nvSpPr>
      <xdr:spPr bwMode="auto">
        <a:xfrm flipV="1">
          <a:off x="17931330" y="20013381"/>
          <a:ext cx="362412" cy="48295"/>
        </a:xfrm>
        <a:prstGeom prst="line">
          <a:avLst/>
        </a:prstGeom>
        <a:noFill/>
        <a:ln w="3175">
          <a:solidFill>
            <a:srgbClr val="000000"/>
          </a:solidFill>
          <a:round/>
          <a:headEnd/>
          <a:tailEnd/>
        </a:ln>
      </xdr:spPr>
    </xdr:sp>
    <xdr:clientData/>
  </xdr:twoCellAnchor>
  <xdr:twoCellAnchor>
    <xdr:from>
      <xdr:col>29</xdr:col>
      <xdr:colOff>252929</xdr:colOff>
      <xdr:row>137</xdr:row>
      <xdr:rowOff>180975</xdr:rowOff>
    </xdr:from>
    <xdr:to>
      <xdr:col>30</xdr:col>
      <xdr:colOff>140710</xdr:colOff>
      <xdr:row>138</xdr:row>
      <xdr:rowOff>183656</xdr:rowOff>
    </xdr:to>
    <xdr:sp macro="" textlink="">
      <xdr:nvSpPr>
        <xdr:cNvPr id="523" name="Line 79"/>
        <xdr:cNvSpPr>
          <a:spLocks noChangeShapeType="1"/>
        </xdr:cNvSpPr>
      </xdr:nvSpPr>
      <xdr:spPr bwMode="auto">
        <a:xfrm flipV="1">
          <a:off x="17931329" y="21031200"/>
          <a:ext cx="497381" cy="155081"/>
        </a:xfrm>
        <a:prstGeom prst="line">
          <a:avLst/>
        </a:prstGeom>
        <a:noFill/>
        <a:ln w="3175">
          <a:solidFill>
            <a:srgbClr val="000000"/>
          </a:solidFill>
          <a:round/>
          <a:headEnd/>
          <a:tailEnd/>
        </a:ln>
      </xdr:spPr>
    </xdr:sp>
    <xdr:clientData/>
  </xdr:twoCellAnchor>
  <xdr:twoCellAnchor>
    <xdr:from>
      <xdr:col>29</xdr:col>
      <xdr:colOff>252929</xdr:colOff>
      <xdr:row>138</xdr:row>
      <xdr:rowOff>58088</xdr:rowOff>
    </xdr:from>
    <xdr:to>
      <xdr:col>30</xdr:col>
      <xdr:colOff>140710</xdr:colOff>
      <xdr:row>139</xdr:row>
      <xdr:rowOff>60769</xdr:rowOff>
    </xdr:to>
    <xdr:sp macro="" textlink="">
      <xdr:nvSpPr>
        <xdr:cNvPr id="524" name="Line 80"/>
        <xdr:cNvSpPr>
          <a:spLocks noChangeShapeType="1"/>
        </xdr:cNvSpPr>
      </xdr:nvSpPr>
      <xdr:spPr bwMode="auto">
        <a:xfrm flipV="1">
          <a:off x="17931329" y="21089288"/>
          <a:ext cx="497381" cy="155081"/>
        </a:xfrm>
        <a:prstGeom prst="line">
          <a:avLst/>
        </a:prstGeom>
        <a:noFill/>
        <a:ln w="3175">
          <a:solidFill>
            <a:srgbClr val="000000"/>
          </a:solidFill>
          <a:round/>
          <a:headEnd/>
          <a:tailEnd/>
        </a:ln>
      </xdr:spPr>
    </xdr:sp>
    <xdr:clientData/>
  </xdr:twoCellAnchor>
  <xdr:twoCellAnchor>
    <xdr:from>
      <xdr:col>29</xdr:col>
      <xdr:colOff>252929</xdr:colOff>
      <xdr:row>138</xdr:row>
      <xdr:rowOff>125701</xdr:rowOff>
    </xdr:from>
    <xdr:to>
      <xdr:col>30</xdr:col>
      <xdr:colOff>140710</xdr:colOff>
      <xdr:row>139</xdr:row>
      <xdr:rowOff>128382</xdr:rowOff>
    </xdr:to>
    <xdr:sp macro="" textlink="">
      <xdr:nvSpPr>
        <xdr:cNvPr id="525" name="Line 81"/>
        <xdr:cNvSpPr>
          <a:spLocks noChangeShapeType="1"/>
        </xdr:cNvSpPr>
      </xdr:nvSpPr>
      <xdr:spPr bwMode="auto">
        <a:xfrm flipV="1">
          <a:off x="17931329" y="21156901"/>
          <a:ext cx="497381" cy="155081"/>
        </a:xfrm>
        <a:prstGeom prst="line">
          <a:avLst/>
        </a:prstGeom>
        <a:noFill/>
        <a:ln w="3175">
          <a:solidFill>
            <a:srgbClr val="000000"/>
          </a:solidFill>
          <a:round/>
          <a:headEnd/>
          <a:tailEnd/>
        </a:ln>
      </xdr:spPr>
    </xdr:sp>
    <xdr:clientData/>
  </xdr:twoCellAnchor>
  <xdr:twoCellAnchor>
    <xdr:from>
      <xdr:col>29</xdr:col>
      <xdr:colOff>252929</xdr:colOff>
      <xdr:row>137</xdr:row>
      <xdr:rowOff>113361</xdr:rowOff>
    </xdr:from>
    <xdr:to>
      <xdr:col>30</xdr:col>
      <xdr:colOff>140710</xdr:colOff>
      <xdr:row>138</xdr:row>
      <xdr:rowOff>116042</xdr:rowOff>
    </xdr:to>
    <xdr:sp macro="" textlink="">
      <xdr:nvSpPr>
        <xdr:cNvPr id="526" name="Line 82"/>
        <xdr:cNvSpPr>
          <a:spLocks noChangeShapeType="1"/>
        </xdr:cNvSpPr>
      </xdr:nvSpPr>
      <xdr:spPr bwMode="auto">
        <a:xfrm flipV="1">
          <a:off x="17931329" y="20992161"/>
          <a:ext cx="497381" cy="155081"/>
        </a:xfrm>
        <a:prstGeom prst="line">
          <a:avLst/>
        </a:prstGeom>
        <a:noFill/>
        <a:ln w="3175">
          <a:solidFill>
            <a:srgbClr val="000000"/>
          </a:solidFill>
          <a:round/>
          <a:headEnd/>
          <a:tailEnd/>
        </a:ln>
      </xdr:spPr>
    </xdr:sp>
    <xdr:clientData/>
  </xdr:twoCellAnchor>
  <xdr:twoCellAnchor>
    <xdr:from>
      <xdr:col>29</xdr:col>
      <xdr:colOff>252929</xdr:colOff>
      <xdr:row>142</xdr:row>
      <xdr:rowOff>39833</xdr:rowOff>
    </xdr:from>
    <xdr:to>
      <xdr:col>30</xdr:col>
      <xdr:colOff>140710</xdr:colOff>
      <xdr:row>143</xdr:row>
      <xdr:rowOff>42514</xdr:rowOff>
    </xdr:to>
    <xdr:sp macro="" textlink="">
      <xdr:nvSpPr>
        <xdr:cNvPr id="527" name="Line 83"/>
        <xdr:cNvSpPr>
          <a:spLocks noChangeShapeType="1"/>
        </xdr:cNvSpPr>
      </xdr:nvSpPr>
      <xdr:spPr bwMode="auto">
        <a:xfrm flipV="1">
          <a:off x="17931329" y="21680633"/>
          <a:ext cx="497381" cy="155081"/>
        </a:xfrm>
        <a:prstGeom prst="line">
          <a:avLst/>
        </a:prstGeom>
        <a:noFill/>
        <a:ln w="3175">
          <a:solidFill>
            <a:srgbClr val="000000"/>
          </a:solidFill>
          <a:round/>
          <a:headEnd/>
          <a:tailEnd/>
        </a:ln>
      </xdr:spPr>
    </xdr:sp>
    <xdr:clientData/>
  </xdr:twoCellAnchor>
  <xdr:twoCellAnchor>
    <xdr:from>
      <xdr:col>29</xdr:col>
      <xdr:colOff>252929</xdr:colOff>
      <xdr:row>142</xdr:row>
      <xdr:rowOff>107446</xdr:rowOff>
    </xdr:from>
    <xdr:to>
      <xdr:col>30</xdr:col>
      <xdr:colOff>140710</xdr:colOff>
      <xdr:row>143</xdr:row>
      <xdr:rowOff>110127</xdr:rowOff>
    </xdr:to>
    <xdr:sp macro="" textlink="">
      <xdr:nvSpPr>
        <xdr:cNvPr id="528" name="Line 84"/>
        <xdr:cNvSpPr>
          <a:spLocks noChangeShapeType="1"/>
        </xdr:cNvSpPr>
      </xdr:nvSpPr>
      <xdr:spPr bwMode="auto">
        <a:xfrm flipV="1">
          <a:off x="17931329" y="21748246"/>
          <a:ext cx="497381" cy="155081"/>
        </a:xfrm>
        <a:prstGeom prst="line">
          <a:avLst/>
        </a:prstGeom>
        <a:noFill/>
        <a:ln w="3175">
          <a:solidFill>
            <a:srgbClr val="000000"/>
          </a:solidFill>
          <a:round/>
          <a:headEnd/>
          <a:tailEnd/>
        </a:ln>
      </xdr:spPr>
    </xdr:sp>
    <xdr:clientData/>
  </xdr:twoCellAnchor>
  <xdr:twoCellAnchor>
    <xdr:from>
      <xdr:col>29</xdr:col>
      <xdr:colOff>252929</xdr:colOff>
      <xdr:row>142</xdr:row>
      <xdr:rowOff>175060</xdr:rowOff>
    </xdr:from>
    <xdr:to>
      <xdr:col>30</xdr:col>
      <xdr:colOff>140710</xdr:colOff>
      <xdr:row>143</xdr:row>
      <xdr:rowOff>177741</xdr:rowOff>
    </xdr:to>
    <xdr:sp macro="" textlink="">
      <xdr:nvSpPr>
        <xdr:cNvPr id="529" name="Line 85"/>
        <xdr:cNvSpPr>
          <a:spLocks noChangeShapeType="1"/>
        </xdr:cNvSpPr>
      </xdr:nvSpPr>
      <xdr:spPr bwMode="auto">
        <a:xfrm flipV="1">
          <a:off x="17931329" y="21796810"/>
          <a:ext cx="497381" cy="145556"/>
        </a:xfrm>
        <a:prstGeom prst="line">
          <a:avLst/>
        </a:prstGeom>
        <a:noFill/>
        <a:ln w="3175">
          <a:solidFill>
            <a:srgbClr val="000000"/>
          </a:solidFill>
          <a:round/>
          <a:headEnd/>
          <a:tailEnd/>
        </a:ln>
      </xdr:spPr>
    </xdr:sp>
    <xdr:clientData/>
  </xdr:twoCellAnchor>
  <xdr:twoCellAnchor>
    <xdr:from>
      <xdr:col>29</xdr:col>
      <xdr:colOff>252929</xdr:colOff>
      <xdr:row>141</xdr:row>
      <xdr:rowOff>162720</xdr:rowOff>
    </xdr:from>
    <xdr:to>
      <xdr:col>30</xdr:col>
      <xdr:colOff>140710</xdr:colOff>
      <xdr:row>142</xdr:row>
      <xdr:rowOff>165401</xdr:rowOff>
    </xdr:to>
    <xdr:sp macro="" textlink="">
      <xdr:nvSpPr>
        <xdr:cNvPr id="530" name="Line 86"/>
        <xdr:cNvSpPr>
          <a:spLocks noChangeShapeType="1"/>
        </xdr:cNvSpPr>
      </xdr:nvSpPr>
      <xdr:spPr bwMode="auto">
        <a:xfrm flipV="1">
          <a:off x="17931329" y="21641595"/>
          <a:ext cx="497381" cy="155081"/>
        </a:xfrm>
        <a:prstGeom prst="line">
          <a:avLst/>
        </a:prstGeom>
        <a:noFill/>
        <a:ln w="3175">
          <a:solidFill>
            <a:srgbClr val="000000"/>
          </a:solidFill>
          <a:round/>
          <a:headEnd/>
          <a:tailEnd/>
        </a:ln>
      </xdr:spPr>
    </xdr:sp>
    <xdr:clientData/>
  </xdr:twoCellAnchor>
  <xdr:twoCellAnchor>
    <xdr:from>
      <xdr:col>29</xdr:col>
      <xdr:colOff>252929</xdr:colOff>
      <xdr:row>140</xdr:row>
      <xdr:rowOff>150381</xdr:rowOff>
    </xdr:from>
    <xdr:to>
      <xdr:col>30</xdr:col>
      <xdr:colOff>140710</xdr:colOff>
      <xdr:row>141</xdr:row>
      <xdr:rowOff>153062</xdr:rowOff>
    </xdr:to>
    <xdr:sp macro="" textlink="">
      <xdr:nvSpPr>
        <xdr:cNvPr id="531" name="Line 87"/>
        <xdr:cNvSpPr>
          <a:spLocks noChangeShapeType="1"/>
        </xdr:cNvSpPr>
      </xdr:nvSpPr>
      <xdr:spPr bwMode="auto">
        <a:xfrm flipV="1">
          <a:off x="17931329" y="21486381"/>
          <a:ext cx="497381" cy="155081"/>
        </a:xfrm>
        <a:prstGeom prst="line">
          <a:avLst/>
        </a:prstGeom>
        <a:noFill/>
        <a:ln w="3175">
          <a:solidFill>
            <a:srgbClr val="000000"/>
          </a:solidFill>
          <a:round/>
          <a:headEnd/>
          <a:tailEnd/>
        </a:ln>
      </xdr:spPr>
    </xdr:sp>
    <xdr:clientData/>
  </xdr:twoCellAnchor>
  <xdr:twoCellAnchor>
    <xdr:from>
      <xdr:col>29</xdr:col>
      <xdr:colOff>252929</xdr:colOff>
      <xdr:row>141</xdr:row>
      <xdr:rowOff>27494</xdr:rowOff>
    </xdr:from>
    <xdr:to>
      <xdr:col>30</xdr:col>
      <xdr:colOff>140710</xdr:colOff>
      <xdr:row>142</xdr:row>
      <xdr:rowOff>30175</xdr:rowOff>
    </xdr:to>
    <xdr:sp macro="" textlink="">
      <xdr:nvSpPr>
        <xdr:cNvPr id="532" name="Line 88"/>
        <xdr:cNvSpPr>
          <a:spLocks noChangeShapeType="1"/>
        </xdr:cNvSpPr>
      </xdr:nvSpPr>
      <xdr:spPr bwMode="auto">
        <a:xfrm flipV="1">
          <a:off x="17931329" y="21515894"/>
          <a:ext cx="497381" cy="155081"/>
        </a:xfrm>
        <a:prstGeom prst="line">
          <a:avLst/>
        </a:prstGeom>
        <a:noFill/>
        <a:ln w="3175">
          <a:solidFill>
            <a:srgbClr val="000000"/>
          </a:solidFill>
          <a:round/>
          <a:headEnd/>
          <a:tailEnd/>
        </a:ln>
      </xdr:spPr>
    </xdr:sp>
    <xdr:clientData/>
  </xdr:twoCellAnchor>
  <xdr:twoCellAnchor>
    <xdr:from>
      <xdr:col>29</xdr:col>
      <xdr:colOff>252929</xdr:colOff>
      <xdr:row>141</xdr:row>
      <xdr:rowOff>95106</xdr:rowOff>
    </xdr:from>
    <xdr:to>
      <xdr:col>30</xdr:col>
      <xdr:colOff>140710</xdr:colOff>
      <xdr:row>142</xdr:row>
      <xdr:rowOff>97787</xdr:rowOff>
    </xdr:to>
    <xdr:sp macro="" textlink="">
      <xdr:nvSpPr>
        <xdr:cNvPr id="533" name="Line 89"/>
        <xdr:cNvSpPr>
          <a:spLocks noChangeShapeType="1"/>
        </xdr:cNvSpPr>
      </xdr:nvSpPr>
      <xdr:spPr bwMode="auto">
        <a:xfrm flipV="1">
          <a:off x="17931329" y="21583506"/>
          <a:ext cx="497381" cy="155081"/>
        </a:xfrm>
        <a:prstGeom prst="line">
          <a:avLst/>
        </a:prstGeom>
        <a:noFill/>
        <a:ln w="3175">
          <a:solidFill>
            <a:srgbClr val="000000"/>
          </a:solidFill>
          <a:round/>
          <a:headEnd/>
          <a:tailEnd/>
        </a:ln>
      </xdr:spPr>
    </xdr:sp>
    <xdr:clientData/>
  </xdr:twoCellAnchor>
  <xdr:twoCellAnchor>
    <xdr:from>
      <xdr:col>29</xdr:col>
      <xdr:colOff>252929</xdr:colOff>
      <xdr:row>140</xdr:row>
      <xdr:rowOff>82767</xdr:rowOff>
    </xdr:from>
    <xdr:to>
      <xdr:col>30</xdr:col>
      <xdr:colOff>140710</xdr:colOff>
      <xdr:row>141</xdr:row>
      <xdr:rowOff>85448</xdr:rowOff>
    </xdr:to>
    <xdr:sp macro="" textlink="">
      <xdr:nvSpPr>
        <xdr:cNvPr id="534" name="Line 90"/>
        <xdr:cNvSpPr>
          <a:spLocks noChangeShapeType="1"/>
        </xdr:cNvSpPr>
      </xdr:nvSpPr>
      <xdr:spPr bwMode="auto">
        <a:xfrm flipV="1">
          <a:off x="17931329" y="21418767"/>
          <a:ext cx="497381" cy="155081"/>
        </a:xfrm>
        <a:prstGeom prst="line">
          <a:avLst/>
        </a:prstGeom>
        <a:noFill/>
        <a:ln w="3175">
          <a:solidFill>
            <a:srgbClr val="000000"/>
          </a:solidFill>
          <a:round/>
          <a:headEnd/>
          <a:tailEnd/>
        </a:ln>
      </xdr:spPr>
    </xdr:sp>
    <xdr:clientData/>
  </xdr:twoCellAnchor>
  <xdr:twoCellAnchor>
    <xdr:from>
      <xdr:col>29</xdr:col>
      <xdr:colOff>252929</xdr:colOff>
      <xdr:row>145</xdr:row>
      <xdr:rowOff>9239</xdr:rowOff>
    </xdr:from>
    <xdr:to>
      <xdr:col>30</xdr:col>
      <xdr:colOff>140710</xdr:colOff>
      <xdr:row>146</xdr:row>
      <xdr:rowOff>11920</xdr:rowOff>
    </xdr:to>
    <xdr:sp macro="" textlink="">
      <xdr:nvSpPr>
        <xdr:cNvPr id="535" name="Line 91"/>
        <xdr:cNvSpPr>
          <a:spLocks noChangeShapeType="1"/>
        </xdr:cNvSpPr>
      </xdr:nvSpPr>
      <xdr:spPr bwMode="auto">
        <a:xfrm flipV="1">
          <a:off x="17931329" y="22107239"/>
          <a:ext cx="497381" cy="155081"/>
        </a:xfrm>
        <a:prstGeom prst="line">
          <a:avLst/>
        </a:prstGeom>
        <a:noFill/>
        <a:ln w="3175">
          <a:solidFill>
            <a:srgbClr val="000000"/>
          </a:solidFill>
          <a:round/>
          <a:headEnd/>
          <a:tailEnd/>
        </a:ln>
      </xdr:spPr>
    </xdr:sp>
    <xdr:clientData/>
  </xdr:twoCellAnchor>
  <xdr:twoCellAnchor>
    <xdr:from>
      <xdr:col>29</xdr:col>
      <xdr:colOff>252929</xdr:colOff>
      <xdr:row>145</xdr:row>
      <xdr:rowOff>76853</xdr:rowOff>
    </xdr:from>
    <xdr:to>
      <xdr:col>30</xdr:col>
      <xdr:colOff>140710</xdr:colOff>
      <xdr:row>146</xdr:row>
      <xdr:rowOff>79534</xdr:rowOff>
    </xdr:to>
    <xdr:sp macro="" textlink="">
      <xdr:nvSpPr>
        <xdr:cNvPr id="536" name="Line 92"/>
        <xdr:cNvSpPr>
          <a:spLocks noChangeShapeType="1"/>
        </xdr:cNvSpPr>
      </xdr:nvSpPr>
      <xdr:spPr bwMode="auto">
        <a:xfrm flipV="1">
          <a:off x="17931329" y="22174853"/>
          <a:ext cx="497381" cy="155081"/>
        </a:xfrm>
        <a:prstGeom prst="line">
          <a:avLst/>
        </a:prstGeom>
        <a:noFill/>
        <a:ln w="3175">
          <a:solidFill>
            <a:srgbClr val="000000"/>
          </a:solidFill>
          <a:round/>
          <a:headEnd/>
          <a:tailEnd/>
        </a:ln>
      </xdr:spPr>
    </xdr:sp>
    <xdr:clientData/>
  </xdr:twoCellAnchor>
  <xdr:twoCellAnchor>
    <xdr:from>
      <xdr:col>29</xdr:col>
      <xdr:colOff>252929</xdr:colOff>
      <xdr:row>145</xdr:row>
      <xdr:rowOff>144466</xdr:rowOff>
    </xdr:from>
    <xdr:to>
      <xdr:col>30</xdr:col>
      <xdr:colOff>140710</xdr:colOff>
      <xdr:row>146</xdr:row>
      <xdr:rowOff>147147</xdr:rowOff>
    </xdr:to>
    <xdr:sp macro="" textlink="">
      <xdr:nvSpPr>
        <xdr:cNvPr id="537" name="Line 93"/>
        <xdr:cNvSpPr>
          <a:spLocks noChangeShapeType="1"/>
        </xdr:cNvSpPr>
      </xdr:nvSpPr>
      <xdr:spPr bwMode="auto">
        <a:xfrm flipV="1">
          <a:off x="17931329" y="22242466"/>
          <a:ext cx="497381" cy="155081"/>
        </a:xfrm>
        <a:prstGeom prst="line">
          <a:avLst/>
        </a:prstGeom>
        <a:noFill/>
        <a:ln w="3175">
          <a:solidFill>
            <a:srgbClr val="000000"/>
          </a:solidFill>
          <a:round/>
          <a:headEnd/>
          <a:tailEnd/>
        </a:ln>
      </xdr:spPr>
    </xdr:sp>
    <xdr:clientData/>
  </xdr:twoCellAnchor>
  <xdr:twoCellAnchor>
    <xdr:from>
      <xdr:col>29</xdr:col>
      <xdr:colOff>252929</xdr:colOff>
      <xdr:row>144</xdr:row>
      <xdr:rowOff>132126</xdr:rowOff>
    </xdr:from>
    <xdr:to>
      <xdr:col>30</xdr:col>
      <xdr:colOff>140710</xdr:colOff>
      <xdr:row>145</xdr:row>
      <xdr:rowOff>134807</xdr:rowOff>
    </xdr:to>
    <xdr:sp macro="" textlink="">
      <xdr:nvSpPr>
        <xdr:cNvPr id="538" name="Line 94"/>
        <xdr:cNvSpPr>
          <a:spLocks noChangeShapeType="1"/>
        </xdr:cNvSpPr>
      </xdr:nvSpPr>
      <xdr:spPr bwMode="auto">
        <a:xfrm flipV="1">
          <a:off x="17931329" y="22077726"/>
          <a:ext cx="497381" cy="155081"/>
        </a:xfrm>
        <a:prstGeom prst="line">
          <a:avLst/>
        </a:prstGeom>
        <a:noFill/>
        <a:ln w="3175">
          <a:solidFill>
            <a:srgbClr val="000000"/>
          </a:solidFill>
          <a:round/>
          <a:headEnd/>
          <a:tailEnd/>
        </a:ln>
      </xdr:spPr>
    </xdr:sp>
    <xdr:clientData/>
  </xdr:twoCellAnchor>
  <xdr:twoCellAnchor>
    <xdr:from>
      <xdr:col>29</xdr:col>
      <xdr:colOff>252929</xdr:colOff>
      <xdr:row>143</xdr:row>
      <xdr:rowOff>119787</xdr:rowOff>
    </xdr:from>
    <xdr:to>
      <xdr:col>30</xdr:col>
      <xdr:colOff>140710</xdr:colOff>
      <xdr:row>144</xdr:row>
      <xdr:rowOff>122468</xdr:rowOff>
    </xdr:to>
    <xdr:sp macro="" textlink="">
      <xdr:nvSpPr>
        <xdr:cNvPr id="539" name="Line 95"/>
        <xdr:cNvSpPr>
          <a:spLocks noChangeShapeType="1"/>
        </xdr:cNvSpPr>
      </xdr:nvSpPr>
      <xdr:spPr bwMode="auto">
        <a:xfrm flipV="1">
          <a:off x="17931329" y="21912987"/>
          <a:ext cx="497381" cy="155081"/>
        </a:xfrm>
        <a:prstGeom prst="line">
          <a:avLst/>
        </a:prstGeom>
        <a:noFill/>
        <a:ln w="3175">
          <a:solidFill>
            <a:srgbClr val="000000"/>
          </a:solidFill>
          <a:round/>
          <a:headEnd/>
          <a:tailEnd/>
        </a:ln>
      </xdr:spPr>
    </xdr:sp>
    <xdr:clientData/>
  </xdr:twoCellAnchor>
  <xdr:twoCellAnchor>
    <xdr:from>
      <xdr:col>29</xdr:col>
      <xdr:colOff>252929</xdr:colOff>
      <xdr:row>143</xdr:row>
      <xdr:rowOff>187400</xdr:rowOff>
    </xdr:from>
    <xdr:to>
      <xdr:col>30</xdr:col>
      <xdr:colOff>140710</xdr:colOff>
      <xdr:row>144</xdr:row>
      <xdr:rowOff>180421</xdr:rowOff>
    </xdr:to>
    <xdr:sp macro="" textlink="">
      <xdr:nvSpPr>
        <xdr:cNvPr id="540" name="Line 96"/>
        <xdr:cNvSpPr>
          <a:spLocks noChangeShapeType="1"/>
        </xdr:cNvSpPr>
      </xdr:nvSpPr>
      <xdr:spPr bwMode="auto">
        <a:xfrm flipV="1">
          <a:off x="17931329" y="21942500"/>
          <a:ext cx="497381" cy="154946"/>
        </a:xfrm>
        <a:prstGeom prst="line">
          <a:avLst/>
        </a:prstGeom>
        <a:noFill/>
        <a:ln w="3175">
          <a:solidFill>
            <a:srgbClr val="000000"/>
          </a:solidFill>
          <a:round/>
          <a:headEnd/>
          <a:tailEnd/>
        </a:ln>
      </xdr:spPr>
    </xdr:sp>
    <xdr:clientData/>
  </xdr:twoCellAnchor>
  <xdr:twoCellAnchor>
    <xdr:from>
      <xdr:col>29</xdr:col>
      <xdr:colOff>252929</xdr:colOff>
      <xdr:row>144</xdr:row>
      <xdr:rowOff>64512</xdr:rowOff>
    </xdr:from>
    <xdr:to>
      <xdr:col>30</xdr:col>
      <xdr:colOff>140710</xdr:colOff>
      <xdr:row>145</xdr:row>
      <xdr:rowOff>67193</xdr:rowOff>
    </xdr:to>
    <xdr:sp macro="" textlink="">
      <xdr:nvSpPr>
        <xdr:cNvPr id="541" name="Line 97"/>
        <xdr:cNvSpPr>
          <a:spLocks noChangeShapeType="1"/>
        </xdr:cNvSpPr>
      </xdr:nvSpPr>
      <xdr:spPr bwMode="auto">
        <a:xfrm flipV="1">
          <a:off x="17931329" y="22010112"/>
          <a:ext cx="497381" cy="155081"/>
        </a:xfrm>
        <a:prstGeom prst="line">
          <a:avLst/>
        </a:prstGeom>
        <a:noFill/>
        <a:ln w="3175">
          <a:solidFill>
            <a:srgbClr val="000000"/>
          </a:solidFill>
          <a:round/>
          <a:headEnd/>
          <a:tailEnd/>
        </a:ln>
      </xdr:spPr>
    </xdr:sp>
    <xdr:clientData/>
  </xdr:twoCellAnchor>
  <xdr:twoCellAnchor>
    <xdr:from>
      <xdr:col>29</xdr:col>
      <xdr:colOff>252929</xdr:colOff>
      <xdr:row>143</xdr:row>
      <xdr:rowOff>52173</xdr:rowOff>
    </xdr:from>
    <xdr:to>
      <xdr:col>30</xdr:col>
      <xdr:colOff>140710</xdr:colOff>
      <xdr:row>144</xdr:row>
      <xdr:rowOff>54854</xdr:rowOff>
    </xdr:to>
    <xdr:sp macro="" textlink="">
      <xdr:nvSpPr>
        <xdr:cNvPr id="542" name="Line 98"/>
        <xdr:cNvSpPr>
          <a:spLocks noChangeShapeType="1"/>
        </xdr:cNvSpPr>
      </xdr:nvSpPr>
      <xdr:spPr bwMode="auto">
        <a:xfrm flipV="1">
          <a:off x="17931329" y="21845373"/>
          <a:ext cx="497381" cy="155081"/>
        </a:xfrm>
        <a:prstGeom prst="line">
          <a:avLst/>
        </a:prstGeom>
        <a:noFill/>
        <a:ln w="3175">
          <a:solidFill>
            <a:srgbClr val="000000"/>
          </a:solidFill>
          <a:round/>
          <a:headEnd/>
          <a:tailEnd/>
        </a:ln>
      </xdr:spPr>
    </xdr:sp>
    <xdr:clientData/>
  </xdr:twoCellAnchor>
  <xdr:twoCellAnchor>
    <xdr:from>
      <xdr:col>30</xdr:col>
      <xdr:colOff>92507</xdr:colOff>
      <xdr:row>147</xdr:row>
      <xdr:rowOff>101532</xdr:rowOff>
    </xdr:from>
    <xdr:to>
      <xdr:col>30</xdr:col>
      <xdr:colOff>140710</xdr:colOff>
      <xdr:row>147</xdr:row>
      <xdr:rowOff>149827</xdr:rowOff>
    </xdr:to>
    <xdr:sp macro="" textlink="">
      <xdr:nvSpPr>
        <xdr:cNvPr id="543" name="Line 99"/>
        <xdr:cNvSpPr>
          <a:spLocks noChangeShapeType="1"/>
        </xdr:cNvSpPr>
      </xdr:nvSpPr>
      <xdr:spPr bwMode="auto">
        <a:xfrm flipV="1">
          <a:off x="18380507" y="22504332"/>
          <a:ext cx="48203" cy="48295"/>
        </a:xfrm>
        <a:prstGeom prst="line">
          <a:avLst/>
        </a:prstGeom>
        <a:noFill/>
        <a:ln w="3175">
          <a:solidFill>
            <a:srgbClr val="000000"/>
          </a:solidFill>
          <a:round/>
          <a:headEnd/>
          <a:tailEnd/>
        </a:ln>
      </xdr:spPr>
    </xdr:sp>
    <xdr:clientData/>
  </xdr:twoCellAnchor>
  <xdr:twoCellAnchor>
    <xdr:from>
      <xdr:col>29</xdr:col>
      <xdr:colOff>252929</xdr:colOff>
      <xdr:row>146</xdr:row>
      <xdr:rowOff>89193</xdr:rowOff>
    </xdr:from>
    <xdr:to>
      <xdr:col>30</xdr:col>
      <xdr:colOff>140710</xdr:colOff>
      <xdr:row>147</xdr:row>
      <xdr:rowOff>91874</xdr:rowOff>
    </xdr:to>
    <xdr:sp macro="" textlink="">
      <xdr:nvSpPr>
        <xdr:cNvPr id="544" name="Line 100"/>
        <xdr:cNvSpPr>
          <a:spLocks noChangeShapeType="1"/>
        </xdr:cNvSpPr>
      </xdr:nvSpPr>
      <xdr:spPr bwMode="auto">
        <a:xfrm flipV="1">
          <a:off x="17931329" y="22339593"/>
          <a:ext cx="497381" cy="155081"/>
        </a:xfrm>
        <a:prstGeom prst="line">
          <a:avLst/>
        </a:prstGeom>
        <a:noFill/>
        <a:ln w="3175">
          <a:solidFill>
            <a:srgbClr val="000000"/>
          </a:solidFill>
          <a:round/>
          <a:headEnd/>
          <a:tailEnd/>
        </a:ln>
      </xdr:spPr>
    </xdr:sp>
    <xdr:clientData/>
  </xdr:twoCellAnchor>
  <xdr:twoCellAnchor>
    <xdr:from>
      <xdr:col>29</xdr:col>
      <xdr:colOff>252929</xdr:colOff>
      <xdr:row>146</xdr:row>
      <xdr:rowOff>156805</xdr:rowOff>
    </xdr:from>
    <xdr:to>
      <xdr:col>30</xdr:col>
      <xdr:colOff>140710</xdr:colOff>
      <xdr:row>147</xdr:row>
      <xdr:rowOff>159486</xdr:rowOff>
    </xdr:to>
    <xdr:sp macro="" textlink="">
      <xdr:nvSpPr>
        <xdr:cNvPr id="545" name="Line 101"/>
        <xdr:cNvSpPr>
          <a:spLocks noChangeShapeType="1"/>
        </xdr:cNvSpPr>
      </xdr:nvSpPr>
      <xdr:spPr bwMode="auto">
        <a:xfrm flipV="1">
          <a:off x="17931329" y="22407205"/>
          <a:ext cx="497381" cy="145556"/>
        </a:xfrm>
        <a:prstGeom prst="line">
          <a:avLst/>
        </a:prstGeom>
        <a:noFill/>
        <a:ln w="3175">
          <a:solidFill>
            <a:srgbClr val="000000"/>
          </a:solidFill>
          <a:round/>
          <a:headEnd/>
          <a:tailEnd/>
        </a:ln>
      </xdr:spPr>
    </xdr:sp>
    <xdr:clientData/>
  </xdr:twoCellAnchor>
  <xdr:twoCellAnchor>
    <xdr:from>
      <xdr:col>30</xdr:col>
      <xdr:colOff>44304</xdr:colOff>
      <xdr:row>147</xdr:row>
      <xdr:rowOff>33918</xdr:rowOff>
    </xdr:from>
    <xdr:to>
      <xdr:col>30</xdr:col>
      <xdr:colOff>140710</xdr:colOff>
      <xdr:row>147</xdr:row>
      <xdr:rowOff>140167</xdr:rowOff>
    </xdr:to>
    <xdr:sp macro="" textlink="">
      <xdr:nvSpPr>
        <xdr:cNvPr id="546" name="Line 102"/>
        <xdr:cNvSpPr>
          <a:spLocks noChangeShapeType="1"/>
        </xdr:cNvSpPr>
      </xdr:nvSpPr>
      <xdr:spPr bwMode="auto">
        <a:xfrm flipV="1">
          <a:off x="18332304" y="22436718"/>
          <a:ext cx="96406" cy="106249"/>
        </a:xfrm>
        <a:prstGeom prst="line">
          <a:avLst/>
        </a:prstGeom>
        <a:noFill/>
        <a:ln w="3175">
          <a:solidFill>
            <a:srgbClr val="000000"/>
          </a:solidFill>
          <a:round/>
          <a:headEnd/>
          <a:tailEnd/>
        </a:ln>
      </xdr:spPr>
    </xdr:sp>
    <xdr:clientData/>
  </xdr:twoCellAnchor>
  <xdr:twoCellAnchor>
    <xdr:from>
      <xdr:col>29</xdr:col>
      <xdr:colOff>252929</xdr:colOff>
      <xdr:row>146</xdr:row>
      <xdr:rowOff>21579</xdr:rowOff>
    </xdr:from>
    <xdr:to>
      <xdr:col>30</xdr:col>
      <xdr:colOff>140710</xdr:colOff>
      <xdr:row>147</xdr:row>
      <xdr:rowOff>24260</xdr:rowOff>
    </xdr:to>
    <xdr:sp macro="" textlink="">
      <xdr:nvSpPr>
        <xdr:cNvPr id="547" name="Line 103"/>
        <xdr:cNvSpPr>
          <a:spLocks noChangeShapeType="1"/>
        </xdr:cNvSpPr>
      </xdr:nvSpPr>
      <xdr:spPr bwMode="auto">
        <a:xfrm flipV="1">
          <a:off x="17931329" y="22271979"/>
          <a:ext cx="497381" cy="155081"/>
        </a:xfrm>
        <a:prstGeom prst="line">
          <a:avLst/>
        </a:prstGeom>
        <a:noFill/>
        <a:ln w="3175">
          <a:solidFill>
            <a:srgbClr val="000000"/>
          </a:solidFill>
          <a:round/>
          <a:headEnd/>
          <a:tailEnd/>
        </a:ln>
      </xdr:spPr>
    </xdr:sp>
    <xdr:clientData/>
  </xdr:twoCellAnchor>
  <xdr:twoCellAnchor>
    <xdr:from>
      <xdr:col>29</xdr:col>
      <xdr:colOff>252929</xdr:colOff>
      <xdr:row>136</xdr:row>
      <xdr:rowOff>101021</xdr:rowOff>
    </xdr:from>
    <xdr:to>
      <xdr:col>30</xdr:col>
      <xdr:colOff>140710</xdr:colOff>
      <xdr:row>137</xdr:row>
      <xdr:rowOff>103702</xdr:rowOff>
    </xdr:to>
    <xdr:sp macro="" textlink="">
      <xdr:nvSpPr>
        <xdr:cNvPr id="548" name="Line 104"/>
        <xdr:cNvSpPr>
          <a:spLocks noChangeShapeType="1"/>
        </xdr:cNvSpPr>
      </xdr:nvSpPr>
      <xdr:spPr bwMode="auto">
        <a:xfrm flipV="1">
          <a:off x="17931329" y="20827421"/>
          <a:ext cx="497381" cy="155081"/>
        </a:xfrm>
        <a:prstGeom prst="line">
          <a:avLst/>
        </a:prstGeom>
        <a:noFill/>
        <a:ln w="3175">
          <a:solidFill>
            <a:srgbClr val="000000"/>
          </a:solidFill>
          <a:round/>
          <a:headEnd/>
          <a:tailEnd/>
        </a:ln>
      </xdr:spPr>
    </xdr:sp>
    <xdr:clientData/>
  </xdr:twoCellAnchor>
  <xdr:twoCellAnchor>
    <xdr:from>
      <xdr:col>29</xdr:col>
      <xdr:colOff>252929</xdr:colOff>
      <xdr:row>136</xdr:row>
      <xdr:rowOff>168634</xdr:rowOff>
    </xdr:from>
    <xdr:to>
      <xdr:col>30</xdr:col>
      <xdr:colOff>140710</xdr:colOff>
      <xdr:row>137</xdr:row>
      <xdr:rowOff>171315</xdr:rowOff>
    </xdr:to>
    <xdr:sp macro="" textlink="">
      <xdr:nvSpPr>
        <xdr:cNvPr id="549" name="Line 105"/>
        <xdr:cNvSpPr>
          <a:spLocks noChangeShapeType="1"/>
        </xdr:cNvSpPr>
      </xdr:nvSpPr>
      <xdr:spPr bwMode="auto">
        <a:xfrm flipV="1">
          <a:off x="17931329" y="20875984"/>
          <a:ext cx="497381" cy="155081"/>
        </a:xfrm>
        <a:prstGeom prst="line">
          <a:avLst/>
        </a:prstGeom>
        <a:noFill/>
        <a:ln w="3175">
          <a:solidFill>
            <a:srgbClr val="000000"/>
          </a:solidFill>
          <a:round/>
          <a:headEnd/>
          <a:tailEnd/>
        </a:ln>
      </xdr:spPr>
    </xdr:sp>
    <xdr:clientData/>
  </xdr:twoCellAnchor>
  <xdr:twoCellAnchor>
    <xdr:from>
      <xdr:col>29</xdr:col>
      <xdr:colOff>252929</xdr:colOff>
      <xdr:row>137</xdr:row>
      <xdr:rowOff>45748</xdr:rowOff>
    </xdr:from>
    <xdr:to>
      <xdr:col>30</xdr:col>
      <xdr:colOff>140710</xdr:colOff>
      <xdr:row>138</xdr:row>
      <xdr:rowOff>48429</xdr:rowOff>
    </xdr:to>
    <xdr:sp macro="" textlink="">
      <xdr:nvSpPr>
        <xdr:cNvPr id="550" name="Line 106"/>
        <xdr:cNvSpPr>
          <a:spLocks noChangeShapeType="1"/>
        </xdr:cNvSpPr>
      </xdr:nvSpPr>
      <xdr:spPr bwMode="auto">
        <a:xfrm flipV="1">
          <a:off x="17931329" y="20924548"/>
          <a:ext cx="497381" cy="155081"/>
        </a:xfrm>
        <a:prstGeom prst="line">
          <a:avLst/>
        </a:prstGeom>
        <a:noFill/>
        <a:ln w="3175">
          <a:solidFill>
            <a:srgbClr val="000000"/>
          </a:solidFill>
          <a:round/>
          <a:headEnd/>
          <a:tailEnd/>
        </a:ln>
      </xdr:spPr>
    </xdr:sp>
    <xdr:clientData/>
  </xdr:twoCellAnchor>
  <xdr:twoCellAnchor>
    <xdr:from>
      <xdr:col>29</xdr:col>
      <xdr:colOff>252929</xdr:colOff>
      <xdr:row>136</xdr:row>
      <xdr:rowOff>33409</xdr:rowOff>
    </xdr:from>
    <xdr:to>
      <xdr:col>30</xdr:col>
      <xdr:colOff>140710</xdr:colOff>
      <xdr:row>137</xdr:row>
      <xdr:rowOff>36090</xdr:rowOff>
    </xdr:to>
    <xdr:sp macro="" textlink="">
      <xdr:nvSpPr>
        <xdr:cNvPr id="551" name="Line 107"/>
        <xdr:cNvSpPr>
          <a:spLocks noChangeShapeType="1"/>
        </xdr:cNvSpPr>
      </xdr:nvSpPr>
      <xdr:spPr bwMode="auto">
        <a:xfrm flipV="1">
          <a:off x="17931329" y="20759809"/>
          <a:ext cx="497381" cy="155081"/>
        </a:xfrm>
        <a:prstGeom prst="line">
          <a:avLst/>
        </a:prstGeom>
        <a:noFill/>
        <a:ln w="3175">
          <a:solidFill>
            <a:srgbClr val="000000"/>
          </a:solidFill>
          <a:round/>
          <a:headEnd/>
          <a:tailEnd/>
        </a:ln>
      </xdr:spPr>
    </xdr:sp>
    <xdr:clientData/>
  </xdr:twoCellAnchor>
  <xdr:twoCellAnchor>
    <xdr:from>
      <xdr:col>29</xdr:col>
      <xdr:colOff>252929</xdr:colOff>
      <xdr:row>135</xdr:row>
      <xdr:rowOff>21069</xdr:rowOff>
    </xdr:from>
    <xdr:to>
      <xdr:col>30</xdr:col>
      <xdr:colOff>140710</xdr:colOff>
      <xdr:row>136</xdr:row>
      <xdr:rowOff>23750</xdr:rowOff>
    </xdr:to>
    <xdr:sp macro="" textlink="">
      <xdr:nvSpPr>
        <xdr:cNvPr id="552" name="Line 108"/>
        <xdr:cNvSpPr>
          <a:spLocks noChangeShapeType="1"/>
        </xdr:cNvSpPr>
      </xdr:nvSpPr>
      <xdr:spPr bwMode="auto">
        <a:xfrm flipV="1">
          <a:off x="17931329" y="20595069"/>
          <a:ext cx="497381" cy="155081"/>
        </a:xfrm>
        <a:prstGeom prst="line">
          <a:avLst/>
        </a:prstGeom>
        <a:noFill/>
        <a:ln w="3175">
          <a:solidFill>
            <a:srgbClr val="000000"/>
          </a:solidFill>
          <a:round/>
          <a:headEnd/>
          <a:tailEnd/>
        </a:ln>
      </xdr:spPr>
    </xdr:sp>
    <xdr:clientData/>
  </xdr:twoCellAnchor>
  <xdr:twoCellAnchor>
    <xdr:from>
      <xdr:col>29</xdr:col>
      <xdr:colOff>252929</xdr:colOff>
      <xdr:row>135</xdr:row>
      <xdr:rowOff>88682</xdr:rowOff>
    </xdr:from>
    <xdr:to>
      <xdr:col>30</xdr:col>
      <xdr:colOff>140710</xdr:colOff>
      <xdr:row>136</xdr:row>
      <xdr:rowOff>91363</xdr:rowOff>
    </xdr:to>
    <xdr:sp macro="" textlink="">
      <xdr:nvSpPr>
        <xdr:cNvPr id="553" name="Line 109"/>
        <xdr:cNvSpPr>
          <a:spLocks noChangeShapeType="1"/>
        </xdr:cNvSpPr>
      </xdr:nvSpPr>
      <xdr:spPr bwMode="auto">
        <a:xfrm flipV="1">
          <a:off x="17931329" y="20662682"/>
          <a:ext cx="497381" cy="155081"/>
        </a:xfrm>
        <a:prstGeom prst="line">
          <a:avLst/>
        </a:prstGeom>
        <a:noFill/>
        <a:ln w="3175">
          <a:solidFill>
            <a:srgbClr val="000000"/>
          </a:solidFill>
          <a:round/>
          <a:headEnd/>
          <a:tailEnd/>
        </a:ln>
      </xdr:spPr>
    </xdr:sp>
    <xdr:clientData/>
  </xdr:twoCellAnchor>
  <xdr:twoCellAnchor>
    <xdr:from>
      <xdr:col>29</xdr:col>
      <xdr:colOff>252929</xdr:colOff>
      <xdr:row>135</xdr:row>
      <xdr:rowOff>156295</xdr:rowOff>
    </xdr:from>
    <xdr:to>
      <xdr:col>30</xdr:col>
      <xdr:colOff>140710</xdr:colOff>
      <xdr:row>136</xdr:row>
      <xdr:rowOff>158976</xdr:rowOff>
    </xdr:to>
    <xdr:sp macro="" textlink="">
      <xdr:nvSpPr>
        <xdr:cNvPr id="554" name="Line 110"/>
        <xdr:cNvSpPr>
          <a:spLocks noChangeShapeType="1"/>
        </xdr:cNvSpPr>
      </xdr:nvSpPr>
      <xdr:spPr bwMode="auto">
        <a:xfrm flipV="1">
          <a:off x="17931329" y="20730295"/>
          <a:ext cx="497381" cy="145556"/>
        </a:xfrm>
        <a:prstGeom prst="line">
          <a:avLst/>
        </a:prstGeom>
        <a:noFill/>
        <a:ln w="3175">
          <a:solidFill>
            <a:srgbClr val="000000"/>
          </a:solidFill>
          <a:round/>
          <a:headEnd/>
          <a:tailEnd/>
        </a:ln>
      </xdr:spPr>
    </xdr:sp>
    <xdr:clientData/>
  </xdr:twoCellAnchor>
  <xdr:twoCellAnchor>
    <xdr:from>
      <xdr:col>29</xdr:col>
      <xdr:colOff>252929</xdr:colOff>
      <xdr:row>134</xdr:row>
      <xdr:rowOff>143955</xdr:rowOff>
    </xdr:from>
    <xdr:to>
      <xdr:col>30</xdr:col>
      <xdr:colOff>140710</xdr:colOff>
      <xdr:row>135</xdr:row>
      <xdr:rowOff>146636</xdr:rowOff>
    </xdr:to>
    <xdr:sp macro="" textlink="">
      <xdr:nvSpPr>
        <xdr:cNvPr id="555" name="Line 111"/>
        <xdr:cNvSpPr>
          <a:spLocks noChangeShapeType="1"/>
        </xdr:cNvSpPr>
      </xdr:nvSpPr>
      <xdr:spPr bwMode="auto">
        <a:xfrm flipV="1">
          <a:off x="17931329" y="20565555"/>
          <a:ext cx="497381" cy="155081"/>
        </a:xfrm>
        <a:prstGeom prst="line">
          <a:avLst/>
        </a:prstGeom>
        <a:noFill/>
        <a:ln w="3175">
          <a:solidFill>
            <a:srgbClr val="000000"/>
          </a:solidFill>
          <a:round/>
          <a:headEnd/>
          <a:tailEnd/>
        </a:ln>
      </xdr:spPr>
    </xdr:sp>
    <xdr:clientData/>
  </xdr:twoCellAnchor>
  <xdr:twoCellAnchor>
    <xdr:from>
      <xdr:col>23</xdr:col>
      <xdr:colOff>261039</xdr:colOff>
      <xdr:row>139</xdr:row>
      <xdr:rowOff>70427</xdr:rowOff>
    </xdr:from>
    <xdr:to>
      <xdr:col>25</xdr:col>
      <xdr:colOff>26961</xdr:colOff>
      <xdr:row>139</xdr:row>
      <xdr:rowOff>70427</xdr:rowOff>
    </xdr:to>
    <xdr:sp macro="" textlink="">
      <xdr:nvSpPr>
        <xdr:cNvPr id="556" name="Line 112"/>
        <xdr:cNvSpPr>
          <a:spLocks noChangeShapeType="1"/>
        </xdr:cNvSpPr>
      </xdr:nvSpPr>
      <xdr:spPr bwMode="auto">
        <a:xfrm>
          <a:off x="14281839" y="21254027"/>
          <a:ext cx="985122" cy="0"/>
        </a:xfrm>
        <a:prstGeom prst="line">
          <a:avLst/>
        </a:prstGeom>
        <a:noFill/>
        <a:ln w="12700">
          <a:solidFill>
            <a:srgbClr val="000000"/>
          </a:solidFill>
          <a:round/>
          <a:headEnd/>
          <a:tailEnd type="stealth" w="med" len="med"/>
        </a:ln>
      </xdr:spPr>
    </xdr:sp>
    <xdr:clientData/>
  </xdr:twoCellAnchor>
  <xdr:twoCellAnchor>
    <xdr:from>
      <xdr:col>25</xdr:col>
      <xdr:colOff>17320</xdr:colOff>
      <xdr:row>138</xdr:row>
      <xdr:rowOff>173996</xdr:rowOff>
    </xdr:from>
    <xdr:to>
      <xdr:col>25</xdr:col>
      <xdr:colOff>171570</xdr:colOff>
      <xdr:row>140</xdr:row>
      <xdr:rowOff>121403</xdr:rowOff>
    </xdr:to>
    <xdr:sp macro="" textlink="">
      <xdr:nvSpPr>
        <xdr:cNvPr id="557" name="Text Box 113"/>
        <xdr:cNvSpPr txBox="1">
          <a:spLocks noChangeArrowheads="1"/>
        </xdr:cNvSpPr>
      </xdr:nvSpPr>
      <xdr:spPr bwMode="auto">
        <a:xfrm>
          <a:off x="15257320" y="21186146"/>
          <a:ext cx="154250" cy="271257"/>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23</xdr:col>
      <xdr:colOff>261039</xdr:colOff>
      <xdr:row>139</xdr:row>
      <xdr:rowOff>70427</xdr:rowOff>
    </xdr:from>
    <xdr:to>
      <xdr:col>23</xdr:col>
      <xdr:colOff>261039</xdr:colOff>
      <xdr:row>141</xdr:row>
      <xdr:rowOff>133742</xdr:rowOff>
    </xdr:to>
    <xdr:sp macro="" textlink="">
      <xdr:nvSpPr>
        <xdr:cNvPr id="558" name="Line 114"/>
        <xdr:cNvSpPr>
          <a:spLocks noChangeShapeType="1"/>
        </xdr:cNvSpPr>
      </xdr:nvSpPr>
      <xdr:spPr bwMode="auto">
        <a:xfrm>
          <a:off x="14281839" y="21254027"/>
          <a:ext cx="0" cy="368115"/>
        </a:xfrm>
        <a:prstGeom prst="line">
          <a:avLst/>
        </a:prstGeom>
        <a:noFill/>
        <a:ln w="12700">
          <a:solidFill>
            <a:srgbClr val="000000"/>
          </a:solidFill>
          <a:round/>
          <a:headEnd/>
          <a:tailEnd type="stealth" w="med" len="med"/>
        </a:ln>
      </xdr:spPr>
    </xdr:sp>
    <xdr:clientData/>
  </xdr:twoCellAnchor>
  <xdr:twoCellAnchor>
    <xdr:from>
      <xdr:col>23</xdr:col>
      <xdr:colOff>68226</xdr:colOff>
      <xdr:row>138</xdr:row>
      <xdr:rowOff>106383</xdr:rowOff>
    </xdr:from>
    <xdr:to>
      <xdr:col>23</xdr:col>
      <xdr:colOff>270679</xdr:colOff>
      <xdr:row>139</xdr:row>
      <xdr:rowOff>109064</xdr:rowOff>
    </xdr:to>
    <xdr:sp macro="" textlink="">
      <xdr:nvSpPr>
        <xdr:cNvPr id="559" name="Text Box 115"/>
        <xdr:cNvSpPr txBox="1">
          <a:spLocks noChangeArrowheads="1"/>
        </xdr:cNvSpPr>
      </xdr:nvSpPr>
      <xdr:spPr bwMode="auto">
        <a:xfrm>
          <a:off x="14089026" y="21137583"/>
          <a:ext cx="202453" cy="155081"/>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23</xdr:col>
      <xdr:colOff>68226</xdr:colOff>
      <xdr:row>141</xdr:row>
      <xdr:rowOff>104766</xdr:rowOff>
    </xdr:from>
    <xdr:to>
      <xdr:col>24</xdr:col>
      <xdr:colOff>129538</xdr:colOff>
      <xdr:row>142</xdr:row>
      <xdr:rowOff>88129</xdr:rowOff>
    </xdr:to>
    <xdr:sp macro="" textlink="">
      <xdr:nvSpPr>
        <xdr:cNvPr id="560" name="Text Box 116"/>
        <xdr:cNvSpPr txBox="1">
          <a:spLocks noChangeArrowheads="1"/>
        </xdr:cNvSpPr>
      </xdr:nvSpPr>
      <xdr:spPr bwMode="auto">
        <a:xfrm>
          <a:off x="14089026" y="21593166"/>
          <a:ext cx="670912" cy="13576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Wt</a:t>
          </a:r>
          <a:r>
            <a:rPr lang="de-DE" altLang="ja-JP" sz="900" b="1" i="0" strike="noStrike">
              <a:solidFill>
                <a:srgbClr val="000000"/>
              </a:solidFill>
              <a:latin typeface="ＭＳ Ｐ明朝"/>
              <a:ea typeface="ＭＳ Ｐ明朝"/>
            </a:rPr>
            <a:t>+</a:t>
          </a:r>
          <a:r>
            <a:rPr lang="de-DE" altLang="ja-JP" sz="900" b="1" i="0" strike="noStrike">
              <a:solidFill>
                <a:srgbClr val="000000"/>
              </a:solidFill>
              <a:latin typeface="Times New Roman"/>
              <a:cs typeface="Times New Roman"/>
            </a:rPr>
            <a:t>Fv</a:t>
          </a:r>
        </a:p>
      </xdr:txBody>
    </xdr:sp>
    <xdr:clientData/>
  </xdr:twoCellAnchor>
  <xdr:twoCellAnchor>
    <xdr:from>
      <xdr:col>23</xdr:col>
      <xdr:colOff>261039</xdr:colOff>
      <xdr:row>131</xdr:row>
      <xdr:rowOff>164891</xdr:rowOff>
    </xdr:from>
    <xdr:to>
      <xdr:col>23</xdr:col>
      <xdr:colOff>261039</xdr:colOff>
      <xdr:row>139</xdr:row>
      <xdr:rowOff>60769</xdr:rowOff>
    </xdr:to>
    <xdr:sp macro="" textlink="">
      <xdr:nvSpPr>
        <xdr:cNvPr id="561" name="Line 117"/>
        <xdr:cNvSpPr>
          <a:spLocks noChangeShapeType="1"/>
        </xdr:cNvSpPr>
      </xdr:nvSpPr>
      <xdr:spPr bwMode="auto">
        <a:xfrm>
          <a:off x="14281839" y="20119766"/>
          <a:ext cx="0" cy="1124603"/>
        </a:xfrm>
        <a:prstGeom prst="line">
          <a:avLst/>
        </a:prstGeom>
        <a:noFill/>
        <a:ln w="6350">
          <a:solidFill>
            <a:srgbClr val="000000"/>
          </a:solidFill>
          <a:prstDash val="lgDashDot"/>
          <a:round/>
          <a:headEnd/>
          <a:tailEnd/>
        </a:ln>
      </xdr:spPr>
    </xdr:sp>
    <xdr:clientData/>
  </xdr:twoCellAnchor>
  <xdr:twoCellAnchor>
    <xdr:from>
      <xdr:col>23</xdr:col>
      <xdr:colOff>261039</xdr:colOff>
      <xdr:row>132</xdr:row>
      <xdr:rowOff>51662</xdr:rowOff>
    </xdr:from>
    <xdr:to>
      <xdr:col>25</xdr:col>
      <xdr:colOff>210133</xdr:colOff>
      <xdr:row>132</xdr:row>
      <xdr:rowOff>51662</xdr:rowOff>
    </xdr:to>
    <xdr:sp macro="" textlink="">
      <xdr:nvSpPr>
        <xdr:cNvPr id="562" name="Line 118"/>
        <xdr:cNvSpPr>
          <a:spLocks noChangeShapeType="1"/>
        </xdr:cNvSpPr>
      </xdr:nvSpPr>
      <xdr:spPr bwMode="auto">
        <a:xfrm>
          <a:off x="14281839" y="20168462"/>
          <a:ext cx="1168294" cy="0"/>
        </a:xfrm>
        <a:prstGeom prst="line">
          <a:avLst/>
        </a:prstGeom>
        <a:noFill/>
        <a:ln w="6350">
          <a:solidFill>
            <a:srgbClr val="000000"/>
          </a:solidFill>
          <a:round/>
          <a:headEnd type="triangle" w="sm" len="med"/>
          <a:tailEnd type="triangle" w="sm" len="med"/>
        </a:ln>
      </xdr:spPr>
    </xdr:sp>
    <xdr:clientData/>
  </xdr:twoCellAnchor>
  <xdr:twoCellAnchor>
    <xdr:from>
      <xdr:col>24</xdr:col>
      <xdr:colOff>33132</xdr:colOff>
      <xdr:row>131</xdr:row>
      <xdr:rowOff>87618</xdr:rowOff>
    </xdr:from>
    <xdr:to>
      <xdr:col>25</xdr:col>
      <xdr:colOff>36601</xdr:colOff>
      <xdr:row>132</xdr:row>
      <xdr:rowOff>80639</xdr:rowOff>
    </xdr:to>
    <xdr:sp macro="" textlink="">
      <xdr:nvSpPr>
        <xdr:cNvPr id="563" name="Text Box 119"/>
        <xdr:cNvSpPr txBox="1">
          <a:spLocks noChangeArrowheads="1"/>
        </xdr:cNvSpPr>
      </xdr:nvSpPr>
      <xdr:spPr bwMode="auto">
        <a:xfrm>
          <a:off x="14663532" y="20052018"/>
          <a:ext cx="613069" cy="145421"/>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14</xdr:col>
      <xdr:colOff>284957</xdr:colOff>
      <xdr:row>145</xdr:row>
      <xdr:rowOff>144466</xdr:rowOff>
    </xdr:from>
    <xdr:to>
      <xdr:col>19</xdr:col>
      <xdr:colOff>102165</xdr:colOff>
      <xdr:row>145</xdr:row>
      <xdr:rowOff>144466</xdr:rowOff>
    </xdr:to>
    <xdr:sp macro="" textlink="">
      <xdr:nvSpPr>
        <xdr:cNvPr id="564" name="Line 120"/>
        <xdr:cNvSpPr>
          <a:spLocks noChangeShapeType="1"/>
        </xdr:cNvSpPr>
      </xdr:nvSpPr>
      <xdr:spPr bwMode="auto">
        <a:xfrm>
          <a:off x="8819357" y="22242466"/>
          <a:ext cx="2865208" cy="0"/>
        </a:xfrm>
        <a:prstGeom prst="line">
          <a:avLst/>
        </a:prstGeom>
        <a:noFill/>
        <a:ln w="6350">
          <a:solidFill>
            <a:srgbClr val="000000"/>
          </a:solidFill>
          <a:round/>
          <a:headEnd/>
          <a:tailEnd/>
        </a:ln>
      </xdr:spPr>
    </xdr:sp>
    <xdr:clientData/>
  </xdr:twoCellAnchor>
  <xdr:twoCellAnchor>
    <xdr:from>
      <xdr:col>27</xdr:col>
      <xdr:colOff>111023</xdr:colOff>
      <xdr:row>139</xdr:row>
      <xdr:rowOff>70427</xdr:rowOff>
    </xdr:from>
    <xdr:to>
      <xdr:col>28</xdr:col>
      <xdr:colOff>210898</xdr:colOff>
      <xdr:row>139</xdr:row>
      <xdr:rowOff>70427</xdr:rowOff>
    </xdr:to>
    <xdr:sp macro="" textlink="">
      <xdr:nvSpPr>
        <xdr:cNvPr id="565" name="Line 121"/>
        <xdr:cNvSpPr>
          <a:spLocks noChangeShapeType="1"/>
        </xdr:cNvSpPr>
      </xdr:nvSpPr>
      <xdr:spPr bwMode="auto">
        <a:xfrm>
          <a:off x="16570223" y="21254027"/>
          <a:ext cx="709475" cy="0"/>
        </a:xfrm>
        <a:prstGeom prst="line">
          <a:avLst/>
        </a:prstGeom>
        <a:noFill/>
        <a:ln w="12700">
          <a:solidFill>
            <a:srgbClr val="000000"/>
          </a:solidFill>
          <a:round/>
          <a:headEnd type="stealth" w="med" len="med"/>
          <a:tailEnd/>
        </a:ln>
      </xdr:spPr>
    </xdr:sp>
    <xdr:clientData/>
  </xdr:twoCellAnchor>
  <xdr:twoCellAnchor>
    <xdr:from>
      <xdr:col>26</xdr:col>
      <xdr:colOff>223242</xdr:colOff>
      <xdr:row>138</xdr:row>
      <xdr:rowOff>173996</xdr:rowOff>
    </xdr:from>
    <xdr:to>
      <xdr:col>27</xdr:col>
      <xdr:colOff>91742</xdr:colOff>
      <xdr:row>140</xdr:row>
      <xdr:rowOff>121403</xdr:rowOff>
    </xdr:to>
    <xdr:sp macro="" textlink="">
      <xdr:nvSpPr>
        <xdr:cNvPr id="566" name="Text Box 122"/>
        <xdr:cNvSpPr txBox="1">
          <a:spLocks noChangeArrowheads="1"/>
        </xdr:cNvSpPr>
      </xdr:nvSpPr>
      <xdr:spPr bwMode="auto">
        <a:xfrm>
          <a:off x="16072842" y="21186146"/>
          <a:ext cx="478100" cy="271257"/>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26</xdr:col>
      <xdr:colOff>78632</xdr:colOff>
      <xdr:row>146</xdr:row>
      <xdr:rowOff>2261</xdr:rowOff>
    </xdr:from>
    <xdr:to>
      <xdr:col>26</xdr:col>
      <xdr:colOff>78632</xdr:colOff>
      <xdr:row>147</xdr:row>
      <xdr:rowOff>169145</xdr:rowOff>
    </xdr:to>
    <xdr:sp macro="" textlink="">
      <xdr:nvSpPr>
        <xdr:cNvPr id="567" name="Line 123"/>
        <xdr:cNvSpPr>
          <a:spLocks noChangeShapeType="1"/>
        </xdr:cNvSpPr>
      </xdr:nvSpPr>
      <xdr:spPr bwMode="auto">
        <a:xfrm>
          <a:off x="15928232" y="22252661"/>
          <a:ext cx="0" cy="300234"/>
        </a:xfrm>
        <a:prstGeom prst="line">
          <a:avLst/>
        </a:prstGeom>
        <a:noFill/>
        <a:ln w="3175">
          <a:solidFill>
            <a:srgbClr val="000000"/>
          </a:solidFill>
          <a:round/>
          <a:headEnd/>
          <a:tailEnd/>
        </a:ln>
      </xdr:spPr>
    </xdr:sp>
    <xdr:clientData/>
  </xdr:twoCellAnchor>
  <xdr:twoCellAnchor>
    <xdr:from>
      <xdr:col>20</xdr:col>
      <xdr:colOff>52418</xdr:colOff>
      <xdr:row>147</xdr:row>
      <xdr:rowOff>62896</xdr:rowOff>
    </xdr:from>
    <xdr:to>
      <xdr:col>26</xdr:col>
      <xdr:colOff>78632</xdr:colOff>
      <xdr:row>147</xdr:row>
      <xdr:rowOff>62896</xdr:rowOff>
    </xdr:to>
    <xdr:sp macro="" textlink="">
      <xdr:nvSpPr>
        <xdr:cNvPr id="568" name="Line 124"/>
        <xdr:cNvSpPr>
          <a:spLocks noChangeShapeType="1"/>
        </xdr:cNvSpPr>
      </xdr:nvSpPr>
      <xdr:spPr bwMode="auto">
        <a:xfrm>
          <a:off x="12244418" y="22465696"/>
          <a:ext cx="3683814" cy="0"/>
        </a:xfrm>
        <a:prstGeom prst="line">
          <a:avLst/>
        </a:prstGeom>
        <a:noFill/>
        <a:ln w="6350">
          <a:solidFill>
            <a:srgbClr val="000000"/>
          </a:solidFill>
          <a:round/>
          <a:headEnd type="triangle" w="sm" len="med"/>
          <a:tailEnd type="triangle" w="sm" len="med"/>
        </a:ln>
      </xdr:spPr>
    </xdr:sp>
    <xdr:clientData/>
  </xdr:twoCellAnchor>
  <xdr:twoCellAnchor>
    <xdr:from>
      <xdr:col>23</xdr:col>
      <xdr:colOff>183914</xdr:colOff>
      <xdr:row>146</xdr:row>
      <xdr:rowOff>118169</xdr:rowOff>
    </xdr:from>
    <xdr:to>
      <xdr:col>24</xdr:col>
      <xdr:colOff>23492</xdr:colOff>
      <xdr:row>147</xdr:row>
      <xdr:rowOff>101532</xdr:rowOff>
    </xdr:to>
    <xdr:sp macro="" textlink="">
      <xdr:nvSpPr>
        <xdr:cNvPr id="569" name="Text Box 125"/>
        <xdr:cNvSpPr txBox="1">
          <a:spLocks noChangeArrowheads="1"/>
        </xdr:cNvSpPr>
      </xdr:nvSpPr>
      <xdr:spPr bwMode="auto">
        <a:xfrm>
          <a:off x="14204714" y="22368569"/>
          <a:ext cx="449178" cy="13576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a:t>
          </a:r>
        </a:p>
      </xdr:txBody>
    </xdr:sp>
    <xdr:clientData/>
  </xdr:twoCellAnchor>
  <xdr:twoCellAnchor>
    <xdr:from>
      <xdr:col>17</xdr:col>
      <xdr:colOff>5375</xdr:colOff>
      <xdr:row>133</xdr:row>
      <xdr:rowOff>189570</xdr:rowOff>
    </xdr:from>
    <xdr:to>
      <xdr:col>17</xdr:col>
      <xdr:colOff>5375</xdr:colOff>
      <xdr:row>145</xdr:row>
      <xdr:rowOff>9239</xdr:rowOff>
    </xdr:to>
    <xdr:sp macro="" textlink="">
      <xdr:nvSpPr>
        <xdr:cNvPr id="570" name="Line 126"/>
        <xdr:cNvSpPr>
          <a:spLocks noChangeShapeType="1"/>
        </xdr:cNvSpPr>
      </xdr:nvSpPr>
      <xdr:spPr bwMode="auto">
        <a:xfrm>
          <a:off x="10368575" y="20420670"/>
          <a:ext cx="0" cy="1686569"/>
        </a:xfrm>
        <a:prstGeom prst="line">
          <a:avLst/>
        </a:prstGeom>
        <a:noFill/>
        <a:ln w="3175">
          <a:solidFill>
            <a:srgbClr val="000000"/>
          </a:solidFill>
          <a:round/>
          <a:headEnd type="triangle" w="sm" len="med"/>
          <a:tailEnd type="triangle" w="sm" len="med"/>
        </a:ln>
      </xdr:spPr>
    </xdr:sp>
    <xdr:clientData/>
  </xdr:twoCellAnchor>
  <xdr:twoCellAnchor>
    <xdr:from>
      <xdr:col>25</xdr:col>
      <xdr:colOff>46242</xdr:colOff>
      <xdr:row>134</xdr:row>
      <xdr:rowOff>37706</xdr:rowOff>
    </xdr:from>
    <xdr:to>
      <xdr:col>25</xdr:col>
      <xdr:colOff>190851</xdr:colOff>
      <xdr:row>136</xdr:row>
      <xdr:rowOff>43067</xdr:rowOff>
    </xdr:to>
    <xdr:sp macro="" textlink="">
      <xdr:nvSpPr>
        <xdr:cNvPr id="571" name="Line 127"/>
        <xdr:cNvSpPr>
          <a:spLocks noChangeShapeType="1"/>
        </xdr:cNvSpPr>
      </xdr:nvSpPr>
      <xdr:spPr bwMode="auto">
        <a:xfrm flipH="1">
          <a:off x="15286242" y="20459306"/>
          <a:ext cx="144609" cy="310161"/>
        </a:xfrm>
        <a:prstGeom prst="line">
          <a:avLst/>
        </a:prstGeom>
        <a:noFill/>
        <a:ln w="3175">
          <a:solidFill>
            <a:srgbClr val="000000"/>
          </a:solidFill>
          <a:round/>
          <a:headEnd/>
          <a:tailEnd/>
        </a:ln>
      </xdr:spPr>
    </xdr:sp>
    <xdr:clientData/>
  </xdr:twoCellAnchor>
  <xdr:twoCellAnchor>
    <xdr:from>
      <xdr:col>29</xdr:col>
      <xdr:colOff>79398</xdr:colOff>
      <xdr:row>134</xdr:row>
      <xdr:rowOff>8728</xdr:rowOff>
    </xdr:from>
    <xdr:to>
      <xdr:col>29</xdr:col>
      <xdr:colOff>233648</xdr:colOff>
      <xdr:row>136</xdr:row>
      <xdr:rowOff>43067</xdr:rowOff>
    </xdr:to>
    <xdr:sp macro="" textlink="">
      <xdr:nvSpPr>
        <xdr:cNvPr id="572" name="Line 128"/>
        <xdr:cNvSpPr>
          <a:spLocks noChangeShapeType="1"/>
        </xdr:cNvSpPr>
      </xdr:nvSpPr>
      <xdr:spPr bwMode="auto">
        <a:xfrm flipH="1">
          <a:off x="17757798" y="20430328"/>
          <a:ext cx="154250" cy="339139"/>
        </a:xfrm>
        <a:prstGeom prst="line">
          <a:avLst/>
        </a:prstGeom>
        <a:noFill/>
        <a:ln w="3175">
          <a:solidFill>
            <a:srgbClr val="000000"/>
          </a:solidFill>
          <a:round/>
          <a:headEnd/>
          <a:tailEnd/>
        </a:ln>
      </xdr:spPr>
    </xdr:sp>
    <xdr:clientData/>
  </xdr:twoCellAnchor>
  <xdr:twoCellAnchor>
    <xdr:from>
      <xdr:col>25</xdr:col>
      <xdr:colOff>46242</xdr:colOff>
      <xdr:row>136</xdr:row>
      <xdr:rowOff>43067</xdr:rowOff>
    </xdr:from>
    <xdr:to>
      <xdr:col>29</xdr:col>
      <xdr:colOff>79398</xdr:colOff>
      <xdr:row>136</xdr:row>
      <xdr:rowOff>43067</xdr:rowOff>
    </xdr:to>
    <xdr:sp macro="" textlink="">
      <xdr:nvSpPr>
        <xdr:cNvPr id="573" name="Line 129"/>
        <xdr:cNvSpPr>
          <a:spLocks noChangeShapeType="1"/>
        </xdr:cNvSpPr>
      </xdr:nvSpPr>
      <xdr:spPr bwMode="auto">
        <a:xfrm>
          <a:off x="15286242" y="20769467"/>
          <a:ext cx="2471556" cy="0"/>
        </a:xfrm>
        <a:prstGeom prst="line">
          <a:avLst/>
        </a:prstGeom>
        <a:noFill/>
        <a:ln w="3175">
          <a:solidFill>
            <a:srgbClr val="000000"/>
          </a:solidFill>
          <a:round/>
          <a:headEnd/>
          <a:tailEnd/>
        </a:ln>
      </xdr:spPr>
    </xdr:sp>
    <xdr:clientData/>
  </xdr:twoCellAnchor>
  <xdr:twoCellAnchor>
    <xdr:from>
      <xdr:col>16</xdr:col>
      <xdr:colOff>43167</xdr:colOff>
      <xdr:row>173</xdr:row>
      <xdr:rowOff>184837</xdr:rowOff>
    </xdr:from>
    <xdr:to>
      <xdr:col>24</xdr:col>
      <xdr:colOff>197023</xdr:colOff>
      <xdr:row>173</xdr:row>
      <xdr:rowOff>184837</xdr:rowOff>
    </xdr:to>
    <xdr:sp macro="" textlink="">
      <xdr:nvSpPr>
        <xdr:cNvPr id="574" name="Line 130"/>
        <xdr:cNvSpPr>
          <a:spLocks noChangeShapeType="1"/>
        </xdr:cNvSpPr>
      </xdr:nvSpPr>
      <xdr:spPr bwMode="auto">
        <a:xfrm>
          <a:off x="9796767" y="26521462"/>
          <a:ext cx="5030656" cy="0"/>
        </a:xfrm>
        <a:prstGeom prst="line">
          <a:avLst/>
        </a:prstGeom>
        <a:noFill/>
        <a:ln w="9525">
          <a:solidFill>
            <a:srgbClr val="000000"/>
          </a:solidFill>
          <a:round/>
          <a:headEnd/>
          <a:tailEnd/>
        </a:ln>
      </xdr:spPr>
    </xdr:sp>
    <xdr:clientData/>
  </xdr:twoCellAnchor>
  <xdr:twoCellAnchor>
    <xdr:from>
      <xdr:col>16</xdr:col>
      <xdr:colOff>33526</xdr:colOff>
      <xdr:row>171</xdr:row>
      <xdr:rowOff>179476</xdr:rowOff>
    </xdr:from>
    <xdr:to>
      <xdr:col>23</xdr:col>
      <xdr:colOff>20023</xdr:colOff>
      <xdr:row>171</xdr:row>
      <xdr:rowOff>179476</xdr:rowOff>
    </xdr:to>
    <xdr:sp macro="" textlink="">
      <xdr:nvSpPr>
        <xdr:cNvPr id="575" name="Line 131"/>
        <xdr:cNvSpPr>
          <a:spLocks noChangeShapeType="1"/>
        </xdr:cNvSpPr>
      </xdr:nvSpPr>
      <xdr:spPr bwMode="auto">
        <a:xfrm>
          <a:off x="9787126" y="26211301"/>
          <a:ext cx="4253697" cy="0"/>
        </a:xfrm>
        <a:prstGeom prst="line">
          <a:avLst/>
        </a:prstGeom>
        <a:noFill/>
        <a:ln w="9525">
          <a:solidFill>
            <a:srgbClr val="000000"/>
          </a:solidFill>
          <a:round/>
          <a:headEnd/>
          <a:tailEnd/>
        </a:ln>
      </xdr:spPr>
    </xdr:sp>
    <xdr:clientData/>
  </xdr:twoCellAnchor>
  <xdr:twoCellAnchor>
    <xdr:from>
      <xdr:col>9</xdr:col>
      <xdr:colOff>274554</xdr:colOff>
      <xdr:row>177</xdr:row>
      <xdr:rowOff>147266</xdr:rowOff>
    </xdr:from>
    <xdr:to>
      <xdr:col>11</xdr:col>
      <xdr:colOff>40476</xdr:colOff>
      <xdr:row>179</xdr:row>
      <xdr:rowOff>7742</xdr:rowOff>
    </xdr:to>
    <xdr:sp macro="" textlink="">
      <xdr:nvSpPr>
        <xdr:cNvPr id="576" name="Text Box 132"/>
        <xdr:cNvSpPr txBox="1">
          <a:spLocks noChangeArrowheads="1"/>
        </xdr:cNvSpPr>
      </xdr:nvSpPr>
      <xdr:spPr bwMode="auto">
        <a:xfrm>
          <a:off x="5760954" y="27122066"/>
          <a:ext cx="985122" cy="16527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99103</xdr:colOff>
      <xdr:row>181</xdr:row>
      <xdr:rowOff>51739</xdr:rowOff>
    </xdr:from>
    <xdr:to>
      <xdr:col>5</xdr:col>
      <xdr:colOff>6165</xdr:colOff>
      <xdr:row>182</xdr:row>
      <xdr:rowOff>44760</xdr:rowOff>
    </xdr:to>
    <xdr:sp macro="" textlink="">
      <xdr:nvSpPr>
        <xdr:cNvPr id="577" name="Text Box 133"/>
        <xdr:cNvSpPr txBox="1">
          <a:spLocks noChangeArrowheads="1"/>
        </xdr:cNvSpPr>
      </xdr:nvSpPr>
      <xdr:spPr bwMode="auto">
        <a:xfrm>
          <a:off x="2537503" y="27636139"/>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120304</xdr:colOff>
      <xdr:row>178</xdr:row>
      <xdr:rowOff>5060</xdr:rowOff>
    </xdr:from>
    <xdr:to>
      <xdr:col>12</xdr:col>
      <xdr:colOff>17722</xdr:colOff>
      <xdr:row>178</xdr:row>
      <xdr:rowOff>5060</xdr:rowOff>
    </xdr:to>
    <xdr:sp macro="" textlink="">
      <xdr:nvSpPr>
        <xdr:cNvPr id="578" name="Line 134"/>
        <xdr:cNvSpPr>
          <a:spLocks noChangeShapeType="1"/>
        </xdr:cNvSpPr>
      </xdr:nvSpPr>
      <xdr:spPr bwMode="auto">
        <a:xfrm>
          <a:off x="5606704" y="27132260"/>
          <a:ext cx="1726218" cy="0"/>
        </a:xfrm>
        <a:prstGeom prst="line">
          <a:avLst/>
        </a:prstGeom>
        <a:noFill/>
        <a:ln w="9525">
          <a:solidFill>
            <a:srgbClr val="000000"/>
          </a:solidFill>
          <a:round/>
          <a:headEnd/>
          <a:tailEnd/>
        </a:ln>
      </xdr:spPr>
    </xdr:sp>
    <xdr:clientData/>
  </xdr:twoCellAnchor>
  <xdr:twoCellAnchor>
    <xdr:from>
      <xdr:col>8</xdr:col>
      <xdr:colOff>10789</xdr:colOff>
      <xdr:row>170</xdr:row>
      <xdr:rowOff>99523</xdr:rowOff>
    </xdr:from>
    <xdr:to>
      <xdr:col>8</xdr:col>
      <xdr:colOff>203601</xdr:colOff>
      <xdr:row>171</xdr:row>
      <xdr:rowOff>82886</xdr:rowOff>
    </xdr:to>
    <xdr:sp macro="" textlink="">
      <xdr:nvSpPr>
        <xdr:cNvPr id="579" name="Text Box 135"/>
        <xdr:cNvSpPr txBox="1">
          <a:spLocks noChangeArrowheads="1"/>
        </xdr:cNvSpPr>
      </xdr:nvSpPr>
      <xdr:spPr bwMode="auto">
        <a:xfrm>
          <a:off x="4887589" y="26007523"/>
          <a:ext cx="19281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6165</xdr:colOff>
      <xdr:row>172</xdr:row>
      <xdr:rowOff>182157</xdr:rowOff>
    </xdr:from>
    <xdr:to>
      <xdr:col>8</xdr:col>
      <xdr:colOff>10789</xdr:colOff>
      <xdr:row>172</xdr:row>
      <xdr:rowOff>182157</xdr:rowOff>
    </xdr:to>
    <xdr:sp macro="" textlink="">
      <xdr:nvSpPr>
        <xdr:cNvPr id="580" name="Line 136"/>
        <xdr:cNvSpPr>
          <a:spLocks noChangeShapeType="1"/>
        </xdr:cNvSpPr>
      </xdr:nvSpPr>
      <xdr:spPr bwMode="auto">
        <a:xfrm>
          <a:off x="3054165" y="26366382"/>
          <a:ext cx="1833424" cy="0"/>
        </a:xfrm>
        <a:prstGeom prst="line">
          <a:avLst/>
        </a:prstGeom>
        <a:noFill/>
        <a:ln w="9525">
          <a:solidFill>
            <a:srgbClr val="000000"/>
          </a:solidFill>
          <a:round/>
          <a:headEnd/>
          <a:tailEnd/>
        </a:ln>
      </xdr:spPr>
    </xdr:sp>
    <xdr:clientData/>
  </xdr:twoCellAnchor>
  <xdr:twoCellAnchor>
    <xdr:from>
      <xdr:col>4</xdr:col>
      <xdr:colOff>99103</xdr:colOff>
      <xdr:row>179</xdr:row>
      <xdr:rowOff>123649</xdr:rowOff>
    </xdr:from>
    <xdr:to>
      <xdr:col>5</xdr:col>
      <xdr:colOff>6165</xdr:colOff>
      <xdr:row>180</xdr:row>
      <xdr:rowOff>116670</xdr:rowOff>
    </xdr:to>
    <xdr:sp macro="" textlink="">
      <xdr:nvSpPr>
        <xdr:cNvPr id="581" name="Text Box 137"/>
        <xdr:cNvSpPr txBox="1">
          <a:spLocks noChangeArrowheads="1"/>
        </xdr:cNvSpPr>
      </xdr:nvSpPr>
      <xdr:spPr bwMode="auto">
        <a:xfrm>
          <a:off x="2537503" y="27403249"/>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14</xdr:col>
      <xdr:colOff>178910</xdr:colOff>
      <xdr:row>171</xdr:row>
      <xdr:rowOff>73227</xdr:rowOff>
    </xdr:from>
    <xdr:to>
      <xdr:col>15</xdr:col>
      <xdr:colOff>83273</xdr:colOff>
      <xdr:row>172</xdr:row>
      <xdr:rowOff>114544</xdr:rowOff>
    </xdr:to>
    <xdr:sp macro="" textlink="">
      <xdr:nvSpPr>
        <xdr:cNvPr id="582" name="Text Box 138"/>
        <xdr:cNvSpPr txBox="1">
          <a:spLocks noChangeArrowheads="1"/>
        </xdr:cNvSpPr>
      </xdr:nvSpPr>
      <xdr:spPr bwMode="auto">
        <a:xfrm>
          <a:off x="8713310" y="26133627"/>
          <a:ext cx="513963" cy="193717"/>
        </a:xfrm>
        <a:prstGeom prst="rect">
          <a:avLst/>
        </a:prstGeom>
        <a:noFill/>
        <a:ln w="9525">
          <a:noFill/>
          <a:miter lim="800000"/>
          <a:headEnd/>
          <a:tailEnd/>
        </a:ln>
      </xdr:spPr>
      <xdr:txBody>
        <a:bodyPr wrap="none" lIns="18288" tIns="27432" rIns="0" bIns="0" anchor="t" upright="1">
          <a:noAutofit/>
        </a:bodyPr>
        <a:lstStyle/>
        <a:p>
          <a:pPr algn="l" rtl="1">
            <a:defRPr sz="1000"/>
          </a:pPr>
          <a:r>
            <a:rPr lang="el-GR" altLang="ja-JP" sz="12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8</xdr:col>
      <xdr:colOff>251804</xdr:colOff>
      <xdr:row>177</xdr:row>
      <xdr:rowOff>118288</xdr:rowOff>
    </xdr:from>
    <xdr:to>
      <xdr:col>9</xdr:col>
      <xdr:colOff>158866</xdr:colOff>
      <xdr:row>178</xdr:row>
      <xdr:rowOff>101651</xdr:rowOff>
    </xdr:to>
    <xdr:sp macro="" textlink="">
      <xdr:nvSpPr>
        <xdr:cNvPr id="583" name="Text Box 139"/>
        <xdr:cNvSpPr txBox="1">
          <a:spLocks noChangeArrowheads="1"/>
        </xdr:cNvSpPr>
      </xdr:nvSpPr>
      <xdr:spPr bwMode="auto">
        <a:xfrm>
          <a:off x="5128604" y="27093088"/>
          <a:ext cx="51666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6165</xdr:colOff>
      <xdr:row>170</xdr:row>
      <xdr:rowOff>176795</xdr:rowOff>
    </xdr:from>
    <xdr:to>
      <xdr:col>8</xdr:col>
      <xdr:colOff>10789</xdr:colOff>
      <xdr:row>170</xdr:row>
      <xdr:rowOff>176795</xdr:rowOff>
    </xdr:to>
    <xdr:sp macro="" textlink="">
      <xdr:nvSpPr>
        <xdr:cNvPr id="584" name="Line 140"/>
        <xdr:cNvSpPr>
          <a:spLocks noChangeShapeType="1"/>
        </xdr:cNvSpPr>
      </xdr:nvSpPr>
      <xdr:spPr bwMode="auto">
        <a:xfrm>
          <a:off x="3054165" y="26056220"/>
          <a:ext cx="1833424" cy="0"/>
        </a:xfrm>
        <a:prstGeom prst="line">
          <a:avLst/>
        </a:prstGeom>
        <a:noFill/>
        <a:ln w="9525">
          <a:solidFill>
            <a:srgbClr val="000000"/>
          </a:solidFill>
          <a:round/>
          <a:headEnd/>
          <a:tailEnd/>
        </a:ln>
      </xdr:spPr>
    </xdr:sp>
    <xdr:clientData/>
  </xdr:twoCellAnchor>
  <xdr:twoCellAnchor>
    <xdr:from>
      <xdr:col>16</xdr:col>
      <xdr:colOff>120292</xdr:colOff>
      <xdr:row>170</xdr:row>
      <xdr:rowOff>138159</xdr:rowOff>
    </xdr:from>
    <xdr:to>
      <xdr:col>23</xdr:col>
      <xdr:colOff>48945</xdr:colOff>
      <xdr:row>171</xdr:row>
      <xdr:rowOff>189135</xdr:rowOff>
    </xdr:to>
    <xdr:sp macro="" textlink="">
      <xdr:nvSpPr>
        <xdr:cNvPr id="585" name="Text Box 141"/>
        <xdr:cNvSpPr txBox="1">
          <a:spLocks noChangeArrowheads="1"/>
        </xdr:cNvSpPr>
      </xdr:nvSpPr>
      <xdr:spPr bwMode="auto">
        <a:xfrm>
          <a:off x="9873892" y="26046159"/>
          <a:ext cx="4195853" cy="165276"/>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1000" b="1" i="0" strike="noStrike">
              <a:solidFill>
                <a:srgbClr val="000000"/>
              </a:solidFill>
              <a:latin typeface="Times New Roman"/>
              <a:cs typeface="Times New Roman"/>
            </a:rPr>
            <a:t>F</a:t>
          </a:r>
          <a:r>
            <a:rPr lang="de-DE" altLang="ja-JP" sz="1100" b="1" i="0" strike="noStrike" baseline="-25000">
              <a:solidFill>
                <a:srgbClr val="000000"/>
              </a:solidFill>
              <a:latin typeface="Times New Roman"/>
              <a:cs typeface="Times New Roman"/>
            </a:rPr>
            <a:t>H</a:t>
          </a:r>
          <a:r>
            <a:rPr lang="de-DE" altLang="ja-JP" sz="1100" b="1" i="0" strike="noStrike" baseline="30000">
              <a:solidFill>
                <a:srgbClr val="000000"/>
              </a:solidFill>
              <a:latin typeface="Times New Roman"/>
              <a:cs typeface="Times New Roman"/>
            </a:rPr>
            <a:t>2 </a:t>
          </a:r>
          <a:r>
            <a:rPr lang="de-DE" altLang="ja-JP" sz="900" b="1" i="0" strike="noStrike">
              <a:solidFill>
                <a:srgbClr val="000000"/>
              </a:solidFill>
              <a:latin typeface="Times New Roman"/>
              <a:cs typeface="Times New Roman"/>
            </a:rPr>
            <a:t>+(</a:t>
          </a:r>
          <a:r>
            <a:rPr lang="de-DE" altLang="ja-JP" sz="1000" b="1" i="0" strike="noStrike">
              <a:solidFill>
                <a:srgbClr val="000000"/>
              </a:solidFill>
              <a:latin typeface="Times New Roman"/>
              <a:cs typeface="Times New Roman"/>
            </a:rPr>
            <a:t>W</a:t>
          </a:r>
          <a:r>
            <a:rPr lang="de-DE" altLang="ja-JP" sz="1100" b="1" i="0" strike="noStrike" baseline="-25000">
              <a:solidFill>
                <a:srgbClr val="000000"/>
              </a:solidFill>
              <a:latin typeface="Times New Roman"/>
              <a:cs typeface="Times New Roman"/>
            </a:rPr>
            <a:t>t</a:t>
          </a:r>
          <a:r>
            <a:rPr lang="de-DE" altLang="ja-JP" sz="900" b="1" i="0" strike="noStrike">
              <a:solidFill>
                <a:srgbClr val="000000"/>
              </a:solidFill>
              <a:latin typeface="Times New Roman"/>
              <a:cs typeface="Times New Roman"/>
            </a:rPr>
            <a:t>+</a:t>
          </a:r>
          <a:r>
            <a:rPr lang="de-DE" altLang="ja-JP" sz="1000" b="1" i="0" strike="noStrike">
              <a:solidFill>
                <a:srgbClr val="000000"/>
              </a:solidFill>
              <a:latin typeface="Times New Roman"/>
              <a:cs typeface="Times New Roman"/>
            </a:rPr>
            <a:t>F</a:t>
          </a:r>
          <a:r>
            <a:rPr lang="de-DE" altLang="ja-JP" sz="900" b="1" i="0" strike="noStrike" baseline="-25000">
              <a:solidFill>
                <a:srgbClr val="000000"/>
              </a:solidFill>
              <a:latin typeface="Times New Roman"/>
              <a:cs typeface="Times New Roman"/>
            </a:rPr>
            <a:t>V</a:t>
          </a:r>
          <a:r>
            <a:rPr lang="de-DE" altLang="ja-JP" sz="900" b="1" i="0" strike="noStrike">
              <a:solidFill>
                <a:srgbClr val="000000"/>
              </a:solidFill>
              <a:latin typeface="Times New Roman"/>
              <a:cs typeface="Times New Roman"/>
            </a:rPr>
            <a:t>)</a:t>
          </a:r>
          <a:r>
            <a:rPr lang="de-DE" altLang="ja-JP" sz="1100" b="1" i="0" strike="noStrike" baseline="30000">
              <a:solidFill>
                <a:srgbClr val="000000"/>
              </a:solidFill>
              <a:latin typeface="Times New Roman"/>
              <a:cs typeface="Times New Roman"/>
            </a:rPr>
            <a:t>2</a:t>
          </a:r>
        </a:p>
      </xdr:txBody>
    </xdr:sp>
    <xdr:clientData/>
  </xdr:twoCellAnchor>
  <xdr:twoCellAnchor>
    <xdr:from>
      <xdr:col>5</xdr:col>
      <xdr:colOff>15806</xdr:colOff>
      <xdr:row>178</xdr:row>
      <xdr:rowOff>5060</xdr:rowOff>
    </xdr:from>
    <xdr:to>
      <xdr:col>8</xdr:col>
      <xdr:colOff>280727</xdr:colOff>
      <xdr:row>178</xdr:row>
      <xdr:rowOff>5060</xdr:rowOff>
    </xdr:to>
    <xdr:sp macro="" textlink="">
      <xdr:nvSpPr>
        <xdr:cNvPr id="586" name="Line 142"/>
        <xdr:cNvSpPr>
          <a:spLocks noChangeShapeType="1"/>
        </xdr:cNvSpPr>
      </xdr:nvSpPr>
      <xdr:spPr bwMode="auto">
        <a:xfrm>
          <a:off x="3063806" y="27132260"/>
          <a:ext cx="2093721" cy="0"/>
        </a:xfrm>
        <a:prstGeom prst="line">
          <a:avLst/>
        </a:prstGeom>
        <a:noFill/>
        <a:ln w="9525">
          <a:solidFill>
            <a:srgbClr val="000000"/>
          </a:solidFill>
          <a:round/>
          <a:headEnd/>
          <a:tailEnd/>
        </a:ln>
      </xdr:spPr>
    </xdr:sp>
    <xdr:clientData/>
  </xdr:twoCellAnchor>
  <xdr:twoCellAnchor>
    <xdr:from>
      <xdr:col>5</xdr:col>
      <xdr:colOff>189337</xdr:colOff>
      <xdr:row>177</xdr:row>
      <xdr:rowOff>147266</xdr:rowOff>
    </xdr:from>
    <xdr:to>
      <xdr:col>6</xdr:col>
      <xdr:colOff>241009</xdr:colOff>
      <xdr:row>179</xdr:row>
      <xdr:rowOff>7742</xdr:rowOff>
    </xdr:to>
    <xdr:sp macro="" textlink="">
      <xdr:nvSpPr>
        <xdr:cNvPr id="587" name="Text Box 143"/>
        <xdr:cNvSpPr txBox="1">
          <a:spLocks noChangeArrowheads="1"/>
        </xdr:cNvSpPr>
      </xdr:nvSpPr>
      <xdr:spPr bwMode="auto">
        <a:xfrm>
          <a:off x="3237337" y="27122066"/>
          <a:ext cx="661272" cy="16527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99103</xdr:colOff>
      <xdr:row>172</xdr:row>
      <xdr:rowOff>104885</xdr:rowOff>
    </xdr:from>
    <xdr:to>
      <xdr:col>5</xdr:col>
      <xdr:colOff>6165</xdr:colOff>
      <xdr:row>173</xdr:row>
      <xdr:rowOff>97906</xdr:rowOff>
    </xdr:to>
    <xdr:sp macro="" textlink="">
      <xdr:nvSpPr>
        <xdr:cNvPr id="588" name="Text Box 144"/>
        <xdr:cNvSpPr txBox="1">
          <a:spLocks noChangeArrowheads="1"/>
        </xdr:cNvSpPr>
      </xdr:nvSpPr>
      <xdr:spPr bwMode="auto">
        <a:xfrm>
          <a:off x="2537503" y="26317685"/>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139586</xdr:colOff>
      <xdr:row>179</xdr:row>
      <xdr:rowOff>113991</xdr:rowOff>
    </xdr:from>
    <xdr:to>
      <xdr:col>10</xdr:col>
      <xdr:colOff>56289</xdr:colOff>
      <xdr:row>180</xdr:row>
      <xdr:rowOff>126331</xdr:rowOff>
    </xdr:to>
    <xdr:sp macro="" textlink="">
      <xdr:nvSpPr>
        <xdr:cNvPr id="589" name="Text Box 145"/>
        <xdr:cNvSpPr txBox="1">
          <a:spLocks noChangeArrowheads="1"/>
        </xdr:cNvSpPr>
      </xdr:nvSpPr>
      <xdr:spPr bwMode="auto">
        <a:xfrm>
          <a:off x="5625986" y="27393591"/>
          <a:ext cx="526303" cy="164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10</xdr:col>
      <xdr:colOff>27367</xdr:colOff>
      <xdr:row>180</xdr:row>
      <xdr:rowOff>10422</xdr:rowOff>
    </xdr:from>
    <xdr:to>
      <xdr:col>13</xdr:col>
      <xdr:colOff>18492</xdr:colOff>
      <xdr:row>180</xdr:row>
      <xdr:rowOff>10422</xdr:rowOff>
    </xdr:to>
    <xdr:sp macro="" textlink="">
      <xdr:nvSpPr>
        <xdr:cNvPr id="590" name="Line 146"/>
        <xdr:cNvSpPr>
          <a:spLocks noChangeShapeType="1"/>
        </xdr:cNvSpPr>
      </xdr:nvSpPr>
      <xdr:spPr bwMode="auto">
        <a:xfrm>
          <a:off x="6123367" y="27442422"/>
          <a:ext cx="1819925" cy="0"/>
        </a:xfrm>
        <a:prstGeom prst="line">
          <a:avLst/>
        </a:prstGeom>
        <a:noFill/>
        <a:ln w="9525">
          <a:solidFill>
            <a:srgbClr val="000000"/>
          </a:solidFill>
          <a:round/>
          <a:headEnd/>
          <a:tailEnd/>
        </a:ln>
      </xdr:spPr>
    </xdr:sp>
    <xdr:clientData/>
  </xdr:twoCellAnchor>
  <xdr:twoCellAnchor>
    <xdr:from>
      <xdr:col>5</xdr:col>
      <xdr:colOff>15806</xdr:colOff>
      <xdr:row>180</xdr:row>
      <xdr:rowOff>10422</xdr:rowOff>
    </xdr:from>
    <xdr:to>
      <xdr:col>9</xdr:col>
      <xdr:colOff>158867</xdr:colOff>
      <xdr:row>180</xdr:row>
      <xdr:rowOff>10422</xdr:rowOff>
    </xdr:to>
    <xdr:sp macro="" textlink="">
      <xdr:nvSpPr>
        <xdr:cNvPr id="591" name="Line 147"/>
        <xdr:cNvSpPr>
          <a:spLocks noChangeShapeType="1"/>
        </xdr:cNvSpPr>
      </xdr:nvSpPr>
      <xdr:spPr bwMode="auto">
        <a:xfrm>
          <a:off x="3063806" y="27442422"/>
          <a:ext cx="2581461" cy="0"/>
        </a:xfrm>
        <a:prstGeom prst="line">
          <a:avLst/>
        </a:prstGeom>
        <a:noFill/>
        <a:ln w="9525">
          <a:solidFill>
            <a:srgbClr val="000000"/>
          </a:solidFill>
          <a:round/>
          <a:headEnd/>
          <a:tailEnd/>
        </a:ln>
      </xdr:spPr>
    </xdr:sp>
    <xdr:clientData/>
  </xdr:twoCellAnchor>
  <xdr:twoCellAnchor>
    <xdr:from>
      <xdr:col>14</xdr:col>
      <xdr:colOff>275317</xdr:colOff>
      <xdr:row>175</xdr:row>
      <xdr:rowOff>25995</xdr:rowOff>
    </xdr:from>
    <xdr:to>
      <xdr:col>16</xdr:col>
      <xdr:colOff>43167</xdr:colOff>
      <xdr:row>176</xdr:row>
      <xdr:rowOff>28676</xdr:rowOff>
    </xdr:to>
    <xdr:sp macro="" textlink="">
      <xdr:nvSpPr>
        <xdr:cNvPr id="592" name="Text Box 148"/>
        <xdr:cNvSpPr txBox="1">
          <a:spLocks noChangeArrowheads="1"/>
        </xdr:cNvSpPr>
      </xdr:nvSpPr>
      <xdr:spPr bwMode="auto">
        <a:xfrm>
          <a:off x="8809717" y="26695995"/>
          <a:ext cx="987050"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224047</xdr:colOff>
      <xdr:row>170</xdr:row>
      <xdr:rowOff>80206</xdr:rowOff>
    </xdr:from>
    <xdr:to>
      <xdr:col>4</xdr:col>
      <xdr:colOff>262993</xdr:colOff>
      <xdr:row>171</xdr:row>
      <xdr:rowOff>92546</xdr:rowOff>
    </xdr:to>
    <xdr:sp macro="" textlink="">
      <xdr:nvSpPr>
        <xdr:cNvPr id="593" name="Text Box 149"/>
        <xdr:cNvSpPr txBox="1">
          <a:spLocks noChangeArrowheads="1"/>
        </xdr:cNvSpPr>
      </xdr:nvSpPr>
      <xdr:spPr bwMode="auto">
        <a:xfrm>
          <a:off x="2052847" y="25988206"/>
          <a:ext cx="648546" cy="16474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b1</a:t>
          </a:r>
          <a:r>
            <a:rPr lang="ja-JP" altLang="de-DE" sz="1000" b="1" i="0" strike="noStrike">
              <a:solidFill>
                <a:srgbClr val="000000"/>
              </a:solidFill>
              <a:latin typeface="ＭＳ Ｐゴシック"/>
              <a:ea typeface="ＭＳ Ｐゴシック"/>
            </a:rPr>
            <a:t>＝</a:t>
          </a:r>
        </a:p>
      </xdr:txBody>
    </xdr:sp>
    <xdr:clientData/>
  </xdr:twoCellAnchor>
  <xdr:twoCellAnchor>
    <xdr:from>
      <xdr:col>8</xdr:col>
      <xdr:colOff>193961</xdr:colOff>
      <xdr:row>170</xdr:row>
      <xdr:rowOff>176795</xdr:rowOff>
    </xdr:from>
    <xdr:to>
      <xdr:col>11</xdr:col>
      <xdr:colOff>107961</xdr:colOff>
      <xdr:row>170</xdr:row>
      <xdr:rowOff>176795</xdr:rowOff>
    </xdr:to>
    <xdr:sp macro="" textlink="">
      <xdr:nvSpPr>
        <xdr:cNvPr id="594" name="Line 150"/>
        <xdr:cNvSpPr>
          <a:spLocks noChangeShapeType="1"/>
        </xdr:cNvSpPr>
      </xdr:nvSpPr>
      <xdr:spPr bwMode="auto">
        <a:xfrm>
          <a:off x="5070761" y="26056220"/>
          <a:ext cx="1742800" cy="0"/>
        </a:xfrm>
        <a:prstGeom prst="line">
          <a:avLst/>
        </a:prstGeom>
        <a:noFill/>
        <a:ln w="9525">
          <a:solidFill>
            <a:srgbClr val="000000"/>
          </a:solidFill>
          <a:round/>
          <a:headEnd/>
          <a:tailEnd/>
        </a:ln>
      </xdr:spPr>
    </xdr:sp>
    <xdr:clientData/>
  </xdr:twoCellAnchor>
  <xdr:twoCellAnchor>
    <xdr:from>
      <xdr:col>5</xdr:col>
      <xdr:colOff>102571</xdr:colOff>
      <xdr:row>170</xdr:row>
      <xdr:rowOff>128501</xdr:rowOff>
    </xdr:from>
    <xdr:to>
      <xdr:col>6</xdr:col>
      <xdr:colOff>154243</xdr:colOff>
      <xdr:row>171</xdr:row>
      <xdr:rowOff>179477</xdr:rowOff>
    </xdr:to>
    <xdr:sp macro="" textlink="">
      <xdr:nvSpPr>
        <xdr:cNvPr id="595" name="Text Box 151"/>
        <xdr:cNvSpPr txBox="1">
          <a:spLocks noChangeArrowheads="1"/>
        </xdr:cNvSpPr>
      </xdr:nvSpPr>
      <xdr:spPr bwMode="auto">
        <a:xfrm>
          <a:off x="3150571" y="26036501"/>
          <a:ext cx="661272" cy="174801"/>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1</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V</a:t>
          </a:r>
        </a:p>
      </xdr:txBody>
    </xdr:sp>
    <xdr:clientData/>
  </xdr:twoCellAnchor>
  <xdr:twoCellAnchor>
    <xdr:from>
      <xdr:col>16</xdr:col>
      <xdr:colOff>52808</xdr:colOff>
      <xdr:row>173</xdr:row>
      <xdr:rowOff>914</xdr:rowOff>
    </xdr:from>
    <xdr:to>
      <xdr:col>24</xdr:col>
      <xdr:colOff>177742</xdr:colOff>
      <xdr:row>174</xdr:row>
      <xdr:rowOff>3595</xdr:rowOff>
    </xdr:to>
    <xdr:grpSp>
      <xdr:nvGrpSpPr>
        <xdr:cNvPr id="596" name="Group 152"/>
        <xdr:cNvGrpSpPr>
          <a:grpSpLocks/>
        </xdr:cNvGrpSpPr>
      </xdr:nvGrpSpPr>
      <xdr:grpSpPr bwMode="auto">
        <a:xfrm>
          <a:off x="3981871" y="30949227"/>
          <a:ext cx="1410809" cy="193181"/>
          <a:chOff x="391" y="883"/>
          <a:chExt cx="99" cy="20"/>
        </a:xfrm>
      </xdr:grpSpPr>
      <xdr:sp macro="" textlink="">
        <xdr:nvSpPr>
          <xdr:cNvPr id="597" name="Line 153"/>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598" name="Line 154"/>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599" name="Line 155"/>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18</xdr:col>
      <xdr:colOff>70930</xdr:colOff>
      <xdr:row>171</xdr:row>
      <xdr:rowOff>150500</xdr:rowOff>
    </xdr:from>
    <xdr:to>
      <xdr:col>20</xdr:col>
      <xdr:colOff>13855</xdr:colOff>
      <xdr:row>172</xdr:row>
      <xdr:rowOff>162840</xdr:rowOff>
    </xdr:to>
    <xdr:sp macro="" textlink="">
      <xdr:nvSpPr>
        <xdr:cNvPr id="600" name="Text Box 156"/>
        <xdr:cNvSpPr txBox="1">
          <a:spLocks noChangeArrowheads="1"/>
        </xdr:cNvSpPr>
      </xdr:nvSpPr>
      <xdr:spPr bwMode="auto">
        <a:xfrm>
          <a:off x="11043730" y="26210900"/>
          <a:ext cx="1162125" cy="155215"/>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n</a:t>
          </a:r>
          <a:r>
            <a:rPr lang="ja-JP" altLang="de-DE" sz="900" b="1" i="0" strike="noStrike">
              <a:solidFill>
                <a:srgbClr val="000000"/>
              </a:solidFill>
              <a:latin typeface="ＭＳ Ｐ明朝"/>
              <a:ea typeface="ＭＳ Ｐ明朝"/>
            </a:rPr>
            <a:t>・</a:t>
          </a:r>
          <a:r>
            <a:rPr lang="de-DE" altLang="ja-JP" sz="1000" b="1" i="0" strike="noStrike">
              <a:solidFill>
                <a:srgbClr val="000000"/>
              </a:solidFill>
              <a:latin typeface="Times New Roman"/>
              <a:cs typeface="Times New Roman"/>
            </a:rPr>
            <a:t>A</a:t>
          </a:r>
        </a:p>
      </xdr:txBody>
    </xdr:sp>
    <xdr:clientData/>
  </xdr:twoCellAnchor>
  <xdr:twoCellAnchor>
    <xdr:from>
      <xdr:col>4</xdr:col>
      <xdr:colOff>99103</xdr:colOff>
      <xdr:row>174</xdr:row>
      <xdr:rowOff>52292</xdr:rowOff>
    </xdr:from>
    <xdr:to>
      <xdr:col>5</xdr:col>
      <xdr:colOff>6165</xdr:colOff>
      <xdr:row>175</xdr:row>
      <xdr:rowOff>54973</xdr:rowOff>
    </xdr:to>
    <xdr:sp macro="" textlink="">
      <xdr:nvSpPr>
        <xdr:cNvPr id="601" name="Text Box 157"/>
        <xdr:cNvSpPr txBox="1">
          <a:spLocks noChangeArrowheads="1"/>
        </xdr:cNvSpPr>
      </xdr:nvSpPr>
      <xdr:spPr bwMode="auto">
        <a:xfrm>
          <a:off x="2537503" y="26569892"/>
          <a:ext cx="516662"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8</xdr:col>
      <xdr:colOff>203601</xdr:colOff>
      <xdr:row>172</xdr:row>
      <xdr:rowOff>182157</xdr:rowOff>
    </xdr:from>
    <xdr:to>
      <xdr:col>11</xdr:col>
      <xdr:colOff>165804</xdr:colOff>
      <xdr:row>172</xdr:row>
      <xdr:rowOff>182157</xdr:rowOff>
    </xdr:to>
    <xdr:sp macro="" textlink="">
      <xdr:nvSpPr>
        <xdr:cNvPr id="602" name="Line 158"/>
        <xdr:cNvSpPr>
          <a:spLocks noChangeShapeType="1"/>
        </xdr:cNvSpPr>
      </xdr:nvSpPr>
      <xdr:spPr bwMode="auto">
        <a:xfrm>
          <a:off x="5080401" y="26366382"/>
          <a:ext cx="1791003" cy="0"/>
        </a:xfrm>
        <a:prstGeom prst="line">
          <a:avLst/>
        </a:prstGeom>
        <a:noFill/>
        <a:ln w="9525">
          <a:solidFill>
            <a:srgbClr val="000000"/>
          </a:solidFill>
          <a:round/>
          <a:headEnd/>
          <a:tailEnd/>
        </a:ln>
      </xdr:spPr>
    </xdr:sp>
    <xdr:clientData/>
  </xdr:twoCellAnchor>
  <xdr:twoCellAnchor>
    <xdr:from>
      <xdr:col>16</xdr:col>
      <xdr:colOff>52808</xdr:colOff>
      <xdr:row>170</xdr:row>
      <xdr:rowOff>147952</xdr:rowOff>
    </xdr:from>
    <xdr:to>
      <xdr:col>22</xdr:col>
      <xdr:colOff>149980</xdr:colOff>
      <xdr:row>171</xdr:row>
      <xdr:rowOff>150633</xdr:rowOff>
    </xdr:to>
    <xdr:grpSp>
      <xdr:nvGrpSpPr>
        <xdr:cNvPr id="603" name="Group 159"/>
        <xdr:cNvGrpSpPr>
          <a:grpSpLocks/>
        </xdr:cNvGrpSpPr>
      </xdr:nvGrpSpPr>
      <xdr:grpSpPr bwMode="auto">
        <a:xfrm>
          <a:off x="3981871" y="30524765"/>
          <a:ext cx="938547" cy="193181"/>
          <a:chOff x="391" y="883"/>
          <a:chExt cx="99" cy="20"/>
        </a:xfrm>
      </xdr:grpSpPr>
      <xdr:sp macro="" textlink="">
        <xdr:nvSpPr>
          <xdr:cNvPr id="604" name="Line 160"/>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605" name="Line 161"/>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606" name="Line 162"/>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14</xdr:col>
      <xdr:colOff>275317</xdr:colOff>
      <xdr:row>173</xdr:row>
      <xdr:rowOff>107565</xdr:rowOff>
    </xdr:from>
    <xdr:to>
      <xdr:col>16</xdr:col>
      <xdr:colOff>43167</xdr:colOff>
      <xdr:row>174</xdr:row>
      <xdr:rowOff>110246</xdr:rowOff>
    </xdr:to>
    <xdr:sp macro="" textlink="">
      <xdr:nvSpPr>
        <xdr:cNvPr id="607" name="Text Box 163"/>
        <xdr:cNvSpPr txBox="1">
          <a:spLocks noChangeArrowheads="1"/>
        </xdr:cNvSpPr>
      </xdr:nvSpPr>
      <xdr:spPr bwMode="auto">
        <a:xfrm>
          <a:off x="8809717" y="26472765"/>
          <a:ext cx="987050"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16</xdr:col>
      <xdr:colOff>52808</xdr:colOff>
      <xdr:row>133</xdr:row>
      <xdr:rowOff>189570</xdr:rowOff>
    </xdr:from>
    <xdr:to>
      <xdr:col>26</xdr:col>
      <xdr:colOff>155758</xdr:colOff>
      <xdr:row>133</xdr:row>
      <xdr:rowOff>189570</xdr:rowOff>
    </xdr:to>
    <xdr:sp macro="" textlink="">
      <xdr:nvSpPr>
        <xdr:cNvPr id="608" name="Line 164"/>
        <xdr:cNvSpPr>
          <a:spLocks noChangeShapeType="1"/>
        </xdr:cNvSpPr>
      </xdr:nvSpPr>
      <xdr:spPr bwMode="auto">
        <a:xfrm>
          <a:off x="9806408" y="20420670"/>
          <a:ext cx="6198950" cy="0"/>
        </a:xfrm>
        <a:prstGeom prst="line">
          <a:avLst/>
        </a:prstGeom>
        <a:noFill/>
        <a:ln w="6350">
          <a:solidFill>
            <a:srgbClr val="000000"/>
          </a:solidFill>
          <a:prstDash val="lgDashDot"/>
          <a:round/>
          <a:headEnd/>
          <a:tailEnd/>
        </a:ln>
      </xdr:spPr>
    </xdr:sp>
    <xdr:clientData/>
  </xdr:twoCellAnchor>
  <xdr:twoCellAnchor>
    <xdr:from>
      <xdr:col>14</xdr:col>
      <xdr:colOff>284957</xdr:colOff>
      <xdr:row>133</xdr:row>
      <xdr:rowOff>35025</xdr:rowOff>
    </xdr:from>
    <xdr:to>
      <xdr:col>19</xdr:col>
      <xdr:colOff>102165</xdr:colOff>
      <xdr:row>133</xdr:row>
      <xdr:rowOff>35025</xdr:rowOff>
    </xdr:to>
    <xdr:sp macro="" textlink="">
      <xdr:nvSpPr>
        <xdr:cNvPr id="609" name="Line 165"/>
        <xdr:cNvSpPr>
          <a:spLocks noChangeShapeType="1"/>
        </xdr:cNvSpPr>
      </xdr:nvSpPr>
      <xdr:spPr bwMode="auto">
        <a:xfrm>
          <a:off x="8819357" y="20304225"/>
          <a:ext cx="2865208" cy="0"/>
        </a:xfrm>
        <a:prstGeom prst="line">
          <a:avLst/>
        </a:prstGeom>
        <a:noFill/>
        <a:ln w="6350">
          <a:solidFill>
            <a:srgbClr val="000000"/>
          </a:solidFill>
          <a:round/>
          <a:headEnd/>
          <a:tailEnd/>
        </a:ln>
      </xdr:spPr>
    </xdr:sp>
    <xdr:clientData/>
  </xdr:twoCellAnchor>
  <xdr:twoCellAnchor>
    <xdr:from>
      <xdr:col>8</xdr:col>
      <xdr:colOff>10789</xdr:colOff>
      <xdr:row>172</xdr:row>
      <xdr:rowOff>104885</xdr:rowOff>
    </xdr:from>
    <xdr:to>
      <xdr:col>8</xdr:col>
      <xdr:colOff>203601</xdr:colOff>
      <xdr:row>173</xdr:row>
      <xdr:rowOff>88248</xdr:rowOff>
    </xdr:to>
    <xdr:sp macro="" textlink="">
      <xdr:nvSpPr>
        <xdr:cNvPr id="610" name="Text Box 166"/>
        <xdr:cNvSpPr txBox="1">
          <a:spLocks noChangeArrowheads="1"/>
        </xdr:cNvSpPr>
      </xdr:nvSpPr>
      <xdr:spPr bwMode="auto">
        <a:xfrm>
          <a:off x="4887589" y="26317685"/>
          <a:ext cx="19281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224047</xdr:colOff>
      <xdr:row>177</xdr:row>
      <xdr:rowOff>98970</xdr:rowOff>
    </xdr:from>
    <xdr:to>
      <xdr:col>4</xdr:col>
      <xdr:colOff>262993</xdr:colOff>
      <xdr:row>178</xdr:row>
      <xdr:rowOff>111310</xdr:rowOff>
    </xdr:to>
    <xdr:sp macro="" textlink="">
      <xdr:nvSpPr>
        <xdr:cNvPr id="611" name="Text Box 167"/>
        <xdr:cNvSpPr txBox="1">
          <a:spLocks noChangeArrowheads="1"/>
        </xdr:cNvSpPr>
      </xdr:nvSpPr>
      <xdr:spPr bwMode="auto">
        <a:xfrm>
          <a:off x="2052847" y="27073770"/>
          <a:ext cx="648546" cy="16474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b2</a:t>
          </a:r>
          <a:r>
            <a:rPr lang="ja-JP" altLang="de-DE" sz="1000" b="1" i="0" strike="noStrike">
              <a:solidFill>
                <a:srgbClr val="000000"/>
              </a:solidFill>
              <a:latin typeface="ＭＳ Ｐゴシック"/>
              <a:ea typeface="ＭＳ Ｐゴシック"/>
            </a:rPr>
            <a:t>＝</a:t>
          </a:r>
        </a:p>
      </xdr:txBody>
    </xdr:sp>
    <xdr:clientData/>
  </xdr:twoCellAnchor>
  <xdr:twoCellAnchor>
    <xdr:from>
      <xdr:col>16</xdr:col>
      <xdr:colOff>43167</xdr:colOff>
      <xdr:row>173</xdr:row>
      <xdr:rowOff>184837</xdr:rowOff>
    </xdr:from>
    <xdr:to>
      <xdr:col>24</xdr:col>
      <xdr:colOff>197023</xdr:colOff>
      <xdr:row>173</xdr:row>
      <xdr:rowOff>184837</xdr:rowOff>
    </xdr:to>
    <xdr:sp macro="" textlink="">
      <xdr:nvSpPr>
        <xdr:cNvPr id="612" name="Line 168"/>
        <xdr:cNvSpPr>
          <a:spLocks noChangeShapeType="1"/>
        </xdr:cNvSpPr>
      </xdr:nvSpPr>
      <xdr:spPr bwMode="auto">
        <a:xfrm>
          <a:off x="9796767" y="26521462"/>
          <a:ext cx="5030656" cy="0"/>
        </a:xfrm>
        <a:prstGeom prst="line">
          <a:avLst/>
        </a:prstGeom>
        <a:noFill/>
        <a:ln w="9525">
          <a:solidFill>
            <a:srgbClr val="000000"/>
          </a:solidFill>
          <a:round/>
          <a:headEnd/>
          <a:tailEnd/>
        </a:ln>
      </xdr:spPr>
    </xdr:sp>
    <xdr:clientData/>
  </xdr:twoCellAnchor>
  <xdr:twoCellAnchor>
    <xdr:from>
      <xdr:col>9</xdr:col>
      <xdr:colOff>274554</xdr:colOff>
      <xdr:row>177</xdr:row>
      <xdr:rowOff>147266</xdr:rowOff>
    </xdr:from>
    <xdr:to>
      <xdr:col>11</xdr:col>
      <xdr:colOff>40476</xdr:colOff>
      <xdr:row>179</xdr:row>
      <xdr:rowOff>7742</xdr:rowOff>
    </xdr:to>
    <xdr:sp macro="" textlink="">
      <xdr:nvSpPr>
        <xdr:cNvPr id="613" name="Text Box 169"/>
        <xdr:cNvSpPr txBox="1">
          <a:spLocks noChangeArrowheads="1"/>
        </xdr:cNvSpPr>
      </xdr:nvSpPr>
      <xdr:spPr bwMode="auto">
        <a:xfrm>
          <a:off x="5760954" y="27122066"/>
          <a:ext cx="985122" cy="16527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99103</xdr:colOff>
      <xdr:row>181</xdr:row>
      <xdr:rowOff>51739</xdr:rowOff>
    </xdr:from>
    <xdr:to>
      <xdr:col>5</xdr:col>
      <xdr:colOff>6165</xdr:colOff>
      <xdr:row>182</xdr:row>
      <xdr:rowOff>44760</xdr:rowOff>
    </xdr:to>
    <xdr:sp macro="" textlink="">
      <xdr:nvSpPr>
        <xdr:cNvPr id="614" name="Text Box 170"/>
        <xdr:cNvSpPr txBox="1">
          <a:spLocks noChangeArrowheads="1"/>
        </xdr:cNvSpPr>
      </xdr:nvSpPr>
      <xdr:spPr bwMode="auto">
        <a:xfrm>
          <a:off x="2537503" y="27636139"/>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120304</xdr:colOff>
      <xdr:row>178</xdr:row>
      <xdr:rowOff>5060</xdr:rowOff>
    </xdr:from>
    <xdr:to>
      <xdr:col>12</xdr:col>
      <xdr:colOff>17722</xdr:colOff>
      <xdr:row>178</xdr:row>
      <xdr:rowOff>5060</xdr:rowOff>
    </xdr:to>
    <xdr:sp macro="" textlink="">
      <xdr:nvSpPr>
        <xdr:cNvPr id="615" name="Line 171"/>
        <xdr:cNvSpPr>
          <a:spLocks noChangeShapeType="1"/>
        </xdr:cNvSpPr>
      </xdr:nvSpPr>
      <xdr:spPr bwMode="auto">
        <a:xfrm>
          <a:off x="5606704" y="27132260"/>
          <a:ext cx="1726218" cy="0"/>
        </a:xfrm>
        <a:prstGeom prst="line">
          <a:avLst/>
        </a:prstGeom>
        <a:noFill/>
        <a:ln w="9525">
          <a:solidFill>
            <a:srgbClr val="000000"/>
          </a:solidFill>
          <a:round/>
          <a:headEnd/>
          <a:tailEnd/>
        </a:ln>
      </xdr:spPr>
    </xdr:sp>
    <xdr:clientData/>
  </xdr:twoCellAnchor>
  <xdr:twoCellAnchor>
    <xdr:from>
      <xdr:col>5</xdr:col>
      <xdr:colOff>6165</xdr:colOff>
      <xdr:row>172</xdr:row>
      <xdr:rowOff>182157</xdr:rowOff>
    </xdr:from>
    <xdr:to>
      <xdr:col>8</xdr:col>
      <xdr:colOff>10789</xdr:colOff>
      <xdr:row>172</xdr:row>
      <xdr:rowOff>182157</xdr:rowOff>
    </xdr:to>
    <xdr:sp macro="" textlink="">
      <xdr:nvSpPr>
        <xdr:cNvPr id="616" name="Line 172"/>
        <xdr:cNvSpPr>
          <a:spLocks noChangeShapeType="1"/>
        </xdr:cNvSpPr>
      </xdr:nvSpPr>
      <xdr:spPr bwMode="auto">
        <a:xfrm>
          <a:off x="3054165" y="26366382"/>
          <a:ext cx="1833424" cy="0"/>
        </a:xfrm>
        <a:prstGeom prst="line">
          <a:avLst/>
        </a:prstGeom>
        <a:noFill/>
        <a:ln w="9525">
          <a:solidFill>
            <a:srgbClr val="000000"/>
          </a:solidFill>
          <a:round/>
          <a:headEnd/>
          <a:tailEnd/>
        </a:ln>
      </xdr:spPr>
    </xdr:sp>
    <xdr:clientData/>
  </xdr:twoCellAnchor>
  <xdr:twoCellAnchor>
    <xdr:from>
      <xdr:col>4</xdr:col>
      <xdr:colOff>99103</xdr:colOff>
      <xdr:row>179</xdr:row>
      <xdr:rowOff>123649</xdr:rowOff>
    </xdr:from>
    <xdr:to>
      <xdr:col>5</xdr:col>
      <xdr:colOff>6165</xdr:colOff>
      <xdr:row>180</xdr:row>
      <xdr:rowOff>116670</xdr:rowOff>
    </xdr:to>
    <xdr:sp macro="" textlink="">
      <xdr:nvSpPr>
        <xdr:cNvPr id="617" name="Text Box 173"/>
        <xdr:cNvSpPr txBox="1">
          <a:spLocks noChangeArrowheads="1"/>
        </xdr:cNvSpPr>
      </xdr:nvSpPr>
      <xdr:spPr bwMode="auto">
        <a:xfrm>
          <a:off x="2537503" y="27403249"/>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14</xdr:col>
      <xdr:colOff>178910</xdr:colOff>
      <xdr:row>171</xdr:row>
      <xdr:rowOff>73227</xdr:rowOff>
    </xdr:from>
    <xdr:to>
      <xdr:col>15</xdr:col>
      <xdr:colOff>83273</xdr:colOff>
      <xdr:row>172</xdr:row>
      <xdr:rowOff>114544</xdr:rowOff>
    </xdr:to>
    <xdr:sp macro="" textlink="">
      <xdr:nvSpPr>
        <xdr:cNvPr id="618" name="Text Box 174"/>
        <xdr:cNvSpPr txBox="1">
          <a:spLocks noChangeArrowheads="1"/>
        </xdr:cNvSpPr>
      </xdr:nvSpPr>
      <xdr:spPr bwMode="auto">
        <a:xfrm>
          <a:off x="8713310" y="26133627"/>
          <a:ext cx="513963" cy="193717"/>
        </a:xfrm>
        <a:prstGeom prst="rect">
          <a:avLst/>
        </a:prstGeom>
        <a:noFill/>
        <a:ln w="9525">
          <a:noFill/>
          <a:miter lim="800000"/>
          <a:headEnd/>
          <a:tailEnd/>
        </a:ln>
      </xdr:spPr>
      <xdr:txBody>
        <a:bodyPr wrap="none" lIns="18288" tIns="27432" rIns="0" bIns="0" anchor="t" upright="1">
          <a:noAutofit/>
        </a:bodyPr>
        <a:lstStyle/>
        <a:p>
          <a:pPr algn="l" rtl="1">
            <a:defRPr sz="1000"/>
          </a:pPr>
          <a:r>
            <a:rPr lang="el-GR" altLang="ja-JP" sz="12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8</xdr:col>
      <xdr:colOff>251804</xdr:colOff>
      <xdr:row>177</xdr:row>
      <xdr:rowOff>118288</xdr:rowOff>
    </xdr:from>
    <xdr:to>
      <xdr:col>9</xdr:col>
      <xdr:colOff>158866</xdr:colOff>
      <xdr:row>178</xdr:row>
      <xdr:rowOff>101651</xdr:rowOff>
    </xdr:to>
    <xdr:sp macro="" textlink="">
      <xdr:nvSpPr>
        <xdr:cNvPr id="619" name="Text Box 175"/>
        <xdr:cNvSpPr txBox="1">
          <a:spLocks noChangeArrowheads="1"/>
        </xdr:cNvSpPr>
      </xdr:nvSpPr>
      <xdr:spPr bwMode="auto">
        <a:xfrm>
          <a:off x="5128604" y="27093088"/>
          <a:ext cx="51666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15806</xdr:colOff>
      <xdr:row>178</xdr:row>
      <xdr:rowOff>5060</xdr:rowOff>
    </xdr:from>
    <xdr:to>
      <xdr:col>8</xdr:col>
      <xdr:colOff>280727</xdr:colOff>
      <xdr:row>178</xdr:row>
      <xdr:rowOff>5060</xdr:rowOff>
    </xdr:to>
    <xdr:sp macro="" textlink="">
      <xdr:nvSpPr>
        <xdr:cNvPr id="620" name="Line 176"/>
        <xdr:cNvSpPr>
          <a:spLocks noChangeShapeType="1"/>
        </xdr:cNvSpPr>
      </xdr:nvSpPr>
      <xdr:spPr bwMode="auto">
        <a:xfrm>
          <a:off x="3063806" y="27132260"/>
          <a:ext cx="2093721" cy="0"/>
        </a:xfrm>
        <a:prstGeom prst="line">
          <a:avLst/>
        </a:prstGeom>
        <a:noFill/>
        <a:ln w="9525">
          <a:solidFill>
            <a:srgbClr val="000000"/>
          </a:solidFill>
          <a:round/>
          <a:headEnd/>
          <a:tailEnd/>
        </a:ln>
      </xdr:spPr>
    </xdr:sp>
    <xdr:clientData/>
  </xdr:twoCellAnchor>
  <xdr:twoCellAnchor>
    <xdr:from>
      <xdr:col>5</xdr:col>
      <xdr:colOff>189337</xdr:colOff>
      <xdr:row>177</xdr:row>
      <xdr:rowOff>147266</xdr:rowOff>
    </xdr:from>
    <xdr:to>
      <xdr:col>6</xdr:col>
      <xdr:colOff>241009</xdr:colOff>
      <xdr:row>179</xdr:row>
      <xdr:rowOff>7742</xdr:rowOff>
    </xdr:to>
    <xdr:sp macro="" textlink="">
      <xdr:nvSpPr>
        <xdr:cNvPr id="621" name="Text Box 177"/>
        <xdr:cNvSpPr txBox="1">
          <a:spLocks noChangeArrowheads="1"/>
        </xdr:cNvSpPr>
      </xdr:nvSpPr>
      <xdr:spPr bwMode="auto">
        <a:xfrm>
          <a:off x="3237337" y="27122066"/>
          <a:ext cx="661272" cy="16527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99103</xdr:colOff>
      <xdr:row>172</xdr:row>
      <xdr:rowOff>104885</xdr:rowOff>
    </xdr:from>
    <xdr:to>
      <xdr:col>5</xdr:col>
      <xdr:colOff>6165</xdr:colOff>
      <xdr:row>173</xdr:row>
      <xdr:rowOff>97906</xdr:rowOff>
    </xdr:to>
    <xdr:sp macro="" textlink="">
      <xdr:nvSpPr>
        <xdr:cNvPr id="622" name="Text Box 178"/>
        <xdr:cNvSpPr txBox="1">
          <a:spLocks noChangeArrowheads="1"/>
        </xdr:cNvSpPr>
      </xdr:nvSpPr>
      <xdr:spPr bwMode="auto">
        <a:xfrm>
          <a:off x="2537503" y="26317685"/>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10</xdr:col>
      <xdr:colOff>27367</xdr:colOff>
      <xdr:row>180</xdr:row>
      <xdr:rowOff>10422</xdr:rowOff>
    </xdr:from>
    <xdr:to>
      <xdr:col>13</xdr:col>
      <xdr:colOff>18492</xdr:colOff>
      <xdr:row>180</xdr:row>
      <xdr:rowOff>10422</xdr:rowOff>
    </xdr:to>
    <xdr:sp macro="" textlink="">
      <xdr:nvSpPr>
        <xdr:cNvPr id="623" name="Line 180"/>
        <xdr:cNvSpPr>
          <a:spLocks noChangeShapeType="1"/>
        </xdr:cNvSpPr>
      </xdr:nvSpPr>
      <xdr:spPr bwMode="auto">
        <a:xfrm>
          <a:off x="6123367" y="27442422"/>
          <a:ext cx="1819925" cy="0"/>
        </a:xfrm>
        <a:prstGeom prst="line">
          <a:avLst/>
        </a:prstGeom>
        <a:noFill/>
        <a:ln w="9525">
          <a:solidFill>
            <a:srgbClr val="000000"/>
          </a:solidFill>
          <a:round/>
          <a:headEnd/>
          <a:tailEnd/>
        </a:ln>
      </xdr:spPr>
    </xdr:sp>
    <xdr:clientData/>
  </xdr:twoCellAnchor>
  <xdr:twoCellAnchor>
    <xdr:from>
      <xdr:col>5</xdr:col>
      <xdr:colOff>15806</xdr:colOff>
      <xdr:row>180</xdr:row>
      <xdr:rowOff>10422</xdr:rowOff>
    </xdr:from>
    <xdr:to>
      <xdr:col>9</xdr:col>
      <xdr:colOff>158867</xdr:colOff>
      <xdr:row>180</xdr:row>
      <xdr:rowOff>10422</xdr:rowOff>
    </xdr:to>
    <xdr:sp macro="" textlink="">
      <xdr:nvSpPr>
        <xdr:cNvPr id="624" name="Line 181"/>
        <xdr:cNvSpPr>
          <a:spLocks noChangeShapeType="1"/>
        </xdr:cNvSpPr>
      </xdr:nvSpPr>
      <xdr:spPr bwMode="auto">
        <a:xfrm>
          <a:off x="3063806" y="27442422"/>
          <a:ext cx="2581461" cy="0"/>
        </a:xfrm>
        <a:prstGeom prst="line">
          <a:avLst/>
        </a:prstGeom>
        <a:noFill/>
        <a:ln w="9525">
          <a:solidFill>
            <a:srgbClr val="000000"/>
          </a:solidFill>
          <a:round/>
          <a:headEnd/>
          <a:tailEnd/>
        </a:ln>
      </xdr:spPr>
    </xdr:sp>
    <xdr:clientData/>
  </xdr:twoCellAnchor>
  <xdr:twoCellAnchor>
    <xdr:from>
      <xdr:col>14</xdr:col>
      <xdr:colOff>275317</xdr:colOff>
      <xdr:row>175</xdr:row>
      <xdr:rowOff>25995</xdr:rowOff>
    </xdr:from>
    <xdr:to>
      <xdr:col>16</xdr:col>
      <xdr:colOff>43167</xdr:colOff>
      <xdr:row>176</xdr:row>
      <xdr:rowOff>28676</xdr:rowOff>
    </xdr:to>
    <xdr:sp macro="" textlink="">
      <xdr:nvSpPr>
        <xdr:cNvPr id="625" name="Text Box 182"/>
        <xdr:cNvSpPr txBox="1">
          <a:spLocks noChangeArrowheads="1"/>
        </xdr:cNvSpPr>
      </xdr:nvSpPr>
      <xdr:spPr bwMode="auto">
        <a:xfrm>
          <a:off x="8809717" y="26695995"/>
          <a:ext cx="987050"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16</xdr:col>
      <xdr:colOff>52808</xdr:colOff>
      <xdr:row>173</xdr:row>
      <xdr:rowOff>914</xdr:rowOff>
    </xdr:from>
    <xdr:to>
      <xdr:col>24</xdr:col>
      <xdr:colOff>177742</xdr:colOff>
      <xdr:row>174</xdr:row>
      <xdr:rowOff>3595</xdr:rowOff>
    </xdr:to>
    <xdr:grpSp>
      <xdr:nvGrpSpPr>
        <xdr:cNvPr id="626" name="Group 183"/>
        <xdr:cNvGrpSpPr>
          <a:grpSpLocks/>
        </xdr:cNvGrpSpPr>
      </xdr:nvGrpSpPr>
      <xdr:grpSpPr bwMode="auto">
        <a:xfrm>
          <a:off x="3981871" y="30949227"/>
          <a:ext cx="1410809" cy="193181"/>
          <a:chOff x="391" y="883"/>
          <a:chExt cx="99" cy="20"/>
        </a:xfrm>
      </xdr:grpSpPr>
      <xdr:sp macro="" textlink="">
        <xdr:nvSpPr>
          <xdr:cNvPr id="627" name="Line 184"/>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628" name="Line 185"/>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629" name="Line 186"/>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18</xdr:col>
      <xdr:colOff>70930</xdr:colOff>
      <xdr:row>171</xdr:row>
      <xdr:rowOff>150500</xdr:rowOff>
    </xdr:from>
    <xdr:to>
      <xdr:col>20</xdr:col>
      <xdr:colOff>13855</xdr:colOff>
      <xdr:row>172</xdr:row>
      <xdr:rowOff>162840</xdr:rowOff>
    </xdr:to>
    <xdr:sp macro="" textlink="">
      <xdr:nvSpPr>
        <xdr:cNvPr id="630" name="Text Box 187"/>
        <xdr:cNvSpPr txBox="1">
          <a:spLocks noChangeArrowheads="1"/>
        </xdr:cNvSpPr>
      </xdr:nvSpPr>
      <xdr:spPr bwMode="auto">
        <a:xfrm>
          <a:off x="11043730" y="26210900"/>
          <a:ext cx="1162125" cy="155215"/>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n</a:t>
          </a:r>
          <a:r>
            <a:rPr lang="ja-JP" altLang="de-DE" sz="900" b="1" i="0" strike="noStrike">
              <a:solidFill>
                <a:srgbClr val="000000"/>
              </a:solidFill>
              <a:latin typeface="ＭＳ Ｐ明朝"/>
              <a:ea typeface="ＭＳ Ｐ明朝"/>
            </a:rPr>
            <a:t>・</a:t>
          </a:r>
          <a:r>
            <a:rPr lang="de-DE" altLang="ja-JP" sz="1000" b="1" i="0" strike="noStrike">
              <a:solidFill>
                <a:srgbClr val="000000"/>
              </a:solidFill>
              <a:latin typeface="Times New Roman"/>
              <a:cs typeface="Times New Roman"/>
            </a:rPr>
            <a:t>A</a:t>
          </a:r>
        </a:p>
      </xdr:txBody>
    </xdr:sp>
    <xdr:clientData/>
  </xdr:twoCellAnchor>
  <xdr:twoCellAnchor>
    <xdr:from>
      <xdr:col>4</xdr:col>
      <xdr:colOff>99103</xdr:colOff>
      <xdr:row>174</xdr:row>
      <xdr:rowOff>52292</xdr:rowOff>
    </xdr:from>
    <xdr:to>
      <xdr:col>5</xdr:col>
      <xdr:colOff>6165</xdr:colOff>
      <xdr:row>175</xdr:row>
      <xdr:rowOff>54973</xdr:rowOff>
    </xdr:to>
    <xdr:sp macro="" textlink="">
      <xdr:nvSpPr>
        <xdr:cNvPr id="631" name="Text Box 188"/>
        <xdr:cNvSpPr txBox="1">
          <a:spLocks noChangeArrowheads="1"/>
        </xdr:cNvSpPr>
      </xdr:nvSpPr>
      <xdr:spPr bwMode="auto">
        <a:xfrm>
          <a:off x="2537503" y="26569892"/>
          <a:ext cx="516662"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8</xdr:col>
      <xdr:colOff>203601</xdr:colOff>
      <xdr:row>172</xdr:row>
      <xdr:rowOff>182157</xdr:rowOff>
    </xdr:from>
    <xdr:to>
      <xdr:col>11</xdr:col>
      <xdr:colOff>165804</xdr:colOff>
      <xdr:row>172</xdr:row>
      <xdr:rowOff>182157</xdr:rowOff>
    </xdr:to>
    <xdr:sp macro="" textlink="">
      <xdr:nvSpPr>
        <xdr:cNvPr id="632" name="Line 189"/>
        <xdr:cNvSpPr>
          <a:spLocks noChangeShapeType="1"/>
        </xdr:cNvSpPr>
      </xdr:nvSpPr>
      <xdr:spPr bwMode="auto">
        <a:xfrm>
          <a:off x="5080401" y="26366382"/>
          <a:ext cx="1791003" cy="0"/>
        </a:xfrm>
        <a:prstGeom prst="line">
          <a:avLst/>
        </a:prstGeom>
        <a:noFill/>
        <a:ln w="9525">
          <a:solidFill>
            <a:srgbClr val="000000"/>
          </a:solidFill>
          <a:round/>
          <a:headEnd/>
          <a:tailEnd/>
        </a:ln>
      </xdr:spPr>
    </xdr:sp>
    <xdr:clientData/>
  </xdr:twoCellAnchor>
  <xdr:twoCellAnchor>
    <xdr:from>
      <xdr:col>14</xdr:col>
      <xdr:colOff>275317</xdr:colOff>
      <xdr:row>173</xdr:row>
      <xdr:rowOff>107565</xdr:rowOff>
    </xdr:from>
    <xdr:to>
      <xdr:col>16</xdr:col>
      <xdr:colOff>43167</xdr:colOff>
      <xdr:row>174</xdr:row>
      <xdr:rowOff>110246</xdr:rowOff>
    </xdr:to>
    <xdr:sp macro="" textlink="">
      <xdr:nvSpPr>
        <xdr:cNvPr id="633" name="Text Box 190"/>
        <xdr:cNvSpPr txBox="1">
          <a:spLocks noChangeArrowheads="1"/>
        </xdr:cNvSpPr>
      </xdr:nvSpPr>
      <xdr:spPr bwMode="auto">
        <a:xfrm>
          <a:off x="8809717" y="26472765"/>
          <a:ext cx="987050"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25</xdr:col>
      <xdr:colOff>190851</xdr:colOff>
      <xdr:row>133</xdr:row>
      <xdr:rowOff>170252</xdr:rowOff>
    </xdr:from>
    <xdr:to>
      <xdr:col>25</xdr:col>
      <xdr:colOff>229413</xdr:colOff>
      <xdr:row>134</xdr:row>
      <xdr:rowOff>18388</xdr:rowOff>
    </xdr:to>
    <xdr:sp macro="" textlink="">
      <xdr:nvSpPr>
        <xdr:cNvPr id="634" name="Oval 191"/>
        <xdr:cNvSpPr>
          <a:spLocks noChangeArrowheads="1"/>
        </xdr:cNvSpPr>
      </xdr:nvSpPr>
      <xdr:spPr bwMode="auto">
        <a:xfrm>
          <a:off x="15430851" y="20420402"/>
          <a:ext cx="38562" cy="19586"/>
        </a:xfrm>
        <a:prstGeom prst="ellipse">
          <a:avLst/>
        </a:prstGeom>
        <a:noFill/>
        <a:ln w="9525">
          <a:solidFill>
            <a:srgbClr val="000000"/>
          </a:solidFill>
          <a:round/>
          <a:headEnd/>
          <a:tailEnd/>
        </a:ln>
      </xdr:spPr>
    </xdr:sp>
    <xdr:clientData/>
  </xdr:twoCellAnchor>
  <xdr:twoCellAnchor>
    <xdr:from>
      <xdr:col>25</xdr:col>
      <xdr:colOff>190851</xdr:colOff>
      <xdr:row>144</xdr:row>
      <xdr:rowOff>180421</xdr:rowOff>
    </xdr:from>
    <xdr:to>
      <xdr:col>25</xdr:col>
      <xdr:colOff>229413</xdr:colOff>
      <xdr:row>145</xdr:row>
      <xdr:rowOff>28557</xdr:rowOff>
    </xdr:to>
    <xdr:sp macro="" textlink="">
      <xdr:nvSpPr>
        <xdr:cNvPr id="635" name="Oval 192"/>
        <xdr:cNvSpPr>
          <a:spLocks noChangeArrowheads="1"/>
        </xdr:cNvSpPr>
      </xdr:nvSpPr>
      <xdr:spPr bwMode="auto">
        <a:xfrm>
          <a:off x="15430851" y="22097446"/>
          <a:ext cx="38562" cy="29111"/>
        </a:xfrm>
        <a:prstGeom prst="ellipse">
          <a:avLst/>
        </a:prstGeom>
        <a:noFill/>
        <a:ln w="9525">
          <a:solidFill>
            <a:srgbClr val="000000"/>
          </a:solidFill>
          <a:round/>
          <a:headEnd/>
          <a:tailEnd/>
        </a:ln>
      </xdr:spPr>
    </xdr:sp>
    <xdr:clientData/>
  </xdr:twoCellAnchor>
  <xdr:twoCellAnchor>
    <xdr:from>
      <xdr:col>2</xdr:col>
      <xdr:colOff>0</xdr:colOff>
      <xdr:row>248</xdr:row>
      <xdr:rowOff>2740</xdr:rowOff>
    </xdr:from>
    <xdr:to>
      <xdr:col>32</xdr:col>
      <xdr:colOff>14654</xdr:colOff>
      <xdr:row>248</xdr:row>
      <xdr:rowOff>2740</xdr:rowOff>
    </xdr:to>
    <xdr:sp macro="" textlink="">
      <xdr:nvSpPr>
        <xdr:cNvPr id="636" name="Line 4"/>
        <xdr:cNvSpPr>
          <a:spLocks noChangeShapeType="1"/>
        </xdr:cNvSpPr>
      </xdr:nvSpPr>
      <xdr:spPr bwMode="auto">
        <a:xfrm>
          <a:off x="1219200" y="37797940"/>
          <a:ext cx="18302654" cy="0"/>
        </a:xfrm>
        <a:prstGeom prst="line">
          <a:avLst/>
        </a:prstGeom>
        <a:noFill/>
        <a:ln w="57150" cmpd="thickThin">
          <a:solidFill>
            <a:srgbClr val="000000"/>
          </a:solidFill>
          <a:round/>
          <a:headEnd/>
          <a:tailEnd/>
        </a:ln>
      </xdr:spPr>
    </xdr:sp>
    <xdr:clientData/>
  </xdr:twoCellAnchor>
  <xdr:twoCellAnchor>
    <xdr:from>
      <xdr:col>2</xdr:col>
      <xdr:colOff>0</xdr:colOff>
      <xdr:row>190</xdr:row>
      <xdr:rowOff>0</xdr:rowOff>
    </xdr:from>
    <xdr:to>
      <xdr:col>32</xdr:col>
      <xdr:colOff>0</xdr:colOff>
      <xdr:row>190</xdr:row>
      <xdr:rowOff>0</xdr:rowOff>
    </xdr:to>
    <xdr:sp macro="" textlink="">
      <xdr:nvSpPr>
        <xdr:cNvPr id="637" name="Line 34"/>
        <xdr:cNvSpPr>
          <a:spLocks noChangeShapeType="1"/>
        </xdr:cNvSpPr>
      </xdr:nvSpPr>
      <xdr:spPr bwMode="auto">
        <a:xfrm>
          <a:off x="1219200" y="28956000"/>
          <a:ext cx="18288000" cy="0"/>
        </a:xfrm>
        <a:prstGeom prst="line">
          <a:avLst/>
        </a:prstGeom>
        <a:noFill/>
        <a:ln w="57150" cmpd="thinThick">
          <a:solidFill>
            <a:srgbClr val="000000"/>
          </a:solidFill>
          <a:round/>
          <a:headEnd/>
          <a:tailEnd/>
        </a:ln>
      </xdr:spPr>
    </xdr:sp>
    <xdr:clientData/>
  </xdr:twoCellAnchor>
  <xdr:twoCellAnchor>
    <xdr:from>
      <xdr:col>29</xdr:col>
      <xdr:colOff>69757</xdr:colOff>
      <xdr:row>196</xdr:row>
      <xdr:rowOff>21050</xdr:rowOff>
    </xdr:from>
    <xdr:to>
      <xdr:col>30</xdr:col>
      <xdr:colOff>285319</xdr:colOff>
      <xdr:row>196</xdr:row>
      <xdr:rowOff>21050</xdr:rowOff>
    </xdr:to>
    <xdr:sp macro="" textlink="">
      <xdr:nvSpPr>
        <xdr:cNvPr id="638" name="Line 1"/>
        <xdr:cNvSpPr>
          <a:spLocks noChangeShapeType="1"/>
        </xdr:cNvSpPr>
      </xdr:nvSpPr>
      <xdr:spPr bwMode="auto">
        <a:xfrm>
          <a:off x="17748157" y="29891450"/>
          <a:ext cx="825162" cy="0"/>
        </a:xfrm>
        <a:prstGeom prst="line">
          <a:avLst/>
        </a:prstGeom>
        <a:noFill/>
        <a:ln w="6350">
          <a:solidFill>
            <a:srgbClr val="000000"/>
          </a:solidFill>
          <a:prstDash val="lgDashDot"/>
          <a:round/>
          <a:headEnd/>
          <a:tailEnd/>
        </a:ln>
      </xdr:spPr>
    </xdr:sp>
    <xdr:clientData/>
  </xdr:twoCellAnchor>
  <xdr:twoCellAnchor>
    <xdr:from>
      <xdr:col>28</xdr:col>
      <xdr:colOff>210898</xdr:colOff>
      <xdr:row>193</xdr:row>
      <xdr:rowOff>148235</xdr:rowOff>
    </xdr:from>
    <xdr:to>
      <xdr:col>28</xdr:col>
      <xdr:colOff>210898</xdr:colOff>
      <xdr:row>201</xdr:row>
      <xdr:rowOff>82749</xdr:rowOff>
    </xdr:to>
    <xdr:sp macro="" textlink="">
      <xdr:nvSpPr>
        <xdr:cNvPr id="639" name="Line 2"/>
        <xdr:cNvSpPr>
          <a:spLocks noChangeShapeType="1"/>
        </xdr:cNvSpPr>
      </xdr:nvSpPr>
      <xdr:spPr bwMode="auto">
        <a:xfrm>
          <a:off x="17279698" y="29561435"/>
          <a:ext cx="0" cy="1153714"/>
        </a:xfrm>
        <a:prstGeom prst="line">
          <a:avLst/>
        </a:prstGeom>
        <a:noFill/>
        <a:ln w="6350">
          <a:solidFill>
            <a:srgbClr val="000000"/>
          </a:solidFill>
          <a:prstDash val="lgDashDot"/>
          <a:round/>
          <a:headEnd/>
          <a:tailEnd/>
        </a:ln>
      </xdr:spPr>
    </xdr:sp>
    <xdr:clientData/>
  </xdr:twoCellAnchor>
  <xdr:twoCellAnchor>
    <xdr:from>
      <xdr:col>17</xdr:col>
      <xdr:colOff>92140</xdr:colOff>
      <xdr:row>201</xdr:row>
      <xdr:rowOff>92407</xdr:rowOff>
    </xdr:from>
    <xdr:to>
      <xdr:col>23</xdr:col>
      <xdr:colOff>251398</xdr:colOff>
      <xdr:row>201</xdr:row>
      <xdr:rowOff>92407</xdr:rowOff>
    </xdr:to>
    <xdr:sp macro="" textlink="">
      <xdr:nvSpPr>
        <xdr:cNvPr id="640" name="Line 3"/>
        <xdr:cNvSpPr>
          <a:spLocks noChangeShapeType="1"/>
        </xdr:cNvSpPr>
      </xdr:nvSpPr>
      <xdr:spPr bwMode="auto">
        <a:xfrm>
          <a:off x="10455340" y="30724807"/>
          <a:ext cx="3816858" cy="0"/>
        </a:xfrm>
        <a:prstGeom prst="line">
          <a:avLst/>
        </a:prstGeom>
        <a:noFill/>
        <a:ln w="6350">
          <a:solidFill>
            <a:srgbClr val="000000"/>
          </a:solidFill>
          <a:prstDash val="lgDashDot"/>
          <a:round/>
          <a:headEnd/>
          <a:tailEnd/>
        </a:ln>
      </xdr:spPr>
    </xdr:sp>
    <xdr:clientData/>
  </xdr:twoCellAnchor>
  <xdr:twoCellAnchor>
    <xdr:from>
      <xdr:col>8</xdr:col>
      <xdr:colOff>10789</xdr:colOff>
      <xdr:row>234</xdr:row>
      <xdr:rowOff>126866</xdr:rowOff>
    </xdr:from>
    <xdr:to>
      <xdr:col>8</xdr:col>
      <xdr:colOff>203601</xdr:colOff>
      <xdr:row>235</xdr:row>
      <xdr:rowOff>110229</xdr:rowOff>
    </xdr:to>
    <xdr:sp macro="" textlink="">
      <xdr:nvSpPr>
        <xdr:cNvPr id="641" name="Text Box 5"/>
        <xdr:cNvSpPr txBox="1">
          <a:spLocks noChangeArrowheads="1"/>
        </xdr:cNvSpPr>
      </xdr:nvSpPr>
      <xdr:spPr bwMode="auto">
        <a:xfrm>
          <a:off x="4887589" y="35788466"/>
          <a:ext cx="19281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224047</xdr:colOff>
      <xdr:row>239</xdr:row>
      <xdr:rowOff>120951</xdr:rowOff>
    </xdr:from>
    <xdr:to>
      <xdr:col>4</xdr:col>
      <xdr:colOff>262993</xdr:colOff>
      <xdr:row>240</xdr:row>
      <xdr:rowOff>133291</xdr:rowOff>
    </xdr:to>
    <xdr:sp macro="" textlink="">
      <xdr:nvSpPr>
        <xdr:cNvPr id="642" name="Text Box 6"/>
        <xdr:cNvSpPr txBox="1">
          <a:spLocks noChangeArrowheads="1"/>
        </xdr:cNvSpPr>
      </xdr:nvSpPr>
      <xdr:spPr bwMode="auto">
        <a:xfrm>
          <a:off x="2052847" y="36544551"/>
          <a:ext cx="648546" cy="16474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b2</a:t>
          </a:r>
          <a:r>
            <a:rPr lang="ja-JP" altLang="de-DE" sz="1000" b="1" i="0" strike="noStrike">
              <a:solidFill>
                <a:srgbClr val="000000"/>
              </a:solidFill>
              <a:latin typeface="ＭＳ Ｐゴシック"/>
              <a:ea typeface="ＭＳ Ｐゴシック"/>
            </a:rPr>
            <a:t>＝</a:t>
          </a:r>
        </a:p>
      </xdr:txBody>
    </xdr:sp>
    <xdr:clientData/>
  </xdr:twoCellAnchor>
  <xdr:twoCellAnchor>
    <xdr:from>
      <xdr:col>9</xdr:col>
      <xdr:colOff>52820</xdr:colOff>
      <xdr:row>232</xdr:row>
      <xdr:rowOff>150482</xdr:rowOff>
    </xdr:from>
    <xdr:to>
      <xdr:col>10</xdr:col>
      <xdr:colOff>104492</xdr:colOff>
      <xdr:row>234</xdr:row>
      <xdr:rowOff>10958</xdr:rowOff>
    </xdr:to>
    <xdr:sp macro="" textlink="">
      <xdr:nvSpPr>
        <xdr:cNvPr id="643" name="Text Box 7"/>
        <xdr:cNvSpPr txBox="1">
          <a:spLocks noChangeArrowheads="1"/>
        </xdr:cNvSpPr>
      </xdr:nvSpPr>
      <xdr:spPr bwMode="auto">
        <a:xfrm>
          <a:off x="5539220" y="35507282"/>
          <a:ext cx="661272" cy="16527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3</xdr:col>
      <xdr:colOff>6958</xdr:colOff>
      <xdr:row>222</xdr:row>
      <xdr:rowOff>3084</xdr:rowOff>
    </xdr:from>
    <xdr:to>
      <xdr:col>4</xdr:col>
      <xdr:colOff>286920</xdr:colOff>
      <xdr:row>224</xdr:row>
      <xdr:rowOff>103695</xdr:rowOff>
    </xdr:to>
    <xdr:sp macro="" textlink="">
      <xdr:nvSpPr>
        <xdr:cNvPr id="644" name="Line 8"/>
        <xdr:cNvSpPr>
          <a:spLocks noChangeShapeType="1"/>
        </xdr:cNvSpPr>
      </xdr:nvSpPr>
      <xdr:spPr bwMode="auto">
        <a:xfrm>
          <a:off x="1835758" y="33835884"/>
          <a:ext cx="889562" cy="405411"/>
        </a:xfrm>
        <a:prstGeom prst="line">
          <a:avLst/>
        </a:prstGeom>
        <a:noFill/>
        <a:ln w="3175">
          <a:solidFill>
            <a:srgbClr val="000000"/>
          </a:solidFill>
          <a:round/>
          <a:headEnd/>
          <a:tailEnd/>
        </a:ln>
      </xdr:spPr>
    </xdr:sp>
    <xdr:clientData/>
  </xdr:twoCellAnchor>
  <xdr:twoCellAnchor>
    <xdr:from>
      <xdr:col>3</xdr:col>
      <xdr:colOff>89078</xdr:colOff>
      <xdr:row>223</xdr:row>
      <xdr:rowOff>35474</xdr:rowOff>
    </xdr:from>
    <xdr:to>
      <xdr:col>4</xdr:col>
      <xdr:colOff>166587</xdr:colOff>
      <xdr:row>224</xdr:row>
      <xdr:rowOff>75451</xdr:rowOff>
    </xdr:to>
    <xdr:sp macro="" textlink="">
      <xdr:nvSpPr>
        <xdr:cNvPr id="645" name="Text Box 9"/>
        <xdr:cNvSpPr txBox="1">
          <a:spLocks noChangeArrowheads="1"/>
        </xdr:cNvSpPr>
      </xdr:nvSpPr>
      <xdr:spPr bwMode="auto">
        <a:xfrm>
          <a:off x="1917878" y="34020674"/>
          <a:ext cx="687109" cy="192377"/>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設置階</a:t>
          </a:r>
        </a:p>
      </xdr:txBody>
    </xdr:sp>
    <xdr:clientData/>
  </xdr:twoCellAnchor>
  <xdr:twoCellAnchor>
    <xdr:from>
      <xdr:col>4</xdr:col>
      <xdr:colOff>41259</xdr:colOff>
      <xdr:row>222</xdr:row>
      <xdr:rowOff>100406</xdr:rowOff>
    </xdr:from>
    <xdr:to>
      <xdr:col>5</xdr:col>
      <xdr:colOff>121853</xdr:colOff>
      <xdr:row>223</xdr:row>
      <xdr:rowOff>35473</xdr:rowOff>
    </xdr:to>
    <xdr:sp macro="" textlink="">
      <xdr:nvSpPr>
        <xdr:cNvPr id="646" name="Text Box 10"/>
        <xdr:cNvSpPr txBox="1">
          <a:spLocks noChangeArrowheads="1"/>
        </xdr:cNvSpPr>
      </xdr:nvSpPr>
      <xdr:spPr bwMode="auto">
        <a:xfrm>
          <a:off x="2479659" y="33933206"/>
          <a:ext cx="690194" cy="87467"/>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クラス</a:t>
          </a:r>
        </a:p>
      </xdr:txBody>
    </xdr:sp>
    <xdr:clientData/>
  </xdr:twoCellAnchor>
  <xdr:twoCellAnchor>
    <xdr:from>
      <xdr:col>4</xdr:col>
      <xdr:colOff>41259</xdr:colOff>
      <xdr:row>222</xdr:row>
      <xdr:rowOff>3817</xdr:rowOff>
    </xdr:from>
    <xdr:to>
      <xdr:col>5</xdr:col>
      <xdr:colOff>121853</xdr:colOff>
      <xdr:row>222</xdr:row>
      <xdr:rowOff>158362</xdr:rowOff>
    </xdr:to>
    <xdr:sp macro="" textlink="">
      <xdr:nvSpPr>
        <xdr:cNvPr id="647" name="Text Box 11"/>
        <xdr:cNvSpPr txBox="1">
          <a:spLocks noChangeArrowheads="1"/>
        </xdr:cNvSpPr>
      </xdr:nvSpPr>
      <xdr:spPr bwMode="auto">
        <a:xfrm>
          <a:off x="2479659" y="33836617"/>
          <a:ext cx="690194" cy="14502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耐</a:t>
          </a:r>
          <a:r>
            <a:rPr lang="ja-JP" altLang="en-US" sz="4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震</a:t>
          </a:r>
        </a:p>
      </xdr:txBody>
    </xdr:sp>
    <xdr:clientData/>
  </xdr:twoCellAnchor>
  <xdr:twoCellAnchor>
    <xdr:from>
      <xdr:col>14</xdr:col>
      <xdr:colOff>265676</xdr:colOff>
      <xdr:row>201</xdr:row>
      <xdr:rowOff>44113</xdr:rowOff>
    </xdr:from>
    <xdr:to>
      <xdr:col>16</xdr:col>
      <xdr:colOff>43167</xdr:colOff>
      <xdr:row>201</xdr:row>
      <xdr:rowOff>140704</xdr:rowOff>
    </xdr:to>
    <xdr:sp macro="" textlink="">
      <xdr:nvSpPr>
        <xdr:cNvPr id="648" name="Text Box 12"/>
        <xdr:cNvSpPr txBox="1">
          <a:spLocks noChangeArrowheads="1"/>
        </xdr:cNvSpPr>
      </xdr:nvSpPr>
      <xdr:spPr bwMode="auto">
        <a:xfrm>
          <a:off x="8800076" y="30676513"/>
          <a:ext cx="996691" cy="96591"/>
        </a:xfrm>
        <a:prstGeom prst="rect">
          <a:avLst/>
        </a:prstGeom>
        <a:noFill/>
        <a:ln w="9525">
          <a:noFill/>
          <a:miter lim="800000"/>
          <a:headEnd/>
          <a:tailEnd/>
        </a:ln>
      </xdr:spPr>
      <xdr:txBody>
        <a:bodyPr vert="vert270" wrap="none" lIns="18288" tIns="22860" rIns="0" bIns="0" anchor="t" upright="1">
          <a:noAutofit/>
        </a:bodyPr>
        <a:lstStyle/>
        <a:p>
          <a:pPr algn="r" rtl="1">
            <a:defRPr sz="1000"/>
          </a:pPr>
          <a:r>
            <a:rPr lang="de-DE" altLang="ja-JP" sz="900" b="1" i="0" strike="noStrike">
              <a:solidFill>
                <a:srgbClr val="000000"/>
              </a:solidFill>
              <a:latin typeface="Times New Roman"/>
              <a:cs typeface="Times New Roman"/>
            </a:rPr>
            <a:t>H</a:t>
          </a:r>
        </a:p>
      </xdr:txBody>
    </xdr:sp>
    <xdr:clientData/>
  </xdr:twoCellAnchor>
  <xdr:twoCellAnchor>
    <xdr:from>
      <xdr:col>27</xdr:col>
      <xdr:colOff>274913</xdr:colOff>
      <xdr:row>195</xdr:row>
      <xdr:rowOff>57005</xdr:rowOff>
    </xdr:from>
    <xdr:to>
      <xdr:col>29</xdr:col>
      <xdr:colOff>252929</xdr:colOff>
      <xdr:row>208</xdr:row>
      <xdr:rowOff>4521</xdr:rowOff>
    </xdr:to>
    <xdr:grpSp>
      <xdr:nvGrpSpPr>
        <xdr:cNvPr id="649" name="Group 13"/>
        <xdr:cNvGrpSpPr>
          <a:grpSpLocks/>
        </xdr:cNvGrpSpPr>
      </xdr:nvGrpSpPr>
      <xdr:grpSpPr bwMode="auto">
        <a:xfrm>
          <a:off x="6331226" y="35053443"/>
          <a:ext cx="549516" cy="2424016"/>
          <a:chOff x="386" y="146"/>
          <a:chExt cx="163" cy="202"/>
        </a:xfrm>
      </xdr:grpSpPr>
      <xdr:sp macro="" textlink="">
        <xdr:nvSpPr>
          <xdr:cNvPr id="650" name="Line 14"/>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651" name="Line 15"/>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652" name="Line 16"/>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653" name="Line 17"/>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27</xdr:col>
      <xdr:colOff>284554</xdr:colOff>
      <xdr:row>208</xdr:row>
      <xdr:rowOff>24241</xdr:rowOff>
    </xdr:from>
    <xdr:to>
      <xdr:col>27</xdr:col>
      <xdr:colOff>284554</xdr:colOff>
      <xdr:row>210</xdr:row>
      <xdr:rowOff>10284</xdr:rowOff>
    </xdr:to>
    <xdr:sp macro="" textlink="">
      <xdr:nvSpPr>
        <xdr:cNvPr id="654" name="Line 18"/>
        <xdr:cNvSpPr>
          <a:spLocks noChangeShapeType="1"/>
        </xdr:cNvSpPr>
      </xdr:nvSpPr>
      <xdr:spPr bwMode="auto">
        <a:xfrm>
          <a:off x="16743754" y="31723441"/>
          <a:ext cx="0" cy="290843"/>
        </a:xfrm>
        <a:prstGeom prst="line">
          <a:avLst/>
        </a:prstGeom>
        <a:noFill/>
        <a:ln w="3175">
          <a:solidFill>
            <a:srgbClr val="000000"/>
          </a:solidFill>
          <a:round/>
          <a:headEnd/>
          <a:tailEnd/>
        </a:ln>
      </xdr:spPr>
    </xdr:sp>
    <xdr:clientData/>
  </xdr:twoCellAnchor>
  <xdr:twoCellAnchor>
    <xdr:from>
      <xdr:col>21</xdr:col>
      <xdr:colOff>89437</xdr:colOff>
      <xdr:row>193</xdr:row>
      <xdr:rowOff>119257</xdr:rowOff>
    </xdr:from>
    <xdr:to>
      <xdr:col>25</xdr:col>
      <xdr:colOff>210132</xdr:colOff>
      <xdr:row>193</xdr:row>
      <xdr:rowOff>119257</xdr:rowOff>
    </xdr:to>
    <xdr:sp macro="" textlink="">
      <xdr:nvSpPr>
        <xdr:cNvPr id="655" name="Line 19"/>
        <xdr:cNvSpPr>
          <a:spLocks noChangeShapeType="1"/>
        </xdr:cNvSpPr>
      </xdr:nvSpPr>
      <xdr:spPr bwMode="auto">
        <a:xfrm>
          <a:off x="12891037" y="29532457"/>
          <a:ext cx="2559095" cy="0"/>
        </a:xfrm>
        <a:prstGeom prst="line">
          <a:avLst/>
        </a:prstGeom>
        <a:noFill/>
        <a:ln w="6350">
          <a:solidFill>
            <a:srgbClr val="000000"/>
          </a:solidFill>
          <a:round/>
          <a:headEnd type="triangle" w="sm" len="med"/>
          <a:tailEnd type="triangle" w="sm" len="med"/>
        </a:ln>
      </xdr:spPr>
    </xdr:sp>
    <xdr:clientData/>
  </xdr:twoCellAnchor>
  <xdr:twoCellAnchor>
    <xdr:from>
      <xdr:col>27</xdr:col>
      <xdr:colOff>274913</xdr:colOff>
      <xdr:row>209</xdr:row>
      <xdr:rowOff>84876</xdr:rowOff>
    </xdr:from>
    <xdr:to>
      <xdr:col>29</xdr:col>
      <xdr:colOff>252929</xdr:colOff>
      <xdr:row>209</xdr:row>
      <xdr:rowOff>84876</xdr:rowOff>
    </xdr:to>
    <xdr:sp macro="" textlink="">
      <xdr:nvSpPr>
        <xdr:cNvPr id="656" name="Line 20"/>
        <xdr:cNvSpPr>
          <a:spLocks noChangeShapeType="1"/>
        </xdr:cNvSpPr>
      </xdr:nvSpPr>
      <xdr:spPr bwMode="auto">
        <a:xfrm>
          <a:off x="16734113" y="31936476"/>
          <a:ext cx="1197216" cy="0"/>
        </a:xfrm>
        <a:prstGeom prst="line">
          <a:avLst/>
        </a:prstGeom>
        <a:noFill/>
        <a:ln w="6350">
          <a:solidFill>
            <a:srgbClr val="000000"/>
          </a:solidFill>
          <a:round/>
          <a:headEnd type="triangle" w="sm" len="med"/>
          <a:tailEnd type="triangle" w="sm" len="med"/>
        </a:ln>
      </xdr:spPr>
    </xdr:sp>
    <xdr:clientData/>
  </xdr:twoCellAnchor>
  <xdr:twoCellAnchor>
    <xdr:from>
      <xdr:col>28</xdr:col>
      <xdr:colOff>8445</xdr:colOff>
      <xdr:row>203</xdr:row>
      <xdr:rowOff>126746</xdr:rowOff>
    </xdr:from>
    <xdr:to>
      <xdr:col>29</xdr:col>
      <xdr:colOff>69757</xdr:colOff>
      <xdr:row>204</xdr:row>
      <xdr:rowOff>110109</xdr:rowOff>
    </xdr:to>
    <xdr:sp macro="" textlink="">
      <xdr:nvSpPr>
        <xdr:cNvPr id="657" name="Text Box 21"/>
        <xdr:cNvSpPr txBox="1">
          <a:spLocks noChangeArrowheads="1"/>
        </xdr:cNvSpPr>
      </xdr:nvSpPr>
      <xdr:spPr bwMode="auto">
        <a:xfrm>
          <a:off x="17077245" y="31063946"/>
          <a:ext cx="670912" cy="13576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Wt</a:t>
          </a:r>
          <a:r>
            <a:rPr lang="de-DE" altLang="ja-JP" sz="900" b="1" i="0" strike="noStrike">
              <a:solidFill>
                <a:srgbClr val="000000"/>
              </a:solidFill>
              <a:latin typeface="ＭＳ Ｐ明朝"/>
              <a:ea typeface="ＭＳ Ｐ明朝"/>
            </a:rPr>
            <a:t>+</a:t>
          </a:r>
          <a:r>
            <a:rPr lang="de-DE" altLang="ja-JP" sz="900" b="1" i="0" strike="noStrike">
              <a:solidFill>
                <a:srgbClr val="000000"/>
              </a:solidFill>
              <a:latin typeface="Times New Roman"/>
              <a:cs typeface="Times New Roman"/>
            </a:rPr>
            <a:t>Fv</a:t>
          </a:r>
        </a:p>
      </xdr:txBody>
    </xdr:sp>
    <xdr:clientData/>
  </xdr:twoCellAnchor>
  <xdr:twoCellAnchor>
    <xdr:from>
      <xdr:col>18</xdr:col>
      <xdr:colOff>61290</xdr:colOff>
      <xdr:row>196</xdr:row>
      <xdr:rowOff>21050</xdr:rowOff>
    </xdr:from>
    <xdr:to>
      <xdr:col>18</xdr:col>
      <xdr:colOff>61290</xdr:colOff>
      <xdr:row>201</xdr:row>
      <xdr:rowOff>92407</xdr:rowOff>
    </xdr:to>
    <xdr:sp macro="" textlink="">
      <xdr:nvSpPr>
        <xdr:cNvPr id="658" name="Line 22"/>
        <xdr:cNvSpPr>
          <a:spLocks noChangeShapeType="1"/>
        </xdr:cNvSpPr>
      </xdr:nvSpPr>
      <xdr:spPr bwMode="auto">
        <a:xfrm>
          <a:off x="11034090" y="29891450"/>
          <a:ext cx="0" cy="833357"/>
        </a:xfrm>
        <a:prstGeom prst="line">
          <a:avLst/>
        </a:prstGeom>
        <a:noFill/>
        <a:ln w="3175">
          <a:solidFill>
            <a:srgbClr val="000000"/>
          </a:solidFill>
          <a:round/>
          <a:headEnd type="triangle" w="sm" len="med"/>
          <a:tailEnd type="triangle" w="sm" len="med"/>
        </a:ln>
      </xdr:spPr>
    </xdr:sp>
    <xdr:clientData/>
  </xdr:twoCellAnchor>
  <xdr:twoCellAnchor>
    <xdr:from>
      <xdr:col>11</xdr:col>
      <xdr:colOff>156164</xdr:colOff>
      <xdr:row>194</xdr:row>
      <xdr:rowOff>25347</xdr:rowOff>
    </xdr:from>
    <xdr:to>
      <xdr:col>12</xdr:col>
      <xdr:colOff>143051</xdr:colOff>
      <xdr:row>194</xdr:row>
      <xdr:rowOff>179892</xdr:rowOff>
    </xdr:to>
    <xdr:sp macro="" textlink="">
      <xdr:nvSpPr>
        <xdr:cNvPr id="659" name="Text Box 23"/>
        <xdr:cNvSpPr txBox="1">
          <a:spLocks noChangeArrowheads="1"/>
        </xdr:cNvSpPr>
      </xdr:nvSpPr>
      <xdr:spPr bwMode="auto">
        <a:xfrm>
          <a:off x="6861764" y="29590947"/>
          <a:ext cx="596487" cy="125970"/>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明朝"/>
              <a:ea typeface="ＭＳ 明朝"/>
            </a:rPr>
            <a:t>監修</a:t>
          </a:r>
        </a:p>
      </xdr:txBody>
    </xdr:sp>
    <xdr:clientData/>
  </xdr:twoCellAnchor>
  <xdr:twoCellAnchor>
    <xdr:from>
      <xdr:col>21</xdr:col>
      <xdr:colOff>89437</xdr:colOff>
      <xdr:row>193</xdr:row>
      <xdr:rowOff>22666</xdr:rowOff>
    </xdr:from>
    <xdr:to>
      <xdr:col>21</xdr:col>
      <xdr:colOff>89437</xdr:colOff>
      <xdr:row>208</xdr:row>
      <xdr:rowOff>72535</xdr:rowOff>
    </xdr:to>
    <xdr:sp macro="" textlink="">
      <xdr:nvSpPr>
        <xdr:cNvPr id="660" name="Line 24"/>
        <xdr:cNvSpPr>
          <a:spLocks noChangeShapeType="1"/>
        </xdr:cNvSpPr>
      </xdr:nvSpPr>
      <xdr:spPr bwMode="auto">
        <a:xfrm>
          <a:off x="12891037" y="29435866"/>
          <a:ext cx="0" cy="2335869"/>
        </a:xfrm>
        <a:prstGeom prst="line">
          <a:avLst/>
        </a:prstGeom>
        <a:noFill/>
        <a:ln w="6350">
          <a:solidFill>
            <a:srgbClr val="000000"/>
          </a:solidFill>
          <a:prstDash val="lgDashDot"/>
          <a:round/>
          <a:headEnd/>
          <a:tailEnd/>
        </a:ln>
      </xdr:spPr>
    </xdr:sp>
    <xdr:clientData/>
  </xdr:twoCellAnchor>
  <xdr:twoCellAnchor>
    <xdr:from>
      <xdr:col>29</xdr:col>
      <xdr:colOff>69757</xdr:colOff>
      <xdr:row>207</xdr:row>
      <xdr:rowOff>31219</xdr:rowOff>
    </xdr:from>
    <xdr:to>
      <xdr:col>30</xdr:col>
      <xdr:colOff>285319</xdr:colOff>
      <xdr:row>207</xdr:row>
      <xdr:rowOff>31219</xdr:rowOff>
    </xdr:to>
    <xdr:sp macro="" textlink="">
      <xdr:nvSpPr>
        <xdr:cNvPr id="661" name="Line 25"/>
        <xdr:cNvSpPr>
          <a:spLocks noChangeShapeType="1"/>
        </xdr:cNvSpPr>
      </xdr:nvSpPr>
      <xdr:spPr bwMode="auto">
        <a:xfrm>
          <a:off x="17748157" y="31578019"/>
          <a:ext cx="825162" cy="0"/>
        </a:xfrm>
        <a:prstGeom prst="line">
          <a:avLst/>
        </a:prstGeom>
        <a:noFill/>
        <a:ln w="6350">
          <a:solidFill>
            <a:srgbClr val="000000"/>
          </a:solidFill>
          <a:prstDash val="lgDashDot"/>
          <a:round/>
          <a:headEnd/>
          <a:tailEnd/>
        </a:ln>
      </xdr:spPr>
    </xdr:sp>
    <xdr:clientData/>
  </xdr:twoCellAnchor>
  <xdr:twoCellAnchor>
    <xdr:from>
      <xdr:col>21</xdr:col>
      <xdr:colOff>70156</xdr:colOff>
      <xdr:row>196</xdr:row>
      <xdr:rowOff>1732</xdr:rowOff>
    </xdr:from>
    <xdr:to>
      <xdr:col>21</xdr:col>
      <xdr:colOff>108718</xdr:colOff>
      <xdr:row>196</xdr:row>
      <xdr:rowOff>40368</xdr:rowOff>
    </xdr:to>
    <xdr:sp macro="" textlink="">
      <xdr:nvSpPr>
        <xdr:cNvPr id="662" name="Oval 26"/>
        <xdr:cNvSpPr>
          <a:spLocks noChangeArrowheads="1"/>
        </xdr:cNvSpPr>
      </xdr:nvSpPr>
      <xdr:spPr bwMode="auto">
        <a:xfrm>
          <a:off x="12871756" y="29872132"/>
          <a:ext cx="38562" cy="38636"/>
        </a:xfrm>
        <a:prstGeom prst="ellipse">
          <a:avLst/>
        </a:prstGeom>
        <a:noFill/>
        <a:ln w="9525">
          <a:solidFill>
            <a:srgbClr val="000000"/>
          </a:solidFill>
          <a:round/>
          <a:headEnd/>
          <a:tailEnd/>
        </a:ln>
      </xdr:spPr>
    </xdr:sp>
    <xdr:clientData/>
  </xdr:twoCellAnchor>
  <xdr:twoCellAnchor>
    <xdr:from>
      <xdr:col>15</xdr:col>
      <xdr:colOff>102554</xdr:colOff>
      <xdr:row>201</xdr:row>
      <xdr:rowOff>24794</xdr:rowOff>
    </xdr:from>
    <xdr:to>
      <xdr:col>17</xdr:col>
      <xdr:colOff>63218</xdr:colOff>
      <xdr:row>201</xdr:row>
      <xdr:rowOff>140703</xdr:rowOff>
    </xdr:to>
    <xdr:sp macro="" textlink="">
      <xdr:nvSpPr>
        <xdr:cNvPr id="663" name="Text Box 27"/>
        <xdr:cNvSpPr txBox="1">
          <a:spLocks noChangeArrowheads="1"/>
        </xdr:cNvSpPr>
      </xdr:nvSpPr>
      <xdr:spPr bwMode="auto">
        <a:xfrm>
          <a:off x="9246554" y="30657194"/>
          <a:ext cx="1179864" cy="115909"/>
        </a:xfrm>
        <a:prstGeom prst="rect">
          <a:avLst/>
        </a:prstGeom>
        <a:noFill/>
        <a:ln w="9525">
          <a:noFill/>
          <a:miter lim="800000"/>
          <a:headEnd/>
          <a:tailEnd/>
        </a:ln>
      </xdr:spPr>
      <xdr:txBody>
        <a:bodyPr vert="vert270" wrap="none" lIns="18288" tIns="22860" rIns="0" bIns="0" anchor="t" upright="1">
          <a:noAutofit/>
        </a:bodyPr>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a:t>
          </a:r>
        </a:p>
      </xdr:txBody>
    </xdr:sp>
    <xdr:clientData/>
  </xdr:twoCellAnchor>
  <xdr:twoCellAnchor>
    <xdr:from>
      <xdr:col>23</xdr:col>
      <xdr:colOff>10382</xdr:colOff>
      <xdr:row>192</xdr:row>
      <xdr:rowOff>164872</xdr:rowOff>
    </xdr:from>
    <xdr:to>
      <xdr:col>24</xdr:col>
      <xdr:colOff>13851</xdr:colOff>
      <xdr:row>193</xdr:row>
      <xdr:rowOff>157893</xdr:rowOff>
    </xdr:to>
    <xdr:sp macro="" textlink="">
      <xdr:nvSpPr>
        <xdr:cNvPr id="664" name="Text Box 28"/>
        <xdr:cNvSpPr txBox="1">
          <a:spLocks noChangeArrowheads="1"/>
        </xdr:cNvSpPr>
      </xdr:nvSpPr>
      <xdr:spPr bwMode="auto">
        <a:xfrm>
          <a:off x="14031182" y="29416147"/>
          <a:ext cx="613069" cy="145421"/>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28</xdr:col>
      <xdr:colOff>162695</xdr:colOff>
      <xdr:row>196</xdr:row>
      <xdr:rowOff>21050</xdr:rowOff>
    </xdr:from>
    <xdr:to>
      <xdr:col>29</xdr:col>
      <xdr:colOff>233648</xdr:colOff>
      <xdr:row>196</xdr:row>
      <xdr:rowOff>21050</xdr:rowOff>
    </xdr:to>
    <xdr:sp macro="" textlink="">
      <xdr:nvSpPr>
        <xdr:cNvPr id="665" name="Line 29"/>
        <xdr:cNvSpPr>
          <a:spLocks noChangeShapeType="1"/>
        </xdr:cNvSpPr>
      </xdr:nvSpPr>
      <xdr:spPr bwMode="auto">
        <a:xfrm>
          <a:off x="17231495" y="29891450"/>
          <a:ext cx="680553" cy="0"/>
        </a:xfrm>
        <a:prstGeom prst="line">
          <a:avLst/>
        </a:prstGeom>
        <a:noFill/>
        <a:ln w="12700">
          <a:solidFill>
            <a:srgbClr val="000000"/>
          </a:solidFill>
          <a:round/>
          <a:headEnd type="stealth" w="med" len="med"/>
          <a:tailEnd/>
        </a:ln>
      </xdr:spPr>
    </xdr:sp>
    <xdr:clientData/>
  </xdr:twoCellAnchor>
  <xdr:twoCellAnchor>
    <xdr:from>
      <xdr:col>27</xdr:col>
      <xdr:colOff>284554</xdr:colOff>
      <xdr:row>195</xdr:row>
      <xdr:rowOff>124619</xdr:rowOff>
    </xdr:from>
    <xdr:to>
      <xdr:col>28</xdr:col>
      <xdr:colOff>201257</xdr:colOff>
      <xdr:row>196</xdr:row>
      <xdr:rowOff>127300</xdr:rowOff>
    </xdr:to>
    <xdr:sp macro="" textlink="">
      <xdr:nvSpPr>
        <xdr:cNvPr id="666" name="Text Box 30"/>
        <xdr:cNvSpPr txBox="1">
          <a:spLocks noChangeArrowheads="1"/>
        </xdr:cNvSpPr>
      </xdr:nvSpPr>
      <xdr:spPr bwMode="auto">
        <a:xfrm>
          <a:off x="16743754" y="29842619"/>
          <a:ext cx="526303" cy="155081"/>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R</a:t>
          </a:r>
          <a:r>
            <a:rPr lang="de-DE" altLang="ja-JP" sz="700" b="1" i="0" strike="noStrike">
              <a:solidFill>
                <a:srgbClr val="000000"/>
              </a:solidFill>
              <a:latin typeface="Times New Roman"/>
              <a:cs typeface="Times New Roman"/>
            </a:rPr>
            <a:t>b</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28</xdr:col>
      <xdr:colOff>210898</xdr:colOff>
      <xdr:row>201</xdr:row>
      <xdr:rowOff>92407</xdr:rowOff>
    </xdr:from>
    <xdr:to>
      <xdr:col>28</xdr:col>
      <xdr:colOff>210898</xdr:colOff>
      <xdr:row>203</xdr:row>
      <xdr:rowOff>155722</xdr:rowOff>
    </xdr:to>
    <xdr:sp macro="" textlink="">
      <xdr:nvSpPr>
        <xdr:cNvPr id="667" name="Line 32"/>
        <xdr:cNvSpPr>
          <a:spLocks noChangeShapeType="1"/>
        </xdr:cNvSpPr>
      </xdr:nvSpPr>
      <xdr:spPr bwMode="auto">
        <a:xfrm>
          <a:off x="17279698" y="30724807"/>
          <a:ext cx="0" cy="368115"/>
        </a:xfrm>
        <a:prstGeom prst="line">
          <a:avLst/>
        </a:prstGeom>
        <a:noFill/>
        <a:ln w="12700">
          <a:solidFill>
            <a:srgbClr val="000000"/>
          </a:solidFill>
          <a:round/>
          <a:headEnd/>
          <a:tailEnd type="stealth" w="med" len="med"/>
        </a:ln>
      </xdr:spPr>
    </xdr:sp>
    <xdr:clientData/>
  </xdr:twoCellAnchor>
  <xdr:twoCellAnchor>
    <xdr:from>
      <xdr:col>28</xdr:col>
      <xdr:colOff>201257</xdr:colOff>
      <xdr:row>200</xdr:row>
      <xdr:rowOff>147681</xdr:rowOff>
    </xdr:from>
    <xdr:to>
      <xdr:col>29</xdr:col>
      <xdr:colOff>117960</xdr:colOff>
      <xdr:row>201</xdr:row>
      <xdr:rowOff>150362</xdr:rowOff>
    </xdr:to>
    <xdr:sp macro="" textlink="">
      <xdr:nvSpPr>
        <xdr:cNvPr id="668" name="Text Box 33"/>
        <xdr:cNvSpPr txBox="1">
          <a:spLocks noChangeArrowheads="1"/>
        </xdr:cNvSpPr>
      </xdr:nvSpPr>
      <xdr:spPr bwMode="auto">
        <a:xfrm>
          <a:off x="17270057" y="30627681"/>
          <a:ext cx="526303" cy="155081"/>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26</xdr:col>
      <xdr:colOff>68992</xdr:colOff>
      <xdr:row>197</xdr:row>
      <xdr:rowOff>120320</xdr:rowOff>
    </xdr:from>
    <xdr:to>
      <xdr:col>28</xdr:col>
      <xdr:colOff>124133</xdr:colOff>
      <xdr:row>198</xdr:row>
      <xdr:rowOff>84365</xdr:rowOff>
    </xdr:to>
    <xdr:sp macro="" textlink="">
      <xdr:nvSpPr>
        <xdr:cNvPr id="669" name="Text Box 35"/>
        <xdr:cNvSpPr txBox="1">
          <a:spLocks noChangeArrowheads="1"/>
        </xdr:cNvSpPr>
      </xdr:nvSpPr>
      <xdr:spPr bwMode="auto">
        <a:xfrm>
          <a:off x="15918592" y="30143120"/>
          <a:ext cx="1274341" cy="116445"/>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800" b="1" i="0" strike="noStrike">
              <a:solidFill>
                <a:srgbClr val="000000"/>
              </a:solidFill>
              <a:latin typeface="ＭＳ Ｐゴシック"/>
              <a:ea typeface="ＭＳ Ｐゴシック"/>
            </a:rPr>
            <a:t>アンカボルト</a:t>
          </a:r>
        </a:p>
      </xdr:txBody>
    </xdr:sp>
    <xdr:clientData/>
  </xdr:twoCellAnchor>
  <xdr:twoCellAnchor>
    <xdr:from>
      <xdr:col>23</xdr:col>
      <xdr:colOff>261039</xdr:colOff>
      <xdr:row>205</xdr:row>
      <xdr:rowOff>122449</xdr:rowOff>
    </xdr:from>
    <xdr:to>
      <xdr:col>23</xdr:col>
      <xdr:colOff>261039</xdr:colOff>
      <xdr:row>208</xdr:row>
      <xdr:rowOff>120832</xdr:rowOff>
    </xdr:to>
    <xdr:sp macro="" textlink="">
      <xdr:nvSpPr>
        <xdr:cNvPr id="670" name="Line 40"/>
        <xdr:cNvSpPr>
          <a:spLocks noChangeShapeType="1"/>
        </xdr:cNvSpPr>
      </xdr:nvSpPr>
      <xdr:spPr bwMode="auto">
        <a:xfrm>
          <a:off x="14281839" y="31364449"/>
          <a:ext cx="0" cy="455583"/>
        </a:xfrm>
        <a:prstGeom prst="line">
          <a:avLst/>
        </a:prstGeom>
        <a:noFill/>
        <a:ln w="6350">
          <a:solidFill>
            <a:srgbClr val="000000"/>
          </a:solidFill>
          <a:prstDash val="lgDashDot"/>
          <a:round/>
          <a:headEnd/>
          <a:tailEnd/>
        </a:ln>
      </xdr:spPr>
    </xdr:sp>
    <xdr:clientData/>
  </xdr:twoCellAnchor>
  <xdr:twoCellAnchor>
    <xdr:from>
      <xdr:col>21</xdr:col>
      <xdr:colOff>70156</xdr:colOff>
      <xdr:row>207</xdr:row>
      <xdr:rowOff>11901</xdr:rowOff>
    </xdr:from>
    <xdr:to>
      <xdr:col>21</xdr:col>
      <xdr:colOff>108718</xdr:colOff>
      <xdr:row>207</xdr:row>
      <xdr:rowOff>50537</xdr:rowOff>
    </xdr:to>
    <xdr:sp macro="" textlink="">
      <xdr:nvSpPr>
        <xdr:cNvPr id="671" name="Oval 41"/>
        <xdr:cNvSpPr>
          <a:spLocks noChangeArrowheads="1"/>
        </xdr:cNvSpPr>
      </xdr:nvSpPr>
      <xdr:spPr bwMode="auto">
        <a:xfrm>
          <a:off x="12871756" y="31558701"/>
          <a:ext cx="38562" cy="38636"/>
        </a:xfrm>
        <a:prstGeom prst="ellipse">
          <a:avLst/>
        </a:prstGeom>
        <a:noFill/>
        <a:ln w="9525">
          <a:solidFill>
            <a:srgbClr val="000000"/>
          </a:solidFill>
          <a:round/>
          <a:headEnd/>
          <a:tailEnd/>
        </a:ln>
      </xdr:spPr>
    </xdr:sp>
    <xdr:clientData/>
  </xdr:twoCellAnchor>
  <xdr:twoCellAnchor>
    <xdr:from>
      <xdr:col>29</xdr:col>
      <xdr:colOff>252929</xdr:colOff>
      <xdr:row>193</xdr:row>
      <xdr:rowOff>70962</xdr:rowOff>
    </xdr:from>
    <xdr:to>
      <xdr:col>29</xdr:col>
      <xdr:colOff>252929</xdr:colOff>
      <xdr:row>209</xdr:row>
      <xdr:rowOff>171807</xdr:rowOff>
    </xdr:to>
    <xdr:sp macro="" textlink="">
      <xdr:nvSpPr>
        <xdr:cNvPr id="672" name="Line 43"/>
        <xdr:cNvSpPr>
          <a:spLocks noChangeShapeType="1"/>
        </xdr:cNvSpPr>
      </xdr:nvSpPr>
      <xdr:spPr bwMode="auto">
        <a:xfrm>
          <a:off x="17931329" y="29484162"/>
          <a:ext cx="0" cy="2520195"/>
        </a:xfrm>
        <a:prstGeom prst="line">
          <a:avLst/>
        </a:prstGeom>
        <a:noFill/>
        <a:ln w="9525">
          <a:solidFill>
            <a:srgbClr val="000000"/>
          </a:solidFill>
          <a:round/>
          <a:headEnd/>
          <a:tailEnd/>
        </a:ln>
      </xdr:spPr>
    </xdr:sp>
    <xdr:clientData/>
  </xdr:twoCellAnchor>
  <xdr:twoCellAnchor>
    <xdr:from>
      <xdr:col>15</xdr:col>
      <xdr:colOff>73632</xdr:colOff>
      <xdr:row>195</xdr:row>
      <xdr:rowOff>57005</xdr:rowOff>
    </xdr:from>
    <xdr:to>
      <xdr:col>15</xdr:col>
      <xdr:colOff>92913</xdr:colOff>
      <xdr:row>207</xdr:row>
      <xdr:rowOff>166446</xdr:rowOff>
    </xdr:to>
    <xdr:sp macro="" textlink="">
      <xdr:nvSpPr>
        <xdr:cNvPr id="673" name="Line 44"/>
        <xdr:cNvSpPr>
          <a:spLocks noChangeShapeType="1"/>
        </xdr:cNvSpPr>
      </xdr:nvSpPr>
      <xdr:spPr bwMode="auto">
        <a:xfrm>
          <a:off x="9217632" y="29775005"/>
          <a:ext cx="19281" cy="1928716"/>
        </a:xfrm>
        <a:prstGeom prst="line">
          <a:avLst/>
        </a:prstGeom>
        <a:noFill/>
        <a:ln w="3175">
          <a:solidFill>
            <a:srgbClr val="000000"/>
          </a:solidFill>
          <a:round/>
          <a:headEnd type="triangle" w="sm" len="med"/>
          <a:tailEnd type="triangle" w="sm" len="med"/>
        </a:ln>
      </xdr:spPr>
    </xdr:sp>
    <xdr:clientData/>
  </xdr:twoCellAnchor>
  <xdr:twoCellAnchor>
    <xdr:from>
      <xdr:col>16</xdr:col>
      <xdr:colOff>33526</xdr:colOff>
      <xdr:row>207</xdr:row>
      <xdr:rowOff>31219</xdr:rowOff>
    </xdr:from>
    <xdr:to>
      <xdr:col>26</xdr:col>
      <xdr:colOff>155757</xdr:colOff>
      <xdr:row>207</xdr:row>
      <xdr:rowOff>31219</xdr:rowOff>
    </xdr:to>
    <xdr:sp macro="" textlink="">
      <xdr:nvSpPr>
        <xdr:cNvPr id="674" name="Line 45"/>
        <xdr:cNvSpPr>
          <a:spLocks noChangeShapeType="1"/>
        </xdr:cNvSpPr>
      </xdr:nvSpPr>
      <xdr:spPr bwMode="auto">
        <a:xfrm>
          <a:off x="9787126" y="31578019"/>
          <a:ext cx="6218231" cy="0"/>
        </a:xfrm>
        <a:prstGeom prst="line">
          <a:avLst/>
        </a:prstGeom>
        <a:noFill/>
        <a:ln w="6350">
          <a:solidFill>
            <a:srgbClr val="000000"/>
          </a:solidFill>
          <a:prstDash val="lgDashDot"/>
          <a:round/>
          <a:headEnd/>
          <a:tailEnd/>
        </a:ln>
      </xdr:spPr>
    </xdr:sp>
    <xdr:clientData/>
  </xdr:twoCellAnchor>
  <xdr:twoCellAnchor>
    <xdr:from>
      <xdr:col>28</xdr:col>
      <xdr:colOff>210898</xdr:colOff>
      <xdr:row>194</xdr:row>
      <xdr:rowOff>73642</xdr:rowOff>
    </xdr:from>
    <xdr:to>
      <xdr:col>29</xdr:col>
      <xdr:colOff>252929</xdr:colOff>
      <xdr:row>194</xdr:row>
      <xdr:rowOff>73642</xdr:rowOff>
    </xdr:to>
    <xdr:sp macro="" textlink="">
      <xdr:nvSpPr>
        <xdr:cNvPr id="675" name="Line 46"/>
        <xdr:cNvSpPr>
          <a:spLocks noChangeShapeType="1"/>
        </xdr:cNvSpPr>
      </xdr:nvSpPr>
      <xdr:spPr bwMode="auto">
        <a:xfrm>
          <a:off x="17279698" y="29639242"/>
          <a:ext cx="651631" cy="0"/>
        </a:xfrm>
        <a:prstGeom prst="line">
          <a:avLst/>
        </a:prstGeom>
        <a:noFill/>
        <a:ln w="6350">
          <a:solidFill>
            <a:srgbClr val="000000"/>
          </a:solidFill>
          <a:round/>
          <a:headEnd type="triangle" w="sm" len="med"/>
          <a:tailEnd type="triangle" w="sm" len="med"/>
        </a:ln>
      </xdr:spPr>
    </xdr:sp>
    <xdr:clientData/>
  </xdr:twoCellAnchor>
  <xdr:twoCellAnchor>
    <xdr:from>
      <xdr:col>28</xdr:col>
      <xdr:colOff>191617</xdr:colOff>
      <xdr:row>208</xdr:row>
      <xdr:rowOff>140149</xdr:rowOff>
    </xdr:from>
    <xdr:to>
      <xdr:col>29</xdr:col>
      <xdr:colOff>11914</xdr:colOff>
      <xdr:row>209</xdr:row>
      <xdr:rowOff>123512</xdr:rowOff>
    </xdr:to>
    <xdr:sp macro="" textlink="">
      <xdr:nvSpPr>
        <xdr:cNvPr id="676" name="Text Box 47"/>
        <xdr:cNvSpPr txBox="1">
          <a:spLocks noChangeArrowheads="1"/>
        </xdr:cNvSpPr>
      </xdr:nvSpPr>
      <xdr:spPr bwMode="auto">
        <a:xfrm>
          <a:off x="17260417" y="31839349"/>
          <a:ext cx="429897" cy="13576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D</a:t>
          </a:r>
        </a:p>
      </xdr:txBody>
    </xdr:sp>
    <xdr:clientData/>
  </xdr:twoCellAnchor>
  <xdr:twoCellAnchor>
    <xdr:from>
      <xdr:col>20</xdr:col>
      <xdr:colOff>42778</xdr:colOff>
      <xdr:row>208</xdr:row>
      <xdr:rowOff>24241</xdr:rowOff>
    </xdr:from>
    <xdr:to>
      <xdr:col>20</xdr:col>
      <xdr:colOff>42778</xdr:colOff>
      <xdr:row>209</xdr:row>
      <xdr:rowOff>181466</xdr:rowOff>
    </xdr:to>
    <xdr:sp macro="" textlink="">
      <xdr:nvSpPr>
        <xdr:cNvPr id="677" name="Line 48"/>
        <xdr:cNvSpPr>
          <a:spLocks noChangeShapeType="1"/>
        </xdr:cNvSpPr>
      </xdr:nvSpPr>
      <xdr:spPr bwMode="auto">
        <a:xfrm>
          <a:off x="12234778" y="31723441"/>
          <a:ext cx="0" cy="281050"/>
        </a:xfrm>
        <a:prstGeom prst="line">
          <a:avLst/>
        </a:prstGeom>
        <a:noFill/>
        <a:ln w="3175">
          <a:solidFill>
            <a:srgbClr val="000000"/>
          </a:solidFill>
          <a:round/>
          <a:headEnd/>
          <a:tailEnd/>
        </a:ln>
      </xdr:spPr>
    </xdr:sp>
    <xdr:clientData/>
  </xdr:twoCellAnchor>
  <xdr:twoCellAnchor>
    <xdr:from>
      <xdr:col>17</xdr:col>
      <xdr:colOff>5375</xdr:colOff>
      <xdr:row>198</xdr:row>
      <xdr:rowOff>74707</xdr:rowOff>
    </xdr:from>
    <xdr:to>
      <xdr:col>18</xdr:col>
      <xdr:colOff>61290</xdr:colOff>
      <xdr:row>199</xdr:row>
      <xdr:rowOff>38752</xdr:rowOff>
    </xdr:to>
    <xdr:sp macro="" textlink="">
      <xdr:nvSpPr>
        <xdr:cNvPr id="678" name="Text Box 49"/>
        <xdr:cNvSpPr txBox="1">
          <a:spLocks noChangeArrowheads="1"/>
        </xdr:cNvSpPr>
      </xdr:nvSpPr>
      <xdr:spPr bwMode="auto">
        <a:xfrm>
          <a:off x="10368575" y="30249907"/>
          <a:ext cx="665515" cy="116445"/>
        </a:xfrm>
        <a:prstGeom prst="rect">
          <a:avLst/>
        </a:prstGeom>
        <a:noFill/>
        <a:ln w="9525">
          <a:noFill/>
          <a:miter lim="800000"/>
          <a:headEnd/>
          <a:tailEnd/>
        </a:ln>
      </xdr:spPr>
      <xdr:txBody>
        <a:bodyPr vert="vert270" wrap="none" lIns="0" tIns="22860" rIns="18288" bIns="0" anchor="b" upright="1">
          <a:noAutofit/>
        </a:bodyPr>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2g</a:t>
          </a:r>
        </a:p>
      </xdr:txBody>
    </xdr:sp>
    <xdr:clientData/>
  </xdr:twoCellAnchor>
  <xdr:twoCellAnchor>
    <xdr:from>
      <xdr:col>28</xdr:col>
      <xdr:colOff>172335</xdr:colOff>
      <xdr:row>193</xdr:row>
      <xdr:rowOff>109598</xdr:rowOff>
    </xdr:from>
    <xdr:to>
      <xdr:col>29</xdr:col>
      <xdr:colOff>175804</xdr:colOff>
      <xdr:row>194</xdr:row>
      <xdr:rowOff>102619</xdr:rowOff>
    </xdr:to>
    <xdr:sp macro="" textlink="">
      <xdr:nvSpPr>
        <xdr:cNvPr id="679" name="Text Box 50"/>
        <xdr:cNvSpPr txBox="1">
          <a:spLocks noChangeArrowheads="1"/>
        </xdr:cNvSpPr>
      </xdr:nvSpPr>
      <xdr:spPr bwMode="auto">
        <a:xfrm>
          <a:off x="17241135" y="29522798"/>
          <a:ext cx="613069" cy="145421"/>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3g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20</xdr:col>
      <xdr:colOff>42778</xdr:colOff>
      <xdr:row>195</xdr:row>
      <xdr:rowOff>57005</xdr:rowOff>
    </xdr:from>
    <xdr:to>
      <xdr:col>26</xdr:col>
      <xdr:colOff>78633</xdr:colOff>
      <xdr:row>208</xdr:row>
      <xdr:rowOff>4521</xdr:rowOff>
    </xdr:to>
    <xdr:grpSp>
      <xdr:nvGrpSpPr>
        <xdr:cNvPr id="680" name="Group 51"/>
        <xdr:cNvGrpSpPr>
          <a:grpSpLocks/>
        </xdr:cNvGrpSpPr>
      </xdr:nvGrpSpPr>
      <xdr:grpSpPr bwMode="auto">
        <a:xfrm>
          <a:off x="4543341" y="35053443"/>
          <a:ext cx="1305855" cy="2424016"/>
          <a:chOff x="386" y="146"/>
          <a:chExt cx="163" cy="202"/>
        </a:xfrm>
      </xdr:grpSpPr>
      <xdr:sp macro="" textlink="">
        <xdr:nvSpPr>
          <xdr:cNvPr id="681" name="Line 52"/>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682" name="Line 53"/>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683" name="Line 54"/>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684" name="Line 55"/>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26</xdr:col>
      <xdr:colOff>107554</xdr:colOff>
      <xdr:row>196</xdr:row>
      <xdr:rowOff>30708</xdr:rowOff>
    </xdr:from>
    <xdr:to>
      <xdr:col>26</xdr:col>
      <xdr:colOff>281085</xdr:colOff>
      <xdr:row>196</xdr:row>
      <xdr:rowOff>30708</xdr:rowOff>
    </xdr:to>
    <xdr:sp macro="" textlink="">
      <xdr:nvSpPr>
        <xdr:cNvPr id="685" name="Line 56"/>
        <xdr:cNvSpPr>
          <a:spLocks noChangeShapeType="1"/>
        </xdr:cNvSpPr>
      </xdr:nvSpPr>
      <xdr:spPr bwMode="auto">
        <a:xfrm>
          <a:off x="15957154" y="29901108"/>
          <a:ext cx="173531" cy="0"/>
        </a:xfrm>
        <a:prstGeom prst="line">
          <a:avLst/>
        </a:prstGeom>
        <a:noFill/>
        <a:ln w="9525">
          <a:noFill/>
          <a:round/>
          <a:headEnd/>
          <a:tailEnd/>
        </a:ln>
      </xdr:spPr>
    </xdr:sp>
    <xdr:clientData/>
  </xdr:twoCellAnchor>
  <xdr:twoCellAnchor>
    <xdr:from>
      <xdr:col>26</xdr:col>
      <xdr:colOff>97914</xdr:colOff>
      <xdr:row>196</xdr:row>
      <xdr:rowOff>21050</xdr:rowOff>
    </xdr:from>
    <xdr:to>
      <xdr:col>26</xdr:col>
      <xdr:colOff>271445</xdr:colOff>
      <xdr:row>196</xdr:row>
      <xdr:rowOff>21050</xdr:rowOff>
    </xdr:to>
    <xdr:sp macro="" textlink="">
      <xdr:nvSpPr>
        <xdr:cNvPr id="686" name="Line 57"/>
        <xdr:cNvSpPr>
          <a:spLocks noChangeShapeType="1"/>
        </xdr:cNvSpPr>
      </xdr:nvSpPr>
      <xdr:spPr bwMode="auto">
        <a:xfrm>
          <a:off x="15947514" y="29891450"/>
          <a:ext cx="173531" cy="0"/>
        </a:xfrm>
        <a:prstGeom prst="line">
          <a:avLst/>
        </a:prstGeom>
        <a:noFill/>
        <a:ln w="9525">
          <a:noFill/>
          <a:round/>
          <a:headEnd/>
          <a:tailEnd/>
        </a:ln>
      </xdr:spPr>
    </xdr:sp>
    <xdr:clientData/>
  </xdr:twoCellAnchor>
  <xdr:twoCellAnchor>
    <xdr:from>
      <xdr:col>26</xdr:col>
      <xdr:colOff>88273</xdr:colOff>
      <xdr:row>196</xdr:row>
      <xdr:rowOff>21050</xdr:rowOff>
    </xdr:from>
    <xdr:to>
      <xdr:col>26</xdr:col>
      <xdr:colOff>242523</xdr:colOff>
      <xdr:row>196</xdr:row>
      <xdr:rowOff>21050</xdr:rowOff>
    </xdr:to>
    <xdr:sp macro="" textlink="">
      <xdr:nvSpPr>
        <xdr:cNvPr id="687" name="Line 58"/>
        <xdr:cNvSpPr>
          <a:spLocks noChangeShapeType="1"/>
        </xdr:cNvSpPr>
      </xdr:nvSpPr>
      <xdr:spPr bwMode="auto">
        <a:xfrm>
          <a:off x="15937873" y="29891450"/>
          <a:ext cx="154250" cy="0"/>
        </a:xfrm>
        <a:prstGeom prst="line">
          <a:avLst/>
        </a:prstGeom>
        <a:noFill/>
        <a:ln w="9525">
          <a:noFill/>
          <a:round/>
          <a:headEnd/>
          <a:tailEnd/>
        </a:ln>
      </xdr:spPr>
    </xdr:sp>
    <xdr:clientData/>
  </xdr:twoCellAnchor>
  <xdr:twoCellAnchor>
    <xdr:from>
      <xdr:col>26</xdr:col>
      <xdr:colOff>97914</xdr:colOff>
      <xdr:row>196</xdr:row>
      <xdr:rowOff>21050</xdr:rowOff>
    </xdr:from>
    <xdr:to>
      <xdr:col>27</xdr:col>
      <xdr:colOff>53180</xdr:colOff>
      <xdr:row>196</xdr:row>
      <xdr:rowOff>21050</xdr:rowOff>
    </xdr:to>
    <xdr:sp macro="" textlink="">
      <xdr:nvSpPr>
        <xdr:cNvPr id="688" name="Line 59"/>
        <xdr:cNvSpPr>
          <a:spLocks noChangeShapeType="1"/>
        </xdr:cNvSpPr>
      </xdr:nvSpPr>
      <xdr:spPr bwMode="auto">
        <a:xfrm>
          <a:off x="15947514" y="29891450"/>
          <a:ext cx="564866" cy="0"/>
        </a:xfrm>
        <a:prstGeom prst="line">
          <a:avLst/>
        </a:prstGeom>
        <a:noFill/>
        <a:ln w="9525">
          <a:noFill/>
          <a:round/>
          <a:headEnd/>
          <a:tailEnd/>
        </a:ln>
      </xdr:spPr>
    </xdr:sp>
    <xdr:clientData/>
  </xdr:twoCellAnchor>
  <xdr:twoCellAnchor>
    <xdr:from>
      <xdr:col>29</xdr:col>
      <xdr:colOff>233648</xdr:colOff>
      <xdr:row>207</xdr:row>
      <xdr:rowOff>31219</xdr:rowOff>
    </xdr:from>
    <xdr:to>
      <xdr:col>30</xdr:col>
      <xdr:colOff>111789</xdr:colOff>
      <xdr:row>207</xdr:row>
      <xdr:rowOff>31219</xdr:rowOff>
    </xdr:to>
    <xdr:sp macro="" textlink="">
      <xdr:nvSpPr>
        <xdr:cNvPr id="689" name="Line 60"/>
        <xdr:cNvSpPr>
          <a:spLocks noChangeShapeType="1"/>
        </xdr:cNvSpPr>
      </xdr:nvSpPr>
      <xdr:spPr bwMode="auto">
        <a:xfrm>
          <a:off x="17912048" y="31578019"/>
          <a:ext cx="487741" cy="0"/>
        </a:xfrm>
        <a:prstGeom prst="line">
          <a:avLst/>
        </a:prstGeom>
        <a:noFill/>
        <a:ln w="25400">
          <a:solidFill>
            <a:srgbClr val="000000"/>
          </a:solidFill>
          <a:round/>
          <a:headEnd/>
          <a:tailEnd/>
        </a:ln>
      </xdr:spPr>
    </xdr:sp>
    <xdr:clientData/>
  </xdr:twoCellAnchor>
  <xdr:twoCellAnchor>
    <xdr:from>
      <xdr:col>29</xdr:col>
      <xdr:colOff>243288</xdr:colOff>
      <xdr:row>196</xdr:row>
      <xdr:rowOff>21050</xdr:rowOff>
    </xdr:from>
    <xdr:to>
      <xdr:col>30</xdr:col>
      <xdr:colOff>111788</xdr:colOff>
      <xdr:row>196</xdr:row>
      <xdr:rowOff>21050</xdr:rowOff>
    </xdr:to>
    <xdr:sp macro="" textlink="">
      <xdr:nvSpPr>
        <xdr:cNvPr id="690" name="Line 61"/>
        <xdr:cNvSpPr>
          <a:spLocks noChangeShapeType="1"/>
        </xdr:cNvSpPr>
      </xdr:nvSpPr>
      <xdr:spPr bwMode="auto">
        <a:xfrm>
          <a:off x="17921688" y="29891450"/>
          <a:ext cx="478100" cy="0"/>
        </a:xfrm>
        <a:prstGeom prst="line">
          <a:avLst/>
        </a:prstGeom>
        <a:noFill/>
        <a:ln w="25400">
          <a:solidFill>
            <a:srgbClr val="000000"/>
          </a:solidFill>
          <a:round/>
          <a:headEnd/>
          <a:tailEnd/>
        </a:ln>
      </xdr:spPr>
    </xdr:sp>
    <xdr:clientData/>
  </xdr:twoCellAnchor>
  <xdr:twoCellAnchor>
    <xdr:from>
      <xdr:col>25</xdr:col>
      <xdr:colOff>210132</xdr:colOff>
      <xdr:row>193</xdr:row>
      <xdr:rowOff>22666</xdr:rowOff>
    </xdr:from>
    <xdr:to>
      <xdr:col>25</xdr:col>
      <xdr:colOff>210132</xdr:colOff>
      <xdr:row>208</xdr:row>
      <xdr:rowOff>72535</xdr:rowOff>
    </xdr:to>
    <xdr:sp macro="" textlink="">
      <xdr:nvSpPr>
        <xdr:cNvPr id="691" name="Line 62"/>
        <xdr:cNvSpPr>
          <a:spLocks noChangeShapeType="1"/>
        </xdr:cNvSpPr>
      </xdr:nvSpPr>
      <xdr:spPr bwMode="auto">
        <a:xfrm>
          <a:off x="15450132" y="29435866"/>
          <a:ext cx="0" cy="2335869"/>
        </a:xfrm>
        <a:prstGeom prst="line">
          <a:avLst/>
        </a:prstGeom>
        <a:noFill/>
        <a:ln w="6350">
          <a:solidFill>
            <a:srgbClr val="000000"/>
          </a:solidFill>
          <a:prstDash val="lgDashDot"/>
          <a:round/>
          <a:headEnd/>
          <a:tailEnd/>
        </a:ln>
      </xdr:spPr>
    </xdr:sp>
    <xdr:clientData/>
  </xdr:twoCellAnchor>
  <xdr:twoCellAnchor>
    <xdr:from>
      <xdr:col>29</xdr:col>
      <xdr:colOff>252929</xdr:colOff>
      <xdr:row>194</xdr:row>
      <xdr:rowOff>73642</xdr:rowOff>
    </xdr:from>
    <xdr:to>
      <xdr:col>30</xdr:col>
      <xdr:colOff>140710</xdr:colOff>
      <xdr:row>195</xdr:row>
      <xdr:rowOff>76323</xdr:rowOff>
    </xdr:to>
    <xdr:sp macro="" textlink="">
      <xdr:nvSpPr>
        <xdr:cNvPr id="692" name="Line 63"/>
        <xdr:cNvSpPr>
          <a:spLocks noChangeShapeType="1"/>
        </xdr:cNvSpPr>
      </xdr:nvSpPr>
      <xdr:spPr bwMode="auto">
        <a:xfrm flipV="1">
          <a:off x="17931329" y="29639242"/>
          <a:ext cx="497381" cy="155081"/>
        </a:xfrm>
        <a:prstGeom prst="line">
          <a:avLst/>
        </a:prstGeom>
        <a:noFill/>
        <a:ln w="3175">
          <a:solidFill>
            <a:srgbClr val="000000"/>
          </a:solidFill>
          <a:round/>
          <a:headEnd/>
          <a:tailEnd/>
        </a:ln>
      </xdr:spPr>
    </xdr:sp>
    <xdr:clientData/>
  </xdr:twoCellAnchor>
  <xdr:twoCellAnchor>
    <xdr:from>
      <xdr:col>29</xdr:col>
      <xdr:colOff>252929</xdr:colOff>
      <xdr:row>194</xdr:row>
      <xdr:rowOff>141256</xdr:rowOff>
    </xdr:from>
    <xdr:to>
      <xdr:col>30</xdr:col>
      <xdr:colOff>140710</xdr:colOff>
      <xdr:row>195</xdr:row>
      <xdr:rowOff>143937</xdr:rowOff>
    </xdr:to>
    <xdr:sp macro="" textlink="">
      <xdr:nvSpPr>
        <xdr:cNvPr id="693" name="Line 64"/>
        <xdr:cNvSpPr>
          <a:spLocks noChangeShapeType="1"/>
        </xdr:cNvSpPr>
      </xdr:nvSpPr>
      <xdr:spPr bwMode="auto">
        <a:xfrm flipV="1">
          <a:off x="17931329" y="29706856"/>
          <a:ext cx="497381" cy="155081"/>
        </a:xfrm>
        <a:prstGeom prst="line">
          <a:avLst/>
        </a:prstGeom>
        <a:noFill/>
        <a:ln w="3175">
          <a:solidFill>
            <a:srgbClr val="000000"/>
          </a:solidFill>
          <a:round/>
          <a:headEnd/>
          <a:tailEnd/>
        </a:ln>
      </xdr:spPr>
    </xdr:sp>
    <xdr:clientData/>
  </xdr:twoCellAnchor>
  <xdr:twoCellAnchor>
    <xdr:from>
      <xdr:col>29</xdr:col>
      <xdr:colOff>252929</xdr:colOff>
      <xdr:row>195</xdr:row>
      <xdr:rowOff>18369</xdr:rowOff>
    </xdr:from>
    <xdr:to>
      <xdr:col>30</xdr:col>
      <xdr:colOff>140710</xdr:colOff>
      <xdr:row>196</xdr:row>
      <xdr:rowOff>21050</xdr:rowOff>
    </xdr:to>
    <xdr:sp macro="" textlink="">
      <xdr:nvSpPr>
        <xdr:cNvPr id="694" name="Line 65"/>
        <xdr:cNvSpPr>
          <a:spLocks noChangeShapeType="1"/>
        </xdr:cNvSpPr>
      </xdr:nvSpPr>
      <xdr:spPr bwMode="auto">
        <a:xfrm flipV="1">
          <a:off x="17931329" y="29736369"/>
          <a:ext cx="497381" cy="155081"/>
        </a:xfrm>
        <a:prstGeom prst="line">
          <a:avLst/>
        </a:prstGeom>
        <a:noFill/>
        <a:ln w="3175">
          <a:solidFill>
            <a:srgbClr val="000000"/>
          </a:solidFill>
          <a:round/>
          <a:headEnd/>
          <a:tailEnd/>
        </a:ln>
      </xdr:spPr>
    </xdr:sp>
    <xdr:clientData/>
  </xdr:twoCellAnchor>
  <xdr:twoCellAnchor>
    <xdr:from>
      <xdr:col>29</xdr:col>
      <xdr:colOff>252929</xdr:colOff>
      <xdr:row>194</xdr:row>
      <xdr:rowOff>6029</xdr:rowOff>
    </xdr:from>
    <xdr:to>
      <xdr:col>30</xdr:col>
      <xdr:colOff>140710</xdr:colOff>
      <xdr:row>195</xdr:row>
      <xdr:rowOff>8710</xdr:rowOff>
    </xdr:to>
    <xdr:sp macro="" textlink="">
      <xdr:nvSpPr>
        <xdr:cNvPr id="695" name="Line 66"/>
        <xdr:cNvSpPr>
          <a:spLocks noChangeShapeType="1"/>
        </xdr:cNvSpPr>
      </xdr:nvSpPr>
      <xdr:spPr bwMode="auto">
        <a:xfrm flipV="1">
          <a:off x="17931329" y="29571629"/>
          <a:ext cx="497381" cy="155081"/>
        </a:xfrm>
        <a:prstGeom prst="line">
          <a:avLst/>
        </a:prstGeom>
        <a:noFill/>
        <a:ln w="3175">
          <a:solidFill>
            <a:srgbClr val="000000"/>
          </a:solidFill>
          <a:round/>
          <a:headEnd/>
          <a:tailEnd/>
        </a:ln>
      </xdr:spPr>
    </xdr:sp>
    <xdr:clientData/>
  </xdr:twoCellAnchor>
  <xdr:twoCellAnchor>
    <xdr:from>
      <xdr:col>29</xdr:col>
      <xdr:colOff>252929</xdr:colOff>
      <xdr:row>195</xdr:row>
      <xdr:rowOff>153596</xdr:rowOff>
    </xdr:from>
    <xdr:to>
      <xdr:col>30</xdr:col>
      <xdr:colOff>140710</xdr:colOff>
      <xdr:row>196</xdr:row>
      <xdr:rowOff>156277</xdr:rowOff>
    </xdr:to>
    <xdr:sp macro="" textlink="">
      <xdr:nvSpPr>
        <xdr:cNvPr id="696" name="Line 67"/>
        <xdr:cNvSpPr>
          <a:spLocks noChangeShapeType="1"/>
        </xdr:cNvSpPr>
      </xdr:nvSpPr>
      <xdr:spPr bwMode="auto">
        <a:xfrm flipV="1">
          <a:off x="17931329" y="29871596"/>
          <a:ext cx="497381" cy="155081"/>
        </a:xfrm>
        <a:prstGeom prst="line">
          <a:avLst/>
        </a:prstGeom>
        <a:noFill/>
        <a:ln w="3175">
          <a:solidFill>
            <a:srgbClr val="000000"/>
          </a:solidFill>
          <a:round/>
          <a:headEnd/>
          <a:tailEnd/>
        </a:ln>
      </xdr:spPr>
    </xdr:sp>
    <xdr:clientData/>
  </xdr:twoCellAnchor>
  <xdr:twoCellAnchor>
    <xdr:from>
      <xdr:col>29</xdr:col>
      <xdr:colOff>252929</xdr:colOff>
      <xdr:row>196</xdr:row>
      <xdr:rowOff>30708</xdr:rowOff>
    </xdr:from>
    <xdr:to>
      <xdr:col>30</xdr:col>
      <xdr:colOff>140710</xdr:colOff>
      <xdr:row>197</xdr:row>
      <xdr:rowOff>33389</xdr:rowOff>
    </xdr:to>
    <xdr:sp macro="" textlink="">
      <xdr:nvSpPr>
        <xdr:cNvPr id="697" name="Line 68"/>
        <xdr:cNvSpPr>
          <a:spLocks noChangeShapeType="1"/>
        </xdr:cNvSpPr>
      </xdr:nvSpPr>
      <xdr:spPr bwMode="auto">
        <a:xfrm flipV="1">
          <a:off x="17931329" y="29901108"/>
          <a:ext cx="497381" cy="155081"/>
        </a:xfrm>
        <a:prstGeom prst="line">
          <a:avLst/>
        </a:prstGeom>
        <a:noFill/>
        <a:ln w="3175">
          <a:solidFill>
            <a:srgbClr val="000000"/>
          </a:solidFill>
          <a:round/>
          <a:headEnd/>
          <a:tailEnd/>
        </a:ln>
      </xdr:spPr>
    </xdr:sp>
    <xdr:clientData/>
  </xdr:twoCellAnchor>
  <xdr:twoCellAnchor>
    <xdr:from>
      <xdr:col>29</xdr:col>
      <xdr:colOff>252929</xdr:colOff>
      <xdr:row>196</xdr:row>
      <xdr:rowOff>98322</xdr:rowOff>
    </xdr:from>
    <xdr:to>
      <xdr:col>30</xdr:col>
      <xdr:colOff>140710</xdr:colOff>
      <xdr:row>197</xdr:row>
      <xdr:rowOff>101003</xdr:rowOff>
    </xdr:to>
    <xdr:sp macro="" textlink="">
      <xdr:nvSpPr>
        <xdr:cNvPr id="698" name="Line 69"/>
        <xdr:cNvSpPr>
          <a:spLocks noChangeShapeType="1"/>
        </xdr:cNvSpPr>
      </xdr:nvSpPr>
      <xdr:spPr bwMode="auto">
        <a:xfrm flipV="1">
          <a:off x="17931329" y="29968722"/>
          <a:ext cx="497381" cy="155081"/>
        </a:xfrm>
        <a:prstGeom prst="line">
          <a:avLst/>
        </a:prstGeom>
        <a:noFill/>
        <a:ln w="3175">
          <a:solidFill>
            <a:srgbClr val="000000"/>
          </a:solidFill>
          <a:round/>
          <a:headEnd/>
          <a:tailEnd/>
        </a:ln>
      </xdr:spPr>
    </xdr:sp>
    <xdr:clientData/>
  </xdr:twoCellAnchor>
  <xdr:twoCellAnchor>
    <xdr:from>
      <xdr:col>29</xdr:col>
      <xdr:colOff>252929</xdr:colOff>
      <xdr:row>195</xdr:row>
      <xdr:rowOff>85983</xdr:rowOff>
    </xdr:from>
    <xdr:to>
      <xdr:col>30</xdr:col>
      <xdr:colOff>140710</xdr:colOff>
      <xdr:row>196</xdr:row>
      <xdr:rowOff>88664</xdr:rowOff>
    </xdr:to>
    <xdr:sp macro="" textlink="">
      <xdr:nvSpPr>
        <xdr:cNvPr id="699" name="Line 70"/>
        <xdr:cNvSpPr>
          <a:spLocks noChangeShapeType="1"/>
        </xdr:cNvSpPr>
      </xdr:nvSpPr>
      <xdr:spPr bwMode="auto">
        <a:xfrm flipV="1">
          <a:off x="17931329" y="29803983"/>
          <a:ext cx="497381" cy="155081"/>
        </a:xfrm>
        <a:prstGeom prst="line">
          <a:avLst/>
        </a:prstGeom>
        <a:noFill/>
        <a:ln w="3175">
          <a:solidFill>
            <a:srgbClr val="000000"/>
          </a:solidFill>
          <a:round/>
          <a:headEnd/>
          <a:tailEnd/>
        </a:ln>
      </xdr:spPr>
    </xdr:sp>
    <xdr:clientData/>
  </xdr:twoCellAnchor>
  <xdr:twoCellAnchor>
    <xdr:from>
      <xdr:col>29</xdr:col>
      <xdr:colOff>252929</xdr:colOff>
      <xdr:row>201</xdr:row>
      <xdr:rowOff>92407</xdr:rowOff>
    </xdr:from>
    <xdr:to>
      <xdr:col>30</xdr:col>
      <xdr:colOff>140710</xdr:colOff>
      <xdr:row>202</xdr:row>
      <xdr:rowOff>95088</xdr:rowOff>
    </xdr:to>
    <xdr:sp macro="" textlink="">
      <xdr:nvSpPr>
        <xdr:cNvPr id="700" name="Line 71"/>
        <xdr:cNvSpPr>
          <a:spLocks noChangeShapeType="1"/>
        </xdr:cNvSpPr>
      </xdr:nvSpPr>
      <xdr:spPr bwMode="auto">
        <a:xfrm flipV="1">
          <a:off x="17931329" y="30724807"/>
          <a:ext cx="497381" cy="155081"/>
        </a:xfrm>
        <a:prstGeom prst="line">
          <a:avLst/>
        </a:prstGeom>
        <a:noFill/>
        <a:ln w="3175">
          <a:solidFill>
            <a:srgbClr val="000000"/>
          </a:solidFill>
          <a:round/>
          <a:headEnd/>
          <a:tailEnd/>
        </a:ln>
      </xdr:spPr>
    </xdr:sp>
    <xdr:clientData/>
  </xdr:twoCellAnchor>
  <xdr:twoCellAnchor>
    <xdr:from>
      <xdr:col>29</xdr:col>
      <xdr:colOff>252929</xdr:colOff>
      <xdr:row>201</xdr:row>
      <xdr:rowOff>160020</xdr:rowOff>
    </xdr:from>
    <xdr:to>
      <xdr:col>30</xdr:col>
      <xdr:colOff>140710</xdr:colOff>
      <xdr:row>202</xdr:row>
      <xdr:rowOff>162701</xdr:rowOff>
    </xdr:to>
    <xdr:sp macro="" textlink="">
      <xdr:nvSpPr>
        <xdr:cNvPr id="701" name="Line 72"/>
        <xdr:cNvSpPr>
          <a:spLocks noChangeShapeType="1"/>
        </xdr:cNvSpPr>
      </xdr:nvSpPr>
      <xdr:spPr bwMode="auto">
        <a:xfrm flipV="1">
          <a:off x="17931329" y="30782895"/>
          <a:ext cx="497381" cy="155081"/>
        </a:xfrm>
        <a:prstGeom prst="line">
          <a:avLst/>
        </a:prstGeom>
        <a:noFill/>
        <a:ln w="3175">
          <a:solidFill>
            <a:srgbClr val="000000"/>
          </a:solidFill>
          <a:round/>
          <a:headEnd/>
          <a:tailEnd/>
        </a:ln>
      </xdr:spPr>
    </xdr:sp>
    <xdr:clientData/>
  </xdr:twoCellAnchor>
  <xdr:twoCellAnchor>
    <xdr:from>
      <xdr:col>29</xdr:col>
      <xdr:colOff>252929</xdr:colOff>
      <xdr:row>202</xdr:row>
      <xdr:rowOff>37134</xdr:rowOff>
    </xdr:from>
    <xdr:to>
      <xdr:col>30</xdr:col>
      <xdr:colOff>140710</xdr:colOff>
      <xdr:row>203</xdr:row>
      <xdr:rowOff>39815</xdr:rowOff>
    </xdr:to>
    <xdr:sp macro="" textlink="">
      <xdr:nvSpPr>
        <xdr:cNvPr id="702" name="Line 73"/>
        <xdr:cNvSpPr>
          <a:spLocks noChangeShapeType="1"/>
        </xdr:cNvSpPr>
      </xdr:nvSpPr>
      <xdr:spPr bwMode="auto">
        <a:xfrm flipV="1">
          <a:off x="17931329" y="30821934"/>
          <a:ext cx="497381" cy="155081"/>
        </a:xfrm>
        <a:prstGeom prst="line">
          <a:avLst/>
        </a:prstGeom>
        <a:noFill/>
        <a:ln w="3175">
          <a:solidFill>
            <a:srgbClr val="000000"/>
          </a:solidFill>
          <a:round/>
          <a:headEnd/>
          <a:tailEnd/>
        </a:ln>
      </xdr:spPr>
    </xdr:sp>
    <xdr:clientData/>
  </xdr:twoCellAnchor>
  <xdr:twoCellAnchor>
    <xdr:from>
      <xdr:col>29</xdr:col>
      <xdr:colOff>252929</xdr:colOff>
      <xdr:row>201</xdr:row>
      <xdr:rowOff>24794</xdr:rowOff>
    </xdr:from>
    <xdr:to>
      <xdr:col>30</xdr:col>
      <xdr:colOff>140710</xdr:colOff>
      <xdr:row>202</xdr:row>
      <xdr:rowOff>27475</xdr:rowOff>
    </xdr:to>
    <xdr:sp macro="" textlink="">
      <xdr:nvSpPr>
        <xdr:cNvPr id="703" name="Line 74"/>
        <xdr:cNvSpPr>
          <a:spLocks noChangeShapeType="1"/>
        </xdr:cNvSpPr>
      </xdr:nvSpPr>
      <xdr:spPr bwMode="auto">
        <a:xfrm flipV="1">
          <a:off x="17931329" y="30657194"/>
          <a:ext cx="497381" cy="155081"/>
        </a:xfrm>
        <a:prstGeom prst="line">
          <a:avLst/>
        </a:prstGeom>
        <a:noFill/>
        <a:ln w="3175">
          <a:solidFill>
            <a:srgbClr val="000000"/>
          </a:solidFill>
          <a:round/>
          <a:headEnd/>
          <a:tailEnd/>
        </a:ln>
      </xdr:spPr>
    </xdr:sp>
    <xdr:clientData/>
  </xdr:twoCellAnchor>
  <xdr:twoCellAnchor>
    <xdr:from>
      <xdr:col>29</xdr:col>
      <xdr:colOff>252929</xdr:colOff>
      <xdr:row>193</xdr:row>
      <xdr:rowOff>70962</xdr:rowOff>
    </xdr:from>
    <xdr:to>
      <xdr:col>30</xdr:col>
      <xdr:colOff>73226</xdr:colOff>
      <xdr:row>193</xdr:row>
      <xdr:rowOff>186871</xdr:rowOff>
    </xdr:to>
    <xdr:sp macro="" textlink="">
      <xdr:nvSpPr>
        <xdr:cNvPr id="704" name="Line 75"/>
        <xdr:cNvSpPr>
          <a:spLocks noChangeShapeType="1"/>
        </xdr:cNvSpPr>
      </xdr:nvSpPr>
      <xdr:spPr bwMode="auto">
        <a:xfrm flipV="1">
          <a:off x="17931329" y="29484162"/>
          <a:ext cx="429897" cy="77809"/>
        </a:xfrm>
        <a:prstGeom prst="line">
          <a:avLst/>
        </a:prstGeom>
        <a:noFill/>
        <a:ln w="3175">
          <a:solidFill>
            <a:srgbClr val="000000"/>
          </a:solidFill>
          <a:round/>
          <a:headEnd/>
          <a:tailEnd/>
        </a:ln>
      </xdr:spPr>
    </xdr:sp>
    <xdr:clientData/>
  </xdr:twoCellAnchor>
  <xdr:twoCellAnchor>
    <xdr:from>
      <xdr:col>29</xdr:col>
      <xdr:colOff>252929</xdr:colOff>
      <xdr:row>193</xdr:row>
      <xdr:rowOff>80621</xdr:rowOff>
    </xdr:from>
    <xdr:to>
      <xdr:col>30</xdr:col>
      <xdr:colOff>121429</xdr:colOff>
      <xdr:row>194</xdr:row>
      <xdr:rowOff>63984</xdr:rowOff>
    </xdr:to>
    <xdr:sp macro="" textlink="">
      <xdr:nvSpPr>
        <xdr:cNvPr id="705" name="Line 76"/>
        <xdr:cNvSpPr>
          <a:spLocks noChangeShapeType="1"/>
        </xdr:cNvSpPr>
      </xdr:nvSpPr>
      <xdr:spPr bwMode="auto">
        <a:xfrm flipV="1">
          <a:off x="17931329" y="29493821"/>
          <a:ext cx="478100" cy="135763"/>
        </a:xfrm>
        <a:prstGeom prst="line">
          <a:avLst/>
        </a:prstGeom>
        <a:noFill/>
        <a:ln w="3175">
          <a:solidFill>
            <a:srgbClr val="000000"/>
          </a:solidFill>
          <a:round/>
          <a:headEnd/>
          <a:tailEnd/>
        </a:ln>
      </xdr:spPr>
    </xdr:sp>
    <xdr:clientData/>
  </xdr:twoCellAnchor>
  <xdr:twoCellAnchor>
    <xdr:from>
      <xdr:col>29</xdr:col>
      <xdr:colOff>252929</xdr:colOff>
      <xdr:row>193</xdr:row>
      <xdr:rowOff>128916</xdr:rowOff>
    </xdr:from>
    <xdr:to>
      <xdr:col>30</xdr:col>
      <xdr:colOff>140710</xdr:colOff>
      <xdr:row>194</xdr:row>
      <xdr:rowOff>131597</xdr:rowOff>
    </xdr:to>
    <xdr:sp macro="" textlink="">
      <xdr:nvSpPr>
        <xdr:cNvPr id="706" name="Line 77"/>
        <xdr:cNvSpPr>
          <a:spLocks noChangeShapeType="1"/>
        </xdr:cNvSpPr>
      </xdr:nvSpPr>
      <xdr:spPr bwMode="auto">
        <a:xfrm flipV="1">
          <a:off x="17931329" y="29542116"/>
          <a:ext cx="497381" cy="155081"/>
        </a:xfrm>
        <a:prstGeom prst="line">
          <a:avLst/>
        </a:prstGeom>
        <a:noFill/>
        <a:ln w="3175">
          <a:solidFill>
            <a:srgbClr val="000000"/>
          </a:solidFill>
          <a:round/>
          <a:headEnd/>
          <a:tailEnd/>
        </a:ln>
      </xdr:spPr>
    </xdr:sp>
    <xdr:clientData/>
  </xdr:twoCellAnchor>
  <xdr:twoCellAnchor>
    <xdr:from>
      <xdr:col>29</xdr:col>
      <xdr:colOff>252930</xdr:colOff>
      <xdr:row>193</xdr:row>
      <xdr:rowOff>70961</xdr:rowOff>
    </xdr:from>
    <xdr:to>
      <xdr:col>30</xdr:col>
      <xdr:colOff>5742</xdr:colOff>
      <xdr:row>193</xdr:row>
      <xdr:rowOff>119256</xdr:rowOff>
    </xdr:to>
    <xdr:sp macro="" textlink="">
      <xdr:nvSpPr>
        <xdr:cNvPr id="707" name="Line 78"/>
        <xdr:cNvSpPr>
          <a:spLocks noChangeShapeType="1"/>
        </xdr:cNvSpPr>
      </xdr:nvSpPr>
      <xdr:spPr bwMode="auto">
        <a:xfrm flipV="1">
          <a:off x="17931330" y="29484161"/>
          <a:ext cx="362412" cy="48295"/>
        </a:xfrm>
        <a:prstGeom prst="line">
          <a:avLst/>
        </a:prstGeom>
        <a:noFill/>
        <a:ln w="3175">
          <a:solidFill>
            <a:srgbClr val="000000"/>
          </a:solidFill>
          <a:round/>
          <a:headEnd/>
          <a:tailEnd/>
        </a:ln>
      </xdr:spPr>
    </xdr:sp>
    <xdr:clientData/>
  </xdr:twoCellAnchor>
  <xdr:twoCellAnchor>
    <xdr:from>
      <xdr:col>29</xdr:col>
      <xdr:colOff>252929</xdr:colOff>
      <xdr:row>200</xdr:row>
      <xdr:rowOff>12455</xdr:rowOff>
    </xdr:from>
    <xdr:to>
      <xdr:col>30</xdr:col>
      <xdr:colOff>140710</xdr:colOff>
      <xdr:row>201</xdr:row>
      <xdr:rowOff>15136</xdr:rowOff>
    </xdr:to>
    <xdr:sp macro="" textlink="">
      <xdr:nvSpPr>
        <xdr:cNvPr id="708" name="Line 79"/>
        <xdr:cNvSpPr>
          <a:spLocks noChangeShapeType="1"/>
        </xdr:cNvSpPr>
      </xdr:nvSpPr>
      <xdr:spPr bwMode="auto">
        <a:xfrm flipV="1">
          <a:off x="17931329" y="30492455"/>
          <a:ext cx="497381" cy="155081"/>
        </a:xfrm>
        <a:prstGeom prst="line">
          <a:avLst/>
        </a:prstGeom>
        <a:noFill/>
        <a:ln w="3175">
          <a:solidFill>
            <a:srgbClr val="000000"/>
          </a:solidFill>
          <a:round/>
          <a:headEnd/>
          <a:tailEnd/>
        </a:ln>
      </xdr:spPr>
    </xdr:sp>
    <xdr:clientData/>
  </xdr:twoCellAnchor>
  <xdr:twoCellAnchor>
    <xdr:from>
      <xdr:col>29</xdr:col>
      <xdr:colOff>252929</xdr:colOff>
      <xdr:row>200</xdr:row>
      <xdr:rowOff>80068</xdr:rowOff>
    </xdr:from>
    <xdr:to>
      <xdr:col>30</xdr:col>
      <xdr:colOff>140710</xdr:colOff>
      <xdr:row>201</xdr:row>
      <xdr:rowOff>82749</xdr:rowOff>
    </xdr:to>
    <xdr:sp macro="" textlink="">
      <xdr:nvSpPr>
        <xdr:cNvPr id="709" name="Line 80"/>
        <xdr:cNvSpPr>
          <a:spLocks noChangeShapeType="1"/>
        </xdr:cNvSpPr>
      </xdr:nvSpPr>
      <xdr:spPr bwMode="auto">
        <a:xfrm flipV="1">
          <a:off x="17931329" y="30560068"/>
          <a:ext cx="497381" cy="155081"/>
        </a:xfrm>
        <a:prstGeom prst="line">
          <a:avLst/>
        </a:prstGeom>
        <a:noFill/>
        <a:ln w="3175">
          <a:solidFill>
            <a:srgbClr val="000000"/>
          </a:solidFill>
          <a:round/>
          <a:headEnd/>
          <a:tailEnd/>
        </a:ln>
      </xdr:spPr>
    </xdr:sp>
    <xdr:clientData/>
  </xdr:twoCellAnchor>
  <xdr:twoCellAnchor>
    <xdr:from>
      <xdr:col>29</xdr:col>
      <xdr:colOff>252929</xdr:colOff>
      <xdr:row>200</xdr:row>
      <xdr:rowOff>147681</xdr:rowOff>
    </xdr:from>
    <xdr:to>
      <xdr:col>30</xdr:col>
      <xdr:colOff>140710</xdr:colOff>
      <xdr:row>201</xdr:row>
      <xdr:rowOff>150362</xdr:rowOff>
    </xdr:to>
    <xdr:sp macro="" textlink="">
      <xdr:nvSpPr>
        <xdr:cNvPr id="710" name="Line 81"/>
        <xdr:cNvSpPr>
          <a:spLocks noChangeShapeType="1"/>
        </xdr:cNvSpPr>
      </xdr:nvSpPr>
      <xdr:spPr bwMode="auto">
        <a:xfrm flipV="1">
          <a:off x="17931329" y="30627681"/>
          <a:ext cx="497381" cy="155081"/>
        </a:xfrm>
        <a:prstGeom prst="line">
          <a:avLst/>
        </a:prstGeom>
        <a:noFill/>
        <a:ln w="3175">
          <a:solidFill>
            <a:srgbClr val="000000"/>
          </a:solidFill>
          <a:round/>
          <a:headEnd/>
          <a:tailEnd/>
        </a:ln>
      </xdr:spPr>
    </xdr:sp>
    <xdr:clientData/>
  </xdr:twoCellAnchor>
  <xdr:twoCellAnchor>
    <xdr:from>
      <xdr:col>29</xdr:col>
      <xdr:colOff>252929</xdr:colOff>
      <xdr:row>199</xdr:row>
      <xdr:rowOff>135341</xdr:rowOff>
    </xdr:from>
    <xdr:to>
      <xdr:col>30</xdr:col>
      <xdr:colOff>140710</xdr:colOff>
      <xdr:row>200</xdr:row>
      <xdr:rowOff>138022</xdr:rowOff>
    </xdr:to>
    <xdr:sp macro="" textlink="">
      <xdr:nvSpPr>
        <xdr:cNvPr id="711" name="Line 82"/>
        <xdr:cNvSpPr>
          <a:spLocks noChangeShapeType="1"/>
        </xdr:cNvSpPr>
      </xdr:nvSpPr>
      <xdr:spPr bwMode="auto">
        <a:xfrm flipV="1">
          <a:off x="17931329" y="30462941"/>
          <a:ext cx="497381" cy="155081"/>
        </a:xfrm>
        <a:prstGeom prst="line">
          <a:avLst/>
        </a:prstGeom>
        <a:noFill/>
        <a:ln w="3175">
          <a:solidFill>
            <a:srgbClr val="000000"/>
          </a:solidFill>
          <a:round/>
          <a:headEnd/>
          <a:tailEnd/>
        </a:ln>
      </xdr:spPr>
    </xdr:sp>
    <xdr:clientData/>
  </xdr:twoCellAnchor>
  <xdr:twoCellAnchor>
    <xdr:from>
      <xdr:col>29</xdr:col>
      <xdr:colOff>252929</xdr:colOff>
      <xdr:row>204</xdr:row>
      <xdr:rowOff>61813</xdr:rowOff>
    </xdr:from>
    <xdr:to>
      <xdr:col>30</xdr:col>
      <xdr:colOff>140710</xdr:colOff>
      <xdr:row>205</xdr:row>
      <xdr:rowOff>64494</xdr:rowOff>
    </xdr:to>
    <xdr:sp macro="" textlink="">
      <xdr:nvSpPr>
        <xdr:cNvPr id="712" name="Line 83"/>
        <xdr:cNvSpPr>
          <a:spLocks noChangeShapeType="1"/>
        </xdr:cNvSpPr>
      </xdr:nvSpPr>
      <xdr:spPr bwMode="auto">
        <a:xfrm flipV="1">
          <a:off x="17931329" y="31151413"/>
          <a:ext cx="497381" cy="155081"/>
        </a:xfrm>
        <a:prstGeom prst="line">
          <a:avLst/>
        </a:prstGeom>
        <a:noFill/>
        <a:ln w="3175">
          <a:solidFill>
            <a:srgbClr val="000000"/>
          </a:solidFill>
          <a:round/>
          <a:headEnd/>
          <a:tailEnd/>
        </a:ln>
      </xdr:spPr>
    </xdr:sp>
    <xdr:clientData/>
  </xdr:twoCellAnchor>
  <xdr:twoCellAnchor>
    <xdr:from>
      <xdr:col>29</xdr:col>
      <xdr:colOff>252929</xdr:colOff>
      <xdr:row>204</xdr:row>
      <xdr:rowOff>129426</xdr:rowOff>
    </xdr:from>
    <xdr:to>
      <xdr:col>30</xdr:col>
      <xdr:colOff>140710</xdr:colOff>
      <xdr:row>205</xdr:row>
      <xdr:rowOff>132107</xdr:rowOff>
    </xdr:to>
    <xdr:sp macro="" textlink="">
      <xdr:nvSpPr>
        <xdr:cNvPr id="713" name="Line 84"/>
        <xdr:cNvSpPr>
          <a:spLocks noChangeShapeType="1"/>
        </xdr:cNvSpPr>
      </xdr:nvSpPr>
      <xdr:spPr bwMode="auto">
        <a:xfrm flipV="1">
          <a:off x="17931329" y="31219026"/>
          <a:ext cx="497381" cy="155081"/>
        </a:xfrm>
        <a:prstGeom prst="line">
          <a:avLst/>
        </a:prstGeom>
        <a:noFill/>
        <a:ln w="3175">
          <a:solidFill>
            <a:srgbClr val="000000"/>
          </a:solidFill>
          <a:round/>
          <a:headEnd/>
          <a:tailEnd/>
        </a:ln>
      </xdr:spPr>
    </xdr:sp>
    <xdr:clientData/>
  </xdr:twoCellAnchor>
  <xdr:twoCellAnchor>
    <xdr:from>
      <xdr:col>29</xdr:col>
      <xdr:colOff>252929</xdr:colOff>
      <xdr:row>205</xdr:row>
      <xdr:rowOff>6540</xdr:rowOff>
    </xdr:from>
    <xdr:to>
      <xdr:col>30</xdr:col>
      <xdr:colOff>140710</xdr:colOff>
      <xdr:row>206</xdr:row>
      <xdr:rowOff>9221</xdr:rowOff>
    </xdr:to>
    <xdr:sp macro="" textlink="">
      <xdr:nvSpPr>
        <xdr:cNvPr id="714" name="Line 85"/>
        <xdr:cNvSpPr>
          <a:spLocks noChangeShapeType="1"/>
        </xdr:cNvSpPr>
      </xdr:nvSpPr>
      <xdr:spPr bwMode="auto">
        <a:xfrm flipV="1">
          <a:off x="17931329" y="31248540"/>
          <a:ext cx="497381" cy="155081"/>
        </a:xfrm>
        <a:prstGeom prst="line">
          <a:avLst/>
        </a:prstGeom>
        <a:noFill/>
        <a:ln w="3175">
          <a:solidFill>
            <a:srgbClr val="000000"/>
          </a:solidFill>
          <a:round/>
          <a:headEnd/>
          <a:tailEnd/>
        </a:ln>
      </xdr:spPr>
    </xdr:sp>
    <xdr:clientData/>
  </xdr:twoCellAnchor>
  <xdr:twoCellAnchor>
    <xdr:from>
      <xdr:col>29</xdr:col>
      <xdr:colOff>252929</xdr:colOff>
      <xdr:row>203</xdr:row>
      <xdr:rowOff>184700</xdr:rowOff>
    </xdr:from>
    <xdr:to>
      <xdr:col>30</xdr:col>
      <xdr:colOff>140710</xdr:colOff>
      <xdr:row>204</xdr:row>
      <xdr:rowOff>187381</xdr:rowOff>
    </xdr:to>
    <xdr:sp macro="" textlink="">
      <xdr:nvSpPr>
        <xdr:cNvPr id="715" name="Line 86"/>
        <xdr:cNvSpPr>
          <a:spLocks noChangeShapeType="1"/>
        </xdr:cNvSpPr>
      </xdr:nvSpPr>
      <xdr:spPr bwMode="auto">
        <a:xfrm flipV="1">
          <a:off x="17931329" y="31093325"/>
          <a:ext cx="497381" cy="145556"/>
        </a:xfrm>
        <a:prstGeom prst="line">
          <a:avLst/>
        </a:prstGeom>
        <a:noFill/>
        <a:ln w="3175">
          <a:solidFill>
            <a:srgbClr val="000000"/>
          </a:solidFill>
          <a:round/>
          <a:headEnd/>
          <a:tailEnd/>
        </a:ln>
      </xdr:spPr>
    </xdr:sp>
    <xdr:clientData/>
  </xdr:twoCellAnchor>
  <xdr:twoCellAnchor>
    <xdr:from>
      <xdr:col>29</xdr:col>
      <xdr:colOff>252929</xdr:colOff>
      <xdr:row>202</xdr:row>
      <xdr:rowOff>172361</xdr:rowOff>
    </xdr:from>
    <xdr:to>
      <xdr:col>30</xdr:col>
      <xdr:colOff>140710</xdr:colOff>
      <xdr:row>203</xdr:row>
      <xdr:rowOff>175042</xdr:rowOff>
    </xdr:to>
    <xdr:sp macro="" textlink="">
      <xdr:nvSpPr>
        <xdr:cNvPr id="716" name="Line 87"/>
        <xdr:cNvSpPr>
          <a:spLocks noChangeShapeType="1"/>
        </xdr:cNvSpPr>
      </xdr:nvSpPr>
      <xdr:spPr bwMode="auto">
        <a:xfrm flipV="1">
          <a:off x="17931329" y="30938111"/>
          <a:ext cx="497381" cy="155081"/>
        </a:xfrm>
        <a:prstGeom prst="line">
          <a:avLst/>
        </a:prstGeom>
        <a:noFill/>
        <a:ln w="3175">
          <a:solidFill>
            <a:srgbClr val="000000"/>
          </a:solidFill>
          <a:round/>
          <a:headEnd/>
          <a:tailEnd/>
        </a:ln>
      </xdr:spPr>
    </xdr:sp>
    <xdr:clientData/>
  </xdr:twoCellAnchor>
  <xdr:twoCellAnchor>
    <xdr:from>
      <xdr:col>29</xdr:col>
      <xdr:colOff>252929</xdr:colOff>
      <xdr:row>203</xdr:row>
      <xdr:rowOff>49474</xdr:rowOff>
    </xdr:from>
    <xdr:to>
      <xdr:col>30</xdr:col>
      <xdr:colOff>140710</xdr:colOff>
      <xdr:row>204</xdr:row>
      <xdr:rowOff>52155</xdr:rowOff>
    </xdr:to>
    <xdr:sp macro="" textlink="">
      <xdr:nvSpPr>
        <xdr:cNvPr id="717" name="Line 88"/>
        <xdr:cNvSpPr>
          <a:spLocks noChangeShapeType="1"/>
        </xdr:cNvSpPr>
      </xdr:nvSpPr>
      <xdr:spPr bwMode="auto">
        <a:xfrm flipV="1">
          <a:off x="17931329" y="30986674"/>
          <a:ext cx="497381" cy="155081"/>
        </a:xfrm>
        <a:prstGeom prst="line">
          <a:avLst/>
        </a:prstGeom>
        <a:noFill/>
        <a:ln w="3175">
          <a:solidFill>
            <a:srgbClr val="000000"/>
          </a:solidFill>
          <a:round/>
          <a:headEnd/>
          <a:tailEnd/>
        </a:ln>
      </xdr:spPr>
    </xdr:sp>
    <xdr:clientData/>
  </xdr:twoCellAnchor>
  <xdr:twoCellAnchor>
    <xdr:from>
      <xdr:col>29</xdr:col>
      <xdr:colOff>252929</xdr:colOff>
      <xdr:row>203</xdr:row>
      <xdr:rowOff>117086</xdr:rowOff>
    </xdr:from>
    <xdr:to>
      <xdr:col>30</xdr:col>
      <xdr:colOff>140710</xdr:colOff>
      <xdr:row>204</xdr:row>
      <xdr:rowOff>119767</xdr:rowOff>
    </xdr:to>
    <xdr:sp macro="" textlink="">
      <xdr:nvSpPr>
        <xdr:cNvPr id="718" name="Line 89"/>
        <xdr:cNvSpPr>
          <a:spLocks noChangeShapeType="1"/>
        </xdr:cNvSpPr>
      </xdr:nvSpPr>
      <xdr:spPr bwMode="auto">
        <a:xfrm flipV="1">
          <a:off x="17931329" y="31054286"/>
          <a:ext cx="497381" cy="155081"/>
        </a:xfrm>
        <a:prstGeom prst="line">
          <a:avLst/>
        </a:prstGeom>
        <a:noFill/>
        <a:ln w="3175">
          <a:solidFill>
            <a:srgbClr val="000000"/>
          </a:solidFill>
          <a:round/>
          <a:headEnd/>
          <a:tailEnd/>
        </a:ln>
      </xdr:spPr>
    </xdr:sp>
    <xdr:clientData/>
  </xdr:twoCellAnchor>
  <xdr:twoCellAnchor>
    <xdr:from>
      <xdr:col>29</xdr:col>
      <xdr:colOff>252929</xdr:colOff>
      <xdr:row>202</xdr:row>
      <xdr:rowOff>104747</xdr:rowOff>
    </xdr:from>
    <xdr:to>
      <xdr:col>30</xdr:col>
      <xdr:colOff>140710</xdr:colOff>
      <xdr:row>203</xdr:row>
      <xdr:rowOff>107428</xdr:rowOff>
    </xdr:to>
    <xdr:sp macro="" textlink="">
      <xdr:nvSpPr>
        <xdr:cNvPr id="719" name="Line 90"/>
        <xdr:cNvSpPr>
          <a:spLocks noChangeShapeType="1"/>
        </xdr:cNvSpPr>
      </xdr:nvSpPr>
      <xdr:spPr bwMode="auto">
        <a:xfrm flipV="1">
          <a:off x="17931329" y="30889547"/>
          <a:ext cx="497381" cy="155081"/>
        </a:xfrm>
        <a:prstGeom prst="line">
          <a:avLst/>
        </a:prstGeom>
        <a:noFill/>
        <a:ln w="3175">
          <a:solidFill>
            <a:srgbClr val="000000"/>
          </a:solidFill>
          <a:round/>
          <a:headEnd/>
          <a:tailEnd/>
        </a:ln>
      </xdr:spPr>
    </xdr:sp>
    <xdr:clientData/>
  </xdr:twoCellAnchor>
  <xdr:twoCellAnchor>
    <xdr:from>
      <xdr:col>29</xdr:col>
      <xdr:colOff>252929</xdr:colOff>
      <xdr:row>207</xdr:row>
      <xdr:rowOff>31219</xdr:rowOff>
    </xdr:from>
    <xdr:to>
      <xdr:col>30</xdr:col>
      <xdr:colOff>140710</xdr:colOff>
      <xdr:row>208</xdr:row>
      <xdr:rowOff>33900</xdr:rowOff>
    </xdr:to>
    <xdr:sp macro="" textlink="">
      <xdr:nvSpPr>
        <xdr:cNvPr id="720" name="Line 91"/>
        <xdr:cNvSpPr>
          <a:spLocks noChangeShapeType="1"/>
        </xdr:cNvSpPr>
      </xdr:nvSpPr>
      <xdr:spPr bwMode="auto">
        <a:xfrm flipV="1">
          <a:off x="17931329" y="31578019"/>
          <a:ext cx="497381" cy="155081"/>
        </a:xfrm>
        <a:prstGeom prst="line">
          <a:avLst/>
        </a:prstGeom>
        <a:noFill/>
        <a:ln w="3175">
          <a:solidFill>
            <a:srgbClr val="000000"/>
          </a:solidFill>
          <a:round/>
          <a:headEnd/>
          <a:tailEnd/>
        </a:ln>
      </xdr:spPr>
    </xdr:sp>
    <xdr:clientData/>
  </xdr:twoCellAnchor>
  <xdr:twoCellAnchor>
    <xdr:from>
      <xdr:col>29</xdr:col>
      <xdr:colOff>252929</xdr:colOff>
      <xdr:row>207</xdr:row>
      <xdr:rowOff>98833</xdr:rowOff>
    </xdr:from>
    <xdr:to>
      <xdr:col>30</xdr:col>
      <xdr:colOff>140710</xdr:colOff>
      <xdr:row>208</xdr:row>
      <xdr:rowOff>101514</xdr:rowOff>
    </xdr:to>
    <xdr:sp macro="" textlink="">
      <xdr:nvSpPr>
        <xdr:cNvPr id="721" name="Line 92"/>
        <xdr:cNvSpPr>
          <a:spLocks noChangeShapeType="1"/>
        </xdr:cNvSpPr>
      </xdr:nvSpPr>
      <xdr:spPr bwMode="auto">
        <a:xfrm flipV="1">
          <a:off x="17931329" y="31645633"/>
          <a:ext cx="497381" cy="155081"/>
        </a:xfrm>
        <a:prstGeom prst="line">
          <a:avLst/>
        </a:prstGeom>
        <a:noFill/>
        <a:ln w="3175">
          <a:solidFill>
            <a:srgbClr val="000000"/>
          </a:solidFill>
          <a:round/>
          <a:headEnd/>
          <a:tailEnd/>
        </a:ln>
      </xdr:spPr>
    </xdr:sp>
    <xdr:clientData/>
  </xdr:twoCellAnchor>
  <xdr:twoCellAnchor>
    <xdr:from>
      <xdr:col>29</xdr:col>
      <xdr:colOff>252929</xdr:colOff>
      <xdr:row>207</xdr:row>
      <xdr:rowOff>166446</xdr:rowOff>
    </xdr:from>
    <xdr:to>
      <xdr:col>30</xdr:col>
      <xdr:colOff>140710</xdr:colOff>
      <xdr:row>208</xdr:row>
      <xdr:rowOff>169127</xdr:rowOff>
    </xdr:to>
    <xdr:sp macro="" textlink="">
      <xdr:nvSpPr>
        <xdr:cNvPr id="722" name="Line 93"/>
        <xdr:cNvSpPr>
          <a:spLocks noChangeShapeType="1"/>
        </xdr:cNvSpPr>
      </xdr:nvSpPr>
      <xdr:spPr bwMode="auto">
        <a:xfrm flipV="1">
          <a:off x="17931329" y="31703721"/>
          <a:ext cx="497381" cy="145556"/>
        </a:xfrm>
        <a:prstGeom prst="line">
          <a:avLst/>
        </a:prstGeom>
        <a:noFill/>
        <a:ln w="3175">
          <a:solidFill>
            <a:srgbClr val="000000"/>
          </a:solidFill>
          <a:round/>
          <a:headEnd/>
          <a:tailEnd/>
        </a:ln>
      </xdr:spPr>
    </xdr:sp>
    <xdr:clientData/>
  </xdr:twoCellAnchor>
  <xdr:twoCellAnchor>
    <xdr:from>
      <xdr:col>29</xdr:col>
      <xdr:colOff>252929</xdr:colOff>
      <xdr:row>206</xdr:row>
      <xdr:rowOff>154106</xdr:rowOff>
    </xdr:from>
    <xdr:to>
      <xdr:col>30</xdr:col>
      <xdr:colOff>140710</xdr:colOff>
      <xdr:row>207</xdr:row>
      <xdr:rowOff>156787</xdr:rowOff>
    </xdr:to>
    <xdr:sp macro="" textlink="">
      <xdr:nvSpPr>
        <xdr:cNvPr id="723" name="Line 94"/>
        <xdr:cNvSpPr>
          <a:spLocks noChangeShapeType="1"/>
        </xdr:cNvSpPr>
      </xdr:nvSpPr>
      <xdr:spPr bwMode="auto">
        <a:xfrm flipV="1">
          <a:off x="17931329" y="31548506"/>
          <a:ext cx="497381" cy="155081"/>
        </a:xfrm>
        <a:prstGeom prst="line">
          <a:avLst/>
        </a:prstGeom>
        <a:noFill/>
        <a:ln w="3175">
          <a:solidFill>
            <a:srgbClr val="000000"/>
          </a:solidFill>
          <a:round/>
          <a:headEnd/>
          <a:tailEnd/>
        </a:ln>
      </xdr:spPr>
    </xdr:sp>
    <xdr:clientData/>
  </xdr:twoCellAnchor>
  <xdr:twoCellAnchor>
    <xdr:from>
      <xdr:col>29</xdr:col>
      <xdr:colOff>252929</xdr:colOff>
      <xdr:row>205</xdr:row>
      <xdr:rowOff>141767</xdr:rowOff>
    </xdr:from>
    <xdr:to>
      <xdr:col>30</xdr:col>
      <xdr:colOff>140710</xdr:colOff>
      <xdr:row>206</xdr:row>
      <xdr:rowOff>144448</xdr:rowOff>
    </xdr:to>
    <xdr:sp macro="" textlink="">
      <xdr:nvSpPr>
        <xdr:cNvPr id="724" name="Line 95"/>
        <xdr:cNvSpPr>
          <a:spLocks noChangeShapeType="1"/>
        </xdr:cNvSpPr>
      </xdr:nvSpPr>
      <xdr:spPr bwMode="auto">
        <a:xfrm flipV="1">
          <a:off x="17931329" y="31383767"/>
          <a:ext cx="497381" cy="155081"/>
        </a:xfrm>
        <a:prstGeom prst="line">
          <a:avLst/>
        </a:prstGeom>
        <a:noFill/>
        <a:ln w="3175">
          <a:solidFill>
            <a:srgbClr val="000000"/>
          </a:solidFill>
          <a:round/>
          <a:headEnd/>
          <a:tailEnd/>
        </a:ln>
      </xdr:spPr>
    </xdr:sp>
    <xdr:clientData/>
  </xdr:twoCellAnchor>
  <xdr:twoCellAnchor>
    <xdr:from>
      <xdr:col>29</xdr:col>
      <xdr:colOff>252929</xdr:colOff>
      <xdr:row>206</xdr:row>
      <xdr:rowOff>18880</xdr:rowOff>
    </xdr:from>
    <xdr:to>
      <xdr:col>30</xdr:col>
      <xdr:colOff>140710</xdr:colOff>
      <xdr:row>207</xdr:row>
      <xdr:rowOff>11901</xdr:rowOff>
    </xdr:to>
    <xdr:sp macro="" textlink="">
      <xdr:nvSpPr>
        <xdr:cNvPr id="725" name="Line 96"/>
        <xdr:cNvSpPr>
          <a:spLocks noChangeShapeType="1"/>
        </xdr:cNvSpPr>
      </xdr:nvSpPr>
      <xdr:spPr bwMode="auto">
        <a:xfrm flipV="1">
          <a:off x="17931329" y="31413280"/>
          <a:ext cx="497381" cy="145421"/>
        </a:xfrm>
        <a:prstGeom prst="line">
          <a:avLst/>
        </a:prstGeom>
        <a:noFill/>
        <a:ln w="3175">
          <a:solidFill>
            <a:srgbClr val="000000"/>
          </a:solidFill>
          <a:round/>
          <a:headEnd/>
          <a:tailEnd/>
        </a:ln>
      </xdr:spPr>
    </xdr:sp>
    <xdr:clientData/>
  </xdr:twoCellAnchor>
  <xdr:twoCellAnchor>
    <xdr:from>
      <xdr:col>29</xdr:col>
      <xdr:colOff>252929</xdr:colOff>
      <xdr:row>206</xdr:row>
      <xdr:rowOff>86492</xdr:rowOff>
    </xdr:from>
    <xdr:to>
      <xdr:col>30</xdr:col>
      <xdr:colOff>140710</xdr:colOff>
      <xdr:row>207</xdr:row>
      <xdr:rowOff>89173</xdr:rowOff>
    </xdr:to>
    <xdr:sp macro="" textlink="">
      <xdr:nvSpPr>
        <xdr:cNvPr id="726" name="Line 97"/>
        <xdr:cNvSpPr>
          <a:spLocks noChangeShapeType="1"/>
        </xdr:cNvSpPr>
      </xdr:nvSpPr>
      <xdr:spPr bwMode="auto">
        <a:xfrm flipV="1">
          <a:off x="17931329" y="31480892"/>
          <a:ext cx="497381" cy="155081"/>
        </a:xfrm>
        <a:prstGeom prst="line">
          <a:avLst/>
        </a:prstGeom>
        <a:noFill/>
        <a:ln w="3175">
          <a:solidFill>
            <a:srgbClr val="000000"/>
          </a:solidFill>
          <a:round/>
          <a:headEnd/>
          <a:tailEnd/>
        </a:ln>
      </xdr:spPr>
    </xdr:sp>
    <xdr:clientData/>
  </xdr:twoCellAnchor>
  <xdr:twoCellAnchor>
    <xdr:from>
      <xdr:col>29</xdr:col>
      <xdr:colOff>252929</xdr:colOff>
      <xdr:row>205</xdr:row>
      <xdr:rowOff>74153</xdr:rowOff>
    </xdr:from>
    <xdr:to>
      <xdr:col>30</xdr:col>
      <xdr:colOff>140710</xdr:colOff>
      <xdr:row>206</xdr:row>
      <xdr:rowOff>76834</xdr:rowOff>
    </xdr:to>
    <xdr:sp macro="" textlink="">
      <xdr:nvSpPr>
        <xdr:cNvPr id="727" name="Line 98"/>
        <xdr:cNvSpPr>
          <a:spLocks noChangeShapeType="1"/>
        </xdr:cNvSpPr>
      </xdr:nvSpPr>
      <xdr:spPr bwMode="auto">
        <a:xfrm flipV="1">
          <a:off x="17931329" y="31316153"/>
          <a:ext cx="497381" cy="155081"/>
        </a:xfrm>
        <a:prstGeom prst="line">
          <a:avLst/>
        </a:prstGeom>
        <a:noFill/>
        <a:ln w="3175">
          <a:solidFill>
            <a:srgbClr val="000000"/>
          </a:solidFill>
          <a:round/>
          <a:headEnd/>
          <a:tailEnd/>
        </a:ln>
      </xdr:spPr>
    </xdr:sp>
    <xdr:clientData/>
  </xdr:twoCellAnchor>
  <xdr:twoCellAnchor>
    <xdr:from>
      <xdr:col>30</xdr:col>
      <xdr:colOff>92507</xdr:colOff>
      <xdr:row>209</xdr:row>
      <xdr:rowOff>123512</xdr:rowOff>
    </xdr:from>
    <xdr:to>
      <xdr:col>30</xdr:col>
      <xdr:colOff>140710</xdr:colOff>
      <xdr:row>209</xdr:row>
      <xdr:rowOff>171807</xdr:rowOff>
    </xdr:to>
    <xdr:sp macro="" textlink="">
      <xdr:nvSpPr>
        <xdr:cNvPr id="728" name="Line 99"/>
        <xdr:cNvSpPr>
          <a:spLocks noChangeShapeType="1"/>
        </xdr:cNvSpPr>
      </xdr:nvSpPr>
      <xdr:spPr bwMode="auto">
        <a:xfrm flipV="1">
          <a:off x="18380507" y="31975112"/>
          <a:ext cx="48203" cy="29245"/>
        </a:xfrm>
        <a:prstGeom prst="line">
          <a:avLst/>
        </a:prstGeom>
        <a:noFill/>
        <a:ln w="3175">
          <a:solidFill>
            <a:srgbClr val="000000"/>
          </a:solidFill>
          <a:round/>
          <a:headEnd/>
          <a:tailEnd/>
        </a:ln>
      </xdr:spPr>
    </xdr:sp>
    <xdr:clientData/>
  </xdr:twoCellAnchor>
  <xdr:twoCellAnchor>
    <xdr:from>
      <xdr:col>29</xdr:col>
      <xdr:colOff>252929</xdr:colOff>
      <xdr:row>208</xdr:row>
      <xdr:rowOff>111173</xdr:rowOff>
    </xdr:from>
    <xdr:to>
      <xdr:col>30</xdr:col>
      <xdr:colOff>140710</xdr:colOff>
      <xdr:row>209</xdr:row>
      <xdr:rowOff>113854</xdr:rowOff>
    </xdr:to>
    <xdr:sp macro="" textlink="">
      <xdr:nvSpPr>
        <xdr:cNvPr id="729" name="Line 100"/>
        <xdr:cNvSpPr>
          <a:spLocks noChangeShapeType="1"/>
        </xdr:cNvSpPr>
      </xdr:nvSpPr>
      <xdr:spPr bwMode="auto">
        <a:xfrm flipV="1">
          <a:off x="17931329" y="31810373"/>
          <a:ext cx="497381" cy="155081"/>
        </a:xfrm>
        <a:prstGeom prst="line">
          <a:avLst/>
        </a:prstGeom>
        <a:noFill/>
        <a:ln w="3175">
          <a:solidFill>
            <a:srgbClr val="000000"/>
          </a:solidFill>
          <a:round/>
          <a:headEnd/>
          <a:tailEnd/>
        </a:ln>
      </xdr:spPr>
    </xdr:sp>
    <xdr:clientData/>
  </xdr:twoCellAnchor>
  <xdr:twoCellAnchor>
    <xdr:from>
      <xdr:col>29</xdr:col>
      <xdr:colOff>252929</xdr:colOff>
      <xdr:row>208</xdr:row>
      <xdr:rowOff>178785</xdr:rowOff>
    </xdr:from>
    <xdr:to>
      <xdr:col>30</xdr:col>
      <xdr:colOff>140710</xdr:colOff>
      <xdr:row>209</xdr:row>
      <xdr:rowOff>181466</xdr:rowOff>
    </xdr:to>
    <xdr:sp macro="" textlink="">
      <xdr:nvSpPr>
        <xdr:cNvPr id="730" name="Line 101"/>
        <xdr:cNvSpPr>
          <a:spLocks noChangeShapeType="1"/>
        </xdr:cNvSpPr>
      </xdr:nvSpPr>
      <xdr:spPr bwMode="auto">
        <a:xfrm flipV="1">
          <a:off x="17931329" y="31849410"/>
          <a:ext cx="497381" cy="155081"/>
        </a:xfrm>
        <a:prstGeom prst="line">
          <a:avLst/>
        </a:prstGeom>
        <a:noFill/>
        <a:ln w="3175">
          <a:solidFill>
            <a:srgbClr val="000000"/>
          </a:solidFill>
          <a:round/>
          <a:headEnd/>
          <a:tailEnd/>
        </a:ln>
      </xdr:spPr>
    </xdr:sp>
    <xdr:clientData/>
  </xdr:twoCellAnchor>
  <xdr:twoCellAnchor>
    <xdr:from>
      <xdr:col>30</xdr:col>
      <xdr:colOff>44304</xdr:colOff>
      <xdr:row>209</xdr:row>
      <xdr:rowOff>55898</xdr:rowOff>
    </xdr:from>
    <xdr:to>
      <xdr:col>30</xdr:col>
      <xdr:colOff>140710</xdr:colOff>
      <xdr:row>209</xdr:row>
      <xdr:rowOff>162147</xdr:rowOff>
    </xdr:to>
    <xdr:sp macro="" textlink="">
      <xdr:nvSpPr>
        <xdr:cNvPr id="731" name="Line 102"/>
        <xdr:cNvSpPr>
          <a:spLocks noChangeShapeType="1"/>
        </xdr:cNvSpPr>
      </xdr:nvSpPr>
      <xdr:spPr bwMode="auto">
        <a:xfrm flipV="1">
          <a:off x="18332304" y="31907498"/>
          <a:ext cx="96406" cy="96724"/>
        </a:xfrm>
        <a:prstGeom prst="line">
          <a:avLst/>
        </a:prstGeom>
        <a:noFill/>
        <a:ln w="3175">
          <a:solidFill>
            <a:srgbClr val="000000"/>
          </a:solidFill>
          <a:round/>
          <a:headEnd/>
          <a:tailEnd/>
        </a:ln>
      </xdr:spPr>
    </xdr:sp>
    <xdr:clientData/>
  </xdr:twoCellAnchor>
  <xdr:twoCellAnchor>
    <xdr:from>
      <xdr:col>29</xdr:col>
      <xdr:colOff>252929</xdr:colOff>
      <xdr:row>208</xdr:row>
      <xdr:rowOff>43559</xdr:rowOff>
    </xdr:from>
    <xdr:to>
      <xdr:col>30</xdr:col>
      <xdr:colOff>140710</xdr:colOff>
      <xdr:row>209</xdr:row>
      <xdr:rowOff>46240</xdr:rowOff>
    </xdr:to>
    <xdr:sp macro="" textlink="">
      <xdr:nvSpPr>
        <xdr:cNvPr id="732" name="Line 103"/>
        <xdr:cNvSpPr>
          <a:spLocks noChangeShapeType="1"/>
        </xdr:cNvSpPr>
      </xdr:nvSpPr>
      <xdr:spPr bwMode="auto">
        <a:xfrm flipV="1">
          <a:off x="17931329" y="31742759"/>
          <a:ext cx="497381" cy="155081"/>
        </a:xfrm>
        <a:prstGeom prst="line">
          <a:avLst/>
        </a:prstGeom>
        <a:noFill/>
        <a:ln w="3175">
          <a:solidFill>
            <a:srgbClr val="000000"/>
          </a:solidFill>
          <a:round/>
          <a:headEnd/>
          <a:tailEnd/>
        </a:ln>
      </xdr:spPr>
    </xdr:sp>
    <xdr:clientData/>
  </xdr:twoCellAnchor>
  <xdr:twoCellAnchor>
    <xdr:from>
      <xdr:col>29</xdr:col>
      <xdr:colOff>252929</xdr:colOff>
      <xdr:row>198</xdr:row>
      <xdr:rowOff>123001</xdr:rowOff>
    </xdr:from>
    <xdr:to>
      <xdr:col>30</xdr:col>
      <xdr:colOff>140710</xdr:colOff>
      <xdr:row>199</xdr:row>
      <xdr:rowOff>125682</xdr:rowOff>
    </xdr:to>
    <xdr:sp macro="" textlink="">
      <xdr:nvSpPr>
        <xdr:cNvPr id="733" name="Line 104"/>
        <xdr:cNvSpPr>
          <a:spLocks noChangeShapeType="1"/>
        </xdr:cNvSpPr>
      </xdr:nvSpPr>
      <xdr:spPr bwMode="auto">
        <a:xfrm flipV="1">
          <a:off x="17931329" y="30298201"/>
          <a:ext cx="497381" cy="155081"/>
        </a:xfrm>
        <a:prstGeom prst="line">
          <a:avLst/>
        </a:prstGeom>
        <a:noFill/>
        <a:ln w="3175">
          <a:solidFill>
            <a:srgbClr val="000000"/>
          </a:solidFill>
          <a:round/>
          <a:headEnd/>
          <a:tailEnd/>
        </a:ln>
      </xdr:spPr>
    </xdr:sp>
    <xdr:clientData/>
  </xdr:twoCellAnchor>
  <xdr:twoCellAnchor>
    <xdr:from>
      <xdr:col>29</xdr:col>
      <xdr:colOff>252929</xdr:colOff>
      <xdr:row>199</xdr:row>
      <xdr:rowOff>114</xdr:rowOff>
    </xdr:from>
    <xdr:to>
      <xdr:col>30</xdr:col>
      <xdr:colOff>140710</xdr:colOff>
      <xdr:row>200</xdr:row>
      <xdr:rowOff>2795</xdr:rowOff>
    </xdr:to>
    <xdr:sp macro="" textlink="">
      <xdr:nvSpPr>
        <xdr:cNvPr id="734" name="Line 105"/>
        <xdr:cNvSpPr>
          <a:spLocks noChangeShapeType="1"/>
        </xdr:cNvSpPr>
      </xdr:nvSpPr>
      <xdr:spPr bwMode="auto">
        <a:xfrm flipV="1">
          <a:off x="17931329" y="30327714"/>
          <a:ext cx="497381" cy="155081"/>
        </a:xfrm>
        <a:prstGeom prst="line">
          <a:avLst/>
        </a:prstGeom>
        <a:noFill/>
        <a:ln w="3175">
          <a:solidFill>
            <a:srgbClr val="000000"/>
          </a:solidFill>
          <a:round/>
          <a:headEnd/>
          <a:tailEnd/>
        </a:ln>
      </xdr:spPr>
    </xdr:sp>
    <xdr:clientData/>
  </xdr:twoCellAnchor>
  <xdr:twoCellAnchor>
    <xdr:from>
      <xdr:col>29</xdr:col>
      <xdr:colOff>252929</xdr:colOff>
      <xdr:row>199</xdr:row>
      <xdr:rowOff>67728</xdr:rowOff>
    </xdr:from>
    <xdr:to>
      <xdr:col>30</xdr:col>
      <xdr:colOff>140710</xdr:colOff>
      <xdr:row>200</xdr:row>
      <xdr:rowOff>70409</xdr:rowOff>
    </xdr:to>
    <xdr:sp macro="" textlink="">
      <xdr:nvSpPr>
        <xdr:cNvPr id="735" name="Line 106"/>
        <xdr:cNvSpPr>
          <a:spLocks noChangeShapeType="1"/>
        </xdr:cNvSpPr>
      </xdr:nvSpPr>
      <xdr:spPr bwMode="auto">
        <a:xfrm flipV="1">
          <a:off x="17931329" y="30395328"/>
          <a:ext cx="497381" cy="155081"/>
        </a:xfrm>
        <a:prstGeom prst="line">
          <a:avLst/>
        </a:prstGeom>
        <a:noFill/>
        <a:ln w="3175">
          <a:solidFill>
            <a:srgbClr val="000000"/>
          </a:solidFill>
          <a:round/>
          <a:headEnd/>
          <a:tailEnd/>
        </a:ln>
      </xdr:spPr>
    </xdr:sp>
    <xdr:clientData/>
  </xdr:twoCellAnchor>
  <xdr:twoCellAnchor>
    <xdr:from>
      <xdr:col>29</xdr:col>
      <xdr:colOff>252929</xdr:colOff>
      <xdr:row>198</xdr:row>
      <xdr:rowOff>55389</xdr:rowOff>
    </xdr:from>
    <xdr:to>
      <xdr:col>30</xdr:col>
      <xdr:colOff>140710</xdr:colOff>
      <xdr:row>199</xdr:row>
      <xdr:rowOff>58070</xdr:rowOff>
    </xdr:to>
    <xdr:sp macro="" textlink="">
      <xdr:nvSpPr>
        <xdr:cNvPr id="736" name="Line 107"/>
        <xdr:cNvSpPr>
          <a:spLocks noChangeShapeType="1"/>
        </xdr:cNvSpPr>
      </xdr:nvSpPr>
      <xdr:spPr bwMode="auto">
        <a:xfrm flipV="1">
          <a:off x="17931329" y="30230589"/>
          <a:ext cx="497381" cy="155081"/>
        </a:xfrm>
        <a:prstGeom prst="line">
          <a:avLst/>
        </a:prstGeom>
        <a:noFill/>
        <a:ln w="3175">
          <a:solidFill>
            <a:srgbClr val="000000"/>
          </a:solidFill>
          <a:round/>
          <a:headEnd/>
          <a:tailEnd/>
        </a:ln>
      </xdr:spPr>
    </xdr:sp>
    <xdr:clientData/>
  </xdr:twoCellAnchor>
  <xdr:twoCellAnchor>
    <xdr:from>
      <xdr:col>29</xdr:col>
      <xdr:colOff>252929</xdr:colOff>
      <xdr:row>197</xdr:row>
      <xdr:rowOff>43049</xdr:rowOff>
    </xdr:from>
    <xdr:to>
      <xdr:col>30</xdr:col>
      <xdr:colOff>140710</xdr:colOff>
      <xdr:row>198</xdr:row>
      <xdr:rowOff>45730</xdr:rowOff>
    </xdr:to>
    <xdr:sp macro="" textlink="">
      <xdr:nvSpPr>
        <xdr:cNvPr id="737" name="Line 108"/>
        <xdr:cNvSpPr>
          <a:spLocks noChangeShapeType="1"/>
        </xdr:cNvSpPr>
      </xdr:nvSpPr>
      <xdr:spPr bwMode="auto">
        <a:xfrm flipV="1">
          <a:off x="17931329" y="30065849"/>
          <a:ext cx="497381" cy="155081"/>
        </a:xfrm>
        <a:prstGeom prst="line">
          <a:avLst/>
        </a:prstGeom>
        <a:noFill/>
        <a:ln w="3175">
          <a:solidFill>
            <a:srgbClr val="000000"/>
          </a:solidFill>
          <a:round/>
          <a:headEnd/>
          <a:tailEnd/>
        </a:ln>
      </xdr:spPr>
    </xdr:sp>
    <xdr:clientData/>
  </xdr:twoCellAnchor>
  <xdr:twoCellAnchor>
    <xdr:from>
      <xdr:col>29</xdr:col>
      <xdr:colOff>252929</xdr:colOff>
      <xdr:row>197</xdr:row>
      <xdr:rowOff>110662</xdr:rowOff>
    </xdr:from>
    <xdr:to>
      <xdr:col>30</xdr:col>
      <xdr:colOff>140710</xdr:colOff>
      <xdr:row>198</xdr:row>
      <xdr:rowOff>113343</xdr:rowOff>
    </xdr:to>
    <xdr:sp macro="" textlink="">
      <xdr:nvSpPr>
        <xdr:cNvPr id="738" name="Line 109"/>
        <xdr:cNvSpPr>
          <a:spLocks noChangeShapeType="1"/>
        </xdr:cNvSpPr>
      </xdr:nvSpPr>
      <xdr:spPr bwMode="auto">
        <a:xfrm flipV="1">
          <a:off x="17931329" y="30133462"/>
          <a:ext cx="497381" cy="155081"/>
        </a:xfrm>
        <a:prstGeom prst="line">
          <a:avLst/>
        </a:prstGeom>
        <a:noFill/>
        <a:ln w="3175">
          <a:solidFill>
            <a:srgbClr val="000000"/>
          </a:solidFill>
          <a:round/>
          <a:headEnd/>
          <a:tailEnd/>
        </a:ln>
      </xdr:spPr>
    </xdr:sp>
    <xdr:clientData/>
  </xdr:twoCellAnchor>
  <xdr:twoCellAnchor>
    <xdr:from>
      <xdr:col>29</xdr:col>
      <xdr:colOff>252929</xdr:colOff>
      <xdr:row>197</xdr:row>
      <xdr:rowOff>178275</xdr:rowOff>
    </xdr:from>
    <xdr:to>
      <xdr:col>30</xdr:col>
      <xdr:colOff>140710</xdr:colOff>
      <xdr:row>198</xdr:row>
      <xdr:rowOff>180956</xdr:rowOff>
    </xdr:to>
    <xdr:sp macro="" textlink="">
      <xdr:nvSpPr>
        <xdr:cNvPr id="739" name="Line 110"/>
        <xdr:cNvSpPr>
          <a:spLocks noChangeShapeType="1"/>
        </xdr:cNvSpPr>
      </xdr:nvSpPr>
      <xdr:spPr bwMode="auto">
        <a:xfrm flipV="1">
          <a:off x="17931329" y="30172500"/>
          <a:ext cx="497381" cy="155081"/>
        </a:xfrm>
        <a:prstGeom prst="line">
          <a:avLst/>
        </a:prstGeom>
        <a:noFill/>
        <a:ln w="3175">
          <a:solidFill>
            <a:srgbClr val="000000"/>
          </a:solidFill>
          <a:round/>
          <a:headEnd/>
          <a:tailEnd/>
        </a:ln>
      </xdr:spPr>
    </xdr:sp>
    <xdr:clientData/>
  </xdr:twoCellAnchor>
  <xdr:twoCellAnchor>
    <xdr:from>
      <xdr:col>29</xdr:col>
      <xdr:colOff>252929</xdr:colOff>
      <xdr:row>196</xdr:row>
      <xdr:rowOff>165935</xdr:rowOff>
    </xdr:from>
    <xdr:to>
      <xdr:col>30</xdr:col>
      <xdr:colOff>140710</xdr:colOff>
      <xdr:row>197</xdr:row>
      <xdr:rowOff>168616</xdr:rowOff>
    </xdr:to>
    <xdr:sp macro="" textlink="">
      <xdr:nvSpPr>
        <xdr:cNvPr id="740" name="Line 111"/>
        <xdr:cNvSpPr>
          <a:spLocks noChangeShapeType="1"/>
        </xdr:cNvSpPr>
      </xdr:nvSpPr>
      <xdr:spPr bwMode="auto">
        <a:xfrm flipV="1">
          <a:off x="17931329" y="30026810"/>
          <a:ext cx="497381" cy="145556"/>
        </a:xfrm>
        <a:prstGeom prst="line">
          <a:avLst/>
        </a:prstGeom>
        <a:noFill/>
        <a:ln w="3175">
          <a:solidFill>
            <a:srgbClr val="000000"/>
          </a:solidFill>
          <a:round/>
          <a:headEnd/>
          <a:tailEnd/>
        </a:ln>
      </xdr:spPr>
    </xdr:sp>
    <xdr:clientData/>
  </xdr:twoCellAnchor>
  <xdr:twoCellAnchor>
    <xdr:from>
      <xdr:col>23</xdr:col>
      <xdr:colOff>261039</xdr:colOff>
      <xdr:row>201</xdr:row>
      <xdr:rowOff>92407</xdr:rowOff>
    </xdr:from>
    <xdr:to>
      <xdr:col>25</xdr:col>
      <xdr:colOff>26961</xdr:colOff>
      <xdr:row>201</xdr:row>
      <xdr:rowOff>92407</xdr:rowOff>
    </xdr:to>
    <xdr:sp macro="" textlink="">
      <xdr:nvSpPr>
        <xdr:cNvPr id="741" name="Line 112"/>
        <xdr:cNvSpPr>
          <a:spLocks noChangeShapeType="1"/>
        </xdr:cNvSpPr>
      </xdr:nvSpPr>
      <xdr:spPr bwMode="auto">
        <a:xfrm>
          <a:off x="14281839" y="30724807"/>
          <a:ext cx="985122" cy="0"/>
        </a:xfrm>
        <a:prstGeom prst="line">
          <a:avLst/>
        </a:prstGeom>
        <a:noFill/>
        <a:ln w="12700">
          <a:solidFill>
            <a:srgbClr val="000000"/>
          </a:solidFill>
          <a:round/>
          <a:headEnd/>
          <a:tailEnd type="stealth" w="med" len="med"/>
        </a:ln>
      </xdr:spPr>
    </xdr:sp>
    <xdr:clientData/>
  </xdr:twoCellAnchor>
  <xdr:twoCellAnchor>
    <xdr:from>
      <xdr:col>25</xdr:col>
      <xdr:colOff>17320</xdr:colOff>
      <xdr:row>201</xdr:row>
      <xdr:rowOff>5476</xdr:rowOff>
    </xdr:from>
    <xdr:to>
      <xdr:col>25</xdr:col>
      <xdr:colOff>171570</xdr:colOff>
      <xdr:row>202</xdr:row>
      <xdr:rowOff>143383</xdr:rowOff>
    </xdr:to>
    <xdr:sp macro="" textlink="">
      <xdr:nvSpPr>
        <xdr:cNvPr id="742" name="Text Box 113"/>
        <xdr:cNvSpPr txBox="1">
          <a:spLocks noChangeArrowheads="1"/>
        </xdr:cNvSpPr>
      </xdr:nvSpPr>
      <xdr:spPr bwMode="auto">
        <a:xfrm>
          <a:off x="15257320" y="30637876"/>
          <a:ext cx="154250" cy="290307"/>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23</xdr:col>
      <xdr:colOff>261039</xdr:colOff>
      <xdr:row>201</xdr:row>
      <xdr:rowOff>92407</xdr:rowOff>
    </xdr:from>
    <xdr:to>
      <xdr:col>23</xdr:col>
      <xdr:colOff>261039</xdr:colOff>
      <xdr:row>203</xdr:row>
      <xdr:rowOff>155722</xdr:rowOff>
    </xdr:to>
    <xdr:sp macro="" textlink="">
      <xdr:nvSpPr>
        <xdr:cNvPr id="743" name="Line 114"/>
        <xdr:cNvSpPr>
          <a:spLocks noChangeShapeType="1"/>
        </xdr:cNvSpPr>
      </xdr:nvSpPr>
      <xdr:spPr bwMode="auto">
        <a:xfrm>
          <a:off x="14281839" y="30724807"/>
          <a:ext cx="0" cy="368115"/>
        </a:xfrm>
        <a:prstGeom prst="line">
          <a:avLst/>
        </a:prstGeom>
        <a:noFill/>
        <a:ln w="12700">
          <a:solidFill>
            <a:srgbClr val="000000"/>
          </a:solidFill>
          <a:round/>
          <a:headEnd/>
          <a:tailEnd type="stealth" w="med" len="med"/>
        </a:ln>
      </xdr:spPr>
    </xdr:sp>
    <xdr:clientData/>
  </xdr:twoCellAnchor>
  <xdr:twoCellAnchor>
    <xdr:from>
      <xdr:col>23</xdr:col>
      <xdr:colOff>68226</xdr:colOff>
      <xdr:row>200</xdr:row>
      <xdr:rowOff>128363</xdr:rowOff>
    </xdr:from>
    <xdr:to>
      <xdr:col>23</xdr:col>
      <xdr:colOff>270679</xdr:colOff>
      <xdr:row>201</xdr:row>
      <xdr:rowOff>131044</xdr:rowOff>
    </xdr:to>
    <xdr:sp macro="" textlink="">
      <xdr:nvSpPr>
        <xdr:cNvPr id="744" name="Text Box 115"/>
        <xdr:cNvSpPr txBox="1">
          <a:spLocks noChangeArrowheads="1"/>
        </xdr:cNvSpPr>
      </xdr:nvSpPr>
      <xdr:spPr bwMode="auto">
        <a:xfrm>
          <a:off x="14089026" y="30608363"/>
          <a:ext cx="202453" cy="155081"/>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23</xdr:col>
      <xdr:colOff>68226</xdr:colOff>
      <xdr:row>203</xdr:row>
      <xdr:rowOff>126746</xdr:rowOff>
    </xdr:from>
    <xdr:to>
      <xdr:col>24</xdr:col>
      <xdr:colOff>129538</xdr:colOff>
      <xdr:row>204</xdr:row>
      <xdr:rowOff>110109</xdr:rowOff>
    </xdr:to>
    <xdr:sp macro="" textlink="">
      <xdr:nvSpPr>
        <xdr:cNvPr id="745" name="Text Box 116"/>
        <xdr:cNvSpPr txBox="1">
          <a:spLocks noChangeArrowheads="1"/>
        </xdr:cNvSpPr>
      </xdr:nvSpPr>
      <xdr:spPr bwMode="auto">
        <a:xfrm>
          <a:off x="14089026" y="31063946"/>
          <a:ext cx="670912" cy="13576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Wt</a:t>
          </a:r>
          <a:r>
            <a:rPr lang="de-DE" altLang="ja-JP" sz="900" b="1" i="0" strike="noStrike">
              <a:solidFill>
                <a:srgbClr val="000000"/>
              </a:solidFill>
              <a:latin typeface="ＭＳ Ｐ明朝"/>
              <a:ea typeface="ＭＳ Ｐ明朝"/>
            </a:rPr>
            <a:t>+</a:t>
          </a:r>
          <a:r>
            <a:rPr lang="de-DE" altLang="ja-JP" sz="900" b="1" i="0" strike="noStrike">
              <a:solidFill>
                <a:srgbClr val="000000"/>
              </a:solidFill>
              <a:latin typeface="Times New Roman"/>
              <a:cs typeface="Times New Roman"/>
            </a:rPr>
            <a:t>Fv</a:t>
          </a:r>
        </a:p>
      </xdr:txBody>
    </xdr:sp>
    <xdr:clientData/>
  </xdr:twoCellAnchor>
  <xdr:twoCellAnchor>
    <xdr:from>
      <xdr:col>23</xdr:col>
      <xdr:colOff>261039</xdr:colOff>
      <xdr:row>193</xdr:row>
      <xdr:rowOff>186871</xdr:rowOff>
    </xdr:from>
    <xdr:to>
      <xdr:col>23</xdr:col>
      <xdr:colOff>261039</xdr:colOff>
      <xdr:row>201</xdr:row>
      <xdr:rowOff>82749</xdr:rowOff>
    </xdr:to>
    <xdr:sp macro="" textlink="">
      <xdr:nvSpPr>
        <xdr:cNvPr id="746" name="Line 117"/>
        <xdr:cNvSpPr>
          <a:spLocks noChangeShapeType="1"/>
        </xdr:cNvSpPr>
      </xdr:nvSpPr>
      <xdr:spPr bwMode="auto">
        <a:xfrm>
          <a:off x="14281839" y="29561971"/>
          <a:ext cx="0" cy="1153178"/>
        </a:xfrm>
        <a:prstGeom prst="line">
          <a:avLst/>
        </a:prstGeom>
        <a:noFill/>
        <a:ln w="6350">
          <a:solidFill>
            <a:srgbClr val="000000"/>
          </a:solidFill>
          <a:prstDash val="lgDashDot"/>
          <a:round/>
          <a:headEnd/>
          <a:tailEnd/>
        </a:ln>
      </xdr:spPr>
    </xdr:sp>
    <xdr:clientData/>
  </xdr:twoCellAnchor>
  <xdr:twoCellAnchor>
    <xdr:from>
      <xdr:col>23</xdr:col>
      <xdr:colOff>261039</xdr:colOff>
      <xdr:row>194</xdr:row>
      <xdr:rowOff>73642</xdr:rowOff>
    </xdr:from>
    <xdr:to>
      <xdr:col>25</xdr:col>
      <xdr:colOff>210133</xdr:colOff>
      <xdr:row>194</xdr:row>
      <xdr:rowOff>73642</xdr:rowOff>
    </xdr:to>
    <xdr:sp macro="" textlink="">
      <xdr:nvSpPr>
        <xdr:cNvPr id="747" name="Line 118"/>
        <xdr:cNvSpPr>
          <a:spLocks noChangeShapeType="1"/>
        </xdr:cNvSpPr>
      </xdr:nvSpPr>
      <xdr:spPr bwMode="auto">
        <a:xfrm>
          <a:off x="14281839" y="29639242"/>
          <a:ext cx="1168294" cy="0"/>
        </a:xfrm>
        <a:prstGeom prst="line">
          <a:avLst/>
        </a:prstGeom>
        <a:noFill/>
        <a:ln w="6350">
          <a:solidFill>
            <a:srgbClr val="000000"/>
          </a:solidFill>
          <a:round/>
          <a:headEnd type="triangle" w="sm" len="med"/>
          <a:tailEnd type="triangle" w="sm" len="med"/>
        </a:ln>
      </xdr:spPr>
    </xdr:sp>
    <xdr:clientData/>
  </xdr:twoCellAnchor>
  <xdr:twoCellAnchor>
    <xdr:from>
      <xdr:col>24</xdr:col>
      <xdr:colOff>33132</xdr:colOff>
      <xdr:row>193</xdr:row>
      <xdr:rowOff>109598</xdr:rowOff>
    </xdr:from>
    <xdr:to>
      <xdr:col>25</xdr:col>
      <xdr:colOff>36601</xdr:colOff>
      <xdr:row>194</xdr:row>
      <xdr:rowOff>102619</xdr:rowOff>
    </xdr:to>
    <xdr:sp macro="" textlink="">
      <xdr:nvSpPr>
        <xdr:cNvPr id="748" name="Text Box 119"/>
        <xdr:cNvSpPr txBox="1">
          <a:spLocks noChangeArrowheads="1"/>
        </xdr:cNvSpPr>
      </xdr:nvSpPr>
      <xdr:spPr bwMode="auto">
        <a:xfrm>
          <a:off x="14663532" y="29522798"/>
          <a:ext cx="613069" cy="145421"/>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14</xdr:col>
      <xdr:colOff>284957</xdr:colOff>
      <xdr:row>207</xdr:row>
      <xdr:rowOff>166446</xdr:rowOff>
    </xdr:from>
    <xdr:to>
      <xdr:col>19</xdr:col>
      <xdr:colOff>102165</xdr:colOff>
      <xdr:row>207</xdr:row>
      <xdr:rowOff>166446</xdr:rowOff>
    </xdr:to>
    <xdr:sp macro="" textlink="">
      <xdr:nvSpPr>
        <xdr:cNvPr id="749" name="Line 120"/>
        <xdr:cNvSpPr>
          <a:spLocks noChangeShapeType="1"/>
        </xdr:cNvSpPr>
      </xdr:nvSpPr>
      <xdr:spPr bwMode="auto">
        <a:xfrm>
          <a:off x="8819357" y="31703721"/>
          <a:ext cx="2865208" cy="0"/>
        </a:xfrm>
        <a:prstGeom prst="line">
          <a:avLst/>
        </a:prstGeom>
        <a:noFill/>
        <a:ln w="6350">
          <a:solidFill>
            <a:srgbClr val="000000"/>
          </a:solidFill>
          <a:round/>
          <a:headEnd/>
          <a:tailEnd/>
        </a:ln>
      </xdr:spPr>
    </xdr:sp>
    <xdr:clientData/>
  </xdr:twoCellAnchor>
  <xdr:twoCellAnchor>
    <xdr:from>
      <xdr:col>27</xdr:col>
      <xdr:colOff>111023</xdr:colOff>
      <xdr:row>201</xdr:row>
      <xdr:rowOff>92407</xdr:rowOff>
    </xdr:from>
    <xdr:to>
      <xdr:col>28</xdr:col>
      <xdr:colOff>210898</xdr:colOff>
      <xdr:row>201</xdr:row>
      <xdr:rowOff>92407</xdr:rowOff>
    </xdr:to>
    <xdr:sp macro="" textlink="">
      <xdr:nvSpPr>
        <xdr:cNvPr id="750" name="Line 121"/>
        <xdr:cNvSpPr>
          <a:spLocks noChangeShapeType="1"/>
        </xdr:cNvSpPr>
      </xdr:nvSpPr>
      <xdr:spPr bwMode="auto">
        <a:xfrm>
          <a:off x="16570223" y="30724807"/>
          <a:ext cx="709475" cy="0"/>
        </a:xfrm>
        <a:prstGeom prst="line">
          <a:avLst/>
        </a:prstGeom>
        <a:noFill/>
        <a:ln w="12700">
          <a:solidFill>
            <a:srgbClr val="000000"/>
          </a:solidFill>
          <a:round/>
          <a:headEnd type="stealth" w="med" len="med"/>
          <a:tailEnd/>
        </a:ln>
      </xdr:spPr>
    </xdr:sp>
    <xdr:clientData/>
  </xdr:twoCellAnchor>
  <xdr:twoCellAnchor>
    <xdr:from>
      <xdr:col>26</xdr:col>
      <xdr:colOff>223242</xdr:colOff>
      <xdr:row>201</xdr:row>
      <xdr:rowOff>5476</xdr:rowOff>
    </xdr:from>
    <xdr:to>
      <xdr:col>27</xdr:col>
      <xdr:colOff>91742</xdr:colOff>
      <xdr:row>202</xdr:row>
      <xdr:rowOff>143383</xdr:rowOff>
    </xdr:to>
    <xdr:sp macro="" textlink="">
      <xdr:nvSpPr>
        <xdr:cNvPr id="751" name="Text Box 122"/>
        <xdr:cNvSpPr txBox="1">
          <a:spLocks noChangeArrowheads="1"/>
        </xdr:cNvSpPr>
      </xdr:nvSpPr>
      <xdr:spPr bwMode="auto">
        <a:xfrm>
          <a:off x="16072842" y="30637876"/>
          <a:ext cx="478100" cy="290307"/>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26</xdr:col>
      <xdr:colOff>78632</xdr:colOff>
      <xdr:row>208</xdr:row>
      <xdr:rowOff>24241</xdr:rowOff>
    </xdr:from>
    <xdr:to>
      <xdr:col>26</xdr:col>
      <xdr:colOff>78632</xdr:colOff>
      <xdr:row>210</xdr:row>
      <xdr:rowOff>625</xdr:rowOff>
    </xdr:to>
    <xdr:sp macro="" textlink="">
      <xdr:nvSpPr>
        <xdr:cNvPr id="752" name="Line 123"/>
        <xdr:cNvSpPr>
          <a:spLocks noChangeShapeType="1"/>
        </xdr:cNvSpPr>
      </xdr:nvSpPr>
      <xdr:spPr bwMode="auto">
        <a:xfrm>
          <a:off x="15928232" y="31723441"/>
          <a:ext cx="0" cy="281184"/>
        </a:xfrm>
        <a:prstGeom prst="line">
          <a:avLst/>
        </a:prstGeom>
        <a:noFill/>
        <a:ln w="3175">
          <a:solidFill>
            <a:srgbClr val="000000"/>
          </a:solidFill>
          <a:round/>
          <a:headEnd/>
          <a:tailEnd/>
        </a:ln>
      </xdr:spPr>
    </xdr:sp>
    <xdr:clientData/>
  </xdr:twoCellAnchor>
  <xdr:twoCellAnchor>
    <xdr:from>
      <xdr:col>20</xdr:col>
      <xdr:colOff>52418</xdr:colOff>
      <xdr:row>209</xdr:row>
      <xdr:rowOff>84876</xdr:rowOff>
    </xdr:from>
    <xdr:to>
      <xdr:col>26</xdr:col>
      <xdr:colOff>78632</xdr:colOff>
      <xdr:row>209</xdr:row>
      <xdr:rowOff>84876</xdr:rowOff>
    </xdr:to>
    <xdr:sp macro="" textlink="">
      <xdr:nvSpPr>
        <xdr:cNvPr id="753" name="Line 124"/>
        <xdr:cNvSpPr>
          <a:spLocks noChangeShapeType="1"/>
        </xdr:cNvSpPr>
      </xdr:nvSpPr>
      <xdr:spPr bwMode="auto">
        <a:xfrm>
          <a:off x="12244418" y="31936476"/>
          <a:ext cx="3683814" cy="0"/>
        </a:xfrm>
        <a:prstGeom prst="line">
          <a:avLst/>
        </a:prstGeom>
        <a:noFill/>
        <a:ln w="6350">
          <a:solidFill>
            <a:srgbClr val="000000"/>
          </a:solidFill>
          <a:round/>
          <a:headEnd type="triangle" w="sm" len="med"/>
          <a:tailEnd type="triangle" w="sm" len="med"/>
        </a:ln>
      </xdr:spPr>
    </xdr:sp>
    <xdr:clientData/>
  </xdr:twoCellAnchor>
  <xdr:twoCellAnchor>
    <xdr:from>
      <xdr:col>23</xdr:col>
      <xdr:colOff>183914</xdr:colOff>
      <xdr:row>208</xdr:row>
      <xdr:rowOff>140149</xdr:rowOff>
    </xdr:from>
    <xdr:to>
      <xdr:col>24</xdr:col>
      <xdr:colOff>23492</xdr:colOff>
      <xdr:row>209</xdr:row>
      <xdr:rowOff>123512</xdr:rowOff>
    </xdr:to>
    <xdr:sp macro="" textlink="">
      <xdr:nvSpPr>
        <xdr:cNvPr id="754" name="Text Box 125"/>
        <xdr:cNvSpPr txBox="1">
          <a:spLocks noChangeArrowheads="1"/>
        </xdr:cNvSpPr>
      </xdr:nvSpPr>
      <xdr:spPr bwMode="auto">
        <a:xfrm>
          <a:off x="14204714" y="31839349"/>
          <a:ext cx="449178" cy="13576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a:t>
          </a:r>
        </a:p>
      </xdr:txBody>
    </xdr:sp>
    <xdr:clientData/>
  </xdr:twoCellAnchor>
  <xdr:twoCellAnchor>
    <xdr:from>
      <xdr:col>17</xdr:col>
      <xdr:colOff>5375</xdr:colOff>
      <xdr:row>196</xdr:row>
      <xdr:rowOff>21050</xdr:rowOff>
    </xdr:from>
    <xdr:to>
      <xdr:col>17</xdr:col>
      <xdr:colOff>5375</xdr:colOff>
      <xdr:row>207</xdr:row>
      <xdr:rowOff>31219</xdr:rowOff>
    </xdr:to>
    <xdr:sp macro="" textlink="">
      <xdr:nvSpPr>
        <xdr:cNvPr id="755" name="Line 126"/>
        <xdr:cNvSpPr>
          <a:spLocks noChangeShapeType="1"/>
        </xdr:cNvSpPr>
      </xdr:nvSpPr>
      <xdr:spPr bwMode="auto">
        <a:xfrm>
          <a:off x="10368575" y="29891450"/>
          <a:ext cx="0" cy="1686569"/>
        </a:xfrm>
        <a:prstGeom prst="line">
          <a:avLst/>
        </a:prstGeom>
        <a:noFill/>
        <a:ln w="3175">
          <a:solidFill>
            <a:srgbClr val="000000"/>
          </a:solidFill>
          <a:round/>
          <a:headEnd type="triangle" w="sm" len="med"/>
          <a:tailEnd type="triangle" w="sm" len="med"/>
        </a:ln>
      </xdr:spPr>
    </xdr:sp>
    <xdr:clientData/>
  </xdr:twoCellAnchor>
  <xdr:twoCellAnchor>
    <xdr:from>
      <xdr:col>25</xdr:col>
      <xdr:colOff>46242</xdr:colOff>
      <xdr:row>196</xdr:row>
      <xdr:rowOff>59686</xdr:rowOff>
    </xdr:from>
    <xdr:to>
      <xdr:col>25</xdr:col>
      <xdr:colOff>190851</xdr:colOff>
      <xdr:row>198</xdr:row>
      <xdr:rowOff>65047</xdr:rowOff>
    </xdr:to>
    <xdr:sp macro="" textlink="">
      <xdr:nvSpPr>
        <xdr:cNvPr id="756" name="Line 127"/>
        <xdr:cNvSpPr>
          <a:spLocks noChangeShapeType="1"/>
        </xdr:cNvSpPr>
      </xdr:nvSpPr>
      <xdr:spPr bwMode="auto">
        <a:xfrm flipH="1">
          <a:off x="15286242" y="29930086"/>
          <a:ext cx="144609" cy="310161"/>
        </a:xfrm>
        <a:prstGeom prst="line">
          <a:avLst/>
        </a:prstGeom>
        <a:noFill/>
        <a:ln w="3175">
          <a:solidFill>
            <a:srgbClr val="000000"/>
          </a:solidFill>
          <a:round/>
          <a:headEnd/>
          <a:tailEnd/>
        </a:ln>
      </xdr:spPr>
    </xdr:sp>
    <xdr:clientData/>
  </xdr:twoCellAnchor>
  <xdr:twoCellAnchor>
    <xdr:from>
      <xdr:col>29</xdr:col>
      <xdr:colOff>79398</xdr:colOff>
      <xdr:row>196</xdr:row>
      <xdr:rowOff>30708</xdr:rowOff>
    </xdr:from>
    <xdr:to>
      <xdr:col>29</xdr:col>
      <xdr:colOff>233648</xdr:colOff>
      <xdr:row>198</xdr:row>
      <xdr:rowOff>65047</xdr:rowOff>
    </xdr:to>
    <xdr:sp macro="" textlink="">
      <xdr:nvSpPr>
        <xdr:cNvPr id="757" name="Line 128"/>
        <xdr:cNvSpPr>
          <a:spLocks noChangeShapeType="1"/>
        </xdr:cNvSpPr>
      </xdr:nvSpPr>
      <xdr:spPr bwMode="auto">
        <a:xfrm flipH="1">
          <a:off x="17757798" y="29901108"/>
          <a:ext cx="154250" cy="339139"/>
        </a:xfrm>
        <a:prstGeom prst="line">
          <a:avLst/>
        </a:prstGeom>
        <a:noFill/>
        <a:ln w="3175">
          <a:solidFill>
            <a:srgbClr val="000000"/>
          </a:solidFill>
          <a:round/>
          <a:headEnd/>
          <a:tailEnd/>
        </a:ln>
      </xdr:spPr>
    </xdr:sp>
    <xdr:clientData/>
  </xdr:twoCellAnchor>
  <xdr:twoCellAnchor>
    <xdr:from>
      <xdr:col>25</xdr:col>
      <xdr:colOff>46242</xdr:colOff>
      <xdr:row>198</xdr:row>
      <xdr:rowOff>65047</xdr:rowOff>
    </xdr:from>
    <xdr:to>
      <xdr:col>29</xdr:col>
      <xdr:colOff>79398</xdr:colOff>
      <xdr:row>198</xdr:row>
      <xdr:rowOff>65047</xdr:rowOff>
    </xdr:to>
    <xdr:sp macro="" textlink="">
      <xdr:nvSpPr>
        <xdr:cNvPr id="758" name="Line 129"/>
        <xdr:cNvSpPr>
          <a:spLocks noChangeShapeType="1"/>
        </xdr:cNvSpPr>
      </xdr:nvSpPr>
      <xdr:spPr bwMode="auto">
        <a:xfrm>
          <a:off x="15286242" y="30240247"/>
          <a:ext cx="2471556" cy="0"/>
        </a:xfrm>
        <a:prstGeom prst="line">
          <a:avLst/>
        </a:prstGeom>
        <a:noFill/>
        <a:ln w="3175">
          <a:solidFill>
            <a:srgbClr val="000000"/>
          </a:solidFill>
          <a:round/>
          <a:headEnd/>
          <a:tailEnd/>
        </a:ln>
      </xdr:spPr>
    </xdr:sp>
    <xdr:clientData/>
  </xdr:twoCellAnchor>
  <xdr:twoCellAnchor>
    <xdr:from>
      <xdr:col>16</xdr:col>
      <xdr:colOff>43167</xdr:colOff>
      <xdr:row>236</xdr:row>
      <xdr:rowOff>16318</xdr:rowOff>
    </xdr:from>
    <xdr:to>
      <xdr:col>24</xdr:col>
      <xdr:colOff>197023</xdr:colOff>
      <xdr:row>236</xdr:row>
      <xdr:rowOff>16318</xdr:rowOff>
    </xdr:to>
    <xdr:sp macro="" textlink="">
      <xdr:nvSpPr>
        <xdr:cNvPr id="759" name="Line 130"/>
        <xdr:cNvSpPr>
          <a:spLocks noChangeShapeType="1"/>
        </xdr:cNvSpPr>
      </xdr:nvSpPr>
      <xdr:spPr bwMode="auto">
        <a:xfrm>
          <a:off x="9796767" y="35982718"/>
          <a:ext cx="5030656" cy="0"/>
        </a:xfrm>
        <a:prstGeom prst="line">
          <a:avLst/>
        </a:prstGeom>
        <a:noFill/>
        <a:ln w="9525">
          <a:solidFill>
            <a:srgbClr val="000000"/>
          </a:solidFill>
          <a:round/>
          <a:headEnd/>
          <a:tailEnd/>
        </a:ln>
      </xdr:spPr>
    </xdr:sp>
    <xdr:clientData/>
  </xdr:twoCellAnchor>
  <xdr:twoCellAnchor>
    <xdr:from>
      <xdr:col>16</xdr:col>
      <xdr:colOff>33526</xdr:colOff>
      <xdr:row>234</xdr:row>
      <xdr:rowOff>10957</xdr:rowOff>
    </xdr:from>
    <xdr:to>
      <xdr:col>23</xdr:col>
      <xdr:colOff>20023</xdr:colOff>
      <xdr:row>234</xdr:row>
      <xdr:rowOff>10957</xdr:rowOff>
    </xdr:to>
    <xdr:sp macro="" textlink="">
      <xdr:nvSpPr>
        <xdr:cNvPr id="760" name="Line 131"/>
        <xdr:cNvSpPr>
          <a:spLocks noChangeShapeType="1"/>
        </xdr:cNvSpPr>
      </xdr:nvSpPr>
      <xdr:spPr bwMode="auto">
        <a:xfrm>
          <a:off x="9787126" y="35672557"/>
          <a:ext cx="4253697" cy="0"/>
        </a:xfrm>
        <a:prstGeom prst="line">
          <a:avLst/>
        </a:prstGeom>
        <a:noFill/>
        <a:ln w="9525">
          <a:solidFill>
            <a:srgbClr val="000000"/>
          </a:solidFill>
          <a:round/>
          <a:headEnd/>
          <a:tailEnd/>
        </a:ln>
      </xdr:spPr>
    </xdr:sp>
    <xdr:clientData/>
  </xdr:twoCellAnchor>
  <xdr:twoCellAnchor>
    <xdr:from>
      <xdr:col>9</xdr:col>
      <xdr:colOff>274554</xdr:colOff>
      <xdr:row>239</xdr:row>
      <xdr:rowOff>169247</xdr:rowOff>
    </xdr:from>
    <xdr:to>
      <xdr:col>11</xdr:col>
      <xdr:colOff>40476</xdr:colOff>
      <xdr:row>241</xdr:row>
      <xdr:rowOff>29723</xdr:rowOff>
    </xdr:to>
    <xdr:sp macro="" textlink="">
      <xdr:nvSpPr>
        <xdr:cNvPr id="761" name="Text Box 132"/>
        <xdr:cNvSpPr txBox="1">
          <a:spLocks noChangeArrowheads="1"/>
        </xdr:cNvSpPr>
      </xdr:nvSpPr>
      <xdr:spPr bwMode="auto">
        <a:xfrm>
          <a:off x="5760954" y="36573797"/>
          <a:ext cx="985122" cy="18432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99103</xdr:colOff>
      <xdr:row>243</xdr:row>
      <xdr:rowOff>73720</xdr:rowOff>
    </xdr:from>
    <xdr:to>
      <xdr:col>5</xdr:col>
      <xdr:colOff>6165</xdr:colOff>
      <xdr:row>244</xdr:row>
      <xdr:rowOff>66741</xdr:rowOff>
    </xdr:to>
    <xdr:sp macro="" textlink="">
      <xdr:nvSpPr>
        <xdr:cNvPr id="762" name="Text Box 133"/>
        <xdr:cNvSpPr txBox="1">
          <a:spLocks noChangeArrowheads="1"/>
        </xdr:cNvSpPr>
      </xdr:nvSpPr>
      <xdr:spPr bwMode="auto">
        <a:xfrm>
          <a:off x="2537503" y="37106920"/>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120304</xdr:colOff>
      <xdr:row>240</xdr:row>
      <xdr:rowOff>27041</xdr:rowOff>
    </xdr:from>
    <xdr:to>
      <xdr:col>12</xdr:col>
      <xdr:colOff>17722</xdr:colOff>
      <xdr:row>240</xdr:row>
      <xdr:rowOff>27041</xdr:rowOff>
    </xdr:to>
    <xdr:sp macro="" textlink="">
      <xdr:nvSpPr>
        <xdr:cNvPr id="763" name="Line 134"/>
        <xdr:cNvSpPr>
          <a:spLocks noChangeShapeType="1"/>
        </xdr:cNvSpPr>
      </xdr:nvSpPr>
      <xdr:spPr bwMode="auto">
        <a:xfrm>
          <a:off x="5606704" y="36603041"/>
          <a:ext cx="1726218" cy="0"/>
        </a:xfrm>
        <a:prstGeom prst="line">
          <a:avLst/>
        </a:prstGeom>
        <a:noFill/>
        <a:ln w="9525">
          <a:solidFill>
            <a:srgbClr val="000000"/>
          </a:solidFill>
          <a:round/>
          <a:headEnd/>
          <a:tailEnd/>
        </a:ln>
      </xdr:spPr>
    </xdr:sp>
    <xdr:clientData/>
  </xdr:twoCellAnchor>
  <xdr:twoCellAnchor>
    <xdr:from>
      <xdr:col>8</xdr:col>
      <xdr:colOff>10789</xdr:colOff>
      <xdr:row>232</xdr:row>
      <xdr:rowOff>121504</xdr:rowOff>
    </xdr:from>
    <xdr:to>
      <xdr:col>8</xdr:col>
      <xdr:colOff>203601</xdr:colOff>
      <xdr:row>233</xdr:row>
      <xdr:rowOff>104867</xdr:rowOff>
    </xdr:to>
    <xdr:sp macro="" textlink="">
      <xdr:nvSpPr>
        <xdr:cNvPr id="764" name="Text Box 135"/>
        <xdr:cNvSpPr txBox="1">
          <a:spLocks noChangeArrowheads="1"/>
        </xdr:cNvSpPr>
      </xdr:nvSpPr>
      <xdr:spPr bwMode="auto">
        <a:xfrm>
          <a:off x="4887589" y="35478304"/>
          <a:ext cx="19281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6165</xdr:colOff>
      <xdr:row>235</xdr:row>
      <xdr:rowOff>13638</xdr:rowOff>
    </xdr:from>
    <xdr:to>
      <xdr:col>8</xdr:col>
      <xdr:colOff>10789</xdr:colOff>
      <xdr:row>235</xdr:row>
      <xdr:rowOff>13638</xdr:rowOff>
    </xdr:to>
    <xdr:sp macro="" textlink="">
      <xdr:nvSpPr>
        <xdr:cNvPr id="765" name="Line 136"/>
        <xdr:cNvSpPr>
          <a:spLocks noChangeShapeType="1"/>
        </xdr:cNvSpPr>
      </xdr:nvSpPr>
      <xdr:spPr bwMode="auto">
        <a:xfrm>
          <a:off x="3054165" y="35827638"/>
          <a:ext cx="1833424" cy="0"/>
        </a:xfrm>
        <a:prstGeom prst="line">
          <a:avLst/>
        </a:prstGeom>
        <a:noFill/>
        <a:ln w="9525">
          <a:solidFill>
            <a:srgbClr val="000000"/>
          </a:solidFill>
          <a:round/>
          <a:headEnd/>
          <a:tailEnd/>
        </a:ln>
      </xdr:spPr>
    </xdr:sp>
    <xdr:clientData/>
  </xdr:twoCellAnchor>
  <xdr:twoCellAnchor>
    <xdr:from>
      <xdr:col>4</xdr:col>
      <xdr:colOff>99103</xdr:colOff>
      <xdr:row>241</xdr:row>
      <xdr:rowOff>145630</xdr:rowOff>
    </xdr:from>
    <xdr:to>
      <xdr:col>5</xdr:col>
      <xdr:colOff>6165</xdr:colOff>
      <xdr:row>242</xdr:row>
      <xdr:rowOff>138651</xdr:rowOff>
    </xdr:to>
    <xdr:sp macro="" textlink="">
      <xdr:nvSpPr>
        <xdr:cNvPr id="766" name="Text Box 137"/>
        <xdr:cNvSpPr txBox="1">
          <a:spLocks noChangeArrowheads="1"/>
        </xdr:cNvSpPr>
      </xdr:nvSpPr>
      <xdr:spPr bwMode="auto">
        <a:xfrm>
          <a:off x="2537503" y="36874030"/>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14</xdr:col>
      <xdr:colOff>178910</xdr:colOff>
      <xdr:row>233</xdr:row>
      <xdr:rowOff>95208</xdr:rowOff>
    </xdr:from>
    <xdr:to>
      <xdr:col>15</xdr:col>
      <xdr:colOff>83273</xdr:colOff>
      <xdr:row>234</xdr:row>
      <xdr:rowOff>136525</xdr:rowOff>
    </xdr:to>
    <xdr:sp macro="" textlink="">
      <xdr:nvSpPr>
        <xdr:cNvPr id="767" name="Text Box 138"/>
        <xdr:cNvSpPr txBox="1">
          <a:spLocks noChangeArrowheads="1"/>
        </xdr:cNvSpPr>
      </xdr:nvSpPr>
      <xdr:spPr bwMode="auto">
        <a:xfrm>
          <a:off x="8713310" y="35604408"/>
          <a:ext cx="513963" cy="193717"/>
        </a:xfrm>
        <a:prstGeom prst="rect">
          <a:avLst/>
        </a:prstGeom>
        <a:noFill/>
        <a:ln w="9525">
          <a:noFill/>
          <a:miter lim="800000"/>
          <a:headEnd/>
          <a:tailEnd/>
        </a:ln>
      </xdr:spPr>
      <xdr:txBody>
        <a:bodyPr wrap="none" lIns="18288" tIns="27432" rIns="0" bIns="0" anchor="t" upright="1">
          <a:noAutofit/>
        </a:bodyPr>
        <a:lstStyle/>
        <a:p>
          <a:pPr algn="l" rtl="1">
            <a:defRPr sz="1000"/>
          </a:pPr>
          <a:r>
            <a:rPr lang="el-GR" altLang="ja-JP" sz="12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8</xdr:col>
      <xdr:colOff>251804</xdr:colOff>
      <xdr:row>239</xdr:row>
      <xdr:rowOff>140269</xdr:rowOff>
    </xdr:from>
    <xdr:to>
      <xdr:col>9</xdr:col>
      <xdr:colOff>158866</xdr:colOff>
      <xdr:row>240</xdr:row>
      <xdr:rowOff>123632</xdr:rowOff>
    </xdr:to>
    <xdr:sp macro="" textlink="">
      <xdr:nvSpPr>
        <xdr:cNvPr id="768" name="Text Box 139"/>
        <xdr:cNvSpPr txBox="1">
          <a:spLocks noChangeArrowheads="1"/>
        </xdr:cNvSpPr>
      </xdr:nvSpPr>
      <xdr:spPr bwMode="auto">
        <a:xfrm>
          <a:off x="5128604" y="36563869"/>
          <a:ext cx="51666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6165</xdr:colOff>
      <xdr:row>233</xdr:row>
      <xdr:rowOff>8276</xdr:rowOff>
    </xdr:from>
    <xdr:to>
      <xdr:col>8</xdr:col>
      <xdr:colOff>10789</xdr:colOff>
      <xdr:row>233</xdr:row>
      <xdr:rowOff>8276</xdr:rowOff>
    </xdr:to>
    <xdr:sp macro="" textlink="">
      <xdr:nvSpPr>
        <xdr:cNvPr id="769" name="Line 140"/>
        <xdr:cNvSpPr>
          <a:spLocks noChangeShapeType="1"/>
        </xdr:cNvSpPr>
      </xdr:nvSpPr>
      <xdr:spPr bwMode="auto">
        <a:xfrm>
          <a:off x="3054165" y="35517476"/>
          <a:ext cx="1833424" cy="0"/>
        </a:xfrm>
        <a:prstGeom prst="line">
          <a:avLst/>
        </a:prstGeom>
        <a:noFill/>
        <a:ln w="9525">
          <a:solidFill>
            <a:srgbClr val="000000"/>
          </a:solidFill>
          <a:round/>
          <a:headEnd/>
          <a:tailEnd/>
        </a:ln>
      </xdr:spPr>
    </xdr:sp>
    <xdr:clientData/>
  </xdr:twoCellAnchor>
  <xdr:twoCellAnchor>
    <xdr:from>
      <xdr:col>16</xdr:col>
      <xdr:colOff>120292</xdr:colOff>
      <xdr:row>232</xdr:row>
      <xdr:rowOff>160140</xdr:rowOff>
    </xdr:from>
    <xdr:to>
      <xdr:col>23</xdr:col>
      <xdr:colOff>48945</xdr:colOff>
      <xdr:row>234</xdr:row>
      <xdr:rowOff>20616</xdr:rowOff>
    </xdr:to>
    <xdr:sp macro="" textlink="">
      <xdr:nvSpPr>
        <xdr:cNvPr id="770" name="Text Box 141"/>
        <xdr:cNvSpPr txBox="1">
          <a:spLocks noChangeArrowheads="1"/>
        </xdr:cNvSpPr>
      </xdr:nvSpPr>
      <xdr:spPr bwMode="auto">
        <a:xfrm>
          <a:off x="9873892" y="35507415"/>
          <a:ext cx="4195853" cy="174801"/>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1000" b="1" i="0" strike="noStrike">
              <a:solidFill>
                <a:srgbClr val="000000"/>
              </a:solidFill>
              <a:latin typeface="Times New Roman"/>
              <a:cs typeface="Times New Roman"/>
            </a:rPr>
            <a:t>F</a:t>
          </a:r>
          <a:r>
            <a:rPr lang="de-DE" altLang="ja-JP" sz="1100" b="1" i="0" strike="noStrike" baseline="-25000">
              <a:solidFill>
                <a:srgbClr val="000000"/>
              </a:solidFill>
              <a:latin typeface="Times New Roman"/>
              <a:cs typeface="Times New Roman"/>
            </a:rPr>
            <a:t>H</a:t>
          </a:r>
          <a:r>
            <a:rPr lang="de-DE" altLang="ja-JP" sz="1100" b="1" i="0" strike="noStrike" baseline="30000">
              <a:solidFill>
                <a:srgbClr val="000000"/>
              </a:solidFill>
              <a:latin typeface="Times New Roman"/>
              <a:cs typeface="Times New Roman"/>
            </a:rPr>
            <a:t>2 </a:t>
          </a:r>
          <a:r>
            <a:rPr lang="de-DE" altLang="ja-JP" sz="900" b="1" i="0" strike="noStrike">
              <a:solidFill>
                <a:srgbClr val="000000"/>
              </a:solidFill>
              <a:latin typeface="Times New Roman"/>
              <a:cs typeface="Times New Roman"/>
            </a:rPr>
            <a:t>+(</a:t>
          </a:r>
          <a:r>
            <a:rPr lang="de-DE" altLang="ja-JP" sz="1000" b="1" i="0" strike="noStrike">
              <a:solidFill>
                <a:srgbClr val="000000"/>
              </a:solidFill>
              <a:latin typeface="Times New Roman"/>
              <a:cs typeface="Times New Roman"/>
            </a:rPr>
            <a:t>W</a:t>
          </a:r>
          <a:r>
            <a:rPr lang="de-DE" altLang="ja-JP" sz="1100" b="1" i="0" strike="noStrike" baseline="-25000">
              <a:solidFill>
                <a:srgbClr val="000000"/>
              </a:solidFill>
              <a:latin typeface="Times New Roman"/>
              <a:cs typeface="Times New Roman"/>
            </a:rPr>
            <a:t>t</a:t>
          </a:r>
          <a:r>
            <a:rPr lang="de-DE" altLang="ja-JP" sz="900" b="1" i="0" strike="noStrike">
              <a:solidFill>
                <a:srgbClr val="000000"/>
              </a:solidFill>
              <a:latin typeface="Times New Roman"/>
              <a:cs typeface="Times New Roman"/>
            </a:rPr>
            <a:t>+</a:t>
          </a:r>
          <a:r>
            <a:rPr lang="de-DE" altLang="ja-JP" sz="1000" b="1" i="0" strike="noStrike">
              <a:solidFill>
                <a:srgbClr val="000000"/>
              </a:solidFill>
              <a:latin typeface="Times New Roman"/>
              <a:cs typeface="Times New Roman"/>
            </a:rPr>
            <a:t>F</a:t>
          </a:r>
          <a:r>
            <a:rPr lang="de-DE" altLang="ja-JP" sz="900" b="1" i="0" strike="noStrike" baseline="-25000">
              <a:solidFill>
                <a:srgbClr val="000000"/>
              </a:solidFill>
              <a:latin typeface="Times New Roman"/>
              <a:cs typeface="Times New Roman"/>
            </a:rPr>
            <a:t>V</a:t>
          </a:r>
          <a:r>
            <a:rPr lang="de-DE" altLang="ja-JP" sz="900" b="1" i="0" strike="noStrike">
              <a:solidFill>
                <a:srgbClr val="000000"/>
              </a:solidFill>
              <a:latin typeface="Times New Roman"/>
              <a:cs typeface="Times New Roman"/>
            </a:rPr>
            <a:t>)</a:t>
          </a:r>
          <a:r>
            <a:rPr lang="de-DE" altLang="ja-JP" sz="1100" b="1" i="0" strike="noStrike" baseline="30000">
              <a:solidFill>
                <a:srgbClr val="000000"/>
              </a:solidFill>
              <a:latin typeface="Times New Roman"/>
              <a:cs typeface="Times New Roman"/>
            </a:rPr>
            <a:t>2</a:t>
          </a:r>
        </a:p>
      </xdr:txBody>
    </xdr:sp>
    <xdr:clientData/>
  </xdr:twoCellAnchor>
  <xdr:twoCellAnchor>
    <xdr:from>
      <xdr:col>5</xdr:col>
      <xdr:colOff>15806</xdr:colOff>
      <xdr:row>240</xdr:row>
      <xdr:rowOff>27041</xdr:rowOff>
    </xdr:from>
    <xdr:to>
      <xdr:col>8</xdr:col>
      <xdr:colOff>280727</xdr:colOff>
      <xdr:row>240</xdr:row>
      <xdr:rowOff>27041</xdr:rowOff>
    </xdr:to>
    <xdr:sp macro="" textlink="">
      <xdr:nvSpPr>
        <xdr:cNvPr id="771" name="Line 142"/>
        <xdr:cNvSpPr>
          <a:spLocks noChangeShapeType="1"/>
        </xdr:cNvSpPr>
      </xdr:nvSpPr>
      <xdr:spPr bwMode="auto">
        <a:xfrm>
          <a:off x="3063806" y="36603041"/>
          <a:ext cx="2093721" cy="0"/>
        </a:xfrm>
        <a:prstGeom prst="line">
          <a:avLst/>
        </a:prstGeom>
        <a:noFill/>
        <a:ln w="9525">
          <a:solidFill>
            <a:srgbClr val="000000"/>
          </a:solidFill>
          <a:round/>
          <a:headEnd/>
          <a:tailEnd/>
        </a:ln>
      </xdr:spPr>
    </xdr:sp>
    <xdr:clientData/>
  </xdr:twoCellAnchor>
  <xdr:twoCellAnchor>
    <xdr:from>
      <xdr:col>5</xdr:col>
      <xdr:colOff>189337</xdr:colOff>
      <xdr:row>239</xdr:row>
      <xdr:rowOff>169247</xdr:rowOff>
    </xdr:from>
    <xdr:to>
      <xdr:col>6</xdr:col>
      <xdr:colOff>241009</xdr:colOff>
      <xdr:row>241</xdr:row>
      <xdr:rowOff>29723</xdr:rowOff>
    </xdr:to>
    <xdr:sp macro="" textlink="">
      <xdr:nvSpPr>
        <xdr:cNvPr id="772" name="Text Box 143"/>
        <xdr:cNvSpPr txBox="1">
          <a:spLocks noChangeArrowheads="1"/>
        </xdr:cNvSpPr>
      </xdr:nvSpPr>
      <xdr:spPr bwMode="auto">
        <a:xfrm>
          <a:off x="3237337" y="36573797"/>
          <a:ext cx="661272" cy="18432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99103</xdr:colOff>
      <xdr:row>234</xdr:row>
      <xdr:rowOff>126866</xdr:rowOff>
    </xdr:from>
    <xdr:to>
      <xdr:col>5</xdr:col>
      <xdr:colOff>6165</xdr:colOff>
      <xdr:row>235</xdr:row>
      <xdr:rowOff>119887</xdr:rowOff>
    </xdr:to>
    <xdr:sp macro="" textlink="">
      <xdr:nvSpPr>
        <xdr:cNvPr id="773" name="Text Box 144"/>
        <xdr:cNvSpPr txBox="1">
          <a:spLocks noChangeArrowheads="1"/>
        </xdr:cNvSpPr>
      </xdr:nvSpPr>
      <xdr:spPr bwMode="auto">
        <a:xfrm>
          <a:off x="2537503" y="35788466"/>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139586</xdr:colOff>
      <xdr:row>241</xdr:row>
      <xdr:rowOff>135972</xdr:rowOff>
    </xdr:from>
    <xdr:to>
      <xdr:col>10</xdr:col>
      <xdr:colOff>56289</xdr:colOff>
      <xdr:row>242</xdr:row>
      <xdr:rowOff>148312</xdr:rowOff>
    </xdr:to>
    <xdr:sp macro="" textlink="">
      <xdr:nvSpPr>
        <xdr:cNvPr id="774" name="Text Box 145"/>
        <xdr:cNvSpPr txBox="1">
          <a:spLocks noChangeArrowheads="1"/>
        </xdr:cNvSpPr>
      </xdr:nvSpPr>
      <xdr:spPr bwMode="auto">
        <a:xfrm>
          <a:off x="5625986" y="36864372"/>
          <a:ext cx="526303" cy="164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10</xdr:col>
      <xdr:colOff>27367</xdr:colOff>
      <xdr:row>242</xdr:row>
      <xdr:rowOff>32403</xdr:rowOff>
    </xdr:from>
    <xdr:to>
      <xdr:col>13</xdr:col>
      <xdr:colOff>18492</xdr:colOff>
      <xdr:row>242</xdr:row>
      <xdr:rowOff>32403</xdr:rowOff>
    </xdr:to>
    <xdr:sp macro="" textlink="">
      <xdr:nvSpPr>
        <xdr:cNvPr id="775" name="Line 146"/>
        <xdr:cNvSpPr>
          <a:spLocks noChangeShapeType="1"/>
        </xdr:cNvSpPr>
      </xdr:nvSpPr>
      <xdr:spPr bwMode="auto">
        <a:xfrm>
          <a:off x="6123367" y="36913203"/>
          <a:ext cx="1819925" cy="0"/>
        </a:xfrm>
        <a:prstGeom prst="line">
          <a:avLst/>
        </a:prstGeom>
        <a:noFill/>
        <a:ln w="9525">
          <a:solidFill>
            <a:srgbClr val="000000"/>
          </a:solidFill>
          <a:round/>
          <a:headEnd/>
          <a:tailEnd/>
        </a:ln>
      </xdr:spPr>
    </xdr:sp>
    <xdr:clientData/>
  </xdr:twoCellAnchor>
  <xdr:twoCellAnchor>
    <xdr:from>
      <xdr:col>5</xdr:col>
      <xdr:colOff>15806</xdr:colOff>
      <xdr:row>242</xdr:row>
      <xdr:rowOff>32403</xdr:rowOff>
    </xdr:from>
    <xdr:to>
      <xdr:col>9</xdr:col>
      <xdr:colOff>158867</xdr:colOff>
      <xdr:row>242</xdr:row>
      <xdr:rowOff>32403</xdr:rowOff>
    </xdr:to>
    <xdr:sp macro="" textlink="">
      <xdr:nvSpPr>
        <xdr:cNvPr id="776" name="Line 147"/>
        <xdr:cNvSpPr>
          <a:spLocks noChangeShapeType="1"/>
        </xdr:cNvSpPr>
      </xdr:nvSpPr>
      <xdr:spPr bwMode="auto">
        <a:xfrm>
          <a:off x="3063806" y="36913203"/>
          <a:ext cx="2581461" cy="0"/>
        </a:xfrm>
        <a:prstGeom prst="line">
          <a:avLst/>
        </a:prstGeom>
        <a:noFill/>
        <a:ln w="9525">
          <a:solidFill>
            <a:srgbClr val="000000"/>
          </a:solidFill>
          <a:round/>
          <a:headEnd/>
          <a:tailEnd/>
        </a:ln>
      </xdr:spPr>
    </xdr:sp>
    <xdr:clientData/>
  </xdr:twoCellAnchor>
  <xdr:twoCellAnchor>
    <xdr:from>
      <xdr:col>14</xdr:col>
      <xdr:colOff>275317</xdr:colOff>
      <xdr:row>237</xdr:row>
      <xdr:rowOff>47976</xdr:rowOff>
    </xdr:from>
    <xdr:to>
      <xdr:col>16</xdr:col>
      <xdr:colOff>43167</xdr:colOff>
      <xdr:row>238</xdr:row>
      <xdr:rowOff>50657</xdr:rowOff>
    </xdr:to>
    <xdr:sp macro="" textlink="">
      <xdr:nvSpPr>
        <xdr:cNvPr id="777" name="Text Box 148"/>
        <xdr:cNvSpPr txBox="1">
          <a:spLocks noChangeArrowheads="1"/>
        </xdr:cNvSpPr>
      </xdr:nvSpPr>
      <xdr:spPr bwMode="auto">
        <a:xfrm>
          <a:off x="8809717" y="36166776"/>
          <a:ext cx="987050"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224047</xdr:colOff>
      <xdr:row>232</xdr:row>
      <xdr:rowOff>102187</xdr:rowOff>
    </xdr:from>
    <xdr:to>
      <xdr:col>4</xdr:col>
      <xdr:colOff>262993</xdr:colOff>
      <xdr:row>233</xdr:row>
      <xdr:rowOff>114527</xdr:rowOff>
    </xdr:to>
    <xdr:sp macro="" textlink="">
      <xdr:nvSpPr>
        <xdr:cNvPr id="778" name="Text Box 149"/>
        <xdr:cNvSpPr txBox="1">
          <a:spLocks noChangeArrowheads="1"/>
        </xdr:cNvSpPr>
      </xdr:nvSpPr>
      <xdr:spPr bwMode="auto">
        <a:xfrm>
          <a:off x="2052847" y="35458987"/>
          <a:ext cx="648546" cy="16474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b1</a:t>
          </a:r>
          <a:r>
            <a:rPr lang="ja-JP" altLang="de-DE" sz="1000" b="1" i="0" strike="noStrike">
              <a:solidFill>
                <a:srgbClr val="000000"/>
              </a:solidFill>
              <a:latin typeface="ＭＳ Ｐゴシック"/>
              <a:ea typeface="ＭＳ Ｐゴシック"/>
            </a:rPr>
            <a:t>＝</a:t>
          </a:r>
        </a:p>
      </xdr:txBody>
    </xdr:sp>
    <xdr:clientData/>
  </xdr:twoCellAnchor>
  <xdr:twoCellAnchor>
    <xdr:from>
      <xdr:col>8</xdr:col>
      <xdr:colOff>193961</xdr:colOff>
      <xdr:row>233</xdr:row>
      <xdr:rowOff>8276</xdr:rowOff>
    </xdr:from>
    <xdr:to>
      <xdr:col>11</xdr:col>
      <xdr:colOff>107961</xdr:colOff>
      <xdr:row>233</xdr:row>
      <xdr:rowOff>8276</xdr:rowOff>
    </xdr:to>
    <xdr:sp macro="" textlink="">
      <xdr:nvSpPr>
        <xdr:cNvPr id="779" name="Line 150"/>
        <xdr:cNvSpPr>
          <a:spLocks noChangeShapeType="1"/>
        </xdr:cNvSpPr>
      </xdr:nvSpPr>
      <xdr:spPr bwMode="auto">
        <a:xfrm>
          <a:off x="5070761" y="35517476"/>
          <a:ext cx="1742800" cy="0"/>
        </a:xfrm>
        <a:prstGeom prst="line">
          <a:avLst/>
        </a:prstGeom>
        <a:noFill/>
        <a:ln w="9525">
          <a:solidFill>
            <a:srgbClr val="000000"/>
          </a:solidFill>
          <a:round/>
          <a:headEnd/>
          <a:tailEnd/>
        </a:ln>
      </xdr:spPr>
    </xdr:sp>
    <xdr:clientData/>
  </xdr:twoCellAnchor>
  <xdr:twoCellAnchor>
    <xdr:from>
      <xdr:col>5</xdr:col>
      <xdr:colOff>102571</xdr:colOff>
      <xdr:row>232</xdr:row>
      <xdr:rowOff>150482</xdr:rowOff>
    </xdr:from>
    <xdr:to>
      <xdr:col>6</xdr:col>
      <xdr:colOff>154243</xdr:colOff>
      <xdr:row>234</xdr:row>
      <xdr:rowOff>10958</xdr:rowOff>
    </xdr:to>
    <xdr:sp macro="" textlink="">
      <xdr:nvSpPr>
        <xdr:cNvPr id="780" name="Text Box 151"/>
        <xdr:cNvSpPr txBox="1">
          <a:spLocks noChangeArrowheads="1"/>
        </xdr:cNvSpPr>
      </xdr:nvSpPr>
      <xdr:spPr bwMode="auto">
        <a:xfrm>
          <a:off x="3150571" y="35507282"/>
          <a:ext cx="661272" cy="16527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1</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V</a:t>
          </a:r>
        </a:p>
      </xdr:txBody>
    </xdr:sp>
    <xdr:clientData/>
  </xdr:twoCellAnchor>
  <xdr:twoCellAnchor>
    <xdr:from>
      <xdr:col>16</xdr:col>
      <xdr:colOff>52808</xdr:colOff>
      <xdr:row>235</xdr:row>
      <xdr:rowOff>3845</xdr:rowOff>
    </xdr:from>
    <xdr:to>
      <xdr:col>24</xdr:col>
      <xdr:colOff>177742</xdr:colOff>
      <xdr:row>235</xdr:row>
      <xdr:rowOff>149401</xdr:rowOff>
    </xdr:to>
    <xdr:grpSp>
      <xdr:nvGrpSpPr>
        <xdr:cNvPr id="781" name="Group 152"/>
        <xdr:cNvGrpSpPr>
          <a:grpSpLocks/>
        </xdr:cNvGrpSpPr>
      </xdr:nvGrpSpPr>
      <xdr:grpSpPr bwMode="auto">
        <a:xfrm>
          <a:off x="3981871" y="42056720"/>
          <a:ext cx="1410809" cy="145556"/>
          <a:chOff x="391" y="883"/>
          <a:chExt cx="99" cy="20"/>
        </a:xfrm>
      </xdr:grpSpPr>
      <xdr:sp macro="" textlink="">
        <xdr:nvSpPr>
          <xdr:cNvPr id="782" name="Line 153"/>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783" name="Line 154"/>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784" name="Line 155"/>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18</xdr:col>
      <xdr:colOff>70930</xdr:colOff>
      <xdr:row>233</xdr:row>
      <xdr:rowOff>172481</xdr:rowOff>
    </xdr:from>
    <xdr:to>
      <xdr:col>20</xdr:col>
      <xdr:colOff>13855</xdr:colOff>
      <xdr:row>234</xdr:row>
      <xdr:rowOff>184821</xdr:rowOff>
    </xdr:to>
    <xdr:sp macro="" textlink="">
      <xdr:nvSpPr>
        <xdr:cNvPr id="785" name="Text Box 156"/>
        <xdr:cNvSpPr txBox="1">
          <a:spLocks noChangeArrowheads="1"/>
        </xdr:cNvSpPr>
      </xdr:nvSpPr>
      <xdr:spPr bwMode="auto">
        <a:xfrm>
          <a:off x="11043730" y="35662631"/>
          <a:ext cx="1162125" cy="155215"/>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n</a:t>
          </a:r>
          <a:r>
            <a:rPr lang="ja-JP" altLang="de-DE" sz="900" b="1" i="0" strike="noStrike">
              <a:solidFill>
                <a:srgbClr val="000000"/>
              </a:solidFill>
              <a:latin typeface="ＭＳ Ｐ明朝"/>
              <a:ea typeface="ＭＳ Ｐ明朝"/>
            </a:rPr>
            <a:t>・</a:t>
          </a:r>
          <a:r>
            <a:rPr lang="de-DE" altLang="ja-JP" sz="1000" b="1" i="0" strike="noStrike">
              <a:solidFill>
                <a:srgbClr val="000000"/>
              </a:solidFill>
              <a:latin typeface="Times New Roman"/>
              <a:cs typeface="Times New Roman"/>
            </a:rPr>
            <a:t>A</a:t>
          </a:r>
        </a:p>
      </xdr:txBody>
    </xdr:sp>
    <xdr:clientData/>
  </xdr:twoCellAnchor>
  <xdr:twoCellAnchor>
    <xdr:from>
      <xdr:col>4</xdr:col>
      <xdr:colOff>99103</xdr:colOff>
      <xdr:row>236</xdr:row>
      <xdr:rowOff>74273</xdr:rowOff>
    </xdr:from>
    <xdr:to>
      <xdr:col>5</xdr:col>
      <xdr:colOff>6165</xdr:colOff>
      <xdr:row>237</xdr:row>
      <xdr:rowOff>76954</xdr:rowOff>
    </xdr:to>
    <xdr:sp macro="" textlink="">
      <xdr:nvSpPr>
        <xdr:cNvPr id="786" name="Text Box 157"/>
        <xdr:cNvSpPr txBox="1">
          <a:spLocks noChangeArrowheads="1"/>
        </xdr:cNvSpPr>
      </xdr:nvSpPr>
      <xdr:spPr bwMode="auto">
        <a:xfrm>
          <a:off x="2537503" y="36040673"/>
          <a:ext cx="516662"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8</xdr:col>
      <xdr:colOff>203601</xdr:colOff>
      <xdr:row>235</xdr:row>
      <xdr:rowOff>13638</xdr:rowOff>
    </xdr:from>
    <xdr:to>
      <xdr:col>11</xdr:col>
      <xdr:colOff>165804</xdr:colOff>
      <xdr:row>235</xdr:row>
      <xdr:rowOff>13638</xdr:rowOff>
    </xdr:to>
    <xdr:sp macro="" textlink="">
      <xdr:nvSpPr>
        <xdr:cNvPr id="787" name="Line 158"/>
        <xdr:cNvSpPr>
          <a:spLocks noChangeShapeType="1"/>
        </xdr:cNvSpPr>
      </xdr:nvSpPr>
      <xdr:spPr bwMode="auto">
        <a:xfrm>
          <a:off x="5080401" y="35827638"/>
          <a:ext cx="1791003" cy="0"/>
        </a:xfrm>
        <a:prstGeom prst="line">
          <a:avLst/>
        </a:prstGeom>
        <a:noFill/>
        <a:ln w="9525">
          <a:solidFill>
            <a:srgbClr val="000000"/>
          </a:solidFill>
          <a:round/>
          <a:headEnd/>
          <a:tailEnd/>
        </a:ln>
      </xdr:spPr>
    </xdr:sp>
    <xdr:clientData/>
  </xdr:twoCellAnchor>
  <xdr:twoCellAnchor>
    <xdr:from>
      <xdr:col>16</xdr:col>
      <xdr:colOff>52808</xdr:colOff>
      <xdr:row>232</xdr:row>
      <xdr:rowOff>150883</xdr:rowOff>
    </xdr:from>
    <xdr:to>
      <xdr:col>22</xdr:col>
      <xdr:colOff>149980</xdr:colOff>
      <xdr:row>234</xdr:row>
      <xdr:rowOff>1164</xdr:rowOff>
    </xdr:to>
    <xdr:grpSp>
      <xdr:nvGrpSpPr>
        <xdr:cNvPr id="788" name="Group 159"/>
        <xdr:cNvGrpSpPr>
          <a:grpSpLocks/>
        </xdr:cNvGrpSpPr>
      </xdr:nvGrpSpPr>
      <xdr:grpSpPr bwMode="auto">
        <a:xfrm>
          <a:off x="3981871" y="41632258"/>
          <a:ext cx="938547" cy="231281"/>
          <a:chOff x="391" y="883"/>
          <a:chExt cx="99" cy="20"/>
        </a:xfrm>
      </xdr:grpSpPr>
      <xdr:sp macro="" textlink="">
        <xdr:nvSpPr>
          <xdr:cNvPr id="789" name="Line 160"/>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790" name="Line 161"/>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791" name="Line 162"/>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14</xdr:col>
      <xdr:colOff>275317</xdr:colOff>
      <xdr:row>235</xdr:row>
      <xdr:rowOff>129546</xdr:rowOff>
    </xdr:from>
    <xdr:to>
      <xdr:col>16</xdr:col>
      <xdr:colOff>43167</xdr:colOff>
      <xdr:row>236</xdr:row>
      <xdr:rowOff>132227</xdr:rowOff>
    </xdr:to>
    <xdr:sp macro="" textlink="">
      <xdr:nvSpPr>
        <xdr:cNvPr id="792" name="Text Box 163"/>
        <xdr:cNvSpPr txBox="1">
          <a:spLocks noChangeArrowheads="1"/>
        </xdr:cNvSpPr>
      </xdr:nvSpPr>
      <xdr:spPr bwMode="auto">
        <a:xfrm>
          <a:off x="8809717" y="35943546"/>
          <a:ext cx="987050"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16</xdr:col>
      <xdr:colOff>52808</xdr:colOff>
      <xdr:row>196</xdr:row>
      <xdr:rowOff>21050</xdr:rowOff>
    </xdr:from>
    <xdr:to>
      <xdr:col>26</xdr:col>
      <xdr:colOff>155758</xdr:colOff>
      <xdr:row>196</xdr:row>
      <xdr:rowOff>21050</xdr:rowOff>
    </xdr:to>
    <xdr:sp macro="" textlink="">
      <xdr:nvSpPr>
        <xdr:cNvPr id="793" name="Line 164"/>
        <xdr:cNvSpPr>
          <a:spLocks noChangeShapeType="1"/>
        </xdr:cNvSpPr>
      </xdr:nvSpPr>
      <xdr:spPr bwMode="auto">
        <a:xfrm>
          <a:off x="9806408" y="29891450"/>
          <a:ext cx="6198950" cy="0"/>
        </a:xfrm>
        <a:prstGeom prst="line">
          <a:avLst/>
        </a:prstGeom>
        <a:noFill/>
        <a:ln w="6350">
          <a:solidFill>
            <a:srgbClr val="000000"/>
          </a:solidFill>
          <a:prstDash val="lgDashDot"/>
          <a:round/>
          <a:headEnd/>
          <a:tailEnd/>
        </a:ln>
      </xdr:spPr>
    </xdr:sp>
    <xdr:clientData/>
  </xdr:twoCellAnchor>
  <xdr:twoCellAnchor>
    <xdr:from>
      <xdr:col>14</xdr:col>
      <xdr:colOff>284957</xdr:colOff>
      <xdr:row>195</xdr:row>
      <xdr:rowOff>57005</xdr:rowOff>
    </xdr:from>
    <xdr:to>
      <xdr:col>19</xdr:col>
      <xdr:colOff>102165</xdr:colOff>
      <xdr:row>195</xdr:row>
      <xdr:rowOff>57005</xdr:rowOff>
    </xdr:to>
    <xdr:sp macro="" textlink="">
      <xdr:nvSpPr>
        <xdr:cNvPr id="794" name="Line 165"/>
        <xdr:cNvSpPr>
          <a:spLocks noChangeShapeType="1"/>
        </xdr:cNvSpPr>
      </xdr:nvSpPr>
      <xdr:spPr bwMode="auto">
        <a:xfrm>
          <a:off x="8819357" y="29775005"/>
          <a:ext cx="2865208" cy="0"/>
        </a:xfrm>
        <a:prstGeom prst="line">
          <a:avLst/>
        </a:prstGeom>
        <a:noFill/>
        <a:ln w="6350">
          <a:solidFill>
            <a:srgbClr val="000000"/>
          </a:solidFill>
          <a:round/>
          <a:headEnd/>
          <a:tailEnd/>
        </a:ln>
      </xdr:spPr>
    </xdr:sp>
    <xdr:clientData/>
  </xdr:twoCellAnchor>
  <xdr:twoCellAnchor>
    <xdr:from>
      <xdr:col>8</xdr:col>
      <xdr:colOff>10789</xdr:colOff>
      <xdr:row>234</xdr:row>
      <xdr:rowOff>126866</xdr:rowOff>
    </xdr:from>
    <xdr:to>
      <xdr:col>8</xdr:col>
      <xdr:colOff>203601</xdr:colOff>
      <xdr:row>235</xdr:row>
      <xdr:rowOff>110229</xdr:rowOff>
    </xdr:to>
    <xdr:sp macro="" textlink="">
      <xdr:nvSpPr>
        <xdr:cNvPr id="795" name="Text Box 166"/>
        <xdr:cNvSpPr txBox="1">
          <a:spLocks noChangeArrowheads="1"/>
        </xdr:cNvSpPr>
      </xdr:nvSpPr>
      <xdr:spPr bwMode="auto">
        <a:xfrm>
          <a:off x="4887589" y="35788466"/>
          <a:ext cx="19281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224047</xdr:colOff>
      <xdr:row>239</xdr:row>
      <xdr:rowOff>120951</xdr:rowOff>
    </xdr:from>
    <xdr:to>
      <xdr:col>4</xdr:col>
      <xdr:colOff>262993</xdr:colOff>
      <xdr:row>240</xdr:row>
      <xdr:rowOff>133291</xdr:rowOff>
    </xdr:to>
    <xdr:sp macro="" textlink="">
      <xdr:nvSpPr>
        <xdr:cNvPr id="796" name="Text Box 167"/>
        <xdr:cNvSpPr txBox="1">
          <a:spLocks noChangeArrowheads="1"/>
        </xdr:cNvSpPr>
      </xdr:nvSpPr>
      <xdr:spPr bwMode="auto">
        <a:xfrm>
          <a:off x="2052847" y="36544551"/>
          <a:ext cx="648546" cy="16474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b2</a:t>
          </a:r>
          <a:r>
            <a:rPr lang="ja-JP" altLang="de-DE" sz="1000" b="1" i="0" strike="noStrike">
              <a:solidFill>
                <a:srgbClr val="000000"/>
              </a:solidFill>
              <a:latin typeface="ＭＳ Ｐゴシック"/>
              <a:ea typeface="ＭＳ Ｐゴシック"/>
            </a:rPr>
            <a:t>＝</a:t>
          </a:r>
        </a:p>
      </xdr:txBody>
    </xdr:sp>
    <xdr:clientData/>
  </xdr:twoCellAnchor>
  <xdr:twoCellAnchor>
    <xdr:from>
      <xdr:col>16</xdr:col>
      <xdr:colOff>43167</xdr:colOff>
      <xdr:row>236</xdr:row>
      <xdr:rowOff>16318</xdr:rowOff>
    </xdr:from>
    <xdr:to>
      <xdr:col>24</xdr:col>
      <xdr:colOff>197023</xdr:colOff>
      <xdr:row>236</xdr:row>
      <xdr:rowOff>16318</xdr:rowOff>
    </xdr:to>
    <xdr:sp macro="" textlink="">
      <xdr:nvSpPr>
        <xdr:cNvPr id="797" name="Line 168"/>
        <xdr:cNvSpPr>
          <a:spLocks noChangeShapeType="1"/>
        </xdr:cNvSpPr>
      </xdr:nvSpPr>
      <xdr:spPr bwMode="auto">
        <a:xfrm>
          <a:off x="9796767" y="35982718"/>
          <a:ext cx="5030656" cy="0"/>
        </a:xfrm>
        <a:prstGeom prst="line">
          <a:avLst/>
        </a:prstGeom>
        <a:noFill/>
        <a:ln w="9525">
          <a:solidFill>
            <a:srgbClr val="000000"/>
          </a:solidFill>
          <a:round/>
          <a:headEnd/>
          <a:tailEnd/>
        </a:ln>
      </xdr:spPr>
    </xdr:sp>
    <xdr:clientData/>
  </xdr:twoCellAnchor>
  <xdr:twoCellAnchor>
    <xdr:from>
      <xdr:col>9</xdr:col>
      <xdr:colOff>274554</xdr:colOff>
      <xdr:row>239</xdr:row>
      <xdr:rowOff>169247</xdr:rowOff>
    </xdr:from>
    <xdr:to>
      <xdr:col>11</xdr:col>
      <xdr:colOff>40476</xdr:colOff>
      <xdr:row>241</xdr:row>
      <xdr:rowOff>29723</xdr:rowOff>
    </xdr:to>
    <xdr:sp macro="" textlink="">
      <xdr:nvSpPr>
        <xdr:cNvPr id="798" name="Text Box 169"/>
        <xdr:cNvSpPr txBox="1">
          <a:spLocks noChangeArrowheads="1"/>
        </xdr:cNvSpPr>
      </xdr:nvSpPr>
      <xdr:spPr bwMode="auto">
        <a:xfrm>
          <a:off x="5760954" y="36573797"/>
          <a:ext cx="985122" cy="18432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99103</xdr:colOff>
      <xdr:row>243</xdr:row>
      <xdr:rowOff>73720</xdr:rowOff>
    </xdr:from>
    <xdr:to>
      <xdr:col>5</xdr:col>
      <xdr:colOff>6165</xdr:colOff>
      <xdr:row>244</xdr:row>
      <xdr:rowOff>66741</xdr:rowOff>
    </xdr:to>
    <xdr:sp macro="" textlink="">
      <xdr:nvSpPr>
        <xdr:cNvPr id="799" name="Text Box 170"/>
        <xdr:cNvSpPr txBox="1">
          <a:spLocks noChangeArrowheads="1"/>
        </xdr:cNvSpPr>
      </xdr:nvSpPr>
      <xdr:spPr bwMode="auto">
        <a:xfrm>
          <a:off x="2537503" y="37106920"/>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120304</xdr:colOff>
      <xdr:row>240</xdr:row>
      <xdr:rowOff>27041</xdr:rowOff>
    </xdr:from>
    <xdr:to>
      <xdr:col>12</xdr:col>
      <xdr:colOff>17722</xdr:colOff>
      <xdr:row>240</xdr:row>
      <xdr:rowOff>27041</xdr:rowOff>
    </xdr:to>
    <xdr:sp macro="" textlink="">
      <xdr:nvSpPr>
        <xdr:cNvPr id="800" name="Line 171"/>
        <xdr:cNvSpPr>
          <a:spLocks noChangeShapeType="1"/>
        </xdr:cNvSpPr>
      </xdr:nvSpPr>
      <xdr:spPr bwMode="auto">
        <a:xfrm>
          <a:off x="5606704" y="36603041"/>
          <a:ext cx="1726218" cy="0"/>
        </a:xfrm>
        <a:prstGeom prst="line">
          <a:avLst/>
        </a:prstGeom>
        <a:noFill/>
        <a:ln w="9525">
          <a:solidFill>
            <a:srgbClr val="000000"/>
          </a:solidFill>
          <a:round/>
          <a:headEnd/>
          <a:tailEnd/>
        </a:ln>
      </xdr:spPr>
    </xdr:sp>
    <xdr:clientData/>
  </xdr:twoCellAnchor>
  <xdr:twoCellAnchor>
    <xdr:from>
      <xdr:col>5</xdr:col>
      <xdr:colOff>6165</xdr:colOff>
      <xdr:row>235</xdr:row>
      <xdr:rowOff>13638</xdr:rowOff>
    </xdr:from>
    <xdr:to>
      <xdr:col>8</xdr:col>
      <xdr:colOff>10789</xdr:colOff>
      <xdr:row>235</xdr:row>
      <xdr:rowOff>13638</xdr:rowOff>
    </xdr:to>
    <xdr:sp macro="" textlink="">
      <xdr:nvSpPr>
        <xdr:cNvPr id="801" name="Line 172"/>
        <xdr:cNvSpPr>
          <a:spLocks noChangeShapeType="1"/>
        </xdr:cNvSpPr>
      </xdr:nvSpPr>
      <xdr:spPr bwMode="auto">
        <a:xfrm>
          <a:off x="3054165" y="35827638"/>
          <a:ext cx="1833424" cy="0"/>
        </a:xfrm>
        <a:prstGeom prst="line">
          <a:avLst/>
        </a:prstGeom>
        <a:noFill/>
        <a:ln w="9525">
          <a:solidFill>
            <a:srgbClr val="000000"/>
          </a:solidFill>
          <a:round/>
          <a:headEnd/>
          <a:tailEnd/>
        </a:ln>
      </xdr:spPr>
    </xdr:sp>
    <xdr:clientData/>
  </xdr:twoCellAnchor>
  <xdr:twoCellAnchor>
    <xdr:from>
      <xdr:col>4</xdr:col>
      <xdr:colOff>99103</xdr:colOff>
      <xdr:row>241</xdr:row>
      <xdr:rowOff>145630</xdr:rowOff>
    </xdr:from>
    <xdr:to>
      <xdr:col>5</xdr:col>
      <xdr:colOff>6165</xdr:colOff>
      <xdr:row>242</xdr:row>
      <xdr:rowOff>138651</xdr:rowOff>
    </xdr:to>
    <xdr:sp macro="" textlink="">
      <xdr:nvSpPr>
        <xdr:cNvPr id="802" name="Text Box 173"/>
        <xdr:cNvSpPr txBox="1">
          <a:spLocks noChangeArrowheads="1"/>
        </xdr:cNvSpPr>
      </xdr:nvSpPr>
      <xdr:spPr bwMode="auto">
        <a:xfrm>
          <a:off x="2537503" y="36874030"/>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14</xdr:col>
      <xdr:colOff>178910</xdr:colOff>
      <xdr:row>233</xdr:row>
      <xdr:rowOff>95208</xdr:rowOff>
    </xdr:from>
    <xdr:to>
      <xdr:col>15</xdr:col>
      <xdr:colOff>83273</xdr:colOff>
      <xdr:row>234</xdr:row>
      <xdr:rowOff>136525</xdr:rowOff>
    </xdr:to>
    <xdr:sp macro="" textlink="">
      <xdr:nvSpPr>
        <xdr:cNvPr id="803" name="Text Box 174"/>
        <xdr:cNvSpPr txBox="1">
          <a:spLocks noChangeArrowheads="1"/>
        </xdr:cNvSpPr>
      </xdr:nvSpPr>
      <xdr:spPr bwMode="auto">
        <a:xfrm>
          <a:off x="8713310" y="35604408"/>
          <a:ext cx="513963" cy="193717"/>
        </a:xfrm>
        <a:prstGeom prst="rect">
          <a:avLst/>
        </a:prstGeom>
        <a:noFill/>
        <a:ln w="9525">
          <a:noFill/>
          <a:miter lim="800000"/>
          <a:headEnd/>
          <a:tailEnd/>
        </a:ln>
      </xdr:spPr>
      <xdr:txBody>
        <a:bodyPr wrap="none" lIns="18288" tIns="27432" rIns="0" bIns="0" anchor="t" upright="1">
          <a:noAutofit/>
        </a:bodyPr>
        <a:lstStyle/>
        <a:p>
          <a:pPr algn="l" rtl="1">
            <a:defRPr sz="1000"/>
          </a:pPr>
          <a:r>
            <a:rPr lang="el-GR" altLang="ja-JP" sz="12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8</xdr:col>
      <xdr:colOff>251804</xdr:colOff>
      <xdr:row>239</xdr:row>
      <xdr:rowOff>140269</xdr:rowOff>
    </xdr:from>
    <xdr:to>
      <xdr:col>9</xdr:col>
      <xdr:colOff>158866</xdr:colOff>
      <xdr:row>240</xdr:row>
      <xdr:rowOff>123632</xdr:rowOff>
    </xdr:to>
    <xdr:sp macro="" textlink="">
      <xdr:nvSpPr>
        <xdr:cNvPr id="804" name="Text Box 175"/>
        <xdr:cNvSpPr txBox="1">
          <a:spLocks noChangeArrowheads="1"/>
        </xdr:cNvSpPr>
      </xdr:nvSpPr>
      <xdr:spPr bwMode="auto">
        <a:xfrm>
          <a:off x="5128604" y="36563869"/>
          <a:ext cx="516662" cy="13576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15806</xdr:colOff>
      <xdr:row>240</xdr:row>
      <xdr:rowOff>27041</xdr:rowOff>
    </xdr:from>
    <xdr:to>
      <xdr:col>8</xdr:col>
      <xdr:colOff>280727</xdr:colOff>
      <xdr:row>240</xdr:row>
      <xdr:rowOff>27041</xdr:rowOff>
    </xdr:to>
    <xdr:sp macro="" textlink="">
      <xdr:nvSpPr>
        <xdr:cNvPr id="805" name="Line 176"/>
        <xdr:cNvSpPr>
          <a:spLocks noChangeShapeType="1"/>
        </xdr:cNvSpPr>
      </xdr:nvSpPr>
      <xdr:spPr bwMode="auto">
        <a:xfrm>
          <a:off x="3063806" y="36603041"/>
          <a:ext cx="2093721" cy="0"/>
        </a:xfrm>
        <a:prstGeom prst="line">
          <a:avLst/>
        </a:prstGeom>
        <a:noFill/>
        <a:ln w="9525">
          <a:solidFill>
            <a:srgbClr val="000000"/>
          </a:solidFill>
          <a:round/>
          <a:headEnd/>
          <a:tailEnd/>
        </a:ln>
      </xdr:spPr>
    </xdr:sp>
    <xdr:clientData/>
  </xdr:twoCellAnchor>
  <xdr:twoCellAnchor>
    <xdr:from>
      <xdr:col>5</xdr:col>
      <xdr:colOff>189337</xdr:colOff>
      <xdr:row>239</xdr:row>
      <xdr:rowOff>169247</xdr:rowOff>
    </xdr:from>
    <xdr:to>
      <xdr:col>6</xdr:col>
      <xdr:colOff>241009</xdr:colOff>
      <xdr:row>241</xdr:row>
      <xdr:rowOff>29723</xdr:rowOff>
    </xdr:to>
    <xdr:sp macro="" textlink="">
      <xdr:nvSpPr>
        <xdr:cNvPr id="806" name="Text Box 177"/>
        <xdr:cNvSpPr txBox="1">
          <a:spLocks noChangeArrowheads="1"/>
        </xdr:cNvSpPr>
      </xdr:nvSpPr>
      <xdr:spPr bwMode="auto">
        <a:xfrm>
          <a:off x="3237337" y="36573797"/>
          <a:ext cx="661272" cy="18432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99103</xdr:colOff>
      <xdr:row>234</xdr:row>
      <xdr:rowOff>126866</xdr:rowOff>
    </xdr:from>
    <xdr:to>
      <xdr:col>5</xdr:col>
      <xdr:colOff>6165</xdr:colOff>
      <xdr:row>235</xdr:row>
      <xdr:rowOff>119887</xdr:rowOff>
    </xdr:to>
    <xdr:sp macro="" textlink="">
      <xdr:nvSpPr>
        <xdr:cNvPr id="807" name="Text Box 178"/>
        <xdr:cNvSpPr txBox="1">
          <a:spLocks noChangeArrowheads="1"/>
        </xdr:cNvSpPr>
      </xdr:nvSpPr>
      <xdr:spPr bwMode="auto">
        <a:xfrm>
          <a:off x="2537503" y="35788466"/>
          <a:ext cx="516662" cy="14542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10</xdr:col>
      <xdr:colOff>27367</xdr:colOff>
      <xdr:row>242</xdr:row>
      <xdr:rowOff>32403</xdr:rowOff>
    </xdr:from>
    <xdr:to>
      <xdr:col>13</xdr:col>
      <xdr:colOff>18492</xdr:colOff>
      <xdr:row>242</xdr:row>
      <xdr:rowOff>32403</xdr:rowOff>
    </xdr:to>
    <xdr:sp macro="" textlink="">
      <xdr:nvSpPr>
        <xdr:cNvPr id="808" name="Line 180"/>
        <xdr:cNvSpPr>
          <a:spLocks noChangeShapeType="1"/>
        </xdr:cNvSpPr>
      </xdr:nvSpPr>
      <xdr:spPr bwMode="auto">
        <a:xfrm>
          <a:off x="6123367" y="36913203"/>
          <a:ext cx="1819925" cy="0"/>
        </a:xfrm>
        <a:prstGeom prst="line">
          <a:avLst/>
        </a:prstGeom>
        <a:noFill/>
        <a:ln w="9525">
          <a:solidFill>
            <a:srgbClr val="000000"/>
          </a:solidFill>
          <a:round/>
          <a:headEnd/>
          <a:tailEnd/>
        </a:ln>
      </xdr:spPr>
    </xdr:sp>
    <xdr:clientData/>
  </xdr:twoCellAnchor>
  <xdr:twoCellAnchor>
    <xdr:from>
      <xdr:col>5</xdr:col>
      <xdr:colOff>15806</xdr:colOff>
      <xdr:row>242</xdr:row>
      <xdr:rowOff>32403</xdr:rowOff>
    </xdr:from>
    <xdr:to>
      <xdr:col>9</xdr:col>
      <xdr:colOff>158867</xdr:colOff>
      <xdr:row>242</xdr:row>
      <xdr:rowOff>32403</xdr:rowOff>
    </xdr:to>
    <xdr:sp macro="" textlink="">
      <xdr:nvSpPr>
        <xdr:cNvPr id="809" name="Line 181"/>
        <xdr:cNvSpPr>
          <a:spLocks noChangeShapeType="1"/>
        </xdr:cNvSpPr>
      </xdr:nvSpPr>
      <xdr:spPr bwMode="auto">
        <a:xfrm>
          <a:off x="3063806" y="36913203"/>
          <a:ext cx="2581461" cy="0"/>
        </a:xfrm>
        <a:prstGeom prst="line">
          <a:avLst/>
        </a:prstGeom>
        <a:noFill/>
        <a:ln w="9525">
          <a:solidFill>
            <a:srgbClr val="000000"/>
          </a:solidFill>
          <a:round/>
          <a:headEnd/>
          <a:tailEnd/>
        </a:ln>
      </xdr:spPr>
    </xdr:sp>
    <xdr:clientData/>
  </xdr:twoCellAnchor>
  <xdr:twoCellAnchor>
    <xdr:from>
      <xdr:col>14</xdr:col>
      <xdr:colOff>275317</xdr:colOff>
      <xdr:row>237</xdr:row>
      <xdr:rowOff>47976</xdr:rowOff>
    </xdr:from>
    <xdr:to>
      <xdr:col>16</xdr:col>
      <xdr:colOff>43167</xdr:colOff>
      <xdr:row>238</xdr:row>
      <xdr:rowOff>50657</xdr:rowOff>
    </xdr:to>
    <xdr:sp macro="" textlink="">
      <xdr:nvSpPr>
        <xdr:cNvPr id="810" name="Text Box 182"/>
        <xdr:cNvSpPr txBox="1">
          <a:spLocks noChangeArrowheads="1"/>
        </xdr:cNvSpPr>
      </xdr:nvSpPr>
      <xdr:spPr bwMode="auto">
        <a:xfrm>
          <a:off x="8809717" y="36166776"/>
          <a:ext cx="987050"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16</xdr:col>
      <xdr:colOff>52808</xdr:colOff>
      <xdr:row>235</xdr:row>
      <xdr:rowOff>3845</xdr:rowOff>
    </xdr:from>
    <xdr:to>
      <xdr:col>24</xdr:col>
      <xdr:colOff>177742</xdr:colOff>
      <xdr:row>235</xdr:row>
      <xdr:rowOff>149401</xdr:rowOff>
    </xdr:to>
    <xdr:grpSp>
      <xdr:nvGrpSpPr>
        <xdr:cNvPr id="811" name="Group 183"/>
        <xdr:cNvGrpSpPr>
          <a:grpSpLocks/>
        </xdr:cNvGrpSpPr>
      </xdr:nvGrpSpPr>
      <xdr:grpSpPr bwMode="auto">
        <a:xfrm>
          <a:off x="3981871" y="42056720"/>
          <a:ext cx="1410809" cy="145556"/>
          <a:chOff x="391" y="883"/>
          <a:chExt cx="99" cy="20"/>
        </a:xfrm>
      </xdr:grpSpPr>
      <xdr:sp macro="" textlink="">
        <xdr:nvSpPr>
          <xdr:cNvPr id="812" name="Line 184"/>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813" name="Line 185"/>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814" name="Line 186"/>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18</xdr:col>
      <xdr:colOff>70930</xdr:colOff>
      <xdr:row>233</xdr:row>
      <xdr:rowOff>172481</xdr:rowOff>
    </xdr:from>
    <xdr:to>
      <xdr:col>20</xdr:col>
      <xdr:colOff>13855</xdr:colOff>
      <xdr:row>234</xdr:row>
      <xdr:rowOff>184821</xdr:rowOff>
    </xdr:to>
    <xdr:sp macro="" textlink="">
      <xdr:nvSpPr>
        <xdr:cNvPr id="815" name="Text Box 187"/>
        <xdr:cNvSpPr txBox="1">
          <a:spLocks noChangeArrowheads="1"/>
        </xdr:cNvSpPr>
      </xdr:nvSpPr>
      <xdr:spPr bwMode="auto">
        <a:xfrm>
          <a:off x="11043730" y="35662631"/>
          <a:ext cx="1162125" cy="155215"/>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n</a:t>
          </a:r>
          <a:r>
            <a:rPr lang="ja-JP" altLang="de-DE" sz="900" b="1" i="0" strike="noStrike">
              <a:solidFill>
                <a:srgbClr val="000000"/>
              </a:solidFill>
              <a:latin typeface="ＭＳ Ｐ明朝"/>
              <a:ea typeface="ＭＳ Ｐ明朝"/>
            </a:rPr>
            <a:t>・</a:t>
          </a:r>
          <a:r>
            <a:rPr lang="de-DE" altLang="ja-JP" sz="1000" b="1" i="0" strike="noStrike">
              <a:solidFill>
                <a:srgbClr val="000000"/>
              </a:solidFill>
              <a:latin typeface="Times New Roman"/>
              <a:cs typeface="Times New Roman"/>
            </a:rPr>
            <a:t>A</a:t>
          </a:r>
        </a:p>
      </xdr:txBody>
    </xdr:sp>
    <xdr:clientData/>
  </xdr:twoCellAnchor>
  <xdr:twoCellAnchor>
    <xdr:from>
      <xdr:col>4</xdr:col>
      <xdr:colOff>99103</xdr:colOff>
      <xdr:row>236</xdr:row>
      <xdr:rowOff>74273</xdr:rowOff>
    </xdr:from>
    <xdr:to>
      <xdr:col>5</xdr:col>
      <xdr:colOff>6165</xdr:colOff>
      <xdr:row>237</xdr:row>
      <xdr:rowOff>76954</xdr:rowOff>
    </xdr:to>
    <xdr:sp macro="" textlink="">
      <xdr:nvSpPr>
        <xdr:cNvPr id="816" name="Text Box 188"/>
        <xdr:cNvSpPr txBox="1">
          <a:spLocks noChangeArrowheads="1"/>
        </xdr:cNvSpPr>
      </xdr:nvSpPr>
      <xdr:spPr bwMode="auto">
        <a:xfrm>
          <a:off x="2537503" y="36040673"/>
          <a:ext cx="516662"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8</xdr:col>
      <xdr:colOff>203601</xdr:colOff>
      <xdr:row>235</xdr:row>
      <xdr:rowOff>13638</xdr:rowOff>
    </xdr:from>
    <xdr:to>
      <xdr:col>11</xdr:col>
      <xdr:colOff>165804</xdr:colOff>
      <xdr:row>235</xdr:row>
      <xdr:rowOff>13638</xdr:rowOff>
    </xdr:to>
    <xdr:sp macro="" textlink="">
      <xdr:nvSpPr>
        <xdr:cNvPr id="817" name="Line 189"/>
        <xdr:cNvSpPr>
          <a:spLocks noChangeShapeType="1"/>
        </xdr:cNvSpPr>
      </xdr:nvSpPr>
      <xdr:spPr bwMode="auto">
        <a:xfrm>
          <a:off x="5080401" y="35827638"/>
          <a:ext cx="1791003" cy="0"/>
        </a:xfrm>
        <a:prstGeom prst="line">
          <a:avLst/>
        </a:prstGeom>
        <a:noFill/>
        <a:ln w="9525">
          <a:solidFill>
            <a:srgbClr val="000000"/>
          </a:solidFill>
          <a:round/>
          <a:headEnd/>
          <a:tailEnd/>
        </a:ln>
      </xdr:spPr>
    </xdr:sp>
    <xdr:clientData/>
  </xdr:twoCellAnchor>
  <xdr:twoCellAnchor>
    <xdr:from>
      <xdr:col>14</xdr:col>
      <xdr:colOff>275317</xdr:colOff>
      <xdr:row>235</xdr:row>
      <xdr:rowOff>129546</xdr:rowOff>
    </xdr:from>
    <xdr:to>
      <xdr:col>16</xdr:col>
      <xdr:colOff>43167</xdr:colOff>
      <xdr:row>236</xdr:row>
      <xdr:rowOff>132227</xdr:rowOff>
    </xdr:to>
    <xdr:sp macro="" textlink="">
      <xdr:nvSpPr>
        <xdr:cNvPr id="818" name="Text Box 190"/>
        <xdr:cNvSpPr txBox="1">
          <a:spLocks noChangeArrowheads="1"/>
        </xdr:cNvSpPr>
      </xdr:nvSpPr>
      <xdr:spPr bwMode="auto">
        <a:xfrm>
          <a:off x="8809717" y="35943546"/>
          <a:ext cx="987050" cy="15508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25</xdr:col>
      <xdr:colOff>190851</xdr:colOff>
      <xdr:row>196</xdr:row>
      <xdr:rowOff>1732</xdr:rowOff>
    </xdr:from>
    <xdr:to>
      <xdr:col>25</xdr:col>
      <xdr:colOff>229413</xdr:colOff>
      <xdr:row>196</xdr:row>
      <xdr:rowOff>40368</xdr:rowOff>
    </xdr:to>
    <xdr:sp macro="" textlink="">
      <xdr:nvSpPr>
        <xdr:cNvPr id="819" name="Oval 191"/>
        <xdr:cNvSpPr>
          <a:spLocks noChangeArrowheads="1"/>
        </xdr:cNvSpPr>
      </xdr:nvSpPr>
      <xdr:spPr bwMode="auto">
        <a:xfrm>
          <a:off x="15430851" y="29872132"/>
          <a:ext cx="38562" cy="38636"/>
        </a:xfrm>
        <a:prstGeom prst="ellipse">
          <a:avLst/>
        </a:prstGeom>
        <a:noFill/>
        <a:ln w="9525">
          <a:solidFill>
            <a:srgbClr val="000000"/>
          </a:solidFill>
          <a:round/>
          <a:headEnd/>
          <a:tailEnd/>
        </a:ln>
      </xdr:spPr>
    </xdr:sp>
    <xdr:clientData/>
  </xdr:twoCellAnchor>
  <xdr:twoCellAnchor>
    <xdr:from>
      <xdr:col>25</xdr:col>
      <xdr:colOff>190851</xdr:colOff>
      <xdr:row>207</xdr:row>
      <xdr:rowOff>11901</xdr:rowOff>
    </xdr:from>
    <xdr:to>
      <xdr:col>25</xdr:col>
      <xdr:colOff>229413</xdr:colOff>
      <xdr:row>207</xdr:row>
      <xdr:rowOff>50537</xdr:rowOff>
    </xdr:to>
    <xdr:sp macro="" textlink="">
      <xdr:nvSpPr>
        <xdr:cNvPr id="820" name="Oval 192"/>
        <xdr:cNvSpPr>
          <a:spLocks noChangeArrowheads="1"/>
        </xdr:cNvSpPr>
      </xdr:nvSpPr>
      <xdr:spPr bwMode="auto">
        <a:xfrm>
          <a:off x="15430851" y="31558701"/>
          <a:ext cx="38562" cy="38636"/>
        </a:xfrm>
        <a:prstGeom prst="ellipse">
          <a:avLst/>
        </a:prstGeom>
        <a:noFill/>
        <a:ln w="9525">
          <a:solidFill>
            <a:srgbClr val="000000"/>
          </a:solidFill>
          <a:round/>
          <a:headEnd/>
          <a:tailEnd/>
        </a:ln>
      </xdr:spPr>
    </xdr:sp>
    <xdr:clientData/>
  </xdr:twoCellAnchor>
  <xdr:twoCellAnchor>
    <xdr:from>
      <xdr:col>28</xdr:col>
      <xdr:colOff>255343</xdr:colOff>
      <xdr:row>258</xdr:row>
      <xdr:rowOff>93414</xdr:rowOff>
    </xdr:from>
    <xdr:to>
      <xdr:col>30</xdr:col>
      <xdr:colOff>183195</xdr:colOff>
      <xdr:row>258</xdr:row>
      <xdr:rowOff>93414</xdr:rowOff>
    </xdr:to>
    <xdr:sp macro="" textlink="">
      <xdr:nvSpPr>
        <xdr:cNvPr id="821" name="Line 1"/>
        <xdr:cNvSpPr>
          <a:spLocks noChangeShapeType="1"/>
        </xdr:cNvSpPr>
      </xdr:nvSpPr>
      <xdr:spPr bwMode="auto">
        <a:xfrm>
          <a:off x="17324143" y="39412614"/>
          <a:ext cx="1147052" cy="0"/>
        </a:xfrm>
        <a:prstGeom prst="line">
          <a:avLst/>
        </a:prstGeom>
        <a:noFill/>
        <a:ln w="6350">
          <a:solidFill>
            <a:srgbClr val="000000"/>
          </a:solidFill>
          <a:prstDash val="lgDashDot"/>
          <a:round/>
          <a:headEnd/>
          <a:tailEnd/>
        </a:ln>
      </xdr:spPr>
    </xdr:sp>
    <xdr:clientData/>
  </xdr:twoCellAnchor>
  <xdr:twoCellAnchor>
    <xdr:from>
      <xdr:col>28</xdr:col>
      <xdr:colOff>108910</xdr:colOff>
      <xdr:row>256</xdr:row>
      <xdr:rowOff>34844</xdr:rowOff>
    </xdr:from>
    <xdr:to>
      <xdr:col>28</xdr:col>
      <xdr:colOff>108910</xdr:colOff>
      <xdr:row>263</xdr:row>
      <xdr:rowOff>144282</xdr:rowOff>
    </xdr:to>
    <xdr:sp macro="" textlink="">
      <xdr:nvSpPr>
        <xdr:cNvPr id="822" name="Line 2"/>
        <xdr:cNvSpPr>
          <a:spLocks noChangeShapeType="1"/>
        </xdr:cNvSpPr>
      </xdr:nvSpPr>
      <xdr:spPr bwMode="auto">
        <a:xfrm>
          <a:off x="17177710" y="39049244"/>
          <a:ext cx="0" cy="1176238"/>
        </a:xfrm>
        <a:prstGeom prst="line">
          <a:avLst/>
        </a:prstGeom>
        <a:noFill/>
        <a:ln w="6350">
          <a:solidFill>
            <a:srgbClr val="000000"/>
          </a:solidFill>
          <a:prstDash val="lgDashDot"/>
          <a:round/>
          <a:headEnd/>
          <a:tailEnd/>
        </a:ln>
      </xdr:spPr>
    </xdr:sp>
    <xdr:clientData/>
  </xdr:twoCellAnchor>
  <xdr:twoCellAnchor>
    <xdr:from>
      <xdr:col>16</xdr:col>
      <xdr:colOff>56117</xdr:colOff>
      <xdr:row>263</xdr:row>
      <xdr:rowOff>153838</xdr:rowOff>
    </xdr:from>
    <xdr:to>
      <xdr:col>23</xdr:col>
      <xdr:colOff>44342</xdr:colOff>
      <xdr:row>263</xdr:row>
      <xdr:rowOff>153838</xdr:rowOff>
    </xdr:to>
    <xdr:sp macro="" textlink="">
      <xdr:nvSpPr>
        <xdr:cNvPr id="823" name="Line 3"/>
        <xdr:cNvSpPr>
          <a:spLocks noChangeShapeType="1"/>
        </xdr:cNvSpPr>
      </xdr:nvSpPr>
      <xdr:spPr bwMode="auto">
        <a:xfrm>
          <a:off x="9809717" y="40235038"/>
          <a:ext cx="4255425" cy="0"/>
        </a:xfrm>
        <a:prstGeom prst="line">
          <a:avLst/>
        </a:prstGeom>
        <a:noFill/>
        <a:ln w="6350">
          <a:solidFill>
            <a:srgbClr val="000000"/>
          </a:solidFill>
          <a:prstDash val="lgDashDot"/>
          <a:round/>
          <a:headEnd/>
          <a:tailEnd/>
        </a:ln>
      </xdr:spPr>
    </xdr:sp>
    <xdr:clientData/>
  </xdr:twoCellAnchor>
  <xdr:twoCellAnchor>
    <xdr:from>
      <xdr:col>2</xdr:col>
      <xdr:colOff>0</xdr:colOff>
      <xdr:row>310</xdr:row>
      <xdr:rowOff>23654</xdr:rowOff>
    </xdr:from>
    <xdr:to>
      <xdr:col>31</xdr:col>
      <xdr:colOff>264266</xdr:colOff>
      <xdr:row>310</xdr:row>
      <xdr:rowOff>23654</xdr:rowOff>
    </xdr:to>
    <xdr:sp macro="" textlink="">
      <xdr:nvSpPr>
        <xdr:cNvPr id="824" name="Line 4"/>
        <xdr:cNvSpPr>
          <a:spLocks noChangeShapeType="1"/>
        </xdr:cNvSpPr>
      </xdr:nvSpPr>
      <xdr:spPr bwMode="auto">
        <a:xfrm>
          <a:off x="1219200" y="47267654"/>
          <a:ext cx="17942666" cy="0"/>
        </a:xfrm>
        <a:prstGeom prst="line">
          <a:avLst/>
        </a:prstGeom>
        <a:noFill/>
        <a:ln w="57150" cmpd="thickThin">
          <a:solidFill>
            <a:srgbClr val="000000"/>
          </a:solidFill>
          <a:round/>
          <a:headEnd/>
          <a:tailEnd/>
        </a:ln>
      </xdr:spPr>
    </xdr:sp>
    <xdr:clientData/>
  </xdr:twoCellAnchor>
  <xdr:twoCellAnchor>
    <xdr:from>
      <xdr:col>3</xdr:col>
      <xdr:colOff>4744</xdr:colOff>
      <xdr:row>284</xdr:row>
      <xdr:rowOff>4356</xdr:rowOff>
    </xdr:from>
    <xdr:to>
      <xdr:col>5</xdr:col>
      <xdr:colOff>4329</xdr:colOff>
      <xdr:row>287</xdr:row>
      <xdr:rowOff>0</xdr:rowOff>
    </xdr:to>
    <xdr:sp macro="" textlink="">
      <xdr:nvSpPr>
        <xdr:cNvPr id="825" name="Line 8"/>
        <xdr:cNvSpPr>
          <a:spLocks noChangeShapeType="1"/>
        </xdr:cNvSpPr>
      </xdr:nvSpPr>
      <xdr:spPr bwMode="auto">
        <a:xfrm>
          <a:off x="1833544" y="43285956"/>
          <a:ext cx="1218785" cy="452844"/>
        </a:xfrm>
        <a:prstGeom prst="line">
          <a:avLst/>
        </a:prstGeom>
        <a:noFill/>
        <a:ln w="3175">
          <a:solidFill>
            <a:srgbClr val="000000"/>
          </a:solidFill>
          <a:round/>
          <a:headEnd/>
          <a:tailEnd/>
        </a:ln>
      </xdr:spPr>
    </xdr:sp>
    <xdr:clientData/>
  </xdr:twoCellAnchor>
  <xdr:twoCellAnchor>
    <xdr:from>
      <xdr:col>3</xdr:col>
      <xdr:colOff>92604</xdr:colOff>
      <xdr:row>285</xdr:row>
      <xdr:rowOff>52753</xdr:rowOff>
    </xdr:from>
    <xdr:to>
      <xdr:col>4</xdr:col>
      <xdr:colOff>181073</xdr:colOff>
      <xdr:row>286</xdr:row>
      <xdr:rowOff>87144</xdr:rowOff>
    </xdr:to>
    <xdr:sp macro="" textlink="">
      <xdr:nvSpPr>
        <xdr:cNvPr id="826" name="Text Box 9"/>
        <xdr:cNvSpPr txBox="1">
          <a:spLocks noChangeArrowheads="1"/>
        </xdr:cNvSpPr>
      </xdr:nvSpPr>
      <xdr:spPr bwMode="auto">
        <a:xfrm>
          <a:off x="1921404" y="43486753"/>
          <a:ext cx="698069" cy="186791"/>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設置階</a:t>
          </a:r>
        </a:p>
      </xdr:txBody>
    </xdr:sp>
    <xdr:clientData/>
  </xdr:twoCellAnchor>
  <xdr:twoCellAnchor>
    <xdr:from>
      <xdr:col>4</xdr:col>
      <xdr:colOff>54164</xdr:colOff>
      <xdr:row>284</xdr:row>
      <xdr:rowOff>119027</xdr:rowOff>
    </xdr:from>
    <xdr:to>
      <xdr:col>5</xdr:col>
      <xdr:colOff>135236</xdr:colOff>
      <xdr:row>285</xdr:row>
      <xdr:rowOff>52753</xdr:rowOff>
    </xdr:to>
    <xdr:sp macro="" textlink="">
      <xdr:nvSpPr>
        <xdr:cNvPr id="827" name="Text Box 10"/>
        <xdr:cNvSpPr txBox="1">
          <a:spLocks noChangeArrowheads="1"/>
        </xdr:cNvSpPr>
      </xdr:nvSpPr>
      <xdr:spPr bwMode="auto">
        <a:xfrm>
          <a:off x="2492564" y="43400627"/>
          <a:ext cx="690672" cy="8612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クラス</a:t>
          </a:r>
        </a:p>
      </xdr:txBody>
    </xdr:sp>
    <xdr:clientData/>
  </xdr:twoCellAnchor>
  <xdr:twoCellAnchor>
    <xdr:from>
      <xdr:col>4</xdr:col>
      <xdr:colOff>54164</xdr:colOff>
      <xdr:row>284</xdr:row>
      <xdr:rowOff>23468</xdr:rowOff>
    </xdr:from>
    <xdr:to>
      <xdr:col>5</xdr:col>
      <xdr:colOff>135236</xdr:colOff>
      <xdr:row>284</xdr:row>
      <xdr:rowOff>176362</xdr:rowOff>
    </xdr:to>
    <xdr:sp macro="" textlink="">
      <xdr:nvSpPr>
        <xdr:cNvPr id="828" name="Text Box 11"/>
        <xdr:cNvSpPr txBox="1">
          <a:spLocks noChangeArrowheads="1"/>
        </xdr:cNvSpPr>
      </xdr:nvSpPr>
      <xdr:spPr bwMode="auto">
        <a:xfrm>
          <a:off x="2492564" y="43305068"/>
          <a:ext cx="690672" cy="124319"/>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耐</a:t>
          </a:r>
          <a:r>
            <a:rPr lang="ja-JP" altLang="en-US" sz="4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震</a:t>
          </a:r>
        </a:p>
      </xdr:txBody>
    </xdr:sp>
    <xdr:clientData/>
  </xdr:twoCellAnchor>
  <xdr:twoCellAnchor>
    <xdr:from>
      <xdr:col>13</xdr:col>
      <xdr:colOff>253100</xdr:colOff>
      <xdr:row>263</xdr:row>
      <xdr:rowOff>106058</xdr:rowOff>
    </xdr:from>
    <xdr:to>
      <xdr:col>14</xdr:col>
      <xdr:colOff>193062</xdr:colOff>
      <xdr:row>264</xdr:row>
      <xdr:rowOff>11117</xdr:rowOff>
    </xdr:to>
    <xdr:sp macro="" textlink="">
      <xdr:nvSpPr>
        <xdr:cNvPr id="829" name="Text Box 12"/>
        <xdr:cNvSpPr txBox="1">
          <a:spLocks noChangeArrowheads="1"/>
        </xdr:cNvSpPr>
      </xdr:nvSpPr>
      <xdr:spPr bwMode="auto">
        <a:xfrm>
          <a:off x="8177900" y="40187258"/>
          <a:ext cx="549562" cy="57459"/>
        </a:xfrm>
        <a:prstGeom prst="rect">
          <a:avLst/>
        </a:prstGeom>
        <a:noFill/>
        <a:ln w="9525">
          <a:noFill/>
          <a:miter lim="800000"/>
          <a:headEnd/>
          <a:tailEnd/>
        </a:ln>
      </xdr:spPr>
      <xdr:txBody>
        <a:bodyPr vert="vert270" wrap="none" lIns="18288" tIns="22860" rIns="0" bIns="0" anchor="t" upright="1">
          <a:noAutofit/>
        </a:bodyPr>
        <a:lstStyle/>
        <a:p>
          <a:pPr algn="r" rtl="1">
            <a:defRPr sz="1000"/>
          </a:pPr>
          <a:r>
            <a:rPr lang="de-DE" altLang="ja-JP" sz="900" b="1" i="0" strike="noStrike">
              <a:solidFill>
                <a:srgbClr val="000000"/>
              </a:solidFill>
              <a:latin typeface="Times New Roman"/>
              <a:cs typeface="Times New Roman"/>
            </a:rPr>
            <a:t>H</a:t>
          </a:r>
        </a:p>
      </xdr:txBody>
    </xdr:sp>
    <xdr:clientData/>
  </xdr:twoCellAnchor>
  <xdr:twoCellAnchor>
    <xdr:from>
      <xdr:col>27</xdr:col>
      <xdr:colOff>174270</xdr:colOff>
      <xdr:row>257</xdr:row>
      <xdr:rowOff>131020</xdr:rowOff>
    </xdr:from>
    <xdr:to>
      <xdr:col>29</xdr:col>
      <xdr:colOff>150933</xdr:colOff>
      <xdr:row>270</xdr:row>
      <xdr:rowOff>24378</xdr:rowOff>
    </xdr:to>
    <xdr:grpSp>
      <xdr:nvGrpSpPr>
        <xdr:cNvPr id="830" name="Group 13"/>
        <xdr:cNvGrpSpPr>
          <a:grpSpLocks/>
        </xdr:cNvGrpSpPr>
      </xdr:nvGrpSpPr>
      <xdr:grpSpPr bwMode="auto">
        <a:xfrm>
          <a:off x="6230583" y="46232020"/>
          <a:ext cx="548163" cy="2369858"/>
          <a:chOff x="386" y="146"/>
          <a:chExt cx="163" cy="202"/>
        </a:xfrm>
      </xdr:grpSpPr>
      <xdr:sp macro="" textlink="">
        <xdr:nvSpPr>
          <xdr:cNvPr id="831" name="Line 14"/>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832" name="Line 15"/>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833" name="Line 16"/>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834" name="Line 17"/>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27</xdr:col>
      <xdr:colOff>184032</xdr:colOff>
      <xdr:row>270</xdr:row>
      <xdr:rowOff>72158</xdr:rowOff>
    </xdr:from>
    <xdr:to>
      <xdr:col>27</xdr:col>
      <xdr:colOff>184032</xdr:colOff>
      <xdr:row>272</xdr:row>
      <xdr:rowOff>54281</xdr:rowOff>
    </xdr:to>
    <xdr:sp macro="" textlink="">
      <xdr:nvSpPr>
        <xdr:cNvPr id="835" name="Line 18"/>
        <xdr:cNvSpPr>
          <a:spLocks noChangeShapeType="1"/>
        </xdr:cNvSpPr>
      </xdr:nvSpPr>
      <xdr:spPr bwMode="auto">
        <a:xfrm>
          <a:off x="16643232" y="41220158"/>
          <a:ext cx="0" cy="286923"/>
        </a:xfrm>
        <a:prstGeom prst="line">
          <a:avLst/>
        </a:prstGeom>
        <a:noFill/>
        <a:ln w="3175">
          <a:solidFill>
            <a:srgbClr val="000000"/>
          </a:solidFill>
          <a:round/>
          <a:headEnd/>
          <a:tailEnd/>
        </a:ln>
      </xdr:spPr>
    </xdr:sp>
    <xdr:clientData/>
  </xdr:twoCellAnchor>
  <xdr:twoCellAnchor>
    <xdr:from>
      <xdr:col>20</xdr:col>
      <xdr:colOff>60586</xdr:colOff>
      <xdr:row>256</xdr:row>
      <xdr:rowOff>6176</xdr:rowOff>
    </xdr:from>
    <xdr:to>
      <xdr:col>25</xdr:col>
      <xdr:colOff>109748</xdr:colOff>
      <xdr:row>256</xdr:row>
      <xdr:rowOff>6176</xdr:rowOff>
    </xdr:to>
    <xdr:sp macro="" textlink="">
      <xdr:nvSpPr>
        <xdr:cNvPr id="836" name="Line 19"/>
        <xdr:cNvSpPr>
          <a:spLocks noChangeShapeType="1"/>
        </xdr:cNvSpPr>
      </xdr:nvSpPr>
      <xdr:spPr bwMode="auto">
        <a:xfrm>
          <a:off x="12252586" y="39020576"/>
          <a:ext cx="3097162" cy="0"/>
        </a:xfrm>
        <a:prstGeom prst="line">
          <a:avLst/>
        </a:prstGeom>
        <a:noFill/>
        <a:ln w="6350">
          <a:solidFill>
            <a:srgbClr val="000000"/>
          </a:solidFill>
          <a:round/>
          <a:headEnd type="triangle" w="sm" len="med"/>
          <a:tailEnd type="triangle" w="sm" len="med"/>
        </a:ln>
      </xdr:spPr>
    </xdr:sp>
    <xdr:clientData/>
  </xdr:twoCellAnchor>
  <xdr:twoCellAnchor>
    <xdr:from>
      <xdr:col>27</xdr:col>
      <xdr:colOff>174270</xdr:colOff>
      <xdr:row>271</xdr:row>
      <xdr:rowOff>130110</xdr:rowOff>
    </xdr:from>
    <xdr:to>
      <xdr:col>29</xdr:col>
      <xdr:colOff>150933</xdr:colOff>
      <xdr:row>271</xdr:row>
      <xdr:rowOff>130110</xdr:rowOff>
    </xdr:to>
    <xdr:sp macro="" textlink="">
      <xdr:nvSpPr>
        <xdr:cNvPr id="837" name="Line 20"/>
        <xdr:cNvSpPr>
          <a:spLocks noChangeShapeType="1"/>
        </xdr:cNvSpPr>
      </xdr:nvSpPr>
      <xdr:spPr bwMode="auto">
        <a:xfrm>
          <a:off x="16633470" y="41430510"/>
          <a:ext cx="1195863" cy="0"/>
        </a:xfrm>
        <a:prstGeom prst="line">
          <a:avLst/>
        </a:prstGeom>
        <a:noFill/>
        <a:ln w="6350">
          <a:solidFill>
            <a:srgbClr val="000000"/>
          </a:solidFill>
          <a:round/>
          <a:headEnd type="triangle" w="sm" len="med"/>
          <a:tailEnd type="triangle" w="sm" len="med"/>
        </a:ln>
      </xdr:spPr>
    </xdr:sp>
    <xdr:clientData/>
  </xdr:twoCellAnchor>
  <xdr:twoCellAnchor>
    <xdr:from>
      <xdr:col>27</xdr:col>
      <xdr:colOff>193795</xdr:colOff>
      <xdr:row>265</xdr:row>
      <xdr:rowOff>183740</xdr:rowOff>
    </xdr:from>
    <xdr:to>
      <xdr:col>28</xdr:col>
      <xdr:colOff>255343</xdr:colOff>
      <xdr:row>266</xdr:row>
      <xdr:rowOff>165246</xdr:rowOff>
    </xdr:to>
    <xdr:sp macro="" textlink="">
      <xdr:nvSpPr>
        <xdr:cNvPr id="838" name="Text Box 21"/>
        <xdr:cNvSpPr txBox="1">
          <a:spLocks noChangeArrowheads="1"/>
        </xdr:cNvSpPr>
      </xdr:nvSpPr>
      <xdr:spPr bwMode="auto">
        <a:xfrm>
          <a:off x="16652995" y="40541165"/>
          <a:ext cx="671148" cy="15295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Wt</a:t>
          </a:r>
          <a:r>
            <a:rPr lang="de-DE" altLang="ja-JP" sz="900" b="1" i="0" strike="noStrike">
              <a:solidFill>
                <a:srgbClr val="000000"/>
              </a:solidFill>
              <a:latin typeface="ＭＳ Ｐ明朝"/>
              <a:ea typeface="ＭＳ Ｐ明朝"/>
            </a:rPr>
            <a:t>+</a:t>
          </a:r>
          <a:r>
            <a:rPr lang="de-DE" altLang="ja-JP" sz="900" b="1" i="0" strike="noStrike">
              <a:solidFill>
                <a:srgbClr val="000000"/>
              </a:solidFill>
              <a:latin typeface="Times New Roman"/>
              <a:cs typeface="Times New Roman"/>
            </a:rPr>
            <a:t>Fv</a:t>
          </a:r>
        </a:p>
      </xdr:txBody>
    </xdr:sp>
    <xdr:clientData/>
  </xdr:twoCellAnchor>
  <xdr:twoCellAnchor>
    <xdr:from>
      <xdr:col>17</xdr:col>
      <xdr:colOff>49024</xdr:colOff>
      <xdr:row>258</xdr:row>
      <xdr:rowOff>93414</xdr:rowOff>
    </xdr:from>
    <xdr:to>
      <xdr:col>17</xdr:col>
      <xdr:colOff>49024</xdr:colOff>
      <xdr:row>263</xdr:row>
      <xdr:rowOff>153837</xdr:rowOff>
    </xdr:to>
    <xdr:sp macro="" textlink="">
      <xdr:nvSpPr>
        <xdr:cNvPr id="839" name="Line 22"/>
        <xdr:cNvSpPr>
          <a:spLocks noChangeShapeType="1"/>
        </xdr:cNvSpPr>
      </xdr:nvSpPr>
      <xdr:spPr bwMode="auto">
        <a:xfrm>
          <a:off x="10412224" y="39412614"/>
          <a:ext cx="0" cy="822423"/>
        </a:xfrm>
        <a:prstGeom prst="line">
          <a:avLst/>
        </a:prstGeom>
        <a:noFill/>
        <a:ln w="3175">
          <a:solidFill>
            <a:srgbClr val="000000"/>
          </a:solidFill>
          <a:round/>
          <a:headEnd type="triangle" w="sm" len="med"/>
          <a:tailEnd type="triangle" w="sm" len="med"/>
        </a:ln>
      </xdr:spPr>
    </xdr:sp>
    <xdr:clientData/>
  </xdr:twoCellAnchor>
  <xdr:twoCellAnchor>
    <xdr:from>
      <xdr:col>10</xdr:col>
      <xdr:colOff>124666</xdr:colOff>
      <xdr:row>259</xdr:row>
      <xdr:rowOff>113144</xdr:rowOff>
    </xdr:from>
    <xdr:to>
      <xdr:col>11</xdr:col>
      <xdr:colOff>105157</xdr:colOff>
      <xdr:row>260</xdr:row>
      <xdr:rowOff>75538</xdr:rowOff>
    </xdr:to>
    <xdr:sp macro="" textlink="">
      <xdr:nvSpPr>
        <xdr:cNvPr id="840" name="Text Box 23"/>
        <xdr:cNvSpPr txBox="1">
          <a:spLocks noChangeArrowheads="1"/>
        </xdr:cNvSpPr>
      </xdr:nvSpPr>
      <xdr:spPr bwMode="auto">
        <a:xfrm>
          <a:off x="6220666" y="39584744"/>
          <a:ext cx="590091" cy="114794"/>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明朝"/>
              <a:ea typeface="ＭＳ 明朝"/>
            </a:rPr>
            <a:t>監修</a:t>
          </a:r>
        </a:p>
      </xdr:txBody>
    </xdr:sp>
    <xdr:clientData/>
  </xdr:twoCellAnchor>
  <xdr:twoCellAnchor>
    <xdr:from>
      <xdr:col>20</xdr:col>
      <xdr:colOff>60586</xdr:colOff>
      <xdr:row>255</xdr:row>
      <xdr:rowOff>101118</xdr:rowOff>
    </xdr:from>
    <xdr:to>
      <xdr:col>20</xdr:col>
      <xdr:colOff>60586</xdr:colOff>
      <xdr:row>270</xdr:row>
      <xdr:rowOff>119937</xdr:rowOff>
    </xdr:to>
    <xdr:sp macro="" textlink="">
      <xdr:nvSpPr>
        <xdr:cNvPr id="841" name="Line 24"/>
        <xdr:cNvSpPr>
          <a:spLocks noChangeShapeType="1"/>
        </xdr:cNvSpPr>
      </xdr:nvSpPr>
      <xdr:spPr bwMode="auto">
        <a:xfrm>
          <a:off x="12252586" y="38963118"/>
          <a:ext cx="0" cy="2304819"/>
        </a:xfrm>
        <a:prstGeom prst="line">
          <a:avLst/>
        </a:prstGeom>
        <a:noFill/>
        <a:ln w="6350">
          <a:solidFill>
            <a:srgbClr val="000000"/>
          </a:solidFill>
          <a:prstDash val="lgDashDot"/>
          <a:round/>
          <a:headEnd/>
          <a:tailEnd/>
        </a:ln>
      </xdr:spPr>
    </xdr:sp>
    <xdr:clientData/>
  </xdr:twoCellAnchor>
  <xdr:twoCellAnchor>
    <xdr:from>
      <xdr:col>28</xdr:col>
      <xdr:colOff>255343</xdr:colOff>
      <xdr:row>269</xdr:row>
      <xdr:rowOff>81096</xdr:rowOff>
    </xdr:from>
    <xdr:to>
      <xdr:col>30</xdr:col>
      <xdr:colOff>183195</xdr:colOff>
      <xdr:row>269</xdr:row>
      <xdr:rowOff>81096</xdr:rowOff>
    </xdr:to>
    <xdr:sp macro="" textlink="">
      <xdr:nvSpPr>
        <xdr:cNvPr id="842" name="Line 25"/>
        <xdr:cNvSpPr>
          <a:spLocks noChangeShapeType="1"/>
        </xdr:cNvSpPr>
      </xdr:nvSpPr>
      <xdr:spPr bwMode="auto">
        <a:xfrm>
          <a:off x="17324143" y="41076696"/>
          <a:ext cx="1147052" cy="0"/>
        </a:xfrm>
        <a:prstGeom prst="line">
          <a:avLst/>
        </a:prstGeom>
        <a:noFill/>
        <a:ln w="6350">
          <a:solidFill>
            <a:srgbClr val="000000"/>
          </a:solidFill>
          <a:prstDash val="lgDashDot"/>
          <a:round/>
          <a:headEnd/>
          <a:tailEnd/>
        </a:ln>
      </xdr:spPr>
    </xdr:sp>
    <xdr:clientData/>
  </xdr:twoCellAnchor>
  <xdr:twoCellAnchor>
    <xdr:from>
      <xdr:col>20</xdr:col>
      <xdr:colOff>41062</xdr:colOff>
      <xdr:row>258</xdr:row>
      <xdr:rowOff>74303</xdr:rowOff>
    </xdr:from>
    <xdr:to>
      <xdr:col>20</xdr:col>
      <xdr:colOff>80111</xdr:colOff>
      <xdr:row>258</xdr:row>
      <xdr:rowOff>112527</xdr:rowOff>
    </xdr:to>
    <xdr:sp macro="" textlink="">
      <xdr:nvSpPr>
        <xdr:cNvPr id="843" name="Oval 26"/>
        <xdr:cNvSpPr>
          <a:spLocks noChangeArrowheads="1"/>
        </xdr:cNvSpPr>
      </xdr:nvSpPr>
      <xdr:spPr bwMode="auto">
        <a:xfrm>
          <a:off x="12233062" y="39393503"/>
          <a:ext cx="39049" cy="38224"/>
        </a:xfrm>
        <a:prstGeom prst="ellipse">
          <a:avLst/>
        </a:prstGeom>
        <a:noFill/>
        <a:ln w="9525">
          <a:solidFill>
            <a:srgbClr val="000000"/>
          </a:solidFill>
          <a:round/>
          <a:headEnd/>
          <a:tailEnd/>
        </a:ln>
      </xdr:spPr>
    </xdr:sp>
    <xdr:clientData/>
  </xdr:twoCellAnchor>
  <xdr:twoCellAnchor>
    <xdr:from>
      <xdr:col>14</xdr:col>
      <xdr:colOff>202824</xdr:colOff>
      <xdr:row>263</xdr:row>
      <xdr:rowOff>86946</xdr:rowOff>
    </xdr:from>
    <xdr:to>
      <xdr:col>16</xdr:col>
      <xdr:colOff>26830</xdr:colOff>
      <xdr:row>264</xdr:row>
      <xdr:rowOff>11117</xdr:rowOff>
    </xdr:to>
    <xdr:sp macro="" textlink="">
      <xdr:nvSpPr>
        <xdr:cNvPr id="844" name="Text Box 27"/>
        <xdr:cNvSpPr txBox="1">
          <a:spLocks noChangeArrowheads="1"/>
        </xdr:cNvSpPr>
      </xdr:nvSpPr>
      <xdr:spPr bwMode="auto">
        <a:xfrm>
          <a:off x="8737224" y="40168146"/>
          <a:ext cx="1043206" cy="76571"/>
        </a:xfrm>
        <a:prstGeom prst="rect">
          <a:avLst/>
        </a:prstGeom>
        <a:noFill/>
        <a:ln w="9525">
          <a:noFill/>
          <a:miter lim="800000"/>
          <a:headEnd/>
          <a:tailEnd/>
        </a:ln>
      </xdr:spPr>
      <xdr:txBody>
        <a:bodyPr vert="vert270" wrap="none" lIns="18288" tIns="22860" rIns="0" bIns="0" anchor="t" upright="1">
          <a:noAutofit/>
        </a:bodyPr>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a:t>
          </a:r>
        </a:p>
      </xdr:txBody>
    </xdr:sp>
    <xdr:clientData/>
  </xdr:twoCellAnchor>
  <xdr:twoCellAnchor>
    <xdr:from>
      <xdr:col>22</xdr:col>
      <xdr:colOff>32795</xdr:colOff>
      <xdr:row>255</xdr:row>
      <xdr:rowOff>53338</xdr:rowOff>
    </xdr:from>
    <xdr:to>
      <xdr:col>23</xdr:col>
      <xdr:colOff>151726</xdr:colOff>
      <xdr:row>256</xdr:row>
      <xdr:rowOff>44400</xdr:rowOff>
    </xdr:to>
    <xdr:sp macro="" textlink="">
      <xdr:nvSpPr>
        <xdr:cNvPr id="845" name="Text Box 28"/>
        <xdr:cNvSpPr txBox="1">
          <a:spLocks noChangeArrowheads="1"/>
        </xdr:cNvSpPr>
      </xdr:nvSpPr>
      <xdr:spPr bwMode="auto">
        <a:xfrm>
          <a:off x="13443995" y="38915338"/>
          <a:ext cx="728531" cy="143462"/>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28</xdr:col>
      <xdr:colOff>60099</xdr:colOff>
      <xdr:row>258</xdr:row>
      <xdr:rowOff>93414</xdr:rowOff>
    </xdr:from>
    <xdr:to>
      <xdr:col>29</xdr:col>
      <xdr:colOff>131409</xdr:colOff>
      <xdr:row>258</xdr:row>
      <xdr:rowOff>93414</xdr:rowOff>
    </xdr:to>
    <xdr:sp macro="" textlink="">
      <xdr:nvSpPr>
        <xdr:cNvPr id="846" name="Line 29"/>
        <xdr:cNvSpPr>
          <a:spLocks noChangeShapeType="1"/>
        </xdr:cNvSpPr>
      </xdr:nvSpPr>
      <xdr:spPr bwMode="auto">
        <a:xfrm>
          <a:off x="17128899" y="39412614"/>
          <a:ext cx="680910" cy="0"/>
        </a:xfrm>
        <a:prstGeom prst="line">
          <a:avLst/>
        </a:prstGeom>
        <a:noFill/>
        <a:ln w="12700">
          <a:solidFill>
            <a:srgbClr val="000000"/>
          </a:solidFill>
          <a:round/>
          <a:headEnd type="stealth" w="med" len="med"/>
          <a:tailEnd/>
        </a:ln>
      </xdr:spPr>
    </xdr:sp>
    <xdr:clientData/>
  </xdr:twoCellAnchor>
  <xdr:twoCellAnchor>
    <xdr:from>
      <xdr:col>27</xdr:col>
      <xdr:colOff>184032</xdr:colOff>
      <xdr:row>258</xdr:row>
      <xdr:rowOff>7412</xdr:rowOff>
    </xdr:from>
    <xdr:to>
      <xdr:col>28</xdr:col>
      <xdr:colOff>99147</xdr:colOff>
      <xdr:row>259</xdr:row>
      <xdr:rowOff>8030</xdr:rowOff>
    </xdr:to>
    <xdr:sp macro="" textlink="">
      <xdr:nvSpPr>
        <xdr:cNvPr id="847" name="Text Box 30"/>
        <xdr:cNvSpPr txBox="1">
          <a:spLocks noChangeArrowheads="1"/>
        </xdr:cNvSpPr>
      </xdr:nvSpPr>
      <xdr:spPr bwMode="auto">
        <a:xfrm>
          <a:off x="16643232" y="39326612"/>
          <a:ext cx="524715" cy="153018"/>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R</a:t>
          </a:r>
          <a:r>
            <a:rPr lang="de-DE" altLang="ja-JP" sz="700" b="1" i="0" strike="noStrike">
              <a:solidFill>
                <a:srgbClr val="000000"/>
              </a:solidFill>
              <a:latin typeface="Times New Roman"/>
              <a:cs typeface="Times New Roman"/>
            </a:rPr>
            <a:t>b</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10</xdr:col>
      <xdr:colOff>95380</xdr:colOff>
      <xdr:row>264</xdr:row>
      <xdr:rowOff>39785</xdr:rowOff>
    </xdr:from>
    <xdr:to>
      <xdr:col>10</xdr:col>
      <xdr:colOff>95380</xdr:colOff>
      <xdr:row>264</xdr:row>
      <xdr:rowOff>39785</xdr:rowOff>
    </xdr:to>
    <xdr:sp macro="" textlink="">
      <xdr:nvSpPr>
        <xdr:cNvPr id="848" name="Line 31"/>
        <xdr:cNvSpPr>
          <a:spLocks noChangeShapeType="1"/>
        </xdr:cNvSpPr>
      </xdr:nvSpPr>
      <xdr:spPr bwMode="auto">
        <a:xfrm flipH="1">
          <a:off x="6191380" y="40273385"/>
          <a:ext cx="0" cy="0"/>
        </a:xfrm>
        <a:prstGeom prst="line">
          <a:avLst/>
        </a:prstGeom>
        <a:noFill/>
        <a:ln w="6350">
          <a:solidFill>
            <a:srgbClr val="000000"/>
          </a:solidFill>
          <a:round/>
          <a:headEnd/>
          <a:tailEnd/>
        </a:ln>
      </xdr:spPr>
    </xdr:sp>
    <xdr:clientData/>
  </xdr:twoCellAnchor>
  <xdr:twoCellAnchor>
    <xdr:from>
      <xdr:col>28</xdr:col>
      <xdr:colOff>108910</xdr:colOff>
      <xdr:row>263</xdr:row>
      <xdr:rowOff>153838</xdr:rowOff>
    </xdr:from>
    <xdr:to>
      <xdr:col>28</xdr:col>
      <xdr:colOff>108910</xdr:colOff>
      <xdr:row>266</xdr:row>
      <xdr:rowOff>21908</xdr:rowOff>
    </xdr:to>
    <xdr:sp macro="" textlink="">
      <xdr:nvSpPr>
        <xdr:cNvPr id="849" name="Line 32"/>
        <xdr:cNvSpPr>
          <a:spLocks noChangeShapeType="1"/>
        </xdr:cNvSpPr>
      </xdr:nvSpPr>
      <xdr:spPr bwMode="auto">
        <a:xfrm>
          <a:off x="17177710" y="40235038"/>
          <a:ext cx="0" cy="325270"/>
        </a:xfrm>
        <a:prstGeom prst="line">
          <a:avLst/>
        </a:prstGeom>
        <a:noFill/>
        <a:ln w="12700">
          <a:solidFill>
            <a:srgbClr val="000000"/>
          </a:solidFill>
          <a:round/>
          <a:headEnd/>
          <a:tailEnd type="stealth" w="med" len="med"/>
        </a:ln>
      </xdr:spPr>
    </xdr:sp>
    <xdr:clientData/>
  </xdr:twoCellAnchor>
  <xdr:twoCellAnchor>
    <xdr:from>
      <xdr:col>28</xdr:col>
      <xdr:colOff>99147</xdr:colOff>
      <xdr:row>263</xdr:row>
      <xdr:rowOff>20055</xdr:rowOff>
    </xdr:from>
    <xdr:to>
      <xdr:col>29</xdr:col>
      <xdr:colOff>14262</xdr:colOff>
      <xdr:row>264</xdr:row>
      <xdr:rowOff>20673</xdr:rowOff>
    </xdr:to>
    <xdr:sp macro="" textlink="">
      <xdr:nvSpPr>
        <xdr:cNvPr id="850" name="Text Box 33"/>
        <xdr:cNvSpPr txBox="1">
          <a:spLocks noChangeArrowheads="1"/>
        </xdr:cNvSpPr>
      </xdr:nvSpPr>
      <xdr:spPr bwMode="auto">
        <a:xfrm>
          <a:off x="17167947" y="40101255"/>
          <a:ext cx="524715" cy="153018"/>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xdr:col>
      <xdr:colOff>0</xdr:colOff>
      <xdr:row>251</xdr:row>
      <xdr:rowOff>168728</xdr:rowOff>
    </xdr:from>
    <xdr:to>
      <xdr:col>31</xdr:col>
      <xdr:colOff>274028</xdr:colOff>
      <xdr:row>251</xdr:row>
      <xdr:rowOff>168728</xdr:rowOff>
    </xdr:to>
    <xdr:sp macro="" textlink="">
      <xdr:nvSpPr>
        <xdr:cNvPr id="851" name="Line 34"/>
        <xdr:cNvSpPr>
          <a:spLocks noChangeShapeType="1"/>
        </xdr:cNvSpPr>
      </xdr:nvSpPr>
      <xdr:spPr bwMode="auto">
        <a:xfrm>
          <a:off x="1219200" y="38402078"/>
          <a:ext cx="17952428" cy="0"/>
        </a:xfrm>
        <a:prstGeom prst="line">
          <a:avLst/>
        </a:prstGeom>
        <a:noFill/>
        <a:ln w="57150" cmpd="thinThick">
          <a:solidFill>
            <a:srgbClr val="000000"/>
          </a:solidFill>
          <a:round/>
          <a:headEnd/>
          <a:tailEnd/>
        </a:ln>
      </xdr:spPr>
    </xdr:sp>
    <xdr:clientData/>
  </xdr:twoCellAnchor>
  <xdr:twoCellAnchor>
    <xdr:from>
      <xdr:col>25</xdr:col>
      <xdr:colOff>256181</xdr:colOff>
      <xdr:row>259</xdr:row>
      <xdr:rowOff>189591</xdr:rowOff>
    </xdr:from>
    <xdr:to>
      <xdr:col>28</xdr:col>
      <xdr:colOff>21049</xdr:colOff>
      <xdr:row>260</xdr:row>
      <xdr:rowOff>151985</xdr:rowOff>
    </xdr:to>
    <xdr:sp macro="" textlink="">
      <xdr:nvSpPr>
        <xdr:cNvPr id="852" name="Text Box 35"/>
        <xdr:cNvSpPr txBox="1">
          <a:spLocks noChangeArrowheads="1"/>
        </xdr:cNvSpPr>
      </xdr:nvSpPr>
      <xdr:spPr bwMode="auto">
        <a:xfrm>
          <a:off x="15496181" y="39623091"/>
          <a:ext cx="1593668" cy="152894"/>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800" b="1" i="0" strike="noStrike">
              <a:solidFill>
                <a:srgbClr val="000000"/>
              </a:solidFill>
              <a:latin typeface="ＭＳ Ｐゴシック"/>
              <a:ea typeface="ＭＳ Ｐゴシック"/>
            </a:rPr>
            <a:t>アンカボルト</a:t>
          </a:r>
        </a:p>
      </xdr:txBody>
    </xdr:sp>
    <xdr:clientData/>
  </xdr:twoCellAnchor>
  <xdr:twoCellAnchor>
    <xdr:from>
      <xdr:col>10</xdr:col>
      <xdr:colOff>95380</xdr:colOff>
      <xdr:row>265</xdr:row>
      <xdr:rowOff>40402</xdr:rowOff>
    </xdr:from>
    <xdr:to>
      <xdr:col>10</xdr:col>
      <xdr:colOff>95380</xdr:colOff>
      <xdr:row>265</xdr:row>
      <xdr:rowOff>40402</xdr:rowOff>
    </xdr:to>
    <xdr:sp macro="" textlink="">
      <xdr:nvSpPr>
        <xdr:cNvPr id="853" name="Line 36"/>
        <xdr:cNvSpPr>
          <a:spLocks noChangeShapeType="1"/>
        </xdr:cNvSpPr>
      </xdr:nvSpPr>
      <xdr:spPr bwMode="auto">
        <a:xfrm flipH="1">
          <a:off x="6191380" y="40426402"/>
          <a:ext cx="0" cy="0"/>
        </a:xfrm>
        <a:prstGeom prst="line">
          <a:avLst/>
        </a:prstGeom>
        <a:noFill/>
        <a:ln w="6350">
          <a:solidFill>
            <a:srgbClr val="000000"/>
          </a:solidFill>
          <a:round/>
          <a:headEnd/>
          <a:tailEnd/>
        </a:ln>
      </xdr:spPr>
    </xdr:sp>
    <xdr:clientData/>
  </xdr:twoCellAnchor>
  <xdr:twoCellAnchor>
    <xdr:from>
      <xdr:col>10</xdr:col>
      <xdr:colOff>95380</xdr:colOff>
      <xdr:row>266</xdr:row>
      <xdr:rowOff>41020</xdr:rowOff>
    </xdr:from>
    <xdr:to>
      <xdr:col>10</xdr:col>
      <xdr:colOff>95380</xdr:colOff>
      <xdr:row>266</xdr:row>
      <xdr:rowOff>41020</xdr:rowOff>
    </xdr:to>
    <xdr:sp macro="" textlink="">
      <xdr:nvSpPr>
        <xdr:cNvPr id="854" name="Line 37"/>
        <xdr:cNvSpPr>
          <a:spLocks noChangeShapeType="1"/>
        </xdr:cNvSpPr>
      </xdr:nvSpPr>
      <xdr:spPr bwMode="auto">
        <a:xfrm flipH="1">
          <a:off x="6191380" y="40579420"/>
          <a:ext cx="0" cy="0"/>
        </a:xfrm>
        <a:prstGeom prst="line">
          <a:avLst/>
        </a:prstGeom>
        <a:noFill/>
        <a:ln w="6350">
          <a:solidFill>
            <a:srgbClr val="000000"/>
          </a:solidFill>
          <a:round/>
          <a:headEnd/>
          <a:tailEnd/>
        </a:ln>
      </xdr:spPr>
    </xdr:sp>
    <xdr:clientData/>
  </xdr:twoCellAnchor>
  <xdr:twoCellAnchor>
    <xdr:from>
      <xdr:col>10</xdr:col>
      <xdr:colOff>95380</xdr:colOff>
      <xdr:row>267</xdr:row>
      <xdr:rowOff>41637</xdr:rowOff>
    </xdr:from>
    <xdr:to>
      <xdr:col>10</xdr:col>
      <xdr:colOff>95380</xdr:colOff>
      <xdr:row>267</xdr:row>
      <xdr:rowOff>41637</xdr:rowOff>
    </xdr:to>
    <xdr:sp macro="" textlink="">
      <xdr:nvSpPr>
        <xdr:cNvPr id="855" name="Line 38"/>
        <xdr:cNvSpPr>
          <a:spLocks noChangeShapeType="1"/>
        </xdr:cNvSpPr>
      </xdr:nvSpPr>
      <xdr:spPr bwMode="auto">
        <a:xfrm flipH="1">
          <a:off x="6191380" y="40732437"/>
          <a:ext cx="0" cy="0"/>
        </a:xfrm>
        <a:prstGeom prst="line">
          <a:avLst/>
        </a:prstGeom>
        <a:noFill/>
        <a:ln w="6350">
          <a:solidFill>
            <a:srgbClr val="000000"/>
          </a:solidFill>
          <a:round/>
          <a:headEnd/>
          <a:tailEnd/>
        </a:ln>
      </xdr:spPr>
    </xdr:sp>
    <xdr:clientData/>
  </xdr:twoCellAnchor>
  <xdr:twoCellAnchor>
    <xdr:from>
      <xdr:col>23</xdr:col>
      <xdr:colOff>54104</xdr:colOff>
      <xdr:row>267</xdr:row>
      <xdr:rowOff>175420</xdr:rowOff>
    </xdr:from>
    <xdr:to>
      <xdr:col>23</xdr:col>
      <xdr:colOff>54104</xdr:colOff>
      <xdr:row>270</xdr:row>
      <xdr:rowOff>167717</xdr:rowOff>
    </xdr:to>
    <xdr:sp macro="" textlink="">
      <xdr:nvSpPr>
        <xdr:cNvPr id="856" name="Line 40"/>
        <xdr:cNvSpPr>
          <a:spLocks noChangeShapeType="1"/>
        </xdr:cNvSpPr>
      </xdr:nvSpPr>
      <xdr:spPr bwMode="auto">
        <a:xfrm>
          <a:off x="14074904" y="40847170"/>
          <a:ext cx="0" cy="449497"/>
        </a:xfrm>
        <a:prstGeom prst="line">
          <a:avLst/>
        </a:prstGeom>
        <a:noFill/>
        <a:ln w="6350">
          <a:solidFill>
            <a:srgbClr val="000000"/>
          </a:solidFill>
          <a:prstDash val="lgDashDot"/>
          <a:round/>
          <a:headEnd/>
          <a:tailEnd/>
        </a:ln>
      </xdr:spPr>
    </xdr:sp>
    <xdr:clientData/>
  </xdr:twoCellAnchor>
  <xdr:twoCellAnchor>
    <xdr:from>
      <xdr:col>20</xdr:col>
      <xdr:colOff>41062</xdr:colOff>
      <xdr:row>269</xdr:row>
      <xdr:rowOff>61984</xdr:rowOff>
    </xdr:from>
    <xdr:to>
      <xdr:col>20</xdr:col>
      <xdr:colOff>80111</xdr:colOff>
      <xdr:row>269</xdr:row>
      <xdr:rowOff>100208</xdr:rowOff>
    </xdr:to>
    <xdr:sp macro="" textlink="">
      <xdr:nvSpPr>
        <xdr:cNvPr id="857" name="Oval 41"/>
        <xdr:cNvSpPr>
          <a:spLocks noChangeArrowheads="1"/>
        </xdr:cNvSpPr>
      </xdr:nvSpPr>
      <xdr:spPr bwMode="auto">
        <a:xfrm>
          <a:off x="12233062" y="41057584"/>
          <a:ext cx="39049" cy="38224"/>
        </a:xfrm>
        <a:prstGeom prst="ellipse">
          <a:avLst/>
        </a:prstGeom>
        <a:noFill/>
        <a:ln w="9525">
          <a:solidFill>
            <a:srgbClr val="000000"/>
          </a:solidFill>
          <a:round/>
          <a:headEnd/>
          <a:tailEnd/>
        </a:ln>
      </xdr:spPr>
    </xdr:sp>
    <xdr:clientData/>
  </xdr:twoCellAnchor>
  <xdr:twoCellAnchor>
    <xdr:from>
      <xdr:col>29</xdr:col>
      <xdr:colOff>150933</xdr:colOff>
      <xdr:row>255</xdr:row>
      <xdr:rowOff>148897</xdr:rowOff>
    </xdr:from>
    <xdr:to>
      <xdr:col>29</xdr:col>
      <xdr:colOff>150933</xdr:colOff>
      <xdr:row>272</xdr:row>
      <xdr:rowOff>25613</xdr:rowOff>
    </xdr:to>
    <xdr:sp macro="" textlink="">
      <xdr:nvSpPr>
        <xdr:cNvPr id="858" name="Line 43"/>
        <xdr:cNvSpPr>
          <a:spLocks noChangeShapeType="1"/>
        </xdr:cNvSpPr>
      </xdr:nvSpPr>
      <xdr:spPr bwMode="auto">
        <a:xfrm>
          <a:off x="17829333" y="39010897"/>
          <a:ext cx="0" cy="2467516"/>
        </a:xfrm>
        <a:prstGeom prst="line">
          <a:avLst/>
        </a:prstGeom>
        <a:noFill/>
        <a:ln w="9525">
          <a:solidFill>
            <a:srgbClr val="000000"/>
          </a:solidFill>
          <a:round/>
          <a:headEnd/>
          <a:tailEnd/>
        </a:ln>
      </xdr:spPr>
    </xdr:sp>
    <xdr:clientData/>
  </xdr:twoCellAnchor>
  <xdr:twoCellAnchor>
    <xdr:from>
      <xdr:col>14</xdr:col>
      <xdr:colOff>124727</xdr:colOff>
      <xdr:row>257</xdr:row>
      <xdr:rowOff>131020</xdr:rowOff>
    </xdr:from>
    <xdr:to>
      <xdr:col>14</xdr:col>
      <xdr:colOff>124727</xdr:colOff>
      <xdr:row>270</xdr:row>
      <xdr:rowOff>24378</xdr:rowOff>
    </xdr:to>
    <xdr:sp macro="" textlink="">
      <xdr:nvSpPr>
        <xdr:cNvPr id="859" name="Line 44"/>
        <xdr:cNvSpPr>
          <a:spLocks noChangeShapeType="1"/>
        </xdr:cNvSpPr>
      </xdr:nvSpPr>
      <xdr:spPr bwMode="auto">
        <a:xfrm>
          <a:off x="8659127" y="39297820"/>
          <a:ext cx="0" cy="1874558"/>
        </a:xfrm>
        <a:prstGeom prst="line">
          <a:avLst/>
        </a:prstGeom>
        <a:noFill/>
        <a:ln w="3175">
          <a:solidFill>
            <a:srgbClr val="000000"/>
          </a:solidFill>
          <a:round/>
          <a:headEnd type="triangle" w="sm" len="med"/>
          <a:tailEnd type="triangle" w="sm" len="med"/>
        </a:ln>
      </xdr:spPr>
    </xdr:sp>
    <xdr:clientData/>
  </xdr:twoCellAnchor>
  <xdr:twoCellAnchor>
    <xdr:from>
      <xdr:col>14</xdr:col>
      <xdr:colOff>232111</xdr:colOff>
      <xdr:row>269</xdr:row>
      <xdr:rowOff>81096</xdr:rowOff>
    </xdr:from>
    <xdr:to>
      <xdr:col>26</xdr:col>
      <xdr:colOff>44388</xdr:colOff>
      <xdr:row>269</xdr:row>
      <xdr:rowOff>81096</xdr:rowOff>
    </xdr:to>
    <xdr:sp macro="" textlink="">
      <xdr:nvSpPr>
        <xdr:cNvPr id="860" name="Line 45"/>
        <xdr:cNvSpPr>
          <a:spLocks noChangeShapeType="1"/>
        </xdr:cNvSpPr>
      </xdr:nvSpPr>
      <xdr:spPr bwMode="auto">
        <a:xfrm>
          <a:off x="8766511" y="41076696"/>
          <a:ext cx="7127477" cy="0"/>
        </a:xfrm>
        <a:prstGeom prst="line">
          <a:avLst/>
        </a:prstGeom>
        <a:noFill/>
        <a:ln w="6350">
          <a:solidFill>
            <a:srgbClr val="000000"/>
          </a:solidFill>
          <a:prstDash val="lgDashDot"/>
          <a:round/>
          <a:headEnd/>
          <a:tailEnd/>
        </a:ln>
      </xdr:spPr>
    </xdr:sp>
    <xdr:clientData/>
  </xdr:twoCellAnchor>
  <xdr:twoCellAnchor>
    <xdr:from>
      <xdr:col>28</xdr:col>
      <xdr:colOff>108910</xdr:colOff>
      <xdr:row>256</xdr:row>
      <xdr:rowOff>149515</xdr:rowOff>
    </xdr:from>
    <xdr:to>
      <xdr:col>29</xdr:col>
      <xdr:colOff>150934</xdr:colOff>
      <xdr:row>256</xdr:row>
      <xdr:rowOff>149515</xdr:rowOff>
    </xdr:to>
    <xdr:sp macro="" textlink="">
      <xdr:nvSpPr>
        <xdr:cNvPr id="861" name="Line 46"/>
        <xdr:cNvSpPr>
          <a:spLocks noChangeShapeType="1"/>
        </xdr:cNvSpPr>
      </xdr:nvSpPr>
      <xdr:spPr bwMode="auto">
        <a:xfrm>
          <a:off x="17177710" y="39163915"/>
          <a:ext cx="651624" cy="0"/>
        </a:xfrm>
        <a:prstGeom prst="line">
          <a:avLst/>
        </a:prstGeom>
        <a:noFill/>
        <a:ln w="6350">
          <a:solidFill>
            <a:srgbClr val="000000"/>
          </a:solidFill>
          <a:round/>
          <a:headEnd type="triangle" w="sm" len="med"/>
          <a:tailEnd type="triangle" w="sm" len="med"/>
        </a:ln>
      </xdr:spPr>
    </xdr:sp>
    <xdr:clientData/>
  </xdr:twoCellAnchor>
  <xdr:twoCellAnchor>
    <xdr:from>
      <xdr:col>28</xdr:col>
      <xdr:colOff>89385</xdr:colOff>
      <xdr:row>270</xdr:row>
      <xdr:rowOff>186828</xdr:rowOff>
    </xdr:from>
    <xdr:to>
      <xdr:col>28</xdr:col>
      <xdr:colOff>196769</xdr:colOff>
      <xdr:row>271</xdr:row>
      <xdr:rowOff>168334</xdr:rowOff>
    </xdr:to>
    <xdr:sp macro="" textlink="">
      <xdr:nvSpPr>
        <xdr:cNvPr id="862" name="Text Box 47"/>
        <xdr:cNvSpPr txBox="1">
          <a:spLocks noChangeArrowheads="1"/>
        </xdr:cNvSpPr>
      </xdr:nvSpPr>
      <xdr:spPr bwMode="auto">
        <a:xfrm>
          <a:off x="17158185" y="41296728"/>
          <a:ext cx="107384" cy="15295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D</a:t>
          </a:r>
        </a:p>
      </xdr:txBody>
    </xdr:sp>
    <xdr:clientData/>
  </xdr:twoCellAnchor>
  <xdr:twoCellAnchor>
    <xdr:from>
      <xdr:col>19</xdr:col>
      <xdr:colOff>10586</xdr:colOff>
      <xdr:row>270</xdr:row>
      <xdr:rowOff>72158</xdr:rowOff>
    </xdr:from>
    <xdr:to>
      <xdr:col>19</xdr:col>
      <xdr:colOff>10586</xdr:colOff>
      <xdr:row>272</xdr:row>
      <xdr:rowOff>35170</xdr:rowOff>
    </xdr:to>
    <xdr:sp macro="" textlink="">
      <xdr:nvSpPr>
        <xdr:cNvPr id="863" name="Line 48"/>
        <xdr:cNvSpPr>
          <a:spLocks noChangeShapeType="1"/>
        </xdr:cNvSpPr>
      </xdr:nvSpPr>
      <xdr:spPr bwMode="auto">
        <a:xfrm>
          <a:off x="11592986" y="41220158"/>
          <a:ext cx="0" cy="267812"/>
        </a:xfrm>
        <a:prstGeom prst="line">
          <a:avLst/>
        </a:prstGeom>
        <a:noFill/>
        <a:ln w="3175">
          <a:solidFill>
            <a:srgbClr val="000000"/>
          </a:solidFill>
          <a:round/>
          <a:headEnd/>
          <a:tailEnd/>
        </a:ln>
      </xdr:spPr>
    </xdr:sp>
    <xdr:clientData/>
  </xdr:twoCellAnchor>
  <xdr:twoCellAnchor>
    <xdr:from>
      <xdr:col>16</xdr:col>
      <xdr:colOff>7306</xdr:colOff>
      <xdr:row>260</xdr:row>
      <xdr:rowOff>142429</xdr:rowOff>
    </xdr:from>
    <xdr:to>
      <xdr:col>17</xdr:col>
      <xdr:colOff>88073</xdr:colOff>
      <xdr:row>261</xdr:row>
      <xdr:rowOff>133491</xdr:rowOff>
    </xdr:to>
    <xdr:sp macro="" textlink="">
      <xdr:nvSpPr>
        <xdr:cNvPr id="864" name="Text Box 49"/>
        <xdr:cNvSpPr txBox="1">
          <a:spLocks noChangeArrowheads="1"/>
        </xdr:cNvSpPr>
      </xdr:nvSpPr>
      <xdr:spPr bwMode="auto">
        <a:xfrm>
          <a:off x="9760906" y="39766429"/>
          <a:ext cx="690367" cy="143462"/>
        </a:xfrm>
        <a:prstGeom prst="rect">
          <a:avLst/>
        </a:prstGeom>
        <a:noFill/>
        <a:ln w="9525">
          <a:noFill/>
          <a:miter lim="800000"/>
          <a:headEnd/>
          <a:tailEnd/>
        </a:ln>
      </xdr:spPr>
      <xdr:txBody>
        <a:bodyPr vertOverflow="clip" vert="vert270" wrap="square" lIns="0" tIns="22860" rIns="27432" bIns="0" anchor="b"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2g</a:t>
          </a:r>
        </a:p>
      </xdr:txBody>
    </xdr:sp>
    <xdr:clientData/>
  </xdr:twoCellAnchor>
  <xdr:twoCellAnchor>
    <xdr:from>
      <xdr:col>28</xdr:col>
      <xdr:colOff>69861</xdr:colOff>
      <xdr:row>255</xdr:row>
      <xdr:rowOff>187121</xdr:rowOff>
    </xdr:from>
    <xdr:to>
      <xdr:col>29</xdr:col>
      <xdr:colOff>72836</xdr:colOff>
      <xdr:row>256</xdr:row>
      <xdr:rowOff>178183</xdr:rowOff>
    </xdr:to>
    <xdr:sp macro="" textlink="">
      <xdr:nvSpPr>
        <xdr:cNvPr id="865" name="Text Box 50"/>
        <xdr:cNvSpPr txBox="1">
          <a:spLocks noChangeArrowheads="1"/>
        </xdr:cNvSpPr>
      </xdr:nvSpPr>
      <xdr:spPr bwMode="auto">
        <a:xfrm>
          <a:off x="17138661" y="39011021"/>
          <a:ext cx="612575" cy="152987"/>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3g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19</xdr:col>
      <xdr:colOff>10586</xdr:colOff>
      <xdr:row>257</xdr:row>
      <xdr:rowOff>131020</xdr:rowOff>
    </xdr:from>
    <xdr:to>
      <xdr:col>25</xdr:col>
      <xdr:colOff>265944</xdr:colOff>
      <xdr:row>270</xdr:row>
      <xdr:rowOff>24378</xdr:rowOff>
    </xdr:to>
    <xdr:grpSp>
      <xdr:nvGrpSpPr>
        <xdr:cNvPr id="866" name="Group 51"/>
        <xdr:cNvGrpSpPr>
          <a:grpSpLocks/>
        </xdr:cNvGrpSpPr>
      </xdr:nvGrpSpPr>
      <xdr:grpSpPr bwMode="auto">
        <a:xfrm>
          <a:off x="4400024" y="46232020"/>
          <a:ext cx="1350733" cy="2369858"/>
          <a:chOff x="386" y="146"/>
          <a:chExt cx="163" cy="202"/>
        </a:xfrm>
      </xdr:grpSpPr>
      <xdr:sp macro="" textlink="">
        <xdr:nvSpPr>
          <xdr:cNvPr id="867" name="Line 52"/>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868" name="Line 53"/>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869" name="Line 54"/>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870" name="Line 55"/>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26</xdr:col>
      <xdr:colOff>5339</xdr:colOff>
      <xdr:row>258</xdr:row>
      <xdr:rowOff>102970</xdr:rowOff>
    </xdr:from>
    <xdr:to>
      <xdr:col>26</xdr:col>
      <xdr:colOff>181058</xdr:colOff>
      <xdr:row>258</xdr:row>
      <xdr:rowOff>102970</xdr:rowOff>
    </xdr:to>
    <xdr:sp macro="" textlink="">
      <xdr:nvSpPr>
        <xdr:cNvPr id="871" name="Line 56"/>
        <xdr:cNvSpPr>
          <a:spLocks noChangeShapeType="1"/>
        </xdr:cNvSpPr>
      </xdr:nvSpPr>
      <xdr:spPr bwMode="auto">
        <a:xfrm>
          <a:off x="15854939" y="39422170"/>
          <a:ext cx="175719" cy="0"/>
        </a:xfrm>
        <a:prstGeom prst="line">
          <a:avLst/>
        </a:prstGeom>
        <a:noFill/>
        <a:ln w="9525">
          <a:noFill/>
          <a:round/>
          <a:headEnd/>
          <a:tailEnd/>
        </a:ln>
      </xdr:spPr>
    </xdr:sp>
    <xdr:clientData/>
  </xdr:twoCellAnchor>
  <xdr:twoCellAnchor>
    <xdr:from>
      <xdr:col>25</xdr:col>
      <xdr:colOff>285468</xdr:colOff>
      <xdr:row>258</xdr:row>
      <xdr:rowOff>93414</xdr:rowOff>
    </xdr:from>
    <xdr:to>
      <xdr:col>26</xdr:col>
      <xdr:colOff>171296</xdr:colOff>
      <xdr:row>258</xdr:row>
      <xdr:rowOff>93414</xdr:rowOff>
    </xdr:to>
    <xdr:sp macro="" textlink="">
      <xdr:nvSpPr>
        <xdr:cNvPr id="872" name="Line 57"/>
        <xdr:cNvSpPr>
          <a:spLocks noChangeShapeType="1"/>
        </xdr:cNvSpPr>
      </xdr:nvSpPr>
      <xdr:spPr bwMode="auto">
        <a:xfrm>
          <a:off x="15525468" y="39412614"/>
          <a:ext cx="495428" cy="0"/>
        </a:xfrm>
        <a:prstGeom prst="line">
          <a:avLst/>
        </a:prstGeom>
        <a:noFill/>
        <a:ln w="9525">
          <a:noFill/>
          <a:round/>
          <a:headEnd/>
          <a:tailEnd/>
        </a:ln>
      </xdr:spPr>
    </xdr:sp>
    <xdr:clientData/>
  </xdr:twoCellAnchor>
  <xdr:twoCellAnchor>
    <xdr:from>
      <xdr:col>25</xdr:col>
      <xdr:colOff>275706</xdr:colOff>
      <xdr:row>258</xdr:row>
      <xdr:rowOff>93414</xdr:rowOff>
    </xdr:from>
    <xdr:to>
      <xdr:col>26</xdr:col>
      <xdr:colOff>142010</xdr:colOff>
      <xdr:row>258</xdr:row>
      <xdr:rowOff>93414</xdr:rowOff>
    </xdr:to>
    <xdr:sp macro="" textlink="">
      <xdr:nvSpPr>
        <xdr:cNvPr id="873" name="Line 58"/>
        <xdr:cNvSpPr>
          <a:spLocks noChangeShapeType="1"/>
        </xdr:cNvSpPr>
      </xdr:nvSpPr>
      <xdr:spPr bwMode="auto">
        <a:xfrm>
          <a:off x="15515706" y="39412614"/>
          <a:ext cx="475904" cy="0"/>
        </a:xfrm>
        <a:prstGeom prst="line">
          <a:avLst/>
        </a:prstGeom>
        <a:noFill/>
        <a:ln w="9525">
          <a:noFill/>
          <a:round/>
          <a:headEnd/>
          <a:tailEnd/>
        </a:ln>
      </xdr:spPr>
    </xdr:sp>
    <xdr:clientData/>
  </xdr:twoCellAnchor>
  <xdr:twoCellAnchor>
    <xdr:from>
      <xdr:col>25</xdr:col>
      <xdr:colOff>285468</xdr:colOff>
      <xdr:row>258</xdr:row>
      <xdr:rowOff>93414</xdr:rowOff>
    </xdr:from>
    <xdr:to>
      <xdr:col>26</xdr:col>
      <xdr:colOff>239632</xdr:colOff>
      <xdr:row>258</xdr:row>
      <xdr:rowOff>93414</xdr:rowOff>
    </xdr:to>
    <xdr:sp macro="" textlink="">
      <xdr:nvSpPr>
        <xdr:cNvPr id="874" name="Line 59"/>
        <xdr:cNvSpPr>
          <a:spLocks noChangeShapeType="1"/>
        </xdr:cNvSpPr>
      </xdr:nvSpPr>
      <xdr:spPr bwMode="auto">
        <a:xfrm>
          <a:off x="15525468" y="39412614"/>
          <a:ext cx="563764" cy="0"/>
        </a:xfrm>
        <a:prstGeom prst="line">
          <a:avLst/>
        </a:prstGeom>
        <a:noFill/>
        <a:ln w="9525">
          <a:noFill/>
          <a:round/>
          <a:headEnd/>
          <a:tailEnd/>
        </a:ln>
      </xdr:spPr>
    </xdr:sp>
    <xdr:clientData/>
  </xdr:twoCellAnchor>
  <xdr:twoCellAnchor>
    <xdr:from>
      <xdr:col>29</xdr:col>
      <xdr:colOff>131409</xdr:colOff>
      <xdr:row>269</xdr:row>
      <xdr:rowOff>81096</xdr:rowOff>
    </xdr:from>
    <xdr:to>
      <xdr:col>30</xdr:col>
      <xdr:colOff>7475</xdr:colOff>
      <xdr:row>269</xdr:row>
      <xdr:rowOff>81096</xdr:rowOff>
    </xdr:to>
    <xdr:sp macro="" textlink="">
      <xdr:nvSpPr>
        <xdr:cNvPr id="875" name="Line 60"/>
        <xdr:cNvSpPr>
          <a:spLocks noChangeShapeType="1"/>
        </xdr:cNvSpPr>
      </xdr:nvSpPr>
      <xdr:spPr bwMode="auto">
        <a:xfrm>
          <a:off x="17809809" y="41076696"/>
          <a:ext cx="485666" cy="0"/>
        </a:xfrm>
        <a:prstGeom prst="line">
          <a:avLst/>
        </a:prstGeom>
        <a:noFill/>
        <a:ln w="25400">
          <a:solidFill>
            <a:srgbClr val="000000"/>
          </a:solidFill>
          <a:round/>
          <a:headEnd/>
          <a:tailEnd/>
        </a:ln>
      </xdr:spPr>
    </xdr:sp>
    <xdr:clientData/>
  </xdr:twoCellAnchor>
  <xdr:twoCellAnchor>
    <xdr:from>
      <xdr:col>29</xdr:col>
      <xdr:colOff>141171</xdr:colOff>
      <xdr:row>258</xdr:row>
      <xdr:rowOff>93414</xdr:rowOff>
    </xdr:from>
    <xdr:to>
      <xdr:col>30</xdr:col>
      <xdr:colOff>7475</xdr:colOff>
      <xdr:row>258</xdr:row>
      <xdr:rowOff>93414</xdr:rowOff>
    </xdr:to>
    <xdr:sp macro="" textlink="">
      <xdr:nvSpPr>
        <xdr:cNvPr id="876" name="Line 61"/>
        <xdr:cNvSpPr>
          <a:spLocks noChangeShapeType="1"/>
        </xdr:cNvSpPr>
      </xdr:nvSpPr>
      <xdr:spPr bwMode="auto">
        <a:xfrm>
          <a:off x="17819571" y="39412614"/>
          <a:ext cx="475904" cy="0"/>
        </a:xfrm>
        <a:prstGeom prst="line">
          <a:avLst/>
        </a:prstGeom>
        <a:noFill/>
        <a:ln w="25400">
          <a:solidFill>
            <a:srgbClr val="000000"/>
          </a:solidFill>
          <a:round/>
          <a:headEnd/>
          <a:tailEnd/>
        </a:ln>
      </xdr:spPr>
    </xdr:sp>
    <xdr:clientData/>
  </xdr:twoCellAnchor>
  <xdr:twoCellAnchor>
    <xdr:from>
      <xdr:col>25</xdr:col>
      <xdr:colOff>109749</xdr:colOff>
      <xdr:row>255</xdr:row>
      <xdr:rowOff>101118</xdr:rowOff>
    </xdr:from>
    <xdr:to>
      <xdr:col>25</xdr:col>
      <xdr:colOff>109749</xdr:colOff>
      <xdr:row>270</xdr:row>
      <xdr:rowOff>119937</xdr:rowOff>
    </xdr:to>
    <xdr:sp macro="" textlink="">
      <xdr:nvSpPr>
        <xdr:cNvPr id="877" name="Line 62"/>
        <xdr:cNvSpPr>
          <a:spLocks noChangeShapeType="1"/>
        </xdr:cNvSpPr>
      </xdr:nvSpPr>
      <xdr:spPr bwMode="auto">
        <a:xfrm>
          <a:off x="15349749" y="38963118"/>
          <a:ext cx="0" cy="2304819"/>
        </a:xfrm>
        <a:prstGeom prst="line">
          <a:avLst/>
        </a:prstGeom>
        <a:noFill/>
        <a:ln w="6350">
          <a:solidFill>
            <a:srgbClr val="000000"/>
          </a:solidFill>
          <a:prstDash val="lgDashDot"/>
          <a:round/>
          <a:headEnd/>
          <a:tailEnd/>
        </a:ln>
      </xdr:spPr>
    </xdr:sp>
    <xdr:clientData/>
  </xdr:twoCellAnchor>
  <xdr:twoCellAnchor>
    <xdr:from>
      <xdr:col>29</xdr:col>
      <xdr:colOff>150933</xdr:colOff>
      <xdr:row>256</xdr:row>
      <xdr:rowOff>149515</xdr:rowOff>
    </xdr:from>
    <xdr:to>
      <xdr:col>30</xdr:col>
      <xdr:colOff>36761</xdr:colOff>
      <xdr:row>257</xdr:row>
      <xdr:rowOff>150133</xdr:rowOff>
    </xdr:to>
    <xdr:sp macro="" textlink="">
      <xdr:nvSpPr>
        <xdr:cNvPr id="878" name="Line 63"/>
        <xdr:cNvSpPr>
          <a:spLocks noChangeShapeType="1"/>
        </xdr:cNvSpPr>
      </xdr:nvSpPr>
      <xdr:spPr bwMode="auto">
        <a:xfrm flipV="1">
          <a:off x="17829333" y="39163915"/>
          <a:ext cx="495428" cy="153018"/>
        </a:xfrm>
        <a:prstGeom prst="line">
          <a:avLst/>
        </a:prstGeom>
        <a:noFill/>
        <a:ln w="3175">
          <a:solidFill>
            <a:srgbClr val="000000"/>
          </a:solidFill>
          <a:round/>
          <a:headEnd/>
          <a:tailEnd/>
        </a:ln>
      </xdr:spPr>
    </xdr:sp>
    <xdr:clientData/>
  </xdr:twoCellAnchor>
  <xdr:twoCellAnchor>
    <xdr:from>
      <xdr:col>29</xdr:col>
      <xdr:colOff>150933</xdr:colOff>
      <xdr:row>257</xdr:row>
      <xdr:rowOff>25906</xdr:rowOff>
    </xdr:from>
    <xdr:to>
      <xdr:col>30</xdr:col>
      <xdr:colOff>36761</xdr:colOff>
      <xdr:row>258</xdr:row>
      <xdr:rowOff>26524</xdr:rowOff>
    </xdr:to>
    <xdr:sp macro="" textlink="">
      <xdr:nvSpPr>
        <xdr:cNvPr id="879" name="Line 64"/>
        <xdr:cNvSpPr>
          <a:spLocks noChangeShapeType="1"/>
        </xdr:cNvSpPr>
      </xdr:nvSpPr>
      <xdr:spPr bwMode="auto">
        <a:xfrm flipV="1">
          <a:off x="17829333" y="39192706"/>
          <a:ext cx="495428" cy="153018"/>
        </a:xfrm>
        <a:prstGeom prst="line">
          <a:avLst/>
        </a:prstGeom>
        <a:noFill/>
        <a:ln w="3175">
          <a:solidFill>
            <a:srgbClr val="000000"/>
          </a:solidFill>
          <a:round/>
          <a:headEnd/>
          <a:tailEnd/>
        </a:ln>
      </xdr:spPr>
    </xdr:sp>
    <xdr:clientData/>
  </xdr:twoCellAnchor>
  <xdr:twoCellAnchor>
    <xdr:from>
      <xdr:col>29</xdr:col>
      <xdr:colOff>150933</xdr:colOff>
      <xdr:row>257</xdr:row>
      <xdr:rowOff>92797</xdr:rowOff>
    </xdr:from>
    <xdr:to>
      <xdr:col>30</xdr:col>
      <xdr:colOff>36761</xdr:colOff>
      <xdr:row>258</xdr:row>
      <xdr:rowOff>93415</xdr:rowOff>
    </xdr:to>
    <xdr:sp macro="" textlink="">
      <xdr:nvSpPr>
        <xdr:cNvPr id="880" name="Line 65"/>
        <xdr:cNvSpPr>
          <a:spLocks noChangeShapeType="1"/>
        </xdr:cNvSpPr>
      </xdr:nvSpPr>
      <xdr:spPr bwMode="auto">
        <a:xfrm flipV="1">
          <a:off x="17829333" y="39259597"/>
          <a:ext cx="495428" cy="153018"/>
        </a:xfrm>
        <a:prstGeom prst="line">
          <a:avLst/>
        </a:prstGeom>
        <a:noFill/>
        <a:ln w="3175">
          <a:solidFill>
            <a:srgbClr val="000000"/>
          </a:solidFill>
          <a:round/>
          <a:headEnd/>
          <a:tailEnd/>
        </a:ln>
      </xdr:spPr>
    </xdr:sp>
    <xdr:clientData/>
  </xdr:twoCellAnchor>
  <xdr:twoCellAnchor>
    <xdr:from>
      <xdr:col>29</xdr:col>
      <xdr:colOff>150933</xdr:colOff>
      <xdr:row>256</xdr:row>
      <xdr:rowOff>82623</xdr:rowOff>
    </xdr:from>
    <xdr:to>
      <xdr:col>30</xdr:col>
      <xdr:colOff>36761</xdr:colOff>
      <xdr:row>257</xdr:row>
      <xdr:rowOff>83241</xdr:rowOff>
    </xdr:to>
    <xdr:sp macro="" textlink="">
      <xdr:nvSpPr>
        <xdr:cNvPr id="881" name="Line 66"/>
        <xdr:cNvSpPr>
          <a:spLocks noChangeShapeType="1"/>
        </xdr:cNvSpPr>
      </xdr:nvSpPr>
      <xdr:spPr bwMode="auto">
        <a:xfrm flipV="1">
          <a:off x="17829333" y="39097023"/>
          <a:ext cx="495428" cy="153018"/>
        </a:xfrm>
        <a:prstGeom prst="line">
          <a:avLst/>
        </a:prstGeom>
        <a:noFill/>
        <a:ln w="3175">
          <a:solidFill>
            <a:srgbClr val="000000"/>
          </a:solidFill>
          <a:round/>
          <a:headEnd/>
          <a:tailEnd/>
        </a:ln>
      </xdr:spPr>
    </xdr:sp>
    <xdr:clientData/>
  </xdr:twoCellAnchor>
  <xdr:twoCellAnchor>
    <xdr:from>
      <xdr:col>29</xdr:col>
      <xdr:colOff>150933</xdr:colOff>
      <xdr:row>258</xdr:row>
      <xdr:rowOff>36079</xdr:rowOff>
    </xdr:from>
    <xdr:to>
      <xdr:col>30</xdr:col>
      <xdr:colOff>36761</xdr:colOff>
      <xdr:row>259</xdr:row>
      <xdr:rowOff>36697</xdr:rowOff>
    </xdr:to>
    <xdr:sp macro="" textlink="">
      <xdr:nvSpPr>
        <xdr:cNvPr id="882" name="Line 67"/>
        <xdr:cNvSpPr>
          <a:spLocks noChangeShapeType="1"/>
        </xdr:cNvSpPr>
      </xdr:nvSpPr>
      <xdr:spPr bwMode="auto">
        <a:xfrm flipV="1">
          <a:off x="17829333" y="39355279"/>
          <a:ext cx="495428" cy="153018"/>
        </a:xfrm>
        <a:prstGeom prst="line">
          <a:avLst/>
        </a:prstGeom>
        <a:noFill/>
        <a:ln w="3175">
          <a:solidFill>
            <a:srgbClr val="000000"/>
          </a:solidFill>
          <a:round/>
          <a:headEnd/>
          <a:tailEnd/>
        </a:ln>
      </xdr:spPr>
    </xdr:sp>
    <xdr:clientData/>
  </xdr:twoCellAnchor>
  <xdr:twoCellAnchor>
    <xdr:from>
      <xdr:col>29</xdr:col>
      <xdr:colOff>150933</xdr:colOff>
      <xdr:row>258</xdr:row>
      <xdr:rowOff>102970</xdr:rowOff>
    </xdr:from>
    <xdr:to>
      <xdr:col>30</xdr:col>
      <xdr:colOff>36761</xdr:colOff>
      <xdr:row>259</xdr:row>
      <xdr:rowOff>103588</xdr:rowOff>
    </xdr:to>
    <xdr:sp macro="" textlink="">
      <xdr:nvSpPr>
        <xdr:cNvPr id="883" name="Line 68"/>
        <xdr:cNvSpPr>
          <a:spLocks noChangeShapeType="1"/>
        </xdr:cNvSpPr>
      </xdr:nvSpPr>
      <xdr:spPr bwMode="auto">
        <a:xfrm flipV="1">
          <a:off x="17829333" y="39422170"/>
          <a:ext cx="495428" cy="153018"/>
        </a:xfrm>
        <a:prstGeom prst="line">
          <a:avLst/>
        </a:prstGeom>
        <a:noFill/>
        <a:ln w="3175">
          <a:solidFill>
            <a:srgbClr val="000000"/>
          </a:solidFill>
          <a:round/>
          <a:headEnd/>
          <a:tailEnd/>
        </a:ln>
      </xdr:spPr>
    </xdr:sp>
    <xdr:clientData/>
  </xdr:twoCellAnchor>
  <xdr:twoCellAnchor>
    <xdr:from>
      <xdr:col>29</xdr:col>
      <xdr:colOff>150933</xdr:colOff>
      <xdr:row>258</xdr:row>
      <xdr:rowOff>169861</xdr:rowOff>
    </xdr:from>
    <xdr:to>
      <xdr:col>30</xdr:col>
      <xdr:colOff>36761</xdr:colOff>
      <xdr:row>259</xdr:row>
      <xdr:rowOff>170479</xdr:rowOff>
    </xdr:to>
    <xdr:sp macro="" textlink="">
      <xdr:nvSpPr>
        <xdr:cNvPr id="884" name="Line 69"/>
        <xdr:cNvSpPr>
          <a:spLocks noChangeShapeType="1"/>
        </xdr:cNvSpPr>
      </xdr:nvSpPr>
      <xdr:spPr bwMode="auto">
        <a:xfrm flipV="1">
          <a:off x="17829333" y="39470011"/>
          <a:ext cx="495428" cy="153018"/>
        </a:xfrm>
        <a:prstGeom prst="line">
          <a:avLst/>
        </a:prstGeom>
        <a:noFill/>
        <a:ln w="3175">
          <a:solidFill>
            <a:srgbClr val="000000"/>
          </a:solidFill>
          <a:round/>
          <a:headEnd/>
          <a:tailEnd/>
        </a:ln>
      </xdr:spPr>
    </xdr:sp>
    <xdr:clientData/>
  </xdr:twoCellAnchor>
  <xdr:twoCellAnchor>
    <xdr:from>
      <xdr:col>29</xdr:col>
      <xdr:colOff>150933</xdr:colOff>
      <xdr:row>257</xdr:row>
      <xdr:rowOff>159688</xdr:rowOff>
    </xdr:from>
    <xdr:to>
      <xdr:col>30</xdr:col>
      <xdr:colOff>36761</xdr:colOff>
      <xdr:row>258</xdr:row>
      <xdr:rowOff>160306</xdr:rowOff>
    </xdr:to>
    <xdr:sp macro="" textlink="">
      <xdr:nvSpPr>
        <xdr:cNvPr id="885" name="Line 70"/>
        <xdr:cNvSpPr>
          <a:spLocks noChangeShapeType="1"/>
        </xdr:cNvSpPr>
      </xdr:nvSpPr>
      <xdr:spPr bwMode="auto">
        <a:xfrm flipV="1">
          <a:off x="17829333" y="39316963"/>
          <a:ext cx="495428" cy="153018"/>
        </a:xfrm>
        <a:prstGeom prst="line">
          <a:avLst/>
        </a:prstGeom>
        <a:noFill/>
        <a:ln w="3175">
          <a:solidFill>
            <a:srgbClr val="000000"/>
          </a:solidFill>
          <a:round/>
          <a:headEnd/>
          <a:tailEnd/>
        </a:ln>
      </xdr:spPr>
    </xdr:sp>
    <xdr:clientData/>
  </xdr:twoCellAnchor>
  <xdr:twoCellAnchor>
    <xdr:from>
      <xdr:col>29</xdr:col>
      <xdr:colOff>150933</xdr:colOff>
      <xdr:row>263</xdr:row>
      <xdr:rowOff>153838</xdr:rowOff>
    </xdr:from>
    <xdr:to>
      <xdr:col>30</xdr:col>
      <xdr:colOff>36761</xdr:colOff>
      <xdr:row>264</xdr:row>
      <xdr:rowOff>154456</xdr:rowOff>
    </xdr:to>
    <xdr:sp macro="" textlink="">
      <xdr:nvSpPr>
        <xdr:cNvPr id="886" name="Line 71"/>
        <xdr:cNvSpPr>
          <a:spLocks noChangeShapeType="1"/>
        </xdr:cNvSpPr>
      </xdr:nvSpPr>
      <xdr:spPr bwMode="auto">
        <a:xfrm flipV="1">
          <a:off x="17829333" y="40235038"/>
          <a:ext cx="495428" cy="153018"/>
        </a:xfrm>
        <a:prstGeom prst="line">
          <a:avLst/>
        </a:prstGeom>
        <a:noFill/>
        <a:ln w="3175">
          <a:solidFill>
            <a:srgbClr val="000000"/>
          </a:solidFill>
          <a:round/>
          <a:headEnd/>
          <a:tailEnd/>
        </a:ln>
      </xdr:spPr>
    </xdr:sp>
    <xdr:clientData/>
  </xdr:twoCellAnchor>
  <xdr:twoCellAnchor>
    <xdr:from>
      <xdr:col>29</xdr:col>
      <xdr:colOff>150933</xdr:colOff>
      <xdr:row>264</xdr:row>
      <xdr:rowOff>30229</xdr:rowOff>
    </xdr:from>
    <xdr:to>
      <xdr:col>30</xdr:col>
      <xdr:colOff>36761</xdr:colOff>
      <xdr:row>265</xdr:row>
      <xdr:rowOff>30847</xdr:rowOff>
    </xdr:to>
    <xdr:sp macro="" textlink="">
      <xdr:nvSpPr>
        <xdr:cNvPr id="887" name="Line 72"/>
        <xdr:cNvSpPr>
          <a:spLocks noChangeShapeType="1"/>
        </xdr:cNvSpPr>
      </xdr:nvSpPr>
      <xdr:spPr bwMode="auto">
        <a:xfrm flipV="1">
          <a:off x="17829333" y="40263829"/>
          <a:ext cx="495428" cy="153018"/>
        </a:xfrm>
        <a:prstGeom prst="line">
          <a:avLst/>
        </a:prstGeom>
        <a:noFill/>
        <a:ln w="3175">
          <a:solidFill>
            <a:srgbClr val="000000"/>
          </a:solidFill>
          <a:round/>
          <a:headEnd/>
          <a:tailEnd/>
        </a:ln>
      </xdr:spPr>
    </xdr:sp>
    <xdr:clientData/>
  </xdr:twoCellAnchor>
  <xdr:twoCellAnchor>
    <xdr:from>
      <xdr:col>29</xdr:col>
      <xdr:colOff>150933</xdr:colOff>
      <xdr:row>264</xdr:row>
      <xdr:rowOff>97120</xdr:rowOff>
    </xdr:from>
    <xdr:to>
      <xdr:col>30</xdr:col>
      <xdr:colOff>36761</xdr:colOff>
      <xdr:row>265</xdr:row>
      <xdr:rowOff>97738</xdr:rowOff>
    </xdr:to>
    <xdr:sp macro="" textlink="">
      <xdr:nvSpPr>
        <xdr:cNvPr id="888" name="Line 73"/>
        <xdr:cNvSpPr>
          <a:spLocks noChangeShapeType="1"/>
        </xdr:cNvSpPr>
      </xdr:nvSpPr>
      <xdr:spPr bwMode="auto">
        <a:xfrm flipV="1">
          <a:off x="17829333" y="40330720"/>
          <a:ext cx="495428" cy="153018"/>
        </a:xfrm>
        <a:prstGeom prst="line">
          <a:avLst/>
        </a:prstGeom>
        <a:noFill/>
        <a:ln w="3175">
          <a:solidFill>
            <a:srgbClr val="000000"/>
          </a:solidFill>
          <a:round/>
          <a:headEnd/>
          <a:tailEnd/>
        </a:ln>
      </xdr:spPr>
    </xdr:sp>
    <xdr:clientData/>
  </xdr:twoCellAnchor>
  <xdr:twoCellAnchor>
    <xdr:from>
      <xdr:col>29</xdr:col>
      <xdr:colOff>150933</xdr:colOff>
      <xdr:row>263</xdr:row>
      <xdr:rowOff>86946</xdr:rowOff>
    </xdr:from>
    <xdr:to>
      <xdr:col>30</xdr:col>
      <xdr:colOff>36761</xdr:colOff>
      <xdr:row>264</xdr:row>
      <xdr:rowOff>87564</xdr:rowOff>
    </xdr:to>
    <xdr:sp macro="" textlink="">
      <xdr:nvSpPr>
        <xdr:cNvPr id="889" name="Line 74"/>
        <xdr:cNvSpPr>
          <a:spLocks noChangeShapeType="1"/>
        </xdr:cNvSpPr>
      </xdr:nvSpPr>
      <xdr:spPr bwMode="auto">
        <a:xfrm flipV="1">
          <a:off x="17829333" y="40168146"/>
          <a:ext cx="495428" cy="153018"/>
        </a:xfrm>
        <a:prstGeom prst="line">
          <a:avLst/>
        </a:prstGeom>
        <a:noFill/>
        <a:ln w="3175">
          <a:solidFill>
            <a:srgbClr val="000000"/>
          </a:solidFill>
          <a:round/>
          <a:headEnd/>
          <a:tailEnd/>
        </a:ln>
      </xdr:spPr>
    </xdr:sp>
    <xdr:clientData/>
  </xdr:twoCellAnchor>
  <xdr:twoCellAnchor>
    <xdr:from>
      <xdr:col>29</xdr:col>
      <xdr:colOff>150933</xdr:colOff>
      <xdr:row>255</xdr:row>
      <xdr:rowOff>148897</xdr:rowOff>
    </xdr:from>
    <xdr:to>
      <xdr:col>29</xdr:col>
      <xdr:colOff>258317</xdr:colOff>
      <xdr:row>256</xdr:row>
      <xdr:rowOff>73068</xdr:rowOff>
    </xdr:to>
    <xdr:sp macro="" textlink="">
      <xdr:nvSpPr>
        <xdr:cNvPr id="890" name="Line 75"/>
        <xdr:cNvSpPr>
          <a:spLocks noChangeShapeType="1"/>
        </xdr:cNvSpPr>
      </xdr:nvSpPr>
      <xdr:spPr bwMode="auto">
        <a:xfrm flipV="1">
          <a:off x="17829333" y="39010897"/>
          <a:ext cx="107384" cy="76571"/>
        </a:xfrm>
        <a:prstGeom prst="line">
          <a:avLst/>
        </a:prstGeom>
        <a:noFill/>
        <a:ln w="3175">
          <a:solidFill>
            <a:srgbClr val="000000"/>
          </a:solidFill>
          <a:round/>
          <a:headEnd/>
          <a:tailEnd/>
        </a:ln>
      </xdr:spPr>
    </xdr:sp>
    <xdr:clientData/>
  </xdr:twoCellAnchor>
  <xdr:twoCellAnchor>
    <xdr:from>
      <xdr:col>29</xdr:col>
      <xdr:colOff>150933</xdr:colOff>
      <xdr:row>255</xdr:row>
      <xdr:rowOff>158453</xdr:rowOff>
    </xdr:from>
    <xdr:to>
      <xdr:col>30</xdr:col>
      <xdr:colOff>17237</xdr:colOff>
      <xdr:row>256</xdr:row>
      <xdr:rowOff>139959</xdr:rowOff>
    </xdr:to>
    <xdr:sp macro="" textlink="">
      <xdr:nvSpPr>
        <xdr:cNvPr id="891" name="Line 76"/>
        <xdr:cNvSpPr>
          <a:spLocks noChangeShapeType="1"/>
        </xdr:cNvSpPr>
      </xdr:nvSpPr>
      <xdr:spPr bwMode="auto">
        <a:xfrm flipV="1">
          <a:off x="17829333" y="39010928"/>
          <a:ext cx="475904" cy="143431"/>
        </a:xfrm>
        <a:prstGeom prst="line">
          <a:avLst/>
        </a:prstGeom>
        <a:noFill/>
        <a:ln w="3175">
          <a:solidFill>
            <a:srgbClr val="000000"/>
          </a:solidFill>
          <a:round/>
          <a:headEnd/>
          <a:tailEnd/>
        </a:ln>
      </xdr:spPr>
    </xdr:sp>
    <xdr:clientData/>
  </xdr:twoCellAnchor>
  <xdr:twoCellAnchor>
    <xdr:from>
      <xdr:col>29</xdr:col>
      <xdr:colOff>150933</xdr:colOff>
      <xdr:row>256</xdr:row>
      <xdr:rowOff>15732</xdr:rowOff>
    </xdr:from>
    <xdr:to>
      <xdr:col>30</xdr:col>
      <xdr:colOff>36761</xdr:colOff>
      <xdr:row>257</xdr:row>
      <xdr:rowOff>16350</xdr:rowOff>
    </xdr:to>
    <xdr:sp macro="" textlink="">
      <xdr:nvSpPr>
        <xdr:cNvPr id="892" name="Line 77"/>
        <xdr:cNvSpPr>
          <a:spLocks noChangeShapeType="1"/>
        </xdr:cNvSpPr>
      </xdr:nvSpPr>
      <xdr:spPr bwMode="auto">
        <a:xfrm flipV="1">
          <a:off x="17829333" y="39030132"/>
          <a:ext cx="495428" cy="153018"/>
        </a:xfrm>
        <a:prstGeom prst="line">
          <a:avLst/>
        </a:prstGeom>
        <a:noFill/>
        <a:ln w="3175">
          <a:solidFill>
            <a:srgbClr val="000000"/>
          </a:solidFill>
          <a:round/>
          <a:headEnd/>
          <a:tailEnd/>
        </a:ln>
      </xdr:spPr>
    </xdr:sp>
    <xdr:clientData/>
  </xdr:twoCellAnchor>
  <xdr:twoCellAnchor>
    <xdr:from>
      <xdr:col>29</xdr:col>
      <xdr:colOff>150933</xdr:colOff>
      <xdr:row>255</xdr:row>
      <xdr:rowOff>148897</xdr:rowOff>
    </xdr:from>
    <xdr:to>
      <xdr:col>29</xdr:col>
      <xdr:colOff>199744</xdr:colOff>
      <xdr:row>256</xdr:row>
      <xdr:rowOff>6176</xdr:rowOff>
    </xdr:to>
    <xdr:sp macro="" textlink="">
      <xdr:nvSpPr>
        <xdr:cNvPr id="893" name="Line 78"/>
        <xdr:cNvSpPr>
          <a:spLocks noChangeShapeType="1"/>
        </xdr:cNvSpPr>
      </xdr:nvSpPr>
      <xdr:spPr bwMode="auto">
        <a:xfrm flipV="1">
          <a:off x="17829333" y="39010897"/>
          <a:ext cx="48811" cy="9679"/>
        </a:xfrm>
        <a:prstGeom prst="line">
          <a:avLst/>
        </a:prstGeom>
        <a:noFill/>
        <a:ln w="3175">
          <a:solidFill>
            <a:srgbClr val="000000"/>
          </a:solidFill>
          <a:round/>
          <a:headEnd/>
          <a:tailEnd/>
        </a:ln>
      </xdr:spPr>
    </xdr:sp>
    <xdr:clientData/>
  </xdr:twoCellAnchor>
  <xdr:twoCellAnchor>
    <xdr:from>
      <xdr:col>29</xdr:col>
      <xdr:colOff>150933</xdr:colOff>
      <xdr:row>262</xdr:row>
      <xdr:rowOff>76773</xdr:rowOff>
    </xdr:from>
    <xdr:to>
      <xdr:col>30</xdr:col>
      <xdr:colOff>36761</xdr:colOff>
      <xdr:row>263</xdr:row>
      <xdr:rowOff>77391</xdr:rowOff>
    </xdr:to>
    <xdr:sp macro="" textlink="">
      <xdr:nvSpPr>
        <xdr:cNvPr id="894" name="Line 79"/>
        <xdr:cNvSpPr>
          <a:spLocks noChangeShapeType="1"/>
        </xdr:cNvSpPr>
      </xdr:nvSpPr>
      <xdr:spPr bwMode="auto">
        <a:xfrm flipV="1">
          <a:off x="17829333" y="40005573"/>
          <a:ext cx="495428" cy="153018"/>
        </a:xfrm>
        <a:prstGeom prst="line">
          <a:avLst/>
        </a:prstGeom>
        <a:noFill/>
        <a:ln w="3175">
          <a:solidFill>
            <a:srgbClr val="000000"/>
          </a:solidFill>
          <a:round/>
          <a:headEnd/>
          <a:tailEnd/>
        </a:ln>
      </xdr:spPr>
    </xdr:sp>
    <xdr:clientData/>
  </xdr:twoCellAnchor>
  <xdr:twoCellAnchor>
    <xdr:from>
      <xdr:col>29</xdr:col>
      <xdr:colOff>150933</xdr:colOff>
      <xdr:row>262</xdr:row>
      <xdr:rowOff>143664</xdr:rowOff>
    </xdr:from>
    <xdr:to>
      <xdr:col>30</xdr:col>
      <xdr:colOff>36761</xdr:colOff>
      <xdr:row>263</xdr:row>
      <xdr:rowOff>144282</xdr:rowOff>
    </xdr:to>
    <xdr:sp macro="" textlink="">
      <xdr:nvSpPr>
        <xdr:cNvPr id="895" name="Line 80"/>
        <xdr:cNvSpPr>
          <a:spLocks noChangeShapeType="1"/>
        </xdr:cNvSpPr>
      </xdr:nvSpPr>
      <xdr:spPr bwMode="auto">
        <a:xfrm flipV="1">
          <a:off x="17829333" y="40072464"/>
          <a:ext cx="495428" cy="153018"/>
        </a:xfrm>
        <a:prstGeom prst="line">
          <a:avLst/>
        </a:prstGeom>
        <a:noFill/>
        <a:ln w="3175">
          <a:solidFill>
            <a:srgbClr val="000000"/>
          </a:solidFill>
          <a:round/>
          <a:headEnd/>
          <a:tailEnd/>
        </a:ln>
      </xdr:spPr>
    </xdr:sp>
    <xdr:clientData/>
  </xdr:twoCellAnchor>
  <xdr:twoCellAnchor>
    <xdr:from>
      <xdr:col>29</xdr:col>
      <xdr:colOff>150933</xdr:colOff>
      <xdr:row>263</xdr:row>
      <xdr:rowOff>20055</xdr:rowOff>
    </xdr:from>
    <xdr:to>
      <xdr:col>30</xdr:col>
      <xdr:colOff>36761</xdr:colOff>
      <xdr:row>264</xdr:row>
      <xdr:rowOff>20673</xdr:rowOff>
    </xdr:to>
    <xdr:sp macro="" textlink="">
      <xdr:nvSpPr>
        <xdr:cNvPr id="896" name="Line 81"/>
        <xdr:cNvSpPr>
          <a:spLocks noChangeShapeType="1"/>
        </xdr:cNvSpPr>
      </xdr:nvSpPr>
      <xdr:spPr bwMode="auto">
        <a:xfrm flipV="1">
          <a:off x="17829333" y="40101255"/>
          <a:ext cx="495428" cy="153018"/>
        </a:xfrm>
        <a:prstGeom prst="line">
          <a:avLst/>
        </a:prstGeom>
        <a:noFill/>
        <a:ln w="3175">
          <a:solidFill>
            <a:srgbClr val="000000"/>
          </a:solidFill>
          <a:round/>
          <a:headEnd/>
          <a:tailEnd/>
        </a:ln>
      </xdr:spPr>
    </xdr:sp>
    <xdr:clientData/>
  </xdr:twoCellAnchor>
  <xdr:twoCellAnchor>
    <xdr:from>
      <xdr:col>29</xdr:col>
      <xdr:colOff>150933</xdr:colOff>
      <xdr:row>262</xdr:row>
      <xdr:rowOff>9882</xdr:rowOff>
    </xdr:from>
    <xdr:to>
      <xdr:col>30</xdr:col>
      <xdr:colOff>36761</xdr:colOff>
      <xdr:row>263</xdr:row>
      <xdr:rowOff>10500</xdr:rowOff>
    </xdr:to>
    <xdr:sp macro="" textlink="">
      <xdr:nvSpPr>
        <xdr:cNvPr id="897" name="Line 82"/>
        <xdr:cNvSpPr>
          <a:spLocks noChangeShapeType="1"/>
        </xdr:cNvSpPr>
      </xdr:nvSpPr>
      <xdr:spPr bwMode="auto">
        <a:xfrm flipV="1">
          <a:off x="17829333" y="39938682"/>
          <a:ext cx="495428" cy="153018"/>
        </a:xfrm>
        <a:prstGeom prst="line">
          <a:avLst/>
        </a:prstGeom>
        <a:noFill/>
        <a:ln w="3175">
          <a:solidFill>
            <a:srgbClr val="000000"/>
          </a:solidFill>
          <a:round/>
          <a:headEnd/>
          <a:tailEnd/>
        </a:ln>
      </xdr:spPr>
    </xdr:sp>
    <xdr:clientData/>
  </xdr:twoCellAnchor>
  <xdr:twoCellAnchor>
    <xdr:from>
      <xdr:col>29</xdr:col>
      <xdr:colOff>150933</xdr:colOff>
      <xdr:row>266</xdr:row>
      <xdr:rowOff>117467</xdr:rowOff>
    </xdr:from>
    <xdr:to>
      <xdr:col>30</xdr:col>
      <xdr:colOff>36761</xdr:colOff>
      <xdr:row>267</xdr:row>
      <xdr:rowOff>118085</xdr:rowOff>
    </xdr:to>
    <xdr:sp macro="" textlink="">
      <xdr:nvSpPr>
        <xdr:cNvPr id="898" name="Line 83"/>
        <xdr:cNvSpPr>
          <a:spLocks noChangeShapeType="1"/>
        </xdr:cNvSpPr>
      </xdr:nvSpPr>
      <xdr:spPr bwMode="auto">
        <a:xfrm flipV="1">
          <a:off x="17829333" y="40655867"/>
          <a:ext cx="495428" cy="153018"/>
        </a:xfrm>
        <a:prstGeom prst="line">
          <a:avLst/>
        </a:prstGeom>
        <a:noFill/>
        <a:ln w="3175">
          <a:solidFill>
            <a:srgbClr val="000000"/>
          </a:solidFill>
          <a:round/>
          <a:headEnd/>
          <a:tailEnd/>
        </a:ln>
      </xdr:spPr>
    </xdr:sp>
    <xdr:clientData/>
  </xdr:twoCellAnchor>
  <xdr:twoCellAnchor>
    <xdr:from>
      <xdr:col>29</xdr:col>
      <xdr:colOff>150933</xdr:colOff>
      <xdr:row>266</xdr:row>
      <xdr:rowOff>184358</xdr:rowOff>
    </xdr:from>
    <xdr:to>
      <xdr:col>30</xdr:col>
      <xdr:colOff>36761</xdr:colOff>
      <xdr:row>267</xdr:row>
      <xdr:rowOff>184976</xdr:rowOff>
    </xdr:to>
    <xdr:sp macro="" textlink="">
      <xdr:nvSpPr>
        <xdr:cNvPr id="899" name="Line 84"/>
        <xdr:cNvSpPr>
          <a:spLocks noChangeShapeType="1"/>
        </xdr:cNvSpPr>
      </xdr:nvSpPr>
      <xdr:spPr bwMode="auto">
        <a:xfrm flipV="1">
          <a:off x="17829333" y="40694183"/>
          <a:ext cx="495428" cy="153018"/>
        </a:xfrm>
        <a:prstGeom prst="line">
          <a:avLst/>
        </a:prstGeom>
        <a:noFill/>
        <a:ln w="3175">
          <a:solidFill>
            <a:srgbClr val="000000"/>
          </a:solidFill>
          <a:round/>
          <a:headEnd/>
          <a:tailEnd/>
        </a:ln>
      </xdr:spPr>
    </xdr:sp>
    <xdr:clientData/>
  </xdr:twoCellAnchor>
  <xdr:twoCellAnchor>
    <xdr:from>
      <xdr:col>29</xdr:col>
      <xdr:colOff>150933</xdr:colOff>
      <xdr:row>267</xdr:row>
      <xdr:rowOff>60749</xdr:rowOff>
    </xdr:from>
    <xdr:to>
      <xdr:col>30</xdr:col>
      <xdr:colOff>36761</xdr:colOff>
      <xdr:row>268</xdr:row>
      <xdr:rowOff>61367</xdr:rowOff>
    </xdr:to>
    <xdr:sp macro="" textlink="">
      <xdr:nvSpPr>
        <xdr:cNvPr id="900" name="Line 85"/>
        <xdr:cNvSpPr>
          <a:spLocks noChangeShapeType="1"/>
        </xdr:cNvSpPr>
      </xdr:nvSpPr>
      <xdr:spPr bwMode="auto">
        <a:xfrm flipV="1">
          <a:off x="17829333" y="40751549"/>
          <a:ext cx="495428" cy="153018"/>
        </a:xfrm>
        <a:prstGeom prst="line">
          <a:avLst/>
        </a:prstGeom>
        <a:noFill/>
        <a:ln w="3175">
          <a:solidFill>
            <a:srgbClr val="000000"/>
          </a:solidFill>
          <a:round/>
          <a:headEnd/>
          <a:tailEnd/>
        </a:ln>
      </xdr:spPr>
    </xdr:sp>
    <xdr:clientData/>
  </xdr:twoCellAnchor>
  <xdr:twoCellAnchor>
    <xdr:from>
      <xdr:col>29</xdr:col>
      <xdr:colOff>150933</xdr:colOff>
      <xdr:row>266</xdr:row>
      <xdr:rowOff>50576</xdr:rowOff>
    </xdr:from>
    <xdr:to>
      <xdr:col>30</xdr:col>
      <xdr:colOff>36761</xdr:colOff>
      <xdr:row>267</xdr:row>
      <xdr:rowOff>51194</xdr:rowOff>
    </xdr:to>
    <xdr:sp macro="" textlink="">
      <xdr:nvSpPr>
        <xdr:cNvPr id="901" name="Line 86"/>
        <xdr:cNvSpPr>
          <a:spLocks noChangeShapeType="1"/>
        </xdr:cNvSpPr>
      </xdr:nvSpPr>
      <xdr:spPr bwMode="auto">
        <a:xfrm flipV="1">
          <a:off x="17829333" y="40588976"/>
          <a:ext cx="495428" cy="153018"/>
        </a:xfrm>
        <a:prstGeom prst="line">
          <a:avLst/>
        </a:prstGeom>
        <a:noFill/>
        <a:ln w="3175">
          <a:solidFill>
            <a:srgbClr val="000000"/>
          </a:solidFill>
          <a:round/>
          <a:headEnd/>
          <a:tailEnd/>
        </a:ln>
      </xdr:spPr>
    </xdr:sp>
    <xdr:clientData/>
  </xdr:twoCellAnchor>
  <xdr:twoCellAnchor>
    <xdr:from>
      <xdr:col>29</xdr:col>
      <xdr:colOff>150933</xdr:colOff>
      <xdr:row>265</xdr:row>
      <xdr:rowOff>40402</xdr:rowOff>
    </xdr:from>
    <xdr:to>
      <xdr:col>30</xdr:col>
      <xdr:colOff>36761</xdr:colOff>
      <xdr:row>266</xdr:row>
      <xdr:rowOff>41020</xdr:rowOff>
    </xdr:to>
    <xdr:sp macro="" textlink="">
      <xdr:nvSpPr>
        <xdr:cNvPr id="902" name="Line 87"/>
        <xdr:cNvSpPr>
          <a:spLocks noChangeShapeType="1"/>
        </xdr:cNvSpPr>
      </xdr:nvSpPr>
      <xdr:spPr bwMode="auto">
        <a:xfrm flipV="1">
          <a:off x="17829333" y="40426402"/>
          <a:ext cx="495428" cy="153018"/>
        </a:xfrm>
        <a:prstGeom prst="line">
          <a:avLst/>
        </a:prstGeom>
        <a:noFill/>
        <a:ln w="3175">
          <a:solidFill>
            <a:srgbClr val="000000"/>
          </a:solidFill>
          <a:round/>
          <a:headEnd/>
          <a:tailEnd/>
        </a:ln>
      </xdr:spPr>
    </xdr:sp>
    <xdr:clientData/>
  </xdr:twoCellAnchor>
  <xdr:twoCellAnchor>
    <xdr:from>
      <xdr:col>29</xdr:col>
      <xdr:colOff>150933</xdr:colOff>
      <xdr:row>265</xdr:row>
      <xdr:rowOff>107293</xdr:rowOff>
    </xdr:from>
    <xdr:to>
      <xdr:col>30</xdr:col>
      <xdr:colOff>36761</xdr:colOff>
      <xdr:row>266</xdr:row>
      <xdr:rowOff>107911</xdr:rowOff>
    </xdr:to>
    <xdr:sp macro="" textlink="">
      <xdr:nvSpPr>
        <xdr:cNvPr id="903" name="Line 88"/>
        <xdr:cNvSpPr>
          <a:spLocks noChangeShapeType="1"/>
        </xdr:cNvSpPr>
      </xdr:nvSpPr>
      <xdr:spPr bwMode="auto">
        <a:xfrm flipV="1">
          <a:off x="17829333" y="40493293"/>
          <a:ext cx="495428" cy="153018"/>
        </a:xfrm>
        <a:prstGeom prst="line">
          <a:avLst/>
        </a:prstGeom>
        <a:noFill/>
        <a:ln w="3175">
          <a:solidFill>
            <a:srgbClr val="000000"/>
          </a:solidFill>
          <a:round/>
          <a:headEnd/>
          <a:tailEnd/>
        </a:ln>
      </xdr:spPr>
    </xdr:sp>
    <xdr:clientData/>
  </xdr:twoCellAnchor>
  <xdr:twoCellAnchor>
    <xdr:from>
      <xdr:col>29</xdr:col>
      <xdr:colOff>150933</xdr:colOff>
      <xdr:row>265</xdr:row>
      <xdr:rowOff>174184</xdr:rowOff>
    </xdr:from>
    <xdr:to>
      <xdr:col>30</xdr:col>
      <xdr:colOff>36761</xdr:colOff>
      <xdr:row>266</xdr:row>
      <xdr:rowOff>174802</xdr:rowOff>
    </xdr:to>
    <xdr:sp macro="" textlink="">
      <xdr:nvSpPr>
        <xdr:cNvPr id="904" name="Line 89"/>
        <xdr:cNvSpPr>
          <a:spLocks noChangeShapeType="1"/>
        </xdr:cNvSpPr>
      </xdr:nvSpPr>
      <xdr:spPr bwMode="auto">
        <a:xfrm flipV="1">
          <a:off x="17829333" y="40541134"/>
          <a:ext cx="495428" cy="153018"/>
        </a:xfrm>
        <a:prstGeom prst="line">
          <a:avLst/>
        </a:prstGeom>
        <a:noFill/>
        <a:ln w="3175">
          <a:solidFill>
            <a:srgbClr val="000000"/>
          </a:solidFill>
          <a:round/>
          <a:headEnd/>
          <a:tailEnd/>
        </a:ln>
      </xdr:spPr>
    </xdr:sp>
    <xdr:clientData/>
  </xdr:twoCellAnchor>
  <xdr:twoCellAnchor>
    <xdr:from>
      <xdr:col>29</xdr:col>
      <xdr:colOff>150933</xdr:colOff>
      <xdr:row>264</xdr:row>
      <xdr:rowOff>164011</xdr:rowOff>
    </xdr:from>
    <xdr:to>
      <xdr:col>30</xdr:col>
      <xdr:colOff>36761</xdr:colOff>
      <xdr:row>265</xdr:row>
      <xdr:rowOff>164629</xdr:rowOff>
    </xdr:to>
    <xdr:sp macro="" textlink="">
      <xdr:nvSpPr>
        <xdr:cNvPr id="905" name="Line 90"/>
        <xdr:cNvSpPr>
          <a:spLocks noChangeShapeType="1"/>
        </xdr:cNvSpPr>
      </xdr:nvSpPr>
      <xdr:spPr bwMode="auto">
        <a:xfrm flipV="1">
          <a:off x="17829333" y="40388086"/>
          <a:ext cx="495428" cy="153018"/>
        </a:xfrm>
        <a:prstGeom prst="line">
          <a:avLst/>
        </a:prstGeom>
        <a:noFill/>
        <a:ln w="3175">
          <a:solidFill>
            <a:srgbClr val="000000"/>
          </a:solidFill>
          <a:round/>
          <a:headEnd/>
          <a:tailEnd/>
        </a:ln>
      </xdr:spPr>
    </xdr:sp>
    <xdr:clientData/>
  </xdr:twoCellAnchor>
  <xdr:twoCellAnchor>
    <xdr:from>
      <xdr:col>29</xdr:col>
      <xdr:colOff>150933</xdr:colOff>
      <xdr:row>269</xdr:row>
      <xdr:rowOff>81096</xdr:rowOff>
    </xdr:from>
    <xdr:to>
      <xdr:col>30</xdr:col>
      <xdr:colOff>36761</xdr:colOff>
      <xdr:row>270</xdr:row>
      <xdr:rowOff>81714</xdr:rowOff>
    </xdr:to>
    <xdr:sp macro="" textlink="">
      <xdr:nvSpPr>
        <xdr:cNvPr id="906" name="Line 91"/>
        <xdr:cNvSpPr>
          <a:spLocks noChangeShapeType="1"/>
        </xdr:cNvSpPr>
      </xdr:nvSpPr>
      <xdr:spPr bwMode="auto">
        <a:xfrm flipV="1">
          <a:off x="17829333" y="41076696"/>
          <a:ext cx="495428" cy="153018"/>
        </a:xfrm>
        <a:prstGeom prst="line">
          <a:avLst/>
        </a:prstGeom>
        <a:noFill/>
        <a:ln w="3175">
          <a:solidFill>
            <a:srgbClr val="000000"/>
          </a:solidFill>
          <a:round/>
          <a:headEnd/>
          <a:tailEnd/>
        </a:ln>
      </xdr:spPr>
    </xdr:sp>
    <xdr:clientData/>
  </xdr:twoCellAnchor>
  <xdr:twoCellAnchor>
    <xdr:from>
      <xdr:col>29</xdr:col>
      <xdr:colOff>150933</xdr:colOff>
      <xdr:row>269</xdr:row>
      <xdr:rowOff>147987</xdr:rowOff>
    </xdr:from>
    <xdr:to>
      <xdr:col>30</xdr:col>
      <xdr:colOff>36761</xdr:colOff>
      <xdr:row>270</xdr:row>
      <xdr:rowOff>148605</xdr:rowOff>
    </xdr:to>
    <xdr:sp macro="" textlink="">
      <xdr:nvSpPr>
        <xdr:cNvPr id="907" name="Line 92"/>
        <xdr:cNvSpPr>
          <a:spLocks noChangeShapeType="1"/>
        </xdr:cNvSpPr>
      </xdr:nvSpPr>
      <xdr:spPr bwMode="auto">
        <a:xfrm flipV="1">
          <a:off x="17829333" y="41143587"/>
          <a:ext cx="495428" cy="153018"/>
        </a:xfrm>
        <a:prstGeom prst="line">
          <a:avLst/>
        </a:prstGeom>
        <a:noFill/>
        <a:ln w="3175">
          <a:solidFill>
            <a:srgbClr val="000000"/>
          </a:solidFill>
          <a:round/>
          <a:headEnd/>
          <a:tailEnd/>
        </a:ln>
      </xdr:spPr>
    </xdr:sp>
    <xdr:clientData/>
  </xdr:twoCellAnchor>
  <xdr:twoCellAnchor>
    <xdr:from>
      <xdr:col>29</xdr:col>
      <xdr:colOff>150933</xdr:colOff>
      <xdr:row>270</xdr:row>
      <xdr:rowOff>24378</xdr:rowOff>
    </xdr:from>
    <xdr:to>
      <xdr:col>30</xdr:col>
      <xdr:colOff>36761</xdr:colOff>
      <xdr:row>271</xdr:row>
      <xdr:rowOff>24996</xdr:rowOff>
    </xdr:to>
    <xdr:sp macro="" textlink="">
      <xdr:nvSpPr>
        <xdr:cNvPr id="908" name="Line 93"/>
        <xdr:cNvSpPr>
          <a:spLocks noChangeShapeType="1"/>
        </xdr:cNvSpPr>
      </xdr:nvSpPr>
      <xdr:spPr bwMode="auto">
        <a:xfrm flipV="1">
          <a:off x="17829333" y="41172378"/>
          <a:ext cx="495428" cy="153018"/>
        </a:xfrm>
        <a:prstGeom prst="line">
          <a:avLst/>
        </a:prstGeom>
        <a:noFill/>
        <a:ln w="3175">
          <a:solidFill>
            <a:srgbClr val="000000"/>
          </a:solidFill>
          <a:round/>
          <a:headEnd/>
          <a:tailEnd/>
        </a:ln>
      </xdr:spPr>
    </xdr:sp>
    <xdr:clientData/>
  </xdr:twoCellAnchor>
  <xdr:twoCellAnchor>
    <xdr:from>
      <xdr:col>29</xdr:col>
      <xdr:colOff>150933</xdr:colOff>
      <xdr:row>269</xdr:row>
      <xdr:rowOff>14205</xdr:rowOff>
    </xdr:from>
    <xdr:to>
      <xdr:col>30</xdr:col>
      <xdr:colOff>36761</xdr:colOff>
      <xdr:row>270</xdr:row>
      <xdr:rowOff>14823</xdr:rowOff>
    </xdr:to>
    <xdr:sp macro="" textlink="">
      <xdr:nvSpPr>
        <xdr:cNvPr id="909" name="Line 94"/>
        <xdr:cNvSpPr>
          <a:spLocks noChangeShapeType="1"/>
        </xdr:cNvSpPr>
      </xdr:nvSpPr>
      <xdr:spPr bwMode="auto">
        <a:xfrm flipV="1">
          <a:off x="17829333" y="41009805"/>
          <a:ext cx="495428" cy="153018"/>
        </a:xfrm>
        <a:prstGeom prst="line">
          <a:avLst/>
        </a:prstGeom>
        <a:noFill/>
        <a:ln w="3175">
          <a:solidFill>
            <a:srgbClr val="000000"/>
          </a:solidFill>
          <a:round/>
          <a:headEnd/>
          <a:tailEnd/>
        </a:ln>
      </xdr:spPr>
    </xdr:sp>
    <xdr:clientData/>
  </xdr:twoCellAnchor>
  <xdr:twoCellAnchor>
    <xdr:from>
      <xdr:col>29</xdr:col>
      <xdr:colOff>150933</xdr:colOff>
      <xdr:row>268</xdr:row>
      <xdr:rowOff>4031</xdr:rowOff>
    </xdr:from>
    <xdr:to>
      <xdr:col>30</xdr:col>
      <xdr:colOff>36761</xdr:colOff>
      <xdr:row>269</xdr:row>
      <xdr:rowOff>4649</xdr:rowOff>
    </xdr:to>
    <xdr:sp macro="" textlink="">
      <xdr:nvSpPr>
        <xdr:cNvPr id="910" name="Line 95"/>
        <xdr:cNvSpPr>
          <a:spLocks noChangeShapeType="1"/>
        </xdr:cNvSpPr>
      </xdr:nvSpPr>
      <xdr:spPr bwMode="auto">
        <a:xfrm flipV="1">
          <a:off x="17829333" y="40847231"/>
          <a:ext cx="495428" cy="153018"/>
        </a:xfrm>
        <a:prstGeom prst="line">
          <a:avLst/>
        </a:prstGeom>
        <a:noFill/>
        <a:ln w="3175">
          <a:solidFill>
            <a:srgbClr val="000000"/>
          </a:solidFill>
          <a:round/>
          <a:headEnd/>
          <a:tailEnd/>
        </a:ln>
      </xdr:spPr>
    </xdr:sp>
    <xdr:clientData/>
  </xdr:twoCellAnchor>
  <xdr:twoCellAnchor>
    <xdr:from>
      <xdr:col>29</xdr:col>
      <xdr:colOff>150933</xdr:colOff>
      <xdr:row>268</xdr:row>
      <xdr:rowOff>70922</xdr:rowOff>
    </xdr:from>
    <xdr:to>
      <xdr:col>30</xdr:col>
      <xdr:colOff>36761</xdr:colOff>
      <xdr:row>269</xdr:row>
      <xdr:rowOff>61984</xdr:rowOff>
    </xdr:to>
    <xdr:sp macro="" textlink="">
      <xdr:nvSpPr>
        <xdr:cNvPr id="911" name="Line 96"/>
        <xdr:cNvSpPr>
          <a:spLocks noChangeShapeType="1"/>
        </xdr:cNvSpPr>
      </xdr:nvSpPr>
      <xdr:spPr bwMode="auto">
        <a:xfrm flipV="1">
          <a:off x="17829333" y="40914122"/>
          <a:ext cx="495428" cy="143462"/>
        </a:xfrm>
        <a:prstGeom prst="line">
          <a:avLst/>
        </a:prstGeom>
        <a:noFill/>
        <a:ln w="3175">
          <a:solidFill>
            <a:srgbClr val="000000"/>
          </a:solidFill>
          <a:round/>
          <a:headEnd/>
          <a:tailEnd/>
        </a:ln>
      </xdr:spPr>
    </xdr:sp>
    <xdr:clientData/>
  </xdr:twoCellAnchor>
  <xdr:twoCellAnchor>
    <xdr:from>
      <xdr:col>29</xdr:col>
      <xdr:colOff>150933</xdr:colOff>
      <xdr:row>268</xdr:row>
      <xdr:rowOff>137814</xdr:rowOff>
    </xdr:from>
    <xdr:to>
      <xdr:col>30</xdr:col>
      <xdr:colOff>36761</xdr:colOff>
      <xdr:row>269</xdr:row>
      <xdr:rowOff>138432</xdr:rowOff>
    </xdr:to>
    <xdr:sp macro="" textlink="">
      <xdr:nvSpPr>
        <xdr:cNvPr id="912" name="Line 97"/>
        <xdr:cNvSpPr>
          <a:spLocks noChangeShapeType="1"/>
        </xdr:cNvSpPr>
      </xdr:nvSpPr>
      <xdr:spPr bwMode="auto">
        <a:xfrm flipV="1">
          <a:off x="17829333" y="40981014"/>
          <a:ext cx="495428" cy="153018"/>
        </a:xfrm>
        <a:prstGeom prst="line">
          <a:avLst/>
        </a:prstGeom>
        <a:noFill/>
        <a:ln w="3175">
          <a:solidFill>
            <a:srgbClr val="000000"/>
          </a:solidFill>
          <a:round/>
          <a:headEnd/>
          <a:tailEnd/>
        </a:ln>
      </xdr:spPr>
    </xdr:sp>
    <xdr:clientData/>
  </xdr:twoCellAnchor>
  <xdr:twoCellAnchor>
    <xdr:from>
      <xdr:col>29</xdr:col>
      <xdr:colOff>150933</xdr:colOff>
      <xdr:row>267</xdr:row>
      <xdr:rowOff>127640</xdr:rowOff>
    </xdr:from>
    <xdr:to>
      <xdr:col>30</xdr:col>
      <xdr:colOff>36761</xdr:colOff>
      <xdr:row>268</xdr:row>
      <xdr:rowOff>128258</xdr:rowOff>
    </xdr:to>
    <xdr:sp macro="" textlink="">
      <xdr:nvSpPr>
        <xdr:cNvPr id="913" name="Line 98"/>
        <xdr:cNvSpPr>
          <a:spLocks noChangeShapeType="1"/>
        </xdr:cNvSpPr>
      </xdr:nvSpPr>
      <xdr:spPr bwMode="auto">
        <a:xfrm flipV="1">
          <a:off x="17829333" y="40818440"/>
          <a:ext cx="495428" cy="153018"/>
        </a:xfrm>
        <a:prstGeom prst="line">
          <a:avLst/>
        </a:prstGeom>
        <a:noFill/>
        <a:ln w="3175">
          <a:solidFill>
            <a:srgbClr val="000000"/>
          </a:solidFill>
          <a:round/>
          <a:headEnd/>
          <a:tailEnd/>
        </a:ln>
      </xdr:spPr>
    </xdr:sp>
    <xdr:clientData/>
  </xdr:twoCellAnchor>
  <xdr:twoCellAnchor>
    <xdr:from>
      <xdr:col>29</xdr:col>
      <xdr:colOff>277842</xdr:colOff>
      <xdr:row>271</xdr:row>
      <xdr:rowOff>168334</xdr:rowOff>
    </xdr:from>
    <xdr:to>
      <xdr:col>30</xdr:col>
      <xdr:colOff>36762</xdr:colOff>
      <xdr:row>272</xdr:row>
      <xdr:rowOff>25613</xdr:rowOff>
    </xdr:to>
    <xdr:sp macro="" textlink="">
      <xdr:nvSpPr>
        <xdr:cNvPr id="914" name="Line 99"/>
        <xdr:cNvSpPr>
          <a:spLocks noChangeShapeType="1"/>
        </xdr:cNvSpPr>
      </xdr:nvSpPr>
      <xdr:spPr bwMode="auto">
        <a:xfrm flipV="1">
          <a:off x="17956242" y="41449684"/>
          <a:ext cx="368520" cy="28729"/>
        </a:xfrm>
        <a:prstGeom prst="line">
          <a:avLst/>
        </a:prstGeom>
        <a:noFill/>
        <a:ln w="3175">
          <a:solidFill>
            <a:srgbClr val="000000"/>
          </a:solidFill>
          <a:round/>
          <a:headEnd/>
          <a:tailEnd/>
        </a:ln>
      </xdr:spPr>
    </xdr:sp>
    <xdr:clientData/>
  </xdr:twoCellAnchor>
  <xdr:twoCellAnchor>
    <xdr:from>
      <xdr:col>29</xdr:col>
      <xdr:colOff>150933</xdr:colOff>
      <xdr:row>270</xdr:row>
      <xdr:rowOff>158160</xdr:rowOff>
    </xdr:from>
    <xdr:to>
      <xdr:col>30</xdr:col>
      <xdr:colOff>36761</xdr:colOff>
      <xdr:row>271</xdr:row>
      <xdr:rowOff>158778</xdr:rowOff>
    </xdr:to>
    <xdr:sp macro="" textlink="">
      <xdr:nvSpPr>
        <xdr:cNvPr id="915" name="Line 100"/>
        <xdr:cNvSpPr>
          <a:spLocks noChangeShapeType="1"/>
        </xdr:cNvSpPr>
      </xdr:nvSpPr>
      <xdr:spPr bwMode="auto">
        <a:xfrm flipV="1">
          <a:off x="17829333" y="41296635"/>
          <a:ext cx="495428" cy="153018"/>
        </a:xfrm>
        <a:prstGeom prst="line">
          <a:avLst/>
        </a:prstGeom>
        <a:noFill/>
        <a:ln w="3175">
          <a:solidFill>
            <a:srgbClr val="000000"/>
          </a:solidFill>
          <a:round/>
          <a:headEnd/>
          <a:tailEnd/>
        </a:ln>
      </xdr:spPr>
    </xdr:sp>
    <xdr:clientData/>
  </xdr:twoCellAnchor>
  <xdr:twoCellAnchor>
    <xdr:from>
      <xdr:col>29</xdr:col>
      <xdr:colOff>150933</xdr:colOff>
      <xdr:row>271</xdr:row>
      <xdr:rowOff>34552</xdr:rowOff>
    </xdr:from>
    <xdr:to>
      <xdr:col>30</xdr:col>
      <xdr:colOff>36761</xdr:colOff>
      <xdr:row>272</xdr:row>
      <xdr:rowOff>35170</xdr:rowOff>
    </xdr:to>
    <xdr:sp macro="" textlink="">
      <xdr:nvSpPr>
        <xdr:cNvPr id="916" name="Line 101"/>
        <xdr:cNvSpPr>
          <a:spLocks noChangeShapeType="1"/>
        </xdr:cNvSpPr>
      </xdr:nvSpPr>
      <xdr:spPr bwMode="auto">
        <a:xfrm flipV="1">
          <a:off x="17829333" y="41334952"/>
          <a:ext cx="495428" cy="153018"/>
        </a:xfrm>
        <a:prstGeom prst="line">
          <a:avLst/>
        </a:prstGeom>
        <a:noFill/>
        <a:ln w="3175">
          <a:solidFill>
            <a:srgbClr val="000000"/>
          </a:solidFill>
          <a:round/>
          <a:headEnd/>
          <a:tailEnd/>
        </a:ln>
      </xdr:spPr>
    </xdr:sp>
    <xdr:clientData/>
  </xdr:twoCellAnchor>
  <xdr:twoCellAnchor>
    <xdr:from>
      <xdr:col>29</xdr:col>
      <xdr:colOff>229031</xdr:colOff>
      <xdr:row>271</xdr:row>
      <xdr:rowOff>101443</xdr:rowOff>
    </xdr:from>
    <xdr:to>
      <xdr:col>30</xdr:col>
      <xdr:colOff>36762</xdr:colOff>
      <xdr:row>272</xdr:row>
      <xdr:rowOff>16058</xdr:rowOff>
    </xdr:to>
    <xdr:sp macro="" textlink="">
      <xdr:nvSpPr>
        <xdr:cNvPr id="917" name="Line 102"/>
        <xdr:cNvSpPr>
          <a:spLocks noChangeShapeType="1"/>
        </xdr:cNvSpPr>
      </xdr:nvSpPr>
      <xdr:spPr bwMode="auto">
        <a:xfrm flipV="1">
          <a:off x="17907431" y="41401843"/>
          <a:ext cx="417331" cy="67015"/>
        </a:xfrm>
        <a:prstGeom prst="line">
          <a:avLst/>
        </a:prstGeom>
        <a:noFill/>
        <a:ln w="3175">
          <a:solidFill>
            <a:srgbClr val="000000"/>
          </a:solidFill>
          <a:round/>
          <a:headEnd/>
          <a:tailEnd/>
        </a:ln>
      </xdr:spPr>
    </xdr:sp>
    <xdr:clientData/>
  </xdr:twoCellAnchor>
  <xdr:twoCellAnchor>
    <xdr:from>
      <xdr:col>29</xdr:col>
      <xdr:colOff>150933</xdr:colOff>
      <xdr:row>270</xdr:row>
      <xdr:rowOff>91269</xdr:rowOff>
    </xdr:from>
    <xdr:to>
      <xdr:col>30</xdr:col>
      <xdr:colOff>36761</xdr:colOff>
      <xdr:row>271</xdr:row>
      <xdr:rowOff>91887</xdr:rowOff>
    </xdr:to>
    <xdr:sp macro="" textlink="">
      <xdr:nvSpPr>
        <xdr:cNvPr id="918" name="Line 103"/>
        <xdr:cNvSpPr>
          <a:spLocks noChangeShapeType="1"/>
        </xdr:cNvSpPr>
      </xdr:nvSpPr>
      <xdr:spPr bwMode="auto">
        <a:xfrm flipV="1">
          <a:off x="17829333" y="41239269"/>
          <a:ext cx="495428" cy="153018"/>
        </a:xfrm>
        <a:prstGeom prst="line">
          <a:avLst/>
        </a:prstGeom>
        <a:noFill/>
        <a:ln w="3175">
          <a:solidFill>
            <a:srgbClr val="000000"/>
          </a:solidFill>
          <a:round/>
          <a:headEnd/>
          <a:tailEnd/>
        </a:ln>
      </xdr:spPr>
    </xdr:sp>
    <xdr:clientData/>
  </xdr:twoCellAnchor>
  <xdr:twoCellAnchor>
    <xdr:from>
      <xdr:col>29</xdr:col>
      <xdr:colOff>150933</xdr:colOff>
      <xdr:row>260</xdr:row>
      <xdr:rowOff>190208</xdr:rowOff>
    </xdr:from>
    <xdr:to>
      <xdr:col>30</xdr:col>
      <xdr:colOff>36761</xdr:colOff>
      <xdr:row>262</xdr:row>
      <xdr:rowOff>326</xdr:rowOff>
    </xdr:to>
    <xdr:sp macro="" textlink="">
      <xdr:nvSpPr>
        <xdr:cNvPr id="919" name="Line 104"/>
        <xdr:cNvSpPr>
          <a:spLocks noChangeShapeType="1"/>
        </xdr:cNvSpPr>
      </xdr:nvSpPr>
      <xdr:spPr bwMode="auto">
        <a:xfrm flipV="1">
          <a:off x="17829333" y="39776108"/>
          <a:ext cx="495428" cy="153018"/>
        </a:xfrm>
        <a:prstGeom prst="line">
          <a:avLst/>
        </a:prstGeom>
        <a:noFill/>
        <a:ln w="3175">
          <a:solidFill>
            <a:srgbClr val="000000"/>
          </a:solidFill>
          <a:round/>
          <a:headEnd/>
          <a:tailEnd/>
        </a:ln>
      </xdr:spPr>
    </xdr:sp>
    <xdr:clientData/>
  </xdr:twoCellAnchor>
  <xdr:twoCellAnchor>
    <xdr:from>
      <xdr:col>29</xdr:col>
      <xdr:colOff>150933</xdr:colOff>
      <xdr:row>261</xdr:row>
      <xdr:rowOff>66600</xdr:rowOff>
    </xdr:from>
    <xdr:to>
      <xdr:col>30</xdr:col>
      <xdr:colOff>36761</xdr:colOff>
      <xdr:row>262</xdr:row>
      <xdr:rowOff>67218</xdr:rowOff>
    </xdr:to>
    <xdr:sp macro="" textlink="">
      <xdr:nvSpPr>
        <xdr:cNvPr id="920" name="Line 105"/>
        <xdr:cNvSpPr>
          <a:spLocks noChangeShapeType="1"/>
        </xdr:cNvSpPr>
      </xdr:nvSpPr>
      <xdr:spPr bwMode="auto">
        <a:xfrm flipV="1">
          <a:off x="17829333" y="39843000"/>
          <a:ext cx="495428" cy="153018"/>
        </a:xfrm>
        <a:prstGeom prst="line">
          <a:avLst/>
        </a:prstGeom>
        <a:noFill/>
        <a:ln w="3175">
          <a:solidFill>
            <a:srgbClr val="000000"/>
          </a:solidFill>
          <a:round/>
          <a:headEnd/>
          <a:tailEnd/>
        </a:ln>
      </xdr:spPr>
    </xdr:sp>
    <xdr:clientData/>
  </xdr:twoCellAnchor>
  <xdr:twoCellAnchor>
    <xdr:from>
      <xdr:col>29</xdr:col>
      <xdr:colOff>150933</xdr:colOff>
      <xdr:row>261</xdr:row>
      <xdr:rowOff>133491</xdr:rowOff>
    </xdr:from>
    <xdr:to>
      <xdr:col>30</xdr:col>
      <xdr:colOff>36761</xdr:colOff>
      <xdr:row>262</xdr:row>
      <xdr:rowOff>134109</xdr:rowOff>
    </xdr:to>
    <xdr:sp macro="" textlink="">
      <xdr:nvSpPr>
        <xdr:cNvPr id="921" name="Line 106"/>
        <xdr:cNvSpPr>
          <a:spLocks noChangeShapeType="1"/>
        </xdr:cNvSpPr>
      </xdr:nvSpPr>
      <xdr:spPr bwMode="auto">
        <a:xfrm flipV="1">
          <a:off x="17829333" y="39909891"/>
          <a:ext cx="495428" cy="153018"/>
        </a:xfrm>
        <a:prstGeom prst="line">
          <a:avLst/>
        </a:prstGeom>
        <a:noFill/>
        <a:ln w="3175">
          <a:solidFill>
            <a:srgbClr val="000000"/>
          </a:solidFill>
          <a:round/>
          <a:headEnd/>
          <a:tailEnd/>
        </a:ln>
      </xdr:spPr>
    </xdr:sp>
    <xdr:clientData/>
  </xdr:twoCellAnchor>
  <xdr:twoCellAnchor>
    <xdr:from>
      <xdr:col>29</xdr:col>
      <xdr:colOff>150933</xdr:colOff>
      <xdr:row>260</xdr:row>
      <xdr:rowOff>123317</xdr:rowOff>
    </xdr:from>
    <xdr:to>
      <xdr:col>30</xdr:col>
      <xdr:colOff>36761</xdr:colOff>
      <xdr:row>261</xdr:row>
      <xdr:rowOff>123935</xdr:rowOff>
    </xdr:to>
    <xdr:sp macro="" textlink="">
      <xdr:nvSpPr>
        <xdr:cNvPr id="922" name="Line 107"/>
        <xdr:cNvSpPr>
          <a:spLocks noChangeShapeType="1"/>
        </xdr:cNvSpPr>
      </xdr:nvSpPr>
      <xdr:spPr bwMode="auto">
        <a:xfrm flipV="1">
          <a:off x="17829333" y="39747317"/>
          <a:ext cx="495428" cy="153018"/>
        </a:xfrm>
        <a:prstGeom prst="line">
          <a:avLst/>
        </a:prstGeom>
        <a:noFill/>
        <a:ln w="3175">
          <a:solidFill>
            <a:srgbClr val="000000"/>
          </a:solidFill>
          <a:round/>
          <a:headEnd/>
          <a:tailEnd/>
        </a:ln>
      </xdr:spPr>
    </xdr:sp>
    <xdr:clientData/>
  </xdr:twoCellAnchor>
  <xdr:twoCellAnchor>
    <xdr:from>
      <xdr:col>29</xdr:col>
      <xdr:colOff>150933</xdr:colOff>
      <xdr:row>259</xdr:row>
      <xdr:rowOff>113144</xdr:rowOff>
    </xdr:from>
    <xdr:to>
      <xdr:col>30</xdr:col>
      <xdr:colOff>36761</xdr:colOff>
      <xdr:row>260</xdr:row>
      <xdr:rowOff>113762</xdr:rowOff>
    </xdr:to>
    <xdr:sp macro="" textlink="">
      <xdr:nvSpPr>
        <xdr:cNvPr id="923" name="Line 108"/>
        <xdr:cNvSpPr>
          <a:spLocks noChangeShapeType="1"/>
        </xdr:cNvSpPr>
      </xdr:nvSpPr>
      <xdr:spPr bwMode="auto">
        <a:xfrm flipV="1">
          <a:off x="17829333" y="39584744"/>
          <a:ext cx="495428" cy="153018"/>
        </a:xfrm>
        <a:prstGeom prst="line">
          <a:avLst/>
        </a:prstGeom>
        <a:noFill/>
        <a:ln w="3175">
          <a:solidFill>
            <a:srgbClr val="000000"/>
          </a:solidFill>
          <a:round/>
          <a:headEnd/>
          <a:tailEnd/>
        </a:ln>
      </xdr:spPr>
    </xdr:sp>
    <xdr:clientData/>
  </xdr:twoCellAnchor>
  <xdr:twoCellAnchor>
    <xdr:from>
      <xdr:col>29</xdr:col>
      <xdr:colOff>150933</xdr:colOff>
      <xdr:row>259</xdr:row>
      <xdr:rowOff>180035</xdr:rowOff>
    </xdr:from>
    <xdr:to>
      <xdr:col>30</xdr:col>
      <xdr:colOff>36761</xdr:colOff>
      <xdr:row>260</xdr:row>
      <xdr:rowOff>180653</xdr:rowOff>
    </xdr:to>
    <xdr:sp macro="" textlink="">
      <xdr:nvSpPr>
        <xdr:cNvPr id="924" name="Line 109"/>
        <xdr:cNvSpPr>
          <a:spLocks noChangeShapeType="1"/>
        </xdr:cNvSpPr>
      </xdr:nvSpPr>
      <xdr:spPr bwMode="auto">
        <a:xfrm flipV="1">
          <a:off x="17829333" y="39623060"/>
          <a:ext cx="495428" cy="153018"/>
        </a:xfrm>
        <a:prstGeom prst="line">
          <a:avLst/>
        </a:prstGeom>
        <a:noFill/>
        <a:ln w="3175">
          <a:solidFill>
            <a:srgbClr val="000000"/>
          </a:solidFill>
          <a:round/>
          <a:headEnd/>
          <a:tailEnd/>
        </a:ln>
      </xdr:spPr>
    </xdr:sp>
    <xdr:clientData/>
  </xdr:twoCellAnchor>
  <xdr:twoCellAnchor>
    <xdr:from>
      <xdr:col>29</xdr:col>
      <xdr:colOff>150933</xdr:colOff>
      <xdr:row>260</xdr:row>
      <xdr:rowOff>56426</xdr:rowOff>
    </xdr:from>
    <xdr:to>
      <xdr:col>30</xdr:col>
      <xdr:colOff>36761</xdr:colOff>
      <xdr:row>261</xdr:row>
      <xdr:rowOff>57044</xdr:rowOff>
    </xdr:to>
    <xdr:sp macro="" textlink="">
      <xdr:nvSpPr>
        <xdr:cNvPr id="925" name="Line 110"/>
        <xdr:cNvSpPr>
          <a:spLocks noChangeShapeType="1"/>
        </xdr:cNvSpPr>
      </xdr:nvSpPr>
      <xdr:spPr bwMode="auto">
        <a:xfrm flipV="1">
          <a:off x="17829333" y="39680426"/>
          <a:ext cx="495428" cy="153018"/>
        </a:xfrm>
        <a:prstGeom prst="line">
          <a:avLst/>
        </a:prstGeom>
        <a:noFill/>
        <a:ln w="3175">
          <a:solidFill>
            <a:srgbClr val="000000"/>
          </a:solidFill>
          <a:round/>
          <a:headEnd/>
          <a:tailEnd/>
        </a:ln>
      </xdr:spPr>
    </xdr:sp>
    <xdr:clientData/>
  </xdr:twoCellAnchor>
  <xdr:twoCellAnchor>
    <xdr:from>
      <xdr:col>29</xdr:col>
      <xdr:colOff>150933</xdr:colOff>
      <xdr:row>259</xdr:row>
      <xdr:rowOff>46253</xdr:rowOff>
    </xdr:from>
    <xdr:to>
      <xdr:col>30</xdr:col>
      <xdr:colOff>36761</xdr:colOff>
      <xdr:row>260</xdr:row>
      <xdr:rowOff>46871</xdr:rowOff>
    </xdr:to>
    <xdr:sp macro="" textlink="">
      <xdr:nvSpPr>
        <xdr:cNvPr id="926" name="Line 111"/>
        <xdr:cNvSpPr>
          <a:spLocks noChangeShapeType="1"/>
        </xdr:cNvSpPr>
      </xdr:nvSpPr>
      <xdr:spPr bwMode="auto">
        <a:xfrm flipV="1">
          <a:off x="17829333" y="39517853"/>
          <a:ext cx="495428" cy="153018"/>
        </a:xfrm>
        <a:prstGeom prst="line">
          <a:avLst/>
        </a:prstGeom>
        <a:noFill/>
        <a:ln w="3175">
          <a:solidFill>
            <a:srgbClr val="000000"/>
          </a:solidFill>
          <a:round/>
          <a:headEnd/>
          <a:tailEnd/>
        </a:ln>
      </xdr:spPr>
    </xdr:sp>
    <xdr:clientData/>
  </xdr:twoCellAnchor>
  <xdr:twoCellAnchor>
    <xdr:from>
      <xdr:col>23</xdr:col>
      <xdr:colOff>54104</xdr:colOff>
      <xdr:row>263</xdr:row>
      <xdr:rowOff>153838</xdr:rowOff>
    </xdr:from>
    <xdr:to>
      <xdr:col>24</xdr:col>
      <xdr:colOff>189311</xdr:colOff>
      <xdr:row>263</xdr:row>
      <xdr:rowOff>153838</xdr:rowOff>
    </xdr:to>
    <xdr:sp macro="" textlink="">
      <xdr:nvSpPr>
        <xdr:cNvPr id="927" name="Line 112"/>
        <xdr:cNvSpPr>
          <a:spLocks noChangeShapeType="1"/>
        </xdr:cNvSpPr>
      </xdr:nvSpPr>
      <xdr:spPr bwMode="auto">
        <a:xfrm>
          <a:off x="14074904" y="40235038"/>
          <a:ext cx="744807" cy="0"/>
        </a:xfrm>
        <a:prstGeom prst="line">
          <a:avLst/>
        </a:prstGeom>
        <a:noFill/>
        <a:ln w="12700">
          <a:solidFill>
            <a:srgbClr val="000000"/>
          </a:solidFill>
          <a:round/>
          <a:headEnd/>
          <a:tailEnd type="stealth" w="med" len="med"/>
        </a:ln>
      </xdr:spPr>
    </xdr:sp>
    <xdr:clientData/>
  </xdr:twoCellAnchor>
  <xdr:twoCellAnchor>
    <xdr:from>
      <xdr:col>24</xdr:col>
      <xdr:colOff>179549</xdr:colOff>
      <xdr:row>263</xdr:row>
      <xdr:rowOff>67835</xdr:rowOff>
    </xdr:from>
    <xdr:to>
      <xdr:col>25</xdr:col>
      <xdr:colOff>70700</xdr:colOff>
      <xdr:row>265</xdr:row>
      <xdr:rowOff>11735</xdr:rowOff>
    </xdr:to>
    <xdr:sp macro="" textlink="">
      <xdr:nvSpPr>
        <xdr:cNvPr id="928" name="Text Box 113"/>
        <xdr:cNvSpPr txBox="1">
          <a:spLocks noChangeArrowheads="1"/>
        </xdr:cNvSpPr>
      </xdr:nvSpPr>
      <xdr:spPr bwMode="auto">
        <a:xfrm>
          <a:off x="14809949" y="40149035"/>
          <a:ext cx="500751" cy="24870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23</xdr:col>
      <xdr:colOff>54104</xdr:colOff>
      <xdr:row>263</xdr:row>
      <xdr:rowOff>153838</xdr:rowOff>
    </xdr:from>
    <xdr:to>
      <xdr:col>23</xdr:col>
      <xdr:colOff>54104</xdr:colOff>
      <xdr:row>266</xdr:row>
      <xdr:rowOff>21908</xdr:rowOff>
    </xdr:to>
    <xdr:sp macro="" textlink="">
      <xdr:nvSpPr>
        <xdr:cNvPr id="929" name="Line 114"/>
        <xdr:cNvSpPr>
          <a:spLocks noChangeShapeType="1"/>
        </xdr:cNvSpPr>
      </xdr:nvSpPr>
      <xdr:spPr bwMode="auto">
        <a:xfrm>
          <a:off x="14074904" y="40235038"/>
          <a:ext cx="0" cy="325270"/>
        </a:xfrm>
        <a:prstGeom prst="line">
          <a:avLst/>
        </a:prstGeom>
        <a:noFill/>
        <a:ln w="12700">
          <a:solidFill>
            <a:srgbClr val="000000"/>
          </a:solidFill>
          <a:round/>
          <a:headEnd/>
          <a:tailEnd type="stealth" w="med" len="med"/>
        </a:ln>
      </xdr:spPr>
    </xdr:sp>
    <xdr:clientData/>
  </xdr:twoCellAnchor>
  <xdr:twoCellAnchor>
    <xdr:from>
      <xdr:col>22</xdr:col>
      <xdr:colOff>91368</xdr:colOff>
      <xdr:row>263</xdr:row>
      <xdr:rowOff>943</xdr:rowOff>
    </xdr:from>
    <xdr:to>
      <xdr:col>23</xdr:col>
      <xdr:colOff>122439</xdr:colOff>
      <xdr:row>264</xdr:row>
      <xdr:rowOff>1561</xdr:rowOff>
    </xdr:to>
    <xdr:sp macro="" textlink="">
      <xdr:nvSpPr>
        <xdr:cNvPr id="930" name="Text Box 115"/>
        <xdr:cNvSpPr txBox="1">
          <a:spLocks noChangeArrowheads="1"/>
        </xdr:cNvSpPr>
      </xdr:nvSpPr>
      <xdr:spPr bwMode="auto">
        <a:xfrm>
          <a:off x="13502568" y="40082143"/>
          <a:ext cx="640671" cy="153018"/>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22</xdr:col>
      <xdr:colOff>32795</xdr:colOff>
      <xdr:row>265</xdr:row>
      <xdr:rowOff>183740</xdr:rowOff>
    </xdr:from>
    <xdr:to>
      <xdr:col>23</xdr:col>
      <xdr:colOff>210299</xdr:colOff>
      <xdr:row>266</xdr:row>
      <xdr:rowOff>165246</xdr:rowOff>
    </xdr:to>
    <xdr:sp macro="" textlink="">
      <xdr:nvSpPr>
        <xdr:cNvPr id="931" name="Text Box 116"/>
        <xdr:cNvSpPr txBox="1">
          <a:spLocks noChangeArrowheads="1"/>
        </xdr:cNvSpPr>
      </xdr:nvSpPr>
      <xdr:spPr bwMode="auto">
        <a:xfrm>
          <a:off x="13443995" y="40541165"/>
          <a:ext cx="787104" cy="15295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Wt</a:t>
          </a:r>
          <a:r>
            <a:rPr lang="de-DE" altLang="ja-JP" sz="900" b="1" i="0" strike="noStrike">
              <a:solidFill>
                <a:srgbClr val="000000"/>
              </a:solidFill>
              <a:latin typeface="ＭＳ Ｐ明朝"/>
              <a:ea typeface="ＭＳ Ｐ明朝"/>
            </a:rPr>
            <a:t>+</a:t>
          </a:r>
          <a:r>
            <a:rPr lang="de-DE" altLang="ja-JP" sz="900" b="1" i="0" strike="noStrike">
              <a:solidFill>
                <a:srgbClr val="000000"/>
              </a:solidFill>
              <a:latin typeface="Times New Roman"/>
              <a:cs typeface="Times New Roman"/>
            </a:rPr>
            <a:t>Fv</a:t>
          </a:r>
        </a:p>
      </xdr:txBody>
    </xdr:sp>
    <xdr:clientData/>
  </xdr:twoCellAnchor>
  <xdr:twoCellAnchor>
    <xdr:from>
      <xdr:col>23</xdr:col>
      <xdr:colOff>54104</xdr:colOff>
      <xdr:row>256</xdr:row>
      <xdr:rowOff>73068</xdr:rowOff>
    </xdr:from>
    <xdr:to>
      <xdr:col>23</xdr:col>
      <xdr:colOff>54104</xdr:colOff>
      <xdr:row>263</xdr:row>
      <xdr:rowOff>144282</xdr:rowOff>
    </xdr:to>
    <xdr:sp macro="" textlink="">
      <xdr:nvSpPr>
        <xdr:cNvPr id="932" name="Line 117"/>
        <xdr:cNvSpPr>
          <a:spLocks noChangeShapeType="1"/>
        </xdr:cNvSpPr>
      </xdr:nvSpPr>
      <xdr:spPr bwMode="auto">
        <a:xfrm>
          <a:off x="14074904" y="39087468"/>
          <a:ext cx="0" cy="1138014"/>
        </a:xfrm>
        <a:prstGeom prst="line">
          <a:avLst/>
        </a:prstGeom>
        <a:noFill/>
        <a:ln w="6350">
          <a:solidFill>
            <a:srgbClr val="000000"/>
          </a:solidFill>
          <a:prstDash val="lgDashDot"/>
          <a:round/>
          <a:headEnd/>
          <a:tailEnd/>
        </a:ln>
      </xdr:spPr>
    </xdr:sp>
    <xdr:clientData/>
  </xdr:twoCellAnchor>
  <xdr:twoCellAnchor>
    <xdr:from>
      <xdr:col>23</xdr:col>
      <xdr:colOff>54104</xdr:colOff>
      <xdr:row>256</xdr:row>
      <xdr:rowOff>149515</xdr:rowOff>
    </xdr:from>
    <xdr:to>
      <xdr:col>25</xdr:col>
      <xdr:colOff>109749</xdr:colOff>
      <xdr:row>256</xdr:row>
      <xdr:rowOff>149515</xdr:rowOff>
    </xdr:to>
    <xdr:sp macro="" textlink="">
      <xdr:nvSpPr>
        <xdr:cNvPr id="933" name="Line 118"/>
        <xdr:cNvSpPr>
          <a:spLocks noChangeShapeType="1"/>
        </xdr:cNvSpPr>
      </xdr:nvSpPr>
      <xdr:spPr bwMode="auto">
        <a:xfrm>
          <a:off x="14074904" y="39163915"/>
          <a:ext cx="1274845" cy="0"/>
        </a:xfrm>
        <a:prstGeom prst="line">
          <a:avLst/>
        </a:prstGeom>
        <a:noFill/>
        <a:ln w="6350">
          <a:solidFill>
            <a:srgbClr val="000000"/>
          </a:solidFill>
          <a:round/>
          <a:headEnd type="triangle" w="sm" len="med"/>
          <a:tailEnd type="triangle" w="sm" len="med"/>
        </a:ln>
      </xdr:spPr>
    </xdr:sp>
    <xdr:clientData/>
  </xdr:twoCellAnchor>
  <xdr:twoCellAnchor>
    <xdr:from>
      <xdr:col>23</xdr:col>
      <xdr:colOff>171250</xdr:colOff>
      <xdr:row>255</xdr:row>
      <xdr:rowOff>187121</xdr:rowOff>
    </xdr:from>
    <xdr:to>
      <xdr:col>24</xdr:col>
      <xdr:colOff>199073</xdr:colOff>
      <xdr:row>256</xdr:row>
      <xdr:rowOff>178183</xdr:rowOff>
    </xdr:to>
    <xdr:sp macro="" textlink="">
      <xdr:nvSpPr>
        <xdr:cNvPr id="934" name="Text Box 119"/>
        <xdr:cNvSpPr txBox="1">
          <a:spLocks noChangeArrowheads="1"/>
        </xdr:cNvSpPr>
      </xdr:nvSpPr>
      <xdr:spPr bwMode="auto">
        <a:xfrm>
          <a:off x="14192050" y="39011021"/>
          <a:ext cx="637423" cy="152987"/>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14</xdr:col>
      <xdr:colOff>222349</xdr:colOff>
      <xdr:row>258</xdr:row>
      <xdr:rowOff>93414</xdr:rowOff>
    </xdr:from>
    <xdr:to>
      <xdr:col>26</xdr:col>
      <xdr:colOff>15102</xdr:colOff>
      <xdr:row>258</xdr:row>
      <xdr:rowOff>93414</xdr:rowOff>
    </xdr:to>
    <xdr:sp macro="" textlink="">
      <xdr:nvSpPr>
        <xdr:cNvPr id="935" name="Line 120"/>
        <xdr:cNvSpPr>
          <a:spLocks noChangeShapeType="1"/>
        </xdr:cNvSpPr>
      </xdr:nvSpPr>
      <xdr:spPr bwMode="auto">
        <a:xfrm>
          <a:off x="8756749" y="39412614"/>
          <a:ext cx="7107953" cy="0"/>
        </a:xfrm>
        <a:prstGeom prst="line">
          <a:avLst/>
        </a:prstGeom>
        <a:noFill/>
        <a:ln w="6350">
          <a:solidFill>
            <a:srgbClr val="000000"/>
          </a:solidFill>
          <a:prstDash val="lgDashDot"/>
          <a:round/>
          <a:headEnd/>
          <a:tailEnd/>
        </a:ln>
      </xdr:spPr>
    </xdr:sp>
    <xdr:clientData/>
  </xdr:twoCellAnchor>
  <xdr:twoCellAnchor>
    <xdr:from>
      <xdr:col>27</xdr:col>
      <xdr:colOff>8313</xdr:colOff>
      <xdr:row>263</xdr:row>
      <xdr:rowOff>153838</xdr:rowOff>
    </xdr:from>
    <xdr:to>
      <xdr:col>28</xdr:col>
      <xdr:colOff>108910</xdr:colOff>
      <xdr:row>263</xdr:row>
      <xdr:rowOff>153838</xdr:rowOff>
    </xdr:to>
    <xdr:sp macro="" textlink="">
      <xdr:nvSpPr>
        <xdr:cNvPr id="936" name="Line 121"/>
        <xdr:cNvSpPr>
          <a:spLocks noChangeShapeType="1"/>
        </xdr:cNvSpPr>
      </xdr:nvSpPr>
      <xdr:spPr bwMode="auto">
        <a:xfrm>
          <a:off x="16467513" y="40235038"/>
          <a:ext cx="710197" cy="0"/>
        </a:xfrm>
        <a:prstGeom prst="line">
          <a:avLst/>
        </a:prstGeom>
        <a:noFill/>
        <a:ln w="12700">
          <a:solidFill>
            <a:srgbClr val="000000"/>
          </a:solidFill>
          <a:round/>
          <a:headEnd type="stealth" w="med" len="med"/>
          <a:tailEnd/>
        </a:ln>
      </xdr:spPr>
    </xdr:sp>
    <xdr:clientData/>
  </xdr:twoCellAnchor>
  <xdr:twoCellAnchor>
    <xdr:from>
      <xdr:col>26</xdr:col>
      <xdr:colOff>122486</xdr:colOff>
      <xdr:row>263</xdr:row>
      <xdr:rowOff>67835</xdr:rowOff>
    </xdr:from>
    <xdr:to>
      <xdr:col>26</xdr:col>
      <xdr:colOff>278681</xdr:colOff>
      <xdr:row>265</xdr:row>
      <xdr:rowOff>11735</xdr:rowOff>
    </xdr:to>
    <xdr:sp macro="" textlink="">
      <xdr:nvSpPr>
        <xdr:cNvPr id="937" name="Text Box 122"/>
        <xdr:cNvSpPr txBox="1">
          <a:spLocks noChangeArrowheads="1"/>
        </xdr:cNvSpPr>
      </xdr:nvSpPr>
      <xdr:spPr bwMode="auto">
        <a:xfrm>
          <a:off x="15972086" y="40149035"/>
          <a:ext cx="156195" cy="24870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25</xdr:col>
      <xdr:colOff>265944</xdr:colOff>
      <xdr:row>270</xdr:row>
      <xdr:rowOff>72158</xdr:rowOff>
    </xdr:from>
    <xdr:to>
      <xdr:col>25</xdr:col>
      <xdr:colOff>265944</xdr:colOff>
      <xdr:row>272</xdr:row>
      <xdr:rowOff>44725</xdr:rowOff>
    </xdr:to>
    <xdr:sp macro="" textlink="">
      <xdr:nvSpPr>
        <xdr:cNvPr id="938" name="Line 123"/>
        <xdr:cNvSpPr>
          <a:spLocks noChangeShapeType="1"/>
        </xdr:cNvSpPr>
      </xdr:nvSpPr>
      <xdr:spPr bwMode="auto">
        <a:xfrm>
          <a:off x="15505944" y="41220158"/>
          <a:ext cx="0" cy="277367"/>
        </a:xfrm>
        <a:prstGeom prst="line">
          <a:avLst/>
        </a:prstGeom>
        <a:noFill/>
        <a:ln w="3175">
          <a:solidFill>
            <a:srgbClr val="000000"/>
          </a:solidFill>
          <a:round/>
          <a:headEnd/>
          <a:tailEnd/>
        </a:ln>
      </xdr:spPr>
    </xdr:sp>
    <xdr:clientData/>
  </xdr:twoCellAnchor>
  <xdr:twoCellAnchor>
    <xdr:from>
      <xdr:col>19</xdr:col>
      <xdr:colOff>20348</xdr:colOff>
      <xdr:row>271</xdr:row>
      <xdr:rowOff>130110</xdr:rowOff>
    </xdr:from>
    <xdr:to>
      <xdr:col>25</xdr:col>
      <xdr:colOff>265943</xdr:colOff>
      <xdr:row>271</xdr:row>
      <xdr:rowOff>130110</xdr:rowOff>
    </xdr:to>
    <xdr:sp macro="" textlink="">
      <xdr:nvSpPr>
        <xdr:cNvPr id="939" name="Line 124"/>
        <xdr:cNvSpPr>
          <a:spLocks noChangeShapeType="1"/>
        </xdr:cNvSpPr>
      </xdr:nvSpPr>
      <xdr:spPr bwMode="auto">
        <a:xfrm>
          <a:off x="11602748" y="41430510"/>
          <a:ext cx="3903195" cy="0"/>
        </a:xfrm>
        <a:prstGeom prst="line">
          <a:avLst/>
        </a:prstGeom>
        <a:noFill/>
        <a:ln w="6350">
          <a:solidFill>
            <a:srgbClr val="000000"/>
          </a:solidFill>
          <a:round/>
          <a:headEnd type="triangle" w="sm" len="med"/>
          <a:tailEnd type="triangle" w="sm" len="med"/>
        </a:ln>
      </xdr:spPr>
    </xdr:sp>
    <xdr:clientData/>
  </xdr:twoCellAnchor>
  <xdr:twoCellAnchor>
    <xdr:from>
      <xdr:col>22</xdr:col>
      <xdr:colOff>149942</xdr:colOff>
      <xdr:row>270</xdr:row>
      <xdr:rowOff>186828</xdr:rowOff>
    </xdr:from>
    <xdr:to>
      <xdr:col>23</xdr:col>
      <xdr:colOff>102915</xdr:colOff>
      <xdr:row>271</xdr:row>
      <xdr:rowOff>168334</xdr:rowOff>
    </xdr:to>
    <xdr:sp macro="" textlink="">
      <xdr:nvSpPr>
        <xdr:cNvPr id="940" name="Text Box 125"/>
        <xdr:cNvSpPr txBox="1">
          <a:spLocks noChangeArrowheads="1"/>
        </xdr:cNvSpPr>
      </xdr:nvSpPr>
      <xdr:spPr bwMode="auto">
        <a:xfrm>
          <a:off x="13561142" y="41296728"/>
          <a:ext cx="562573" cy="152956"/>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a:t>
          </a:r>
        </a:p>
      </xdr:txBody>
    </xdr:sp>
    <xdr:clientData/>
  </xdr:twoCellAnchor>
  <xdr:twoCellAnchor>
    <xdr:from>
      <xdr:col>15</xdr:col>
      <xdr:colOff>84214</xdr:colOff>
      <xdr:row>258</xdr:row>
      <xdr:rowOff>93414</xdr:rowOff>
    </xdr:from>
    <xdr:to>
      <xdr:col>15</xdr:col>
      <xdr:colOff>84214</xdr:colOff>
      <xdr:row>269</xdr:row>
      <xdr:rowOff>81095</xdr:rowOff>
    </xdr:to>
    <xdr:sp macro="" textlink="">
      <xdr:nvSpPr>
        <xdr:cNvPr id="941" name="Line 126"/>
        <xdr:cNvSpPr>
          <a:spLocks noChangeShapeType="1"/>
        </xdr:cNvSpPr>
      </xdr:nvSpPr>
      <xdr:spPr bwMode="auto">
        <a:xfrm>
          <a:off x="9228214" y="39412614"/>
          <a:ext cx="0" cy="1664081"/>
        </a:xfrm>
        <a:prstGeom prst="line">
          <a:avLst/>
        </a:prstGeom>
        <a:noFill/>
        <a:ln w="3175">
          <a:solidFill>
            <a:srgbClr val="000000"/>
          </a:solidFill>
          <a:round/>
          <a:headEnd type="triangle" w="sm" len="med"/>
          <a:tailEnd type="triangle" w="sm" len="med"/>
        </a:ln>
      </xdr:spPr>
    </xdr:sp>
    <xdr:clientData/>
  </xdr:twoCellAnchor>
  <xdr:twoCellAnchor>
    <xdr:from>
      <xdr:col>24</xdr:col>
      <xdr:colOff>208835</xdr:colOff>
      <xdr:row>258</xdr:row>
      <xdr:rowOff>131638</xdr:rowOff>
    </xdr:from>
    <xdr:to>
      <xdr:col>25</xdr:col>
      <xdr:colOff>90224</xdr:colOff>
      <xdr:row>260</xdr:row>
      <xdr:rowOff>132873</xdr:rowOff>
    </xdr:to>
    <xdr:sp macro="" textlink="">
      <xdr:nvSpPr>
        <xdr:cNvPr id="942" name="Line 127"/>
        <xdr:cNvSpPr>
          <a:spLocks noChangeShapeType="1"/>
        </xdr:cNvSpPr>
      </xdr:nvSpPr>
      <xdr:spPr bwMode="auto">
        <a:xfrm flipH="1">
          <a:off x="14839235" y="39450838"/>
          <a:ext cx="490989" cy="306035"/>
        </a:xfrm>
        <a:prstGeom prst="line">
          <a:avLst/>
        </a:prstGeom>
        <a:noFill/>
        <a:ln w="3175">
          <a:solidFill>
            <a:srgbClr val="000000"/>
          </a:solidFill>
          <a:round/>
          <a:headEnd/>
          <a:tailEnd/>
        </a:ln>
      </xdr:spPr>
    </xdr:sp>
    <xdr:clientData/>
  </xdr:twoCellAnchor>
  <xdr:twoCellAnchor>
    <xdr:from>
      <xdr:col>28</xdr:col>
      <xdr:colOff>265105</xdr:colOff>
      <xdr:row>258</xdr:row>
      <xdr:rowOff>102970</xdr:rowOff>
    </xdr:from>
    <xdr:to>
      <xdr:col>29</xdr:col>
      <xdr:colOff>131409</xdr:colOff>
      <xdr:row>260</xdr:row>
      <xdr:rowOff>132873</xdr:rowOff>
    </xdr:to>
    <xdr:sp macro="" textlink="">
      <xdr:nvSpPr>
        <xdr:cNvPr id="943" name="Line 128"/>
        <xdr:cNvSpPr>
          <a:spLocks noChangeShapeType="1"/>
        </xdr:cNvSpPr>
      </xdr:nvSpPr>
      <xdr:spPr bwMode="auto">
        <a:xfrm flipH="1">
          <a:off x="17333905" y="39422170"/>
          <a:ext cx="475904" cy="334703"/>
        </a:xfrm>
        <a:prstGeom prst="line">
          <a:avLst/>
        </a:prstGeom>
        <a:noFill/>
        <a:ln w="3175">
          <a:solidFill>
            <a:srgbClr val="000000"/>
          </a:solidFill>
          <a:round/>
          <a:headEnd/>
          <a:tailEnd/>
        </a:ln>
      </xdr:spPr>
    </xdr:sp>
    <xdr:clientData/>
  </xdr:twoCellAnchor>
  <xdr:twoCellAnchor>
    <xdr:from>
      <xdr:col>14</xdr:col>
      <xdr:colOff>56391</xdr:colOff>
      <xdr:row>257</xdr:row>
      <xdr:rowOff>131020</xdr:rowOff>
    </xdr:from>
    <xdr:to>
      <xdr:col>18</xdr:col>
      <xdr:colOff>132750</xdr:colOff>
      <xdr:row>257</xdr:row>
      <xdr:rowOff>131020</xdr:rowOff>
    </xdr:to>
    <xdr:sp macro="" textlink="">
      <xdr:nvSpPr>
        <xdr:cNvPr id="944" name="Line 248"/>
        <xdr:cNvSpPr>
          <a:spLocks noChangeShapeType="1"/>
        </xdr:cNvSpPr>
      </xdr:nvSpPr>
      <xdr:spPr bwMode="auto">
        <a:xfrm flipH="1">
          <a:off x="8590791" y="39297820"/>
          <a:ext cx="2514759" cy="0"/>
        </a:xfrm>
        <a:prstGeom prst="line">
          <a:avLst/>
        </a:prstGeom>
        <a:noFill/>
        <a:ln w="15875">
          <a:noFill/>
          <a:round/>
          <a:headEnd/>
          <a:tailEnd/>
        </a:ln>
      </xdr:spPr>
    </xdr:sp>
    <xdr:clientData/>
  </xdr:twoCellAnchor>
  <xdr:twoCellAnchor>
    <xdr:from>
      <xdr:col>24</xdr:col>
      <xdr:colOff>208835</xdr:colOff>
      <xdr:row>260</xdr:row>
      <xdr:rowOff>132873</xdr:rowOff>
    </xdr:from>
    <xdr:to>
      <xdr:col>28</xdr:col>
      <xdr:colOff>265104</xdr:colOff>
      <xdr:row>260</xdr:row>
      <xdr:rowOff>132873</xdr:rowOff>
    </xdr:to>
    <xdr:sp macro="" textlink="">
      <xdr:nvSpPr>
        <xdr:cNvPr id="945" name="Line 249"/>
        <xdr:cNvSpPr>
          <a:spLocks noChangeShapeType="1"/>
        </xdr:cNvSpPr>
      </xdr:nvSpPr>
      <xdr:spPr bwMode="auto">
        <a:xfrm>
          <a:off x="14839235" y="39756873"/>
          <a:ext cx="2494669" cy="0"/>
        </a:xfrm>
        <a:prstGeom prst="line">
          <a:avLst/>
        </a:prstGeom>
        <a:noFill/>
        <a:ln w="3175">
          <a:solidFill>
            <a:srgbClr val="000000"/>
          </a:solidFill>
          <a:round/>
          <a:headEnd/>
          <a:tailEnd/>
        </a:ln>
      </xdr:spPr>
    </xdr:sp>
    <xdr:clientData/>
  </xdr:twoCellAnchor>
  <xdr:twoCellAnchor>
    <xdr:from>
      <xdr:col>25</xdr:col>
      <xdr:colOff>99986</xdr:colOff>
      <xdr:row>261</xdr:row>
      <xdr:rowOff>95267</xdr:rowOff>
    </xdr:from>
    <xdr:to>
      <xdr:col>29</xdr:col>
      <xdr:colOff>131408</xdr:colOff>
      <xdr:row>261</xdr:row>
      <xdr:rowOff>95267</xdr:rowOff>
    </xdr:to>
    <xdr:sp macro="" textlink="">
      <xdr:nvSpPr>
        <xdr:cNvPr id="946" name="Line 250"/>
        <xdr:cNvSpPr>
          <a:spLocks noChangeShapeType="1"/>
        </xdr:cNvSpPr>
      </xdr:nvSpPr>
      <xdr:spPr bwMode="auto">
        <a:xfrm>
          <a:off x="15339986" y="39871667"/>
          <a:ext cx="2469822" cy="0"/>
        </a:xfrm>
        <a:prstGeom prst="line">
          <a:avLst/>
        </a:prstGeom>
        <a:noFill/>
        <a:ln w="3175">
          <a:solidFill>
            <a:srgbClr val="000000"/>
          </a:solidFill>
          <a:round/>
          <a:headEnd/>
          <a:tailEnd/>
        </a:ln>
      </xdr:spPr>
    </xdr:sp>
    <xdr:clientData/>
  </xdr:twoCellAnchor>
  <xdr:twoCellAnchor>
    <xdr:from>
      <xdr:col>14</xdr:col>
      <xdr:colOff>56391</xdr:colOff>
      <xdr:row>270</xdr:row>
      <xdr:rowOff>24378</xdr:rowOff>
    </xdr:from>
    <xdr:to>
      <xdr:col>18</xdr:col>
      <xdr:colOff>162037</xdr:colOff>
      <xdr:row>270</xdr:row>
      <xdr:rowOff>24378</xdr:rowOff>
    </xdr:to>
    <xdr:sp macro="" textlink="">
      <xdr:nvSpPr>
        <xdr:cNvPr id="947" name="Line 251"/>
        <xdr:cNvSpPr>
          <a:spLocks noChangeShapeType="1"/>
        </xdr:cNvSpPr>
      </xdr:nvSpPr>
      <xdr:spPr bwMode="auto">
        <a:xfrm>
          <a:off x="8590791" y="41172378"/>
          <a:ext cx="2544046" cy="0"/>
        </a:xfrm>
        <a:prstGeom prst="line">
          <a:avLst/>
        </a:prstGeom>
        <a:noFill/>
        <a:ln w="3175">
          <a:solidFill>
            <a:srgbClr val="000000"/>
          </a:solidFill>
          <a:round/>
          <a:headEnd/>
          <a:tailEnd/>
        </a:ln>
      </xdr:spPr>
    </xdr:sp>
    <xdr:clientData/>
  </xdr:twoCellAnchor>
  <xdr:twoCellAnchor>
    <xdr:from>
      <xdr:col>14</xdr:col>
      <xdr:colOff>56391</xdr:colOff>
      <xdr:row>257</xdr:row>
      <xdr:rowOff>131020</xdr:rowOff>
    </xdr:from>
    <xdr:to>
      <xdr:col>18</xdr:col>
      <xdr:colOff>162037</xdr:colOff>
      <xdr:row>257</xdr:row>
      <xdr:rowOff>131020</xdr:rowOff>
    </xdr:to>
    <xdr:sp macro="" textlink="">
      <xdr:nvSpPr>
        <xdr:cNvPr id="948" name="Line 252"/>
        <xdr:cNvSpPr>
          <a:spLocks noChangeShapeType="1"/>
        </xdr:cNvSpPr>
      </xdr:nvSpPr>
      <xdr:spPr bwMode="auto">
        <a:xfrm>
          <a:off x="8590791" y="39297820"/>
          <a:ext cx="2544046" cy="0"/>
        </a:xfrm>
        <a:prstGeom prst="line">
          <a:avLst/>
        </a:prstGeom>
        <a:noFill/>
        <a:ln w="3175">
          <a:solidFill>
            <a:srgbClr val="000000"/>
          </a:solidFill>
          <a:round/>
          <a:headEnd/>
          <a:tailEnd/>
        </a:ln>
      </xdr:spPr>
    </xdr:sp>
    <xdr:clientData/>
  </xdr:twoCellAnchor>
  <xdr:twoCellAnchor>
    <xdr:from>
      <xdr:col>2</xdr:col>
      <xdr:colOff>0</xdr:colOff>
      <xdr:row>251</xdr:row>
      <xdr:rowOff>168728</xdr:rowOff>
    </xdr:from>
    <xdr:to>
      <xdr:col>31</xdr:col>
      <xdr:colOff>274028</xdr:colOff>
      <xdr:row>251</xdr:row>
      <xdr:rowOff>168728</xdr:rowOff>
    </xdr:to>
    <xdr:sp macro="" textlink="">
      <xdr:nvSpPr>
        <xdr:cNvPr id="949" name="Line 312"/>
        <xdr:cNvSpPr>
          <a:spLocks noChangeShapeType="1"/>
        </xdr:cNvSpPr>
      </xdr:nvSpPr>
      <xdr:spPr bwMode="auto">
        <a:xfrm>
          <a:off x="1219200" y="38402078"/>
          <a:ext cx="17952428" cy="0"/>
        </a:xfrm>
        <a:prstGeom prst="line">
          <a:avLst/>
        </a:prstGeom>
        <a:noFill/>
        <a:ln w="57150" cmpd="thinThick">
          <a:solidFill>
            <a:srgbClr val="000000"/>
          </a:solidFill>
          <a:round/>
          <a:headEnd/>
          <a:tailEnd/>
        </a:ln>
      </xdr:spPr>
    </xdr:sp>
    <xdr:clientData/>
  </xdr:twoCellAnchor>
  <xdr:twoCellAnchor>
    <xdr:from>
      <xdr:col>7</xdr:col>
      <xdr:colOff>30843</xdr:colOff>
      <xdr:row>296</xdr:row>
      <xdr:rowOff>101011</xdr:rowOff>
    </xdr:from>
    <xdr:to>
      <xdr:col>7</xdr:col>
      <xdr:colOff>226087</xdr:colOff>
      <xdr:row>297</xdr:row>
      <xdr:rowOff>82517</xdr:rowOff>
    </xdr:to>
    <xdr:sp macro="" textlink="">
      <xdr:nvSpPr>
        <xdr:cNvPr id="950" name="Text Box 313"/>
        <xdr:cNvSpPr txBox="1">
          <a:spLocks noChangeArrowheads="1"/>
        </xdr:cNvSpPr>
      </xdr:nvSpPr>
      <xdr:spPr bwMode="auto">
        <a:xfrm>
          <a:off x="4298043" y="45211411"/>
          <a:ext cx="195244" cy="13390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229274</xdr:colOff>
      <xdr:row>301</xdr:row>
      <xdr:rowOff>84987</xdr:rowOff>
    </xdr:from>
    <xdr:to>
      <xdr:col>4</xdr:col>
      <xdr:colOff>278694</xdr:colOff>
      <xdr:row>302</xdr:row>
      <xdr:rowOff>95160</xdr:rowOff>
    </xdr:to>
    <xdr:sp macro="" textlink="">
      <xdr:nvSpPr>
        <xdr:cNvPr id="951" name="Text Box 314"/>
        <xdr:cNvSpPr txBox="1">
          <a:spLocks noChangeArrowheads="1"/>
        </xdr:cNvSpPr>
      </xdr:nvSpPr>
      <xdr:spPr bwMode="auto">
        <a:xfrm>
          <a:off x="2058074" y="45957387"/>
          <a:ext cx="659020" cy="16257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b2</a:t>
          </a:r>
          <a:r>
            <a:rPr lang="ja-JP" altLang="de-DE" sz="1000" b="1" i="0" strike="noStrike">
              <a:solidFill>
                <a:srgbClr val="000000"/>
              </a:solidFill>
              <a:latin typeface="ＭＳ Ｐゴシック"/>
              <a:ea typeface="ＭＳ Ｐゴシック"/>
            </a:rPr>
            <a:t>＝</a:t>
          </a:r>
        </a:p>
      </xdr:txBody>
    </xdr:sp>
    <xdr:clientData/>
  </xdr:twoCellAnchor>
  <xdr:twoCellAnchor>
    <xdr:from>
      <xdr:col>8</xdr:col>
      <xdr:colOff>89430</xdr:colOff>
      <xdr:row>294</xdr:row>
      <xdr:rowOff>128443</xdr:rowOff>
    </xdr:from>
    <xdr:to>
      <xdr:col>9</xdr:col>
      <xdr:colOff>141216</xdr:colOff>
      <xdr:row>295</xdr:row>
      <xdr:rowOff>176840</xdr:rowOff>
    </xdr:to>
    <xdr:sp macro="" textlink="">
      <xdr:nvSpPr>
        <xdr:cNvPr id="952" name="Text Box 315"/>
        <xdr:cNvSpPr txBox="1">
          <a:spLocks noChangeArrowheads="1"/>
        </xdr:cNvSpPr>
      </xdr:nvSpPr>
      <xdr:spPr bwMode="auto">
        <a:xfrm>
          <a:off x="4966230" y="44934043"/>
          <a:ext cx="661386" cy="172222"/>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14</xdr:col>
      <xdr:colOff>261397</xdr:colOff>
      <xdr:row>297</xdr:row>
      <xdr:rowOff>178076</xdr:rowOff>
    </xdr:from>
    <xdr:to>
      <xdr:col>24</xdr:col>
      <xdr:colOff>72164</xdr:colOff>
      <xdr:row>297</xdr:row>
      <xdr:rowOff>178076</xdr:rowOff>
    </xdr:to>
    <xdr:sp macro="" textlink="">
      <xdr:nvSpPr>
        <xdr:cNvPr id="953" name="Line 316"/>
        <xdr:cNvSpPr>
          <a:spLocks noChangeShapeType="1"/>
        </xdr:cNvSpPr>
      </xdr:nvSpPr>
      <xdr:spPr bwMode="auto">
        <a:xfrm>
          <a:off x="8795797" y="45412301"/>
          <a:ext cx="5906767" cy="0"/>
        </a:xfrm>
        <a:prstGeom prst="line">
          <a:avLst/>
        </a:prstGeom>
        <a:noFill/>
        <a:ln w="9525">
          <a:solidFill>
            <a:srgbClr val="000000"/>
          </a:solidFill>
          <a:round/>
          <a:headEnd/>
          <a:tailEnd/>
        </a:ln>
      </xdr:spPr>
    </xdr:sp>
    <xdr:clientData/>
  </xdr:twoCellAnchor>
  <xdr:twoCellAnchor>
    <xdr:from>
      <xdr:col>15</xdr:col>
      <xdr:colOff>44570</xdr:colOff>
      <xdr:row>295</xdr:row>
      <xdr:rowOff>176840</xdr:rowOff>
    </xdr:from>
    <xdr:to>
      <xdr:col>22</xdr:col>
      <xdr:colOff>100535</xdr:colOff>
      <xdr:row>295</xdr:row>
      <xdr:rowOff>176840</xdr:rowOff>
    </xdr:to>
    <xdr:sp macro="" textlink="">
      <xdr:nvSpPr>
        <xdr:cNvPr id="954" name="Line 317"/>
        <xdr:cNvSpPr>
          <a:spLocks noChangeShapeType="1"/>
        </xdr:cNvSpPr>
      </xdr:nvSpPr>
      <xdr:spPr bwMode="auto">
        <a:xfrm>
          <a:off x="9188570" y="45106265"/>
          <a:ext cx="4323165" cy="0"/>
        </a:xfrm>
        <a:prstGeom prst="line">
          <a:avLst/>
        </a:prstGeom>
        <a:noFill/>
        <a:ln w="9525">
          <a:solidFill>
            <a:srgbClr val="000000"/>
          </a:solidFill>
          <a:round/>
          <a:headEnd/>
          <a:tailEnd/>
        </a:ln>
      </xdr:spPr>
    </xdr:sp>
    <xdr:clientData/>
  </xdr:twoCellAnchor>
  <xdr:twoCellAnchor>
    <xdr:from>
      <xdr:col>9</xdr:col>
      <xdr:colOff>24070</xdr:colOff>
      <xdr:row>301</xdr:row>
      <xdr:rowOff>132766</xdr:rowOff>
    </xdr:from>
    <xdr:to>
      <xdr:col>10</xdr:col>
      <xdr:colOff>75856</xdr:colOff>
      <xdr:row>302</xdr:row>
      <xdr:rowOff>181163</xdr:rowOff>
    </xdr:to>
    <xdr:sp macro="" textlink="">
      <xdr:nvSpPr>
        <xdr:cNvPr id="955" name="Text Box 318"/>
        <xdr:cNvSpPr txBox="1">
          <a:spLocks noChangeArrowheads="1"/>
        </xdr:cNvSpPr>
      </xdr:nvSpPr>
      <xdr:spPr bwMode="auto">
        <a:xfrm>
          <a:off x="5510470" y="46005166"/>
          <a:ext cx="661386" cy="172222"/>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112737</xdr:colOff>
      <xdr:row>305</xdr:row>
      <xdr:rowOff>30122</xdr:rowOff>
    </xdr:from>
    <xdr:to>
      <xdr:col>5</xdr:col>
      <xdr:colOff>18090</xdr:colOff>
      <xdr:row>306</xdr:row>
      <xdr:rowOff>21184</xdr:rowOff>
    </xdr:to>
    <xdr:sp macro="" textlink="">
      <xdr:nvSpPr>
        <xdr:cNvPr id="956" name="Text Box 319"/>
        <xdr:cNvSpPr txBox="1">
          <a:spLocks noChangeArrowheads="1"/>
        </xdr:cNvSpPr>
      </xdr:nvSpPr>
      <xdr:spPr bwMode="auto">
        <a:xfrm>
          <a:off x="2551137" y="46512122"/>
          <a:ext cx="514953" cy="143462"/>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8</xdr:col>
      <xdr:colOff>157766</xdr:colOff>
      <xdr:row>301</xdr:row>
      <xdr:rowOff>180546</xdr:rowOff>
    </xdr:from>
    <xdr:to>
      <xdr:col>11</xdr:col>
      <xdr:colOff>46585</xdr:colOff>
      <xdr:row>301</xdr:row>
      <xdr:rowOff>180546</xdr:rowOff>
    </xdr:to>
    <xdr:sp macro="" textlink="">
      <xdr:nvSpPr>
        <xdr:cNvPr id="957" name="Line 320"/>
        <xdr:cNvSpPr>
          <a:spLocks noChangeShapeType="1"/>
        </xdr:cNvSpPr>
      </xdr:nvSpPr>
      <xdr:spPr bwMode="auto">
        <a:xfrm>
          <a:off x="5034566" y="46024371"/>
          <a:ext cx="1717619" cy="0"/>
        </a:xfrm>
        <a:prstGeom prst="line">
          <a:avLst/>
        </a:prstGeom>
        <a:noFill/>
        <a:ln w="9525">
          <a:solidFill>
            <a:srgbClr val="000000"/>
          </a:solidFill>
          <a:round/>
          <a:headEnd/>
          <a:tailEnd/>
        </a:ln>
      </xdr:spPr>
    </xdr:sp>
    <xdr:clientData/>
  </xdr:twoCellAnchor>
  <xdr:twoCellAnchor>
    <xdr:from>
      <xdr:col>7</xdr:col>
      <xdr:colOff>30843</xdr:colOff>
      <xdr:row>294</xdr:row>
      <xdr:rowOff>99776</xdr:rowOff>
    </xdr:from>
    <xdr:to>
      <xdr:col>7</xdr:col>
      <xdr:colOff>226087</xdr:colOff>
      <xdr:row>295</xdr:row>
      <xdr:rowOff>81282</xdr:rowOff>
    </xdr:to>
    <xdr:sp macro="" textlink="">
      <xdr:nvSpPr>
        <xdr:cNvPr id="958" name="Text Box 321"/>
        <xdr:cNvSpPr txBox="1">
          <a:spLocks noChangeArrowheads="1"/>
        </xdr:cNvSpPr>
      </xdr:nvSpPr>
      <xdr:spPr bwMode="auto">
        <a:xfrm>
          <a:off x="4298043" y="44905376"/>
          <a:ext cx="195244" cy="13390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18090</xdr:colOff>
      <xdr:row>296</xdr:row>
      <xdr:rowOff>177458</xdr:rowOff>
    </xdr:from>
    <xdr:to>
      <xdr:col>7</xdr:col>
      <xdr:colOff>30842</xdr:colOff>
      <xdr:row>296</xdr:row>
      <xdr:rowOff>177458</xdr:rowOff>
    </xdr:to>
    <xdr:sp macro="" textlink="">
      <xdr:nvSpPr>
        <xdr:cNvPr id="959" name="Line 322"/>
        <xdr:cNvSpPr>
          <a:spLocks noChangeShapeType="1"/>
        </xdr:cNvSpPr>
      </xdr:nvSpPr>
      <xdr:spPr bwMode="auto">
        <a:xfrm>
          <a:off x="3066090" y="45259283"/>
          <a:ext cx="1231952" cy="0"/>
        </a:xfrm>
        <a:prstGeom prst="line">
          <a:avLst/>
        </a:prstGeom>
        <a:noFill/>
        <a:ln w="9525">
          <a:solidFill>
            <a:srgbClr val="000000"/>
          </a:solidFill>
          <a:round/>
          <a:headEnd/>
          <a:tailEnd/>
        </a:ln>
      </xdr:spPr>
    </xdr:sp>
    <xdr:clientData/>
  </xdr:twoCellAnchor>
  <xdr:twoCellAnchor>
    <xdr:from>
      <xdr:col>4</xdr:col>
      <xdr:colOff>112737</xdr:colOff>
      <xdr:row>303</xdr:row>
      <xdr:rowOff>105334</xdr:rowOff>
    </xdr:from>
    <xdr:to>
      <xdr:col>5</xdr:col>
      <xdr:colOff>18090</xdr:colOff>
      <xdr:row>304</xdr:row>
      <xdr:rowOff>96396</xdr:rowOff>
    </xdr:to>
    <xdr:sp macro="" textlink="">
      <xdr:nvSpPr>
        <xdr:cNvPr id="960" name="Text Box 323"/>
        <xdr:cNvSpPr txBox="1">
          <a:spLocks noChangeArrowheads="1"/>
        </xdr:cNvSpPr>
      </xdr:nvSpPr>
      <xdr:spPr bwMode="auto">
        <a:xfrm>
          <a:off x="2551137" y="46282534"/>
          <a:ext cx="514953" cy="143462"/>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14</xdr:col>
      <xdr:colOff>26510</xdr:colOff>
      <xdr:row>295</xdr:row>
      <xdr:rowOff>71726</xdr:rowOff>
    </xdr:from>
    <xdr:to>
      <xdr:col>14</xdr:col>
      <xdr:colOff>241278</xdr:colOff>
      <xdr:row>296</xdr:row>
      <xdr:rowOff>110567</xdr:rowOff>
    </xdr:to>
    <xdr:sp macro="" textlink="">
      <xdr:nvSpPr>
        <xdr:cNvPr id="961" name="Text Box 324"/>
        <xdr:cNvSpPr txBox="1">
          <a:spLocks noChangeArrowheads="1"/>
        </xdr:cNvSpPr>
      </xdr:nvSpPr>
      <xdr:spPr bwMode="auto">
        <a:xfrm>
          <a:off x="8560910" y="45029726"/>
          <a:ext cx="214768" cy="191241"/>
        </a:xfrm>
        <a:prstGeom prst="rect">
          <a:avLst/>
        </a:prstGeom>
        <a:noFill/>
        <a:ln w="9525">
          <a:noFill/>
          <a:miter lim="800000"/>
          <a:headEnd/>
          <a:tailEnd/>
        </a:ln>
      </xdr:spPr>
      <xdr:txBody>
        <a:bodyPr wrap="none" lIns="18288" tIns="27432" rIns="0" bIns="0" anchor="t" upright="1">
          <a:noAutofit/>
        </a:bodyPr>
        <a:lstStyle/>
        <a:p>
          <a:pPr algn="l" rtl="1">
            <a:defRPr sz="1000"/>
          </a:pPr>
          <a:r>
            <a:rPr lang="el-GR" altLang="ja-JP" sz="12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8</xdr:col>
      <xdr:colOff>1570</xdr:colOff>
      <xdr:row>301</xdr:row>
      <xdr:rowOff>104099</xdr:rowOff>
    </xdr:from>
    <xdr:to>
      <xdr:col>8</xdr:col>
      <xdr:colOff>196814</xdr:colOff>
      <xdr:row>302</xdr:row>
      <xdr:rowOff>85605</xdr:rowOff>
    </xdr:to>
    <xdr:sp macro="" textlink="">
      <xdr:nvSpPr>
        <xdr:cNvPr id="962" name="Text Box 325"/>
        <xdr:cNvSpPr txBox="1">
          <a:spLocks noChangeArrowheads="1"/>
        </xdr:cNvSpPr>
      </xdr:nvSpPr>
      <xdr:spPr bwMode="auto">
        <a:xfrm>
          <a:off x="4878370" y="45976499"/>
          <a:ext cx="195244" cy="13390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18090</xdr:colOff>
      <xdr:row>294</xdr:row>
      <xdr:rowOff>176223</xdr:rowOff>
    </xdr:from>
    <xdr:to>
      <xdr:col>7</xdr:col>
      <xdr:colOff>30842</xdr:colOff>
      <xdr:row>294</xdr:row>
      <xdr:rowOff>176223</xdr:rowOff>
    </xdr:to>
    <xdr:sp macro="" textlink="">
      <xdr:nvSpPr>
        <xdr:cNvPr id="963" name="Line 326"/>
        <xdr:cNvSpPr>
          <a:spLocks noChangeShapeType="1"/>
        </xdr:cNvSpPr>
      </xdr:nvSpPr>
      <xdr:spPr bwMode="auto">
        <a:xfrm>
          <a:off x="3066090" y="44953248"/>
          <a:ext cx="1231952" cy="0"/>
        </a:xfrm>
        <a:prstGeom prst="line">
          <a:avLst/>
        </a:prstGeom>
        <a:noFill/>
        <a:ln w="9525">
          <a:solidFill>
            <a:srgbClr val="000000"/>
          </a:solidFill>
          <a:round/>
          <a:headEnd/>
          <a:tailEnd/>
        </a:ln>
      </xdr:spPr>
    </xdr:sp>
    <xdr:clientData/>
  </xdr:twoCellAnchor>
  <xdr:twoCellAnchor>
    <xdr:from>
      <xdr:col>16</xdr:col>
      <xdr:colOff>16473</xdr:colOff>
      <xdr:row>294</xdr:row>
      <xdr:rowOff>137999</xdr:rowOff>
    </xdr:from>
    <xdr:to>
      <xdr:col>22</xdr:col>
      <xdr:colOff>129822</xdr:colOff>
      <xdr:row>295</xdr:row>
      <xdr:rowOff>186396</xdr:rowOff>
    </xdr:to>
    <xdr:sp macro="" textlink="">
      <xdr:nvSpPr>
        <xdr:cNvPr id="964" name="Text Box 327"/>
        <xdr:cNvSpPr txBox="1">
          <a:spLocks noChangeArrowheads="1"/>
        </xdr:cNvSpPr>
      </xdr:nvSpPr>
      <xdr:spPr bwMode="auto">
        <a:xfrm>
          <a:off x="9770073" y="44943599"/>
          <a:ext cx="3770949" cy="162697"/>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1000" b="1" i="0" strike="noStrike">
              <a:solidFill>
                <a:srgbClr val="000000"/>
              </a:solidFill>
              <a:latin typeface="Times New Roman"/>
              <a:cs typeface="Times New Roman"/>
            </a:rPr>
            <a:t>F</a:t>
          </a:r>
          <a:r>
            <a:rPr lang="de-DE" altLang="ja-JP" sz="1100" b="1" i="0" strike="noStrike" baseline="-25000">
              <a:solidFill>
                <a:srgbClr val="000000"/>
              </a:solidFill>
              <a:latin typeface="Times New Roman"/>
              <a:cs typeface="Times New Roman"/>
            </a:rPr>
            <a:t>H</a:t>
          </a:r>
          <a:r>
            <a:rPr lang="de-DE" altLang="ja-JP" sz="1100" b="1" i="0" strike="noStrike" baseline="30000">
              <a:solidFill>
                <a:srgbClr val="000000"/>
              </a:solidFill>
              <a:latin typeface="Times New Roman"/>
              <a:cs typeface="Times New Roman"/>
            </a:rPr>
            <a:t>2 </a:t>
          </a:r>
          <a:r>
            <a:rPr lang="de-DE" altLang="ja-JP" sz="900" b="1" i="0" strike="noStrike">
              <a:solidFill>
                <a:srgbClr val="000000"/>
              </a:solidFill>
              <a:latin typeface="Times New Roman"/>
              <a:cs typeface="Times New Roman"/>
            </a:rPr>
            <a:t>+(</a:t>
          </a:r>
          <a:r>
            <a:rPr lang="de-DE" altLang="ja-JP" sz="1000" b="1" i="0" strike="noStrike">
              <a:solidFill>
                <a:srgbClr val="000000"/>
              </a:solidFill>
              <a:latin typeface="Times New Roman"/>
              <a:cs typeface="Times New Roman"/>
            </a:rPr>
            <a:t>W</a:t>
          </a:r>
          <a:r>
            <a:rPr lang="de-DE" altLang="ja-JP" sz="1100" b="1" i="0" strike="noStrike" baseline="-25000">
              <a:solidFill>
                <a:srgbClr val="000000"/>
              </a:solidFill>
              <a:latin typeface="Times New Roman"/>
              <a:cs typeface="Times New Roman"/>
            </a:rPr>
            <a:t>t</a:t>
          </a:r>
          <a:r>
            <a:rPr lang="de-DE" altLang="ja-JP" sz="900" b="1" i="0" strike="noStrike">
              <a:solidFill>
                <a:srgbClr val="000000"/>
              </a:solidFill>
              <a:latin typeface="Times New Roman"/>
              <a:cs typeface="Times New Roman"/>
            </a:rPr>
            <a:t>+</a:t>
          </a:r>
          <a:r>
            <a:rPr lang="de-DE" altLang="ja-JP" sz="1000" b="1" i="0" strike="noStrike">
              <a:solidFill>
                <a:srgbClr val="000000"/>
              </a:solidFill>
              <a:latin typeface="Times New Roman"/>
              <a:cs typeface="Times New Roman"/>
            </a:rPr>
            <a:t>F</a:t>
          </a:r>
          <a:r>
            <a:rPr lang="de-DE" altLang="ja-JP" sz="900" b="1" i="0" strike="noStrike" baseline="-25000">
              <a:solidFill>
                <a:srgbClr val="000000"/>
              </a:solidFill>
              <a:latin typeface="Times New Roman"/>
              <a:cs typeface="Times New Roman"/>
            </a:rPr>
            <a:t>V</a:t>
          </a:r>
          <a:r>
            <a:rPr lang="de-DE" altLang="ja-JP" sz="900" b="1" i="0" strike="noStrike">
              <a:solidFill>
                <a:srgbClr val="000000"/>
              </a:solidFill>
              <a:latin typeface="Times New Roman"/>
              <a:cs typeface="Times New Roman"/>
            </a:rPr>
            <a:t>)</a:t>
          </a:r>
          <a:r>
            <a:rPr lang="de-DE" altLang="ja-JP" sz="1100" b="1" i="0" strike="noStrike" baseline="30000">
              <a:solidFill>
                <a:srgbClr val="000000"/>
              </a:solidFill>
              <a:latin typeface="Times New Roman"/>
              <a:cs typeface="Times New Roman"/>
            </a:rPr>
            <a:t>2</a:t>
          </a:r>
        </a:p>
      </xdr:txBody>
    </xdr:sp>
    <xdr:clientData/>
  </xdr:twoCellAnchor>
  <xdr:twoCellAnchor>
    <xdr:from>
      <xdr:col>5</xdr:col>
      <xdr:colOff>27853</xdr:colOff>
      <xdr:row>301</xdr:row>
      <xdr:rowOff>180546</xdr:rowOff>
    </xdr:from>
    <xdr:to>
      <xdr:col>8</xdr:col>
      <xdr:colOff>30858</xdr:colOff>
      <xdr:row>301</xdr:row>
      <xdr:rowOff>180546</xdr:rowOff>
    </xdr:to>
    <xdr:sp macro="" textlink="">
      <xdr:nvSpPr>
        <xdr:cNvPr id="965" name="Line 328"/>
        <xdr:cNvSpPr>
          <a:spLocks noChangeShapeType="1"/>
        </xdr:cNvSpPr>
      </xdr:nvSpPr>
      <xdr:spPr bwMode="auto">
        <a:xfrm>
          <a:off x="3075853" y="46024371"/>
          <a:ext cx="1831805" cy="0"/>
        </a:xfrm>
        <a:prstGeom prst="line">
          <a:avLst/>
        </a:prstGeom>
        <a:noFill/>
        <a:ln w="9525">
          <a:solidFill>
            <a:srgbClr val="000000"/>
          </a:solidFill>
          <a:round/>
          <a:headEnd/>
          <a:tailEnd/>
        </a:ln>
      </xdr:spPr>
    </xdr:sp>
    <xdr:clientData/>
  </xdr:twoCellAnchor>
  <xdr:twoCellAnchor>
    <xdr:from>
      <xdr:col>5</xdr:col>
      <xdr:colOff>203572</xdr:colOff>
      <xdr:row>301</xdr:row>
      <xdr:rowOff>132766</xdr:rowOff>
    </xdr:from>
    <xdr:to>
      <xdr:col>6</xdr:col>
      <xdr:colOff>255358</xdr:colOff>
      <xdr:row>302</xdr:row>
      <xdr:rowOff>181163</xdr:rowOff>
    </xdr:to>
    <xdr:sp macro="" textlink="">
      <xdr:nvSpPr>
        <xdr:cNvPr id="966" name="Text Box 329"/>
        <xdr:cNvSpPr txBox="1">
          <a:spLocks noChangeArrowheads="1"/>
        </xdr:cNvSpPr>
      </xdr:nvSpPr>
      <xdr:spPr bwMode="auto">
        <a:xfrm>
          <a:off x="3251572" y="46005166"/>
          <a:ext cx="661386" cy="172222"/>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112737</xdr:colOff>
      <xdr:row>296</xdr:row>
      <xdr:rowOff>101011</xdr:rowOff>
    </xdr:from>
    <xdr:to>
      <xdr:col>5</xdr:col>
      <xdr:colOff>18090</xdr:colOff>
      <xdr:row>297</xdr:row>
      <xdr:rowOff>92073</xdr:rowOff>
    </xdr:to>
    <xdr:sp macro="" textlink="">
      <xdr:nvSpPr>
        <xdr:cNvPr id="967" name="Text Box 330"/>
        <xdr:cNvSpPr txBox="1">
          <a:spLocks noChangeArrowheads="1"/>
        </xdr:cNvSpPr>
      </xdr:nvSpPr>
      <xdr:spPr bwMode="auto">
        <a:xfrm>
          <a:off x="2551137" y="45211411"/>
          <a:ext cx="514953" cy="143462"/>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8</xdr:col>
      <xdr:colOff>177290</xdr:colOff>
      <xdr:row>303</xdr:row>
      <xdr:rowOff>95778</xdr:rowOff>
    </xdr:from>
    <xdr:to>
      <xdr:col>9</xdr:col>
      <xdr:colOff>92405</xdr:colOff>
      <xdr:row>304</xdr:row>
      <xdr:rowOff>105951</xdr:rowOff>
    </xdr:to>
    <xdr:sp macro="" textlink="">
      <xdr:nvSpPr>
        <xdr:cNvPr id="968" name="Text Box 331"/>
        <xdr:cNvSpPr txBox="1">
          <a:spLocks noChangeArrowheads="1"/>
        </xdr:cNvSpPr>
      </xdr:nvSpPr>
      <xdr:spPr bwMode="auto">
        <a:xfrm>
          <a:off x="5054090" y="46272978"/>
          <a:ext cx="524715" cy="16257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63118</xdr:colOff>
      <xdr:row>303</xdr:row>
      <xdr:rowOff>181781</xdr:rowOff>
    </xdr:from>
    <xdr:to>
      <xdr:col>12</xdr:col>
      <xdr:colOff>69082</xdr:colOff>
      <xdr:row>303</xdr:row>
      <xdr:rowOff>181781</xdr:rowOff>
    </xdr:to>
    <xdr:sp macro="" textlink="">
      <xdr:nvSpPr>
        <xdr:cNvPr id="969" name="Line 332"/>
        <xdr:cNvSpPr>
          <a:spLocks noChangeShapeType="1"/>
        </xdr:cNvSpPr>
      </xdr:nvSpPr>
      <xdr:spPr bwMode="auto">
        <a:xfrm>
          <a:off x="5549518" y="46330406"/>
          <a:ext cx="1834764" cy="0"/>
        </a:xfrm>
        <a:prstGeom prst="line">
          <a:avLst/>
        </a:prstGeom>
        <a:noFill/>
        <a:ln w="9525">
          <a:solidFill>
            <a:srgbClr val="000000"/>
          </a:solidFill>
          <a:round/>
          <a:headEnd/>
          <a:tailEnd/>
        </a:ln>
      </xdr:spPr>
    </xdr:sp>
    <xdr:clientData/>
  </xdr:twoCellAnchor>
  <xdr:twoCellAnchor>
    <xdr:from>
      <xdr:col>5</xdr:col>
      <xdr:colOff>27853</xdr:colOff>
      <xdr:row>303</xdr:row>
      <xdr:rowOff>181781</xdr:rowOff>
    </xdr:from>
    <xdr:to>
      <xdr:col>8</xdr:col>
      <xdr:colOff>196815</xdr:colOff>
      <xdr:row>303</xdr:row>
      <xdr:rowOff>181781</xdr:rowOff>
    </xdr:to>
    <xdr:sp macro="" textlink="">
      <xdr:nvSpPr>
        <xdr:cNvPr id="970" name="Line 333"/>
        <xdr:cNvSpPr>
          <a:spLocks noChangeShapeType="1"/>
        </xdr:cNvSpPr>
      </xdr:nvSpPr>
      <xdr:spPr bwMode="auto">
        <a:xfrm>
          <a:off x="3075853" y="46330406"/>
          <a:ext cx="1997762" cy="0"/>
        </a:xfrm>
        <a:prstGeom prst="line">
          <a:avLst/>
        </a:prstGeom>
        <a:noFill/>
        <a:ln w="9525">
          <a:solidFill>
            <a:srgbClr val="000000"/>
          </a:solidFill>
          <a:round/>
          <a:headEnd/>
          <a:tailEnd/>
        </a:ln>
      </xdr:spPr>
    </xdr:sp>
    <xdr:clientData/>
  </xdr:twoCellAnchor>
  <xdr:twoCellAnchor>
    <xdr:from>
      <xdr:col>14</xdr:col>
      <xdr:colOff>66154</xdr:colOff>
      <xdr:row>299</xdr:row>
      <xdr:rowOff>16861</xdr:rowOff>
    </xdr:from>
    <xdr:to>
      <xdr:col>14</xdr:col>
      <xdr:colOff>261398</xdr:colOff>
      <xdr:row>300</xdr:row>
      <xdr:rowOff>17479</xdr:rowOff>
    </xdr:to>
    <xdr:sp macro="" textlink="">
      <xdr:nvSpPr>
        <xdr:cNvPr id="971" name="Text Box 334"/>
        <xdr:cNvSpPr txBox="1">
          <a:spLocks noChangeArrowheads="1"/>
        </xdr:cNvSpPr>
      </xdr:nvSpPr>
      <xdr:spPr bwMode="auto">
        <a:xfrm>
          <a:off x="8600554" y="45584461"/>
          <a:ext cx="195244" cy="153018"/>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229274</xdr:colOff>
      <xdr:row>294</xdr:row>
      <xdr:rowOff>80664</xdr:rowOff>
    </xdr:from>
    <xdr:to>
      <xdr:col>4</xdr:col>
      <xdr:colOff>278694</xdr:colOff>
      <xdr:row>295</xdr:row>
      <xdr:rowOff>90837</xdr:rowOff>
    </xdr:to>
    <xdr:sp macro="" textlink="">
      <xdr:nvSpPr>
        <xdr:cNvPr id="972" name="Text Box 335"/>
        <xdr:cNvSpPr txBox="1">
          <a:spLocks noChangeArrowheads="1"/>
        </xdr:cNvSpPr>
      </xdr:nvSpPr>
      <xdr:spPr bwMode="auto">
        <a:xfrm>
          <a:off x="2058074" y="44886264"/>
          <a:ext cx="659020" cy="16257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b1</a:t>
          </a:r>
          <a:r>
            <a:rPr lang="ja-JP" altLang="de-DE" sz="1000" b="1" i="0" strike="noStrike">
              <a:solidFill>
                <a:srgbClr val="000000"/>
              </a:solidFill>
              <a:latin typeface="ＭＳ Ｐゴシック"/>
              <a:ea typeface="ＭＳ Ｐゴシック"/>
            </a:rPr>
            <a:t>＝</a:t>
          </a:r>
        </a:p>
      </xdr:txBody>
    </xdr:sp>
    <xdr:clientData/>
  </xdr:twoCellAnchor>
  <xdr:twoCellAnchor>
    <xdr:from>
      <xdr:col>7</xdr:col>
      <xdr:colOff>216324</xdr:colOff>
      <xdr:row>294</xdr:row>
      <xdr:rowOff>176223</xdr:rowOff>
    </xdr:from>
    <xdr:to>
      <xdr:col>10</xdr:col>
      <xdr:colOff>144190</xdr:colOff>
      <xdr:row>294</xdr:row>
      <xdr:rowOff>176223</xdr:rowOff>
    </xdr:to>
    <xdr:sp macro="" textlink="">
      <xdr:nvSpPr>
        <xdr:cNvPr id="973" name="Line 336"/>
        <xdr:cNvSpPr>
          <a:spLocks noChangeShapeType="1"/>
        </xdr:cNvSpPr>
      </xdr:nvSpPr>
      <xdr:spPr bwMode="auto">
        <a:xfrm>
          <a:off x="4483524" y="44953248"/>
          <a:ext cx="1756666" cy="0"/>
        </a:xfrm>
        <a:prstGeom prst="line">
          <a:avLst/>
        </a:prstGeom>
        <a:noFill/>
        <a:ln w="9525">
          <a:solidFill>
            <a:srgbClr val="000000"/>
          </a:solidFill>
          <a:round/>
          <a:headEnd/>
          <a:tailEnd/>
        </a:ln>
      </xdr:spPr>
    </xdr:sp>
    <xdr:clientData/>
  </xdr:twoCellAnchor>
  <xdr:twoCellAnchor>
    <xdr:from>
      <xdr:col>5</xdr:col>
      <xdr:colOff>115712</xdr:colOff>
      <xdr:row>294</xdr:row>
      <xdr:rowOff>128443</xdr:rowOff>
    </xdr:from>
    <xdr:to>
      <xdr:col>6</xdr:col>
      <xdr:colOff>167498</xdr:colOff>
      <xdr:row>295</xdr:row>
      <xdr:rowOff>176840</xdr:rowOff>
    </xdr:to>
    <xdr:sp macro="" textlink="">
      <xdr:nvSpPr>
        <xdr:cNvPr id="974" name="Text Box 337"/>
        <xdr:cNvSpPr txBox="1">
          <a:spLocks noChangeArrowheads="1"/>
        </xdr:cNvSpPr>
      </xdr:nvSpPr>
      <xdr:spPr bwMode="auto">
        <a:xfrm>
          <a:off x="3163712" y="44934043"/>
          <a:ext cx="661386" cy="172222"/>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1</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V</a:t>
          </a:r>
        </a:p>
      </xdr:txBody>
    </xdr:sp>
    <xdr:clientData/>
  </xdr:twoCellAnchor>
  <xdr:twoCellAnchor>
    <xdr:from>
      <xdr:col>15</xdr:col>
      <xdr:colOff>6117</xdr:colOff>
      <xdr:row>296</xdr:row>
      <xdr:rowOff>148821</xdr:rowOff>
    </xdr:from>
    <xdr:to>
      <xdr:col>24</xdr:col>
      <xdr:colOff>52641</xdr:colOff>
      <xdr:row>297</xdr:row>
      <xdr:rowOff>149439</xdr:rowOff>
    </xdr:to>
    <xdr:grpSp>
      <xdr:nvGrpSpPr>
        <xdr:cNvPr id="975" name="Group 338"/>
        <xdr:cNvGrpSpPr>
          <a:grpSpLocks/>
        </xdr:cNvGrpSpPr>
      </xdr:nvGrpSpPr>
      <xdr:grpSpPr bwMode="auto">
        <a:xfrm>
          <a:off x="3824055" y="53115759"/>
          <a:ext cx="1443524" cy="191118"/>
          <a:chOff x="391" y="883"/>
          <a:chExt cx="99" cy="20"/>
        </a:xfrm>
      </xdr:grpSpPr>
      <xdr:sp macro="" textlink="">
        <xdr:nvSpPr>
          <xdr:cNvPr id="976" name="Line 339"/>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977" name="Line 340"/>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978" name="Line 341"/>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17</xdr:col>
      <xdr:colOff>116764</xdr:colOff>
      <xdr:row>295</xdr:row>
      <xdr:rowOff>148173</xdr:rowOff>
    </xdr:from>
    <xdr:to>
      <xdr:col>19</xdr:col>
      <xdr:colOff>39277</xdr:colOff>
      <xdr:row>296</xdr:row>
      <xdr:rowOff>158346</xdr:rowOff>
    </xdr:to>
    <xdr:sp macro="" textlink="">
      <xdr:nvSpPr>
        <xdr:cNvPr id="979" name="Text Box 342"/>
        <xdr:cNvSpPr txBox="1">
          <a:spLocks noChangeArrowheads="1"/>
        </xdr:cNvSpPr>
      </xdr:nvSpPr>
      <xdr:spPr bwMode="auto">
        <a:xfrm>
          <a:off x="10479964" y="45106173"/>
          <a:ext cx="1141713" cy="153048"/>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n</a:t>
          </a:r>
          <a:r>
            <a:rPr lang="ja-JP" altLang="de-DE" sz="900" b="1" i="0" strike="noStrike">
              <a:solidFill>
                <a:srgbClr val="000000"/>
              </a:solidFill>
              <a:latin typeface="ＭＳ Ｐ明朝"/>
              <a:ea typeface="ＭＳ Ｐ明朝"/>
            </a:rPr>
            <a:t>・</a:t>
          </a:r>
          <a:r>
            <a:rPr lang="de-DE" altLang="ja-JP" sz="1000" b="1" i="0" strike="noStrike">
              <a:solidFill>
                <a:srgbClr val="000000"/>
              </a:solidFill>
              <a:latin typeface="Times New Roman"/>
              <a:cs typeface="Times New Roman"/>
            </a:rPr>
            <a:t>A</a:t>
          </a:r>
        </a:p>
      </xdr:txBody>
    </xdr:sp>
    <xdr:clientData/>
  </xdr:twoCellAnchor>
  <xdr:twoCellAnchor>
    <xdr:from>
      <xdr:col>4</xdr:col>
      <xdr:colOff>112737</xdr:colOff>
      <xdr:row>298</xdr:row>
      <xdr:rowOff>44911</xdr:rowOff>
    </xdr:from>
    <xdr:to>
      <xdr:col>5</xdr:col>
      <xdr:colOff>18090</xdr:colOff>
      <xdr:row>299</xdr:row>
      <xdr:rowOff>45529</xdr:rowOff>
    </xdr:to>
    <xdr:sp macro="" textlink="">
      <xdr:nvSpPr>
        <xdr:cNvPr id="980" name="Text Box 343"/>
        <xdr:cNvSpPr txBox="1">
          <a:spLocks noChangeArrowheads="1"/>
        </xdr:cNvSpPr>
      </xdr:nvSpPr>
      <xdr:spPr bwMode="auto">
        <a:xfrm>
          <a:off x="2551137" y="45460111"/>
          <a:ext cx="514953" cy="153018"/>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7</xdr:col>
      <xdr:colOff>226086</xdr:colOff>
      <xdr:row>296</xdr:row>
      <xdr:rowOff>177458</xdr:rowOff>
    </xdr:from>
    <xdr:to>
      <xdr:col>10</xdr:col>
      <xdr:colOff>202763</xdr:colOff>
      <xdr:row>296</xdr:row>
      <xdr:rowOff>177458</xdr:rowOff>
    </xdr:to>
    <xdr:sp macro="" textlink="">
      <xdr:nvSpPr>
        <xdr:cNvPr id="981" name="Line 344"/>
        <xdr:cNvSpPr>
          <a:spLocks noChangeShapeType="1"/>
        </xdr:cNvSpPr>
      </xdr:nvSpPr>
      <xdr:spPr bwMode="auto">
        <a:xfrm>
          <a:off x="4493286" y="45259283"/>
          <a:ext cx="1805477" cy="0"/>
        </a:xfrm>
        <a:prstGeom prst="line">
          <a:avLst/>
        </a:prstGeom>
        <a:noFill/>
        <a:ln w="9525">
          <a:solidFill>
            <a:srgbClr val="000000"/>
          </a:solidFill>
          <a:round/>
          <a:headEnd/>
          <a:tailEnd/>
        </a:ln>
      </xdr:spPr>
    </xdr:sp>
    <xdr:clientData/>
  </xdr:twoCellAnchor>
  <xdr:twoCellAnchor>
    <xdr:from>
      <xdr:col>15</xdr:col>
      <xdr:colOff>64095</xdr:colOff>
      <xdr:row>295</xdr:row>
      <xdr:rowOff>4711</xdr:rowOff>
    </xdr:from>
    <xdr:to>
      <xdr:col>22</xdr:col>
      <xdr:colOff>61487</xdr:colOff>
      <xdr:row>295</xdr:row>
      <xdr:rowOff>148204</xdr:rowOff>
    </xdr:to>
    <xdr:grpSp>
      <xdr:nvGrpSpPr>
        <xdr:cNvPr id="982" name="Group 345"/>
        <xdr:cNvGrpSpPr>
          <a:grpSpLocks/>
        </xdr:cNvGrpSpPr>
      </xdr:nvGrpSpPr>
      <xdr:grpSpPr bwMode="auto">
        <a:xfrm>
          <a:off x="3882033" y="52781149"/>
          <a:ext cx="949892" cy="143493"/>
          <a:chOff x="391" y="883"/>
          <a:chExt cx="99" cy="20"/>
        </a:xfrm>
      </xdr:grpSpPr>
      <xdr:sp macro="" textlink="">
        <xdr:nvSpPr>
          <xdr:cNvPr id="983" name="Line 346"/>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984" name="Line 347"/>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985" name="Line 348"/>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14</xdr:col>
      <xdr:colOff>66154</xdr:colOff>
      <xdr:row>297</xdr:row>
      <xdr:rowOff>101629</xdr:rowOff>
    </xdr:from>
    <xdr:to>
      <xdr:col>14</xdr:col>
      <xdr:colOff>261398</xdr:colOff>
      <xdr:row>298</xdr:row>
      <xdr:rowOff>102247</xdr:rowOff>
    </xdr:to>
    <xdr:sp macro="" textlink="">
      <xdr:nvSpPr>
        <xdr:cNvPr id="986" name="Text Box 349"/>
        <xdr:cNvSpPr txBox="1">
          <a:spLocks noChangeArrowheads="1"/>
        </xdr:cNvSpPr>
      </xdr:nvSpPr>
      <xdr:spPr bwMode="auto">
        <a:xfrm>
          <a:off x="8600554" y="45364429"/>
          <a:ext cx="195244" cy="153018"/>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7</xdr:col>
      <xdr:colOff>30843</xdr:colOff>
      <xdr:row>296</xdr:row>
      <xdr:rowOff>101011</xdr:rowOff>
    </xdr:from>
    <xdr:to>
      <xdr:col>7</xdr:col>
      <xdr:colOff>226087</xdr:colOff>
      <xdr:row>297</xdr:row>
      <xdr:rowOff>82517</xdr:rowOff>
    </xdr:to>
    <xdr:sp macro="" textlink="">
      <xdr:nvSpPr>
        <xdr:cNvPr id="987" name="Text Box 350"/>
        <xdr:cNvSpPr txBox="1">
          <a:spLocks noChangeArrowheads="1"/>
        </xdr:cNvSpPr>
      </xdr:nvSpPr>
      <xdr:spPr bwMode="auto">
        <a:xfrm>
          <a:off x="4298043" y="45211411"/>
          <a:ext cx="195244" cy="13390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229274</xdr:colOff>
      <xdr:row>301</xdr:row>
      <xdr:rowOff>84987</xdr:rowOff>
    </xdr:from>
    <xdr:to>
      <xdr:col>4</xdr:col>
      <xdr:colOff>278694</xdr:colOff>
      <xdr:row>302</xdr:row>
      <xdr:rowOff>95160</xdr:rowOff>
    </xdr:to>
    <xdr:sp macro="" textlink="">
      <xdr:nvSpPr>
        <xdr:cNvPr id="988" name="Text Box 351"/>
        <xdr:cNvSpPr txBox="1">
          <a:spLocks noChangeArrowheads="1"/>
        </xdr:cNvSpPr>
      </xdr:nvSpPr>
      <xdr:spPr bwMode="auto">
        <a:xfrm>
          <a:off x="2058074" y="45957387"/>
          <a:ext cx="659020" cy="162573"/>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b2</a:t>
          </a:r>
          <a:r>
            <a:rPr lang="ja-JP" altLang="de-DE" sz="1000" b="1" i="0" strike="noStrike">
              <a:solidFill>
                <a:srgbClr val="000000"/>
              </a:solidFill>
              <a:latin typeface="ＭＳ Ｐゴシック"/>
              <a:ea typeface="ＭＳ Ｐゴシック"/>
            </a:rPr>
            <a:t>＝</a:t>
          </a:r>
        </a:p>
      </xdr:txBody>
    </xdr:sp>
    <xdr:clientData/>
  </xdr:twoCellAnchor>
  <xdr:twoCellAnchor>
    <xdr:from>
      <xdr:col>14</xdr:col>
      <xdr:colOff>261397</xdr:colOff>
      <xdr:row>297</xdr:row>
      <xdr:rowOff>178076</xdr:rowOff>
    </xdr:from>
    <xdr:to>
      <xdr:col>24</xdr:col>
      <xdr:colOff>72164</xdr:colOff>
      <xdr:row>297</xdr:row>
      <xdr:rowOff>178076</xdr:rowOff>
    </xdr:to>
    <xdr:sp macro="" textlink="">
      <xdr:nvSpPr>
        <xdr:cNvPr id="989" name="Line 352"/>
        <xdr:cNvSpPr>
          <a:spLocks noChangeShapeType="1"/>
        </xdr:cNvSpPr>
      </xdr:nvSpPr>
      <xdr:spPr bwMode="auto">
        <a:xfrm>
          <a:off x="8795797" y="45412301"/>
          <a:ext cx="5906767" cy="0"/>
        </a:xfrm>
        <a:prstGeom prst="line">
          <a:avLst/>
        </a:prstGeom>
        <a:noFill/>
        <a:ln w="9525">
          <a:solidFill>
            <a:srgbClr val="000000"/>
          </a:solidFill>
          <a:round/>
          <a:headEnd/>
          <a:tailEnd/>
        </a:ln>
      </xdr:spPr>
    </xdr:sp>
    <xdr:clientData/>
  </xdr:twoCellAnchor>
  <xdr:twoCellAnchor>
    <xdr:from>
      <xdr:col>9</xdr:col>
      <xdr:colOff>24070</xdr:colOff>
      <xdr:row>301</xdr:row>
      <xdr:rowOff>132766</xdr:rowOff>
    </xdr:from>
    <xdr:to>
      <xdr:col>10</xdr:col>
      <xdr:colOff>75856</xdr:colOff>
      <xdr:row>302</xdr:row>
      <xdr:rowOff>181163</xdr:rowOff>
    </xdr:to>
    <xdr:sp macro="" textlink="">
      <xdr:nvSpPr>
        <xdr:cNvPr id="990" name="Text Box 353"/>
        <xdr:cNvSpPr txBox="1">
          <a:spLocks noChangeArrowheads="1"/>
        </xdr:cNvSpPr>
      </xdr:nvSpPr>
      <xdr:spPr bwMode="auto">
        <a:xfrm>
          <a:off x="5510470" y="46005166"/>
          <a:ext cx="661386" cy="172222"/>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112737</xdr:colOff>
      <xdr:row>305</xdr:row>
      <xdr:rowOff>30122</xdr:rowOff>
    </xdr:from>
    <xdr:to>
      <xdr:col>5</xdr:col>
      <xdr:colOff>18090</xdr:colOff>
      <xdr:row>306</xdr:row>
      <xdr:rowOff>21184</xdr:rowOff>
    </xdr:to>
    <xdr:sp macro="" textlink="">
      <xdr:nvSpPr>
        <xdr:cNvPr id="991" name="Text Box 354"/>
        <xdr:cNvSpPr txBox="1">
          <a:spLocks noChangeArrowheads="1"/>
        </xdr:cNvSpPr>
      </xdr:nvSpPr>
      <xdr:spPr bwMode="auto">
        <a:xfrm>
          <a:off x="2551137" y="46512122"/>
          <a:ext cx="514953" cy="143462"/>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8</xdr:col>
      <xdr:colOff>157766</xdr:colOff>
      <xdr:row>301</xdr:row>
      <xdr:rowOff>180546</xdr:rowOff>
    </xdr:from>
    <xdr:to>
      <xdr:col>11</xdr:col>
      <xdr:colOff>46585</xdr:colOff>
      <xdr:row>301</xdr:row>
      <xdr:rowOff>180546</xdr:rowOff>
    </xdr:to>
    <xdr:sp macro="" textlink="">
      <xdr:nvSpPr>
        <xdr:cNvPr id="992" name="Line 355"/>
        <xdr:cNvSpPr>
          <a:spLocks noChangeShapeType="1"/>
        </xdr:cNvSpPr>
      </xdr:nvSpPr>
      <xdr:spPr bwMode="auto">
        <a:xfrm>
          <a:off x="5034566" y="46024371"/>
          <a:ext cx="1717619" cy="0"/>
        </a:xfrm>
        <a:prstGeom prst="line">
          <a:avLst/>
        </a:prstGeom>
        <a:noFill/>
        <a:ln w="9525">
          <a:solidFill>
            <a:srgbClr val="000000"/>
          </a:solidFill>
          <a:round/>
          <a:headEnd/>
          <a:tailEnd/>
        </a:ln>
      </xdr:spPr>
    </xdr:sp>
    <xdr:clientData/>
  </xdr:twoCellAnchor>
  <xdr:twoCellAnchor>
    <xdr:from>
      <xdr:col>5</xdr:col>
      <xdr:colOff>18090</xdr:colOff>
      <xdr:row>296</xdr:row>
      <xdr:rowOff>177458</xdr:rowOff>
    </xdr:from>
    <xdr:to>
      <xdr:col>7</xdr:col>
      <xdr:colOff>30842</xdr:colOff>
      <xdr:row>296</xdr:row>
      <xdr:rowOff>177458</xdr:rowOff>
    </xdr:to>
    <xdr:sp macro="" textlink="">
      <xdr:nvSpPr>
        <xdr:cNvPr id="993" name="Line 356"/>
        <xdr:cNvSpPr>
          <a:spLocks noChangeShapeType="1"/>
        </xdr:cNvSpPr>
      </xdr:nvSpPr>
      <xdr:spPr bwMode="auto">
        <a:xfrm>
          <a:off x="3066090" y="45259283"/>
          <a:ext cx="1231952" cy="0"/>
        </a:xfrm>
        <a:prstGeom prst="line">
          <a:avLst/>
        </a:prstGeom>
        <a:noFill/>
        <a:ln w="9525">
          <a:solidFill>
            <a:srgbClr val="000000"/>
          </a:solidFill>
          <a:round/>
          <a:headEnd/>
          <a:tailEnd/>
        </a:ln>
      </xdr:spPr>
    </xdr:sp>
    <xdr:clientData/>
  </xdr:twoCellAnchor>
  <xdr:twoCellAnchor>
    <xdr:from>
      <xdr:col>4</xdr:col>
      <xdr:colOff>112737</xdr:colOff>
      <xdr:row>303</xdr:row>
      <xdr:rowOff>105334</xdr:rowOff>
    </xdr:from>
    <xdr:to>
      <xdr:col>5</xdr:col>
      <xdr:colOff>18090</xdr:colOff>
      <xdr:row>304</xdr:row>
      <xdr:rowOff>96396</xdr:rowOff>
    </xdr:to>
    <xdr:sp macro="" textlink="">
      <xdr:nvSpPr>
        <xdr:cNvPr id="994" name="Text Box 357"/>
        <xdr:cNvSpPr txBox="1">
          <a:spLocks noChangeArrowheads="1"/>
        </xdr:cNvSpPr>
      </xdr:nvSpPr>
      <xdr:spPr bwMode="auto">
        <a:xfrm>
          <a:off x="2551137" y="46282534"/>
          <a:ext cx="514953" cy="143462"/>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14</xdr:col>
      <xdr:colOff>26510</xdr:colOff>
      <xdr:row>295</xdr:row>
      <xdr:rowOff>71726</xdr:rowOff>
    </xdr:from>
    <xdr:to>
      <xdr:col>14</xdr:col>
      <xdr:colOff>241278</xdr:colOff>
      <xdr:row>296</xdr:row>
      <xdr:rowOff>110567</xdr:rowOff>
    </xdr:to>
    <xdr:sp macro="" textlink="">
      <xdr:nvSpPr>
        <xdr:cNvPr id="995" name="Text Box 358"/>
        <xdr:cNvSpPr txBox="1">
          <a:spLocks noChangeArrowheads="1"/>
        </xdr:cNvSpPr>
      </xdr:nvSpPr>
      <xdr:spPr bwMode="auto">
        <a:xfrm>
          <a:off x="8560910" y="45029726"/>
          <a:ext cx="214768" cy="191241"/>
        </a:xfrm>
        <a:prstGeom prst="rect">
          <a:avLst/>
        </a:prstGeom>
        <a:noFill/>
        <a:ln w="9525">
          <a:noFill/>
          <a:miter lim="800000"/>
          <a:headEnd/>
          <a:tailEnd/>
        </a:ln>
      </xdr:spPr>
      <xdr:txBody>
        <a:bodyPr wrap="none" lIns="18288" tIns="27432" rIns="0" bIns="0" anchor="t" upright="1">
          <a:noAutofit/>
        </a:bodyPr>
        <a:lstStyle/>
        <a:p>
          <a:pPr algn="l" rtl="1">
            <a:defRPr sz="1000"/>
          </a:pPr>
          <a:r>
            <a:rPr lang="el-GR" altLang="ja-JP" sz="12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8</xdr:col>
      <xdr:colOff>1570</xdr:colOff>
      <xdr:row>301</xdr:row>
      <xdr:rowOff>104099</xdr:rowOff>
    </xdr:from>
    <xdr:to>
      <xdr:col>8</xdr:col>
      <xdr:colOff>196814</xdr:colOff>
      <xdr:row>302</xdr:row>
      <xdr:rowOff>85605</xdr:rowOff>
    </xdr:to>
    <xdr:sp macro="" textlink="">
      <xdr:nvSpPr>
        <xdr:cNvPr id="996" name="Text Box 359"/>
        <xdr:cNvSpPr txBox="1">
          <a:spLocks noChangeArrowheads="1"/>
        </xdr:cNvSpPr>
      </xdr:nvSpPr>
      <xdr:spPr bwMode="auto">
        <a:xfrm>
          <a:off x="4878370" y="45976499"/>
          <a:ext cx="195244" cy="13390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27853</xdr:colOff>
      <xdr:row>301</xdr:row>
      <xdr:rowOff>180546</xdr:rowOff>
    </xdr:from>
    <xdr:to>
      <xdr:col>8</xdr:col>
      <xdr:colOff>30858</xdr:colOff>
      <xdr:row>301</xdr:row>
      <xdr:rowOff>180546</xdr:rowOff>
    </xdr:to>
    <xdr:sp macro="" textlink="">
      <xdr:nvSpPr>
        <xdr:cNvPr id="997" name="Line 360"/>
        <xdr:cNvSpPr>
          <a:spLocks noChangeShapeType="1"/>
        </xdr:cNvSpPr>
      </xdr:nvSpPr>
      <xdr:spPr bwMode="auto">
        <a:xfrm>
          <a:off x="3075853" y="46024371"/>
          <a:ext cx="1831805" cy="0"/>
        </a:xfrm>
        <a:prstGeom prst="line">
          <a:avLst/>
        </a:prstGeom>
        <a:noFill/>
        <a:ln w="9525">
          <a:solidFill>
            <a:srgbClr val="000000"/>
          </a:solidFill>
          <a:round/>
          <a:headEnd/>
          <a:tailEnd/>
        </a:ln>
      </xdr:spPr>
    </xdr:sp>
    <xdr:clientData/>
  </xdr:twoCellAnchor>
  <xdr:twoCellAnchor>
    <xdr:from>
      <xdr:col>5</xdr:col>
      <xdr:colOff>203572</xdr:colOff>
      <xdr:row>301</xdr:row>
      <xdr:rowOff>132766</xdr:rowOff>
    </xdr:from>
    <xdr:to>
      <xdr:col>6</xdr:col>
      <xdr:colOff>255358</xdr:colOff>
      <xdr:row>302</xdr:row>
      <xdr:rowOff>181163</xdr:rowOff>
    </xdr:to>
    <xdr:sp macro="" textlink="">
      <xdr:nvSpPr>
        <xdr:cNvPr id="998" name="Text Box 361"/>
        <xdr:cNvSpPr txBox="1">
          <a:spLocks noChangeArrowheads="1"/>
        </xdr:cNvSpPr>
      </xdr:nvSpPr>
      <xdr:spPr bwMode="auto">
        <a:xfrm>
          <a:off x="3251572" y="46005166"/>
          <a:ext cx="661386" cy="172222"/>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112737</xdr:colOff>
      <xdr:row>296</xdr:row>
      <xdr:rowOff>101011</xdr:rowOff>
    </xdr:from>
    <xdr:to>
      <xdr:col>5</xdr:col>
      <xdr:colOff>18090</xdr:colOff>
      <xdr:row>297</xdr:row>
      <xdr:rowOff>92073</xdr:rowOff>
    </xdr:to>
    <xdr:sp macro="" textlink="">
      <xdr:nvSpPr>
        <xdr:cNvPr id="999" name="Text Box 362"/>
        <xdr:cNvSpPr txBox="1">
          <a:spLocks noChangeArrowheads="1"/>
        </xdr:cNvSpPr>
      </xdr:nvSpPr>
      <xdr:spPr bwMode="auto">
        <a:xfrm>
          <a:off x="2551137" y="45211411"/>
          <a:ext cx="514953" cy="143462"/>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63118</xdr:colOff>
      <xdr:row>303</xdr:row>
      <xdr:rowOff>181781</xdr:rowOff>
    </xdr:from>
    <xdr:to>
      <xdr:col>12</xdr:col>
      <xdr:colOff>69082</xdr:colOff>
      <xdr:row>303</xdr:row>
      <xdr:rowOff>181781</xdr:rowOff>
    </xdr:to>
    <xdr:sp macro="" textlink="">
      <xdr:nvSpPr>
        <xdr:cNvPr id="1000" name="Line 363"/>
        <xdr:cNvSpPr>
          <a:spLocks noChangeShapeType="1"/>
        </xdr:cNvSpPr>
      </xdr:nvSpPr>
      <xdr:spPr bwMode="auto">
        <a:xfrm>
          <a:off x="5549518" y="46330406"/>
          <a:ext cx="1834764" cy="0"/>
        </a:xfrm>
        <a:prstGeom prst="line">
          <a:avLst/>
        </a:prstGeom>
        <a:noFill/>
        <a:ln w="9525">
          <a:solidFill>
            <a:srgbClr val="000000"/>
          </a:solidFill>
          <a:round/>
          <a:headEnd/>
          <a:tailEnd/>
        </a:ln>
      </xdr:spPr>
    </xdr:sp>
    <xdr:clientData/>
  </xdr:twoCellAnchor>
  <xdr:twoCellAnchor>
    <xdr:from>
      <xdr:col>5</xdr:col>
      <xdr:colOff>27853</xdr:colOff>
      <xdr:row>303</xdr:row>
      <xdr:rowOff>181781</xdr:rowOff>
    </xdr:from>
    <xdr:to>
      <xdr:col>8</xdr:col>
      <xdr:colOff>196815</xdr:colOff>
      <xdr:row>303</xdr:row>
      <xdr:rowOff>181781</xdr:rowOff>
    </xdr:to>
    <xdr:sp macro="" textlink="">
      <xdr:nvSpPr>
        <xdr:cNvPr id="1001" name="Line 364"/>
        <xdr:cNvSpPr>
          <a:spLocks noChangeShapeType="1"/>
        </xdr:cNvSpPr>
      </xdr:nvSpPr>
      <xdr:spPr bwMode="auto">
        <a:xfrm>
          <a:off x="3075853" y="46330406"/>
          <a:ext cx="1997762" cy="0"/>
        </a:xfrm>
        <a:prstGeom prst="line">
          <a:avLst/>
        </a:prstGeom>
        <a:noFill/>
        <a:ln w="9525">
          <a:solidFill>
            <a:srgbClr val="000000"/>
          </a:solidFill>
          <a:round/>
          <a:headEnd/>
          <a:tailEnd/>
        </a:ln>
      </xdr:spPr>
    </xdr:sp>
    <xdr:clientData/>
  </xdr:twoCellAnchor>
  <xdr:twoCellAnchor>
    <xdr:from>
      <xdr:col>14</xdr:col>
      <xdr:colOff>66154</xdr:colOff>
      <xdr:row>299</xdr:row>
      <xdr:rowOff>16861</xdr:rowOff>
    </xdr:from>
    <xdr:to>
      <xdr:col>14</xdr:col>
      <xdr:colOff>261398</xdr:colOff>
      <xdr:row>300</xdr:row>
      <xdr:rowOff>17479</xdr:rowOff>
    </xdr:to>
    <xdr:sp macro="" textlink="">
      <xdr:nvSpPr>
        <xdr:cNvPr id="1002" name="Text Box 365"/>
        <xdr:cNvSpPr txBox="1">
          <a:spLocks noChangeArrowheads="1"/>
        </xdr:cNvSpPr>
      </xdr:nvSpPr>
      <xdr:spPr bwMode="auto">
        <a:xfrm>
          <a:off x="8600554" y="45584461"/>
          <a:ext cx="195244" cy="153018"/>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15</xdr:col>
      <xdr:colOff>6117</xdr:colOff>
      <xdr:row>296</xdr:row>
      <xdr:rowOff>148821</xdr:rowOff>
    </xdr:from>
    <xdr:to>
      <xdr:col>24</xdr:col>
      <xdr:colOff>52641</xdr:colOff>
      <xdr:row>297</xdr:row>
      <xdr:rowOff>149439</xdr:rowOff>
    </xdr:to>
    <xdr:grpSp>
      <xdr:nvGrpSpPr>
        <xdr:cNvPr id="1003" name="Group 366"/>
        <xdr:cNvGrpSpPr>
          <a:grpSpLocks/>
        </xdr:cNvGrpSpPr>
      </xdr:nvGrpSpPr>
      <xdr:grpSpPr bwMode="auto">
        <a:xfrm>
          <a:off x="3824055" y="53115759"/>
          <a:ext cx="1443524" cy="191118"/>
          <a:chOff x="391" y="883"/>
          <a:chExt cx="99" cy="20"/>
        </a:xfrm>
      </xdr:grpSpPr>
      <xdr:sp macro="" textlink="">
        <xdr:nvSpPr>
          <xdr:cNvPr id="1004" name="Line 367"/>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1005" name="Line 368"/>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1006" name="Line 369"/>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17</xdr:col>
      <xdr:colOff>116764</xdr:colOff>
      <xdr:row>295</xdr:row>
      <xdr:rowOff>148173</xdr:rowOff>
    </xdr:from>
    <xdr:to>
      <xdr:col>19</xdr:col>
      <xdr:colOff>39277</xdr:colOff>
      <xdr:row>296</xdr:row>
      <xdr:rowOff>158346</xdr:rowOff>
    </xdr:to>
    <xdr:sp macro="" textlink="">
      <xdr:nvSpPr>
        <xdr:cNvPr id="1007" name="Text Box 370"/>
        <xdr:cNvSpPr txBox="1">
          <a:spLocks noChangeArrowheads="1"/>
        </xdr:cNvSpPr>
      </xdr:nvSpPr>
      <xdr:spPr bwMode="auto">
        <a:xfrm>
          <a:off x="10479964" y="45106173"/>
          <a:ext cx="1141713" cy="153048"/>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n</a:t>
          </a:r>
          <a:r>
            <a:rPr lang="ja-JP" altLang="de-DE" sz="900" b="1" i="0" strike="noStrike">
              <a:solidFill>
                <a:srgbClr val="000000"/>
              </a:solidFill>
              <a:latin typeface="ＭＳ Ｐ明朝"/>
              <a:ea typeface="ＭＳ Ｐ明朝"/>
            </a:rPr>
            <a:t>・</a:t>
          </a:r>
          <a:r>
            <a:rPr lang="de-DE" altLang="ja-JP" sz="1000" b="1" i="0" strike="noStrike">
              <a:solidFill>
                <a:srgbClr val="000000"/>
              </a:solidFill>
              <a:latin typeface="Times New Roman"/>
              <a:cs typeface="Times New Roman"/>
            </a:rPr>
            <a:t>A</a:t>
          </a:r>
        </a:p>
      </xdr:txBody>
    </xdr:sp>
    <xdr:clientData/>
  </xdr:twoCellAnchor>
  <xdr:twoCellAnchor>
    <xdr:from>
      <xdr:col>4</xdr:col>
      <xdr:colOff>112737</xdr:colOff>
      <xdr:row>298</xdr:row>
      <xdr:rowOff>44911</xdr:rowOff>
    </xdr:from>
    <xdr:to>
      <xdr:col>5</xdr:col>
      <xdr:colOff>18090</xdr:colOff>
      <xdr:row>299</xdr:row>
      <xdr:rowOff>45529</xdr:rowOff>
    </xdr:to>
    <xdr:sp macro="" textlink="">
      <xdr:nvSpPr>
        <xdr:cNvPr id="1008" name="Text Box 371"/>
        <xdr:cNvSpPr txBox="1">
          <a:spLocks noChangeArrowheads="1"/>
        </xdr:cNvSpPr>
      </xdr:nvSpPr>
      <xdr:spPr bwMode="auto">
        <a:xfrm>
          <a:off x="2551137" y="45460111"/>
          <a:ext cx="514953" cy="153018"/>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7</xdr:col>
      <xdr:colOff>226086</xdr:colOff>
      <xdr:row>296</xdr:row>
      <xdr:rowOff>177458</xdr:rowOff>
    </xdr:from>
    <xdr:to>
      <xdr:col>10</xdr:col>
      <xdr:colOff>202763</xdr:colOff>
      <xdr:row>296</xdr:row>
      <xdr:rowOff>177458</xdr:rowOff>
    </xdr:to>
    <xdr:sp macro="" textlink="">
      <xdr:nvSpPr>
        <xdr:cNvPr id="1009" name="Line 372"/>
        <xdr:cNvSpPr>
          <a:spLocks noChangeShapeType="1"/>
        </xdr:cNvSpPr>
      </xdr:nvSpPr>
      <xdr:spPr bwMode="auto">
        <a:xfrm>
          <a:off x="4493286" y="45259283"/>
          <a:ext cx="1805477" cy="0"/>
        </a:xfrm>
        <a:prstGeom prst="line">
          <a:avLst/>
        </a:prstGeom>
        <a:noFill/>
        <a:ln w="9525">
          <a:solidFill>
            <a:srgbClr val="000000"/>
          </a:solidFill>
          <a:round/>
          <a:headEnd/>
          <a:tailEnd/>
        </a:ln>
      </xdr:spPr>
    </xdr:sp>
    <xdr:clientData/>
  </xdr:twoCellAnchor>
  <xdr:twoCellAnchor>
    <xdr:from>
      <xdr:col>14</xdr:col>
      <xdr:colOff>66154</xdr:colOff>
      <xdr:row>297</xdr:row>
      <xdr:rowOff>101629</xdr:rowOff>
    </xdr:from>
    <xdr:to>
      <xdr:col>14</xdr:col>
      <xdr:colOff>261398</xdr:colOff>
      <xdr:row>298</xdr:row>
      <xdr:rowOff>102247</xdr:rowOff>
    </xdr:to>
    <xdr:sp macro="" textlink="">
      <xdr:nvSpPr>
        <xdr:cNvPr id="1010" name="Text Box 373"/>
        <xdr:cNvSpPr txBox="1">
          <a:spLocks noChangeArrowheads="1"/>
        </xdr:cNvSpPr>
      </xdr:nvSpPr>
      <xdr:spPr bwMode="auto">
        <a:xfrm>
          <a:off x="8600554" y="45364429"/>
          <a:ext cx="195244" cy="153018"/>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25</xdr:col>
      <xdr:colOff>90224</xdr:colOff>
      <xdr:row>258</xdr:row>
      <xdr:rowOff>74303</xdr:rowOff>
    </xdr:from>
    <xdr:to>
      <xdr:col>25</xdr:col>
      <xdr:colOff>129273</xdr:colOff>
      <xdr:row>258</xdr:row>
      <xdr:rowOff>112527</xdr:rowOff>
    </xdr:to>
    <xdr:sp macro="" textlink="">
      <xdr:nvSpPr>
        <xdr:cNvPr id="1011" name="Oval 374"/>
        <xdr:cNvSpPr>
          <a:spLocks noChangeArrowheads="1"/>
        </xdr:cNvSpPr>
      </xdr:nvSpPr>
      <xdr:spPr bwMode="auto">
        <a:xfrm>
          <a:off x="15330224" y="39393503"/>
          <a:ext cx="39049" cy="38224"/>
        </a:xfrm>
        <a:prstGeom prst="ellipse">
          <a:avLst/>
        </a:prstGeom>
        <a:noFill/>
        <a:ln w="9525">
          <a:solidFill>
            <a:srgbClr val="000000"/>
          </a:solidFill>
          <a:round/>
          <a:headEnd/>
          <a:tailEnd/>
        </a:ln>
      </xdr:spPr>
    </xdr:sp>
    <xdr:clientData/>
  </xdr:twoCellAnchor>
  <xdr:twoCellAnchor>
    <xdr:from>
      <xdr:col>2</xdr:col>
      <xdr:colOff>0</xdr:colOff>
      <xdr:row>379</xdr:row>
      <xdr:rowOff>188301</xdr:rowOff>
    </xdr:from>
    <xdr:to>
      <xdr:col>32</xdr:col>
      <xdr:colOff>0</xdr:colOff>
      <xdr:row>379</xdr:row>
      <xdr:rowOff>188301</xdr:rowOff>
    </xdr:to>
    <xdr:sp macro="" textlink="">
      <xdr:nvSpPr>
        <xdr:cNvPr id="1012" name="Line 163"/>
        <xdr:cNvSpPr>
          <a:spLocks noChangeShapeType="1"/>
        </xdr:cNvSpPr>
      </xdr:nvSpPr>
      <xdr:spPr bwMode="auto">
        <a:xfrm>
          <a:off x="1219200" y="57909801"/>
          <a:ext cx="18288000" cy="0"/>
        </a:xfrm>
        <a:prstGeom prst="line">
          <a:avLst/>
        </a:prstGeom>
        <a:noFill/>
        <a:ln w="57150" cmpd="thickThin">
          <a:solidFill>
            <a:srgbClr val="000000"/>
          </a:solidFill>
          <a:round/>
          <a:headEnd/>
          <a:tailEnd/>
        </a:ln>
      </xdr:spPr>
    </xdr:sp>
    <xdr:clientData/>
  </xdr:twoCellAnchor>
  <xdr:twoCellAnchor>
    <xdr:from>
      <xdr:col>2</xdr:col>
      <xdr:colOff>0</xdr:colOff>
      <xdr:row>311</xdr:row>
      <xdr:rowOff>21980</xdr:rowOff>
    </xdr:from>
    <xdr:to>
      <xdr:col>31</xdr:col>
      <xdr:colOff>274028</xdr:colOff>
      <xdr:row>311</xdr:row>
      <xdr:rowOff>21980</xdr:rowOff>
    </xdr:to>
    <xdr:sp macro="" textlink="">
      <xdr:nvSpPr>
        <xdr:cNvPr id="1013" name="Line 164"/>
        <xdr:cNvSpPr>
          <a:spLocks noChangeShapeType="1"/>
        </xdr:cNvSpPr>
      </xdr:nvSpPr>
      <xdr:spPr bwMode="auto">
        <a:xfrm>
          <a:off x="1219200" y="47418380"/>
          <a:ext cx="17952428" cy="0"/>
        </a:xfrm>
        <a:prstGeom prst="line">
          <a:avLst/>
        </a:prstGeom>
        <a:noFill/>
        <a:ln w="57150" cmpd="thinThick">
          <a:solidFill>
            <a:srgbClr val="000000"/>
          </a:solidFill>
          <a:round/>
          <a:headEnd/>
          <a:tailEnd/>
        </a:ln>
      </xdr:spPr>
    </xdr:sp>
    <xdr:clientData/>
  </xdr:twoCellAnchor>
  <xdr:twoCellAnchor>
    <xdr:from>
      <xdr:col>13</xdr:col>
      <xdr:colOff>7076</xdr:colOff>
      <xdr:row>316</xdr:row>
      <xdr:rowOff>88841</xdr:rowOff>
    </xdr:from>
    <xdr:to>
      <xdr:col>22</xdr:col>
      <xdr:colOff>38817</xdr:colOff>
      <xdr:row>336</xdr:row>
      <xdr:rowOff>99134</xdr:rowOff>
    </xdr:to>
    <xdr:grpSp>
      <xdr:nvGrpSpPr>
        <xdr:cNvPr id="1014" name="Group 165"/>
        <xdr:cNvGrpSpPr>
          <a:grpSpLocks/>
        </xdr:cNvGrpSpPr>
      </xdr:nvGrpSpPr>
      <xdr:grpSpPr bwMode="auto">
        <a:xfrm>
          <a:off x="3285264" y="56635591"/>
          <a:ext cx="1523991" cy="3820293"/>
          <a:chOff x="319" y="1274"/>
          <a:chExt cx="166" cy="401"/>
        </a:xfrm>
      </xdr:grpSpPr>
      <xdr:sp macro="" textlink="">
        <xdr:nvSpPr>
          <xdr:cNvPr id="1015" name="Line 166"/>
          <xdr:cNvSpPr>
            <a:spLocks noChangeShapeType="1"/>
          </xdr:cNvSpPr>
        </xdr:nvSpPr>
        <xdr:spPr bwMode="auto">
          <a:xfrm>
            <a:off x="338" y="1274"/>
            <a:ext cx="0" cy="360"/>
          </a:xfrm>
          <a:prstGeom prst="line">
            <a:avLst/>
          </a:prstGeom>
          <a:noFill/>
          <a:ln w="3175">
            <a:solidFill>
              <a:srgbClr val="000000"/>
            </a:solidFill>
            <a:round/>
            <a:headEnd type="triangle" w="sm" len="med"/>
            <a:tailEnd type="triangle" w="sm" len="med"/>
          </a:ln>
        </xdr:spPr>
      </xdr:sp>
      <xdr:sp macro="" textlink="">
        <xdr:nvSpPr>
          <xdr:cNvPr id="1016" name="Line 167"/>
          <xdr:cNvSpPr>
            <a:spLocks noChangeShapeType="1"/>
          </xdr:cNvSpPr>
        </xdr:nvSpPr>
        <xdr:spPr bwMode="auto">
          <a:xfrm>
            <a:off x="347" y="1487"/>
            <a:ext cx="68" cy="0"/>
          </a:xfrm>
          <a:prstGeom prst="line">
            <a:avLst/>
          </a:prstGeom>
          <a:noFill/>
          <a:ln w="3175">
            <a:solidFill>
              <a:srgbClr val="000000"/>
            </a:solidFill>
            <a:round/>
            <a:headEnd/>
            <a:tailEnd/>
          </a:ln>
        </xdr:spPr>
      </xdr:sp>
      <xdr:sp macro="" textlink="">
        <xdr:nvSpPr>
          <xdr:cNvPr id="1017" name="Line 168"/>
          <xdr:cNvSpPr>
            <a:spLocks noChangeShapeType="1"/>
          </xdr:cNvSpPr>
        </xdr:nvSpPr>
        <xdr:spPr bwMode="auto">
          <a:xfrm>
            <a:off x="416" y="1487"/>
            <a:ext cx="54" cy="0"/>
          </a:xfrm>
          <a:prstGeom prst="line">
            <a:avLst/>
          </a:prstGeom>
          <a:noFill/>
          <a:ln w="25400">
            <a:solidFill>
              <a:srgbClr val="000000"/>
            </a:solidFill>
            <a:round/>
            <a:headEnd/>
            <a:tailEnd type="stealth" w="med" len="med"/>
          </a:ln>
        </xdr:spPr>
      </xdr:sp>
      <xdr:sp macro="" textlink="">
        <xdr:nvSpPr>
          <xdr:cNvPr id="1018" name="Text Box 169"/>
          <xdr:cNvSpPr txBox="1">
            <a:spLocks noChangeArrowheads="1"/>
          </xdr:cNvSpPr>
        </xdr:nvSpPr>
        <xdr:spPr bwMode="auto">
          <a:xfrm>
            <a:off x="470" y="1476"/>
            <a:ext cx="15"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F</a:t>
            </a:r>
            <a:r>
              <a:rPr lang="de-DE" altLang="ja-JP" sz="600" b="1" i="0" strike="noStrike">
                <a:solidFill>
                  <a:srgbClr val="000000"/>
                </a:solidFill>
                <a:latin typeface="Times New Roman"/>
                <a:cs typeface="Times New Roman"/>
              </a:rPr>
              <a:t>H</a:t>
            </a:r>
          </a:p>
        </xdr:txBody>
      </xdr:sp>
      <xdr:sp macro="" textlink="">
        <xdr:nvSpPr>
          <xdr:cNvPr id="1019" name="Text Box 170"/>
          <xdr:cNvSpPr txBox="1">
            <a:spLocks noChangeArrowheads="1"/>
          </xdr:cNvSpPr>
        </xdr:nvSpPr>
        <xdr:spPr bwMode="auto">
          <a:xfrm>
            <a:off x="340" y="1380"/>
            <a:ext cx="22"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L</a:t>
            </a:r>
            <a:r>
              <a:rPr lang="de-DE" altLang="ja-JP" sz="600" b="1" i="0" strike="noStrike">
                <a:solidFill>
                  <a:srgbClr val="000000"/>
                </a:solidFill>
                <a:latin typeface="Times New Roman"/>
                <a:cs typeface="Times New Roman"/>
              </a:rPr>
              <a:t>W2</a:t>
            </a:r>
          </a:p>
        </xdr:txBody>
      </xdr:sp>
      <xdr:sp macro="" textlink="">
        <xdr:nvSpPr>
          <xdr:cNvPr id="1020" name="Line 171"/>
          <xdr:cNvSpPr>
            <a:spLocks noChangeShapeType="1"/>
          </xdr:cNvSpPr>
        </xdr:nvSpPr>
        <xdr:spPr bwMode="auto">
          <a:xfrm>
            <a:off x="328" y="1274"/>
            <a:ext cx="137" cy="0"/>
          </a:xfrm>
          <a:prstGeom prst="line">
            <a:avLst/>
          </a:prstGeom>
          <a:noFill/>
          <a:ln w="3175">
            <a:solidFill>
              <a:srgbClr val="000000"/>
            </a:solidFill>
            <a:round/>
            <a:headEnd/>
            <a:tailEnd/>
          </a:ln>
        </xdr:spPr>
      </xdr:sp>
      <xdr:sp macro="" textlink="">
        <xdr:nvSpPr>
          <xdr:cNvPr id="1021" name="Line 172"/>
          <xdr:cNvSpPr>
            <a:spLocks noChangeShapeType="1"/>
          </xdr:cNvSpPr>
        </xdr:nvSpPr>
        <xdr:spPr bwMode="auto">
          <a:xfrm>
            <a:off x="436" y="1417"/>
            <a:ext cx="29" cy="0"/>
          </a:xfrm>
          <a:prstGeom prst="line">
            <a:avLst/>
          </a:prstGeom>
          <a:noFill/>
          <a:ln w="3175">
            <a:solidFill>
              <a:srgbClr val="000000"/>
            </a:solidFill>
            <a:round/>
            <a:headEnd/>
            <a:tailEnd/>
          </a:ln>
        </xdr:spPr>
      </xdr:sp>
      <xdr:sp macro="" textlink="">
        <xdr:nvSpPr>
          <xdr:cNvPr id="1022" name="Text Box 173"/>
          <xdr:cNvSpPr txBox="1">
            <a:spLocks noChangeArrowheads="1"/>
          </xdr:cNvSpPr>
        </xdr:nvSpPr>
        <xdr:spPr bwMode="auto">
          <a:xfrm>
            <a:off x="411" y="1470"/>
            <a:ext cx="11" cy="36"/>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sp macro="" textlink="">
        <xdr:nvSpPr>
          <xdr:cNvPr id="1023" name="Line 174"/>
          <xdr:cNvSpPr>
            <a:spLocks noChangeShapeType="1"/>
          </xdr:cNvSpPr>
        </xdr:nvSpPr>
        <xdr:spPr bwMode="auto">
          <a:xfrm>
            <a:off x="362" y="1274"/>
            <a:ext cx="0" cy="213"/>
          </a:xfrm>
          <a:prstGeom prst="line">
            <a:avLst/>
          </a:prstGeom>
          <a:noFill/>
          <a:ln w="3175">
            <a:solidFill>
              <a:srgbClr val="000000"/>
            </a:solidFill>
            <a:round/>
            <a:headEnd type="triangle" w="sm" len="med"/>
            <a:tailEnd type="triangle" w="sm" len="med"/>
          </a:ln>
        </xdr:spPr>
      </xdr:sp>
      <xdr:sp macro="" textlink="">
        <xdr:nvSpPr>
          <xdr:cNvPr id="1024" name="Text Box 175"/>
          <xdr:cNvSpPr txBox="1">
            <a:spLocks noChangeArrowheads="1"/>
          </xdr:cNvSpPr>
        </xdr:nvSpPr>
        <xdr:spPr bwMode="auto">
          <a:xfrm>
            <a:off x="387" y="1327"/>
            <a:ext cx="23" cy="54"/>
          </a:xfrm>
          <a:prstGeom prst="rect">
            <a:avLst/>
          </a:prstGeom>
          <a:noFill/>
          <a:ln w="9525">
            <a:noFill/>
            <a:miter lim="800000"/>
            <a:headEnd/>
            <a:tailEnd/>
          </a:ln>
        </xdr:spPr>
        <xdr:txBody>
          <a:bodyPr vert="vert270" wrap="none" lIns="18288" tIns="22860" rIns="18288" bIns="22860" anchor="ctr" upright="1">
            <a:spAutoFit/>
          </a:bodyPr>
          <a:lstStyle/>
          <a:p>
            <a:pPr algn="ctr" rtl="1">
              <a:defRPr sz="1000"/>
            </a:pPr>
            <a:r>
              <a:rPr lang="de-DE" altLang="ja-JP" sz="900" b="1" i="0" strike="noStrike">
                <a:solidFill>
                  <a:srgbClr val="000000"/>
                </a:solidFill>
                <a:latin typeface="Times New Roman"/>
                <a:cs typeface="Times New Roman"/>
              </a:rPr>
              <a:t>LGS</a:t>
            </a:r>
            <a:r>
              <a:rPr lang="ja-JP" altLang="en-US" sz="900" b="0" i="0" strike="noStrike">
                <a:solidFill>
                  <a:srgbClr val="000000"/>
                </a:solidFill>
                <a:latin typeface="ＭＳ Ｐ明朝"/>
                <a:ea typeface="ＭＳ Ｐ明朝"/>
              </a:rPr>
              <a:t>スタッド</a:t>
            </a:r>
          </a:p>
        </xdr:txBody>
      </xdr:sp>
      <xdr:sp macro="" textlink="">
        <xdr:nvSpPr>
          <xdr:cNvPr id="1025" name="Text Box 176"/>
          <xdr:cNvSpPr txBox="1">
            <a:spLocks noChangeArrowheads="1"/>
          </xdr:cNvSpPr>
        </xdr:nvSpPr>
        <xdr:spPr bwMode="auto">
          <a:xfrm>
            <a:off x="452" y="1544"/>
            <a:ext cx="15"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H</a:t>
            </a:r>
            <a:r>
              <a:rPr lang="de-DE" altLang="ja-JP" sz="900" b="1" i="0" strike="noStrike">
                <a:solidFill>
                  <a:srgbClr val="000000"/>
                </a:solidFill>
                <a:latin typeface="Times New Roman"/>
                <a:cs typeface="Times New Roman"/>
              </a:rPr>
              <a:t>t</a:t>
            </a:r>
          </a:p>
        </xdr:txBody>
      </xdr:sp>
      <xdr:sp macro="" textlink="">
        <xdr:nvSpPr>
          <xdr:cNvPr id="1026" name="Line 177"/>
          <xdr:cNvSpPr>
            <a:spLocks noChangeShapeType="1"/>
          </xdr:cNvSpPr>
        </xdr:nvSpPr>
        <xdr:spPr bwMode="auto">
          <a:xfrm>
            <a:off x="362" y="1487"/>
            <a:ext cx="0" cy="148"/>
          </a:xfrm>
          <a:prstGeom prst="line">
            <a:avLst/>
          </a:prstGeom>
          <a:noFill/>
          <a:ln w="3175">
            <a:solidFill>
              <a:srgbClr val="000000"/>
            </a:solidFill>
            <a:round/>
            <a:headEnd type="triangle" w="sm" len="med"/>
            <a:tailEnd type="triangle" w="sm" len="med"/>
          </a:ln>
        </xdr:spPr>
      </xdr:sp>
      <xdr:sp macro="" textlink="">
        <xdr:nvSpPr>
          <xdr:cNvPr id="1027" name="Text Box 178"/>
          <xdr:cNvSpPr txBox="1">
            <a:spLocks noChangeArrowheads="1"/>
          </xdr:cNvSpPr>
        </xdr:nvSpPr>
        <xdr:spPr bwMode="auto">
          <a:xfrm>
            <a:off x="319" y="1425"/>
            <a:ext cx="18"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L</a:t>
            </a:r>
            <a:r>
              <a:rPr lang="de-DE" altLang="ja-JP" sz="600" b="1" i="0" strike="noStrike">
                <a:solidFill>
                  <a:srgbClr val="000000"/>
                </a:solidFill>
                <a:latin typeface="Times New Roman"/>
                <a:cs typeface="Times New Roman"/>
              </a:rPr>
              <a:t>W</a:t>
            </a:r>
          </a:p>
        </xdr:txBody>
      </xdr:sp>
      <xdr:grpSp>
        <xdr:nvGrpSpPr>
          <xdr:cNvPr id="1028" name="Group 179"/>
          <xdr:cNvGrpSpPr>
            <a:grpSpLocks/>
          </xdr:cNvGrpSpPr>
        </xdr:nvGrpSpPr>
        <xdr:grpSpPr bwMode="auto">
          <a:xfrm>
            <a:off x="390" y="1274"/>
            <a:ext cx="14" cy="360"/>
            <a:chOff x="386" y="146"/>
            <a:chExt cx="163" cy="202"/>
          </a:xfrm>
        </xdr:grpSpPr>
        <xdr:sp macro="" textlink="">
          <xdr:nvSpPr>
            <xdr:cNvPr id="1051" name="Line 180"/>
            <xdr:cNvSpPr>
              <a:spLocks noChangeShapeType="1"/>
            </xdr:cNvSpPr>
          </xdr:nvSpPr>
          <xdr:spPr bwMode="auto">
            <a:xfrm>
              <a:off x="549" y="146"/>
              <a:ext cx="0" cy="202"/>
            </a:xfrm>
            <a:prstGeom prst="line">
              <a:avLst/>
            </a:prstGeom>
            <a:noFill/>
            <a:ln w="12700">
              <a:solidFill>
                <a:srgbClr val="000000"/>
              </a:solidFill>
              <a:round/>
              <a:headEnd/>
              <a:tailEnd/>
            </a:ln>
          </xdr:spPr>
        </xdr:sp>
        <xdr:sp macro="" textlink="">
          <xdr:nvSpPr>
            <xdr:cNvPr id="1052" name="Line 181"/>
            <xdr:cNvSpPr>
              <a:spLocks noChangeShapeType="1"/>
            </xdr:cNvSpPr>
          </xdr:nvSpPr>
          <xdr:spPr bwMode="auto">
            <a:xfrm>
              <a:off x="386" y="146"/>
              <a:ext cx="0" cy="202"/>
            </a:xfrm>
            <a:prstGeom prst="line">
              <a:avLst/>
            </a:prstGeom>
            <a:noFill/>
            <a:ln w="12700">
              <a:solidFill>
                <a:srgbClr val="000000"/>
              </a:solidFill>
              <a:round/>
              <a:headEnd/>
              <a:tailEnd/>
            </a:ln>
          </xdr:spPr>
        </xdr:sp>
        <xdr:sp macro="" textlink="">
          <xdr:nvSpPr>
            <xdr:cNvPr id="1053" name="Line 182"/>
            <xdr:cNvSpPr>
              <a:spLocks noChangeShapeType="1"/>
            </xdr:cNvSpPr>
          </xdr:nvSpPr>
          <xdr:spPr bwMode="auto">
            <a:xfrm>
              <a:off x="386" y="348"/>
              <a:ext cx="163" cy="0"/>
            </a:xfrm>
            <a:prstGeom prst="line">
              <a:avLst/>
            </a:prstGeom>
            <a:noFill/>
            <a:ln w="12700">
              <a:solidFill>
                <a:srgbClr val="000000"/>
              </a:solidFill>
              <a:round/>
              <a:headEnd/>
              <a:tailEnd/>
            </a:ln>
          </xdr:spPr>
        </xdr:sp>
        <xdr:sp macro="" textlink="">
          <xdr:nvSpPr>
            <xdr:cNvPr id="1054" name="Line 183"/>
            <xdr:cNvSpPr>
              <a:spLocks noChangeShapeType="1"/>
            </xdr:cNvSpPr>
          </xdr:nvSpPr>
          <xdr:spPr bwMode="auto">
            <a:xfrm>
              <a:off x="386" y="146"/>
              <a:ext cx="163" cy="0"/>
            </a:xfrm>
            <a:prstGeom prst="line">
              <a:avLst/>
            </a:prstGeom>
            <a:noFill/>
            <a:ln w="12700">
              <a:solidFill>
                <a:srgbClr val="000000"/>
              </a:solidFill>
              <a:round/>
              <a:headEnd/>
              <a:tailEnd/>
            </a:ln>
          </xdr:spPr>
        </xdr:sp>
      </xdr:grpSp>
      <xdr:sp macro="" textlink="">
        <xdr:nvSpPr>
          <xdr:cNvPr id="1029" name="Line 184"/>
          <xdr:cNvSpPr>
            <a:spLocks noChangeShapeType="1"/>
          </xdr:cNvSpPr>
        </xdr:nvSpPr>
        <xdr:spPr bwMode="auto">
          <a:xfrm>
            <a:off x="384" y="1274"/>
            <a:ext cx="0" cy="360"/>
          </a:xfrm>
          <a:prstGeom prst="line">
            <a:avLst/>
          </a:prstGeom>
          <a:noFill/>
          <a:ln w="19050">
            <a:solidFill>
              <a:srgbClr val="000000"/>
            </a:solidFill>
            <a:round/>
            <a:headEnd type="none" w="sm" len="med"/>
            <a:tailEnd type="none" w="sm" len="med"/>
          </a:ln>
        </xdr:spPr>
      </xdr:sp>
      <xdr:sp macro="" textlink="">
        <xdr:nvSpPr>
          <xdr:cNvPr id="1030" name="Line 185"/>
          <xdr:cNvSpPr>
            <a:spLocks noChangeShapeType="1"/>
          </xdr:cNvSpPr>
        </xdr:nvSpPr>
        <xdr:spPr bwMode="auto">
          <a:xfrm>
            <a:off x="453" y="1416"/>
            <a:ext cx="0" cy="218"/>
          </a:xfrm>
          <a:prstGeom prst="line">
            <a:avLst/>
          </a:prstGeom>
          <a:noFill/>
          <a:ln w="3175">
            <a:solidFill>
              <a:srgbClr val="000000"/>
            </a:solidFill>
            <a:round/>
            <a:headEnd type="triangle" w="sm" len="med"/>
            <a:tailEnd type="triangle" w="sm" len="med"/>
          </a:ln>
        </xdr:spPr>
      </xdr:sp>
      <xdr:sp macro="" textlink="">
        <xdr:nvSpPr>
          <xdr:cNvPr id="1031" name="Text Box 186"/>
          <xdr:cNvSpPr txBox="1">
            <a:spLocks noChangeArrowheads="1"/>
          </xdr:cNvSpPr>
        </xdr:nvSpPr>
        <xdr:spPr bwMode="auto">
          <a:xfrm>
            <a:off x="339" y="1544"/>
            <a:ext cx="22"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L</a:t>
            </a:r>
            <a:r>
              <a:rPr lang="de-DE" altLang="ja-JP" sz="600" b="1" i="0" strike="noStrike">
                <a:solidFill>
                  <a:srgbClr val="000000"/>
                </a:solidFill>
                <a:latin typeface="Times New Roman"/>
                <a:cs typeface="Times New Roman"/>
              </a:rPr>
              <a:t>W1</a:t>
            </a:r>
          </a:p>
        </xdr:txBody>
      </xdr:sp>
      <xdr:sp macro="" textlink="">
        <xdr:nvSpPr>
          <xdr:cNvPr id="1032" name="Line 187"/>
          <xdr:cNvSpPr>
            <a:spLocks noChangeShapeType="1"/>
          </xdr:cNvSpPr>
        </xdr:nvSpPr>
        <xdr:spPr bwMode="auto">
          <a:xfrm>
            <a:off x="407" y="1274"/>
            <a:ext cx="0" cy="360"/>
          </a:xfrm>
          <a:prstGeom prst="line">
            <a:avLst/>
          </a:prstGeom>
          <a:noFill/>
          <a:ln w="19050">
            <a:solidFill>
              <a:srgbClr val="000000"/>
            </a:solidFill>
            <a:round/>
            <a:headEnd type="none" w="sm" len="med"/>
            <a:tailEnd type="none" w="sm" len="med"/>
          </a:ln>
        </xdr:spPr>
      </xdr:sp>
      <xdr:sp macro="" textlink="">
        <xdr:nvSpPr>
          <xdr:cNvPr id="1033" name="Line 188"/>
          <xdr:cNvSpPr>
            <a:spLocks noChangeShapeType="1"/>
          </xdr:cNvSpPr>
        </xdr:nvSpPr>
        <xdr:spPr bwMode="auto">
          <a:xfrm flipH="1">
            <a:off x="417" y="1671"/>
            <a:ext cx="25" cy="0"/>
          </a:xfrm>
          <a:prstGeom prst="line">
            <a:avLst/>
          </a:prstGeom>
          <a:noFill/>
          <a:ln w="3175">
            <a:solidFill>
              <a:srgbClr val="000000"/>
            </a:solidFill>
            <a:round/>
            <a:headEnd/>
            <a:tailEnd/>
          </a:ln>
        </xdr:spPr>
      </xdr:sp>
      <xdr:sp macro="" textlink="">
        <xdr:nvSpPr>
          <xdr:cNvPr id="1034" name="Line 189"/>
          <xdr:cNvSpPr>
            <a:spLocks noChangeShapeType="1"/>
          </xdr:cNvSpPr>
        </xdr:nvSpPr>
        <xdr:spPr bwMode="auto">
          <a:xfrm flipH="1">
            <a:off x="368" y="1635"/>
            <a:ext cx="15" cy="36"/>
          </a:xfrm>
          <a:prstGeom prst="line">
            <a:avLst/>
          </a:prstGeom>
          <a:noFill/>
          <a:ln w="3175">
            <a:solidFill>
              <a:srgbClr val="000000"/>
            </a:solidFill>
            <a:round/>
            <a:headEnd/>
            <a:tailEnd/>
          </a:ln>
        </xdr:spPr>
      </xdr:sp>
      <xdr:sp macro="" textlink="">
        <xdr:nvSpPr>
          <xdr:cNvPr id="1035" name="Line 190"/>
          <xdr:cNvSpPr>
            <a:spLocks noChangeShapeType="1"/>
          </xdr:cNvSpPr>
        </xdr:nvSpPr>
        <xdr:spPr bwMode="auto">
          <a:xfrm flipH="1">
            <a:off x="350" y="1671"/>
            <a:ext cx="18" cy="0"/>
          </a:xfrm>
          <a:prstGeom prst="line">
            <a:avLst/>
          </a:prstGeom>
          <a:noFill/>
          <a:ln w="3175">
            <a:solidFill>
              <a:srgbClr val="000000"/>
            </a:solidFill>
            <a:round/>
            <a:headEnd/>
            <a:tailEnd/>
          </a:ln>
        </xdr:spPr>
      </xdr:sp>
      <xdr:sp macro="" textlink="">
        <xdr:nvSpPr>
          <xdr:cNvPr id="1036" name="Text Box 191"/>
          <xdr:cNvSpPr txBox="1">
            <a:spLocks noChangeArrowheads="1"/>
          </xdr:cNvSpPr>
        </xdr:nvSpPr>
        <xdr:spPr bwMode="auto">
          <a:xfrm>
            <a:off x="418" y="1657"/>
            <a:ext cx="17" cy="18"/>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900" b="1" i="0" strike="noStrike">
                <a:solidFill>
                  <a:srgbClr val="000000"/>
                </a:solidFill>
                <a:latin typeface="Times New Roman"/>
                <a:cs typeface="Times New Roman"/>
              </a:rPr>
              <a:t>B</a:t>
            </a:r>
            <a:r>
              <a:rPr lang="de-DE" altLang="ja-JP" sz="800" b="1" i="0" strike="noStrike">
                <a:solidFill>
                  <a:srgbClr val="000000"/>
                </a:solidFill>
                <a:latin typeface="Times New Roman"/>
                <a:cs typeface="Times New Roman"/>
              </a:rPr>
              <a:t>n</a:t>
            </a:r>
          </a:p>
        </xdr:txBody>
      </xdr:sp>
      <xdr:sp macro="" textlink="">
        <xdr:nvSpPr>
          <xdr:cNvPr id="1037" name="Text Box 192"/>
          <xdr:cNvSpPr txBox="1">
            <a:spLocks noChangeArrowheads="1"/>
          </xdr:cNvSpPr>
        </xdr:nvSpPr>
        <xdr:spPr bwMode="auto">
          <a:xfrm>
            <a:off x="351" y="1657"/>
            <a:ext cx="14" cy="18"/>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900" b="1" i="0" strike="noStrike">
                <a:solidFill>
                  <a:srgbClr val="000000"/>
                </a:solidFill>
                <a:latin typeface="Times New Roman"/>
                <a:cs typeface="Times New Roman"/>
              </a:rPr>
              <a:t>B</a:t>
            </a:r>
            <a:r>
              <a:rPr lang="de-DE" altLang="ja-JP" sz="600" b="1" i="0" strike="noStrike">
                <a:solidFill>
                  <a:srgbClr val="000000"/>
                </a:solidFill>
                <a:latin typeface="Times New Roman"/>
                <a:cs typeface="Times New Roman"/>
              </a:rPr>
              <a:t>2</a:t>
            </a:r>
          </a:p>
        </xdr:txBody>
      </xdr:sp>
      <xdr:sp macro="" textlink="">
        <xdr:nvSpPr>
          <xdr:cNvPr id="1038" name="Line 193"/>
          <xdr:cNvSpPr>
            <a:spLocks noChangeShapeType="1"/>
          </xdr:cNvSpPr>
        </xdr:nvSpPr>
        <xdr:spPr bwMode="auto">
          <a:xfrm>
            <a:off x="387" y="1274"/>
            <a:ext cx="0" cy="360"/>
          </a:xfrm>
          <a:prstGeom prst="line">
            <a:avLst/>
          </a:prstGeom>
          <a:noFill/>
          <a:ln w="19050">
            <a:solidFill>
              <a:srgbClr val="000000"/>
            </a:solidFill>
            <a:round/>
            <a:headEnd type="none" w="sm" len="med"/>
            <a:tailEnd type="none" w="sm" len="med"/>
          </a:ln>
        </xdr:spPr>
      </xdr:sp>
      <xdr:sp macro="" textlink="">
        <xdr:nvSpPr>
          <xdr:cNvPr id="1039" name="Line 194"/>
          <xdr:cNvSpPr>
            <a:spLocks noChangeShapeType="1"/>
          </xdr:cNvSpPr>
        </xdr:nvSpPr>
        <xdr:spPr bwMode="auto">
          <a:xfrm flipH="1">
            <a:off x="382" y="1671"/>
            <a:ext cx="21" cy="0"/>
          </a:xfrm>
          <a:prstGeom prst="line">
            <a:avLst/>
          </a:prstGeom>
          <a:noFill/>
          <a:ln w="3175">
            <a:solidFill>
              <a:srgbClr val="000000"/>
            </a:solidFill>
            <a:round/>
            <a:headEnd/>
            <a:tailEnd/>
          </a:ln>
        </xdr:spPr>
      </xdr:sp>
      <xdr:sp macro="" textlink="">
        <xdr:nvSpPr>
          <xdr:cNvPr id="1040" name="Line 195"/>
          <xdr:cNvSpPr>
            <a:spLocks noChangeShapeType="1"/>
          </xdr:cNvSpPr>
        </xdr:nvSpPr>
        <xdr:spPr bwMode="auto">
          <a:xfrm flipH="1">
            <a:off x="382" y="1634"/>
            <a:ext cx="5" cy="37"/>
          </a:xfrm>
          <a:prstGeom prst="line">
            <a:avLst/>
          </a:prstGeom>
          <a:noFill/>
          <a:ln w="3175">
            <a:solidFill>
              <a:srgbClr val="000000"/>
            </a:solidFill>
            <a:round/>
            <a:headEnd/>
            <a:tailEnd/>
          </a:ln>
        </xdr:spPr>
      </xdr:sp>
      <xdr:sp macro="" textlink="">
        <xdr:nvSpPr>
          <xdr:cNvPr id="1041" name="Text Box 196"/>
          <xdr:cNvSpPr txBox="1">
            <a:spLocks noChangeArrowheads="1"/>
          </xdr:cNvSpPr>
        </xdr:nvSpPr>
        <xdr:spPr bwMode="auto">
          <a:xfrm>
            <a:off x="383" y="1657"/>
            <a:ext cx="14" cy="18"/>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900" b="1" i="0" strike="noStrike">
                <a:solidFill>
                  <a:srgbClr val="000000"/>
                </a:solidFill>
                <a:latin typeface="Times New Roman"/>
                <a:cs typeface="Times New Roman"/>
              </a:rPr>
              <a:t>B</a:t>
            </a:r>
            <a:r>
              <a:rPr lang="de-DE" altLang="ja-JP" sz="600" b="1" i="0" strike="noStrike">
                <a:solidFill>
                  <a:srgbClr val="000000"/>
                </a:solidFill>
                <a:latin typeface="Times New Roman"/>
                <a:cs typeface="Times New Roman"/>
              </a:rPr>
              <a:t>1</a:t>
            </a:r>
          </a:p>
        </xdr:txBody>
      </xdr:sp>
      <xdr:grpSp>
        <xdr:nvGrpSpPr>
          <xdr:cNvPr id="1042" name="Group 197"/>
          <xdr:cNvGrpSpPr>
            <a:grpSpLocks/>
          </xdr:cNvGrpSpPr>
        </xdr:nvGrpSpPr>
        <xdr:grpSpPr bwMode="auto">
          <a:xfrm>
            <a:off x="408" y="1418"/>
            <a:ext cx="27" cy="127"/>
            <a:chOff x="386" y="146"/>
            <a:chExt cx="163" cy="202"/>
          </a:xfrm>
        </xdr:grpSpPr>
        <xdr:sp macro="" textlink="">
          <xdr:nvSpPr>
            <xdr:cNvPr id="1047" name="Line 198"/>
            <xdr:cNvSpPr>
              <a:spLocks noChangeShapeType="1"/>
            </xdr:cNvSpPr>
          </xdr:nvSpPr>
          <xdr:spPr bwMode="auto">
            <a:xfrm>
              <a:off x="549" y="146"/>
              <a:ext cx="0" cy="202"/>
            </a:xfrm>
            <a:prstGeom prst="line">
              <a:avLst/>
            </a:prstGeom>
            <a:noFill/>
            <a:ln w="15875">
              <a:solidFill>
                <a:srgbClr val="000000"/>
              </a:solidFill>
              <a:round/>
              <a:headEnd/>
              <a:tailEnd/>
            </a:ln>
          </xdr:spPr>
        </xdr:sp>
        <xdr:sp macro="" textlink="">
          <xdr:nvSpPr>
            <xdr:cNvPr id="1048" name="Line 199"/>
            <xdr:cNvSpPr>
              <a:spLocks noChangeShapeType="1"/>
            </xdr:cNvSpPr>
          </xdr:nvSpPr>
          <xdr:spPr bwMode="auto">
            <a:xfrm>
              <a:off x="386" y="146"/>
              <a:ext cx="0" cy="202"/>
            </a:xfrm>
            <a:prstGeom prst="line">
              <a:avLst/>
            </a:prstGeom>
            <a:noFill/>
            <a:ln w="15875">
              <a:solidFill>
                <a:srgbClr val="000000"/>
              </a:solidFill>
              <a:round/>
              <a:headEnd/>
              <a:tailEnd/>
            </a:ln>
          </xdr:spPr>
        </xdr:sp>
        <xdr:sp macro="" textlink="">
          <xdr:nvSpPr>
            <xdr:cNvPr id="1049" name="Line 200"/>
            <xdr:cNvSpPr>
              <a:spLocks noChangeShapeType="1"/>
            </xdr:cNvSpPr>
          </xdr:nvSpPr>
          <xdr:spPr bwMode="auto">
            <a:xfrm>
              <a:off x="386" y="348"/>
              <a:ext cx="163" cy="0"/>
            </a:xfrm>
            <a:prstGeom prst="line">
              <a:avLst/>
            </a:prstGeom>
            <a:noFill/>
            <a:ln w="15875">
              <a:solidFill>
                <a:srgbClr val="000000"/>
              </a:solidFill>
              <a:round/>
              <a:headEnd/>
              <a:tailEnd/>
            </a:ln>
          </xdr:spPr>
        </xdr:sp>
        <xdr:sp macro="" textlink="">
          <xdr:nvSpPr>
            <xdr:cNvPr id="1050" name="Line 201"/>
            <xdr:cNvSpPr>
              <a:spLocks noChangeShapeType="1"/>
            </xdr:cNvSpPr>
          </xdr:nvSpPr>
          <xdr:spPr bwMode="auto">
            <a:xfrm>
              <a:off x="386" y="146"/>
              <a:ext cx="163" cy="0"/>
            </a:xfrm>
            <a:prstGeom prst="line">
              <a:avLst/>
            </a:prstGeom>
            <a:noFill/>
            <a:ln w="15875">
              <a:solidFill>
                <a:srgbClr val="000000"/>
              </a:solidFill>
              <a:round/>
              <a:headEnd/>
              <a:tailEnd/>
            </a:ln>
          </xdr:spPr>
        </xdr:sp>
      </xdr:grpSp>
      <xdr:sp macro="" textlink="">
        <xdr:nvSpPr>
          <xdr:cNvPr id="1043" name="Line 202"/>
          <xdr:cNvSpPr>
            <a:spLocks noChangeShapeType="1"/>
          </xdr:cNvSpPr>
        </xdr:nvSpPr>
        <xdr:spPr bwMode="auto">
          <a:xfrm>
            <a:off x="407" y="1634"/>
            <a:ext cx="10" cy="37"/>
          </a:xfrm>
          <a:prstGeom prst="line">
            <a:avLst/>
          </a:prstGeom>
          <a:noFill/>
          <a:ln w="3175">
            <a:solidFill>
              <a:srgbClr val="000000"/>
            </a:solidFill>
            <a:round/>
            <a:headEnd/>
            <a:tailEnd/>
          </a:ln>
        </xdr:spPr>
      </xdr:sp>
      <xdr:sp macro="" textlink="">
        <xdr:nvSpPr>
          <xdr:cNvPr id="1044" name="Line 203"/>
          <xdr:cNvSpPr>
            <a:spLocks noChangeShapeType="1"/>
          </xdr:cNvSpPr>
        </xdr:nvSpPr>
        <xdr:spPr bwMode="auto">
          <a:xfrm>
            <a:off x="330" y="1634"/>
            <a:ext cx="135" cy="0"/>
          </a:xfrm>
          <a:prstGeom prst="line">
            <a:avLst/>
          </a:prstGeom>
          <a:noFill/>
          <a:ln w="3175">
            <a:solidFill>
              <a:srgbClr val="000000"/>
            </a:solidFill>
            <a:round/>
            <a:headEnd/>
            <a:tailEnd/>
          </a:ln>
        </xdr:spPr>
      </xdr:sp>
      <xdr:sp macro="" textlink="">
        <xdr:nvSpPr>
          <xdr:cNvPr id="1045" name="Line 204"/>
          <xdr:cNvSpPr>
            <a:spLocks noChangeShapeType="1"/>
          </xdr:cNvSpPr>
        </xdr:nvSpPr>
        <xdr:spPr bwMode="auto">
          <a:xfrm>
            <a:off x="405" y="1358"/>
            <a:ext cx="34" cy="0"/>
          </a:xfrm>
          <a:prstGeom prst="line">
            <a:avLst/>
          </a:prstGeom>
          <a:noFill/>
          <a:ln w="9525">
            <a:solidFill>
              <a:srgbClr val="000000"/>
            </a:solidFill>
            <a:round/>
            <a:headEnd/>
            <a:tailEnd type="stealth" w="med" len="med"/>
          </a:ln>
        </xdr:spPr>
      </xdr:sp>
      <xdr:sp macro="" textlink="">
        <xdr:nvSpPr>
          <xdr:cNvPr id="1046" name="Text Box 205">
            <a:hlinkClick xmlns:r="http://schemas.openxmlformats.org/officeDocument/2006/relationships" r:id="rId1"/>
          </xdr:cNvPr>
          <xdr:cNvSpPr txBox="1">
            <a:spLocks noChangeArrowheads="1"/>
          </xdr:cNvSpPr>
        </xdr:nvSpPr>
        <xdr:spPr bwMode="auto">
          <a:xfrm>
            <a:off x="411" y="1340"/>
            <a:ext cx="67" cy="16"/>
          </a:xfrm>
          <a:prstGeom prst="rect">
            <a:avLst/>
          </a:prstGeom>
          <a:noFill/>
          <a:ln w="9525">
            <a:noFill/>
            <a:miter lim="800000"/>
            <a:headEnd/>
            <a:tailEnd/>
          </a:ln>
        </xdr:spPr>
        <xdr:txBody>
          <a:bodyPr wrap="none" lIns="18288" tIns="18288" rIns="0" bIns="0" anchor="t" upright="1">
            <a:spAutoFit/>
          </a:bodyPr>
          <a:lstStyle/>
          <a:p>
            <a:pPr algn="l" rtl="1">
              <a:defRPr sz="1000"/>
            </a:pPr>
            <a:r>
              <a:rPr lang="ja-JP" altLang="en-US" sz="800" b="0" i="0" strike="noStrike">
                <a:solidFill>
                  <a:srgbClr val="000000"/>
                </a:solidFill>
                <a:latin typeface="ＭＳ Ｐ明朝"/>
                <a:ea typeface="ＭＳ Ｐ明朝"/>
              </a:rPr>
              <a:t>スタッド</a:t>
            </a:r>
            <a:r>
              <a:rPr lang="ja-JP" altLang="de-DE" sz="800" b="0" i="0" strike="noStrike">
                <a:solidFill>
                  <a:srgbClr val="000000"/>
                </a:solidFill>
                <a:latin typeface="ＭＳ Ｐ明朝"/>
                <a:ea typeface="ＭＳ Ｐ明朝"/>
              </a:rPr>
              <a:t>Ｙ</a:t>
            </a:r>
            <a:r>
              <a:rPr lang="ja-JP" altLang="en-US" sz="800" b="0" i="0" strike="noStrike">
                <a:solidFill>
                  <a:srgbClr val="000000"/>
                </a:solidFill>
                <a:latin typeface="ＭＳ Ｐ明朝"/>
                <a:ea typeface="ＭＳ Ｐ明朝"/>
              </a:rPr>
              <a:t>方向</a:t>
            </a:r>
          </a:p>
        </xdr:txBody>
      </xdr:sp>
    </xdr:grpSp>
    <xdr:clientData/>
  </xdr:twoCellAnchor>
  <xdr:twoCellAnchor>
    <xdr:from>
      <xdr:col>23</xdr:col>
      <xdr:colOff>259976</xdr:colOff>
      <xdr:row>314</xdr:row>
      <xdr:rowOff>12549</xdr:rowOff>
    </xdr:from>
    <xdr:to>
      <xdr:col>31</xdr:col>
      <xdr:colOff>169480</xdr:colOff>
      <xdr:row>336</xdr:row>
      <xdr:rowOff>22918</xdr:rowOff>
    </xdr:to>
    <xdr:grpSp>
      <xdr:nvGrpSpPr>
        <xdr:cNvPr id="1055" name="Group 206"/>
        <xdr:cNvGrpSpPr>
          <a:grpSpLocks/>
        </xdr:cNvGrpSpPr>
      </xdr:nvGrpSpPr>
      <xdr:grpSpPr bwMode="auto">
        <a:xfrm>
          <a:off x="5205039" y="56178299"/>
          <a:ext cx="2163754" cy="4201369"/>
          <a:chOff x="526" y="1226"/>
          <a:chExt cx="231" cy="441"/>
        </a:xfrm>
      </xdr:grpSpPr>
      <xdr:grpSp>
        <xdr:nvGrpSpPr>
          <xdr:cNvPr id="1056" name="Group 207"/>
          <xdr:cNvGrpSpPr>
            <a:grpSpLocks/>
          </xdr:cNvGrpSpPr>
        </xdr:nvGrpSpPr>
        <xdr:grpSpPr bwMode="auto">
          <a:xfrm>
            <a:off x="635" y="1274"/>
            <a:ext cx="9" cy="360"/>
            <a:chOff x="386" y="146"/>
            <a:chExt cx="163" cy="202"/>
          </a:xfrm>
        </xdr:grpSpPr>
        <xdr:sp macro="" textlink="">
          <xdr:nvSpPr>
            <xdr:cNvPr id="1092" name="Line 208"/>
            <xdr:cNvSpPr>
              <a:spLocks noChangeShapeType="1"/>
            </xdr:cNvSpPr>
          </xdr:nvSpPr>
          <xdr:spPr bwMode="auto">
            <a:xfrm>
              <a:off x="549" y="146"/>
              <a:ext cx="0" cy="202"/>
            </a:xfrm>
            <a:prstGeom prst="line">
              <a:avLst/>
            </a:prstGeom>
            <a:noFill/>
            <a:ln w="12700">
              <a:solidFill>
                <a:srgbClr val="000000"/>
              </a:solidFill>
              <a:round/>
              <a:headEnd/>
              <a:tailEnd/>
            </a:ln>
          </xdr:spPr>
        </xdr:sp>
        <xdr:sp macro="" textlink="">
          <xdr:nvSpPr>
            <xdr:cNvPr id="1093" name="Line 209"/>
            <xdr:cNvSpPr>
              <a:spLocks noChangeShapeType="1"/>
            </xdr:cNvSpPr>
          </xdr:nvSpPr>
          <xdr:spPr bwMode="auto">
            <a:xfrm>
              <a:off x="386" y="146"/>
              <a:ext cx="0" cy="202"/>
            </a:xfrm>
            <a:prstGeom prst="line">
              <a:avLst/>
            </a:prstGeom>
            <a:noFill/>
            <a:ln w="12700">
              <a:solidFill>
                <a:srgbClr val="000000"/>
              </a:solidFill>
              <a:round/>
              <a:headEnd/>
              <a:tailEnd/>
            </a:ln>
          </xdr:spPr>
        </xdr:sp>
        <xdr:sp macro="" textlink="">
          <xdr:nvSpPr>
            <xdr:cNvPr id="1094" name="Line 210"/>
            <xdr:cNvSpPr>
              <a:spLocks noChangeShapeType="1"/>
            </xdr:cNvSpPr>
          </xdr:nvSpPr>
          <xdr:spPr bwMode="auto">
            <a:xfrm>
              <a:off x="386" y="348"/>
              <a:ext cx="163" cy="0"/>
            </a:xfrm>
            <a:prstGeom prst="line">
              <a:avLst/>
            </a:prstGeom>
            <a:noFill/>
            <a:ln w="12700">
              <a:solidFill>
                <a:srgbClr val="000000"/>
              </a:solidFill>
              <a:round/>
              <a:headEnd/>
              <a:tailEnd/>
            </a:ln>
          </xdr:spPr>
        </xdr:sp>
        <xdr:sp macro="" textlink="">
          <xdr:nvSpPr>
            <xdr:cNvPr id="1095" name="Line 211"/>
            <xdr:cNvSpPr>
              <a:spLocks noChangeShapeType="1"/>
            </xdr:cNvSpPr>
          </xdr:nvSpPr>
          <xdr:spPr bwMode="auto">
            <a:xfrm>
              <a:off x="386" y="146"/>
              <a:ext cx="163" cy="0"/>
            </a:xfrm>
            <a:prstGeom prst="line">
              <a:avLst/>
            </a:prstGeom>
            <a:noFill/>
            <a:ln w="12700">
              <a:solidFill>
                <a:srgbClr val="000000"/>
              </a:solidFill>
              <a:round/>
              <a:headEnd/>
              <a:tailEnd/>
            </a:ln>
          </xdr:spPr>
        </xdr:sp>
      </xdr:grpSp>
      <xdr:sp macro="" textlink="">
        <xdr:nvSpPr>
          <xdr:cNvPr id="1057" name="Line 212"/>
          <xdr:cNvSpPr>
            <a:spLocks noChangeShapeType="1"/>
          </xdr:cNvSpPr>
        </xdr:nvSpPr>
        <xdr:spPr bwMode="auto">
          <a:xfrm>
            <a:off x="526" y="1634"/>
            <a:ext cx="231" cy="0"/>
          </a:xfrm>
          <a:prstGeom prst="line">
            <a:avLst/>
          </a:prstGeom>
          <a:noFill/>
          <a:ln w="3175">
            <a:solidFill>
              <a:srgbClr val="000000"/>
            </a:solidFill>
            <a:round/>
            <a:headEnd/>
            <a:tailEnd/>
          </a:ln>
        </xdr:spPr>
      </xdr:sp>
      <xdr:sp macro="" textlink="">
        <xdr:nvSpPr>
          <xdr:cNvPr id="1058" name="Text Box 213"/>
          <xdr:cNvSpPr txBox="1">
            <a:spLocks noChangeArrowheads="1"/>
          </xdr:cNvSpPr>
        </xdr:nvSpPr>
        <xdr:spPr bwMode="auto">
          <a:xfrm>
            <a:off x="666" y="1641"/>
            <a:ext cx="31"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W</a:t>
            </a:r>
            <a:r>
              <a:rPr lang="de-DE" altLang="ja-JP" sz="600" b="1" i="0" strike="noStrike">
                <a:solidFill>
                  <a:srgbClr val="000000"/>
                </a:solidFill>
                <a:latin typeface="Times New Roman"/>
                <a:cs typeface="Times New Roman"/>
              </a:rPr>
              <a:t>LGS</a:t>
            </a:r>
          </a:p>
        </xdr:txBody>
      </xdr:sp>
      <xdr:sp macro="" textlink="">
        <xdr:nvSpPr>
          <xdr:cNvPr id="1059" name="Line 214"/>
          <xdr:cNvSpPr>
            <a:spLocks noChangeShapeType="1"/>
          </xdr:cNvSpPr>
        </xdr:nvSpPr>
        <xdr:spPr bwMode="auto">
          <a:xfrm>
            <a:off x="639" y="1234"/>
            <a:ext cx="0" cy="37"/>
          </a:xfrm>
          <a:prstGeom prst="line">
            <a:avLst/>
          </a:prstGeom>
          <a:noFill/>
          <a:ln w="25400">
            <a:solidFill>
              <a:srgbClr val="000000"/>
            </a:solidFill>
            <a:round/>
            <a:headEnd/>
            <a:tailEnd type="stealth" w="med" len="med"/>
          </a:ln>
        </xdr:spPr>
      </xdr:sp>
      <xdr:sp macro="" textlink="">
        <xdr:nvSpPr>
          <xdr:cNvPr id="1060" name="Text Box 215">
            <a:hlinkClick xmlns:r="http://schemas.openxmlformats.org/officeDocument/2006/relationships" r:id="rId1"/>
          </xdr:cNvPr>
          <xdr:cNvSpPr txBox="1">
            <a:spLocks noChangeArrowheads="1"/>
          </xdr:cNvSpPr>
        </xdr:nvSpPr>
        <xdr:spPr bwMode="auto">
          <a:xfrm>
            <a:off x="567" y="1340"/>
            <a:ext cx="66" cy="16"/>
          </a:xfrm>
          <a:prstGeom prst="rect">
            <a:avLst/>
          </a:prstGeom>
          <a:noFill/>
          <a:ln w="9525">
            <a:noFill/>
            <a:miter lim="800000"/>
            <a:headEnd/>
            <a:tailEnd/>
          </a:ln>
        </xdr:spPr>
        <xdr:txBody>
          <a:bodyPr wrap="none" lIns="18288" tIns="18288" rIns="0" bIns="0" anchor="t" upright="1">
            <a:spAutoFit/>
          </a:bodyPr>
          <a:lstStyle/>
          <a:p>
            <a:pPr algn="l" rtl="1">
              <a:defRPr sz="1000"/>
            </a:pPr>
            <a:r>
              <a:rPr lang="ja-JP" altLang="en-US" sz="800" b="0" i="0" strike="noStrike">
                <a:solidFill>
                  <a:srgbClr val="000000"/>
                </a:solidFill>
                <a:latin typeface="ＭＳ Ｐ明朝"/>
                <a:ea typeface="ＭＳ Ｐ明朝"/>
              </a:rPr>
              <a:t>スタッド</a:t>
            </a:r>
            <a:r>
              <a:rPr lang="ja-JP" altLang="de-DE" sz="800" b="0" i="0" strike="noStrike">
                <a:solidFill>
                  <a:srgbClr val="000000"/>
                </a:solidFill>
                <a:latin typeface="ＭＳ Ｐ明朝"/>
                <a:ea typeface="ＭＳ Ｐ明朝"/>
              </a:rPr>
              <a:t>Ｘ</a:t>
            </a:r>
            <a:r>
              <a:rPr lang="ja-JP" altLang="en-US" sz="800" b="0" i="0" strike="noStrike">
                <a:solidFill>
                  <a:srgbClr val="000000"/>
                </a:solidFill>
                <a:latin typeface="ＭＳ Ｐ明朝"/>
                <a:ea typeface="ＭＳ Ｐ明朝"/>
              </a:rPr>
              <a:t>方向</a:t>
            </a:r>
          </a:p>
        </xdr:txBody>
      </xdr:sp>
      <xdr:grpSp>
        <xdr:nvGrpSpPr>
          <xdr:cNvPr id="1061" name="Group 216"/>
          <xdr:cNvGrpSpPr>
            <a:grpSpLocks/>
          </xdr:cNvGrpSpPr>
        </xdr:nvGrpSpPr>
        <xdr:grpSpPr bwMode="auto">
          <a:xfrm>
            <a:off x="713" y="1274"/>
            <a:ext cx="9" cy="360"/>
            <a:chOff x="386" y="146"/>
            <a:chExt cx="163" cy="202"/>
          </a:xfrm>
        </xdr:grpSpPr>
        <xdr:sp macro="" textlink="">
          <xdr:nvSpPr>
            <xdr:cNvPr id="1088" name="Line 217"/>
            <xdr:cNvSpPr>
              <a:spLocks noChangeShapeType="1"/>
            </xdr:cNvSpPr>
          </xdr:nvSpPr>
          <xdr:spPr bwMode="auto">
            <a:xfrm>
              <a:off x="549" y="146"/>
              <a:ext cx="0" cy="202"/>
            </a:xfrm>
            <a:prstGeom prst="line">
              <a:avLst/>
            </a:prstGeom>
            <a:noFill/>
            <a:ln w="12700">
              <a:solidFill>
                <a:srgbClr val="000000"/>
              </a:solidFill>
              <a:round/>
              <a:headEnd/>
              <a:tailEnd/>
            </a:ln>
          </xdr:spPr>
        </xdr:sp>
        <xdr:sp macro="" textlink="">
          <xdr:nvSpPr>
            <xdr:cNvPr id="1089" name="Line 218"/>
            <xdr:cNvSpPr>
              <a:spLocks noChangeShapeType="1"/>
            </xdr:cNvSpPr>
          </xdr:nvSpPr>
          <xdr:spPr bwMode="auto">
            <a:xfrm>
              <a:off x="386" y="146"/>
              <a:ext cx="0" cy="202"/>
            </a:xfrm>
            <a:prstGeom prst="line">
              <a:avLst/>
            </a:prstGeom>
            <a:noFill/>
            <a:ln w="12700">
              <a:solidFill>
                <a:srgbClr val="000000"/>
              </a:solidFill>
              <a:round/>
              <a:headEnd/>
              <a:tailEnd/>
            </a:ln>
          </xdr:spPr>
        </xdr:sp>
        <xdr:sp macro="" textlink="">
          <xdr:nvSpPr>
            <xdr:cNvPr id="1090" name="Line 219"/>
            <xdr:cNvSpPr>
              <a:spLocks noChangeShapeType="1"/>
            </xdr:cNvSpPr>
          </xdr:nvSpPr>
          <xdr:spPr bwMode="auto">
            <a:xfrm>
              <a:off x="386" y="348"/>
              <a:ext cx="163" cy="0"/>
            </a:xfrm>
            <a:prstGeom prst="line">
              <a:avLst/>
            </a:prstGeom>
            <a:noFill/>
            <a:ln w="12700">
              <a:solidFill>
                <a:srgbClr val="000000"/>
              </a:solidFill>
              <a:round/>
              <a:headEnd/>
              <a:tailEnd/>
            </a:ln>
          </xdr:spPr>
        </xdr:sp>
        <xdr:sp macro="" textlink="">
          <xdr:nvSpPr>
            <xdr:cNvPr id="1091" name="Line 220"/>
            <xdr:cNvSpPr>
              <a:spLocks noChangeShapeType="1"/>
            </xdr:cNvSpPr>
          </xdr:nvSpPr>
          <xdr:spPr bwMode="auto">
            <a:xfrm>
              <a:off x="386" y="146"/>
              <a:ext cx="163" cy="0"/>
            </a:xfrm>
            <a:prstGeom prst="line">
              <a:avLst/>
            </a:prstGeom>
            <a:noFill/>
            <a:ln w="12700">
              <a:solidFill>
                <a:srgbClr val="000000"/>
              </a:solidFill>
              <a:round/>
              <a:headEnd/>
              <a:tailEnd/>
            </a:ln>
          </xdr:spPr>
        </xdr:sp>
      </xdr:grpSp>
      <xdr:grpSp>
        <xdr:nvGrpSpPr>
          <xdr:cNvPr id="1062" name="Group 221"/>
          <xdr:cNvGrpSpPr>
            <a:grpSpLocks/>
          </xdr:cNvGrpSpPr>
        </xdr:nvGrpSpPr>
        <xdr:grpSpPr bwMode="auto">
          <a:xfrm>
            <a:off x="558" y="1274"/>
            <a:ext cx="9" cy="360"/>
            <a:chOff x="386" y="146"/>
            <a:chExt cx="163" cy="202"/>
          </a:xfrm>
        </xdr:grpSpPr>
        <xdr:sp macro="" textlink="">
          <xdr:nvSpPr>
            <xdr:cNvPr id="1084" name="Line 222"/>
            <xdr:cNvSpPr>
              <a:spLocks noChangeShapeType="1"/>
            </xdr:cNvSpPr>
          </xdr:nvSpPr>
          <xdr:spPr bwMode="auto">
            <a:xfrm>
              <a:off x="549" y="146"/>
              <a:ext cx="0" cy="202"/>
            </a:xfrm>
            <a:prstGeom prst="line">
              <a:avLst/>
            </a:prstGeom>
            <a:noFill/>
            <a:ln w="12700">
              <a:solidFill>
                <a:srgbClr val="000000"/>
              </a:solidFill>
              <a:round/>
              <a:headEnd/>
              <a:tailEnd/>
            </a:ln>
          </xdr:spPr>
        </xdr:sp>
        <xdr:sp macro="" textlink="">
          <xdr:nvSpPr>
            <xdr:cNvPr id="1085" name="Line 223"/>
            <xdr:cNvSpPr>
              <a:spLocks noChangeShapeType="1"/>
            </xdr:cNvSpPr>
          </xdr:nvSpPr>
          <xdr:spPr bwMode="auto">
            <a:xfrm>
              <a:off x="386" y="146"/>
              <a:ext cx="0" cy="202"/>
            </a:xfrm>
            <a:prstGeom prst="line">
              <a:avLst/>
            </a:prstGeom>
            <a:noFill/>
            <a:ln w="12700">
              <a:solidFill>
                <a:srgbClr val="000000"/>
              </a:solidFill>
              <a:round/>
              <a:headEnd/>
              <a:tailEnd/>
            </a:ln>
          </xdr:spPr>
        </xdr:sp>
        <xdr:sp macro="" textlink="">
          <xdr:nvSpPr>
            <xdr:cNvPr id="1086" name="Line 224"/>
            <xdr:cNvSpPr>
              <a:spLocks noChangeShapeType="1"/>
            </xdr:cNvSpPr>
          </xdr:nvSpPr>
          <xdr:spPr bwMode="auto">
            <a:xfrm>
              <a:off x="386" y="348"/>
              <a:ext cx="163" cy="0"/>
            </a:xfrm>
            <a:prstGeom prst="line">
              <a:avLst/>
            </a:prstGeom>
            <a:noFill/>
            <a:ln w="12700">
              <a:solidFill>
                <a:srgbClr val="000000"/>
              </a:solidFill>
              <a:round/>
              <a:headEnd/>
              <a:tailEnd/>
            </a:ln>
          </xdr:spPr>
        </xdr:sp>
        <xdr:sp macro="" textlink="">
          <xdr:nvSpPr>
            <xdr:cNvPr id="1087" name="Line 225"/>
            <xdr:cNvSpPr>
              <a:spLocks noChangeShapeType="1"/>
            </xdr:cNvSpPr>
          </xdr:nvSpPr>
          <xdr:spPr bwMode="auto">
            <a:xfrm>
              <a:off x="386" y="146"/>
              <a:ext cx="163" cy="0"/>
            </a:xfrm>
            <a:prstGeom prst="line">
              <a:avLst/>
            </a:prstGeom>
            <a:noFill/>
            <a:ln w="12700">
              <a:solidFill>
                <a:srgbClr val="000000"/>
              </a:solidFill>
              <a:round/>
              <a:headEnd/>
              <a:tailEnd/>
            </a:ln>
          </xdr:spPr>
        </xdr:sp>
      </xdr:grpSp>
      <xdr:sp macro="" textlink="">
        <xdr:nvSpPr>
          <xdr:cNvPr id="1063" name="Line 226"/>
          <xdr:cNvSpPr>
            <a:spLocks noChangeShapeType="1"/>
          </xdr:cNvSpPr>
        </xdr:nvSpPr>
        <xdr:spPr bwMode="auto">
          <a:xfrm>
            <a:off x="559" y="1254"/>
            <a:ext cx="0" cy="411"/>
          </a:xfrm>
          <a:prstGeom prst="line">
            <a:avLst/>
          </a:prstGeom>
          <a:noFill/>
          <a:ln w="9525">
            <a:noFill/>
            <a:round/>
            <a:headEnd/>
            <a:tailEnd/>
          </a:ln>
        </xdr:spPr>
      </xdr:sp>
      <xdr:sp macro="" textlink="">
        <xdr:nvSpPr>
          <xdr:cNvPr id="1064" name="Line 227"/>
          <xdr:cNvSpPr>
            <a:spLocks noChangeShapeType="1"/>
          </xdr:cNvSpPr>
        </xdr:nvSpPr>
        <xdr:spPr bwMode="auto">
          <a:xfrm>
            <a:off x="561" y="1249"/>
            <a:ext cx="0" cy="50"/>
          </a:xfrm>
          <a:prstGeom prst="line">
            <a:avLst/>
          </a:prstGeom>
          <a:noFill/>
          <a:ln w="9525">
            <a:noFill/>
            <a:round/>
            <a:headEnd/>
            <a:tailEnd/>
          </a:ln>
        </xdr:spPr>
      </xdr:sp>
      <xdr:sp macro="" textlink="">
        <xdr:nvSpPr>
          <xdr:cNvPr id="1065" name="Line 228"/>
          <xdr:cNvSpPr>
            <a:spLocks noChangeShapeType="1"/>
          </xdr:cNvSpPr>
        </xdr:nvSpPr>
        <xdr:spPr bwMode="auto">
          <a:xfrm>
            <a:off x="537" y="1243"/>
            <a:ext cx="0" cy="119"/>
          </a:xfrm>
          <a:prstGeom prst="line">
            <a:avLst/>
          </a:prstGeom>
          <a:noFill/>
          <a:ln w="9525">
            <a:noFill/>
            <a:round/>
            <a:headEnd/>
            <a:tailEnd/>
          </a:ln>
        </xdr:spPr>
      </xdr:sp>
      <xdr:sp macro="" textlink="">
        <xdr:nvSpPr>
          <xdr:cNvPr id="1066" name="Line 229"/>
          <xdr:cNvSpPr>
            <a:spLocks noChangeShapeType="1"/>
          </xdr:cNvSpPr>
        </xdr:nvSpPr>
        <xdr:spPr bwMode="auto">
          <a:xfrm>
            <a:off x="640" y="1657"/>
            <a:ext cx="77" cy="0"/>
          </a:xfrm>
          <a:prstGeom prst="line">
            <a:avLst/>
          </a:prstGeom>
          <a:noFill/>
          <a:ln w="3175">
            <a:solidFill>
              <a:srgbClr val="000000"/>
            </a:solidFill>
            <a:round/>
            <a:headEnd type="triangle" w="sm" len="med"/>
            <a:tailEnd type="triangle" w="sm" len="med"/>
          </a:ln>
        </xdr:spPr>
      </xdr:sp>
      <xdr:sp macro="" textlink="">
        <xdr:nvSpPr>
          <xdr:cNvPr id="1067" name="Line 230"/>
          <xdr:cNvSpPr>
            <a:spLocks noChangeShapeType="1"/>
          </xdr:cNvSpPr>
        </xdr:nvSpPr>
        <xdr:spPr bwMode="auto">
          <a:xfrm flipH="1">
            <a:off x="717" y="1255"/>
            <a:ext cx="1" cy="412"/>
          </a:xfrm>
          <a:prstGeom prst="line">
            <a:avLst/>
          </a:prstGeom>
          <a:noFill/>
          <a:ln w="6350">
            <a:solidFill>
              <a:srgbClr val="000000"/>
            </a:solidFill>
            <a:prstDash val="lgDashDot"/>
            <a:round/>
            <a:headEnd type="none" w="sm" len="med"/>
            <a:tailEnd type="none" w="sm" len="med"/>
          </a:ln>
        </xdr:spPr>
      </xdr:sp>
      <xdr:sp macro="" textlink="">
        <xdr:nvSpPr>
          <xdr:cNvPr id="1068" name="Line 231"/>
          <xdr:cNvSpPr>
            <a:spLocks noChangeShapeType="1"/>
          </xdr:cNvSpPr>
        </xdr:nvSpPr>
        <xdr:spPr bwMode="auto">
          <a:xfrm>
            <a:off x="566" y="1255"/>
            <a:ext cx="110" cy="0"/>
          </a:xfrm>
          <a:prstGeom prst="line">
            <a:avLst/>
          </a:prstGeom>
          <a:noFill/>
          <a:ln w="3175">
            <a:solidFill>
              <a:srgbClr val="000000"/>
            </a:solidFill>
            <a:round/>
            <a:headEnd type="triangle" w="sm" len="med"/>
            <a:tailEnd type="triangle" w="sm" len="med"/>
          </a:ln>
        </xdr:spPr>
      </xdr:sp>
      <xdr:sp macro="" textlink="">
        <xdr:nvSpPr>
          <xdr:cNvPr id="1069" name="Text Box 232"/>
          <xdr:cNvSpPr txBox="1">
            <a:spLocks noChangeArrowheads="1"/>
          </xdr:cNvSpPr>
        </xdr:nvSpPr>
        <xdr:spPr bwMode="auto">
          <a:xfrm>
            <a:off x="640" y="1226"/>
            <a:ext cx="43"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P</a:t>
            </a:r>
            <a:r>
              <a:rPr lang="de-DE" altLang="ja-JP" sz="800" b="1" i="0" strike="noStrike">
                <a:solidFill>
                  <a:srgbClr val="000000"/>
                </a:solidFill>
                <a:latin typeface="Times New Roman"/>
                <a:cs typeface="Times New Roman"/>
              </a:rPr>
              <a:t>t</a:t>
            </a:r>
            <a:r>
              <a:rPr lang="de-DE" altLang="ja-JP" sz="1000" b="0" i="0" strike="noStrike">
                <a:solidFill>
                  <a:srgbClr val="000000"/>
                </a:solidFill>
                <a:latin typeface="ＭＳ 明朝"/>
                <a:ea typeface="ＭＳ 明朝"/>
              </a:rPr>
              <a:t>(</a:t>
            </a:r>
            <a:r>
              <a:rPr lang="de-DE" altLang="ja-JP" sz="1000" b="1" i="0" strike="noStrike">
                <a:solidFill>
                  <a:srgbClr val="000000"/>
                </a:solidFill>
                <a:latin typeface="Times New Roman"/>
                <a:cs typeface="Times New Roman"/>
              </a:rPr>
              <a:t>P</a:t>
            </a:r>
            <a:r>
              <a:rPr lang="de-DE" altLang="ja-JP" sz="700" b="1" i="0" strike="noStrike">
                <a:solidFill>
                  <a:srgbClr val="000000"/>
                </a:solidFill>
                <a:latin typeface="Times New Roman"/>
                <a:cs typeface="Times New Roman"/>
              </a:rPr>
              <a:t>B</a:t>
            </a:r>
            <a:r>
              <a:rPr lang="de-DE" altLang="ja-JP" sz="1000" b="0" i="0" strike="noStrike">
                <a:solidFill>
                  <a:srgbClr val="000000"/>
                </a:solidFill>
                <a:latin typeface="ＭＳ 明朝"/>
                <a:ea typeface="ＭＳ 明朝"/>
              </a:rPr>
              <a:t>)</a:t>
            </a:r>
          </a:p>
        </xdr:txBody>
      </xdr:sp>
      <xdr:sp macro="" textlink="">
        <xdr:nvSpPr>
          <xdr:cNvPr id="1070" name="Line 233"/>
          <xdr:cNvSpPr>
            <a:spLocks noChangeShapeType="1"/>
          </xdr:cNvSpPr>
        </xdr:nvSpPr>
        <xdr:spPr bwMode="auto">
          <a:xfrm>
            <a:off x="562" y="1255"/>
            <a:ext cx="0" cy="412"/>
          </a:xfrm>
          <a:prstGeom prst="line">
            <a:avLst/>
          </a:prstGeom>
          <a:noFill/>
          <a:ln w="6350">
            <a:solidFill>
              <a:srgbClr val="000000"/>
            </a:solidFill>
            <a:prstDash val="lgDashDot"/>
            <a:round/>
            <a:headEnd type="none" w="sm" len="med"/>
            <a:tailEnd type="none" w="sm" len="med"/>
          </a:ln>
        </xdr:spPr>
      </xdr:sp>
      <xdr:sp macro="" textlink="">
        <xdr:nvSpPr>
          <xdr:cNvPr id="1071" name="Line 234"/>
          <xdr:cNvSpPr>
            <a:spLocks noChangeShapeType="1"/>
          </xdr:cNvSpPr>
        </xdr:nvSpPr>
        <xdr:spPr bwMode="auto">
          <a:xfrm>
            <a:off x="675" y="1247"/>
            <a:ext cx="0" cy="166"/>
          </a:xfrm>
          <a:prstGeom prst="line">
            <a:avLst/>
          </a:prstGeom>
          <a:noFill/>
          <a:ln w="3175">
            <a:solidFill>
              <a:srgbClr val="000000"/>
            </a:solidFill>
            <a:round/>
            <a:headEnd/>
            <a:tailEnd/>
          </a:ln>
        </xdr:spPr>
      </xdr:sp>
      <xdr:grpSp>
        <xdr:nvGrpSpPr>
          <xdr:cNvPr id="1072" name="Group 235"/>
          <xdr:cNvGrpSpPr>
            <a:grpSpLocks/>
          </xdr:cNvGrpSpPr>
        </xdr:nvGrpSpPr>
        <xdr:grpSpPr bwMode="auto">
          <a:xfrm>
            <a:off x="568" y="1418"/>
            <a:ext cx="107" cy="127"/>
            <a:chOff x="386" y="146"/>
            <a:chExt cx="163" cy="202"/>
          </a:xfrm>
        </xdr:grpSpPr>
        <xdr:sp macro="" textlink="">
          <xdr:nvSpPr>
            <xdr:cNvPr id="1080" name="Line 236"/>
            <xdr:cNvSpPr>
              <a:spLocks noChangeShapeType="1"/>
            </xdr:cNvSpPr>
          </xdr:nvSpPr>
          <xdr:spPr bwMode="auto">
            <a:xfrm>
              <a:off x="549" y="146"/>
              <a:ext cx="0" cy="202"/>
            </a:xfrm>
            <a:prstGeom prst="line">
              <a:avLst/>
            </a:prstGeom>
            <a:noFill/>
            <a:ln w="15875">
              <a:solidFill>
                <a:srgbClr val="000000"/>
              </a:solidFill>
              <a:round/>
              <a:headEnd/>
              <a:tailEnd/>
            </a:ln>
          </xdr:spPr>
        </xdr:sp>
        <xdr:sp macro="" textlink="">
          <xdr:nvSpPr>
            <xdr:cNvPr id="1081" name="Line 237"/>
            <xdr:cNvSpPr>
              <a:spLocks noChangeShapeType="1"/>
            </xdr:cNvSpPr>
          </xdr:nvSpPr>
          <xdr:spPr bwMode="auto">
            <a:xfrm>
              <a:off x="386" y="146"/>
              <a:ext cx="0" cy="202"/>
            </a:xfrm>
            <a:prstGeom prst="line">
              <a:avLst/>
            </a:prstGeom>
            <a:noFill/>
            <a:ln w="15875">
              <a:solidFill>
                <a:srgbClr val="000000"/>
              </a:solidFill>
              <a:round/>
              <a:headEnd/>
              <a:tailEnd/>
            </a:ln>
          </xdr:spPr>
        </xdr:sp>
        <xdr:sp macro="" textlink="">
          <xdr:nvSpPr>
            <xdr:cNvPr id="1082" name="Line 238"/>
            <xdr:cNvSpPr>
              <a:spLocks noChangeShapeType="1"/>
            </xdr:cNvSpPr>
          </xdr:nvSpPr>
          <xdr:spPr bwMode="auto">
            <a:xfrm>
              <a:off x="386" y="348"/>
              <a:ext cx="163" cy="0"/>
            </a:xfrm>
            <a:prstGeom prst="line">
              <a:avLst/>
            </a:prstGeom>
            <a:noFill/>
            <a:ln w="15875">
              <a:solidFill>
                <a:srgbClr val="000000"/>
              </a:solidFill>
              <a:round/>
              <a:headEnd/>
              <a:tailEnd/>
            </a:ln>
          </xdr:spPr>
        </xdr:sp>
        <xdr:sp macro="" textlink="">
          <xdr:nvSpPr>
            <xdr:cNvPr id="1083" name="Line 239"/>
            <xdr:cNvSpPr>
              <a:spLocks noChangeShapeType="1"/>
            </xdr:cNvSpPr>
          </xdr:nvSpPr>
          <xdr:spPr bwMode="auto">
            <a:xfrm>
              <a:off x="386" y="146"/>
              <a:ext cx="163" cy="0"/>
            </a:xfrm>
            <a:prstGeom prst="line">
              <a:avLst/>
            </a:prstGeom>
            <a:noFill/>
            <a:ln w="15875">
              <a:solidFill>
                <a:srgbClr val="000000"/>
              </a:solidFill>
              <a:round/>
              <a:headEnd/>
              <a:tailEnd/>
            </a:ln>
          </xdr:spPr>
        </xdr:sp>
      </xdr:grpSp>
      <xdr:sp macro="" textlink="">
        <xdr:nvSpPr>
          <xdr:cNvPr id="1073" name="Rectangle 240"/>
          <xdr:cNvSpPr>
            <a:spLocks noChangeArrowheads="1"/>
          </xdr:cNvSpPr>
        </xdr:nvSpPr>
        <xdr:spPr bwMode="auto">
          <a:xfrm>
            <a:off x="634" y="1419"/>
            <a:ext cx="11" cy="125"/>
          </a:xfrm>
          <a:prstGeom prst="rect">
            <a:avLst/>
          </a:prstGeom>
          <a:solidFill>
            <a:srgbClr val="FFFFFF"/>
          </a:solidFill>
          <a:ln w="15875" algn="ctr">
            <a:noFill/>
            <a:miter lim="800000"/>
            <a:headEnd/>
            <a:tailEnd/>
          </a:ln>
        </xdr:spPr>
      </xdr:sp>
      <xdr:sp macro="" textlink="">
        <xdr:nvSpPr>
          <xdr:cNvPr id="1074" name="Line 241"/>
          <xdr:cNvSpPr>
            <a:spLocks noChangeShapeType="1"/>
          </xdr:cNvSpPr>
        </xdr:nvSpPr>
        <xdr:spPr bwMode="auto">
          <a:xfrm>
            <a:off x="639" y="1255"/>
            <a:ext cx="0" cy="412"/>
          </a:xfrm>
          <a:prstGeom prst="line">
            <a:avLst/>
          </a:prstGeom>
          <a:noFill/>
          <a:ln w="6350">
            <a:solidFill>
              <a:srgbClr val="000000"/>
            </a:solidFill>
            <a:prstDash val="lgDashDot"/>
            <a:round/>
            <a:headEnd type="none" w="sm" len="med"/>
            <a:tailEnd type="none" w="sm" len="med"/>
          </a:ln>
        </xdr:spPr>
      </xdr:sp>
      <xdr:sp macro="" textlink="">
        <xdr:nvSpPr>
          <xdr:cNvPr id="1075" name="Line 242"/>
          <xdr:cNvSpPr>
            <a:spLocks noChangeShapeType="1"/>
          </xdr:cNvSpPr>
        </xdr:nvSpPr>
        <xdr:spPr bwMode="auto">
          <a:xfrm>
            <a:off x="567" y="1246"/>
            <a:ext cx="0" cy="26"/>
          </a:xfrm>
          <a:prstGeom prst="line">
            <a:avLst/>
          </a:prstGeom>
          <a:noFill/>
          <a:ln w="3175">
            <a:solidFill>
              <a:srgbClr val="000000"/>
            </a:solidFill>
            <a:round/>
            <a:headEnd/>
            <a:tailEnd/>
          </a:ln>
        </xdr:spPr>
      </xdr:sp>
      <xdr:sp macro="" textlink="">
        <xdr:nvSpPr>
          <xdr:cNvPr id="1076" name="Text Box 243"/>
          <xdr:cNvSpPr txBox="1">
            <a:spLocks noChangeArrowheads="1"/>
          </xdr:cNvSpPr>
        </xdr:nvSpPr>
        <xdr:spPr bwMode="auto">
          <a:xfrm>
            <a:off x="587" y="1641"/>
            <a:ext cx="31"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W</a:t>
            </a:r>
            <a:r>
              <a:rPr lang="de-DE" altLang="ja-JP" sz="600" b="1" i="0" strike="noStrike">
                <a:solidFill>
                  <a:srgbClr val="000000"/>
                </a:solidFill>
                <a:latin typeface="Times New Roman"/>
                <a:cs typeface="Times New Roman"/>
              </a:rPr>
              <a:t>LGS</a:t>
            </a:r>
          </a:p>
        </xdr:txBody>
      </xdr:sp>
      <xdr:sp macro="" textlink="">
        <xdr:nvSpPr>
          <xdr:cNvPr id="1077" name="Line 244"/>
          <xdr:cNvSpPr>
            <a:spLocks noChangeShapeType="1"/>
          </xdr:cNvSpPr>
        </xdr:nvSpPr>
        <xdr:spPr bwMode="auto">
          <a:xfrm>
            <a:off x="568" y="1358"/>
            <a:ext cx="28" cy="0"/>
          </a:xfrm>
          <a:prstGeom prst="line">
            <a:avLst/>
          </a:prstGeom>
          <a:noFill/>
          <a:ln w="9525">
            <a:solidFill>
              <a:srgbClr val="000000"/>
            </a:solidFill>
            <a:round/>
            <a:headEnd/>
            <a:tailEnd type="stealth" w="med" len="med"/>
          </a:ln>
        </xdr:spPr>
      </xdr:sp>
      <xdr:sp macro="" textlink="">
        <xdr:nvSpPr>
          <xdr:cNvPr id="1078" name="Text Box 246"/>
          <xdr:cNvSpPr txBox="1">
            <a:spLocks noChangeArrowheads="1"/>
          </xdr:cNvSpPr>
        </xdr:nvSpPr>
        <xdr:spPr bwMode="auto">
          <a:xfrm>
            <a:off x="601" y="1240"/>
            <a:ext cx="15"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W</a:t>
            </a:r>
          </a:p>
        </xdr:txBody>
      </xdr:sp>
      <xdr:sp macro="" textlink="">
        <xdr:nvSpPr>
          <xdr:cNvPr id="1079" name="Line 247"/>
          <xdr:cNvSpPr>
            <a:spLocks noChangeShapeType="1"/>
          </xdr:cNvSpPr>
        </xdr:nvSpPr>
        <xdr:spPr bwMode="auto">
          <a:xfrm>
            <a:off x="562" y="1657"/>
            <a:ext cx="78" cy="0"/>
          </a:xfrm>
          <a:prstGeom prst="line">
            <a:avLst/>
          </a:prstGeom>
          <a:noFill/>
          <a:ln w="3175">
            <a:solidFill>
              <a:srgbClr val="000000"/>
            </a:solidFill>
            <a:round/>
            <a:headEnd type="triangle" w="sm" len="med"/>
            <a:tailEnd type="triangle" w="sm" len="med"/>
          </a:ln>
        </xdr:spPr>
      </xdr:sp>
    </xdr:grpSp>
    <xdr:clientData/>
  </xdr:twoCellAnchor>
  <xdr:twoCellAnchor>
    <xdr:from>
      <xdr:col>3</xdr:col>
      <xdr:colOff>75622</xdr:colOff>
      <xdr:row>318</xdr:row>
      <xdr:rowOff>146079</xdr:rowOff>
    </xdr:from>
    <xdr:to>
      <xdr:col>11</xdr:col>
      <xdr:colOff>55837</xdr:colOff>
      <xdr:row>338</xdr:row>
      <xdr:rowOff>137318</xdr:rowOff>
    </xdr:to>
    <xdr:grpSp>
      <xdr:nvGrpSpPr>
        <xdr:cNvPr id="1096" name="Group 253"/>
        <xdr:cNvGrpSpPr>
          <a:grpSpLocks/>
        </xdr:cNvGrpSpPr>
      </xdr:nvGrpSpPr>
      <xdr:grpSpPr bwMode="auto">
        <a:xfrm>
          <a:off x="488372" y="57073829"/>
          <a:ext cx="2290028" cy="3801239"/>
          <a:chOff x="51" y="1320"/>
          <a:chExt cx="213" cy="399"/>
        </a:xfrm>
      </xdr:grpSpPr>
      <xdr:sp macro="" textlink="">
        <xdr:nvSpPr>
          <xdr:cNvPr id="1097" name="Text Box 254"/>
          <xdr:cNvSpPr txBox="1">
            <a:spLocks noChangeArrowheads="1"/>
          </xdr:cNvSpPr>
        </xdr:nvSpPr>
        <xdr:spPr bwMode="auto">
          <a:xfrm>
            <a:off x="194" y="1684"/>
            <a:ext cx="28" cy="21"/>
          </a:xfrm>
          <a:prstGeom prst="rect">
            <a:avLst/>
          </a:prstGeom>
          <a:noFill/>
          <a:ln w="9525">
            <a:noFill/>
            <a:miter lim="800000"/>
            <a:headEnd/>
            <a:tailEnd/>
          </a:ln>
        </xdr:spPr>
        <xdr:txBody>
          <a:bodyPr wrap="none" lIns="27432" tIns="18288" rIns="0" bIns="0" anchor="t" upright="1">
            <a:spAutoFit/>
          </a:bodyPr>
          <a:lstStyle/>
          <a:p>
            <a:pPr algn="l" rtl="1">
              <a:defRPr sz="1000"/>
            </a:pPr>
            <a:r>
              <a:rPr lang="de-DE" altLang="ja-JP" sz="1100" b="1"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P</a:t>
            </a:r>
          </a:p>
        </xdr:txBody>
      </xdr:sp>
      <xdr:sp macro="" textlink="">
        <xdr:nvSpPr>
          <xdr:cNvPr id="1098" name="Line 255"/>
          <xdr:cNvSpPr>
            <a:spLocks noChangeShapeType="1"/>
          </xdr:cNvSpPr>
        </xdr:nvSpPr>
        <xdr:spPr bwMode="auto">
          <a:xfrm>
            <a:off x="179" y="1702"/>
            <a:ext cx="68" cy="0"/>
          </a:xfrm>
          <a:prstGeom prst="line">
            <a:avLst/>
          </a:prstGeom>
          <a:noFill/>
          <a:ln w="9525">
            <a:noFill/>
            <a:round/>
            <a:headEnd/>
            <a:tailEnd/>
          </a:ln>
        </xdr:spPr>
      </xdr:sp>
      <xdr:sp macro="" textlink="">
        <xdr:nvSpPr>
          <xdr:cNvPr id="1099" name="Line 256"/>
          <xdr:cNvSpPr>
            <a:spLocks noChangeShapeType="1"/>
          </xdr:cNvSpPr>
        </xdr:nvSpPr>
        <xdr:spPr bwMode="auto">
          <a:xfrm flipV="1">
            <a:off x="185" y="1701"/>
            <a:ext cx="45" cy="0"/>
          </a:xfrm>
          <a:prstGeom prst="line">
            <a:avLst/>
          </a:prstGeom>
          <a:noFill/>
          <a:ln w="9525">
            <a:solidFill>
              <a:srgbClr val="000000"/>
            </a:solidFill>
            <a:round/>
            <a:headEnd/>
            <a:tailEnd/>
          </a:ln>
        </xdr:spPr>
      </xdr:sp>
      <xdr:sp macro="" textlink="">
        <xdr:nvSpPr>
          <xdr:cNvPr id="1100" name="Text Box 257"/>
          <xdr:cNvSpPr txBox="1">
            <a:spLocks noChangeArrowheads="1"/>
          </xdr:cNvSpPr>
        </xdr:nvSpPr>
        <xdr:spPr bwMode="auto">
          <a:xfrm>
            <a:off x="61" y="1691"/>
            <a:ext cx="52" cy="24"/>
          </a:xfrm>
          <a:prstGeom prst="rect">
            <a:avLst/>
          </a:prstGeom>
          <a:noFill/>
          <a:ln w="9525">
            <a:noFill/>
            <a:miter lim="800000"/>
            <a:headEnd/>
            <a:tailEnd/>
          </a:ln>
        </xdr:spPr>
        <xdr:txBody>
          <a:bodyPr wrap="none" lIns="18288" tIns="27432" rIns="0" bIns="0" anchor="t" upright="1">
            <a:spAutoFit/>
          </a:bodyPr>
          <a:lstStyle/>
          <a:p>
            <a:pPr algn="l" rtl="1">
              <a:defRPr sz="1000"/>
            </a:pPr>
            <a:r>
              <a:rPr lang="el-GR" altLang="ja-JP" sz="1200" b="0" i="0" strike="noStrike">
                <a:solidFill>
                  <a:srgbClr val="000000"/>
                </a:solidFill>
                <a:latin typeface="Times New Roman"/>
                <a:cs typeface="Times New Roman"/>
              </a:rPr>
              <a:t>σ</a:t>
            </a:r>
            <a:r>
              <a:rPr lang="ja-JP" altLang="el-GR" sz="1200" b="0" i="0" strike="noStrike">
                <a:solidFill>
                  <a:srgbClr val="000000"/>
                </a:solidFill>
                <a:latin typeface="ＭＳ Ｐゴシック"/>
                <a:ea typeface="ＭＳ Ｐゴシック"/>
              </a:rPr>
              <a:t>／</a:t>
            </a:r>
            <a:r>
              <a:rPr lang="de-DE" altLang="ja-JP" sz="1200" b="1" i="1" strike="noStrike">
                <a:solidFill>
                  <a:srgbClr val="000000"/>
                </a:solidFill>
                <a:latin typeface="ＭＳ 明朝"/>
                <a:ea typeface="ＭＳ 明朝"/>
              </a:rPr>
              <a:t>f</a:t>
            </a:r>
            <a:r>
              <a:rPr lang="ja-JP" altLang="de-DE" sz="1000" b="1" i="0" strike="noStrike">
                <a:solidFill>
                  <a:srgbClr val="000000"/>
                </a:solidFill>
                <a:latin typeface="ＭＳ Ｐゴシック"/>
                <a:ea typeface="ＭＳ Ｐゴシック"/>
              </a:rPr>
              <a:t>＝</a:t>
            </a:r>
          </a:p>
        </xdr:txBody>
      </xdr:sp>
      <xdr:sp macro="" textlink="">
        <xdr:nvSpPr>
          <xdr:cNvPr id="1101" name="Line 258"/>
          <xdr:cNvSpPr>
            <a:spLocks noChangeShapeType="1"/>
          </xdr:cNvSpPr>
        </xdr:nvSpPr>
        <xdr:spPr bwMode="auto">
          <a:xfrm>
            <a:off x="117" y="1701"/>
            <a:ext cx="38" cy="1"/>
          </a:xfrm>
          <a:prstGeom prst="line">
            <a:avLst/>
          </a:prstGeom>
          <a:noFill/>
          <a:ln w="9525">
            <a:noFill/>
            <a:round/>
            <a:headEnd/>
            <a:tailEnd/>
          </a:ln>
        </xdr:spPr>
      </xdr:sp>
      <xdr:sp macro="" textlink="">
        <xdr:nvSpPr>
          <xdr:cNvPr id="1102" name="Line 259"/>
          <xdr:cNvSpPr>
            <a:spLocks noChangeShapeType="1"/>
          </xdr:cNvSpPr>
        </xdr:nvSpPr>
        <xdr:spPr bwMode="auto">
          <a:xfrm flipH="1">
            <a:off x="116" y="1701"/>
            <a:ext cx="56" cy="1"/>
          </a:xfrm>
          <a:prstGeom prst="line">
            <a:avLst/>
          </a:prstGeom>
          <a:noFill/>
          <a:ln w="9525">
            <a:noFill/>
            <a:round/>
            <a:headEnd/>
            <a:tailEnd/>
          </a:ln>
        </xdr:spPr>
      </xdr:sp>
      <xdr:sp macro="" textlink="">
        <xdr:nvSpPr>
          <xdr:cNvPr id="1103" name="Line 260"/>
          <xdr:cNvSpPr>
            <a:spLocks noChangeShapeType="1"/>
          </xdr:cNvSpPr>
        </xdr:nvSpPr>
        <xdr:spPr bwMode="auto">
          <a:xfrm flipH="1">
            <a:off x="116" y="1701"/>
            <a:ext cx="49" cy="1"/>
          </a:xfrm>
          <a:prstGeom prst="line">
            <a:avLst/>
          </a:prstGeom>
          <a:noFill/>
          <a:ln w="9525">
            <a:noFill/>
            <a:round/>
            <a:headEnd/>
            <a:tailEnd/>
          </a:ln>
        </xdr:spPr>
      </xdr:sp>
      <xdr:sp macro="" textlink="">
        <xdr:nvSpPr>
          <xdr:cNvPr id="1104" name="Line 261"/>
          <xdr:cNvSpPr>
            <a:spLocks noChangeShapeType="1"/>
          </xdr:cNvSpPr>
        </xdr:nvSpPr>
        <xdr:spPr bwMode="auto">
          <a:xfrm flipV="1">
            <a:off x="117" y="1701"/>
            <a:ext cx="47" cy="0"/>
          </a:xfrm>
          <a:prstGeom prst="line">
            <a:avLst/>
          </a:prstGeom>
          <a:noFill/>
          <a:ln w="9525">
            <a:solidFill>
              <a:srgbClr val="000000"/>
            </a:solidFill>
            <a:round/>
            <a:headEnd/>
            <a:tailEnd/>
          </a:ln>
        </xdr:spPr>
      </xdr:sp>
      <xdr:sp macro="" textlink="">
        <xdr:nvSpPr>
          <xdr:cNvPr id="1105" name="Text Box 262"/>
          <xdr:cNvSpPr txBox="1">
            <a:spLocks noChangeArrowheads="1"/>
          </xdr:cNvSpPr>
        </xdr:nvSpPr>
        <xdr:spPr bwMode="auto">
          <a:xfrm>
            <a:off x="120" y="1684"/>
            <a:ext cx="34" cy="21"/>
          </a:xfrm>
          <a:prstGeom prst="rect">
            <a:avLst/>
          </a:prstGeom>
          <a:noFill/>
          <a:ln w="9525">
            <a:noFill/>
            <a:miter lim="800000"/>
            <a:headEnd/>
            <a:tailEnd/>
          </a:ln>
        </xdr:spPr>
        <xdr:txBody>
          <a:bodyPr wrap="none" lIns="27432" tIns="18288" rIns="0" bIns="0" anchor="t" upright="1">
            <a:spAutoFit/>
          </a:bodyPr>
          <a:lstStyle/>
          <a:p>
            <a:pPr algn="l" rtl="1">
              <a:defRPr sz="1000"/>
            </a:pPr>
            <a:r>
              <a:rPr lang="de-DE" altLang="ja-JP" sz="1100" b="1"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M</a:t>
            </a:r>
          </a:p>
        </xdr:txBody>
      </xdr:sp>
      <xdr:sp macro="" textlink="">
        <xdr:nvSpPr>
          <xdr:cNvPr id="1106" name="Text Box 263"/>
          <xdr:cNvSpPr txBox="1">
            <a:spLocks noChangeArrowheads="1"/>
          </xdr:cNvSpPr>
        </xdr:nvSpPr>
        <xdr:spPr bwMode="auto">
          <a:xfrm>
            <a:off x="191" y="1698"/>
            <a:ext cx="4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A</a:t>
            </a:r>
            <a:r>
              <a:rPr lang="de-DE" altLang="ja-JP" sz="1100" b="0" i="0" strike="noStrike">
                <a:solidFill>
                  <a:srgbClr val="000000"/>
                </a:solidFill>
                <a:latin typeface="ＭＳ Ｐ明朝"/>
                <a:ea typeface="ＭＳ Ｐ明朝"/>
              </a:rPr>
              <a:t>×</a:t>
            </a:r>
            <a:r>
              <a:rPr lang="de-DE" altLang="ja-JP" sz="1100" b="1" i="0" strike="noStrike">
                <a:solidFill>
                  <a:srgbClr val="000000"/>
                </a:solidFill>
                <a:latin typeface="ＭＳ 明朝"/>
                <a:ea typeface="ＭＳ 明朝"/>
              </a:rPr>
              <a:t>f</a:t>
            </a:r>
            <a:r>
              <a:rPr lang="de-DE" altLang="ja-JP" sz="1100" b="1" i="0" strike="noStrike">
                <a:solidFill>
                  <a:srgbClr val="000000"/>
                </a:solidFill>
                <a:latin typeface="ＭＳ Ｐ明朝"/>
                <a:ea typeface="ＭＳ Ｐ明朝"/>
              </a:rPr>
              <a:t>c</a:t>
            </a:r>
          </a:p>
        </xdr:txBody>
      </xdr:sp>
      <xdr:sp macro="" textlink="">
        <xdr:nvSpPr>
          <xdr:cNvPr id="1107" name="Text Box 264"/>
          <xdr:cNvSpPr txBox="1">
            <a:spLocks noChangeArrowheads="1"/>
          </xdr:cNvSpPr>
        </xdr:nvSpPr>
        <xdr:spPr bwMode="auto">
          <a:xfrm>
            <a:off x="163" y="1694"/>
            <a:ext cx="15" cy="18"/>
          </a:xfrm>
          <a:prstGeom prst="rect">
            <a:avLst/>
          </a:prstGeom>
          <a:noFill/>
          <a:ln w="9525">
            <a:noFill/>
            <a:miter lim="800000"/>
            <a:headEnd/>
            <a:tailEnd/>
          </a:ln>
        </xdr:spPr>
        <xdr:txBody>
          <a:bodyPr wrap="none" lIns="18288" tIns="18288" rIns="0" bIns="0" anchor="t" upright="1">
            <a:spAutoFit/>
          </a:bodyPr>
          <a:lstStyle/>
          <a:p>
            <a:pPr algn="l" rtl="1">
              <a:defRPr sz="1000"/>
            </a:pPr>
            <a:r>
              <a:rPr lang="ja-JP" altLang="en-US" sz="1000" b="0" i="0" strike="noStrike">
                <a:solidFill>
                  <a:srgbClr val="000000"/>
                </a:solidFill>
                <a:latin typeface="ＭＳ Ｐゴシック"/>
                <a:ea typeface="ＭＳ Ｐゴシック"/>
              </a:rPr>
              <a:t>＋</a:t>
            </a:r>
          </a:p>
        </xdr:txBody>
      </xdr:sp>
      <xdr:sp macro="" textlink="">
        <xdr:nvSpPr>
          <xdr:cNvPr id="1108" name="Text Box 265"/>
          <xdr:cNvSpPr txBox="1">
            <a:spLocks noChangeArrowheads="1"/>
          </xdr:cNvSpPr>
        </xdr:nvSpPr>
        <xdr:spPr bwMode="auto">
          <a:xfrm>
            <a:off x="118" y="1696"/>
            <a:ext cx="48"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Z</a:t>
            </a:r>
            <a:r>
              <a:rPr lang="de-DE" altLang="ja-JP" sz="700" b="1" i="0" strike="noStrike">
                <a:solidFill>
                  <a:srgbClr val="000000"/>
                </a:solidFill>
                <a:latin typeface="Times New Roman"/>
                <a:cs typeface="Times New Roman"/>
              </a:rPr>
              <a:t>Y</a:t>
            </a:r>
            <a:r>
              <a:rPr lang="de-DE" altLang="ja-JP" sz="1100" b="0" i="0" strike="noStrike">
                <a:solidFill>
                  <a:srgbClr val="000000"/>
                </a:solidFill>
                <a:latin typeface="ＭＳ Ｐ明朝"/>
                <a:ea typeface="ＭＳ Ｐ明朝"/>
              </a:rPr>
              <a:t>×</a:t>
            </a:r>
            <a:r>
              <a:rPr lang="de-DE" altLang="ja-JP" sz="1100" b="1" i="0" strike="noStrike">
                <a:solidFill>
                  <a:srgbClr val="000000"/>
                </a:solidFill>
                <a:latin typeface="ＭＳ 明朝"/>
                <a:ea typeface="ＭＳ 明朝"/>
              </a:rPr>
              <a:t>f</a:t>
            </a:r>
            <a:r>
              <a:rPr lang="de-DE" altLang="ja-JP" sz="900" b="1" i="0" strike="noStrike">
                <a:solidFill>
                  <a:srgbClr val="000000"/>
                </a:solidFill>
                <a:latin typeface="ＭＳ Ｐ明朝"/>
                <a:ea typeface="ＭＳ Ｐ明朝"/>
              </a:rPr>
              <a:t>b</a:t>
            </a:r>
          </a:p>
        </xdr:txBody>
      </xdr:sp>
      <xdr:sp macro="" textlink="">
        <xdr:nvSpPr>
          <xdr:cNvPr id="1109" name="Text Box 266"/>
          <xdr:cNvSpPr txBox="1">
            <a:spLocks noChangeArrowheads="1"/>
          </xdr:cNvSpPr>
        </xdr:nvSpPr>
        <xdr:spPr bwMode="auto">
          <a:xfrm>
            <a:off x="184" y="1401"/>
            <a:ext cx="80"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V</a:t>
            </a:r>
            <a:r>
              <a:rPr lang="ja-JP" altLang="de-DE" sz="1000" b="1"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K</a:t>
            </a:r>
            <a:r>
              <a:rPr lang="de-DE" altLang="ja-JP" sz="700" b="1" i="0" strike="noStrike">
                <a:solidFill>
                  <a:srgbClr val="000000"/>
                </a:solidFill>
                <a:latin typeface="Times New Roman"/>
                <a:cs typeface="Times New Roman"/>
              </a:rPr>
              <a:t>V</a:t>
            </a: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W</a:t>
            </a:r>
            <a:r>
              <a:rPr lang="de-DE" altLang="ja-JP" sz="900" b="1" i="0" strike="noStrike">
                <a:solidFill>
                  <a:srgbClr val="000000"/>
                </a:solidFill>
                <a:latin typeface="Times New Roman"/>
                <a:cs typeface="Times New Roman"/>
              </a:rPr>
              <a:t>t</a:t>
            </a:r>
          </a:p>
        </xdr:txBody>
      </xdr:sp>
      <xdr:sp macro="" textlink="">
        <xdr:nvSpPr>
          <xdr:cNvPr id="1110" name="Text Box 267"/>
          <xdr:cNvSpPr txBox="1">
            <a:spLocks noChangeArrowheads="1"/>
          </xdr:cNvSpPr>
        </xdr:nvSpPr>
        <xdr:spPr bwMode="auto">
          <a:xfrm>
            <a:off x="68" y="1401"/>
            <a:ext cx="82"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r>
              <a:rPr lang="ja-JP" altLang="de-DE" sz="1000" b="1"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K</a:t>
            </a:r>
            <a:r>
              <a:rPr lang="de-DE" altLang="ja-JP" sz="700" b="1" i="0" strike="noStrike">
                <a:solidFill>
                  <a:srgbClr val="000000"/>
                </a:solidFill>
                <a:latin typeface="Times New Roman"/>
                <a:cs typeface="Times New Roman"/>
              </a:rPr>
              <a:t>H</a:t>
            </a: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W</a:t>
            </a:r>
            <a:r>
              <a:rPr lang="de-DE" altLang="ja-JP" sz="900" b="1" i="0" strike="noStrike">
                <a:solidFill>
                  <a:srgbClr val="000000"/>
                </a:solidFill>
                <a:latin typeface="Times New Roman"/>
                <a:cs typeface="Times New Roman"/>
              </a:rPr>
              <a:t>t</a:t>
            </a:r>
          </a:p>
        </xdr:txBody>
      </xdr:sp>
      <xdr:sp macro="" textlink="">
        <xdr:nvSpPr>
          <xdr:cNvPr id="1111" name="Line 268"/>
          <xdr:cNvSpPr>
            <a:spLocks noChangeShapeType="1"/>
          </xdr:cNvSpPr>
        </xdr:nvSpPr>
        <xdr:spPr bwMode="auto">
          <a:xfrm>
            <a:off x="95" y="1502"/>
            <a:ext cx="44" cy="0"/>
          </a:xfrm>
          <a:prstGeom prst="line">
            <a:avLst/>
          </a:prstGeom>
          <a:noFill/>
          <a:ln w="6350">
            <a:solidFill>
              <a:srgbClr val="000000"/>
            </a:solidFill>
            <a:round/>
            <a:headEnd/>
            <a:tailEnd/>
          </a:ln>
        </xdr:spPr>
      </xdr:sp>
      <xdr:sp macro="" textlink="">
        <xdr:nvSpPr>
          <xdr:cNvPr id="1112" name="Text Box 269"/>
          <xdr:cNvSpPr txBox="1">
            <a:spLocks noChangeArrowheads="1"/>
          </xdr:cNvSpPr>
        </xdr:nvSpPr>
        <xdr:spPr bwMode="auto">
          <a:xfrm>
            <a:off x="58" y="1491"/>
            <a:ext cx="152"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P</a:t>
            </a:r>
            <a:r>
              <a:rPr lang="de-DE" altLang="ja-JP" sz="700" b="1" i="0" strike="noStrike">
                <a:solidFill>
                  <a:srgbClr val="000000"/>
                </a:solidFill>
                <a:latin typeface="Times New Roman"/>
                <a:cs typeface="Times New Roman"/>
              </a:rPr>
              <a:t>B</a:t>
            </a:r>
            <a:r>
              <a:rPr lang="ja-JP" altLang="de-DE" sz="1000" b="1" i="0" strike="noStrike">
                <a:solidFill>
                  <a:srgbClr val="000000"/>
                </a:solidFill>
                <a:latin typeface="ＭＳ Ｐゴシック"/>
                <a:ea typeface="ＭＳ Ｐゴシック"/>
              </a:rPr>
              <a:t>＝　　　　　</a:t>
            </a:r>
            <a:r>
              <a:rPr lang="ja-JP" altLang="de-DE" sz="1000" b="1" i="0" strike="noStrike">
                <a:solidFill>
                  <a:srgbClr val="000000"/>
                </a:solidFill>
                <a:latin typeface="Times New Roman"/>
                <a:cs typeface="Times New Roman"/>
              </a:rPr>
              <a:t> </a:t>
            </a:r>
            <a:r>
              <a:rPr lang="de-DE" altLang="ja-JP" sz="1000" b="1" i="0" strike="noStrike">
                <a:solidFill>
                  <a:srgbClr val="000000"/>
                </a:solidFill>
                <a:latin typeface="ＭＳ ゴシック"/>
                <a:ea typeface="ＭＳ ゴシック"/>
              </a:rPr>
              <a:t>×</a:t>
            </a:r>
            <a:r>
              <a:rPr lang="de-DE" altLang="ja-JP" sz="1100" b="1" i="0" strike="noStrike">
                <a:solidFill>
                  <a:srgbClr val="000000"/>
                </a:solidFill>
                <a:latin typeface="Times New Roman"/>
                <a:cs typeface="Times New Roman"/>
              </a:rPr>
              <a:t>W</a:t>
            </a:r>
            <a:r>
              <a:rPr lang="de-DE" altLang="ja-JP" sz="700" b="1" i="0" strike="noStrike">
                <a:solidFill>
                  <a:srgbClr val="000000"/>
                </a:solidFill>
                <a:latin typeface="Times New Roman"/>
                <a:cs typeface="Times New Roman"/>
              </a:rPr>
              <a:t>B</a:t>
            </a: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L</a:t>
            </a:r>
            <a:r>
              <a:rPr lang="de-DE" altLang="ja-JP" sz="800" b="1" i="0" strike="noStrike">
                <a:solidFill>
                  <a:srgbClr val="000000"/>
                </a:solidFill>
                <a:latin typeface="Times New Roman"/>
                <a:cs typeface="Times New Roman"/>
              </a:rPr>
              <a:t>w</a:t>
            </a:r>
          </a:p>
        </xdr:txBody>
      </xdr:sp>
      <xdr:sp macro="" textlink="">
        <xdr:nvSpPr>
          <xdr:cNvPr id="1113" name="Text Box 270"/>
          <xdr:cNvSpPr txBox="1">
            <a:spLocks noChangeArrowheads="1"/>
          </xdr:cNvSpPr>
        </xdr:nvSpPr>
        <xdr:spPr bwMode="auto">
          <a:xfrm>
            <a:off x="94" y="1483"/>
            <a:ext cx="3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r>
              <a:rPr lang="de-DE" altLang="ja-JP" sz="700" b="1" i="0" strike="noStrike">
                <a:solidFill>
                  <a:srgbClr val="000000"/>
                </a:solidFill>
                <a:latin typeface="Times New Roman"/>
                <a:cs typeface="Times New Roman"/>
              </a:rPr>
              <a:t>LGS</a:t>
            </a:r>
          </a:p>
        </xdr:txBody>
      </xdr:sp>
      <xdr:sp macro="" textlink="">
        <xdr:nvSpPr>
          <xdr:cNvPr id="1114" name="Text Box 271"/>
          <xdr:cNvSpPr txBox="1">
            <a:spLocks noChangeArrowheads="1"/>
          </xdr:cNvSpPr>
        </xdr:nvSpPr>
        <xdr:spPr bwMode="auto">
          <a:xfrm>
            <a:off x="95" y="1500"/>
            <a:ext cx="34" cy="21"/>
          </a:xfrm>
          <a:prstGeom prst="rect">
            <a:avLst/>
          </a:prstGeom>
          <a:noFill/>
          <a:ln w="9525">
            <a:noFill/>
            <a:miter lim="800000"/>
            <a:headEnd/>
            <a:tailEnd/>
          </a:ln>
        </xdr:spPr>
        <xdr:txBody>
          <a:bodyPr wrap="none" lIns="18288" tIns="22860" rIns="0" bIns="0" anchor="t" upright="1">
            <a:spAutoFit/>
          </a:bodyPr>
          <a:lstStyle/>
          <a:p>
            <a:pPr algn="l" rtl="1">
              <a:defRPr sz="1000"/>
            </a:pPr>
            <a:r>
              <a:rPr lang="en-US" altLang="ja-JP" sz="1100" b="1" i="0" strike="noStrike">
                <a:solidFill>
                  <a:srgbClr val="000000"/>
                </a:solidFill>
                <a:latin typeface="Times New Roman"/>
                <a:cs typeface="Times New Roman"/>
              </a:rPr>
              <a:t>1000</a:t>
            </a:r>
          </a:p>
        </xdr:txBody>
      </xdr:sp>
      <xdr:sp macro="" textlink="">
        <xdr:nvSpPr>
          <xdr:cNvPr id="1115" name="Line 272"/>
          <xdr:cNvSpPr>
            <a:spLocks noChangeShapeType="1"/>
          </xdr:cNvSpPr>
        </xdr:nvSpPr>
        <xdr:spPr bwMode="auto">
          <a:xfrm>
            <a:off x="148" y="1382"/>
            <a:ext cx="67" cy="1"/>
          </a:xfrm>
          <a:prstGeom prst="line">
            <a:avLst/>
          </a:prstGeom>
          <a:noFill/>
          <a:ln w="9525">
            <a:noFill/>
            <a:round/>
            <a:headEnd/>
            <a:tailEnd/>
          </a:ln>
        </xdr:spPr>
      </xdr:sp>
      <xdr:sp macro="" textlink="">
        <xdr:nvSpPr>
          <xdr:cNvPr id="1116" name="Line 273"/>
          <xdr:cNvSpPr>
            <a:spLocks noChangeShapeType="1"/>
          </xdr:cNvSpPr>
        </xdr:nvSpPr>
        <xdr:spPr bwMode="auto">
          <a:xfrm>
            <a:off x="126" y="1403"/>
            <a:ext cx="106" cy="1"/>
          </a:xfrm>
          <a:prstGeom prst="line">
            <a:avLst/>
          </a:prstGeom>
          <a:noFill/>
          <a:ln w="9525">
            <a:noFill/>
            <a:round/>
            <a:headEnd/>
            <a:tailEnd/>
          </a:ln>
        </xdr:spPr>
      </xdr:sp>
      <xdr:sp macro="" textlink="">
        <xdr:nvSpPr>
          <xdr:cNvPr id="1117" name="Text Box 274"/>
          <xdr:cNvSpPr txBox="1">
            <a:spLocks noChangeArrowheads="1"/>
          </xdr:cNvSpPr>
        </xdr:nvSpPr>
        <xdr:spPr bwMode="auto">
          <a:xfrm>
            <a:off x="90" y="1364"/>
            <a:ext cx="32"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r>
              <a:rPr lang="de-DE" altLang="ja-JP" sz="600" b="1" i="0" strike="noStrike">
                <a:solidFill>
                  <a:srgbClr val="000000"/>
                </a:solidFill>
                <a:latin typeface="Times New Roman"/>
                <a:cs typeface="Times New Roman"/>
              </a:rPr>
              <a:t>LGS</a:t>
            </a:r>
          </a:p>
        </xdr:txBody>
      </xdr:sp>
      <xdr:sp macro="" textlink="">
        <xdr:nvSpPr>
          <xdr:cNvPr id="1118" name="Line 275"/>
          <xdr:cNvSpPr>
            <a:spLocks noChangeShapeType="1"/>
          </xdr:cNvSpPr>
        </xdr:nvSpPr>
        <xdr:spPr bwMode="auto">
          <a:xfrm>
            <a:off x="87" y="1382"/>
            <a:ext cx="39" cy="0"/>
          </a:xfrm>
          <a:prstGeom prst="line">
            <a:avLst/>
          </a:prstGeom>
          <a:noFill/>
          <a:ln w="9525">
            <a:noFill/>
            <a:round/>
            <a:headEnd/>
            <a:tailEnd/>
          </a:ln>
        </xdr:spPr>
      </xdr:sp>
      <xdr:sp macro="" textlink="">
        <xdr:nvSpPr>
          <xdr:cNvPr id="1119" name="Line 276"/>
          <xdr:cNvSpPr>
            <a:spLocks noChangeShapeType="1"/>
          </xdr:cNvSpPr>
        </xdr:nvSpPr>
        <xdr:spPr bwMode="auto">
          <a:xfrm flipH="1">
            <a:off x="87" y="1382"/>
            <a:ext cx="54" cy="1"/>
          </a:xfrm>
          <a:prstGeom prst="line">
            <a:avLst/>
          </a:prstGeom>
          <a:noFill/>
          <a:ln w="9525">
            <a:noFill/>
            <a:round/>
            <a:headEnd/>
            <a:tailEnd/>
          </a:ln>
        </xdr:spPr>
      </xdr:sp>
      <xdr:sp macro="" textlink="">
        <xdr:nvSpPr>
          <xdr:cNvPr id="1120" name="Line 277"/>
          <xdr:cNvSpPr>
            <a:spLocks noChangeShapeType="1"/>
          </xdr:cNvSpPr>
        </xdr:nvSpPr>
        <xdr:spPr bwMode="auto">
          <a:xfrm flipH="1">
            <a:off x="87" y="1382"/>
            <a:ext cx="49" cy="1"/>
          </a:xfrm>
          <a:prstGeom prst="line">
            <a:avLst/>
          </a:prstGeom>
          <a:noFill/>
          <a:ln w="9525">
            <a:noFill/>
            <a:round/>
            <a:headEnd/>
            <a:tailEnd/>
          </a:ln>
        </xdr:spPr>
      </xdr:sp>
      <xdr:sp macro="" textlink="">
        <xdr:nvSpPr>
          <xdr:cNvPr id="1121" name="Text Box 278"/>
          <xdr:cNvSpPr txBox="1">
            <a:spLocks noChangeArrowheads="1"/>
          </xdr:cNvSpPr>
        </xdr:nvSpPr>
        <xdr:spPr bwMode="auto">
          <a:xfrm>
            <a:off x="131" y="1371"/>
            <a:ext cx="75" cy="22"/>
          </a:xfrm>
          <a:prstGeom prst="rect">
            <a:avLst/>
          </a:prstGeom>
          <a:noFill/>
          <a:ln w="9525">
            <a:noFill/>
            <a:miter lim="800000"/>
            <a:headEnd/>
            <a:tailEnd/>
          </a:ln>
        </xdr:spPr>
        <xdr:txBody>
          <a:bodyPr wrap="none" lIns="18288" tIns="18288" rIns="0" bIns="0" anchor="t" upright="1">
            <a:spAutoFit/>
          </a:bodyPr>
          <a:lstStyle/>
          <a:p>
            <a:pPr algn="l" rtl="1">
              <a:defRPr sz="1000"/>
            </a:pPr>
            <a:r>
              <a:rPr lang="de-DE" altLang="ja-JP" sz="1000" b="0" i="0" strike="noStrike">
                <a:solidFill>
                  <a:srgbClr val="000000"/>
                </a:solidFill>
                <a:latin typeface="ＭＳ Ｐゴシック"/>
                <a:ea typeface="ＭＳ Ｐゴシック"/>
              </a:rPr>
              <a:t>×</a:t>
            </a:r>
            <a:r>
              <a:rPr lang="de-DE" altLang="ja-JP" sz="1200" b="1"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V</a:t>
            </a:r>
            <a:r>
              <a:rPr lang="ja-JP" altLang="de-DE" sz="11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W</a:t>
            </a:r>
            <a:r>
              <a:rPr lang="de-DE" altLang="ja-JP" sz="900" b="1" i="0" strike="noStrike">
                <a:solidFill>
                  <a:srgbClr val="000000"/>
                </a:solidFill>
                <a:latin typeface="Times New Roman"/>
                <a:cs typeface="Times New Roman"/>
              </a:rPr>
              <a:t>t</a:t>
            </a:r>
            <a:r>
              <a:rPr lang="de-DE" altLang="ja-JP" sz="1200" b="1" i="0" strike="noStrike">
                <a:solidFill>
                  <a:srgbClr val="000000"/>
                </a:solidFill>
                <a:latin typeface="ＭＳ Ｐ明朝"/>
                <a:ea typeface="ＭＳ Ｐ明朝"/>
              </a:rPr>
              <a:t>)</a:t>
            </a:r>
          </a:p>
        </xdr:txBody>
      </xdr:sp>
      <xdr:sp macro="" textlink="">
        <xdr:nvSpPr>
          <xdr:cNvPr id="1122" name="Line 279"/>
          <xdr:cNvSpPr>
            <a:spLocks noChangeShapeType="1"/>
          </xdr:cNvSpPr>
        </xdr:nvSpPr>
        <xdr:spPr bwMode="auto">
          <a:xfrm>
            <a:off x="91" y="1382"/>
            <a:ext cx="36" cy="0"/>
          </a:xfrm>
          <a:prstGeom prst="line">
            <a:avLst/>
          </a:prstGeom>
          <a:noFill/>
          <a:ln w="9525">
            <a:solidFill>
              <a:srgbClr val="000000"/>
            </a:solidFill>
            <a:round/>
            <a:headEnd/>
            <a:tailEnd/>
          </a:ln>
        </xdr:spPr>
      </xdr:sp>
      <xdr:sp macro="" textlink="">
        <xdr:nvSpPr>
          <xdr:cNvPr id="1123" name="Text Box 280"/>
          <xdr:cNvSpPr txBox="1">
            <a:spLocks noChangeArrowheads="1"/>
          </xdr:cNvSpPr>
        </xdr:nvSpPr>
        <xdr:spPr bwMode="auto">
          <a:xfrm>
            <a:off x="107" y="1383"/>
            <a:ext cx="16"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p>
        </xdr:txBody>
      </xdr:sp>
      <xdr:sp macro="" textlink="">
        <xdr:nvSpPr>
          <xdr:cNvPr id="1124" name="Text Box 281"/>
          <xdr:cNvSpPr txBox="1">
            <a:spLocks noChangeArrowheads="1"/>
          </xdr:cNvSpPr>
        </xdr:nvSpPr>
        <xdr:spPr bwMode="auto">
          <a:xfrm>
            <a:off x="56" y="1371"/>
            <a:ext cx="29"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P</a:t>
            </a:r>
            <a:r>
              <a:rPr lang="de-DE" altLang="ja-JP" sz="900" b="1" i="0" strike="noStrike">
                <a:solidFill>
                  <a:srgbClr val="000000"/>
                </a:solidFill>
                <a:latin typeface="Times New Roman"/>
                <a:cs typeface="Times New Roman"/>
              </a:rPr>
              <a:t>t</a:t>
            </a:r>
            <a:r>
              <a:rPr lang="ja-JP" altLang="de-DE" sz="1000" b="1" i="0" strike="noStrike">
                <a:solidFill>
                  <a:srgbClr val="000000"/>
                </a:solidFill>
                <a:latin typeface="ＭＳ Ｐゴシック"/>
                <a:ea typeface="ＭＳ Ｐゴシック"/>
              </a:rPr>
              <a:t>＝</a:t>
            </a:r>
          </a:p>
        </xdr:txBody>
      </xdr:sp>
      <xdr:sp macro="" textlink="">
        <xdr:nvSpPr>
          <xdr:cNvPr id="1125" name="Text Box 282"/>
          <xdr:cNvSpPr txBox="1">
            <a:spLocks noChangeArrowheads="1"/>
          </xdr:cNvSpPr>
        </xdr:nvSpPr>
        <xdr:spPr bwMode="auto">
          <a:xfrm>
            <a:off x="203" y="1340"/>
            <a:ext cx="21"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W</a:t>
            </a:r>
          </a:p>
        </xdr:txBody>
      </xdr:sp>
      <xdr:sp macro="" textlink="">
        <xdr:nvSpPr>
          <xdr:cNvPr id="1126" name="Text Box 283"/>
          <xdr:cNvSpPr txBox="1">
            <a:spLocks noChangeArrowheads="1"/>
          </xdr:cNvSpPr>
        </xdr:nvSpPr>
        <xdr:spPr bwMode="auto">
          <a:xfrm>
            <a:off x="191" y="1323"/>
            <a:ext cx="6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W1</a:t>
            </a:r>
            <a:r>
              <a:rPr lang="de-DE" altLang="ja-JP" sz="11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W2</a:t>
            </a:r>
          </a:p>
        </xdr:txBody>
      </xdr:sp>
      <xdr:sp macro="" textlink="">
        <xdr:nvSpPr>
          <xdr:cNvPr id="1127" name="Line 284"/>
          <xdr:cNvSpPr>
            <a:spLocks noChangeShapeType="1"/>
          </xdr:cNvSpPr>
        </xdr:nvSpPr>
        <xdr:spPr bwMode="auto">
          <a:xfrm>
            <a:off x="150" y="1342"/>
            <a:ext cx="66" cy="1"/>
          </a:xfrm>
          <a:prstGeom prst="line">
            <a:avLst/>
          </a:prstGeom>
          <a:noFill/>
          <a:ln w="9525">
            <a:noFill/>
            <a:round/>
            <a:headEnd/>
            <a:tailEnd/>
          </a:ln>
        </xdr:spPr>
      </xdr:sp>
      <xdr:sp macro="" textlink="">
        <xdr:nvSpPr>
          <xdr:cNvPr id="1128" name="Line 285"/>
          <xdr:cNvSpPr>
            <a:spLocks noChangeShapeType="1"/>
          </xdr:cNvSpPr>
        </xdr:nvSpPr>
        <xdr:spPr bwMode="auto">
          <a:xfrm>
            <a:off x="127" y="1358"/>
            <a:ext cx="105" cy="1"/>
          </a:xfrm>
          <a:prstGeom prst="line">
            <a:avLst/>
          </a:prstGeom>
          <a:noFill/>
          <a:ln w="9525">
            <a:noFill/>
            <a:round/>
            <a:headEnd/>
            <a:tailEnd/>
          </a:ln>
        </xdr:spPr>
      </xdr:sp>
      <xdr:sp macro="" textlink="">
        <xdr:nvSpPr>
          <xdr:cNvPr id="1129" name="Line 286"/>
          <xdr:cNvSpPr>
            <a:spLocks noChangeShapeType="1"/>
          </xdr:cNvSpPr>
        </xdr:nvSpPr>
        <xdr:spPr bwMode="auto">
          <a:xfrm flipV="1">
            <a:off x="189" y="1341"/>
            <a:ext cx="67" cy="0"/>
          </a:xfrm>
          <a:prstGeom prst="line">
            <a:avLst/>
          </a:prstGeom>
          <a:noFill/>
          <a:ln w="9525">
            <a:solidFill>
              <a:srgbClr val="000000"/>
            </a:solidFill>
            <a:round/>
            <a:headEnd/>
            <a:tailEnd/>
          </a:ln>
        </xdr:spPr>
      </xdr:sp>
      <xdr:sp macro="" textlink="">
        <xdr:nvSpPr>
          <xdr:cNvPr id="1130" name="Text Box 287"/>
          <xdr:cNvSpPr txBox="1">
            <a:spLocks noChangeArrowheads="1"/>
          </xdr:cNvSpPr>
        </xdr:nvSpPr>
        <xdr:spPr bwMode="auto">
          <a:xfrm>
            <a:off x="160" y="1324"/>
            <a:ext cx="12" cy="35"/>
          </a:xfrm>
          <a:prstGeom prst="rect">
            <a:avLst/>
          </a:prstGeom>
          <a:noFill/>
          <a:ln w="9525">
            <a:noFill/>
            <a:miter lim="800000"/>
            <a:headEnd/>
            <a:tailEnd/>
          </a:ln>
        </xdr:spPr>
        <xdr:txBody>
          <a:bodyPr wrap="none" lIns="36576" tIns="27432" rIns="0" bIns="0" anchor="t" upright="1">
            <a:spAutoFit/>
          </a:bodyPr>
          <a:lstStyle/>
          <a:p>
            <a:pPr algn="l" rtl="1">
              <a:defRPr sz="1000"/>
            </a:pPr>
            <a:r>
              <a:rPr lang="en-US" altLang="ja-JP" sz="2000" b="0" i="0" strike="noStrike">
                <a:solidFill>
                  <a:srgbClr val="000000"/>
                </a:solidFill>
                <a:latin typeface="ＭＳ Ｐ明朝"/>
                <a:ea typeface="ＭＳ Ｐ明朝"/>
              </a:rPr>
              <a:t>)</a:t>
            </a:r>
          </a:p>
        </xdr:txBody>
      </xdr:sp>
      <xdr:sp macro="" textlink="">
        <xdr:nvSpPr>
          <xdr:cNvPr id="1131" name="Line 288"/>
          <xdr:cNvSpPr>
            <a:spLocks noChangeShapeType="1"/>
          </xdr:cNvSpPr>
        </xdr:nvSpPr>
        <xdr:spPr bwMode="auto">
          <a:xfrm>
            <a:off x="87" y="1342"/>
            <a:ext cx="38" cy="1"/>
          </a:xfrm>
          <a:prstGeom prst="line">
            <a:avLst/>
          </a:prstGeom>
          <a:noFill/>
          <a:ln w="9525">
            <a:noFill/>
            <a:round/>
            <a:headEnd/>
            <a:tailEnd/>
          </a:ln>
        </xdr:spPr>
      </xdr:sp>
      <xdr:sp macro="" textlink="">
        <xdr:nvSpPr>
          <xdr:cNvPr id="1132" name="Line 289"/>
          <xdr:cNvSpPr>
            <a:spLocks noChangeShapeType="1"/>
          </xdr:cNvSpPr>
        </xdr:nvSpPr>
        <xdr:spPr bwMode="auto">
          <a:xfrm flipH="1">
            <a:off x="88" y="1341"/>
            <a:ext cx="53" cy="2"/>
          </a:xfrm>
          <a:prstGeom prst="line">
            <a:avLst/>
          </a:prstGeom>
          <a:noFill/>
          <a:ln w="9525">
            <a:noFill/>
            <a:round/>
            <a:headEnd/>
            <a:tailEnd/>
          </a:ln>
        </xdr:spPr>
      </xdr:sp>
      <xdr:sp macro="" textlink="">
        <xdr:nvSpPr>
          <xdr:cNvPr id="1133" name="Line 290"/>
          <xdr:cNvSpPr>
            <a:spLocks noChangeShapeType="1"/>
          </xdr:cNvSpPr>
        </xdr:nvSpPr>
        <xdr:spPr bwMode="auto">
          <a:xfrm flipH="1">
            <a:off x="87" y="1342"/>
            <a:ext cx="48" cy="1"/>
          </a:xfrm>
          <a:prstGeom prst="line">
            <a:avLst/>
          </a:prstGeom>
          <a:noFill/>
          <a:ln w="9525">
            <a:noFill/>
            <a:round/>
            <a:headEnd/>
            <a:tailEnd/>
          </a:ln>
        </xdr:spPr>
      </xdr:sp>
      <xdr:sp macro="" textlink="">
        <xdr:nvSpPr>
          <xdr:cNvPr id="1134" name="Line 291"/>
          <xdr:cNvSpPr>
            <a:spLocks noChangeShapeType="1"/>
          </xdr:cNvSpPr>
        </xdr:nvSpPr>
        <xdr:spPr bwMode="auto">
          <a:xfrm flipV="1">
            <a:off x="95" y="1341"/>
            <a:ext cx="32" cy="0"/>
          </a:xfrm>
          <a:prstGeom prst="line">
            <a:avLst/>
          </a:prstGeom>
          <a:noFill/>
          <a:ln w="9525">
            <a:solidFill>
              <a:srgbClr val="000000"/>
            </a:solidFill>
            <a:round/>
            <a:headEnd/>
            <a:tailEnd/>
          </a:ln>
        </xdr:spPr>
      </xdr:sp>
      <xdr:sp macro="" textlink="">
        <xdr:nvSpPr>
          <xdr:cNvPr id="1135" name="Text Box 292"/>
          <xdr:cNvSpPr txBox="1">
            <a:spLocks noChangeArrowheads="1"/>
          </xdr:cNvSpPr>
        </xdr:nvSpPr>
        <xdr:spPr bwMode="auto">
          <a:xfrm>
            <a:off x="96" y="1320"/>
            <a:ext cx="32"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r>
              <a:rPr lang="de-DE" altLang="ja-JP" sz="600" b="1" i="0" strike="noStrike">
                <a:solidFill>
                  <a:srgbClr val="000000"/>
                </a:solidFill>
                <a:latin typeface="Times New Roman"/>
                <a:cs typeface="Times New Roman"/>
              </a:rPr>
              <a:t>LGS</a:t>
            </a:r>
          </a:p>
        </xdr:txBody>
      </xdr:sp>
      <xdr:sp macro="" textlink="">
        <xdr:nvSpPr>
          <xdr:cNvPr id="1136" name="Text Box 293"/>
          <xdr:cNvSpPr txBox="1">
            <a:spLocks noChangeArrowheads="1"/>
          </xdr:cNvSpPr>
        </xdr:nvSpPr>
        <xdr:spPr bwMode="auto">
          <a:xfrm>
            <a:off x="129" y="1331"/>
            <a:ext cx="30" cy="21"/>
          </a:xfrm>
          <a:prstGeom prst="rect">
            <a:avLst/>
          </a:prstGeom>
          <a:noFill/>
          <a:ln w="9525">
            <a:noFill/>
            <a:miter lim="800000"/>
            <a:headEnd/>
            <a:tailEnd/>
          </a:ln>
        </xdr:spPr>
        <xdr:txBody>
          <a:bodyPr wrap="none" lIns="18288" tIns="18288" rIns="0" bIns="0" anchor="t" upright="1">
            <a:spAutoFit/>
          </a:bodyPr>
          <a:lstStyle/>
          <a:p>
            <a:pPr algn="l" rtl="1">
              <a:defRPr sz="1000"/>
            </a:pP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F</a:t>
            </a:r>
            <a:r>
              <a:rPr lang="de-DE" altLang="ja-JP" sz="600" b="1" i="0" strike="noStrike">
                <a:solidFill>
                  <a:srgbClr val="000000"/>
                </a:solidFill>
                <a:latin typeface="Times New Roman"/>
                <a:cs typeface="Times New Roman"/>
              </a:rPr>
              <a:t>H</a:t>
            </a:r>
          </a:p>
        </xdr:txBody>
      </xdr:sp>
      <xdr:sp macro="" textlink="">
        <xdr:nvSpPr>
          <xdr:cNvPr id="1137" name="Text Box 294"/>
          <xdr:cNvSpPr txBox="1">
            <a:spLocks noChangeArrowheads="1"/>
          </xdr:cNvSpPr>
        </xdr:nvSpPr>
        <xdr:spPr bwMode="auto">
          <a:xfrm>
            <a:off x="100" y="1340"/>
            <a:ext cx="16"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p>
        </xdr:txBody>
      </xdr:sp>
      <xdr:sp macro="" textlink="">
        <xdr:nvSpPr>
          <xdr:cNvPr id="1138" name="Text Box 295"/>
          <xdr:cNvSpPr txBox="1">
            <a:spLocks noChangeArrowheads="1"/>
          </xdr:cNvSpPr>
        </xdr:nvSpPr>
        <xdr:spPr bwMode="auto">
          <a:xfrm>
            <a:off x="51" y="1331"/>
            <a:ext cx="3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M</a:t>
            </a:r>
            <a:r>
              <a:rPr lang="de-DE" altLang="ja-JP" sz="900" b="1" i="0" strike="noStrike">
                <a:solidFill>
                  <a:srgbClr val="000000"/>
                </a:solidFill>
                <a:latin typeface="Times New Roman"/>
                <a:cs typeface="Times New Roman"/>
              </a:rPr>
              <a:t>t</a:t>
            </a:r>
            <a:r>
              <a:rPr lang="ja-JP" altLang="de-DE" sz="1000" b="1" i="0" strike="noStrike">
                <a:solidFill>
                  <a:srgbClr val="000000"/>
                </a:solidFill>
                <a:latin typeface="ＭＳ Ｐゴシック"/>
                <a:ea typeface="ＭＳ Ｐゴシック"/>
              </a:rPr>
              <a:t>＝</a:t>
            </a:r>
          </a:p>
        </xdr:txBody>
      </xdr:sp>
      <xdr:sp macro="" textlink="">
        <xdr:nvSpPr>
          <xdr:cNvPr id="1139" name="Text Box 296"/>
          <xdr:cNvSpPr txBox="1">
            <a:spLocks noChangeArrowheads="1"/>
          </xdr:cNvSpPr>
        </xdr:nvSpPr>
        <xdr:spPr bwMode="auto">
          <a:xfrm>
            <a:off x="81" y="1324"/>
            <a:ext cx="12" cy="35"/>
          </a:xfrm>
          <a:prstGeom prst="rect">
            <a:avLst/>
          </a:prstGeom>
          <a:noFill/>
          <a:ln w="9525">
            <a:noFill/>
            <a:miter lim="800000"/>
            <a:headEnd/>
            <a:tailEnd/>
          </a:ln>
        </xdr:spPr>
        <xdr:txBody>
          <a:bodyPr wrap="none" lIns="36576" tIns="27432" rIns="0" bIns="0" anchor="t" upright="1">
            <a:spAutoFit/>
          </a:bodyPr>
          <a:lstStyle/>
          <a:p>
            <a:pPr algn="l" rtl="1">
              <a:defRPr sz="1000"/>
            </a:pPr>
            <a:r>
              <a:rPr lang="en-US" altLang="ja-JP" sz="2000" b="0" i="0" strike="noStrike">
                <a:solidFill>
                  <a:srgbClr val="000000"/>
                </a:solidFill>
                <a:latin typeface="ＭＳ Ｐ明朝"/>
                <a:ea typeface="ＭＳ Ｐ明朝"/>
              </a:rPr>
              <a:t>(</a:t>
            </a:r>
          </a:p>
        </xdr:txBody>
      </xdr:sp>
      <xdr:sp macro="" textlink="">
        <xdr:nvSpPr>
          <xdr:cNvPr id="1140" name="Text Box 297"/>
          <xdr:cNvSpPr txBox="1">
            <a:spLocks noChangeArrowheads="1"/>
          </xdr:cNvSpPr>
        </xdr:nvSpPr>
        <xdr:spPr bwMode="auto">
          <a:xfrm>
            <a:off x="170" y="1334"/>
            <a:ext cx="15" cy="18"/>
          </a:xfrm>
          <a:prstGeom prst="rect">
            <a:avLst/>
          </a:prstGeom>
          <a:noFill/>
          <a:ln w="9525">
            <a:noFill/>
            <a:miter lim="800000"/>
            <a:headEnd/>
            <a:tailEnd/>
          </a:ln>
        </xdr:spPr>
        <xdr:txBody>
          <a:bodyPr wrap="none" lIns="18288" tIns="18288" rIns="0" bIns="0" anchor="t" upright="1">
            <a:spAutoFit/>
          </a:bodyPr>
          <a:lstStyle/>
          <a:p>
            <a:pPr algn="l" rtl="1">
              <a:defRPr sz="1000"/>
            </a:pPr>
            <a:r>
              <a:rPr lang="en-US" altLang="ja-JP" sz="1000" b="0" i="0" strike="noStrike">
                <a:solidFill>
                  <a:srgbClr val="000000"/>
                </a:solidFill>
                <a:latin typeface="ＭＳ Ｐゴシック"/>
                <a:ea typeface="ＭＳ Ｐゴシック"/>
              </a:rPr>
              <a:t>×</a:t>
            </a:r>
          </a:p>
        </xdr:txBody>
      </xdr:sp>
      <xdr:sp macro="" textlink="">
        <xdr:nvSpPr>
          <xdr:cNvPr id="1141" name="Line 298"/>
          <xdr:cNvSpPr>
            <a:spLocks noChangeShapeType="1"/>
          </xdr:cNvSpPr>
        </xdr:nvSpPr>
        <xdr:spPr bwMode="auto">
          <a:xfrm>
            <a:off x="122" y="1461"/>
            <a:ext cx="33" cy="1"/>
          </a:xfrm>
          <a:prstGeom prst="line">
            <a:avLst/>
          </a:prstGeom>
          <a:noFill/>
          <a:ln w="9525">
            <a:noFill/>
            <a:round/>
            <a:headEnd/>
            <a:tailEnd/>
          </a:ln>
        </xdr:spPr>
      </xdr:sp>
      <xdr:sp macro="" textlink="">
        <xdr:nvSpPr>
          <xdr:cNvPr id="1142" name="Line 299"/>
          <xdr:cNvSpPr>
            <a:spLocks noChangeShapeType="1"/>
          </xdr:cNvSpPr>
        </xdr:nvSpPr>
        <xdr:spPr bwMode="auto">
          <a:xfrm flipH="1">
            <a:off x="87" y="1461"/>
            <a:ext cx="51" cy="1"/>
          </a:xfrm>
          <a:prstGeom prst="line">
            <a:avLst/>
          </a:prstGeom>
          <a:noFill/>
          <a:ln w="9525">
            <a:noFill/>
            <a:round/>
            <a:headEnd/>
            <a:tailEnd/>
          </a:ln>
        </xdr:spPr>
      </xdr:sp>
      <xdr:sp macro="" textlink="">
        <xdr:nvSpPr>
          <xdr:cNvPr id="1143" name="Line 300"/>
          <xdr:cNvSpPr>
            <a:spLocks noChangeShapeType="1"/>
          </xdr:cNvSpPr>
        </xdr:nvSpPr>
        <xdr:spPr bwMode="auto">
          <a:xfrm flipH="1">
            <a:off x="122" y="1461"/>
            <a:ext cx="41" cy="1"/>
          </a:xfrm>
          <a:prstGeom prst="line">
            <a:avLst/>
          </a:prstGeom>
          <a:noFill/>
          <a:ln w="9525">
            <a:noFill/>
            <a:round/>
            <a:headEnd/>
            <a:tailEnd/>
          </a:ln>
        </xdr:spPr>
      </xdr:sp>
      <xdr:sp macro="" textlink="">
        <xdr:nvSpPr>
          <xdr:cNvPr id="1144" name="Text Box 301"/>
          <xdr:cNvSpPr txBox="1">
            <a:spLocks noChangeArrowheads="1"/>
          </xdr:cNvSpPr>
        </xdr:nvSpPr>
        <xdr:spPr bwMode="auto">
          <a:xfrm>
            <a:off x="108" y="1453"/>
            <a:ext cx="15" cy="18"/>
          </a:xfrm>
          <a:prstGeom prst="rect">
            <a:avLst/>
          </a:prstGeom>
          <a:noFill/>
          <a:ln w="9525">
            <a:noFill/>
            <a:miter lim="800000"/>
            <a:headEnd/>
            <a:tailEnd/>
          </a:ln>
        </xdr:spPr>
        <xdr:txBody>
          <a:bodyPr wrap="none" lIns="18288" tIns="18288" rIns="0" bIns="0" anchor="t" upright="1">
            <a:spAutoFit/>
          </a:bodyPr>
          <a:lstStyle/>
          <a:p>
            <a:pPr algn="l" rtl="1">
              <a:defRPr sz="1000"/>
            </a:pPr>
            <a:r>
              <a:rPr lang="en-US" altLang="ja-JP" sz="1000" b="0" i="0" strike="noStrike">
                <a:solidFill>
                  <a:srgbClr val="000000"/>
                </a:solidFill>
                <a:latin typeface="ＭＳ Ｐゴシック"/>
                <a:ea typeface="ＭＳ Ｐゴシック"/>
              </a:rPr>
              <a:t>×</a:t>
            </a:r>
          </a:p>
        </xdr:txBody>
      </xdr:sp>
      <xdr:sp macro="" textlink="">
        <xdr:nvSpPr>
          <xdr:cNvPr id="1145" name="Line 302"/>
          <xdr:cNvSpPr>
            <a:spLocks noChangeShapeType="1"/>
          </xdr:cNvSpPr>
        </xdr:nvSpPr>
        <xdr:spPr bwMode="auto">
          <a:xfrm flipV="1">
            <a:off x="124" y="1460"/>
            <a:ext cx="38" cy="0"/>
          </a:xfrm>
          <a:prstGeom prst="line">
            <a:avLst/>
          </a:prstGeom>
          <a:noFill/>
          <a:ln w="9525">
            <a:solidFill>
              <a:srgbClr val="000000"/>
            </a:solidFill>
            <a:round/>
            <a:headEnd/>
            <a:tailEnd/>
          </a:ln>
        </xdr:spPr>
      </xdr:sp>
      <xdr:sp macro="" textlink="">
        <xdr:nvSpPr>
          <xdr:cNvPr id="1146" name="Text Box 303"/>
          <xdr:cNvSpPr txBox="1">
            <a:spLocks noChangeArrowheads="1"/>
          </xdr:cNvSpPr>
        </xdr:nvSpPr>
        <xdr:spPr bwMode="auto">
          <a:xfrm>
            <a:off x="136" y="1458"/>
            <a:ext cx="16"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p>
        </xdr:txBody>
      </xdr:sp>
      <xdr:sp macro="" textlink="">
        <xdr:nvSpPr>
          <xdr:cNvPr id="1147" name="Text Box 304"/>
          <xdr:cNvSpPr txBox="1">
            <a:spLocks noChangeArrowheads="1"/>
          </xdr:cNvSpPr>
        </xdr:nvSpPr>
        <xdr:spPr bwMode="auto">
          <a:xfrm>
            <a:off x="53" y="1451"/>
            <a:ext cx="38"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M</a:t>
            </a:r>
            <a:r>
              <a:rPr lang="de-DE" altLang="ja-JP" sz="700" b="1" i="0" strike="noStrike">
                <a:solidFill>
                  <a:srgbClr val="000000"/>
                </a:solidFill>
                <a:latin typeface="Times New Roman"/>
                <a:cs typeface="Times New Roman"/>
              </a:rPr>
              <a:t>B</a:t>
            </a:r>
            <a:r>
              <a:rPr lang="ja-JP" altLang="de-DE" sz="1000" b="1" i="0" strike="noStrike">
                <a:solidFill>
                  <a:srgbClr val="000000"/>
                </a:solidFill>
                <a:latin typeface="ＭＳ Ｐゴシック"/>
                <a:ea typeface="ＭＳ Ｐゴシック"/>
              </a:rPr>
              <a:t>＝</a:t>
            </a:r>
          </a:p>
        </xdr:txBody>
      </xdr:sp>
      <xdr:sp macro="" textlink="">
        <xdr:nvSpPr>
          <xdr:cNvPr id="1148" name="Line 305"/>
          <xdr:cNvSpPr>
            <a:spLocks noChangeShapeType="1"/>
          </xdr:cNvSpPr>
        </xdr:nvSpPr>
        <xdr:spPr bwMode="auto">
          <a:xfrm flipV="1">
            <a:off x="87" y="1460"/>
            <a:ext cx="23" cy="1"/>
          </a:xfrm>
          <a:prstGeom prst="line">
            <a:avLst/>
          </a:prstGeom>
          <a:noFill/>
          <a:ln w="9525">
            <a:noFill/>
            <a:round/>
            <a:headEnd/>
            <a:tailEnd/>
          </a:ln>
        </xdr:spPr>
      </xdr:sp>
      <xdr:sp macro="" textlink="">
        <xdr:nvSpPr>
          <xdr:cNvPr id="1149" name="Line 306"/>
          <xdr:cNvSpPr>
            <a:spLocks noChangeShapeType="1"/>
          </xdr:cNvSpPr>
        </xdr:nvSpPr>
        <xdr:spPr bwMode="auto">
          <a:xfrm flipH="1">
            <a:off x="92" y="1461"/>
            <a:ext cx="40" cy="0"/>
          </a:xfrm>
          <a:prstGeom prst="line">
            <a:avLst/>
          </a:prstGeom>
          <a:noFill/>
          <a:ln w="9525">
            <a:noFill/>
            <a:round/>
            <a:headEnd/>
            <a:tailEnd/>
          </a:ln>
        </xdr:spPr>
      </xdr:sp>
      <xdr:sp macro="" textlink="">
        <xdr:nvSpPr>
          <xdr:cNvPr id="1150" name="Line 307"/>
          <xdr:cNvSpPr>
            <a:spLocks noChangeShapeType="1"/>
          </xdr:cNvSpPr>
        </xdr:nvSpPr>
        <xdr:spPr bwMode="auto">
          <a:xfrm flipV="1">
            <a:off x="92" y="1460"/>
            <a:ext cx="17" cy="0"/>
          </a:xfrm>
          <a:prstGeom prst="line">
            <a:avLst/>
          </a:prstGeom>
          <a:noFill/>
          <a:ln w="9525">
            <a:solidFill>
              <a:srgbClr val="000000"/>
            </a:solidFill>
            <a:round/>
            <a:headEnd/>
            <a:tailEnd/>
          </a:ln>
        </xdr:spPr>
      </xdr:sp>
      <xdr:sp macro="" textlink="">
        <xdr:nvSpPr>
          <xdr:cNvPr id="1151" name="Text Box 308"/>
          <xdr:cNvSpPr txBox="1">
            <a:spLocks noChangeArrowheads="1"/>
          </xdr:cNvSpPr>
        </xdr:nvSpPr>
        <xdr:spPr bwMode="auto">
          <a:xfrm>
            <a:off x="94" y="1440"/>
            <a:ext cx="10" cy="21"/>
          </a:xfrm>
          <a:prstGeom prst="rect">
            <a:avLst/>
          </a:prstGeom>
          <a:noFill/>
          <a:ln w="9525">
            <a:noFill/>
            <a:miter lim="800000"/>
            <a:headEnd/>
            <a:tailEnd/>
          </a:ln>
        </xdr:spPr>
        <xdr:txBody>
          <a:bodyPr wrap="none" lIns="18288" tIns="22860" rIns="0" bIns="0" anchor="t" upright="1">
            <a:spAutoFit/>
          </a:bodyPr>
          <a:lstStyle/>
          <a:p>
            <a:pPr algn="l" rtl="1">
              <a:defRPr sz="1000"/>
            </a:pPr>
            <a:r>
              <a:rPr lang="en-US" altLang="ja-JP" sz="1100" b="1" i="0" strike="noStrike">
                <a:solidFill>
                  <a:srgbClr val="000000"/>
                </a:solidFill>
                <a:latin typeface="Times New Roman"/>
                <a:cs typeface="Times New Roman"/>
              </a:rPr>
              <a:t>1</a:t>
            </a:r>
          </a:p>
        </xdr:txBody>
      </xdr:sp>
      <xdr:sp macro="" textlink="">
        <xdr:nvSpPr>
          <xdr:cNvPr id="1152" name="Text Box 309"/>
          <xdr:cNvSpPr txBox="1">
            <a:spLocks noChangeArrowheads="1"/>
          </xdr:cNvSpPr>
        </xdr:nvSpPr>
        <xdr:spPr bwMode="auto">
          <a:xfrm>
            <a:off x="167" y="1447"/>
            <a:ext cx="67" cy="24"/>
          </a:xfrm>
          <a:prstGeom prst="rect">
            <a:avLst/>
          </a:prstGeom>
          <a:noFill/>
          <a:ln w="9525">
            <a:noFill/>
            <a:miter lim="800000"/>
            <a:headEnd/>
            <a:tailEnd/>
          </a:ln>
        </xdr:spPr>
        <xdr:txBody>
          <a:bodyPr wrap="none" lIns="18288" tIns="18288" rIns="0" bIns="0" anchor="t" upright="1">
            <a:spAutoFit/>
          </a:bodyPr>
          <a:lstStyle/>
          <a:p>
            <a:pPr algn="l" rtl="1">
              <a:defRPr sz="1000"/>
            </a:pP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B</a:t>
            </a: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L</a:t>
            </a:r>
            <a:r>
              <a:rPr lang="de-DE" altLang="ja-JP" sz="600" b="1" i="0" strike="noStrike">
                <a:solidFill>
                  <a:srgbClr val="000000"/>
                </a:solidFill>
                <a:latin typeface="Times New Roman"/>
                <a:cs typeface="Times New Roman"/>
              </a:rPr>
              <a:t>W</a:t>
            </a:r>
            <a:r>
              <a:rPr lang="de-DE" altLang="ja-JP" sz="1100" b="1" i="0" strike="noStrike" baseline="30000">
                <a:solidFill>
                  <a:srgbClr val="000000"/>
                </a:solidFill>
                <a:latin typeface="Times New Roman"/>
                <a:cs typeface="Times New Roman"/>
              </a:rPr>
              <a:t>2</a:t>
            </a:r>
          </a:p>
        </xdr:txBody>
      </xdr:sp>
      <xdr:sp macro="" textlink="">
        <xdr:nvSpPr>
          <xdr:cNvPr id="1153" name="Text Box 310"/>
          <xdr:cNvSpPr txBox="1">
            <a:spLocks noChangeArrowheads="1"/>
          </xdr:cNvSpPr>
        </xdr:nvSpPr>
        <xdr:spPr bwMode="auto">
          <a:xfrm>
            <a:off x="131" y="1441"/>
            <a:ext cx="3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r>
              <a:rPr lang="de-DE" altLang="ja-JP" sz="700" b="1" i="0" strike="noStrike">
                <a:solidFill>
                  <a:srgbClr val="000000"/>
                </a:solidFill>
                <a:latin typeface="Times New Roman"/>
                <a:cs typeface="Times New Roman"/>
              </a:rPr>
              <a:t>LGS</a:t>
            </a:r>
          </a:p>
        </xdr:txBody>
      </xdr:sp>
      <xdr:sp macro="" textlink="">
        <xdr:nvSpPr>
          <xdr:cNvPr id="1154" name="Text Box 311"/>
          <xdr:cNvSpPr txBox="1">
            <a:spLocks noChangeArrowheads="1"/>
          </xdr:cNvSpPr>
        </xdr:nvSpPr>
        <xdr:spPr bwMode="auto">
          <a:xfrm>
            <a:off x="96" y="1458"/>
            <a:ext cx="10" cy="21"/>
          </a:xfrm>
          <a:prstGeom prst="rect">
            <a:avLst/>
          </a:prstGeom>
          <a:noFill/>
          <a:ln w="9525">
            <a:noFill/>
            <a:miter lim="800000"/>
            <a:headEnd/>
            <a:tailEnd/>
          </a:ln>
        </xdr:spPr>
        <xdr:txBody>
          <a:bodyPr wrap="none" lIns="18288" tIns="22860" rIns="0" bIns="0" anchor="t" upright="1">
            <a:spAutoFit/>
          </a:bodyPr>
          <a:lstStyle/>
          <a:p>
            <a:pPr algn="l" rtl="1">
              <a:defRPr sz="1000"/>
            </a:pPr>
            <a:r>
              <a:rPr lang="en-US" altLang="ja-JP" sz="1100" b="1" i="0" strike="noStrike">
                <a:solidFill>
                  <a:srgbClr val="000000"/>
                </a:solidFill>
                <a:latin typeface="Times New Roman"/>
                <a:cs typeface="Times New Roman"/>
              </a:rPr>
              <a:t>8</a:t>
            </a:r>
          </a:p>
        </xdr:txBody>
      </xdr:sp>
    </xdr:grpSp>
    <xdr:clientData/>
  </xdr:twoCellAnchor>
  <xdr:twoCellAnchor>
    <xdr:from>
      <xdr:col>2</xdr:col>
      <xdr:colOff>0</xdr:colOff>
      <xdr:row>444</xdr:row>
      <xdr:rowOff>0</xdr:rowOff>
    </xdr:from>
    <xdr:to>
      <xdr:col>31</xdr:col>
      <xdr:colOff>274028</xdr:colOff>
      <xdr:row>512</xdr:row>
      <xdr:rowOff>34436</xdr:rowOff>
    </xdr:to>
    <xdr:grpSp>
      <xdr:nvGrpSpPr>
        <xdr:cNvPr id="1155" name="グループ化 1154"/>
        <xdr:cNvGrpSpPr/>
      </xdr:nvGrpSpPr>
      <xdr:grpSpPr>
        <a:xfrm>
          <a:off x="222250" y="77866875"/>
          <a:ext cx="7251091" cy="10940561"/>
          <a:chOff x="219075" y="11210925"/>
          <a:chExt cx="7096125" cy="10934700"/>
        </a:xfrm>
      </xdr:grpSpPr>
      <xdr:sp macro="" textlink="">
        <xdr:nvSpPr>
          <xdr:cNvPr id="1156" name="Line 163"/>
          <xdr:cNvSpPr>
            <a:spLocks noChangeShapeType="1"/>
          </xdr:cNvSpPr>
        </xdr:nvSpPr>
        <xdr:spPr bwMode="auto">
          <a:xfrm>
            <a:off x="219075" y="22145625"/>
            <a:ext cx="7086600" cy="0"/>
          </a:xfrm>
          <a:prstGeom prst="line">
            <a:avLst/>
          </a:prstGeom>
          <a:noFill/>
          <a:ln w="57150" cmpd="thickThin">
            <a:solidFill>
              <a:srgbClr val="000000"/>
            </a:solidFill>
            <a:round/>
            <a:headEnd/>
            <a:tailEnd/>
          </a:ln>
        </xdr:spPr>
      </xdr:sp>
      <xdr:sp macro="" textlink="">
        <xdr:nvSpPr>
          <xdr:cNvPr id="1157" name="Line 164"/>
          <xdr:cNvSpPr>
            <a:spLocks noChangeShapeType="1"/>
          </xdr:cNvSpPr>
        </xdr:nvSpPr>
        <xdr:spPr bwMode="auto">
          <a:xfrm>
            <a:off x="219075" y="11210925"/>
            <a:ext cx="7096125" cy="0"/>
          </a:xfrm>
          <a:prstGeom prst="line">
            <a:avLst/>
          </a:prstGeom>
          <a:noFill/>
          <a:ln w="57150" cmpd="thinThick">
            <a:solidFill>
              <a:srgbClr val="000000"/>
            </a:solidFill>
            <a:round/>
            <a:headEnd/>
            <a:tailEnd/>
          </a:ln>
        </xdr:spPr>
      </xdr:sp>
      <xdr:grpSp>
        <xdr:nvGrpSpPr>
          <xdr:cNvPr id="1158" name="Group 165"/>
          <xdr:cNvGrpSpPr>
            <a:grpSpLocks/>
          </xdr:cNvGrpSpPr>
        </xdr:nvGrpSpPr>
        <xdr:grpSpPr bwMode="auto">
          <a:xfrm>
            <a:off x="3038475" y="12134850"/>
            <a:ext cx="1581150" cy="3819525"/>
            <a:chOff x="319" y="1274"/>
            <a:chExt cx="166" cy="401"/>
          </a:xfrm>
        </xdr:grpSpPr>
        <xdr:sp macro="" textlink="">
          <xdr:nvSpPr>
            <xdr:cNvPr id="1259" name="Line 166"/>
            <xdr:cNvSpPr>
              <a:spLocks noChangeShapeType="1"/>
            </xdr:cNvSpPr>
          </xdr:nvSpPr>
          <xdr:spPr bwMode="auto">
            <a:xfrm>
              <a:off x="338" y="1274"/>
              <a:ext cx="0" cy="360"/>
            </a:xfrm>
            <a:prstGeom prst="line">
              <a:avLst/>
            </a:prstGeom>
            <a:noFill/>
            <a:ln w="3175">
              <a:solidFill>
                <a:srgbClr val="000000"/>
              </a:solidFill>
              <a:round/>
              <a:headEnd type="triangle" w="sm" len="med"/>
              <a:tailEnd type="triangle" w="sm" len="med"/>
            </a:ln>
          </xdr:spPr>
        </xdr:sp>
        <xdr:sp macro="" textlink="">
          <xdr:nvSpPr>
            <xdr:cNvPr id="1260" name="Line 167"/>
            <xdr:cNvSpPr>
              <a:spLocks noChangeShapeType="1"/>
            </xdr:cNvSpPr>
          </xdr:nvSpPr>
          <xdr:spPr bwMode="auto">
            <a:xfrm>
              <a:off x="347" y="1487"/>
              <a:ext cx="68" cy="0"/>
            </a:xfrm>
            <a:prstGeom prst="line">
              <a:avLst/>
            </a:prstGeom>
            <a:noFill/>
            <a:ln w="3175">
              <a:solidFill>
                <a:srgbClr val="000000"/>
              </a:solidFill>
              <a:round/>
              <a:headEnd/>
              <a:tailEnd/>
            </a:ln>
          </xdr:spPr>
        </xdr:sp>
        <xdr:sp macro="" textlink="">
          <xdr:nvSpPr>
            <xdr:cNvPr id="1261" name="Line 168"/>
            <xdr:cNvSpPr>
              <a:spLocks noChangeShapeType="1"/>
            </xdr:cNvSpPr>
          </xdr:nvSpPr>
          <xdr:spPr bwMode="auto">
            <a:xfrm>
              <a:off x="416" y="1487"/>
              <a:ext cx="54" cy="0"/>
            </a:xfrm>
            <a:prstGeom prst="line">
              <a:avLst/>
            </a:prstGeom>
            <a:noFill/>
            <a:ln w="25400">
              <a:solidFill>
                <a:srgbClr val="000000"/>
              </a:solidFill>
              <a:round/>
              <a:headEnd/>
              <a:tailEnd type="stealth" w="med" len="med"/>
            </a:ln>
          </xdr:spPr>
        </xdr:sp>
        <xdr:sp macro="" textlink="">
          <xdr:nvSpPr>
            <xdr:cNvPr id="1262" name="Text Box 169"/>
            <xdr:cNvSpPr txBox="1">
              <a:spLocks noChangeArrowheads="1"/>
            </xdr:cNvSpPr>
          </xdr:nvSpPr>
          <xdr:spPr bwMode="auto">
            <a:xfrm>
              <a:off x="470" y="1476"/>
              <a:ext cx="15"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F</a:t>
              </a:r>
              <a:r>
                <a:rPr lang="de-DE" altLang="ja-JP" sz="600" b="1" i="0" strike="noStrike">
                  <a:solidFill>
                    <a:srgbClr val="000000"/>
                  </a:solidFill>
                  <a:latin typeface="Times New Roman"/>
                  <a:cs typeface="Times New Roman"/>
                </a:rPr>
                <a:t>H</a:t>
              </a:r>
            </a:p>
          </xdr:txBody>
        </xdr:sp>
        <xdr:sp macro="" textlink="">
          <xdr:nvSpPr>
            <xdr:cNvPr id="1263" name="Text Box 170"/>
            <xdr:cNvSpPr txBox="1">
              <a:spLocks noChangeArrowheads="1"/>
            </xdr:cNvSpPr>
          </xdr:nvSpPr>
          <xdr:spPr bwMode="auto">
            <a:xfrm>
              <a:off x="340" y="1380"/>
              <a:ext cx="22"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L</a:t>
              </a:r>
              <a:r>
                <a:rPr lang="de-DE" altLang="ja-JP" sz="600" b="1" i="0" strike="noStrike">
                  <a:solidFill>
                    <a:srgbClr val="000000"/>
                  </a:solidFill>
                  <a:latin typeface="Times New Roman"/>
                  <a:cs typeface="Times New Roman"/>
                </a:rPr>
                <a:t>W2</a:t>
              </a:r>
            </a:p>
          </xdr:txBody>
        </xdr:sp>
        <xdr:sp macro="" textlink="">
          <xdr:nvSpPr>
            <xdr:cNvPr id="1264" name="Line 171"/>
            <xdr:cNvSpPr>
              <a:spLocks noChangeShapeType="1"/>
            </xdr:cNvSpPr>
          </xdr:nvSpPr>
          <xdr:spPr bwMode="auto">
            <a:xfrm>
              <a:off x="328" y="1274"/>
              <a:ext cx="137" cy="0"/>
            </a:xfrm>
            <a:prstGeom prst="line">
              <a:avLst/>
            </a:prstGeom>
            <a:noFill/>
            <a:ln w="3175">
              <a:solidFill>
                <a:srgbClr val="000000"/>
              </a:solidFill>
              <a:round/>
              <a:headEnd/>
              <a:tailEnd/>
            </a:ln>
          </xdr:spPr>
        </xdr:sp>
        <xdr:sp macro="" textlink="">
          <xdr:nvSpPr>
            <xdr:cNvPr id="1265" name="Line 172"/>
            <xdr:cNvSpPr>
              <a:spLocks noChangeShapeType="1"/>
            </xdr:cNvSpPr>
          </xdr:nvSpPr>
          <xdr:spPr bwMode="auto">
            <a:xfrm>
              <a:off x="436" y="1417"/>
              <a:ext cx="29" cy="0"/>
            </a:xfrm>
            <a:prstGeom prst="line">
              <a:avLst/>
            </a:prstGeom>
            <a:noFill/>
            <a:ln w="3175">
              <a:solidFill>
                <a:srgbClr val="000000"/>
              </a:solidFill>
              <a:round/>
              <a:headEnd/>
              <a:tailEnd/>
            </a:ln>
          </xdr:spPr>
        </xdr:sp>
        <xdr:sp macro="" textlink="">
          <xdr:nvSpPr>
            <xdr:cNvPr id="1266" name="Text Box 173"/>
            <xdr:cNvSpPr txBox="1">
              <a:spLocks noChangeArrowheads="1"/>
            </xdr:cNvSpPr>
          </xdr:nvSpPr>
          <xdr:spPr bwMode="auto">
            <a:xfrm>
              <a:off x="411" y="1470"/>
              <a:ext cx="11" cy="36"/>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sp macro="" textlink="">
          <xdr:nvSpPr>
            <xdr:cNvPr id="1267" name="Line 174"/>
            <xdr:cNvSpPr>
              <a:spLocks noChangeShapeType="1"/>
            </xdr:cNvSpPr>
          </xdr:nvSpPr>
          <xdr:spPr bwMode="auto">
            <a:xfrm>
              <a:off x="362" y="1274"/>
              <a:ext cx="0" cy="213"/>
            </a:xfrm>
            <a:prstGeom prst="line">
              <a:avLst/>
            </a:prstGeom>
            <a:noFill/>
            <a:ln w="3175">
              <a:solidFill>
                <a:srgbClr val="000000"/>
              </a:solidFill>
              <a:round/>
              <a:headEnd type="triangle" w="sm" len="med"/>
              <a:tailEnd type="triangle" w="sm" len="med"/>
            </a:ln>
          </xdr:spPr>
        </xdr:sp>
        <xdr:sp macro="" textlink="">
          <xdr:nvSpPr>
            <xdr:cNvPr id="1268" name="Text Box 175"/>
            <xdr:cNvSpPr txBox="1">
              <a:spLocks noChangeArrowheads="1"/>
            </xdr:cNvSpPr>
          </xdr:nvSpPr>
          <xdr:spPr bwMode="auto">
            <a:xfrm>
              <a:off x="387" y="1327"/>
              <a:ext cx="23" cy="54"/>
            </a:xfrm>
            <a:prstGeom prst="rect">
              <a:avLst/>
            </a:prstGeom>
            <a:noFill/>
            <a:ln w="9525">
              <a:noFill/>
              <a:miter lim="800000"/>
              <a:headEnd/>
              <a:tailEnd/>
            </a:ln>
          </xdr:spPr>
          <xdr:txBody>
            <a:bodyPr vert="vert270" wrap="none" lIns="18288" tIns="22860" rIns="18288" bIns="22860" anchor="ctr" upright="1">
              <a:spAutoFit/>
            </a:bodyPr>
            <a:lstStyle/>
            <a:p>
              <a:pPr algn="ctr" rtl="1">
                <a:defRPr sz="1000"/>
              </a:pPr>
              <a:r>
                <a:rPr lang="de-DE" altLang="ja-JP" sz="900" b="1" i="0" strike="noStrike">
                  <a:solidFill>
                    <a:srgbClr val="000000"/>
                  </a:solidFill>
                  <a:latin typeface="Times New Roman"/>
                  <a:cs typeface="Times New Roman"/>
                </a:rPr>
                <a:t>LGS</a:t>
              </a:r>
              <a:r>
                <a:rPr lang="ja-JP" altLang="en-US" sz="900" b="0" i="0" strike="noStrike">
                  <a:solidFill>
                    <a:srgbClr val="000000"/>
                  </a:solidFill>
                  <a:latin typeface="ＭＳ Ｐ明朝"/>
                  <a:ea typeface="ＭＳ Ｐ明朝"/>
                </a:rPr>
                <a:t>スタッド</a:t>
              </a:r>
            </a:p>
          </xdr:txBody>
        </xdr:sp>
        <xdr:sp macro="" textlink="">
          <xdr:nvSpPr>
            <xdr:cNvPr id="1269" name="Text Box 176"/>
            <xdr:cNvSpPr txBox="1">
              <a:spLocks noChangeArrowheads="1"/>
            </xdr:cNvSpPr>
          </xdr:nvSpPr>
          <xdr:spPr bwMode="auto">
            <a:xfrm>
              <a:off x="452" y="1544"/>
              <a:ext cx="15"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H</a:t>
              </a:r>
              <a:r>
                <a:rPr lang="de-DE" altLang="ja-JP" sz="900" b="1" i="0" strike="noStrike">
                  <a:solidFill>
                    <a:srgbClr val="000000"/>
                  </a:solidFill>
                  <a:latin typeface="Times New Roman"/>
                  <a:cs typeface="Times New Roman"/>
                </a:rPr>
                <a:t>t</a:t>
              </a:r>
            </a:p>
          </xdr:txBody>
        </xdr:sp>
        <xdr:sp macro="" textlink="">
          <xdr:nvSpPr>
            <xdr:cNvPr id="1270" name="Line 177"/>
            <xdr:cNvSpPr>
              <a:spLocks noChangeShapeType="1"/>
            </xdr:cNvSpPr>
          </xdr:nvSpPr>
          <xdr:spPr bwMode="auto">
            <a:xfrm>
              <a:off x="362" y="1487"/>
              <a:ext cx="0" cy="148"/>
            </a:xfrm>
            <a:prstGeom prst="line">
              <a:avLst/>
            </a:prstGeom>
            <a:noFill/>
            <a:ln w="3175">
              <a:solidFill>
                <a:srgbClr val="000000"/>
              </a:solidFill>
              <a:round/>
              <a:headEnd type="triangle" w="sm" len="med"/>
              <a:tailEnd type="triangle" w="sm" len="med"/>
            </a:ln>
          </xdr:spPr>
        </xdr:sp>
        <xdr:sp macro="" textlink="">
          <xdr:nvSpPr>
            <xdr:cNvPr id="1271" name="Text Box 178"/>
            <xdr:cNvSpPr txBox="1">
              <a:spLocks noChangeArrowheads="1"/>
            </xdr:cNvSpPr>
          </xdr:nvSpPr>
          <xdr:spPr bwMode="auto">
            <a:xfrm>
              <a:off x="319" y="1425"/>
              <a:ext cx="18"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L</a:t>
              </a:r>
              <a:r>
                <a:rPr lang="de-DE" altLang="ja-JP" sz="600" b="1" i="0" strike="noStrike">
                  <a:solidFill>
                    <a:srgbClr val="000000"/>
                  </a:solidFill>
                  <a:latin typeface="Times New Roman"/>
                  <a:cs typeface="Times New Roman"/>
                </a:rPr>
                <a:t>W</a:t>
              </a:r>
            </a:p>
          </xdr:txBody>
        </xdr:sp>
        <xdr:grpSp>
          <xdr:nvGrpSpPr>
            <xdr:cNvPr id="1272" name="Group 179"/>
            <xdr:cNvGrpSpPr>
              <a:grpSpLocks/>
            </xdr:cNvGrpSpPr>
          </xdr:nvGrpSpPr>
          <xdr:grpSpPr bwMode="auto">
            <a:xfrm>
              <a:off x="390" y="1274"/>
              <a:ext cx="14" cy="360"/>
              <a:chOff x="386" y="146"/>
              <a:chExt cx="163" cy="202"/>
            </a:xfrm>
          </xdr:grpSpPr>
          <xdr:sp macro="" textlink="">
            <xdr:nvSpPr>
              <xdr:cNvPr id="1295" name="Line 180"/>
              <xdr:cNvSpPr>
                <a:spLocks noChangeShapeType="1"/>
              </xdr:cNvSpPr>
            </xdr:nvSpPr>
            <xdr:spPr bwMode="auto">
              <a:xfrm>
                <a:off x="549" y="146"/>
                <a:ext cx="0" cy="202"/>
              </a:xfrm>
              <a:prstGeom prst="line">
                <a:avLst/>
              </a:prstGeom>
              <a:noFill/>
              <a:ln w="12700">
                <a:solidFill>
                  <a:srgbClr val="000000"/>
                </a:solidFill>
                <a:round/>
                <a:headEnd/>
                <a:tailEnd/>
              </a:ln>
            </xdr:spPr>
          </xdr:sp>
          <xdr:sp macro="" textlink="">
            <xdr:nvSpPr>
              <xdr:cNvPr id="1296" name="Line 181"/>
              <xdr:cNvSpPr>
                <a:spLocks noChangeShapeType="1"/>
              </xdr:cNvSpPr>
            </xdr:nvSpPr>
            <xdr:spPr bwMode="auto">
              <a:xfrm>
                <a:off x="386" y="146"/>
                <a:ext cx="0" cy="202"/>
              </a:xfrm>
              <a:prstGeom prst="line">
                <a:avLst/>
              </a:prstGeom>
              <a:noFill/>
              <a:ln w="12700">
                <a:solidFill>
                  <a:srgbClr val="000000"/>
                </a:solidFill>
                <a:round/>
                <a:headEnd/>
                <a:tailEnd/>
              </a:ln>
            </xdr:spPr>
          </xdr:sp>
          <xdr:sp macro="" textlink="">
            <xdr:nvSpPr>
              <xdr:cNvPr id="1297" name="Line 182"/>
              <xdr:cNvSpPr>
                <a:spLocks noChangeShapeType="1"/>
              </xdr:cNvSpPr>
            </xdr:nvSpPr>
            <xdr:spPr bwMode="auto">
              <a:xfrm>
                <a:off x="386" y="348"/>
                <a:ext cx="163" cy="0"/>
              </a:xfrm>
              <a:prstGeom prst="line">
                <a:avLst/>
              </a:prstGeom>
              <a:noFill/>
              <a:ln w="12700">
                <a:solidFill>
                  <a:srgbClr val="000000"/>
                </a:solidFill>
                <a:round/>
                <a:headEnd/>
                <a:tailEnd/>
              </a:ln>
            </xdr:spPr>
          </xdr:sp>
          <xdr:sp macro="" textlink="">
            <xdr:nvSpPr>
              <xdr:cNvPr id="1298" name="Line 183"/>
              <xdr:cNvSpPr>
                <a:spLocks noChangeShapeType="1"/>
              </xdr:cNvSpPr>
            </xdr:nvSpPr>
            <xdr:spPr bwMode="auto">
              <a:xfrm>
                <a:off x="386" y="146"/>
                <a:ext cx="163" cy="0"/>
              </a:xfrm>
              <a:prstGeom prst="line">
                <a:avLst/>
              </a:prstGeom>
              <a:noFill/>
              <a:ln w="12700">
                <a:solidFill>
                  <a:srgbClr val="000000"/>
                </a:solidFill>
                <a:round/>
                <a:headEnd/>
                <a:tailEnd/>
              </a:ln>
            </xdr:spPr>
          </xdr:sp>
        </xdr:grpSp>
        <xdr:sp macro="" textlink="">
          <xdr:nvSpPr>
            <xdr:cNvPr id="1273" name="Line 184"/>
            <xdr:cNvSpPr>
              <a:spLocks noChangeShapeType="1"/>
            </xdr:cNvSpPr>
          </xdr:nvSpPr>
          <xdr:spPr bwMode="auto">
            <a:xfrm>
              <a:off x="384" y="1274"/>
              <a:ext cx="0" cy="360"/>
            </a:xfrm>
            <a:prstGeom prst="line">
              <a:avLst/>
            </a:prstGeom>
            <a:noFill/>
            <a:ln w="19050">
              <a:solidFill>
                <a:srgbClr val="000000"/>
              </a:solidFill>
              <a:round/>
              <a:headEnd type="none" w="sm" len="med"/>
              <a:tailEnd type="none" w="sm" len="med"/>
            </a:ln>
          </xdr:spPr>
        </xdr:sp>
        <xdr:sp macro="" textlink="">
          <xdr:nvSpPr>
            <xdr:cNvPr id="1274" name="Line 185"/>
            <xdr:cNvSpPr>
              <a:spLocks noChangeShapeType="1"/>
            </xdr:cNvSpPr>
          </xdr:nvSpPr>
          <xdr:spPr bwMode="auto">
            <a:xfrm>
              <a:off x="453" y="1416"/>
              <a:ext cx="0" cy="218"/>
            </a:xfrm>
            <a:prstGeom prst="line">
              <a:avLst/>
            </a:prstGeom>
            <a:noFill/>
            <a:ln w="3175">
              <a:solidFill>
                <a:srgbClr val="000000"/>
              </a:solidFill>
              <a:round/>
              <a:headEnd type="triangle" w="sm" len="med"/>
              <a:tailEnd type="triangle" w="sm" len="med"/>
            </a:ln>
          </xdr:spPr>
        </xdr:sp>
        <xdr:sp macro="" textlink="">
          <xdr:nvSpPr>
            <xdr:cNvPr id="1275" name="Text Box 186"/>
            <xdr:cNvSpPr txBox="1">
              <a:spLocks noChangeArrowheads="1"/>
            </xdr:cNvSpPr>
          </xdr:nvSpPr>
          <xdr:spPr bwMode="auto">
            <a:xfrm>
              <a:off x="339" y="1544"/>
              <a:ext cx="22"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L</a:t>
              </a:r>
              <a:r>
                <a:rPr lang="de-DE" altLang="ja-JP" sz="600" b="1" i="0" strike="noStrike">
                  <a:solidFill>
                    <a:srgbClr val="000000"/>
                  </a:solidFill>
                  <a:latin typeface="Times New Roman"/>
                  <a:cs typeface="Times New Roman"/>
                </a:rPr>
                <a:t>W1</a:t>
              </a:r>
            </a:p>
          </xdr:txBody>
        </xdr:sp>
        <xdr:sp macro="" textlink="">
          <xdr:nvSpPr>
            <xdr:cNvPr id="1276" name="Line 187"/>
            <xdr:cNvSpPr>
              <a:spLocks noChangeShapeType="1"/>
            </xdr:cNvSpPr>
          </xdr:nvSpPr>
          <xdr:spPr bwMode="auto">
            <a:xfrm>
              <a:off x="407" y="1274"/>
              <a:ext cx="0" cy="360"/>
            </a:xfrm>
            <a:prstGeom prst="line">
              <a:avLst/>
            </a:prstGeom>
            <a:noFill/>
            <a:ln w="19050">
              <a:solidFill>
                <a:srgbClr val="000000"/>
              </a:solidFill>
              <a:round/>
              <a:headEnd type="none" w="sm" len="med"/>
              <a:tailEnd type="none" w="sm" len="med"/>
            </a:ln>
          </xdr:spPr>
        </xdr:sp>
        <xdr:sp macro="" textlink="">
          <xdr:nvSpPr>
            <xdr:cNvPr id="1277" name="Line 188"/>
            <xdr:cNvSpPr>
              <a:spLocks noChangeShapeType="1"/>
            </xdr:cNvSpPr>
          </xdr:nvSpPr>
          <xdr:spPr bwMode="auto">
            <a:xfrm flipH="1">
              <a:off x="417" y="1671"/>
              <a:ext cx="25" cy="0"/>
            </a:xfrm>
            <a:prstGeom prst="line">
              <a:avLst/>
            </a:prstGeom>
            <a:noFill/>
            <a:ln w="3175">
              <a:solidFill>
                <a:srgbClr val="000000"/>
              </a:solidFill>
              <a:round/>
              <a:headEnd/>
              <a:tailEnd/>
            </a:ln>
          </xdr:spPr>
        </xdr:sp>
        <xdr:sp macro="" textlink="">
          <xdr:nvSpPr>
            <xdr:cNvPr id="1278" name="Line 189"/>
            <xdr:cNvSpPr>
              <a:spLocks noChangeShapeType="1"/>
            </xdr:cNvSpPr>
          </xdr:nvSpPr>
          <xdr:spPr bwMode="auto">
            <a:xfrm flipH="1">
              <a:off x="368" y="1635"/>
              <a:ext cx="15" cy="36"/>
            </a:xfrm>
            <a:prstGeom prst="line">
              <a:avLst/>
            </a:prstGeom>
            <a:noFill/>
            <a:ln w="3175">
              <a:solidFill>
                <a:srgbClr val="000000"/>
              </a:solidFill>
              <a:round/>
              <a:headEnd/>
              <a:tailEnd/>
            </a:ln>
          </xdr:spPr>
        </xdr:sp>
        <xdr:sp macro="" textlink="">
          <xdr:nvSpPr>
            <xdr:cNvPr id="1279" name="Line 190"/>
            <xdr:cNvSpPr>
              <a:spLocks noChangeShapeType="1"/>
            </xdr:cNvSpPr>
          </xdr:nvSpPr>
          <xdr:spPr bwMode="auto">
            <a:xfrm flipH="1">
              <a:off x="350" y="1671"/>
              <a:ext cx="18" cy="0"/>
            </a:xfrm>
            <a:prstGeom prst="line">
              <a:avLst/>
            </a:prstGeom>
            <a:noFill/>
            <a:ln w="3175">
              <a:solidFill>
                <a:srgbClr val="000000"/>
              </a:solidFill>
              <a:round/>
              <a:headEnd/>
              <a:tailEnd/>
            </a:ln>
          </xdr:spPr>
        </xdr:sp>
        <xdr:sp macro="" textlink="">
          <xdr:nvSpPr>
            <xdr:cNvPr id="1280" name="Text Box 191"/>
            <xdr:cNvSpPr txBox="1">
              <a:spLocks noChangeArrowheads="1"/>
            </xdr:cNvSpPr>
          </xdr:nvSpPr>
          <xdr:spPr bwMode="auto">
            <a:xfrm>
              <a:off x="418" y="1657"/>
              <a:ext cx="17" cy="18"/>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900" b="1" i="0" strike="noStrike">
                  <a:solidFill>
                    <a:srgbClr val="000000"/>
                  </a:solidFill>
                  <a:latin typeface="Times New Roman"/>
                  <a:cs typeface="Times New Roman"/>
                </a:rPr>
                <a:t>B</a:t>
              </a:r>
              <a:r>
                <a:rPr lang="de-DE" altLang="ja-JP" sz="800" b="1" i="0" strike="noStrike">
                  <a:solidFill>
                    <a:srgbClr val="000000"/>
                  </a:solidFill>
                  <a:latin typeface="Times New Roman"/>
                  <a:cs typeface="Times New Roman"/>
                </a:rPr>
                <a:t>n</a:t>
              </a:r>
            </a:p>
          </xdr:txBody>
        </xdr:sp>
        <xdr:sp macro="" textlink="">
          <xdr:nvSpPr>
            <xdr:cNvPr id="1281" name="Text Box 192"/>
            <xdr:cNvSpPr txBox="1">
              <a:spLocks noChangeArrowheads="1"/>
            </xdr:cNvSpPr>
          </xdr:nvSpPr>
          <xdr:spPr bwMode="auto">
            <a:xfrm>
              <a:off x="351" y="1657"/>
              <a:ext cx="14" cy="18"/>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900" b="1" i="0" strike="noStrike">
                  <a:solidFill>
                    <a:srgbClr val="000000"/>
                  </a:solidFill>
                  <a:latin typeface="Times New Roman"/>
                  <a:cs typeface="Times New Roman"/>
                </a:rPr>
                <a:t>B</a:t>
              </a:r>
              <a:r>
                <a:rPr lang="de-DE" altLang="ja-JP" sz="600" b="1" i="0" strike="noStrike">
                  <a:solidFill>
                    <a:srgbClr val="000000"/>
                  </a:solidFill>
                  <a:latin typeface="Times New Roman"/>
                  <a:cs typeface="Times New Roman"/>
                </a:rPr>
                <a:t>2</a:t>
              </a:r>
            </a:p>
          </xdr:txBody>
        </xdr:sp>
        <xdr:sp macro="" textlink="">
          <xdr:nvSpPr>
            <xdr:cNvPr id="1282" name="Line 193"/>
            <xdr:cNvSpPr>
              <a:spLocks noChangeShapeType="1"/>
            </xdr:cNvSpPr>
          </xdr:nvSpPr>
          <xdr:spPr bwMode="auto">
            <a:xfrm>
              <a:off x="387" y="1274"/>
              <a:ext cx="0" cy="360"/>
            </a:xfrm>
            <a:prstGeom prst="line">
              <a:avLst/>
            </a:prstGeom>
            <a:noFill/>
            <a:ln w="19050">
              <a:solidFill>
                <a:srgbClr val="000000"/>
              </a:solidFill>
              <a:round/>
              <a:headEnd type="none" w="sm" len="med"/>
              <a:tailEnd type="none" w="sm" len="med"/>
            </a:ln>
          </xdr:spPr>
        </xdr:sp>
        <xdr:sp macro="" textlink="">
          <xdr:nvSpPr>
            <xdr:cNvPr id="1283" name="Line 194"/>
            <xdr:cNvSpPr>
              <a:spLocks noChangeShapeType="1"/>
            </xdr:cNvSpPr>
          </xdr:nvSpPr>
          <xdr:spPr bwMode="auto">
            <a:xfrm flipH="1">
              <a:off x="382" y="1671"/>
              <a:ext cx="21" cy="0"/>
            </a:xfrm>
            <a:prstGeom prst="line">
              <a:avLst/>
            </a:prstGeom>
            <a:noFill/>
            <a:ln w="3175">
              <a:solidFill>
                <a:srgbClr val="000000"/>
              </a:solidFill>
              <a:round/>
              <a:headEnd/>
              <a:tailEnd/>
            </a:ln>
          </xdr:spPr>
        </xdr:sp>
        <xdr:sp macro="" textlink="">
          <xdr:nvSpPr>
            <xdr:cNvPr id="1284" name="Line 195"/>
            <xdr:cNvSpPr>
              <a:spLocks noChangeShapeType="1"/>
            </xdr:cNvSpPr>
          </xdr:nvSpPr>
          <xdr:spPr bwMode="auto">
            <a:xfrm flipH="1">
              <a:off x="382" y="1634"/>
              <a:ext cx="5" cy="37"/>
            </a:xfrm>
            <a:prstGeom prst="line">
              <a:avLst/>
            </a:prstGeom>
            <a:noFill/>
            <a:ln w="3175">
              <a:solidFill>
                <a:srgbClr val="000000"/>
              </a:solidFill>
              <a:round/>
              <a:headEnd/>
              <a:tailEnd/>
            </a:ln>
          </xdr:spPr>
        </xdr:sp>
        <xdr:sp macro="" textlink="">
          <xdr:nvSpPr>
            <xdr:cNvPr id="1285" name="Text Box 196"/>
            <xdr:cNvSpPr txBox="1">
              <a:spLocks noChangeArrowheads="1"/>
            </xdr:cNvSpPr>
          </xdr:nvSpPr>
          <xdr:spPr bwMode="auto">
            <a:xfrm>
              <a:off x="383" y="1657"/>
              <a:ext cx="14" cy="18"/>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900" b="1" i="0" strike="noStrike">
                  <a:solidFill>
                    <a:srgbClr val="000000"/>
                  </a:solidFill>
                  <a:latin typeface="Times New Roman"/>
                  <a:cs typeface="Times New Roman"/>
                </a:rPr>
                <a:t>B</a:t>
              </a:r>
              <a:r>
                <a:rPr lang="de-DE" altLang="ja-JP" sz="600" b="1" i="0" strike="noStrike">
                  <a:solidFill>
                    <a:srgbClr val="000000"/>
                  </a:solidFill>
                  <a:latin typeface="Times New Roman"/>
                  <a:cs typeface="Times New Roman"/>
                </a:rPr>
                <a:t>1</a:t>
              </a:r>
            </a:p>
          </xdr:txBody>
        </xdr:sp>
        <xdr:grpSp>
          <xdr:nvGrpSpPr>
            <xdr:cNvPr id="1286" name="Group 197"/>
            <xdr:cNvGrpSpPr>
              <a:grpSpLocks/>
            </xdr:cNvGrpSpPr>
          </xdr:nvGrpSpPr>
          <xdr:grpSpPr bwMode="auto">
            <a:xfrm>
              <a:off x="408" y="1418"/>
              <a:ext cx="27" cy="127"/>
              <a:chOff x="386" y="146"/>
              <a:chExt cx="163" cy="202"/>
            </a:xfrm>
          </xdr:grpSpPr>
          <xdr:sp macro="" textlink="">
            <xdr:nvSpPr>
              <xdr:cNvPr id="1291" name="Line 198"/>
              <xdr:cNvSpPr>
                <a:spLocks noChangeShapeType="1"/>
              </xdr:cNvSpPr>
            </xdr:nvSpPr>
            <xdr:spPr bwMode="auto">
              <a:xfrm>
                <a:off x="549" y="146"/>
                <a:ext cx="0" cy="202"/>
              </a:xfrm>
              <a:prstGeom prst="line">
                <a:avLst/>
              </a:prstGeom>
              <a:noFill/>
              <a:ln w="15875">
                <a:solidFill>
                  <a:srgbClr val="000000"/>
                </a:solidFill>
                <a:round/>
                <a:headEnd/>
                <a:tailEnd/>
              </a:ln>
            </xdr:spPr>
          </xdr:sp>
          <xdr:sp macro="" textlink="">
            <xdr:nvSpPr>
              <xdr:cNvPr id="1292" name="Line 199"/>
              <xdr:cNvSpPr>
                <a:spLocks noChangeShapeType="1"/>
              </xdr:cNvSpPr>
            </xdr:nvSpPr>
            <xdr:spPr bwMode="auto">
              <a:xfrm>
                <a:off x="386" y="146"/>
                <a:ext cx="0" cy="202"/>
              </a:xfrm>
              <a:prstGeom prst="line">
                <a:avLst/>
              </a:prstGeom>
              <a:noFill/>
              <a:ln w="15875">
                <a:solidFill>
                  <a:srgbClr val="000000"/>
                </a:solidFill>
                <a:round/>
                <a:headEnd/>
                <a:tailEnd/>
              </a:ln>
            </xdr:spPr>
          </xdr:sp>
          <xdr:sp macro="" textlink="">
            <xdr:nvSpPr>
              <xdr:cNvPr id="1293" name="Line 200"/>
              <xdr:cNvSpPr>
                <a:spLocks noChangeShapeType="1"/>
              </xdr:cNvSpPr>
            </xdr:nvSpPr>
            <xdr:spPr bwMode="auto">
              <a:xfrm>
                <a:off x="386" y="348"/>
                <a:ext cx="163" cy="0"/>
              </a:xfrm>
              <a:prstGeom prst="line">
                <a:avLst/>
              </a:prstGeom>
              <a:noFill/>
              <a:ln w="15875">
                <a:solidFill>
                  <a:srgbClr val="000000"/>
                </a:solidFill>
                <a:round/>
                <a:headEnd/>
                <a:tailEnd/>
              </a:ln>
            </xdr:spPr>
          </xdr:sp>
          <xdr:sp macro="" textlink="">
            <xdr:nvSpPr>
              <xdr:cNvPr id="1294" name="Line 201"/>
              <xdr:cNvSpPr>
                <a:spLocks noChangeShapeType="1"/>
              </xdr:cNvSpPr>
            </xdr:nvSpPr>
            <xdr:spPr bwMode="auto">
              <a:xfrm>
                <a:off x="386" y="146"/>
                <a:ext cx="163" cy="0"/>
              </a:xfrm>
              <a:prstGeom prst="line">
                <a:avLst/>
              </a:prstGeom>
              <a:noFill/>
              <a:ln w="15875">
                <a:solidFill>
                  <a:srgbClr val="000000"/>
                </a:solidFill>
                <a:round/>
                <a:headEnd/>
                <a:tailEnd/>
              </a:ln>
            </xdr:spPr>
          </xdr:sp>
        </xdr:grpSp>
        <xdr:sp macro="" textlink="">
          <xdr:nvSpPr>
            <xdr:cNvPr id="1287" name="Line 202"/>
            <xdr:cNvSpPr>
              <a:spLocks noChangeShapeType="1"/>
            </xdr:cNvSpPr>
          </xdr:nvSpPr>
          <xdr:spPr bwMode="auto">
            <a:xfrm>
              <a:off x="407" y="1634"/>
              <a:ext cx="10" cy="37"/>
            </a:xfrm>
            <a:prstGeom prst="line">
              <a:avLst/>
            </a:prstGeom>
            <a:noFill/>
            <a:ln w="3175">
              <a:solidFill>
                <a:srgbClr val="000000"/>
              </a:solidFill>
              <a:round/>
              <a:headEnd/>
              <a:tailEnd/>
            </a:ln>
          </xdr:spPr>
        </xdr:sp>
        <xdr:sp macro="" textlink="">
          <xdr:nvSpPr>
            <xdr:cNvPr id="1288" name="Line 203"/>
            <xdr:cNvSpPr>
              <a:spLocks noChangeShapeType="1"/>
            </xdr:cNvSpPr>
          </xdr:nvSpPr>
          <xdr:spPr bwMode="auto">
            <a:xfrm>
              <a:off x="330" y="1634"/>
              <a:ext cx="135" cy="0"/>
            </a:xfrm>
            <a:prstGeom prst="line">
              <a:avLst/>
            </a:prstGeom>
            <a:noFill/>
            <a:ln w="3175">
              <a:solidFill>
                <a:srgbClr val="000000"/>
              </a:solidFill>
              <a:round/>
              <a:headEnd/>
              <a:tailEnd/>
            </a:ln>
          </xdr:spPr>
        </xdr:sp>
        <xdr:sp macro="" textlink="">
          <xdr:nvSpPr>
            <xdr:cNvPr id="1289" name="Line 204"/>
            <xdr:cNvSpPr>
              <a:spLocks noChangeShapeType="1"/>
            </xdr:cNvSpPr>
          </xdr:nvSpPr>
          <xdr:spPr bwMode="auto">
            <a:xfrm>
              <a:off x="405" y="1358"/>
              <a:ext cx="34" cy="0"/>
            </a:xfrm>
            <a:prstGeom prst="line">
              <a:avLst/>
            </a:prstGeom>
            <a:noFill/>
            <a:ln w="9525">
              <a:solidFill>
                <a:srgbClr val="000000"/>
              </a:solidFill>
              <a:round/>
              <a:headEnd/>
              <a:tailEnd type="stealth" w="med" len="med"/>
            </a:ln>
          </xdr:spPr>
        </xdr:sp>
        <xdr:sp macro="" textlink="">
          <xdr:nvSpPr>
            <xdr:cNvPr id="1290" name="Text Box 205">
              <a:hlinkClick xmlns:r="http://schemas.openxmlformats.org/officeDocument/2006/relationships" r:id="rId1"/>
            </xdr:cNvPr>
            <xdr:cNvSpPr txBox="1">
              <a:spLocks noChangeArrowheads="1"/>
            </xdr:cNvSpPr>
          </xdr:nvSpPr>
          <xdr:spPr bwMode="auto">
            <a:xfrm>
              <a:off x="411" y="1340"/>
              <a:ext cx="67" cy="16"/>
            </a:xfrm>
            <a:prstGeom prst="rect">
              <a:avLst/>
            </a:prstGeom>
            <a:noFill/>
            <a:ln w="9525">
              <a:noFill/>
              <a:miter lim="800000"/>
              <a:headEnd/>
              <a:tailEnd/>
            </a:ln>
          </xdr:spPr>
          <xdr:txBody>
            <a:bodyPr wrap="none" lIns="18288" tIns="18288" rIns="0" bIns="0" anchor="t" upright="1">
              <a:spAutoFit/>
            </a:bodyPr>
            <a:lstStyle/>
            <a:p>
              <a:pPr algn="l" rtl="1">
                <a:defRPr sz="1000"/>
              </a:pPr>
              <a:r>
                <a:rPr lang="ja-JP" altLang="en-US" sz="800" b="0" i="0" strike="noStrike">
                  <a:solidFill>
                    <a:srgbClr val="000000"/>
                  </a:solidFill>
                  <a:latin typeface="ＭＳ Ｐ明朝"/>
                  <a:ea typeface="ＭＳ Ｐ明朝"/>
                </a:rPr>
                <a:t>スタッド</a:t>
              </a:r>
              <a:r>
                <a:rPr lang="ja-JP" altLang="de-DE" sz="800" b="0" i="0" strike="noStrike">
                  <a:solidFill>
                    <a:srgbClr val="000000"/>
                  </a:solidFill>
                  <a:latin typeface="ＭＳ Ｐ明朝"/>
                  <a:ea typeface="ＭＳ Ｐ明朝"/>
                </a:rPr>
                <a:t>Ｙ</a:t>
              </a:r>
              <a:r>
                <a:rPr lang="ja-JP" altLang="en-US" sz="800" b="0" i="0" strike="noStrike">
                  <a:solidFill>
                    <a:srgbClr val="000000"/>
                  </a:solidFill>
                  <a:latin typeface="ＭＳ Ｐ明朝"/>
                  <a:ea typeface="ＭＳ Ｐ明朝"/>
                </a:rPr>
                <a:t>方向</a:t>
              </a:r>
            </a:p>
          </xdr:txBody>
        </xdr:sp>
      </xdr:grpSp>
      <xdr:grpSp>
        <xdr:nvGrpSpPr>
          <xdr:cNvPr id="1159" name="Group 206"/>
          <xdr:cNvGrpSpPr>
            <a:grpSpLocks/>
          </xdr:cNvGrpSpPr>
        </xdr:nvGrpSpPr>
        <xdr:grpSpPr bwMode="auto">
          <a:xfrm>
            <a:off x="5010150" y="11677650"/>
            <a:ext cx="2200275" cy="4200525"/>
            <a:chOff x="526" y="1226"/>
            <a:chExt cx="231" cy="441"/>
          </a:xfrm>
        </xdr:grpSpPr>
        <xdr:grpSp>
          <xdr:nvGrpSpPr>
            <xdr:cNvPr id="1219" name="Group 207"/>
            <xdr:cNvGrpSpPr>
              <a:grpSpLocks/>
            </xdr:cNvGrpSpPr>
          </xdr:nvGrpSpPr>
          <xdr:grpSpPr bwMode="auto">
            <a:xfrm>
              <a:off x="635" y="1274"/>
              <a:ext cx="9" cy="360"/>
              <a:chOff x="386" y="146"/>
              <a:chExt cx="163" cy="202"/>
            </a:xfrm>
          </xdr:grpSpPr>
          <xdr:sp macro="" textlink="">
            <xdr:nvSpPr>
              <xdr:cNvPr id="1255" name="Line 208"/>
              <xdr:cNvSpPr>
                <a:spLocks noChangeShapeType="1"/>
              </xdr:cNvSpPr>
            </xdr:nvSpPr>
            <xdr:spPr bwMode="auto">
              <a:xfrm>
                <a:off x="549" y="146"/>
                <a:ext cx="0" cy="202"/>
              </a:xfrm>
              <a:prstGeom prst="line">
                <a:avLst/>
              </a:prstGeom>
              <a:noFill/>
              <a:ln w="12700">
                <a:solidFill>
                  <a:srgbClr val="000000"/>
                </a:solidFill>
                <a:round/>
                <a:headEnd/>
                <a:tailEnd/>
              </a:ln>
            </xdr:spPr>
          </xdr:sp>
          <xdr:sp macro="" textlink="">
            <xdr:nvSpPr>
              <xdr:cNvPr id="1256" name="Line 209"/>
              <xdr:cNvSpPr>
                <a:spLocks noChangeShapeType="1"/>
              </xdr:cNvSpPr>
            </xdr:nvSpPr>
            <xdr:spPr bwMode="auto">
              <a:xfrm>
                <a:off x="386" y="146"/>
                <a:ext cx="0" cy="202"/>
              </a:xfrm>
              <a:prstGeom prst="line">
                <a:avLst/>
              </a:prstGeom>
              <a:noFill/>
              <a:ln w="12700">
                <a:solidFill>
                  <a:srgbClr val="000000"/>
                </a:solidFill>
                <a:round/>
                <a:headEnd/>
                <a:tailEnd/>
              </a:ln>
            </xdr:spPr>
          </xdr:sp>
          <xdr:sp macro="" textlink="">
            <xdr:nvSpPr>
              <xdr:cNvPr id="1257" name="Line 210"/>
              <xdr:cNvSpPr>
                <a:spLocks noChangeShapeType="1"/>
              </xdr:cNvSpPr>
            </xdr:nvSpPr>
            <xdr:spPr bwMode="auto">
              <a:xfrm>
                <a:off x="386" y="348"/>
                <a:ext cx="163" cy="0"/>
              </a:xfrm>
              <a:prstGeom prst="line">
                <a:avLst/>
              </a:prstGeom>
              <a:noFill/>
              <a:ln w="12700">
                <a:solidFill>
                  <a:srgbClr val="000000"/>
                </a:solidFill>
                <a:round/>
                <a:headEnd/>
                <a:tailEnd/>
              </a:ln>
            </xdr:spPr>
          </xdr:sp>
          <xdr:sp macro="" textlink="">
            <xdr:nvSpPr>
              <xdr:cNvPr id="1258" name="Line 211"/>
              <xdr:cNvSpPr>
                <a:spLocks noChangeShapeType="1"/>
              </xdr:cNvSpPr>
            </xdr:nvSpPr>
            <xdr:spPr bwMode="auto">
              <a:xfrm>
                <a:off x="386" y="146"/>
                <a:ext cx="163" cy="0"/>
              </a:xfrm>
              <a:prstGeom prst="line">
                <a:avLst/>
              </a:prstGeom>
              <a:noFill/>
              <a:ln w="12700">
                <a:solidFill>
                  <a:srgbClr val="000000"/>
                </a:solidFill>
                <a:round/>
                <a:headEnd/>
                <a:tailEnd/>
              </a:ln>
            </xdr:spPr>
          </xdr:sp>
        </xdr:grpSp>
        <xdr:sp macro="" textlink="">
          <xdr:nvSpPr>
            <xdr:cNvPr id="1220" name="Line 212"/>
            <xdr:cNvSpPr>
              <a:spLocks noChangeShapeType="1"/>
            </xdr:cNvSpPr>
          </xdr:nvSpPr>
          <xdr:spPr bwMode="auto">
            <a:xfrm>
              <a:off x="526" y="1634"/>
              <a:ext cx="231" cy="0"/>
            </a:xfrm>
            <a:prstGeom prst="line">
              <a:avLst/>
            </a:prstGeom>
            <a:noFill/>
            <a:ln w="3175">
              <a:solidFill>
                <a:srgbClr val="000000"/>
              </a:solidFill>
              <a:round/>
              <a:headEnd/>
              <a:tailEnd/>
            </a:ln>
          </xdr:spPr>
        </xdr:sp>
        <xdr:sp macro="" textlink="">
          <xdr:nvSpPr>
            <xdr:cNvPr id="1221" name="Text Box 213"/>
            <xdr:cNvSpPr txBox="1">
              <a:spLocks noChangeArrowheads="1"/>
            </xdr:cNvSpPr>
          </xdr:nvSpPr>
          <xdr:spPr bwMode="auto">
            <a:xfrm>
              <a:off x="666" y="1641"/>
              <a:ext cx="31"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W</a:t>
              </a:r>
              <a:r>
                <a:rPr lang="de-DE" altLang="ja-JP" sz="600" b="1" i="0" strike="noStrike">
                  <a:solidFill>
                    <a:srgbClr val="000000"/>
                  </a:solidFill>
                  <a:latin typeface="Times New Roman"/>
                  <a:cs typeface="Times New Roman"/>
                </a:rPr>
                <a:t>LGS</a:t>
              </a:r>
            </a:p>
          </xdr:txBody>
        </xdr:sp>
        <xdr:sp macro="" textlink="">
          <xdr:nvSpPr>
            <xdr:cNvPr id="1222" name="Line 214"/>
            <xdr:cNvSpPr>
              <a:spLocks noChangeShapeType="1"/>
            </xdr:cNvSpPr>
          </xdr:nvSpPr>
          <xdr:spPr bwMode="auto">
            <a:xfrm>
              <a:off x="639" y="1234"/>
              <a:ext cx="0" cy="37"/>
            </a:xfrm>
            <a:prstGeom prst="line">
              <a:avLst/>
            </a:prstGeom>
            <a:noFill/>
            <a:ln w="25400">
              <a:solidFill>
                <a:srgbClr val="000000"/>
              </a:solidFill>
              <a:round/>
              <a:headEnd/>
              <a:tailEnd type="stealth" w="med" len="med"/>
            </a:ln>
          </xdr:spPr>
        </xdr:sp>
        <xdr:sp macro="" textlink="">
          <xdr:nvSpPr>
            <xdr:cNvPr id="1223" name="Text Box 215">
              <a:hlinkClick xmlns:r="http://schemas.openxmlformats.org/officeDocument/2006/relationships" r:id="rId1"/>
            </xdr:cNvPr>
            <xdr:cNvSpPr txBox="1">
              <a:spLocks noChangeArrowheads="1"/>
            </xdr:cNvSpPr>
          </xdr:nvSpPr>
          <xdr:spPr bwMode="auto">
            <a:xfrm>
              <a:off x="567" y="1340"/>
              <a:ext cx="66" cy="16"/>
            </a:xfrm>
            <a:prstGeom prst="rect">
              <a:avLst/>
            </a:prstGeom>
            <a:noFill/>
            <a:ln w="9525">
              <a:noFill/>
              <a:miter lim="800000"/>
              <a:headEnd/>
              <a:tailEnd/>
            </a:ln>
          </xdr:spPr>
          <xdr:txBody>
            <a:bodyPr wrap="none" lIns="18288" tIns="18288" rIns="0" bIns="0" anchor="t" upright="1">
              <a:spAutoFit/>
            </a:bodyPr>
            <a:lstStyle/>
            <a:p>
              <a:pPr algn="l" rtl="1">
                <a:defRPr sz="1000"/>
              </a:pPr>
              <a:r>
                <a:rPr lang="ja-JP" altLang="en-US" sz="800" b="0" i="0" strike="noStrike">
                  <a:solidFill>
                    <a:srgbClr val="000000"/>
                  </a:solidFill>
                  <a:latin typeface="ＭＳ Ｐ明朝"/>
                  <a:ea typeface="ＭＳ Ｐ明朝"/>
                </a:rPr>
                <a:t>スタッド</a:t>
              </a:r>
              <a:r>
                <a:rPr lang="ja-JP" altLang="de-DE" sz="800" b="0" i="0" strike="noStrike">
                  <a:solidFill>
                    <a:srgbClr val="000000"/>
                  </a:solidFill>
                  <a:latin typeface="ＭＳ Ｐ明朝"/>
                  <a:ea typeface="ＭＳ Ｐ明朝"/>
                </a:rPr>
                <a:t>Ｘ</a:t>
              </a:r>
              <a:r>
                <a:rPr lang="ja-JP" altLang="en-US" sz="800" b="0" i="0" strike="noStrike">
                  <a:solidFill>
                    <a:srgbClr val="000000"/>
                  </a:solidFill>
                  <a:latin typeface="ＭＳ Ｐ明朝"/>
                  <a:ea typeface="ＭＳ Ｐ明朝"/>
                </a:rPr>
                <a:t>方向</a:t>
              </a:r>
            </a:p>
          </xdr:txBody>
        </xdr:sp>
        <xdr:grpSp>
          <xdr:nvGrpSpPr>
            <xdr:cNvPr id="1224" name="Group 216"/>
            <xdr:cNvGrpSpPr>
              <a:grpSpLocks/>
            </xdr:cNvGrpSpPr>
          </xdr:nvGrpSpPr>
          <xdr:grpSpPr bwMode="auto">
            <a:xfrm>
              <a:off x="713" y="1274"/>
              <a:ext cx="9" cy="360"/>
              <a:chOff x="386" y="146"/>
              <a:chExt cx="163" cy="202"/>
            </a:xfrm>
          </xdr:grpSpPr>
          <xdr:sp macro="" textlink="">
            <xdr:nvSpPr>
              <xdr:cNvPr id="1251" name="Line 217"/>
              <xdr:cNvSpPr>
                <a:spLocks noChangeShapeType="1"/>
              </xdr:cNvSpPr>
            </xdr:nvSpPr>
            <xdr:spPr bwMode="auto">
              <a:xfrm>
                <a:off x="549" y="146"/>
                <a:ext cx="0" cy="202"/>
              </a:xfrm>
              <a:prstGeom prst="line">
                <a:avLst/>
              </a:prstGeom>
              <a:noFill/>
              <a:ln w="12700">
                <a:solidFill>
                  <a:srgbClr val="000000"/>
                </a:solidFill>
                <a:round/>
                <a:headEnd/>
                <a:tailEnd/>
              </a:ln>
            </xdr:spPr>
          </xdr:sp>
          <xdr:sp macro="" textlink="">
            <xdr:nvSpPr>
              <xdr:cNvPr id="1252" name="Line 218"/>
              <xdr:cNvSpPr>
                <a:spLocks noChangeShapeType="1"/>
              </xdr:cNvSpPr>
            </xdr:nvSpPr>
            <xdr:spPr bwMode="auto">
              <a:xfrm>
                <a:off x="386" y="146"/>
                <a:ext cx="0" cy="202"/>
              </a:xfrm>
              <a:prstGeom prst="line">
                <a:avLst/>
              </a:prstGeom>
              <a:noFill/>
              <a:ln w="12700">
                <a:solidFill>
                  <a:srgbClr val="000000"/>
                </a:solidFill>
                <a:round/>
                <a:headEnd/>
                <a:tailEnd/>
              </a:ln>
            </xdr:spPr>
          </xdr:sp>
          <xdr:sp macro="" textlink="">
            <xdr:nvSpPr>
              <xdr:cNvPr id="1253" name="Line 219"/>
              <xdr:cNvSpPr>
                <a:spLocks noChangeShapeType="1"/>
              </xdr:cNvSpPr>
            </xdr:nvSpPr>
            <xdr:spPr bwMode="auto">
              <a:xfrm>
                <a:off x="386" y="348"/>
                <a:ext cx="163" cy="0"/>
              </a:xfrm>
              <a:prstGeom prst="line">
                <a:avLst/>
              </a:prstGeom>
              <a:noFill/>
              <a:ln w="12700">
                <a:solidFill>
                  <a:srgbClr val="000000"/>
                </a:solidFill>
                <a:round/>
                <a:headEnd/>
                <a:tailEnd/>
              </a:ln>
            </xdr:spPr>
          </xdr:sp>
          <xdr:sp macro="" textlink="">
            <xdr:nvSpPr>
              <xdr:cNvPr id="1254" name="Line 220"/>
              <xdr:cNvSpPr>
                <a:spLocks noChangeShapeType="1"/>
              </xdr:cNvSpPr>
            </xdr:nvSpPr>
            <xdr:spPr bwMode="auto">
              <a:xfrm>
                <a:off x="386" y="146"/>
                <a:ext cx="163" cy="0"/>
              </a:xfrm>
              <a:prstGeom prst="line">
                <a:avLst/>
              </a:prstGeom>
              <a:noFill/>
              <a:ln w="12700">
                <a:solidFill>
                  <a:srgbClr val="000000"/>
                </a:solidFill>
                <a:round/>
                <a:headEnd/>
                <a:tailEnd/>
              </a:ln>
            </xdr:spPr>
          </xdr:sp>
        </xdr:grpSp>
        <xdr:grpSp>
          <xdr:nvGrpSpPr>
            <xdr:cNvPr id="1225" name="Group 221"/>
            <xdr:cNvGrpSpPr>
              <a:grpSpLocks/>
            </xdr:cNvGrpSpPr>
          </xdr:nvGrpSpPr>
          <xdr:grpSpPr bwMode="auto">
            <a:xfrm>
              <a:off x="558" y="1274"/>
              <a:ext cx="9" cy="360"/>
              <a:chOff x="386" y="146"/>
              <a:chExt cx="163" cy="202"/>
            </a:xfrm>
          </xdr:grpSpPr>
          <xdr:sp macro="" textlink="">
            <xdr:nvSpPr>
              <xdr:cNvPr id="1247" name="Line 222"/>
              <xdr:cNvSpPr>
                <a:spLocks noChangeShapeType="1"/>
              </xdr:cNvSpPr>
            </xdr:nvSpPr>
            <xdr:spPr bwMode="auto">
              <a:xfrm>
                <a:off x="549" y="146"/>
                <a:ext cx="0" cy="202"/>
              </a:xfrm>
              <a:prstGeom prst="line">
                <a:avLst/>
              </a:prstGeom>
              <a:noFill/>
              <a:ln w="12700">
                <a:solidFill>
                  <a:srgbClr val="000000"/>
                </a:solidFill>
                <a:round/>
                <a:headEnd/>
                <a:tailEnd/>
              </a:ln>
            </xdr:spPr>
          </xdr:sp>
          <xdr:sp macro="" textlink="">
            <xdr:nvSpPr>
              <xdr:cNvPr id="1248" name="Line 223"/>
              <xdr:cNvSpPr>
                <a:spLocks noChangeShapeType="1"/>
              </xdr:cNvSpPr>
            </xdr:nvSpPr>
            <xdr:spPr bwMode="auto">
              <a:xfrm>
                <a:off x="386" y="146"/>
                <a:ext cx="0" cy="202"/>
              </a:xfrm>
              <a:prstGeom prst="line">
                <a:avLst/>
              </a:prstGeom>
              <a:noFill/>
              <a:ln w="12700">
                <a:solidFill>
                  <a:srgbClr val="000000"/>
                </a:solidFill>
                <a:round/>
                <a:headEnd/>
                <a:tailEnd/>
              </a:ln>
            </xdr:spPr>
          </xdr:sp>
          <xdr:sp macro="" textlink="">
            <xdr:nvSpPr>
              <xdr:cNvPr id="1249" name="Line 224"/>
              <xdr:cNvSpPr>
                <a:spLocks noChangeShapeType="1"/>
              </xdr:cNvSpPr>
            </xdr:nvSpPr>
            <xdr:spPr bwMode="auto">
              <a:xfrm>
                <a:off x="386" y="348"/>
                <a:ext cx="163" cy="0"/>
              </a:xfrm>
              <a:prstGeom prst="line">
                <a:avLst/>
              </a:prstGeom>
              <a:noFill/>
              <a:ln w="12700">
                <a:solidFill>
                  <a:srgbClr val="000000"/>
                </a:solidFill>
                <a:round/>
                <a:headEnd/>
                <a:tailEnd/>
              </a:ln>
            </xdr:spPr>
          </xdr:sp>
          <xdr:sp macro="" textlink="">
            <xdr:nvSpPr>
              <xdr:cNvPr id="1250" name="Line 225"/>
              <xdr:cNvSpPr>
                <a:spLocks noChangeShapeType="1"/>
              </xdr:cNvSpPr>
            </xdr:nvSpPr>
            <xdr:spPr bwMode="auto">
              <a:xfrm>
                <a:off x="386" y="146"/>
                <a:ext cx="163" cy="0"/>
              </a:xfrm>
              <a:prstGeom prst="line">
                <a:avLst/>
              </a:prstGeom>
              <a:noFill/>
              <a:ln w="12700">
                <a:solidFill>
                  <a:srgbClr val="000000"/>
                </a:solidFill>
                <a:round/>
                <a:headEnd/>
                <a:tailEnd/>
              </a:ln>
            </xdr:spPr>
          </xdr:sp>
        </xdr:grpSp>
        <xdr:sp macro="" textlink="">
          <xdr:nvSpPr>
            <xdr:cNvPr id="1226" name="Line 226"/>
            <xdr:cNvSpPr>
              <a:spLocks noChangeShapeType="1"/>
            </xdr:cNvSpPr>
          </xdr:nvSpPr>
          <xdr:spPr bwMode="auto">
            <a:xfrm>
              <a:off x="559" y="1254"/>
              <a:ext cx="0" cy="411"/>
            </a:xfrm>
            <a:prstGeom prst="line">
              <a:avLst/>
            </a:prstGeom>
            <a:noFill/>
            <a:ln w="9525">
              <a:noFill/>
              <a:round/>
              <a:headEnd/>
              <a:tailEnd/>
            </a:ln>
          </xdr:spPr>
        </xdr:sp>
        <xdr:sp macro="" textlink="">
          <xdr:nvSpPr>
            <xdr:cNvPr id="1227" name="Line 227"/>
            <xdr:cNvSpPr>
              <a:spLocks noChangeShapeType="1"/>
            </xdr:cNvSpPr>
          </xdr:nvSpPr>
          <xdr:spPr bwMode="auto">
            <a:xfrm>
              <a:off x="561" y="1249"/>
              <a:ext cx="0" cy="50"/>
            </a:xfrm>
            <a:prstGeom prst="line">
              <a:avLst/>
            </a:prstGeom>
            <a:noFill/>
            <a:ln w="9525">
              <a:noFill/>
              <a:round/>
              <a:headEnd/>
              <a:tailEnd/>
            </a:ln>
          </xdr:spPr>
        </xdr:sp>
        <xdr:sp macro="" textlink="">
          <xdr:nvSpPr>
            <xdr:cNvPr id="1228" name="Line 228"/>
            <xdr:cNvSpPr>
              <a:spLocks noChangeShapeType="1"/>
            </xdr:cNvSpPr>
          </xdr:nvSpPr>
          <xdr:spPr bwMode="auto">
            <a:xfrm>
              <a:off x="537" y="1243"/>
              <a:ext cx="0" cy="119"/>
            </a:xfrm>
            <a:prstGeom prst="line">
              <a:avLst/>
            </a:prstGeom>
            <a:noFill/>
            <a:ln w="9525">
              <a:noFill/>
              <a:round/>
              <a:headEnd/>
              <a:tailEnd/>
            </a:ln>
          </xdr:spPr>
        </xdr:sp>
        <xdr:sp macro="" textlink="">
          <xdr:nvSpPr>
            <xdr:cNvPr id="1229" name="Line 229"/>
            <xdr:cNvSpPr>
              <a:spLocks noChangeShapeType="1"/>
            </xdr:cNvSpPr>
          </xdr:nvSpPr>
          <xdr:spPr bwMode="auto">
            <a:xfrm>
              <a:off x="640" y="1657"/>
              <a:ext cx="77" cy="0"/>
            </a:xfrm>
            <a:prstGeom prst="line">
              <a:avLst/>
            </a:prstGeom>
            <a:noFill/>
            <a:ln w="3175">
              <a:solidFill>
                <a:srgbClr val="000000"/>
              </a:solidFill>
              <a:round/>
              <a:headEnd type="triangle" w="sm" len="med"/>
              <a:tailEnd type="triangle" w="sm" len="med"/>
            </a:ln>
          </xdr:spPr>
        </xdr:sp>
        <xdr:sp macro="" textlink="">
          <xdr:nvSpPr>
            <xdr:cNvPr id="1230" name="Line 230"/>
            <xdr:cNvSpPr>
              <a:spLocks noChangeShapeType="1"/>
            </xdr:cNvSpPr>
          </xdr:nvSpPr>
          <xdr:spPr bwMode="auto">
            <a:xfrm flipH="1">
              <a:off x="717" y="1255"/>
              <a:ext cx="1" cy="412"/>
            </a:xfrm>
            <a:prstGeom prst="line">
              <a:avLst/>
            </a:prstGeom>
            <a:noFill/>
            <a:ln w="6350">
              <a:solidFill>
                <a:srgbClr val="000000"/>
              </a:solidFill>
              <a:prstDash val="lgDashDot"/>
              <a:round/>
              <a:headEnd type="none" w="sm" len="med"/>
              <a:tailEnd type="none" w="sm" len="med"/>
            </a:ln>
          </xdr:spPr>
        </xdr:sp>
        <xdr:sp macro="" textlink="">
          <xdr:nvSpPr>
            <xdr:cNvPr id="1231" name="Line 231"/>
            <xdr:cNvSpPr>
              <a:spLocks noChangeShapeType="1"/>
            </xdr:cNvSpPr>
          </xdr:nvSpPr>
          <xdr:spPr bwMode="auto">
            <a:xfrm>
              <a:off x="566" y="1255"/>
              <a:ext cx="110" cy="0"/>
            </a:xfrm>
            <a:prstGeom prst="line">
              <a:avLst/>
            </a:prstGeom>
            <a:noFill/>
            <a:ln w="3175">
              <a:solidFill>
                <a:srgbClr val="000000"/>
              </a:solidFill>
              <a:round/>
              <a:headEnd type="triangle" w="sm" len="med"/>
              <a:tailEnd type="triangle" w="sm" len="med"/>
            </a:ln>
          </xdr:spPr>
        </xdr:sp>
        <xdr:sp macro="" textlink="">
          <xdr:nvSpPr>
            <xdr:cNvPr id="1232" name="Text Box 232"/>
            <xdr:cNvSpPr txBox="1">
              <a:spLocks noChangeArrowheads="1"/>
            </xdr:cNvSpPr>
          </xdr:nvSpPr>
          <xdr:spPr bwMode="auto">
            <a:xfrm>
              <a:off x="640" y="1226"/>
              <a:ext cx="43"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P</a:t>
              </a:r>
              <a:r>
                <a:rPr lang="de-DE" altLang="ja-JP" sz="800" b="1" i="0" strike="noStrike">
                  <a:solidFill>
                    <a:srgbClr val="000000"/>
                  </a:solidFill>
                  <a:latin typeface="Times New Roman"/>
                  <a:cs typeface="Times New Roman"/>
                </a:rPr>
                <a:t>t</a:t>
              </a:r>
              <a:r>
                <a:rPr lang="de-DE" altLang="ja-JP" sz="1000" b="0" i="0" strike="noStrike">
                  <a:solidFill>
                    <a:srgbClr val="000000"/>
                  </a:solidFill>
                  <a:latin typeface="ＭＳ 明朝"/>
                  <a:ea typeface="ＭＳ 明朝"/>
                </a:rPr>
                <a:t>(</a:t>
              </a:r>
              <a:r>
                <a:rPr lang="de-DE" altLang="ja-JP" sz="1000" b="1" i="0" strike="noStrike">
                  <a:solidFill>
                    <a:srgbClr val="000000"/>
                  </a:solidFill>
                  <a:latin typeface="Times New Roman"/>
                  <a:cs typeface="Times New Roman"/>
                </a:rPr>
                <a:t>P</a:t>
              </a:r>
              <a:r>
                <a:rPr lang="de-DE" altLang="ja-JP" sz="700" b="1" i="0" strike="noStrike">
                  <a:solidFill>
                    <a:srgbClr val="000000"/>
                  </a:solidFill>
                  <a:latin typeface="Times New Roman"/>
                  <a:cs typeface="Times New Roman"/>
                </a:rPr>
                <a:t>B</a:t>
              </a:r>
              <a:r>
                <a:rPr lang="de-DE" altLang="ja-JP" sz="1000" b="0" i="0" strike="noStrike">
                  <a:solidFill>
                    <a:srgbClr val="000000"/>
                  </a:solidFill>
                  <a:latin typeface="ＭＳ 明朝"/>
                  <a:ea typeface="ＭＳ 明朝"/>
                </a:rPr>
                <a:t>)</a:t>
              </a:r>
            </a:p>
          </xdr:txBody>
        </xdr:sp>
        <xdr:sp macro="" textlink="">
          <xdr:nvSpPr>
            <xdr:cNvPr id="1233" name="Line 233"/>
            <xdr:cNvSpPr>
              <a:spLocks noChangeShapeType="1"/>
            </xdr:cNvSpPr>
          </xdr:nvSpPr>
          <xdr:spPr bwMode="auto">
            <a:xfrm>
              <a:off x="562" y="1255"/>
              <a:ext cx="0" cy="412"/>
            </a:xfrm>
            <a:prstGeom prst="line">
              <a:avLst/>
            </a:prstGeom>
            <a:noFill/>
            <a:ln w="6350">
              <a:solidFill>
                <a:srgbClr val="000000"/>
              </a:solidFill>
              <a:prstDash val="lgDashDot"/>
              <a:round/>
              <a:headEnd type="none" w="sm" len="med"/>
              <a:tailEnd type="none" w="sm" len="med"/>
            </a:ln>
          </xdr:spPr>
        </xdr:sp>
        <xdr:sp macro="" textlink="">
          <xdr:nvSpPr>
            <xdr:cNvPr id="1234" name="Line 234"/>
            <xdr:cNvSpPr>
              <a:spLocks noChangeShapeType="1"/>
            </xdr:cNvSpPr>
          </xdr:nvSpPr>
          <xdr:spPr bwMode="auto">
            <a:xfrm>
              <a:off x="675" y="1247"/>
              <a:ext cx="0" cy="166"/>
            </a:xfrm>
            <a:prstGeom prst="line">
              <a:avLst/>
            </a:prstGeom>
            <a:noFill/>
            <a:ln w="3175">
              <a:solidFill>
                <a:srgbClr val="000000"/>
              </a:solidFill>
              <a:round/>
              <a:headEnd/>
              <a:tailEnd/>
            </a:ln>
          </xdr:spPr>
        </xdr:sp>
        <xdr:grpSp>
          <xdr:nvGrpSpPr>
            <xdr:cNvPr id="1235" name="Group 235"/>
            <xdr:cNvGrpSpPr>
              <a:grpSpLocks/>
            </xdr:cNvGrpSpPr>
          </xdr:nvGrpSpPr>
          <xdr:grpSpPr bwMode="auto">
            <a:xfrm>
              <a:off x="568" y="1418"/>
              <a:ext cx="107" cy="127"/>
              <a:chOff x="386" y="146"/>
              <a:chExt cx="163" cy="202"/>
            </a:xfrm>
          </xdr:grpSpPr>
          <xdr:sp macro="" textlink="">
            <xdr:nvSpPr>
              <xdr:cNvPr id="1243" name="Line 236"/>
              <xdr:cNvSpPr>
                <a:spLocks noChangeShapeType="1"/>
              </xdr:cNvSpPr>
            </xdr:nvSpPr>
            <xdr:spPr bwMode="auto">
              <a:xfrm>
                <a:off x="549" y="146"/>
                <a:ext cx="0" cy="202"/>
              </a:xfrm>
              <a:prstGeom prst="line">
                <a:avLst/>
              </a:prstGeom>
              <a:noFill/>
              <a:ln w="15875">
                <a:solidFill>
                  <a:srgbClr val="000000"/>
                </a:solidFill>
                <a:round/>
                <a:headEnd/>
                <a:tailEnd/>
              </a:ln>
            </xdr:spPr>
          </xdr:sp>
          <xdr:sp macro="" textlink="">
            <xdr:nvSpPr>
              <xdr:cNvPr id="1244" name="Line 237"/>
              <xdr:cNvSpPr>
                <a:spLocks noChangeShapeType="1"/>
              </xdr:cNvSpPr>
            </xdr:nvSpPr>
            <xdr:spPr bwMode="auto">
              <a:xfrm>
                <a:off x="386" y="146"/>
                <a:ext cx="0" cy="202"/>
              </a:xfrm>
              <a:prstGeom prst="line">
                <a:avLst/>
              </a:prstGeom>
              <a:noFill/>
              <a:ln w="15875">
                <a:solidFill>
                  <a:srgbClr val="000000"/>
                </a:solidFill>
                <a:round/>
                <a:headEnd/>
                <a:tailEnd/>
              </a:ln>
            </xdr:spPr>
          </xdr:sp>
          <xdr:sp macro="" textlink="">
            <xdr:nvSpPr>
              <xdr:cNvPr id="1245" name="Line 238"/>
              <xdr:cNvSpPr>
                <a:spLocks noChangeShapeType="1"/>
              </xdr:cNvSpPr>
            </xdr:nvSpPr>
            <xdr:spPr bwMode="auto">
              <a:xfrm>
                <a:off x="386" y="348"/>
                <a:ext cx="163" cy="0"/>
              </a:xfrm>
              <a:prstGeom prst="line">
                <a:avLst/>
              </a:prstGeom>
              <a:noFill/>
              <a:ln w="15875">
                <a:solidFill>
                  <a:srgbClr val="000000"/>
                </a:solidFill>
                <a:round/>
                <a:headEnd/>
                <a:tailEnd/>
              </a:ln>
            </xdr:spPr>
          </xdr:sp>
          <xdr:sp macro="" textlink="">
            <xdr:nvSpPr>
              <xdr:cNvPr id="1246" name="Line 239"/>
              <xdr:cNvSpPr>
                <a:spLocks noChangeShapeType="1"/>
              </xdr:cNvSpPr>
            </xdr:nvSpPr>
            <xdr:spPr bwMode="auto">
              <a:xfrm>
                <a:off x="386" y="146"/>
                <a:ext cx="163" cy="0"/>
              </a:xfrm>
              <a:prstGeom prst="line">
                <a:avLst/>
              </a:prstGeom>
              <a:noFill/>
              <a:ln w="15875">
                <a:solidFill>
                  <a:srgbClr val="000000"/>
                </a:solidFill>
                <a:round/>
                <a:headEnd/>
                <a:tailEnd/>
              </a:ln>
            </xdr:spPr>
          </xdr:sp>
        </xdr:grpSp>
        <xdr:sp macro="" textlink="">
          <xdr:nvSpPr>
            <xdr:cNvPr id="1236" name="Rectangle 240"/>
            <xdr:cNvSpPr>
              <a:spLocks noChangeArrowheads="1"/>
            </xdr:cNvSpPr>
          </xdr:nvSpPr>
          <xdr:spPr bwMode="auto">
            <a:xfrm>
              <a:off x="634" y="1419"/>
              <a:ext cx="11" cy="125"/>
            </a:xfrm>
            <a:prstGeom prst="rect">
              <a:avLst/>
            </a:prstGeom>
            <a:solidFill>
              <a:srgbClr val="FFFFFF"/>
            </a:solidFill>
            <a:ln w="15875" algn="ctr">
              <a:noFill/>
              <a:miter lim="800000"/>
              <a:headEnd/>
              <a:tailEnd/>
            </a:ln>
          </xdr:spPr>
        </xdr:sp>
        <xdr:sp macro="" textlink="">
          <xdr:nvSpPr>
            <xdr:cNvPr id="1237" name="Line 241"/>
            <xdr:cNvSpPr>
              <a:spLocks noChangeShapeType="1"/>
            </xdr:cNvSpPr>
          </xdr:nvSpPr>
          <xdr:spPr bwMode="auto">
            <a:xfrm>
              <a:off x="639" y="1255"/>
              <a:ext cx="0" cy="412"/>
            </a:xfrm>
            <a:prstGeom prst="line">
              <a:avLst/>
            </a:prstGeom>
            <a:noFill/>
            <a:ln w="6350">
              <a:solidFill>
                <a:srgbClr val="000000"/>
              </a:solidFill>
              <a:prstDash val="lgDashDot"/>
              <a:round/>
              <a:headEnd type="none" w="sm" len="med"/>
              <a:tailEnd type="none" w="sm" len="med"/>
            </a:ln>
          </xdr:spPr>
        </xdr:sp>
        <xdr:sp macro="" textlink="">
          <xdr:nvSpPr>
            <xdr:cNvPr id="1238" name="Line 242"/>
            <xdr:cNvSpPr>
              <a:spLocks noChangeShapeType="1"/>
            </xdr:cNvSpPr>
          </xdr:nvSpPr>
          <xdr:spPr bwMode="auto">
            <a:xfrm>
              <a:off x="567" y="1246"/>
              <a:ext cx="0" cy="26"/>
            </a:xfrm>
            <a:prstGeom prst="line">
              <a:avLst/>
            </a:prstGeom>
            <a:noFill/>
            <a:ln w="3175">
              <a:solidFill>
                <a:srgbClr val="000000"/>
              </a:solidFill>
              <a:round/>
              <a:headEnd/>
              <a:tailEnd/>
            </a:ln>
          </xdr:spPr>
        </xdr:sp>
        <xdr:sp macro="" textlink="">
          <xdr:nvSpPr>
            <xdr:cNvPr id="1239" name="Text Box 243"/>
            <xdr:cNvSpPr txBox="1">
              <a:spLocks noChangeArrowheads="1"/>
            </xdr:cNvSpPr>
          </xdr:nvSpPr>
          <xdr:spPr bwMode="auto">
            <a:xfrm>
              <a:off x="587" y="1641"/>
              <a:ext cx="31"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W</a:t>
              </a:r>
              <a:r>
                <a:rPr lang="de-DE" altLang="ja-JP" sz="600" b="1" i="0" strike="noStrike">
                  <a:solidFill>
                    <a:srgbClr val="000000"/>
                  </a:solidFill>
                  <a:latin typeface="Times New Roman"/>
                  <a:cs typeface="Times New Roman"/>
                </a:rPr>
                <a:t>LGS</a:t>
              </a:r>
            </a:p>
          </xdr:txBody>
        </xdr:sp>
        <xdr:sp macro="" textlink="">
          <xdr:nvSpPr>
            <xdr:cNvPr id="1240" name="Line 244"/>
            <xdr:cNvSpPr>
              <a:spLocks noChangeShapeType="1"/>
            </xdr:cNvSpPr>
          </xdr:nvSpPr>
          <xdr:spPr bwMode="auto">
            <a:xfrm>
              <a:off x="568" y="1358"/>
              <a:ext cx="28" cy="0"/>
            </a:xfrm>
            <a:prstGeom prst="line">
              <a:avLst/>
            </a:prstGeom>
            <a:noFill/>
            <a:ln w="9525">
              <a:solidFill>
                <a:srgbClr val="000000"/>
              </a:solidFill>
              <a:round/>
              <a:headEnd/>
              <a:tailEnd type="stealth" w="med" len="med"/>
            </a:ln>
          </xdr:spPr>
        </xdr:sp>
        <xdr:sp macro="" textlink="">
          <xdr:nvSpPr>
            <xdr:cNvPr id="1241" name="Text Box 246"/>
            <xdr:cNvSpPr txBox="1">
              <a:spLocks noChangeArrowheads="1"/>
            </xdr:cNvSpPr>
          </xdr:nvSpPr>
          <xdr:spPr bwMode="auto">
            <a:xfrm>
              <a:off x="601" y="1240"/>
              <a:ext cx="15" cy="19"/>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000" b="1" i="0" strike="noStrike">
                  <a:solidFill>
                    <a:srgbClr val="000000"/>
                  </a:solidFill>
                  <a:latin typeface="Times New Roman"/>
                  <a:cs typeface="Times New Roman"/>
                </a:rPr>
                <a:t>W</a:t>
              </a:r>
            </a:p>
          </xdr:txBody>
        </xdr:sp>
        <xdr:sp macro="" textlink="">
          <xdr:nvSpPr>
            <xdr:cNvPr id="1242" name="Line 247"/>
            <xdr:cNvSpPr>
              <a:spLocks noChangeShapeType="1"/>
            </xdr:cNvSpPr>
          </xdr:nvSpPr>
          <xdr:spPr bwMode="auto">
            <a:xfrm>
              <a:off x="562" y="1657"/>
              <a:ext cx="78" cy="0"/>
            </a:xfrm>
            <a:prstGeom prst="line">
              <a:avLst/>
            </a:prstGeom>
            <a:noFill/>
            <a:ln w="3175">
              <a:solidFill>
                <a:srgbClr val="000000"/>
              </a:solidFill>
              <a:round/>
              <a:headEnd type="triangle" w="sm" len="med"/>
              <a:tailEnd type="triangle" w="sm" len="med"/>
            </a:ln>
          </xdr:spPr>
        </xdr:sp>
      </xdr:grpSp>
      <xdr:grpSp>
        <xdr:nvGrpSpPr>
          <xdr:cNvPr id="1160" name="Group 253"/>
          <xdr:cNvGrpSpPr>
            <a:grpSpLocks/>
          </xdr:cNvGrpSpPr>
        </xdr:nvGrpSpPr>
        <xdr:grpSpPr bwMode="auto">
          <a:xfrm>
            <a:off x="485775" y="12573000"/>
            <a:ext cx="2028825" cy="3800475"/>
            <a:chOff x="51" y="1320"/>
            <a:chExt cx="213" cy="399"/>
          </a:xfrm>
        </xdr:grpSpPr>
        <xdr:sp macro="" textlink="">
          <xdr:nvSpPr>
            <xdr:cNvPr id="1161" name="Text Box 254"/>
            <xdr:cNvSpPr txBox="1">
              <a:spLocks noChangeArrowheads="1"/>
            </xdr:cNvSpPr>
          </xdr:nvSpPr>
          <xdr:spPr bwMode="auto">
            <a:xfrm>
              <a:off x="194" y="1684"/>
              <a:ext cx="28" cy="21"/>
            </a:xfrm>
            <a:prstGeom prst="rect">
              <a:avLst/>
            </a:prstGeom>
            <a:noFill/>
            <a:ln w="9525">
              <a:noFill/>
              <a:miter lim="800000"/>
              <a:headEnd/>
              <a:tailEnd/>
            </a:ln>
          </xdr:spPr>
          <xdr:txBody>
            <a:bodyPr wrap="none" lIns="27432" tIns="18288" rIns="0" bIns="0" anchor="t" upright="1">
              <a:spAutoFit/>
            </a:bodyPr>
            <a:lstStyle/>
            <a:p>
              <a:pPr algn="l" rtl="1">
                <a:defRPr sz="1000"/>
              </a:pPr>
              <a:r>
                <a:rPr lang="de-DE" altLang="ja-JP" sz="1100" b="1"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P</a:t>
              </a:r>
            </a:p>
          </xdr:txBody>
        </xdr:sp>
        <xdr:sp macro="" textlink="">
          <xdr:nvSpPr>
            <xdr:cNvPr id="1162" name="Line 255"/>
            <xdr:cNvSpPr>
              <a:spLocks noChangeShapeType="1"/>
            </xdr:cNvSpPr>
          </xdr:nvSpPr>
          <xdr:spPr bwMode="auto">
            <a:xfrm>
              <a:off x="179" y="1702"/>
              <a:ext cx="68" cy="0"/>
            </a:xfrm>
            <a:prstGeom prst="line">
              <a:avLst/>
            </a:prstGeom>
            <a:noFill/>
            <a:ln w="9525">
              <a:noFill/>
              <a:round/>
              <a:headEnd/>
              <a:tailEnd/>
            </a:ln>
          </xdr:spPr>
        </xdr:sp>
        <xdr:sp macro="" textlink="">
          <xdr:nvSpPr>
            <xdr:cNvPr id="1163" name="Line 256"/>
            <xdr:cNvSpPr>
              <a:spLocks noChangeShapeType="1"/>
            </xdr:cNvSpPr>
          </xdr:nvSpPr>
          <xdr:spPr bwMode="auto">
            <a:xfrm flipV="1">
              <a:off x="185" y="1701"/>
              <a:ext cx="45" cy="0"/>
            </a:xfrm>
            <a:prstGeom prst="line">
              <a:avLst/>
            </a:prstGeom>
            <a:noFill/>
            <a:ln w="9525">
              <a:solidFill>
                <a:srgbClr val="000000"/>
              </a:solidFill>
              <a:round/>
              <a:headEnd/>
              <a:tailEnd/>
            </a:ln>
          </xdr:spPr>
        </xdr:sp>
        <xdr:sp macro="" textlink="">
          <xdr:nvSpPr>
            <xdr:cNvPr id="1164" name="Text Box 257"/>
            <xdr:cNvSpPr txBox="1">
              <a:spLocks noChangeArrowheads="1"/>
            </xdr:cNvSpPr>
          </xdr:nvSpPr>
          <xdr:spPr bwMode="auto">
            <a:xfrm>
              <a:off x="61" y="1691"/>
              <a:ext cx="52" cy="24"/>
            </a:xfrm>
            <a:prstGeom prst="rect">
              <a:avLst/>
            </a:prstGeom>
            <a:noFill/>
            <a:ln w="9525">
              <a:noFill/>
              <a:miter lim="800000"/>
              <a:headEnd/>
              <a:tailEnd/>
            </a:ln>
          </xdr:spPr>
          <xdr:txBody>
            <a:bodyPr wrap="none" lIns="18288" tIns="27432" rIns="0" bIns="0" anchor="t" upright="1">
              <a:spAutoFit/>
            </a:bodyPr>
            <a:lstStyle/>
            <a:p>
              <a:pPr algn="l" rtl="1">
                <a:defRPr sz="1000"/>
              </a:pPr>
              <a:r>
                <a:rPr lang="el-GR" altLang="ja-JP" sz="1200" b="0" i="0" strike="noStrike">
                  <a:solidFill>
                    <a:srgbClr val="000000"/>
                  </a:solidFill>
                  <a:latin typeface="Times New Roman"/>
                  <a:cs typeface="Times New Roman"/>
                </a:rPr>
                <a:t>σ</a:t>
              </a:r>
              <a:r>
                <a:rPr lang="ja-JP" altLang="el-GR" sz="1200" b="0" i="0" strike="noStrike">
                  <a:solidFill>
                    <a:srgbClr val="000000"/>
                  </a:solidFill>
                  <a:latin typeface="ＭＳ Ｐゴシック"/>
                  <a:ea typeface="ＭＳ Ｐゴシック"/>
                </a:rPr>
                <a:t>／</a:t>
              </a:r>
              <a:r>
                <a:rPr lang="de-DE" altLang="ja-JP" sz="1200" b="1" i="1" strike="noStrike">
                  <a:solidFill>
                    <a:srgbClr val="000000"/>
                  </a:solidFill>
                  <a:latin typeface="ＭＳ 明朝"/>
                  <a:ea typeface="ＭＳ 明朝"/>
                </a:rPr>
                <a:t>f</a:t>
              </a:r>
              <a:r>
                <a:rPr lang="ja-JP" altLang="de-DE" sz="1000" b="1" i="0" strike="noStrike">
                  <a:solidFill>
                    <a:srgbClr val="000000"/>
                  </a:solidFill>
                  <a:latin typeface="ＭＳ Ｐゴシック"/>
                  <a:ea typeface="ＭＳ Ｐゴシック"/>
                </a:rPr>
                <a:t>＝</a:t>
              </a:r>
            </a:p>
          </xdr:txBody>
        </xdr:sp>
        <xdr:sp macro="" textlink="">
          <xdr:nvSpPr>
            <xdr:cNvPr id="1165" name="Line 258"/>
            <xdr:cNvSpPr>
              <a:spLocks noChangeShapeType="1"/>
            </xdr:cNvSpPr>
          </xdr:nvSpPr>
          <xdr:spPr bwMode="auto">
            <a:xfrm>
              <a:off x="117" y="1701"/>
              <a:ext cx="38" cy="1"/>
            </a:xfrm>
            <a:prstGeom prst="line">
              <a:avLst/>
            </a:prstGeom>
            <a:noFill/>
            <a:ln w="9525">
              <a:noFill/>
              <a:round/>
              <a:headEnd/>
              <a:tailEnd/>
            </a:ln>
          </xdr:spPr>
        </xdr:sp>
        <xdr:sp macro="" textlink="">
          <xdr:nvSpPr>
            <xdr:cNvPr id="1166" name="Line 259"/>
            <xdr:cNvSpPr>
              <a:spLocks noChangeShapeType="1"/>
            </xdr:cNvSpPr>
          </xdr:nvSpPr>
          <xdr:spPr bwMode="auto">
            <a:xfrm flipH="1">
              <a:off x="116" y="1701"/>
              <a:ext cx="56" cy="1"/>
            </a:xfrm>
            <a:prstGeom prst="line">
              <a:avLst/>
            </a:prstGeom>
            <a:noFill/>
            <a:ln w="9525">
              <a:noFill/>
              <a:round/>
              <a:headEnd/>
              <a:tailEnd/>
            </a:ln>
          </xdr:spPr>
        </xdr:sp>
        <xdr:sp macro="" textlink="">
          <xdr:nvSpPr>
            <xdr:cNvPr id="1167" name="Line 260"/>
            <xdr:cNvSpPr>
              <a:spLocks noChangeShapeType="1"/>
            </xdr:cNvSpPr>
          </xdr:nvSpPr>
          <xdr:spPr bwMode="auto">
            <a:xfrm flipH="1">
              <a:off x="116" y="1701"/>
              <a:ext cx="49" cy="1"/>
            </a:xfrm>
            <a:prstGeom prst="line">
              <a:avLst/>
            </a:prstGeom>
            <a:noFill/>
            <a:ln w="9525">
              <a:noFill/>
              <a:round/>
              <a:headEnd/>
              <a:tailEnd/>
            </a:ln>
          </xdr:spPr>
        </xdr:sp>
        <xdr:sp macro="" textlink="">
          <xdr:nvSpPr>
            <xdr:cNvPr id="1168" name="Line 261"/>
            <xdr:cNvSpPr>
              <a:spLocks noChangeShapeType="1"/>
            </xdr:cNvSpPr>
          </xdr:nvSpPr>
          <xdr:spPr bwMode="auto">
            <a:xfrm flipV="1">
              <a:off x="117" y="1701"/>
              <a:ext cx="47" cy="0"/>
            </a:xfrm>
            <a:prstGeom prst="line">
              <a:avLst/>
            </a:prstGeom>
            <a:noFill/>
            <a:ln w="9525">
              <a:solidFill>
                <a:srgbClr val="000000"/>
              </a:solidFill>
              <a:round/>
              <a:headEnd/>
              <a:tailEnd/>
            </a:ln>
          </xdr:spPr>
        </xdr:sp>
        <xdr:sp macro="" textlink="">
          <xdr:nvSpPr>
            <xdr:cNvPr id="1169" name="Text Box 262"/>
            <xdr:cNvSpPr txBox="1">
              <a:spLocks noChangeArrowheads="1"/>
            </xdr:cNvSpPr>
          </xdr:nvSpPr>
          <xdr:spPr bwMode="auto">
            <a:xfrm>
              <a:off x="120" y="1684"/>
              <a:ext cx="34" cy="21"/>
            </a:xfrm>
            <a:prstGeom prst="rect">
              <a:avLst/>
            </a:prstGeom>
            <a:noFill/>
            <a:ln w="9525">
              <a:noFill/>
              <a:miter lim="800000"/>
              <a:headEnd/>
              <a:tailEnd/>
            </a:ln>
          </xdr:spPr>
          <xdr:txBody>
            <a:bodyPr wrap="none" lIns="27432" tIns="18288" rIns="0" bIns="0" anchor="t" upright="1">
              <a:spAutoFit/>
            </a:bodyPr>
            <a:lstStyle/>
            <a:p>
              <a:pPr algn="l" rtl="1">
                <a:defRPr sz="1000"/>
              </a:pPr>
              <a:r>
                <a:rPr lang="de-DE" altLang="ja-JP" sz="1100" b="1"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M</a:t>
              </a:r>
            </a:p>
          </xdr:txBody>
        </xdr:sp>
        <xdr:sp macro="" textlink="">
          <xdr:nvSpPr>
            <xdr:cNvPr id="1170" name="Text Box 263"/>
            <xdr:cNvSpPr txBox="1">
              <a:spLocks noChangeArrowheads="1"/>
            </xdr:cNvSpPr>
          </xdr:nvSpPr>
          <xdr:spPr bwMode="auto">
            <a:xfrm>
              <a:off x="191" y="1698"/>
              <a:ext cx="4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A</a:t>
              </a:r>
              <a:r>
                <a:rPr lang="de-DE" altLang="ja-JP" sz="1100" b="0" i="0" strike="noStrike">
                  <a:solidFill>
                    <a:srgbClr val="000000"/>
                  </a:solidFill>
                  <a:latin typeface="ＭＳ Ｐ明朝"/>
                  <a:ea typeface="ＭＳ Ｐ明朝"/>
                </a:rPr>
                <a:t>×</a:t>
              </a:r>
              <a:r>
                <a:rPr lang="de-DE" altLang="ja-JP" sz="1100" b="1" i="0" strike="noStrike">
                  <a:solidFill>
                    <a:srgbClr val="000000"/>
                  </a:solidFill>
                  <a:latin typeface="ＭＳ 明朝"/>
                  <a:ea typeface="ＭＳ 明朝"/>
                </a:rPr>
                <a:t>f</a:t>
              </a:r>
              <a:r>
                <a:rPr lang="de-DE" altLang="ja-JP" sz="1100" b="1" i="0" strike="noStrike">
                  <a:solidFill>
                    <a:srgbClr val="000000"/>
                  </a:solidFill>
                  <a:latin typeface="ＭＳ Ｐ明朝"/>
                  <a:ea typeface="ＭＳ Ｐ明朝"/>
                </a:rPr>
                <a:t>c</a:t>
              </a:r>
            </a:p>
          </xdr:txBody>
        </xdr:sp>
        <xdr:sp macro="" textlink="">
          <xdr:nvSpPr>
            <xdr:cNvPr id="1171" name="Text Box 264"/>
            <xdr:cNvSpPr txBox="1">
              <a:spLocks noChangeArrowheads="1"/>
            </xdr:cNvSpPr>
          </xdr:nvSpPr>
          <xdr:spPr bwMode="auto">
            <a:xfrm>
              <a:off x="163" y="1694"/>
              <a:ext cx="15" cy="18"/>
            </a:xfrm>
            <a:prstGeom prst="rect">
              <a:avLst/>
            </a:prstGeom>
            <a:noFill/>
            <a:ln w="9525">
              <a:noFill/>
              <a:miter lim="800000"/>
              <a:headEnd/>
              <a:tailEnd/>
            </a:ln>
          </xdr:spPr>
          <xdr:txBody>
            <a:bodyPr wrap="none" lIns="18288" tIns="18288" rIns="0" bIns="0" anchor="t" upright="1">
              <a:spAutoFit/>
            </a:bodyPr>
            <a:lstStyle/>
            <a:p>
              <a:pPr algn="l" rtl="1">
                <a:defRPr sz="1000"/>
              </a:pPr>
              <a:r>
                <a:rPr lang="ja-JP" altLang="en-US" sz="1000" b="0" i="0" strike="noStrike">
                  <a:solidFill>
                    <a:srgbClr val="000000"/>
                  </a:solidFill>
                  <a:latin typeface="ＭＳ Ｐゴシック"/>
                  <a:ea typeface="ＭＳ Ｐゴシック"/>
                </a:rPr>
                <a:t>＋</a:t>
              </a:r>
            </a:p>
          </xdr:txBody>
        </xdr:sp>
        <xdr:sp macro="" textlink="">
          <xdr:nvSpPr>
            <xdr:cNvPr id="1172" name="Text Box 265"/>
            <xdr:cNvSpPr txBox="1">
              <a:spLocks noChangeArrowheads="1"/>
            </xdr:cNvSpPr>
          </xdr:nvSpPr>
          <xdr:spPr bwMode="auto">
            <a:xfrm>
              <a:off x="118" y="1696"/>
              <a:ext cx="48"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Z</a:t>
              </a:r>
              <a:r>
                <a:rPr lang="de-DE" altLang="ja-JP" sz="700" b="1" i="0" strike="noStrike">
                  <a:solidFill>
                    <a:srgbClr val="000000"/>
                  </a:solidFill>
                  <a:latin typeface="Times New Roman"/>
                  <a:cs typeface="Times New Roman"/>
                </a:rPr>
                <a:t>Y</a:t>
              </a:r>
              <a:r>
                <a:rPr lang="de-DE" altLang="ja-JP" sz="1100" b="0" i="0" strike="noStrike">
                  <a:solidFill>
                    <a:srgbClr val="000000"/>
                  </a:solidFill>
                  <a:latin typeface="ＭＳ Ｐ明朝"/>
                  <a:ea typeface="ＭＳ Ｐ明朝"/>
                </a:rPr>
                <a:t>×</a:t>
              </a:r>
              <a:r>
                <a:rPr lang="de-DE" altLang="ja-JP" sz="1100" b="1" i="0" strike="noStrike">
                  <a:solidFill>
                    <a:srgbClr val="000000"/>
                  </a:solidFill>
                  <a:latin typeface="ＭＳ 明朝"/>
                  <a:ea typeface="ＭＳ 明朝"/>
                </a:rPr>
                <a:t>f</a:t>
              </a:r>
              <a:r>
                <a:rPr lang="de-DE" altLang="ja-JP" sz="900" b="1" i="0" strike="noStrike">
                  <a:solidFill>
                    <a:srgbClr val="000000"/>
                  </a:solidFill>
                  <a:latin typeface="ＭＳ Ｐ明朝"/>
                  <a:ea typeface="ＭＳ Ｐ明朝"/>
                </a:rPr>
                <a:t>b</a:t>
              </a:r>
            </a:p>
          </xdr:txBody>
        </xdr:sp>
        <xdr:sp macro="" textlink="">
          <xdr:nvSpPr>
            <xdr:cNvPr id="1173" name="Text Box 266"/>
            <xdr:cNvSpPr txBox="1">
              <a:spLocks noChangeArrowheads="1"/>
            </xdr:cNvSpPr>
          </xdr:nvSpPr>
          <xdr:spPr bwMode="auto">
            <a:xfrm>
              <a:off x="184" y="1401"/>
              <a:ext cx="80"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V</a:t>
              </a:r>
              <a:r>
                <a:rPr lang="ja-JP" altLang="de-DE" sz="1000" b="1"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K</a:t>
              </a:r>
              <a:r>
                <a:rPr lang="de-DE" altLang="ja-JP" sz="700" b="1" i="0" strike="noStrike">
                  <a:solidFill>
                    <a:srgbClr val="000000"/>
                  </a:solidFill>
                  <a:latin typeface="Times New Roman"/>
                  <a:cs typeface="Times New Roman"/>
                </a:rPr>
                <a:t>V</a:t>
              </a: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W</a:t>
              </a:r>
              <a:r>
                <a:rPr lang="de-DE" altLang="ja-JP" sz="900" b="1" i="0" strike="noStrike">
                  <a:solidFill>
                    <a:srgbClr val="000000"/>
                  </a:solidFill>
                  <a:latin typeface="Times New Roman"/>
                  <a:cs typeface="Times New Roman"/>
                </a:rPr>
                <a:t>t</a:t>
              </a:r>
            </a:p>
          </xdr:txBody>
        </xdr:sp>
        <xdr:sp macro="" textlink="">
          <xdr:nvSpPr>
            <xdr:cNvPr id="1174" name="Text Box 267"/>
            <xdr:cNvSpPr txBox="1">
              <a:spLocks noChangeArrowheads="1"/>
            </xdr:cNvSpPr>
          </xdr:nvSpPr>
          <xdr:spPr bwMode="auto">
            <a:xfrm>
              <a:off x="68" y="1401"/>
              <a:ext cx="82"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r>
                <a:rPr lang="ja-JP" altLang="de-DE" sz="1000" b="1"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K</a:t>
              </a:r>
              <a:r>
                <a:rPr lang="de-DE" altLang="ja-JP" sz="700" b="1" i="0" strike="noStrike">
                  <a:solidFill>
                    <a:srgbClr val="000000"/>
                  </a:solidFill>
                  <a:latin typeface="Times New Roman"/>
                  <a:cs typeface="Times New Roman"/>
                </a:rPr>
                <a:t>H</a:t>
              </a: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W</a:t>
              </a:r>
              <a:r>
                <a:rPr lang="de-DE" altLang="ja-JP" sz="900" b="1" i="0" strike="noStrike">
                  <a:solidFill>
                    <a:srgbClr val="000000"/>
                  </a:solidFill>
                  <a:latin typeface="Times New Roman"/>
                  <a:cs typeface="Times New Roman"/>
                </a:rPr>
                <a:t>t</a:t>
              </a:r>
            </a:p>
          </xdr:txBody>
        </xdr:sp>
        <xdr:sp macro="" textlink="">
          <xdr:nvSpPr>
            <xdr:cNvPr id="1175" name="Line 268"/>
            <xdr:cNvSpPr>
              <a:spLocks noChangeShapeType="1"/>
            </xdr:cNvSpPr>
          </xdr:nvSpPr>
          <xdr:spPr bwMode="auto">
            <a:xfrm>
              <a:off x="95" y="1502"/>
              <a:ext cx="44" cy="0"/>
            </a:xfrm>
            <a:prstGeom prst="line">
              <a:avLst/>
            </a:prstGeom>
            <a:noFill/>
            <a:ln w="6350">
              <a:solidFill>
                <a:srgbClr val="000000"/>
              </a:solidFill>
              <a:round/>
              <a:headEnd/>
              <a:tailEnd/>
            </a:ln>
          </xdr:spPr>
        </xdr:sp>
        <xdr:sp macro="" textlink="">
          <xdr:nvSpPr>
            <xdr:cNvPr id="1176" name="Text Box 269"/>
            <xdr:cNvSpPr txBox="1">
              <a:spLocks noChangeArrowheads="1"/>
            </xdr:cNvSpPr>
          </xdr:nvSpPr>
          <xdr:spPr bwMode="auto">
            <a:xfrm>
              <a:off x="58" y="1491"/>
              <a:ext cx="152"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P</a:t>
              </a:r>
              <a:r>
                <a:rPr lang="de-DE" altLang="ja-JP" sz="700" b="1" i="0" strike="noStrike">
                  <a:solidFill>
                    <a:srgbClr val="000000"/>
                  </a:solidFill>
                  <a:latin typeface="Times New Roman"/>
                  <a:cs typeface="Times New Roman"/>
                </a:rPr>
                <a:t>B</a:t>
              </a:r>
              <a:r>
                <a:rPr lang="ja-JP" altLang="de-DE" sz="1000" b="1" i="0" strike="noStrike">
                  <a:solidFill>
                    <a:srgbClr val="000000"/>
                  </a:solidFill>
                  <a:latin typeface="ＭＳ Ｐゴシック"/>
                  <a:ea typeface="ＭＳ Ｐゴシック"/>
                </a:rPr>
                <a:t>＝　　　　　</a:t>
              </a:r>
              <a:r>
                <a:rPr lang="ja-JP" altLang="de-DE" sz="1000" b="1" i="0" strike="noStrike">
                  <a:solidFill>
                    <a:srgbClr val="000000"/>
                  </a:solidFill>
                  <a:latin typeface="Times New Roman"/>
                  <a:cs typeface="Times New Roman"/>
                </a:rPr>
                <a:t> </a:t>
              </a:r>
              <a:r>
                <a:rPr lang="de-DE" altLang="ja-JP" sz="1000" b="1" i="0" strike="noStrike">
                  <a:solidFill>
                    <a:srgbClr val="000000"/>
                  </a:solidFill>
                  <a:latin typeface="ＭＳ ゴシック"/>
                  <a:ea typeface="ＭＳ ゴシック"/>
                </a:rPr>
                <a:t>×</a:t>
              </a:r>
              <a:r>
                <a:rPr lang="de-DE" altLang="ja-JP" sz="1100" b="1" i="0" strike="noStrike">
                  <a:solidFill>
                    <a:srgbClr val="000000"/>
                  </a:solidFill>
                  <a:latin typeface="Times New Roman"/>
                  <a:cs typeface="Times New Roman"/>
                </a:rPr>
                <a:t>W</a:t>
              </a:r>
              <a:r>
                <a:rPr lang="de-DE" altLang="ja-JP" sz="700" b="1" i="0" strike="noStrike">
                  <a:solidFill>
                    <a:srgbClr val="000000"/>
                  </a:solidFill>
                  <a:latin typeface="Times New Roman"/>
                  <a:cs typeface="Times New Roman"/>
                </a:rPr>
                <a:t>B</a:t>
              </a: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L</a:t>
              </a:r>
              <a:r>
                <a:rPr lang="de-DE" altLang="ja-JP" sz="800" b="1" i="0" strike="noStrike">
                  <a:solidFill>
                    <a:srgbClr val="000000"/>
                  </a:solidFill>
                  <a:latin typeface="Times New Roman"/>
                  <a:cs typeface="Times New Roman"/>
                </a:rPr>
                <a:t>w</a:t>
              </a:r>
            </a:p>
          </xdr:txBody>
        </xdr:sp>
        <xdr:sp macro="" textlink="">
          <xdr:nvSpPr>
            <xdr:cNvPr id="1177" name="Text Box 270"/>
            <xdr:cNvSpPr txBox="1">
              <a:spLocks noChangeArrowheads="1"/>
            </xdr:cNvSpPr>
          </xdr:nvSpPr>
          <xdr:spPr bwMode="auto">
            <a:xfrm>
              <a:off x="94" y="1483"/>
              <a:ext cx="3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r>
                <a:rPr lang="de-DE" altLang="ja-JP" sz="700" b="1" i="0" strike="noStrike">
                  <a:solidFill>
                    <a:srgbClr val="000000"/>
                  </a:solidFill>
                  <a:latin typeface="Times New Roman"/>
                  <a:cs typeface="Times New Roman"/>
                </a:rPr>
                <a:t>LGS</a:t>
              </a:r>
            </a:p>
          </xdr:txBody>
        </xdr:sp>
        <xdr:sp macro="" textlink="">
          <xdr:nvSpPr>
            <xdr:cNvPr id="1178" name="Text Box 271"/>
            <xdr:cNvSpPr txBox="1">
              <a:spLocks noChangeArrowheads="1"/>
            </xdr:cNvSpPr>
          </xdr:nvSpPr>
          <xdr:spPr bwMode="auto">
            <a:xfrm>
              <a:off x="95" y="1500"/>
              <a:ext cx="34" cy="21"/>
            </a:xfrm>
            <a:prstGeom prst="rect">
              <a:avLst/>
            </a:prstGeom>
            <a:noFill/>
            <a:ln w="9525">
              <a:noFill/>
              <a:miter lim="800000"/>
              <a:headEnd/>
              <a:tailEnd/>
            </a:ln>
          </xdr:spPr>
          <xdr:txBody>
            <a:bodyPr wrap="none" lIns="18288" tIns="22860" rIns="0" bIns="0" anchor="t" upright="1">
              <a:spAutoFit/>
            </a:bodyPr>
            <a:lstStyle/>
            <a:p>
              <a:pPr algn="l" rtl="1">
                <a:defRPr sz="1000"/>
              </a:pPr>
              <a:r>
                <a:rPr lang="en-US" altLang="ja-JP" sz="1100" b="1" i="0" strike="noStrike">
                  <a:solidFill>
                    <a:srgbClr val="000000"/>
                  </a:solidFill>
                  <a:latin typeface="Times New Roman"/>
                  <a:cs typeface="Times New Roman"/>
                </a:rPr>
                <a:t>1000</a:t>
              </a:r>
            </a:p>
          </xdr:txBody>
        </xdr:sp>
        <xdr:sp macro="" textlink="">
          <xdr:nvSpPr>
            <xdr:cNvPr id="1179" name="Line 272"/>
            <xdr:cNvSpPr>
              <a:spLocks noChangeShapeType="1"/>
            </xdr:cNvSpPr>
          </xdr:nvSpPr>
          <xdr:spPr bwMode="auto">
            <a:xfrm>
              <a:off x="148" y="1382"/>
              <a:ext cx="67" cy="1"/>
            </a:xfrm>
            <a:prstGeom prst="line">
              <a:avLst/>
            </a:prstGeom>
            <a:noFill/>
            <a:ln w="9525">
              <a:noFill/>
              <a:round/>
              <a:headEnd/>
              <a:tailEnd/>
            </a:ln>
          </xdr:spPr>
        </xdr:sp>
        <xdr:sp macro="" textlink="">
          <xdr:nvSpPr>
            <xdr:cNvPr id="1180" name="Line 273"/>
            <xdr:cNvSpPr>
              <a:spLocks noChangeShapeType="1"/>
            </xdr:cNvSpPr>
          </xdr:nvSpPr>
          <xdr:spPr bwMode="auto">
            <a:xfrm>
              <a:off x="126" y="1403"/>
              <a:ext cx="106" cy="1"/>
            </a:xfrm>
            <a:prstGeom prst="line">
              <a:avLst/>
            </a:prstGeom>
            <a:noFill/>
            <a:ln w="9525">
              <a:noFill/>
              <a:round/>
              <a:headEnd/>
              <a:tailEnd/>
            </a:ln>
          </xdr:spPr>
        </xdr:sp>
        <xdr:sp macro="" textlink="">
          <xdr:nvSpPr>
            <xdr:cNvPr id="1181" name="Text Box 274"/>
            <xdr:cNvSpPr txBox="1">
              <a:spLocks noChangeArrowheads="1"/>
            </xdr:cNvSpPr>
          </xdr:nvSpPr>
          <xdr:spPr bwMode="auto">
            <a:xfrm>
              <a:off x="90" y="1364"/>
              <a:ext cx="32"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r>
                <a:rPr lang="de-DE" altLang="ja-JP" sz="600" b="1" i="0" strike="noStrike">
                  <a:solidFill>
                    <a:srgbClr val="000000"/>
                  </a:solidFill>
                  <a:latin typeface="Times New Roman"/>
                  <a:cs typeface="Times New Roman"/>
                </a:rPr>
                <a:t>LGS</a:t>
              </a:r>
            </a:p>
          </xdr:txBody>
        </xdr:sp>
        <xdr:sp macro="" textlink="">
          <xdr:nvSpPr>
            <xdr:cNvPr id="1182" name="Line 275"/>
            <xdr:cNvSpPr>
              <a:spLocks noChangeShapeType="1"/>
            </xdr:cNvSpPr>
          </xdr:nvSpPr>
          <xdr:spPr bwMode="auto">
            <a:xfrm>
              <a:off x="87" y="1382"/>
              <a:ext cx="39" cy="0"/>
            </a:xfrm>
            <a:prstGeom prst="line">
              <a:avLst/>
            </a:prstGeom>
            <a:noFill/>
            <a:ln w="9525">
              <a:noFill/>
              <a:round/>
              <a:headEnd/>
              <a:tailEnd/>
            </a:ln>
          </xdr:spPr>
        </xdr:sp>
        <xdr:sp macro="" textlink="">
          <xdr:nvSpPr>
            <xdr:cNvPr id="1183" name="Line 276"/>
            <xdr:cNvSpPr>
              <a:spLocks noChangeShapeType="1"/>
            </xdr:cNvSpPr>
          </xdr:nvSpPr>
          <xdr:spPr bwMode="auto">
            <a:xfrm flipH="1">
              <a:off x="87" y="1382"/>
              <a:ext cx="54" cy="1"/>
            </a:xfrm>
            <a:prstGeom prst="line">
              <a:avLst/>
            </a:prstGeom>
            <a:noFill/>
            <a:ln w="9525">
              <a:noFill/>
              <a:round/>
              <a:headEnd/>
              <a:tailEnd/>
            </a:ln>
          </xdr:spPr>
        </xdr:sp>
        <xdr:sp macro="" textlink="">
          <xdr:nvSpPr>
            <xdr:cNvPr id="1184" name="Line 277"/>
            <xdr:cNvSpPr>
              <a:spLocks noChangeShapeType="1"/>
            </xdr:cNvSpPr>
          </xdr:nvSpPr>
          <xdr:spPr bwMode="auto">
            <a:xfrm flipH="1">
              <a:off x="87" y="1382"/>
              <a:ext cx="49" cy="1"/>
            </a:xfrm>
            <a:prstGeom prst="line">
              <a:avLst/>
            </a:prstGeom>
            <a:noFill/>
            <a:ln w="9525">
              <a:noFill/>
              <a:round/>
              <a:headEnd/>
              <a:tailEnd/>
            </a:ln>
          </xdr:spPr>
        </xdr:sp>
        <xdr:sp macro="" textlink="">
          <xdr:nvSpPr>
            <xdr:cNvPr id="1185" name="Text Box 278"/>
            <xdr:cNvSpPr txBox="1">
              <a:spLocks noChangeArrowheads="1"/>
            </xdr:cNvSpPr>
          </xdr:nvSpPr>
          <xdr:spPr bwMode="auto">
            <a:xfrm>
              <a:off x="131" y="1371"/>
              <a:ext cx="75" cy="22"/>
            </a:xfrm>
            <a:prstGeom prst="rect">
              <a:avLst/>
            </a:prstGeom>
            <a:noFill/>
            <a:ln w="9525">
              <a:noFill/>
              <a:miter lim="800000"/>
              <a:headEnd/>
              <a:tailEnd/>
            </a:ln>
          </xdr:spPr>
          <xdr:txBody>
            <a:bodyPr wrap="none" lIns="18288" tIns="18288" rIns="0" bIns="0" anchor="t" upright="1">
              <a:spAutoFit/>
            </a:bodyPr>
            <a:lstStyle/>
            <a:p>
              <a:pPr algn="l" rtl="1">
                <a:defRPr sz="1000"/>
              </a:pPr>
              <a:r>
                <a:rPr lang="de-DE" altLang="ja-JP" sz="1000" b="0" i="0" strike="noStrike">
                  <a:solidFill>
                    <a:srgbClr val="000000"/>
                  </a:solidFill>
                  <a:latin typeface="ＭＳ Ｐゴシック"/>
                  <a:ea typeface="ＭＳ Ｐゴシック"/>
                </a:rPr>
                <a:t>×</a:t>
              </a:r>
              <a:r>
                <a:rPr lang="de-DE" altLang="ja-JP" sz="1200" b="1"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V</a:t>
              </a:r>
              <a:r>
                <a:rPr lang="ja-JP" altLang="de-DE" sz="11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W</a:t>
              </a:r>
              <a:r>
                <a:rPr lang="de-DE" altLang="ja-JP" sz="900" b="1" i="0" strike="noStrike">
                  <a:solidFill>
                    <a:srgbClr val="000000"/>
                  </a:solidFill>
                  <a:latin typeface="Times New Roman"/>
                  <a:cs typeface="Times New Roman"/>
                </a:rPr>
                <a:t>t</a:t>
              </a:r>
              <a:r>
                <a:rPr lang="de-DE" altLang="ja-JP" sz="1200" b="1" i="0" strike="noStrike">
                  <a:solidFill>
                    <a:srgbClr val="000000"/>
                  </a:solidFill>
                  <a:latin typeface="ＭＳ Ｐ明朝"/>
                  <a:ea typeface="ＭＳ Ｐ明朝"/>
                </a:rPr>
                <a:t>)</a:t>
              </a:r>
            </a:p>
          </xdr:txBody>
        </xdr:sp>
        <xdr:sp macro="" textlink="">
          <xdr:nvSpPr>
            <xdr:cNvPr id="1186" name="Line 279"/>
            <xdr:cNvSpPr>
              <a:spLocks noChangeShapeType="1"/>
            </xdr:cNvSpPr>
          </xdr:nvSpPr>
          <xdr:spPr bwMode="auto">
            <a:xfrm>
              <a:off x="91" y="1382"/>
              <a:ext cx="36" cy="0"/>
            </a:xfrm>
            <a:prstGeom prst="line">
              <a:avLst/>
            </a:prstGeom>
            <a:noFill/>
            <a:ln w="9525">
              <a:solidFill>
                <a:srgbClr val="000000"/>
              </a:solidFill>
              <a:round/>
              <a:headEnd/>
              <a:tailEnd/>
            </a:ln>
          </xdr:spPr>
        </xdr:sp>
        <xdr:sp macro="" textlink="">
          <xdr:nvSpPr>
            <xdr:cNvPr id="1187" name="Text Box 280"/>
            <xdr:cNvSpPr txBox="1">
              <a:spLocks noChangeArrowheads="1"/>
            </xdr:cNvSpPr>
          </xdr:nvSpPr>
          <xdr:spPr bwMode="auto">
            <a:xfrm>
              <a:off x="107" y="1383"/>
              <a:ext cx="16"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p>
          </xdr:txBody>
        </xdr:sp>
        <xdr:sp macro="" textlink="">
          <xdr:nvSpPr>
            <xdr:cNvPr id="1188" name="Text Box 281"/>
            <xdr:cNvSpPr txBox="1">
              <a:spLocks noChangeArrowheads="1"/>
            </xdr:cNvSpPr>
          </xdr:nvSpPr>
          <xdr:spPr bwMode="auto">
            <a:xfrm>
              <a:off x="56" y="1371"/>
              <a:ext cx="29"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P</a:t>
              </a:r>
              <a:r>
                <a:rPr lang="de-DE" altLang="ja-JP" sz="900" b="1" i="0" strike="noStrike">
                  <a:solidFill>
                    <a:srgbClr val="000000"/>
                  </a:solidFill>
                  <a:latin typeface="Times New Roman"/>
                  <a:cs typeface="Times New Roman"/>
                </a:rPr>
                <a:t>t</a:t>
              </a:r>
              <a:r>
                <a:rPr lang="ja-JP" altLang="de-DE" sz="1000" b="1" i="0" strike="noStrike">
                  <a:solidFill>
                    <a:srgbClr val="000000"/>
                  </a:solidFill>
                  <a:latin typeface="ＭＳ Ｐゴシック"/>
                  <a:ea typeface="ＭＳ Ｐゴシック"/>
                </a:rPr>
                <a:t>＝</a:t>
              </a:r>
            </a:p>
          </xdr:txBody>
        </xdr:sp>
        <xdr:sp macro="" textlink="">
          <xdr:nvSpPr>
            <xdr:cNvPr id="1189" name="Text Box 282"/>
            <xdr:cNvSpPr txBox="1">
              <a:spLocks noChangeArrowheads="1"/>
            </xdr:cNvSpPr>
          </xdr:nvSpPr>
          <xdr:spPr bwMode="auto">
            <a:xfrm>
              <a:off x="203" y="1340"/>
              <a:ext cx="21"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W</a:t>
              </a:r>
            </a:p>
          </xdr:txBody>
        </xdr:sp>
        <xdr:sp macro="" textlink="">
          <xdr:nvSpPr>
            <xdr:cNvPr id="1190" name="Text Box 283"/>
            <xdr:cNvSpPr txBox="1">
              <a:spLocks noChangeArrowheads="1"/>
            </xdr:cNvSpPr>
          </xdr:nvSpPr>
          <xdr:spPr bwMode="auto">
            <a:xfrm>
              <a:off x="191" y="1323"/>
              <a:ext cx="6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W1</a:t>
              </a:r>
              <a:r>
                <a:rPr lang="de-DE" altLang="ja-JP" sz="11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W2</a:t>
              </a:r>
            </a:p>
          </xdr:txBody>
        </xdr:sp>
        <xdr:sp macro="" textlink="">
          <xdr:nvSpPr>
            <xdr:cNvPr id="1191" name="Line 284"/>
            <xdr:cNvSpPr>
              <a:spLocks noChangeShapeType="1"/>
            </xdr:cNvSpPr>
          </xdr:nvSpPr>
          <xdr:spPr bwMode="auto">
            <a:xfrm>
              <a:off x="150" y="1342"/>
              <a:ext cx="66" cy="1"/>
            </a:xfrm>
            <a:prstGeom prst="line">
              <a:avLst/>
            </a:prstGeom>
            <a:noFill/>
            <a:ln w="9525">
              <a:noFill/>
              <a:round/>
              <a:headEnd/>
              <a:tailEnd/>
            </a:ln>
          </xdr:spPr>
        </xdr:sp>
        <xdr:sp macro="" textlink="">
          <xdr:nvSpPr>
            <xdr:cNvPr id="1192" name="Line 285"/>
            <xdr:cNvSpPr>
              <a:spLocks noChangeShapeType="1"/>
            </xdr:cNvSpPr>
          </xdr:nvSpPr>
          <xdr:spPr bwMode="auto">
            <a:xfrm>
              <a:off x="127" y="1358"/>
              <a:ext cx="105" cy="1"/>
            </a:xfrm>
            <a:prstGeom prst="line">
              <a:avLst/>
            </a:prstGeom>
            <a:noFill/>
            <a:ln w="9525">
              <a:noFill/>
              <a:round/>
              <a:headEnd/>
              <a:tailEnd/>
            </a:ln>
          </xdr:spPr>
        </xdr:sp>
        <xdr:sp macro="" textlink="">
          <xdr:nvSpPr>
            <xdr:cNvPr id="1193" name="Line 286"/>
            <xdr:cNvSpPr>
              <a:spLocks noChangeShapeType="1"/>
            </xdr:cNvSpPr>
          </xdr:nvSpPr>
          <xdr:spPr bwMode="auto">
            <a:xfrm flipV="1">
              <a:off x="189" y="1341"/>
              <a:ext cx="67" cy="0"/>
            </a:xfrm>
            <a:prstGeom prst="line">
              <a:avLst/>
            </a:prstGeom>
            <a:noFill/>
            <a:ln w="9525">
              <a:solidFill>
                <a:srgbClr val="000000"/>
              </a:solidFill>
              <a:round/>
              <a:headEnd/>
              <a:tailEnd/>
            </a:ln>
          </xdr:spPr>
        </xdr:sp>
        <xdr:sp macro="" textlink="">
          <xdr:nvSpPr>
            <xdr:cNvPr id="1194" name="Text Box 287"/>
            <xdr:cNvSpPr txBox="1">
              <a:spLocks noChangeArrowheads="1"/>
            </xdr:cNvSpPr>
          </xdr:nvSpPr>
          <xdr:spPr bwMode="auto">
            <a:xfrm>
              <a:off x="160" y="1324"/>
              <a:ext cx="12" cy="35"/>
            </a:xfrm>
            <a:prstGeom prst="rect">
              <a:avLst/>
            </a:prstGeom>
            <a:noFill/>
            <a:ln w="9525">
              <a:noFill/>
              <a:miter lim="800000"/>
              <a:headEnd/>
              <a:tailEnd/>
            </a:ln>
          </xdr:spPr>
          <xdr:txBody>
            <a:bodyPr wrap="none" lIns="36576" tIns="27432" rIns="0" bIns="0" anchor="t" upright="1">
              <a:spAutoFit/>
            </a:bodyPr>
            <a:lstStyle/>
            <a:p>
              <a:pPr algn="l" rtl="1">
                <a:defRPr sz="1000"/>
              </a:pPr>
              <a:r>
                <a:rPr lang="en-US" altLang="ja-JP" sz="2000" b="0" i="0" strike="noStrike">
                  <a:solidFill>
                    <a:srgbClr val="000000"/>
                  </a:solidFill>
                  <a:latin typeface="ＭＳ Ｐ明朝"/>
                  <a:ea typeface="ＭＳ Ｐ明朝"/>
                </a:rPr>
                <a:t>)</a:t>
              </a:r>
            </a:p>
          </xdr:txBody>
        </xdr:sp>
        <xdr:sp macro="" textlink="">
          <xdr:nvSpPr>
            <xdr:cNvPr id="1195" name="Line 288"/>
            <xdr:cNvSpPr>
              <a:spLocks noChangeShapeType="1"/>
            </xdr:cNvSpPr>
          </xdr:nvSpPr>
          <xdr:spPr bwMode="auto">
            <a:xfrm>
              <a:off x="87" y="1342"/>
              <a:ext cx="38" cy="1"/>
            </a:xfrm>
            <a:prstGeom prst="line">
              <a:avLst/>
            </a:prstGeom>
            <a:noFill/>
            <a:ln w="9525">
              <a:noFill/>
              <a:round/>
              <a:headEnd/>
              <a:tailEnd/>
            </a:ln>
          </xdr:spPr>
        </xdr:sp>
        <xdr:sp macro="" textlink="">
          <xdr:nvSpPr>
            <xdr:cNvPr id="1196" name="Line 289"/>
            <xdr:cNvSpPr>
              <a:spLocks noChangeShapeType="1"/>
            </xdr:cNvSpPr>
          </xdr:nvSpPr>
          <xdr:spPr bwMode="auto">
            <a:xfrm flipH="1">
              <a:off x="88" y="1341"/>
              <a:ext cx="53" cy="2"/>
            </a:xfrm>
            <a:prstGeom prst="line">
              <a:avLst/>
            </a:prstGeom>
            <a:noFill/>
            <a:ln w="9525">
              <a:noFill/>
              <a:round/>
              <a:headEnd/>
              <a:tailEnd/>
            </a:ln>
          </xdr:spPr>
        </xdr:sp>
        <xdr:sp macro="" textlink="">
          <xdr:nvSpPr>
            <xdr:cNvPr id="1197" name="Line 290"/>
            <xdr:cNvSpPr>
              <a:spLocks noChangeShapeType="1"/>
            </xdr:cNvSpPr>
          </xdr:nvSpPr>
          <xdr:spPr bwMode="auto">
            <a:xfrm flipH="1">
              <a:off x="87" y="1342"/>
              <a:ext cx="48" cy="1"/>
            </a:xfrm>
            <a:prstGeom prst="line">
              <a:avLst/>
            </a:prstGeom>
            <a:noFill/>
            <a:ln w="9525">
              <a:noFill/>
              <a:round/>
              <a:headEnd/>
              <a:tailEnd/>
            </a:ln>
          </xdr:spPr>
        </xdr:sp>
        <xdr:sp macro="" textlink="">
          <xdr:nvSpPr>
            <xdr:cNvPr id="1198" name="Line 291"/>
            <xdr:cNvSpPr>
              <a:spLocks noChangeShapeType="1"/>
            </xdr:cNvSpPr>
          </xdr:nvSpPr>
          <xdr:spPr bwMode="auto">
            <a:xfrm flipV="1">
              <a:off x="95" y="1341"/>
              <a:ext cx="32" cy="0"/>
            </a:xfrm>
            <a:prstGeom prst="line">
              <a:avLst/>
            </a:prstGeom>
            <a:noFill/>
            <a:ln w="9525">
              <a:solidFill>
                <a:srgbClr val="000000"/>
              </a:solidFill>
              <a:round/>
              <a:headEnd/>
              <a:tailEnd/>
            </a:ln>
          </xdr:spPr>
        </xdr:sp>
        <xdr:sp macro="" textlink="">
          <xdr:nvSpPr>
            <xdr:cNvPr id="1199" name="Text Box 292"/>
            <xdr:cNvSpPr txBox="1">
              <a:spLocks noChangeArrowheads="1"/>
            </xdr:cNvSpPr>
          </xdr:nvSpPr>
          <xdr:spPr bwMode="auto">
            <a:xfrm>
              <a:off x="96" y="1320"/>
              <a:ext cx="32"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r>
                <a:rPr lang="de-DE" altLang="ja-JP" sz="600" b="1" i="0" strike="noStrike">
                  <a:solidFill>
                    <a:srgbClr val="000000"/>
                  </a:solidFill>
                  <a:latin typeface="Times New Roman"/>
                  <a:cs typeface="Times New Roman"/>
                </a:rPr>
                <a:t>LGS</a:t>
              </a:r>
            </a:p>
          </xdr:txBody>
        </xdr:sp>
        <xdr:sp macro="" textlink="">
          <xdr:nvSpPr>
            <xdr:cNvPr id="1200" name="Text Box 293"/>
            <xdr:cNvSpPr txBox="1">
              <a:spLocks noChangeArrowheads="1"/>
            </xdr:cNvSpPr>
          </xdr:nvSpPr>
          <xdr:spPr bwMode="auto">
            <a:xfrm>
              <a:off x="129" y="1331"/>
              <a:ext cx="30" cy="21"/>
            </a:xfrm>
            <a:prstGeom prst="rect">
              <a:avLst/>
            </a:prstGeom>
            <a:noFill/>
            <a:ln w="9525">
              <a:noFill/>
              <a:miter lim="800000"/>
              <a:headEnd/>
              <a:tailEnd/>
            </a:ln>
          </xdr:spPr>
          <xdr:txBody>
            <a:bodyPr wrap="none" lIns="18288" tIns="18288" rIns="0" bIns="0" anchor="t" upright="1">
              <a:spAutoFit/>
            </a:bodyPr>
            <a:lstStyle/>
            <a:p>
              <a:pPr algn="l" rtl="1">
                <a:defRPr sz="1000"/>
              </a:pP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F</a:t>
              </a:r>
              <a:r>
                <a:rPr lang="de-DE" altLang="ja-JP" sz="600" b="1" i="0" strike="noStrike">
                  <a:solidFill>
                    <a:srgbClr val="000000"/>
                  </a:solidFill>
                  <a:latin typeface="Times New Roman"/>
                  <a:cs typeface="Times New Roman"/>
                </a:rPr>
                <a:t>H</a:t>
              </a:r>
            </a:p>
          </xdr:txBody>
        </xdr:sp>
        <xdr:sp macro="" textlink="">
          <xdr:nvSpPr>
            <xdr:cNvPr id="1201" name="Text Box 294"/>
            <xdr:cNvSpPr txBox="1">
              <a:spLocks noChangeArrowheads="1"/>
            </xdr:cNvSpPr>
          </xdr:nvSpPr>
          <xdr:spPr bwMode="auto">
            <a:xfrm>
              <a:off x="100" y="1340"/>
              <a:ext cx="16"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p>
          </xdr:txBody>
        </xdr:sp>
        <xdr:sp macro="" textlink="">
          <xdr:nvSpPr>
            <xdr:cNvPr id="1202" name="Text Box 295"/>
            <xdr:cNvSpPr txBox="1">
              <a:spLocks noChangeArrowheads="1"/>
            </xdr:cNvSpPr>
          </xdr:nvSpPr>
          <xdr:spPr bwMode="auto">
            <a:xfrm>
              <a:off x="51" y="1331"/>
              <a:ext cx="3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M</a:t>
              </a:r>
              <a:r>
                <a:rPr lang="de-DE" altLang="ja-JP" sz="900" b="1" i="0" strike="noStrike">
                  <a:solidFill>
                    <a:srgbClr val="000000"/>
                  </a:solidFill>
                  <a:latin typeface="Times New Roman"/>
                  <a:cs typeface="Times New Roman"/>
                </a:rPr>
                <a:t>t</a:t>
              </a:r>
              <a:r>
                <a:rPr lang="ja-JP" altLang="de-DE" sz="1000" b="1" i="0" strike="noStrike">
                  <a:solidFill>
                    <a:srgbClr val="000000"/>
                  </a:solidFill>
                  <a:latin typeface="ＭＳ Ｐゴシック"/>
                  <a:ea typeface="ＭＳ Ｐゴシック"/>
                </a:rPr>
                <a:t>＝</a:t>
              </a:r>
            </a:p>
          </xdr:txBody>
        </xdr:sp>
        <xdr:sp macro="" textlink="">
          <xdr:nvSpPr>
            <xdr:cNvPr id="1203" name="Text Box 296"/>
            <xdr:cNvSpPr txBox="1">
              <a:spLocks noChangeArrowheads="1"/>
            </xdr:cNvSpPr>
          </xdr:nvSpPr>
          <xdr:spPr bwMode="auto">
            <a:xfrm>
              <a:off x="81" y="1324"/>
              <a:ext cx="12" cy="35"/>
            </a:xfrm>
            <a:prstGeom prst="rect">
              <a:avLst/>
            </a:prstGeom>
            <a:noFill/>
            <a:ln w="9525">
              <a:noFill/>
              <a:miter lim="800000"/>
              <a:headEnd/>
              <a:tailEnd/>
            </a:ln>
          </xdr:spPr>
          <xdr:txBody>
            <a:bodyPr wrap="none" lIns="36576" tIns="27432" rIns="0" bIns="0" anchor="t" upright="1">
              <a:spAutoFit/>
            </a:bodyPr>
            <a:lstStyle/>
            <a:p>
              <a:pPr algn="l" rtl="1">
                <a:defRPr sz="1000"/>
              </a:pPr>
              <a:r>
                <a:rPr lang="en-US" altLang="ja-JP" sz="2000" b="0" i="0" strike="noStrike">
                  <a:solidFill>
                    <a:srgbClr val="000000"/>
                  </a:solidFill>
                  <a:latin typeface="ＭＳ Ｐ明朝"/>
                  <a:ea typeface="ＭＳ Ｐ明朝"/>
                </a:rPr>
                <a:t>(</a:t>
              </a:r>
            </a:p>
          </xdr:txBody>
        </xdr:sp>
        <xdr:sp macro="" textlink="">
          <xdr:nvSpPr>
            <xdr:cNvPr id="1204" name="Text Box 297"/>
            <xdr:cNvSpPr txBox="1">
              <a:spLocks noChangeArrowheads="1"/>
            </xdr:cNvSpPr>
          </xdr:nvSpPr>
          <xdr:spPr bwMode="auto">
            <a:xfrm>
              <a:off x="170" y="1334"/>
              <a:ext cx="15" cy="18"/>
            </a:xfrm>
            <a:prstGeom prst="rect">
              <a:avLst/>
            </a:prstGeom>
            <a:noFill/>
            <a:ln w="9525">
              <a:noFill/>
              <a:miter lim="800000"/>
              <a:headEnd/>
              <a:tailEnd/>
            </a:ln>
          </xdr:spPr>
          <xdr:txBody>
            <a:bodyPr wrap="none" lIns="18288" tIns="18288" rIns="0" bIns="0" anchor="t" upright="1">
              <a:spAutoFit/>
            </a:bodyPr>
            <a:lstStyle/>
            <a:p>
              <a:pPr algn="l" rtl="1">
                <a:defRPr sz="1000"/>
              </a:pPr>
              <a:r>
                <a:rPr lang="en-US" altLang="ja-JP" sz="1000" b="0" i="0" strike="noStrike">
                  <a:solidFill>
                    <a:srgbClr val="000000"/>
                  </a:solidFill>
                  <a:latin typeface="ＭＳ Ｐゴシック"/>
                  <a:ea typeface="ＭＳ Ｐゴシック"/>
                </a:rPr>
                <a:t>×</a:t>
              </a:r>
            </a:p>
          </xdr:txBody>
        </xdr:sp>
        <xdr:sp macro="" textlink="">
          <xdr:nvSpPr>
            <xdr:cNvPr id="1205" name="Line 298"/>
            <xdr:cNvSpPr>
              <a:spLocks noChangeShapeType="1"/>
            </xdr:cNvSpPr>
          </xdr:nvSpPr>
          <xdr:spPr bwMode="auto">
            <a:xfrm>
              <a:off x="122" y="1461"/>
              <a:ext cx="33" cy="1"/>
            </a:xfrm>
            <a:prstGeom prst="line">
              <a:avLst/>
            </a:prstGeom>
            <a:noFill/>
            <a:ln w="9525">
              <a:noFill/>
              <a:round/>
              <a:headEnd/>
              <a:tailEnd/>
            </a:ln>
          </xdr:spPr>
        </xdr:sp>
        <xdr:sp macro="" textlink="">
          <xdr:nvSpPr>
            <xdr:cNvPr id="1206" name="Line 299"/>
            <xdr:cNvSpPr>
              <a:spLocks noChangeShapeType="1"/>
            </xdr:cNvSpPr>
          </xdr:nvSpPr>
          <xdr:spPr bwMode="auto">
            <a:xfrm flipH="1">
              <a:off x="87" y="1461"/>
              <a:ext cx="51" cy="1"/>
            </a:xfrm>
            <a:prstGeom prst="line">
              <a:avLst/>
            </a:prstGeom>
            <a:noFill/>
            <a:ln w="9525">
              <a:noFill/>
              <a:round/>
              <a:headEnd/>
              <a:tailEnd/>
            </a:ln>
          </xdr:spPr>
        </xdr:sp>
        <xdr:sp macro="" textlink="">
          <xdr:nvSpPr>
            <xdr:cNvPr id="1207" name="Line 300"/>
            <xdr:cNvSpPr>
              <a:spLocks noChangeShapeType="1"/>
            </xdr:cNvSpPr>
          </xdr:nvSpPr>
          <xdr:spPr bwMode="auto">
            <a:xfrm flipH="1">
              <a:off x="122" y="1461"/>
              <a:ext cx="41" cy="1"/>
            </a:xfrm>
            <a:prstGeom prst="line">
              <a:avLst/>
            </a:prstGeom>
            <a:noFill/>
            <a:ln w="9525">
              <a:noFill/>
              <a:round/>
              <a:headEnd/>
              <a:tailEnd/>
            </a:ln>
          </xdr:spPr>
        </xdr:sp>
        <xdr:sp macro="" textlink="">
          <xdr:nvSpPr>
            <xdr:cNvPr id="1208" name="Text Box 301"/>
            <xdr:cNvSpPr txBox="1">
              <a:spLocks noChangeArrowheads="1"/>
            </xdr:cNvSpPr>
          </xdr:nvSpPr>
          <xdr:spPr bwMode="auto">
            <a:xfrm>
              <a:off x="108" y="1453"/>
              <a:ext cx="15" cy="18"/>
            </a:xfrm>
            <a:prstGeom prst="rect">
              <a:avLst/>
            </a:prstGeom>
            <a:noFill/>
            <a:ln w="9525">
              <a:noFill/>
              <a:miter lim="800000"/>
              <a:headEnd/>
              <a:tailEnd/>
            </a:ln>
          </xdr:spPr>
          <xdr:txBody>
            <a:bodyPr wrap="none" lIns="18288" tIns="18288" rIns="0" bIns="0" anchor="t" upright="1">
              <a:spAutoFit/>
            </a:bodyPr>
            <a:lstStyle/>
            <a:p>
              <a:pPr algn="l" rtl="1">
                <a:defRPr sz="1000"/>
              </a:pPr>
              <a:r>
                <a:rPr lang="en-US" altLang="ja-JP" sz="1000" b="0" i="0" strike="noStrike">
                  <a:solidFill>
                    <a:srgbClr val="000000"/>
                  </a:solidFill>
                  <a:latin typeface="ＭＳ Ｐゴシック"/>
                  <a:ea typeface="ＭＳ Ｐゴシック"/>
                </a:rPr>
                <a:t>×</a:t>
              </a:r>
            </a:p>
          </xdr:txBody>
        </xdr:sp>
        <xdr:sp macro="" textlink="">
          <xdr:nvSpPr>
            <xdr:cNvPr id="1209" name="Line 302"/>
            <xdr:cNvSpPr>
              <a:spLocks noChangeShapeType="1"/>
            </xdr:cNvSpPr>
          </xdr:nvSpPr>
          <xdr:spPr bwMode="auto">
            <a:xfrm flipV="1">
              <a:off x="124" y="1460"/>
              <a:ext cx="38" cy="0"/>
            </a:xfrm>
            <a:prstGeom prst="line">
              <a:avLst/>
            </a:prstGeom>
            <a:noFill/>
            <a:ln w="9525">
              <a:solidFill>
                <a:srgbClr val="000000"/>
              </a:solidFill>
              <a:round/>
              <a:headEnd/>
              <a:tailEnd/>
            </a:ln>
          </xdr:spPr>
        </xdr:sp>
        <xdr:sp macro="" textlink="">
          <xdr:nvSpPr>
            <xdr:cNvPr id="1210" name="Text Box 303"/>
            <xdr:cNvSpPr txBox="1">
              <a:spLocks noChangeArrowheads="1"/>
            </xdr:cNvSpPr>
          </xdr:nvSpPr>
          <xdr:spPr bwMode="auto">
            <a:xfrm>
              <a:off x="136" y="1458"/>
              <a:ext cx="16"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p>
          </xdr:txBody>
        </xdr:sp>
        <xdr:sp macro="" textlink="">
          <xdr:nvSpPr>
            <xdr:cNvPr id="1211" name="Text Box 304"/>
            <xdr:cNvSpPr txBox="1">
              <a:spLocks noChangeArrowheads="1"/>
            </xdr:cNvSpPr>
          </xdr:nvSpPr>
          <xdr:spPr bwMode="auto">
            <a:xfrm>
              <a:off x="53" y="1451"/>
              <a:ext cx="38"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M</a:t>
              </a:r>
              <a:r>
                <a:rPr lang="de-DE" altLang="ja-JP" sz="700" b="1" i="0" strike="noStrike">
                  <a:solidFill>
                    <a:srgbClr val="000000"/>
                  </a:solidFill>
                  <a:latin typeface="Times New Roman"/>
                  <a:cs typeface="Times New Roman"/>
                </a:rPr>
                <a:t>B</a:t>
              </a:r>
              <a:r>
                <a:rPr lang="ja-JP" altLang="de-DE" sz="1000" b="1" i="0" strike="noStrike">
                  <a:solidFill>
                    <a:srgbClr val="000000"/>
                  </a:solidFill>
                  <a:latin typeface="ＭＳ Ｐゴシック"/>
                  <a:ea typeface="ＭＳ Ｐゴシック"/>
                </a:rPr>
                <a:t>＝</a:t>
              </a:r>
            </a:p>
          </xdr:txBody>
        </xdr:sp>
        <xdr:sp macro="" textlink="">
          <xdr:nvSpPr>
            <xdr:cNvPr id="1212" name="Line 305"/>
            <xdr:cNvSpPr>
              <a:spLocks noChangeShapeType="1"/>
            </xdr:cNvSpPr>
          </xdr:nvSpPr>
          <xdr:spPr bwMode="auto">
            <a:xfrm flipV="1">
              <a:off x="87" y="1460"/>
              <a:ext cx="23" cy="1"/>
            </a:xfrm>
            <a:prstGeom prst="line">
              <a:avLst/>
            </a:prstGeom>
            <a:noFill/>
            <a:ln w="9525">
              <a:noFill/>
              <a:round/>
              <a:headEnd/>
              <a:tailEnd/>
            </a:ln>
          </xdr:spPr>
        </xdr:sp>
        <xdr:sp macro="" textlink="">
          <xdr:nvSpPr>
            <xdr:cNvPr id="1213" name="Line 306"/>
            <xdr:cNvSpPr>
              <a:spLocks noChangeShapeType="1"/>
            </xdr:cNvSpPr>
          </xdr:nvSpPr>
          <xdr:spPr bwMode="auto">
            <a:xfrm flipH="1">
              <a:off x="92" y="1461"/>
              <a:ext cx="40" cy="0"/>
            </a:xfrm>
            <a:prstGeom prst="line">
              <a:avLst/>
            </a:prstGeom>
            <a:noFill/>
            <a:ln w="9525">
              <a:noFill/>
              <a:round/>
              <a:headEnd/>
              <a:tailEnd/>
            </a:ln>
          </xdr:spPr>
        </xdr:sp>
        <xdr:sp macro="" textlink="">
          <xdr:nvSpPr>
            <xdr:cNvPr id="1214" name="Line 307"/>
            <xdr:cNvSpPr>
              <a:spLocks noChangeShapeType="1"/>
            </xdr:cNvSpPr>
          </xdr:nvSpPr>
          <xdr:spPr bwMode="auto">
            <a:xfrm flipV="1">
              <a:off x="92" y="1460"/>
              <a:ext cx="17" cy="0"/>
            </a:xfrm>
            <a:prstGeom prst="line">
              <a:avLst/>
            </a:prstGeom>
            <a:noFill/>
            <a:ln w="9525">
              <a:solidFill>
                <a:srgbClr val="000000"/>
              </a:solidFill>
              <a:round/>
              <a:headEnd/>
              <a:tailEnd/>
            </a:ln>
          </xdr:spPr>
        </xdr:sp>
        <xdr:sp macro="" textlink="">
          <xdr:nvSpPr>
            <xdr:cNvPr id="1215" name="Text Box 308"/>
            <xdr:cNvSpPr txBox="1">
              <a:spLocks noChangeArrowheads="1"/>
            </xdr:cNvSpPr>
          </xdr:nvSpPr>
          <xdr:spPr bwMode="auto">
            <a:xfrm>
              <a:off x="94" y="1440"/>
              <a:ext cx="10" cy="21"/>
            </a:xfrm>
            <a:prstGeom prst="rect">
              <a:avLst/>
            </a:prstGeom>
            <a:noFill/>
            <a:ln w="9525">
              <a:noFill/>
              <a:miter lim="800000"/>
              <a:headEnd/>
              <a:tailEnd/>
            </a:ln>
          </xdr:spPr>
          <xdr:txBody>
            <a:bodyPr wrap="none" lIns="18288" tIns="22860" rIns="0" bIns="0" anchor="t" upright="1">
              <a:spAutoFit/>
            </a:bodyPr>
            <a:lstStyle/>
            <a:p>
              <a:pPr algn="l" rtl="1">
                <a:defRPr sz="1000"/>
              </a:pPr>
              <a:r>
                <a:rPr lang="en-US" altLang="ja-JP" sz="1100" b="1" i="0" strike="noStrike">
                  <a:solidFill>
                    <a:srgbClr val="000000"/>
                  </a:solidFill>
                  <a:latin typeface="Times New Roman"/>
                  <a:cs typeface="Times New Roman"/>
                </a:rPr>
                <a:t>1</a:t>
              </a:r>
            </a:p>
          </xdr:txBody>
        </xdr:sp>
        <xdr:sp macro="" textlink="">
          <xdr:nvSpPr>
            <xdr:cNvPr id="1216" name="Text Box 309"/>
            <xdr:cNvSpPr txBox="1">
              <a:spLocks noChangeArrowheads="1"/>
            </xdr:cNvSpPr>
          </xdr:nvSpPr>
          <xdr:spPr bwMode="auto">
            <a:xfrm>
              <a:off x="167" y="1447"/>
              <a:ext cx="67" cy="24"/>
            </a:xfrm>
            <a:prstGeom prst="rect">
              <a:avLst/>
            </a:prstGeom>
            <a:noFill/>
            <a:ln w="9525">
              <a:noFill/>
              <a:miter lim="800000"/>
              <a:headEnd/>
              <a:tailEnd/>
            </a:ln>
          </xdr:spPr>
          <xdr:txBody>
            <a:bodyPr wrap="none" lIns="18288" tIns="18288" rIns="0" bIns="0" anchor="t" upright="1">
              <a:spAutoFit/>
            </a:bodyPr>
            <a:lstStyle/>
            <a:p>
              <a:pPr algn="l" rtl="1">
                <a:defRPr sz="1000"/>
              </a:pP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B</a:t>
              </a:r>
              <a:r>
                <a:rPr lang="de-DE" altLang="ja-JP" sz="1000" b="0" i="0" strike="noStrike">
                  <a:solidFill>
                    <a:srgbClr val="000000"/>
                  </a:solidFill>
                  <a:latin typeface="ＭＳ Ｐゴシック"/>
                  <a:ea typeface="ＭＳ Ｐゴシック"/>
                </a:rPr>
                <a:t>×</a:t>
              </a:r>
              <a:r>
                <a:rPr lang="de-DE" altLang="ja-JP" sz="1100" b="1" i="0" strike="noStrike">
                  <a:solidFill>
                    <a:srgbClr val="000000"/>
                  </a:solidFill>
                  <a:latin typeface="Times New Roman"/>
                  <a:cs typeface="Times New Roman"/>
                </a:rPr>
                <a:t>L</a:t>
              </a:r>
              <a:r>
                <a:rPr lang="de-DE" altLang="ja-JP" sz="600" b="1" i="0" strike="noStrike">
                  <a:solidFill>
                    <a:srgbClr val="000000"/>
                  </a:solidFill>
                  <a:latin typeface="Times New Roman"/>
                  <a:cs typeface="Times New Roman"/>
                </a:rPr>
                <a:t>W</a:t>
              </a:r>
              <a:r>
                <a:rPr lang="de-DE" altLang="ja-JP" sz="1100" b="1" i="0" strike="noStrike" baseline="30000">
                  <a:solidFill>
                    <a:srgbClr val="000000"/>
                  </a:solidFill>
                  <a:latin typeface="Times New Roman"/>
                  <a:cs typeface="Times New Roman"/>
                </a:rPr>
                <a:t>2</a:t>
              </a:r>
            </a:p>
          </xdr:txBody>
        </xdr:sp>
        <xdr:sp macro="" textlink="">
          <xdr:nvSpPr>
            <xdr:cNvPr id="1217" name="Text Box 310"/>
            <xdr:cNvSpPr txBox="1">
              <a:spLocks noChangeArrowheads="1"/>
            </xdr:cNvSpPr>
          </xdr:nvSpPr>
          <xdr:spPr bwMode="auto">
            <a:xfrm>
              <a:off x="131" y="1441"/>
              <a:ext cx="35" cy="21"/>
            </a:xfrm>
            <a:prstGeom prst="rect">
              <a:avLst/>
            </a:prstGeom>
            <a:noFill/>
            <a:ln w="9525">
              <a:noFill/>
              <a:miter lim="800000"/>
              <a:headEnd/>
              <a:tailEnd/>
            </a:ln>
          </xdr:spPr>
          <xdr:txBody>
            <a:bodyPr wrap="none" lIns="18288" tIns="22860" rIns="0" bIns="0" anchor="t" upright="1">
              <a:spAutoFit/>
            </a:bodyPr>
            <a:lstStyle/>
            <a:p>
              <a:pPr algn="l" rtl="1">
                <a:defRPr sz="1000"/>
              </a:pPr>
              <a:r>
                <a:rPr lang="de-DE" altLang="ja-JP" sz="1100" b="1" i="0" strike="noStrike">
                  <a:solidFill>
                    <a:srgbClr val="000000"/>
                  </a:solidFill>
                  <a:latin typeface="Times New Roman"/>
                  <a:cs typeface="Times New Roman"/>
                </a:rPr>
                <a:t>W</a:t>
              </a:r>
              <a:r>
                <a:rPr lang="de-DE" altLang="ja-JP" sz="700" b="1" i="0" strike="noStrike">
                  <a:solidFill>
                    <a:srgbClr val="000000"/>
                  </a:solidFill>
                  <a:latin typeface="Times New Roman"/>
                  <a:cs typeface="Times New Roman"/>
                </a:rPr>
                <a:t>LGS</a:t>
              </a:r>
            </a:p>
          </xdr:txBody>
        </xdr:sp>
        <xdr:sp macro="" textlink="">
          <xdr:nvSpPr>
            <xdr:cNvPr id="1218" name="Text Box 311"/>
            <xdr:cNvSpPr txBox="1">
              <a:spLocks noChangeArrowheads="1"/>
            </xdr:cNvSpPr>
          </xdr:nvSpPr>
          <xdr:spPr bwMode="auto">
            <a:xfrm>
              <a:off x="96" y="1458"/>
              <a:ext cx="10" cy="21"/>
            </a:xfrm>
            <a:prstGeom prst="rect">
              <a:avLst/>
            </a:prstGeom>
            <a:noFill/>
            <a:ln w="9525">
              <a:noFill/>
              <a:miter lim="800000"/>
              <a:headEnd/>
              <a:tailEnd/>
            </a:ln>
          </xdr:spPr>
          <xdr:txBody>
            <a:bodyPr wrap="none" lIns="18288" tIns="22860" rIns="0" bIns="0" anchor="t" upright="1">
              <a:spAutoFit/>
            </a:bodyPr>
            <a:lstStyle/>
            <a:p>
              <a:pPr algn="l" rtl="1">
                <a:defRPr sz="1000"/>
              </a:pPr>
              <a:r>
                <a:rPr lang="en-US" altLang="ja-JP" sz="1100" b="1" i="0" strike="noStrike">
                  <a:solidFill>
                    <a:srgbClr val="000000"/>
                  </a:solidFill>
                  <a:latin typeface="Times New Roman"/>
                  <a:cs typeface="Times New Roman"/>
                </a:rPr>
                <a:t>8</a:t>
              </a:r>
            </a:p>
          </xdr:txBody>
        </xdr:sp>
      </xdr:grpSp>
    </xdr:grpSp>
    <xdr:clientData/>
  </xdr:twoCellAnchor>
  <xdr:twoCellAnchor>
    <xdr:from>
      <xdr:col>28</xdr:col>
      <xdr:colOff>266382</xdr:colOff>
      <xdr:row>390</xdr:row>
      <xdr:rowOff>114140</xdr:rowOff>
    </xdr:from>
    <xdr:to>
      <xdr:col>30</xdr:col>
      <xdr:colOff>189108</xdr:colOff>
      <xdr:row>390</xdr:row>
      <xdr:rowOff>114140</xdr:rowOff>
    </xdr:to>
    <xdr:sp macro="" textlink="">
      <xdr:nvSpPr>
        <xdr:cNvPr id="1299" name="Line 1"/>
        <xdr:cNvSpPr>
          <a:spLocks noChangeShapeType="1"/>
        </xdr:cNvSpPr>
      </xdr:nvSpPr>
      <xdr:spPr bwMode="auto">
        <a:xfrm>
          <a:off x="17335182" y="59550140"/>
          <a:ext cx="1141926" cy="0"/>
        </a:xfrm>
        <a:prstGeom prst="line">
          <a:avLst/>
        </a:prstGeom>
        <a:noFill/>
        <a:ln w="6350">
          <a:solidFill>
            <a:srgbClr val="000000"/>
          </a:solidFill>
          <a:prstDash val="lgDashDot"/>
          <a:round/>
          <a:headEnd/>
          <a:tailEnd/>
        </a:ln>
      </xdr:spPr>
    </xdr:sp>
    <xdr:clientData/>
  </xdr:twoCellAnchor>
  <xdr:twoCellAnchor>
    <xdr:from>
      <xdr:col>28</xdr:col>
      <xdr:colOff>123817</xdr:colOff>
      <xdr:row>388</xdr:row>
      <xdr:rowOff>52583</xdr:rowOff>
    </xdr:from>
    <xdr:to>
      <xdr:col>28</xdr:col>
      <xdr:colOff>123817</xdr:colOff>
      <xdr:row>395</xdr:row>
      <xdr:rowOff>171824</xdr:rowOff>
    </xdr:to>
    <xdr:sp macro="" textlink="">
      <xdr:nvSpPr>
        <xdr:cNvPr id="1300" name="Line 2"/>
        <xdr:cNvSpPr>
          <a:spLocks noChangeShapeType="1"/>
        </xdr:cNvSpPr>
      </xdr:nvSpPr>
      <xdr:spPr bwMode="auto">
        <a:xfrm>
          <a:off x="17192617" y="59183783"/>
          <a:ext cx="0" cy="1166991"/>
        </a:xfrm>
        <a:prstGeom prst="line">
          <a:avLst/>
        </a:prstGeom>
        <a:noFill/>
        <a:ln w="6350">
          <a:solidFill>
            <a:srgbClr val="000000"/>
          </a:solidFill>
          <a:prstDash val="lgDashDot"/>
          <a:round/>
          <a:headEnd/>
          <a:tailEnd/>
        </a:ln>
      </xdr:spPr>
    </xdr:sp>
    <xdr:clientData/>
  </xdr:twoCellAnchor>
  <xdr:twoCellAnchor>
    <xdr:from>
      <xdr:col>17</xdr:col>
      <xdr:colOff>39674</xdr:colOff>
      <xdr:row>395</xdr:row>
      <xdr:rowOff>181444</xdr:rowOff>
    </xdr:from>
    <xdr:to>
      <xdr:col>23</xdr:col>
      <xdr:colOff>126915</xdr:colOff>
      <xdr:row>395</xdr:row>
      <xdr:rowOff>181444</xdr:rowOff>
    </xdr:to>
    <xdr:sp macro="" textlink="">
      <xdr:nvSpPr>
        <xdr:cNvPr id="1301" name="Line 3"/>
        <xdr:cNvSpPr>
          <a:spLocks noChangeShapeType="1"/>
        </xdr:cNvSpPr>
      </xdr:nvSpPr>
      <xdr:spPr bwMode="auto">
        <a:xfrm>
          <a:off x="10402874" y="60350869"/>
          <a:ext cx="3744841" cy="0"/>
        </a:xfrm>
        <a:prstGeom prst="line">
          <a:avLst/>
        </a:prstGeom>
        <a:noFill/>
        <a:ln w="6350">
          <a:solidFill>
            <a:srgbClr val="000000"/>
          </a:solidFill>
          <a:prstDash val="lgDashDot"/>
          <a:round/>
          <a:headEnd/>
          <a:tailEnd/>
        </a:ln>
      </xdr:spPr>
    </xdr:sp>
    <xdr:clientData/>
  </xdr:twoCellAnchor>
  <xdr:twoCellAnchor>
    <xdr:from>
      <xdr:col>2</xdr:col>
      <xdr:colOff>0</xdr:colOff>
      <xdr:row>441</xdr:row>
      <xdr:rowOff>177310</xdr:rowOff>
    </xdr:from>
    <xdr:to>
      <xdr:col>32</xdr:col>
      <xdr:colOff>0</xdr:colOff>
      <xdr:row>441</xdr:row>
      <xdr:rowOff>177310</xdr:rowOff>
    </xdr:to>
    <xdr:sp macro="" textlink="">
      <xdr:nvSpPr>
        <xdr:cNvPr id="1302" name="Line 4"/>
        <xdr:cNvSpPr>
          <a:spLocks noChangeShapeType="1"/>
        </xdr:cNvSpPr>
      </xdr:nvSpPr>
      <xdr:spPr bwMode="auto">
        <a:xfrm>
          <a:off x="1219200" y="67357135"/>
          <a:ext cx="18288000" cy="0"/>
        </a:xfrm>
        <a:prstGeom prst="line">
          <a:avLst/>
        </a:prstGeom>
        <a:noFill/>
        <a:ln w="57150" cmpd="thickThin">
          <a:solidFill>
            <a:srgbClr val="000000"/>
          </a:solidFill>
          <a:round/>
          <a:headEnd/>
          <a:tailEnd/>
        </a:ln>
      </xdr:spPr>
    </xdr:sp>
    <xdr:clientData/>
  </xdr:twoCellAnchor>
  <xdr:twoCellAnchor>
    <xdr:from>
      <xdr:col>2</xdr:col>
      <xdr:colOff>190087</xdr:colOff>
      <xdr:row>416</xdr:row>
      <xdr:rowOff>58126</xdr:rowOff>
    </xdr:from>
    <xdr:to>
      <xdr:col>4</xdr:col>
      <xdr:colOff>270827</xdr:colOff>
      <xdr:row>419</xdr:row>
      <xdr:rowOff>54631</xdr:rowOff>
    </xdr:to>
    <xdr:sp macro="" textlink="">
      <xdr:nvSpPr>
        <xdr:cNvPr id="1303" name="Line 8"/>
        <xdr:cNvSpPr>
          <a:spLocks noChangeShapeType="1"/>
        </xdr:cNvSpPr>
      </xdr:nvSpPr>
      <xdr:spPr bwMode="auto">
        <a:xfrm>
          <a:off x="1409287" y="63456526"/>
          <a:ext cx="1299940" cy="453705"/>
        </a:xfrm>
        <a:prstGeom prst="line">
          <a:avLst/>
        </a:prstGeom>
        <a:noFill/>
        <a:ln w="3175">
          <a:solidFill>
            <a:srgbClr val="000000"/>
          </a:solidFill>
          <a:round/>
          <a:headEnd/>
          <a:tailEnd/>
        </a:ln>
      </xdr:spPr>
    </xdr:sp>
    <xdr:clientData/>
  </xdr:twoCellAnchor>
  <xdr:twoCellAnchor>
    <xdr:from>
      <xdr:col>3</xdr:col>
      <xdr:colOff>85126</xdr:colOff>
      <xdr:row>418</xdr:row>
      <xdr:rowOff>12896</xdr:rowOff>
    </xdr:from>
    <xdr:to>
      <xdr:col>4</xdr:col>
      <xdr:colOff>156775</xdr:colOff>
      <xdr:row>419</xdr:row>
      <xdr:rowOff>45010</xdr:rowOff>
    </xdr:to>
    <xdr:sp macro="" textlink="">
      <xdr:nvSpPr>
        <xdr:cNvPr id="1304" name="Text Box 9"/>
        <xdr:cNvSpPr txBox="1">
          <a:spLocks noChangeArrowheads="1"/>
        </xdr:cNvSpPr>
      </xdr:nvSpPr>
      <xdr:spPr bwMode="auto">
        <a:xfrm>
          <a:off x="1913926" y="63716096"/>
          <a:ext cx="681249" cy="184514"/>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設置階</a:t>
          </a:r>
        </a:p>
      </xdr:txBody>
    </xdr:sp>
    <xdr:clientData/>
  </xdr:twoCellAnchor>
  <xdr:twoCellAnchor>
    <xdr:from>
      <xdr:col>4</xdr:col>
      <xdr:colOff>33219</xdr:colOff>
      <xdr:row>416</xdr:row>
      <xdr:rowOff>173575</xdr:rowOff>
    </xdr:from>
    <xdr:to>
      <xdr:col>5</xdr:col>
      <xdr:colOff>108634</xdr:colOff>
      <xdr:row>418</xdr:row>
      <xdr:rowOff>12895</xdr:rowOff>
    </xdr:to>
    <xdr:sp macro="" textlink="">
      <xdr:nvSpPr>
        <xdr:cNvPr id="1305" name="Text Box 10"/>
        <xdr:cNvSpPr txBox="1">
          <a:spLocks noChangeArrowheads="1"/>
        </xdr:cNvSpPr>
      </xdr:nvSpPr>
      <xdr:spPr bwMode="auto">
        <a:xfrm>
          <a:off x="2471619" y="63552925"/>
          <a:ext cx="685015" cy="16317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クラス</a:t>
          </a:r>
        </a:p>
      </xdr:txBody>
    </xdr:sp>
    <xdr:clientData/>
  </xdr:twoCellAnchor>
  <xdr:twoCellAnchor>
    <xdr:from>
      <xdr:col>4</xdr:col>
      <xdr:colOff>33219</xdr:colOff>
      <xdr:row>416</xdr:row>
      <xdr:rowOff>77367</xdr:rowOff>
    </xdr:from>
    <xdr:to>
      <xdr:col>5</xdr:col>
      <xdr:colOff>108634</xdr:colOff>
      <xdr:row>417</xdr:row>
      <xdr:rowOff>40800</xdr:rowOff>
    </xdr:to>
    <xdr:sp macro="" textlink="">
      <xdr:nvSpPr>
        <xdr:cNvPr id="1306" name="Text Box 11"/>
        <xdr:cNvSpPr txBox="1">
          <a:spLocks noChangeArrowheads="1"/>
        </xdr:cNvSpPr>
      </xdr:nvSpPr>
      <xdr:spPr bwMode="auto">
        <a:xfrm>
          <a:off x="2471619" y="63475767"/>
          <a:ext cx="685015" cy="115833"/>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700" b="0" i="0" strike="noStrike">
              <a:solidFill>
                <a:srgbClr val="000000"/>
              </a:solidFill>
              <a:latin typeface="ＭＳ Ｐゴシック"/>
              <a:ea typeface="ＭＳ Ｐゴシック"/>
            </a:rPr>
            <a:t>耐</a:t>
          </a:r>
          <a:r>
            <a:rPr lang="ja-JP" altLang="en-US" sz="4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震</a:t>
          </a:r>
        </a:p>
      </xdr:txBody>
    </xdr:sp>
    <xdr:clientData/>
  </xdr:twoCellAnchor>
  <xdr:twoCellAnchor>
    <xdr:from>
      <xdr:col>14</xdr:col>
      <xdr:colOff>151994</xdr:colOff>
      <xdr:row>395</xdr:row>
      <xdr:rowOff>133340</xdr:rowOff>
    </xdr:from>
    <xdr:to>
      <xdr:col>15</xdr:col>
      <xdr:colOff>43854</xdr:colOff>
      <xdr:row>396</xdr:row>
      <xdr:rowOff>39048</xdr:rowOff>
    </xdr:to>
    <xdr:sp macro="" textlink="">
      <xdr:nvSpPr>
        <xdr:cNvPr id="1307" name="Text Box 12"/>
        <xdr:cNvSpPr txBox="1">
          <a:spLocks noChangeArrowheads="1"/>
        </xdr:cNvSpPr>
      </xdr:nvSpPr>
      <xdr:spPr bwMode="auto">
        <a:xfrm>
          <a:off x="8686394" y="60331340"/>
          <a:ext cx="501460" cy="58108"/>
        </a:xfrm>
        <a:prstGeom prst="rect">
          <a:avLst/>
        </a:prstGeom>
        <a:noFill/>
        <a:ln w="9525">
          <a:noFill/>
          <a:miter lim="800000"/>
          <a:headEnd/>
          <a:tailEnd/>
        </a:ln>
      </xdr:spPr>
      <xdr:txBody>
        <a:bodyPr vert="vert270" wrap="none" lIns="18288" tIns="22860" rIns="0" bIns="0" anchor="t" upright="1">
          <a:noAutofit/>
        </a:bodyPr>
        <a:lstStyle/>
        <a:p>
          <a:pPr algn="r" rtl="1">
            <a:defRPr sz="1000"/>
          </a:pPr>
          <a:r>
            <a:rPr lang="de-DE" altLang="ja-JP" sz="900" b="1" i="0" strike="noStrike">
              <a:solidFill>
                <a:srgbClr val="000000"/>
              </a:solidFill>
              <a:latin typeface="Times New Roman"/>
              <a:cs typeface="Times New Roman"/>
            </a:rPr>
            <a:t>H</a:t>
          </a:r>
        </a:p>
      </xdr:txBody>
    </xdr:sp>
    <xdr:clientData/>
  </xdr:twoCellAnchor>
  <xdr:twoCellAnchor>
    <xdr:from>
      <xdr:col>27</xdr:col>
      <xdr:colOff>190967</xdr:colOff>
      <xdr:row>389</xdr:row>
      <xdr:rowOff>150707</xdr:rowOff>
    </xdr:from>
    <xdr:to>
      <xdr:col>29</xdr:col>
      <xdr:colOff>161215</xdr:colOff>
      <xdr:row>402</xdr:row>
      <xdr:rowOff>60165</xdr:rowOff>
    </xdr:to>
    <xdr:grpSp>
      <xdr:nvGrpSpPr>
        <xdr:cNvPr id="1308" name="Group 13"/>
        <xdr:cNvGrpSpPr>
          <a:grpSpLocks/>
        </xdr:cNvGrpSpPr>
      </xdr:nvGrpSpPr>
      <xdr:grpSpPr bwMode="auto">
        <a:xfrm>
          <a:off x="6247280" y="68373520"/>
          <a:ext cx="541748" cy="2385958"/>
          <a:chOff x="386" y="146"/>
          <a:chExt cx="163" cy="202"/>
        </a:xfrm>
      </xdr:grpSpPr>
      <xdr:sp macro="" textlink="">
        <xdr:nvSpPr>
          <xdr:cNvPr id="1309" name="Line 14"/>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1310" name="Line 15"/>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1311" name="Line 16"/>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1312" name="Line 17"/>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27</xdr:col>
      <xdr:colOff>200472</xdr:colOff>
      <xdr:row>402</xdr:row>
      <xdr:rowOff>108269</xdr:rowOff>
    </xdr:from>
    <xdr:to>
      <xdr:col>27</xdr:col>
      <xdr:colOff>200472</xdr:colOff>
      <xdr:row>404</xdr:row>
      <xdr:rowOff>92859</xdr:rowOff>
    </xdr:to>
    <xdr:sp macro="" textlink="">
      <xdr:nvSpPr>
        <xdr:cNvPr id="1313" name="Line 18"/>
        <xdr:cNvSpPr>
          <a:spLocks noChangeShapeType="1"/>
        </xdr:cNvSpPr>
      </xdr:nvSpPr>
      <xdr:spPr bwMode="auto">
        <a:xfrm>
          <a:off x="16659672" y="61373069"/>
          <a:ext cx="0" cy="289390"/>
        </a:xfrm>
        <a:prstGeom prst="line">
          <a:avLst/>
        </a:prstGeom>
        <a:noFill/>
        <a:ln w="3175">
          <a:solidFill>
            <a:srgbClr val="000000"/>
          </a:solidFill>
          <a:round/>
          <a:headEnd/>
          <a:tailEnd/>
        </a:ln>
      </xdr:spPr>
    </xdr:sp>
    <xdr:clientData/>
  </xdr:twoCellAnchor>
  <xdr:twoCellAnchor>
    <xdr:from>
      <xdr:col>21</xdr:col>
      <xdr:colOff>28930</xdr:colOff>
      <xdr:row>388</xdr:row>
      <xdr:rowOff>23720</xdr:rowOff>
    </xdr:from>
    <xdr:to>
      <xdr:col>25</xdr:col>
      <xdr:colOff>135180</xdr:colOff>
      <xdr:row>388</xdr:row>
      <xdr:rowOff>23720</xdr:rowOff>
    </xdr:to>
    <xdr:sp macro="" textlink="">
      <xdr:nvSpPr>
        <xdr:cNvPr id="1314" name="Line 19"/>
        <xdr:cNvSpPr>
          <a:spLocks noChangeShapeType="1"/>
        </xdr:cNvSpPr>
      </xdr:nvSpPr>
      <xdr:spPr bwMode="auto">
        <a:xfrm>
          <a:off x="12830530" y="59154920"/>
          <a:ext cx="2544650" cy="0"/>
        </a:xfrm>
        <a:prstGeom prst="line">
          <a:avLst/>
        </a:prstGeom>
        <a:noFill/>
        <a:ln w="6350">
          <a:solidFill>
            <a:srgbClr val="000000"/>
          </a:solidFill>
          <a:round/>
          <a:headEnd type="triangle" w="sm" len="med"/>
          <a:tailEnd type="triangle" w="sm" len="med"/>
        </a:ln>
      </xdr:spPr>
    </xdr:sp>
    <xdr:clientData/>
  </xdr:twoCellAnchor>
  <xdr:twoCellAnchor>
    <xdr:from>
      <xdr:col>27</xdr:col>
      <xdr:colOff>190967</xdr:colOff>
      <xdr:row>403</xdr:row>
      <xdr:rowOff>167909</xdr:rowOff>
    </xdr:from>
    <xdr:to>
      <xdr:col>29</xdr:col>
      <xdr:colOff>161215</xdr:colOff>
      <xdr:row>403</xdr:row>
      <xdr:rowOff>167909</xdr:rowOff>
    </xdr:to>
    <xdr:sp macro="" textlink="">
      <xdr:nvSpPr>
        <xdr:cNvPr id="1315" name="Line 20"/>
        <xdr:cNvSpPr>
          <a:spLocks noChangeShapeType="1"/>
        </xdr:cNvSpPr>
      </xdr:nvSpPr>
      <xdr:spPr bwMode="auto">
        <a:xfrm>
          <a:off x="16650167" y="61566059"/>
          <a:ext cx="1189448" cy="0"/>
        </a:xfrm>
        <a:prstGeom prst="line">
          <a:avLst/>
        </a:prstGeom>
        <a:noFill/>
        <a:ln w="6350">
          <a:solidFill>
            <a:srgbClr val="000000"/>
          </a:solidFill>
          <a:round/>
          <a:headEnd type="triangle" w="sm" len="med"/>
          <a:tailEnd type="triangle" w="sm" len="med"/>
        </a:ln>
      </xdr:spPr>
    </xdr:sp>
    <xdr:clientData/>
  </xdr:twoCellAnchor>
  <xdr:twoCellAnchor>
    <xdr:from>
      <xdr:col>27</xdr:col>
      <xdr:colOff>209976</xdr:colOff>
      <xdr:row>398</xdr:row>
      <xdr:rowOff>23638</xdr:rowOff>
    </xdr:from>
    <xdr:to>
      <xdr:col>28</xdr:col>
      <xdr:colOff>266383</xdr:colOff>
      <xdr:row>399</xdr:row>
      <xdr:rowOff>6312</xdr:rowOff>
    </xdr:to>
    <xdr:sp macro="" textlink="">
      <xdr:nvSpPr>
        <xdr:cNvPr id="1316" name="Text Box 21"/>
        <xdr:cNvSpPr txBox="1">
          <a:spLocks noChangeArrowheads="1"/>
        </xdr:cNvSpPr>
      </xdr:nvSpPr>
      <xdr:spPr bwMode="auto">
        <a:xfrm>
          <a:off x="16669176" y="60678838"/>
          <a:ext cx="666007" cy="135074"/>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Wt</a:t>
          </a:r>
          <a:r>
            <a:rPr lang="de-DE" altLang="ja-JP" sz="900" b="1" i="0" strike="noStrike">
              <a:solidFill>
                <a:srgbClr val="000000"/>
              </a:solidFill>
              <a:latin typeface="ＭＳ Ｐ明朝"/>
              <a:ea typeface="ＭＳ Ｐ明朝"/>
            </a:rPr>
            <a:t>+</a:t>
          </a:r>
          <a:r>
            <a:rPr lang="de-DE" altLang="ja-JP" sz="900" b="1" i="0" strike="noStrike">
              <a:solidFill>
                <a:srgbClr val="000000"/>
              </a:solidFill>
              <a:latin typeface="Times New Roman"/>
              <a:cs typeface="Times New Roman"/>
            </a:rPr>
            <a:t>Fv</a:t>
          </a:r>
        </a:p>
      </xdr:txBody>
    </xdr:sp>
    <xdr:clientData/>
  </xdr:twoCellAnchor>
  <xdr:twoCellAnchor>
    <xdr:from>
      <xdr:col>18</xdr:col>
      <xdr:colOff>7188</xdr:colOff>
      <xdr:row>390</xdr:row>
      <xdr:rowOff>114140</xdr:rowOff>
    </xdr:from>
    <xdr:to>
      <xdr:col>18</xdr:col>
      <xdr:colOff>7188</xdr:colOff>
      <xdr:row>395</xdr:row>
      <xdr:rowOff>181445</xdr:rowOff>
    </xdr:to>
    <xdr:sp macro="" textlink="">
      <xdr:nvSpPr>
        <xdr:cNvPr id="1317" name="Line 22"/>
        <xdr:cNvSpPr>
          <a:spLocks noChangeShapeType="1"/>
        </xdr:cNvSpPr>
      </xdr:nvSpPr>
      <xdr:spPr bwMode="auto">
        <a:xfrm>
          <a:off x="10979988" y="59550140"/>
          <a:ext cx="0" cy="800730"/>
        </a:xfrm>
        <a:prstGeom prst="line">
          <a:avLst/>
        </a:prstGeom>
        <a:noFill/>
        <a:ln w="3175">
          <a:solidFill>
            <a:srgbClr val="000000"/>
          </a:solidFill>
          <a:round/>
          <a:headEnd type="triangle" w="sm" len="med"/>
          <a:tailEnd type="triangle" w="sm" len="med"/>
        </a:ln>
      </xdr:spPr>
    </xdr:sp>
    <xdr:clientData/>
  </xdr:twoCellAnchor>
  <xdr:twoCellAnchor>
    <xdr:from>
      <xdr:col>11</xdr:col>
      <xdr:colOff>55837</xdr:colOff>
      <xdr:row>391</xdr:row>
      <xdr:rowOff>135297</xdr:rowOff>
    </xdr:from>
    <xdr:to>
      <xdr:col>12</xdr:col>
      <xdr:colOff>39181</xdr:colOff>
      <xdr:row>392</xdr:row>
      <xdr:rowOff>98730</xdr:rowOff>
    </xdr:to>
    <xdr:sp macro="" textlink="">
      <xdr:nvSpPr>
        <xdr:cNvPr id="1318" name="Text Box 23"/>
        <xdr:cNvSpPr txBox="1">
          <a:spLocks noChangeArrowheads="1"/>
        </xdr:cNvSpPr>
      </xdr:nvSpPr>
      <xdr:spPr bwMode="auto">
        <a:xfrm>
          <a:off x="6761437" y="59723697"/>
          <a:ext cx="592944" cy="115833"/>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800" b="0" i="0" strike="noStrike">
              <a:solidFill>
                <a:srgbClr val="000000"/>
              </a:solidFill>
              <a:latin typeface="ＭＳ 明朝"/>
              <a:ea typeface="ＭＳ 明朝"/>
            </a:rPr>
            <a:t>監修</a:t>
          </a:r>
        </a:p>
      </xdr:txBody>
    </xdr:sp>
    <xdr:clientData/>
  </xdr:twoCellAnchor>
  <xdr:twoCellAnchor>
    <xdr:from>
      <xdr:col>21</xdr:col>
      <xdr:colOff>28930</xdr:colOff>
      <xdr:row>387</xdr:row>
      <xdr:rowOff>118012</xdr:rowOff>
    </xdr:from>
    <xdr:to>
      <xdr:col>21</xdr:col>
      <xdr:colOff>28930</xdr:colOff>
      <xdr:row>402</xdr:row>
      <xdr:rowOff>156372</xdr:rowOff>
    </xdr:to>
    <xdr:sp macro="" textlink="">
      <xdr:nvSpPr>
        <xdr:cNvPr id="1319" name="Line 24"/>
        <xdr:cNvSpPr>
          <a:spLocks noChangeShapeType="1"/>
        </xdr:cNvSpPr>
      </xdr:nvSpPr>
      <xdr:spPr bwMode="auto">
        <a:xfrm>
          <a:off x="12830530" y="59096812"/>
          <a:ext cx="0" cy="2324360"/>
        </a:xfrm>
        <a:prstGeom prst="line">
          <a:avLst/>
        </a:prstGeom>
        <a:noFill/>
        <a:ln w="6350">
          <a:solidFill>
            <a:srgbClr val="000000"/>
          </a:solidFill>
          <a:prstDash val="lgDashDot"/>
          <a:round/>
          <a:headEnd/>
          <a:tailEnd/>
        </a:ln>
      </xdr:spPr>
    </xdr:sp>
    <xdr:clientData/>
  </xdr:twoCellAnchor>
  <xdr:twoCellAnchor>
    <xdr:from>
      <xdr:col>28</xdr:col>
      <xdr:colOff>266382</xdr:colOff>
      <xdr:row>401</xdr:row>
      <xdr:rowOff>115973</xdr:rowOff>
    </xdr:from>
    <xdr:to>
      <xdr:col>30</xdr:col>
      <xdr:colOff>189108</xdr:colOff>
      <xdr:row>401</xdr:row>
      <xdr:rowOff>115973</xdr:rowOff>
    </xdr:to>
    <xdr:sp macro="" textlink="">
      <xdr:nvSpPr>
        <xdr:cNvPr id="1320" name="Line 25"/>
        <xdr:cNvSpPr>
          <a:spLocks noChangeShapeType="1"/>
        </xdr:cNvSpPr>
      </xdr:nvSpPr>
      <xdr:spPr bwMode="auto">
        <a:xfrm>
          <a:off x="17335182" y="61228373"/>
          <a:ext cx="1141926" cy="0"/>
        </a:xfrm>
        <a:prstGeom prst="line">
          <a:avLst/>
        </a:prstGeom>
        <a:noFill/>
        <a:ln w="6350">
          <a:solidFill>
            <a:srgbClr val="000000"/>
          </a:solidFill>
          <a:prstDash val="lgDashDot"/>
          <a:round/>
          <a:headEnd/>
          <a:tailEnd/>
        </a:ln>
      </xdr:spPr>
    </xdr:sp>
    <xdr:clientData/>
  </xdr:twoCellAnchor>
  <xdr:twoCellAnchor>
    <xdr:from>
      <xdr:col>21</xdr:col>
      <xdr:colOff>9922</xdr:colOff>
      <xdr:row>390</xdr:row>
      <xdr:rowOff>94898</xdr:rowOff>
    </xdr:from>
    <xdr:to>
      <xdr:col>21</xdr:col>
      <xdr:colOff>47939</xdr:colOff>
      <xdr:row>390</xdr:row>
      <xdr:rowOff>133381</xdr:rowOff>
    </xdr:to>
    <xdr:sp macro="" textlink="">
      <xdr:nvSpPr>
        <xdr:cNvPr id="1321" name="Oval 26"/>
        <xdr:cNvSpPr>
          <a:spLocks noChangeArrowheads="1"/>
        </xdr:cNvSpPr>
      </xdr:nvSpPr>
      <xdr:spPr bwMode="auto">
        <a:xfrm>
          <a:off x="12811522" y="59530898"/>
          <a:ext cx="38017" cy="38483"/>
        </a:xfrm>
        <a:prstGeom prst="ellipse">
          <a:avLst/>
        </a:prstGeom>
        <a:noFill/>
        <a:ln w="9525">
          <a:solidFill>
            <a:srgbClr val="000000"/>
          </a:solidFill>
          <a:round/>
          <a:headEnd/>
          <a:tailEnd/>
        </a:ln>
      </xdr:spPr>
    </xdr:sp>
    <xdr:clientData/>
  </xdr:twoCellAnchor>
  <xdr:twoCellAnchor>
    <xdr:from>
      <xdr:col>15</xdr:col>
      <xdr:colOff>53359</xdr:colOff>
      <xdr:row>395</xdr:row>
      <xdr:rowOff>114099</xdr:rowOff>
    </xdr:from>
    <xdr:to>
      <xdr:col>17</xdr:col>
      <xdr:colOff>11161</xdr:colOff>
      <xdr:row>396</xdr:row>
      <xdr:rowOff>39049</xdr:rowOff>
    </xdr:to>
    <xdr:sp macro="" textlink="">
      <xdr:nvSpPr>
        <xdr:cNvPr id="1322" name="Text Box 27"/>
        <xdr:cNvSpPr txBox="1">
          <a:spLocks noChangeArrowheads="1"/>
        </xdr:cNvSpPr>
      </xdr:nvSpPr>
      <xdr:spPr bwMode="auto">
        <a:xfrm>
          <a:off x="9197359" y="60312099"/>
          <a:ext cx="1177002" cy="77350"/>
        </a:xfrm>
        <a:prstGeom prst="rect">
          <a:avLst/>
        </a:prstGeom>
        <a:noFill/>
        <a:ln w="9525">
          <a:noFill/>
          <a:miter lim="800000"/>
          <a:headEnd/>
          <a:tailEnd/>
        </a:ln>
      </xdr:spPr>
      <xdr:txBody>
        <a:bodyPr vert="vert270" wrap="none" lIns="18288" tIns="22860" rIns="0" bIns="0" anchor="t" upright="1">
          <a:noAutofit/>
        </a:bodyPr>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a:t>
          </a:r>
        </a:p>
      </xdr:txBody>
    </xdr:sp>
    <xdr:clientData/>
  </xdr:twoCellAnchor>
  <xdr:twoCellAnchor>
    <xdr:from>
      <xdr:col>22</xdr:col>
      <xdr:colOff>114851</xdr:colOff>
      <xdr:row>387</xdr:row>
      <xdr:rowOff>69908</xdr:rowOff>
    </xdr:from>
    <xdr:to>
      <xdr:col>23</xdr:col>
      <xdr:colOff>231462</xdr:colOff>
      <xdr:row>388</xdr:row>
      <xdr:rowOff>62203</xdr:rowOff>
    </xdr:to>
    <xdr:sp macro="" textlink="">
      <xdr:nvSpPr>
        <xdr:cNvPr id="1323" name="Text Box 28"/>
        <xdr:cNvSpPr txBox="1">
          <a:spLocks noChangeArrowheads="1"/>
        </xdr:cNvSpPr>
      </xdr:nvSpPr>
      <xdr:spPr bwMode="auto">
        <a:xfrm>
          <a:off x="13526051" y="59048708"/>
          <a:ext cx="726211" cy="144695"/>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28</xdr:col>
      <xdr:colOff>76295</xdr:colOff>
      <xdr:row>390</xdr:row>
      <xdr:rowOff>114140</xdr:rowOff>
    </xdr:from>
    <xdr:to>
      <xdr:col>29</xdr:col>
      <xdr:colOff>142206</xdr:colOff>
      <xdr:row>390</xdr:row>
      <xdr:rowOff>114140</xdr:rowOff>
    </xdr:to>
    <xdr:sp macro="" textlink="">
      <xdr:nvSpPr>
        <xdr:cNvPr id="1324" name="Line 29"/>
        <xdr:cNvSpPr>
          <a:spLocks noChangeShapeType="1"/>
        </xdr:cNvSpPr>
      </xdr:nvSpPr>
      <xdr:spPr bwMode="auto">
        <a:xfrm>
          <a:off x="17145095" y="59550140"/>
          <a:ext cx="675511" cy="0"/>
        </a:xfrm>
        <a:prstGeom prst="line">
          <a:avLst/>
        </a:prstGeom>
        <a:noFill/>
        <a:ln w="12700">
          <a:solidFill>
            <a:srgbClr val="000000"/>
          </a:solidFill>
          <a:round/>
          <a:headEnd type="stealth" w="med" len="med"/>
          <a:tailEnd/>
        </a:ln>
      </xdr:spPr>
    </xdr:sp>
    <xdr:clientData/>
  </xdr:twoCellAnchor>
  <xdr:twoCellAnchor>
    <xdr:from>
      <xdr:col>27</xdr:col>
      <xdr:colOff>200472</xdr:colOff>
      <xdr:row>390</xdr:row>
      <xdr:rowOff>27552</xdr:rowOff>
    </xdr:from>
    <xdr:to>
      <xdr:col>28</xdr:col>
      <xdr:colOff>114313</xdr:colOff>
      <xdr:row>391</xdr:row>
      <xdr:rowOff>29468</xdr:rowOff>
    </xdr:to>
    <xdr:sp macro="" textlink="">
      <xdr:nvSpPr>
        <xdr:cNvPr id="1325" name="Text Box 30"/>
        <xdr:cNvSpPr txBox="1">
          <a:spLocks noChangeArrowheads="1"/>
        </xdr:cNvSpPr>
      </xdr:nvSpPr>
      <xdr:spPr bwMode="auto">
        <a:xfrm>
          <a:off x="16659672" y="59463552"/>
          <a:ext cx="523441" cy="154316"/>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R</a:t>
          </a:r>
          <a:r>
            <a:rPr lang="de-DE" altLang="ja-JP" sz="700" b="1" i="0" strike="noStrike">
              <a:solidFill>
                <a:srgbClr val="000000"/>
              </a:solidFill>
              <a:latin typeface="Times New Roman"/>
              <a:cs typeface="Times New Roman"/>
            </a:rPr>
            <a:t>b</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11</xdr:col>
      <xdr:colOff>27324</xdr:colOff>
      <xdr:row>396</xdr:row>
      <xdr:rowOff>67911</xdr:rowOff>
    </xdr:from>
    <xdr:to>
      <xdr:col>11</xdr:col>
      <xdr:colOff>27324</xdr:colOff>
      <xdr:row>396</xdr:row>
      <xdr:rowOff>67911</xdr:rowOff>
    </xdr:to>
    <xdr:sp macro="" textlink="">
      <xdr:nvSpPr>
        <xdr:cNvPr id="1326" name="Line 31"/>
        <xdr:cNvSpPr>
          <a:spLocks noChangeShapeType="1"/>
        </xdr:cNvSpPr>
      </xdr:nvSpPr>
      <xdr:spPr bwMode="auto">
        <a:xfrm flipH="1">
          <a:off x="6732924" y="60418311"/>
          <a:ext cx="0" cy="0"/>
        </a:xfrm>
        <a:prstGeom prst="line">
          <a:avLst/>
        </a:prstGeom>
        <a:noFill/>
        <a:ln w="6350">
          <a:solidFill>
            <a:srgbClr val="000000"/>
          </a:solidFill>
          <a:round/>
          <a:headEnd/>
          <a:tailEnd/>
        </a:ln>
      </xdr:spPr>
    </xdr:sp>
    <xdr:clientData/>
  </xdr:twoCellAnchor>
  <xdr:twoCellAnchor>
    <xdr:from>
      <xdr:col>28</xdr:col>
      <xdr:colOff>123817</xdr:colOff>
      <xdr:row>395</xdr:row>
      <xdr:rowOff>181444</xdr:rowOff>
    </xdr:from>
    <xdr:to>
      <xdr:col>28</xdr:col>
      <xdr:colOff>123817</xdr:colOff>
      <xdr:row>398</xdr:row>
      <xdr:rowOff>52501</xdr:rowOff>
    </xdr:to>
    <xdr:sp macro="" textlink="">
      <xdr:nvSpPr>
        <xdr:cNvPr id="1327" name="Line 32"/>
        <xdr:cNvSpPr>
          <a:spLocks noChangeShapeType="1"/>
        </xdr:cNvSpPr>
      </xdr:nvSpPr>
      <xdr:spPr bwMode="auto">
        <a:xfrm>
          <a:off x="17192617" y="60350869"/>
          <a:ext cx="0" cy="356832"/>
        </a:xfrm>
        <a:prstGeom prst="line">
          <a:avLst/>
        </a:prstGeom>
        <a:noFill/>
        <a:ln w="12700">
          <a:solidFill>
            <a:srgbClr val="000000"/>
          </a:solidFill>
          <a:round/>
          <a:headEnd/>
          <a:tailEnd type="stealth" w="med" len="med"/>
        </a:ln>
      </xdr:spPr>
    </xdr:sp>
    <xdr:clientData/>
  </xdr:twoCellAnchor>
  <xdr:twoCellAnchor>
    <xdr:from>
      <xdr:col>28</xdr:col>
      <xdr:colOff>114313</xdr:colOff>
      <xdr:row>395</xdr:row>
      <xdr:rowOff>46753</xdr:rowOff>
    </xdr:from>
    <xdr:to>
      <xdr:col>29</xdr:col>
      <xdr:colOff>28154</xdr:colOff>
      <xdr:row>396</xdr:row>
      <xdr:rowOff>48669</xdr:rowOff>
    </xdr:to>
    <xdr:sp macro="" textlink="">
      <xdr:nvSpPr>
        <xdr:cNvPr id="1328" name="Text Box 33"/>
        <xdr:cNvSpPr txBox="1">
          <a:spLocks noChangeArrowheads="1"/>
        </xdr:cNvSpPr>
      </xdr:nvSpPr>
      <xdr:spPr bwMode="auto">
        <a:xfrm>
          <a:off x="17183113" y="60244753"/>
          <a:ext cx="523441" cy="154316"/>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xdr:col>
      <xdr:colOff>0</xdr:colOff>
      <xdr:row>383</xdr:row>
      <xdr:rowOff>175846</xdr:rowOff>
    </xdr:from>
    <xdr:to>
      <xdr:col>31</xdr:col>
      <xdr:colOff>274028</xdr:colOff>
      <xdr:row>383</xdr:row>
      <xdr:rowOff>175846</xdr:rowOff>
    </xdr:to>
    <xdr:sp macro="" textlink="">
      <xdr:nvSpPr>
        <xdr:cNvPr id="1329" name="Line 34"/>
        <xdr:cNvSpPr>
          <a:spLocks noChangeShapeType="1"/>
        </xdr:cNvSpPr>
      </xdr:nvSpPr>
      <xdr:spPr bwMode="auto">
        <a:xfrm>
          <a:off x="1219200" y="58525996"/>
          <a:ext cx="17952428" cy="0"/>
        </a:xfrm>
        <a:prstGeom prst="line">
          <a:avLst/>
        </a:prstGeom>
        <a:noFill/>
        <a:ln w="57150" cmpd="thinThick">
          <a:solidFill>
            <a:srgbClr val="000000"/>
          </a:solidFill>
          <a:round/>
          <a:headEnd/>
          <a:tailEnd/>
        </a:ln>
      </xdr:spPr>
    </xdr:sp>
    <xdr:clientData/>
  </xdr:twoCellAnchor>
  <xdr:twoCellAnchor>
    <xdr:from>
      <xdr:col>25</xdr:col>
      <xdr:colOff>277745</xdr:colOff>
      <xdr:row>392</xdr:row>
      <xdr:rowOff>21763</xdr:rowOff>
    </xdr:from>
    <xdr:to>
      <xdr:col>28</xdr:col>
      <xdr:colOff>38278</xdr:colOff>
      <xdr:row>392</xdr:row>
      <xdr:rowOff>175696</xdr:rowOff>
    </xdr:to>
    <xdr:sp macro="" textlink="">
      <xdr:nvSpPr>
        <xdr:cNvPr id="1330" name="Text Box 35"/>
        <xdr:cNvSpPr txBox="1">
          <a:spLocks noChangeArrowheads="1"/>
        </xdr:cNvSpPr>
      </xdr:nvSpPr>
      <xdr:spPr bwMode="auto">
        <a:xfrm>
          <a:off x="15517745" y="59762563"/>
          <a:ext cx="1589333" cy="134883"/>
        </a:xfrm>
        <a:prstGeom prst="rect">
          <a:avLst/>
        </a:prstGeom>
        <a:noFill/>
        <a:ln w="9525">
          <a:noFill/>
          <a:miter lim="800000"/>
          <a:headEnd/>
          <a:tailEnd/>
        </a:ln>
      </xdr:spPr>
      <xdr:txBody>
        <a:bodyPr wrap="none" lIns="18288" tIns="18288" rIns="0" bIns="0" anchor="t" upright="1">
          <a:noAutofit/>
        </a:bodyPr>
        <a:lstStyle/>
        <a:p>
          <a:pPr algn="l" rtl="1">
            <a:defRPr sz="1000"/>
          </a:pPr>
          <a:r>
            <a:rPr lang="ja-JP" altLang="en-US" sz="800" b="1" i="0" strike="noStrike">
              <a:solidFill>
                <a:srgbClr val="000000"/>
              </a:solidFill>
              <a:latin typeface="ＭＳ Ｐゴシック"/>
              <a:ea typeface="ＭＳ Ｐゴシック"/>
            </a:rPr>
            <a:t>アンカボルト</a:t>
          </a:r>
        </a:p>
      </xdr:txBody>
    </xdr:sp>
    <xdr:clientData/>
  </xdr:twoCellAnchor>
  <xdr:twoCellAnchor>
    <xdr:from>
      <xdr:col>11</xdr:col>
      <xdr:colOff>27324</xdr:colOff>
      <xdr:row>397</xdr:row>
      <xdr:rowOff>69826</xdr:rowOff>
    </xdr:from>
    <xdr:to>
      <xdr:col>11</xdr:col>
      <xdr:colOff>27324</xdr:colOff>
      <xdr:row>397</xdr:row>
      <xdr:rowOff>69826</xdr:rowOff>
    </xdr:to>
    <xdr:sp macro="" textlink="">
      <xdr:nvSpPr>
        <xdr:cNvPr id="1331" name="Line 36"/>
        <xdr:cNvSpPr>
          <a:spLocks noChangeShapeType="1"/>
        </xdr:cNvSpPr>
      </xdr:nvSpPr>
      <xdr:spPr bwMode="auto">
        <a:xfrm flipH="1">
          <a:off x="6732924" y="60572626"/>
          <a:ext cx="0" cy="0"/>
        </a:xfrm>
        <a:prstGeom prst="line">
          <a:avLst/>
        </a:prstGeom>
        <a:noFill/>
        <a:ln w="6350">
          <a:solidFill>
            <a:srgbClr val="000000"/>
          </a:solidFill>
          <a:round/>
          <a:headEnd/>
          <a:tailEnd/>
        </a:ln>
      </xdr:spPr>
    </xdr:sp>
    <xdr:clientData/>
  </xdr:twoCellAnchor>
  <xdr:twoCellAnchor>
    <xdr:from>
      <xdr:col>11</xdr:col>
      <xdr:colOff>27324</xdr:colOff>
      <xdr:row>398</xdr:row>
      <xdr:rowOff>71742</xdr:rowOff>
    </xdr:from>
    <xdr:to>
      <xdr:col>11</xdr:col>
      <xdr:colOff>27324</xdr:colOff>
      <xdr:row>398</xdr:row>
      <xdr:rowOff>71742</xdr:rowOff>
    </xdr:to>
    <xdr:sp macro="" textlink="">
      <xdr:nvSpPr>
        <xdr:cNvPr id="1332" name="Line 37"/>
        <xdr:cNvSpPr>
          <a:spLocks noChangeShapeType="1"/>
        </xdr:cNvSpPr>
      </xdr:nvSpPr>
      <xdr:spPr bwMode="auto">
        <a:xfrm flipH="1">
          <a:off x="6732924" y="60726942"/>
          <a:ext cx="0" cy="0"/>
        </a:xfrm>
        <a:prstGeom prst="line">
          <a:avLst/>
        </a:prstGeom>
        <a:noFill/>
        <a:ln w="6350">
          <a:solidFill>
            <a:srgbClr val="000000"/>
          </a:solidFill>
          <a:round/>
          <a:headEnd/>
          <a:tailEnd/>
        </a:ln>
      </xdr:spPr>
    </xdr:sp>
    <xdr:clientData/>
  </xdr:twoCellAnchor>
  <xdr:twoCellAnchor>
    <xdr:from>
      <xdr:col>11</xdr:col>
      <xdr:colOff>27324</xdr:colOff>
      <xdr:row>399</xdr:row>
      <xdr:rowOff>73658</xdr:rowOff>
    </xdr:from>
    <xdr:to>
      <xdr:col>11</xdr:col>
      <xdr:colOff>27324</xdr:colOff>
      <xdr:row>399</xdr:row>
      <xdr:rowOff>73658</xdr:rowOff>
    </xdr:to>
    <xdr:sp macro="" textlink="">
      <xdr:nvSpPr>
        <xdr:cNvPr id="1333" name="Line 38"/>
        <xdr:cNvSpPr>
          <a:spLocks noChangeShapeType="1"/>
        </xdr:cNvSpPr>
      </xdr:nvSpPr>
      <xdr:spPr bwMode="auto">
        <a:xfrm flipH="1">
          <a:off x="6732924" y="60881258"/>
          <a:ext cx="0" cy="0"/>
        </a:xfrm>
        <a:prstGeom prst="line">
          <a:avLst/>
        </a:prstGeom>
        <a:noFill/>
        <a:ln w="6350">
          <a:solidFill>
            <a:srgbClr val="000000"/>
          </a:solidFill>
          <a:round/>
          <a:headEnd/>
          <a:tailEnd/>
        </a:ln>
      </xdr:spPr>
    </xdr:sp>
    <xdr:clientData/>
  </xdr:twoCellAnchor>
  <xdr:twoCellAnchor>
    <xdr:from>
      <xdr:col>23</xdr:col>
      <xdr:colOff>136419</xdr:colOff>
      <xdr:row>400</xdr:row>
      <xdr:rowOff>17850</xdr:rowOff>
    </xdr:from>
    <xdr:to>
      <xdr:col>23</xdr:col>
      <xdr:colOff>136419</xdr:colOff>
      <xdr:row>403</xdr:row>
      <xdr:rowOff>13977</xdr:rowOff>
    </xdr:to>
    <xdr:sp macro="" textlink="">
      <xdr:nvSpPr>
        <xdr:cNvPr id="1334" name="Line 40"/>
        <xdr:cNvSpPr>
          <a:spLocks noChangeShapeType="1"/>
        </xdr:cNvSpPr>
      </xdr:nvSpPr>
      <xdr:spPr bwMode="auto">
        <a:xfrm>
          <a:off x="14157219" y="60977850"/>
          <a:ext cx="0" cy="453327"/>
        </a:xfrm>
        <a:prstGeom prst="line">
          <a:avLst/>
        </a:prstGeom>
        <a:noFill/>
        <a:ln w="6350">
          <a:solidFill>
            <a:srgbClr val="000000"/>
          </a:solidFill>
          <a:prstDash val="lgDashDot"/>
          <a:round/>
          <a:headEnd/>
          <a:tailEnd/>
        </a:ln>
      </xdr:spPr>
    </xdr:sp>
    <xdr:clientData/>
  </xdr:twoCellAnchor>
  <xdr:twoCellAnchor>
    <xdr:from>
      <xdr:col>21</xdr:col>
      <xdr:colOff>9922</xdr:colOff>
      <xdr:row>401</xdr:row>
      <xdr:rowOff>96732</xdr:rowOff>
    </xdr:from>
    <xdr:to>
      <xdr:col>21</xdr:col>
      <xdr:colOff>47939</xdr:colOff>
      <xdr:row>401</xdr:row>
      <xdr:rowOff>135215</xdr:rowOff>
    </xdr:to>
    <xdr:sp macro="" textlink="">
      <xdr:nvSpPr>
        <xdr:cNvPr id="1335" name="Oval 41"/>
        <xdr:cNvSpPr>
          <a:spLocks noChangeArrowheads="1"/>
        </xdr:cNvSpPr>
      </xdr:nvSpPr>
      <xdr:spPr bwMode="auto">
        <a:xfrm>
          <a:off x="12811522" y="61209132"/>
          <a:ext cx="38017" cy="38483"/>
        </a:xfrm>
        <a:prstGeom prst="ellipse">
          <a:avLst/>
        </a:prstGeom>
        <a:noFill/>
        <a:ln w="9525">
          <a:solidFill>
            <a:srgbClr val="000000"/>
          </a:solidFill>
          <a:round/>
          <a:headEnd/>
          <a:tailEnd/>
        </a:ln>
      </xdr:spPr>
    </xdr:sp>
    <xdr:clientData/>
  </xdr:twoCellAnchor>
  <xdr:twoCellAnchor>
    <xdr:from>
      <xdr:col>29</xdr:col>
      <xdr:colOff>161215</xdr:colOff>
      <xdr:row>387</xdr:row>
      <xdr:rowOff>166116</xdr:rowOff>
    </xdr:from>
    <xdr:to>
      <xdr:col>29</xdr:col>
      <xdr:colOff>161215</xdr:colOff>
      <xdr:row>404</xdr:row>
      <xdr:rowOff>63996</xdr:rowOff>
    </xdr:to>
    <xdr:sp macro="" textlink="">
      <xdr:nvSpPr>
        <xdr:cNvPr id="1336" name="Line 43"/>
        <xdr:cNvSpPr>
          <a:spLocks noChangeShapeType="1"/>
        </xdr:cNvSpPr>
      </xdr:nvSpPr>
      <xdr:spPr bwMode="auto">
        <a:xfrm>
          <a:off x="17839615" y="59135391"/>
          <a:ext cx="0" cy="2498205"/>
        </a:xfrm>
        <a:prstGeom prst="line">
          <a:avLst/>
        </a:prstGeom>
        <a:noFill/>
        <a:ln w="9525">
          <a:solidFill>
            <a:srgbClr val="000000"/>
          </a:solidFill>
          <a:round/>
          <a:headEnd/>
          <a:tailEnd/>
        </a:ln>
      </xdr:spPr>
    </xdr:sp>
    <xdr:clientData/>
  </xdr:twoCellAnchor>
  <xdr:twoCellAnchor>
    <xdr:from>
      <xdr:col>14</xdr:col>
      <xdr:colOff>285055</xdr:colOff>
      <xdr:row>389</xdr:row>
      <xdr:rowOff>150707</xdr:rowOff>
    </xdr:from>
    <xdr:to>
      <xdr:col>14</xdr:col>
      <xdr:colOff>285055</xdr:colOff>
      <xdr:row>402</xdr:row>
      <xdr:rowOff>60165</xdr:rowOff>
    </xdr:to>
    <xdr:sp macro="" textlink="">
      <xdr:nvSpPr>
        <xdr:cNvPr id="1337" name="Line 44"/>
        <xdr:cNvSpPr>
          <a:spLocks noChangeShapeType="1"/>
        </xdr:cNvSpPr>
      </xdr:nvSpPr>
      <xdr:spPr bwMode="auto">
        <a:xfrm>
          <a:off x="8819455" y="59434307"/>
          <a:ext cx="0" cy="1890658"/>
        </a:xfrm>
        <a:prstGeom prst="line">
          <a:avLst/>
        </a:prstGeom>
        <a:noFill/>
        <a:ln w="3175">
          <a:solidFill>
            <a:srgbClr val="000000"/>
          </a:solidFill>
          <a:round/>
          <a:headEnd type="triangle" w="sm" len="med"/>
          <a:tailEnd type="triangle" w="sm" len="med"/>
        </a:ln>
      </xdr:spPr>
    </xdr:sp>
    <xdr:clientData/>
  </xdr:twoCellAnchor>
  <xdr:twoCellAnchor>
    <xdr:from>
      <xdr:col>15</xdr:col>
      <xdr:colOff>81872</xdr:colOff>
      <xdr:row>401</xdr:row>
      <xdr:rowOff>115973</xdr:rowOff>
    </xdr:from>
    <xdr:to>
      <xdr:col>26</xdr:col>
      <xdr:colOff>68031</xdr:colOff>
      <xdr:row>401</xdr:row>
      <xdr:rowOff>115973</xdr:rowOff>
    </xdr:to>
    <xdr:sp macro="" textlink="">
      <xdr:nvSpPr>
        <xdr:cNvPr id="1338" name="Line 45"/>
        <xdr:cNvSpPr>
          <a:spLocks noChangeShapeType="1"/>
        </xdr:cNvSpPr>
      </xdr:nvSpPr>
      <xdr:spPr bwMode="auto">
        <a:xfrm>
          <a:off x="9225872" y="61228373"/>
          <a:ext cx="6691759" cy="0"/>
        </a:xfrm>
        <a:prstGeom prst="line">
          <a:avLst/>
        </a:prstGeom>
        <a:noFill/>
        <a:ln w="6350">
          <a:solidFill>
            <a:srgbClr val="000000"/>
          </a:solidFill>
          <a:prstDash val="lgDashDot"/>
          <a:round/>
          <a:headEnd/>
          <a:tailEnd/>
        </a:ln>
      </xdr:spPr>
    </xdr:sp>
    <xdr:clientData/>
  </xdr:twoCellAnchor>
  <xdr:twoCellAnchor>
    <xdr:from>
      <xdr:col>28</xdr:col>
      <xdr:colOff>123817</xdr:colOff>
      <xdr:row>388</xdr:row>
      <xdr:rowOff>168032</xdr:rowOff>
    </xdr:from>
    <xdr:to>
      <xdr:col>29</xdr:col>
      <xdr:colOff>161215</xdr:colOff>
      <xdr:row>388</xdr:row>
      <xdr:rowOff>168032</xdr:rowOff>
    </xdr:to>
    <xdr:sp macro="" textlink="">
      <xdr:nvSpPr>
        <xdr:cNvPr id="1339" name="Line 46"/>
        <xdr:cNvSpPr>
          <a:spLocks noChangeShapeType="1"/>
        </xdr:cNvSpPr>
      </xdr:nvSpPr>
      <xdr:spPr bwMode="auto">
        <a:xfrm>
          <a:off x="17192617" y="59280182"/>
          <a:ext cx="646998" cy="0"/>
        </a:xfrm>
        <a:prstGeom prst="line">
          <a:avLst/>
        </a:prstGeom>
        <a:noFill/>
        <a:ln w="6350">
          <a:solidFill>
            <a:srgbClr val="000000"/>
          </a:solidFill>
          <a:round/>
          <a:headEnd type="triangle" w="sm" len="med"/>
          <a:tailEnd type="triangle" w="sm" len="med"/>
        </a:ln>
      </xdr:spPr>
    </xdr:sp>
    <xdr:clientData/>
  </xdr:twoCellAnchor>
  <xdr:twoCellAnchor>
    <xdr:from>
      <xdr:col>28</xdr:col>
      <xdr:colOff>104808</xdr:colOff>
      <xdr:row>403</xdr:row>
      <xdr:rowOff>33218</xdr:rowOff>
    </xdr:from>
    <xdr:to>
      <xdr:col>28</xdr:col>
      <xdr:colOff>209356</xdr:colOff>
      <xdr:row>404</xdr:row>
      <xdr:rowOff>15892</xdr:rowOff>
    </xdr:to>
    <xdr:sp macro="" textlink="">
      <xdr:nvSpPr>
        <xdr:cNvPr id="1340" name="Text Box 47"/>
        <xdr:cNvSpPr txBox="1">
          <a:spLocks noChangeArrowheads="1"/>
        </xdr:cNvSpPr>
      </xdr:nvSpPr>
      <xdr:spPr bwMode="auto">
        <a:xfrm>
          <a:off x="17173608" y="61450418"/>
          <a:ext cx="104548" cy="135074"/>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D</a:t>
          </a:r>
        </a:p>
      </xdr:txBody>
    </xdr:sp>
    <xdr:clientData/>
  </xdr:twoCellAnchor>
  <xdr:twoCellAnchor>
    <xdr:from>
      <xdr:col>19</xdr:col>
      <xdr:colOff>101818</xdr:colOff>
      <xdr:row>402</xdr:row>
      <xdr:rowOff>108269</xdr:rowOff>
    </xdr:from>
    <xdr:to>
      <xdr:col>19</xdr:col>
      <xdr:colOff>101818</xdr:colOff>
      <xdr:row>404</xdr:row>
      <xdr:rowOff>73618</xdr:rowOff>
    </xdr:to>
    <xdr:sp macro="" textlink="">
      <xdr:nvSpPr>
        <xdr:cNvPr id="1341" name="Line 48"/>
        <xdr:cNvSpPr>
          <a:spLocks noChangeShapeType="1"/>
        </xdr:cNvSpPr>
      </xdr:nvSpPr>
      <xdr:spPr bwMode="auto">
        <a:xfrm>
          <a:off x="11684218" y="61373069"/>
          <a:ext cx="0" cy="270149"/>
        </a:xfrm>
        <a:prstGeom prst="line">
          <a:avLst/>
        </a:prstGeom>
        <a:noFill/>
        <a:ln w="3175">
          <a:solidFill>
            <a:srgbClr val="000000"/>
          </a:solidFill>
          <a:round/>
          <a:headEnd/>
          <a:tailEnd/>
        </a:ln>
      </xdr:spPr>
    </xdr:sp>
    <xdr:clientData/>
  </xdr:twoCellAnchor>
  <xdr:twoCellAnchor>
    <xdr:from>
      <xdr:col>16</xdr:col>
      <xdr:colOff>116710</xdr:colOff>
      <xdr:row>392</xdr:row>
      <xdr:rowOff>166075</xdr:rowOff>
    </xdr:from>
    <xdr:to>
      <xdr:col>18</xdr:col>
      <xdr:colOff>45205</xdr:colOff>
      <xdr:row>393</xdr:row>
      <xdr:rowOff>158370</xdr:rowOff>
    </xdr:to>
    <xdr:sp macro="" textlink="">
      <xdr:nvSpPr>
        <xdr:cNvPr id="1342" name="Text Box 49"/>
        <xdr:cNvSpPr txBox="1">
          <a:spLocks noChangeArrowheads="1"/>
        </xdr:cNvSpPr>
      </xdr:nvSpPr>
      <xdr:spPr bwMode="auto">
        <a:xfrm>
          <a:off x="9870310" y="59897350"/>
          <a:ext cx="1147695" cy="144695"/>
        </a:xfrm>
        <a:prstGeom prst="rect">
          <a:avLst/>
        </a:prstGeom>
        <a:noFill/>
        <a:ln w="9525">
          <a:noFill/>
          <a:miter lim="800000"/>
          <a:headEnd/>
          <a:tailEnd/>
        </a:ln>
      </xdr:spPr>
      <xdr:txBody>
        <a:bodyPr vertOverflow="clip" vert="vert270" wrap="square" lIns="0" tIns="22860" rIns="27432" bIns="0" anchor="b"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2g</a:t>
          </a:r>
        </a:p>
      </xdr:txBody>
    </xdr:sp>
    <xdr:clientData/>
  </xdr:twoCellAnchor>
  <xdr:twoCellAnchor>
    <xdr:from>
      <xdr:col>28</xdr:col>
      <xdr:colOff>85800</xdr:colOff>
      <xdr:row>388</xdr:row>
      <xdr:rowOff>14100</xdr:rowOff>
    </xdr:from>
    <xdr:to>
      <xdr:col>29</xdr:col>
      <xdr:colOff>85180</xdr:colOff>
      <xdr:row>389</xdr:row>
      <xdr:rowOff>6395</xdr:rowOff>
    </xdr:to>
    <xdr:sp macro="" textlink="">
      <xdr:nvSpPr>
        <xdr:cNvPr id="1343" name="Text Box 50"/>
        <xdr:cNvSpPr txBox="1">
          <a:spLocks noChangeArrowheads="1"/>
        </xdr:cNvSpPr>
      </xdr:nvSpPr>
      <xdr:spPr bwMode="auto">
        <a:xfrm>
          <a:off x="17154600" y="59145300"/>
          <a:ext cx="608980" cy="144695"/>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3g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19</xdr:col>
      <xdr:colOff>101818</xdr:colOff>
      <xdr:row>389</xdr:row>
      <xdr:rowOff>150707</xdr:rowOff>
    </xdr:from>
    <xdr:to>
      <xdr:col>26</xdr:col>
      <xdr:colOff>1499</xdr:colOff>
      <xdr:row>402</xdr:row>
      <xdr:rowOff>60165</xdr:rowOff>
    </xdr:to>
    <xdr:grpSp>
      <xdr:nvGrpSpPr>
        <xdr:cNvPr id="1344" name="Group 51"/>
        <xdr:cNvGrpSpPr>
          <a:grpSpLocks/>
        </xdr:cNvGrpSpPr>
      </xdr:nvGrpSpPr>
      <xdr:grpSpPr bwMode="auto">
        <a:xfrm>
          <a:off x="4491256" y="68373520"/>
          <a:ext cx="1280806" cy="2385958"/>
          <a:chOff x="386" y="146"/>
          <a:chExt cx="163" cy="202"/>
        </a:xfrm>
      </xdr:grpSpPr>
      <xdr:sp macro="" textlink="">
        <xdr:nvSpPr>
          <xdr:cNvPr id="1345" name="Line 52"/>
          <xdr:cNvSpPr>
            <a:spLocks noChangeShapeType="1"/>
          </xdr:cNvSpPr>
        </xdr:nvSpPr>
        <xdr:spPr bwMode="auto">
          <a:xfrm>
            <a:off x="549" y="146"/>
            <a:ext cx="0" cy="202"/>
          </a:xfrm>
          <a:prstGeom prst="line">
            <a:avLst/>
          </a:prstGeom>
          <a:noFill/>
          <a:ln w="9525">
            <a:solidFill>
              <a:srgbClr val="000000"/>
            </a:solidFill>
            <a:round/>
            <a:headEnd/>
            <a:tailEnd/>
          </a:ln>
        </xdr:spPr>
      </xdr:sp>
      <xdr:sp macro="" textlink="">
        <xdr:nvSpPr>
          <xdr:cNvPr id="1346" name="Line 53"/>
          <xdr:cNvSpPr>
            <a:spLocks noChangeShapeType="1"/>
          </xdr:cNvSpPr>
        </xdr:nvSpPr>
        <xdr:spPr bwMode="auto">
          <a:xfrm>
            <a:off x="386" y="146"/>
            <a:ext cx="0" cy="202"/>
          </a:xfrm>
          <a:prstGeom prst="line">
            <a:avLst/>
          </a:prstGeom>
          <a:noFill/>
          <a:ln w="9525">
            <a:solidFill>
              <a:srgbClr val="000000"/>
            </a:solidFill>
            <a:round/>
            <a:headEnd/>
            <a:tailEnd/>
          </a:ln>
        </xdr:spPr>
      </xdr:sp>
      <xdr:sp macro="" textlink="">
        <xdr:nvSpPr>
          <xdr:cNvPr id="1347" name="Line 54"/>
          <xdr:cNvSpPr>
            <a:spLocks noChangeShapeType="1"/>
          </xdr:cNvSpPr>
        </xdr:nvSpPr>
        <xdr:spPr bwMode="auto">
          <a:xfrm>
            <a:off x="386" y="348"/>
            <a:ext cx="163" cy="0"/>
          </a:xfrm>
          <a:prstGeom prst="line">
            <a:avLst/>
          </a:prstGeom>
          <a:noFill/>
          <a:ln w="9525">
            <a:solidFill>
              <a:srgbClr val="000000"/>
            </a:solidFill>
            <a:round/>
            <a:headEnd/>
            <a:tailEnd/>
          </a:ln>
        </xdr:spPr>
      </xdr:sp>
      <xdr:sp macro="" textlink="">
        <xdr:nvSpPr>
          <xdr:cNvPr id="1348" name="Line 55"/>
          <xdr:cNvSpPr>
            <a:spLocks noChangeShapeType="1"/>
          </xdr:cNvSpPr>
        </xdr:nvSpPr>
        <xdr:spPr bwMode="auto">
          <a:xfrm>
            <a:off x="386" y="146"/>
            <a:ext cx="163" cy="0"/>
          </a:xfrm>
          <a:prstGeom prst="line">
            <a:avLst/>
          </a:prstGeom>
          <a:noFill/>
          <a:ln w="9525">
            <a:solidFill>
              <a:srgbClr val="000000"/>
            </a:solidFill>
            <a:round/>
            <a:headEnd/>
            <a:tailEnd/>
          </a:ln>
        </xdr:spPr>
      </xdr:sp>
    </xdr:grpSp>
    <xdr:clientData/>
  </xdr:twoCellAnchor>
  <xdr:twoCellAnchor>
    <xdr:from>
      <xdr:col>26</xdr:col>
      <xdr:colOff>30013</xdr:colOff>
      <xdr:row>390</xdr:row>
      <xdr:rowOff>123760</xdr:rowOff>
    </xdr:from>
    <xdr:to>
      <xdr:col>26</xdr:col>
      <xdr:colOff>201091</xdr:colOff>
      <xdr:row>390</xdr:row>
      <xdr:rowOff>123760</xdr:rowOff>
    </xdr:to>
    <xdr:sp macro="" textlink="">
      <xdr:nvSpPr>
        <xdr:cNvPr id="1349" name="Line 56"/>
        <xdr:cNvSpPr>
          <a:spLocks noChangeShapeType="1"/>
        </xdr:cNvSpPr>
      </xdr:nvSpPr>
      <xdr:spPr bwMode="auto">
        <a:xfrm>
          <a:off x="15879613" y="59559760"/>
          <a:ext cx="171078" cy="0"/>
        </a:xfrm>
        <a:prstGeom prst="line">
          <a:avLst/>
        </a:prstGeom>
        <a:noFill/>
        <a:ln w="9525">
          <a:noFill/>
          <a:round/>
          <a:headEnd/>
          <a:tailEnd/>
        </a:ln>
      </xdr:spPr>
    </xdr:sp>
    <xdr:clientData/>
  </xdr:twoCellAnchor>
  <xdr:twoCellAnchor>
    <xdr:from>
      <xdr:col>26</xdr:col>
      <xdr:colOff>20508</xdr:colOff>
      <xdr:row>390</xdr:row>
      <xdr:rowOff>114140</xdr:rowOff>
    </xdr:from>
    <xdr:to>
      <xdr:col>26</xdr:col>
      <xdr:colOff>191586</xdr:colOff>
      <xdr:row>390</xdr:row>
      <xdr:rowOff>114140</xdr:rowOff>
    </xdr:to>
    <xdr:sp macro="" textlink="">
      <xdr:nvSpPr>
        <xdr:cNvPr id="1350" name="Line 57"/>
        <xdr:cNvSpPr>
          <a:spLocks noChangeShapeType="1"/>
        </xdr:cNvSpPr>
      </xdr:nvSpPr>
      <xdr:spPr bwMode="auto">
        <a:xfrm>
          <a:off x="15870108" y="59550140"/>
          <a:ext cx="171078" cy="0"/>
        </a:xfrm>
        <a:prstGeom prst="line">
          <a:avLst/>
        </a:prstGeom>
        <a:noFill/>
        <a:ln w="9525">
          <a:noFill/>
          <a:round/>
          <a:headEnd/>
          <a:tailEnd/>
        </a:ln>
      </xdr:spPr>
    </xdr:sp>
    <xdr:clientData/>
  </xdr:twoCellAnchor>
  <xdr:twoCellAnchor>
    <xdr:from>
      <xdr:col>26</xdr:col>
      <xdr:colOff>11004</xdr:colOff>
      <xdr:row>390</xdr:row>
      <xdr:rowOff>114140</xdr:rowOff>
    </xdr:from>
    <xdr:to>
      <xdr:col>26</xdr:col>
      <xdr:colOff>163074</xdr:colOff>
      <xdr:row>390</xdr:row>
      <xdr:rowOff>114140</xdr:rowOff>
    </xdr:to>
    <xdr:sp macro="" textlink="">
      <xdr:nvSpPr>
        <xdr:cNvPr id="1351" name="Line 58"/>
        <xdr:cNvSpPr>
          <a:spLocks noChangeShapeType="1"/>
        </xdr:cNvSpPr>
      </xdr:nvSpPr>
      <xdr:spPr bwMode="auto">
        <a:xfrm>
          <a:off x="15860604" y="59550140"/>
          <a:ext cx="152070" cy="0"/>
        </a:xfrm>
        <a:prstGeom prst="line">
          <a:avLst/>
        </a:prstGeom>
        <a:noFill/>
        <a:ln w="9525">
          <a:noFill/>
          <a:round/>
          <a:headEnd/>
          <a:tailEnd/>
        </a:ln>
      </xdr:spPr>
    </xdr:sp>
    <xdr:clientData/>
  </xdr:twoCellAnchor>
  <xdr:twoCellAnchor>
    <xdr:from>
      <xdr:col>26</xdr:col>
      <xdr:colOff>20508</xdr:colOff>
      <xdr:row>390</xdr:row>
      <xdr:rowOff>114140</xdr:rowOff>
    </xdr:from>
    <xdr:to>
      <xdr:col>26</xdr:col>
      <xdr:colOff>258117</xdr:colOff>
      <xdr:row>390</xdr:row>
      <xdr:rowOff>114140</xdr:rowOff>
    </xdr:to>
    <xdr:sp macro="" textlink="">
      <xdr:nvSpPr>
        <xdr:cNvPr id="1352" name="Line 59"/>
        <xdr:cNvSpPr>
          <a:spLocks noChangeShapeType="1"/>
        </xdr:cNvSpPr>
      </xdr:nvSpPr>
      <xdr:spPr bwMode="auto">
        <a:xfrm>
          <a:off x="15870108" y="59550140"/>
          <a:ext cx="237609" cy="0"/>
        </a:xfrm>
        <a:prstGeom prst="line">
          <a:avLst/>
        </a:prstGeom>
        <a:noFill/>
        <a:ln w="9525">
          <a:noFill/>
          <a:round/>
          <a:headEnd/>
          <a:tailEnd/>
        </a:ln>
      </xdr:spPr>
    </xdr:sp>
    <xdr:clientData/>
  </xdr:twoCellAnchor>
  <xdr:twoCellAnchor>
    <xdr:from>
      <xdr:col>29</xdr:col>
      <xdr:colOff>142206</xdr:colOff>
      <xdr:row>401</xdr:row>
      <xdr:rowOff>115973</xdr:rowOff>
    </xdr:from>
    <xdr:to>
      <xdr:col>30</xdr:col>
      <xdr:colOff>18030</xdr:colOff>
      <xdr:row>401</xdr:row>
      <xdr:rowOff>115973</xdr:rowOff>
    </xdr:to>
    <xdr:sp macro="" textlink="">
      <xdr:nvSpPr>
        <xdr:cNvPr id="1353" name="Line 60"/>
        <xdr:cNvSpPr>
          <a:spLocks noChangeShapeType="1"/>
        </xdr:cNvSpPr>
      </xdr:nvSpPr>
      <xdr:spPr bwMode="auto">
        <a:xfrm>
          <a:off x="17820606" y="61228373"/>
          <a:ext cx="485424" cy="0"/>
        </a:xfrm>
        <a:prstGeom prst="line">
          <a:avLst/>
        </a:prstGeom>
        <a:noFill/>
        <a:ln w="25400">
          <a:solidFill>
            <a:srgbClr val="000000"/>
          </a:solidFill>
          <a:round/>
          <a:headEnd/>
          <a:tailEnd/>
        </a:ln>
      </xdr:spPr>
    </xdr:sp>
    <xdr:clientData/>
  </xdr:twoCellAnchor>
  <xdr:twoCellAnchor>
    <xdr:from>
      <xdr:col>29</xdr:col>
      <xdr:colOff>151711</xdr:colOff>
      <xdr:row>390</xdr:row>
      <xdr:rowOff>114140</xdr:rowOff>
    </xdr:from>
    <xdr:to>
      <xdr:col>30</xdr:col>
      <xdr:colOff>18031</xdr:colOff>
      <xdr:row>390</xdr:row>
      <xdr:rowOff>114140</xdr:rowOff>
    </xdr:to>
    <xdr:sp macro="" textlink="">
      <xdr:nvSpPr>
        <xdr:cNvPr id="1354" name="Line 61"/>
        <xdr:cNvSpPr>
          <a:spLocks noChangeShapeType="1"/>
        </xdr:cNvSpPr>
      </xdr:nvSpPr>
      <xdr:spPr bwMode="auto">
        <a:xfrm>
          <a:off x="17830111" y="59550140"/>
          <a:ext cx="475920" cy="0"/>
        </a:xfrm>
        <a:prstGeom prst="line">
          <a:avLst/>
        </a:prstGeom>
        <a:noFill/>
        <a:ln w="25400">
          <a:solidFill>
            <a:srgbClr val="000000"/>
          </a:solidFill>
          <a:round/>
          <a:headEnd/>
          <a:tailEnd/>
        </a:ln>
      </xdr:spPr>
    </xdr:sp>
    <xdr:clientData/>
  </xdr:twoCellAnchor>
  <xdr:twoCellAnchor>
    <xdr:from>
      <xdr:col>25</xdr:col>
      <xdr:colOff>135180</xdr:colOff>
      <xdr:row>387</xdr:row>
      <xdr:rowOff>118012</xdr:rowOff>
    </xdr:from>
    <xdr:to>
      <xdr:col>25</xdr:col>
      <xdr:colOff>135180</xdr:colOff>
      <xdr:row>402</xdr:row>
      <xdr:rowOff>156372</xdr:rowOff>
    </xdr:to>
    <xdr:sp macro="" textlink="">
      <xdr:nvSpPr>
        <xdr:cNvPr id="1355" name="Line 62"/>
        <xdr:cNvSpPr>
          <a:spLocks noChangeShapeType="1"/>
        </xdr:cNvSpPr>
      </xdr:nvSpPr>
      <xdr:spPr bwMode="auto">
        <a:xfrm>
          <a:off x="15375180" y="59096812"/>
          <a:ext cx="0" cy="2324360"/>
        </a:xfrm>
        <a:prstGeom prst="line">
          <a:avLst/>
        </a:prstGeom>
        <a:noFill/>
        <a:ln w="6350">
          <a:solidFill>
            <a:srgbClr val="000000"/>
          </a:solidFill>
          <a:prstDash val="lgDashDot"/>
          <a:round/>
          <a:headEnd/>
          <a:tailEnd/>
        </a:ln>
      </xdr:spPr>
    </xdr:sp>
    <xdr:clientData/>
  </xdr:twoCellAnchor>
  <xdr:twoCellAnchor>
    <xdr:from>
      <xdr:col>29</xdr:col>
      <xdr:colOff>161215</xdr:colOff>
      <xdr:row>388</xdr:row>
      <xdr:rowOff>168032</xdr:rowOff>
    </xdr:from>
    <xdr:to>
      <xdr:col>30</xdr:col>
      <xdr:colOff>46543</xdr:colOff>
      <xdr:row>389</xdr:row>
      <xdr:rowOff>169948</xdr:rowOff>
    </xdr:to>
    <xdr:sp macro="" textlink="">
      <xdr:nvSpPr>
        <xdr:cNvPr id="1356" name="Line 63"/>
        <xdr:cNvSpPr>
          <a:spLocks noChangeShapeType="1"/>
        </xdr:cNvSpPr>
      </xdr:nvSpPr>
      <xdr:spPr bwMode="auto">
        <a:xfrm flipV="1">
          <a:off x="17839615" y="59280182"/>
          <a:ext cx="494928" cy="154316"/>
        </a:xfrm>
        <a:prstGeom prst="line">
          <a:avLst/>
        </a:prstGeom>
        <a:noFill/>
        <a:ln w="3175">
          <a:solidFill>
            <a:srgbClr val="000000"/>
          </a:solidFill>
          <a:round/>
          <a:headEnd/>
          <a:tailEnd/>
        </a:ln>
      </xdr:spPr>
    </xdr:sp>
    <xdr:clientData/>
  </xdr:twoCellAnchor>
  <xdr:twoCellAnchor>
    <xdr:from>
      <xdr:col>29</xdr:col>
      <xdr:colOff>161215</xdr:colOff>
      <xdr:row>389</xdr:row>
      <xdr:rowOff>44878</xdr:rowOff>
    </xdr:from>
    <xdr:to>
      <xdr:col>30</xdr:col>
      <xdr:colOff>46543</xdr:colOff>
      <xdr:row>390</xdr:row>
      <xdr:rowOff>46794</xdr:rowOff>
    </xdr:to>
    <xdr:sp macro="" textlink="">
      <xdr:nvSpPr>
        <xdr:cNvPr id="1357" name="Line 64"/>
        <xdr:cNvSpPr>
          <a:spLocks noChangeShapeType="1"/>
        </xdr:cNvSpPr>
      </xdr:nvSpPr>
      <xdr:spPr bwMode="auto">
        <a:xfrm flipV="1">
          <a:off x="17839615" y="59328478"/>
          <a:ext cx="494928" cy="154316"/>
        </a:xfrm>
        <a:prstGeom prst="line">
          <a:avLst/>
        </a:prstGeom>
        <a:noFill/>
        <a:ln w="3175">
          <a:solidFill>
            <a:srgbClr val="000000"/>
          </a:solidFill>
          <a:round/>
          <a:headEnd/>
          <a:tailEnd/>
        </a:ln>
      </xdr:spPr>
    </xdr:sp>
    <xdr:clientData/>
  </xdr:twoCellAnchor>
  <xdr:twoCellAnchor>
    <xdr:from>
      <xdr:col>29</xdr:col>
      <xdr:colOff>161215</xdr:colOff>
      <xdr:row>389</xdr:row>
      <xdr:rowOff>112224</xdr:rowOff>
    </xdr:from>
    <xdr:to>
      <xdr:col>30</xdr:col>
      <xdr:colOff>46543</xdr:colOff>
      <xdr:row>390</xdr:row>
      <xdr:rowOff>114140</xdr:rowOff>
    </xdr:to>
    <xdr:sp macro="" textlink="">
      <xdr:nvSpPr>
        <xdr:cNvPr id="1358" name="Line 65"/>
        <xdr:cNvSpPr>
          <a:spLocks noChangeShapeType="1"/>
        </xdr:cNvSpPr>
      </xdr:nvSpPr>
      <xdr:spPr bwMode="auto">
        <a:xfrm flipV="1">
          <a:off x="17839615" y="59395824"/>
          <a:ext cx="494928" cy="154316"/>
        </a:xfrm>
        <a:prstGeom prst="line">
          <a:avLst/>
        </a:prstGeom>
        <a:noFill/>
        <a:ln w="3175">
          <a:solidFill>
            <a:srgbClr val="000000"/>
          </a:solidFill>
          <a:round/>
          <a:headEnd/>
          <a:tailEnd/>
        </a:ln>
      </xdr:spPr>
    </xdr:sp>
    <xdr:clientData/>
  </xdr:twoCellAnchor>
  <xdr:twoCellAnchor>
    <xdr:from>
      <xdr:col>29</xdr:col>
      <xdr:colOff>161215</xdr:colOff>
      <xdr:row>388</xdr:row>
      <xdr:rowOff>100687</xdr:rowOff>
    </xdr:from>
    <xdr:to>
      <xdr:col>30</xdr:col>
      <xdr:colOff>46543</xdr:colOff>
      <xdr:row>389</xdr:row>
      <xdr:rowOff>102603</xdr:rowOff>
    </xdr:to>
    <xdr:sp macro="" textlink="">
      <xdr:nvSpPr>
        <xdr:cNvPr id="1359" name="Line 66"/>
        <xdr:cNvSpPr>
          <a:spLocks noChangeShapeType="1"/>
        </xdr:cNvSpPr>
      </xdr:nvSpPr>
      <xdr:spPr bwMode="auto">
        <a:xfrm flipV="1">
          <a:off x="17839615" y="59231887"/>
          <a:ext cx="494928" cy="154316"/>
        </a:xfrm>
        <a:prstGeom prst="line">
          <a:avLst/>
        </a:prstGeom>
        <a:noFill/>
        <a:ln w="3175">
          <a:solidFill>
            <a:srgbClr val="000000"/>
          </a:solidFill>
          <a:round/>
          <a:headEnd/>
          <a:tailEnd/>
        </a:ln>
      </xdr:spPr>
    </xdr:sp>
    <xdr:clientData/>
  </xdr:twoCellAnchor>
  <xdr:twoCellAnchor>
    <xdr:from>
      <xdr:col>29</xdr:col>
      <xdr:colOff>161215</xdr:colOff>
      <xdr:row>390</xdr:row>
      <xdr:rowOff>56415</xdr:rowOff>
    </xdr:from>
    <xdr:to>
      <xdr:col>30</xdr:col>
      <xdr:colOff>46543</xdr:colOff>
      <xdr:row>391</xdr:row>
      <xdr:rowOff>58331</xdr:rowOff>
    </xdr:to>
    <xdr:sp macro="" textlink="">
      <xdr:nvSpPr>
        <xdr:cNvPr id="1360" name="Line 67"/>
        <xdr:cNvSpPr>
          <a:spLocks noChangeShapeType="1"/>
        </xdr:cNvSpPr>
      </xdr:nvSpPr>
      <xdr:spPr bwMode="auto">
        <a:xfrm flipV="1">
          <a:off x="17839615" y="59492415"/>
          <a:ext cx="494928" cy="154316"/>
        </a:xfrm>
        <a:prstGeom prst="line">
          <a:avLst/>
        </a:prstGeom>
        <a:noFill/>
        <a:ln w="3175">
          <a:solidFill>
            <a:srgbClr val="000000"/>
          </a:solidFill>
          <a:round/>
          <a:headEnd/>
          <a:tailEnd/>
        </a:ln>
      </xdr:spPr>
    </xdr:sp>
    <xdr:clientData/>
  </xdr:twoCellAnchor>
  <xdr:twoCellAnchor>
    <xdr:from>
      <xdr:col>29</xdr:col>
      <xdr:colOff>161215</xdr:colOff>
      <xdr:row>390</xdr:row>
      <xdr:rowOff>123760</xdr:rowOff>
    </xdr:from>
    <xdr:to>
      <xdr:col>30</xdr:col>
      <xdr:colOff>46543</xdr:colOff>
      <xdr:row>391</xdr:row>
      <xdr:rowOff>125676</xdr:rowOff>
    </xdr:to>
    <xdr:sp macro="" textlink="">
      <xdr:nvSpPr>
        <xdr:cNvPr id="1361" name="Line 68"/>
        <xdr:cNvSpPr>
          <a:spLocks noChangeShapeType="1"/>
        </xdr:cNvSpPr>
      </xdr:nvSpPr>
      <xdr:spPr bwMode="auto">
        <a:xfrm flipV="1">
          <a:off x="17839615" y="59559760"/>
          <a:ext cx="494928" cy="154316"/>
        </a:xfrm>
        <a:prstGeom prst="line">
          <a:avLst/>
        </a:prstGeom>
        <a:noFill/>
        <a:ln w="3175">
          <a:solidFill>
            <a:srgbClr val="000000"/>
          </a:solidFill>
          <a:round/>
          <a:headEnd/>
          <a:tailEnd/>
        </a:ln>
      </xdr:spPr>
    </xdr:sp>
    <xdr:clientData/>
  </xdr:twoCellAnchor>
  <xdr:twoCellAnchor>
    <xdr:from>
      <xdr:col>29</xdr:col>
      <xdr:colOff>161215</xdr:colOff>
      <xdr:row>391</xdr:row>
      <xdr:rowOff>606</xdr:rowOff>
    </xdr:from>
    <xdr:to>
      <xdr:col>30</xdr:col>
      <xdr:colOff>46543</xdr:colOff>
      <xdr:row>392</xdr:row>
      <xdr:rowOff>2522</xdr:rowOff>
    </xdr:to>
    <xdr:sp macro="" textlink="">
      <xdr:nvSpPr>
        <xdr:cNvPr id="1362" name="Line 69"/>
        <xdr:cNvSpPr>
          <a:spLocks noChangeShapeType="1"/>
        </xdr:cNvSpPr>
      </xdr:nvSpPr>
      <xdr:spPr bwMode="auto">
        <a:xfrm flipV="1">
          <a:off x="17839615" y="59589006"/>
          <a:ext cx="494928" cy="154316"/>
        </a:xfrm>
        <a:prstGeom prst="line">
          <a:avLst/>
        </a:prstGeom>
        <a:noFill/>
        <a:ln w="3175">
          <a:solidFill>
            <a:srgbClr val="000000"/>
          </a:solidFill>
          <a:round/>
          <a:headEnd/>
          <a:tailEnd/>
        </a:ln>
      </xdr:spPr>
    </xdr:sp>
    <xdr:clientData/>
  </xdr:twoCellAnchor>
  <xdr:twoCellAnchor>
    <xdr:from>
      <xdr:col>29</xdr:col>
      <xdr:colOff>161215</xdr:colOff>
      <xdr:row>389</xdr:row>
      <xdr:rowOff>179569</xdr:rowOff>
    </xdr:from>
    <xdr:to>
      <xdr:col>30</xdr:col>
      <xdr:colOff>46543</xdr:colOff>
      <xdr:row>390</xdr:row>
      <xdr:rowOff>181485</xdr:rowOff>
    </xdr:to>
    <xdr:sp macro="" textlink="">
      <xdr:nvSpPr>
        <xdr:cNvPr id="1363" name="Line 70"/>
        <xdr:cNvSpPr>
          <a:spLocks noChangeShapeType="1"/>
        </xdr:cNvSpPr>
      </xdr:nvSpPr>
      <xdr:spPr bwMode="auto">
        <a:xfrm flipV="1">
          <a:off x="17839615" y="59434594"/>
          <a:ext cx="494928" cy="154316"/>
        </a:xfrm>
        <a:prstGeom prst="line">
          <a:avLst/>
        </a:prstGeom>
        <a:noFill/>
        <a:ln w="3175">
          <a:solidFill>
            <a:srgbClr val="000000"/>
          </a:solidFill>
          <a:round/>
          <a:headEnd/>
          <a:tailEnd/>
        </a:ln>
      </xdr:spPr>
    </xdr:sp>
    <xdr:clientData/>
  </xdr:twoCellAnchor>
  <xdr:twoCellAnchor>
    <xdr:from>
      <xdr:col>29</xdr:col>
      <xdr:colOff>161215</xdr:colOff>
      <xdr:row>395</xdr:row>
      <xdr:rowOff>181444</xdr:rowOff>
    </xdr:from>
    <xdr:to>
      <xdr:col>30</xdr:col>
      <xdr:colOff>46543</xdr:colOff>
      <xdr:row>396</xdr:row>
      <xdr:rowOff>183360</xdr:rowOff>
    </xdr:to>
    <xdr:sp macro="" textlink="">
      <xdr:nvSpPr>
        <xdr:cNvPr id="1364" name="Line 71"/>
        <xdr:cNvSpPr>
          <a:spLocks noChangeShapeType="1"/>
        </xdr:cNvSpPr>
      </xdr:nvSpPr>
      <xdr:spPr bwMode="auto">
        <a:xfrm flipV="1">
          <a:off x="17839615" y="60350869"/>
          <a:ext cx="494928" cy="154316"/>
        </a:xfrm>
        <a:prstGeom prst="line">
          <a:avLst/>
        </a:prstGeom>
        <a:noFill/>
        <a:ln w="3175">
          <a:solidFill>
            <a:srgbClr val="000000"/>
          </a:solidFill>
          <a:round/>
          <a:headEnd/>
          <a:tailEnd/>
        </a:ln>
      </xdr:spPr>
    </xdr:sp>
    <xdr:clientData/>
  </xdr:twoCellAnchor>
  <xdr:twoCellAnchor>
    <xdr:from>
      <xdr:col>29</xdr:col>
      <xdr:colOff>161215</xdr:colOff>
      <xdr:row>396</xdr:row>
      <xdr:rowOff>58290</xdr:rowOff>
    </xdr:from>
    <xdr:to>
      <xdr:col>30</xdr:col>
      <xdr:colOff>46543</xdr:colOff>
      <xdr:row>397</xdr:row>
      <xdr:rowOff>60206</xdr:rowOff>
    </xdr:to>
    <xdr:sp macro="" textlink="">
      <xdr:nvSpPr>
        <xdr:cNvPr id="1365" name="Line 72"/>
        <xdr:cNvSpPr>
          <a:spLocks noChangeShapeType="1"/>
        </xdr:cNvSpPr>
      </xdr:nvSpPr>
      <xdr:spPr bwMode="auto">
        <a:xfrm flipV="1">
          <a:off x="17839615" y="60408690"/>
          <a:ext cx="494928" cy="154316"/>
        </a:xfrm>
        <a:prstGeom prst="line">
          <a:avLst/>
        </a:prstGeom>
        <a:noFill/>
        <a:ln w="3175">
          <a:solidFill>
            <a:srgbClr val="000000"/>
          </a:solidFill>
          <a:round/>
          <a:headEnd/>
          <a:tailEnd/>
        </a:ln>
      </xdr:spPr>
    </xdr:sp>
    <xdr:clientData/>
  </xdr:twoCellAnchor>
  <xdr:twoCellAnchor>
    <xdr:from>
      <xdr:col>29</xdr:col>
      <xdr:colOff>161215</xdr:colOff>
      <xdr:row>396</xdr:row>
      <xdr:rowOff>125635</xdr:rowOff>
    </xdr:from>
    <xdr:to>
      <xdr:col>30</xdr:col>
      <xdr:colOff>46543</xdr:colOff>
      <xdr:row>397</xdr:row>
      <xdr:rowOff>127551</xdr:rowOff>
    </xdr:to>
    <xdr:sp macro="" textlink="">
      <xdr:nvSpPr>
        <xdr:cNvPr id="1366" name="Line 73"/>
        <xdr:cNvSpPr>
          <a:spLocks noChangeShapeType="1"/>
        </xdr:cNvSpPr>
      </xdr:nvSpPr>
      <xdr:spPr bwMode="auto">
        <a:xfrm flipV="1">
          <a:off x="17839615" y="60476035"/>
          <a:ext cx="494928" cy="154316"/>
        </a:xfrm>
        <a:prstGeom prst="line">
          <a:avLst/>
        </a:prstGeom>
        <a:noFill/>
        <a:ln w="3175">
          <a:solidFill>
            <a:srgbClr val="000000"/>
          </a:solidFill>
          <a:round/>
          <a:headEnd/>
          <a:tailEnd/>
        </a:ln>
      </xdr:spPr>
    </xdr:sp>
    <xdr:clientData/>
  </xdr:twoCellAnchor>
  <xdr:twoCellAnchor>
    <xdr:from>
      <xdr:col>29</xdr:col>
      <xdr:colOff>161215</xdr:colOff>
      <xdr:row>395</xdr:row>
      <xdr:rowOff>114099</xdr:rowOff>
    </xdr:from>
    <xdr:to>
      <xdr:col>30</xdr:col>
      <xdr:colOff>46543</xdr:colOff>
      <xdr:row>396</xdr:row>
      <xdr:rowOff>116015</xdr:rowOff>
    </xdr:to>
    <xdr:sp macro="" textlink="">
      <xdr:nvSpPr>
        <xdr:cNvPr id="1367" name="Line 74"/>
        <xdr:cNvSpPr>
          <a:spLocks noChangeShapeType="1"/>
        </xdr:cNvSpPr>
      </xdr:nvSpPr>
      <xdr:spPr bwMode="auto">
        <a:xfrm flipV="1">
          <a:off x="17839615" y="60312099"/>
          <a:ext cx="494928" cy="154316"/>
        </a:xfrm>
        <a:prstGeom prst="line">
          <a:avLst/>
        </a:prstGeom>
        <a:noFill/>
        <a:ln w="3175">
          <a:solidFill>
            <a:srgbClr val="000000"/>
          </a:solidFill>
          <a:round/>
          <a:headEnd/>
          <a:tailEnd/>
        </a:ln>
      </xdr:spPr>
    </xdr:sp>
    <xdr:clientData/>
  </xdr:twoCellAnchor>
  <xdr:twoCellAnchor>
    <xdr:from>
      <xdr:col>29</xdr:col>
      <xdr:colOff>161215</xdr:colOff>
      <xdr:row>387</xdr:row>
      <xdr:rowOff>166116</xdr:rowOff>
    </xdr:from>
    <xdr:to>
      <xdr:col>29</xdr:col>
      <xdr:colOff>265763</xdr:colOff>
      <xdr:row>388</xdr:row>
      <xdr:rowOff>91066</xdr:rowOff>
    </xdr:to>
    <xdr:sp macro="" textlink="">
      <xdr:nvSpPr>
        <xdr:cNvPr id="1368" name="Line 75"/>
        <xdr:cNvSpPr>
          <a:spLocks noChangeShapeType="1"/>
        </xdr:cNvSpPr>
      </xdr:nvSpPr>
      <xdr:spPr bwMode="auto">
        <a:xfrm flipV="1">
          <a:off x="17839615" y="59135391"/>
          <a:ext cx="104548" cy="86875"/>
        </a:xfrm>
        <a:prstGeom prst="line">
          <a:avLst/>
        </a:prstGeom>
        <a:noFill/>
        <a:ln w="3175">
          <a:solidFill>
            <a:srgbClr val="000000"/>
          </a:solidFill>
          <a:round/>
          <a:headEnd/>
          <a:tailEnd/>
        </a:ln>
      </xdr:spPr>
    </xdr:sp>
    <xdr:clientData/>
  </xdr:twoCellAnchor>
  <xdr:twoCellAnchor>
    <xdr:from>
      <xdr:col>29</xdr:col>
      <xdr:colOff>161215</xdr:colOff>
      <xdr:row>387</xdr:row>
      <xdr:rowOff>175737</xdr:rowOff>
    </xdr:from>
    <xdr:to>
      <xdr:col>30</xdr:col>
      <xdr:colOff>27535</xdr:colOff>
      <xdr:row>388</xdr:row>
      <xdr:rowOff>158411</xdr:rowOff>
    </xdr:to>
    <xdr:sp macro="" textlink="">
      <xdr:nvSpPr>
        <xdr:cNvPr id="1369" name="Line 76"/>
        <xdr:cNvSpPr>
          <a:spLocks noChangeShapeType="1"/>
        </xdr:cNvSpPr>
      </xdr:nvSpPr>
      <xdr:spPr bwMode="auto">
        <a:xfrm flipV="1">
          <a:off x="17839615" y="59135487"/>
          <a:ext cx="475920" cy="144599"/>
        </a:xfrm>
        <a:prstGeom prst="line">
          <a:avLst/>
        </a:prstGeom>
        <a:noFill/>
        <a:ln w="3175">
          <a:solidFill>
            <a:srgbClr val="000000"/>
          </a:solidFill>
          <a:round/>
          <a:headEnd/>
          <a:tailEnd/>
        </a:ln>
      </xdr:spPr>
    </xdr:sp>
    <xdr:clientData/>
  </xdr:twoCellAnchor>
  <xdr:twoCellAnchor>
    <xdr:from>
      <xdr:col>29</xdr:col>
      <xdr:colOff>161215</xdr:colOff>
      <xdr:row>388</xdr:row>
      <xdr:rowOff>33341</xdr:rowOff>
    </xdr:from>
    <xdr:to>
      <xdr:col>30</xdr:col>
      <xdr:colOff>46543</xdr:colOff>
      <xdr:row>389</xdr:row>
      <xdr:rowOff>35257</xdr:rowOff>
    </xdr:to>
    <xdr:sp macro="" textlink="">
      <xdr:nvSpPr>
        <xdr:cNvPr id="1370" name="Line 77"/>
        <xdr:cNvSpPr>
          <a:spLocks noChangeShapeType="1"/>
        </xdr:cNvSpPr>
      </xdr:nvSpPr>
      <xdr:spPr bwMode="auto">
        <a:xfrm flipV="1">
          <a:off x="17839615" y="59164541"/>
          <a:ext cx="494928" cy="154316"/>
        </a:xfrm>
        <a:prstGeom prst="line">
          <a:avLst/>
        </a:prstGeom>
        <a:noFill/>
        <a:ln w="3175">
          <a:solidFill>
            <a:srgbClr val="000000"/>
          </a:solidFill>
          <a:round/>
          <a:headEnd/>
          <a:tailEnd/>
        </a:ln>
      </xdr:spPr>
    </xdr:sp>
    <xdr:clientData/>
  </xdr:twoCellAnchor>
  <xdr:twoCellAnchor>
    <xdr:from>
      <xdr:col>29</xdr:col>
      <xdr:colOff>161215</xdr:colOff>
      <xdr:row>387</xdr:row>
      <xdr:rowOff>166116</xdr:rowOff>
    </xdr:from>
    <xdr:to>
      <xdr:col>29</xdr:col>
      <xdr:colOff>208737</xdr:colOff>
      <xdr:row>388</xdr:row>
      <xdr:rowOff>23720</xdr:rowOff>
    </xdr:to>
    <xdr:sp macro="" textlink="">
      <xdr:nvSpPr>
        <xdr:cNvPr id="1371" name="Line 78"/>
        <xdr:cNvSpPr>
          <a:spLocks noChangeShapeType="1"/>
        </xdr:cNvSpPr>
      </xdr:nvSpPr>
      <xdr:spPr bwMode="auto">
        <a:xfrm flipV="1">
          <a:off x="17839615" y="59135391"/>
          <a:ext cx="47522" cy="19529"/>
        </a:xfrm>
        <a:prstGeom prst="line">
          <a:avLst/>
        </a:prstGeom>
        <a:noFill/>
        <a:ln w="3175">
          <a:solidFill>
            <a:srgbClr val="000000"/>
          </a:solidFill>
          <a:round/>
          <a:headEnd/>
          <a:tailEnd/>
        </a:ln>
      </xdr:spPr>
    </xdr:sp>
    <xdr:clientData/>
  </xdr:twoCellAnchor>
  <xdr:twoCellAnchor>
    <xdr:from>
      <xdr:col>29</xdr:col>
      <xdr:colOff>161215</xdr:colOff>
      <xdr:row>394</xdr:row>
      <xdr:rowOff>102562</xdr:rowOff>
    </xdr:from>
    <xdr:to>
      <xdr:col>30</xdr:col>
      <xdr:colOff>46543</xdr:colOff>
      <xdr:row>395</xdr:row>
      <xdr:rowOff>104478</xdr:rowOff>
    </xdr:to>
    <xdr:sp macro="" textlink="">
      <xdr:nvSpPr>
        <xdr:cNvPr id="1372" name="Line 79"/>
        <xdr:cNvSpPr>
          <a:spLocks noChangeShapeType="1"/>
        </xdr:cNvSpPr>
      </xdr:nvSpPr>
      <xdr:spPr bwMode="auto">
        <a:xfrm flipV="1">
          <a:off x="17839615" y="60148162"/>
          <a:ext cx="494928" cy="154316"/>
        </a:xfrm>
        <a:prstGeom prst="line">
          <a:avLst/>
        </a:prstGeom>
        <a:noFill/>
        <a:ln w="3175">
          <a:solidFill>
            <a:srgbClr val="000000"/>
          </a:solidFill>
          <a:round/>
          <a:headEnd/>
          <a:tailEnd/>
        </a:ln>
      </xdr:spPr>
    </xdr:sp>
    <xdr:clientData/>
  </xdr:twoCellAnchor>
  <xdr:twoCellAnchor>
    <xdr:from>
      <xdr:col>29</xdr:col>
      <xdr:colOff>161215</xdr:colOff>
      <xdr:row>394</xdr:row>
      <xdr:rowOff>169907</xdr:rowOff>
    </xdr:from>
    <xdr:to>
      <xdr:col>30</xdr:col>
      <xdr:colOff>46543</xdr:colOff>
      <xdr:row>395</xdr:row>
      <xdr:rowOff>171823</xdr:rowOff>
    </xdr:to>
    <xdr:sp macro="" textlink="">
      <xdr:nvSpPr>
        <xdr:cNvPr id="1373" name="Line 80"/>
        <xdr:cNvSpPr>
          <a:spLocks noChangeShapeType="1"/>
        </xdr:cNvSpPr>
      </xdr:nvSpPr>
      <xdr:spPr bwMode="auto">
        <a:xfrm flipV="1">
          <a:off x="17839615" y="60196457"/>
          <a:ext cx="494928" cy="154316"/>
        </a:xfrm>
        <a:prstGeom prst="line">
          <a:avLst/>
        </a:prstGeom>
        <a:noFill/>
        <a:ln w="3175">
          <a:solidFill>
            <a:srgbClr val="000000"/>
          </a:solidFill>
          <a:round/>
          <a:headEnd/>
          <a:tailEnd/>
        </a:ln>
      </xdr:spPr>
    </xdr:sp>
    <xdr:clientData/>
  </xdr:twoCellAnchor>
  <xdr:twoCellAnchor>
    <xdr:from>
      <xdr:col>29</xdr:col>
      <xdr:colOff>161215</xdr:colOff>
      <xdr:row>395</xdr:row>
      <xdr:rowOff>46753</xdr:rowOff>
    </xdr:from>
    <xdr:to>
      <xdr:col>30</xdr:col>
      <xdr:colOff>46543</xdr:colOff>
      <xdr:row>396</xdr:row>
      <xdr:rowOff>48669</xdr:rowOff>
    </xdr:to>
    <xdr:sp macro="" textlink="">
      <xdr:nvSpPr>
        <xdr:cNvPr id="1374" name="Line 81"/>
        <xdr:cNvSpPr>
          <a:spLocks noChangeShapeType="1"/>
        </xdr:cNvSpPr>
      </xdr:nvSpPr>
      <xdr:spPr bwMode="auto">
        <a:xfrm flipV="1">
          <a:off x="17839615" y="60244753"/>
          <a:ext cx="494928" cy="154316"/>
        </a:xfrm>
        <a:prstGeom prst="line">
          <a:avLst/>
        </a:prstGeom>
        <a:noFill/>
        <a:ln w="3175">
          <a:solidFill>
            <a:srgbClr val="000000"/>
          </a:solidFill>
          <a:round/>
          <a:headEnd/>
          <a:tailEnd/>
        </a:ln>
      </xdr:spPr>
    </xdr:sp>
    <xdr:clientData/>
  </xdr:twoCellAnchor>
  <xdr:twoCellAnchor>
    <xdr:from>
      <xdr:col>29</xdr:col>
      <xdr:colOff>161215</xdr:colOff>
      <xdr:row>394</xdr:row>
      <xdr:rowOff>35216</xdr:rowOff>
    </xdr:from>
    <xdr:to>
      <xdr:col>30</xdr:col>
      <xdr:colOff>46543</xdr:colOff>
      <xdr:row>395</xdr:row>
      <xdr:rowOff>37132</xdr:rowOff>
    </xdr:to>
    <xdr:sp macro="" textlink="">
      <xdr:nvSpPr>
        <xdr:cNvPr id="1375" name="Line 82"/>
        <xdr:cNvSpPr>
          <a:spLocks noChangeShapeType="1"/>
        </xdr:cNvSpPr>
      </xdr:nvSpPr>
      <xdr:spPr bwMode="auto">
        <a:xfrm flipV="1">
          <a:off x="17839615" y="60080816"/>
          <a:ext cx="494928" cy="154316"/>
        </a:xfrm>
        <a:prstGeom prst="line">
          <a:avLst/>
        </a:prstGeom>
        <a:noFill/>
        <a:ln w="3175">
          <a:solidFill>
            <a:srgbClr val="000000"/>
          </a:solidFill>
          <a:round/>
          <a:headEnd/>
          <a:tailEnd/>
        </a:ln>
      </xdr:spPr>
    </xdr:sp>
    <xdr:clientData/>
  </xdr:twoCellAnchor>
  <xdr:twoCellAnchor>
    <xdr:from>
      <xdr:col>29</xdr:col>
      <xdr:colOff>161215</xdr:colOff>
      <xdr:row>398</xdr:row>
      <xdr:rowOff>148709</xdr:rowOff>
    </xdr:from>
    <xdr:to>
      <xdr:col>30</xdr:col>
      <xdr:colOff>46543</xdr:colOff>
      <xdr:row>399</xdr:row>
      <xdr:rowOff>150625</xdr:rowOff>
    </xdr:to>
    <xdr:sp macro="" textlink="">
      <xdr:nvSpPr>
        <xdr:cNvPr id="1376" name="Line 83"/>
        <xdr:cNvSpPr>
          <a:spLocks noChangeShapeType="1"/>
        </xdr:cNvSpPr>
      </xdr:nvSpPr>
      <xdr:spPr bwMode="auto">
        <a:xfrm flipV="1">
          <a:off x="17839615" y="60803909"/>
          <a:ext cx="494928" cy="154316"/>
        </a:xfrm>
        <a:prstGeom prst="line">
          <a:avLst/>
        </a:prstGeom>
        <a:noFill/>
        <a:ln w="3175">
          <a:solidFill>
            <a:srgbClr val="000000"/>
          </a:solidFill>
          <a:round/>
          <a:headEnd/>
          <a:tailEnd/>
        </a:ln>
      </xdr:spPr>
    </xdr:sp>
    <xdr:clientData/>
  </xdr:twoCellAnchor>
  <xdr:twoCellAnchor>
    <xdr:from>
      <xdr:col>29</xdr:col>
      <xdr:colOff>161215</xdr:colOff>
      <xdr:row>399</xdr:row>
      <xdr:rowOff>25554</xdr:rowOff>
    </xdr:from>
    <xdr:to>
      <xdr:col>30</xdr:col>
      <xdr:colOff>46543</xdr:colOff>
      <xdr:row>400</xdr:row>
      <xdr:rowOff>27470</xdr:rowOff>
    </xdr:to>
    <xdr:sp macro="" textlink="">
      <xdr:nvSpPr>
        <xdr:cNvPr id="1377" name="Line 84"/>
        <xdr:cNvSpPr>
          <a:spLocks noChangeShapeType="1"/>
        </xdr:cNvSpPr>
      </xdr:nvSpPr>
      <xdr:spPr bwMode="auto">
        <a:xfrm flipV="1">
          <a:off x="17839615" y="60833154"/>
          <a:ext cx="494928" cy="154316"/>
        </a:xfrm>
        <a:prstGeom prst="line">
          <a:avLst/>
        </a:prstGeom>
        <a:noFill/>
        <a:ln w="3175">
          <a:solidFill>
            <a:srgbClr val="000000"/>
          </a:solidFill>
          <a:round/>
          <a:headEnd/>
          <a:tailEnd/>
        </a:ln>
      </xdr:spPr>
    </xdr:sp>
    <xdr:clientData/>
  </xdr:twoCellAnchor>
  <xdr:twoCellAnchor>
    <xdr:from>
      <xdr:col>29</xdr:col>
      <xdr:colOff>161215</xdr:colOff>
      <xdr:row>399</xdr:row>
      <xdr:rowOff>92900</xdr:rowOff>
    </xdr:from>
    <xdr:to>
      <xdr:col>30</xdr:col>
      <xdr:colOff>46543</xdr:colOff>
      <xdr:row>400</xdr:row>
      <xdr:rowOff>94816</xdr:rowOff>
    </xdr:to>
    <xdr:sp macro="" textlink="">
      <xdr:nvSpPr>
        <xdr:cNvPr id="1378" name="Line 85"/>
        <xdr:cNvSpPr>
          <a:spLocks noChangeShapeType="1"/>
        </xdr:cNvSpPr>
      </xdr:nvSpPr>
      <xdr:spPr bwMode="auto">
        <a:xfrm flipV="1">
          <a:off x="17839615" y="60900500"/>
          <a:ext cx="494928" cy="154316"/>
        </a:xfrm>
        <a:prstGeom prst="line">
          <a:avLst/>
        </a:prstGeom>
        <a:noFill/>
        <a:ln w="3175">
          <a:solidFill>
            <a:srgbClr val="000000"/>
          </a:solidFill>
          <a:round/>
          <a:headEnd/>
          <a:tailEnd/>
        </a:ln>
      </xdr:spPr>
    </xdr:sp>
    <xdr:clientData/>
  </xdr:twoCellAnchor>
  <xdr:twoCellAnchor>
    <xdr:from>
      <xdr:col>29</xdr:col>
      <xdr:colOff>161215</xdr:colOff>
      <xdr:row>398</xdr:row>
      <xdr:rowOff>81363</xdr:rowOff>
    </xdr:from>
    <xdr:to>
      <xdr:col>30</xdr:col>
      <xdr:colOff>46543</xdr:colOff>
      <xdr:row>399</xdr:row>
      <xdr:rowOff>83279</xdr:rowOff>
    </xdr:to>
    <xdr:sp macro="" textlink="">
      <xdr:nvSpPr>
        <xdr:cNvPr id="1379" name="Line 86"/>
        <xdr:cNvSpPr>
          <a:spLocks noChangeShapeType="1"/>
        </xdr:cNvSpPr>
      </xdr:nvSpPr>
      <xdr:spPr bwMode="auto">
        <a:xfrm flipV="1">
          <a:off x="17839615" y="60736563"/>
          <a:ext cx="494928" cy="154316"/>
        </a:xfrm>
        <a:prstGeom prst="line">
          <a:avLst/>
        </a:prstGeom>
        <a:noFill/>
        <a:ln w="3175">
          <a:solidFill>
            <a:srgbClr val="000000"/>
          </a:solidFill>
          <a:round/>
          <a:headEnd/>
          <a:tailEnd/>
        </a:ln>
      </xdr:spPr>
    </xdr:sp>
    <xdr:clientData/>
  </xdr:twoCellAnchor>
  <xdr:twoCellAnchor>
    <xdr:from>
      <xdr:col>29</xdr:col>
      <xdr:colOff>161215</xdr:colOff>
      <xdr:row>397</xdr:row>
      <xdr:rowOff>69826</xdr:rowOff>
    </xdr:from>
    <xdr:to>
      <xdr:col>30</xdr:col>
      <xdr:colOff>46543</xdr:colOff>
      <xdr:row>398</xdr:row>
      <xdr:rowOff>71742</xdr:rowOff>
    </xdr:to>
    <xdr:sp macro="" textlink="">
      <xdr:nvSpPr>
        <xdr:cNvPr id="1380" name="Line 87"/>
        <xdr:cNvSpPr>
          <a:spLocks noChangeShapeType="1"/>
        </xdr:cNvSpPr>
      </xdr:nvSpPr>
      <xdr:spPr bwMode="auto">
        <a:xfrm flipV="1">
          <a:off x="17839615" y="60572626"/>
          <a:ext cx="494928" cy="154316"/>
        </a:xfrm>
        <a:prstGeom prst="line">
          <a:avLst/>
        </a:prstGeom>
        <a:noFill/>
        <a:ln w="3175">
          <a:solidFill>
            <a:srgbClr val="000000"/>
          </a:solidFill>
          <a:round/>
          <a:headEnd/>
          <a:tailEnd/>
        </a:ln>
      </xdr:spPr>
    </xdr:sp>
    <xdr:clientData/>
  </xdr:twoCellAnchor>
  <xdr:twoCellAnchor>
    <xdr:from>
      <xdr:col>29</xdr:col>
      <xdr:colOff>161215</xdr:colOff>
      <xdr:row>397</xdr:row>
      <xdr:rowOff>137172</xdr:rowOff>
    </xdr:from>
    <xdr:to>
      <xdr:col>30</xdr:col>
      <xdr:colOff>46543</xdr:colOff>
      <xdr:row>398</xdr:row>
      <xdr:rowOff>139088</xdr:rowOff>
    </xdr:to>
    <xdr:sp macro="" textlink="">
      <xdr:nvSpPr>
        <xdr:cNvPr id="1381" name="Line 88"/>
        <xdr:cNvSpPr>
          <a:spLocks noChangeShapeType="1"/>
        </xdr:cNvSpPr>
      </xdr:nvSpPr>
      <xdr:spPr bwMode="auto">
        <a:xfrm flipV="1">
          <a:off x="17839615" y="60639972"/>
          <a:ext cx="494928" cy="154316"/>
        </a:xfrm>
        <a:prstGeom prst="line">
          <a:avLst/>
        </a:prstGeom>
        <a:noFill/>
        <a:ln w="3175">
          <a:solidFill>
            <a:srgbClr val="000000"/>
          </a:solidFill>
          <a:round/>
          <a:headEnd/>
          <a:tailEnd/>
        </a:ln>
      </xdr:spPr>
    </xdr:sp>
    <xdr:clientData/>
  </xdr:twoCellAnchor>
  <xdr:twoCellAnchor>
    <xdr:from>
      <xdr:col>29</xdr:col>
      <xdr:colOff>161215</xdr:colOff>
      <xdr:row>398</xdr:row>
      <xdr:rowOff>14018</xdr:rowOff>
    </xdr:from>
    <xdr:to>
      <xdr:col>30</xdr:col>
      <xdr:colOff>46543</xdr:colOff>
      <xdr:row>399</xdr:row>
      <xdr:rowOff>15934</xdr:rowOff>
    </xdr:to>
    <xdr:sp macro="" textlink="">
      <xdr:nvSpPr>
        <xdr:cNvPr id="1382" name="Line 89"/>
        <xdr:cNvSpPr>
          <a:spLocks noChangeShapeType="1"/>
        </xdr:cNvSpPr>
      </xdr:nvSpPr>
      <xdr:spPr bwMode="auto">
        <a:xfrm flipV="1">
          <a:off x="17839615" y="60669218"/>
          <a:ext cx="494928" cy="154316"/>
        </a:xfrm>
        <a:prstGeom prst="line">
          <a:avLst/>
        </a:prstGeom>
        <a:noFill/>
        <a:ln w="3175">
          <a:solidFill>
            <a:srgbClr val="000000"/>
          </a:solidFill>
          <a:round/>
          <a:headEnd/>
          <a:tailEnd/>
        </a:ln>
      </xdr:spPr>
    </xdr:sp>
    <xdr:clientData/>
  </xdr:twoCellAnchor>
  <xdr:twoCellAnchor>
    <xdr:from>
      <xdr:col>29</xdr:col>
      <xdr:colOff>161215</xdr:colOff>
      <xdr:row>397</xdr:row>
      <xdr:rowOff>2481</xdr:rowOff>
    </xdr:from>
    <xdr:to>
      <xdr:col>30</xdr:col>
      <xdr:colOff>46543</xdr:colOff>
      <xdr:row>398</xdr:row>
      <xdr:rowOff>4397</xdr:rowOff>
    </xdr:to>
    <xdr:sp macro="" textlink="">
      <xdr:nvSpPr>
        <xdr:cNvPr id="1383" name="Line 90"/>
        <xdr:cNvSpPr>
          <a:spLocks noChangeShapeType="1"/>
        </xdr:cNvSpPr>
      </xdr:nvSpPr>
      <xdr:spPr bwMode="auto">
        <a:xfrm flipV="1">
          <a:off x="17839615" y="60505281"/>
          <a:ext cx="494928" cy="154316"/>
        </a:xfrm>
        <a:prstGeom prst="line">
          <a:avLst/>
        </a:prstGeom>
        <a:noFill/>
        <a:ln w="3175">
          <a:solidFill>
            <a:srgbClr val="000000"/>
          </a:solidFill>
          <a:round/>
          <a:headEnd/>
          <a:tailEnd/>
        </a:ln>
      </xdr:spPr>
    </xdr:sp>
    <xdr:clientData/>
  </xdr:twoCellAnchor>
  <xdr:twoCellAnchor>
    <xdr:from>
      <xdr:col>29</xdr:col>
      <xdr:colOff>161215</xdr:colOff>
      <xdr:row>401</xdr:row>
      <xdr:rowOff>115973</xdr:rowOff>
    </xdr:from>
    <xdr:to>
      <xdr:col>30</xdr:col>
      <xdr:colOff>46543</xdr:colOff>
      <xdr:row>402</xdr:row>
      <xdr:rowOff>117889</xdr:rowOff>
    </xdr:to>
    <xdr:sp macro="" textlink="">
      <xdr:nvSpPr>
        <xdr:cNvPr id="1384" name="Line 91"/>
        <xdr:cNvSpPr>
          <a:spLocks noChangeShapeType="1"/>
        </xdr:cNvSpPr>
      </xdr:nvSpPr>
      <xdr:spPr bwMode="auto">
        <a:xfrm flipV="1">
          <a:off x="17839615" y="61228373"/>
          <a:ext cx="494928" cy="154316"/>
        </a:xfrm>
        <a:prstGeom prst="line">
          <a:avLst/>
        </a:prstGeom>
        <a:noFill/>
        <a:ln w="3175">
          <a:solidFill>
            <a:srgbClr val="000000"/>
          </a:solidFill>
          <a:round/>
          <a:headEnd/>
          <a:tailEnd/>
        </a:ln>
      </xdr:spPr>
    </xdr:sp>
    <xdr:clientData/>
  </xdr:twoCellAnchor>
  <xdr:twoCellAnchor>
    <xdr:from>
      <xdr:col>29</xdr:col>
      <xdr:colOff>161215</xdr:colOff>
      <xdr:row>401</xdr:row>
      <xdr:rowOff>183319</xdr:rowOff>
    </xdr:from>
    <xdr:to>
      <xdr:col>30</xdr:col>
      <xdr:colOff>46543</xdr:colOff>
      <xdr:row>402</xdr:row>
      <xdr:rowOff>185235</xdr:rowOff>
    </xdr:to>
    <xdr:sp macro="" textlink="">
      <xdr:nvSpPr>
        <xdr:cNvPr id="1385" name="Line 92"/>
        <xdr:cNvSpPr>
          <a:spLocks noChangeShapeType="1"/>
        </xdr:cNvSpPr>
      </xdr:nvSpPr>
      <xdr:spPr bwMode="auto">
        <a:xfrm flipV="1">
          <a:off x="17839615" y="61267144"/>
          <a:ext cx="494928" cy="154316"/>
        </a:xfrm>
        <a:prstGeom prst="line">
          <a:avLst/>
        </a:prstGeom>
        <a:noFill/>
        <a:ln w="3175">
          <a:solidFill>
            <a:srgbClr val="000000"/>
          </a:solidFill>
          <a:round/>
          <a:headEnd/>
          <a:tailEnd/>
        </a:ln>
      </xdr:spPr>
    </xdr:sp>
    <xdr:clientData/>
  </xdr:twoCellAnchor>
  <xdr:twoCellAnchor>
    <xdr:from>
      <xdr:col>29</xdr:col>
      <xdr:colOff>161215</xdr:colOff>
      <xdr:row>402</xdr:row>
      <xdr:rowOff>60165</xdr:rowOff>
    </xdr:from>
    <xdr:to>
      <xdr:col>30</xdr:col>
      <xdr:colOff>46543</xdr:colOff>
      <xdr:row>403</xdr:row>
      <xdr:rowOff>62081</xdr:rowOff>
    </xdr:to>
    <xdr:sp macro="" textlink="">
      <xdr:nvSpPr>
        <xdr:cNvPr id="1386" name="Line 93"/>
        <xdr:cNvSpPr>
          <a:spLocks noChangeShapeType="1"/>
        </xdr:cNvSpPr>
      </xdr:nvSpPr>
      <xdr:spPr bwMode="auto">
        <a:xfrm flipV="1">
          <a:off x="17839615" y="61324965"/>
          <a:ext cx="494928" cy="154316"/>
        </a:xfrm>
        <a:prstGeom prst="line">
          <a:avLst/>
        </a:prstGeom>
        <a:noFill/>
        <a:ln w="3175">
          <a:solidFill>
            <a:srgbClr val="000000"/>
          </a:solidFill>
          <a:round/>
          <a:headEnd/>
          <a:tailEnd/>
        </a:ln>
      </xdr:spPr>
    </xdr:sp>
    <xdr:clientData/>
  </xdr:twoCellAnchor>
  <xdr:twoCellAnchor>
    <xdr:from>
      <xdr:col>29</xdr:col>
      <xdr:colOff>161215</xdr:colOff>
      <xdr:row>401</xdr:row>
      <xdr:rowOff>48628</xdr:rowOff>
    </xdr:from>
    <xdr:to>
      <xdr:col>30</xdr:col>
      <xdr:colOff>46543</xdr:colOff>
      <xdr:row>402</xdr:row>
      <xdr:rowOff>50544</xdr:rowOff>
    </xdr:to>
    <xdr:sp macro="" textlink="">
      <xdr:nvSpPr>
        <xdr:cNvPr id="1387" name="Line 94"/>
        <xdr:cNvSpPr>
          <a:spLocks noChangeShapeType="1"/>
        </xdr:cNvSpPr>
      </xdr:nvSpPr>
      <xdr:spPr bwMode="auto">
        <a:xfrm flipV="1">
          <a:off x="17839615" y="61161028"/>
          <a:ext cx="494928" cy="154316"/>
        </a:xfrm>
        <a:prstGeom prst="line">
          <a:avLst/>
        </a:prstGeom>
        <a:noFill/>
        <a:ln w="3175">
          <a:solidFill>
            <a:srgbClr val="000000"/>
          </a:solidFill>
          <a:round/>
          <a:headEnd/>
          <a:tailEnd/>
        </a:ln>
      </xdr:spPr>
    </xdr:sp>
    <xdr:clientData/>
  </xdr:twoCellAnchor>
  <xdr:twoCellAnchor>
    <xdr:from>
      <xdr:col>29</xdr:col>
      <xdr:colOff>161215</xdr:colOff>
      <xdr:row>400</xdr:row>
      <xdr:rowOff>37091</xdr:rowOff>
    </xdr:from>
    <xdr:to>
      <xdr:col>30</xdr:col>
      <xdr:colOff>46543</xdr:colOff>
      <xdr:row>401</xdr:row>
      <xdr:rowOff>39007</xdr:rowOff>
    </xdr:to>
    <xdr:sp macro="" textlink="">
      <xdr:nvSpPr>
        <xdr:cNvPr id="1388" name="Line 95"/>
        <xdr:cNvSpPr>
          <a:spLocks noChangeShapeType="1"/>
        </xdr:cNvSpPr>
      </xdr:nvSpPr>
      <xdr:spPr bwMode="auto">
        <a:xfrm flipV="1">
          <a:off x="17839615" y="60997091"/>
          <a:ext cx="494928" cy="154316"/>
        </a:xfrm>
        <a:prstGeom prst="line">
          <a:avLst/>
        </a:prstGeom>
        <a:noFill/>
        <a:ln w="3175">
          <a:solidFill>
            <a:srgbClr val="000000"/>
          </a:solidFill>
          <a:round/>
          <a:headEnd/>
          <a:tailEnd/>
        </a:ln>
      </xdr:spPr>
    </xdr:sp>
    <xdr:clientData/>
  </xdr:twoCellAnchor>
  <xdr:twoCellAnchor>
    <xdr:from>
      <xdr:col>29</xdr:col>
      <xdr:colOff>161215</xdr:colOff>
      <xdr:row>400</xdr:row>
      <xdr:rowOff>104437</xdr:rowOff>
    </xdr:from>
    <xdr:to>
      <xdr:col>30</xdr:col>
      <xdr:colOff>46543</xdr:colOff>
      <xdr:row>401</xdr:row>
      <xdr:rowOff>96732</xdr:rowOff>
    </xdr:to>
    <xdr:sp macro="" textlink="">
      <xdr:nvSpPr>
        <xdr:cNvPr id="1389" name="Line 96"/>
        <xdr:cNvSpPr>
          <a:spLocks noChangeShapeType="1"/>
        </xdr:cNvSpPr>
      </xdr:nvSpPr>
      <xdr:spPr bwMode="auto">
        <a:xfrm flipV="1">
          <a:off x="17839615" y="61064437"/>
          <a:ext cx="494928" cy="144695"/>
        </a:xfrm>
        <a:prstGeom prst="line">
          <a:avLst/>
        </a:prstGeom>
        <a:noFill/>
        <a:ln w="3175">
          <a:solidFill>
            <a:srgbClr val="000000"/>
          </a:solidFill>
          <a:round/>
          <a:headEnd/>
          <a:tailEnd/>
        </a:ln>
      </xdr:spPr>
    </xdr:sp>
    <xdr:clientData/>
  </xdr:twoCellAnchor>
  <xdr:twoCellAnchor>
    <xdr:from>
      <xdr:col>29</xdr:col>
      <xdr:colOff>161215</xdr:colOff>
      <xdr:row>400</xdr:row>
      <xdr:rowOff>171782</xdr:rowOff>
    </xdr:from>
    <xdr:to>
      <xdr:col>30</xdr:col>
      <xdr:colOff>46543</xdr:colOff>
      <xdr:row>401</xdr:row>
      <xdr:rowOff>173698</xdr:rowOff>
    </xdr:to>
    <xdr:sp macro="" textlink="">
      <xdr:nvSpPr>
        <xdr:cNvPr id="1390" name="Line 97"/>
        <xdr:cNvSpPr>
          <a:spLocks noChangeShapeType="1"/>
        </xdr:cNvSpPr>
      </xdr:nvSpPr>
      <xdr:spPr bwMode="auto">
        <a:xfrm flipV="1">
          <a:off x="17839615" y="61112732"/>
          <a:ext cx="494928" cy="154316"/>
        </a:xfrm>
        <a:prstGeom prst="line">
          <a:avLst/>
        </a:prstGeom>
        <a:noFill/>
        <a:ln w="3175">
          <a:solidFill>
            <a:srgbClr val="000000"/>
          </a:solidFill>
          <a:round/>
          <a:headEnd/>
          <a:tailEnd/>
        </a:ln>
      </xdr:spPr>
    </xdr:sp>
    <xdr:clientData/>
  </xdr:twoCellAnchor>
  <xdr:twoCellAnchor>
    <xdr:from>
      <xdr:col>29</xdr:col>
      <xdr:colOff>161215</xdr:colOff>
      <xdr:row>399</xdr:row>
      <xdr:rowOff>160246</xdr:rowOff>
    </xdr:from>
    <xdr:to>
      <xdr:col>30</xdr:col>
      <xdr:colOff>46543</xdr:colOff>
      <xdr:row>400</xdr:row>
      <xdr:rowOff>162162</xdr:rowOff>
    </xdr:to>
    <xdr:sp macro="" textlink="">
      <xdr:nvSpPr>
        <xdr:cNvPr id="1391" name="Line 98"/>
        <xdr:cNvSpPr>
          <a:spLocks noChangeShapeType="1"/>
        </xdr:cNvSpPr>
      </xdr:nvSpPr>
      <xdr:spPr bwMode="auto">
        <a:xfrm flipV="1">
          <a:off x="17839615" y="60958321"/>
          <a:ext cx="494928" cy="154316"/>
        </a:xfrm>
        <a:prstGeom prst="line">
          <a:avLst/>
        </a:prstGeom>
        <a:noFill/>
        <a:ln w="3175">
          <a:solidFill>
            <a:srgbClr val="000000"/>
          </a:solidFill>
          <a:round/>
          <a:headEnd/>
          <a:tailEnd/>
        </a:ln>
      </xdr:spPr>
    </xdr:sp>
    <xdr:clientData/>
  </xdr:twoCellAnchor>
  <xdr:twoCellAnchor>
    <xdr:from>
      <xdr:col>29</xdr:col>
      <xdr:colOff>284771</xdr:colOff>
      <xdr:row>404</xdr:row>
      <xdr:rowOff>15893</xdr:rowOff>
    </xdr:from>
    <xdr:to>
      <xdr:col>30</xdr:col>
      <xdr:colOff>46543</xdr:colOff>
      <xdr:row>404</xdr:row>
      <xdr:rowOff>63997</xdr:rowOff>
    </xdr:to>
    <xdr:sp macro="" textlink="">
      <xdr:nvSpPr>
        <xdr:cNvPr id="1392" name="Line 99"/>
        <xdr:cNvSpPr>
          <a:spLocks noChangeShapeType="1"/>
        </xdr:cNvSpPr>
      </xdr:nvSpPr>
      <xdr:spPr bwMode="auto">
        <a:xfrm flipV="1">
          <a:off x="17963171" y="61585493"/>
          <a:ext cx="371372" cy="48104"/>
        </a:xfrm>
        <a:prstGeom prst="line">
          <a:avLst/>
        </a:prstGeom>
        <a:noFill/>
        <a:ln w="3175">
          <a:solidFill>
            <a:srgbClr val="000000"/>
          </a:solidFill>
          <a:round/>
          <a:headEnd/>
          <a:tailEnd/>
        </a:ln>
      </xdr:spPr>
    </xdr:sp>
    <xdr:clientData/>
  </xdr:twoCellAnchor>
  <xdr:twoCellAnchor>
    <xdr:from>
      <xdr:col>29</xdr:col>
      <xdr:colOff>161215</xdr:colOff>
      <xdr:row>403</xdr:row>
      <xdr:rowOff>4356</xdr:rowOff>
    </xdr:from>
    <xdr:to>
      <xdr:col>30</xdr:col>
      <xdr:colOff>46543</xdr:colOff>
      <xdr:row>404</xdr:row>
      <xdr:rowOff>6272</xdr:rowOff>
    </xdr:to>
    <xdr:sp macro="" textlink="">
      <xdr:nvSpPr>
        <xdr:cNvPr id="1393" name="Line 100"/>
        <xdr:cNvSpPr>
          <a:spLocks noChangeShapeType="1"/>
        </xdr:cNvSpPr>
      </xdr:nvSpPr>
      <xdr:spPr bwMode="auto">
        <a:xfrm flipV="1">
          <a:off x="17839615" y="61421556"/>
          <a:ext cx="494928" cy="154316"/>
        </a:xfrm>
        <a:prstGeom prst="line">
          <a:avLst/>
        </a:prstGeom>
        <a:noFill/>
        <a:ln w="3175">
          <a:solidFill>
            <a:srgbClr val="000000"/>
          </a:solidFill>
          <a:round/>
          <a:headEnd/>
          <a:tailEnd/>
        </a:ln>
      </xdr:spPr>
    </xdr:sp>
    <xdr:clientData/>
  </xdr:twoCellAnchor>
  <xdr:twoCellAnchor>
    <xdr:from>
      <xdr:col>29</xdr:col>
      <xdr:colOff>161215</xdr:colOff>
      <xdr:row>403</xdr:row>
      <xdr:rowOff>71701</xdr:rowOff>
    </xdr:from>
    <xdr:to>
      <xdr:col>30</xdr:col>
      <xdr:colOff>46543</xdr:colOff>
      <xdr:row>404</xdr:row>
      <xdr:rowOff>73617</xdr:rowOff>
    </xdr:to>
    <xdr:sp macro="" textlink="">
      <xdr:nvSpPr>
        <xdr:cNvPr id="1394" name="Line 101"/>
        <xdr:cNvSpPr>
          <a:spLocks noChangeShapeType="1"/>
        </xdr:cNvSpPr>
      </xdr:nvSpPr>
      <xdr:spPr bwMode="auto">
        <a:xfrm flipV="1">
          <a:off x="17839615" y="61488901"/>
          <a:ext cx="494928" cy="154316"/>
        </a:xfrm>
        <a:prstGeom prst="line">
          <a:avLst/>
        </a:prstGeom>
        <a:noFill/>
        <a:ln w="3175">
          <a:solidFill>
            <a:srgbClr val="000000"/>
          </a:solidFill>
          <a:round/>
          <a:headEnd/>
          <a:tailEnd/>
        </a:ln>
      </xdr:spPr>
    </xdr:sp>
    <xdr:clientData/>
  </xdr:twoCellAnchor>
  <xdr:twoCellAnchor>
    <xdr:from>
      <xdr:col>29</xdr:col>
      <xdr:colOff>237250</xdr:colOff>
      <xdr:row>403</xdr:row>
      <xdr:rowOff>139047</xdr:rowOff>
    </xdr:from>
    <xdr:to>
      <xdr:col>30</xdr:col>
      <xdr:colOff>46543</xdr:colOff>
      <xdr:row>404</xdr:row>
      <xdr:rowOff>54376</xdr:rowOff>
    </xdr:to>
    <xdr:sp macro="" textlink="">
      <xdr:nvSpPr>
        <xdr:cNvPr id="1395" name="Line 102"/>
        <xdr:cNvSpPr>
          <a:spLocks noChangeShapeType="1"/>
        </xdr:cNvSpPr>
      </xdr:nvSpPr>
      <xdr:spPr bwMode="auto">
        <a:xfrm flipV="1">
          <a:off x="17915650" y="61556247"/>
          <a:ext cx="418893" cy="67729"/>
        </a:xfrm>
        <a:prstGeom prst="line">
          <a:avLst/>
        </a:prstGeom>
        <a:noFill/>
        <a:ln w="3175">
          <a:solidFill>
            <a:srgbClr val="000000"/>
          </a:solidFill>
          <a:round/>
          <a:headEnd/>
          <a:tailEnd/>
        </a:ln>
      </xdr:spPr>
    </xdr:sp>
    <xdr:clientData/>
  </xdr:twoCellAnchor>
  <xdr:twoCellAnchor>
    <xdr:from>
      <xdr:col>29</xdr:col>
      <xdr:colOff>161215</xdr:colOff>
      <xdr:row>402</xdr:row>
      <xdr:rowOff>127510</xdr:rowOff>
    </xdr:from>
    <xdr:to>
      <xdr:col>30</xdr:col>
      <xdr:colOff>46543</xdr:colOff>
      <xdr:row>403</xdr:row>
      <xdr:rowOff>129426</xdr:rowOff>
    </xdr:to>
    <xdr:sp macro="" textlink="">
      <xdr:nvSpPr>
        <xdr:cNvPr id="1396" name="Line 103"/>
        <xdr:cNvSpPr>
          <a:spLocks noChangeShapeType="1"/>
        </xdr:cNvSpPr>
      </xdr:nvSpPr>
      <xdr:spPr bwMode="auto">
        <a:xfrm flipV="1">
          <a:off x="17839615" y="61392310"/>
          <a:ext cx="494928" cy="154316"/>
        </a:xfrm>
        <a:prstGeom prst="line">
          <a:avLst/>
        </a:prstGeom>
        <a:noFill/>
        <a:ln w="3175">
          <a:solidFill>
            <a:srgbClr val="000000"/>
          </a:solidFill>
          <a:round/>
          <a:headEnd/>
          <a:tailEnd/>
        </a:ln>
      </xdr:spPr>
    </xdr:sp>
    <xdr:clientData/>
  </xdr:twoCellAnchor>
  <xdr:twoCellAnchor>
    <xdr:from>
      <xdr:col>29</xdr:col>
      <xdr:colOff>161215</xdr:colOff>
      <xdr:row>393</xdr:row>
      <xdr:rowOff>23679</xdr:rowOff>
    </xdr:from>
    <xdr:to>
      <xdr:col>30</xdr:col>
      <xdr:colOff>46543</xdr:colOff>
      <xdr:row>394</xdr:row>
      <xdr:rowOff>25595</xdr:rowOff>
    </xdr:to>
    <xdr:sp macro="" textlink="">
      <xdr:nvSpPr>
        <xdr:cNvPr id="1397" name="Line 104"/>
        <xdr:cNvSpPr>
          <a:spLocks noChangeShapeType="1"/>
        </xdr:cNvSpPr>
      </xdr:nvSpPr>
      <xdr:spPr bwMode="auto">
        <a:xfrm flipV="1">
          <a:off x="17839615" y="59916879"/>
          <a:ext cx="494928" cy="154316"/>
        </a:xfrm>
        <a:prstGeom prst="line">
          <a:avLst/>
        </a:prstGeom>
        <a:noFill/>
        <a:ln w="3175">
          <a:solidFill>
            <a:srgbClr val="000000"/>
          </a:solidFill>
          <a:round/>
          <a:headEnd/>
          <a:tailEnd/>
        </a:ln>
      </xdr:spPr>
    </xdr:sp>
    <xdr:clientData/>
  </xdr:twoCellAnchor>
  <xdr:twoCellAnchor>
    <xdr:from>
      <xdr:col>29</xdr:col>
      <xdr:colOff>161215</xdr:colOff>
      <xdr:row>393</xdr:row>
      <xdr:rowOff>91025</xdr:rowOff>
    </xdr:from>
    <xdr:to>
      <xdr:col>30</xdr:col>
      <xdr:colOff>46543</xdr:colOff>
      <xdr:row>394</xdr:row>
      <xdr:rowOff>92941</xdr:rowOff>
    </xdr:to>
    <xdr:sp macro="" textlink="">
      <xdr:nvSpPr>
        <xdr:cNvPr id="1398" name="Line 105"/>
        <xdr:cNvSpPr>
          <a:spLocks noChangeShapeType="1"/>
        </xdr:cNvSpPr>
      </xdr:nvSpPr>
      <xdr:spPr bwMode="auto">
        <a:xfrm flipV="1">
          <a:off x="17839615" y="59984225"/>
          <a:ext cx="494928" cy="154316"/>
        </a:xfrm>
        <a:prstGeom prst="line">
          <a:avLst/>
        </a:prstGeom>
        <a:noFill/>
        <a:ln w="3175">
          <a:solidFill>
            <a:srgbClr val="000000"/>
          </a:solidFill>
          <a:round/>
          <a:headEnd/>
          <a:tailEnd/>
        </a:ln>
      </xdr:spPr>
    </xdr:sp>
    <xdr:clientData/>
  </xdr:twoCellAnchor>
  <xdr:twoCellAnchor>
    <xdr:from>
      <xdr:col>29</xdr:col>
      <xdr:colOff>161215</xdr:colOff>
      <xdr:row>393</xdr:row>
      <xdr:rowOff>158371</xdr:rowOff>
    </xdr:from>
    <xdr:to>
      <xdr:col>30</xdr:col>
      <xdr:colOff>46543</xdr:colOff>
      <xdr:row>394</xdr:row>
      <xdr:rowOff>160287</xdr:rowOff>
    </xdr:to>
    <xdr:sp macro="" textlink="">
      <xdr:nvSpPr>
        <xdr:cNvPr id="1399" name="Line 106"/>
        <xdr:cNvSpPr>
          <a:spLocks noChangeShapeType="1"/>
        </xdr:cNvSpPr>
      </xdr:nvSpPr>
      <xdr:spPr bwMode="auto">
        <a:xfrm flipV="1">
          <a:off x="17839615" y="60042046"/>
          <a:ext cx="494928" cy="154316"/>
        </a:xfrm>
        <a:prstGeom prst="line">
          <a:avLst/>
        </a:prstGeom>
        <a:noFill/>
        <a:ln w="3175">
          <a:solidFill>
            <a:srgbClr val="000000"/>
          </a:solidFill>
          <a:round/>
          <a:headEnd/>
          <a:tailEnd/>
        </a:ln>
      </xdr:spPr>
    </xdr:sp>
    <xdr:clientData/>
  </xdr:twoCellAnchor>
  <xdr:twoCellAnchor>
    <xdr:from>
      <xdr:col>29</xdr:col>
      <xdr:colOff>161215</xdr:colOff>
      <xdr:row>392</xdr:row>
      <xdr:rowOff>146834</xdr:rowOff>
    </xdr:from>
    <xdr:to>
      <xdr:col>30</xdr:col>
      <xdr:colOff>46543</xdr:colOff>
      <xdr:row>393</xdr:row>
      <xdr:rowOff>148750</xdr:rowOff>
    </xdr:to>
    <xdr:sp macro="" textlink="">
      <xdr:nvSpPr>
        <xdr:cNvPr id="1400" name="Line 107"/>
        <xdr:cNvSpPr>
          <a:spLocks noChangeShapeType="1"/>
        </xdr:cNvSpPr>
      </xdr:nvSpPr>
      <xdr:spPr bwMode="auto">
        <a:xfrm flipV="1">
          <a:off x="17839615" y="59887634"/>
          <a:ext cx="494928" cy="154316"/>
        </a:xfrm>
        <a:prstGeom prst="line">
          <a:avLst/>
        </a:prstGeom>
        <a:noFill/>
        <a:ln w="3175">
          <a:solidFill>
            <a:srgbClr val="000000"/>
          </a:solidFill>
          <a:round/>
          <a:headEnd/>
          <a:tailEnd/>
        </a:ln>
      </xdr:spPr>
    </xdr:sp>
    <xdr:clientData/>
  </xdr:twoCellAnchor>
  <xdr:twoCellAnchor>
    <xdr:from>
      <xdr:col>29</xdr:col>
      <xdr:colOff>161215</xdr:colOff>
      <xdr:row>391</xdr:row>
      <xdr:rowOff>135297</xdr:rowOff>
    </xdr:from>
    <xdr:to>
      <xdr:col>30</xdr:col>
      <xdr:colOff>46543</xdr:colOff>
      <xdr:row>392</xdr:row>
      <xdr:rowOff>137213</xdr:rowOff>
    </xdr:to>
    <xdr:sp macro="" textlink="">
      <xdr:nvSpPr>
        <xdr:cNvPr id="1401" name="Line 108"/>
        <xdr:cNvSpPr>
          <a:spLocks noChangeShapeType="1"/>
        </xdr:cNvSpPr>
      </xdr:nvSpPr>
      <xdr:spPr bwMode="auto">
        <a:xfrm flipV="1">
          <a:off x="17839615" y="59723697"/>
          <a:ext cx="494928" cy="154316"/>
        </a:xfrm>
        <a:prstGeom prst="line">
          <a:avLst/>
        </a:prstGeom>
        <a:noFill/>
        <a:ln w="3175">
          <a:solidFill>
            <a:srgbClr val="000000"/>
          </a:solidFill>
          <a:round/>
          <a:headEnd/>
          <a:tailEnd/>
        </a:ln>
      </xdr:spPr>
    </xdr:sp>
    <xdr:clientData/>
  </xdr:twoCellAnchor>
  <xdr:twoCellAnchor>
    <xdr:from>
      <xdr:col>29</xdr:col>
      <xdr:colOff>161215</xdr:colOff>
      <xdr:row>392</xdr:row>
      <xdr:rowOff>12143</xdr:rowOff>
    </xdr:from>
    <xdr:to>
      <xdr:col>30</xdr:col>
      <xdr:colOff>46543</xdr:colOff>
      <xdr:row>393</xdr:row>
      <xdr:rowOff>14059</xdr:rowOff>
    </xdr:to>
    <xdr:sp macro="" textlink="">
      <xdr:nvSpPr>
        <xdr:cNvPr id="1402" name="Line 109"/>
        <xdr:cNvSpPr>
          <a:spLocks noChangeShapeType="1"/>
        </xdr:cNvSpPr>
      </xdr:nvSpPr>
      <xdr:spPr bwMode="auto">
        <a:xfrm flipV="1">
          <a:off x="17839615" y="59752943"/>
          <a:ext cx="494928" cy="154316"/>
        </a:xfrm>
        <a:prstGeom prst="line">
          <a:avLst/>
        </a:prstGeom>
        <a:noFill/>
        <a:ln w="3175">
          <a:solidFill>
            <a:srgbClr val="000000"/>
          </a:solidFill>
          <a:round/>
          <a:headEnd/>
          <a:tailEnd/>
        </a:ln>
      </xdr:spPr>
    </xdr:sp>
    <xdr:clientData/>
  </xdr:twoCellAnchor>
  <xdr:twoCellAnchor>
    <xdr:from>
      <xdr:col>29</xdr:col>
      <xdr:colOff>161215</xdr:colOff>
      <xdr:row>392</xdr:row>
      <xdr:rowOff>79488</xdr:rowOff>
    </xdr:from>
    <xdr:to>
      <xdr:col>30</xdr:col>
      <xdr:colOff>46543</xdr:colOff>
      <xdr:row>393</xdr:row>
      <xdr:rowOff>81404</xdr:rowOff>
    </xdr:to>
    <xdr:sp macro="" textlink="">
      <xdr:nvSpPr>
        <xdr:cNvPr id="1403" name="Line 110"/>
        <xdr:cNvSpPr>
          <a:spLocks noChangeShapeType="1"/>
        </xdr:cNvSpPr>
      </xdr:nvSpPr>
      <xdr:spPr bwMode="auto">
        <a:xfrm flipV="1">
          <a:off x="17839615" y="59820288"/>
          <a:ext cx="494928" cy="154316"/>
        </a:xfrm>
        <a:prstGeom prst="line">
          <a:avLst/>
        </a:prstGeom>
        <a:noFill/>
        <a:ln w="3175">
          <a:solidFill>
            <a:srgbClr val="000000"/>
          </a:solidFill>
          <a:round/>
          <a:headEnd/>
          <a:tailEnd/>
        </a:ln>
      </xdr:spPr>
    </xdr:sp>
    <xdr:clientData/>
  </xdr:twoCellAnchor>
  <xdr:twoCellAnchor>
    <xdr:from>
      <xdr:col>29</xdr:col>
      <xdr:colOff>161215</xdr:colOff>
      <xdr:row>391</xdr:row>
      <xdr:rowOff>67952</xdr:rowOff>
    </xdr:from>
    <xdr:to>
      <xdr:col>30</xdr:col>
      <xdr:colOff>46543</xdr:colOff>
      <xdr:row>392</xdr:row>
      <xdr:rowOff>69868</xdr:rowOff>
    </xdr:to>
    <xdr:sp macro="" textlink="">
      <xdr:nvSpPr>
        <xdr:cNvPr id="1404" name="Line 111"/>
        <xdr:cNvSpPr>
          <a:spLocks noChangeShapeType="1"/>
        </xdr:cNvSpPr>
      </xdr:nvSpPr>
      <xdr:spPr bwMode="auto">
        <a:xfrm flipV="1">
          <a:off x="17839615" y="59656352"/>
          <a:ext cx="494928" cy="154316"/>
        </a:xfrm>
        <a:prstGeom prst="line">
          <a:avLst/>
        </a:prstGeom>
        <a:noFill/>
        <a:ln w="3175">
          <a:solidFill>
            <a:srgbClr val="000000"/>
          </a:solidFill>
          <a:round/>
          <a:headEnd/>
          <a:tailEnd/>
        </a:ln>
      </xdr:spPr>
    </xdr:sp>
    <xdr:clientData/>
  </xdr:twoCellAnchor>
  <xdr:twoCellAnchor>
    <xdr:from>
      <xdr:col>23</xdr:col>
      <xdr:colOff>136419</xdr:colOff>
      <xdr:row>395</xdr:row>
      <xdr:rowOff>181444</xdr:rowOff>
    </xdr:from>
    <xdr:to>
      <xdr:col>24</xdr:col>
      <xdr:colOff>240347</xdr:colOff>
      <xdr:row>395</xdr:row>
      <xdr:rowOff>181444</xdr:rowOff>
    </xdr:to>
    <xdr:sp macro="" textlink="">
      <xdr:nvSpPr>
        <xdr:cNvPr id="1405" name="Line 112"/>
        <xdr:cNvSpPr>
          <a:spLocks noChangeShapeType="1"/>
        </xdr:cNvSpPr>
      </xdr:nvSpPr>
      <xdr:spPr bwMode="auto">
        <a:xfrm>
          <a:off x="14157219" y="60350869"/>
          <a:ext cx="713528" cy="0"/>
        </a:xfrm>
        <a:prstGeom prst="line">
          <a:avLst/>
        </a:prstGeom>
        <a:noFill/>
        <a:ln w="12700">
          <a:solidFill>
            <a:srgbClr val="000000"/>
          </a:solidFill>
          <a:round/>
          <a:headEnd/>
          <a:tailEnd type="stealth" w="med" len="med"/>
        </a:ln>
      </xdr:spPr>
    </xdr:sp>
    <xdr:clientData/>
  </xdr:twoCellAnchor>
  <xdr:twoCellAnchor>
    <xdr:from>
      <xdr:col>24</xdr:col>
      <xdr:colOff>230843</xdr:colOff>
      <xdr:row>395</xdr:row>
      <xdr:rowOff>94857</xdr:rowOff>
    </xdr:from>
    <xdr:to>
      <xdr:col>25</xdr:col>
      <xdr:colOff>97163</xdr:colOff>
      <xdr:row>397</xdr:row>
      <xdr:rowOff>40964</xdr:rowOff>
    </xdr:to>
    <xdr:sp macro="" textlink="">
      <xdr:nvSpPr>
        <xdr:cNvPr id="1406" name="Text Box 113"/>
        <xdr:cNvSpPr txBox="1">
          <a:spLocks noChangeArrowheads="1"/>
        </xdr:cNvSpPr>
      </xdr:nvSpPr>
      <xdr:spPr bwMode="auto">
        <a:xfrm>
          <a:off x="14861243" y="60292857"/>
          <a:ext cx="475920" cy="250907"/>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F</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23</xdr:col>
      <xdr:colOff>136419</xdr:colOff>
      <xdr:row>395</xdr:row>
      <xdr:rowOff>181444</xdr:rowOff>
    </xdr:from>
    <xdr:to>
      <xdr:col>23</xdr:col>
      <xdr:colOff>136419</xdr:colOff>
      <xdr:row>398</xdr:row>
      <xdr:rowOff>52501</xdr:rowOff>
    </xdr:to>
    <xdr:sp macro="" textlink="">
      <xdr:nvSpPr>
        <xdr:cNvPr id="1407" name="Line 114"/>
        <xdr:cNvSpPr>
          <a:spLocks noChangeShapeType="1"/>
        </xdr:cNvSpPr>
      </xdr:nvSpPr>
      <xdr:spPr bwMode="auto">
        <a:xfrm>
          <a:off x="14157219" y="60350869"/>
          <a:ext cx="0" cy="356832"/>
        </a:xfrm>
        <a:prstGeom prst="line">
          <a:avLst/>
        </a:prstGeom>
        <a:noFill/>
        <a:ln w="12700">
          <a:solidFill>
            <a:srgbClr val="000000"/>
          </a:solidFill>
          <a:round/>
          <a:headEnd/>
          <a:tailEnd type="stealth" w="med" len="med"/>
        </a:ln>
      </xdr:spPr>
    </xdr:sp>
    <xdr:clientData/>
  </xdr:twoCellAnchor>
  <xdr:twoCellAnchor>
    <xdr:from>
      <xdr:col>23</xdr:col>
      <xdr:colOff>3358</xdr:colOff>
      <xdr:row>395</xdr:row>
      <xdr:rowOff>27511</xdr:rowOff>
    </xdr:from>
    <xdr:to>
      <xdr:col>23</xdr:col>
      <xdr:colOff>202949</xdr:colOff>
      <xdr:row>396</xdr:row>
      <xdr:rowOff>29427</xdr:rowOff>
    </xdr:to>
    <xdr:sp macro="" textlink="">
      <xdr:nvSpPr>
        <xdr:cNvPr id="1408" name="Text Box 115"/>
        <xdr:cNvSpPr txBox="1">
          <a:spLocks noChangeArrowheads="1"/>
        </xdr:cNvSpPr>
      </xdr:nvSpPr>
      <xdr:spPr bwMode="auto">
        <a:xfrm>
          <a:off x="14024158" y="60225511"/>
          <a:ext cx="199591" cy="154316"/>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900" b="1" i="0" strike="noStrike">
              <a:solidFill>
                <a:srgbClr val="000000"/>
              </a:solidFill>
              <a:latin typeface="Times New Roman"/>
              <a:cs typeface="Times New Roman"/>
            </a:rPr>
            <a:t>G</a:t>
          </a:r>
          <a:endParaRPr lang="de-DE" altLang="ja-JP" sz="700" b="1" i="0" strike="noStrike">
            <a:solidFill>
              <a:srgbClr val="000000"/>
            </a:solidFill>
            <a:latin typeface="Times New Roman"/>
            <a:cs typeface="Times New Roman"/>
          </a:endParaRP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22</xdr:col>
      <xdr:colOff>114851</xdr:colOff>
      <xdr:row>398</xdr:row>
      <xdr:rowOff>23638</xdr:rowOff>
    </xdr:from>
    <xdr:to>
      <xdr:col>24</xdr:col>
      <xdr:colOff>2739</xdr:colOff>
      <xdr:row>399</xdr:row>
      <xdr:rowOff>6312</xdr:rowOff>
    </xdr:to>
    <xdr:sp macro="" textlink="">
      <xdr:nvSpPr>
        <xdr:cNvPr id="1409" name="Text Box 116"/>
        <xdr:cNvSpPr txBox="1">
          <a:spLocks noChangeArrowheads="1"/>
        </xdr:cNvSpPr>
      </xdr:nvSpPr>
      <xdr:spPr bwMode="auto">
        <a:xfrm>
          <a:off x="13526051" y="60678838"/>
          <a:ext cx="1107088" cy="135074"/>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Wt</a:t>
          </a:r>
          <a:r>
            <a:rPr lang="de-DE" altLang="ja-JP" sz="900" b="1" i="0" strike="noStrike">
              <a:solidFill>
                <a:srgbClr val="000000"/>
              </a:solidFill>
              <a:latin typeface="ＭＳ Ｐ明朝"/>
              <a:ea typeface="ＭＳ Ｐ明朝"/>
            </a:rPr>
            <a:t>+</a:t>
          </a:r>
          <a:r>
            <a:rPr lang="de-DE" altLang="ja-JP" sz="900" b="1" i="0" strike="noStrike">
              <a:solidFill>
                <a:srgbClr val="000000"/>
              </a:solidFill>
              <a:latin typeface="Times New Roman"/>
              <a:cs typeface="Times New Roman"/>
            </a:rPr>
            <a:t>Fv</a:t>
          </a:r>
        </a:p>
      </xdr:txBody>
    </xdr:sp>
    <xdr:clientData/>
  </xdr:twoCellAnchor>
  <xdr:twoCellAnchor>
    <xdr:from>
      <xdr:col>23</xdr:col>
      <xdr:colOff>136419</xdr:colOff>
      <xdr:row>388</xdr:row>
      <xdr:rowOff>91066</xdr:rowOff>
    </xdr:from>
    <xdr:to>
      <xdr:col>23</xdr:col>
      <xdr:colOff>136419</xdr:colOff>
      <xdr:row>395</xdr:row>
      <xdr:rowOff>171823</xdr:rowOff>
    </xdr:to>
    <xdr:sp macro="" textlink="">
      <xdr:nvSpPr>
        <xdr:cNvPr id="1410" name="Line 117"/>
        <xdr:cNvSpPr>
          <a:spLocks noChangeShapeType="1"/>
        </xdr:cNvSpPr>
      </xdr:nvSpPr>
      <xdr:spPr bwMode="auto">
        <a:xfrm>
          <a:off x="14157219" y="59222266"/>
          <a:ext cx="0" cy="1128507"/>
        </a:xfrm>
        <a:prstGeom prst="line">
          <a:avLst/>
        </a:prstGeom>
        <a:noFill/>
        <a:ln w="6350">
          <a:solidFill>
            <a:srgbClr val="000000"/>
          </a:solidFill>
          <a:prstDash val="lgDashDot"/>
          <a:round/>
          <a:headEnd/>
          <a:tailEnd/>
        </a:ln>
      </xdr:spPr>
    </xdr:sp>
    <xdr:clientData/>
  </xdr:twoCellAnchor>
  <xdr:twoCellAnchor>
    <xdr:from>
      <xdr:col>23</xdr:col>
      <xdr:colOff>136419</xdr:colOff>
      <xdr:row>388</xdr:row>
      <xdr:rowOff>168032</xdr:rowOff>
    </xdr:from>
    <xdr:to>
      <xdr:col>25</xdr:col>
      <xdr:colOff>135180</xdr:colOff>
      <xdr:row>388</xdr:row>
      <xdr:rowOff>168032</xdr:rowOff>
    </xdr:to>
    <xdr:sp macro="" textlink="">
      <xdr:nvSpPr>
        <xdr:cNvPr id="1411" name="Line 118"/>
        <xdr:cNvSpPr>
          <a:spLocks noChangeShapeType="1"/>
        </xdr:cNvSpPr>
      </xdr:nvSpPr>
      <xdr:spPr bwMode="auto">
        <a:xfrm>
          <a:off x="14157219" y="59280182"/>
          <a:ext cx="1217961" cy="0"/>
        </a:xfrm>
        <a:prstGeom prst="line">
          <a:avLst/>
        </a:prstGeom>
        <a:noFill/>
        <a:ln w="6350">
          <a:solidFill>
            <a:srgbClr val="000000"/>
          </a:solidFill>
          <a:round/>
          <a:headEnd type="triangle" w="sm" len="med"/>
          <a:tailEnd type="triangle" w="sm" len="med"/>
        </a:ln>
      </xdr:spPr>
    </xdr:sp>
    <xdr:clientData/>
  </xdr:twoCellAnchor>
  <xdr:twoCellAnchor>
    <xdr:from>
      <xdr:col>23</xdr:col>
      <xdr:colOff>250472</xdr:colOff>
      <xdr:row>388</xdr:row>
      <xdr:rowOff>14100</xdr:rowOff>
    </xdr:from>
    <xdr:to>
      <xdr:col>24</xdr:col>
      <xdr:colOff>249852</xdr:colOff>
      <xdr:row>389</xdr:row>
      <xdr:rowOff>6395</xdr:rowOff>
    </xdr:to>
    <xdr:sp macro="" textlink="">
      <xdr:nvSpPr>
        <xdr:cNvPr id="1412" name="Text Box 119"/>
        <xdr:cNvSpPr txBox="1">
          <a:spLocks noChangeArrowheads="1"/>
        </xdr:cNvSpPr>
      </xdr:nvSpPr>
      <xdr:spPr bwMode="auto">
        <a:xfrm>
          <a:off x="14271272" y="59145300"/>
          <a:ext cx="608980" cy="144695"/>
        </a:xfrm>
        <a:prstGeom prst="rect">
          <a:avLst/>
        </a:prstGeom>
        <a:noFill/>
        <a:ln w="9525">
          <a:noFill/>
          <a:miter lim="800000"/>
          <a:headEnd/>
          <a:tailEnd/>
        </a:ln>
      </xdr:spPr>
      <xdr:txBody>
        <a:bodyPr vertOverflow="clip" wrap="square" lIns="0" tIns="22860" rIns="27432" bIns="0" anchor="t" upright="1"/>
        <a:lstStyle/>
        <a:p>
          <a:pPr algn="r" rtl="1">
            <a:defRPr sz="1000"/>
          </a:pPr>
          <a:r>
            <a:rPr lang="de-DE" altLang="ja-JP" sz="900" b="1" i="0" strike="noStrike">
              <a:solidFill>
                <a:srgbClr val="000000"/>
              </a:solidFill>
              <a:latin typeface="Times New Roman"/>
              <a:cs typeface="Times New Roman"/>
            </a:rPr>
            <a:t>L</a:t>
          </a:r>
          <a:r>
            <a:rPr lang="de-DE" altLang="ja-JP" sz="700" b="1" i="0" strike="noStrike">
              <a:solidFill>
                <a:srgbClr val="000000"/>
              </a:solidFill>
              <a:latin typeface="Times New Roman"/>
              <a:cs typeface="Times New Roman"/>
            </a:rPr>
            <a:t>1g</a:t>
          </a:r>
          <a:endParaRPr lang="de-DE" altLang="ja-JP" sz="900" b="1" i="0" strike="noStrike">
            <a:solidFill>
              <a:srgbClr val="000000"/>
            </a:solidFill>
            <a:latin typeface="Times New Roman"/>
            <a:cs typeface="Times New Roman"/>
          </a:endParaRPr>
        </a:p>
        <a:p>
          <a:pPr algn="r" rtl="1">
            <a:defRPr sz="1000"/>
          </a:pPr>
          <a:endParaRPr lang="de-DE" altLang="ja-JP" sz="900" b="1" i="0" strike="noStrike">
            <a:solidFill>
              <a:srgbClr val="000000"/>
            </a:solidFill>
            <a:latin typeface="Times New Roman"/>
            <a:cs typeface="Times New Roman"/>
          </a:endParaRPr>
        </a:p>
      </xdr:txBody>
    </xdr:sp>
    <xdr:clientData/>
  </xdr:twoCellAnchor>
  <xdr:twoCellAnchor>
    <xdr:from>
      <xdr:col>15</xdr:col>
      <xdr:colOff>72367</xdr:colOff>
      <xdr:row>390</xdr:row>
      <xdr:rowOff>114140</xdr:rowOff>
    </xdr:from>
    <xdr:to>
      <xdr:col>26</xdr:col>
      <xdr:colOff>39517</xdr:colOff>
      <xdr:row>390</xdr:row>
      <xdr:rowOff>114140</xdr:rowOff>
    </xdr:to>
    <xdr:sp macro="" textlink="">
      <xdr:nvSpPr>
        <xdr:cNvPr id="1413" name="Line 120"/>
        <xdr:cNvSpPr>
          <a:spLocks noChangeShapeType="1"/>
        </xdr:cNvSpPr>
      </xdr:nvSpPr>
      <xdr:spPr bwMode="auto">
        <a:xfrm>
          <a:off x="9216367" y="59550140"/>
          <a:ext cx="6672750" cy="0"/>
        </a:xfrm>
        <a:prstGeom prst="line">
          <a:avLst/>
        </a:prstGeom>
        <a:noFill/>
        <a:ln w="6350">
          <a:solidFill>
            <a:srgbClr val="000000"/>
          </a:solidFill>
          <a:prstDash val="lgDashDot"/>
          <a:round/>
          <a:headEnd/>
          <a:tailEnd/>
        </a:ln>
      </xdr:spPr>
    </xdr:sp>
    <xdr:clientData/>
  </xdr:twoCellAnchor>
  <xdr:twoCellAnchor>
    <xdr:from>
      <xdr:col>27</xdr:col>
      <xdr:colOff>29393</xdr:colOff>
      <xdr:row>395</xdr:row>
      <xdr:rowOff>181444</xdr:rowOff>
    </xdr:from>
    <xdr:to>
      <xdr:col>28</xdr:col>
      <xdr:colOff>123817</xdr:colOff>
      <xdr:row>395</xdr:row>
      <xdr:rowOff>181444</xdr:rowOff>
    </xdr:to>
    <xdr:sp macro="" textlink="">
      <xdr:nvSpPr>
        <xdr:cNvPr id="1414" name="Line 121"/>
        <xdr:cNvSpPr>
          <a:spLocks noChangeShapeType="1"/>
        </xdr:cNvSpPr>
      </xdr:nvSpPr>
      <xdr:spPr bwMode="auto">
        <a:xfrm>
          <a:off x="16488593" y="60350869"/>
          <a:ext cx="704024" cy="0"/>
        </a:xfrm>
        <a:prstGeom prst="line">
          <a:avLst/>
        </a:prstGeom>
        <a:noFill/>
        <a:ln w="12700">
          <a:solidFill>
            <a:srgbClr val="000000"/>
          </a:solidFill>
          <a:round/>
          <a:headEnd type="stealth" w="med" len="med"/>
          <a:tailEnd/>
        </a:ln>
      </xdr:spPr>
    </xdr:sp>
    <xdr:clientData/>
  </xdr:twoCellAnchor>
  <xdr:twoCellAnchor>
    <xdr:from>
      <xdr:col>26</xdr:col>
      <xdr:colOff>144065</xdr:colOff>
      <xdr:row>395</xdr:row>
      <xdr:rowOff>94857</xdr:rowOff>
    </xdr:from>
    <xdr:to>
      <xdr:col>27</xdr:col>
      <xdr:colOff>10385</xdr:colOff>
      <xdr:row>397</xdr:row>
      <xdr:rowOff>40964</xdr:rowOff>
    </xdr:to>
    <xdr:sp macro="" textlink="">
      <xdr:nvSpPr>
        <xdr:cNvPr id="1415" name="Text Box 122"/>
        <xdr:cNvSpPr txBox="1">
          <a:spLocks noChangeArrowheads="1"/>
        </xdr:cNvSpPr>
      </xdr:nvSpPr>
      <xdr:spPr bwMode="auto">
        <a:xfrm>
          <a:off x="15993665" y="60292857"/>
          <a:ext cx="475920" cy="250907"/>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D</a:t>
          </a:r>
          <a:r>
            <a:rPr lang="de-DE" altLang="ja-JP" sz="700" b="1" i="0" strike="noStrike">
              <a:solidFill>
                <a:srgbClr val="000000"/>
              </a:solidFill>
              <a:latin typeface="Times New Roman"/>
              <a:cs typeface="Times New Roman"/>
            </a:rPr>
            <a:t>H</a:t>
          </a:r>
        </a:p>
        <a:p>
          <a:pPr algn="l" rtl="1">
            <a:defRPr sz="1000"/>
          </a:pPr>
          <a:endParaRPr lang="de-DE" altLang="ja-JP" sz="700" b="1" i="0" strike="noStrike">
            <a:solidFill>
              <a:srgbClr val="000000"/>
            </a:solidFill>
            <a:latin typeface="Times New Roman"/>
            <a:cs typeface="Times New Roman"/>
          </a:endParaRPr>
        </a:p>
      </xdr:txBody>
    </xdr:sp>
    <xdr:clientData/>
  </xdr:twoCellAnchor>
  <xdr:twoCellAnchor>
    <xdr:from>
      <xdr:col>26</xdr:col>
      <xdr:colOff>1500</xdr:colOff>
      <xdr:row>402</xdr:row>
      <xdr:rowOff>108269</xdr:rowOff>
    </xdr:from>
    <xdr:to>
      <xdr:col>26</xdr:col>
      <xdr:colOff>1500</xdr:colOff>
      <xdr:row>404</xdr:row>
      <xdr:rowOff>83239</xdr:rowOff>
    </xdr:to>
    <xdr:sp macro="" textlink="">
      <xdr:nvSpPr>
        <xdr:cNvPr id="1416" name="Line 123"/>
        <xdr:cNvSpPr>
          <a:spLocks noChangeShapeType="1"/>
        </xdr:cNvSpPr>
      </xdr:nvSpPr>
      <xdr:spPr bwMode="auto">
        <a:xfrm>
          <a:off x="15851100" y="61373069"/>
          <a:ext cx="0" cy="279770"/>
        </a:xfrm>
        <a:prstGeom prst="line">
          <a:avLst/>
        </a:prstGeom>
        <a:noFill/>
        <a:ln w="3175">
          <a:solidFill>
            <a:srgbClr val="000000"/>
          </a:solidFill>
          <a:round/>
          <a:headEnd/>
          <a:tailEnd/>
        </a:ln>
      </xdr:spPr>
    </xdr:sp>
    <xdr:clientData/>
  </xdr:twoCellAnchor>
  <xdr:twoCellAnchor>
    <xdr:from>
      <xdr:col>19</xdr:col>
      <xdr:colOff>111323</xdr:colOff>
      <xdr:row>403</xdr:row>
      <xdr:rowOff>167909</xdr:rowOff>
    </xdr:from>
    <xdr:to>
      <xdr:col>26</xdr:col>
      <xdr:colOff>1500</xdr:colOff>
      <xdr:row>403</xdr:row>
      <xdr:rowOff>167909</xdr:rowOff>
    </xdr:to>
    <xdr:sp macro="" textlink="">
      <xdr:nvSpPr>
        <xdr:cNvPr id="1417" name="Line 124"/>
        <xdr:cNvSpPr>
          <a:spLocks noChangeShapeType="1"/>
        </xdr:cNvSpPr>
      </xdr:nvSpPr>
      <xdr:spPr bwMode="auto">
        <a:xfrm>
          <a:off x="11693723" y="61566059"/>
          <a:ext cx="4157377" cy="0"/>
        </a:xfrm>
        <a:prstGeom prst="line">
          <a:avLst/>
        </a:prstGeom>
        <a:noFill/>
        <a:ln w="6350">
          <a:solidFill>
            <a:srgbClr val="000000"/>
          </a:solidFill>
          <a:round/>
          <a:headEnd type="triangle" w="sm" len="med"/>
          <a:tailEnd type="triangle" w="sm" len="med"/>
        </a:ln>
      </xdr:spPr>
    </xdr:sp>
    <xdr:clientData/>
  </xdr:twoCellAnchor>
  <xdr:twoCellAnchor>
    <xdr:from>
      <xdr:col>23</xdr:col>
      <xdr:colOff>60385</xdr:colOff>
      <xdr:row>403</xdr:row>
      <xdr:rowOff>33218</xdr:rowOff>
    </xdr:from>
    <xdr:to>
      <xdr:col>23</xdr:col>
      <xdr:colOff>183942</xdr:colOff>
      <xdr:row>404</xdr:row>
      <xdr:rowOff>15892</xdr:rowOff>
    </xdr:to>
    <xdr:sp macro="" textlink="">
      <xdr:nvSpPr>
        <xdr:cNvPr id="1418" name="Text Box 125"/>
        <xdr:cNvSpPr txBox="1">
          <a:spLocks noChangeArrowheads="1"/>
        </xdr:cNvSpPr>
      </xdr:nvSpPr>
      <xdr:spPr bwMode="auto">
        <a:xfrm>
          <a:off x="14081185" y="61450418"/>
          <a:ext cx="123557" cy="135074"/>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900" b="1" i="0" strike="noStrike">
              <a:solidFill>
                <a:srgbClr val="000000"/>
              </a:solidFill>
              <a:latin typeface="Times New Roman"/>
              <a:cs typeface="Times New Roman"/>
            </a:rPr>
            <a:t>W</a:t>
          </a:r>
        </a:p>
      </xdr:txBody>
    </xdr:sp>
    <xdr:clientData/>
  </xdr:twoCellAnchor>
  <xdr:twoCellAnchor>
    <xdr:from>
      <xdr:col>16</xdr:col>
      <xdr:colOff>78693</xdr:colOff>
      <xdr:row>390</xdr:row>
      <xdr:rowOff>114140</xdr:rowOff>
    </xdr:from>
    <xdr:to>
      <xdr:col>16</xdr:col>
      <xdr:colOff>78693</xdr:colOff>
      <xdr:row>401</xdr:row>
      <xdr:rowOff>115974</xdr:rowOff>
    </xdr:to>
    <xdr:sp macro="" textlink="">
      <xdr:nvSpPr>
        <xdr:cNvPr id="1419" name="Line 126"/>
        <xdr:cNvSpPr>
          <a:spLocks noChangeShapeType="1"/>
        </xdr:cNvSpPr>
      </xdr:nvSpPr>
      <xdr:spPr bwMode="auto">
        <a:xfrm>
          <a:off x="9832293" y="59550140"/>
          <a:ext cx="0" cy="1678234"/>
        </a:xfrm>
        <a:prstGeom prst="line">
          <a:avLst/>
        </a:prstGeom>
        <a:noFill/>
        <a:ln w="3175">
          <a:solidFill>
            <a:srgbClr val="000000"/>
          </a:solidFill>
          <a:round/>
          <a:headEnd type="triangle" w="sm" len="med"/>
          <a:tailEnd type="triangle" w="sm" len="med"/>
        </a:ln>
      </xdr:spPr>
    </xdr:sp>
    <xdr:clientData/>
  </xdr:twoCellAnchor>
  <xdr:twoCellAnchor>
    <xdr:from>
      <xdr:col>24</xdr:col>
      <xdr:colOff>259356</xdr:colOff>
      <xdr:row>390</xdr:row>
      <xdr:rowOff>152623</xdr:rowOff>
    </xdr:from>
    <xdr:to>
      <xdr:col>25</xdr:col>
      <xdr:colOff>116171</xdr:colOff>
      <xdr:row>392</xdr:row>
      <xdr:rowOff>156455</xdr:rowOff>
    </xdr:to>
    <xdr:sp macro="" textlink="">
      <xdr:nvSpPr>
        <xdr:cNvPr id="1420" name="Line 127"/>
        <xdr:cNvSpPr>
          <a:spLocks noChangeShapeType="1"/>
        </xdr:cNvSpPr>
      </xdr:nvSpPr>
      <xdr:spPr bwMode="auto">
        <a:xfrm flipH="1">
          <a:off x="14889756" y="59588623"/>
          <a:ext cx="466415" cy="308632"/>
        </a:xfrm>
        <a:prstGeom prst="line">
          <a:avLst/>
        </a:prstGeom>
        <a:noFill/>
        <a:ln w="3175">
          <a:solidFill>
            <a:srgbClr val="000000"/>
          </a:solidFill>
          <a:round/>
          <a:headEnd/>
          <a:tailEnd/>
        </a:ln>
      </xdr:spPr>
    </xdr:sp>
    <xdr:clientData/>
  </xdr:twoCellAnchor>
  <xdr:twoCellAnchor>
    <xdr:from>
      <xdr:col>28</xdr:col>
      <xdr:colOff>275887</xdr:colOff>
      <xdr:row>390</xdr:row>
      <xdr:rowOff>123760</xdr:rowOff>
    </xdr:from>
    <xdr:to>
      <xdr:col>29</xdr:col>
      <xdr:colOff>142207</xdr:colOff>
      <xdr:row>392</xdr:row>
      <xdr:rowOff>156454</xdr:rowOff>
    </xdr:to>
    <xdr:sp macro="" textlink="">
      <xdr:nvSpPr>
        <xdr:cNvPr id="1421" name="Line 128"/>
        <xdr:cNvSpPr>
          <a:spLocks noChangeShapeType="1"/>
        </xdr:cNvSpPr>
      </xdr:nvSpPr>
      <xdr:spPr bwMode="auto">
        <a:xfrm flipH="1">
          <a:off x="17344687" y="59559760"/>
          <a:ext cx="475920" cy="337494"/>
        </a:xfrm>
        <a:prstGeom prst="line">
          <a:avLst/>
        </a:prstGeom>
        <a:noFill/>
        <a:ln w="3175">
          <a:solidFill>
            <a:srgbClr val="000000"/>
          </a:solidFill>
          <a:round/>
          <a:headEnd/>
          <a:tailEnd/>
        </a:ln>
      </xdr:spPr>
    </xdr:sp>
    <xdr:clientData/>
  </xdr:twoCellAnchor>
  <xdr:twoCellAnchor>
    <xdr:from>
      <xdr:col>14</xdr:col>
      <xdr:colOff>218524</xdr:colOff>
      <xdr:row>389</xdr:row>
      <xdr:rowOff>150707</xdr:rowOff>
    </xdr:from>
    <xdr:to>
      <xdr:col>19</xdr:col>
      <xdr:colOff>35288</xdr:colOff>
      <xdr:row>389</xdr:row>
      <xdr:rowOff>150707</xdr:rowOff>
    </xdr:to>
    <xdr:sp macro="" textlink="">
      <xdr:nvSpPr>
        <xdr:cNvPr id="1422" name="Line 248"/>
        <xdr:cNvSpPr>
          <a:spLocks noChangeShapeType="1"/>
        </xdr:cNvSpPr>
      </xdr:nvSpPr>
      <xdr:spPr bwMode="auto">
        <a:xfrm flipH="1">
          <a:off x="8752924" y="59434307"/>
          <a:ext cx="2864764" cy="0"/>
        </a:xfrm>
        <a:prstGeom prst="line">
          <a:avLst/>
        </a:prstGeom>
        <a:noFill/>
        <a:ln w="15875">
          <a:noFill/>
          <a:round/>
          <a:headEnd/>
          <a:tailEnd/>
        </a:ln>
      </xdr:spPr>
    </xdr:sp>
    <xdr:clientData/>
  </xdr:twoCellAnchor>
  <xdr:twoCellAnchor>
    <xdr:from>
      <xdr:col>24</xdr:col>
      <xdr:colOff>259356</xdr:colOff>
      <xdr:row>392</xdr:row>
      <xdr:rowOff>156455</xdr:rowOff>
    </xdr:from>
    <xdr:to>
      <xdr:col>28</xdr:col>
      <xdr:colOff>275886</xdr:colOff>
      <xdr:row>392</xdr:row>
      <xdr:rowOff>156455</xdr:rowOff>
    </xdr:to>
    <xdr:sp macro="" textlink="">
      <xdr:nvSpPr>
        <xdr:cNvPr id="1423" name="Line 249"/>
        <xdr:cNvSpPr>
          <a:spLocks noChangeShapeType="1"/>
        </xdr:cNvSpPr>
      </xdr:nvSpPr>
      <xdr:spPr bwMode="auto">
        <a:xfrm>
          <a:off x="14889756" y="59897255"/>
          <a:ext cx="2454930" cy="0"/>
        </a:xfrm>
        <a:prstGeom prst="line">
          <a:avLst/>
        </a:prstGeom>
        <a:noFill/>
        <a:ln w="3175">
          <a:solidFill>
            <a:srgbClr val="000000"/>
          </a:solidFill>
          <a:round/>
          <a:headEnd/>
          <a:tailEnd/>
        </a:ln>
      </xdr:spPr>
    </xdr:sp>
    <xdr:clientData/>
  </xdr:twoCellAnchor>
  <xdr:twoCellAnchor>
    <xdr:from>
      <xdr:col>25</xdr:col>
      <xdr:colOff>125676</xdr:colOff>
      <xdr:row>393</xdr:row>
      <xdr:rowOff>119887</xdr:rowOff>
    </xdr:from>
    <xdr:to>
      <xdr:col>29</xdr:col>
      <xdr:colOff>142206</xdr:colOff>
      <xdr:row>393</xdr:row>
      <xdr:rowOff>119887</xdr:rowOff>
    </xdr:to>
    <xdr:sp macro="" textlink="">
      <xdr:nvSpPr>
        <xdr:cNvPr id="1424" name="Line 250"/>
        <xdr:cNvSpPr>
          <a:spLocks noChangeShapeType="1"/>
        </xdr:cNvSpPr>
      </xdr:nvSpPr>
      <xdr:spPr bwMode="auto">
        <a:xfrm>
          <a:off x="15365676" y="60013087"/>
          <a:ext cx="2454930" cy="0"/>
        </a:xfrm>
        <a:prstGeom prst="line">
          <a:avLst/>
        </a:prstGeom>
        <a:noFill/>
        <a:ln w="3175">
          <a:solidFill>
            <a:srgbClr val="000000"/>
          </a:solidFill>
          <a:round/>
          <a:headEnd/>
          <a:tailEnd/>
        </a:ln>
      </xdr:spPr>
    </xdr:sp>
    <xdr:clientData/>
  </xdr:twoCellAnchor>
  <xdr:twoCellAnchor>
    <xdr:from>
      <xdr:col>14</xdr:col>
      <xdr:colOff>218524</xdr:colOff>
      <xdr:row>402</xdr:row>
      <xdr:rowOff>60165</xdr:rowOff>
    </xdr:from>
    <xdr:to>
      <xdr:col>19</xdr:col>
      <xdr:colOff>63801</xdr:colOff>
      <xdr:row>402</xdr:row>
      <xdr:rowOff>60165</xdr:rowOff>
    </xdr:to>
    <xdr:sp macro="" textlink="">
      <xdr:nvSpPr>
        <xdr:cNvPr id="1425" name="Line 251"/>
        <xdr:cNvSpPr>
          <a:spLocks noChangeShapeType="1"/>
        </xdr:cNvSpPr>
      </xdr:nvSpPr>
      <xdr:spPr bwMode="auto">
        <a:xfrm>
          <a:off x="8752924" y="61324965"/>
          <a:ext cx="2893277" cy="0"/>
        </a:xfrm>
        <a:prstGeom prst="line">
          <a:avLst/>
        </a:prstGeom>
        <a:noFill/>
        <a:ln w="3175">
          <a:solidFill>
            <a:srgbClr val="000000"/>
          </a:solidFill>
          <a:round/>
          <a:headEnd/>
          <a:tailEnd/>
        </a:ln>
      </xdr:spPr>
    </xdr:sp>
    <xdr:clientData/>
  </xdr:twoCellAnchor>
  <xdr:twoCellAnchor>
    <xdr:from>
      <xdr:col>14</xdr:col>
      <xdr:colOff>218524</xdr:colOff>
      <xdr:row>389</xdr:row>
      <xdr:rowOff>150707</xdr:rowOff>
    </xdr:from>
    <xdr:to>
      <xdr:col>19</xdr:col>
      <xdr:colOff>63801</xdr:colOff>
      <xdr:row>389</xdr:row>
      <xdr:rowOff>150707</xdr:rowOff>
    </xdr:to>
    <xdr:sp macro="" textlink="">
      <xdr:nvSpPr>
        <xdr:cNvPr id="1426" name="Line 252"/>
        <xdr:cNvSpPr>
          <a:spLocks noChangeShapeType="1"/>
        </xdr:cNvSpPr>
      </xdr:nvSpPr>
      <xdr:spPr bwMode="auto">
        <a:xfrm>
          <a:off x="8752924" y="59434307"/>
          <a:ext cx="2893277" cy="0"/>
        </a:xfrm>
        <a:prstGeom prst="line">
          <a:avLst/>
        </a:prstGeom>
        <a:noFill/>
        <a:ln w="3175">
          <a:solidFill>
            <a:srgbClr val="000000"/>
          </a:solidFill>
          <a:round/>
          <a:headEnd/>
          <a:tailEnd/>
        </a:ln>
      </xdr:spPr>
    </xdr:sp>
    <xdr:clientData/>
  </xdr:twoCellAnchor>
  <xdr:twoCellAnchor>
    <xdr:from>
      <xdr:col>2</xdr:col>
      <xdr:colOff>0</xdr:colOff>
      <xdr:row>383</xdr:row>
      <xdr:rowOff>175846</xdr:rowOff>
    </xdr:from>
    <xdr:to>
      <xdr:col>31</xdr:col>
      <xdr:colOff>278423</xdr:colOff>
      <xdr:row>383</xdr:row>
      <xdr:rowOff>175846</xdr:rowOff>
    </xdr:to>
    <xdr:sp macro="" textlink="">
      <xdr:nvSpPr>
        <xdr:cNvPr id="1427" name="Line 312"/>
        <xdr:cNvSpPr>
          <a:spLocks noChangeShapeType="1"/>
        </xdr:cNvSpPr>
      </xdr:nvSpPr>
      <xdr:spPr bwMode="auto">
        <a:xfrm>
          <a:off x="1219200" y="58525996"/>
          <a:ext cx="17956823" cy="0"/>
        </a:xfrm>
        <a:prstGeom prst="line">
          <a:avLst/>
        </a:prstGeom>
        <a:noFill/>
        <a:ln w="57150" cmpd="thinThick">
          <a:solidFill>
            <a:srgbClr val="000000"/>
          </a:solidFill>
          <a:round/>
          <a:headEnd/>
          <a:tailEnd/>
        </a:ln>
      </xdr:spPr>
    </xdr:sp>
    <xdr:clientData/>
  </xdr:twoCellAnchor>
  <xdr:twoCellAnchor>
    <xdr:from>
      <xdr:col>6</xdr:col>
      <xdr:colOff>269588</xdr:colOff>
      <xdr:row>429</xdr:row>
      <xdr:rowOff>2613</xdr:rowOff>
    </xdr:from>
    <xdr:to>
      <xdr:col>8</xdr:col>
      <xdr:colOff>181252</xdr:colOff>
      <xdr:row>429</xdr:row>
      <xdr:rowOff>175787</xdr:rowOff>
    </xdr:to>
    <xdr:sp macro="" textlink="">
      <xdr:nvSpPr>
        <xdr:cNvPr id="1428" name="Text Box 313"/>
        <xdr:cNvSpPr txBox="1">
          <a:spLocks noChangeArrowheads="1"/>
        </xdr:cNvSpPr>
      </xdr:nvSpPr>
      <xdr:spPr bwMode="auto">
        <a:xfrm>
          <a:off x="3927188" y="65382213"/>
          <a:ext cx="1130864" cy="154124"/>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218187</xdr:colOff>
      <xdr:row>433</xdr:row>
      <xdr:rowOff>183451</xdr:rowOff>
    </xdr:from>
    <xdr:to>
      <xdr:col>4</xdr:col>
      <xdr:colOff>251819</xdr:colOff>
      <xdr:row>435</xdr:row>
      <xdr:rowOff>4488</xdr:rowOff>
    </xdr:to>
    <xdr:sp macro="" textlink="">
      <xdr:nvSpPr>
        <xdr:cNvPr id="1429" name="Text Box 314"/>
        <xdr:cNvSpPr txBox="1">
          <a:spLocks noChangeArrowheads="1"/>
        </xdr:cNvSpPr>
      </xdr:nvSpPr>
      <xdr:spPr bwMode="auto">
        <a:xfrm>
          <a:off x="2046987" y="66144076"/>
          <a:ext cx="643232" cy="154412"/>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b2</a:t>
          </a:r>
          <a:r>
            <a:rPr lang="ja-JP" altLang="de-DE" sz="1000" b="1" i="0" strike="noStrike">
              <a:solidFill>
                <a:srgbClr val="000000"/>
              </a:solidFill>
              <a:latin typeface="ＭＳ Ｐゴシック"/>
              <a:ea typeface="ＭＳ Ｐゴシック"/>
            </a:rPr>
            <a:t>＝</a:t>
          </a:r>
        </a:p>
      </xdr:txBody>
    </xdr:sp>
    <xdr:clientData/>
  </xdr:twoCellAnchor>
  <xdr:twoCellAnchor>
    <xdr:from>
      <xdr:col>9</xdr:col>
      <xdr:colOff>28563</xdr:colOff>
      <xdr:row>427</xdr:row>
      <xdr:rowOff>27643</xdr:rowOff>
    </xdr:from>
    <xdr:to>
      <xdr:col>10</xdr:col>
      <xdr:colOff>75465</xdr:colOff>
      <xdr:row>428</xdr:row>
      <xdr:rowOff>77663</xdr:rowOff>
    </xdr:to>
    <xdr:sp macro="" textlink="">
      <xdr:nvSpPr>
        <xdr:cNvPr id="1430" name="Text Box 315"/>
        <xdr:cNvSpPr txBox="1">
          <a:spLocks noChangeArrowheads="1"/>
        </xdr:cNvSpPr>
      </xdr:nvSpPr>
      <xdr:spPr bwMode="auto">
        <a:xfrm>
          <a:off x="5514963" y="65102443"/>
          <a:ext cx="656502" cy="20242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15</xdr:col>
      <xdr:colOff>110385</xdr:colOff>
      <xdr:row>430</xdr:row>
      <xdr:rowOff>81495</xdr:rowOff>
    </xdr:from>
    <xdr:to>
      <xdr:col>24</xdr:col>
      <xdr:colOff>126296</xdr:colOff>
      <xdr:row>430</xdr:row>
      <xdr:rowOff>81495</xdr:rowOff>
    </xdr:to>
    <xdr:sp macro="" textlink="">
      <xdr:nvSpPr>
        <xdr:cNvPr id="1431" name="Line 316"/>
        <xdr:cNvSpPr>
          <a:spLocks noChangeShapeType="1"/>
        </xdr:cNvSpPr>
      </xdr:nvSpPr>
      <xdr:spPr bwMode="auto">
        <a:xfrm>
          <a:off x="9254385" y="65613495"/>
          <a:ext cx="5502311" cy="0"/>
        </a:xfrm>
        <a:prstGeom prst="line">
          <a:avLst/>
        </a:prstGeom>
        <a:noFill/>
        <a:ln w="9525">
          <a:solidFill>
            <a:srgbClr val="000000"/>
          </a:solidFill>
          <a:round/>
          <a:headEnd/>
          <a:tailEnd/>
        </a:ln>
      </xdr:spPr>
    </xdr:sp>
    <xdr:clientData/>
  </xdr:twoCellAnchor>
  <xdr:twoCellAnchor>
    <xdr:from>
      <xdr:col>15</xdr:col>
      <xdr:colOff>100880</xdr:colOff>
      <xdr:row>428</xdr:row>
      <xdr:rowOff>77663</xdr:rowOff>
    </xdr:from>
    <xdr:to>
      <xdr:col>22</xdr:col>
      <xdr:colOff>124356</xdr:colOff>
      <xdr:row>428</xdr:row>
      <xdr:rowOff>77663</xdr:rowOff>
    </xdr:to>
    <xdr:sp macro="" textlink="">
      <xdr:nvSpPr>
        <xdr:cNvPr id="1432" name="Line 317"/>
        <xdr:cNvSpPr>
          <a:spLocks noChangeShapeType="1"/>
        </xdr:cNvSpPr>
      </xdr:nvSpPr>
      <xdr:spPr bwMode="auto">
        <a:xfrm>
          <a:off x="9244880" y="65304863"/>
          <a:ext cx="4290676" cy="0"/>
        </a:xfrm>
        <a:prstGeom prst="line">
          <a:avLst/>
        </a:prstGeom>
        <a:noFill/>
        <a:ln w="9525">
          <a:solidFill>
            <a:srgbClr val="000000"/>
          </a:solidFill>
          <a:round/>
          <a:headEnd/>
          <a:tailEnd/>
        </a:ln>
      </xdr:spPr>
    </xdr:sp>
    <xdr:clientData/>
  </xdr:twoCellAnchor>
  <xdr:twoCellAnchor>
    <xdr:from>
      <xdr:col>9</xdr:col>
      <xdr:colOff>247163</xdr:colOff>
      <xdr:row>434</xdr:row>
      <xdr:rowOff>41055</xdr:rowOff>
    </xdr:from>
    <xdr:to>
      <xdr:col>11</xdr:col>
      <xdr:colOff>8315</xdr:colOff>
      <xdr:row>435</xdr:row>
      <xdr:rowOff>91075</xdr:rowOff>
    </xdr:to>
    <xdr:sp macro="" textlink="">
      <xdr:nvSpPr>
        <xdr:cNvPr id="1433" name="Text Box 318"/>
        <xdr:cNvSpPr txBox="1">
          <a:spLocks noChangeArrowheads="1"/>
        </xdr:cNvSpPr>
      </xdr:nvSpPr>
      <xdr:spPr bwMode="auto">
        <a:xfrm>
          <a:off x="5733563" y="66182655"/>
          <a:ext cx="980352" cy="20242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90245</xdr:colOff>
      <xdr:row>437</xdr:row>
      <xdr:rowOff>133390</xdr:rowOff>
    </xdr:from>
    <xdr:to>
      <xdr:col>4</xdr:col>
      <xdr:colOff>280332</xdr:colOff>
      <xdr:row>438</xdr:row>
      <xdr:rowOff>125685</xdr:rowOff>
    </xdr:to>
    <xdr:sp macro="" textlink="">
      <xdr:nvSpPr>
        <xdr:cNvPr id="1434" name="Text Box 319"/>
        <xdr:cNvSpPr txBox="1">
          <a:spLocks noChangeArrowheads="1"/>
        </xdr:cNvSpPr>
      </xdr:nvSpPr>
      <xdr:spPr bwMode="auto">
        <a:xfrm>
          <a:off x="2528645" y="66732190"/>
          <a:ext cx="190087" cy="14469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95093</xdr:colOff>
      <xdr:row>434</xdr:row>
      <xdr:rowOff>89159</xdr:rowOff>
    </xdr:from>
    <xdr:to>
      <xdr:col>11</xdr:col>
      <xdr:colOff>245923</xdr:colOff>
      <xdr:row>434</xdr:row>
      <xdr:rowOff>89159</xdr:rowOff>
    </xdr:to>
    <xdr:sp macro="" textlink="">
      <xdr:nvSpPr>
        <xdr:cNvPr id="1435" name="Line 320"/>
        <xdr:cNvSpPr>
          <a:spLocks noChangeShapeType="1"/>
        </xdr:cNvSpPr>
      </xdr:nvSpPr>
      <xdr:spPr bwMode="auto">
        <a:xfrm>
          <a:off x="5581493" y="66230759"/>
          <a:ext cx="1370030" cy="0"/>
        </a:xfrm>
        <a:prstGeom prst="line">
          <a:avLst/>
        </a:prstGeom>
        <a:noFill/>
        <a:ln w="9525">
          <a:solidFill>
            <a:srgbClr val="000000"/>
          </a:solidFill>
          <a:round/>
          <a:headEnd/>
          <a:tailEnd/>
        </a:ln>
      </xdr:spPr>
    </xdr:sp>
    <xdr:clientData/>
  </xdr:twoCellAnchor>
  <xdr:twoCellAnchor>
    <xdr:from>
      <xdr:col>6</xdr:col>
      <xdr:colOff>269588</xdr:colOff>
      <xdr:row>426</xdr:row>
      <xdr:rowOff>189281</xdr:rowOff>
    </xdr:from>
    <xdr:to>
      <xdr:col>8</xdr:col>
      <xdr:colOff>181252</xdr:colOff>
      <xdr:row>427</xdr:row>
      <xdr:rowOff>171955</xdr:rowOff>
    </xdr:to>
    <xdr:sp macro="" textlink="">
      <xdr:nvSpPr>
        <xdr:cNvPr id="1436" name="Text Box 321"/>
        <xdr:cNvSpPr txBox="1">
          <a:spLocks noChangeArrowheads="1"/>
        </xdr:cNvSpPr>
      </xdr:nvSpPr>
      <xdr:spPr bwMode="auto">
        <a:xfrm>
          <a:off x="3927188" y="65073581"/>
          <a:ext cx="1130864" cy="154124"/>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4</xdr:col>
      <xdr:colOff>280332</xdr:colOff>
      <xdr:row>429</xdr:row>
      <xdr:rowOff>79579</xdr:rowOff>
    </xdr:from>
    <xdr:to>
      <xdr:col>6</xdr:col>
      <xdr:colOff>269589</xdr:colOff>
      <xdr:row>429</xdr:row>
      <xdr:rowOff>79579</xdr:rowOff>
    </xdr:to>
    <xdr:sp macro="" textlink="">
      <xdr:nvSpPr>
        <xdr:cNvPr id="1437" name="Line 322"/>
        <xdr:cNvSpPr>
          <a:spLocks noChangeShapeType="1"/>
        </xdr:cNvSpPr>
      </xdr:nvSpPr>
      <xdr:spPr bwMode="auto">
        <a:xfrm>
          <a:off x="2718732" y="65459179"/>
          <a:ext cx="1208457" cy="0"/>
        </a:xfrm>
        <a:prstGeom prst="line">
          <a:avLst/>
        </a:prstGeom>
        <a:noFill/>
        <a:ln w="9525">
          <a:solidFill>
            <a:srgbClr val="000000"/>
          </a:solidFill>
          <a:round/>
          <a:headEnd/>
          <a:tailEnd/>
        </a:ln>
      </xdr:spPr>
    </xdr:sp>
    <xdr:clientData/>
  </xdr:twoCellAnchor>
  <xdr:twoCellAnchor>
    <xdr:from>
      <xdr:col>4</xdr:col>
      <xdr:colOff>90245</xdr:colOff>
      <xdr:row>436</xdr:row>
      <xdr:rowOff>16024</xdr:rowOff>
    </xdr:from>
    <xdr:to>
      <xdr:col>4</xdr:col>
      <xdr:colOff>280332</xdr:colOff>
      <xdr:row>437</xdr:row>
      <xdr:rowOff>8319</xdr:rowOff>
    </xdr:to>
    <xdr:sp macro="" textlink="">
      <xdr:nvSpPr>
        <xdr:cNvPr id="1438" name="Text Box 323"/>
        <xdr:cNvSpPr txBox="1">
          <a:spLocks noChangeArrowheads="1"/>
        </xdr:cNvSpPr>
      </xdr:nvSpPr>
      <xdr:spPr bwMode="auto">
        <a:xfrm>
          <a:off x="2528645" y="66462424"/>
          <a:ext cx="190087" cy="14469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14</xdr:col>
      <xdr:colOff>132985</xdr:colOff>
      <xdr:row>427</xdr:row>
      <xdr:rowOff>162334</xdr:rowOff>
    </xdr:from>
    <xdr:to>
      <xdr:col>15</xdr:col>
      <xdr:colOff>34350</xdr:colOff>
      <xdr:row>429</xdr:row>
      <xdr:rowOff>12233</xdr:rowOff>
    </xdr:to>
    <xdr:sp macro="" textlink="">
      <xdr:nvSpPr>
        <xdr:cNvPr id="1439" name="Text Box 324"/>
        <xdr:cNvSpPr txBox="1">
          <a:spLocks noChangeArrowheads="1"/>
        </xdr:cNvSpPr>
      </xdr:nvSpPr>
      <xdr:spPr bwMode="auto">
        <a:xfrm>
          <a:off x="8667385" y="65227609"/>
          <a:ext cx="510965" cy="164224"/>
        </a:xfrm>
        <a:prstGeom prst="rect">
          <a:avLst/>
        </a:prstGeom>
        <a:noFill/>
        <a:ln w="9525">
          <a:noFill/>
          <a:miter lim="800000"/>
          <a:headEnd/>
          <a:tailEnd/>
        </a:ln>
      </xdr:spPr>
      <xdr:txBody>
        <a:bodyPr wrap="none" lIns="18288" tIns="27432" rIns="0" bIns="0" anchor="t" upright="1">
          <a:noAutofit/>
        </a:bodyPr>
        <a:lstStyle/>
        <a:p>
          <a:pPr algn="l" rtl="1">
            <a:defRPr sz="1000"/>
          </a:pPr>
          <a:r>
            <a:rPr lang="el-GR" altLang="ja-JP" sz="12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8</xdr:col>
      <xdr:colOff>228774</xdr:colOff>
      <xdr:row>434</xdr:row>
      <xdr:rowOff>12193</xdr:rowOff>
    </xdr:from>
    <xdr:to>
      <xdr:col>9</xdr:col>
      <xdr:colOff>133111</xdr:colOff>
      <xdr:row>434</xdr:row>
      <xdr:rowOff>185367</xdr:rowOff>
    </xdr:to>
    <xdr:sp macro="" textlink="">
      <xdr:nvSpPr>
        <xdr:cNvPr id="1440" name="Text Box 325"/>
        <xdr:cNvSpPr txBox="1">
          <a:spLocks noChangeArrowheads="1"/>
        </xdr:cNvSpPr>
      </xdr:nvSpPr>
      <xdr:spPr bwMode="auto">
        <a:xfrm>
          <a:off x="5105574" y="66153793"/>
          <a:ext cx="513937" cy="144599"/>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4</xdr:col>
      <xdr:colOff>280332</xdr:colOff>
      <xdr:row>427</xdr:row>
      <xdr:rowOff>75747</xdr:rowOff>
    </xdr:from>
    <xdr:to>
      <xdr:col>6</xdr:col>
      <xdr:colOff>269589</xdr:colOff>
      <xdr:row>427</xdr:row>
      <xdr:rowOff>75747</xdr:rowOff>
    </xdr:to>
    <xdr:sp macro="" textlink="">
      <xdr:nvSpPr>
        <xdr:cNvPr id="1441" name="Line 326"/>
        <xdr:cNvSpPr>
          <a:spLocks noChangeShapeType="1"/>
        </xdr:cNvSpPr>
      </xdr:nvSpPr>
      <xdr:spPr bwMode="auto">
        <a:xfrm>
          <a:off x="2718732" y="65150547"/>
          <a:ext cx="1208457" cy="0"/>
        </a:xfrm>
        <a:prstGeom prst="line">
          <a:avLst/>
        </a:prstGeom>
        <a:noFill/>
        <a:ln w="9525">
          <a:solidFill>
            <a:srgbClr val="000000"/>
          </a:solidFill>
          <a:round/>
          <a:headEnd/>
          <a:tailEnd/>
        </a:ln>
      </xdr:spPr>
    </xdr:sp>
    <xdr:clientData/>
  </xdr:twoCellAnchor>
  <xdr:twoCellAnchor>
    <xdr:from>
      <xdr:col>16</xdr:col>
      <xdr:colOff>69188</xdr:colOff>
      <xdr:row>427</xdr:row>
      <xdr:rowOff>37264</xdr:rowOff>
    </xdr:from>
    <xdr:to>
      <xdr:col>22</xdr:col>
      <xdr:colOff>152868</xdr:colOff>
      <xdr:row>428</xdr:row>
      <xdr:rowOff>87284</xdr:rowOff>
    </xdr:to>
    <xdr:sp macro="" textlink="">
      <xdr:nvSpPr>
        <xdr:cNvPr id="1442" name="Text Box 327"/>
        <xdr:cNvSpPr txBox="1">
          <a:spLocks noChangeArrowheads="1"/>
        </xdr:cNvSpPr>
      </xdr:nvSpPr>
      <xdr:spPr bwMode="auto">
        <a:xfrm>
          <a:off x="9822788" y="65112064"/>
          <a:ext cx="3741280" cy="202420"/>
        </a:xfrm>
        <a:prstGeom prst="rect">
          <a:avLst/>
        </a:prstGeom>
        <a:noFill/>
        <a:ln w="9525">
          <a:noFill/>
          <a:miter lim="800000"/>
          <a:headEnd/>
          <a:tailEnd/>
        </a:ln>
      </xdr:spPr>
      <xdr:txBody>
        <a:bodyPr vertOverflow="clip" wrap="square" lIns="27432" tIns="22860" rIns="0" bIns="0" anchor="t" upright="1"/>
        <a:lstStyle/>
        <a:p>
          <a:pPr algn="l" rtl="1">
            <a:defRPr sz="1000"/>
          </a:pPr>
          <a:r>
            <a:rPr lang="de-DE" altLang="ja-JP" sz="1000" b="1" i="0" strike="noStrike">
              <a:solidFill>
                <a:srgbClr val="000000"/>
              </a:solidFill>
              <a:latin typeface="Times New Roman"/>
              <a:cs typeface="Times New Roman"/>
            </a:rPr>
            <a:t>F</a:t>
          </a:r>
          <a:r>
            <a:rPr lang="de-DE" altLang="ja-JP" sz="1100" b="1" i="0" strike="noStrike" baseline="-25000">
              <a:solidFill>
                <a:srgbClr val="000000"/>
              </a:solidFill>
              <a:latin typeface="Times New Roman"/>
              <a:cs typeface="Times New Roman"/>
            </a:rPr>
            <a:t>H</a:t>
          </a:r>
          <a:r>
            <a:rPr lang="de-DE" altLang="ja-JP" sz="1100" b="1" i="0" strike="noStrike" baseline="30000">
              <a:solidFill>
                <a:srgbClr val="000000"/>
              </a:solidFill>
              <a:latin typeface="Times New Roman"/>
              <a:cs typeface="Times New Roman"/>
            </a:rPr>
            <a:t>2 </a:t>
          </a:r>
          <a:r>
            <a:rPr lang="de-DE" altLang="ja-JP" sz="900" b="1" i="0" strike="noStrike">
              <a:solidFill>
                <a:srgbClr val="000000"/>
              </a:solidFill>
              <a:latin typeface="Times New Roman"/>
              <a:cs typeface="Times New Roman"/>
            </a:rPr>
            <a:t>+(</a:t>
          </a:r>
          <a:r>
            <a:rPr lang="de-DE" altLang="ja-JP" sz="1000" b="1" i="0" strike="noStrike">
              <a:solidFill>
                <a:srgbClr val="000000"/>
              </a:solidFill>
              <a:latin typeface="Times New Roman"/>
              <a:cs typeface="Times New Roman"/>
            </a:rPr>
            <a:t>W</a:t>
          </a:r>
          <a:r>
            <a:rPr lang="de-DE" altLang="ja-JP" sz="1100" b="1" i="0" strike="noStrike" baseline="-25000">
              <a:solidFill>
                <a:srgbClr val="000000"/>
              </a:solidFill>
              <a:latin typeface="Times New Roman"/>
              <a:cs typeface="Times New Roman"/>
            </a:rPr>
            <a:t>t</a:t>
          </a:r>
          <a:r>
            <a:rPr lang="de-DE" altLang="ja-JP" sz="900" b="1" i="0" strike="noStrike">
              <a:solidFill>
                <a:srgbClr val="000000"/>
              </a:solidFill>
              <a:latin typeface="Times New Roman"/>
              <a:cs typeface="Times New Roman"/>
            </a:rPr>
            <a:t>+</a:t>
          </a:r>
          <a:r>
            <a:rPr lang="de-DE" altLang="ja-JP" sz="1000" b="1" i="0" strike="noStrike">
              <a:solidFill>
                <a:srgbClr val="000000"/>
              </a:solidFill>
              <a:latin typeface="Times New Roman"/>
              <a:cs typeface="Times New Roman"/>
            </a:rPr>
            <a:t>F</a:t>
          </a:r>
          <a:r>
            <a:rPr lang="de-DE" altLang="ja-JP" sz="900" b="1" i="0" strike="noStrike" baseline="-25000">
              <a:solidFill>
                <a:srgbClr val="000000"/>
              </a:solidFill>
              <a:latin typeface="Times New Roman"/>
              <a:cs typeface="Times New Roman"/>
            </a:rPr>
            <a:t>V</a:t>
          </a:r>
          <a:r>
            <a:rPr lang="de-DE" altLang="ja-JP" sz="900" b="1" i="0" strike="noStrike">
              <a:solidFill>
                <a:srgbClr val="000000"/>
              </a:solidFill>
              <a:latin typeface="Times New Roman"/>
              <a:cs typeface="Times New Roman"/>
            </a:rPr>
            <a:t>)</a:t>
          </a:r>
          <a:r>
            <a:rPr lang="de-DE" altLang="ja-JP" sz="1100" b="1" i="0" strike="noStrike" baseline="30000">
              <a:solidFill>
                <a:srgbClr val="000000"/>
              </a:solidFill>
              <a:latin typeface="Times New Roman"/>
              <a:cs typeface="Times New Roman"/>
            </a:rPr>
            <a:t>2</a:t>
          </a:r>
        </a:p>
      </xdr:txBody>
    </xdr:sp>
    <xdr:clientData/>
  </xdr:twoCellAnchor>
  <xdr:twoCellAnchor>
    <xdr:from>
      <xdr:col>5</xdr:col>
      <xdr:colOff>4086</xdr:colOff>
      <xdr:row>434</xdr:row>
      <xdr:rowOff>89159</xdr:rowOff>
    </xdr:from>
    <xdr:to>
      <xdr:col>8</xdr:col>
      <xdr:colOff>257287</xdr:colOff>
      <xdr:row>434</xdr:row>
      <xdr:rowOff>89159</xdr:rowOff>
    </xdr:to>
    <xdr:sp macro="" textlink="">
      <xdr:nvSpPr>
        <xdr:cNvPr id="1443" name="Line 328"/>
        <xdr:cNvSpPr>
          <a:spLocks noChangeShapeType="1"/>
        </xdr:cNvSpPr>
      </xdr:nvSpPr>
      <xdr:spPr bwMode="auto">
        <a:xfrm>
          <a:off x="3052086" y="66230759"/>
          <a:ext cx="2082001" cy="0"/>
        </a:xfrm>
        <a:prstGeom prst="line">
          <a:avLst/>
        </a:prstGeom>
        <a:noFill/>
        <a:ln w="9525">
          <a:solidFill>
            <a:srgbClr val="000000"/>
          </a:solidFill>
          <a:round/>
          <a:headEnd/>
          <a:tailEnd/>
        </a:ln>
      </xdr:spPr>
    </xdr:sp>
    <xdr:clientData/>
  </xdr:twoCellAnchor>
  <xdr:twoCellAnchor>
    <xdr:from>
      <xdr:col>5</xdr:col>
      <xdr:colOff>175164</xdr:colOff>
      <xdr:row>434</xdr:row>
      <xdr:rowOff>41055</xdr:rowOff>
    </xdr:from>
    <xdr:to>
      <xdr:col>6</xdr:col>
      <xdr:colOff>222066</xdr:colOff>
      <xdr:row>435</xdr:row>
      <xdr:rowOff>91075</xdr:rowOff>
    </xdr:to>
    <xdr:sp macro="" textlink="">
      <xdr:nvSpPr>
        <xdr:cNvPr id="1444" name="Text Box 329"/>
        <xdr:cNvSpPr txBox="1">
          <a:spLocks noChangeArrowheads="1"/>
        </xdr:cNvSpPr>
      </xdr:nvSpPr>
      <xdr:spPr bwMode="auto">
        <a:xfrm>
          <a:off x="3223164" y="66182655"/>
          <a:ext cx="656502" cy="20242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90245</xdr:colOff>
      <xdr:row>429</xdr:row>
      <xdr:rowOff>2613</xdr:rowOff>
    </xdr:from>
    <xdr:to>
      <xdr:col>4</xdr:col>
      <xdr:colOff>280332</xdr:colOff>
      <xdr:row>429</xdr:row>
      <xdr:rowOff>185408</xdr:rowOff>
    </xdr:to>
    <xdr:sp macro="" textlink="">
      <xdr:nvSpPr>
        <xdr:cNvPr id="1445" name="Text Box 330"/>
        <xdr:cNvSpPr txBox="1">
          <a:spLocks noChangeArrowheads="1"/>
        </xdr:cNvSpPr>
      </xdr:nvSpPr>
      <xdr:spPr bwMode="auto">
        <a:xfrm>
          <a:off x="2528645" y="65382213"/>
          <a:ext cx="190087" cy="15422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114102</xdr:colOff>
      <xdr:row>436</xdr:row>
      <xdr:rowOff>6404</xdr:rowOff>
    </xdr:from>
    <xdr:to>
      <xdr:col>10</xdr:col>
      <xdr:colOff>27943</xdr:colOff>
      <xdr:row>437</xdr:row>
      <xdr:rowOff>17941</xdr:rowOff>
    </xdr:to>
    <xdr:sp macro="" textlink="">
      <xdr:nvSpPr>
        <xdr:cNvPr id="1446" name="Text Box 331"/>
        <xdr:cNvSpPr txBox="1">
          <a:spLocks noChangeArrowheads="1"/>
        </xdr:cNvSpPr>
      </xdr:nvSpPr>
      <xdr:spPr bwMode="auto">
        <a:xfrm>
          <a:off x="5600502" y="66452804"/>
          <a:ext cx="523441" cy="163937"/>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285180</xdr:colOff>
      <xdr:row>436</xdr:row>
      <xdr:rowOff>92991</xdr:rowOff>
    </xdr:from>
    <xdr:to>
      <xdr:col>12</xdr:col>
      <xdr:colOff>286294</xdr:colOff>
      <xdr:row>436</xdr:row>
      <xdr:rowOff>92991</xdr:rowOff>
    </xdr:to>
    <xdr:sp macro="" textlink="">
      <xdr:nvSpPr>
        <xdr:cNvPr id="1447" name="Line 332"/>
        <xdr:cNvSpPr>
          <a:spLocks noChangeShapeType="1"/>
        </xdr:cNvSpPr>
      </xdr:nvSpPr>
      <xdr:spPr bwMode="auto">
        <a:xfrm>
          <a:off x="5771580" y="66539391"/>
          <a:ext cx="1829914" cy="0"/>
        </a:xfrm>
        <a:prstGeom prst="line">
          <a:avLst/>
        </a:prstGeom>
        <a:noFill/>
        <a:ln w="9525">
          <a:solidFill>
            <a:srgbClr val="000000"/>
          </a:solidFill>
          <a:round/>
          <a:headEnd/>
          <a:tailEnd/>
        </a:ln>
      </xdr:spPr>
    </xdr:sp>
    <xdr:clientData/>
  </xdr:twoCellAnchor>
  <xdr:twoCellAnchor>
    <xdr:from>
      <xdr:col>5</xdr:col>
      <xdr:colOff>4086</xdr:colOff>
      <xdr:row>436</xdr:row>
      <xdr:rowOff>92991</xdr:rowOff>
    </xdr:from>
    <xdr:to>
      <xdr:col>9</xdr:col>
      <xdr:colOff>133111</xdr:colOff>
      <xdr:row>436</xdr:row>
      <xdr:rowOff>92991</xdr:rowOff>
    </xdr:to>
    <xdr:sp macro="" textlink="">
      <xdr:nvSpPr>
        <xdr:cNvPr id="1448" name="Line 333"/>
        <xdr:cNvSpPr>
          <a:spLocks noChangeShapeType="1"/>
        </xdr:cNvSpPr>
      </xdr:nvSpPr>
      <xdr:spPr bwMode="auto">
        <a:xfrm>
          <a:off x="3052086" y="66539391"/>
          <a:ext cx="2567425" cy="0"/>
        </a:xfrm>
        <a:prstGeom prst="line">
          <a:avLst/>
        </a:prstGeom>
        <a:noFill/>
        <a:ln w="9525">
          <a:solidFill>
            <a:srgbClr val="000000"/>
          </a:solidFill>
          <a:round/>
          <a:headEnd/>
          <a:tailEnd/>
        </a:ln>
      </xdr:spPr>
    </xdr:sp>
    <xdr:clientData/>
  </xdr:twoCellAnchor>
  <xdr:twoCellAnchor>
    <xdr:from>
      <xdr:col>14</xdr:col>
      <xdr:colOff>228029</xdr:colOff>
      <xdr:row>431</xdr:row>
      <xdr:rowOff>112273</xdr:rowOff>
    </xdr:from>
    <xdr:to>
      <xdr:col>15</xdr:col>
      <xdr:colOff>110385</xdr:colOff>
      <xdr:row>432</xdr:row>
      <xdr:rowOff>114189</xdr:rowOff>
    </xdr:to>
    <xdr:sp macro="" textlink="">
      <xdr:nvSpPr>
        <xdr:cNvPr id="1449" name="Text Box 334"/>
        <xdr:cNvSpPr txBox="1">
          <a:spLocks noChangeArrowheads="1"/>
        </xdr:cNvSpPr>
      </xdr:nvSpPr>
      <xdr:spPr bwMode="auto">
        <a:xfrm>
          <a:off x="8762429" y="65796673"/>
          <a:ext cx="491956" cy="15431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218187</xdr:colOff>
      <xdr:row>426</xdr:row>
      <xdr:rowOff>170039</xdr:rowOff>
    </xdr:from>
    <xdr:to>
      <xdr:col>4</xdr:col>
      <xdr:colOff>251819</xdr:colOff>
      <xdr:row>427</xdr:row>
      <xdr:rowOff>181576</xdr:rowOff>
    </xdr:to>
    <xdr:sp macro="" textlink="">
      <xdr:nvSpPr>
        <xdr:cNvPr id="1450" name="Text Box 335"/>
        <xdr:cNvSpPr txBox="1">
          <a:spLocks noChangeArrowheads="1"/>
        </xdr:cNvSpPr>
      </xdr:nvSpPr>
      <xdr:spPr bwMode="auto">
        <a:xfrm>
          <a:off x="2046987" y="65073389"/>
          <a:ext cx="643232" cy="154412"/>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b1</a:t>
          </a:r>
          <a:r>
            <a:rPr lang="ja-JP" altLang="de-DE" sz="1000" b="1" i="0" strike="noStrike">
              <a:solidFill>
                <a:srgbClr val="000000"/>
              </a:solidFill>
              <a:latin typeface="ＭＳ Ｐゴシック"/>
              <a:ea typeface="ＭＳ Ｐゴシック"/>
            </a:rPr>
            <a:t>＝</a:t>
          </a:r>
        </a:p>
      </xdr:txBody>
    </xdr:sp>
    <xdr:clientData/>
  </xdr:twoCellAnchor>
  <xdr:twoCellAnchor>
    <xdr:from>
      <xdr:col>8</xdr:col>
      <xdr:colOff>171748</xdr:colOff>
      <xdr:row>427</xdr:row>
      <xdr:rowOff>75747</xdr:rowOff>
    </xdr:from>
    <xdr:to>
      <xdr:col>11</xdr:col>
      <xdr:colOff>74846</xdr:colOff>
      <xdr:row>427</xdr:row>
      <xdr:rowOff>75747</xdr:rowOff>
    </xdr:to>
    <xdr:sp macro="" textlink="">
      <xdr:nvSpPr>
        <xdr:cNvPr id="1451" name="Line 336"/>
        <xdr:cNvSpPr>
          <a:spLocks noChangeShapeType="1"/>
        </xdr:cNvSpPr>
      </xdr:nvSpPr>
      <xdr:spPr bwMode="auto">
        <a:xfrm>
          <a:off x="5048548" y="65150547"/>
          <a:ext cx="1731898" cy="0"/>
        </a:xfrm>
        <a:prstGeom prst="line">
          <a:avLst/>
        </a:prstGeom>
        <a:noFill/>
        <a:ln w="9525">
          <a:solidFill>
            <a:srgbClr val="000000"/>
          </a:solidFill>
          <a:round/>
          <a:headEnd/>
          <a:tailEnd/>
        </a:ln>
      </xdr:spPr>
    </xdr:sp>
    <xdr:clientData/>
  </xdr:twoCellAnchor>
  <xdr:twoCellAnchor>
    <xdr:from>
      <xdr:col>5</xdr:col>
      <xdr:colOff>89625</xdr:colOff>
      <xdr:row>427</xdr:row>
      <xdr:rowOff>27643</xdr:rowOff>
    </xdr:from>
    <xdr:to>
      <xdr:col>6</xdr:col>
      <xdr:colOff>136527</xdr:colOff>
      <xdr:row>428</xdr:row>
      <xdr:rowOff>77663</xdr:rowOff>
    </xdr:to>
    <xdr:sp macro="" textlink="">
      <xdr:nvSpPr>
        <xdr:cNvPr id="1452" name="Text Box 337"/>
        <xdr:cNvSpPr txBox="1">
          <a:spLocks noChangeArrowheads="1"/>
        </xdr:cNvSpPr>
      </xdr:nvSpPr>
      <xdr:spPr bwMode="auto">
        <a:xfrm>
          <a:off x="3137625" y="65102443"/>
          <a:ext cx="656502" cy="20242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1</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V</a:t>
          </a:r>
        </a:p>
      </xdr:txBody>
    </xdr:sp>
    <xdr:clientData/>
  </xdr:twoCellAnchor>
  <xdr:twoCellAnchor>
    <xdr:from>
      <xdr:col>18</xdr:col>
      <xdr:colOff>16692</xdr:colOff>
      <xdr:row>428</xdr:row>
      <xdr:rowOff>48801</xdr:rowOff>
    </xdr:from>
    <xdr:to>
      <xdr:col>19</xdr:col>
      <xdr:colOff>73305</xdr:colOff>
      <xdr:row>429</xdr:row>
      <xdr:rowOff>60338</xdr:rowOff>
    </xdr:to>
    <xdr:sp macro="" textlink="">
      <xdr:nvSpPr>
        <xdr:cNvPr id="1453" name="Text Box 342"/>
        <xdr:cNvSpPr txBox="1">
          <a:spLocks noChangeArrowheads="1"/>
        </xdr:cNvSpPr>
      </xdr:nvSpPr>
      <xdr:spPr bwMode="auto">
        <a:xfrm>
          <a:off x="10989492" y="65276001"/>
          <a:ext cx="666213" cy="163937"/>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n</a:t>
          </a:r>
          <a:r>
            <a:rPr lang="ja-JP" altLang="de-DE" sz="900" b="1" i="0" strike="noStrike">
              <a:solidFill>
                <a:srgbClr val="000000"/>
              </a:solidFill>
              <a:latin typeface="ＭＳ Ｐ明朝"/>
              <a:ea typeface="ＭＳ Ｐ明朝"/>
            </a:rPr>
            <a:t>・</a:t>
          </a:r>
          <a:r>
            <a:rPr lang="de-DE" altLang="ja-JP" sz="1000" b="1" i="0" strike="noStrike">
              <a:solidFill>
                <a:srgbClr val="000000"/>
              </a:solidFill>
              <a:latin typeface="Times New Roman"/>
              <a:cs typeface="Times New Roman"/>
            </a:rPr>
            <a:t>A</a:t>
          </a:r>
        </a:p>
      </xdr:txBody>
    </xdr:sp>
    <xdr:clientData/>
  </xdr:twoCellAnchor>
  <xdr:twoCellAnchor>
    <xdr:from>
      <xdr:col>4</xdr:col>
      <xdr:colOff>90245</xdr:colOff>
      <xdr:row>430</xdr:row>
      <xdr:rowOff>139220</xdr:rowOff>
    </xdr:from>
    <xdr:to>
      <xdr:col>4</xdr:col>
      <xdr:colOff>280332</xdr:colOff>
      <xdr:row>431</xdr:row>
      <xdr:rowOff>141136</xdr:rowOff>
    </xdr:to>
    <xdr:sp macro="" textlink="">
      <xdr:nvSpPr>
        <xdr:cNvPr id="1454" name="Text Box 343"/>
        <xdr:cNvSpPr txBox="1">
          <a:spLocks noChangeArrowheads="1"/>
        </xdr:cNvSpPr>
      </xdr:nvSpPr>
      <xdr:spPr bwMode="auto">
        <a:xfrm>
          <a:off x="2528645" y="65671220"/>
          <a:ext cx="190087" cy="15431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8</xdr:col>
      <xdr:colOff>181252</xdr:colOff>
      <xdr:row>429</xdr:row>
      <xdr:rowOff>79579</xdr:rowOff>
    </xdr:from>
    <xdr:to>
      <xdr:col>11</xdr:col>
      <xdr:colOff>131872</xdr:colOff>
      <xdr:row>429</xdr:row>
      <xdr:rowOff>79579</xdr:rowOff>
    </xdr:to>
    <xdr:sp macro="" textlink="">
      <xdr:nvSpPr>
        <xdr:cNvPr id="1455" name="Line 344"/>
        <xdr:cNvSpPr>
          <a:spLocks noChangeShapeType="1"/>
        </xdr:cNvSpPr>
      </xdr:nvSpPr>
      <xdr:spPr bwMode="auto">
        <a:xfrm>
          <a:off x="5058052" y="65459179"/>
          <a:ext cx="1779420" cy="0"/>
        </a:xfrm>
        <a:prstGeom prst="line">
          <a:avLst/>
        </a:prstGeom>
        <a:noFill/>
        <a:ln w="9525">
          <a:solidFill>
            <a:srgbClr val="000000"/>
          </a:solidFill>
          <a:round/>
          <a:headEnd/>
          <a:tailEnd/>
        </a:ln>
      </xdr:spPr>
    </xdr:sp>
    <xdr:clientData/>
  </xdr:twoCellAnchor>
  <xdr:twoCellAnchor>
    <xdr:from>
      <xdr:col>16</xdr:col>
      <xdr:colOff>2658</xdr:colOff>
      <xdr:row>427</xdr:row>
      <xdr:rowOff>56506</xdr:rowOff>
    </xdr:from>
    <xdr:to>
      <xdr:col>22</xdr:col>
      <xdr:colOff>86338</xdr:colOff>
      <xdr:row>428</xdr:row>
      <xdr:rowOff>58422</xdr:rowOff>
    </xdr:to>
    <xdr:grpSp>
      <xdr:nvGrpSpPr>
        <xdr:cNvPr id="1456" name="Group 345"/>
        <xdr:cNvGrpSpPr>
          <a:grpSpLocks/>
        </xdr:cNvGrpSpPr>
      </xdr:nvGrpSpPr>
      <xdr:grpSpPr bwMode="auto">
        <a:xfrm>
          <a:off x="3931721" y="74954756"/>
          <a:ext cx="925055" cy="192416"/>
          <a:chOff x="391" y="883"/>
          <a:chExt cx="99" cy="20"/>
        </a:xfrm>
      </xdr:grpSpPr>
      <xdr:sp macro="" textlink="">
        <xdr:nvSpPr>
          <xdr:cNvPr id="1457" name="Line 346"/>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1458" name="Line 347"/>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1459" name="Line 348"/>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14</xdr:col>
      <xdr:colOff>194899</xdr:colOff>
      <xdr:row>430</xdr:row>
      <xdr:rowOff>4529</xdr:rowOff>
    </xdr:from>
    <xdr:to>
      <xdr:col>15</xdr:col>
      <xdr:colOff>77255</xdr:colOff>
      <xdr:row>431</xdr:row>
      <xdr:rowOff>6445</xdr:rowOff>
    </xdr:to>
    <xdr:sp macro="" textlink="">
      <xdr:nvSpPr>
        <xdr:cNvPr id="1460" name="Text Box 349"/>
        <xdr:cNvSpPr txBox="1">
          <a:spLocks noChangeArrowheads="1"/>
        </xdr:cNvSpPr>
      </xdr:nvSpPr>
      <xdr:spPr bwMode="auto">
        <a:xfrm>
          <a:off x="8729299" y="65536529"/>
          <a:ext cx="491956" cy="15431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6</xdr:col>
      <xdr:colOff>269588</xdr:colOff>
      <xdr:row>429</xdr:row>
      <xdr:rowOff>2613</xdr:rowOff>
    </xdr:from>
    <xdr:to>
      <xdr:col>8</xdr:col>
      <xdr:colOff>181252</xdr:colOff>
      <xdr:row>429</xdr:row>
      <xdr:rowOff>175787</xdr:rowOff>
    </xdr:to>
    <xdr:sp macro="" textlink="">
      <xdr:nvSpPr>
        <xdr:cNvPr id="1461" name="Text Box 350"/>
        <xdr:cNvSpPr txBox="1">
          <a:spLocks noChangeArrowheads="1"/>
        </xdr:cNvSpPr>
      </xdr:nvSpPr>
      <xdr:spPr bwMode="auto">
        <a:xfrm>
          <a:off x="3927188" y="65382213"/>
          <a:ext cx="1130864" cy="154124"/>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3</xdr:col>
      <xdr:colOff>218187</xdr:colOff>
      <xdr:row>433</xdr:row>
      <xdr:rowOff>183451</xdr:rowOff>
    </xdr:from>
    <xdr:to>
      <xdr:col>4</xdr:col>
      <xdr:colOff>251819</xdr:colOff>
      <xdr:row>435</xdr:row>
      <xdr:rowOff>4488</xdr:rowOff>
    </xdr:to>
    <xdr:sp macro="" textlink="">
      <xdr:nvSpPr>
        <xdr:cNvPr id="1462" name="Text Box 351"/>
        <xdr:cNvSpPr txBox="1">
          <a:spLocks noChangeArrowheads="1"/>
        </xdr:cNvSpPr>
      </xdr:nvSpPr>
      <xdr:spPr bwMode="auto">
        <a:xfrm>
          <a:off x="2046987" y="66144076"/>
          <a:ext cx="643232" cy="154412"/>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R</a:t>
          </a:r>
          <a:r>
            <a:rPr lang="de-DE" altLang="ja-JP" sz="900" b="1" i="0" strike="noStrike">
              <a:solidFill>
                <a:srgbClr val="000000"/>
              </a:solidFill>
              <a:latin typeface="Times New Roman"/>
              <a:cs typeface="Times New Roman"/>
            </a:rPr>
            <a:t>b2</a:t>
          </a:r>
          <a:r>
            <a:rPr lang="ja-JP" altLang="de-DE" sz="1000" b="1" i="0" strike="noStrike">
              <a:solidFill>
                <a:srgbClr val="000000"/>
              </a:solidFill>
              <a:latin typeface="ＭＳ Ｐゴシック"/>
              <a:ea typeface="ＭＳ Ｐゴシック"/>
            </a:rPr>
            <a:t>＝</a:t>
          </a:r>
        </a:p>
      </xdr:txBody>
    </xdr:sp>
    <xdr:clientData/>
  </xdr:twoCellAnchor>
  <xdr:twoCellAnchor>
    <xdr:from>
      <xdr:col>15</xdr:col>
      <xdr:colOff>77255</xdr:colOff>
      <xdr:row>430</xdr:row>
      <xdr:rowOff>81495</xdr:rowOff>
    </xdr:from>
    <xdr:to>
      <xdr:col>24</xdr:col>
      <xdr:colOff>93166</xdr:colOff>
      <xdr:row>430</xdr:row>
      <xdr:rowOff>81495</xdr:rowOff>
    </xdr:to>
    <xdr:sp macro="" textlink="">
      <xdr:nvSpPr>
        <xdr:cNvPr id="1463" name="Line 352"/>
        <xdr:cNvSpPr>
          <a:spLocks noChangeShapeType="1"/>
        </xdr:cNvSpPr>
      </xdr:nvSpPr>
      <xdr:spPr bwMode="auto">
        <a:xfrm>
          <a:off x="9221255" y="65613495"/>
          <a:ext cx="5502311" cy="0"/>
        </a:xfrm>
        <a:prstGeom prst="line">
          <a:avLst/>
        </a:prstGeom>
        <a:noFill/>
        <a:ln w="9525">
          <a:solidFill>
            <a:srgbClr val="000000"/>
          </a:solidFill>
          <a:round/>
          <a:headEnd/>
          <a:tailEnd/>
        </a:ln>
      </xdr:spPr>
    </xdr:sp>
    <xdr:clientData/>
  </xdr:twoCellAnchor>
  <xdr:twoCellAnchor>
    <xdr:from>
      <xdr:col>9</xdr:col>
      <xdr:colOff>247163</xdr:colOff>
      <xdr:row>434</xdr:row>
      <xdr:rowOff>41055</xdr:rowOff>
    </xdr:from>
    <xdr:to>
      <xdr:col>11</xdr:col>
      <xdr:colOff>8315</xdr:colOff>
      <xdr:row>435</xdr:row>
      <xdr:rowOff>91075</xdr:rowOff>
    </xdr:to>
    <xdr:sp macro="" textlink="">
      <xdr:nvSpPr>
        <xdr:cNvPr id="1464" name="Text Box 353"/>
        <xdr:cNvSpPr txBox="1">
          <a:spLocks noChangeArrowheads="1"/>
        </xdr:cNvSpPr>
      </xdr:nvSpPr>
      <xdr:spPr bwMode="auto">
        <a:xfrm>
          <a:off x="5733563" y="66182655"/>
          <a:ext cx="980352" cy="20242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90245</xdr:colOff>
      <xdr:row>437</xdr:row>
      <xdr:rowOff>133390</xdr:rowOff>
    </xdr:from>
    <xdr:to>
      <xdr:col>4</xdr:col>
      <xdr:colOff>280332</xdr:colOff>
      <xdr:row>438</xdr:row>
      <xdr:rowOff>125685</xdr:rowOff>
    </xdr:to>
    <xdr:sp macro="" textlink="">
      <xdr:nvSpPr>
        <xdr:cNvPr id="1465" name="Text Box 354"/>
        <xdr:cNvSpPr txBox="1">
          <a:spLocks noChangeArrowheads="1"/>
        </xdr:cNvSpPr>
      </xdr:nvSpPr>
      <xdr:spPr bwMode="auto">
        <a:xfrm>
          <a:off x="2528645" y="66732190"/>
          <a:ext cx="190087" cy="14469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95093</xdr:colOff>
      <xdr:row>434</xdr:row>
      <xdr:rowOff>89159</xdr:rowOff>
    </xdr:from>
    <xdr:to>
      <xdr:col>11</xdr:col>
      <xdr:colOff>245923</xdr:colOff>
      <xdr:row>434</xdr:row>
      <xdr:rowOff>89159</xdr:rowOff>
    </xdr:to>
    <xdr:sp macro="" textlink="">
      <xdr:nvSpPr>
        <xdr:cNvPr id="1466" name="Line 355"/>
        <xdr:cNvSpPr>
          <a:spLocks noChangeShapeType="1"/>
        </xdr:cNvSpPr>
      </xdr:nvSpPr>
      <xdr:spPr bwMode="auto">
        <a:xfrm>
          <a:off x="5581493" y="66230759"/>
          <a:ext cx="1370030" cy="0"/>
        </a:xfrm>
        <a:prstGeom prst="line">
          <a:avLst/>
        </a:prstGeom>
        <a:noFill/>
        <a:ln w="9525">
          <a:solidFill>
            <a:srgbClr val="000000"/>
          </a:solidFill>
          <a:round/>
          <a:headEnd/>
          <a:tailEnd/>
        </a:ln>
      </xdr:spPr>
    </xdr:sp>
    <xdr:clientData/>
  </xdr:twoCellAnchor>
  <xdr:twoCellAnchor>
    <xdr:from>
      <xdr:col>4</xdr:col>
      <xdr:colOff>280332</xdr:colOff>
      <xdr:row>429</xdr:row>
      <xdr:rowOff>79579</xdr:rowOff>
    </xdr:from>
    <xdr:to>
      <xdr:col>6</xdr:col>
      <xdr:colOff>269589</xdr:colOff>
      <xdr:row>429</xdr:row>
      <xdr:rowOff>79579</xdr:rowOff>
    </xdr:to>
    <xdr:sp macro="" textlink="">
      <xdr:nvSpPr>
        <xdr:cNvPr id="1467" name="Line 356"/>
        <xdr:cNvSpPr>
          <a:spLocks noChangeShapeType="1"/>
        </xdr:cNvSpPr>
      </xdr:nvSpPr>
      <xdr:spPr bwMode="auto">
        <a:xfrm>
          <a:off x="2718732" y="65459179"/>
          <a:ext cx="1208457" cy="0"/>
        </a:xfrm>
        <a:prstGeom prst="line">
          <a:avLst/>
        </a:prstGeom>
        <a:noFill/>
        <a:ln w="9525">
          <a:solidFill>
            <a:srgbClr val="000000"/>
          </a:solidFill>
          <a:round/>
          <a:headEnd/>
          <a:tailEnd/>
        </a:ln>
      </xdr:spPr>
    </xdr:sp>
    <xdr:clientData/>
  </xdr:twoCellAnchor>
  <xdr:twoCellAnchor>
    <xdr:from>
      <xdr:col>4</xdr:col>
      <xdr:colOff>90245</xdr:colOff>
      <xdr:row>436</xdr:row>
      <xdr:rowOff>16024</xdr:rowOff>
    </xdr:from>
    <xdr:to>
      <xdr:col>4</xdr:col>
      <xdr:colOff>280332</xdr:colOff>
      <xdr:row>437</xdr:row>
      <xdr:rowOff>8319</xdr:rowOff>
    </xdr:to>
    <xdr:sp macro="" textlink="">
      <xdr:nvSpPr>
        <xdr:cNvPr id="1468" name="Text Box 357"/>
        <xdr:cNvSpPr txBox="1">
          <a:spLocks noChangeArrowheads="1"/>
        </xdr:cNvSpPr>
      </xdr:nvSpPr>
      <xdr:spPr bwMode="auto">
        <a:xfrm>
          <a:off x="2528645" y="66462424"/>
          <a:ext cx="190087" cy="144695"/>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14</xdr:col>
      <xdr:colOff>132985</xdr:colOff>
      <xdr:row>427</xdr:row>
      <xdr:rowOff>162334</xdr:rowOff>
    </xdr:from>
    <xdr:to>
      <xdr:col>15</xdr:col>
      <xdr:colOff>34350</xdr:colOff>
      <xdr:row>429</xdr:row>
      <xdr:rowOff>12233</xdr:rowOff>
    </xdr:to>
    <xdr:sp macro="" textlink="">
      <xdr:nvSpPr>
        <xdr:cNvPr id="1469" name="Text Box 358"/>
        <xdr:cNvSpPr txBox="1">
          <a:spLocks noChangeArrowheads="1"/>
        </xdr:cNvSpPr>
      </xdr:nvSpPr>
      <xdr:spPr bwMode="auto">
        <a:xfrm>
          <a:off x="8667385" y="65227609"/>
          <a:ext cx="510965" cy="164224"/>
        </a:xfrm>
        <a:prstGeom prst="rect">
          <a:avLst/>
        </a:prstGeom>
        <a:noFill/>
        <a:ln w="9525">
          <a:noFill/>
          <a:miter lim="800000"/>
          <a:headEnd/>
          <a:tailEnd/>
        </a:ln>
      </xdr:spPr>
      <xdr:txBody>
        <a:bodyPr wrap="none" lIns="18288" tIns="27432" rIns="0" bIns="0" anchor="t" upright="1">
          <a:noAutofit/>
        </a:bodyPr>
        <a:lstStyle/>
        <a:p>
          <a:pPr algn="l" rtl="1">
            <a:defRPr sz="1000"/>
          </a:pPr>
          <a:r>
            <a:rPr lang="el-GR" altLang="ja-JP" sz="1200" b="1" i="0" strike="noStrike">
              <a:solidFill>
                <a:srgbClr val="000000"/>
              </a:solidFill>
              <a:latin typeface="Times New Roman"/>
              <a:cs typeface="Times New Roman"/>
            </a:rPr>
            <a:t>τ</a:t>
          </a:r>
          <a:r>
            <a:rPr lang="ja-JP" altLang="el-GR" sz="1000" b="0" i="0" strike="noStrike">
              <a:solidFill>
                <a:srgbClr val="000000"/>
              </a:solidFill>
              <a:latin typeface="ＭＳ Ｐゴシック"/>
              <a:ea typeface="ＭＳ Ｐゴシック"/>
            </a:rPr>
            <a:t>＝</a:t>
          </a:r>
        </a:p>
      </xdr:txBody>
    </xdr:sp>
    <xdr:clientData/>
  </xdr:twoCellAnchor>
  <xdr:twoCellAnchor>
    <xdr:from>
      <xdr:col>8</xdr:col>
      <xdr:colOff>228774</xdr:colOff>
      <xdr:row>434</xdr:row>
      <xdr:rowOff>12193</xdr:rowOff>
    </xdr:from>
    <xdr:to>
      <xdr:col>9</xdr:col>
      <xdr:colOff>133111</xdr:colOff>
      <xdr:row>434</xdr:row>
      <xdr:rowOff>185367</xdr:rowOff>
    </xdr:to>
    <xdr:sp macro="" textlink="">
      <xdr:nvSpPr>
        <xdr:cNvPr id="1470" name="Text Box 359"/>
        <xdr:cNvSpPr txBox="1">
          <a:spLocks noChangeArrowheads="1"/>
        </xdr:cNvSpPr>
      </xdr:nvSpPr>
      <xdr:spPr bwMode="auto">
        <a:xfrm>
          <a:off x="5105574" y="66153793"/>
          <a:ext cx="513937" cy="144599"/>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5</xdr:col>
      <xdr:colOff>4086</xdr:colOff>
      <xdr:row>434</xdr:row>
      <xdr:rowOff>89159</xdr:rowOff>
    </xdr:from>
    <xdr:to>
      <xdr:col>8</xdr:col>
      <xdr:colOff>257287</xdr:colOff>
      <xdr:row>434</xdr:row>
      <xdr:rowOff>89159</xdr:rowOff>
    </xdr:to>
    <xdr:sp macro="" textlink="">
      <xdr:nvSpPr>
        <xdr:cNvPr id="1471" name="Line 360"/>
        <xdr:cNvSpPr>
          <a:spLocks noChangeShapeType="1"/>
        </xdr:cNvSpPr>
      </xdr:nvSpPr>
      <xdr:spPr bwMode="auto">
        <a:xfrm>
          <a:off x="3052086" y="66230759"/>
          <a:ext cx="2082001" cy="0"/>
        </a:xfrm>
        <a:prstGeom prst="line">
          <a:avLst/>
        </a:prstGeom>
        <a:noFill/>
        <a:ln w="9525">
          <a:solidFill>
            <a:srgbClr val="000000"/>
          </a:solidFill>
          <a:round/>
          <a:headEnd/>
          <a:tailEnd/>
        </a:ln>
      </xdr:spPr>
    </xdr:sp>
    <xdr:clientData/>
  </xdr:twoCellAnchor>
  <xdr:twoCellAnchor>
    <xdr:from>
      <xdr:col>5</xdr:col>
      <xdr:colOff>175164</xdr:colOff>
      <xdr:row>434</xdr:row>
      <xdr:rowOff>41055</xdr:rowOff>
    </xdr:from>
    <xdr:to>
      <xdr:col>6</xdr:col>
      <xdr:colOff>222066</xdr:colOff>
      <xdr:row>435</xdr:row>
      <xdr:rowOff>91075</xdr:rowOff>
    </xdr:to>
    <xdr:sp macro="" textlink="">
      <xdr:nvSpPr>
        <xdr:cNvPr id="1472" name="Text Box 361"/>
        <xdr:cNvSpPr txBox="1">
          <a:spLocks noChangeArrowheads="1"/>
        </xdr:cNvSpPr>
      </xdr:nvSpPr>
      <xdr:spPr bwMode="auto">
        <a:xfrm>
          <a:off x="3223164" y="66182655"/>
          <a:ext cx="656502" cy="202420"/>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000" b="1" i="0" strike="noStrike">
              <a:solidFill>
                <a:srgbClr val="000000"/>
              </a:solidFill>
              <a:latin typeface="Times New Roman"/>
              <a:cs typeface="Times New Roman"/>
            </a:rPr>
            <a:t>L</a:t>
          </a:r>
          <a:r>
            <a:rPr lang="de-DE" altLang="ja-JP" sz="1100" b="1" i="0" strike="noStrike" baseline="-25000">
              <a:solidFill>
                <a:srgbClr val="000000"/>
              </a:solidFill>
              <a:latin typeface="Times New Roman"/>
              <a:cs typeface="Times New Roman"/>
            </a:rPr>
            <a:t>2</a:t>
          </a:r>
          <a:r>
            <a:rPr lang="ja-JP" altLang="de-DE" sz="900" b="0" i="0" strike="noStrike">
              <a:solidFill>
                <a:srgbClr val="000000"/>
              </a:solidFill>
              <a:latin typeface="ＭＳ Ｐ明朝"/>
              <a:ea typeface="ＭＳ Ｐ明朝"/>
            </a:rPr>
            <a:t>・</a:t>
          </a:r>
          <a:r>
            <a:rPr lang="de-DE" altLang="ja-JP" sz="1100" b="1" i="0" strike="noStrike">
              <a:solidFill>
                <a:srgbClr val="000000"/>
              </a:solidFill>
              <a:latin typeface="Times New Roman"/>
              <a:cs typeface="Times New Roman"/>
            </a:rPr>
            <a:t>n</a:t>
          </a:r>
          <a:r>
            <a:rPr lang="de-DE" altLang="ja-JP" sz="900" b="1" i="0" strike="noStrike" baseline="-25000">
              <a:solidFill>
                <a:srgbClr val="000000"/>
              </a:solidFill>
              <a:latin typeface="Times New Roman"/>
              <a:cs typeface="Times New Roman"/>
            </a:rPr>
            <a:t>H</a:t>
          </a:r>
        </a:p>
      </xdr:txBody>
    </xdr:sp>
    <xdr:clientData/>
  </xdr:twoCellAnchor>
  <xdr:twoCellAnchor>
    <xdr:from>
      <xdr:col>4</xdr:col>
      <xdr:colOff>90245</xdr:colOff>
      <xdr:row>429</xdr:row>
      <xdr:rowOff>2613</xdr:rowOff>
    </xdr:from>
    <xdr:to>
      <xdr:col>4</xdr:col>
      <xdr:colOff>280332</xdr:colOff>
      <xdr:row>429</xdr:row>
      <xdr:rowOff>185408</xdr:rowOff>
    </xdr:to>
    <xdr:sp macro="" textlink="">
      <xdr:nvSpPr>
        <xdr:cNvPr id="1473" name="Text Box 362"/>
        <xdr:cNvSpPr txBox="1">
          <a:spLocks noChangeArrowheads="1"/>
        </xdr:cNvSpPr>
      </xdr:nvSpPr>
      <xdr:spPr bwMode="auto">
        <a:xfrm>
          <a:off x="2528645" y="65382213"/>
          <a:ext cx="190087" cy="15422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9</xdr:col>
      <xdr:colOff>285180</xdr:colOff>
      <xdr:row>436</xdr:row>
      <xdr:rowOff>92991</xdr:rowOff>
    </xdr:from>
    <xdr:to>
      <xdr:col>12</xdr:col>
      <xdr:colOff>286294</xdr:colOff>
      <xdr:row>436</xdr:row>
      <xdr:rowOff>92991</xdr:rowOff>
    </xdr:to>
    <xdr:sp macro="" textlink="">
      <xdr:nvSpPr>
        <xdr:cNvPr id="1474" name="Line 363"/>
        <xdr:cNvSpPr>
          <a:spLocks noChangeShapeType="1"/>
        </xdr:cNvSpPr>
      </xdr:nvSpPr>
      <xdr:spPr bwMode="auto">
        <a:xfrm>
          <a:off x="5771580" y="66539391"/>
          <a:ext cx="1829914" cy="0"/>
        </a:xfrm>
        <a:prstGeom prst="line">
          <a:avLst/>
        </a:prstGeom>
        <a:noFill/>
        <a:ln w="9525">
          <a:solidFill>
            <a:srgbClr val="000000"/>
          </a:solidFill>
          <a:round/>
          <a:headEnd/>
          <a:tailEnd/>
        </a:ln>
      </xdr:spPr>
    </xdr:sp>
    <xdr:clientData/>
  </xdr:twoCellAnchor>
  <xdr:twoCellAnchor>
    <xdr:from>
      <xdr:col>5</xdr:col>
      <xdr:colOff>4086</xdr:colOff>
      <xdr:row>436</xdr:row>
      <xdr:rowOff>92991</xdr:rowOff>
    </xdr:from>
    <xdr:to>
      <xdr:col>9</xdr:col>
      <xdr:colOff>133111</xdr:colOff>
      <xdr:row>436</xdr:row>
      <xdr:rowOff>92991</xdr:rowOff>
    </xdr:to>
    <xdr:sp macro="" textlink="">
      <xdr:nvSpPr>
        <xdr:cNvPr id="1475" name="Line 364"/>
        <xdr:cNvSpPr>
          <a:spLocks noChangeShapeType="1"/>
        </xdr:cNvSpPr>
      </xdr:nvSpPr>
      <xdr:spPr bwMode="auto">
        <a:xfrm>
          <a:off x="3052086" y="66539391"/>
          <a:ext cx="2567425" cy="0"/>
        </a:xfrm>
        <a:prstGeom prst="line">
          <a:avLst/>
        </a:prstGeom>
        <a:noFill/>
        <a:ln w="9525">
          <a:solidFill>
            <a:srgbClr val="000000"/>
          </a:solidFill>
          <a:round/>
          <a:headEnd/>
          <a:tailEnd/>
        </a:ln>
      </xdr:spPr>
    </xdr:sp>
    <xdr:clientData/>
  </xdr:twoCellAnchor>
  <xdr:twoCellAnchor>
    <xdr:from>
      <xdr:col>14</xdr:col>
      <xdr:colOff>211464</xdr:colOff>
      <xdr:row>431</xdr:row>
      <xdr:rowOff>112273</xdr:rowOff>
    </xdr:from>
    <xdr:to>
      <xdr:col>15</xdr:col>
      <xdr:colOff>93820</xdr:colOff>
      <xdr:row>432</xdr:row>
      <xdr:rowOff>114189</xdr:rowOff>
    </xdr:to>
    <xdr:sp macro="" textlink="">
      <xdr:nvSpPr>
        <xdr:cNvPr id="1476" name="Text Box 365"/>
        <xdr:cNvSpPr txBox="1">
          <a:spLocks noChangeArrowheads="1"/>
        </xdr:cNvSpPr>
      </xdr:nvSpPr>
      <xdr:spPr bwMode="auto">
        <a:xfrm>
          <a:off x="8745864" y="65796673"/>
          <a:ext cx="491956" cy="15431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15</xdr:col>
      <xdr:colOff>85485</xdr:colOff>
      <xdr:row>429</xdr:row>
      <xdr:rowOff>60338</xdr:rowOff>
    </xdr:from>
    <xdr:to>
      <xdr:col>24</xdr:col>
      <xdr:colOff>74157</xdr:colOff>
      <xdr:row>430</xdr:row>
      <xdr:rowOff>62254</xdr:rowOff>
    </xdr:to>
    <xdr:grpSp>
      <xdr:nvGrpSpPr>
        <xdr:cNvPr id="1477" name="Group 366"/>
        <xdr:cNvGrpSpPr>
          <a:grpSpLocks/>
        </xdr:cNvGrpSpPr>
      </xdr:nvGrpSpPr>
      <xdr:grpSpPr bwMode="auto">
        <a:xfrm>
          <a:off x="3903423" y="75339588"/>
          <a:ext cx="1385672" cy="192416"/>
          <a:chOff x="391" y="883"/>
          <a:chExt cx="99" cy="20"/>
        </a:xfrm>
      </xdr:grpSpPr>
      <xdr:sp macro="" textlink="">
        <xdr:nvSpPr>
          <xdr:cNvPr id="1478" name="Line 367"/>
          <xdr:cNvSpPr>
            <a:spLocks noChangeShapeType="1"/>
          </xdr:cNvSpPr>
        </xdr:nvSpPr>
        <xdr:spPr bwMode="auto">
          <a:xfrm>
            <a:off x="391" y="897"/>
            <a:ext cx="2" cy="6"/>
          </a:xfrm>
          <a:prstGeom prst="line">
            <a:avLst/>
          </a:prstGeom>
          <a:noFill/>
          <a:ln w="12700">
            <a:solidFill>
              <a:srgbClr val="000000"/>
            </a:solidFill>
            <a:round/>
            <a:headEnd/>
            <a:tailEnd/>
          </a:ln>
        </xdr:spPr>
      </xdr:sp>
      <xdr:sp macro="" textlink="">
        <xdr:nvSpPr>
          <xdr:cNvPr id="1479" name="Line 368"/>
          <xdr:cNvSpPr>
            <a:spLocks noChangeShapeType="1"/>
          </xdr:cNvSpPr>
        </xdr:nvSpPr>
        <xdr:spPr bwMode="auto">
          <a:xfrm flipV="1">
            <a:off x="393" y="883"/>
            <a:ext cx="5" cy="19"/>
          </a:xfrm>
          <a:prstGeom prst="line">
            <a:avLst/>
          </a:prstGeom>
          <a:noFill/>
          <a:ln w="6350">
            <a:solidFill>
              <a:srgbClr val="000000"/>
            </a:solidFill>
            <a:round/>
            <a:headEnd/>
            <a:tailEnd/>
          </a:ln>
        </xdr:spPr>
      </xdr:sp>
      <xdr:sp macro="" textlink="">
        <xdr:nvSpPr>
          <xdr:cNvPr id="1480" name="Line 369"/>
          <xdr:cNvSpPr>
            <a:spLocks noChangeShapeType="1"/>
          </xdr:cNvSpPr>
        </xdr:nvSpPr>
        <xdr:spPr bwMode="auto">
          <a:xfrm>
            <a:off x="398" y="883"/>
            <a:ext cx="92" cy="0"/>
          </a:xfrm>
          <a:prstGeom prst="line">
            <a:avLst/>
          </a:prstGeom>
          <a:noFill/>
          <a:ln w="6350">
            <a:solidFill>
              <a:srgbClr val="000000"/>
            </a:solidFill>
            <a:round/>
            <a:headEnd/>
            <a:tailEnd/>
          </a:ln>
        </xdr:spPr>
      </xdr:sp>
    </xdr:grpSp>
    <xdr:clientData/>
  </xdr:twoCellAnchor>
  <xdr:twoCellAnchor>
    <xdr:from>
      <xdr:col>18</xdr:col>
      <xdr:colOff>16692</xdr:colOff>
      <xdr:row>428</xdr:row>
      <xdr:rowOff>48801</xdr:rowOff>
    </xdr:from>
    <xdr:to>
      <xdr:col>19</xdr:col>
      <xdr:colOff>73305</xdr:colOff>
      <xdr:row>429</xdr:row>
      <xdr:rowOff>60338</xdr:rowOff>
    </xdr:to>
    <xdr:sp macro="" textlink="">
      <xdr:nvSpPr>
        <xdr:cNvPr id="1481" name="Text Box 370"/>
        <xdr:cNvSpPr txBox="1">
          <a:spLocks noChangeArrowheads="1"/>
        </xdr:cNvSpPr>
      </xdr:nvSpPr>
      <xdr:spPr bwMode="auto">
        <a:xfrm>
          <a:off x="10989492" y="65276001"/>
          <a:ext cx="666213" cy="163937"/>
        </a:xfrm>
        <a:prstGeom prst="rect">
          <a:avLst/>
        </a:prstGeom>
        <a:noFill/>
        <a:ln w="9525">
          <a:noFill/>
          <a:miter lim="800000"/>
          <a:headEnd/>
          <a:tailEnd/>
        </a:ln>
      </xdr:spPr>
      <xdr:txBody>
        <a:bodyPr wrap="none" lIns="18288" tIns="22860" rIns="0" bIns="0" anchor="t" upright="1">
          <a:noAutofit/>
        </a:bodyPr>
        <a:lstStyle/>
        <a:p>
          <a:pPr algn="l" rtl="1">
            <a:defRPr sz="1000"/>
          </a:pPr>
          <a:r>
            <a:rPr lang="de-DE" altLang="ja-JP" sz="1100" b="1" i="0" strike="noStrike">
              <a:solidFill>
                <a:srgbClr val="000000"/>
              </a:solidFill>
              <a:latin typeface="Times New Roman"/>
              <a:cs typeface="Times New Roman"/>
            </a:rPr>
            <a:t>n</a:t>
          </a:r>
          <a:r>
            <a:rPr lang="ja-JP" altLang="de-DE" sz="900" b="1" i="0" strike="noStrike">
              <a:solidFill>
                <a:srgbClr val="000000"/>
              </a:solidFill>
              <a:latin typeface="ＭＳ Ｐ明朝"/>
              <a:ea typeface="ＭＳ Ｐ明朝"/>
            </a:rPr>
            <a:t>・</a:t>
          </a:r>
          <a:r>
            <a:rPr lang="de-DE" altLang="ja-JP" sz="1000" b="1" i="0" strike="noStrike">
              <a:solidFill>
                <a:srgbClr val="000000"/>
              </a:solidFill>
              <a:latin typeface="Times New Roman"/>
              <a:cs typeface="Times New Roman"/>
            </a:rPr>
            <a:t>A</a:t>
          </a:r>
        </a:p>
      </xdr:txBody>
    </xdr:sp>
    <xdr:clientData/>
  </xdr:twoCellAnchor>
  <xdr:twoCellAnchor>
    <xdr:from>
      <xdr:col>4</xdr:col>
      <xdr:colOff>90245</xdr:colOff>
      <xdr:row>430</xdr:row>
      <xdr:rowOff>139220</xdr:rowOff>
    </xdr:from>
    <xdr:to>
      <xdr:col>4</xdr:col>
      <xdr:colOff>280332</xdr:colOff>
      <xdr:row>431</xdr:row>
      <xdr:rowOff>141136</xdr:rowOff>
    </xdr:to>
    <xdr:sp macro="" textlink="">
      <xdr:nvSpPr>
        <xdr:cNvPr id="1482" name="Text Box 371"/>
        <xdr:cNvSpPr txBox="1">
          <a:spLocks noChangeArrowheads="1"/>
        </xdr:cNvSpPr>
      </xdr:nvSpPr>
      <xdr:spPr bwMode="auto">
        <a:xfrm>
          <a:off x="2528645" y="65671220"/>
          <a:ext cx="190087" cy="154316"/>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Ｐゴシック"/>
              <a:ea typeface="ＭＳ Ｐゴシック"/>
            </a:rPr>
            <a:t>＝</a:t>
          </a:r>
        </a:p>
      </xdr:txBody>
    </xdr:sp>
    <xdr:clientData/>
  </xdr:twoCellAnchor>
  <xdr:twoCellAnchor>
    <xdr:from>
      <xdr:col>8</xdr:col>
      <xdr:colOff>181252</xdr:colOff>
      <xdr:row>429</xdr:row>
      <xdr:rowOff>79579</xdr:rowOff>
    </xdr:from>
    <xdr:to>
      <xdr:col>11</xdr:col>
      <xdr:colOff>131872</xdr:colOff>
      <xdr:row>429</xdr:row>
      <xdr:rowOff>79579</xdr:rowOff>
    </xdr:to>
    <xdr:sp macro="" textlink="">
      <xdr:nvSpPr>
        <xdr:cNvPr id="1483" name="Line 372"/>
        <xdr:cNvSpPr>
          <a:spLocks noChangeShapeType="1"/>
        </xdr:cNvSpPr>
      </xdr:nvSpPr>
      <xdr:spPr bwMode="auto">
        <a:xfrm>
          <a:off x="5058052" y="65459179"/>
          <a:ext cx="1779420" cy="0"/>
        </a:xfrm>
        <a:prstGeom prst="line">
          <a:avLst/>
        </a:prstGeom>
        <a:noFill/>
        <a:ln w="9525">
          <a:solidFill>
            <a:srgbClr val="000000"/>
          </a:solidFill>
          <a:round/>
          <a:headEnd/>
          <a:tailEnd/>
        </a:ln>
      </xdr:spPr>
    </xdr:sp>
    <xdr:clientData/>
  </xdr:twoCellAnchor>
  <xdr:twoCellAnchor>
    <xdr:from>
      <xdr:col>25</xdr:col>
      <xdr:colOff>116172</xdr:colOff>
      <xdr:row>390</xdr:row>
      <xdr:rowOff>94898</xdr:rowOff>
    </xdr:from>
    <xdr:to>
      <xdr:col>25</xdr:col>
      <xdr:colOff>154189</xdr:colOff>
      <xdr:row>390</xdr:row>
      <xdr:rowOff>133381</xdr:rowOff>
    </xdr:to>
    <xdr:sp macro="" textlink="">
      <xdr:nvSpPr>
        <xdr:cNvPr id="1484" name="Oval 374"/>
        <xdr:cNvSpPr>
          <a:spLocks noChangeArrowheads="1"/>
        </xdr:cNvSpPr>
      </xdr:nvSpPr>
      <xdr:spPr bwMode="auto">
        <a:xfrm>
          <a:off x="15356172" y="59530898"/>
          <a:ext cx="38017" cy="38483"/>
        </a:xfrm>
        <a:prstGeom prst="ellipse">
          <a:avLst/>
        </a:prstGeom>
        <a:noFill/>
        <a:ln w="9525">
          <a:solidFill>
            <a:srgbClr val="000000"/>
          </a:solidFill>
          <a:round/>
          <a:headEnd/>
          <a:tailEnd/>
        </a:ln>
      </xdr:spPr>
    </xdr:sp>
    <xdr:clientData/>
  </xdr:twoCellAnchor>
  <xdr:twoCellAnchor>
    <xdr:from>
      <xdr:col>14</xdr:col>
      <xdr:colOff>248273</xdr:colOff>
      <xdr:row>24</xdr:row>
      <xdr:rowOff>99429</xdr:rowOff>
    </xdr:from>
    <xdr:to>
      <xdr:col>25</xdr:col>
      <xdr:colOff>78442</xdr:colOff>
      <xdr:row>24</xdr:row>
      <xdr:rowOff>99429</xdr:rowOff>
    </xdr:to>
    <xdr:sp macro="" textlink="">
      <xdr:nvSpPr>
        <xdr:cNvPr id="1485" name="Line 132"/>
        <xdr:cNvSpPr>
          <a:spLocks noChangeShapeType="1"/>
        </xdr:cNvSpPr>
      </xdr:nvSpPr>
      <xdr:spPr bwMode="auto">
        <a:xfrm>
          <a:off x="3796336" y="4560304"/>
          <a:ext cx="1766919" cy="0"/>
        </a:xfrm>
        <a:prstGeom prst="line">
          <a:avLst/>
        </a:prstGeom>
        <a:noFill/>
        <a:ln w="3175">
          <a:solidFill>
            <a:srgbClr val="000000"/>
          </a:solidFill>
          <a:prstDash val="lgDashDot"/>
          <a:round/>
          <a:headEnd/>
          <a:tailEnd/>
        </a:ln>
      </xdr:spPr>
    </xdr:sp>
    <xdr:clientData/>
  </xdr:twoCellAnchor>
  <xdr:twoCellAnchor>
    <xdr:from>
      <xdr:col>20</xdr:col>
      <xdr:colOff>112535</xdr:colOff>
      <xdr:row>24</xdr:row>
      <xdr:rowOff>80323</xdr:rowOff>
    </xdr:from>
    <xdr:to>
      <xdr:col>21</xdr:col>
      <xdr:colOff>42593</xdr:colOff>
      <xdr:row>24</xdr:row>
      <xdr:rowOff>126042</xdr:rowOff>
    </xdr:to>
    <xdr:sp macro="" textlink="">
      <xdr:nvSpPr>
        <xdr:cNvPr id="1486" name="Oval 144"/>
        <xdr:cNvSpPr>
          <a:spLocks noChangeArrowheads="1"/>
        </xdr:cNvSpPr>
      </xdr:nvSpPr>
      <xdr:spPr bwMode="auto">
        <a:xfrm flipH="1">
          <a:off x="12304535" y="3737923"/>
          <a:ext cx="539658" cy="45719"/>
        </a:xfrm>
        <a:prstGeom prst="ellipse">
          <a:avLst/>
        </a:prstGeom>
        <a:noFill/>
        <a:ln w="9525">
          <a:solidFill>
            <a:srgbClr val="000000"/>
          </a:solidFill>
          <a:round/>
          <a:headEnd/>
          <a:tailEnd/>
        </a:ln>
      </xdr:spPr>
    </xdr:sp>
    <xdr:clientData/>
  </xdr:twoCellAnchor>
  <xdr:twoCellAnchor>
    <xdr:from>
      <xdr:col>20</xdr:col>
      <xdr:colOff>112535</xdr:colOff>
      <xdr:row>21</xdr:row>
      <xdr:rowOff>30905</xdr:rowOff>
    </xdr:from>
    <xdr:to>
      <xdr:col>21</xdr:col>
      <xdr:colOff>42593</xdr:colOff>
      <xdr:row>21</xdr:row>
      <xdr:rowOff>76624</xdr:rowOff>
    </xdr:to>
    <xdr:sp macro="" textlink="">
      <xdr:nvSpPr>
        <xdr:cNvPr id="1487" name="Oval 147"/>
        <xdr:cNvSpPr>
          <a:spLocks noChangeArrowheads="1"/>
        </xdr:cNvSpPr>
      </xdr:nvSpPr>
      <xdr:spPr bwMode="auto">
        <a:xfrm flipH="1">
          <a:off x="12304535" y="3231305"/>
          <a:ext cx="539658" cy="45719"/>
        </a:xfrm>
        <a:prstGeom prst="ellipse">
          <a:avLst/>
        </a:prstGeom>
        <a:noFill/>
        <a:ln w="9525">
          <a:solidFill>
            <a:srgbClr val="000000"/>
          </a:solidFill>
          <a:round/>
          <a:headEnd/>
          <a:tailEnd/>
        </a:ln>
      </xdr:spPr>
    </xdr:sp>
    <xdr:clientData/>
  </xdr:twoCellAnchor>
  <xdr:twoCellAnchor>
    <xdr:from>
      <xdr:col>25</xdr:col>
      <xdr:colOff>117498</xdr:colOff>
      <xdr:row>401</xdr:row>
      <xdr:rowOff>95051</xdr:rowOff>
    </xdr:from>
    <xdr:to>
      <xdr:col>25</xdr:col>
      <xdr:colOff>155515</xdr:colOff>
      <xdr:row>401</xdr:row>
      <xdr:rowOff>133534</xdr:rowOff>
    </xdr:to>
    <xdr:sp macro="" textlink="">
      <xdr:nvSpPr>
        <xdr:cNvPr id="1488" name="Oval 41"/>
        <xdr:cNvSpPr>
          <a:spLocks noChangeArrowheads="1"/>
        </xdr:cNvSpPr>
      </xdr:nvSpPr>
      <xdr:spPr bwMode="auto">
        <a:xfrm>
          <a:off x="15357498" y="61207451"/>
          <a:ext cx="38017" cy="38483"/>
        </a:xfrm>
        <a:prstGeom prst="ellips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142876</xdr:colOff>
      <xdr:row>3</xdr:row>
      <xdr:rowOff>65942</xdr:rowOff>
    </xdr:from>
    <xdr:to>
      <xdr:col>25</xdr:col>
      <xdr:colOff>246229</xdr:colOff>
      <xdr:row>3</xdr:row>
      <xdr:rowOff>65942</xdr:rowOff>
    </xdr:to>
    <xdr:sp macro="" textlink="">
      <xdr:nvSpPr>
        <xdr:cNvPr id="2" name="Line 7"/>
        <xdr:cNvSpPr>
          <a:spLocks noChangeShapeType="1"/>
        </xdr:cNvSpPr>
      </xdr:nvSpPr>
      <xdr:spPr bwMode="auto">
        <a:xfrm>
          <a:off x="238126" y="623835"/>
          <a:ext cx="6682407" cy="0"/>
        </a:xfrm>
        <a:prstGeom prst="line">
          <a:avLst/>
        </a:prstGeom>
        <a:noFill/>
        <a:ln w="57150" cmpd="thinThick">
          <a:solidFill>
            <a:srgbClr val="000000"/>
          </a:solidFill>
          <a:round/>
          <a:headEnd/>
          <a:tailEnd/>
        </a:ln>
      </xdr:spPr>
    </xdr:sp>
    <xdr:clientData/>
  </xdr:twoCellAnchor>
  <xdr:twoCellAnchor>
    <xdr:from>
      <xdr:col>2</xdr:col>
      <xdr:colOff>0</xdr:colOff>
      <xdr:row>51</xdr:row>
      <xdr:rowOff>0</xdr:rowOff>
    </xdr:from>
    <xdr:to>
      <xdr:col>25</xdr:col>
      <xdr:colOff>268214</xdr:colOff>
      <xdr:row>51</xdr:row>
      <xdr:rowOff>0</xdr:rowOff>
    </xdr:to>
    <xdr:sp macro="" textlink="">
      <xdr:nvSpPr>
        <xdr:cNvPr id="3" name="Line 8"/>
        <xdr:cNvSpPr>
          <a:spLocks noChangeShapeType="1"/>
        </xdr:cNvSpPr>
      </xdr:nvSpPr>
      <xdr:spPr bwMode="auto">
        <a:xfrm>
          <a:off x="1219200" y="7772400"/>
          <a:ext cx="14289014" cy="0"/>
        </a:xfrm>
        <a:prstGeom prst="line">
          <a:avLst/>
        </a:prstGeom>
        <a:noFill/>
        <a:ln w="57150" cmpd="thickThin">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0</xdr:colOff>
      <xdr:row>69</xdr:row>
      <xdr:rowOff>161192</xdr:rowOff>
    </xdr:from>
    <xdr:to>
      <xdr:col>25</xdr:col>
      <xdr:colOff>87546</xdr:colOff>
      <xdr:row>74</xdr:row>
      <xdr:rowOff>91501</xdr:rowOff>
    </xdr:to>
    <xdr:grpSp>
      <xdr:nvGrpSpPr>
        <xdr:cNvPr id="2" name="グループ化 1"/>
        <xdr:cNvGrpSpPr/>
      </xdr:nvGrpSpPr>
      <xdr:grpSpPr>
        <a:xfrm>
          <a:off x="4081096" y="11298115"/>
          <a:ext cx="2205027" cy="772905"/>
          <a:chOff x="4143246" y="3655594"/>
          <a:chExt cx="2205027" cy="772905"/>
        </a:xfrm>
      </xdr:grpSpPr>
      <xdr:grpSp>
        <xdr:nvGrpSpPr>
          <xdr:cNvPr id="3" name="Group 189"/>
          <xdr:cNvGrpSpPr>
            <a:grpSpLocks/>
          </xdr:cNvGrpSpPr>
        </xdr:nvGrpSpPr>
        <xdr:grpSpPr bwMode="auto">
          <a:xfrm>
            <a:off x="4143246" y="3655594"/>
            <a:ext cx="867083" cy="772905"/>
            <a:chOff x="451" y="397"/>
            <a:chExt cx="89" cy="80"/>
          </a:xfrm>
        </xdr:grpSpPr>
        <xdr:sp macro="" textlink="">
          <xdr:nvSpPr>
            <xdr:cNvPr id="19" name="Rectangle 36"/>
            <xdr:cNvSpPr>
              <a:spLocks noChangeArrowheads="1"/>
            </xdr:cNvSpPr>
          </xdr:nvSpPr>
          <xdr:spPr bwMode="auto">
            <a:xfrm>
              <a:off x="470" y="444"/>
              <a:ext cx="13" cy="18"/>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Rectangle 37"/>
            <xdr:cNvSpPr>
              <a:spLocks noChangeArrowheads="1"/>
            </xdr:cNvSpPr>
          </xdr:nvSpPr>
          <xdr:spPr bwMode="auto">
            <a:xfrm>
              <a:off x="470" y="412"/>
              <a:ext cx="13" cy="18"/>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Line 38"/>
            <xdr:cNvSpPr>
              <a:spLocks noChangeShapeType="1"/>
            </xdr:cNvSpPr>
          </xdr:nvSpPr>
          <xdr:spPr bwMode="auto">
            <a:xfrm>
              <a:off x="477" y="398"/>
              <a:ext cx="0" cy="14"/>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Line 39"/>
            <xdr:cNvSpPr>
              <a:spLocks noChangeShapeType="1"/>
            </xdr:cNvSpPr>
          </xdr:nvSpPr>
          <xdr:spPr bwMode="auto">
            <a:xfrm>
              <a:off x="477" y="430"/>
              <a:ext cx="0" cy="14"/>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40"/>
            <xdr:cNvSpPr>
              <a:spLocks noChangeShapeType="1"/>
            </xdr:cNvSpPr>
          </xdr:nvSpPr>
          <xdr:spPr bwMode="auto">
            <a:xfrm>
              <a:off x="477" y="463"/>
              <a:ext cx="0" cy="13"/>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41"/>
            <xdr:cNvSpPr>
              <a:spLocks noChangeShapeType="1"/>
            </xdr:cNvSpPr>
          </xdr:nvSpPr>
          <xdr:spPr bwMode="auto">
            <a:xfrm>
              <a:off x="452" y="476"/>
              <a:ext cx="87"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5" name="Line 42"/>
            <xdr:cNvSpPr>
              <a:spLocks noChangeShapeType="1"/>
            </xdr:cNvSpPr>
          </xdr:nvSpPr>
          <xdr:spPr bwMode="auto">
            <a:xfrm>
              <a:off x="451" y="398"/>
              <a:ext cx="8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Line 43"/>
            <xdr:cNvSpPr>
              <a:spLocks noChangeShapeType="1"/>
            </xdr:cNvSpPr>
          </xdr:nvSpPr>
          <xdr:spPr bwMode="auto">
            <a:xfrm>
              <a:off x="488" y="438"/>
              <a:ext cx="51"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44"/>
            <xdr:cNvSpPr>
              <a:spLocks noChangeShapeType="1"/>
            </xdr:cNvSpPr>
          </xdr:nvSpPr>
          <xdr:spPr bwMode="auto">
            <a:xfrm>
              <a:off x="520" y="437"/>
              <a:ext cx="0" cy="4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sp macro="" textlink="">
          <xdr:nvSpPr>
            <xdr:cNvPr id="28" name="Line 45"/>
            <xdr:cNvSpPr>
              <a:spLocks noChangeShapeType="1"/>
            </xdr:cNvSpPr>
          </xdr:nvSpPr>
          <xdr:spPr bwMode="auto">
            <a:xfrm>
              <a:off x="520" y="397"/>
              <a:ext cx="0" cy="41"/>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sp macro="" textlink="">
          <xdr:nvSpPr>
            <xdr:cNvPr id="29" name="Text Box 46"/>
            <xdr:cNvSpPr txBox="1">
              <a:spLocks noChangeArrowheads="1"/>
            </xdr:cNvSpPr>
          </xdr:nvSpPr>
          <xdr:spPr bwMode="auto">
            <a:xfrm>
              <a:off x="489" y="439"/>
              <a:ext cx="18" cy="22"/>
            </a:xfrm>
            <a:prstGeom prst="rect">
              <a:avLst/>
            </a:prstGeom>
            <a:noFill/>
            <a:ln w="9525">
              <a:noFill/>
              <a:miter lim="800000"/>
              <a:headEnd/>
              <a:tailEnd/>
            </a:ln>
          </xdr:spPr>
          <xdr:txBody>
            <a:bodyPr wrap="none" lIns="27432" tIns="32004" rIns="0" bIns="0" anchor="t" upright="1">
              <a:spAutoFit/>
            </a:bodyPr>
            <a:lstStyle/>
            <a:p>
              <a:pPr algn="l" rtl="0">
                <a:defRPr sz="1000"/>
              </a:pPr>
              <a:r>
                <a:rPr lang="en-US" altLang="ja-JP" sz="1100" b="0" i="0" strike="noStrike">
                  <a:solidFill>
                    <a:srgbClr val="000000"/>
                  </a:solidFill>
                  <a:latin typeface="Times New Roman"/>
                  <a:cs typeface="Times New Roman"/>
                </a:rPr>
                <a:t>Z</a:t>
              </a:r>
              <a:r>
                <a:rPr lang="en-US" altLang="ja-JP" sz="1200" b="0" i="0" strike="noStrike" baseline="-25000">
                  <a:solidFill>
                    <a:srgbClr val="000000"/>
                  </a:solidFill>
                  <a:latin typeface="Times New Roman"/>
                  <a:cs typeface="Times New Roman"/>
                </a:rPr>
                <a:t>2</a:t>
              </a:r>
            </a:p>
          </xdr:txBody>
        </xdr:sp>
        <xdr:sp macro="" textlink="">
          <xdr:nvSpPr>
            <xdr:cNvPr id="30" name="Text Box 47"/>
            <xdr:cNvSpPr txBox="1">
              <a:spLocks noChangeArrowheads="1"/>
            </xdr:cNvSpPr>
          </xdr:nvSpPr>
          <xdr:spPr bwMode="auto">
            <a:xfrm>
              <a:off x="522" y="448"/>
              <a:ext cx="18" cy="22"/>
            </a:xfrm>
            <a:prstGeom prst="rect">
              <a:avLst/>
            </a:prstGeom>
            <a:noFill/>
            <a:ln w="9525">
              <a:noFill/>
              <a:miter lim="800000"/>
              <a:headEnd/>
              <a:tailEnd/>
            </a:ln>
          </xdr:spPr>
          <xdr:txBody>
            <a:bodyPr wrap="none" lIns="27432" tIns="32004" rIns="0" bIns="0" anchor="t" upright="1">
              <a:spAutoFit/>
            </a:bodyPr>
            <a:lstStyle/>
            <a:p>
              <a:pPr algn="l" rtl="0">
                <a:defRPr sz="1000"/>
              </a:pPr>
              <a:r>
                <a:rPr lang="en-US" altLang="ja-JP" sz="1100" b="0" i="0" strike="noStrike">
                  <a:solidFill>
                    <a:srgbClr val="000000"/>
                  </a:solidFill>
                  <a:latin typeface="Times New Roman"/>
                  <a:cs typeface="Times New Roman"/>
                </a:rPr>
                <a:t>E</a:t>
              </a:r>
              <a:r>
                <a:rPr lang="en-US" altLang="ja-JP" sz="1200" b="0" i="0" strike="noStrike" baseline="-25000">
                  <a:solidFill>
                    <a:srgbClr val="000000"/>
                  </a:solidFill>
                  <a:latin typeface="Times New Roman"/>
                  <a:cs typeface="Times New Roman"/>
                </a:rPr>
                <a:t>2</a:t>
              </a:r>
            </a:p>
          </xdr:txBody>
        </xdr:sp>
        <xdr:sp macro="" textlink="">
          <xdr:nvSpPr>
            <xdr:cNvPr id="31" name="Text Box 48"/>
            <xdr:cNvSpPr txBox="1">
              <a:spLocks noChangeArrowheads="1"/>
            </xdr:cNvSpPr>
          </xdr:nvSpPr>
          <xdr:spPr bwMode="auto">
            <a:xfrm>
              <a:off x="489" y="408"/>
              <a:ext cx="18" cy="22"/>
            </a:xfrm>
            <a:prstGeom prst="rect">
              <a:avLst/>
            </a:prstGeom>
            <a:noFill/>
            <a:ln w="9525">
              <a:noFill/>
              <a:miter lim="800000"/>
              <a:headEnd/>
              <a:tailEnd/>
            </a:ln>
          </xdr:spPr>
          <xdr:txBody>
            <a:bodyPr wrap="none" lIns="27432" tIns="32004" rIns="0" bIns="0" anchor="t" upright="1">
              <a:spAutoFit/>
            </a:bodyPr>
            <a:lstStyle/>
            <a:p>
              <a:pPr algn="l" rtl="0">
                <a:defRPr sz="1000"/>
              </a:pPr>
              <a:r>
                <a:rPr lang="en-US" altLang="ja-JP" sz="1100" b="0" i="0" strike="noStrike">
                  <a:solidFill>
                    <a:srgbClr val="000000"/>
                  </a:solidFill>
                  <a:latin typeface="Times New Roman"/>
                  <a:cs typeface="Times New Roman"/>
                </a:rPr>
                <a:t>Z</a:t>
              </a:r>
              <a:r>
                <a:rPr lang="en-US" altLang="ja-JP" sz="1200" b="0" i="0" strike="noStrike" baseline="-25000">
                  <a:solidFill>
                    <a:srgbClr val="000000"/>
                  </a:solidFill>
                  <a:latin typeface="Times New Roman"/>
                  <a:cs typeface="Times New Roman"/>
                </a:rPr>
                <a:t>1</a:t>
              </a:r>
            </a:p>
          </xdr:txBody>
        </xdr:sp>
        <xdr:sp macro="" textlink="">
          <xdr:nvSpPr>
            <xdr:cNvPr id="32" name="Text Box 49"/>
            <xdr:cNvSpPr txBox="1">
              <a:spLocks noChangeArrowheads="1"/>
            </xdr:cNvSpPr>
          </xdr:nvSpPr>
          <xdr:spPr bwMode="auto">
            <a:xfrm>
              <a:off x="522" y="408"/>
              <a:ext cx="18" cy="22"/>
            </a:xfrm>
            <a:prstGeom prst="rect">
              <a:avLst/>
            </a:prstGeom>
            <a:noFill/>
            <a:ln w="9525">
              <a:noFill/>
              <a:miter lim="800000"/>
              <a:headEnd/>
              <a:tailEnd/>
            </a:ln>
          </xdr:spPr>
          <xdr:txBody>
            <a:bodyPr wrap="none" lIns="27432" tIns="32004" rIns="0" bIns="0" anchor="t" upright="1">
              <a:spAutoFit/>
            </a:bodyPr>
            <a:lstStyle/>
            <a:p>
              <a:pPr algn="l" rtl="0">
                <a:defRPr sz="1000"/>
              </a:pPr>
              <a:r>
                <a:rPr lang="en-US" altLang="ja-JP" sz="1100" b="0" i="0" strike="noStrike">
                  <a:solidFill>
                    <a:srgbClr val="000000"/>
                  </a:solidFill>
                  <a:latin typeface="Times New Roman"/>
                  <a:cs typeface="Times New Roman"/>
                </a:rPr>
                <a:t>E</a:t>
              </a:r>
              <a:r>
                <a:rPr lang="en-US" altLang="ja-JP" sz="1200" b="0" i="0" strike="noStrike" baseline="-25000">
                  <a:solidFill>
                    <a:srgbClr val="000000"/>
                  </a:solidFill>
                  <a:latin typeface="Times New Roman"/>
                  <a:cs typeface="Times New Roman"/>
                </a:rPr>
                <a:t>1</a:t>
              </a:r>
            </a:p>
          </xdr:txBody>
        </xdr:sp>
      </xdr:grpSp>
      <xdr:grpSp>
        <xdr:nvGrpSpPr>
          <xdr:cNvPr id="4" name="Group 190"/>
          <xdr:cNvGrpSpPr>
            <a:grpSpLocks/>
          </xdr:cNvGrpSpPr>
        </xdr:nvGrpSpPr>
        <xdr:grpSpPr bwMode="auto">
          <a:xfrm>
            <a:off x="5236402" y="3655614"/>
            <a:ext cx="1111871" cy="763384"/>
            <a:chOff x="563" y="397"/>
            <a:chExt cx="118" cy="79"/>
          </a:xfrm>
        </xdr:grpSpPr>
        <xdr:sp macro="" textlink="">
          <xdr:nvSpPr>
            <xdr:cNvPr id="5" name="Rectangle 51"/>
            <xdr:cNvSpPr>
              <a:spLocks noChangeArrowheads="1"/>
            </xdr:cNvSpPr>
          </xdr:nvSpPr>
          <xdr:spPr bwMode="auto">
            <a:xfrm>
              <a:off x="642" y="419"/>
              <a:ext cx="12" cy="18"/>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Line 52"/>
            <xdr:cNvSpPr>
              <a:spLocks noChangeShapeType="1"/>
            </xdr:cNvSpPr>
          </xdr:nvSpPr>
          <xdr:spPr bwMode="auto">
            <a:xfrm>
              <a:off x="648" y="398"/>
              <a:ext cx="0" cy="21"/>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53"/>
            <xdr:cNvSpPr>
              <a:spLocks noChangeShapeType="1"/>
            </xdr:cNvSpPr>
          </xdr:nvSpPr>
          <xdr:spPr bwMode="auto">
            <a:xfrm>
              <a:off x="648" y="437"/>
              <a:ext cx="0" cy="39"/>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4"/>
            <xdr:cNvSpPr>
              <a:spLocks noChangeShapeType="1"/>
            </xdr:cNvSpPr>
          </xdr:nvSpPr>
          <xdr:spPr bwMode="auto">
            <a:xfrm>
              <a:off x="564" y="476"/>
              <a:ext cx="117"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5"/>
            <xdr:cNvSpPr>
              <a:spLocks noChangeShapeType="1"/>
            </xdr:cNvSpPr>
          </xdr:nvSpPr>
          <xdr:spPr bwMode="auto">
            <a:xfrm>
              <a:off x="563" y="398"/>
              <a:ext cx="11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Text Box 56"/>
            <xdr:cNvSpPr txBox="1">
              <a:spLocks noChangeArrowheads="1"/>
            </xdr:cNvSpPr>
          </xdr:nvSpPr>
          <xdr:spPr bwMode="auto">
            <a:xfrm>
              <a:off x="657" y="408"/>
              <a:ext cx="17" cy="22"/>
            </a:xfrm>
            <a:prstGeom prst="rect">
              <a:avLst/>
            </a:prstGeom>
            <a:noFill/>
            <a:ln w="9525">
              <a:noFill/>
              <a:miter lim="800000"/>
              <a:headEnd/>
              <a:tailEnd/>
            </a:ln>
          </xdr:spPr>
          <xdr:txBody>
            <a:bodyPr wrap="none" lIns="27432" tIns="32004" rIns="0" bIns="0" anchor="t" upright="1">
              <a:spAutoFit/>
            </a:bodyPr>
            <a:lstStyle/>
            <a:p>
              <a:pPr algn="l" rtl="0">
                <a:defRPr sz="1000"/>
              </a:pPr>
              <a:r>
                <a:rPr lang="en-US" altLang="ja-JP" sz="1100" b="0" i="0" strike="noStrike">
                  <a:solidFill>
                    <a:srgbClr val="000000"/>
                  </a:solidFill>
                  <a:latin typeface="Times New Roman"/>
                  <a:cs typeface="Times New Roman"/>
                </a:rPr>
                <a:t>Z</a:t>
              </a:r>
              <a:r>
                <a:rPr lang="en-US" altLang="ja-JP" sz="1200" b="0" i="0" strike="noStrike" baseline="-25000">
                  <a:solidFill>
                    <a:srgbClr val="000000"/>
                  </a:solidFill>
                  <a:latin typeface="Times New Roman"/>
                  <a:cs typeface="Times New Roman"/>
                </a:rPr>
                <a:t>2</a:t>
              </a:r>
            </a:p>
          </xdr:txBody>
        </xdr:sp>
        <xdr:sp macro="" textlink="">
          <xdr:nvSpPr>
            <xdr:cNvPr id="11" name="Rectangle 57"/>
            <xdr:cNvSpPr>
              <a:spLocks noChangeArrowheads="1"/>
            </xdr:cNvSpPr>
          </xdr:nvSpPr>
          <xdr:spPr bwMode="auto">
            <a:xfrm>
              <a:off x="590" y="419"/>
              <a:ext cx="12" cy="18"/>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58"/>
            <xdr:cNvSpPr>
              <a:spLocks noChangeShapeType="1"/>
            </xdr:cNvSpPr>
          </xdr:nvSpPr>
          <xdr:spPr bwMode="auto">
            <a:xfrm>
              <a:off x="596" y="397"/>
              <a:ext cx="0" cy="22"/>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59"/>
            <xdr:cNvSpPr>
              <a:spLocks noChangeShapeType="1"/>
            </xdr:cNvSpPr>
          </xdr:nvSpPr>
          <xdr:spPr bwMode="auto">
            <a:xfrm>
              <a:off x="596" y="437"/>
              <a:ext cx="0" cy="3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Text Box 60"/>
            <xdr:cNvSpPr txBox="1">
              <a:spLocks noChangeArrowheads="1"/>
            </xdr:cNvSpPr>
          </xdr:nvSpPr>
          <xdr:spPr bwMode="auto">
            <a:xfrm>
              <a:off x="606" y="408"/>
              <a:ext cx="17" cy="22"/>
            </a:xfrm>
            <a:prstGeom prst="rect">
              <a:avLst/>
            </a:prstGeom>
            <a:noFill/>
            <a:ln w="9525">
              <a:noFill/>
              <a:miter lim="800000"/>
              <a:headEnd/>
              <a:tailEnd/>
            </a:ln>
          </xdr:spPr>
          <xdr:txBody>
            <a:bodyPr wrap="none" lIns="27432" tIns="32004" rIns="0" bIns="0" anchor="t" upright="1">
              <a:spAutoFit/>
            </a:bodyPr>
            <a:lstStyle/>
            <a:p>
              <a:pPr algn="l" rtl="0">
                <a:defRPr sz="1000"/>
              </a:pPr>
              <a:r>
                <a:rPr lang="en-US" altLang="ja-JP" sz="1100" b="0" i="0" strike="noStrike">
                  <a:solidFill>
                    <a:srgbClr val="000000"/>
                  </a:solidFill>
                  <a:latin typeface="Times New Roman"/>
                  <a:cs typeface="Times New Roman"/>
                </a:rPr>
                <a:t>Z</a:t>
              </a:r>
              <a:r>
                <a:rPr lang="en-US" altLang="ja-JP" sz="1200" b="0" i="0" strike="noStrike" baseline="-25000">
                  <a:solidFill>
                    <a:srgbClr val="000000"/>
                  </a:solidFill>
                  <a:latin typeface="Times New Roman"/>
                  <a:cs typeface="Times New Roman"/>
                </a:rPr>
                <a:t>1</a:t>
              </a:r>
            </a:p>
          </xdr:txBody>
        </xdr:sp>
        <xdr:sp macro="" textlink="">
          <xdr:nvSpPr>
            <xdr:cNvPr id="15" name="Line 61"/>
            <xdr:cNvSpPr>
              <a:spLocks noChangeShapeType="1"/>
            </xdr:cNvSpPr>
          </xdr:nvSpPr>
          <xdr:spPr bwMode="auto">
            <a:xfrm>
              <a:off x="657" y="449"/>
              <a:ext cx="0" cy="23"/>
            </a:xfrm>
            <a:prstGeom prst="line">
              <a:avLst/>
            </a:prstGeom>
            <a:noFill/>
            <a:ln w="9525">
              <a:solidFill>
                <a:srgbClr val="000000"/>
              </a:solidFill>
              <a:round/>
              <a:headEnd/>
              <a:tailEnd type="triangle" w="sm" len="med"/>
            </a:ln>
            <a:extLst>
              <a:ext uri="{909E8E84-426E-40DD-AFC4-6F175D3DCCD1}">
                <a14:hiddenFill xmlns:a14="http://schemas.microsoft.com/office/drawing/2010/main">
                  <a:noFill/>
                </a14:hiddenFill>
              </a:ext>
            </a:extLst>
          </xdr:spPr>
        </xdr:sp>
        <xdr:sp macro="" textlink="">
          <xdr:nvSpPr>
            <xdr:cNvPr id="16" name="Text Box 62"/>
            <xdr:cNvSpPr txBox="1">
              <a:spLocks noChangeArrowheads="1"/>
            </xdr:cNvSpPr>
          </xdr:nvSpPr>
          <xdr:spPr bwMode="auto">
            <a:xfrm>
              <a:off x="611" y="448"/>
              <a:ext cx="13" cy="22"/>
            </a:xfrm>
            <a:prstGeom prst="rect">
              <a:avLst/>
            </a:prstGeom>
            <a:noFill/>
            <a:ln w="9525">
              <a:noFill/>
              <a:miter lim="800000"/>
              <a:headEnd/>
              <a:tailEnd/>
            </a:ln>
          </xdr:spPr>
          <xdr:txBody>
            <a:bodyPr wrap="none" lIns="27432" tIns="32004" rIns="0" bIns="0" anchor="t" upright="1">
              <a:spAutoFit/>
            </a:bodyPr>
            <a:lstStyle/>
            <a:p>
              <a:pPr algn="l" rtl="0">
                <a:defRPr sz="1000"/>
              </a:pPr>
              <a:r>
                <a:rPr lang="en-US" altLang="ja-JP" sz="1100" b="0" i="0" strike="noStrike">
                  <a:solidFill>
                    <a:srgbClr val="000000"/>
                  </a:solidFill>
                  <a:latin typeface="Times New Roman"/>
                  <a:cs typeface="Times New Roman"/>
                </a:rPr>
                <a:t>I</a:t>
              </a:r>
              <a:r>
                <a:rPr lang="en-US" altLang="ja-JP" sz="1200" b="0" i="0" strike="noStrike" baseline="-25000">
                  <a:solidFill>
                    <a:srgbClr val="000000"/>
                  </a:solidFill>
                  <a:latin typeface="Times New Roman"/>
                  <a:cs typeface="Times New Roman"/>
                </a:rPr>
                <a:t>1</a:t>
              </a:r>
            </a:p>
          </xdr:txBody>
        </xdr:sp>
        <xdr:sp macro="" textlink="">
          <xdr:nvSpPr>
            <xdr:cNvPr id="17" name="Line 63"/>
            <xdr:cNvSpPr>
              <a:spLocks noChangeShapeType="1"/>
            </xdr:cNvSpPr>
          </xdr:nvSpPr>
          <xdr:spPr bwMode="auto">
            <a:xfrm>
              <a:off x="605" y="449"/>
              <a:ext cx="0" cy="23"/>
            </a:xfrm>
            <a:prstGeom prst="line">
              <a:avLst/>
            </a:prstGeom>
            <a:noFill/>
            <a:ln w="9525">
              <a:solidFill>
                <a:srgbClr val="000000"/>
              </a:solidFill>
              <a:round/>
              <a:headEnd/>
              <a:tailEnd type="triangle" w="sm" len="med"/>
            </a:ln>
            <a:extLst>
              <a:ext uri="{909E8E84-426E-40DD-AFC4-6F175D3DCCD1}">
                <a14:hiddenFill xmlns:a14="http://schemas.microsoft.com/office/drawing/2010/main">
                  <a:noFill/>
                </a14:hiddenFill>
              </a:ext>
            </a:extLst>
          </xdr:spPr>
        </xdr:sp>
        <xdr:sp macro="" textlink="">
          <xdr:nvSpPr>
            <xdr:cNvPr id="18" name="Text Box 64"/>
            <xdr:cNvSpPr txBox="1">
              <a:spLocks noChangeArrowheads="1"/>
            </xdr:cNvSpPr>
          </xdr:nvSpPr>
          <xdr:spPr bwMode="auto">
            <a:xfrm>
              <a:off x="660" y="447"/>
              <a:ext cx="13" cy="22"/>
            </a:xfrm>
            <a:prstGeom prst="rect">
              <a:avLst/>
            </a:prstGeom>
            <a:noFill/>
            <a:ln w="9525">
              <a:noFill/>
              <a:miter lim="800000"/>
              <a:headEnd/>
              <a:tailEnd/>
            </a:ln>
          </xdr:spPr>
          <xdr:txBody>
            <a:bodyPr wrap="none" lIns="27432" tIns="32004" rIns="0" bIns="0" anchor="t" upright="1">
              <a:spAutoFit/>
            </a:bodyPr>
            <a:lstStyle/>
            <a:p>
              <a:pPr algn="l" rtl="0">
                <a:defRPr sz="1000"/>
              </a:pPr>
              <a:r>
                <a:rPr lang="en-US" altLang="ja-JP" sz="1100" b="0" i="0" strike="noStrike">
                  <a:solidFill>
                    <a:srgbClr val="000000"/>
                  </a:solidFill>
                  <a:latin typeface="Times New Roman"/>
                  <a:cs typeface="Times New Roman"/>
                </a:rPr>
                <a:t>I</a:t>
              </a:r>
              <a:r>
                <a:rPr lang="en-US" altLang="ja-JP" sz="1200" b="0" i="0" strike="noStrike" baseline="-25000">
                  <a:solidFill>
                    <a:srgbClr val="000000"/>
                  </a:solidFill>
                  <a:latin typeface="Times New Roman"/>
                  <a:cs typeface="Times New Roman"/>
                </a:rPr>
                <a:t>2</a:t>
              </a:r>
            </a:p>
          </xdr:txBody>
        </xdr:sp>
      </xdr:grpSp>
    </xdr:grp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S/Old/RECS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CS_1&#6538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CS-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CS-User/RECS-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CS_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CS-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CS-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CS_1&#6538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CS-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CS_1&#6538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CS_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別表"/>
      <sheetName val="提出"/>
      <sheetName val="原価"/>
      <sheetName val="引込"/>
      <sheetName val="受変"/>
      <sheetName val="発電"/>
      <sheetName val="低幹"/>
      <sheetName val="動配"/>
      <sheetName val="照差"/>
      <sheetName val="非誘"/>
      <sheetName val="火煙"/>
      <sheetName val="雷保"/>
      <sheetName val="電話"/>
      <sheetName val="放送"/>
      <sheetName val="TV"/>
      <sheetName val="S1"/>
      <sheetName val="S2"/>
      <sheetName val="S3"/>
      <sheetName val="S4"/>
      <sheetName val="S5"/>
      <sheetName val="S6"/>
      <sheetName val="S7"/>
      <sheetName val="Help"/>
      <sheetName val="建物"/>
    </sheetNames>
    <sheetDataSet>
      <sheetData sheetId="0" refreshError="1"/>
      <sheetData sheetId="1" refreshError="1"/>
      <sheetData sheetId="2">
        <row r="6">
          <cell r="BG6" t="str">
            <v/>
          </cell>
          <cell r="BH6" t="str">
            <v/>
          </cell>
          <cell r="BM6" t="str">
            <v>配管配線材料</v>
          </cell>
          <cell r="BN6" t="str">
            <v>機 　器　 類</v>
          </cell>
          <cell r="BO6" t="str">
            <v>電 　工　 費</v>
          </cell>
          <cell r="BP6" t="str">
            <v/>
          </cell>
          <cell r="BQ6" t="str">
            <v/>
          </cell>
          <cell r="BR6">
            <v>0</v>
          </cell>
          <cell r="BS6" t="str">
            <v/>
          </cell>
        </row>
        <row r="7">
          <cell r="BG7" t="str">
            <v/>
          </cell>
          <cell r="BH7" t="str">
            <v/>
          </cell>
          <cell r="BM7" t="str">
            <v>配管配線材料</v>
          </cell>
          <cell r="BN7" t="str">
            <v>機 　器　 類</v>
          </cell>
          <cell r="BO7" t="str">
            <v>電 　工　 費</v>
          </cell>
          <cell r="BP7" t="str">
            <v/>
          </cell>
          <cell r="BQ7" t="str">
            <v/>
          </cell>
          <cell r="BR7">
            <v>0</v>
          </cell>
          <cell r="BS7" t="str">
            <v/>
          </cell>
        </row>
        <row r="8">
          <cell r="BG8" t="str">
            <v/>
          </cell>
          <cell r="BH8" t="str">
            <v/>
          </cell>
          <cell r="BM8" t="str">
            <v>配管配線材料</v>
          </cell>
          <cell r="BN8" t="str">
            <v>機 　器　 類</v>
          </cell>
          <cell r="BO8" t="str">
            <v>電 　工　 費</v>
          </cell>
          <cell r="BP8" t="str">
            <v/>
          </cell>
          <cell r="BQ8" t="e">
            <v>#VALUE!</v>
          </cell>
          <cell r="BR8">
            <v>0</v>
          </cell>
          <cell r="BS8" t="str">
            <v/>
          </cell>
        </row>
        <row r="9">
          <cell r="BG9" t="str">
            <v/>
          </cell>
          <cell r="BH9" t="str">
            <v/>
          </cell>
          <cell r="BM9" t="str">
            <v>配管配線材料</v>
          </cell>
          <cell r="BN9" t="str">
            <v>機 　器　 類</v>
          </cell>
          <cell r="BO9" t="str">
            <v>電 　工　 費</v>
          </cell>
          <cell r="BP9" t="str">
            <v/>
          </cell>
          <cell r="BQ9">
            <v>0</v>
          </cell>
          <cell r="BR9">
            <v>0</v>
          </cell>
          <cell r="BS9" t="str">
            <v/>
          </cell>
        </row>
        <row r="10">
          <cell r="BG10" t="str">
            <v/>
          </cell>
          <cell r="BH10" t="str">
            <v/>
          </cell>
          <cell r="BM10" t="str">
            <v>配管配線材料</v>
          </cell>
          <cell r="BN10" t="str">
            <v>機 　器　 類</v>
          </cell>
          <cell r="BO10" t="str">
            <v>電 　工　 費</v>
          </cell>
          <cell r="BP10" t="str">
            <v/>
          </cell>
          <cell r="BQ10">
            <v>0</v>
          </cell>
          <cell r="BR10">
            <v>0</v>
          </cell>
          <cell r="BS10" t="str">
            <v/>
          </cell>
        </row>
        <row r="11">
          <cell r="BG11" t="str">
            <v/>
          </cell>
          <cell r="BH11" t="str">
            <v/>
          </cell>
          <cell r="BP11" t="str">
            <v/>
          </cell>
          <cell r="BQ11">
            <v>0</v>
          </cell>
          <cell r="BR11">
            <v>0</v>
          </cell>
          <cell r="BS11" t="str">
            <v/>
          </cell>
        </row>
        <row r="12">
          <cell r="BG12" t="str">
            <v/>
          </cell>
          <cell r="BH12" t="str">
            <v/>
          </cell>
          <cell r="BM12" t="str">
            <v>配管配線材料</v>
          </cell>
          <cell r="BN12" t="str">
            <v>機 　器　 類</v>
          </cell>
          <cell r="BO12" t="str">
            <v>電 　工　 費</v>
          </cell>
          <cell r="BP12" t="str">
            <v/>
          </cell>
          <cell r="BQ12">
            <v>0</v>
          </cell>
          <cell r="BR12">
            <v>0</v>
          </cell>
          <cell r="BS12" t="str">
            <v/>
          </cell>
        </row>
        <row r="13">
          <cell r="BG13" t="str">
            <v/>
          </cell>
          <cell r="BH13" t="str">
            <v/>
          </cell>
          <cell r="BM13" t="str">
            <v>配管配線材料</v>
          </cell>
          <cell r="BN13" t="str">
            <v>機 　器　 類</v>
          </cell>
          <cell r="BO13" t="str">
            <v>電 　工　 費</v>
          </cell>
          <cell r="BP13" t="str">
            <v/>
          </cell>
          <cell r="BQ13" t="str">
            <v/>
          </cell>
          <cell r="BR13">
            <v>0</v>
          </cell>
          <cell r="BS13" t="str">
            <v/>
          </cell>
        </row>
        <row r="14">
          <cell r="BG14" t="str">
            <v/>
          </cell>
          <cell r="BH14" t="str">
            <v/>
          </cell>
          <cell r="BM14" t="str">
            <v>配管配線材料</v>
          </cell>
          <cell r="BN14" t="str">
            <v>配管付属品・支持材</v>
          </cell>
          <cell r="BO14" t="str">
            <v>電 　工　 費</v>
          </cell>
          <cell r="BP14" t="str">
            <v/>
          </cell>
          <cell r="BQ14" t="str">
            <v/>
          </cell>
          <cell r="BR14">
            <v>0</v>
          </cell>
          <cell r="BS14" t="str">
            <v/>
          </cell>
        </row>
        <row r="15">
          <cell r="BG15" t="str">
            <v/>
          </cell>
          <cell r="BH15" t="str">
            <v/>
          </cell>
          <cell r="BM15" t="str">
            <v>配管配線材料</v>
          </cell>
          <cell r="BN15" t="str">
            <v>機 　器　 類</v>
          </cell>
          <cell r="BO15" t="str">
            <v>電 　工　 費</v>
          </cell>
          <cell r="BP15" t="str">
            <v/>
          </cell>
          <cell r="BQ15">
            <v>0</v>
          </cell>
          <cell r="BR15">
            <v>0</v>
          </cell>
          <cell r="BS15" t="str">
            <v/>
          </cell>
        </row>
        <row r="16">
          <cell r="BG16" t="str">
            <v/>
          </cell>
          <cell r="BH16" t="str">
            <v/>
          </cell>
          <cell r="BP16" t="str">
            <v/>
          </cell>
          <cell r="BQ16">
            <v>0</v>
          </cell>
          <cell r="BR16">
            <v>0</v>
          </cell>
          <cell r="BS16" t="str">
            <v/>
          </cell>
        </row>
        <row r="17">
          <cell r="BG17" t="str">
            <v/>
          </cell>
          <cell r="BH17" t="str">
            <v/>
          </cell>
          <cell r="BM17" t="str">
            <v>配管配線材料</v>
          </cell>
          <cell r="BN17" t="str">
            <v>配線 器具 類</v>
          </cell>
          <cell r="BO17" t="str">
            <v>電 　工　 費</v>
          </cell>
          <cell r="BP17" t="str">
            <v/>
          </cell>
          <cell r="BQ17" t="str">
            <v/>
          </cell>
          <cell r="BR17">
            <v>0</v>
          </cell>
          <cell r="BS17" t="str">
            <v/>
          </cell>
        </row>
        <row r="18">
          <cell r="BG18" t="str">
            <v/>
          </cell>
          <cell r="BH18" t="str">
            <v/>
          </cell>
          <cell r="BM18" t="str">
            <v>照 明　器 具</v>
          </cell>
          <cell r="BN18" t="str">
            <v>照明器具取付材料</v>
          </cell>
          <cell r="BO18" t="str">
            <v>電 　工　 費</v>
          </cell>
          <cell r="BP18" t="str">
            <v/>
          </cell>
          <cell r="BQ18" t="str">
            <v/>
          </cell>
          <cell r="BR18">
            <v>0</v>
          </cell>
          <cell r="BS18" t="str">
            <v/>
          </cell>
        </row>
        <row r="19">
          <cell r="BG19" t="str">
            <v/>
          </cell>
          <cell r="BH19" t="str">
            <v/>
          </cell>
          <cell r="BM19" t="str">
            <v>配管配線材料</v>
          </cell>
          <cell r="BN19" t="str">
            <v>照 明　器 具</v>
          </cell>
          <cell r="BO19" t="str">
            <v>電 　工　 費</v>
          </cell>
          <cell r="BP19" t="str">
            <v/>
          </cell>
          <cell r="BQ19" t="str">
            <v/>
          </cell>
          <cell r="BR19">
            <v>0</v>
          </cell>
          <cell r="BS19" t="str">
            <v/>
          </cell>
        </row>
        <row r="20">
          <cell r="BG20" t="str">
            <v/>
          </cell>
          <cell r="BH20" t="str">
            <v/>
          </cell>
          <cell r="BP20" t="str">
            <v/>
          </cell>
          <cell r="BQ20">
            <v>0</v>
          </cell>
          <cell r="BR20">
            <v>0</v>
          </cell>
          <cell r="BS20" t="str">
            <v/>
          </cell>
        </row>
        <row r="21">
          <cell r="BG21" t="str">
            <v/>
          </cell>
          <cell r="BH21" t="str">
            <v/>
          </cell>
          <cell r="BM21" t="str">
            <v>配管配線材料</v>
          </cell>
          <cell r="BN21" t="str">
            <v>機器、取付調整費</v>
          </cell>
          <cell r="BO21" t="str">
            <v>電 　工　 費</v>
          </cell>
          <cell r="BP21" t="str">
            <v/>
          </cell>
          <cell r="BQ21" t="str">
            <v/>
          </cell>
          <cell r="BR21">
            <v>0</v>
          </cell>
          <cell r="BS21" t="str">
            <v/>
          </cell>
        </row>
        <row r="22">
          <cell r="BG22" t="str">
            <v/>
          </cell>
          <cell r="BH22" t="str">
            <v/>
          </cell>
          <cell r="BM22" t="str">
            <v>配管配線材料</v>
          </cell>
          <cell r="BN22" t="str">
            <v>機器、取付調整費</v>
          </cell>
          <cell r="BO22" t="str">
            <v>電 　工　 費</v>
          </cell>
          <cell r="BP22" t="str">
            <v/>
          </cell>
          <cell r="BQ22" t="str">
            <v/>
          </cell>
          <cell r="BR22">
            <v>0</v>
          </cell>
          <cell r="BS22" t="str">
            <v/>
          </cell>
        </row>
        <row r="23">
          <cell r="BG23" t="str">
            <v/>
          </cell>
          <cell r="BH23" t="str">
            <v/>
          </cell>
          <cell r="BM23" t="str">
            <v>配管配線材料</v>
          </cell>
          <cell r="BN23" t="str">
            <v>機器、取付調整費</v>
          </cell>
          <cell r="BO23" t="str">
            <v>電 　工　 費</v>
          </cell>
          <cell r="BP23" t="str">
            <v/>
          </cell>
          <cell r="BQ23">
            <v>0</v>
          </cell>
          <cell r="BR23">
            <v>0</v>
          </cell>
          <cell r="BS23" t="str">
            <v/>
          </cell>
        </row>
        <row r="24">
          <cell r="BG24" t="str">
            <v/>
          </cell>
          <cell r="BH24" t="str">
            <v/>
          </cell>
          <cell r="BM24" t="str">
            <v>配管配線材料</v>
          </cell>
          <cell r="BN24" t="str">
            <v>機器、取付調整費</v>
          </cell>
          <cell r="BO24" t="str">
            <v>電 　工　 費</v>
          </cell>
          <cell r="BP24" t="str">
            <v/>
          </cell>
          <cell r="BQ24">
            <v>0</v>
          </cell>
          <cell r="BR24">
            <v>0</v>
          </cell>
          <cell r="BS24" t="str">
            <v/>
          </cell>
        </row>
        <row r="25">
          <cell r="BG25" t="str">
            <v/>
          </cell>
          <cell r="BH25" t="str">
            <v/>
          </cell>
          <cell r="BM25" t="str">
            <v>配管配線材料</v>
          </cell>
          <cell r="BN25" t="str">
            <v>機器、取付調整費</v>
          </cell>
          <cell r="BO25" t="str">
            <v>電 　工　 費</v>
          </cell>
          <cell r="BP25" t="str">
            <v/>
          </cell>
          <cell r="BQ25">
            <v>0</v>
          </cell>
          <cell r="BR25">
            <v>0</v>
          </cell>
          <cell r="BS25" t="str">
            <v/>
          </cell>
        </row>
        <row r="26">
          <cell r="BG26" t="str">
            <v/>
          </cell>
          <cell r="BH26" t="str">
            <v/>
          </cell>
          <cell r="BM26" t="str">
            <v>配管配線材料</v>
          </cell>
          <cell r="BN26" t="str">
            <v>機器、取付調整費</v>
          </cell>
          <cell r="BO26" t="str">
            <v>電 　工　 費</v>
          </cell>
          <cell r="BP26" t="str">
            <v/>
          </cell>
          <cell r="BQ26">
            <v>0</v>
          </cell>
          <cell r="BR26">
            <v>0</v>
          </cell>
          <cell r="BS26" t="str">
            <v/>
          </cell>
        </row>
        <row r="27">
          <cell r="BG27" t="str">
            <v/>
          </cell>
          <cell r="BH27" t="str">
            <v/>
          </cell>
          <cell r="BM27" t="str">
            <v>配管配線材料</v>
          </cell>
          <cell r="BN27" t="str">
            <v>機器、取付調整費</v>
          </cell>
          <cell r="BO27" t="str">
            <v>電 　工　 費</v>
          </cell>
          <cell r="BP27" t="str">
            <v/>
          </cell>
          <cell r="BQ27" t="str">
            <v/>
          </cell>
          <cell r="BR27">
            <v>0</v>
          </cell>
          <cell r="BS27" t="str">
            <v/>
          </cell>
        </row>
        <row r="28">
          <cell r="BG28" t="str">
            <v/>
          </cell>
          <cell r="BH28" t="str">
            <v/>
          </cell>
          <cell r="BM28" t="str">
            <v>配管配線材料</v>
          </cell>
          <cell r="BN28" t="str">
            <v>機器、取付調整費</v>
          </cell>
          <cell r="BO28" t="str">
            <v>電 　工　 費</v>
          </cell>
          <cell r="BP28" t="str">
            <v/>
          </cell>
          <cell r="BQ28">
            <v>0</v>
          </cell>
          <cell r="BR28">
            <v>0</v>
          </cell>
          <cell r="BS28" t="str">
            <v/>
          </cell>
        </row>
        <row r="29">
          <cell r="BG29" t="str">
            <v/>
          </cell>
          <cell r="BH29" t="str">
            <v/>
          </cell>
          <cell r="BM29" t="str">
            <v>配管配線材料</v>
          </cell>
          <cell r="BP29" t="str">
            <v/>
          </cell>
          <cell r="BQ29">
            <v>0</v>
          </cell>
          <cell r="BR29">
            <v>0</v>
          </cell>
          <cell r="BS29" t="str">
            <v/>
          </cell>
        </row>
        <row r="30">
          <cell r="BG30" t="str">
            <v/>
          </cell>
          <cell r="BH30" t="str">
            <v/>
          </cell>
          <cell r="BM30" t="str">
            <v>配管配線材料</v>
          </cell>
          <cell r="BN30" t="str">
            <v>機器、取付調整費</v>
          </cell>
          <cell r="BO30" t="str">
            <v>電 　工　 費</v>
          </cell>
          <cell r="BP30" t="str">
            <v/>
          </cell>
          <cell r="BQ30">
            <v>0</v>
          </cell>
          <cell r="BR30">
            <v>0</v>
          </cell>
          <cell r="BS30" t="str">
            <v/>
          </cell>
        </row>
        <row r="31">
          <cell r="BG31" t="str">
            <v/>
          </cell>
          <cell r="BH31" t="str">
            <v/>
          </cell>
          <cell r="BM31" t="str">
            <v>配管配線材料</v>
          </cell>
          <cell r="BN31" t="str">
            <v>機器、取付調整費</v>
          </cell>
          <cell r="BO31" t="str">
            <v>電 　工　 費</v>
          </cell>
          <cell r="BP31" t="str">
            <v/>
          </cell>
          <cell r="BQ31">
            <v>0</v>
          </cell>
          <cell r="BR31">
            <v>0</v>
          </cell>
          <cell r="BS31" t="str">
            <v/>
          </cell>
        </row>
        <row r="32">
          <cell r="BG32" t="str">
            <v/>
          </cell>
          <cell r="BH32" t="str">
            <v/>
          </cell>
          <cell r="BM32" t="str">
            <v>配管配線材料</v>
          </cell>
          <cell r="BP32" t="str">
            <v/>
          </cell>
          <cell r="BQ32">
            <v>0</v>
          </cell>
          <cell r="BR32">
            <v>0</v>
          </cell>
          <cell r="BS32" t="str">
            <v/>
          </cell>
        </row>
        <row r="33">
          <cell r="BG33" t="str">
            <v/>
          </cell>
          <cell r="BH33" t="str">
            <v/>
          </cell>
          <cell r="BM33" t="str">
            <v>配管配線材料</v>
          </cell>
          <cell r="BN33" t="str">
            <v>機器、取付調整費</v>
          </cell>
          <cell r="BO33" t="str">
            <v>電 　工　 費</v>
          </cell>
          <cell r="BP33" t="str">
            <v/>
          </cell>
          <cell r="BQ33">
            <v>0</v>
          </cell>
          <cell r="BR33">
            <v>0</v>
          </cell>
          <cell r="BS33" t="str">
            <v/>
          </cell>
        </row>
        <row r="34">
          <cell r="BG34" t="str">
            <v/>
          </cell>
          <cell r="BH34" t="str">
            <v/>
          </cell>
          <cell r="BM34" t="str">
            <v>配管配線材料</v>
          </cell>
          <cell r="BN34" t="str">
            <v>機器、取付調整費</v>
          </cell>
          <cell r="BO34" t="str">
            <v>電 　工　 費</v>
          </cell>
          <cell r="BP34" t="str">
            <v/>
          </cell>
          <cell r="BQ34">
            <v>0</v>
          </cell>
          <cell r="BR34">
            <v>0</v>
          </cell>
          <cell r="BS34" t="str">
            <v/>
          </cell>
        </row>
        <row r="35">
          <cell r="BG35" t="str">
            <v/>
          </cell>
          <cell r="BH35" t="str">
            <v/>
          </cell>
          <cell r="BM35" t="str">
            <v>配管配線材料</v>
          </cell>
          <cell r="BN35" t="str">
            <v>機器、取付調整費</v>
          </cell>
          <cell r="BO35" t="str">
            <v>電 　工　 費</v>
          </cell>
          <cell r="BP35" t="str">
            <v/>
          </cell>
          <cell r="BQ35">
            <v>0</v>
          </cell>
          <cell r="BR35">
            <v>0</v>
          </cell>
          <cell r="BS35" t="str">
            <v/>
          </cell>
        </row>
        <row r="36">
          <cell r="BG36" t="str">
            <v/>
          </cell>
          <cell r="BH36" t="str">
            <v/>
          </cell>
          <cell r="BM36" t="str">
            <v>配管配線材料</v>
          </cell>
          <cell r="BN36" t="str">
            <v>機器、取付調整費</v>
          </cell>
          <cell r="BO36" t="str">
            <v>電 　工　 費</v>
          </cell>
          <cell r="BP36" t="str">
            <v/>
          </cell>
          <cell r="BQ36">
            <v>0</v>
          </cell>
          <cell r="BR36">
            <v>0</v>
          </cell>
          <cell r="BS36" t="str">
            <v/>
          </cell>
        </row>
        <row r="37">
          <cell r="BG37" t="str">
            <v/>
          </cell>
          <cell r="BH37" t="str">
            <v/>
          </cell>
          <cell r="BM37" t="str">
            <v>配管配線材料</v>
          </cell>
          <cell r="BN37" t="str">
            <v>機器、取付調整費</v>
          </cell>
          <cell r="BO37" t="str">
            <v>電 　工　 費</v>
          </cell>
          <cell r="BP37" t="str">
            <v/>
          </cell>
          <cell r="BQ37">
            <v>0</v>
          </cell>
          <cell r="BR37">
            <v>0</v>
          </cell>
          <cell r="BS37" t="str">
            <v/>
          </cell>
        </row>
        <row r="38">
          <cell r="BG38" t="str">
            <v/>
          </cell>
          <cell r="BH38" t="str">
            <v/>
          </cell>
          <cell r="BM38" t="str">
            <v>配管配線材料</v>
          </cell>
          <cell r="BN38" t="str">
            <v>機器、取付調整費</v>
          </cell>
          <cell r="BO38" t="str">
            <v>電 　工　 費</v>
          </cell>
          <cell r="BP38" t="str">
            <v/>
          </cell>
          <cell r="BQ38">
            <v>0</v>
          </cell>
          <cell r="BR38">
            <v>0</v>
          </cell>
          <cell r="BS38" t="str">
            <v/>
          </cell>
        </row>
        <row r="39">
          <cell r="BG39">
            <v>1</v>
          </cell>
          <cell r="BH39" t="str">
            <v>　　　　　　　　　　(小計)</v>
          </cell>
          <cell r="BS39">
            <v>0</v>
          </cell>
        </row>
        <row r="40">
          <cell r="BG40">
            <v>2</v>
          </cell>
          <cell r="BH40" t="str">
            <v xml:space="preserve"> 雑材消耗費</v>
          </cell>
          <cell r="BR40" t="str">
            <v/>
          </cell>
          <cell r="BS40" t="str">
            <v/>
          </cell>
        </row>
        <row r="41">
          <cell r="BG41">
            <v>3</v>
          </cell>
          <cell r="BH41" t="str">
            <v xml:space="preserve"> 運　搬　費</v>
          </cell>
          <cell r="BS41" t="str">
            <v/>
          </cell>
        </row>
        <row r="42">
          <cell r="BG42">
            <v>4</v>
          </cell>
          <cell r="BH42" t="str">
            <v xml:space="preserve"> 現場管理費</v>
          </cell>
          <cell r="BS42" t="str">
            <v/>
          </cell>
        </row>
        <row r="43">
          <cell r="BG43">
            <v>5</v>
          </cell>
          <cell r="BH43" t="str">
            <v xml:space="preserve"> 諸　経　費</v>
          </cell>
          <cell r="BS43" t="str">
            <v/>
          </cell>
        </row>
        <row r="44">
          <cell r="BG44">
            <v>6</v>
          </cell>
          <cell r="BH44" t="str">
            <v>　　　　　　　　　　(合計)</v>
          </cell>
          <cell r="BS44" t="str">
            <v/>
          </cell>
        </row>
      </sheetData>
      <sheetData sheetId="3" refreshError="1"/>
      <sheetData sheetId="4" refreshError="1"/>
      <sheetData sheetId="5">
        <row r="11">
          <cell r="BW11" t="str">
            <v>北海道電力</v>
          </cell>
          <cell r="BY11">
            <v>1836</v>
          </cell>
          <cell r="BZ11">
            <v>14.56</v>
          </cell>
          <cell r="CA11">
            <v>29.46</v>
          </cell>
        </row>
        <row r="12">
          <cell r="BW12" t="str">
            <v>東北電力</v>
          </cell>
          <cell r="BY12">
            <v>1630.8</v>
          </cell>
          <cell r="BZ12">
            <v>16.510000000000002</v>
          </cell>
          <cell r="CA12">
            <v>28.75</v>
          </cell>
        </row>
        <row r="13">
          <cell r="BW13" t="str">
            <v>東京電力</v>
          </cell>
          <cell r="BX13" t="str">
            <v>http://www.hepco.co.jp/</v>
          </cell>
          <cell r="BY13">
            <v>1684.8</v>
          </cell>
          <cell r="BZ13">
            <v>19.36</v>
          </cell>
          <cell r="CA13">
            <v>29.93</v>
          </cell>
          <cell r="CD13">
            <v>1</v>
          </cell>
          <cell r="CE13" t="str">
            <v>北海道電力</v>
          </cell>
        </row>
        <row r="14">
          <cell r="BW14" t="str">
            <v>中部電力</v>
          </cell>
          <cell r="BX14" t="str">
            <v>http://www.hepco.co.jp/</v>
          </cell>
          <cell r="BY14">
            <v>809.26</v>
          </cell>
          <cell r="BZ14">
            <v>16.600000000000001</v>
          </cell>
          <cell r="CA14">
            <v>23.17</v>
          </cell>
          <cell r="CD14">
            <v>2</v>
          </cell>
          <cell r="CE14" t="str">
            <v>東北電力</v>
          </cell>
        </row>
        <row r="15">
          <cell r="BW15" t="str">
            <v>北陸電力</v>
          </cell>
          <cell r="BX15" t="str">
            <v>http://www.hepco.co.jp/</v>
          </cell>
          <cell r="BY15">
            <v>1555.2</v>
          </cell>
          <cell r="BZ15">
            <v>13.09</v>
          </cell>
          <cell r="CA15">
            <v>22.98</v>
          </cell>
          <cell r="CD15">
            <v>3</v>
          </cell>
          <cell r="CE15" t="str">
            <v>東京電力</v>
          </cell>
        </row>
        <row r="16">
          <cell r="BW16" t="str">
            <v>関西電力</v>
          </cell>
          <cell r="BX16" t="str">
            <v>http://www.hepco.co.jp/</v>
          </cell>
          <cell r="BY16">
            <v>1733.4</v>
          </cell>
          <cell r="BZ16">
            <v>15.39</v>
          </cell>
          <cell r="CA16">
            <v>26.1</v>
          </cell>
          <cell r="CD16">
            <v>4</v>
          </cell>
          <cell r="CE16" t="str">
            <v>中部電力</v>
          </cell>
        </row>
        <row r="17">
          <cell r="BW17" t="str">
            <v>中国電力</v>
          </cell>
          <cell r="BX17" t="str">
            <v>http://www.hepco.co.jp/</v>
          </cell>
          <cell r="BY17">
            <v>1701</v>
          </cell>
          <cell r="BZ17">
            <v>14.01</v>
          </cell>
          <cell r="CA17">
            <v>25.52</v>
          </cell>
          <cell r="CD17">
            <v>5</v>
          </cell>
          <cell r="CE17" t="str">
            <v>北陸電力</v>
          </cell>
        </row>
        <row r="18">
          <cell r="BW18" t="str">
            <v>四国電力</v>
          </cell>
          <cell r="BX18" t="str">
            <v>http://www.hepco.co.jp/</v>
          </cell>
          <cell r="BY18">
            <v>1620</v>
          </cell>
          <cell r="BZ18">
            <v>26.64</v>
          </cell>
          <cell r="CA18">
            <v>26.5</v>
          </cell>
          <cell r="CD18">
            <v>6</v>
          </cell>
          <cell r="CE18" t="str">
            <v>関西電力</v>
          </cell>
        </row>
        <row r="19">
          <cell r="BW19" t="str">
            <v>九州電力</v>
          </cell>
          <cell r="BX19" t="str">
            <v>http://www.hepco.co.jp/</v>
          </cell>
          <cell r="BY19">
            <v>2008.8</v>
          </cell>
          <cell r="BZ19">
            <v>12.72</v>
          </cell>
          <cell r="CA19">
            <v>25.57</v>
          </cell>
          <cell r="CD19">
            <v>7</v>
          </cell>
          <cell r="CE19" t="str">
            <v>中国電力</v>
          </cell>
        </row>
        <row r="20">
          <cell r="CD20">
            <v>8</v>
          </cell>
          <cell r="CE20" t="str">
            <v>四国電力</v>
          </cell>
        </row>
        <row r="21">
          <cell r="BW21" t="str">
            <v>沖縄電力</v>
          </cell>
          <cell r="BY21">
            <v>1711.8</v>
          </cell>
          <cell r="BZ21">
            <v>16.79</v>
          </cell>
          <cell r="CA21">
            <v>29.87</v>
          </cell>
          <cell r="CD21">
            <v>9</v>
          </cell>
          <cell r="CE21" t="str">
            <v>九州電力</v>
          </cell>
        </row>
        <row r="22">
          <cell r="CD22">
            <v>10</v>
          </cell>
          <cell r="CE22" t="str">
            <v>沖縄電力</v>
          </cell>
        </row>
      </sheetData>
      <sheetData sheetId="6" refreshError="1"/>
      <sheetData sheetId="7" refreshError="1"/>
      <sheetData sheetId="8" refreshError="1"/>
      <sheetData sheetId="9">
        <row r="234">
          <cell r="CR234" t="str">
            <v xml:space="preserve">  RF</v>
          </cell>
          <cell r="CS234" t="str">
            <v/>
          </cell>
          <cell r="CT234" t="str">
            <v/>
          </cell>
          <cell r="CU234">
            <v>0</v>
          </cell>
          <cell r="CV234" t="str">
            <v/>
          </cell>
          <cell r="CW234">
            <v>0</v>
          </cell>
          <cell r="CX234">
            <v>0</v>
          </cell>
          <cell r="CY234">
            <v>1</v>
          </cell>
          <cell r="CZ234">
            <v>1</v>
          </cell>
          <cell r="DA234">
            <v>0</v>
          </cell>
          <cell r="DB234">
            <v>0</v>
          </cell>
          <cell r="DC234" t="str">
            <v>⑦</v>
          </cell>
        </row>
        <row r="235">
          <cell r="CR235" t="str">
            <v xml:space="preserve">  RF</v>
          </cell>
          <cell r="CS235" t="str">
            <v/>
          </cell>
          <cell r="CT235" t="str">
            <v/>
          </cell>
          <cell r="CU235" t="str">
            <v/>
          </cell>
          <cell r="CV235" t="str">
            <v/>
          </cell>
          <cell r="CW235">
            <v>0</v>
          </cell>
          <cell r="CX235">
            <v>0</v>
          </cell>
          <cell r="CY235">
            <v>1</v>
          </cell>
          <cell r="CZ235">
            <v>2</v>
          </cell>
          <cell r="DA235">
            <v>0</v>
          </cell>
          <cell r="DB235">
            <v>0</v>
          </cell>
          <cell r="DC235" t="str">
            <v>⑦</v>
          </cell>
        </row>
        <row r="236">
          <cell r="CR236" t="str">
            <v xml:space="preserve">  RF</v>
          </cell>
          <cell r="CS236" t="str">
            <v/>
          </cell>
          <cell r="CT236" t="str">
            <v/>
          </cell>
          <cell r="CU236" t="str">
            <v/>
          </cell>
          <cell r="CV236" t="str">
            <v/>
          </cell>
          <cell r="CW236">
            <v>0</v>
          </cell>
          <cell r="CX236">
            <v>0</v>
          </cell>
          <cell r="CY236">
            <v>1</v>
          </cell>
          <cell r="CZ236">
            <v>3</v>
          </cell>
          <cell r="DA236">
            <v>0</v>
          </cell>
          <cell r="DB236">
            <v>0</v>
          </cell>
          <cell r="DC236" t="str">
            <v>⑦</v>
          </cell>
        </row>
        <row r="237">
          <cell r="CR237" t="str">
            <v xml:space="preserve">  RF</v>
          </cell>
          <cell r="CS237" t="str">
            <v/>
          </cell>
          <cell r="CT237" t="str">
            <v/>
          </cell>
          <cell r="CU237" t="str">
            <v/>
          </cell>
          <cell r="CV237" t="str">
            <v/>
          </cell>
          <cell r="CW237">
            <v>0</v>
          </cell>
          <cell r="CX237">
            <v>0</v>
          </cell>
          <cell r="CY237">
            <v>1</v>
          </cell>
          <cell r="CZ237">
            <v>4</v>
          </cell>
          <cell r="DA237">
            <v>0</v>
          </cell>
          <cell r="DB237">
            <v>0</v>
          </cell>
          <cell r="DC237" t="str">
            <v>⑦</v>
          </cell>
        </row>
        <row r="238">
          <cell r="CR238" t="str">
            <v xml:space="preserve">  RF</v>
          </cell>
          <cell r="CS238" t="str">
            <v/>
          </cell>
          <cell r="CT238" t="str">
            <v/>
          </cell>
          <cell r="CU238" t="str">
            <v/>
          </cell>
          <cell r="CV238" t="str">
            <v/>
          </cell>
          <cell r="CW238">
            <v>0</v>
          </cell>
          <cell r="CX238">
            <v>0</v>
          </cell>
          <cell r="CY238">
            <v>1</v>
          </cell>
          <cell r="CZ238">
            <v>5</v>
          </cell>
          <cell r="DA238">
            <v>0</v>
          </cell>
          <cell r="DB238">
            <v>0</v>
          </cell>
          <cell r="DC238" t="str">
            <v>⑦</v>
          </cell>
        </row>
        <row r="239">
          <cell r="CR239" t="str">
            <v xml:space="preserve">  RF</v>
          </cell>
          <cell r="CS239" t="str">
            <v/>
          </cell>
          <cell r="CT239" t="str">
            <v/>
          </cell>
          <cell r="CU239" t="str">
            <v/>
          </cell>
          <cell r="CV239" t="str">
            <v/>
          </cell>
          <cell r="CW239">
            <v>0</v>
          </cell>
          <cell r="CX239">
            <v>0</v>
          </cell>
          <cell r="CY239">
            <v>1</v>
          </cell>
          <cell r="CZ239">
            <v>6</v>
          </cell>
          <cell r="DA239">
            <v>0</v>
          </cell>
          <cell r="DB239">
            <v>0</v>
          </cell>
          <cell r="DC239" t="str">
            <v>⑦</v>
          </cell>
        </row>
        <row r="240">
          <cell r="CR240" t="str">
            <v xml:space="preserve">  RF</v>
          </cell>
          <cell r="CS240" t="str">
            <v/>
          </cell>
          <cell r="CT240" t="str">
            <v/>
          </cell>
          <cell r="CU240" t="str">
            <v/>
          </cell>
          <cell r="CV240" t="str">
            <v/>
          </cell>
          <cell r="CW240">
            <v>0</v>
          </cell>
          <cell r="CX240">
            <v>0</v>
          </cell>
          <cell r="CY240">
            <v>1</v>
          </cell>
          <cell r="CZ240">
            <v>7</v>
          </cell>
          <cell r="DA240">
            <v>0</v>
          </cell>
          <cell r="DB240">
            <v>0</v>
          </cell>
          <cell r="DC240" t="str">
            <v>⑦</v>
          </cell>
        </row>
        <row r="241">
          <cell r="CR241" t="str">
            <v xml:space="preserve">  RF</v>
          </cell>
          <cell r="CS241" t="str">
            <v/>
          </cell>
          <cell r="CT241" t="str">
            <v/>
          </cell>
          <cell r="CU241" t="str">
            <v/>
          </cell>
          <cell r="CV241" t="str">
            <v/>
          </cell>
          <cell r="CW241">
            <v>0</v>
          </cell>
          <cell r="CX241">
            <v>0</v>
          </cell>
          <cell r="CY241">
            <v>1</v>
          </cell>
          <cell r="CZ241">
            <v>8</v>
          </cell>
          <cell r="DA241">
            <v>0</v>
          </cell>
          <cell r="DB241">
            <v>0</v>
          </cell>
          <cell r="DC241" t="str">
            <v>⑦</v>
          </cell>
        </row>
        <row r="242">
          <cell r="CR242" t="str">
            <v xml:space="preserve">  RF</v>
          </cell>
          <cell r="CS242" t="str">
            <v/>
          </cell>
          <cell r="CT242" t="str">
            <v/>
          </cell>
          <cell r="CU242" t="str">
            <v/>
          </cell>
          <cell r="CV242" t="str">
            <v/>
          </cell>
          <cell r="CW242">
            <v>0</v>
          </cell>
          <cell r="CX242">
            <v>0</v>
          </cell>
          <cell r="CY242">
            <v>1</v>
          </cell>
          <cell r="CZ242">
            <v>9</v>
          </cell>
          <cell r="DA242">
            <v>0</v>
          </cell>
          <cell r="DB242">
            <v>0</v>
          </cell>
          <cell r="DC242" t="str">
            <v>⑦</v>
          </cell>
        </row>
        <row r="243">
          <cell r="CR243" t="str">
            <v xml:space="preserve">  RF</v>
          </cell>
          <cell r="CS243" t="str">
            <v/>
          </cell>
          <cell r="CT243" t="str">
            <v/>
          </cell>
          <cell r="CU243" t="str">
            <v/>
          </cell>
          <cell r="CV243" t="str">
            <v/>
          </cell>
          <cell r="CW243">
            <v>0</v>
          </cell>
          <cell r="CX243">
            <v>0</v>
          </cell>
          <cell r="CY243">
            <v>1</v>
          </cell>
          <cell r="CZ243">
            <v>10</v>
          </cell>
          <cell r="DA243">
            <v>0</v>
          </cell>
          <cell r="DB243">
            <v>0</v>
          </cell>
          <cell r="DC243" t="str">
            <v>⑦</v>
          </cell>
        </row>
        <row r="244">
          <cell r="CR244" t="str">
            <v xml:space="preserve">  RF</v>
          </cell>
          <cell r="CS244" t="str">
            <v/>
          </cell>
          <cell r="CT244" t="str">
            <v/>
          </cell>
          <cell r="CU244" t="str">
            <v/>
          </cell>
          <cell r="CV244" t="str">
            <v/>
          </cell>
          <cell r="CW244">
            <v>0</v>
          </cell>
          <cell r="CX244">
            <v>0</v>
          </cell>
          <cell r="CY244">
            <v>1</v>
          </cell>
          <cell r="CZ244">
            <v>11</v>
          </cell>
          <cell r="DA244">
            <v>0</v>
          </cell>
          <cell r="DB244">
            <v>0</v>
          </cell>
          <cell r="DC244" t="str">
            <v>⑦</v>
          </cell>
        </row>
        <row r="245">
          <cell r="CR245" t="str">
            <v xml:space="preserve">  RF</v>
          </cell>
          <cell r="CS245" t="str">
            <v/>
          </cell>
          <cell r="CT245" t="str">
            <v/>
          </cell>
          <cell r="CU245" t="str">
            <v/>
          </cell>
          <cell r="CV245" t="str">
            <v/>
          </cell>
          <cell r="CW245">
            <v>0</v>
          </cell>
          <cell r="CX245">
            <v>0</v>
          </cell>
          <cell r="CY245">
            <v>1</v>
          </cell>
          <cell r="CZ245">
            <v>12</v>
          </cell>
          <cell r="DA245">
            <v>0</v>
          </cell>
          <cell r="DB245">
            <v>0</v>
          </cell>
          <cell r="DC245" t="str">
            <v>⑦</v>
          </cell>
        </row>
        <row r="246">
          <cell r="CR246" t="str">
            <v xml:space="preserve">  RF</v>
          </cell>
          <cell r="CS246" t="str">
            <v/>
          </cell>
          <cell r="CT246" t="str">
            <v/>
          </cell>
          <cell r="CU246" t="str">
            <v/>
          </cell>
          <cell r="CV246" t="str">
            <v/>
          </cell>
          <cell r="CW246">
            <v>0</v>
          </cell>
          <cell r="CX246">
            <v>0</v>
          </cell>
          <cell r="CY246">
            <v>1</v>
          </cell>
          <cell r="CZ246">
            <v>13</v>
          </cell>
          <cell r="DA246">
            <v>0</v>
          </cell>
          <cell r="DB246">
            <v>0</v>
          </cell>
          <cell r="DC246" t="str">
            <v>⑦</v>
          </cell>
        </row>
        <row r="247">
          <cell r="CR247" t="str">
            <v xml:space="preserve">  RF</v>
          </cell>
          <cell r="CS247" t="str">
            <v/>
          </cell>
          <cell r="CT247" t="str">
            <v/>
          </cell>
          <cell r="CU247" t="str">
            <v/>
          </cell>
          <cell r="CV247" t="str">
            <v/>
          </cell>
          <cell r="CW247">
            <v>0</v>
          </cell>
          <cell r="CX247">
            <v>0</v>
          </cell>
          <cell r="CY247">
            <v>1</v>
          </cell>
          <cell r="CZ247">
            <v>14</v>
          </cell>
          <cell r="DA247">
            <v>0</v>
          </cell>
          <cell r="DB247">
            <v>0</v>
          </cell>
          <cell r="DC247" t="str">
            <v>⑦</v>
          </cell>
        </row>
        <row r="248">
          <cell r="CR248" t="str">
            <v xml:space="preserve">  RF</v>
          </cell>
          <cell r="CS248" t="str">
            <v/>
          </cell>
          <cell r="CT248" t="str">
            <v/>
          </cell>
          <cell r="CU248" t="str">
            <v/>
          </cell>
          <cell r="CV248" t="str">
            <v/>
          </cell>
          <cell r="CW248">
            <v>0</v>
          </cell>
          <cell r="CX248">
            <v>0</v>
          </cell>
          <cell r="CY248">
            <v>1</v>
          </cell>
          <cell r="CZ248">
            <v>15</v>
          </cell>
          <cell r="DA248">
            <v>0</v>
          </cell>
          <cell r="DB248">
            <v>0</v>
          </cell>
          <cell r="DC248" t="str">
            <v>⑦</v>
          </cell>
        </row>
        <row r="249">
          <cell r="CR249" t="str">
            <v xml:space="preserve">  RF</v>
          </cell>
          <cell r="CS249" t="str">
            <v/>
          </cell>
          <cell r="CT249" t="str">
            <v/>
          </cell>
          <cell r="CU249" t="str">
            <v/>
          </cell>
          <cell r="CV249" t="str">
            <v/>
          </cell>
          <cell r="CW249">
            <v>0</v>
          </cell>
          <cell r="CX249">
            <v>0</v>
          </cell>
          <cell r="CY249">
            <v>1</v>
          </cell>
          <cell r="CZ249">
            <v>16</v>
          </cell>
          <cell r="DA249">
            <v>0</v>
          </cell>
          <cell r="DB249">
            <v>0</v>
          </cell>
          <cell r="DC249" t="str">
            <v>⑦</v>
          </cell>
        </row>
        <row r="250">
          <cell r="CR250" t="str">
            <v xml:space="preserve">  RF</v>
          </cell>
          <cell r="CS250" t="str">
            <v/>
          </cell>
          <cell r="CT250" t="str">
            <v/>
          </cell>
          <cell r="CU250" t="str">
            <v/>
          </cell>
          <cell r="CV250" t="str">
            <v/>
          </cell>
          <cell r="CW250">
            <v>0</v>
          </cell>
          <cell r="CX250">
            <v>0</v>
          </cell>
          <cell r="CY250">
            <v>1</v>
          </cell>
          <cell r="CZ250">
            <v>17</v>
          </cell>
          <cell r="DA250">
            <v>0</v>
          </cell>
          <cell r="DB250">
            <v>0</v>
          </cell>
          <cell r="DC250" t="str">
            <v>⑦</v>
          </cell>
        </row>
        <row r="251">
          <cell r="CR251" t="str">
            <v xml:space="preserve">  RF</v>
          </cell>
          <cell r="CS251" t="str">
            <v/>
          </cell>
          <cell r="CT251" t="str">
            <v/>
          </cell>
          <cell r="CU251" t="str">
            <v/>
          </cell>
          <cell r="CV251" t="str">
            <v/>
          </cell>
          <cell r="CW251">
            <v>0</v>
          </cell>
          <cell r="CX251">
            <v>0</v>
          </cell>
          <cell r="CY251">
            <v>1</v>
          </cell>
          <cell r="CZ251">
            <v>18</v>
          </cell>
          <cell r="DA251">
            <v>0</v>
          </cell>
          <cell r="DB251">
            <v>0</v>
          </cell>
          <cell r="DC251" t="str">
            <v>⑦</v>
          </cell>
        </row>
        <row r="252">
          <cell r="CR252" t="str">
            <v xml:space="preserve">  RF</v>
          </cell>
          <cell r="CS252" t="str">
            <v/>
          </cell>
          <cell r="CT252" t="str">
            <v/>
          </cell>
          <cell r="CU252" t="str">
            <v/>
          </cell>
          <cell r="CV252" t="str">
            <v/>
          </cell>
          <cell r="CW252">
            <v>0</v>
          </cell>
          <cell r="CX252">
            <v>0</v>
          </cell>
          <cell r="CY252">
            <v>1</v>
          </cell>
          <cell r="CZ252">
            <v>19</v>
          </cell>
          <cell r="DA252">
            <v>0</v>
          </cell>
          <cell r="DB252">
            <v>0</v>
          </cell>
          <cell r="DC252" t="str">
            <v>⑦</v>
          </cell>
        </row>
        <row r="253">
          <cell r="CR253" t="str">
            <v xml:space="preserve">  RF</v>
          </cell>
          <cell r="CS253" t="str">
            <v/>
          </cell>
          <cell r="CT253" t="str">
            <v/>
          </cell>
          <cell r="CU253" t="str">
            <v/>
          </cell>
          <cell r="CV253" t="str">
            <v/>
          </cell>
          <cell r="CW253">
            <v>0</v>
          </cell>
          <cell r="CX253">
            <v>0</v>
          </cell>
          <cell r="CY253">
            <v>1</v>
          </cell>
          <cell r="CZ253">
            <v>20</v>
          </cell>
          <cell r="DA253">
            <v>0</v>
          </cell>
          <cell r="DB253">
            <v>0</v>
          </cell>
          <cell r="DC253" t="str">
            <v>⑦</v>
          </cell>
        </row>
      </sheetData>
      <sheetData sheetId="10" refreshError="1"/>
      <sheetData sheetId="11">
        <row r="196">
          <cell r="BY196" t="str">
            <v/>
          </cell>
          <cell r="BZ196">
            <v>0</v>
          </cell>
          <cell r="CB196">
            <v>0</v>
          </cell>
          <cell r="CD196">
            <v>0</v>
          </cell>
        </row>
        <row r="197">
          <cell r="BY197" t="str">
            <v/>
          </cell>
          <cell r="BZ197">
            <v>0</v>
          </cell>
          <cell r="CB197">
            <v>0</v>
          </cell>
          <cell r="CD197" t="str">
            <v/>
          </cell>
        </row>
        <row r="198">
          <cell r="BY198" t="str">
            <v/>
          </cell>
          <cell r="BZ198">
            <v>0</v>
          </cell>
          <cell r="CB198">
            <v>0</v>
          </cell>
          <cell r="CD198" t="str">
            <v/>
          </cell>
        </row>
        <row r="199">
          <cell r="BY199" t="str">
            <v/>
          </cell>
          <cell r="BZ199">
            <v>0</v>
          </cell>
          <cell r="CB199">
            <v>0</v>
          </cell>
          <cell r="CD199" t="str">
            <v/>
          </cell>
        </row>
        <row r="200">
          <cell r="BY200" t="str">
            <v/>
          </cell>
          <cell r="BZ200">
            <v>0</v>
          </cell>
          <cell r="CB200">
            <v>0</v>
          </cell>
          <cell r="CD200" t="str">
            <v/>
          </cell>
        </row>
        <row r="201">
          <cell r="BY201" t="str">
            <v/>
          </cell>
          <cell r="BZ201">
            <v>0</v>
          </cell>
          <cell r="CB201">
            <v>0</v>
          </cell>
          <cell r="CD201" t="str">
            <v/>
          </cell>
        </row>
        <row r="202">
          <cell r="BY202" t="str">
            <v/>
          </cell>
          <cell r="BZ202">
            <v>0</v>
          </cell>
          <cell r="CB202">
            <v>0</v>
          </cell>
          <cell r="CD202" t="str">
            <v/>
          </cell>
        </row>
        <row r="203">
          <cell r="BY203" t="str">
            <v/>
          </cell>
          <cell r="BZ203">
            <v>0</v>
          </cell>
          <cell r="CB203">
            <v>0</v>
          </cell>
          <cell r="CD203" t="str">
            <v/>
          </cell>
        </row>
        <row r="204">
          <cell r="BY204" t="str">
            <v/>
          </cell>
          <cell r="BZ204">
            <v>0</v>
          </cell>
          <cell r="CB204">
            <v>0</v>
          </cell>
          <cell r="CD204" t="str">
            <v/>
          </cell>
        </row>
        <row r="205">
          <cell r="BY205" t="str">
            <v/>
          </cell>
          <cell r="BZ205">
            <v>0</v>
          </cell>
          <cell r="CB205">
            <v>0</v>
          </cell>
          <cell r="CD205" t="str">
            <v/>
          </cell>
        </row>
        <row r="206">
          <cell r="BY206" t="str">
            <v/>
          </cell>
          <cell r="BZ206">
            <v>0</v>
          </cell>
          <cell r="CB206">
            <v>0</v>
          </cell>
          <cell r="CD206" t="str">
            <v/>
          </cell>
        </row>
        <row r="207">
          <cell r="BY207" t="str">
            <v/>
          </cell>
          <cell r="BZ207">
            <v>0</v>
          </cell>
          <cell r="CB207">
            <v>0</v>
          </cell>
          <cell r="CD207" t="str">
            <v/>
          </cell>
        </row>
        <row r="208">
          <cell r="BY208" t="str">
            <v/>
          </cell>
          <cell r="BZ208">
            <v>0</v>
          </cell>
          <cell r="CB208">
            <v>0</v>
          </cell>
          <cell r="CD208" t="str">
            <v/>
          </cell>
        </row>
        <row r="209">
          <cell r="BY209" t="str">
            <v/>
          </cell>
          <cell r="BZ209">
            <v>0</v>
          </cell>
          <cell r="CB209">
            <v>0</v>
          </cell>
          <cell r="CD209" t="str">
            <v/>
          </cell>
        </row>
        <row r="210">
          <cell r="BY210" t="str">
            <v/>
          </cell>
          <cell r="BZ210">
            <v>0</v>
          </cell>
          <cell r="CB210">
            <v>0</v>
          </cell>
          <cell r="CD210" t="str">
            <v/>
          </cell>
        </row>
        <row r="211">
          <cell r="BY211" t="str">
            <v/>
          </cell>
          <cell r="BZ211">
            <v>0</v>
          </cell>
          <cell r="CB211">
            <v>0</v>
          </cell>
          <cell r="CD211" t="str">
            <v/>
          </cell>
        </row>
        <row r="212">
          <cell r="BY212" t="str">
            <v/>
          </cell>
          <cell r="BZ212">
            <v>0</v>
          </cell>
          <cell r="CB212">
            <v>0</v>
          </cell>
          <cell r="CD212" t="str">
            <v/>
          </cell>
        </row>
        <row r="213">
          <cell r="BY213" t="str">
            <v/>
          </cell>
          <cell r="BZ213">
            <v>0</v>
          </cell>
          <cell r="CB213">
            <v>0</v>
          </cell>
          <cell r="CD213" t="str">
            <v/>
          </cell>
        </row>
        <row r="214">
          <cell r="BY214" t="str">
            <v/>
          </cell>
          <cell r="BZ214">
            <v>0</v>
          </cell>
          <cell r="CB214">
            <v>0</v>
          </cell>
          <cell r="CD214" t="str">
            <v/>
          </cell>
        </row>
        <row r="215">
          <cell r="BY215" t="str">
            <v/>
          </cell>
          <cell r="BZ215">
            <v>0</v>
          </cell>
          <cell r="CB215">
            <v>0</v>
          </cell>
          <cell r="CD215" t="str">
            <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E5" t="str">
            <v>G-16mm</v>
          </cell>
          <cell r="F5" t="str">
            <v>ｍ</v>
          </cell>
          <cell r="G5">
            <v>795</v>
          </cell>
          <cell r="H5">
            <v>217</v>
          </cell>
          <cell r="I5">
            <v>785</v>
          </cell>
          <cell r="J5">
            <v>214</v>
          </cell>
          <cell r="K5">
            <v>785</v>
          </cell>
          <cell r="L5">
            <v>214</v>
          </cell>
          <cell r="M5">
            <v>785</v>
          </cell>
          <cell r="N5">
            <v>214</v>
          </cell>
          <cell r="O5">
            <v>785</v>
          </cell>
          <cell r="P5">
            <v>214</v>
          </cell>
          <cell r="Q5">
            <v>785</v>
          </cell>
          <cell r="R5">
            <v>214</v>
          </cell>
          <cell r="S5">
            <v>785</v>
          </cell>
          <cell r="T5">
            <v>214</v>
          </cell>
          <cell r="U5">
            <v>785</v>
          </cell>
          <cell r="V5">
            <v>214</v>
          </cell>
          <cell r="W5">
            <v>785</v>
          </cell>
          <cell r="X5">
            <v>214</v>
          </cell>
          <cell r="Y5">
            <v>795</v>
          </cell>
          <cell r="Z5">
            <v>217</v>
          </cell>
          <cell r="AD5">
            <v>0.06</v>
          </cell>
        </row>
        <row r="6">
          <cell r="E6" t="str">
            <v>G-22mm</v>
          </cell>
          <cell r="F6" t="str">
            <v>ｍ</v>
          </cell>
          <cell r="G6">
            <v>1060</v>
          </cell>
          <cell r="H6">
            <v>289</v>
          </cell>
          <cell r="I6">
            <v>1040</v>
          </cell>
          <cell r="J6">
            <v>284</v>
          </cell>
          <cell r="K6">
            <v>1040</v>
          </cell>
          <cell r="L6">
            <v>284</v>
          </cell>
          <cell r="M6">
            <v>1040</v>
          </cell>
          <cell r="N6">
            <v>284</v>
          </cell>
          <cell r="O6">
            <v>1040</v>
          </cell>
          <cell r="P6">
            <v>284</v>
          </cell>
          <cell r="Q6">
            <v>1040</v>
          </cell>
          <cell r="R6">
            <v>284</v>
          </cell>
          <cell r="S6">
            <v>1040</v>
          </cell>
          <cell r="T6">
            <v>284</v>
          </cell>
          <cell r="U6">
            <v>1040</v>
          </cell>
          <cell r="V6">
            <v>284</v>
          </cell>
          <cell r="W6">
            <v>1040</v>
          </cell>
          <cell r="X6">
            <v>284</v>
          </cell>
          <cell r="Y6">
            <v>1060</v>
          </cell>
          <cell r="Z6">
            <v>289</v>
          </cell>
          <cell r="AD6">
            <v>0.08</v>
          </cell>
        </row>
        <row r="7">
          <cell r="E7" t="str">
            <v>G-28mm</v>
          </cell>
          <cell r="F7" t="str">
            <v>ｍ</v>
          </cell>
          <cell r="G7">
            <v>1420</v>
          </cell>
          <cell r="H7">
            <v>387</v>
          </cell>
          <cell r="I7">
            <v>1400</v>
          </cell>
          <cell r="J7">
            <v>382</v>
          </cell>
          <cell r="K7">
            <v>1400</v>
          </cell>
          <cell r="L7">
            <v>382</v>
          </cell>
          <cell r="M7">
            <v>1400</v>
          </cell>
          <cell r="N7">
            <v>382</v>
          </cell>
          <cell r="O7">
            <v>1400</v>
          </cell>
          <cell r="P7">
            <v>382</v>
          </cell>
          <cell r="Q7">
            <v>1400</v>
          </cell>
          <cell r="R7">
            <v>382</v>
          </cell>
          <cell r="S7">
            <v>1400</v>
          </cell>
          <cell r="T7">
            <v>382</v>
          </cell>
          <cell r="U7">
            <v>1400</v>
          </cell>
          <cell r="V7">
            <v>382</v>
          </cell>
          <cell r="W7">
            <v>1400</v>
          </cell>
          <cell r="X7">
            <v>382</v>
          </cell>
          <cell r="Y7">
            <v>1420</v>
          </cell>
          <cell r="Z7">
            <v>387</v>
          </cell>
          <cell r="AD7">
            <v>0.10299999999999999</v>
          </cell>
        </row>
        <row r="8">
          <cell r="E8" t="str">
            <v>G-36mm</v>
          </cell>
          <cell r="F8" t="str">
            <v>ｍ</v>
          </cell>
          <cell r="G8">
            <v>1820</v>
          </cell>
          <cell r="H8">
            <v>497</v>
          </cell>
          <cell r="I8">
            <v>1790</v>
          </cell>
          <cell r="J8">
            <v>489</v>
          </cell>
          <cell r="K8">
            <v>1790</v>
          </cell>
          <cell r="L8">
            <v>489</v>
          </cell>
          <cell r="M8">
            <v>1790</v>
          </cell>
          <cell r="N8">
            <v>489</v>
          </cell>
          <cell r="O8">
            <v>1790</v>
          </cell>
          <cell r="P8">
            <v>489</v>
          </cell>
          <cell r="Q8">
            <v>1790</v>
          </cell>
          <cell r="R8">
            <v>489</v>
          </cell>
          <cell r="S8">
            <v>1790</v>
          </cell>
          <cell r="T8">
            <v>489</v>
          </cell>
          <cell r="U8">
            <v>1780</v>
          </cell>
          <cell r="V8">
            <v>486</v>
          </cell>
          <cell r="W8">
            <v>1790</v>
          </cell>
          <cell r="X8">
            <v>489</v>
          </cell>
          <cell r="Y8">
            <v>1820</v>
          </cell>
          <cell r="Z8">
            <v>497</v>
          </cell>
          <cell r="AD8">
            <v>0.124</v>
          </cell>
        </row>
        <row r="9">
          <cell r="E9" t="str">
            <v>G-42mm</v>
          </cell>
          <cell r="F9" t="str">
            <v>ｍ</v>
          </cell>
          <cell r="G9">
            <v>2120</v>
          </cell>
          <cell r="H9">
            <v>579</v>
          </cell>
          <cell r="I9">
            <v>2090</v>
          </cell>
          <cell r="J9">
            <v>571</v>
          </cell>
          <cell r="K9">
            <v>2090</v>
          </cell>
          <cell r="L9">
            <v>571</v>
          </cell>
          <cell r="M9">
            <v>2090</v>
          </cell>
          <cell r="N9">
            <v>571</v>
          </cell>
          <cell r="O9">
            <v>2090</v>
          </cell>
          <cell r="P9">
            <v>571</v>
          </cell>
          <cell r="Q9">
            <v>2090</v>
          </cell>
          <cell r="R9">
            <v>571</v>
          </cell>
          <cell r="S9">
            <v>2090</v>
          </cell>
          <cell r="T9">
            <v>571</v>
          </cell>
          <cell r="U9">
            <v>2090</v>
          </cell>
          <cell r="V9">
            <v>571</v>
          </cell>
          <cell r="W9">
            <v>2090</v>
          </cell>
          <cell r="X9">
            <v>571</v>
          </cell>
          <cell r="Y9">
            <v>2120</v>
          </cell>
          <cell r="Z9">
            <v>579</v>
          </cell>
          <cell r="AD9">
            <v>0.17</v>
          </cell>
        </row>
        <row r="10">
          <cell r="E10" t="str">
            <v>G-54mm</v>
          </cell>
          <cell r="F10" t="str">
            <v>ｍ</v>
          </cell>
          <cell r="G10">
            <v>3030</v>
          </cell>
          <cell r="H10">
            <v>827</v>
          </cell>
          <cell r="I10">
            <v>2980</v>
          </cell>
          <cell r="J10">
            <v>814</v>
          </cell>
          <cell r="K10">
            <v>2980</v>
          </cell>
          <cell r="L10">
            <v>814</v>
          </cell>
          <cell r="M10">
            <v>2980</v>
          </cell>
          <cell r="N10">
            <v>814</v>
          </cell>
          <cell r="O10">
            <v>2980</v>
          </cell>
          <cell r="P10">
            <v>814</v>
          </cell>
          <cell r="Q10">
            <v>2980</v>
          </cell>
          <cell r="R10">
            <v>814</v>
          </cell>
          <cell r="S10">
            <v>2980</v>
          </cell>
          <cell r="T10">
            <v>814</v>
          </cell>
          <cell r="U10">
            <v>2980</v>
          </cell>
          <cell r="V10">
            <v>814</v>
          </cell>
          <cell r="W10">
            <v>2980</v>
          </cell>
          <cell r="X10">
            <v>814</v>
          </cell>
          <cell r="Y10">
            <v>3030</v>
          </cell>
          <cell r="Z10">
            <v>827</v>
          </cell>
          <cell r="AD10">
            <v>0.22900000000000001</v>
          </cell>
        </row>
        <row r="11">
          <cell r="E11" t="str">
            <v>G-70mm</v>
          </cell>
          <cell r="F11" t="str">
            <v>ｍ</v>
          </cell>
          <cell r="G11">
            <v>4340</v>
          </cell>
          <cell r="H11">
            <v>1185</v>
          </cell>
          <cell r="I11">
            <v>4280</v>
          </cell>
          <cell r="J11">
            <v>1169</v>
          </cell>
          <cell r="K11">
            <v>4280</v>
          </cell>
          <cell r="L11">
            <v>1169</v>
          </cell>
          <cell r="M11">
            <v>4280</v>
          </cell>
          <cell r="N11">
            <v>1169</v>
          </cell>
          <cell r="O11">
            <v>4280</v>
          </cell>
          <cell r="P11">
            <v>1169</v>
          </cell>
          <cell r="Q11">
            <v>4280</v>
          </cell>
          <cell r="R11">
            <v>1169</v>
          </cell>
          <cell r="S11">
            <v>4280</v>
          </cell>
          <cell r="T11">
            <v>1169</v>
          </cell>
          <cell r="U11">
            <v>4280</v>
          </cell>
          <cell r="V11">
            <v>1169</v>
          </cell>
          <cell r="W11">
            <v>4280</v>
          </cell>
          <cell r="X11">
            <v>1169</v>
          </cell>
          <cell r="Y11">
            <v>4340</v>
          </cell>
          <cell r="Z11">
            <v>1185</v>
          </cell>
          <cell r="AD11">
            <v>0.26600000000000001</v>
          </cell>
        </row>
        <row r="12">
          <cell r="E12" t="str">
            <v>G-82mm</v>
          </cell>
          <cell r="F12" t="str">
            <v>ｍ</v>
          </cell>
          <cell r="G12">
            <v>5260</v>
          </cell>
          <cell r="H12">
            <v>1437</v>
          </cell>
          <cell r="I12">
            <v>5180</v>
          </cell>
          <cell r="J12">
            <v>1415</v>
          </cell>
          <cell r="K12">
            <v>5180</v>
          </cell>
          <cell r="L12">
            <v>1415</v>
          </cell>
          <cell r="M12">
            <v>5180</v>
          </cell>
          <cell r="N12">
            <v>1415</v>
          </cell>
          <cell r="O12">
            <v>5180</v>
          </cell>
          <cell r="P12">
            <v>1415</v>
          </cell>
          <cell r="Q12">
            <v>5180</v>
          </cell>
          <cell r="R12">
            <v>1415</v>
          </cell>
          <cell r="S12">
            <v>5180</v>
          </cell>
          <cell r="T12">
            <v>1415</v>
          </cell>
          <cell r="U12">
            <v>5180</v>
          </cell>
          <cell r="V12">
            <v>1415</v>
          </cell>
          <cell r="W12">
            <v>5180</v>
          </cell>
          <cell r="X12">
            <v>1415</v>
          </cell>
          <cell r="Y12">
            <v>5260</v>
          </cell>
          <cell r="Z12">
            <v>1437</v>
          </cell>
          <cell r="AD12">
            <v>0.32300000000000001</v>
          </cell>
        </row>
        <row r="13">
          <cell r="E13" t="str">
            <v>G-92mm</v>
          </cell>
          <cell r="F13" t="str">
            <v>ｍ</v>
          </cell>
          <cell r="G13">
            <v>8520</v>
          </cell>
          <cell r="H13">
            <v>2327</v>
          </cell>
          <cell r="I13">
            <v>8340</v>
          </cell>
          <cell r="J13">
            <v>2278</v>
          </cell>
          <cell r="K13">
            <v>8340</v>
          </cell>
          <cell r="L13">
            <v>2278</v>
          </cell>
          <cell r="M13">
            <v>8340</v>
          </cell>
          <cell r="N13">
            <v>2278</v>
          </cell>
          <cell r="O13">
            <v>8340</v>
          </cell>
          <cell r="P13">
            <v>2278</v>
          </cell>
          <cell r="Q13">
            <v>8340</v>
          </cell>
          <cell r="R13">
            <v>2278</v>
          </cell>
          <cell r="S13">
            <v>8340</v>
          </cell>
          <cell r="T13">
            <v>2278</v>
          </cell>
          <cell r="U13">
            <v>8340</v>
          </cell>
          <cell r="V13">
            <v>2278</v>
          </cell>
          <cell r="W13">
            <v>8340</v>
          </cell>
          <cell r="X13">
            <v>2278</v>
          </cell>
          <cell r="Y13">
            <v>8520</v>
          </cell>
          <cell r="Z13">
            <v>2327</v>
          </cell>
          <cell r="AD13">
            <v>0.36</v>
          </cell>
        </row>
        <row r="14">
          <cell r="E14" t="str">
            <v>G-104mm</v>
          </cell>
          <cell r="F14" t="str">
            <v>ｍ</v>
          </cell>
          <cell r="G14">
            <v>9740</v>
          </cell>
          <cell r="H14">
            <v>2661</v>
          </cell>
          <cell r="I14">
            <v>9540</v>
          </cell>
          <cell r="J14">
            <v>2606</v>
          </cell>
          <cell r="K14">
            <v>9540</v>
          </cell>
          <cell r="L14">
            <v>2606</v>
          </cell>
          <cell r="M14">
            <v>9540</v>
          </cell>
          <cell r="N14">
            <v>2606</v>
          </cell>
          <cell r="O14">
            <v>9540</v>
          </cell>
          <cell r="P14">
            <v>2606</v>
          </cell>
          <cell r="Q14">
            <v>9540</v>
          </cell>
          <cell r="R14">
            <v>2606</v>
          </cell>
          <cell r="S14">
            <v>9540</v>
          </cell>
          <cell r="T14">
            <v>2606</v>
          </cell>
          <cell r="U14">
            <v>9540</v>
          </cell>
          <cell r="V14">
            <v>2606</v>
          </cell>
          <cell r="W14">
            <v>9540</v>
          </cell>
          <cell r="X14">
            <v>2606</v>
          </cell>
          <cell r="Y14">
            <v>9740</v>
          </cell>
          <cell r="Z14">
            <v>2661</v>
          </cell>
          <cell r="AD14">
            <v>0.40200000000000002</v>
          </cell>
        </row>
        <row r="15">
          <cell r="E15" t="str">
            <v>C-19mm</v>
          </cell>
          <cell r="F15" t="str">
            <v>ｍ</v>
          </cell>
          <cell r="G15">
            <v>506</v>
          </cell>
          <cell r="H15">
            <v>138</v>
          </cell>
          <cell r="I15">
            <v>495</v>
          </cell>
          <cell r="J15">
            <v>135</v>
          </cell>
          <cell r="K15">
            <v>495</v>
          </cell>
          <cell r="L15">
            <v>135</v>
          </cell>
          <cell r="M15">
            <v>495</v>
          </cell>
          <cell r="N15">
            <v>135</v>
          </cell>
          <cell r="O15">
            <v>495</v>
          </cell>
          <cell r="P15">
            <v>135</v>
          </cell>
          <cell r="Q15">
            <v>495</v>
          </cell>
          <cell r="R15">
            <v>135</v>
          </cell>
          <cell r="S15">
            <v>495</v>
          </cell>
          <cell r="T15">
            <v>135</v>
          </cell>
          <cell r="U15">
            <v>495</v>
          </cell>
          <cell r="V15">
            <v>135</v>
          </cell>
          <cell r="W15">
            <v>495</v>
          </cell>
          <cell r="X15">
            <v>135</v>
          </cell>
          <cell r="Y15">
            <v>505</v>
          </cell>
          <cell r="Z15">
            <v>137</v>
          </cell>
          <cell r="AD15">
            <v>5.1999999999999998E-2</v>
          </cell>
        </row>
        <row r="16">
          <cell r="E16" t="str">
            <v>C-25mm</v>
          </cell>
          <cell r="F16" t="str">
            <v>ｍ</v>
          </cell>
          <cell r="G16">
            <v>705</v>
          </cell>
          <cell r="H16">
            <v>192</v>
          </cell>
          <cell r="I16">
            <v>695</v>
          </cell>
          <cell r="J16">
            <v>189</v>
          </cell>
          <cell r="K16">
            <v>695</v>
          </cell>
          <cell r="L16">
            <v>189</v>
          </cell>
          <cell r="M16">
            <v>695</v>
          </cell>
          <cell r="N16">
            <v>189</v>
          </cell>
          <cell r="O16">
            <v>695</v>
          </cell>
          <cell r="P16">
            <v>189</v>
          </cell>
          <cell r="Q16">
            <v>695</v>
          </cell>
          <cell r="R16">
            <v>189</v>
          </cell>
          <cell r="S16">
            <v>695</v>
          </cell>
          <cell r="T16">
            <v>189</v>
          </cell>
          <cell r="U16">
            <v>695</v>
          </cell>
          <cell r="V16">
            <v>189</v>
          </cell>
          <cell r="W16">
            <v>695</v>
          </cell>
          <cell r="X16">
            <v>189</v>
          </cell>
          <cell r="Y16">
            <v>705</v>
          </cell>
          <cell r="Z16">
            <v>192</v>
          </cell>
          <cell r="AD16">
            <v>7.0000000000000007E-2</v>
          </cell>
        </row>
        <row r="17">
          <cell r="E17" t="str">
            <v>C-31mm</v>
          </cell>
          <cell r="F17" t="str">
            <v>ｍ</v>
          </cell>
          <cell r="G17">
            <v>940</v>
          </cell>
          <cell r="H17">
            <v>256</v>
          </cell>
          <cell r="I17">
            <v>925</v>
          </cell>
          <cell r="J17">
            <v>252</v>
          </cell>
          <cell r="K17">
            <v>925</v>
          </cell>
          <cell r="L17">
            <v>252</v>
          </cell>
          <cell r="M17">
            <v>925</v>
          </cell>
          <cell r="N17">
            <v>252</v>
          </cell>
          <cell r="O17">
            <v>925</v>
          </cell>
          <cell r="P17">
            <v>252</v>
          </cell>
          <cell r="Q17">
            <v>925</v>
          </cell>
          <cell r="R17">
            <v>252</v>
          </cell>
          <cell r="S17">
            <v>925</v>
          </cell>
          <cell r="T17">
            <v>252</v>
          </cell>
          <cell r="U17">
            <v>925</v>
          </cell>
          <cell r="V17">
            <v>252</v>
          </cell>
          <cell r="W17">
            <v>925</v>
          </cell>
          <cell r="X17">
            <v>252</v>
          </cell>
          <cell r="Y17">
            <v>940</v>
          </cell>
          <cell r="Z17">
            <v>256</v>
          </cell>
          <cell r="AD17">
            <v>8.8999999999999996E-2</v>
          </cell>
        </row>
        <row r="18">
          <cell r="E18" t="str">
            <v>C-39mm</v>
          </cell>
          <cell r="F18" t="str">
            <v>ｍ</v>
          </cell>
          <cell r="G18">
            <v>1090</v>
          </cell>
          <cell r="H18">
            <v>297</v>
          </cell>
          <cell r="I18">
            <v>1070</v>
          </cell>
          <cell r="J18">
            <v>292</v>
          </cell>
          <cell r="K18">
            <v>1070</v>
          </cell>
          <cell r="L18">
            <v>292</v>
          </cell>
          <cell r="M18">
            <v>1070</v>
          </cell>
          <cell r="N18">
            <v>292</v>
          </cell>
          <cell r="O18">
            <v>1070</v>
          </cell>
          <cell r="P18">
            <v>292</v>
          </cell>
          <cell r="Q18">
            <v>1070</v>
          </cell>
          <cell r="R18">
            <v>292</v>
          </cell>
          <cell r="S18">
            <v>1070</v>
          </cell>
          <cell r="T18">
            <v>292</v>
          </cell>
          <cell r="U18">
            <v>1070</v>
          </cell>
          <cell r="V18">
            <v>292</v>
          </cell>
          <cell r="W18">
            <v>1070</v>
          </cell>
          <cell r="X18">
            <v>292</v>
          </cell>
          <cell r="Y18">
            <v>1090</v>
          </cell>
          <cell r="Z18">
            <v>297</v>
          </cell>
          <cell r="AD18">
            <v>0.109</v>
          </cell>
        </row>
        <row r="19">
          <cell r="E19" t="str">
            <v>C-51mm</v>
          </cell>
          <cell r="F19" t="str">
            <v>ｍ</v>
          </cell>
          <cell r="G19">
            <v>1600</v>
          </cell>
          <cell r="H19">
            <v>437</v>
          </cell>
          <cell r="I19">
            <v>1560</v>
          </cell>
          <cell r="J19">
            <v>426</v>
          </cell>
          <cell r="K19">
            <v>1580</v>
          </cell>
          <cell r="L19">
            <v>431</v>
          </cell>
          <cell r="M19">
            <v>1580</v>
          </cell>
          <cell r="N19">
            <v>431</v>
          </cell>
          <cell r="O19">
            <v>1580</v>
          </cell>
          <cell r="P19">
            <v>431</v>
          </cell>
          <cell r="Q19">
            <v>1580</v>
          </cell>
          <cell r="R19">
            <v>431</v>
          </cell>
          <cell r="S19">
            <v>1580</v>
          </cell>
          <cell r="T19">
            <v>431</v>
          </cell>
          <cell r="U19">
            <v>1580</v>
          </cell>
          <cell r="V19">
            <v>431</v>
          </cell>
          <cell r="W19">
            <v>1580</v>
          </cell>
          <cell r="X19">
            <v>431</v>
          </cell>
          <cell r="Y19">
            <v>1600</v>
          </cell>
          <cell r="Z19">
            <v>437</v>
          </cell>
          <cell r="AD19">
            <v>0.14699999999999999</v>
          </cell>
        </row>
        <row r="20">
          <cell r="E20" t="str">
            <v>C-63mm</v>
          </cell>
          <cell r="F20" t="str">
            <v>ｍ</v>
          </cell>
          <cell r="G20">
            <v>2430</v>
          </cell>
          <cell r="H20">
            <v>663</v>
          </cell>
          <cell r="I20">
            <v>2390</v>
          </cell>
          <cell r="J20">
            <v>653</v>
          </cell>
          <cell r="K20">
            <v>2390</v>
          </cell>
          <cell r="L20">
            <v>653</v>
          </cell>
          <cell r="M20">
            <v>2390</v>
          </cell>
          <cell r="N20">
            <v>653</v>
          </cell>
          <cell r="O20">
            <v>2390</v>
          </cell>
          <cell r="P20">
            <v>653</v>
          </cell>
          <cell r="Q20">
            <v>2390</v>
          </cell>
          <cell r="R20">
            <v>653</v>
          </cell>
          <cell r="S20">
            <v>2390</v>
          </cell>
          <cell r="T20">
            <v>653</v>
          </cell>
          <cell r="U20">
            <v>2390</v>
          </cell>
          <cell r="V20">
            <v>653</v>
          </cell>
          <cell r="W20">
            <v>2390</v>
          </cell>
          <cell r="X20">
            <v>653</v>
          </cell>
          <cell r="Y20">
            <v>2430</v>
          </cell>
          <cell r="Z20">
            <v>663</v>
          </cell>
          <cell r="AD20">
            <v>0.19800000000000001</v>
          </cell>
        </row>
        <row r="21">
          <cell r="E21" t="str">
            <v>C-75mm</v>
          </cell>
          <cell r="F21" t="str">
            <v>ｍ</v>
          </cell>
          <cell r="G21">
            <v>3030</v>
          </cell>
          <cell r="H21">
            <v>827</v>
          </cell>
          <cell r="I21">
            <v>2980</v>
          </cell>
          <cell r="J21">
            <v>814</v>
          </cell>
          <cell r="K21">
            <v>2980</v>
          </cell>
          <cell r="L21">
            <v>814</v>
          </cell>
          <cell r="M21">
            <v>2980</v>
          </cell>
          <cell r="N21">
            <v>814</v>
          </cell>
          <cell r="O21">
            <v>2980</v>
          </cell>
          <cell r="P21">
            <v>814</v>
          </cell>
          <cell r="Q21">
            <v>2980</v>
          </cell>
          <cell r="R21">
            <v>814</v>
          </cell>
          <cell r="S21">
            <v>2980</v>
          </cell>
          <cell r="T21">
            <v>814</v>
          </cell>
          <cell r="U21">
            <v>2980</v>
          </cell>
          <cell r="V21">
            <v>814</v>
          </cell>
          <cell r="W21">
            <v>2980</v>
          </cell>
          <cell r="X21">
            <v>814</v>
          </cell>
          <cell r="Y21">
            <v>3030</v>
          </cell>
          <cell r="Z21">
            <v>827</v>
          </cell>
          <cell r="AD21">
            <v>0.23100000000000001</v>
          </cell>
        </row>
        <row r="22">
          <cell r="E22" t="str">
            <v>E-19mm</v>
          </cell>
          <cell r="F22" t="str">
            <v>ｍ</v>
          </cell>
          <cell r="G22">
            <v>445</v>
          </cell>
          <cell r="H22">
            <v>121</v>
          </cell>
          <cell r="I22">
            <v>440</v>
          </cell>
          <cell r="J22">
            <v>120</v>
          </cell>
          <cell r="K22">
            <v>440</v>
          </cell>
          <cell r="L22">
            <v>120</v>
          </cell>
          <cell r="M22">
            <v>440</v>
          </cell>
          <cell r="N22">
            <v>120</v>
          </cell>
          <cell r="O22">
            <v>440</v>
          </cell>
          <cell r="P22">
            <v>120</v>
          </cell>
          <cell r="Q22">
            <v>440</v>
          </cell>
          <cell r="R22">
            <v>120</v>
          </cell>
          <cell r="S22">
            <v>440</v>
          </cell>
          <cell r="T22">
            <v>120</v>
          </cell>
          <cell r="U22">
            <v>440</v>
          </cell>
          <cell r="V22">
            <v>120</v>
          </cell>
          <cell r="W22">
            <v>440</v>
          </cell>
          <cell r="X22">
            <v>120</v>
          </cell>
          <cell r="Y22">
            <v>445</v>
          </cell>
          <cell r="Z22">
            <v>121</v>
          </cell>
          <cell r="AD22">
            <v>4.2000000000000003E-2</v>
          </cell>
        </row>
        <row r="23">
          <cell r="E23" t="str">
            <v>E-25mm</v>
          </cell>
          <cell r="F23" t="str">
            <v>ｍ</v>
          </cell>
          <cell r="G23">
            <v>635</v>
          </cell>
          <cell r="H23">
            <v>173</v>
          </cell>
          <cell r="I23">
            <v>625</v>
          </cell>
          <cell r="J23">
            <v>170</v>
          </cell>
          <cell r="K23">
            <v>625</v>
          </cell>
          <cell r="L23">
            <v>170</v>
          </cell>
          <cell r="M23">
            <v>625</v>
          </cell>
          <cell r="N23">
            <v>170</v>
          </cell>
          <cell r="O23">
            <v>625</v>
          </cell>
          <cell r="P23">
            <v>170</v>
          </cell>
          <cell r="Q23">
            <v>625</v>
          </cell>
          <cell r="R23">
            <v>170</v>
          </cell>
          <cell r="S23">
            <v>625</v>
          </cell>
          <cell r="T23">
            <v>170</v>
          </cell>
          <cell r="U23">
            <v>625</v>
          </cell>
          <cell r="V23">
            <v>170</v>
          </cell>
          <cell r="W23">
            <v>625</v>
          </cell>
          <cell r="X23">
            <v>170</v>
          </cell>
          <cell r="Y23">
            <v>635</v>
          </cell>
          <cell r="Z23">
            <v>173</v>
          </cell>
          <cell r="AD23">
            <v>5.6000000000000001E-2</v>
          </cell>
        </row>
        <row r="24">
          <cell r="E24" t="str">
            <v>E-31mm</v>
          </cell>
          <cell r="F24" t="str">
            <v>ｍ</v>
          </cell>
          <cell r="G24">
            <v>880</v>
          </cell>
          <cell r="H24">
            <v>240</v>
          </cell>
          <cell r="I24">
            <v>870</v>
          </cell>
          <cell r="J24">
            <v>237</v>
          </cell>
          <cell r="K24">
            <v>870</v>
          </cell>
          <cell r="L24">
            <v>237</v>
          </cell>
          <cell r="M24">
            <v>870</v>
          </cell>
          <cell r="N24">
            <v>237</v>
          </cell>
          <cell r="O24">
            <v>870</v>
          </cell>
          <cell r="P24">
            <v>237</v>
          </cell>
          <cell r="Q24">
            <v>870</v>
          </cell>
          <cell r="R24">
            <v>237</v>
          </cell>
          <cell r="S24">
            <v>870</v>
          </cell>
          <cell r="T24">
            <v>237</v>
          </cell>
          <cell r="U24">
            <v>870</v>
          </cell>
          <cell r="V24">
            <v>237</v>
          </cell>
          <cell r="W24">
            <v>870</v>
          </cell>
          <cell r="X24">
            <v>237</v>
          </cell>
          <cell r="Y24">
            <v>880</v>
          </cell>
          <cell r="Z24">
            <v>240</v>
          </cell>
          <cell r="AD24">
            <v>7.0999999999999994E-2</v>
          </cell>
        </row>
        <row r="25">
          <cell r="E25" t="str">
            <v>E-39mm</v>
          </cell>
          <cell r="F25" t="str">
            <v>ｍ</v>
          </cell>
          <cell r="G25">
            <v>1060</v>
          </cell>
          <cell r="H25">
            <v>289</v>
          </cell>
          <cell r="I25">
            <v>1040</v>
          </cell>
          <cell r="J25">
            <v>284</v>
          </cell>
          <cell r="K25">
            <v>1040</v>
          </cell>
          <cell r="L25">
            <v>284</v>
          </cell>
          <cell r="M25">
            <v>1040</v>
          </cell>
          <cell r="N25">
            <v>284</v>
          </cell>
          <cell r="O25">
            <v>1040</v>
          </cell>
          <cell r="P25">
            <v>284</v>
          </cell>
          <cell r="Q25">
            <v>1040</v>
          </cell>
          <cell r="R25">
            <v>284</v>
          </cell>
          <cell r="S25">
            <v>1040</v>
          </cell>
          <cell r="T25">
            <v>284</v>
          </cell>
          <cell r="U25">
            <v>1040</v>
          </cell>
          <cell r="V25">
            <v>284</v>
          </cell>
          <cell r="W25">
            <v>1040</v>
          </cell>
          <cell r="X25">
            <v>284</v>
          </cell>
          <cell r="Y25">
            <v>1060</v>
          </cell>
          <cell r="Z25">
            <v>289</v>
          </cell>
          <cell r="AD25">
            <v>8.6999999999999994E-2</v>
          </cell>
        </row>
        <row r="26">
          <cell r="E26" t="str">
            <v>E-51mm</v>
          </cell>
          <cell r="F26" t="str">
            <v>ｍ</v>
          </cell>
          <cell r="G26">
            <v>1510</v>
          </cell>
          <cell r="H26">
            <v>412</v>
          </cell>
          <cell r="I26">
            <v>1480</v>
          </cell>
          <cell r="J26">
            <v>404</v>
          </cell>
          <cell r="K26">
            <v>1480</v>
          </cell>
          <cell r="L26">
            <v>404</v>
          </cell>
          <cell r="M26">
            <v>1480</v>
          </cell>
          <cell r="N26">
            <v>404</v>
          </cell>
          <cell r="O26">
            <v>1480</v>
          </cell>
          <cell r="P26">
            <v>404</v>
          </cell>
          <cell r="Q26">
            <v>1480</v>
          </cell>
          <cell r="R26">
            <v>404</v>
          </cell>
          <cell r="S26">
            <v>1480</v>
          </cell>
          <cell r="T26">
            <v>404</v>
          </cell>
          <cell r="U26">
            <v>1480</v>
          </cell>
          <cell r="V26">
            <v>404</v>
          </cell>
          <cell r="W26">
            <v>1480</v>
          </cell>
          <cell r="X26">
            <v>404</v>
          </cell>
          <cell r="Y26">
            <v>1510</v>
          </cell>
          <cell r="Z26">
            <v>412</v>
          </cell>
          <cell r="AD26">
            <v>0.11799999999999999</v>
          </cell>
        </row>
        <row r="27">
          <cell r="E27" t="str">
            <v>E-63mm</v>
          </cell>
          <cell r="F27" t="str">
            <v>ｍ</v>
          </cell>
          <cell r="G27">
            <v>2230</v>
          </cell>
          <cell r="H27">
            <v>609</v>
          </cell>
          <cell r="I27">
            <v>2200</v>
          </cell>
          <cell r="J27">
            <v>601</v>
          </cell>
          <cell r="K27">
            <v>2200</v>
          </cell>
          <cell r="L27">
            <v>601</v>
          </cell>
          <cell r="M27">
            <v>2200</v>
          </cell>
          <cell r="N27">
            <v>601</v>
          </cell>
          <cell r="O27">
            <v>2200</v>
          </cell>
          <cell r="P27">
            <v>601</v>
          </cell>
          <cell r="Q27">
            <v>2200</v>
          </cell>
          <cell r="R27">
            <v>601</v>
          </cell>
          <cell r="S27">
            <v>2200</v>
          </cell>
          <cell r="T27">
            <v>601</v>
          </cell>
          <cell r="U27">
            <v>2200</v>
          </cell>
          <cell r="V27">
            <v>601</v>
          </cell>
          <cell r="W27">
            <v>2200</v>
          </cell>
          <cell r="X27">
            <v>601</v>
          </cell>
          <cell r="Y27">
            <v>2230</v>
          </cell>
          <cell r="Z27">
            <v>609</v>
          </cell>
          <cell r="AD27">
            <v>0.159</v>
          </cell>
        </row>
        <row r="28">
          <cell r="E28" t="str">
            <v>E-75mm</v>
          </cell>
          <cell r="F28" t="str">
            <v>ｍ</v>
          </cell>
          <cell r="G28">
            <v>2910</v>
          </cell>
          <cell r="H28">
            <v>795</v>
          </cell>
          <cell r="I28">
            <v>2870</v>
          </cell>
          <cell r="J28">
            <v>784</v>
          </cell>
          <cell r="K28">
            <v>2870</v>
          </cell>
          <cell r="L28">
            <v>784</v>
          </cell>
          <cell r="M28">
            <v>2870</v>
          </cell>
          <cell r="N28">
            <v>784</v>
          </cell>
          <cell r="O28">
            <v>2870</v>
          </cell>
          <cell r="P28">
            <v>784</v>
          </cell>
          <cell r="Q28">
            <v>2870</v>
          </cell>
          <cell r="R28">
            <v>784</v>
          </cell>
          <cell r="S28">
            <v>2870</v>
          </cell>
          <cell r="T28">
            <v>784</v>
          </cell>
          <cell r="U28">
            <v>2870</v>
          </cell>
          <cell r="V28">
            <v>784</v>
          </cell>
          <cell r="W28">
            <v>2870</v>
          </cell>
          <cell r="X28">
            <v>784</v>
          </cell>
          <cell r="Y28">
            <v>2910</v>
          </cell>
          <cell r="Z28">
            <v>795</v>
          </cell>
          <cell r="AD28">
            <v>0.185</v>
          </cell>
        </row>
        <row r="29">
          <cell r="E29" t="str">
            <v>VE-14mm</v>
          </cell>
          <cell r="F29" t="str">
            <v>ｍ</v>
          </cell>
          <cell r="G29">
            <v>214</v>
          </cell>
          <cell r="H29">
            <v>53</v>
          </cell>
          <cell r="I29">
            <v>210</v>
          </cell>
          <cell r="J29">
            <v>52</v>
          </cell>
          <cell r="K29">
            <v>210</v>
          </cell>
          <cell r="L29">
            <v>52</v>
          </cell>
          <cell r="M29">
            <v>214</v>
          </cell>
          <cell r="N29">
            <v>53</v>
          </cell>
          <cell r="O29">
            <v>214</v>
          </cell>
          <cell r="P29">
            <v>53</v>
          </cell>
          <cell r="Q29">
            <v>214</v>
          </cell>
          <cell r="R29">
            <v>53</v>
          </cell>
          <cell r="S29">
            <v>214</v>
          </cell>
          <cell r="T29">
            <v>53</v>
          </cell>
          <cell r="U29">
            <v>214</v>
          </cell>
          <cell r="V29">
            <v>53</v>
          </cell>
          <cell r="W29">
            <v>214</v>
          </cell>
          <cell r="X29">
            <v>53</v>
          </cell>
          <cell r="Y29">
            <v>214</v>
          </cell>
          <cell r="Z29">
            <v>53</v>
          </cell>
          <cell r="AD29">
            <v>4.3999999999999997E-2</v>
          </cell>
        </row>
        <row r="30">
          <cell r="E30" t="str">
            <v>VE-16mm</v>
          </cell>
          <cell r="F30" t="str">
            <v>ｍ</v>
          </cell>
          <cell r="G30">
            <v>262</v>
          </cell>
          <cell r="H30">
            <v>65</v>
          </cell>
          <cell r="I30">
            <v>256</v>
          </cell>
          <cell r="J30">
            <v>64</v>
          </cell>
          <cell r="K30">
            <v>256</v>
          </cell>
          <cell r="L30">
            <v>64</v>
          </cell>
          <cell r="M30">
            <v>262</v>
          </cell>
          <cell r="N30">
            <v>65</v>
          </cell>
          <cell r="O30">
            <v>262</v>
          </cell>
          <cell r="P30">
            <v>65</v>
          </cell>
          <cell r="Q30">
            <v>262</v>
          </cell>
          <cell r="R30">
            <v>65</v>
          </cell>
          <cell r="S30">
            <v>262</v>
          </cell>
          <cell r="T30">
            <v>65</v>
          </cell>
          <cell r="U30">
            <v>262</v>
          </cell>
          <cell r="V30">
            <v>65</v>
          </cell>
          <cell r="W30">
            <v>262</v>
          </cell>
          <cell r="X30">
            <v>65</v>
          </cell>
          <cell r="Y30">
            <v>262</v>
          </cell>
          <cell r="Z30">
            <v>65</v>
          </cell>
          <cell r="AD30">
            <v>4.3999999999999997E-2</v>
          </cell>
        </row>
        <row r="31">
          <cell r="E31" t="str">
            <v>VE-22mm</v>
          </cell>
          <cell r="F31" t="str">
            <v>ｍ</v>
          </cell>
          <cell r="G31">
            <v>308</v>
          </cell>
          <cell r="H31">
            <v>77</v>
          </cell>
          <cell r="I31">
            <v>302</v>
          </cell>
          <cell r="J31">
            <v>75</v>
          </cell>
          <cell r="K31">
            <v>302</v>
          </cell>
          <cell r="L31">
            <v>75</v>
          </cell>
          <cell r="M31">
            <v>308</v>
          </cell>
          <cell r="N31">
            <v>77</v>
          </cell>
          <cell r="O31">
            <v>308</v>
          </cell>
          <cell r="P31">
            <v>77</v>
          </cell>
          <cell r="Q31">
            <v>308</v>
          </cell>
          <cell r="R31">
            <v>77</v>
          </cell>
          <cell r="S31">
            <v>308</v>
          </cell>
          <cell r="T31">
            <v>77</v>
          </cell>
          <cell r="U31">
            <v>308</v>
          </cell>
          <cell r="V31">
            <v>77</v>
          </cell>
          <cell r="W31">
            <v>308</v>
          </cell>
          <cell r="X31">
            <v>77</v>
          </cell>
          <cell r="Y31">
            <v>308</v>
          </cell>
          <cell r="Z31">
            <v>77</v>
          </cell>
          <cell r="AD31">
            <v>5.3999999999999999E-2</v>
          </cell>
        </row>
        <row r="32">
          <cell r="E32" t="str">
            <v>VE-28mm</v>
          </cell>
          <cell r="F32" t="str">
            <v>ｍ</v>
          </cell>
          <cell r="G32">
            <v>599</v>
          </cell>
          <cell r="H32">
            <v>149</v>
          </cell>
          <cell r="I32">
            <v>587</v>
          </cell>
          <cell r="J32">
            <v>146</v>
          </cell>
          <cell r="K32">
            <v>587</v>
          </cell>
          <cell r="L32">
            <v>146</v>
          </cell>
          <cell r="M32">
            <v>599</v>
          </cell>
          <cell r="N32">
            <v>149</v>
          </cell>
          <cell r="O32">
            <v>599</v>
          </cell>
          <cell r="P32">
            <v>149</v>
          </cell>
          <cell r="Q32">
            <v>599</v>
          </cell>
          <cell r="R32">
            <v>149</v>
          </cell>
          <cell r="S32">
            <v>599</v>
          </cell>
          <cell r="T32">
            <v>149</v>
          </cell>
          <cell r="U32">
            <v>599</v>
          </cell>
          <cell r="V32">
            <v>149</v>
          </cell>
          <cell r="W32">
            <v>599</v>
          </cell>
          <cell r="X32">
            <v>149</v>
          </cell>
          <cell r="Y32">
            <v>599</v>
          </cell>
          <cell r="Z32">
            <v>149</v>
          </cell>
          <cell r="AD32">
            <v>6.4000000000000001E-2</v>
          </cell>
        </row>
        <row r="33">
          <cell r="E33" t="str">
            <v>VE-36mm</v>
          </cell>
          <cell r="F33" t="str">
            <v>ｍ</v>
          </cell>
          <cell r="G33">
            <v>859</v>
          </cell>
          <cell r="H33">
            <v>214</v>
          </cell>
          <cell r="I33">
            <v>842</v>
          </cell>
          <cell r="J33">
            <v>210</v>
          </cell>
          <cell r="K33">
            <v>842</v>
          </cell>
          <cell r="L33">
            <v>210</v>
          </cell>
          <cell r="M33">
            <v>859</v>
          </cell>
          <cell r="N33">
            <v>214</v>
          </cell>
          <cell r="O33">
            <v>859</v>
          </cell>
          <cell r="P33">
            <v>214</v>
          </cell>
          <cell r="Q33">
            <v>859</v>
          </cell>
          <cell r="R33">
            <v>214</v>
          </cell>
          <cell r="S33">
            <v>859</v>
          </cell>
          <cell r="T33">
            <v>214</v>
          </cell>
          <cell r="U33">
            <v>859</v>
          </cell>
          <cell r="V33">
            <v>214</v>
          </cell>
          <cell r="W33">
            <v>859</v>
          </cell>
          <cell r="X33">
            <v>214</v>
          </cell>
          <cell r="Y33">
            <v>859</v>
          </cell>
          <cell r="Z33">
            <v>214</v>
          </cell>
          <cell r="AD33">
            <v>8.5999999999999993E-2</v>
          </cell>
        </row>
        <row r="34">
          <cell r="E34" t="str">
            <v>VE-42mm</v>
          </cell>
          <cell r="F34" t="str">
            <v>ｍ</v>
          </cell>
          <cell r="G34">
            <v>1132</v>
          </cell>
          <cell r="H34">
            <v>283</v>
          </cell>
          <cell r="I34">
            <v>1110</v>
          </cell>
          <cell r="J34">
            <v>277</v>
          </cell>
          <cell r="K34">
            <v>1110</v>
          </cell>
          <cell r="L34">
            <v>277</v>
          </cell>
          <cell r="M34">
            <v>1132</v>
          </cell>
          <cell r="N34">
            <v>283</v>
          </cell>
          <cell r="O34">
            <v>1132</v>
          </cell>
          <cell r="P34">
            <v>283</v>
          </cell>
          <cell r="Q34">
            <v>1132</v>
          </cell>
          <cell r="R34">
            <v>283</v>
          </cell>
          <cell r="S34">
            <v>1132</v>
          </cell>
          <cell r="T34">
            <v>283</v>
          </cell>
          <cell r="U34">
            <v>1132</v>
          </cell>
          <cell r="V34">
            <v>283</v>
          </cell>
          <cell r="W34">
            <v>1132</v>
          </cell>
          <cell r="X34">
            <v>283</v>
          </cell>
          <cell r="Y34">
            <v>1132</v>
          </cell>
          <cell r="Z34">
            <v>283</v>
          </cell>
          <cell r="AD34">
            <v>0.108</v>
          </cell>
        </row>
        <row r="35">
          <cell r="E35" t="str">
            <v>VE-54mm</v>
          </cell>
          <cell r="F35" t="str">
            <v>ｍ</v>
          </cell>
          <cell r="G35">
            <v>1589</v>
          </cell>
          <cell r="H35">
            <v>397</v>
          </cell>
          <cell r="I35">
            <v>1558</v>
          </cell>
          <cell r="J35">
            <v>389</v>
          </cell>
          <cell r="K35">
            <v>1558</v>
          </cell>
          <cell r="L35">
            <v>389</v>
          </cell>
          <cell r="M35">
            <v>1589</v>
          </cell>
          <cell r="N35">
            <v>397</v>
          </cell>
          <cell r="O35">
            <v>1589</v>
          </cell>
          <cell r="P35">
            <v>397</v>
          </cell>
          <cell r="Q35">
            <v>1589</v>
          </cell>
          <cell r="R35">
            <v>397</v>
          </cell>
          <cell r="S35">
            <v>1589</v>
          </cell>
          <cell r="T35">
            <v>397</v>
          </cell>
          <cell r="U35">
            <v>1589</v>
          </cell>
          <cell r="V35">
            <v>397</v>
          </cell>
          <cell r="W35">
            <v>1589</v>
          </cell>
          <cell r="X35">
            <v>397</v>
          </cell>
          <cell r="Y35">
            <v>1589</v>
          </cell>
          <cell r="Z35">
            <v>397</v>
          </cell>
          <cell r="AD35">
            <v>0.13</v>
          </cell>
        </row>
        <row r="36">
          <cell r="E36" t="str">
            <v>VE-70mm</v>
          </cell>
          <cell r="F36" t="str">
            <v>ｍ</v>
          </cell>
          <cell r="G36">
            <v>2033</v>
          </cell>
          <cell r="H36">
            <v>508</v>
          </cell>
          <cell r="I36">
            <v>1993</v>
          </cell>
          <cell r="J36">
            <v>498</v>
          </cell>
          <cell r="K36">
            <v>1993</v>
          </cell>
          <cell r="L36">
            <v>498</v>
          </cell>
          <cell r="M36">
            <v>2033</v>
          </cell>
          <cell r="N36">
            <v>508</v>
          </cell>
          <cell r="O36">
            <v>2033</v>
          </cell>
          <cell r="P36">
            <v>508</v>
          </cell>
          <cell r="Q36">
            <v>2033</v>
          </cell>
          <cell r="R36">
            <v>508</v>
          </cell>
          <cell r="S36">
            <v>2033</v>
          </cell>
          <cell r="T36">
            <v>508</v>
          </cell>
          <cell r="U36">
            <v>2033</v>
          </cell>
          <cell r="V36">
            <v>508</v>
          </cell>
          <cell r="W36">
            <v>2033</v>
          </cell>
          <cell r="X36">
            <v>508</v>
          </cell>
          <cell r="Y36">
            <v>2033</v>
          </cell>
          <cell r="Z36">
            <v>508</v>
          </cell>
          <cell r="AD36">
            <v>0.16200000000000001</v>
          </cell>
        </row>
        <row r="37">
          <cell r="E37" t="str">
            <v>VE-82mm</v>
          </cell>
          <cell r="F37" t="str">
            <v>ｍ</v>
          </cell>
          <cell r="G37">
            <v>3111</v>
          </cell>
          <cell r="H37">
            <v>777</v>
          </cell>
          <cell r="I37">
            <v>3050</v>
          </cell>
          <cell r="J37">
            <v>762</v>
          </cell>
          <cell r="K37">
            <v>3050</v>
          </cell>
          <cell r="L37">
            <v>762</v>
          </cell>
          <cell r="M37">
            <v>3111</v>
          </cell>
          <cell r="N37">
            <v>777</v>
          </cell>
          <cell r="O37">
            <v>3111</v>
          </cell>
          <cell r="P37">
            <v>777</v>
          </cell>
          <cell r="Q37">
            <v>3111</v>
          </cell>
          <cell r="R37">
            <v>777</v>
          </cell>
          <cell r="S37">
            <v>3111</v>
          </cell>
          <cell r="T37">
            <v>777</v>
          </cell>
          <cell r="U37">
            <v>3111</v>
          </cell>
          <cell r="V37">
            <v>777</v>
          </cell>
          <cell r="W37">
            <v>3111</v>
          </cell>
          <cell r="X37">
            <v>777</v>
          </cell>
          <cell r="Y37">
            <v>3111</v>
          </cell>
          <cell r="Z37">
            <v>777</v>
          </cell>
          <cell r="AD37">
            <v>0.19400000000000001</v>
          </cell>
        </row>
        <row r="38">
          <cell r="E38" t="str">
            <v>HIVE-14mm</v>
          </cell>
          <cell r="F38" t="str">
            <v>ｍ</v>
          </cell>
          <cell r="G38">
            <v>291</v>
          </cell>
          <cell r="H38">
            <v>72</v>
          </cell>
          <cell r="I38">
            <v>285</v>
          </cell>
          <cell r="J38">
            <v>71</v>
          </cell>
          <cell r="K38">
            <v>285</v>
          </cell>
          <cell r="L38">
            <v>71</v>
          </cell>
          <cell r="M38">
            <v>291</v>
          </cell>
          <cell r="N38">
            <v>72</v>
          </cell>
          <cell r="O38">
            <v>291</v>
          </cell>
          <cell r="P38">
            <v>72</v>
          </cell>
          <cell r="Q38">
            <v>291</v>
          </cell>
          <cell r="R38">
            <v>72</v>
          </cell>
          <cell r="S38">
            <v>291</v>
          </cell>
          <cell r="T38">
            <v>72</v>
          </cell>
          <cell r="U38">
            <v>291</v>
          </cell>
          <cell r="V38">
            <v>72</v>
          </cell>
          <cell r="W38">
            <v>291</v>
          </cell>
          <cell r="X38">
            <v>72</v>
          </cell>
          <cell r="Y38">
            <v>291</v>
          </cell>
          <cell r="Z38">
            <v>72</v>
          </cell>
          <cell r="AD38">
            <v>4.3999999999999997E-2</v>
          </cell>
        </row>
        <row r="39">
          <cell r="E39" t="str">
            <v>HIVE-16mm</v>
          </cell>
          <cell r="F39" t="str">
            <v>ｍ</v>
          </cell>
          <cell r="G39">
            <v>357</v>
          </cell>
          <cell r="H39">
            <v>89</v>
          </cell>
          <cell r="I39">
            <v>349</v>
          </cell>
          <cell r="J39">
            <v>87</v>
          </cell>
          <cell r="K39">
            <v>349</v>
          </cell>
          <cell r="L39">
            <v>87</v>
          </cell>
          <cell r="M39">
            <v>357</v>
          </cell>
          <cell r="N39">
            <v>89</v>
          </cell>
          <cell r="O39">
            <v>357</v>
          </cell>
          <cell r="P39">
            <v>89</v>
          </cell>
          <cell r="Q39">
            <v>357</v>
          </cell>
          <cell r="R39">
            <v>89</v>
          </cell>
          <cell r="S39">
            <v>357</v>
          </cell>
          <cell r="T39">
            <v>89</v>
          </cell>
          <cell r="U39">
            <v>357</v>
          </cell>
          <cell r="V39">
            <v>89</v>
          </cell>
          <cell r="W39">
            <v>357</v>
          </cell>
          <cell r="X39">
            <v>89</v>
          </cell>
          <cell r="Y39">
            <v>357</v>
          </cell>
          <cell r="Z39">
            <v>89</v>
          </cell>
          <cell r="AD39">
            <v>4.3999999999999997E-2</v>
          </cell>
        </row>
        <row r="40">
          <cell r="E40" t="str">
            <v>HIVE-22mm</v>
          </cell>
          <cell r="F40" t="str">
            <v>ｍ</v>
          </cell>
          <cell r="G40">
            <v>421</v>
          </cell>
          <cell r="H40">
            <v>105</v>
          </cell>
          <cell r="I40">
            <v>412</v>
          </cell>
          <cell r="J40">
            <v>103</v>
          </cell>
          <cell r="K40">
            <v>412</v>
          </cell>
          <cell r="L40">
            <v>103</v>
          </cell>
          <cell r="M40">
            <v>421</v>
          </cell>
          <cell r="N40">
            <v>105</v>
          </cell>
          <cell r="O40">
            <v>421</v>
          </cell>
          <cell r="P40">
            <v>105</v>
          </cell>
          <cell r="Q40">
            <v>421</v>
          </cell>
          <cell r="R40">
            <v>105</v>
          </cell>
          <cell r="S40">
            <v>421</v>
          </cell>
          <cell r="T40">
            <v>105</v>
          </cell>
          <cell r="U40">
            <v>421</v>
          </cell>
          <cell r="V40">
            <v>105</v>
          </cell>
          <cell r="W40">
            <v>421</v>
          </cell>
          <cell r="X40">
            <v>105</v>
          </cell>
          <cell r="Y40">
            <v>421</v>
          </cell>
          <cell r="Z40">
            <v>105</v>
          </cell>
          <cell r="AD40">
            <v>5.3999999999999999E-2</v>
          </cell>
        </row>
        <row r="41">
          <cell r="E41" t="str">
            <v>HIVE-28mm</v>
          </cell>
          <cell r="F41" t="str">
            <v>ｍ</v>
          </cell>
          <cell r="G41">
            <v>819</v>
          </cell>
          <cell r="H41">
            <v>204</v>
          </cell>
          <cell r="I41">
            <v>803</v>
          </cell>
          <cell r="J41">
            <v>200</v>
          </cell>
          <cell r="K41">
            <v>803</v>
          </cell>
          <cell r="L41">
            <v>200</v>
          </cell>
          <cell r="M41">
            <v>819</v>
          </cell>
          <cell r="N41">
            <v>204</v>
          </cell>
          <cell r="O41">
            <v>819</v>
          </cell>
          <cell r="P41">
            <v>204</v>
          </cell>
          <cell r="Q41">
            <v>819</v>
          </cell>
          <cell r="R41">
            <v>204</v>
          </cell>
          <cell r="S41">
            <v>819</v>
          </cell>
          <cell r="T41">
            <v>204</v>
          </cell>
          <cell r="U41">
            <v>819</v>
          </cell>
          <cell r="V41">
            <v>204</v>
          </cell>
          <cell r="W41">
            <v>819</v>
          </cell>
          <cell r="X41">
            <v>204</v>
          </cell>
          <cell r="Y41">
            <v>819</v>
          </cell>
          <cell r="Z41">
            <v>204</v>
          </cell>
          <cell r="AD41">
            <v>6.4000000000000001E-2</v>
          </cell>
        </row>
        <row r="42">
          <cell r="E42" t="str">
            <v>HIVE-36mm</v>
          </cell>
          <cell r="F42" t="str">
            <v>ｍ</v>
          </cell>
          <cell r="G42">
            <v>1177</v>
          </cell>
          <cell r="H42">
            <v>294</v>
          </cell>
          <cell r="I42">
            <v>1154</v>
          </cell>
          <cell r="J42">
            <v>288</v>
          </cell>
          <cell r="K42">
            <v>1154</v>
          </cell>
          <cell r="L42">
            <v>288</v>
          </cell>
          <cell r="M42">
            <v>1177</v>
          </cell>
          <cell r="N42">
            <v>294</v>
          </cell>
          <cell r="O42">
            <v>1177</v>
          </cell>
          <cell r="P42">
            <v>294</v>
          </cell>
          <cell r="Q42">
            <v>1177</v>
          </cell>
          <cell r="R42">
            <v>294</v>
          </cell>
          <cell r="S42">
            <v>1177</v>
          </cell>
          <cell r="T42">
            <v>294</v>
          </cell>
          <cell r="U42">
            <v>1177</v>
          </cell>
          <cell r="V42">
            <v>294</v>
          </cell>
          <cell r="W42">
            <v>1177</v>
          </cell>
          <cell r="X42">
            <v>294</v>
          </cell>
          <cell r="Y42">
            <v>1177</v>
          </cell>
          <cell r="Z42">
            <v>294</v>
          </cell>
          <cell r="AD42">
            <v>8.5999999999999993E-2</v>
          </cell>
        </row>
        <row r="43">
          <cell r="E43" t="str">
            <v>HIVE-42mm</v>
          </cell>
          <cell r="F43" t="str">
            <v>ｍ</v>
          </cell>
          <cell r="G43">
            <v>1567</v>
          </cell>
          <cell r="H43">
            <v>391</v>
          </cell>
          <cell r="I43">
            <v>1526</v>
          </cell>
          <cell r="J43">
            <v>381</v>
          </cell>
          <cell r="K43">
            <v>1526</v>
          </cell>
          <cell r="L43">
            <v>381</v>
          </cell>
          <cell r="M43">
            <v>1567</v>
          </cell>
          <cell r="N43">
            <v>391</v>
          </cell>
          <cell r="O43">
            <v>1567</v>
          </cell>
          <cell r="P43">
            <v>391</v>
          </cell>
          <cell r="Q43">
            <v>1567</v>
          </cell>
          <cell r="R43">
            <v>391</v>
          </cell>
          <cell r="S43">
            <v>1567</v>
          </cell>
          <cell r="T43">
            <v>391</v>
          </cell>
          <cell r="U43">
            <v>1567</v>
          </cell>
          <cell r="V43">
            <v>391</v>
          </cell>
          <cell r="W43">
            <v>1567</v>
          </cell>
          <cell r="X43">
            <v>391</v>
          </cell>
          <cell r="Y43">
            <v>1567</v>
          </cell>
          <cell r="Z43">
            <v>391</v>
          </cell>
          <cell r="AD43">
            <v>0.108</v>
          </cell>
        </row>
        <row r="44">
          <cell r="E44" t="str">
            <v>HIVE-54mm</v>
          </cell>
          <cell r="F44" t="str">
            <v>ｍ</v>
          </cell>
          <cell r="G44">
            <v>2193</v>
          </cell>
          <cell r="H44">
            <v>548</v>
          </cell>
          <cell r="I44">
            <v>2150</v>
          </cell>
          <cell r="J44">
            <v>537</v>
          </cell>
          <cell r="K44">
            <v>2150</v>
          </cell>
          <cell r="L44">
            <v>537</v>
          </cell>
          <cell r="M44">
            <v>2193</v>
          </cell>
          <cell r="N44">
            <v>548</v>
          </cell>
          <cell r="O44">
            <v>2193</v>
          </cell>
          <cell r="P44">
            <v>548</v>
          </cell>
          <cell r="Q44">
            <v>2193</v>
          </cell>
          <cell r="R44">
            <v>548</v>
          </cell>
          <cell r="S44">
            <v>2193</v>
          </cell>
          <cell r="T44">
            <v>548</v>
          </cell>
          <cell r="U44">
            <v>2193</v>
          </cell>
          <cell r="V44">
            <v>548</v>
          </cell>
          <cell r="W44">
            <v>2193</v>
          </cell>
          <cell r="X44">
            <v>548</v>
          </cell>
          <cell r="Y44">
            <v>2193</v>
          </cell>
          <cell r="Z44">
            <v>548</v>
          </cell>
          <cell r="AD44">
            <v>0.13</v>
          </cell>
        </row>
        <row r="45">
          <cell r="E45" t="str">
            <v>HIVE-70mm</v>
          </cell>
          <cell r="F45" t="str">
            <v>ｍ</v>
          </cell>
          <cell r="G45">
            <v>2791</v>
          </cell>
          <cell r="H45">
            <v>697</v>
          </cell>
          <cell r="I45">
            <v>2736</v>
          </cell>
          <cell r="J45">
            <v>684</v>
          </cell>
          <cell r="K45">
            <v>2736</v>
          </cell>
          <cell r="L45">
            <v>684</v>
          </cell>
          <cell r="M45">
            <v>2791</v>
          </cell>
          <cell r="N45">
            <v>697</v>
          </cell>
          <cell r="O45">
            <v>2791</v>
          </cell>
          <cell r="P45">
            <v>697</v>
          </cell>
          <cell r="Q45">
            <v>2791</v>
          </cell>
          <cell r="R45">
            <v>697</v>
          </cell>
          <cell r="S45">
            <v>2791</v>
          </cell>
          <cell r="T45">
            <v>697</v>
          </cell>
          <cell r="U45">
            <v>2791</v>
          </cell>
          <cell r="V45">
            <v>697</v>
          </cell>
          <cell r="W45">
            <v>2791</v>
          </cell>
          <cell r="X45">
            <v>697</v>
          </cell>
          <cell r="Y45">
            <v>2791</v>
          </cell>
          <cell r="Z45">
            <v>697</v>
          </cell>
          <cell r="AD45">
            <v>0.16200000000000001</v>
          </cell>
        </row>
        <row r="46">
          <cell r="E46" t="str">
            <v>HIVE-82mm</v>
          </cell>
          <cell r="F46" t="str">
            <v>ｍ</v>
          </cell>
          <cell r="G46">
            <v>4287</v>
          </cell>
          <cell r="H46">
            <v>1071</v>
          </cell>
          <cell r="I46">
            <v>4203</v>
          </cell>
          <cell r="J46">
            <v>1050</v>
          </cell>
          <cell r="K46">
            <v>4203</v>
          </cell>
          <cell r="L46">
            <v>1050</v>
          </cell>
          <cell r="M46">
            <v>4287</v>
          </cell>
          <cell r="N46">
            <v>1071</v>
          </cell>
          <cell r="O46">
            <v>4287</v>
          </cell>
          <cell r="P46">
            <v>1071</v>
          </cell>
          <cell r="Q46">
            <v>4287</v>
          </cell>
          <cell r="R46">
            <v>1071</v>
          </cell>
          <cell r="S46">
            <v>4287</v>
          </cell>
          <cell r="T46">
            <v>1071</v>
          </cell>
          <cell r="U46">
            <v>4287</v>
          </cell>
          <cell r="V46">
            <v>1071</v>
          </cell>
          <cell r="W46">
            <v>4287</v>
          </cell>
          <cell r="X46">
            <v>1071</v>
          </cell>
          <cell r="Y46">
            <v>4287</v>
          </cell>
          <cell r="Z46">
            <v>1071</v>
          </cell>
          <cell r="AD46">
            <v>0.19400000000000001</v>
          </cell>
        </row>
        <row r="47">
          <cell r="E47" t="str">
            <v>MCCP- 50A (伸縮継手付き)</v>
          </cell>
          <cell r="F47" t="str">
            <v>ｍ</v>
          </cell>
          <cell r="G47">
            <v>14700</v>
          </cell>
          <cell r="H47">
            <v>2672</v>
          </cell>
          <cell r="I47">
            <v>14700</v>
          </cell>
          <cell r="J47">
            <v>2672</v>
          </cell>
          <cell r="K47">
            <v>14700</v>
          </cell>
          <cell r="L47">
            <v>2672</v>
          </cell>
          <cell r="M47">
            <v>14700</v>
          </cell>
          <cell r="N47">
            <v>2672</v>
          </cell>
          <cell r="O47">
            <v>14700</v>
          </cell>
          <cell r="P47">
            <v>2672</v>
          </cell>
          <cell r="Q47">
            <v>14700</v>
          </cell>
          <cell r="R47">
            <v>2672</v>
          </cell>
          <cell r="S47">
            <v>14700</v>
          </cell>
          <cell r="T47">
            <v>2672</v>
          </cell>
          <cell r="U47">
            <v>14700</v>
          </cell>
          <cell r="V47">
            <v>2672</v>
          </cell>
          <cell r="W47">
            <v>14700</v>
          </cell>
          <cell r="X47">
            <v>2672</v>
          </cell>
          <cell r="Y47">
            <v>14700</v>
          </cell>
          <cell r="Z47">
            <v>2672</v>
          </cell>
          <cell r="AD47">
            <v>0.161</v>
          </cell>
        </row>
        <row r="48">
          <cell r="E48" t="str">
            <v>MCCP- 80A (伸縮継手付き)</v>
          </cell>
          <cell r="F48" t="str">
            <v>ｍ</v>
          </cell>
          <cell r="G48">
            <v>19900</v>
          </cell>
          <cell r="H48">
            <v>3618</v>
          </cell>
          <cell r="I48">
            <v>19900</v>
          </cell>
          <cell r="J48">
            <v>3618</v>
          </cell>
          <cell r="K48">
            <v>19900</v>
          </cell>
          <cell r="L48">
            <v>3618</v>
          </cell>
          <cell r="M48">
            <v>19900</v>
          </cell>
          <cell r="N48">
            <v>3618</v>
          </cell>
          <cell r="O48">
            <v>19900</v>
          </cell>
          <cell r="P48">
            <v>3618</v>
          </cell>
          <cell r="Q48">
            <v>19900</v>
          </cell>
          <cell r="R48">
            <v>3618</v>
          </cell>
          <cell r="S48">
            <v>19900</v>
          </cell>
          <cell r="T48">
            <v>3618</v>
          </cell>
          <cell r="U48">
            <v>19900</v>
          </cell>
          <cell r="V48">
            <v>3618</v>
          </cell>
          <cell r="W48">
            <v>19900</v>
          </cell>
          <cell r="X48">
            <v>3618</v>
          </cell>
          <cell r="Y48">
            <v>19900</v>
          </cell>
          <cell r="Z48">
            <v>3618</v>
          </cell>
          <cell r="AD48">
            <v>0.26100000000000001</v>
          </cell>
        </row>
        <row r="49">
          <cell r="E49" t="str">
            <v>MCCP-100A (伸縮継手付き)</v>
          </cell>
          <cell r="F49" t="str">
            <v>ｍ</v>
          </cell>
          <cell r="G49">
            <v>31200</v>
          </cell>
          <cell r="H49">
            <v>5672</v>
          </cell>
          <cell r="I49">
            <v>31200</v>
          </cell>
          <cell r="J49">
            <v>5672</v>
          </cell>
          <cell r="K49">
            <v>31200</v>
          </cell>
          <cell r="L49">
            <v>5672</v>
          </cell>
          <cell r="M49">
            <v>31200</v>
          </cell>
          <cell r="N49">
            <v>5672</v>
          </cell>
          <cell r="O49">
            <v>31200</v>
          </cell>
          <cell r="P49">
            <v>5672</v>
          </cell>
          <cell r="Q49">
            <v>31200</v>
          </cell>
          <cell r="R49">
            <v>5672</v>
          </cell>
          <cell r="S49">
            <v>31200</v>
          </cell>
          <cell r="T49">
            <v>5672</v>
          </cell>
          <cell r="U49">
            <v>31200</v>
          </cell>
          <cell r="V49">
            <v>5672</v>
          </cell>
          <cell r="W49">
            <v>31200</v>
          </cell>
          <cell r="X49">
            <v>5672</v>
          </cell>
          <cell r="Y49">
            <v>31200</v>
          </cell>
          <cell r="Z49">
            <v>5672</v>
          </cell>
          <cell r="AD49">
            <v>0.34699999999999998</v>
          </cell>
        </row>
        <row r="50">
          <cell r="E50" t="str">
            <v>MCCP-125A (伸縮継手付き)</v>
          </cell>
          <cell r="F50" t="str">
            <v>ｍ</v>
          </cell>
          <cell r="G50">
            <v>32800</v>
          </cell>
          <cell r="H50">
            <v>5963</v>
          </cell>
          <cell r="I50">
            <v>32800</v>
          </cell>
          <cell r="J50">
            <v>5963</v>
          </cell>
          <cell r="K50">
            <v>32800</v>
          </cell>
          <cell r="L50">
            <v>5963</v>
          </cell>
          <cell r="M50">
            <v>32800</v>
          </cell>
          <cell r="N50">
            <v>5963</v>
          </cell>
          <cell r="O50">
            <v>32800</v>
          </cell>
          <cell r="P50">
            <v>5963</v>
          </cell>
          <cell r="Q50">
            <v>32800</v>
          </cell>
          <cell r="R50">
            <v>5963</v>
          </cell>
          <cell r="S50">
            <v>32800</v>
          </cell>
          <cell r="T50">
            <v>5963</v>
          </cell>
          <cell r="U50">
            <v>32800</v>
          </cell>
          <cell r="V50">
            <v>5963</v>
          </cell>
          <cell r="W50">
            <v>32800</v>
          </cell>
          <cell r="X50">
            <v>5963</v>
          </cell>
          <cell r="Y50">
            <v>32800</v>
          </cell>
          <cell r="Z50">
            <v>5963</v>
          </cell>
          <cell r="AD50">
            <v>0.433</v>
          </cell>
        </row>
        <row r="51">
          <cell r="E51" t="str">
            <v>MCCP- 50A固定</v>
          </cell>
          <cell r="F51" t="str">
            <v>ｍ</v>
          </cell>
          <cell r="G51">
            <v>14100</v>
          </cell>
          <cell r="H51">
            <v>2563</v>
          </cell>
          <cell r="I51">
            <v>14100</v>
          </cell>
          <cell r="J51">
            <v>2563</v>
          </cell>
          <cell r="K51">
            <v>14100</v>
          </cell>
          <cell r="L51">
            <v>2563</v>
          </cell>
          <cell r="M51">
            <v>14100</v>
          </cell>
          <cell r="N51">
            <v>2563</v>
          </cell>
          <cell r="O51">
            <v>14100</v>
          </cell>
          <cell r="P51">
            <v>2563</v>
          </cell>
          <cell r="Q51">
            <v>14100</v>
          </cell>
          <cell r="R51">
            <v>2563</v>
          </cell>
          <cell r="S51">
            <v>14100</v>
          </cell>
          <cell r="T51">
            <v>2563</v>
          </cell>
          <cell r="U51">
            <v>14100</v>
          </cell>
          <cell r="V51">
            <v>2563</v>
          </cell>
          <cell r="W51">
            <v>14100</v>
          </cell>
          <cell r="X51">
            <v>2563</v>
          </cell>
          <cell r="Y51">
            <v>14100</v>
          </cell>
          <cell r="Z51">
            <v>2563</v>
          </cell>
          <cell r="AD51">
            <v>0.161</v>
          </cell>
        </row>
        <row r="52">
          <cell r="E52" t="str">
            <v>FEP- 30mm</v>
          </cell>
          <cell r="F52" t="str">
            <v>ｍ</v>
          </cell>
          <cell r="H52">
            <v>224</v>
          </cell>
          <cell r="J52">
            <v>224</v>
          </cell>
          <cell r="L52">
            <v>219</v>
          </cell>
          <cell r="N52">
            <v>219</v>
          </cell>
          <cell r="P52">
            <v>219</v>
          </cell>
          <cell r="R52">
            <v>224</v>
          </cell>
          <cell r="T52">
            <v>224</v>
          </cell>
          <cell r="V52">
            <v>219</v>
          </cell>
          <cell r="X52">
            <v>224</v>
          </cell>
          <cell r="Z52">
            <v>239</v>
          </cell>
          <cell r="AD52">
            <v>3.6999999999999998E-2</v>
          </cell>
        </row>
        <row r="53">
          <cell r="E53" t="str">
            <v>FEP- 40mm</v>
          </cell>
          <cell r="F53" t="str">
            <v>ｍ</v>
          </cell>
          <cell r="H53">
            <v>246</v>
          </cell>
          <cell r="J53">
            <v>246</v>
          </cell>
          <cell r="L53">
            <v>240</v>
          </cell>
          <cell r="N53">
            <v>240</v>
          </cell>
          <cell r="P53">
            <v>240</v>
          </cell>
          <cell r="R53">
            <v>246</v>
          </cell>
          <cell r="T53">
            <v>246</v>
          </cell>
          <cell r="V53">
            <v>240</v>
          </cell>
          <cell r="X53">
            <v>246</v>
          </cell>
          <cell r="Z53">
            <v>263</v>
          </cell>
          <cell r="AD53">
            <v>4.3999999999999997E-2</v>
          </cell>
        </row>
        <row r="54">
          <cell r="E54" t="str">
            <v>FEP- 50mm</v>
          </cell>
          <cell r="F54" t="str">
            <v>ｍ</v>
          </cell>
          <cell r="H54">
            <v>290</v>
          </cell>
          <cell r="J54">
            <v>290</v>
          </cell>
          <cell r="L54">
            <v>283</v>
          </cell>
          <cell r="N54">
            <v>283</v>
          </cell>
          <cell r="P54">
            <v>283</v>
          </cell>
          <cell r="R54">
            <v>290</v>
          </cell>
          <cell r="T54">
            <v>290</v>
          </cell>
          <cell r="V54">
            <v>283</v>
          </cell>
          <cell r="X54">
            <v>290</v>
          </cell>
          <cell r="Z54">
            <v>310</v>
          </cell>
          <cell r="AD54">
            <v>0.05</v>
          </cell>
        </row>
        <row r="55">
          <cell r="E55" t="str">
            <v>FEP- 65mm</v>
          </cell>
          <cell r="F55" t="str">
            <v>ｍ</v>
          </cell>
          <cell r="H55">
            <v>356</v>
          </cell>
          <cell r="J55">
            <v>356</v>
          </cell>
          <cell r="L55">
            <v>348</v>
          </cell>
          <cell r="N55">
            <v>348</v>
          </cell>
          <cell r="P55">
            <v>348</v>
          </cell>
          <cell r="R55">
            <v>356</v>
          </cell>
          <cell r="T55">
            <v>356</v>
          </cell>
          <cell r="V55">
            <v>348</v>
          </cell>
          <cell r="X55">
            <v>356</v>
          </cell>
          <cell r="Z55">
            <v>380</v>
          </cell>
          <cell r="AD55">
            <v>5.7000000000000002E-2</v>
          </cell>
        </row>
        <row r="56">
          <cell r="E56" t="str">
            <v>FEP- 80mm</v>
          </cell>
          <cell r="F56" t="str">
            <v>ｍ</v>
          </cell>
          <cell r="H56">
            <v>466</v>
          </cell>
          <cell r="J56">
            <v>466</v>
          </cell>
          <cell r="L56">
            <v>455</v>
          </cell>
          <cell r="N56">
            <v>455</v>
          </cell>
          <cell r="P56">
            <v>455</v>
          </cell>
          <cell r="R56">
            <v>466</v>
          </cell>
          <cell r="T56">
            <v>466</v>
          </cell>
          <cell r="V56">
            <v>455</v>
          </cell>
          <cell r="X56">
            <v>466</v>
          </cell>
          <cell r="Z56">
            <v>498</v>
          </cell>
          <cell r="AD56">
            <v>6.4000000000000001E-2</v>
          </cell>
        </row>
        <row r="57">
          <cell r="E57" t="str">
            <v>FEP-100mm</v>
          </cell>
          <cell r="F57" t="str">
            <v>ｍ</v>
          </cell>
          <cell r="H57">
            <v>638</v>
          </cell>
          <cell r="J57">
            <v>638</v>
          </cell>
          <cell r="L57">
            <v>623</v>
          </cell>
          <cell r="N57">
            <v>623</v>
          </cell>
          <cell r="P57">
            <v>623</v>
          </cell>
          <cell r="R57">
            <v>638</v>
          </cell>
          <cell r="T57">
            <v>638</v>
          </cell>
          <cell r="V57">
            <v>623</v>
          </cell>
          <cell r="X57">
            <v>638</v>
          </cell>
          <cell r="Z57">
            <v>681</v>
          </cell>
          <cell r="AD57">
            <v>8.5999999999999993E-2</v>
          </cell>
        </row>
        <row r="58">
          <cell r="E58" t="str">
            <v>FEP-125mm</v>
          </cell>
          <cell r="F58" t="str">
            <v>ｍ</v>
          </cell>
          <cell r="H58">
            <v>853</v>
          </cell>
          <cell r="J58">
            <v>853</v>
          </cell>
          <cell r="L58">
            <v>834</v>
          </cell>
          <cell r="N58">
            <v>834</v>
          </cell>
          <cell r="P58">
            <v>834</v>
          </cell>
          <cell r="R58">
            <v>853</v>
          </cell>
          <cell r="T58">
            <v>853</v>
          </cell>
          <cell r="V58">
            <v>834</v>
          </cell>
          <cell r="X58">
            <v>853</v>
          </cell>
          <cell r="Z58">
            <v>911</v>
          </cell>
          <cell r="AD58">
            <v>9.4E-2</v>
          </cell>
        </row>
        <row r="59">
          <cell r="E59" t="str">
            <v>FEP-150mm</v>
          </cell>
          <cell r="F59" t="str">
            <v>ｍ</v>
          </cell>
          <cell r="H59">
            <v>1080</v>
          </cell>
          <cell r="J59">
            <v>1080</v>
          </cell>
          <cell r="L59">
            <v>1050</v>
          </cell>
          <cell r="N59">
            <v>1050</v>
          </cell>
          <cell r="P59">
            <v>1050</v>
          </cell>
          <cell r="R59">
            <v>1080</v>
          </cell>
          <cell r="T59">
            <v>1080</v>
          </cell>
          <cell r="V59">
            <v>1050</v>
          </cell>
          <cell r="X59">
            <v>1080</v>
          </cell>
          <cell r="Z59">
            <v>1150</v>
          </cell>
          <cell r="AD59">
            <v>0.10299999999999999</v>
          </cell>
        </row>
        <row r="60">
          <cell r="E60" t="str">
            <v>FEP-200mm</v>
          </cell>
          <cell r="F60" t="str">
            <v>ｍ</v>
          </cell>
          <cell r="H60">
            <v>1480</v>
          </cell>
          <cell r="J60">
            <v>1480</v>
          </cell>
          <cell r="L60">
            <v>1450</v>
          </cell>
          <cell r="N60">
            <v>1450</v>
          </cell>
          <cell r="P60">
            <v>1450</v>
          </cell>
          <cell r="R60">
            <v>1480</v>
          </cell>
          <cell r="T60">
            <v>1480</v>
          </cell>
          <cell r="V60">
            <v>1450</v>
          </cell>
          <cell r="X60">
            <v>1480</v>
          </cell>
          <cell r="Z60">
            <v>1580</v>
          </cell>
          <cell r="AD60">
            <v>0.15</v>
          </cell>
        </row>
        <row r="61">
          <cell r="E61" t="str">
            <v>F-FEP- 30mm</v>
          </cell>
          <cell r="F61" t="str">
            <v>ｍ</v>
          </cell>
          <cell r="H61">
            <v>408</v>
          </cell>
          <cell r="J61">
            <v>408</v>
          </cell>
          <cell r="L61">
            <v>402</v>
          </cell>
          <cell r="N61">
            <v>402</v>
          </cell>
          <cell r="P61">
            <v>402</v>
          </cell>
          <cell r="R61">
            <v>408</v>
          </cell>
          <cell r="T61">
            <v>408</v>
          </cell>
          <cell r="V61">
            <v>402</v>
          </cell>
          <cell r="X61">
            <v>402</v>
          </cell>
          <cell r="Z61">
            <v>427</v>
          </cell>
          <cell r="AD61">
            <v>3.6999999999999998E-2</v>
          </cell>
        </row>
        <row r="62">
          <cell r="E62" t="str">
            <v>F-FEP- 40mm</v>
          </cell>
          <cell r="F62" t="str">
            <v>ｍ</v>
          </cell>
          <cell r="H62">
            <v>448</v>
          </cell>
          <cell r="J62">
            <v>448</v>
          </cell>
          <cell r="L62">
            <v>442</v>
          </cell>
          <cell r="N62">
            <v>442</v>
          </cell>
          <cell r="P62">
            <v>442</v>
          </cell>
          <cell r="R62">
            <v>448</v>
          </cell>
          <cell r="T62">
            <v>448</v>
          </cell>
          <cell r="V62">
            <v>442</v>
          </cell>
          <cell r="X62">
            <v>442</v>
          </cell>
          <cell r="Z62">
            <v>469</v>
          </cell>
          <cell r="AD62">
            <v>4.3999999999999997E-2</v>
          </cell>
        </row>
        <row r="63">
          <cell r="E63" t="str">
            <v>F-FEP- 50mm</v>
          </cell>
          <cell r="F63" t="str">
            <v>ｍ</v>
          </cell>
          <cell r="H63">
            <v>529</v>
          </cell>
          <cell r="J63">
            <v>529</v>
          </cell>
          <cell r="L63">
            <v>521</v>
          </cell>
          <cell r="N63">
            <v>521</v>
          </cell>
          <cell r="P63">
            <v>521</v>
          </cell>
          <cell r="R63">
            <v>529</v>
          </cell>
          <cell r="T63">
            <v>529</v>
          </cell>
          <cell r="V63">
            <v>521</v>
          </cell>
          <cell r="X63">
            <v>521</v>
          </cell>
          <cell r="Z63">
            <v>553</v>
          </cell>
          <cell r="AD63">
            <v>0.05</v>
          </cell>
        </row>
        <row r="64">
          <cell r="E64" t="str">
            <v>F-FEP- 65mm</v>
          </cell>
          <cell r="F64" t="str">
            <v>ｍ</v>
          </cell>
          <cell r="H64">
            <v>649</v>
          </cell>
          <cell r="J64">
            <v>649</v>
          </cell>
          <cell r="L64">
            <v>640</v>
          </cell>
          <cell r="N64">
            <v>640</v>
          </cell>
          <cell r="P64">
            <v>640</v>
          </cell>
          <cell r="R64">
            <v>649</v>
          </cell>
          <cell r="T64">
            <v>649</v>
          </cell>
          <cell r="V64">
            <v>640</v>
          </cell>
          <cell r="X64">
            <v>640</v>
          </cell>
          <cell r="Z64">
            <v>679</v>
          </cell>
          <cell r="AD64">
            <v>5.7000000000000002E-2</v>
          </cell>
        </row>
        <row r="65">
          <cell r="E65" t="str">
            <v>F-FEP- 80mm</v>
          </cell>
          <cell r="F65" t="str">
            <v>ｍ</v>
          </cell>
          <cell r="H65">
            <v>850</v>
          </cell>
          <cell r="J65">
            <v>850</v>
          </cell>
          <cell r="L65">
            <v>838</v>
          </cell>
          <cell r="N65">
            <v>838</v>
          </cell>
          <cell r="P65">
            <v>838</v>
          </cell>
          <cell r="R65">
            <v>850</v>
          </cell>
          <cell r="T65">
            <v>850</v>
          </cell>
          <cell r="V65">
            <v>838</v>
          </cell>
          <cell r="X65">
            <v>838</v>
          </cell>
          <cell r="Z65">
            <v>889</v>
          </cell>
          <cell r="AD65">
            <v>6.4000000000000001E-2</v>
          </cell>
        </row>
        <row r="66">
          <cell r="E66" t="str">
            <v>F-FEP-100mm</v>
          </cell>
          <cell r="F66" t="str">
            <v>ｍ</v>
          </cell>
          <cell r="H66">
            <v>1160</v>
          </cell>
          <cell r="J66">
            <v>1160</v>
          </cell>
          <cell r="L66">
            <v>1140</v>
          </cell>
          <cell r="N66">
            <v>1140</v>
          </cell>
          <cell r="P66">
            <v>1140</v>
          </cell>
          <cell r="R66">
            <v>1160</v>
          </cell>
          <cell r="T66">
            <v>1160</v>
          </cell>
          <cell r="V66">
            <v>1140</v>
          </cell>
          <cell r="X66">
            <v>1140</v>
          </cell>
          <cell r="Z66">
            <v>1210</v>
          </cell>
          <cell r="AD66">
            <v>8.5999999999999993E-2</v>
          </cell>
        </row>
        <row r="67">
          <cell r="E67" t="str">
            <v>F-FEP-125mm</v>
          </cell>
          <cell r="F67" t="str">
            <v>ｍ</v>
          </cell>
          <cell r="H67">
            <v>1560</v>
          </cell>
          <cell r="J67">
            <v>1560</v>
          </cell>
          <cell r="L67">
            <v>1530</v>
          </cell>
          <cell r="N67">
            <v>1530</v>
          </cell>
          <cell r="P67">
            <v>1530</v>
          </cell>
          <cell r="R67">
            <v>1560</v>
          </cell>
          <cell r="T67">
            <v>1560</v>
          </cell>
          <cell r="V67">
            <v>1530</v>
          </cell>
          <cell r="X67">
            <v>1530</v>
          </cell>
          <cell r="Z67">
            <v>1630</v>
          </cell>
          <cell r="AD67">
            <v>9.4E-2</v>
          </cell>
        </row>
        <row r="68">
          <cell r="E68" t="str">
            <v>F-FEP-150mm</v>
          </cell>
          <cell r="F68" t="str">
            <v>ｍ</v>
          </cell>
          <cell r="H68">
            <v>1970</v>
          </cell>
          <cell r="J68">
            <v>1970</v>
          </cell>
          <cell r="L68">
            <v>1940</v>
          </cell>
          <cell r="N68">
            <v>1940</v>
          </cell>
          <cell r="P68">
            <v>1940</v>
          </cell>
          <cell r="R68">
            <v>1970</v>
          </cell>
          <cell r="T68">
            <v>1970</v>
          </cell>
          <cell r="V68">
            <v>1940</v>
          </cell>
          <cell r="X68">
            <v>1940</v>
          </cell>
          <cell r="Z68">
            <v>2060</v>
          </cell>
          <cell r="AD68">
            <v>0.10299999999999999</v>
          </cell>
        </row>
        <row r="69">
          <cell r="E69" t="str">
            <v>F-FEP-200mm</v>
          </cell>
          <cell r="F69" t="str">
            <v>ｍ</v>
          </cell>
          <cell r="H69">
            <v>2720</v>
          </cell>
          <cell r="J69">
            <v>2720</v>
          </cell>
          <cell r="L69">
            <v>2670</v>
          </cell>
          <cell r="N69">
            <v>2670</v>
          </cell>
          <cell r="P69">
            <v>2670</v>
          </cell>
          <cell r="R69">
            <v>2720</v>
          </cell>
          <cell r="T69">
            <v>2720</v>
          </cell>
          <cell r="V69">
            <v>2670</v>
          </cell>
          <cell r="X69">
            <v>2670</v>
          </cell>
          <cell r="Z69">
            <v>2840</v>
          </cell>
          <cell r="AD69">
            <v>0.15</v>
          </cell>
        </row>
        <row r="70">
          <cell r="E70" t="str">
            <v>SGP- 15A</v>
          </cell>
          <cell r="F70" t="str">
            <v>ｍ</v>
          </cell>
          <cell r="G70">
            <v>1170</v>
          </cell>
          <cell r="H70">
            <v>212</v>
          </cell>
          <cell r="I70">
            <v>1170</v>
          </cell>
          <cell r="J70">
            <v>212</v>
          </cell>
          <cell r="K70">
            <v>1230</v>
          </cell>
          <cell r="L70">
            <v>223</v>
          </cell>
          <cell r="M70">
            <v>1130</v>
          </cell>
          <cell r="N70">
            <v>205</v>
          </cell>
          <cell r="O70">
            <v>1230</v>
          </cell>
          <cell r="P70">
            <v>223</v>
          </cell>
          <cell r="Q70">
            <v>1170</v>
          </cell>
          <cell r="R70">
            <v>212</v>
          </cell>
          <cell r="S70">
            <v>1170</v>
          </cell>
          <cell r="T70">
            <v>212</v>
          </cell>
          <cell r="U70">
            <v>1170</v>
          </cell>
          <cell r="V70">
            <v>212</v>
          </cell>
          <cell r="W70">
            <v>1170</v>
          </cell>
          <cell r="X70">
            <v>212</v>
          </cell>
          <cell r="Y70">
            <v>1370</v>
          </cell>
          <cell r="Z70">
            <v>249</v>
          </cell>
          <cell r="AD70">
            <v>0.05</v>
          </cell>
        </row>
        <row r="71">
          <cell r="E71" t="str">
            <v>SGP- 20A</v>
          </cell>
          <cell r="F71" t="str">
            <v>ｍ</v>
          </cell>
          <cell r="G71">
            <v>1430</v>
          </cell>
          <cell r="H71">
            <v>260</v>
          </cell>
          <cell r="I71">
            <v>1430</v>
          </cell>
          <cell r="J71">
            <v>260</v>
          </cell>
          <cell r="K71">
            <v>1500</v>
          </cell>
          <cell r="L71">
            <v>272</v>
          </cell>
          <cell r="M71">
            <v>1380</v>
          </cell>
          <cell r="N71">
            <v>250</v>
          </cell>
          <cell r="O71">
            <v>1500</v>
          </cell>
          <cell r="P71">
            <v>272</v>
          </cell>
          <cell r="Q71">
            <v>1430</v>
          </cell>
          <cell r="R71">
            <v>260</v>
          </cell>
          <cell r="S71">
            <v>1430</v>
          </cell>
          <cell r="T71">
            <v>260</v>
          </cell>
          <cell r="U71">
            <v>1430</v>
          </cell>
          <cell r="V71">
            <v>260</v>
          </cell>
          <cell r="W71">
            <v>1430</v>
          </cell>
          <cell r="X71">
            <v>260</v>
          </cell>
          <cell r="Y71">
            <v>1680</v>
          </cell>
          <cell r="Z71">
            <v>305</v>
          </cell>
          <cell r="AD71">
            <v>6.7000000000000004E-2</v>
          </cell>
        </row>
        <row r="72">
          <cell r="E72" t="str">
            <v>SGP- 25A</v>
          </cell>
          <cell r="F72" t="str">
            <v>ｍ</v>
          </cell>
          <cell r="G72">
            <v>2020</v>
          </cell>
          <cell r="H72">
            <v>367</v>
          </cell>
          <cell r="I72">
            <v>2020</v>
          </cell>
          <cell r="J72">
            <v>367</v>
          </cell>
          <cell r="K72">
            <v>2110</v>
          </cell>
          <cell r="L72">
            <v>383</v>
          </cell>
          <cell r="M72">
            <v>1950</v>
          </cell>
          <cell r="N72">
            <v>354</v>
          </cell>
          <cell r="O72">
            <v>2110</v>
          </cell>
          <cell r="P72">
            <v>383</v>
          </cell>
          <cell r="Q72">
            <v>2020</v>
          </cell>
          <cell r="R72">
            <v>367</v>
          </cell>
          <cell r="S72">
            <v>2020</v>
          </cell>
          <cell r="T72">
            <v>367</v>
          </cell>
          <cell r="U72">
            <v>2020</v>
          </cell>
          <cell r="V72">
            <v>367</v>
          </cell>
          <cell r="W72">
            <v>2020</v>
          </cell>
          <cell r="X72">
            <v>367</v>
          </cell>
          <cell r="Y72">
            <v>2370</v>
          </cell>
          <cell r="Z72">
            <v>430</v>
          </cell>
          <cell r="AD72">
            <v>0.1</v>
          </cell>
        </row>
        <row r="73">
          <cell r="E73" t="str">
            <v>SGP- 32A</v>
          </cell>
          <cell r="F73" t="str">
            <v>ｍ</v>
          </cell>
          <cell r="G73">
            <v>2660</v>
          </cell>
          <cell r="H73">
            <v>483</v>
          </cell>
          <cell r="I73">
            <v>2660</v>
          </cell>
          <cell r="J73">
            <v>483</v>
          </cell>
          <cell r="K73">
            <v>2810</v>
          </cell>
          <cell r="L73">
            <v>510</v>
          </cell>
          <cell r="M73">
            <v>2570</v>
          </cell>
          <cell r="N73">
            <v>467</v>
          </cell>
          <cell r="O73">
            <v>2810</v>
          </cell>
          <cell r="P73">
            <v>510</v>
          </cell>
          <cell r="Q73">
            <v>2660</v>
          </cell>
          <cell r="R73">
            <v>483</v>
          </cell>
          <cell r="S73">
            <v>2660</v>
          </cell>
          <cell r="T73">
            <v>483</v>
          </cell>
          <cell r="U73">
            <v>2660</v>
          </cell>
          <cell r="V73">
            <v>483</v>
          </cell>
          <cell r="W73">
            <v>2660</v>
          </cell>
          <cell r="X73">
            <v>483</v>
          </cell>
          <cell r="Y73">
            <v>3120</v>
          </cell>
          <cell r="Z73">
            <v>567</v>
          </cell>
          <cell r="AD73">
            <v>0.124</v>
          </cell>
        </row>
        <row r="74">
          <cell r="E74" t="str">
            <v>SGP- 40A</v>
          </cell>
          <cell r="F74" t="str">
            <v>ｍ</v>
          </cell>
          <cell r="G74">
            <v>3060</v>
          </cell>
          <cell r="H74">
            <v>556</v>
          </cell>
          <cell r="I74">
            <v>3060</v>
          </cell>
          <cell r="J74">
            <v>556</v>
          </cell>
          <cell r="K74">
            <v>3220</v>
          </cell>
          <cell r="L74">
            <v>585</v>
          </cell>
          <cell r="M74">
            <v>2950</v>
          </cell>
          <cell r="N74">
            <v>536</v>
          </cell>
          <cell r="O74">
            <v>3220</v>
          </cell>
          <cell r="P74">
            <v>585</v>
          </cell>
          <cell r="Q74">
            <v>3060</v>
          </cell>
          <cell r="R74">
            <v>556</v>
          </cell>
          <cell r="S74">
            <v>3060</v>
          </cell>
          <cell r="T74">
            <v>556</v>
          </cell>
          <cell r="U74">
            <v>3060</v>
          </cell>
          <cell r="V74">
            <v>556</v>
          </cell>
          <cell r="W74">
            <v>3060</v>
          </cell>
          <cell r="X74">
            <v>556</v>
          </cell>
          <cell r="Y74">
            <v>3590</v>
          </cell>
          <cell r="Z74">
            <v>652</v>
          </cell>
          <cell r="AD74">
            <v>0.13700000000000001</v>
          </cell>
        </row>
        <row r="75">
          <cell r="E75" t="str">
            <v>SGP- 50A</v>
          </cell>
          <cell r="F75" t="str">
            <v>ｍ</v>
          </cell>
          <cell r="G75">
            <v>4170</v>
          </cell>
          <cell r="H75">
            <v>758</v>
          </cell>
          <cell r="I75">
            <v>4170</v>
          </cell>
          <cell r="J75">
            <v>758</v>
          </cell>
          <cell r="K75">
            <v>4410</v>
          </cell>
          <cell r="L75">
            <v>801</v>
          </cell>
          <cell r="M75">
            <v>4030</v>
          </cell>
          <cell r="N75">
            <v>732</v>
          </cell>
          <cell r="O75">
            <v>4410</v>
          </cell>
          <cell r="P75">
            <v>801</v>
          </cell>
          <cell r="Q75">
            <v>4170</v>
          </cell>
          <cell r="R75">
            <v>758</v>
          </cell>
          <cell r="S75">
            <v>4170</v>
          </cell>
          <cell r="T75">
            <v>758</v>
          </cell>
          <cell r="U75">
            <v>4170</v>
          </cell>
          <cell r="V75">
            <v>758</v>
          </cell>
          <cell r="W75">
            <v>4170</v>
          </cell>
          <cell r="X75">
            <v>758</v>
          </cell>
          <cell r="Y75">
            <v>4890</v>
          </cell>
          <cell r="Z75">
            <v>889</v>
          </cell>
          <cell r="AD75">
            <v>0.161</v>
          </cell>
        </row>
        <row r="76">
          <cell r="E76" t="str">
            <v>SGP- 65A</v>
          </cell>
          <cell r="F76" t="str">
            <v>ｍ</v>
          </cell>
          <cell r="G76">
            <v>5860</v>
          </cell>
          <cell r="H76">
            <v>1065</v>
          </cell>
          <cell r="I76">
            <v>5860</v>
          </cell>
          <cell r="J76">
            <v>1065</v>
          </cell>
          <cell r="K76">
            <v>6310</v>
          </cell>
          <cell r="L76">
            <v>1147</v>
          </cell>
          <cell r="M76">
            <v>5660</v>
          </cell>
          <cell r="N76">
            <v>1029</v>
          </cell>
          <cell r="O76">
            <v>6310</v>
          </cell>
          <cell r="P76">
            <v>1147</v>
          </cell>
          <cell r="Q76">
            <v>5860</v>
          </cell>
          <cell r="R76">
            <v>1065</v>
          </cell>
          <cell r="S76">
            <v>5860</v>
          </cell>
          <cell r="T76">
            <v>1065</v>
          </cell>
          <cell r="U76">
            <v>5860</v>
          </cell>
          <cell r="V76">
            <v>1065</v>
          </cell>
          <cell r="W76">
            <v>5860</v>
          </cell>
          <cell r="X76">
            <v>1065</v>
          </cell>
          <cell r="Y76">
            <v>6880</v>
          </cell>
          <cell r="Z76">
            <v>1250</v>
          </cell>
          <cell r="AD76">
            <v>0.19900000000000001</v>
          </cell>
        </row>
        <row r="77">
          <cell r="E77" t="str">
            <v>SGP- 80A</v>
          </cell>
          <cell r="F77" t="str">
            <v>ｍ</v>
          </cell>
          <cell r="G77">
            <v>6900</v>
          </cell>
          <cell r="H77">
            <v>1254</v>
          </cell>
          <cell r="I77">
            <v>6900</v>
          </cell>
          <cell r="J77">
            <v>1254</v>
          </cell>
          <cell r="K77">
            <v>7560</v>
          </cell>
          <cell r="L77">
            <v>1374</v>
          </cell>
          <cell r="M77">
            <v>6660</v>
          </cell>
          <cell r="N77">
            <v>1210</v>
          </cell>
          <cell r="O77">
            <v>7560</v>
          </cell>
          <cell r="P77">
            <v>1374</v>
          </cell>
          <cell r="Q77">
            <v>6900</v>
          </cell>
          <cell r="R77">
            <v>1254</v>
          </cell>
          <cell r="S77">
            <v>6900</v>
          </cell>
          <cell r="T77">
            <v>1254</v>
          </cell>
          <cell r="U77">
            <v>6900</v>
          </cell>
          <cell r="V77">
            <v>1254</v>
          </cell>
          <cell r="W77">
            <v>6900</v>
          </cell>
          <cell r="X77">
            <v>1254</v>
          </cell>
          <cell r="Y77">
            <v>8090</v>
          </cell>
          <cell r="Z77">
            <v>1470</v>
          </cell>
          <cell r="AD77">
            <v>0.26100000000000001</v>
          </cell>
        </row>
        <row r="78">
          <cell r="E78" t="str">
            <v>SGP-100A</v>
          </cell>
          <cell r="F78" t="str">
            <v>ｍ</v>
          </cell>
          <cell r="G78">
            <v>9570</v>
          </cell>
          <cell r="H78">
            <v>1740</v>
          </cell>
          <cell r="I78">
            <v>9570</v>
          </cell>
          <cell r="J78">
            <v>1740</v>
          </cell>
          <cell r="K78">
            <v>10800</v>
          </cell>
          <cell r="L78">
            <v>1963</v>
          </cell>
          <cell r="M78">
            <v>9240</v>
          </cell>
          <cell r="N78">
            <v>1680</v>
          </cell>
          <cell r="O78">
            <v>10800</v>
          </cell>
          <cell r="P78">
            <v>1963</v>
          </cell>
          <cell r="Q78">
            <v>9570</v>
          </cell>
          <cell r="R78">
            <v>1740</v>
          </cell>
          <cell r="S78">
            <v>9570</v>
          </cell>
          <cell r="T78">
            <v>1740</v>
          </cell>
          <cell r="U78">
            <v>9570</v>
          </cell>
          <cell r="V78">
            <v>1740</v>
          </cell>
          <cell r="W78">
            <v>9570</v>
          </cell>
          <cell r="X78">
            <v>1740</v>
          </cell>
          <cell r="Y78">
            <v>11200</v>
          </cell>
          <cell r="Z78">
            <v>2036</v>
          </cell>
          <cell r="AD78">
            <v>0.34699999999999998</v>
          </cell>
        </row>
        <row r="79">
          <cell r="E79" t="str">
            <v>19_Users</v>
          </cell>
          <cell r="F79" t="str">
            <v>ｍ</v>
          </cell>
        </row>
        <row r="80">
          <cell r="E80" t="str">
            <v>19_Users</v>
          </cell>
          <cell r="F80" t="str">
            <v>ｍ</v>
          </cell>
        </row>
        <row r="81">
          <cell r="E81" t="str">
            <v>19_Users</v>
          </cell>
          <cell r="F81" t="str">
            <v>ｍ</v>
          </cell>
        </row>
        <row r="82">
          <cell r="E82" t="str">
            <v>19_Users</v>
          </cell>
          <cell r="F82" t="str">
            <v>ｍ</v>
          </cell>
        </row>
        <row r="83">
          <cell r="E83" t="str">
            <v>19_Users</v>
          </cell>
          <cell r="F83" t="str">
            <v>ｍ</v>
          </cell>
        </row>
        <row r="84">
          <cell r="E84" t="str">
            <v>19_Users</v>
          </cell>
          <cell r="F84" t="str">
            <v>ｍ</v>
          </cell>
        </row>
        <row r="85">
          <cell r="E85" t="str">
            <v>19_Users</v>
          </cell>
          <cell r="F85" t="str">
            <v>ｍ</v>
          </cell>
        </row>
        <row r="86">
          <cell r="E86" t="str">
            <v>19_Users</v>
          </cell>
          <cell r="F86" t="str">
            <v>ｍ</v>
          </cell>
        </row>
        <row r="87">
          <cell r="E87" t="str">
            <v>CD-14mm</v>
          </cell>
          <cell r="F87" t="str">
            <v>ｍ</v>
          </cell>
          <cell r="H87">
            <v>25</v>
          </cell>
          <cell r="J87">
            <v>25</v>
          </cell>
          <cell r="L87">
            <v>25</v>
          </cell>
          <cell r="N87">
            <v>25</v>
          </cell>
          <cell r="P87">
            <v>25</v>
          </cell>
          <cell r="R87">
            <v>25</v>
          </cell>
          <cell r="T87">
            <v>25</v>
          </cell>
          <cell r="V87">
            <v>25</v>
          </cell>
          <cell r="X87">
            <v>25</v>
          </cell>
          <cell r="Z87">
            <v>27</v>
          </cell>
          <cell r="AD87">
            <v>2.9000000000000001E-2</v>
          </cell>
        </row>
        <row r="88">
          <cell r="E88" t="str">
            <v>CD-16mm</v>
          </cell>
          <cell r="F88" t="str">
            <v>ｍ</v>
          </cell>
          <cell r="H88">
            <v>24</v>
          </cell>
          <cell r="J88">
            <v>24</v>
          </cell>
          <cell r="L88">
            <v>24</v>
          </cell>
          <cell r="N88">
            <v>24</v>
          </cell>
          <cell r="P88">
            <v>24</v>
          </cell>
          <cell r="R88">
            <v>24</v>
          </cell>
          <cell r="T88">
            <v>24</v>
          </cell>
          <cell r="V88">
            <v>24</v>
          </cell>
          <cell r="X88">
            <v>24</v>
          </cell>
          <cell r="Z88">
            <v>26</v>
          </cell>
          <cell r="AD88">
            <v>3.1E-2</v>
          </cell>
        </row>
        <row r="89">
          <cell r="E89" t="str">
            <v>CD-22mm</v>
          </cell>
          <cell r="F89" t="str">
            <v>ｍ</v>
          </cell>
          <cell r="H89">
            <v>37</v>
          </cell>
          <cell r="J89">
            <v>37</v>
          </cell>
          <cell r="L89">
            <v>37</v>
          </cell>
          <cell r="N89">
            <v>37</v>
          </cell>
          <cell r="P89">
            <v>37</v>
          </cell>
          <cell r="R89">
            <v>37</v>
          </cell>
          <cell r="T89">
            <v>37</v>
          </cell>
          <cell r="V89">
            <v>37</v>
          </cell>
          <cell r="X89">
            <v>37</v>
          </cell>
          <cell r="Z89">
            <v>41</v>
          </cell>
          <cell r="AD89">
            <v>4.1000000000000002E-2</v>
          </cell>
        </row>
        <row r="90">
          <cell r="E90" t="str">
            <v>CD-28mm</v>
          </cell>
          <cell r="F90" t="str">
            <v>ｍ</v>
          </cell>
          <cell r="H90">
            <v>53</v>
          </cell>
          <cell r="J90">
            <v>53</v>
          </cell>
          <cell r="L90">
            <v>53</v>
          </cell>
          <cell r="N90">
            <v>53</v>
          </cell>
          <cell r="P90">
            <v>53</v>
          </cell>
          <cell r="R90">
            <v>53</v>
          </cell>
          <cell r="T90">
            <v>53</v>
          </cell>
          <cell r="V90">
            <v>53</v>
          </cell>
          <cell r="X90">
            <v>53</v>
          </cell>
          <cell r="Z90">
            <v>58</v>
          </cell>
          <cell r="AD90">
            <v>5.1999999999999998E-2</v>
          </cell>
        </row>
        <row r="91">
          <cell r="E91" t="str">
            <v>CD-36mm</v>
          </cell>
          <cell r="F91" t="str">
            <v>ｍ</v>
          </cell>
          <cell r="H91">
            <v>68</v>
          </cell>
          <cell r="J91">
            <v>68</v>
          </cell>
          <cell r="L91">
            <v>68</v>
          </cell>
          <cell r="N91">
            <v>68</v>
          </cell>
          <cell r="P91">
            <v>68</v>
          </cell>
          <cell r="R91">
            <v>68</v>
          </cell>
          <cell r="T91">
            <v>68</v>
          </cell>
          <cell r="V91">
            <v>68</v>
          </cell>
          <cell r="X91">
            <v>68</v>
          </cell>
          <cell r="Z91">
            <v>68</v>
          </cell>
          <cell r="AD91">
            <v>6.7000000000000004E-2</v>
          </cell>
        </row>
        <row r="92">
          <cell r="E92" t="str">
            <v>CD-42mm</v>
          </cell>
          <cell r="F92" t="str">
            <v>ｍ</v>
          </cell>
          <cell r="H92">
            <v>79</v>
          </cell>
          <cell r="J92">
            <v>79</v>
          </cell>
          <cell r="L92">
            <v>79</v>
          </cell>
          <cell r="N92">
            <v>79</v>
          </cell>
          <cell r="P92">
            <v>79</v>
          </cell>
          <cell r="R92">
            <v>79</v>
          </cell>
          <cell r="T92">
            <v>79</v>
          </cell>
          <cell r="V92">
            <v>79</v>
          </cell>
          <cell r="X92">
            <v>79</v>
          </cell>
          <cell r="Z92">
            <v>79</v>
          </cell>
          <cell r="AD92">
            <v>7.8E-2</v>
          </cell>
        </row>
        <row r="93">
          <cell r="E93" t="str">
            <v>PF-S-14mm</v>
          </cell>
          <cell r="F93" t="str">
            <v>ｍ</v>
          </cell>
          <cell r="H93">
            <v>59</v>
          </cell>
          <cell r="J93">
            <v>59</v>
          </cell>
          <cell r="L93">
            <v>59</v>
          </cell>
          <cell r="N93">
            <v>59</v>
          </cell>
          <cell r="P93">
            <v>59</v>
          </cell>
          <cell r="R93">
            <v>59</v>
          </cell>
          <cell r="T93">
            <v>59</v>
          </cell>
          <cell r="V93">
            <v>59</v>
          </cell>
          <cell r="X93">
            <v>59</v>
          </cell>
          <cell r="Z93">
            <v>61</v>
          </cell>
          <cell r="AD93">
            <v>2.9000000000000001E-2</v>
          </cell>
        </row>
        <row r="94">
          <cell r="E94" t="str">
            <v>PF-S-16mm</v>
          </cell>
          <cell r="F94" t="str">
            <v>ｍ</v>
          </cell>
          <cell r="H94">
            <v>56</v>
          </cell>
          <cell r="J94">
            <v>56</v>
          </cell>
          <cell r="L94">
            <v>56</v>
          </cell>
          <cell r="N94">
            <v>56</v>
          </cell>
          <cell r="P94">
            <v>56</v>
          </cell>
          <cell r="R94">
            <v>56</v>
          </cell>
          <cell r="T94">
            <v>56</v>
          </cell>
          <cell r="V94">
            <v>56</v>
          </cell>
          <cell r="X94">
            <v>56</v>
          </cell>
          <cell r="Z94">
            <v>59</v>
          </cell>
          <cell r="AD94">
            <v>3.1E-2</v>
          </cell>
        </row>
        <row r="95">
          <cell r="E95" t="str">
            <v>PF-S-22mm</v>
          </cell>
          <cell r="F95" t="str">
            <v>ｍ</v>
          </cell>
          <cell r="H95">
            <v>81</v>
          </cell>
          <cell r="J95">
            <v>81</v>
          </cell>
          <cell r="L95">
            <v>81</v>
          </cell>
          <cell r="N95">
            <v>81</v>
          </cell>
          <cell r="P95">
            <v>81</v>
          </cell>
          <cell r="R95">
            <v>81</v>
          </cell>
          <cell r="T95">
            <v>81</v>
          </cell>
          <cell r="V95">
            <v>81</v>
          </cell>
          <cell r="X95">
            <v>81</v>
          </cell>
          <cell r="Z95">
            <v>85</v>
          </cell>
          <cell r="AD95">
            <v>4.1000000000000002E-2</v>
          </cell>
        </row>
        <row r="96">
          <cell r="E96" t="str">
            <v>PF-S-28mm</v>
          </cell>
          <cell r="F96" t="str">
            <v>ｍ</v>
          </cell>
          <cell r="H96">
            <v>109</v>
          </cell>
          <cell r="J96">
            <v>109</v>
          </cell>
          <cell r="L96">
            <v>109</v>
          </cell>
          <cell r="N96">
            <v>109</v>
          </cell>
          <cell r="P96">
            <v>109</v>
          </cell>
          <cell r="R96">
            <v>109</v>
          </cell>
          <cell r="T96">
            <v>109</v>
          </cell>
          <cell r="V96">
            <v>109</v>
          </cell>
          <cell r="X96">
            <v>109</v>
          </cell>
          <cell r="Z96">
            <v>114</v>
          </cell>
          <cell r="AD96">
            <v>5.1999999999999998E-2</v>
          </cell>
        </row>
        <row r="97">
          <cell r="E97" t="str">
            <v>PF-S-36mm</v>
          </cell>
          <cell r="F97" t="str">
            <v>ｍ</v>
          </cell>
          <cell r="H97">
            <v>198</v>
          </cell>
          <cell r="J97">
            <v>198</v>
          </cell>
          <cell r="L97">
            <v>198</v>
          </cell>
          <cell r="N97">
            <v>198</v>
          </cell>
          <cell r="P97">
            <v>198</v>
          </cell>
          <cell r="R97">
            <v>198</v>
          </cell>
          <cell r="T97">
            <v>198</v>
          </cell>
          <cell r="V97">
            <v>198</v>
          </cell>
          <cell r="X97">
            <v>198</v>
          </cell>
          <cell r="Z97">
            <v>198</v>
          </cell>
          <cell r="AD97">
            <v>6.7000000000000004E-2</v>
          </cell>
        </row>
        <row r="98">
          <cell r="E98" t="str">
            <v>PF-S-42mm</v>
          </cell>
          <cell r="F98" t="str">
            <v>ｍ</v>
          </cell>
          <cell r="H98">
            <v>231</v>
          </cell>
          <cell r="J98">
            <v>231</v>
          </cell>
          <cell r="L98">
            <v>231</v>
          </cell>
          <cell r="N98">
            <v>231</v>
          </cell>
          <cell r="P98">
            <v>231</v>
          </cell>
          <cell r="R98">
            <v>231</v>
          </cell>
          <cell r="T98">
            <v>231</v>
          </cell>
          <cell r="V98">
            <v>231</v>
          </cell>
          <cell r="X98">
            <v>231</v>
          </cell>
          <cell r="Z98">
            <v>231</v>
          </cell>
          <cell r="AD98">
            <v>7.8E-2</v>
          </cell>
        </row>
        <row r="99">
          <cell r="E99" t="str">
            <v>PF-D-14mm</v>
          </cell>
          <cell r="F99" t="str">
            <v>ｍ</v>
          </cell>
          <cell r="H99">
            <v>85</v>
          </cell>
          <cell r="J99">
            <v>85</v>
          </cell>
          <cell r="L99">
            <v>85</v>
          </cell>
          <cell r="N99">
            <v>85</v>
          </cell>
          <cell r="P99">
            <v>85</v>
          </cell>
          <cell r="R99">
            <v>85</v>
          </cell>
          <cell r="T99">
            <v>85</v>
          </cell>
          <cell r="V99">
            <v>85</v>
          </cell>
          <cell r="X99">
            <v>85</v>
          </cell>
          <cell r="Z99">
            <v>87</v>
          </cell>
          <cell r="AD99">
            <v>2.9000000000000001E-2</v>
          </cell>
        </row>
        <row r="100">
          <cell r="E100" t="str">
            <v>PF-D-16mm</v>
          </cell>
          <cell r="F100" t="str">
            <v>ｍ</v>
          </cell>
          <cell r="H100">
            <v>77</v>
          </cell>
          <cell r="J100">
            <v>77</v>
          </cell>
          <cell r="L100">
            <v>77</v>
          </cell>
          <cell r="N100">
            <v>77</v>
          </cell>
          <cell r="P100">
            <v>77</v>
          </cell>
          <cell r="R100">
            <v>77</v>
          </cell>
          <cell r="T100">
            <v>77</v>
          </cell>
          <cell r="V100">
            <v>77</v>
          </cell>
          <cell r="X100">
            <v>77</v>
          </cell>
          <cell r="Z100">
            <v>79</v>
          </cell>
          <cell r="AD100">
            <v>3.1E-2</v>
          </cell>
        </row>
        <row r="101">
          <cell r="E101" t="str">
            <v>PF-D-22mm</v>
          </cell>
          <cell r="F101" t="str">
            <v>ｍ</v>
          </cell>
          <cell r="H101">
            <v>116</v>
          </cell>
          <cell r="J101">
            <v>116</v>
          </cell>
          <cell r="L101">
            <v>116</v>
          </cell>
          <cell r="N101">
            <v>116</v>
          </cell>
          <cell r="P101">
            <v>116</v>
          </cell>
          <cell r="R101">
            <v>116</v>
          </cell>
          <cell r="T101">
            <v>116</v>
          </cell>
          <cell r="V101">
            <v>116</v>
          </cell>
          <cell r="X101">
            <v>116</v>
          </cell>
          <cell r="Z101">
            <v>119</v>
          </cell>
          <cell r="AD101">
            <v>4.1000000000000002E-2</v>
          </cell>
        </row>
        <row r="102">
          <cell r="E102" t="str">
            <v>PF-D-28mm</v>
          </cell>
          <cell r="F102" t="str">
            <v>ｍ</v>
          </cell>
          <cell r="H102">
            <v>155</v>
          </cell>
          <cell r="J102">
            <v>155</v>
          </cell>
          <cell r="L102">
            <v>155</v>
          </cell>
          <cell r="N102">
            <v>155</v>
          </cell>
          <cell r="P102">
            <v>155</v>
          </cell>
          <cell r="R102">
            <v>155</v>
          </cell>
          <cell r="T102">
            <v>155</v>
          </cell>
          <cell r="V102">
            <v>155</v>
          </cell>
          <cell r="X102">
            <v>155</v>
          </cell>
          <cell r="Z102">
            <v>159</v>
          </cell>
          <cell r="AD102">
            <v>5.1999999999999998E-2</v>
          </cell>
        </row>
        <row r="103">
          <cell r="E103" t="str">
            <v>PF-D-36mm</v>
          </cell>
          <cell r="F103" t="str">
            <v>ｍ</v>
          </cell>
          <cell r="H103">
            <v>198</v>
          </cell>
          <cell r="J103">
            <v>198</v>
          </cell>
          <cell r="L103">
            <v>198</v>
          </cell>
          <cell r="N103">
            <v>198</v>
          </cell>
          <cell r="P103">
            <v>198</v>
          </cell>
          <cell r="R103">
            <v>198</v>
          </cell>
          <cell r="T103">
            <v>198</v>
          </cell>
          <cell r="V103">
            <v>198</v>
          </cell>
          <cell r="X103">
            <v>198</v>
          </cell>
          <cell r="Z103">
            <v>198</v>
          </cell>
          <cell r="AD103">
            <v>6.7000000000000004E-2</v>
          </cell>
        </row>
        <row r="104">
          <cell r="E104" t="str">
            <v>PF-D-42mm</v>
          </cell>
          <cell r="F104" t="str">
            <v>ｍ</v>
          </cell>
          <cell r="H104">
            <v>231</v>
          </cell>
          <cell r="J104">
            <v>231</v>
          </cell>
          <cell r="L104">
            <v>231</v>
          </cell>
          <cell r="N104">
            <v>231</v>
          </cell>
          <cell r="P104">
            <v>231</v>
          </cell>
          <cell r="R104">
            <v>231</v>
          </cell>
          <cell r="T104">
            <v>231</v>
          </cell>
          <cell r="V104">
            <v>231</v>
          </cell>
          <cell r="X104">
            <v>231</v>
          </cell>
          <cell r="Z104">
            <v>231</v>
          </cell>
          <cell r="AD104">
            <v>7.8E-2</v>
          </cell>
        </row>
        <row r="105">
          <cell r="E105" t="str">
            <v>F2- 10mm</v>
          </cell>
          <cell r="F105" t="str">
            <v>ｍ</v>
          </cell>
          <cell r="H105">
            <v>199</v>
          </cell>
          <cell r="J105">
            <v>199</v>
          </cell>
          <cell r="L105">
            <v>199</v>
          </cell>
          <cell r="N105">
            <v>199</v>
          </cell>
          <cell r="P105">
            <v>199</v>
          </cell>
          <cell r="R105">
            <v>199</v>
          </cell>
          <cell r="T105">
            <v>199</v>
          </cell>
          <cell r="V105">
            <v>199</v>
          </cell>
          <cell r="X105">
            <v>199</v>
          </cell>
          <cell r="Z105">
            <v>199</v>
          </cell>
          <cell r="AD105">
            <v>1.4999999999999999E-2</v>
          </cell>
        </row>
        <row r="106">
          <cell r="E106" t="str">
            <v>F2- 12mm</v>
          </cell>
          <cell r="F106" t="str">
            <v>ｍ</v>
          </cell>
          <cell r="H106">
            <v>243</v>
          </cell>
          <cell r="J106">
            <v>243</v>
          </cell>
          <cell r="L106">
            <v>243</v>
          </cell>
          <cell r="N106">
            <v>243</v>
          </cell>
          <cell r="P106">
            <v>243</v>
          </cell>
          <cell r="R106">
            <v>243</v>
          </cell>
          <cell r="T106">
            <v>243</v>
          </cell>
          <cell r="V106">
            <v>243</v>
          </cell>
          <cell r="X106">
            <v>243</v>
          </cell>
          <cell r="Z106">
            <v>243</v>
          </cell>
          <cell r="AD106">
            <v>1.7999999999999999E-2</v>
          </cell>
        </row>
        <row r="107">
          <cell r="E107" t="str">
            <v>F2- 15mm</v>
          </cell>
          <cell r="F107" t="str">
            <v>ｍ</v>
          </cell>
          <cell r="H107">
            <v>253</v>
          </cell>
          <cell r="J107">
            <v>253</v>
          </cell>
          <cell r="L107">
            <v>253</v>
          </cell>
          <cell r="N107">
            <v>253</v>
          </cell>
          <cell r="P107">
            <v>253</v>
          </cell>
          <cell r="R107">
            <v>253</v>
          </cell>
          <cell r="T107">
            <v>253</v>
          </cell>
          <cell r="V107">
            <v>253</v>
          </cell>
          <cell r="X107">
            <v>253</v>
          </cell>
          <cell r="Z107">
            <v>253</v>
          </cell>
          <cell r="AD107">
            <v>2.1999999999999999E-2</v>
          </cell>
        </row>
        <row r="108">
          <cell r="E108" t="str">
            <v>F2- 17mm</v>
          </cell>
          <cell r="F108" t="str">
            <v>ｍ</v>
          </cell>
          <cell r="H108">
            <v>275</v>
          </cell>
          <cell r="J108">
            <v>275</v>
          </cell>
          <cell r="L108">
            <v>275</v>
          </cell>
          <cell r="N108">
            <v>275</v>
          </cell>
          <cell r="P108">
            <v>275</v>
          </cell>
          <cell r="R108">
            <v>275</v>
          </cell>
          <cell r="T108">
            <v>275</v>
          </cell>
          <cell r="V108">
            <v>275</v>
          </cell>
          <cell r="X108">
            <v>275</v>
          </cell>
          <cell r="Z108">
            <v>275</v>
          </cell>
          <cell r="AD108">
            <v>2.5000000000000001E-2</v>
          </cell>
        </row>
        <row r="109">
          <cell r="E109" t="str">
            <v>F2- 24mm</v>
          </cell>
          <cell r="F109" t="str">
            <v>ｍ</v>
          </cell>
          <cell r="H109">
            <v>367</v>
          </cell>
          <cell r="J109">
            <v>367</v>
          </cell>
          <cell r="L109">
            <v>367</v>
          </cell>
          <cell r="N109">
            <v>367</v>
          </cell>
          <cell r="P109">
            <v>367</v>
          </cell>
          <cell r="R109">
            <v>367</v>
          </cell>
          <cell r="T109">
            <v>367</v>
          </cell>
          <cell r="V109">
            <v>367</v>
          </cell>
          <cell r="X109">
            <v>367</v>
          </cell>
          <cell r="Z109">
            <v>367</v>
          </cell>
          <cell r="AD109">
            <v>3.5999999999999997E-2</v>
          </cell>
        </row>
        <row r="110">
          <cell r="E110" t="str">
            <v>F2- 30mm</v>
          </cell>
          <cell r="F110" t="str">
            <v>ｍ</v>
          </cell>
          <cell r="H110">
            <v>480</v>
          </cell>
          <cell r="J110">
            <v>480</v>
          </cell>
          <cell r="L110">
            <v>480</v>
          </cell>
          <cell r="N110">
            <v>480</v>
          </cell>
          <cell r="P110">
            <v>480</v>
          </cell>
          <cell r="R110">
            <v>480</v>
          </cell>
          <cell r="T110">
            <v>480</v>
          </cell>
          <cell r="V110">
            <v>480</v>
          </cell>
          <cell r="X110">
            <v>480</v>
          </cell>
          <cell r="Z110">
            <v>480</v>
          </cell>
          <cell r="AD110">
            <v>4.4999999999999998E-2</v>
          </cell>
        </row>
        <row r="111">
          <cell r="E111" t="str">
            <v>F2- 38mm</v>
          </cell>
          <cell r="F111" t="str">
            <v>ｍ</v>
          </cell>
          <cell r="H111">
            <v>583</v>
          </cell>
          <cell r="J111">
            <v>583</v>
          </cell>
          <cell r="L111">
            <v>583</v>
          </cell>
          <cell r="N111">
            <v>583</v>
          </cell>
          <cell r="P111">
            <v>583</v>
          </cell>
          <cell r="R111">
            <v>583</v>
          </cell>
          <cell r="T111">
            <v>583</v>
          </cell>
          <cell r="V111">
            <v>583</v>
          </cell>
          <cell r="X111">
            <v>583</v>
          </cell>
          <cell r="Z111">
            <v>583</v>
          </cell>
          <cell r="AD111">
            <v>5.7000000000000002E-2</v>
          </cell>
        </row>
        <row r="112">
          <cell r="E112" t="str">
            <v>F2- 50mm</v>
          </cell>
          <cell r="F112" t="str">
            <v>ｍ</v>
          </cell>
          <cell r="H112">
            <v>815</v>
          </cell>
          <cell r="J112">
            <v>815</v>
          </cell>
          <cell r="L112">
            <v>815</v>
          </cell>
          <cell r="N112">
            <v>815</v>
          </cell>
          <cell r="P112">
            <v>815</v>
          </cell>
          <cell r="R112">
            <v>815</v>
          </cell>
          <cell r="T112">
            <v>815</v>
          </cell>
          <cell r="V112">
            <v>815</v>
          </cell>
          <cell r="X112">
            <v>815</v>
          </cell>
          <cell r="Z112">
            <v>815</v>
          </cell>
          <cell r="AD112">
            <v>7.4999999999999997E-2</v>
          </cell>
        </row>
        <row r="113">
          <cell r="E113" t="str">
            <v>F2- 63mm</v>
          </cell>
          <cell r="F113" t="str">
            <v>ｍ</v>
          </cell>
          <cell r="H113">
            <v>1290</v>
          </cell>
          <cell r="J113">
            <v>1290</v>
          </cell>
          <cell r="L113">
            <v>1290</v>
          </cell>
          <cell r="N113">
            <v>1290</v>
          </cell>
          <cell r="P113">
            <v>1290</v>
          </cell>
          <cell r="R113">
            <v>1290</v>
          </cell>
          <cell r="T113">
            <v>1290</v>
          </cell>
          <cell r="V113">
            <v>1290</v>
          </cell>
          <cell r="X113">
            <v>1290</v>
          </cell>
          <cell r="Z113">
            <v>1290</v>
          </cell>
          <cell r="AD113">
            <v>9.5000000000000001E-2</v>
          </cell>
        </row>
        <row r="114">
          <cell r="E114" t="str">
            <v>F2- 76mm</v>
          </cell>
          <cell r="F114" t="str">
            <v>ｍ</v>
          </cell>
          <cell r="H114">
            <v>1720</v>
          </cell>
          <cell r="J114">
            <v>1720</v>
          </cell>
          <cell r="L114">
            <v>1720</v>
          </cell>
          <cell r="N114">
            <v>1720</v>
          </cell>
          <cell r="P114">
            <v>1720</v>
          </cell>
          <cell r="R114">
            <v>1720</v>
          </cell>
          <cell r="T114">
            <v>1720</v>
          </cell>
          <cell r="V114">
            <v>1720</v>
          </cell>
          <cell r="X114">
            <v>1720</v>
          </cell>
          <cell r="Z114">
            <v>1720</v>
          </cell>
          <cell r="AD114">
            <v>0.115</v>
          </cell>
        </row>
        <row r="115">
          <cell r="E115" t="str">
            <v>F2- 83mm</v>
          </cell>
          <cell r="F115" t="str">
            <v>ｍ</v>
          </cell>
          <cell r="H115">
            <v>2260</v>
          </cell>
          <cell r="J115">
            <v>2260</v>
          </cell>
          <cell r="L115">
            <v>2260</v>
          </cell>
          <cell r="N115">
            <v>2260</v>
          </cell>
          <cell r="P115">
            <v>2260</v>
          </cell>
          <cell r="R115">
            <v>2260</v>
          </cell>
          <cell r="T115">
            <v>2260</v>
          </cell>
          <cell r="V115">
            <v>2260</v>
          </cell>
          <cell r="X115">
            <v>2260</v>
          </cell>
          <cell r="Z115">
            <v>2260</v>
          </cell>
          <cell r="AD115">
            <v>0.125</v>
          </cell>
        </row>
        <row r="116">
          <cell r="E116" t="str">
            <v>F2-101mm</v>
          </cell>
          <cell r="F116" t="str">
            <v>ｍ</v>
          </cell>
          <cell r="H116">
            <v>3130</v>
          </cell>
          <cell r="J116">
            <v>3130</v>
          </cell>
          <cell r="L116">
            <v>3130</v>
          </cell>
          <cell r="N116">
            <v>3130</v>
          </cell>
          <cell r="P116">
            <v>3130</v>
          </cell>
          <cell r="R116">
            <v>3130</v>
          </cell>
          <cell r="T116">
            <v>3130</v>
          </cell>
          <cell r="V116">
            <v>3130</v>
          </cell>
          <cell r="X116">
            <v>3130</v>
          </cell>
          <cell r="Z116">
            <v>3130</v>
          </cell>
          <cell r="AD116">
            <v>0.152</v>
          </cell>
        </row>
        <row r="117">
          <cell r="E117" t="str">
            <v>F2-V- 10mm</v>
          </cell>
          <cell r="F117" t="str">
            <v>ｍ</v>
          </cell>
          <cell r="H117">
            <v>291</v>
          </cell>
          <cell r="J117">
            <v>291</v>
          </cell>
          <cell r="L117">
            <v>291</v>
          </cell>
          <cell r="N117">
            <v>291</v>
          </cell>
          <cell r="P117">
            <v>291</v>
          </cell>
          <cell r="R117">
            <v>291</v>
          </cell>
          <cell r="T117">
            <v>291</v>
          </cell>
          <cell r="V117">
            <v>291</v>
          </cell>
          <cell r="X117">
            <v>291</v>
          </cell>
          <cell r="Z117">
            <v>291</v>
          </cell>
          <cell r="AD117">
            <v>1.4999999999999999E-2</v>
          </cell>
        </row>
        <row r="118">
          <cell r="E118" t="str">
            <v>F2-V- 12mm</v>
          </cell>
          <cell r="F118" t="str">
            <v>ｍ</v>
          </cell>
          <cell r="H118">
            <v>334</v>
          </cell>
          <cell r="J118">
            <v>334</v>
          </cell>
          <cell r="L118">
            <v>334</v>
          </cell>
          <cell r="N118">
            <v>334</v>
          </cell>
          <cell r="P118">
            <v>334</v>
          </cell>
          <cell r="R118">
            <v>334</v>
          </cell>
          <cell r="T118">
            <v>334</v>
          </cell>
          <cell r="V118">
            <v>334</v>
          </cell>
          <cell r="X118">
            <v>334</v>
          </cell>
          <cell r="Z118">
            <v>334</v>
          </cell>
          <cell r="AD118">
            <v>1.7999999999999999E-2</v>
          </cell>
        </row>
        <row r="119">
          <cell r="E119" t="str">
            <v>F2-V- 15mm</v>
          </cell>
          <cell r="F119" t="str">
            <v>ｍ</v>
          </cell>
          <cell r="H119">
            <v>378</v>
          </cell>
          <cell r="J119">
            <v>378</v>
          </cell>
          <cell r="L119">
            <v>378</v>
          </cell>
          <cell r="N119">
            <v>378</v>
          </cell>
          <cell r="P119">
            <v>378</v>
          </cell>
          <cell r="R119">
            <v>378</v>
          </cell>
          <cell r="T119">
            <v>378</v>
          </cell>
          <cell r="V119">
            <v>378</v>
          </cell>
          <cell r="X119">
            <v>378</v>
          </cell>
          <cell r="Z119">
            <v>378</v>
          </cell>
          <cell r="AD119">
            <v>2.1999999999999999E-2</v>
          </cell>
        </row>
        <row r="120">
          <cell r="E120" t="str">
            <v>F2-V- 17mm</v>
          </cell>
          <cell r="F120" t="str">
            <v>ｍ</v>
          </cell>
          <cell r="H120">
            <v>421</v>
          </cell>
          <cell r="J120">
            <v>421</v>
          </cell>
          <cell r="L120">
            <v>421</v>
          </cell>
          <cell r="N120">
            <v>421</v>
          </cell>
          <cell r="P120">
            <v>421</v>
          </cell>
          <cell r="R120">
            <v>421</v>
          </cell>
          <cell r="T120">
            <v>421</v>
          </cell>
          <cell r="V120">
            <v>421</v>
          </cell>
          <cell r="X120">
            <v>421</v>
          </cell>
          <cell r="Z120">
            <v>421</v>
          </cell>
          <cell r="AD120">
            <v>2.5000000000000001E-2</v>
          </cell>
        </row>
        <row r="121">
          <cell r="E121" t="str">
            <v>F2-V- 24mm</v>
          </cell>
          <cell r="F121" t="str">
            <v>ｍ</v>
          </cell>
          <cell r="H121">
            <v>545</v>
          </cell>
          <cell r="J121">
            <v>545</v>
          </cell>
          <cell r="L121">
            <v>545</v>
          </cell>
          <cell r="N121">
            <v>545</v>
          </cell>
          <cell r="P121">
            <v>545</v>
          </cell>
          <cell r="R121">
            <v>545</v>
          </cell>
          <cell r="T121">
            <v>545</v>
          </cell>
          <cell r="V121">
            <v>545</v>
          </cell>
          <cell r="X121">
            <v>545</v>
          </cell>
          <cell r="Z121">
            <v>545</v>
          </cell>
          <cell r="AD121">
            <v>3.5999999999999997E-2</v>
          </cell>
        </row>
        <row r="122">
          <cell r="E122" t="str">
            <v>F2-V- 30mm</v>
          </cell>
          <cell r="F122" t="str">
            <v>ｍ</v>
          </cell>
          <cell r="H122">
            <v>691</v>
          </cell>
          <cell r="J122">
            <v>691</v>
          </cell>
          <cell r="L122">
            <v>691</v>
          </cell>
          <cell r="N122">
            <v>691</v>
          </cell>
          <cell r="P122">
            <v>691</v>
          </cell>
          <cell r="R122">
            <v>691</v>
          </cell>
          <cell r="T122">
            <v>691</v>
          </cell>
          <cell r="V122">
            <v>691</v>
          </cell>
          <cell r="X122">
            <v>691</v>
          </cell>
          <cell r="Z122">
            <v>691</v>
          </cell>
          <cell r="AD122">
            <v>4.4999999999999998E-2</v>
          </cell>
        </row>
        <row r="123">
          <cell r="E123" t="str">
            <v>F2-V- 38mm</v>
          </cell>
          <cell r="F123" t="str">
            <v>ｍ</v>
          </cell>
          <cell r="H123">
            <v>853</v>
          </cell>
          <cell r="J123">
            <v>853</v>
          </cell>
          <cell r="L123">
            <v>853</v>
          </cell>
          <cell r="N123">
            <v>853</v>
          </cell>
          <cell r="P123">
            <v>853</v>
          </cell>
          <cell r="R123">
            <v>853</v>
          </cell>
          <cell r="T123">
            <v>853</v>
          </cell>
          <cell r="V123">
            <v>853</v>
          </cell>
          <cell r="X123">
            <v>853</v>
          </cell>
          <cell r="Z123">
            <v>853</v>
          </cell>
          <cell r="AD123">
            <v>5.7000000000000002E-2</v>
          </cell>
        </row>
        <row r="124">
          <cell r="E124" t="str">
            <v>F2-V- 50mm</v>
          </cell>
          <cell r="F124" t="str">
            <v>ｍ</v>
          </cell>
          <cell r="H124">
            <v>1290</v>
          </cell>
          <cell r="J124">
            <v>1290</v>
          </cell>
          <cell r="L124">
            <v>1290</v>
          </cell>
          <cell r="N124">
            <v>1290</v>
          </cell>
          <cell r="P124">
            <v>1290</v>
          </cell>
          <cell r="R124">
            <v>1290</v>
          </cell>
          <cell r="T124">
            <v>1290</v>
          </cell>
          <cell r="V124">
            <v>1290</v>
          </cell>
          <cell r="X124">
            <v>1290</v>
          </cell>
          <cell r="Z124">
            <v>1290</v>
          </cell>
          <cell r="AD124">
            <v>7.4999999999999997E-2</v>
          </cell>
        </row>
        <row r="125">
          <cell r="E125" t="str">
            <v>F2-V- 63mm</v>
          </cell>
          <cell r="F125" t="str">
            <v>ｍ</v>
          </cell>
          <cell r="H125">
            <v>2160</v>
          </cell>
          <cell r="J125">
            <v>2160</v>
          </cell>
          <cell r="L125">
            <v>2160</v>
          </cell>
          <cell r="N125">
            <v>2160</v>
          </cell>
          <cell r="P125">
            <v>2160</v>
          </cell>
          <cell r="R125">
            <v>2160</v>
          </cell>
          <cell r="T125">
            <v>2160</v>
          </cell>
          <cell r="V125">
            <v>2160</v>
          </cell>
          <cell r="X125">
            <v>2160</v>
          </cell>
          <cell r="Z125">
            <v>2160</v>
          </cell>
          <cell r="AD125">
            <v>9.5000000000000001E-2</v>
          </cell>
        </row>
        <row r="126">
          <cell r="E126" t="str">
            <v>F2-V- 76mm</v>
          </cell>
          <cell r="F126" t="str">
            <v>ｍ</v>
          </cell>
          <cell r="H126">
            <v>2910</v>
          </cell>
          <cell r="J126">
            <v>2910</v>
          </cell>
          <cell r="L126">
            <v>2910</v>
          </cell>
          <cell r="N126">
            <v>2910</v>
          </cell>
          <cell r="P126">
            <v>2910</v>
          </cell>
          <cell r="R126">
            <v>2910</v>
          </cell>
          <cell r="T126">
            <v>2910</v>
          </cell>
          <cell r="V126">
            <v>2910</v>
          </cell>
          <cell r="X126">
            <v>2910</v>
          </cell>
          <cell r="Z126">
            <v>2910</v>
          </cell>
          <cell r="AD126">
            <v>0.115</v>
          </cell>
        </row>
        <row r="127">
          <cell r="E127" t="str">
            <v>F2-V- 83mm</v>
          </cell>
          <cell r="F127" t="str">
            <v>ｍ</v>
          </cell>
          <cell r="H127">
            <v>4530</v>
          </cell>
          <cell r="J127">
            <v>4530</v>
          </cell>
          <cell r="L127">
            <v>4530</v>
          </cell>
          <cell r="N127">
            <v>4530</v>
          </cell>
          <cell r="P127">
            <v>4530</v>
          </cell>
          <cell r="R127">
            <v>4530</v>
          </cell>
          <cell r="T127">
            <v>4530</v>
          </cell>
          <cell r="V127">
            <v>4530</v>
          </cell>
          <cell r="X127">
            <v>4530</v>
          </cell>
          <cell r="Z127">
            <v>4530</v>
          </cell>
          <cell r="AD127">
            <v>0.125</v>
          </cell>
        </row>
        <row r="128">
          <cell r="E128" t="str">
            <v>F2-V-101mm</v>
          </cell>
          <cell r="F128" t="str">
            <v>ｍ</v>
          </cell>
          <cell r="H128">
            <v>5400</v>
          </cell>
          <cell r="J128">
            <v>5400</v>
          </cell>
          <cell r="L128">
            <v>5400</v>
          </cell>
          <cell r="N128">
            <v>5400</v>
          </cell>
          <cell r="P128">
            <v>5400</v>
          </cell>
          <cell r="R128">
            <v>5400</v>
          </cell>
          <cell r="T128">
            <v>5400</v>
          </cell>
          <cell r="V128">
            <v>5400</v>
          </cell>
          <cell r="X128">
            <v>5400</v>
          </cell>
          <cell r="Z128">
            <v>5400</v>
          </cell>
          <cell r="AD128">
            <v>0.152</v>
          </cell>
        </row>
        <row r="129">
          <cell r="E129" t="str">
            <v>PE- 16mm</v>
          </cell>
          <cell r="F129" t="str">
            <v>ｍ</v>
          </cell>
          <cell r="G129">
            <v>1280</v>
          </cell>
          <cell r="H129">
            <v>349</v>
          </cell>
          <cell r="I129">
            <v>1280</v>
          </cell>
          <cell r="J129">
            <v>349</v>
          </cell>
          <cell r="K129">
            <v>1280</v>
          </cell>
          <cell r="L129">
            <v>349</v>
          </cell>
          <cell r="M129">
            <v>1280</v>
          </cell>
          <cell r="N129">
            <v>349</v>
          </cell>
          <cell r="O129">
            <v>1280</v>
          </cell>
          <cell r="P129">
            <v>349</v>
          </cell>
          <cell r="Q129">
            <v>1280</v>
          </cell>
          <cell r="R129">
            <v>349</v>
          </cell>
          <cell r="S129">
            <v>1280</v>
          </cell>
          <cell r="T129">
            <v>349</v>
          </cell>
          <cell r="U129">
            <v>1280</v>
          </cell>
          <cell r="V129">
            <v>349</v>
          </cell>
          <cell r="W129">
            <v>1280</v>
          </cell>
          <cell r="X129">
            <v>349</v>
          </cell>
          <cell r="Y129">
            <v>1280</v>
          </cell>
          <cell r="Z129">
            <v>349</v>
          </cell>
          <cell r="AD129">
            <v>0.06</v>
          </cell>
        </row>
        <row r="130">
          <cell r="E130" t="str">
            <v>PE- 22mm</v>
          </cell>
          <cell r="F130" t="str">
            <v>ｍ</v>
          </cell>
          <cell r="G130">
            <v>1460</v>
          </cell>
          <cell r="H130">
            <v>398</v>
          </cell>
          <cell r="I130">
            <v>1460</v>
          </cell>
          <cell r="J130">
            <v>398</v>
          </cell>
          <cell r="K130">
            <v>1460</v>
          </cell>
          <cell r="L130">
            <v>398</v>
          </cell>
          <cell r="M130">
            <v>1460</v>
          </cell>
          <cell r="N130">
            <v>398</v>
          </cell>
          <cell r="O130">
            <v>1460</v>
          </cell>
          <cell r="P130">
            <v>398</v>
          </cell>
          <cell r="Q130">
            <v>1460</v>
          </cell>
          <cell r="R130">
            <v>398</v>
          </cell>
          <cell r="S130">
            <v>1460</v>
          </cell>
          <cell r="T130">
            <v>398</v>
          </cell>
          <cell r="U130">
            <v>1460</v>
          </cell>
          <cell r="V130">
            <v>398</v>
          </cell>
          <cell r="W130">
            <v>1460</v>
          </cell>
          <cell r="X130">
            <v>398</v>
          </cell>
          <cell r="Y130">
            <v>1460</v>
          </cell>
          <cell r="Z130">
            <v>398</v>
          </cell>
          <cell r="AD130">
            <v>0.08</v>
          </cell>
        </row>
        <row r="131">
          <cell r="E131" t="str">
            <v>PE- 28mm</v>
          </cell>
          <cell r="F131" t="str">
            <v>ｍ</v>
          </cell>
          <cell r="G131">
            <v>1880</v>
          </cell>
          <cell r="H131">
            <v>513</v>
          </cell>
          <cell r="I131">
            <v>1880</v>
          </cell>
          <cell r="J131">
            <v>513</v>
          </cell>
          <cell r="K131">
            <v>1880</v>
          </cell>
          <cell r="L131">
            <v>513</v>
          </cell>
          <cell r="M131">
            <v>1880</v>
          </cell>
          <cell r="N131">
            <v>513</v>
          </cell>
          <cell r="O131">
            <v>1880</v>
          </cell>
          <cell r="P131">
            <v>513</v>
          </cell>
          <cell r="Q131">
            <v>1880</v>
          </cell>
          <cell r="R131">
            <v>513</v>
          </cell>
          <cell r="S131">
            <v>1880</v>
          </cell>
          <cell r="T131">
            <v>513</v>
          </cell>
          <cell r="U131">
            <v>1880</v>
          </cell>
          <cell r="V131">
            <v>513</v>
          </cell>
          <cell r="W131">
            <v>1880</v>
          </cell>
          <cell r="X131">
            <v>513</v>
          </cell>
          <cell r="Y131">
            <v>1880</v>
          </cell>
          <cell r="Z131">
            <v>513</v>
          </cell>
          <cell r="AD131">
            <v>0.10299999999999999</v>
          </cell>
        </row>
        <row r="132">
          <cell r="E132" t="str">
            <v>PE- 36mm</v>
          </cell>
          <cell r="F132" t="str">
            <v>ｍ</v>
          </cell>
          <cell r="G132">
            <v>2410</v>
          </cell>
          <cell r="H132">
            <v>658</v>
          </cell>
          <cell r="I132">
            <v>2410</v>
          </cell>
          <cell r="J132">
            <v>658</v>
          </cell>
          <cell r="K132">
            <v>2410</v>
          </cell>
          <cell r="L132">
            <v>658</v>
          </cell>
          <cell r="M132">
            <v>2410</v>
          </cell>
          <cell r="N132">
            <v>658</v>
          </cell>
          <cell r="O132">
            <v>2410</v>
          </cell>
          <cell r="P132">
            <v>658</v>
          </cell>
          <cell r="Q132">
            <v>2410</v>
          </cell>
          <cell r="R132">
            <v>658</v>
          </cell>
          <cell r="S132">
            <v>2410</v>
          </cell>
          <cell r="T132">
            <v>658</v>
          </cell>
          <cell r="U132">
            <v>2410</v>
          </cell>
          <cell r="V132">
            <v>658</v>
          </cell>
          <cell r="W132">
            <v>2410</v>
          </cell>
          <cell r="X132">
            <v>658</v>
          </cell>
          <cell r="Y132">
            <v>2410</v>
          </cell>
          <cell r="Z132">
            <v>658</v>
          </cell>
          <cell r="AD132">
            <v>0.124</v>
          </cell>
        </row>
        <row r="133">
          <cell r="E133" t="str">
            <v>PE- 42mm</v>
          </cell>
          <cell r="F133" t="str">
            <v>ｍ</v>
          </cell>
          <cell r="G133">
            <v>2700</v>
          </cell>
          <cell r="H133">
            <v>737</v>
          </cell>
          <cell r="I133">
            <v>2700</v>
          </cell>
          <cell r="J133">
            <v>737</v>
          </cell>
          <cell r="K133">
            <v>2700</v>
          </cell>
          <cell r="L133">
            <v>737</v>
          </cell>
          <cell r="M133">
            <v>2700</v>
          </cell>
          <cell r="N133">
            <v>737</v>
          </cell>
          <cell r="O133">
            <v>2700</v>
          </cell>
          <cell r="P133">
            <v>737</v>
          </cell>
          <cell r="Q133">
            <v>2700</v>
          </cell>
          <cell r="R133">
            <v>737</v>
          </cell>
          <cell r="S133">
            <v>2700</v>
          </cell>
          <cell r="T133">
            <v>737</v>
          </cell>
          <cell r="U133">
            <v>2700</v>
          </cell>
          <cell r="V133">
            <v>737</v>
          </cell>
          <cell r="W133">
            <v>2700</v>
          </cell>
          <cell r="X133">
            <v>737</v>
          </cell>
          <cell r="Y133">
            <v>2700</v>
          </cell>
          <cell r="Z133">
            <v>737</v>
          </cell>
          <cell r="AD133">
            <v>0.17</v>
          </cell>
        </row>
        <row r="134">
          <cell r="E134" t="str">
            <v>PE- 54mm</v>
          </cell>
          <cell r="F134" t="str">
            <v>ｍ</v>
          </cell>
          <cell r="G134">
            <v>3760</v>
          </cell>
          <cell r="H134">
            <v>1027</v>
          </cell>
          <cell r="I134">
            <v>3760</v>
          </cell>
          <cell r="J134">
            <v>1027</v>
          </cell>
          <cell r="K134">
            <v>3760</v>
          </cell>
          <cell r="L134">
            <v>1027</v>
          </cell>
          <cell r="M134">
            <v>3760</v>
          </cell>
          <cell r="N134">
            <v>1027</v>
          </cell>
          <cell r="O134">
            <v>3760</v>
          </cell>
          <cell r="P134">
            <v>1027</v>
          </cell>
          <cell r="Q134">
            <v>3760</v>
          </cell>
          <cell r="R134">
            <v>1027</v>
          </cell>
          <cell r="S134">
            <v>3760</v>
          </cell>
          <cell r="T134">
            <v>1027</v>
          </cell>
          <cell r="U134">
            <v>3760</v>
          </cell>
          <cell r="V134">
            <v>1027</v>
          </cell>
          <cell r="W134">
            <v>3760</v>
          </cell>
          <cell r="X134">
            <v>1027</v>
          </cell>
          <cell r="Y134">
            <v>3760</v>
          </cell>
          <cell r="Z134">
            <v>1027</v>
          </cell>
          <cell r="AD134">
            <v>0.22900000000000001</v>
          </cell>
        </row>
        <row r="135">
          <cell r="E135" t="str">
            <v>PE- 70mm</v>
          </cell>
          <cell r="F135" t="str">
            <v>ｍ</v>
          </cell>
          <cell r="G135">
            <v>4890</v>
          </cell>
          <cell r="H135">
            <v>1336</v>
          </cell>
          <cell r="I135">
            <v>4890</v>
          </cell>
          <cell r="J135">
            <v>1336</v>
          </cell>
          <cell r="K135">
            <v>4890</v>
          </cell>
          <cell r="L135">
            <v>1336</v>
          </cell>
          <cell r="M135">
            <v>4890</v>
          </cell>
          <cell r="N135">
            <v>1336</v>
          </cell>
          <cell r="O135">
            <v>4890</v>
          </cell>
          <cell r="P135">
            <v>1336</v>
          </cell>
          <cell r="Q135">
            <v>4890</v>
          </cell>
          <cell r="R135">
            <v>1336</v>
          </cell>
          <cell r="S135">
            <v>4890</v>
          </cell>
          <cell r="T135">
            <v>1336</v>
          </cell>
          <cell r="U135">
            <v>4890</v>
          </cell>
          <cell r="V135">
            <v>1336</v>
          </cell>
          <cell r="W135">
            <v>4890</v>
          </cell>
          <cell r="X135">
            <v>1336</v>
          </cell>
          <cell r="Y135">
            <v>4890</v>
          </cell>
          <cell r="Z135">
            <v>1336</v>
          </cell>
          <cell r="AD135">
            <v>0.26600000000000001</v>
          </cell>
        </row>
        <row r="136">
          <cell r="E136" t="str">
            <v>PE- 82mm</v>
          </cell>
          <cell r="F136" t="str">
            <v>ｍ</v>
          </cell>
          <cell r="G136">
            <v>5640</v>
          </cell>
          <cell r="H136">
            <v>1540</v>
          </cell>
          <cell r="I136">
            <v>5640</v>
          </cell>
          <cell r="J136">
            <v>1540</v>
          </cell>
          <cell r="K136">
            <v>5640</v>
          </cell>
          <cell r="L136">
            <v>1540</v>
          </cell>
          <cell r="M136">
            <v>5640</v>
          </cell>
          <cell r="N136">
            <v>1540</v>
          </cell>
          <cell r="O136">
            <v>5640</v>
          </cell>
          <cell r="P136">
            <v>1540</v>
          </cell>
          <cell r="Q136">
            <v>5640</v>
          </cell>
          <cell r="R136">
            <v>1540</v>
          </cell>
          <cell r="S136">
            <v>5640</v>
          </cell>
          <cell r="T136">
            <v>1540</v>
          </cell>
          <cell r="U136">
            <v>5640</v>
          </cell>
          <cell r="V136">
            <v>1540</v>
          </cell>
          <cell r="W136">
            <v>5640</v>
          </cell>
          <cell r="X136">
            <v>1540</v>
          </cell>
          <cell r="Y136">
            <v>5640</v>
          </cell>
          <cell r="Z136">
            <v>1540</v>
          </cell>
          <cell r="AD136">
            <v>0.32300000000000001</v>
          </cell>
        </row>
        <row r="137">
          <cell r="E137" t="str">
            <v>PE- 92mm</v>
          </cell>
          <cell r="F137" t="str">
            <v>ｍ</v>
          </cell>
          <cell r="G137">
            <v>8510</v>
          </cell>
          <cell r="H137">
            <v>2325</v>
          </cell>
          <cell r="I137">
            <v>8510</v>
          </cell>
          <cell r="J137">
            <v>2325</v>
          </cell>
          <cell r="K137">
            <v>8510</v>
          </cell>
          <cell r="L137">
            <v>2325</v>
          </cell>
          <cell r="M137">
            <v>8510</v>
          </cell>
          <cell r="N137">
            <v>2325</v>
          </cell>
          <cell r="O137">
            <v>8510</v>
          </cell>
          <cell r="P137">
            <v>2325</v>
          </cell>
          <cell r="Q137">
            <v>8510</v>
          </cell>
          <cell r="R137">
            <v>2325</v>
          </cell>
          <cell r="S137">
            <v>8510</v>
          </cell>
          <cell r="T137">
            <v>2325</v>
          </cell>
          <cell r="U137">
            <v>8510</v>
          </cell>
          <cell r="V137">
            <v>2325</v>
          </cell>
          <cell r="W137">
            <v>8510</v>
          </cell>
          <cell r="X137">
            <v>2325</v>
          </cell>
          <cell r="Y137">
            <v>8510</v>
          </cell>
          <cell r="Z137">
            <v>2325</v>
          </cell>
          <cell r="AD137">
            <v>0.36</v>
          </cell>
        </row>
        <row r="138">
          <cell r="E138" t="str">
            <v>PE-104mm</v>
          </cell>
          <cell r="F138" t="str">
            <v>ｍ</v>
          </cell>
          <cell r="G138">
            <v>9630</v>
          </cell>
          <cell r="H138">
            <v>2631</v>
          </cell>
          <cell r="I138">
            <v>9630</v>
          </cell>
          <cell r="J138">
            <v>2631</v>
          </cell>
          <cell r="K138">
            <v>9630</v>
          </cell>
          <cell r="L138">
            <v>2631</v>
          </cell>
          <cell r="M138">
            <v>9630</v>
          </cell>
          <cell r="N138">
            <v>2631</v>
          </cell>
          <cell r="O138">
            <v>9630</v>
          </cell>
          <cell r="P138">
            <v>2631</v>
          </cell>
          <cell r="Q138">
            <v>9630</v>
          </cell>
          <cell r="R138">
            <v>2631</v>
          </cell>
          <cell r="S138">
            <v>9630</v>
          </cell>
          <cell r="T138">
            <v>2631</v>
          </cell>
          <cell r="U138">
            <v>9630</v>
          </cell>
          <cell r="V138">
            <v>2631</v>
          </cell>
          <cell r="W138">
            <v>9630</v>
          </cell>
          <cell r="X138">
            <v>2631</v>
          </cell>
          <cell r="Y138">
            <v>9630</v>
          </cell>
          <cell r="Z138">
            <v>2631</v>
          </cell>
          <cell r="AD138">
            <v>0.40200000000000002</v>
          </cell>
        </row>
        <row r="139">
          <cell r="E139" t="str">
            <v>F1-F-16mm</v>
          </cell>
          <cell r="F139" t="str">
            <v>ｍ</v>
          </cell>
          <cell r="H139">
            <v>230</v>
          </cell>
          <cell r="J139">
            <v>230</v>
          </cell>
          <cell r="L139">
            <v>230</v>
          </cell>
          <cell r="N139">
            <v>230</v>
          </cell>
          <cell r="P139">
            <v>230</v>
          </cell>
          <cell r="R139">
            <v>230</v>
          </cell>
          <cell r="T139">
            <v>230</v>
          </cell>
          <cell r="V139">
            <v>230</v>
          </cell>
          <cell r="X139">
            <v>230</v>
          </cell>
          <cell r="Z139">
            <v>230</v>
          </cell>
          <cell r="AD139">
            <v>2.4E-2</v>
          </cell>
        </row>
        <row r="140">
          <cell r="E140" t="str">
            <v>F1-F-19mm</v>
          </cell>
          <cell r="F140" t="str">
            <v>ｍ</v>
          </cell>
          <cell r="H140">
            <v>252</v>
          </cell>
          <cell r="J140">
            <v>252</v>
          </cell>
          <cell r="L140">
            <v>252</v>
          </cell>
          <cell r="N140">
            <v>252</v>
          </cell>
          <cell r="P140">
            <v>252</v>
          </cell>
          <cell r="R140">
            <v>252</v>
          </cell>
          <cell r="T140">
            <v>252</v>
          </cell>
          <cell r="V140">
            <v>252</v>
          </cell>
          <cell r="X140">
            <v>252</v>
          </cell>
          <cell r="Z140">
            <v>252</v>
          </cell>
          <cell r="AD140">
            <v>2.9000000000000001E-2</v>
          </cell>
        </row>
        <row r="141">
          <cell r="E141" t="str">
            <v>F1-F-25mm</v>
          </cell>
          <cell r="F141" t="str">
            <v>ｍ</v>
          </cell>
          <cell r="H141">
            <v>338</v>
          </cell>
          <cell r="J141">
            <v>338</v>
          </cell>
          <cell r="L141">
            <v>338</v>
          </cell>
          <cell r="N141">
            <v>338</v>
          </cell>
          <cell r="P141">
            <v>338</v>
          </cell>
          <cell r="R141">
            <v>338</v>
          </cell>
          <cell r="T141">
            <v>338</v>
          </cell>
          <cell r="V141">
            <v>338</v>
          </cell>
          <cell r="X141">
            <v>338</v>
          </cell>
          <cell r="Z141">
            <v>338</v>
          </cell>
          <cell r="AD141">
            <v>3.7999999999999999E-2</v>
          </cell>
        </row>
        <row r="142">
          <cell r="E142" t="str">
            <v>F1-F-32mm</v>
          </cell>
          <cell r="F142" t="str">
            <v>ｍ</v>
          </cell>
          <cell r="H142">
            <v>388</v>
          </cell>
          <cell r="J142">
            <v>388</v>
          </cell>
          <cell r="L142">
            <v>388</v>
          </cell>
          <cell r="N142">
            <v>388</v>
          </cell>
          <cell r="P142">
            <v>388</v>
          </cell>
          <cell r="R142">
            <v>388</v>
          </cell>
          <cell r="T142">
            <v>388</v>
          </cell>
          <cell r="V142">
            <v>388</v>
          </cell>
          <cell r="X142">
            <v>388</v>
          </cell>
          <cell r="Z142">
            <v>388</v>
          </cell>
          <cell r="AD142">
            <v>4.8000000000000001E-2</v>
          </cell>
        </row>
        <row r="143">
          <cell r="E143" t="str">
            <v>F1-F-38mm</v>
          </cell>
          <cell r="F143" t="str">
            <v>ｍ</v>
          </cell>
          <cell r="H143">
            <v>532</v>
          </cell>
          <cell r="J143">
            <v>532</v>
          </cell>
          <cell r="L143">
            <v>532</v>
          </cell>
          <cell r="N143">
            <v>532</v>
          </cell>
          <cell r="P143">
            <v>532</v>
          </cell>
          <cell r="R143">
            <v>532</v>
          </cell>
          <cell r="T143">
            <v>532</v>
          </cell>
          <cell r="V143">
            <v>532</v>
          </cell>
          <cell r="X143">
            <v>532</v>
          </cell>
          <cell r="Z143">
            <v>532</v>
          </cell>
          <cell r="AD143">
            <v>5.7000000000000002E-2</v>
          </cell>
        </row>
        <row r="144">
          <cell r="E144" t="str">
            <v>F1-F-42mm</v>
          </cell>
          <cell r="F144" t="str">
            <v>ｍ</v>
          </cell>
          <cell r="H144">
            <v>626</v>
          </cell>
          <cell r="J144">
            <v>626</v>
          </cell>
          <cell r="L144">
            <v>626</v>
          </cell>
          <cell r="N144">
            <v>626</v>
          </cell>
          <cell r="P144">
            <v>626</v>
          </cell>
          <cell r="R144">
            <v>626</v>
          </cell>
          <cell r="T144">
            <v>626</v>
          </cell>
          <cell r="V144">
            <v>626</v>
          </cell>
          <cell r="X144">
            <v>626</v>
          </cell>
          <cell r="Z144">
            <v>626</v>
          </cell>
          <cell r="AD144">
            <v>6.4000000000000001E-2</v>
          </cell>
        </row>
        <row r="145">
          <cell r="E145" t="str">
            <v>F1-F-50mm</v>
          </cell>
          <cell r="F145" t="str">
            <v>ｍ</v>
          </cell>
          <cell r="H145">
            <v>871</v>
          </cell>
          <cell r="J145">
            <v>871</v>
          </cell>
          <cell r="L145">
            <v>871</v>
          </cell>
          <cell r="N145">
            <v>871</v>
          </cell>
          <cell r="P145">
            <v>871</v>
          </cell>
          <cell r="R145">
            <v>871</v>
          </cell>
          <cell r="T145">
            <v>871</v>
          </cell>
          <cell r="V145">
            <v>871</v>
          </cell>
          <cell r="X145">
            <v>871</v>
          </cell>
          <cell r="Z145">
            <v>871</v>
          </cell>
          <cell r="AD145">
            <v>7.5999999999999998E-2</v>
          </cell>
        </row>
        <row r="146">
          <cell r="E146" t="str">
            <v>F1-F-63mm</v>
          </cell>
          <cell r="F146" t="str">
            <v>ｍ</v>
          </cell>
          <cell r="H146">
            <v>1100</v>
          </cell>
          <cell r="J146">
            <v>1100</v>
          </cell>
          <cell r="L146">
            <v>1100</v>
          </cell>
          <cell r="N146">
            <v>1100</v>
          </cell>
          <cell r="P146">
            <v>1100</v>
          </cell>
          <cell r="R146">
            <v>1100</v>
          </cell>
          <cell r="T146">
            <v>1100</v>
          </cell>
          <cell r="V146">
            <v>1100</v>
          </cell>
          <cell r="X146">
            <v>1100</v>
          </cell>
          <cell r="Z146">
            <v>1100</v>
          </cell>
          <cell r="AD146">
            <v>9.5000000000000001E-2</v>
          </cell>
        </row>
        <row r="147">
          <cell r="E147" t="str">
            <v>F1-F-75mm</v>
          </cell>
          <cell r="F147" t="str">
            <v>ｍ</v>
          </cell>
          <cell r="H147">
            <v>1290</v>
          </cell>
          <cell r="J147">
            <v>1290</v>
          </cell>
          <cell r="L147">
            <v>1290</v>
          </cell>
          <cell r="N147">
            <v>1290</v>
          </cell>
          <cell r="P147">
            <v>1290</v>
          </cell>
          <cell r="R147">
            <v>1290</v>
          </cell>
          <cell r="T147">
            <v>1290</v>
          </cell>
          <cell r="V147">
            <v>1290</v>
          </cell>
          <cell r="X147">
            <v>1290</v>
          </cell>
          <cell r="Z147">
            <v>1290</v>
          </cell>
          <cell r="AD147">
            <v>0.113</v>
          </cell>
        </row>
        <row r="148">
          <cell r="E148" t="str">
            <v>F1-PE-16mm</v>
          </cell>
          <cell r="F148" t="str">
            <v>ｍ</v>
          </cell>
          <cell r="H148">
            <v>360</v>
          </cell>
          <cell r="J148">
            <v>360</v>
          </cell>
          <cell r="L148">
            <v>360</v>
          </cell>
          <cell r="N148">
            <v>360</v>
          </cell>
          <cell r="P148">
            <v>360</v>
          </cell>
          <cell r="R148">
            <v>360</v>
          </cell>
          <cell r="T148">
            <v>360</v>
          </cell>
          <cell r="V148">
            <v>360</v>
          </cell>
          <cell r="X148">
            <v>360</v>
          </cell>
          <cell r="Z148">
            <v>360</v>
          </cell>
          <cell r="AD148">
            <v>0.06</v>
          </cell>
        </row>
        <row r="149">
          <cell r="E149" t="str">
            <v>F1-PE-19mm</v>
          </cell>
          <cell r="F149" t="str">
            <v>ｍ</v>
          </cell>
          <cell r="H149">
            <v>417</v>
          </cell>
          <cell r="J149">
            <v>417</v>
          </cell>
          <cell r="L149">
            <v>417</v>
          </cell>
          <cell r="N149">
            <v>417</v>
          </cell>
          <cell r="P149">
            <v>417</v>
          </cell>
          <cell r="R149">
            <v>417</v>
          </cell>
          <cell r="T149">
            <v>417</v>
          </cell>
          <cell r="V149">
            <v>417</v>
          </cell>
          <cell r="X149">
            <v>417</v>
          </cell>
          <cell r="Z149">
            <v>417</v>
          </cell>
          <cell r="AD149">
            <v>0.08</v>
          </cell>
        </row>
        <row r="150">
          <cell r="E150" t="str">
            <v>F1-PE-25mm</v>
          </cell>
          <cell r="F150" t="str">
            <v>ｍ</v>
          </cell>
          <cell r="H150">
            <v>511</v>
          </cell>
          <cell r="J150">
            <v>511</v>
          </cell>
          <cell r="L150">
            <v>511</v>
          </cell>
          <cell r="N150">
            <v>511</v>
          </cell>
          <cell r="P150">
            <v>511</v>
          </cell>
          <cell r="R150">
            <v>511</v>
          </cell>
          <cell r="T150">
            <v>511</v>
          </cell>
          <cell r="V150">
            <v>511</v>
          </cell>
          <cell r="X150">
            <v>511</v>
          </cell>
          <cell r="Z150">
            <v>511</v>
          </cell>
          <cell r="AD150">
            <v>0.10299999999999999</v>
          </cell>
        </row>
        <row r="151">
          <cell r="E151" t="str">
            <v>F1-PE-32mm</v>
          </cell>
          <cell r="F151" t="str">
            <v>ｍ</v>
          </cell>
          <cell r="H151">
            <v>633</v>
          </cell>
          <cell r="J151">
            <v>633</v>
          </cell>
          <cell r="L151">
            <v>633</v>
          </cell>
          <cell r="N151">
            <v>633</v>
          </cell>
          <cell r="P151">
            <v>633</v>
          </cell>
          <cell r="R151">
            <v>633</v>
          </cell>
          <cell r="T151">
            <v>633</v>
          </cell>
          <cell r="V151">
            <v>633</v>
          </cell>
          <cell r="X151">
            <v>633</v>
          </cell>
          <cell r="Z151">
            <v>633</v>
          </cell>
          <cell r="AD151">
            <v>0.124</v>
          </cell>
        </row>
        <row r="152">
          <cell r="E152" t="str">
            <v>F1-PE-38mm</v>
          </cell>
          <cell r="F152" t="str">
            <v>ｍ</v>
          </cell>
          <cell r="H152">
            <v>828</v>
          </cell>
          <cell r="J152">
            <v>828</v>
          </cell>
          <cell r="L152">
            <v>828</v>
          </cell>
          <cell r="N152">
            <v>828</v>
          </cell>
          <cell r="P152">
            <v>828</v>
          </cell>
          <cell r="R152">
            <v>828</v>
          </cell>
          <cell r="T152">
            <v>828</v>
          </cell>
          <cell r="V152">
            <v>828</v>
          </cell>
          <cell r="X152">
            <v>828</v>
          </cell>
          <cell r="Z152">
            <v>828</v>
          </cell>
          <cell r="AD152">
            <v>0.17</v>
          </cell>
        </row>
        <row r="153">
          <cell r="E153" t="str">
            <v>F1-PE-42mm</v>
          </cell>
          <cell r="F153" t="str">
            <v>ｍ</v>
          </cell>
          <cell r="H153">
            <v>1030</v>
          </cell>
          <cell r="J153">
            <v>1030</v>
          </cell>
          <cell r="L153">
            <v>1030</v>
          </cell>
          <cell r="N153">
            <v>1030</v>
          </cell>
          <cell r="P153">
            <v>1030</v>
          </cell>
          <cell r="R153">
            <v>1030</v>
          </cell>
          <cell r="T153">
            <v>1030</v>
          </cell>
          <cell r="V153">
            <v>1030</v>
          </cell>
          <cell r="X153">
            <v>1030</v>
          </cell>
          <cell r="Z153">
            <v>1030</v>
          </cell>
          <cell r="AD153">
            <v>0.22900000000000001</v>
          </cell>
        </row>
        <row r="154">
          <cell r="E154" t="str">
            <v>F1-PE-50mm</v>
          </cell>
          <cell r="F154" t="str">
            <v>ｍ</v>
          </cell>
          <cell r="H154">
            <v>1280</v>
          </cell>
          <cell r="J154">
            <v>1280</v>
          </cell>
          <cell r="L154">
            <v>1280</v>
          </cell>
          <cell r="N154">
            <v>1280</v>
          </cell>
          <cell r="P154">
            <v>1280</v>
          </cell>
          <cell r="R154">
            <v>1280</v>
          </cell>
          <cell r="T154">
            <v>1280</v>
          </cell>
          <cell r="V154">
            <v>1280</v>
          </cell>
          <cell r="X154">
            <v>1280</v>
          </cell>
          <cell r="Z154">
            <v>1280</v>
          </cell>
          <cell r="AD154">
            <v>0.26600000000000001</v>
          </cell>
        </row>
        <row r="155">
          <cell r="E155" t="str">
            <v>F1-PE-63mm</v>
          </cell>
          <cell r="F155" t="str">
            <v>ｍ</v>
          </cell>
          <cell r="H155">
            <v>1440</v>
          </cell>
          <cell r="J155">
            <v>1440</v>
          </cell>
          <cell r="L155">
            <v>1440</v>
          </cell>
          <cell r="N155">
            <v>1440</v>
          </cell>
          <cell r="P155">
            <v>1440</v>
          </cell>
          <cell r="R155">
            <v>1440</v>
          </cell>
          <cell r="T155">
            <v>1440</v>
          </cell>
          <cell r="V155">
            <v>1440</v>
          </cell>
          <cell r="X155">
            <v>1440</v>
          </cell>
          <cell r="Z155">
            <v>1440</v>
          </cell>
          <cell r="AD155">
            <v>0.32300000000000001</v>
          </cell>
        </row>
        <row r="156">
          <cell r="E156" t="str">
            <v>F1-PE-75mm</v>
          </cell>
          <cell r="F156" t="str">
            <v>ｍ</v>
          </cell>
          <cell r="H156">
            <v>1940</v>
          </cell>
          <cell r="J156">
            <v>1940</v>
          </cell>
          <cell r="L156">
            <v>1940</v>
          </cell>
          <cell r="N156">
            <v>1940</v>
          </cell>
          <cell r="P156">
            <v>1940</v>
          </cell>
          <cell r="R156">
            <v>1940</v>
          </cell>
          <cell r="T156">
            <v>1940</v>
          </cell>
          <cell r="V156">
            <v>1940</v>
          </cell>
          <cell r="X156">
            <v>1940</v>
          </cell>
          <cell r="Z156">
            <v>1940</v>
          </cell>
          <cell r="AD156">
            <v>0.40200000000000002</v>
          </cell>
        </row>
        <row r="157">
          <cell r="E157" t="str">
            <v>SUS-G- 16mm</v>
          </cell>
          <cell r="F157" t="str">
            <v>ｍ</v>
          </cell>
          <cell r="G157">
            <v>8160</v>
          </cell>
          <cell r="H157">
            <v>2229</v>
          </cell>
          <cell r="I157">
            <v>8160</v>
          </cell>
          <cell r="J157">
            <v>2229</v>
          </cell>
          <cell r="K157">
            <v>8160</v>
          </cell>
          <cell r="L157">
            <v>2229</v>
          </cell>
          <cell r="M157">
            <v>8160</v>
          </cell>
          <cell r="N157">
            <v>2229</v>
          </cell>
          <cell r="O157">
            <v>8160</v>
          </cell>
          <cell r="P157">
            <v>2229</v>
          </cell>
          <cell r="Q157">
            <v>8160</v>
          </cell>
          <cell r="R157">
            <v>2229</v>
          </cell>
          <cell r="S157">
            <v>8160</v>
          </cell>
          <cell r="T157">
            <v>2229</v>
          </cell>
          <cell r="U157">
            <v>8160</v>
          </cell>
          <cell r="V157">
            <v>2229</v>
          </cell>
          <cell r="W157">
            <v>8160</v>
          </cell>
          <cell r="X157">
            <v>2229</v>
          </cell>
          <cell r="Y157">
            <v>8160</v>
          </cell>
          <cell r="Z157">
            <v>2229</v>
          </cell>
          <cell r="AD157">
            <v>0.06</v>
          </cell>
        </row>
        <row r="158">
          <cell r="E158" t="str">
            <v>SUS-G- 22mm</v>
          </cell>
          <cell r="F158" t="str">
            <v>ｍ</v>
          </cell>
          <cell r="G158">
            <v>10300</v>
          </cell>
          <cell r="H158">
            <v>2814</v>
          </cell>
          <cell r="I158">
            <v>10300</v>
          </cell>
          <cell r="J158">
            <v>2814</v>
          </cell>
          <cell r="K158">
            <v>10300</v>
          </cell>
          <cell r="L158">
            <v>2814</v>
          </cell>
          <cell r="M158">
            <v>10300</v>
          </cell>
          <cell r="N158">
            <v>2814</v>
          </cell>
          <cell r="O158">
            <v>10300</v>
          </cell>
          <cell r="P158">
            <v>2814</v>
          </cell>
          <cell r="Q158">
            <v>10300</v>
          </cell>
          <cell r="R158">
            <v>2814</v>
          </cell>
          <cell r="S158">
            <v>10300</v>
          </cell>
          <cell r="T158">
            <v>2814</v>
          </cell>
          <cell r="U158">
            <v>10300</v>
          </cell>
          <cell r="V158">
            <v>2814</v>
          </cell>
          <cell r="W158">
            <v>10300</v>
          </cell>
          <cell r="X158">
            <v>2814</v>
          </cell>
          <cell r="Y158">
            <v>10300</v>
          </cell>
          <cell r="Z158">
            <v>2814</v>
          </cell>
          <cell r="AD158">
            <v>0.08</v>
          </cell>
        </row>
        <row r="159">
          <cell r="E159" t="str">
            <v>SUS-G- 28mm</v>
          </cell>
          <cell r="F159" t="str">
            <v>ｍ</v>
          </cell>
          <cell r="G159">
            <v>12900</v>
          </cell>
          <cell r="H159">
            <v>3524</v>
          </cell>
          <cell r="I159">
            <v>12900</v>
          </cell>
          <cell r="J159">
            <v>3524</v>
          </cell>
          <cell r="K159">
            <v>12900</v>
          </cell>
          <cell r="L159">
            <v>3524</v>
          </cell>
          <cell r="M159">
            <v>12900</v>
          </cell>
          <cell r="N159">
            <v>3524</v>
          </cell>
          <cell r="O159">
            <v>12900</v>
          </cell>
          <cell r="P159">
            <v>3524</v>
          </cell>
          <cell r="Q159">
            <v>12900</v>
          </cell>
          <cell r="R159">
            <v>3524</v>
          </cell>
          <cell r="S159">
            <v>12900</v>
          </cell>
          <cell r="T159">
            <v>3524</v>
          </cell>
          <cell r="U159">
            <v>12900</v>
          </cell>
          <cell r="V159">
            <v>3524</v>
          </cell>
          <cell r="W159">
            <v>12900</v>
          </cell>
          <cell r="X159">
            <v>3524</v>
          </cell>
          <cell r="Y159">
            <v>12900</v>
          </cell>
          <cell r="Z159">
            <v>3524</v>
          </cell>
          <cell r="AD159">
            <v>0.10299999999999999</v>
          </cell>
        </row>
        <row r="160">
          <cell r="E160" t="str">
            <v>SUS-G- 36mm</v>
          </cell>
          <cell r="F160" t="str">
            <v>ｍ</v>
          </cell>
          <cell r="G160">
            <v>16600</v>
          </cell>
          <cell r="H160">
            <v>4535</v>
          </cell>
          <cell r="I160">
            <v>16600</v>
          </cell>
          <cell r="J160">
            <v>4535</v>
          </cell>
          <cell r="K160">
            <v>16600</v>
          </cell>
          <cell r="L160">
            <v>4535</v>
          </cell>
          <cell r="M160">
            <v>16600</v>
          </cell>
          <cell r="N160">
            <v>4535</v>
          </cell>
          <cell r="O160">
            <v>16600</v>
          </cell>
          <cell r="P160">
            <v>4535</v>
          </cell>
          <cell r="Q160">
            <v>16600</v>
          </cell>
          <cell r="R160">
            <v>4535</v>
          </cell>
          <cell r="S160">
            <v>16600</v>
          </cell>
          <cell r="T160">
            <v>4535</v>
          </cell>
          <cell r="U160">
            <v>16600</v>
          </cell>
          <cell r="V160">
            <v>4535</v>
          </cell>
          <cell r="W160">
            <v>16600</v>
          </cell>
          <cell r="X160">
            <v>4535</v>
          </cell>
          <cell r="Y160">
            <v>16600</v>
          </cell>
          <cell r="Z160">
            <v>4535</v>
          </cell>
          <cell r="AD160">
            <v>0.124</v>
          </cell>
        </row>
        <row r="161">
          <cell r="E161" t="str">
            <v>SUS-G- 42mm</v>
          </cell>
          <cell r="F161" t="str">
            <v>ｍ</v>
          </cell>
          <cell r="G161">
            <v>19100</v>
          </cell>
          <cell r="H161">
            <v>5218</v>
          </cell>
          <cell r="I161">
            <v>19100</v>
          </cell>
          <cell r="J161">
            <v>5218</v>
          </cell>
          <cell r="K161">
            <v>19100</v>
          </cell>
          <cell r="L161">
            <v>5218</v>
          </cell>
          <cell r="M161">
            <v>19100</v>
          </cell>
          <cell r="N161">
            <v>5218</v>
          </cell>
          <cell r="O161">
            <v>19100</v>
          </cell>
          <cell r="P161">
            <v>5218</v>
          </cell>
          <cell r="Q161">
            <v>19100</v>
          </cell>
          <cell r="R161">
            <v>5218</v>
          </cell>
          <cell r="S161">
            <v>19100</v>
          </cell>
          <cell r="T161">
            <v>5218</v>
          </cell>
          <cell r="U161">
            <v>19100</v>
          </cell>
          <cell r="V161">
            <v>5218</v>
          </cell>
          <cell r="W161">
            <v>19100</v>
          </cell>
          <cell r="X161">
            <v>5218</v>
          </cell>
          <cell r="Y161">
            <v>19100</v>
          </cell>
          <cell r="Z161">
            <v>5218</v>
          </cell>
          <cell r="AD161">
            <v>0.17</v>
          </cell>
        </row>
        <row r="162">
          <cell r="E162" t="str">
            <v>SUS-G- 54mm</v>
          </cell>
          <cell r="F162" t="str">
            <v>ｍ</v>
          </cell>
          <cell r="G162">
            <v>23900</v>
          </cell>
          <cell r="H162">
            <v>6530</v>
          </cell>
          <cell r="I162">
            <v>23900</v>
          </cell>
          <cell r="J162">
            <v>6530</v>
          </cell>
          <cell r="K162">
            <v>23900</v>
          </cell>
          <cell r="L162">
            <v>6530</v>
          </cell>
          <cell r="M162">
            <v>23900</v>
          </cell>
          <cell r="N162">
            <v>6530</v>
          </cell>
          <cell r="O162">
            <v>23900</v>
          </cell>
          <cell r="P162">
            <v>6530</v>
          </cell>
          <cell r="Q162">
            <v>23900</v>
          </cell>
          <cell r="R162">
            <v>6530</v>
          </cell>
          <cell r="S162">
            <v>23900</v>
          </cell>
          <cell r="T162">
            <v>6530</v>
          </cell>
          <cell r="U162">
            <v>23900</v>
          </cell>
          <cell r="V162">
            <v>6530</v>
          </cell>
          <cell r="W162">
            <v>23900</v>
          </cell>
          <cell r="X162">
            <v>6530</v>
          </cell>
          <cell r="Y162">
            <v>23900</v>
          </cell>
          <cell r="Z162">
            <v>6530</v>
          </cell>
          <cell r="AD162">
            <v>0.22900000000000001</v>
          </cell>
        </row>
        <row r="163">
          <cell r="E163" t="str">
            <v>SUS-G- 70mm</v>
          </cell>
          <cell r="F163" t="str">
            <v>ｍ</v>
          </cell>
          <cell r="G163">
            <v>30600</v>
          </cell>
          <cell r="H163">
            <v>8360</v>
          </cell>
          <cell r="I163">
            <v>30600</v>
          </cell>
          <cell r="J163">
            <v>8360</v>
          </cell>
          <cell r="K163">
            <v>30600</v>
          </cell>
          <cell r="L163">
            <v>8360</v>
          </cell>
          <cell r="M163">
            <v>30600</v>
          </cell>
          <cell r="N163">
            <v>8360</v>
          </cell>
          <cell r="O163">
            <v>30600</v>
          </cell>
          <cell r="P163">
            <v>8360</v>
          </cell>
          <cell r="Q163">
            <v>30600</v>
          </cell>
          <cell r="R163">
            <v>8360</v>
          </cell>
          <cell r="S163">
            <v>30600</v>
          </cell>
          <cell r="T163">
            <v>8360</v>
          </cell>
          <cell r="U163">
            <v>30600</v>
          </cell>
          <cell r="V163">
            <v>8360</v>
          </cell>
          <cell r="W163">
            <v>30600</v>
          </cell>
          <cell r="X163">
            <v>8360</v>
          </cell>
          <cell r="Y163">
            <v>30600</v>
          </cell>
          <cell r="Z163">
            <v>8360</v>
          </cell>
          <cell r="AD163">
            <v>0.26600000000000001</v>
          </cell>
        </row>
        <row r="164">
          <cell r="E164" t="str">
            <v>SUS-G- 82mm</v>
          </cell>
          <cell r="F164" t="str">
            <v>ｍ</v>
          </cell>
          <cell r="G164">
            <v>42000</v>
          </cell>
          <cell r="H164">
            <v>11475</v>
          </cell>
          <cell r="I164">
            <v>42000</v>
          </cell>
          <cell r="J164">
            <v>11475</v>
          </cell>
          <cell r="K164">
            <v>42000</v>
          </cell>
          <cell r="L164">
            <v>11475</v>
          </cell>
          <cell r="M164">
            <v>42000</v>
          </cell>
          <cell r="N164">
            <v>11475</v>
          </cell>
          <cell r="O164">
            <v>42000</v>
          </cell>
          <cell r="P164">
            <v>11475</v>
          </cell>
          <cell r="Q164">
            <v>42000</v>
          </cell>
          <cell r="R164">
            <v>11475</v>
          </cell>
          <cell r="S164">
            <v>42000</v>
          </cell>
          <cell r="T164">
            <v>11475</v>
          </cell>
          <cell r="U164">
            <v>42000</v>
          </cell>
          <cell r="V164">
            <v>11475</v>
          </cell>
          <cell r="W164">
            <v>42000</v>
          </cell>
          <cell r="X164">
            <v>11475</v>
          </cell>
          <cell r="Y164">
            <v>42000</v>
          </cell>
          <cell r="Z164">
            <v>11475</v>
          </cell>
          <cell r="AD164">
            <v>0.32300000000000001</v>
          </cell>
        </row>
        <row r="165">
          <cell r="E165" t="str">
            <v>SUS-G-104mm</v>
          </cell>
          <cell r="F165" t="str">
            <v>ｍ</v>
          </cell>
          <cell r="G165">
            <v>54600</v>
          </cell>
          <cell r="H165">
            <v>14918</v>
          </cell>
          <cell r="I165">
            <v>54600</v>
          </cell>
          <cell r="J165">
            <v>14918</v>
          </cell>
          <cell r="K165">
            <v>54600</v>
          </cell>
          <cell r="L165">
            <v>14918</v>
          </cell>
          <cell r="M165">
            <v>54600</v>
          </cell>
          <cell r="N165">
            <v>14918</v>
          </cell>
          <cell r="O165">
            <v>54600</v>
          </cell>
          <cell r="P165">
            <v>14918</v>
          </cell>
          <cell r="Q165">
            <v>54600</v>
          </cell>
          <cell r="R165">
            <v>14918</v>
          </cell>
          <cell r="S165">
            <v>54600</v>
          </cell>
          <cell r="T165">
            <v>14918</v>
          </cell>
          <cell r="U165">
            <v>54600</v>
          </cell>
          <cell r="V165">
            <v>14918</v>
          </cell>
          <cell r="W165">
            <v>54600</v>
          </cell>
          <cell r="X165">
            <v>14918</v>
          </cell>
          <cell r="Y165">
            <v>54600</v>
          </cell>
          <cell r="Z165">
            <v>14918</v>
          </cell>
          <cell r="AD165">
            <v>0.40200000000000002</v>
          </cell>
        </row>
        <row r="166">
          <cell r="E166" t="str">
            <v>SUS-C- 19mm</v>
          </cell>
          <cell r="F166" t="str">
            <v>ｍ</v>
          </cell>
          <cell r="G166">
            <v>5250</v>
          </cell>
          <cell r="H166">
            <v>1434</v>
          </cell>
          <cell r="I166">
            <v>5250</v>
          </cell>
          <cell r="J166">
            <v>1434</v>
          </cell>
          <cell r="K166">
            <v>5250</v>
          </cell>
          <cell r="L166">
            <v>1434</v>
          </cell>
          <cell r="M166">
            <v>5250</v>
          </cell>
          <cell r="N166">
            <v>1434</v>
          </cell>
          <cell r="O166">
            <v>5250</v>
          </cell>
          <cell r="P166">
            <v>1434</v>
          </cell>
          <cell r="Q166">
            <v>5250</v>
          </cell>
          <cell r="R166">
            <v>1434</v>
          </cell>
          <cell r="S166">
            <v>5250</v>
          </cell>
          <cell r="T166">
            <v>1434</v>
          </cell>
          <cell r="U166">
            <v>5250</v>
          </cell>
          <cell r="V166">
            <v>1434</v>
          </cell>
          <cell r="W166">
            <v>5250</v>
          </cell>
          <cell r="X166">
            <v>1434</v>
          </cell>
          <cell r="Y166">
            <v>5250</v>
          </cell>
          <cell r="Z166">
            <v>1434</v>
          </cell>
          <cell r="AD166">
            <v>5.1999999999999998E-2</v>
          </cell>
        </row>
        <row r="167">
          <cell r="E167" t="str">
            <v>SUS-C- 25mm</v>
          </cell>
          <cell r="F167" t="str">
            <v>ｍ</v>
          </cell>
          <cell r="G167">
            <v>6060</v>
          </cell>
          <cell r="H167">
            <v>1655</v>
          </cell>
          <cell r="I167">
            <v>6060</v>
          </cell>
          <cell r="J167">
            <v>1655</v>
          </cell>
          <cell r="K167">
            <v>6060</v>
          </cell>
          <cell r="L167">
            <v>1655</v>
          </cell>
          <cell r="M167">
            <v>6060</v>
          </cell>
          <cell r="N167">
            <v>1655</v>
          </cell>
          <cell r="O167">
            <v>6060</v>
          </cell>
          <cell r="P167">
            <v>1655</v>
          </cell>
          <cell r="Q167">
            <v>6060</v>
          </cell>
          <cell r="R167">
            <v>1655</v>
          </cell>
          <cell r="S167">
            <v>6060</v>
          </cell>
          <cell r="T167">
            <v>1655</v>
          </cell>
          <cell r="U167">
            <v>6060</v>
          </cell>
          <cell r="V167">
            <v>1655</v>
          </cell>
          <cell r="W167">
            <v>6060</v>
          </cell>
          <cell r="X167">
            <v>1655</v>
          </cell>
          <cell r="Y167">
            <v>6060</v>
          </cell>
          <cell r="Z167">
            <v>1655</v>
          </cell>
          <cell r="AD167">
            <v>7.0000000000000007E-2</v>
          </cell>
        </row>
        <row r="168">
          <cell r="E168" t="str">
            <v>SUS-C- 31mm</v>
          </cell>
          <cell r="F168" t="str">
            <v>ｍ</v>
          </cell>
          <cell r="G168">
            <v>7810</v>
          </cell>
          <cell r="H168">
            <v>2133</v>
          </cell>
          <cell r="I168">
            <v>7810</v>
          </cell>
          <cell r="J168">
            <v>2133</v>
          </cell>
          <cell r="K168">
            <v>7810</v>
          </cell>
          <cell r="L168">
            <v>2133</v>
          </cell>
          <cell r="M168">
            <v>7810</v>
          </cell>
          <cell r="N168">
            <v>2133</v>
          </cell>
          <cell r="O168">
            <v>7810</v>
          </cell>
          <cell r="P168">
            <v>2133</v>
          </cell>
          <cell r="Q168">
            <v>7810</v>
          </cell>
          <cell r="R168">
            <v>2133</v>
          </cell>
          <cell r="S168">
            <v>7810</v>
          </cell>
          <cell r="T168">
            <v>2133</v>
          </cell>
          <cell r="U168">
            <v>7810</v>
          </cell>
          <cell r="V168">
            <v>2133</v>
          </cell>
          <cell r="W168">
            <v>7810</v>
          </cell>
          <cell r="X168">
            <v>2133</v>
          </cell>
          <cell r="Y168">
            <v>7810</v>
          </cell>
          <cell r="Z168">
            <v>2133</v>
          </cell>
          <cell r="AD168">
            <v>8.8999999999999996E-2</v>
          </cell>
        </row>
        <row r="169">
          <cell r="E169" t="str">
            <v>SUS-C- 39mm</v>
          </cell>
          <cell r="F169" t="str">
            <v>ｍ</v>
          </cell>
          <cell r="G169">
            <v>9330</v>
          </cell>
          <cell r="H169">
            <v>2549</v>
          </cell>
          <cell r="I169">
            <v>9330</v>
          </cell>
          <cell r="J169">
            <v>2549</v>
          </cell>
          <cell r="K169">
            <v>9330</v>
          </cell>
          <cell r="L169">
            <v>2549</v>
          </cell>
          <cell r="M169">
            <v>9330</v>
          </cell>
          <cell r="N169">
            <v>2549</v>
          </cell>
          <cell r="O169">
            <v>9330</v>
          </cell>
          <cell r="P169">
            <v>2549</v>
          </cell>
          <cell r="Q169">
            <v>9330</v>
          </cell>
          <cell r="R169">
            <v>2549</v>
          </cell>
          <cell r="S169">
            <v>9330</v>
          </cell>
          <cell r="T169">
            <v>2549</v>
          </cell>
          <cell r="U169">
            <v>9330</v>
          </cell>
          <cell r="V169">
            <v>2549</v>
          </cell>
          <cell r="W169">
            <v>9330</v>
          </cell>
          <cell r="X169">
            <v>2549</v>
          </cell>
          <cell r="Y169">
            <v>9330</v>
          </cell>
          <cell r="Z169">
            <v>2549</v>
          </cell>
          <cell r="AD169">
            <v>0.109</v>
          </cell>
        </row>
        <row r="170">
          <cell r="E170" t="str">
            <v>SUS-C- 51mm</v>
          </cell>
          <cell r="F170" t="str">
            <v>ｍ</v>
          </cell>
          <cell r="G170">
            <v>12200</v>
          </cell>
          <cell r="H170">
            <v>3333</v>
          </cell>
          <cell r="I170">
            <v>12200</v>
          </cell>
          <cell r="J170">
            <v>3333</v>
          </cell>
          <cell r="K170">
            <v>12200</v>
          </cell>
          <cell r="L170">
            <v>3333</v>
          </cell>
          <cell r="M170">
            <v>12200</v>
          </cell>
          <cell r="N170">
            <v>3333</v>
          </cell>
          <cell r="O170">
            <v>12200</v>
          </cell>
          <cell r="P170">
            <v>3333</v>
          </cell>
          <cell r="Q170">
            <v>12200</v>
          </cell>
          <cell r="R170">
            <v>3333</v>
          </cell>
          <cell r="S170">
            <v>12200</v>
          </cell>
          <cell r="T170">
            <v>3333</v>
          </cell>
          <cell r="U170">
            <v>12200</v>
          </cell>
          <cell r="V170">
            <v>3333</v>
          </cell>
          <cell r="W170">
            <v>12200</v>
          </cell>
          <cell r="X170">
            <v>3333</v>
          </cell>
          <cell r="Y170">
            <v>12200</v>
          </cell>
          <cell r="Z170">
            <v>3333</v>
          </cell>
          <cell r="AD170">
            <v>0.14699999999999999</v>
          </cell>
        </row>
        <row r="171">
          <cell r="E171" t="str">
            <v>SUS-C- 63mm</v>
          </cell>
          <cell r="F171" t="str">
            <v>ｍ</v>
          </cell>
          <cell r="G171">
            <v>18350</v>
          </cell>
          <cell r="H171">
            <v>5013</v>
          </cell>
          <cell r="I171">
            <v>18350</v>
          </cell>
          <cell r="J171">
            <v>5013</v>
          </cell>
          <cell r="K171">
            <v>18350</v>
          </cell>
          <cell r="L171">
            <v>5013</v>
          </cell>
          <cell r="M171">
            <v>18350</v>
          </cell>
          <cell r="N171">
            <v>5013</v>
          </cell>
          <cell r="O171">
            <v>18350</v>
          </cell>
          <cell r="P171">
            <v>5013</v>
          </cell>
          <cell r="Q171">
            <v>18350</v>
          </cell>
          <cell r="R171">
            <v>5013</v>
          </cell>
          <cell r="S171">
            <v>18350</v>
          </cell>
          <cell r="T171">
            <v>5013</v>
          </cell>
          <cell r="U171">
            <v>18350</v>
          </cell>
          <cell r="V171">
            <v>5013</v>
          </cell>
          <cell r="W171">
            <v>18350</v>
          </cell>
          <cell r="X171">
            <v>5013</v>
          </cell>
          <cell r="Y171">
            <v>18350</v>
          </cell>
          <cell r="Z171">
            <v>5013</v>
          </cell>
          <cell r="AD171">
            <v>0.19800000000000001</v>
          </cell>
        </row>
        <row r="172">
          <cell r="E172" t="str">
            <v>SUS-C- 75mm</v>
          </cell>
          <cell r="F172" t="str">
            <v>ｍ</v>
          </cell>
          <cell r="G172">
            <v>24500</v>
          </cell>
          <cell r="H172">
            <v>6693</v>
          </cell>
          <cell r="I172">
            <v>24500</v>
          </cell>
          <cell r="J172">
            <v>6693</v>
          </cell>
          <cell r="K172">
            <v>24500</v>
          </cell>
          <cell r="L172">
            <v>6693</v>
          </cell>
          <cell r="M172">
            <v>24500</v>
          </cell>
          <cell r="N172">
            <v>6693</v>
          </cell>
          <cell r="O172">
            <v>24500</v>
          </cell>
          <cell r="P172">
            <v>6693</v>
          </cell>
          <cell r="Q172">
            <v>24500</v>
          </cell>
          <cell r="R172">
            <v>6693</v>
          </cell>
          <cell r="S172">
            <v>24500</v>
          </cell>
          <cell r="T172">
            <v>6693</v>
          </cell>
          <cell r="U172">
            <v>24500</v>
          </cell>
          <cell r="V172">
            <v>6693</v>
          </cell>
          <cell r="W172">
            <v>24500</v>
          </cell>
          <cell r="X172">
            <v>6693</v>
          </cell>
          <cell r="Y172">
            <v>24500</v>
          </cell>
          <cell r="Z172">
            <v>6693</v>
          </cell>
          <cell r="AD172">
            <v>0.23100000000000001</v>
          </cell>
        </row>
        <row r="173">
          <cell r="E173" t="str">
            <v>SUS-E- 19mm</v>
          </cell>
          <cell r="F173" t="str">
            <v>ｍ</v>
          </cell>
          <cell r="G173">
            <v>4660</v>
          </cell>
          <cell r="H173">
            <v>1273</v>
          </cell>
          <cell r="I173">
            <v>4660</v>
          </cell>
          <cell r="J173">
            <v>1273</v>
          </cell>
          <cell r="K173">
            <v>4660</v>
          </cell>
          <cell r="L173">
            <v>1273</v>
          </cell>
          <cell r="M173">
            <v>4660</v>
          </cell>
          <cell r="N173">
            <v>1273</v>
          </cell>
          <cell r="O173">
            <v>4660</v>
          </cell>
          <cell r="P173">
            <v>1273</v>
          </cell>
          <cell r="Q173">
            <v>4660</v>
          </cell>
          <cell r="R173">
            <v>1273</v>
          </cell>
          <cell r="S173">
            <v>4660</v>
          </cell>
          <cell r="T173">
            <v>1273</v>
          </cell>
          <cell r="U173">
            <v>4660</v>
          </cell>
          <cell r="V173">
            <v>1273</v>
          </cell>
          <cell r="W173">
            <v>4660</v>
          </cell>
          <cell r="X173">
            <v>1273</v>
          </cell>
          <cell r="Y173">
            <v>4660</v>
          </cell>
          <cell r="Z173">
            <v>1273</v>
          </cell>
          <cell r="AD173">
            <v>4.2000000000000003E-2</v>
          </cell>
        </row>
        <row r="174">
          <cell r="E174" t="str">
            <v>SUS-E- 25mm</v>
          </cell>
          <cell r="F174" t="str">
            <v>ｍ</v>
          </cell>
          <cell r="G174">
            <v>5600</v>
          </cell>
          <cell r="H174">
            <v>1530</v>
          </cell>
          <cell r="I174">
            <v>5600</v>
          </cell>
          <cell r="J174">
            <v>1530</v>
          </cell>
          <cell r="K174">
            <v>5600</v>
          </cell>
          <cell r="L174">
            <v>1530</v>
          </cell>
          <cell r="M174">
            <v>5600</v>
          </cell>
          <cell r="N174">
            <v>1530</v>
          </cell>
          <cell r="O174">
            <v>5600</v>
          </cell>
          <cell r="P174">
            <v>1530</v>
          </cell>
          <cell r="Q174">
            <v>5600</v>
          </cell>
          <cell r="R174">
            <v>1530</v>
          </cell>
          <cell r="S174">
            <v>5600</v>
          </cell>
          <cell r="T174">
            <v>1530</v>
          </cell>
          <cell r="U174">
            <v>5600</v>
          </cell>
          <cell r="V174">
            <v>1530</v>
          </cell>
          <cell r="W174">
            <v>5600</v>
          </cell>
          <cell r="X174">
            <v>1530</v>
          </cell>
          <cell r="Y174">
            <v>5600</v>
          </cell>
          <cell r="Z174">
            <v>1530</v>
          </cell>
          <cell r="AD174">
            <v>5.6000000000000001E-2</v>
          </cell>
        </row>
        <row r="175">
          <cell r="E175" t="str">
            <v>SUS-E- 31mm</v>
          </cell>
          <cell r="F175" t="str">
            <v>ｍ</v>
          </cell>
          <cell r="G175">
            <v>7350</v>
          </cell>
          <cell r="H175">
            <v>2008</v>
          </cell>
          <cell r="I175">
            <v>7350</v>
          </cell>
          <cell r="J175">
            <v>2008</v>
          </cell>
          <cell r="K175">
            <v>7350</v>
          </cell>
          <cell r="L175">
            <v>2008</v>
          </cell>
          <cell r="M175">
            <v>7350</v>
          </cell>
          <cell r="N175">
            <v>2008</v>
          </cell>
          <cell r="O175">
            <v>7350</v>
          </cell>
          <cell r="P175">
            <v>2008</v>
          </cell>
          <cell r="Q175">
            <v>7350</v>
          </cell>
          <cell r="R175">
            <v>2008</v>
          </cell>
          <cell r="S175">
            <v>7350</v>
          </cell>
          <cell r="T175">
            <v>2008</v>
          </cell>
          <cell r="U175">
            <v>7350</v>
          </cell>
          <cell r="V175">
            <v>2008</v>
          </cell>
          <cell r="W175">
            <v>7350</v>
          </cell>
          <cell r="X175">
            <v>2008</v>
          </cell>
          <cell r="Y175">
            <v>7350</v>
          </cell>
          <cell r="Z175">
            <v>2008</v>
          </cell>
          <cell r="AD175">
            <v>7.0999999999999994E-2</v>
          </cell>
        </row>
        <row r="176">
          <cell r="E176" t="str">
            <v>SUS-E- 39mm</v>
          </cell>
          <cell r="F176" t="str">
            <v>ｍ</v>
          </cell>
          <cell r="G176">
            <v>8750</v>
          </cell>
          <cell r="H176">
            <v>2390</v>
          </cell>
          <cell r="I176">
            <v>8750</v>
          </cell>
          <cell r="J176">
            <v>2390</v>
          </cell>
          <cell r="K176">
            <v>8750</v>
          </cell>
          <cell r="L176">
            <v>2390</v>
          </cell>
          <cell r="M176">
            <v>8750</v>
          </cell>
          <cell r="N176">
            <v>2390</v>
          </cell>
          <cell r="O176">
            <v>8750</v>
          </cell>
          <cell r="P176">
            <v>2390</v>
          </cell>
          <cell r="Q176">
            <v>8750</v>
          </cell>
          <cell r="R176">
            <v>2390</v>
          </cell>
          <cell r="S176">
            <v>8750</v>
          </cell>
          <cell r="T176">
            <v>2390</v>
          </cell>
          <cell r="U176">
            <v>8750</v>
          </cell>
          <cell r="V176">
            <v>2390</v>
          </cell>
          <cell r="W176">
            <v>8750</v>
          </cell>
          <cell r="X176">
            <v>2390</v>
          </cell>
          <cell r="Y176">
            <v>8750</v>
          </cell>
          <cell r="Z176">
            <v>2390</v>
          </cell>
          <cell r="AD176">
            <v>8.6999999999999994E-2</v>
          </cell>
        </row>
        <row r="177">
          <cell r="E177" t="str">
            <v>SUS-E- 51mm</v>
          </cell>
          <cell r="F177" t="str">
            <v>ｍ</v>
          </cell>
          <cell r="G177">
            <v>11600</v>
          </cell>
          <cell r="H177">
            <v>3169</v>
          </cell>
          <cell r="I177">
            <v>11600</v>
          </cell>
          <cell r="J177">
            <v>3169</v>
          </cell>
          <cell r="K177">
            <v>11600</v>
          </cell>
          <cell r="L177">
            <v>3169</v>
          </cell>
          <cell r="M177">
            <v>11600</v>
          </cell>
          <cell r="N177">
            <v>3169</v>
          </cell>
          <cell r="O177">
            <v>11600</v>
          </cell>
          <cell r="P177">
            <v>3169</v>
          </cell>
          <cell r="Q177">
            <v>11600</v>
          </cell>
          <cell r="R177">
            <v>3169</v>
          </cell>
          <cell r="S177">
            <v>11600</v>
          </cell>
          <cell r="T177">
            <v>3169</v>
          </cell>
          <cell r="U177">
            <v>11600</v>
          </cell>
          <cell r="V177">
            <v>3169</v>
          </cell>
          <cell r="W177">
            <v>11600</v>
          </cell>
          <cell r="X177">
            <v>3169</v>
          </cell>
          <cell r="Y177">
            <v>11600</v>
          </cell>
          <cell r="Z177">
            <v>3169</v>
          </cell>
          <cell r="AD177">
            <v>0.11799999999999999</v>
          </cell>
        </row>
        <row r="178">
          <cell r="E178" t="str">
            <v>SUS-E- 63mm</v>
          </cell>
          <cell r="F178" t="str">
            <v>ｍ</v>
          </cell>
          <cell r="G178">
            <v>17350</v>
          </cell>
          <cell r="H178">
            <v>4740</v>
          </cell>
          <cell r="I178">
            <v>17350</v>
          </cell>
          <cell r="J178">
            <v>4740</v>
          </cell>
          <cell r="K178">
            <v>17350</v>
          </cell>
          <cell r="L178">
            <v>4740</v>
          </cell>
          <cell r="M178">
            <v>17350</v>
          </cell>
          <cell r="N178">
            <v>4740</v>
          </cell>
          <cell r="O178">
            <v>17350</v>
          </cell>
          <cell r="P178">
            <v>4740</v>
          </cell>
          <cell r="Q178">
            <v>17350</v>
          </cell>
          <cell r="R178">
            <v>4740</v>
          </cell>
          <cell r="S178">
            <v>17350</v>
          </cell>
          <cell r="T178">
            <v>4740</v>
          </cell>
          <cell r="U178">
            <v>17350</v>
          </cell>
          <cell r="V178">
            <v>4740</v>
          </cell>
          <cell r="W178">
            <v>17350</v>
          </cell>
          <cell r="X178">
            <v>4740</v>
          </cell>
          <cell r="Y178">
            <v>17350</v>
          </cell>
          <cell r="Z178">
            <v>4740</v>
          </cell>
          <cell r="AD178">
            <v>0.159</v>
          </cell>
        </row>
        <row r="179">
          <cell r="E179" t="str">
            <v>SUS-E- 75mm</v>
          </cell>
          <cell r="F179" t="str">
            <v>ｍ</v>
          </cell>
          <cell r="G179">
            <v>23100</v>
          </cell>
          <cell r="H179">
            <v>6311</v>
          </cell>
          <cell r="I179">
            <v>23100</v>
          </cell>
          <cell r="J179">
            <v>6311</v>
          </cell>
          <cell r="K179">
            <v>23100</v>
          </cell>
          <cell r="L179">
            <v>6311</v>
          </cell>
          <cell r="M179">
            <v>23100</v>
          </cell>
          <cell r="N179">
            <v>6311</v>
          </cell>
          <cell r="O179">
            <v>23100</v>
          </cell>
          <cell r="P179">
            <v>6311</v>
          </cell>
          <cell r="Q179">
            <v>23100</v>
          </cell>
          <cell r="R179">
            <v>6311</v>
          </cell>
          <cell r="S179">
            <v>23100</v>
          </cell>
          <cell r="T179">
            <v>6311</v>
          </cell>
          <cell r="U179">
            <v>23100</v>
          </cell>
          <cell r="V179">
            <v>6311</v>
          </cell>
          <cell r="W179">
            <v>23100</v>
          </cell>
          <cell r="X179">
            <v>6311</v>
          </cell>
          <cell r="Y179">
            <v>23100</v>
          </cell>
          <cell r="Z179">
            <v>6311</v>
          </cell>
          <cell r="AD179">
            <v>0.185</v>
          </cell>
        </row>
        <row r="180">
          <cell r="E180" t="str">
            <v>導入線 0.9mmφ</v>
          </cell>
          <cell r="F180" t="str">
            <v>ｍ</v>
          </cell>
          <cell r="G180">
            <v>436</v>
          </cell>
          <cell r="H180">
            <v>1.1854268624252311</v>
          </cell>
          <cell r="I180">
            <v>431</v>
          </cell>
          <cell r="J180">
            <v>1.1718325176726481</v>
          </cell>
          <cell r="K180">
            <v>431</v>
          </cell>
          <cell r="L180">
            <v>1.1718325176726481</v>
          </cell>
          <cell r="M180">
            <v>431</v>
          </cell>
          <cell r="N180">
            <v>1.1718325176726481</v>
          </cell>
          <cell r="O180">
            <v>431</v>
          </cell>
          <cell r="P180">
            <v>1.1718325176726481</v>
          </cell>
          <cell r="Q180">
            <v>431</v>
          </cell>
          <cell r="R180">
            <v>1.1718325176726481</v>
          </cell>
          <cell r="S180">
            <v>431</v>
          </cell>
          <cell r="T180">
            <v>1.1718325176726481</v>
          </cell>
          <cell r="U180">
            <v>431</v>
          </cell>
          <cell r="V180">
            <v>1.1718325176726481</v>
          </cell>
          <cell r="W180">
            <v>436</v>
          </cell>
          <cell r="X180">
            <v>1.1854268624252311</v>
          </cell>
          <cell r="Y180">
            <v>436</v>
          </cell>
          <cell r="Z180">
            <v>1.1854268624252311</v>
          </cell>
          <cell r="AD180">
            <v>5.0000000000000001E-3</v>
          </cell>
        </row>
        <row r="181">
          <cell r="E181" t="str">
            <v>導入線 1.2mmφ</v>
          </cell>
          <cell r="F181" t="str">
            <v>ｍ</v>
          </cell>
          <cell r="G181">
            <v>417</v>
          </cell>
          <cell r="H181">
            <v>1.6971916971916974</v>
          </cell>
          <cell r="I181">
            <v>412</v>
          </cell>
          <cell r="J181">
            <v>1.676841676841677</v>
          </cell>
          <cell r="K181">
            <v>412</v>
          </cell>
          <cell r="L181">
            <v>1.676841676841677</v>
          </cell>
          <cell r="M181">
            <v>412</v>
          </cell>
          <cell r="N181">
            <v>1.676841676841677</v>
          </cell>
          <cell r="O181">
            <v>412</v>
          </cell>
          <cell r="P181">
            <v>1.676841676841677</v>
          </cell>
          <cell r="Q181">
            <v>412</v>
          </cell>
          <cell r="R181">
            <v>1.676841676841677</v>
          </cell>
          <cell r="S181">
            <v>412</v>
          </cell>
          <cell r="T181">
            <v>1.676841676841677</v>
          </cell>
          <cell r="U181">
            <v>412</v>
          </cell>
          <cell r="V181">
            <v>1.676841676841677</v>
          </cell>
          <cell r="W181">
            <v>417</v>
          </cell>
          <cell r="X181">
            <v>1.6971916971916974</v>
          </cell>
          <cell r="Y181">
            <v>417</v>
          </cell>
          <cell r="Z181">
            <v>1.6971916971916974</v>
          </cell>
          <cell r="AD181">
            <v>5.0000000000000001E-3</v>
          </cell>
        </row>
        <row r="182">
          <cell r="E182" t="str">
            <v>導入線 1.6mmφ</v>
          </cell>
          <cell r="F182" t="str">
            <v>ｍ</v>
          </cell>
          <cell r="G182">
            <v>398</v>
          </cell>
          <cell r="H182">
            <v>3.1363278171788807</v>
          </cell>
          <cell r="I182">
            <v>393</v>
          </cell>
          <cell r="J182">
            <v>3.0969267139479904</v>
          </cell>
          <cell r="K182">
            <v>393</v>
          </cell>
          <cell r="L182">
            <v>3.0969267139479904</v>
          </cell>
          <cell r="M182">
            <v>393</v>
          </cell>
          <cell r="N182">
            <v>3.0969267139479904</v>
          </cell>
          <cell r="O182">
            <v>393</v>
          </cell>
          <cell r="P182">
            <v>3.0969267139479904</v>
          </cell>
          <cell r="Q182">
            <v>393</v>
          </cell>
          <cell r="R182">
            <v>3.0969267139479904</v>
          </cell>
          <cell r="S182">
            <v>393</v>
          </cell>
          <cell r="T182">
            <v>3.0969267139479904</v>
          </cell>
          <cell r="U182">
            <v>393</v>
          </cell>
          <cell r="V182">
            <v>3.0969267139479904</v>
          </cell>
          <cell r="W182">
            <v>398</v>
          </cell>
          <cell r="X182">
            <v>3.1363278171788807</v>
          </cell>
          <cell r="Y182">
            <v>398</v>
          </cell>
          <cell r="Z182">
            <v>3.1363278171788807</v>
          </cell>
          <cell r="AD182">
            <v>5.0000000000000001E-3</v>
          </cell>
        </row>
        <row r="183">
          <cell r="E183" t="str">
            <v>導入線 2.0mmφ</v>
          </cell>
          <cell r="F183" t="str">
            <v>ｍ</v>
          </cell>
          <cell r="G183">
            <v>374</v>
          </cell>
          <cell r="H183">
            <v>5.3658536585365848</v>
          </cell>
          <cell r="I183">
            <v>369</v>
          </cell>
          <cell r="J183">
            <v>5.2941176470588234</v>
          </cell>
          <cell r="K183">
            <v>369</v>
          </cell>
          <cell r="L183">
            <v>5.2941176470588234</v>
          </cell>
          <cell r="M183">
            <v>369</v>
          </cell>
          <cell r="N183">
            <v>5.2941176470588234</v>
          </cell>
          <cell r="O183">
            <v>369</v>
          </cell>
          <cell r="P183">
            <v>5.2941176470588234</v>
          </cell>
          <cell r="Q183">
            <v>369</v>
          </cell>
          <cell r="R183">
            <v>5.2941176470588234</v>
          </cell>
          <cell r="S183">
            <v>369</v>
          </cell>
          <cell r="T183">
            <v>5.2941176470588234</v>
          </cell>
          <cell r="U183">
            <v>369</v>
          </cell>
          <cell r="V183">
            <v>5.2941176470588234</v>
          </cell>
          <cell r="W183">
            <v>374</v>
          </cell>
          <cell r="X183">
            <v>5.3658536585365848</v>
          </cell>
          <cell r="Y183">
            <v>374</v>
          </cell>
          <cell r="Z183">
            <v>5.3658536585365848</v>
          </cell>
          <cell r="AD183">
            <v>5.0000000000000001E-3</v>
          </cell>
        </row>
        <row r="184">
          <cell r="E184" t="str">
            <v>導入線 2.6mmφ</v>
          </cell>
          <cell r="F184" t="str">
            <v>ｍ</v>
          </cell>
          <cell r="AD184">
            <v>7.0000000000000001E-3</v>
          </cell>
        </row>
        <row r="185">
          <cell r="E185" t="str">
            <v>導入線 3.2mmφ</v>
          </cell>
          <cell r="F185" t="str">
            <v>ｍ</v>
          </cell>
          <cell r="AD185">
            <v>7.0000000000000001E-3</v>
          </cell>
        </row>
        <row r="186">
          <cell r="E186" t="str">
            <v>導入線 4.0mmφ</v>
          </cell>
          <cell r="F186" t="str">
            <v>ｍ</v>
          </cell>
          <cell r="AD186">
            <v>8.9999999999999993E-3</v>
          </cell>
        </row>
        <row r="187">
          <cell r="E187" t="str">
            <v>導入線 5.0mmφ</v>
          </cell>
          <cell r="F187" t="str">
            <v>ｍ</v>
          </cell>
          <cell r="AD187">
            <v>0.01</v>
          </cell>
        </row>
        <row r="188">
          <cell r="E188" t="str">
            <v>19_Users</v>
          </cell>
          <cell r="F188" t="str">
            <v>ｍ</v>
          </cell>
        </row>
        <row r="189">
          <cell r="E189" t="str">
            <v>19_Users</v>
          </cell>
          <cell r="F189" t="str">
            <v>ｍ</v>
          </cell>
        </row>
        <row r="190">
          <cell r="E190" t="str">
            <v>19_Users</v>
          </cell>
          <cell r="F190" t="str">
            <v>ｍ</v>
          </cell>
        </row>
        <row r="191">
          <cell r="E191" t="str">
            <v>19_Users</v>
          </cell>
          <cell r="F191" t="str">
            <v>ｍ</v>
          </cell>
        </row>
        <row r="192">
          <cell r="E192" t="str">
            <v>19_Users</v>
          </cell>
          <cell r="F192" t="str">
            <v>ｍ</v>
          </cell>
        </row>
        <row r="193">
          <cell r="E193" t="str">
            <v>19_Users</v>
          </cell>
          <cell r="F193" t="str">
            <v>ｍ</v>
          </cell>
        </row>
        <row r="194">
          <cell r="E194" t="str">
            <v>19_Users</v>
          </cell>
          <cell r="F194" t="str">
            <v>ｍ</v>
          </cell>
        </row>
        <row r="195">
          <cell r="E195" t="str">
            <v>19_Users</v>
          </cell>
          <cell r="F195" t="str">
            <v>ｍ</v>
          </cell>
        </row>
        <row r="196">
          <cell r="E196" t="str">
            <v>19_Users</v>
          </cell>
          <cell r="F196" t="str">
            <v>ｍ</v>
          </cell>
        </row>
        <row r="197">
          <cell r="E197" t="str">
            <v>19_Users</v>
          </cell>
          <cell r="F197" t="str">
            <v>ｍ</v>
          </cell>
        </row>
        <row r="198">
          <cell r="E198" t="str">
            <v>19_Users</v>
          </cell>
          <cell r="F198" t="str">
            <v>ｍ</v>
          </cell>
        </row>
        <row r="199">
          <cell r="E199" t="str">
            <v>19_Users</v>
          </cell>
          <cell r="F199" t="str">
            <v>ｍ</v>
          </cell>
        </row>
        <row r="200">
          <cell r="E200" t="str">
            <v>19_Users</v>
          </cell>
          <cell r="F200" t="str">
            <v>ｍ</v>
          </cell>
        </row>
        <row r="201">
          <cell r="E201" t="str">
            <v>19_Users</v>
          </cell>
          <cell r="F201" t="str">
            <v>ｍ</v>
          </cell>
        </row>
        <row r="202">
          <cell r="E202" t="str">
            <v>19_Users</v>
          </cell>
          <cell r="F202" t="str">
            <v>ｍ</v>
          </cell>
        </row>
        <row r="203">
          <cell r="E203" t="str">
            <v>19_Users</v>
          </cell>
          <cell r="F203" t="str">
            <v>ｍ</v>
          </cell>
        </row>
        <row r="206">
          <cell r="E206" t="str">
            <v>C-SWBox1個用</v>
          </cell>
          <cell r="F206" t="str">
            <v>個</v>
          </cell>
          <cell r="H206">
            <v>159</v>
          </cell>
          <cell r="J206">
            <v>159</v>
          </cell>
          <cell r="L206">
            <v>159</v>
          </cell>
          <cell r="N206">
            <v>159</v>
          </cell>
          <cell r="P206">
            <v>159</v>
          </cell>
          <cell r="R206">
            <v>159</v>
          </cell>
          <cell r="T206">
            <v>159</v>
          </cell>
          <cell r="V206">
            <v>159</v>
          </cell>
          <cell r="X206">
            <v>159</v>
          </cell>
          <cell r="Z206">
            <v>159</v>
          </cell>
          <cell r="AD206">
            <v>0.1</v>
          </cell>
        </row>
        <row r="207">
          <cell r="E207" t="str">
            <v>C-SWBox2個用</v>
          </cell>
          <cell r="F207" t="str">
            <v>個</v>
          </cell>
          <cell r="H207">
            <v>346</v>
          </cell>
          <cell r="J207">
            <v>346</v>
          </cell>
          <cell r="L207">
            <v>346</v>
          </cell>
          <cell r="N207">
            <v>346</v>
          </cell>
          <cell r="P207">
            <v>346</v>
          </cell>
          <cell r="R207">
            <v>346</v>
          </cell>
          <cell r="T207">
            <v>346</v>
          </cell>
          <cell r="V207">
            <v>346</v>
          </cell>
          <cell r="X207">
            <v>346</v>
          </cell>
          <cell r="Z207">
            <v>346</v>
          </cell>
          <cell r="AD207">
            <v>0.1</v>
          </cell>
        </row>
        <row r="208">
          <cell r="E208" t="str">
            <v>C-SWBox3個用</v>
          </cell>
          <cell r="F208" t="str">
            <v>個</v>
          </cell>
          <cell r="H208">
            <v>423</v>
          </cell>
          <cell r="J208">
            <v>423</v>
          </cell>
          <cell r="L208">
            <v>423</v>
          </cell>
          <cell r="N208">
            <v>423</v>
          </cell>
          <cell r="P208">
            <v>423</v>
          </cell>
          <cell r="R208">
            <v>423</v>
          </cell>
          <cell r="T208">
            <v>423</v>
          </cell>
          <cell r="V208">
            <v>423</v>
          </cell>
          <cell r="X208">
            <v>423</v>
          </cell>
          <cell r="Z208">
            <v>423</v>
          </cell>
          <cell r="AD208">
            <v>0.1</v>
          </cell>
        </row>
        <row r="209">
          <cell r="E209" t="str">
            <v>C-SWBox4個用</v>
          </cell>
          <cell r="F209" t="str">
            <v>個</v>
          </cell>
          <cell r="H209">
            <v>627</v>
          </cell>
          <cell r="J209">
            <v>627</v>
          </cell>
          <cell r="L209">
            <v>627</v>
          </cell>
          <cell r="N209">
            <v>627</v>
          </cell>
          <cell r="P209">
            <v>627</v>
          </cell>
          <cell r="R209">
            <v>627</v>
          </cell>
          <cell r="T209">
            <v>627</v>
          </cell>
          <cell r="V209">
            <v>627</v>
          </cell>
          <cell r="X209">
            <v>627</v>
          </cell>
          <cell r="Z209">
            <v>627</v>
          </cell>
          <cell r="AD209">
            <v>0.1</v>
          </cell>
        </row>
        <row r="210">
          <cell r="E210" t="str">
            <v>C-SWBox5個用</v>
          </cell>
          <cell r="F210" t="str">
            <v>個</v>
          </cell>
          <cell r="H210">
            <v>819</v>
          </cell>
          <cell r="J210">
            <v>819</v>
          </cell>
          <cell r="L210">
            <v>819</v>
          </cell>
          <cell r="N210">
            <v>819</v>
          </cell>
          <cell r="P210">
            <v>819</v>
          </cell>
          <cell r="R210">
            <v>819</v>
          </cell>
          <cell r="T210">
            <v>819</v>
          </cell>
          <cell r="V210">
            <v>819</v>
          </cell>
          <cell r="X210">
            <v>819</v>
          </cell>
          <cell r="Z210">
            <v>819</v>
          </cell>
          <cell r="AD210">
            <v>0.1</v>
          </cell>
        </row>
        <row r="211">
          <cell r="E211" t="str">
            <v>C-OBox4角中浅</v>
          </cell>
          <cell r="F211" t="str">
            <v>個</v>
          </cell>
          <cell r="H211">
            <v>100</v>
          </cell>
          <cell r="J211">
            <v>100</v>
          </cell>
          <cell r="L211">
            <v>100</v>
          </cell>
          <cell r="N211">
            <v>100</v>
          </cell>
          <cell r="P211">
            <v>100</v>
          </cell>
          <cell r="R211">
            <v>100</v>
          </cell>
          <cell r="T211">
            <v>100</v>
          </cell>
          <cell r="V211">
            <v>100</v>
          </cell>
          <cell r="X211">
            <v>100</v>
          </cell>
          <cell r="Z211">
            <v>100</v>
          </cell>
          <cell r="AD211">
            <v>0.1</v>
          </cell>
        </row>
        <row r="212">
          <cell r="E212" t="str">
            <v>C-OBox4角中深</v>
          </cell>
          <cell r="F212" t="str">
            <v>個</v>
          </cell>
          <cell r="H212">
            <v>155</v>
          </cell>
          <cell r="J212">
            <v>155</v>
          </cell>
          <cell r="L212">
            <v>155</v>
          </cell>
          <cell r="N212">
            <v>155</v>
          </cell>
          <cell r="P212">
            <v>155</v>
          </cell>
          <cell r="R212">
            <v>155</v>
          </cell>
          <cell r="T212">
            <v>155</v>
          </cell>
          <cell r="V212">
            <v>155</v>
          </cell>
          <cell r="X212">
            <v>155</v>
          </cell>
          <cell r="Z212">
            <v>155</v>
          </cell>
          <cell r="AD212">
            <v>0.1</v>
          </cell>
        </row>
        <row r="213">
          <cell r="E213" t="str">
            <v>C-OBox4角大浅</v>
          </cell>
          <cell r="F213" t="str">
            <v>個</v>
          </cell>
          <cell r="H213">
            <v>232</v>
          </cell>
          <cell r="J213">
            <v>232</v>
          </cell>
          <cell r="L213">
            <v>232</v>
          </cell>
          <cell r="N213">
            <v>232</v>
          </cell>
          <cell r="P213">
            <v>232</v>
          </cell>
          <cell r="R213">
            <v>232</v>
          </cell>
          <cell r="T213">
            <v>232</v>
          </cell>
          <cell r="V213">
            <v>232</v>
          </cell>
          <cell r="X213">
            <v>232</v>
          </cell>
          <cell r="Z213">
            <v>232</v>
          </cell>
          <cell r="AD213">
            <v>0.1</v>
          </cell>
        </row>
        <row r="214">
          <cell r="E214" t="str">
            <v>C-OBox4角大深</v>
          </cell>
          <cell r="F214" t="str">
            <v>個</v>
          </cell>
          <cell r="H214">
            <v>260</v>
          </cell>
          <cell r="J214">
            <v>260</v>
          </cell>
          <cell r="L214">
            <v>260</v>
          </cell>
          <cell r="N214">
            <v>260</v>
          </cell>
          <cell r="P214">
            <v>260</v>
          </cell>
          <cell r="R214">
            <v>260</v>
          </cell>
          <cell r="T214">
            <v>260</v>
          </cell>
          <cell r="V214">
            <v>260</v>
          </cell>
          <cell r="X214">
            <v>260</v>
          </cell>
          <cell r="Z214">
            <v>260</v>
          </cell>
          <cell r="AD214">
            <v>0.1</v>
          </cell>
        </row>
        <row r="215">
          <cell r="E215" t="str">
            <v>C-CBox4角中44mm</v>
          </cell>
          <cell r="F215" t="str">
            <v>個</v>
          </cell>
          <cell r="H215">
            <v>242</v>
          </cell>
          <cell r="J215">
            <v>242</v>
          </cell>
          <cell r="L215">
            <v>242</v>
          </cell>
          <cell r="N215">
            <v>242</v>
          </cell>
          <cell r="P215">
            <v>242</v>
          </cell>
          <cell r="R215">
            <v>242</v>
          </cell>
          <cell r="T215">
            <v>242</v>
          </cell>
          <cell r="V215">
            <v>242</v>
          </cell>
          <cell r="X215">
            <v>242</v>
          </cell>
          <cell r="Z215">
            <v>242</v>
          </cell>
          <cell r="AD215">
            <v>0.1</v>
          </cell>
        </row>
        <row r="216">
          <cell r="E216" t="str">
            <v>C-CBox4角中54mm</v>
          </cell>
          <cell r="F216" t="str">
            <v>個</v>
          </cell>
          <cell r="H216">
            <v>275</v>
          </cell>
          <cell r="J216">
            <v>275</v>
          </cell>
          <cell r="L216">
            <v>275</v>
          </cell>
          <cell r="N216">
            <v>275</v>
          </cell>
          <cell r="P216">
            <v>275</v>
          </cell>
          <cell r="R216">
            <v>275</v>
          </cell>
          <cell r="T216">
            <v>275</v>
          </cell>
          <cell r="V216">
            <v>275</v>
          </cell>
          <cell r="X216">
            <v>275</v>
          </cell>
          <cell r="Z216">
            <v>275</v>
          </cell>
          <cell r="AD216">
            <v>0.1</v>
          </cell>
        </row>
        <row r="217">
          <cell r="E217" t="str">
            <v>C-CBox4角中75mm</v>
          </cell>
          <cell r="F217" t="str">
            <v>個</v>
          </cell>
          <cell r="H217">
            <v>319</v>
          </cell>
          <cell r="J217">
            <v>319</v>
          </cell>
          <cell r="L217">
            <v>319</v>
          </cell>
          <cell r="N217">
            <v>319</v>
          </cell>
          <cell r="P217">
            <v>319</v>
          </cell>
          <cell r="R217">
            <v>319</v>
          </cell>
          <cell r="T217">
            <v>319</v>
          </cell>
          <cell r="V217">
            <v>319</v>
          </cell>
          <cell r="X217">
            <v>319</v>
          </cell>
          <cell r="Z217">
            <v>319</v>
          </cell>
          <cell r="AD217">
            <v>0.1</v>
          </cell>
        </row>
        <row r="218">
          <cell r="E218" t="str">
            <v>C-CBox4角中90mm</v>
          </cell>
          <cell r="F218" t="str">
            <v>個</v>
          </cell>
          <cell r="H218">
            <v>412</v>
          </cell>
          <cell r="J218">
            <v>412</v>
          </cell>
          <cell r="L218">
            <v>412</v>
          </cell>
          <cell r="N218">
            <v>412</v>
          </cell>
          <cell r="P218">
            <v>412</v>
          </cell>
          <cell r="R218">
            <v>412</v>
          </cell>
          <cell r="T218">
            <v>412</v>
          </cell>
          <cell r="V218">
            <v>412</v>
          </cell>
          <cell r="X218">
            <v>412</v>
          </cell>
          <cell r="Z218">
            <v>412</v>
          </cell>
          <cell r="AD218">
            <v>0.1</v>
          </cell>
        </row>
        <row r="219">
          <cell r="E219" t="str">
            <v>C-CBox4角中100mm</v>
          </cell>
          <cell r="F219" t="str">
            <v>個</v>
          </cell>
          <cell r="H219">
            <v>484</v>
          </cell>
          <cell r="J219">
            <v>484</v>
          </cell>
          <cell r="L219">
            <v>484</v>
          </cell>
          <cell r="N219">
            <v>484</v>
          </cell>
          <cell r="P219">
            <v>484</v>
          </cell>
          <cell r="R219">
            <v>484</v>
          </cell>
          <cell r="T219">
            <v>484</v>
          </cell>
          <cell r="V219">
            <v>484</v>
          </cell>
          <cell r="X219">
            <v>484</v>
          </cell>
          <cell r="Z219">
            <v>484</v>
          </cell>
          <cell r="AD219">
            <v>0.1</v>
          </cell>
        </row>
        <row r="220">
          <cell r="E220" t="str">
            <v>C-CBox4角大44mm</v>
          </cell>
          <cell r="F220" t="str">
            <v>個</v>
          </cell>
          <cell r="H220">
            <v>396</v>
          </cell>
          <cell r="J220">
            <v>396</v>
          </cell>
          <cell r="L220">
            <v>396</v>
          </cell>
          <cell r="N220">
            <v>396</v>
          </cell>
          <cell r="P220">
            <v>396</v>
          </cell>
          <cell r="R220">
            <v>396</v>
          </cell>
          <cell r="T220">
            <v>396</v>
          </cell>
          <cell r="V220">
            <v>396</v>
          </cell>
          <cell r="X220">
            <v>396</v>
          </cell>
          <cell r="Z220">
            <v>396</v>
          </cell>
          <cell r="AD220">
            <v>0.1</v>
          </cell>
        </row>
        <row r="221">
          <cell r="E221" t="str">
            <v>C-CBox4角大54mm</v>
          </cell>
          <cell r="F221" t="str">
            <v>個</v>
          </cell>
          <cell r="H221">
            <v>412</v>
          </cell>
          <cell r="J221">
            <v>412</v>
          </cell>
          <cell r="L221">
            <v>412</v>
          </cell>
          <cell r="N221">
            <v>412</v>
          </cell>
          <cell r="P221">
            <v>412</v>
          </cell>
          <cell r="R221">
            <v>412</v>
          </cell>
          <cell r="T221">
            <v>412</v>
          </cell>
          <cell r="V221">
            <v>412</v>
          </cell>
          <cell r="X221">
            <v>412</v>
          </cell>
          <cell r="Z221">
            <v>412</v>
          </cell>
          <cell r="AD221">
            <v>0.1</v>
          </cell>
        </row>
        <row r="222">
          <cell r="E222" t="str">
            <v>C-CBox4角大75mm</v>
          </cell>
          <cell r="F222" t="str">
            <v>個</v>
          </cell>
          <cell r="H222">
            <v>445</v>
          </cell>
          <cell r="J222">
            <v>445</v>
          </cell>
          <cell r="L222">
            <v>445</v>
          </cell>
          <cell r="N222">
            <v>445</v>
          </cell>
          <cell r="P222">
            <v>445</v>
          </cell>
          <cell r="R222">
            <v>445</v>
          </cell>
          <cell r="T222">
            <v>445</v>
          </cell>
          <cell r="V222">
            <v>445</v>
          </cell>
          <cell r="X222">
            <v>445</v>
          </cell>
          <cell r="Z222">
            <v>445</v>
          </cell>
          <cell r="AD222">
            <v>0.1</v>
          </cell>
        </row>
        <row r="223">
          <cell r="E223" t="str">
            <v>C-CBox4角大90mm</v>
          </cell>
          <cell r="F223" t="str">
            <v>個</v>
          </cell>
          <cell r="H223">
            <v>539</v>
          </cell>
          <cell r="J223">
            <v>539</v>
          </cell>
          <cell r="L223">
            <v>539</v>
          </cell>
          <cell r="N223">
            <v>539</v>
          </cell>
          <cell r="P223">
            <v>539</v>
          </cell>
          <cell r="R223">
            <v>539</v>
          </cell>
          <cell r="T223">
            <v>539</v>
          </cell>
          <cell r="V223">
            <v>539</v>
          </cell>
          <cell r="X223">
            <v>539</v>
          </cell>
          <cell r="Z223">
            <v>539</v>
          </cell>
          <cell r="AD223">
            <v>0.1</v>
          </cell>
        </row>
        <row r="224">
          <cell r="E224" t="str">
            <v>C-CBox4角大100mm</v>
          </cell>
          <cell r="F224" t="str">
            <v>個</v>
          </cell>
          <cell r="H224">
            <v>577</v>
          </cell>
          <cell r="J224">
            <v>577</v>
          </cell>
          <cell r="L224">
            <v>577</v>
          </cell>
          <cell r="N224">
            <v>577</v>
          </cell>
          <cell r="P224">
            <v>577</v>
          </cell>
          <cell r="R224">
            <v>577</v>
          </cell>
          <cell r="T224">
            <v>577</v>
          </cell>
          <cell r="V224">
            <v>577</v>
          </cell>
          <cell r="X224">
            <v>577</v>
          </cell>
          <cell r="Z224">
            <v>577</v>
          </cell>
          <cell r="AD224">
            <v>0.1</v>
          </cell>
        </row>
        <row r="225">
          <cell r="E225" t="str">
            <v>C-CBox8角44mm</v>
          </cell>
          <cell r="F225" t="str">
            <v>個</v>
          </cell>
          <cell r="H225">
            <v>220</v>
          </cell>
          <cell r="J225">
            <v>220</v>
          </cell>
          <cell r="L225">
            <v>220</v>
          </cell>
          <cell r="N225">
            <v>220</v>
          </cell>
          <cell r="P225">
            <v>220</v>
          </cell>
          <cell r="R225">
            <v>220</v>
          </cell>
          <cell r="T225">
            <v>220</v>
          </cell>
          <cell r="V225">
            <v>220</v>
          </cell>
          <cell r="X225">
            <v>220</v>
          </cell>
          <cell r="Z225">
            <v>220</v>
          </cell>
          <cell r="AD225">
            <v>0.1</v>
          </cell>
        </row>
        <row r="226">
          <cell r="E226" t="str">
            <v>C-CBox8角54mm</v>
          </cell>
          <cell r="F226" t="str">
            <v>個</v>
          </cell>
          <cell r="H226">
            <v>242</v>
          </cell>
          <cell r="J226">
            <v>242</v>
          </cell>
          <cell r="L226">
            <v>242</v>
          </cell>
          <cell r="N226">
            <v>242</v>
          </cell>
          <cell r="P226">
            <v>242</v>
          </cell>
          <cell r="R226">
            <v>242</v>
          </cell>
          <cell r="T226">
            <v>242</v>
          </cell>
          <cell r="V226">
            <v>242</v>
          </cell>
          <cell r="X226">
            <v>242</v>
          </cell>
          <cell r="Z226">
            <v>242</v>
          </cell>
          <cell r="AD226">
            <v>0.1</v>
          </cell>
        </row>
        <row r="227">
          <cell r="E227" t="str">
            <v>C-CBox8角75mm</v>
          </cell>
          <cell r="F227" t="str">
            <v>個</v>
          </cell>
          <cell r="H227">
            <v>275</v>
          </cell>
          <cell r="J227">
            <v>275</v>
          </cell>
          <cell r="L227">
            <v>275</v>
          </cell>
          <cell r="N227">
            <v>275</v>
          </cell>
          <cell r="P227">
            <v>275</v>
          </cell>
          <cell r="R227">
            <v>275</v>
          </cell>
          <cell r="T227">
            <v>275</v>
          </cell>
          <cell r="V227">
            <v>275</v>
          </cell>
          <cell r="X227">
            <v>275</v>
          </cell>
          <cell r="Z227">
            <v>275</v>
          </cell>
          <cell r="AD227">
            <v>0.1</v>
          </cell>
        </row>
        <row r="228">
          <cell r="E228" t="str">
            <v>C-CBox8角90mm</v>
          </cell>
          <cell r="F228" t="str">
            <v>個</v>
          </cell>
          <cell r="H228">
            <v>363</v>
          </cell>
          <cell r="J228">
            <v>363</v>
          </cell>
          <cell r="L228">
            <v>363</v>
          </cell>
          <cell r="N228">
            <v>363</v>
          </cell>
          <cell r="P228">
            <v>363</v>
          </cell>
          <cell r="R228">
            <v>363</v>
          </cell>
          <cell r="T228">
            <v>363</v>
          </cell>
          <cell r="V228">
            <v>363</v>
          </cell>
          <cell r="X228">
            <v>363</v>
          </cell>
          <cell r="Z228">
            <v>363</v>
          </cell>
          <cell r="AD228">
            <v>0.1</v>
          </cell>
        </row>
        <row r="229">
          <cell r="E229" t="str">
            <v>C-CBox8角100mm</v>
          </cell>
          <cell r="F229" t="str">
            <v>個</v>
          </cell>
          <cell r="H229">
            <v>440</v>
          </cell>
          <cell r="J229">
            <v>440</v>
          </cell>
          <cell r="L229">
            <v>440</v>
          </cell>
          <cell r="N229">
            <v>440</v>
          </cell>
          <cell r="P229">
            <v>440</v>
          </cell>
          <cell r="R229">
            <v>440</v>
          </cell>
          <cell r="T229">
            <v>440</v>
          </cell>
          <cell r="V229">
            <v>440</v>
          </cell>
          <cell r="X229">
            <v>440</v>
          </cell>
          <cell r="Z229">
            <v>440</v>
          </cell>
          <cell r="AD229">
            <v>0.1</v>
          </cell>
        </row>
        <row r="230">
          <cell r="E230" t="str">
            <v>C-丸Box1方出19mm</v>
          </cell>
          <cell r="F230" t="str">
            <v>個</v>
          </cell>
          <cell r="H230">
            <v>338</v>
          </cell>
          <cell r="J230">
            <v>338</v>
          </cell>
          <cell r="L230">
            <v>338</v>
          </cell>
          <cell r="N230">
            <v>338</v>
          </cell>
          <cell r="P230">
            <v>338</v>
          </cell>
          <cell r="R230">
            <v>338</v>
          </cell>
          <cell r="T230">
            <v>338</v>
          </cell>
          <cell r="V230">
            <v>338</v>
          </cell>
          <cell r="X230">
            <v>338</v>
          </cell>
          <cell r="Z230">
            <v>338</v>
          </cell>
          <cell r="AD230">
            <v>0.1</v>
          </cell>
        </row>
        <row r="231">
          <cell r="E231" t="str">
            <v>C-丸Box2方出19mm</v>
          </cell>
          <cell r="F231" t="str">
            <v>個</v>
          </cell>
          <cell r="H231">
            <v>377</v>
          </cell>
          <cell r="J231">
            <v>377</v>
          </cell>
          <cell r="L231">
            <v>377</v>
          </cell>
          <cell r="N231">
            <v>377</v>
          </cell>
          <cell r="P231">
            <v>377</v>
          </cell>
          <cell r="R231">
            <v>377</v>
          </cell>
          <cell r="T231">
            <v>377</v>
          </cell>
          <cell r="V231">
            <v>377</v>
          </cell>
          <cell r="X231">
            <v>377</v>
          </cell>
          <cell r="Z231">
            <v>377</v>
          </cell>
          <cell r="AD231">
            <v>0.1</v>
          </cell>
        </row>
        <row r="232">
          <cell r="E232" t="str">
            <v>C-丸Box3方出19mm</v>
          </cell>
          <cell r="F232" t="str">
            <v>個</v>
          </cell>
          <cell r="H232">
            <v>392</v>
          </cell>
          <cell r="J232">
            <v>392</v>
          </cell>
          <cell r="L232">
            <v>392</v>
          </cell>
          <cell r="N232">
            <v>392</v>
          </cell>
          <cell r="P232">
            <v>392</v>
          </cell>
          <cell r="R232">
            <v>392</v>
          </cell>
          <cell r="T232">
            <v>392</v>
          </cell>
          <cell r="V232">
            <v>392</v>
          </cell>
          <cell r="X232">
            <v>392</v>
          </cell>
          <cell r="Z232">
            <v>392</v>
          </cell>
          <cell r="AD232">
            <v>0.1</v>
          </cell>
        </row>
        <row r="233">
          <cell r="E233" t="str">
            <v>C-丸Box4方出19mm</v>
          </cell>
          <cell r="F233" t="str">
            <v>個</v>
          </cell>
          <cell r="H233">
            <v>453</v>
          </cell>
          <cell r="J233">
            <v>453</v>
          </cell>
          <cell r="L233">
            <v>453</v>
          </cell>
          <cell r="N233">
            <v>453</v>
          </cell>
          <cell r="P233">
            <v>453</v>
          </cell>
          <cell r="R233">
            <v>453</v>
          </cell>
          <cell r="T233">
            <v>453</v>
          </cell>
          <cell r="V233">
            <v>453</v>
          </cell>
          <cell r="X233">
            <v>453</v>
          </cell>
          <cell r="Z233">
            <v>453</v>
          </cell>
          <cell r="AD233">
            <v>0.1</v>
          </cell>
        </row>
        <row r="234">
          <cell r="E234" t="str">
            <v>C-丸Box1方出25mm</v>
          </cell>
          <cell r="F234" t="str">
            <v>個</v>
          </cell>
          <cell r="H234">
            <v>404</v>
          </cell>
          <cell r="J234">
            <v>404</v>
          </cell>
          <cell r="L234">
            <v>404</v>
          </cell>
          <cell r="N234">
            <v>404</v>
          </cell>
          <cell r="P234">
            <v>404</v>
          </cell>
          <cell r="R234">
            <v>404</v>
          </cell>
          <cell r="T234">
            <v>404</v>
          </cell>
          <cell r="V234">
            <v>404</v>
          </cell>
          <cell r="X234">
            <v>404</v>
          </cell>
          <cell r="Z234">
            <v>404</v>
          </cell>
          <cell r="AD234">
            <v>0.1</v>
          </cell>
        </row>
        <row r="235">
          <cell r="E235" t="str">
            <v>C-丸Box2方出25mm</v>
          </cell>
          <cell r="F235" t="str">
            <v>個</v>
          </cell>
          <cell r="H235">
            <v>453</v>
          </cell>
          <cell r="J235">
            <v>453</v>
          </cell>
          <cell r="L235">
            <v>453</v>
          </cell>
          <cell r="N235">
            <v>453</v>
          </cell>
          <cell r="P235">
            <v>453</v>
          </cell>
          <cell r="R235">
            <v>453</v>
          </cell>
          <cell r="T235">
            <v>453</v>
          </cell>
          <cell r="V235">
            <v>453</v>
          </cell>
          <cell r="X235">
            <v>453</v>
          </cell>
          <cell r="Z235">
            <v>453</v>
          </cell>
          <cell r="AD235">
            <v>0.1</v>
          </cell>
        </row>
        <row r="236">
          <cell r="E236" t="str">
            <v>C-丸Box3方出25mm</v>
          </cell>
          <cell r="F236" t="str">
            <v>個</v>
          </cell>
          <cell r="H236">
            <v>494</v>
          </cell>
          <cell r="J236">
            <v>494</v>
          </cell>
          <cell r="L236">
            <v>494</v>
          </cell>
          <cell r="N236">
            <v>494</v>
          </cell>
          <cell r="P236">
            <v>494</v>
          </cell>
          <cell r="R236">
            <v>494</v>
          </cell>
          <cell r="T236">
            <v>494</v>
          </cell>
          <cell r="V236">
            <v>494</v>
          </cell>
          <cell r="X236">
            <v>494</v>
          </cell>
          <cell r="Z236">
            <v>494</v>
          </cell>
          <cell r="AD236">
            <v>0.1</v>
          </cell>
        </row>
        <row r="237">
          <cell r="E237" t="str">
            <v>C-丸Box4方出25mm</v>
          </cell>
          <cell r="F237" t="str">
            <v>個</v>
          </cell>
          <cell r="H237">
            <v>573</v>
          </cell>
          <cell r="J237">
            <v>573</v>
          </cell>
          <cell r="L237">
            <v>573</v>
          </cell>
          <cell r="N237">
            <v>573</v>
          </cell>
          <cell r="P237">
            <v>573</v>
          </cell>
          <cell r="R237">
            <v>573</v>
          </cell>
          <cell r="T237">
            <v>573</v>
          </cell>
          <cell r="V237">
            <v>573</v>
          </cell>
          <cell r="X237">
            <v>573</v>
          </cell>
          <cell r="Z237">
            <v>573</v>
          </cell>
          <cell r="AD237">
            <v>0.1</v>
          </cell>
        </row>
        <row r="238">
          <cell r="E238" t="str">
            <v>C-丸Box1方出31mm</v>
          </cell>
          <cell r="F238" t="str">
            <v>個</v>
          </cell>
          <cell r="H238">
            <v>568</v>
          </cell>
          <cell r="J238">
            <v>568</v>
          </cell>
          <cell r="L238">
            <v>568</v>
          </cell>
          <cell r="N238">
            <v>568</v>
          </cell>
          <cell r="P238">
            <v>568</v>
          </cell>
          <cell r="R238">
            <v>568</v>
          </cell>
          <cell r="T238">
            <v>568</v>
          </cell>
          <cell r="V238">
            <v>568</v>
          </cell>
          <cell r="X238">
            <v>568</v>
          </cell>
          <cell r="Z238">
            <v>568</v>
          </cell>
          <cell r="AD238">
            <v>0.1</v>
          </cell>
        </row>
        <row r="239">
          <cell r="E239" t="str">
            <v>C-丸Box2方出31mm</v>
          </cell>
          <cell r="F239" t="str">
            <v>個</v>
          </cell>
          <cell r="H239">
            <v>661</v>
          </cell>
          <cell r="J239">
            <v>661</v>
          </cell>
          <cell r="L239">
            <v>661</v>
          </cell>
          <cell r="N239">
            <v>661</v>
          </cell>
          <cell r="P239">
            <v>661</v>
          </cell>
          <cell r="R239">
            <v>661</v>
          </cell>
          <cell r="T239">
            <v>661</v>
          </cell>
          <cell r="V239">
            <v>661</v>
          </cell>
          <cell r="X239">
            <v>661</v>
          </cell>
          <cell r="Z239">
            <v>661</v>
          </cell>
          <cell r="AD239">
            <v>0.1</v>
          </cell>
        </row>
        <row r="240">
          <cell r="E240" t="str">
            <v>C-丸Box3方出31mm</v>
          </cell>
          <cell r="F240" t="str">
            <v>個</v>
          </cell>
          <cell r="H240">
            <v>720</v>
          </cell>
          <cell r="J240">
            <v>720</v>
          </cell>
          <cell r="L240">
            <v>720</v>
          </cell>
          <cell r="N240">
            <v>720</v>
          </cell>
          <cell r="P240">
            <v>720</v>
          </cell>
          <cell r="R240">
            <v>720</v>
          </cell>
          <cell r="T240">
            <v>720</v>
          </cell>
          <cell r="V240">
            <v>720</v>
          </cell>
          <cell r="X240">
            <v>720</v>
          </cell>
          <cell r="Z240">
            <v>720</v>
          </cell>
          <cell r="AD240">
            <v>0.1</v>
          </cell>
        </row>
        <row r="241">
          <cell r="E241" t="str">
            <v>C-丸Box4方出31mm</v>
          </cell>
          <cell r="F241" t="str">
            <v>個</v>
          </cell>
          <cell r="H241">
            <v>818</v>
          </cell>
          <cell r="J241">
            <v>818</v>
          </cell>
          <cell r="L241">
            <v>818</v>
          </cell>
          <cell r="N241">
            <v>818</v>
          </cell>
          <cell r="P241">
            <v>818</v>
          </cell>
          <cell r="R241">
            <v>818</v>
          </cell>
          <cell r="T241">
            <v>818</v>
          </cell>
          <cell r="V241">
            <v>818</v>
          </cell>
          <cell r="X241">
            <v>818</v>
          </cell>
          <cell r="Z241">
            <v>818</v>
          </cell>
          <cell r="AD241">
            <v>0.1</v>
          </cell>
        </row>
        <row r="242">
          <cell r="E242" t="str">
            <v>C-丸Box1方出39mm</v>
          </cell>
          <cell r="F242" t="str">
            <v>個</v>
          </cell>
          <cell r="H242">
            <v>1080</v>
          </cell>
          <cell r="J242">
            <v>1080</v>
          </cell>
          <cell r="L242">
            <v>1080</v>
          </cell>
          <cell r="N242">
            <v>1080</v>
          </cell>
          <cell r="P242">
            <v>1080</v>
          </cell>
          <cell r="R242">
            <v>1080</v>
          </cell>
          <cell r="T242">
            <v>1080</v>
          </cell>
          <cell r="V242">
            <v>1080</v>
          </cell>
          <cell r="X242">
            <v>1080</v>
          </cell>
          <cell r="Z242">
            <v>1080</v>
          </cell>
          <cell r="AD242">
            <v>0.1</v>
          </cell>
        </row>
        <row r="243">
          <cell r="E243" t="str">
            <v>C-丸Box2方出39mm</v>
          </cell>
          <cell r="F243" t="str">
            <v>個</v>
          </cell>
          <cell r="H243">
            <v>1180</v>
          </cell>
          <cell r="J243">
            <v>1180</v>
          </cell>
          <cell r="L243">
            <v>1180</v>
          </cell>
          <cell r="N243">
            <v>1180</v>
          </cell>
          <cell r="P243">
            <v>1180</v>
          </cell>
          <cell r="R243">
            <v>1180</v>
          </cell>
          <cell r="T243">
            <v>1180</v>
          </cell>
          <cell r="V243">
            <v>1180</v>
          </cell>
          <cell r="X243">
            <v>1180</v>
          </cell>
          <cell r="Z243">
            <v>1180</v>
          </cell>
          <cell r="AD243">
            <v>0.1</v>
          </cell>
        </row>
        <row r="244">
          <cell r="E244" t="str">
            <v>C-丸Box3方出39mm</v>
          </cell>
          <cell r="F244" t="str">
            <v>個</v>
          </cell>
          <cell r="H244">
            <v>1260</v>
          </cell>
          <cell r="J244">
            <v>1260</v>
          </cell>
          <cell r="L244">
            <v>1260</v>
          </cell>
          <cell r="N244">
            <v>1260</v>
          </cell>
          <cell r="P244">
            <v>1260</v>
          </cell>
          <cell r="R244">
            <v>1260</v>
          </cell>
          <cell r="T244">
            <v>1260</v>
          </cell>
          <cell r="V244">
            <v>1260</v>
          </cell>
          <cell r="X244">
            <v>1260</v>
          </cell>
          <cell r="Z244">
            <v>1260</v>
          </cell>
          <cell r="AD244">
            <v>0.1</v>
          </cell>
        </row>
        <row r="245">
          <cell r="E245" t="str">
            <v>C-丸Box4方出39mm</v>
          </cell>
          <cell r="F245" t="str">
            <v>個</v>
          </cell>
          <cell r="H245">
            <v>1450</v>
          </cell>
          <cell r="J245">
            <v>1450</v>
          </cell>
          <cell r="L245">
            <v>1450</v>
          </cell>
          <cell r="N245">
            <v>1450</v>
          </cell>
          <cell r="P245">
            <v>1450</v>
          </cell>
          <cell r="R245">
            <v>1450</v>
          </cell>
          <cell r="T245">
            <v>1450</v>
          </cell>
          <cell r="V245">
            <v>1450</v>
          </cell>
          <cell r="X245">
            <v>1450</v>
          </cell>
          <cell r="Z245">
            <v>1450</v>
          </cell>
          <cell r="AD245">
            <v>0.1</v>
          </cell>
        </row>
        <row r="246">
          <cell r="E246" t="str">
            <v>C-SWBox1-1方出19mm</v>
          </cell>
          <cell r="F246" t="str">
            <v>個</v>
          </cell>
          <cell r="H246">
            <v>441</v>
          </cell>
          <cell r="J246">
            <v>441</v>
          </cell>
          <cell r="L246">
            <v>441</v>
          </cell>
          <cell r="N246">
            <v>441</v>
          </cell>
          <cell r="P246">
            <v>441</v>
          </cell>
          <cell r="R246">
            <v>441</v>
          </cell>
          <cell r="T246">
            <v>441</v>
          </cell>
          <cell r="V246">
            <v>441</v>
          </cell>
          <cell r="X246">
            <v>441</v>
          </cell>
          <cell r="Z246">
            <v>441</v>
          </cell>
          <cell r="AD246">
            <v>0.1</v>
          </cell>
        </row>
        <row r="247">
          <cell r="E247" t="str">
            <v>C-SWBox1-2方出19mm</v>
          </cell>
          <cell r="F247" t="str">
            <v>個</v>
          </cell>
          <cell r="H247">
            <v>477</v>
          </cell>
          <cell r="J247">
            <v>477</v>
          </cell>
          <cell r="L247">
            <v>477</v>
          </cell>
          <cell r="N247">
            <v>477</v>
          </cell>
          <cell r="P247">
            <v>477</v>
          </cell>
          <cell r="R247">
            <v>477</v>
          </cell>
          <cell r="T247">
            <v>477</v>
          </cell>
          <cell r="V247">
            <v>477</v>
          </cell>
          <cell r="X247">
            <v>477</v>
          </cell>
          <cell r="Z247">
            <v>477</v>
          </cell>
          <cell r="AD247">
            <v>0.1</v>
          </cell>
        </row>
        <row r="248">
          <cell r="E248" t="str">
            <v>C-SWBox2-1方出19mm</v>
          </cell>
          <cell r="F248" t="str">
            <v>個</v>
          </cell>
          <cell r="H248">
            <v>816</v>
          </cell>
          <cell r="J248">
            <v>816</v>
          </cell>
          <cell r="L248">
            <v>816</v>
          </cell>
          <cell r="N248">
            <v>816</v>
          </cell>
          <cell r="P248">
            <v>816</v>
          </cell>
          <cell r="R248">
            <v>816</v>
          </cell>
          <cell r="T248">
            <v>816</v>
          </cell>
          <cell r="V248">
            <v>816</v>
          </cell>
          <cell r="X248">
            <v>816</v>
          </cell>
          <cell r="Z248">
            <v>816</v>
          </cell>
          <cell r="AD248">
            <v>0.1</v>
          </cell>
        </row>
        <row r="249">
          <cell r="E249" t="str">
            <v>C-SWBox3-1方出19mm</v>
          </cell>
          <cell r="F249" t="str">
            <v>個</v>
          </cell>
          <cell r="H249">
            <v>1410</v>
          </cell>
          <cell r="J249">
            <v>1410</v>
          </cell>
          <cell r="L249">
            <v>1410</v>
          </cell>
          <cell r="N249">
            <v>1410</v>
          </cell>
          <cell r="P249">
            <v>1410</v>
          </cell>
          <cell r="R249">
            <v>1410</v>
          </cell>
          <cell r="T249">
            <v>1410</v>
          </cell>
          <cell r="V249">
            <v>1410</v>
          </cell>
          <cell r="X249">
            <v>1410</v>
          </cell>
          <cell r="Z249">
            <v>1410</v>
          </cell>
          <cell r="AD249">
            <v>0.1</v>
          </cell>
        </row>
        <row r="250">
          <cell r="E250" t="str">
            <v>C-SWBox1-1方出25mm</v>
          </cell>
          <cell r="F250" t="str">
            <v>個</v>
          </cell>
          <cell r="H250">
            <v>555</v>
          </cell>
          <cell r="J250">
            <v>555</v>
          </cell>
          <cell r="L250">
            <v>555</v>
          </cell>
          <cell r="N250">
            <v>555</v>
          </cell>
          <cell r="P250">
            <v>555</v>
          </cell>
          <cell r="R250">
            <v>555</v>
          </cell>
          <cell r="T250">
            <v>555</v>
          </cell>
          <cell r="V250">
            <v>555</v>
          </cell>
          <cell r="X250">
            <v>555</v>
          </cell>
          <cell r="Z250">
            <v>555</v>
          </cell>
          <cell r="AD250">
            <v>0.1</v>
          </cell>
        </row>
        <row r="251">
          <cell r="E251" t="str">
            <v>C-SWBox1-2方出25mm</v>
          </cell>
          <cell r="F251" t="str">
            <v>個</v>
          </cell>
          <cell r="H251">
            <v>684</v>
          </cell>
          <cell r="J251">
            <v>684</v>
          </cell>
          <cell r="L251">
            <v>684</v>
          </cell>
          <cell r="N251">
            <v>684</v>
          </cell>
          <cell r="P251">
            <v>684</v>
          </cell>
          <cell r="R251">
            <v>684</v>
          </cell>
          <cell r="T251">
            <v>684</v>
          </cell>
          <cell r="V251">
            <v>684</v>
          </cell>
          <cell r="X251">
            <v>684</v>
          </cell>
          <cell r="Z251">
            <v>684</v>
          </cell>
          <cell r="AD251">
            <v>0.1</v>
          </cell>
        </row>
        <row r="252">
          <cell r="E252" t="str">
            <v>C-SWBox2-1方出25mm</v>
          </cell>
          <cell r="F252" t="str">
            <v>個</v>
          </cell>
          <cell r="H252">
            <v>1020</v>
          </cell>
          <cell r="J252">
            <v>1020</v>
          </cell>
          <cell r="L252">
            <v>1020</v>
          </cell>
          <cell r="N252">
            <v>1020</v>
          </cell>
          <cell r="P252">
            <v>1020</v>
          </cell>
          <cell r="R252">
            <v>1020</v>
          </cell>
          <cell r="T252">
            <v>1020</v>
          </cell>
          <cell r="V252">
            <v>1020</v>
          </cell>
          <cell r="X252">
            <v>1020</v>
          </cell>
          <cell r="Z252">
            <v>1020</v>
          </cell>
          <cell r="AD252">
            <v>0.1</v>
          </cell>
        </row>
        <row r="253">
          <cell r="E253" t="str">
            <v>C-SWBox3-1方出25mm</v>
          </cell>
          <cell r="F253" t="str">
            <v>個</v>
          </cell>
          <cell r="H253">
            <v>1610</v>
          </cell>
          <cell r="J253">
            <v>1610</v>
          </cell>
          <cell r="L253">
            <v>1610</v>
          </cell>
          <cell r="N253">
            <v>1610</v>
          </cell>
          <cell r="P253">
            <v>1610</v>
          </cell>
          <cell r="R253">
            <v>1610</v>
          </cell>
          <cell r="T253">
            <v>1610</v>
          </cell>
          <cell r="V253">
            <v>1610</v>
          </cell>
          <cell r="X253">
            <v>1610</v>
          </cell>
          <cell r="Z253">
            <v>1610</v>
          </cell>
          <cell r="AD253">
            <v>0.1</v>
          </cell>
        </row>
        <row r="254">
          <cell r="E254" t="str">
            <v>C-SWBox1-1方出31mm</v>
          </cell>
          <cell r="F254" t="str">
            <v>個</v>
          </cell>
          <cell r="H254">
            <v>792</v>
          </cell>
          <cell r="J254">
            <v>792</v>
          </cell>
          <cell r="L254">
            <v>792</v>
          </cell>
          <cell r="N254">
            <v>792</v>
          </cell>
          <cell r="P254">
            <v>792</v>
          </cell>
          <cell r="R254">
            <v>792</v>
          </cell>
          <cell r="T254">
            <v>792</v>
          </cell>
          <cell r="V254">
            <v>792</v>
          </cell>
          <cell r="X254">
            <v>792</v>
          </cell>
          <cell r="Z254">
            <v>792</v>
          </cell>
          <cell r="AD254">
            <v>0.1</v>
          </cell>
        </row>
        <row r="255">
          <cell r="E255" t="str">
            <v>C-SWBox1-2方出31mm</v>
          </cell>
          <cell r="F255" t="str">
            <v>個</v>
          </cell>
          <cell r="H255">
            <v>990</v>
          </cell>
          <cell r="J255">
            <v>990</v>
          </cell>
          <cell r="L255">
            <v>990</v>
          </cell>
          <cell r="N255">
            <v>990</v>
          </cell>
          <cell r="P255">
            <v>990</v>
          </cell>
          <cell r="R255">
            <v>990</v>
          </cell>
          <cell r="T255">
            <v>990</v>
          </cell>
          <cell r="V255">
            <v>990</v>
          </cell>
          <cell r="X255">
            <v>990</v>
          </cell>
          <cell r="Z255">
            <v>990</v>
          </cell>
          <cell r="AD255">
            <v>0.1</v>
          </cell>
        </row>
        <row r="256">
          <cell r="E256" t="str">
            <v>C-SWBox2-1方出31mm</v>
          </cell>
          <cell r="F256" t="str">
            <v>個</v>
          </cell>
          <cell r="H256">
            <v>1680</v>
          </cell>
          <cell r="J256">
            <v>1680</v>
          </cell>
          <cell r="L256">
            <v>1680</v>
          </cell>
          <cell r="N256">
            <v>1680</v>
          </cell>
          <cell r="P256">
            <v>1680</v>
          </cell>
          <cell r="R256">
            <v>1680</v>
          </cell>
          <cell r="T256">
            <v>1680</v>
          </cell>
          <cell r="V256">
            <v>1680</v>
          </cell>
          <cell r="X256">
            <v>1680</v>
          </cell>
          <cell r="Z256">
            <v>1680</v>
          </cell>
          <cell r="AD256">
            <v>0.1</v>
          </cell>
        </row>
        <row r="257">
          <cell r="E257" t="str">
            <v>C-SWBox3-1方出31mm</v>
          </cell>
          <cell r="F257" t="str">
            <v>個</v>
          </cell>
          <cell r="H257">
            <v>1810</v>
          </cell>
          <cell r="J257">
            <v>1810</v>
          </cell>
          <cell r="L257">
            <v>1810</v>
          </cell>
          <cell r="N257">
            <v>1810</v>
          </cell>
          <cell r="P257">
            <v>1810</v>
          </cell>
          <cell r="R257">
            <v>1810</v>
          </cell>
          <cell r="T257">
            <v>1810</v>
          </cell>
          <cell r="V257">
            <v>1810</v>
          </cell>
          <cell r="X257">
            <v>1810</v>
          </cell>
          <cell r="Z257">
            <v>1810</v>
          </cell>
          <cell r="AD257">
            <v>0.1</v>
          </cell>
        </row>
        <row r="258">
          <cell r="E258" t="str">
            <v>E-丸Box1方出19mm</v>
          </cell>
          <cell r="F258" t="str">
            <v>個</v>
          </cell>
          <cell r="H258">
            <v>393</v>
          </cell>
          <cell r="J258">
            <v>393</v>
          </cell>
          <cell r="L258">
            <v>393</v>
          </cell>
          <cell r="N258">
            <v>393</v>
          </cell>
          <cell r="P258">
            <v>393</v>
          </cell>
          <cell r="R258">
            <v>393</v>
          </cell>
          <cell r="T258">
            <v>393</v>
          </cell>
          <cell r="V258">
            <v>393</v>
          </cell>
          <cell r="X258">
            <v>393</v>
          </cell>
          <cell r="Z258">
            <v>393</v>
          </cell>
          <cell r="AD258">
            <v>0.1</v>
          </cell>
        </row>
        <row r="259">
          <cell r="E259" t="str">
            <v>E-丸Box2方出19mm</v>
          </cell>
          <cell r="F259" t="str">
            <v>個</v>
          </cell>
          <cell r="H259">
            <v>441</v>
          </cell>
          <cell r="J259">
            <v>441</v>
          </cell>
          <cell r="L259">
            <v>441</v>
          </cell>
          <cell r="N259">
            <v>441</v>
          </cell>
          <cell r="P259">
            <v>441</v>
          </cell>
          <cell r="R259">
            <v>441</v>
          </cell>
          <cell r="T259">
            <v>441</v>
          </cell>
          <cell r="V259">
            <v>441</v>
          </cell>
          <cell r="X259">
            <v>441</v>
          </cell>
          <cell r="Z259">
            <v>441</v>
          </cell>
          <cell r="AD259">
            <v>0.1</v>
          </cell>
        </row>
        <row r="260">
          <cell r="E260" t="str">
            <v>E-丸Box3方出19mm</v>
          </cell>
          <cell r="F260" t="str">
            <v>個</v>
          </cell>
          <cell r="H260">
            <v>462</v>
          </cell>
          <cell r="J260">
            <v>462</v>
          </cell>
          <cell r="L260">
            <v>462</v>
          </cell>
          <cell r="N260">
            <v>462</v>
          </cell>
          <cell r="P260">
            <v>462</v>
          </cell>
          <cell r="R260">
            <v>462</v>
          </cell>
          <cell r="T260">
            <v>462</v>
          </cell>
          <cell r="V260">
            <v>462</v>
          </cell>
          <cell r="X260">
            <v>462</v>
          </cell>
          <cell r="Z260">
            <v>462</v>
          </cell>
          <cell r="AD260">
            <v>0.1</v>
          </cell>
        </row>
        <row r="261">
          <cell r="E261" t="str">
            <v>E-丸Box4方出19mm</v>
          </cell>
          <cell r="F261" t="str">
            <v>個</v>
          </cell>
          <cell r="H261">
            <v>555</v>
          </cell>
          <cell r="J261">
            <v>555</v>
          </cell>
          <cell r="L261">
            <v>555</v>
          </cell>
          <cell r="N261">
            <v>555</v>
          </cell>
          <cell r="P261">
            <v>555</v>
          </cell>
          <cell r="R261">
            <v>555</v>
          </cell>
          <cell r="T261">
            <v>555</v>
          </cell>
          <cell r="V261">
            <v>555</v>
          </cell>
          <cell r="X261">
            <v>555</v>
          </cell>
          <cell r="Z261">
            <v>555</v>
          </cell>
          <cell r="AD261">
            <v>0.1</v>
          </cell>
        </row>
        <row r="262">
          <cell r="E262" t="str">
            <v>E-丸Box1方出25mm</v>
          </cell>
          <cell r="F262" t="str">
            <v>個</v>
          </cell>
          <cell r="H262">
            <v>492</v>
          </cell>
          <cell r="J262">
            <v>492</v>
          </cell>
          <cell r="L262">
            <v>492</v>
          </cell>
          <cell r="N262">
            <v>492</v>
          </cell>
          <cell r="P262">
            <v>492</v>
          </cell>
          <cell r="R262">
            <v>492</v>
          </cell>
          <cell r="T262">
            <v>492</v>
          </cell>
          <cell r="V262">
            <v>492</v>
          </cell>
          <cell r="X262">
            <v>492</v>
          </cell>
          <cell r="Z262">
            <v>492</v>
          </cell>
          <cell r="AD262">
            <v>0.1</v>
          </cell>
        </row>
        <row r="263">
          <cell r="E263" t="str">
            <v>E-丸Box2方出25mm</v>
          </cell>
          <cell r="F263" t="str">
            <v>個</v>
          </cell>
          <cell r="H263">
            <v>555</v>
          </cell>
          <cell r="J263">
            <v>555</v>
          </cell>
          <cell r="L263">
            <v>555</v>
          </cell>
          <cell r="N263">
            <v>555</v>
          </cell>
          <cell r="P263">
            <v>555</v>
          </cell>
          <cell r="R263">
            <v>555</v>
          </cell>
          <cell r="T263">
            <v>555</v>
          </cell>
          <cell r="V263">
            <v>555</v>
          </cell>
          <cell r="X263">
            <v>555</v>
          </cell>
          <cell r="Z263">
            <v>555</v>
          </cell>
          <cell r="AD263">
            <v>0.1</v>
          </cell>
        </row>
        <row r="264">
          <cell r="E264" t="str">
            <v>E-丸Box3方出25mm</v>
          </cell>
          <cell r="F264" t="str">
            <v>個</v>
          </cell>
          <cell r="H264">
            <v>600</v>
          </cell>
          <cell r="J264">
            <v>600</v>
          </cell>
          <cell r="L264">
            <v>600</v>
          </cell>
          <cell r="N264">
            <v>600</v>
          </cell>
          <cell r="P264">
            <v>600</v>
          </cell>
          <cell r="R264">
            <v>600</v>
          </cell>
          <cell r="T264">
            <v>600</v>
          </cell>
          <cell r="V264">
            <v>600</v>
          </cell>
          <cell r="X264">
            <v>600</v>
          </cell>
          <cell r="Z264">
            <v>600</v>
          </cell>
          <cell r="AD264">
            <v>0.1</v>
          </cell>
        </row>
        <row r="265">
          <cell r="E265" t="str">
            <v>E-丸Box4方出25mm</v>
          </cell>
          <cell r="F265" t="str">
            <v>個</v>
          </cell>
          <cell r="H265">
            <v>690</v>
          </cell>
          <cell r="J265">
            <v>690</v>
          </cell>
          <cell r="L265">
            <v>690</v>
          </cell>
          <cell r="N265">
            <v>690</v>
          </cell>
          <cell r="P265">
            <v>690</v>
          </cell>
          <cell r="R265">
            <v>690</v>
          </cell>
          <cell r="T265">
            <v>690</v>
          </cell>
          <cell r="V265">
            <v>690</v>
          </cell>
          <cell r="X265">
            <v>690</v>
          </cell>
          <cell r="Z265">
            <v>690</v>
          </cell>
          <cell r="AD265">
            <v>0.1</v>
          </cell>
        </row>
        <row r="266">
          <cell r="E266" t="str">
            <v>E-丸Box1方出31mm</v>
          </cell>
          <cell r="F266" t="str">
            <v>個</v>
          </cell>
          <cell r="H266">
            <v>690</v>
          </cell>
          <cell r="J266">
            <v>690</v>
          </cell>
          <cell r="L266">
            <v>690</v>
          </cell>
          <cell r="N266">
            <v>690</v>
          </cell>
          <cell r="P266">
            <v>690</v>
          </cell>
          <cell r="R266">
            <v>690</v>
          </cell>
          <cell r="T266">
            <v>690</v>
          </cell>
          <cell r="V266">
            <v>690</v>
          </cell>
          <cell r="X266">
            <v>690</v>
          </cell>
          <cell r="Z266">
            <v>690</v>
          </cell>
          <cell r="AD266">
            <v>0.1</v>
          </cell>
        </row>
        <row r="267">
          <cell r="E267" t="str">
            <v>E-丸Box2方出31mm</v>
          </cell>
          <cell r="F267" t="str">
            <v>個</v>
          </cell>
          <cell r="H267">
            <v>774</v>
          </cell>
          <cell r="J267">
            <v>774</v>
          </cell>
          <cell r="L267">
            <v>774</v>
          </cell>
          <cell r="N267">
            <v>774</v>
          </cell>
          <cell r="P267">
            <v>774</v>
          </cell>
          <cell r="R267">
            <v>774</v>
          </cell>
          <cell r="T267">
            <v>774</v>
          </cell>
          <cell r="V267">
            <v>774</v>
          </cell>
          <cell r="X267">
            <v>774</v>
          </cell>
          <cell r="Z267">
            <v>774</v>
          </cell>
          <cell r="AD267">
            <v>0.1</v>
          </cell>
        </row>
        <row r="268">
          <cell r="E268" t="str">
            <v>E-丸Box3方出31mm</v>
          </cell>
          <cell r="F268" t="str">
            <v>個</v>
          </cell>
          <cell r="H268">
            <v>852</v>
          </cell>
          <cell r="J268">
            <v>852</v>
          </cell>
          <cell r="L268">
            <v>852</v>
          </cell>
          <cell r="N268">
            <v>852</v>
          </cell>
          <cell r="P268">
            <v>852</v>
          </cell>
          <cell r="R268">
            <v>852</v>
          </cell>
          <cell r="T268">
            <v>852</v>
          </cell>
          <cell r="V268">
            <v>852</v>
          </cell>
          <cell r="X268">
            <v>852</v>
          </cell>
          <cell r="Z268">
            <v>852</v>
          </cell>
          <cell r="AD268">
            <v>0.1</v>
          </cell>
        </row>
        <row r="269">
          <cell r="E269" t="str">
            <v>E-丸Box4方出31mm</v>
          </cell>
          <cell r="F269" t="str">
            <v>個</v>
          </cell>
          <cell r="H269">
            <v>984</v>
          </cell>
          <cell r="J269">
            <v>984</v>
          </cell>
          <cell r="L269">
            <v>984</v>
          </cell>
          <cell r="N269">
            <v>984</v>
          </cell>
          <cell r="P269">
            <v>984</v>
          </cell>
          <cell r="R269">
            <v>984</v>
          </cell>
          <cell r="T269">
            <v>984</v>
          </cell>
          <cell r="V269">
            <v>984</v>
          </cell>
          <cell r="X269">
            <v>984</v>
          </cell>
          <cell r="Z269">
            <v>984</v>
          </cell>
          <cell r="AD269">
            <v>0.1</v>
          </cell>
        </row>
        <row r="270">
          <cell r="E270" t="str">
            <v>E-丸Box1方出39mm</v>
          </cell>
          <cell r="F270" t="str">
            <v>個</v>
          </cell>
          <cell r="H270">
            <v>1050</v>
          </cell>
          <cell r="J270">
            <v>1050</v>
          </cell>
          <cell r="L270">
            <v>1050</v>
          </cell>
          <cell r="N270">
            <v>1050</v>
          </cell>
          <cell r="P270">
            <v>1050</v>
          </cell>
          <cell r="R270">
            <v>1050</v>
          </cell>
          <cell r="T270">
            <v>1050</v>
          </cell>
          <cell r="V270">
            <v>1050</v>
          </cell>
          <cell r="X270">
            <v>1050</v>
          </cell>
          <cell r="Z270">
            <v>1050</v>
          </cell>
          <cell r="AD270">
            <v>0.1</v>
          </cell>
        </row>
        <row r="271">
          <cell r="E271" t="str">
            <v>E-丸Box2方出39mm</v>
          </cell>
          <cell r="F271" t="str">
            <v>個</v>
          </cell>
          <cell r="H271">
            <v>1240</v>
          </cell>
          <cell r="J271">
            <v>1240</v>
          </cell>
          <cell r="L271">
            <v>1240</v>
          </cell>
          <cell r="N271">
            <v>1240</v>
          </cell>
          <cell r="P271">
            <v>1240</v>
          </cell>
          <cell r="R271">
            <v>1240</v>
          </cell>
          <cell r="T271">
            <v>1240</v>
          </cell>
          <cell r="V271">
            <v>1240</v>
          </cell>
          <cell r="X271">
            <v>1240</v>
          </cell>
          <cell r="Z271">
            <v>1240</v>
          </cell>
          <cell r="AD271">
            <v>0.1</v>
          </cell>
        </row>
        <row r="272">
          <cell r="E272" t="str">
            <v>E-丸Box3方出39mm</v>
          </cell>
          <cell r="F272" t="str">
            <v>個</v>
          </cell>
          <cell r="H272">
            <v>1410</v>
          </cell>
          <cell r="J272">
            <v>1410</v>
          </cell>
          <cell r="L272">
            <v>1410</v>
          </cell>
          <cell r="N272">
            <v>1410</v>
          </cell>
          <cell r="P272">
            <v>1410</v>
          </cell>
          <cell r="R272">
            <v>1410</v>
          </cell>
          <cell r="T272">
            <v>1410</v>
          </cell>
          <cell r="V272">
            <v>1410</v>
          </cell>
          <cell r="X272">
            <v>1410</v>
          </cell>
          <cell r="Z272">
            <v>1410</v>
          </cell>
          <cell r="AD272">
            <v>0.1</v>
          </cell>
        </row>
        <row r="273">
          <cell r="E273" t="str">
            <v>E-丸Box4方出39mm</v>
          </cell>
          <cell r="F273" t="str">
            <v>個</v>
          </cell>
          <cell r="H273">
            <v>1580</v>
          </cell>
          <cell r="J273">
            <v>1580</v>
          </cell>
          <cell r="L273">
            <v>1580</v>
          </cell>
          <cell r="N273">
            <v>1580</v>
          </cell>
          <cell r="P273">
            <v>1580</v>
          </cell>
          <cell r="R273">
            <v>1580</v>
          </cell>
          <cell r="T273">
            <v>1580</v>
          </cell>
          <cell r="V273">
            <v>1580</v>
          </cell>
          <cell r="X273">
            <v>1580</v>
          </cell>
          <cell r="Z273">
            <v>1580</v>
          </cell>
          <cell r="AD273">
            <v>0.1</v>
          </cell>
        </row>
        <row r="274">
          <cell r="E274" t="str">
            <v>E-丸Box1方出51mm</v>
          </cell>
          <cell r="F274" t="str">
            <v>個</v>
          </cell>
          <cell r="H274">
            <v>1550</v>
          </cell>
          <cell r="J274">
            <v>1550</v>
          </cell>
          <cell r="L274">
            <v>1550</v>
          </cell>
          <cell r="N274">
            <v>1550</v>
          </cell>
          <cell r="P274">
            <v>1550</v>
          </cell>
          <cell r="R274">
            <v>1550</v>
          </cell>
          <cell r="T274">
            <v>1550</v>
          </cell>
          <cell r="V274">
            <v>1550</v>
          </cell>
          <cell r="X274">
            <v>1550</v>
          </cell>
          <cell r="Z274">
            <v>1550</v>
          </cell>
          <cell r="AD274">
            <v>0.1</v>
          </cell>
        </row>
        <row r="275">
          <cell r="E275" t="str">
            <v>E-丸Box2方出51mm</v>
          </cell>
          <cell r="F275" t="str">
            <v>個</v>
          </cell>
          <cell r="H275">
            <v>1800</v>
          </cell>
          <cell r="J275">
            <v>1800</v>
          </cell>
          <cell r="L275">
            <v>1800</v>
          </cell>
          <cell r="N275">
            <v>1800</v>
          </cell>
          <cell r="P275">
            <v>1800</v>
          </cell>
          <cell r="R275">
            <v>1800</v>
          </cell>
          <cell r="T275">
            <v>1800</v>
          </cell>
          <cell r="V275">
            <v>1800</v>
          </cell>
          <cell r="X275">
            <v>1800</v>
          </cell>
          <cell r="Z275">
            <v>1800</v>
          </cell>
          <cell r="AD275">
            <v>0.1</v>
          </cell>
        </row>
        <row r="276">
          <cell r="E276" t="str">
            <v>E-丸Box3方出51mm</v>
          </cell>
          <cell r="F276" t="str">
            <v>個</v>
          </cell>
          <cell r="H276">
            <v>1890</v>
          </cell>
          <cell r="J276">
            <v>1890</v>
          </cell>
          <cell r="L276">
            <v>1890</v>
          </cell>
          <cell r="N276">
            <v>1890</v>
          </cell>
          <cell r="P276">
            <v>1890</v>
          </cell>
          <cell r="R276">
            <v>1890</v>
          </cell>
          <cell r="T276">
            <v>1890</v>
          </cell>
          <cell r="V276">
            <v>1890</v>
          </cell>
          <cell r="X276">
            <v>1890</v>
          </cell>
          <cell r="Z276">
            <v>1890</v>
          </cell>
          <cell r="AD276">
            <v>0.1</v>
          </cell>
        </row>
        <row r="277">
          <cell r="E277" t="str">
            <v>E-丸Box4方出51mm</v>
          </cell>
          <cell r="F277" t="str">
            <v>個</v>
          </cell>
          <cell r="H277">
            <v>2050</v>
          </cell>
          <cell r="J277">
            <v>2050</v>
          </cell>
          <cell r="L277">
            <v>2050</v>
          </cell>
          <cell r="N277">
            <v>2050</v>
          </cell>
          <cell r="P277">
            <v>2050</v>
          </cell>
          <cell r="R277">
            <v>2050</v>
          </cell>
          <cell r="T277">
            <v>2050</v>
          </cell>
          <cell r="V277">
            <v>2050</v>
          </cell>
          <cell r="X277">
            <v>2050</v>
          </cell>
          <cell r="Z277">
            <v>2050</v>
          </cell>
          <cell r="AD277">
            <v>0.1</v>
          </cell>
        </row>
        <row r="278">
          <cell r="E278" t="str">
            <v>E-SWBox1-1方出19mm</v>
          </cell>
          <cell r="F278" t="str">
            <v>個</v>
          </cell>
          <cell r="H278">
            <v>441</v>
          </cell>
          <cell r="J278">
            <v>441</v>
          </cell>
          <cell r="L278">
            <v>441</v>
          </cell>
          <cell r="N278">
            <v>441</v>
          </cell>
          <cell r="P278">
            <v>441</v>
          </cell>
          <cell r="R278">
            <v>441</v>
          </cell>
          <cell r="T278">
            <v>441</v>
          </cell>
          <cell r="V278">
            <v>441</v>
          </cell>
          <cell r="X278">
            <v>441</v>
          </cell>
          <cell r="Z278">
            <v>441</v>
          </cell>
          <cell r="AD278">
            <v>0.1</v>
          </cell>
        </row>
        <row r="279">
          <cell r="E279" t="str">
            <v>E-SWBox1-2方出19mm</v>
          </cell>
          <cell r="F279" t="str">
            <v>個</v>
          </cell>
          <cell r="H279">
            <v>477</v>
          </cell>
          <cell r="J279">
            <v>477</v>
          </cell>
          <cell r="L279">
            <v>477</v>
          </cell>
          <cell r="N279">
            <v>477</v>
          </cell>
          <cell r="P279">
            <v>477</v>
          </cell>
          <cell r="R279">
            <v>477</v>
          </cell>
          <cell r="T279">
            <v>477</v>
          </cell>
          <cell r="V279">
            <v>477</v>
          </cell>
          <cell r="X279">
            <v>477</v>
          </cell>
          <cell r="Z279">
            <v>477</v>
          </cell>
          <cell r="AD279">
            <v>0.1</v>
          </cell>
        </row>
        <row r="280">
          <cell r="E280" t="str">
            <v>E-SWBox2-1方出19mm</v>
          </cell>
          <cell r="F280" t="str">
            <v>個</v>
          </cell>
          <cell r="H280">
            <v>816</v>
          </cell>
          <cell r="J280">
            <v>816</v>
          </cell>
          <cell r="L280">
            <v>816</v>
          </cell>
          <cell r="N280">
            <v>816</v>
          </cell>
          <cell r="P280">
            <v>816</v>
          </cell>
          <cell r="R280">
            <v>816</v>
          </cell>
          <cell r="T280">
            <v>816</v>
          </cell>
          <cell r="V280">
            <v>816</v>
          </cell>
          <cell r="X280">
            <v>816</v>
          </cell>
          <cell r="Z280">
            <v>816</v>
          </cell>
          <cell r="AD280">
            <v>0.1</v>
          </cell>
        </row>
        <row r="281">
          <cell r="E281" t="str">
            <v>E-SWBox3-1方出19mm</v>
          </cell>
          <cell r="F281" t="str">
            <v>個</v>
          </cell>
          <cell r="H281">
            <v>1410</v>
          </cell>
          <cell r="J281">
            <v>1410</v>
          </cell>
          <cell r="L281">
            <v>1410</v>
          </cell>
          <cell r="N281">
            <v>1410</v>
          </cell>
          <cell r="P281">
            <v>1410</v>
          </cell>
          <cell r="R281">
            <v>1410</v>
          </cell>
          <cell r="T281">
            <v>1410</v>
          </cell>
          <cell r="V281">
            <v>1410</v>
          </cell>
          <cell r="X281">
            <v>1410</v>
          </cell>
          <cell r="Z281">
            <v>1410</v>
          </cell>
          <cell r="AD281">
            <v>0.1</v>
          </cell>
        </row>
        <row r="282">
          <cell r="E282" t="str">
            <v>E-SWBox1-1方出25mm</v>
          </cell>
          <cell r="F282" t="str">
            <v>個</v>
          </cell>
          <cell r="H282">
            <v>555</v>
          </cell>
          <cell r="J282">
            <v>555</v>
          </cell>
          <cell r="L282">
            <v>555</v>
          </cell>
          <cell r="N282">
            <v>555</v>
          </cell>
          <cell r="P282">
            <v>555</v>
          </cell>
          <cell r="R282">
            <v>555</v>
          </cell>
          <cell r="T282">
            <v>555</v>
          </cell>
          <cell r="V282">
            <v>555</v>
          </cell>
          <cell r="X282">
            <v>555</v>
          </cell>
          <cell r="Z282">
            <v>555</v>
          </cell>
          <cell r="AD282">
            <v>0.1</v>
          </cell>
        </row>
        <row r="283">
          <cell r="E283" t="str">
            <v>E-SWBox1-2方出25mm</v>
          </cell>
          <cell r="F283" t="str">
            <v>個</v>
          </cell>
          <cell r="H283">
            <v>684</v>
          </cell>
          <cell r="J283">
            <v>684</v>
          </cell>
          <cell r="L283">
            <v>684</v>
          </cell>
          <cell r="N283">
            <v>684</v>
          </cell>
          <cell r="P283">
            <v>684</v>
          </cell>
          <cell r="R283">
            <v>684</v>
          </cell>
          <cell r="T283">
            <v>684</v>
          </cell>
          <cell r="V283">
            <v>684</v>
          </cell>
          <cell r="X283">
            <v>684</v>
          </cell>
          <cell r="Z283">
            <v>684</v>
          </cell>
          <cell r="AD283">
            <v>0.1</v>
          </cell>
        </row>
        <row r="284">
          <cell r="E284" t="str">
            <v>E-SWBox2-1方出25mm</v>
          </cell>
          <cell r="F284" t="str">
            <v>個</v>
          </cell>
          <cell r="H284">
            <v>1020</v>
          </cell>
          <cell r="J284">
            <v>1020</v>
          </cell>
          <cell r="L284">
            <v>1020</v>
          </cell>
          <cell r="N284">
            <v>1020</v>
          </cell>
          <cell r="P284">
            <v>1020</v>
          </cell>
          <cell r="R284">
            <v>1020</v>
          </cell>
          <cell r="T284">
            <v>1020</v>
          </cell>
          <cell r="V284">
            <v>1020</v>
          </cell>
          <cell r="X284">
            <v>1020</v>
          </cell>
          <cell r="Z284">
            <v>1020</v>
          </cell>
          <cell r="AD284">
            <v>0.1</v>
          </cell>
        </row>
        <row r="285">
          <cell r="E285" t="str">
            <v>E-SWBox3-1方出25mm</v>
          </cell>
          <cell r="F285" t="str">
            <v>個</v>
          </cell>
          <cell r="H285">
            <v>1610</v>
          </cell>
          <cell r="J285">
            <v>1610</v>
          </cell>
          <cell r="L285">
            <v>1610</v>
          </cell>
          <cell r="N285">
            <v>1610</v>
          </cell>
          <cell r="P285">
            <v>1610</v>
          </cell>
          <cell r="R285">
            <v>1610</v>
          </cell>
          <cell r="T285">
            <v>1610</v>
          </cell>
          <cell r="V285">
            <v>1610</v>
          </cell>
          <cell r="X285">
            <v>1610</v>
          </cell>
          <cell r="Z285">
            <v>1610</v>
          </cell>
          <cell r="AD285">
            <v>0.1</v>
          </cell>
        </row>
        <row r="286">
          <cell r="E286" t="str">
            <v>E-SWBox1-1方出31mm</v>
          </cell>
          <cell r="F286" t="str">
            <v>個</v>
          </cell>
          <cell r="H286">
            <v>792</v>
          </cell>
          <cell r="J286">
            <v>792</v>
          </cell>
          <cell r="L286">
            <v>792</v>
          </cell>
          <cell r="N286">
            <v>792</v>
          </cell>
          <cell r="P286">
            <v>792</v>
          </cell>
          <cell r="R286">
            <v>792</v>
          </cell>
          <cell r="T286">
            <v>792</v>
          </cell>
          <cell r="V286">
            <v>792</v>
          </cell>
          <cell r="X286">
            <v>792</v>
          </cell>
          <cell r="Z286">
            <v>792</v>
          </cell>
          <cell r="AD286">
            <v>0.1</v>
          </cell>
        </row>
        <row r="287">
          <cell r="E287" t="str">
            <v>E-SWBox1-2方出31mm</v>
          </cell>
          <cell r="F287" t="str">
            <v>個</v>
          </cell>
          <cell r="H287">
            <v>990</v>
          </cell>
          <cell r="J287">
            <v>990</v>
          </cell>
          <cell r="L287">
            <v>990</v>
          </cell>
          <cell r="N287">
            <v>990</v>
          </cell>
          <cell r="P287">
            <v>990</v>
          </cell>
          <cell r="R287">
            <v>990</v>
          </cell>
          <cell r="T287">
            <v>990</v>
          </cell>
          <cell r="V287">
            <v>990</v>
          </cell>
          <cell r="X287">
            <v>990</v>
          </cell>
          <cell r="Z287">
            <v>990</v>
          </cell>
          <cell r="AD287">
            <v>0.1</v>
          </cell>
        </row>
        <row r="288">
          <cell r="E288" t="str">
            <v>E-SWBox2-1方出31mm</v>
          </cell>
          <cell r="F288" t="str">
            <v>個</v>
          </cell>
          <cell r="H288">
            <v>1680</v>
          </cell>
          <cell r="J288">
            <v>1680</v>
          </cell>
          <cell r="L288">
            <v>1680</v>
          </cell>
          <cell r="N288">
            <v>1680</v>
          </cell>
          <cell r="P288">
            <v>1680</v>
          </cell>
          <cell r="R288">
            <v>1680</v>
          </cell>
          <cell r="T288">
            <v>1680</v>
          </cell>
          <cell r="V288">
            <v>1680</v>
          </cell>
          <cell r="X288">
            <v>1680</v>
          </cell>
          <cell r="Z288">
            <v>1680</v>
          </cell>
          <cell r="AD288">
            <v>0.1</v>
          </cell>
        </row>
        <row r="289">
          <cell r="E289" t="str">
            <v>E-SWBox3-1方出31mm</v>
          </cell>
          <cell r="F289" t="str">
            <v>個</v>
          </cell>
          <cell r="H289">
            <v>1810</v>
          </cell>
          <cell r="J289">
            <v>1810</v>
          </cell>
          <cell r="L289">
            <v>1810</v>
          </cell>
          <cell r="N289">
            <v>1810</v>
          </cell>
          <cell r="P289">
            <v>1810</v>
          </cell>
          <cell r="R289">
            <v>1810</v>
          </cell>
          <cell r="T289">
            <v>1810</v>
          </cell>
          <cell r="V289">
            <v>1810</v>
          </cell>
          <cell r="X289">
            <v>1810</v>
          </cell>
          <cell r="Z289">
            <v>1810</v>
          </cell>
          <cell r="AD289">
            <v>0.1</v>
          </cell>
        </row>
        <row r="290">
          <cell r="E290" t="str">
            <v>G-丸Box1方出16mm</v>
          </cell>
          <cell r="F290" t="str">
            <v>個</v>
          </cell>
          <cell r="H290">
            <v>338</v>
          </cell>
          <cell r="J290">
            <v>338</v>
          </cell>
          <cell r="L290">
            <v>338</v>
          </cell>
          <cell r="N290">
            <v>338</v>
          </cell>
          <cell r="P290">
            <v>338</v>
          </cell>
          <cell r="R290">
            <v>338</v>
          </cell>
          <cell r="T290">
            <v>338</v>
          </cell>
          <cell r="V290">
            <v>338</v>
          </cell>
          <cell r="X290">
            <v>338</v>
          </cell>
          <cell r="Z290">
            <v>338</v>
          </cell>
          <cell r="AD290">
            <v>0.1</v>
          </cell>
        </row>
        <row r="291">
          <cell r="E291" t="str">
            <v>G-丸Box2方出16mm</v>
          </cell>
          <cell r="F291" t="str">
            <v>個</v>
          </cell>
          <cell r="H291">
            <v>377</v>
          </cell>
          <cell r="J291">
            <v>377</v>
          </cell>
          <cell r="L291">
            <v>377</v>
          </cell>
          <cell r="N291">
            <v>377</v>
          </cell>
          <cell r="P291">
            <v>377</v>
          </cell>
          <cell r="R291">
            <v>377</v>
          </cell>
          <cell r="T291">
            <v>377</v>
          </cell>
          <cell r="V291">
            <v>377</v>
          </cell>
          <cell r="X291">
            <v>377</v>
          </cell>
          <cell r="Z291">
            <v>377</v>
          </cell>
          <cell r="AD291">
            <v>0.1</v>
          </cell>
        </row>
        <row r="292">
          <cell r="E292" t="str">
            <v>G丸Box3方出16mm</v>
          </cell>
          <cell r="F292" t="str">
            <v>個</v>
          </cell>
          <cell r="H292">
            <v>392</v>
          </cell>
          <cell r="J292">
            <v>392</v>
          </cell>
          <cell r="L292">
            <v>392</v>
          </cell>
          <cell r="N292">
            <v>392</v>
          </cell>
          <cell r="P292">
            <v>392</v>
          </cell>
          <cell r="R292">
            <v>392</v>
          </cell>
          <cell r="T292">
            <v>392</v>
          </cell>
          <cell r="V292">
            <v>392</v>
          </cell>
          <cell r="X292">
            <v>392</v>
          </cell>
          <cell r="Z292">
            <v>392</v>
          </cell>
          <cell r="AD292">
            <v>0.1</v>
          </cell>
        </row>
        <row r="293">
          <cell r="E293" t="str">
            <v>G-丸Box4方出16mm</v>
          </cell>
          <cell r="F293" t="str">
            <v>個</v>
          </cell>
          <cell r="H293">
            <v>453</v>
          </cell>
          <cell r="J293">
            <v>453</v>
          </cell>
          <cell r="L293">
            <v>453</v>
          </cell>
          <cell r="N293">
            <v>453</v>
          </cell>
          <cell r="P293">
            <v>453</v>
          </cell>
          <cell r="R293">
            <v>453</v>
          </cell>
          <cell r="T293">
            <v>453</v>
          </cell>
          <cell r="V293">
            <v>453</v>
          </cell>
          <cell r="X293">
            <v>453</v>
          </cell>
          <cell r="Z293">
            <v>453</v>
          </cell>
          <cell r="AD293">
            <v>0.1</v>
          </cell>
        </row>
        <row r="294">
          <cell r="E294" t="str">
            <v>G-丸Box1方出22mm</v>
          </cell>
          <cell r="F294" t="str">
            <v>個</v>
          </cell>
          <cell r="H294">
            <v>404</v>
          </cell>
          <cell r="J294">
            <v>404</v>
          </cell>
          <cell r="L294">
            <v>404</v>
          </cell>
          <cell r="N294">
            <v>404</v>
          </cell>
          <cell r="P294">
            <v>404</v>
          </cell>
          <cell r="R294">
            <v>404</v>
          </cell>
          <cell r="T294">
            <v>404</v>
          </cell>
          <cell r="V294">
            <v>404</v>
          </cell>
          <cell r="X294">
            <v>404</v>
          </cell>
          <cell r="Z294">
            <v>404</v>
          </cell>
          <cell r="AD294">
            <v>0.1</v>
          </cell>
        </row>
        <row r="295">
          <cell r="E295" t="str">
            <v>G-丸Box2方出22mm</v>
          </cell>
          <cell r="F295" t="str">
            <v>個</v>
          </cell>
          <cell r="H295">
            <v>453</v>
          </cell>
          <cell r="J295">
            <v>453</v>
          </cell>
          <cell r="L295">
            <v>453</v>
          </cell>
          <cell r="N295">
            <v>453</v>
          </cell>
          <cell r="P295">
            <v>453</v>
          </cell>
          <cell r="R295">
            <v>453</v>
          </cell>
          <cell r="T295">
            <v>453</v>
          </cell>
          <cell r="V295">
            <v>453</v>
          </cell>
          <cell r="X295">
            <v>453</v>
          </cell>
          <cell r="Z295">
            <v>453</v>
          </cell>
          <cell r="AD295">
            <v>0.1</v>
          </cell>
        </row>
        <row r="296">
          <cell r="E296" t="str">
            <v>G-丸Box3方出22mm</v>
          </cell>
          <cell r="F296" t="str">
            <v>個</v>
          </cell>
          <cell r="H296">
            <v>494</v>
          </cell>
          <cell r="J296">
            <v>494</v>
          </cell>
          <cell r="L296">
            <v>494</v>
          </cell>
          <cell r="N296">
            <v>494</v>
          </cell>
          <cell r="P296">
            <v>494</v>
          </cell>
          <cell r="R296">
            <v>494</v>
          </cell>
          <cell r="T296">
            <v>494</v>
          </cell>
          <cell r="V296">
            <v>494</v>
          </cell>
          <cell r="X296">
            <v>494</v>
          </cell>
          <cell r="Z296">
            <v>494</v>
          </cell>
          <cell r="AD296">
            <v>0.1</v>
          </cell>
        </row>
        <row r="297">
          <cell r="E297" t="str">
            <v>G-丸Box4方出22mm</v>
          </cell>
          <cell r="F297" t="str">
            <v>個</v>
          </cell>
          <cell r="H297">
            <v>573</v>
          </cell>
          <cell r="J297">
            <v>573</v>
          </cell>
          <cell r="L297">
            <v>573</v>
          </cell>
          <cell r="N297">
            <v>573</v>
          </cell>
          <cell r="P297">
            <v>573</v>
          </cell>
          <cell r="R297">
            <v>573</v>
          </cell>
          <cell r="T297">
            <v>573</v>
          </cell>
          <cell r="V297">
            <v>573</v>
          </cell>
          <cell r="X297">
            <v>573</v>
          </cell>
          <cell r="Z297">
            <v>573</v>
          </cell>
          <cell r="AD297">
            <v>0.1</v>
          </cell>
        </row>
        <row r="298">
          <cell r="E298" t="str">
            <v>G-丸Box1方出28mm</v>
          </cell>
          <cell r="F298" t="str">
            <v>個</v>
          </cell>
          <cell r="H298">
            <v>568</v>
          </cell>
          <cell r="J298">
            <v>568</v>
          </cell>
          <cell r="L298">
            <v>568</v>
          </cell>
          <cell r="N298">
            <v>568</v>
          </cell>
          <cell r="P298">
            <v>568</v>
          </cell>
          <cell r="R298">
            <v>568</v>
          </cell>
          <cell r="T298">
            <v>568</v>
          </cell>
          <cell r="V298">
            <v>568</v>
          </cell>
          <cell r="X298">
            <v>568</v>
          </cell>
          <cell r="Z298">
            <v>568</v>
          </cell>
          <cell r="AD298">
            <v>0.1</v>
          </cell>
        </row>
        <row r="299">
          <cell r="E299" t="str">
            <v>G-丸Box2方出28mm</v>
          </cell>
          <cell r="F299" t="str">
            <v>個</v>
          </cell>
          <cell r="H299">
            <v>661</v>
          </cell>
          <cell r="J299">
            <v>661</v>
          </cell>
          <cell r="L299">
            <v>661</v>
          </cell>
          <cell r="N299">
            <v>661</v>
          </cell>
          <cell r="P299">
            <v>661</v>
          </cell>
          <cell r="R299">
            <v>661</v>
          </cell>
          <cell r="T299">
            <v>661</v>
          </cell>
          <cell r="V299">
            <v>661</v>
          </cell>
          <cell r="X299">
            <v>661</v>
          </cell>
          <cell r="Z299">
            <v>661</v>
          </cell>
          <cell r="AD299">
            <v>0.1</v>
          </cell>
        </row>
        <row r="300">
          <cell r="E300" t="str">
            <v>G-丸Box3方出28mm</v>
          </cell>
          <cell r="F300" t="str">
            <v>個</v>
          </cell>
          <cell r="H300">
            <v>720</v>
          </cell>
          <cell r="J300">
            <v>720</v>
          </cell>
          <cell r="L300">
            <v>720</v>
          </cell>
          <cell r="N300">
            <v>720</v>
          </cell>
          <cell r="P300">
            <v>720</v>
          </cell>
          <cell r="R300">
            <v>720</v>
          </cell>
          <cell r="T300">
            <v>720</v>
          </cell>
          <cell r="V300">
            <v>720</v>
          </cell>
          <cell r="X300">
            <v>720</v>
          </cell>
          <cell r="Z300">
            <v>720</v>
          </cell>
          <cell r="AD300">
            <v>0.1</v>
          </cell>
        </row>
        <row r="301">
          <cell r="E301" t="str">
            <v>G-丸Box4方出28mm</v>
          </cell>
          <cell r="F301" t="str">
            <v>個</v>
          </cell>
          <cell r="H301">
            <v>818</v>
          </cell>
          <cell r="J301">
            <v>818</v>
          </cell>
          <cell r="L301">
            <v>818</v>
          </cell>
          <cell r="N301">
            <v>818</v>
          </cell>
          <cell r="P301">
            <v>818</v>
          </cell>
          <cell r="R301">
            <v>818</v>
          </cell>
          <cell r="T301">
            <v>818</v>
          </cell>
          <cell r="V301">
            <v>818</v>
          </cell>
          <cell r="X301">
            <v>818</v>
          </cell>
          <cell r="Z301">
            <v>818</v>
          </cell>
          <cell r="AD301">
            <v>0.1</v>
          </cell>
        </row>
        <row r="302">
          <cell r="E302" t="str">
            <v>G-丸Box1方出36mm</v>
          </cell>
          <cell r="F302" t="str">
            <v>個</v>
          </cell>
          <cell r="H302">
            <v>1130</v>
          </cell>
          <cell r="J302">
            <v>1130</v>
          </cell>
          <cell r="L302">
            <v>1130</v>
          </cell>
          <cell r="N302">
            <v>1130</v>
          </cell>
          <cell r="P302">
            <v>1130</v>
          </cell>
          <cell r="R302">
            <v>1130</v>
          </cell>
          <cell r="T302">
            <v>1130</v>
          </cell>
          <cell r="V302">
            <v>1130</v>
          </cell>
          <cell r="X302">
            <v>1130</v>
          </cell>
          <cell r="Z302">
            <v>1130</v>
          </cell>
          <cell r="AD302">
            <v>0.1</v>
          </cell>
        </row>
        <row r="303">
          <cell r="E303" t="str">
            <v>G-丸Box2方出36mm</v>
          </cell>
          <cell r="F303" t="str">
            <v>個</v>
          </cell>
          <cell r="H303">
            <v>1230</v>
          </cell>
          <cell r="J303">
            <v>1230</v>
          </cell>
          <cell r="L303">
            <v>1230</v>
          </cell>
          <cell r="N303">
            <v>1230</v>
          </cell>
          <cell r="P303">
            <v>1230</v>
          </cell>
          <cell r="R303">
            <v>1230</v>
          </cell>
          <cell r="T303">
            <v>1230</v>
          </cell>
          <cell r="V303">
            <v>1230</v>
          </cell>
          <cell r="X303">
            <v>1230</v>
          </cell>
          <cell r="Z303">
            <v>1230</v>
          </cell>
          <cell r="AD303">
            <v>0.1</v>
          </cell>
        </row>
        <row r="304">
          <cell r="E304" t="str">
            <v>G-丸Box3方出36mm</v>
          </cell>
          <cell r="F304" t="str">
            <v>個</v>
          </cell>
          <cell r="H304">
            <v>1330</v>
          </cell>
          <cell r="J304">
            <v>1330</v>
          </cell>
          <cell r="L304">
            <v>1330</v>
          </cell>
          <cell r="N304">
            <v>1330</v>
          </cell>
          <cell r="P304">
            <v>1330</v>
          </cell>
          <cell r="R304">
            <v>1330</v>
          </cell>
          <cell r="T304">
            <v>1330</v>
          </cell>
          <cell r="V304">
            <v>1330</v>
          </cell>
          <cell r="X304">
            <v>1330</v>
          </cell>
          <cell r="Z304">
            <v>1330</v>
          </cell>
          <cell r="AD304">
            <v>0.1</v>
          </cell>
        </row>
        <row r="305">
          <cell r="E305" t="str">
            <v>G-丸Box4方出36mm</v>
          </cell>
          <cell r="F305" t="str">
            <v>個</v>
          </cell>
          <cell r="H305">
            <v>1510</v>
          </cell>
          <cell r="J305">
            <v>1510</v>
          </cell>
          <cell r="L305">
            <v>1510</v>
          </cell>
          <cell r="N305">
            <v>1510</v>
          </cell>
          <cell r="P305">
            <v>1510</v>
          </cell>
          <cell r="R305">
            <v>1510</v>
          </cell>
          <cell r="T305">
            <v>1510</v>
          </cell>
          <cell r="V305">
            <v>1510</v>
          </cell>
          <cell r="X305">
            <v>1510</v>
          </cell>
          <cell r="Z305">
            <v>1510</v>
          </cell>
          <cell r="AD305">
            <v>0.1</v>
          </cell>
        </row>
        <row r="306">
          <cell r="E306" t="str">
            <v>G-丸Box1方出42mm</v>
          </cell>
          <cell r="F306" t="str">
            <v>個</v>
          </cell>
          <cell r="H306">
            <v>1480</v>
          </cell>
          <cell r="J306">
            <v>1480</v>
          </cell>
          <cell r="L306">
            <v>1480</v>
          </cell>
          <cell r="N306">
            <v>1480</v>
          </cell>
          <cell r="P306">
            <v>1480</v>
          </cell>
          <cell r="R306">
            <v>1480</v>
          </cell>
          <cell r="T306">
            <v>1480</v>
          </cell>
          <cell r="V306">
            <v>1480</v>
          </cell>
          <cell r="X306">
            <v>1480</v>
          </cell>
          <cell r="Z306">
            <v>1480</v>
          </cell>
          <cell r="AD306">
            <v>0.1</v>
          </cell>
        </row>
        <row r="307">
          <cell r="E307" t="str">
            <v>G-丸Box2方出42mm</v>
          </cell>
          <cell r="F307" t="str">
            <v>個</v>
          </cell>
          <cell r="H307">
            <v>1670</v>
          </cell>
          <cell r="J307">
            <v>1670</v>
          </cell>
          <cell r="L307">
            <v>1670</v>
          </cell>
          <cell r="N307">
            <v>1670</v>
          </cell>
          <cell r="P307">
            <v>1670</v>
          </cell>
          <cell r="R307">
            <v>1670</v>
          </cell>
          <cell r="T307">
            <v>1670</v>
          </cell>
          <cell r="V307">
            <v>1670</v>
          </cell>
          <cell r="X307">
            <v>1670</v>
          </cell>
          <cell r="Z307">
            <v>1670</v>
          </cell>
          <cell r="AD307">
            <v>0.1</v>
          </cell>
        </row>
        <row r="308">
          <cell r="E308" t="str">
            <v>G-丸Box3方出42mm</v>
          </cell>
          <cell r="F308" t="str">
            <v>個</v>
          </cell>
          <cell r="H308">
            <v>2000</v>
          </cell>
          <cell r="J308">
            <v>2000</v>
          </cell>
          <cell r="L308">
            <v>2000</v>
          </cell>
          <cell r="N308">
            <v>2000</v>
          </cell>
          <cell r="P308">
            <v>2000</v>
          </cell>
          <cell r="R308">
            <v>2000</v>
          </cell>
          <cell r="T308">
            <v>2000</v>
          </cell>
          <cell r="V308">
            <v>2000</v>
          </cell>
          <cell r="X308">
            <v>2000</v>
          </cell>
          <cell r="Z308">
            <v>2000</v>
          </cell>
          <cell r="AD308">
            <v>0.1</v>
          </cell>
        </row>
        <row r="309">
          <cell r="E309" t="str">
            <v>G-丸Box4方出42mm</v>
          </cell>
          <cell r="F309" t="str">
            <v>個</v>
          </cell>
          <cell r="H309">
            <v>2190</v>
          </cell>
          <cell r="J309">
            <v>2190</v>
          </cell>
          <cell r="L309">
            <v>2190</v>
          </cell>
          <cell r="N309">
            <v>2190</v>
          </cell>
          <cell r="P309">
            <v>2190</v>
          </cell>
          <cell r="R309">
            <v>2190</v>
          </cell>
          <cell r="T309">
            <v>2190</v>
          </cell>
          <cell r="V309">
            <v>2190</v>
          </cell>
          <cell r="X309">
            <v>2190</v>
          </cell>
          <cell r="Z309">
            <v>2190</v>
          </cell>
          <cell r="AD309">
            <v>0.1</v>
          </cell>
        </row>
        <row r="310">
          <cell r="E310" t="str">
            <v>G-SWBox1-1方出16mm</v>
          </cell>
          <cell r="F310" t="str">
            <v>個</v>
          </cell>
          <cell r="H310">
            <v>372</v>
          </cell>
          <cell r="J310">
            <v>372</v>
          </cell>
          <cell r="L310">
            <v>372</v>
          </cell>
          <cell r="N310">
            <v>372</v>
          </cell>
          <cell r="P310">
            <v>372</v>
          </cell>
          <cell r="R310">
            <v>372</v>
          </cell>
          <cell r="T310">
            <v>372</v>
          </cell>
          <cell r="V310">
            <v>372</v>
          </cell>
          <cell r="X310">
            <v>372</v>
          </cell>
          <cell r="Z310">
            <v>372</v>
          </cell>
          <cell r="AD310">
            <v>0.1</v>
          </cell>
        </row>
        <row r="311">
          <cell r="E311" t="str">
            <v>G-SWBox1-2方出16mm</v>
          </cell>
          <cell r="F311" t="str">
            <v>個</v>
          </cell>
          <cell r="H311">
            <v>448</v>
          </cell>
          <cell r="J311">
            <v>448</v>
          </cell>
          <cell r="L311">
            <v>448</v>
          </cell>
          <cell r="N311">
            <v>448</v>
          </cell>
          <cell r="P311">
            <v>448</v>
          </cell>
          <cell r="R311">
            <v>448</v>
          </cell>
          <cell r="T311">
            <v>448</v>
          </cell>
          <cell r="V311">
            <v>448</v>
          </cell>
          <cell r="X311">
            <v>448</v>
          </cell>
          <cell r="Z311">
            <v>448</v>
          </cell>
          <cell r="AD311">
            <v>0.1</v>
          </cell>
        </row>
        <row r="312">
          <cell r="E312" t="str">
            <v>G-SWBox2-1方出16mm</v>
          </cell>
          <cell r="F312" t="str">
            <v>個</v>
          </cell>
          <cell r="H312">
            <v>730</v>
          </cell>
          <cell r="J312">
            <v>730</v>
          </cell>
          <cell r="L312">
            <v>730</v>
          </cell>
          <cell r="N312">
            <v>730</v>
          </cell>
          <cell r="P312">
            <v>730</v>
          </cell>
          <cell r="R312">
            <v>730</v>
          </cell>
          <cell r="T312">
            <v>730</v>
          </cell>
          <cell r="V312">
            <v>730</v>
          </cell>
          <cell r="X312">
            <v>730</v>
          </cell>
          <cell r="Z312">
            <v>730</v>
          </cell>
          <cell r="AD312">
            <v>0.1</v>
          </cell>
        </row>
        <row r="313">
          <cell r="E313" t="str">
            <v>G-SWBox3-1方出16mm</v>
          </cell>
          <cell r="F313" t="str">
            <v>個</v>
          </cell>
          <cell r="H313">
            <v>1410</v>
          </cell>
          <cell r="J313">
            <v>1410</v>
          </cell>
          <cell r="L313">
            <v>1410</v>
          </cell>
          <cell r="N313">
            <v>1410</v>
          </cell>
          <cell r="P313">
            <v>1410</v>
          </cell>
          <cell r="R313">
            <v>1410</v>
          </cell>
          <cell r="T313">
            <v>1410</v>
          </cell>
          <cell r="V313">
            <v>1410</v>
          </cell>
          <cell r="X313">
            <v>1410</v>
          </cell>
          <cell r="Z313">
            <v>1410</v>
          </cell>
          <cell r="AD313">
            <v>0.1</v>
          </cell>
        </row>
        <row r="314">
          <cell r="E314" t="str">
            <v>G-SWBox1-1方出22mm</v>
          </cell>
          <cell r="F314" t="str">
            <v>個</v>
          </cell>
          <cell r="H314">
            <v>460</v>
          </cell>
          <cell r="J314">
            <v>460</v>
          </cell>
          <cell r="L314">
            <v>460</v>
          </cell>
          <cell r="N314">
            <v>460</v>
          </cell>
          <cell r="P314">
            <v>460</v>
          </cell>
          <cell r="R314">
            <v>460</v>
          </cell>
          <cell r="T314">
            <v>460</v>
          </cell>
          <cell r="V314">
            <v>460</v>
          </cell>
          <cell r="X314">
            <v>460</v>
          </cell>
          <cell r="Z314">
            <v>460</v>
          </cell>
          <cell r="AD314">
            <v>0.1</v>
          </cell>
        </row>
        <row r="315">
          <cell r="E315" t="str">
            <v>G-SWBox1-2方出22mm</v>
          </cell>
          <cell r="F315" t="str">
            <v>個</v>
          </cell>
          <cell r="H315">
            <v>568</v>
          </cell>
          <cell r="J315">
            <v>568</v>
          </cell>
          <cell r="L315">
            <v>568</v>
          </cell>
          <cell r="N315">
            <v>568</v>
          </cell>
          <cell r="P315">
            <v>568</v>
          </cell>
          <cell r="R315">
            <v>568</v>
          </cell>
          <cell r="T315">
            <v>568</v>
          </cell>
          <cell r="V315">
            <v>568</v>
          </cell>
          <cell r="X315">
            <v>568</v>
          </cell>
          <cell r="Z315">
            <v>568</v>
          </cell>
          <cell r="AD315">
            <v>0.1</v>
          </cell>
        </row>
        <row r="316">
          <cell r="E316" t="str">
            <v>G-SWBox2-1方出22mm</v>
          </cell>
          <cell r="F316" t="str">
            <v>個</v>
          </cell>
          <cell r="H316">
            <v>921</v>
          </cell>
          <cell r="J316">
            <v>921</v>
          </cell>
          <cell r="L316">
            <v>921</v>
          </cell>
          <cell r="N316">
            <v>921</v>
          </cell>
          <cell r="P316">
            <v>921</v>
          </cell>
          <cell r="R316">
            <v>921</v>
          </cell>
          <cell r="T316">
            <v>921</v>
          </cell>
          <cell r="V316">
            <v>921</v>
          </cell>
          <cell r="X316">
            <v>921</v>
          </cell>
          <cell r="Z316">
            <v>921</v>
          </cell>
          <cell r="AD316">
            <v>0.1</v>
          </cell>
        </row>
        <row r="317">
          <cell r="E317" t="str">
            <v>G-SWBox3-1方出22mm</v>
          </cell>
          <cell r="F317" t="str">
            <v>個</v>
          </cell>
          <cell r="H317">
            <v>1570</v>
          </cell>
          <cell r="J317">
            <v>1570</v>
          </cell>
          <cell r="L317">
            <v>1570</v>
          </cell>
          <cell r="N317">
            <v>1570</v>
          </cell>
          <cell r="P317">
            <v>1570</v>
          </cell>
          <cell r="R317">
            <v>1570</v>
          </cell>
          <cell r="T317">
            <v>1570</v>
          </cell>
          <cell r="V317">
            <v>1570</v>
          </cell>
          <cell r="X317">
            <v>1570</v>
          </cell>
          <cell r="Z317">
            <v>1570</v>
          </cell>
          <cell r="AD317">
            <v>0.1</v>
          </cell>
        </row>
        <row r="318">
          <cell r="E318" t="str">
            <v>G-SWBox1-1方出28mm</v>
          </cell>
          <cell r="F318" t="str">
            <v>個</v>
          </cell>
          <cell r="H318">
            <v>842</v>
          </cell>
          <cell r="J318">
            <v>842</v>
          </cell>
          <cell r="L318">
            <v>842</v>
          </cell>
          <cell r="N318">
            <v>842</v>
          </cell>
          <cell r="P318">
            <v>842</v>
          </cell>
          <cell r="R318">
            <v>842</v>
          </cell>
          <cell r="T318">
            <v>842</v>
          </cell>
          <cell r="V318">
            <v>842</v>
          </cell>
          <cell r="X318">
            <v>842</v>
          </cell>
          <cell r="Z318">
            <v>842</v>
          </cell>
          <cell r="AD318">
            <v>0.1</v>
          </cell>
        </row>
        <row r="319">
          <cell r="E319" t="str">
            <v>G-SWBox1-2方出28mm</v>
          </cell>
          <cell r="F319" t="str">
            <v>個</v>
          </cell>
          <cell r="H319">
            <v>1150</v>
          </cell>
          <cell r="J319">
            <v>1150</v>
          </cell>
          <cell r="L319">
            <v>1150</v>
          </cell>
          <cell r="N319">
            <v>1150</v>
          </cell>
          <cell r="P319">
            <v>1150</v>
          </cell>
          <cell r="R319">
            <v>1150</v>
          </cell>
          <cell r="T319">
            <v>1150</v>
          </cell>
          <cell r="V319">
            <v>1150</v>
          </cell>
          <cell r="X319">
            <v>1150</v>
          </cell>
          <cell r="Z319">
            <v>1150</v>
          </cell>
          <cell r="AD319">
            <v>0.1</v>
          </cell>
        </row>
        <row r="320">
          <cell r="E320" t="str">
            <v>G-SWBox2-1方出28mm</v>
          </cell>
          <cell r="F320" t="str">
            <v>個</v>
          </cell>
          <cell r="H320">
            <v>1580</v>
          </cell>
          <cell r="J320">
            <v>1580</v>
          </cell>
          <cell r="L320">
            <v>1580</v>
          </cell>
          <cell r="N320">
            <v>1580</v>
          </cell>
          <cell r="P320">
            <v>1580</v>
          </cell>
          <cell r="R320">
            <v>1580</v>
          </cell>
          <cell r="T320">
            <v>1580</v>
          </cell>
          <cell r="V320">
            <v>1580</v>
          </cell>
          <cell r="X320">
            <v>1580</v>
          </cell>
          <cell r="Z320">
            <v>1580</v>
          </cell>
          <cell r="AD320">
            <v>0.1</v>
          </cell>
        </row>
        <row r="321">
          <cell r="E321" t="str">
            <v>G-SWBox3-1方出28mm</v>
          </cell>
          <cell r="F321" t="str">
            <v>個</v>
          </cell>
          <cell r="H321">
            <v>1970</v>
          </cell>
          <cell r="J321">
            <v>1970</v>
          </cell>
          <cell r="L321">
            <v>1970</v>
          </cell>
          <cell r="N321">
            <v>1970</v>
          </cell>
          <cell r="P321">
            <v>1970</v>
          </cell>
          <cell r="R321">
            <v>1970</v>
          </cell>
          <cell r="T321">
            <v>1970</v>
          </cell>
          <cell r="V321">
            <v>1970</v>
          </cell>
          <cell r="X321">
            <v>1970</v>
          </cell>
          <cell r="Z321">
            <v>1970</v>
          </cell>
          <cell r="AD321">
            <v>0.1</v>
          </cell>
        </row>
        <row r="322">
          <cell r="E322" t="str">
            <v>VE-SBox1個用</v>
          </cell>
          <cell r="F322" t="str">
            <v>個</v>
          </cell>
          <cell r="H322">
            <v>170</v>
          </cell>
          <cell r="J322">
            <v>170</v>
          </cell>
          <cell r="L322">
            <v>170</v>
          </cell>
          <cell r="N322">
            <v>170</v>
          </cell>
          <cell r="P322">
            <v>170</v>
          </cell>
          <cell r="R322">
            <v>170</v>
          </cell>
          <cell r="T322">
            <v>170</v>
          </cell>
          <cell r="V322">
            <v>170</v>
          </cell>
          <cell r="X322">
            <v>170</v>
          </cell>
          <cell r="Z322">
            <v>170</v>
          </cell>
          <cell r="AD322">
            <v>0.1</v>
          </cell>
        </row>
        <row r="323">
          <cell r="E323" t="str">
            <v>VE-SBox2個用</v>
          </cell>
          <cell r="F323" t="str">
            <v>個</v>
          </cell>
          <cell r="H323">
            <v>352</v>
          </cell>
          <cell r="J323">
            <v>352</v>
          </cell>
          <cell r="L323">
            <v>352</v>
          </cell>
          <cell r="N323">
            <v>352</v>
          </cell>
          <cell r="P323">
            <v>352</v>
          </cell>
          <cell r="R323">
            <v>352</v>
          </cell>
          <cell r="T323">
            <v>352</v>
          </cell>
          <cell r="V323">
            <v>352</v>
          </cell>
          <cell r="X323">
            <v>352</v>
          </cell>
          <cell r="Z323">
            <v>352</v>
          </cell>
          <cell r="AD323">
            <v>0.1</v>
          </cell>
        </row>
        <row r="324">
          <cell r="E324" t="str">
            <v>VE-SBox3個用</v>
          </cell>
          <cell r="F324" t="str">
            <v>個</v>
          </cell>
          <cell r="H324">
            <v>832</v>
          </cell>
          <cell r="J324">
            <v>832</v>
          </cell>
          <cell r="L324">
            <v>832</v>
          </cell>
          <cell r="N324">
            <v>832</v>
          </cell>
          <cell r="P324">
            <v>832</v>
          </cell>
          <cell r="R324">
            <v>832</v>
          </cell>
          <cell r="T324">
            <v>832</v>
          </cell>
          <cell r="V324">
            <v>832</v>
          </cell>
          <cell r="X324">
            <v>832</v>
          </cell>
          <cell r="Z324">
            <v>832</v>
          </cell>
          <cell r="AD324">
            <v>0.1</v>
          </cell>
        </row>
        <row r="325">
          <cell r="E325" t="str">
            <v>VE-SBox4個用</v>
          </cell>
          <cell r="F325" t="str">
            <v>個</v>
          </cell>
          <cell r="H325">
            <v>1230</v>
          </cell>
          <cell r="J325">
            <v>1230</v>
          </cell>
          <cell r="L325">
            <v>1230</v>
          </cell>
          <cell r="N325">
            <v>1230</v>
          </cell>
          <cell r="P325">
            <v>1230</v>
          </cell>
          <cell r="R325">
            <v>1230</v>
          </cell>
          <cell r="T325">
            <v>1230</v>
          </cell>
          <cell r="V325">
            <v>1230</v>
          </cell>
          <cell r="X325">
            <v>1230</v>
          </cell>
          <cell r="Z325">
            <v>1230</v>
          </cell>
          <cell r="AD325">
            <v>0.1</v>
          </cell>
        </row>
        <row r="326">
          <cell r="E326" t="str">
            <v>VE-SBox5個用</v>
          </cell>
          <cell r="F326" t="str">
            <v>個</v>
          </cell>
          <cell r="H326">
            <v>1390</v>
          </cell>
          <cell r="J326">
            <v>1390</v>
          </cell>
          <cell r="L326">
            <v>1390</v>
          </cell>
          <cell r="N326">
            <v>1390</v>
          </cell>
          <cell r="P326">
            <v>1390</v>
          </cell>
          <cell r="R326">
            <v>1390</v>
          </cell>
          <cell r="T326">
            <v>1390</v>
          </cell>
          <cell r="V326">
            <v>1390</v>
          </cell>
          <cell r="X326">
            <v>1390</v>
          </cell>
          <cell r="Z326">
            <v>1390</v>
          </cell>
          <cell r="AD326">
            <v>0.1</v>
          </cell>
        </row>
        <row r="327">
          <cell r="E327" t="str">
            <v>VE-OBox4角中44mm</v>
          </cell>
          <cell r="F327" t="str">
            <v>個</v>
          </cell>
          <cell r="H327">
            <v>167</v>
          </cell>
          <cell r="J327">
            <v>167</v>
          </cell>
          <cell r="L327">
            <v>167</v>
          </cell>
          <cell r="N327">
            <v>167</v>
          </cell>
          <cell r="P327">
            <v>167</v>
          </cell>
          <cell r="R327">
            <v>167</v>
          </cell>
          <cell r="T327">
            <v>167</v>
          </cell>
          <cell r="V327">
            <v>167</v>
          </cell>
          <cell r="X327">
            <v>167</v>
          </cell>
          <cell r="Z327">
            <v>167</v>
          </cell>
          <cell r="AD327">
            <v>0.1</v>
          </cell>
        </row>
        <row r="328">
          <cell r="E328" t="str">
            <v>VE-OBox4角中54mm</v>
          </cell>
          <cell r="F328" t="str">
            <v>個</v>
          </cell>
          <cell r="H328">
            <v>192</v>
          </cell>
          <cell r="J328">
            <v>192</v>
          </cell>
          <cell r="L328">
            <v>192</v>
          </cell>
          <cell r="N328">
            <v>192</v>
          </cell>
          <cell r="P328">
            <v>192</v>
          </cell>
          <cell r="R328">
            <v>192</v>
          </cell>
          <cell r="T328">
            <v>192</v>
          </cell>
          <cell r="V328">
            <v>192</v>
          </cell>
          <cell r="X328">
            <v>192</v>
          </cell>
          <cell r="Z328">
            <v>192</v>
          </cell>
          <cell r="AD328">
            <v>0.1</v>
          </cell>
        </row>
        <row r="329">
          <cell r="E329" t="str">
            <v>VE-OBox4角大44mm</v>
          </cell>
          <cell r="F329" t="str">
            <v>個</v>
          </cell>
          <cell r="H329">
            <v>313</v>
          </cell>
          <cell r="J329">
            <v>313</v>
          </cell>
          <cell r="L329">
            <v>313</v>
          </cell>
          <cell r="N329">
            <v>313</v>
          </cell>
          <cell r="P329">
            <v>313</v>
          </cell>
          <cell r="R329">
            <v>313</v>
          </cell>
          <cell r="T329">
            <v>313</v>
          </cell>
          <cell r="V329">
            <v>313</v>
          </cell>
          <cell r="X329">
            <v>313</v>
          </cell>
          <cell r="Z329">
            <v>313</v>
          </cell>
          <cell r="AD329">
            <v>0.1</v>
          </cell>
        </row>
        <row r="330">
          <cell r="E330" t="str">
            <v>VE-OBox4角大54mm</v>
          </cell>
          <cell r="F330" t="str">
            <v>個</v>
          </cell>
          <cell r="H330">
            <v>352</v>
          </cell>
          <cell r="J330">
            <v>352</v>
          </cell>
          <cell r="L330">
            <v>352</v>
          </cell>
          <cell r="N330">
            <v>352</v>
          </cell>
          <cell r="P330">
            <v>352</v>
          </cell>
          <cell r="R330">
            <v>352</v>
          </cell>
          <cell r="T330">
            <v>352</v>
          </cell>
          <cell r="V330">
            <v>352</v>
          </cell>
          <cell r="X330">
            <v>352</v>
          </cell>
          <cell r="Z330">
            <v>352</v>
          </cell>
          <cell r="AD330">
            <v>0.1</v>
          </cell>
        </row>
        <row r="331">
          <cell r="E331" t="str">
            <v>VE-OBox4角中50mm</v>
          </cell>
          <cell r="F331" t="str">
            <v>個</v>
          </cell>
          <cell r="H331">
            <v>319</v>
          </cell>
          <cell r="J331">
            <v>319</v>
          </cell>
          <cell r="L331">
            <v>319</v>
          </cell>
          <cell r="N331">
            <v>319</v>
          </cell>
          <cell r="P331">
            <v>319</v>
          </cell>
          <cell r="R331">
            <v>319</v>
          </cell>
          <cell r="T331">
            <v>319</v>
          </cell>
          <cell r="V331">
            <v>319</v>
          </cell>
          <cell r="X331">
            <v>319</v>
          </cell>
          <cell r="Z331">
            <v>319</v>
          </cell>
          <cell r="AD331">
            <v>0.1</v>
          </cell>
        </row>
        <row r="332">
          <cell r="E332" t="str">
            <v>VE-OBox4角中60mm</v>
          </cell>
          <cell r="F332" t="str">
            <v>個</v>
          </cell>
          <cell r="H332">
            <v>363</v>
          </cell>
          <cell r="J332">
            <v>363</v>
          </cell>
          <cell r="L332">
            <v>363</v>
          </cell>
          <cell r="N332">
            <v>363</v>
          </cell>
          <cell r="P332">
            <v>363</v>
          </cell>
          <cell r="R332">
            <v>363</v>
          </cell>
          <cell r="T332">
            <v>363</v>
          </cell>
          <cell r="V332">
            <v>363</v>
          </cell>
          <cell r="X332">
            <v>363</v>
          </cell>
          <cell r="Z332">
            <v>363</v>
          </cell>
          <cell r="AD332">
            <v>0.1</v>
          </cell>
        </row>
        <row r="333">
          <cell r="E333" t="str">
            <v>VE-CBox4角中44mm</v>
          </cell>
          <cell r="F333" t="str">
            <v>個</v>
          </cell>
          <cell r="H333">
            <v>302</v>
          </cell>
          <cell r="J333">
            <v>302</v>
          </cell>
          <cell r="L333">
            <v>302</v>
          </cell>
          <cell r="N333">
            <v>302</v>
          </cell>
          <cell r="P333">
            <v>302</v>
          </cell>
          <cell r="R333">
            <v>302</v>
          </cell>
          <cell r="T333">
            <v>302</v>
          </cell>
          <cell r="V333">
            <v>302</v>
          </cell>
          <cell r="X333">
            <v>302</v>
          </cell>
          <cell r="Z333">
            <v>302</v>
          </cell>
          <cell r="AD333">
            <v>0.1</v>
          </cell>
        </row>
        <row r="334">
          <cell r="E334" t="str">
            <v>VE-CBox4角中54mm</v>
          </cell>
          <cell r="F334" t="str">
            <v>個</v>
          </cell>
          <cell r="H334">
            <v>324</v>
          </cell>
          <cell r="J334">
            <v>324</v>
          </cell>
          <cell r="L334">
            <v>324</v>
          </cell>
          <cell r="N334">
            <v>324</v>
          </cell>
          <cell r="P334">
            <v>324</v>
          </cell>
          <cell r="R334">
            <v>324</v>
          </cell>
          <cell r="T334">
            <v>324</v>
          </cell>
          <cell r="V334">
            <v>324</v>
          </cell>
          <cell r="X334">
            <v>324</v>
          </cell>
          <cell r="Z334">
            <v>324</v>
          </cell>
          <cell r="AD334">
            <v>0.1</v>
          </cell>
        </row>
        <row r="335">
          <cell r="E335" t="str">
            <v>VE-CBox4角中75mm</v>
          </cell>
          <cell r="F335" t="str">
            <v>個</v>
          </cell>
          <cell r="H335">
            <v>357</v>
          </cell>
          <cell r="J335">
            <v>357</v>
          </cell>
          <cell r="L335">
            <v>357</v>
          </cell>
          <cell r="N335">
            <v>357</v>
          </cell>
          <cell r="P335">
            <v>357</v>
          </cell>
          <cell r="R335">
            <v>357</v>
          </cell>
          <cell r="T335">
            <v>357</v>
          </cell>
          <cell r="V335">
            <v>357</v>
          </cell>
          <cell r="X335">
            <v>357</v>
          </cell>
          <cell r="Z335">
            <v>357</v>
          </cell>
          <cell r="AD335">
            <v>0.1</v>
          </cell>
        </row>
        <row r="336">
          <cell r="E336" t="str">
            <v>VE-CBox4角大44mm</v>
          </cell>
          <cell r="F336" t="str">
            <v>個</v>
          </cell>
          <cell r="H336">
            <v>522</v>
          </cell>
          <cell r="J336">
            <v>522</v>
          </cell>
          <cell r="L336">
            <v>522</v>
          </cell>
          <cell r="N336">
            <v>522</v>
          </cell>
          <cell r="P336">
            <v>522</v>
          </cell>
          <cell r="R336">
            <v>522</v>
          </cell>
          <cell r="T336">
            <v>522</v>
          </cell>
          <cell r="V336">
            <v>522</v>
          </cell>
          <cell r="X336">
            <v>522</v>
          </cell>
          <cell r="Z336">
            <v>522</v>
          </cell>
          <cell r="AD336">
            <v>0.1</v>
          </cell>
        </row>
        <row r="337">
          <cell r="E337" t="str">
            <v>VE-CBox4角大54mm</v>
          </cell>
          <cell r="F337" t="str">
            <v>個</v>
          </cell>
          <cell r="H337">
            <v>577</v>
          </cell>
          <cell r="J337">
            <v>577</v>
          </cell>
          <cell r="L337">
            <v>577</v>
          </cell>
          <cell r="N337">
            <v>577</v>
          </cell>
          <cell r="P337">
            <v>577</v>
          </cell>
          <cell r="R337">
            <v>577</v>
          </cell>
          <cell r="T337">
            <v>577</v>
          </cell>
          <cell r="V337">
            <v>577</v>
          </cell>
          <cell r="X337">
            <v>577</v>
          </cell>
          <cell r="Z337">
            <v>577</v>
          </cell>
          <cell r="AD337">
            <v>0.1</v>
          </cell>
        </row>
        <row r="338">
          <cell r="E338" t="str">
            <v>VE-CBox8角54mm</v>
          </cell>
          <cell r="F338" t="str">
            <v>個</v>
          </cell>
          <cell r="H338">
            <v>302</v>
          </cell>
          <cell r="J338">
            <v>302</v>
          </cell>
          <cell r="L338">
            <v>302</v>
          </cell>
          <cell r="N338">
            <v>302</v>
          </cell>
          <cell r="P338">
            <v>302</v>
          </cell>
          <cell r="R338">
            <v>302</v>
          </cell>
          <cell r="T338">
            <v>302</v>
          </cell>
          <cell r="V338">
            <v>302</v>
          </cell>
          <cell r="X338">
            <v>302</v>
          </cell>
          <cell r="Z338">
            <v>302</v>
          </cell>
          <cell r="AD338">
            <v>0.1</v>
          </cell>
        </row>
        <row r="339">
          <cell r="E339" t="str">
            <v>VE-CBox8角75mm</v>
          </cell>
          <cell r="F339" t="str">
            <v>個</v>
          </cell>
          <cell r="H339">
            <v>324</v>
          </cell>
          <cell r="J339">
            <v>324</v>
          </cell>
          <cell r="L339">
            <v>324</v>
          </cell>
          <cell r="N339">
            <v>324</v>
          </cell>
          <cell r="P339">
            <v>324</v>
          </cell>
          <cell r="R339">
            <v>324</v>
          </cell>
          <cell r="T339">
            <v>324</v>
          </cell>
          <cell r="V339">
            <v>324</v>
          </cell>
          <cell r="X339">
            <v>324</v>
          </cell>
          <cell r="Z339">
            <v>324</v>
          </cell>
          <cell r="AD339">
            <v>0.1</v>
          </cell>
        </row>
        <row r="340">
          <cell r="E340" t="str">
            <v>VE丸Box1方出14mm</v>
          </cell>
          <cell r="F340" t="str">
            <v>個</v>
          </cell>
          <cell r="H340">
            <v>172</v>
          </cell>
          <cell r="J340">
            <v>172</v>
          </cell>
          <cell r="L340">
            <v>172</v>
          </cell>
          <cell r="N340">
            <v>172</v>
          </cell>
          <cell r="P340">
            <v>172</v>
          </cell>
          <cell r="R340">
            <v>172</v>
          </cell>
          <cell r="T340">
            <v>172</v>
          </cell>
          <cell r="V340">
            <v>172</v>
          </cell>
          <cell r="X340">
            <v>172</v>
          </cell>
          <cell r="Z340">
            <v>172</v>
          </cell>
          <cell r="AD340">
            <v>0.1</v>
          </cell>
        </row>
        <row r="341">
          <cell r="E341" t="str">
            <v>VE丸Box2方出14mm</v>
          </cell>
          <cell r="F341" t="str">
            <v>個</v>
          </cell>
          <cell r="H341">
            <v>172</v>
          </cell>
          <cell r="J341">
            <v>172</v>
          </cell>
          <cell r="L341">
            <v>172</v>
          </cell>
          <cell r="N341">
            <v>172</v>
          </cell>
          <cell r="P341">
            <v>172</v>
          </cell>
          <cell r="R341">
            <v>172</v>
          </cell>
          <cell r="T341">
            <v>172</v>
          </cell>
          <cell r="V341">
            <v>172</v>
          </cell>
          <cell r="X341">
            <v>172</v>
          </cell>
          <cell r="Z341">
            <v>172</v>
          </cell>
          <cell r="AD341">
            <v>0.1</v>
          </cell>
        </row>
        <row r="342">
          <cell r="E342" t="str">
            <v>VE丸Box3方出14mm</v>
          </cell>
          <cell r="F342" t="str">
            <v>個</v>
          </cell>
          <cell r="H342">
            <v>172</v>
          </cell>
          <cell r="J342">
            <v>172</v>
          </cell>
          <cell r="L342">
            <v>172</v>
          </cell>
          <cell r="N342">
            <v>172</v>
          </cell>
          <cell r="P342">
            <v>172</v>
          </cell>
          <cell r="R342">
            <v>172</v>
          </cell>
          <cell r="T342">
            <v>172</v>
          </cell>
          <cell r="V342">
            <v>172</v>
          </cell>
          <cell r="X342">
            <v>172</v>
          </cell>
          <cell r="Z342">
            <v>172</v>
          </cell>
          <cell r="AD342">
            <v>0.1</v>
          </cell>
        </row>
        <row r="343">
          <cell r="E343" t="str">
            <v>VE丸Box4方出14mm</v>
          </cell>
          <cell r="F343" t="str">
            <v>個</v>
          </cell>
          <cell r="H343">
            <v>172</v>
          </cell>
          <cell r="J343">
            <v>172</v>
          </cell>
          <cell r="L343">
            <v>172</v>
          </cell>
          <cell r="N343">
            <v>172</v>
          </cell>
          <cell r="P343">
            <v>172</v>
          </cell>
          <cell r="R343">
            <v>172</v>
          </cell>
          <cell r="T343">
            <v>172</v>
          </cell>
          <cell r="V343">
            <v>172</v>
          </cell>
          <cell r="X343">
            <v>172</v>
          </cell>
          <cell r="Z343">
            <v>172</v>
          </cell>
          <cell r="AD343">
            <v>0.1</v>
          </cell>
        </row>
        <row r="344">
          <cell r="E344" t="str">
            <v>VE丸Box1方出16mm</v>
          </cell>
          <cell r="F344" t="str">
            <v>個</v>
          </cell>
          <cell r="H344">
            <v>176</v>
          </cell>
          <cell r="J344">
            <v>176</v>
          </cell>
          <cell r="L344">
            <v>176</v>
          </cell>
          <cell r="N344">
            <v>176</v>
          </cell>
          <cell r="P344">
            <v>176</v>
          </cell>
          <cell r="R344">
            <v>176</v>
          </cell>
          <cell r="T344">
            <v>176</v>
          </cell>
          <cell r="V344">
            <v>176</v>
          </cell>
          <cell r="X344">
            <v>176</v>
          </cell>
          <cell r="Z344">
            <v>176</v>
          </cell>
          <cell r="AD344">
            <v>0.1</v>
          </cell>
        </row>
        <row r="345">
          <cell r="E345" t="str">
            <v>VE丸Box2方出16mm</v>
          </cell>
          <cell r="F345" t="str">
            <v>個</v>
          </cell>
          <cell r="H345">
            <v>176</v>
          </cell>
          <cell r="J345">
            <v>176</v>
          </cell>
          <cell r="L345">
            <v>176</v>
          </cell>
          <cell r="N345">
            <v>176</v>
          </cell>
          <cell r="P345">
            <v>176</v>
          </cell>
          <cell r="R345">
            <v>176</v>
          </cell>
          <cell r="T345">
            <v>176</v>
          </cell>
          <cell r="V345">
            <v>176</v>
          </cell>
          <cell r="X345">
            <v>176</v>
          </cell>
          <cell r="Z345">
            <v>176</v>
          </cell>
          <cell r="AD345">
            <v>0.1</v>
          </cell>
        </row>
        <row r="346">
          <cell r="E346" t="str">
            <v>VE丸Box3方出16mm</v>
          </cell>
          <cell r="F346" t="str">
            <v>個</v>
          </cell>
          <cell r="H346">
            <v>176</v>
          </cell>
          <cell r="J346">
            <v>176</v>
          </cell>
          <cell r="L346">
            <v>176</v>
          </cell>
          <cell r="N346">
            <v>176</v>
          </cell>
          <cell r="P346">
            <v>176</v>
          </cell>
          <cell r="R346">
            <v>176</v>
          </cell>
          <cell r="T346">
            <v>176</v>
          </cell>
          <cell r="V346">
            <v>176</v>
          </cell>
          <cell r="X346">
            <v>176</v>
          </cell>
          <cell r="Z346">
            <v>176</v>
          </cell>
          <cell r="AD346">
            <v>0.1</v>
          </cell>
        </row>
        <row r="347">
          <cell r="E347" t="str">
            <v>VE丸Box4方出16mm</v>
          </cell>
          <cell r="F347" t="str">
            <v>個</v>
          </cell>
          <cell r="H347">
            <v>176</v>
          </cell>
          <cell r="J347">
            <v>176</v>
          </cell>
          <cell r="L347">
            <v>176</v>
          </cell>
          <cell r="N347">
            <v>176</v>
          </cell>
          <cell r="P347">
            <v>176</v>
          </cell>
          <cell r="R347">
            <v>176</v>
          </cell>
          <cell r="T347">
            <v>176</v>
          </cell>
          <cell r="V347">
            <v>176</v>
          </cell>
          <cell r="X347">
            <v>176</v>
          </cell>
          <cell r="Z347">
            <v>176</v>
          </cell>
          <cell r="AD347">
            <v>0.1</v>
          </cell>
        </row>
        <row r="348">
          <cell r="E348" t="str">
            <v>VE丸Box1方出22mm</v>
          </cell>
          <cell r="F348" t="str">
            <v>個</v>
          </cell>
          <cell r="H348">
            <v>193</v>
          </cell>
          <cell r="J348">
            <v>193</v>
          </cell>
          <cell r="L348">
            <v>193</v>
          </cell>
          <cell r="N348">
            <v>193</v>
          </cell>
          <cell r="P348">
            <v>193</v>
          </cell>
          <cell r="R348">
            <v>193</v>
          </cell>
          <cell r="T348">
            <v>193</v>
          </cell>
          <cell r="V348">
            <v>193</v>
          </cell>
          <cell r="X348">
            <v>193</v>
          </cell>
          <cell r="Z348">
            <v>193</v>
          </cell>
          <cell r="AD348">
            <v>0.1</v>
          </cell>
        </row>
        <row r="349">
          <cell r="E349" t="str">
            <v>VE丸Box2方出22mm</v>
          </cell>
          <cell r="F349" t="str">
            <v>個</v>
          </cell>
          <cell r="H349">
            <v>193</v>
          </cell>
          <cell r="J349">
            <v>193</v>
          </cell>
          <cell r="L349">
            <v>193</v>
          </cell>
          <cell r="N349">
            <v>193</v>
          </cell>
          <cell r="P349">
            <v>193</v>
          </cell>
          <cell r="R349">
            <v>193</v>
          </cell>
          <cell r="T349">
            <v>193</v>
          </cell>
          <cell r="V349">
            <v>193</v>
          </cell>
          <cell r="X349">
            <v>193</v>
          </cell>
          <cell r="Z349">
            <v>193</v>
          </cell>
          <cell r="AD349">
            <v>0.1</v>
          </cell>
        </row>
        <row r="350">
          <cell r="E350" t="str">
            <v>VE丸Box3方出22mm</v>
          </cell>
          <cell r="F350" t="str">
            <v>個</v>
          </cell>
          <cell r="H350">
            <v>193</v>
          </cell>
          <cell r="J350">
            <v>193</v>
          </cell>
          <cell r="L350">
            <v>193</v>
          </cell>
          <cell r="N350">
            <v>193</v>
          </cell>
          <cell r="P350">
            <v>193</v>
          </cell>
          <cell r="R350">
            <v>193</v>
          </cell>
          <cell r="T350">
            <v>193</v>
          </cell>
          <cell r="V350">
            <v>193</v>
          </cell>
          <cell r="X350">
            <v>193</v>
          </cell>
          <cell r="Z350">
            <v>193</v>
          </cell>
          <cell r="AD350">
            <v>0.1</v>
          </cell>
        </row>
        <row r="351">
          <cell r="E351" t="str">
            <v>VE丸Box4方出22mm</v>
          </cell>
          <cell r="F351" t="str">
            <v>個</v>
          </cell>
          <cell r="H351">
            <v>193</v>
          </cell>
          <cell r="J351">
            <v>193</v>
          </cell>
          <cell r="L351">
            <v>193</v>
          </cell>
          <cell r="N351">
            <v>193</v>
          </cell>
          <cell r="P351">
            <v>193</v>
          </cell>
          <cell r="R351">
            <v>193</v>
          </cell>
          <cell r="T351">
            <v>193</v>
          </cell>
          <cell r="V351">
            <v>193</v>
          </cell>
          <cell r="X351">
            <v>193</v>
          </cell>
          <cell r="Z351">
            <v>193</v>
          </cell>
          <cell r="AD351">
            <v>0.1</v>
          </cell>
        </row>
        <row r="352">
          <cell r="E352" t="str">
            <v>VE丸Box1方出28mm</v>
          </cell>
          <cell r="F352" t="str">
            <v>個</v>
          </cell>
          <cell r="H352">
            <v>361</v>
          </cell>
          <cell r="J352">
            <v>361</v>
          </cell>
          <cell r="L352">
            <v>361</v>
          </cell>
          <cell r="N352">
            <v>361</v>
          </cell>
          <cell r="P352">
            <v>361</v>
          </cell>
          <cell r="R352">
            <v>361</v>
          </cell>
          <cell r="T352">
            <v>361</v>
          </cell>
          <cell r="V352">
            <v>361</v>
          </cell>
          <cell r="X352">
            <v>361</v>
          </cell>
          <cell r="Z352">
            <v>361</v>
          </cell>
          <cell r="AD352">
            <v>0.1</v>
          </cell>
        </row>
        <row r="353">
          <cell r="E353" t="str">
            <v>VE丸Box2方出28mm</v>
          </cell>
          <cell r="F353" t="str">
            <v>個</v>
          </cell>
          <cell r="H353">
            <v>361</v>
          </cell>
          <cell r="J353">
            <v>361</v>
          </cell>
          <cell r="L353">
            <v>361</v>
          </cell>
          <cell r="N353">
            <v>361</v>
          </cell>
          <cell r="P353">
            <v>361</v>
          </cell>
          <cell r="R353">
            <v>361</v>
          </cell>
          <cell r="T353">
            <v>361</v>
          </cell>
          <cell r="V353">
            <v>361</v>
          </cell>
          <cell r="X353">
            <v>361</v>
          </cell>
          <cell r="Z353">
            <v>361</v>
          </cell>
          <cell r="AD353">
            <v>0.1</v>
          </cell>
        </row>
        <row r="354">
          <cell r="E354" t="str">
            <v>VE丸Box3方出28mm</v>
          </cell>
          <cell r="F354" t="str">
            <v>個</v>
          </cell>
          <cell r="H354">
            <v>361</v>
          </cell>
          <cell r="J354">
            <v>361</v>
          </cell>
          <cell r="L354">
            <v>361</v>
          </cell>
          <cell r="N354">
            <v>361</v>
          </cell>
          <cell r="P354">
            <v>361</v>
          </cell>
          <cell r="R354">
            <v>361</v>
          </cell>
          <cell r="T354">
            <v>361</v>
          </cell>
          <cell r="V354">
            <v>361</v>
          </cell>
          <cell r="X354">
            <v>361</v>
          </cell>
          <cell r="Z354">
            <v>361</v>
          </cell>
          <cell r="AD354">
            <v>0.1</v>
          </cell>
        </row>
        <row r="355">
          <cell r="E355" t="str">
            <v>VE丸Box4方出28mm</v>
          </cell>
          <cell r="F355" t="str">
            <v>個</v>
          </cell>
          <cell r="H355">
            <v>361</v>
          </cell>
          <cell r="J355">
            <v>361</v>
          </cell>
          <cell r="L355">
            <v>361</v>
          </cell>
          <cell r="N355">
            <v>361</v>
          </cell>
          <cell r="P355">
            <v>361</v>
          </cell>
          <cell r="R355">
            <v>361</v>
          </cell>
          <cell r="T355">
            <v>361</v>
          </cell>
          <cell r="V355">
            <v>361</v>
          </cell>
          <cell r="X355">
            <v>361</v>
          </cell>
          <cell r="Z355">
            <v>361</v>
          </cell>
          <cell r="AD355">
            <v>0.1</v>
          </cell>
        </row>
        <row r="356">
          <cell r="E356" t="str">
            <v>VE丸Box1方出36mm</v>
          </cell>
          <cell r="F356" t="str">
            <v>個</v>
          </cell>
          <cell r="H356">
            <v>533</v>
          </cell>
          <cell r="J356">
            <v>533</v>
          </cell>
          <cell r="L356">
            <v>533</v>
          </cell>
          <cell r="N356">
            <v>533</v>
          </cell>
          <cell r="P356">
            <v>533</v>
          </cell>
          <cell r="R356">
            <v>533</v>
          </cell>
          <cell r="T356">
            <v>533</v>
          </cell>
          <cell r="V356">
            <v>533</v>
          </cell>
          <cell r="X356">
            <v>533</v>
          </cell>
          <cell r="Z356">
            <v>533</v>
          </cell>
          <cell r="AD356">
            <v>0.1</v>
          </cell>
        </row>
        <row r="357">
          <cell r="E357" t="str">
            <v>VE丸Box2方出36mm</v>
          </cell>
          <cell r="F357" t="str">
            <v>個</v>
          </cell>
          <cell r="H357">
            <v>533</v>
          </cell>
          <cell r="J357">
            <v>533</v>
          </cell>
          <cell r="L357">
            <v>533</v>
          </cell>
          <cell r="N357">
            <v>533</v>
          </cell>
          <cell r="P357">
            <v>533</v>
          </cell>
          <cell r="R357">
            <v>533</v>
          </cell>
          <cell r="T357">
            <v>533</v>
          </cell>
          <cell r="V357">
            <v>533</v>
          </cell>
          <cell r="X357">
            <v>533</v>
          </cell>
          <cell r="Z357">
            <v>533</v>
          </cell>
          <cell r="AD357">
            <v>0.1</v>
          </cell>
        </row>
        <row r="358">
          <cell r="E358" t="str">
            <v>VE丸Box3方出36mm</v>
          </cell>
          <cell r="F358" t="str">
            <v>個</v>
          </cell>
          <cell r="H358">
            <v>533</v>
          </cell>
          <cell r="J358">
            <v>533</v>
          </cell>
          <cell r="L358">
            <v>533</v>
          </cell>
          <cell r="N358">
            <v>533</v>
          </cell>
          <cell r="P358">
            <v>533</v>
          </cell>
          <cell r="R358">
            <v>533</v>
          </cell>
          <cell r="T358">
            <v>533</v>
          </cell>
          <cell r="V358">
            <v>533</v>
          </cell>
          <cell r="X358">
            <v>533</v>
          </cell>
          <cell r="Z358">
            <v>533</v>
          </cell>
          <cell r="AD358">
            <v>0.1</v>
          </cell>
        </row>
        <row r="359">
          <cell r="E359" t="str">
            <v>VE丸Box4方出36mm</v>
          </cell>
          <cell r="F359" t="str">
            <v>個</v>
          </cell>
          <cell r="H359">
            <v>533</v>
          </cell>
          <cell r="J359">
            <v>533</v>
          </cell>
          <cell r="L359">
            <v>533</v>
          </cell>
          <cell r="N359">
            <v>533</v>
          </cell>
          <cell r="P359">
            <v>533</v>
          </cell>
          <cell r="R359">
            <v>533</v>
          </cell>
          <cell r="T359">
            <v>533</v>
          </cell>
          <cell r="V359">
            <v>533</v>
          </cell>
          <cell r="X359">
            <v>533</v>
          </cell>
          <cell r="Z359">
            <v>533</v>
          </cell>
          <cell r="AD359">
            <v>0.1</v>
          </cell>
        </row>
        <row r="360">
          <cell r="E360" t="str">
            <v>VE-SBox1-1方出14mm</v>
          </cell>
          <cell r="F360" t="str">
            <v>個</v>
          </cell>
          <cell r="H360">
            <v>189</v>
          </cell>
          <cell r="J360">
            <v>189</v>
          </cell>
          <cell r="L360">
            <v>189</v>
          </cell>
          <cell r="N360">
            <v>189</v>
          </cell>
          <cell r="P360">
            <v>189</v>
          </cell>
          <cell r="R360">
            <v>189</v>
          </cell>
          <cell r="T360">
            <v>189</v>
          </cell>
          <cell r="V360">
            <v>189</v>
          </cell>
          <cell r="X360">
            <v>189</v>
          </cell>
          <cell r="Z360">
            <v>189</v>
          </cell>
          <cell r="AD360">
            <v>0.1</v>
          </cell>
        </row>
        <row r="361">
          <cell r="E361" t="str">
            <v>VE-SBox1-2方出14mm</v>
          </cell>
          <cell r="F361" t="str">
            <v>個</v>
          </cell>
          <cell r="H361">
            <v>189</v>
          </cell>
          <cell r="J361">
            <v>189</v>
          </cell>
          <cell r="L361">
            <v>189</v>
          </cell>
          <cell r="N361">
            <v>189</v>
          </cell>
          <cell r="P361">
            <v>189</v>
          </cell>
          <cell r="R361">
            <v>189</v>
          </cell>
          <cell r="T361">
            <v>189</v>
          </cell>
          <cell r="V361">
            <v>189</v>
          </cell>
          <cell r="X361">
            <v>189</v>
          </cell>
          <cell r="Z361">
            <v>189</v>
          </cell>
          <cell r="AD361">
            <v>0.1</v>
          </cell>
        </row>
        <row r="362">
          <cell r="E362" t="str">
            <v>VE-SBox2-1方出14mm</v>
          </cell>
          <cell r="F362" t="str">
            <v>個</v>
          </cell>
          <cell r="H362">
            <v>279</v>
          </cell>
          <cell r="J362">
            <v>279</v>
          </cell>
          <cell r="L362">
            <v>279</v>
          </cell>
          <cell r="N362">
            <v>279</v>
          </cell>
          <cell r="P362">
            <v>279</v>
          </cell>
          <cell r="R362">
            <v>279</v>
          </cell>
          <cell r="T362">
            <v>279</v>
          </cell>
          <cell r="V362">
            <v>279</v>
          </cell>
          <cell r="X362">
            <v>279</v>
          </cell>
          <cell r="Z362">
            <v>279</v>
          </cell>
          <cell r="AD362">
            <v>0.1</v>
          </cell>
        </row>
        <row r="363">
          <cell r="E363" t="str">
            <v>VE-SBox3-1方出14mm</v>
          </cell>
          <cell r="F363" t="str">
            <v>個</v>
          </cell>
          <cell r="H363">
            <v>1370</v>
          </cell>
          <cell r="J363">
            <v>1370</v>
          </cell>
          <cell r="L363">
            <v>1370</v>
          </cell>
          <cell r="N363">
            <v>1370</v>
          </cell>
          <cell r="P363">
            <v>1370</v>
          </cell>
          <cell r="R363">
            <v>1370</v>
          </cell>
          <cell r="T363">
            <v>1370</v>
          </cell>
          <cell r="V363">
            <v>1370</v>
          </cell>
          <cell r="X363">
            <v>1370</v>
          </cell>
          <cell r="Z363">
            <v>1370</v>
          </cell>
          <cell r="AD363">
            <v>0.1</v>
          </cell>
        </row>
        <row r="364">
          <cell r="E364" t="str">
            <v>VE-SBox1-1方出16mm</v>
          </cell>
          <cell r="F364" t="str">
            <v>個</v>
          </cell>
          <cell r="H364">
            <v>193</v>
          </cell>
          <cell r="J364">
            <v>193</v>
          </cell>
          <cell r="L364">
            <v>193</v>
          </cell>
          <cell r="N364">
            <v>193</v>
          </cell>
          <cell r="P364">
            <v>193</v>
          </cell>
          <cell r="R364">
            <v>193</v>
          </cell>
          <cell r="T364">
            <v>193</v>
          </cell>
          <cell r="V364">
            <v>193</v>
          </cell>
          <cell r="X364">
            <v>193</v>
          </cell>
          <cell r="Z364">
            <v>193</v>
          </cell>
          <cell r="AD364">
            <v>0.1</v>
          </cell>
        </row>
        <row r="365">
          <cell r="E365" t="str">
            <v>VE-SBox1-2方出16mm</v>
          </cell>
          <cell r="F365" t="str">
            <v>個</v>
          </cell>
          <cell r="H365">
            <v>193</v>
          </cell>
          <cell r="J365">
            <v>193</v>
          </cell>
          <cell r="L365">
            <v>193</v>
          </cell>
          <cell r="N365">
            <v>193</v>
          </cell>
          <cell r="P365">
            <v>193</v>
          </cell>
          <cell r="R365">
            <v>193</v>
          </cell>
          <cell r="T365">
            <v>193</v>
          </cell>
          <cell r="V365">
            <v>193</v>
          </cell>
          <cell r="X365">
            <v>193</v>
          </cell>
          <cell r="Z365">
            <v>193</v>
          </cell>
          <cell r="AD365">
            <v>0.1</v>
          </cell>
        </row>
        <row r="366">
          <cell r="E366" t="str">
            <v>VE-SBox2-1方出16mm</v>
          </cell>
          <cell r="F366" t="str">
            <v>個</v>
          </cell>
          <cell r="H366">
            <v>326</v>
          </cell>
          <cell r="J366">
            <v>326</v>
          </cell>
          <cell r="L366">
            <v>326</v>
          </cell>
          <cell r="N366">
            <v>326</v>
          </cell>
          <cell r="P366">
            <v>326</v>
          </cell>
          <cell r="R366">
            <v>326</v>
          </cell>
          <cell r="T366">
            <v>326</v>
          </cell>
          <cell r="V366">
            <v>326</v>
          </cell>
          <cell r="X366">
            <v>326</v>
          </cell>
          <cell r="Z366">
            <v>326</v>
          </cell>
          <cell r="AD366">
            <v>0.1</v>
          </cell>
        </row>
        <row r="367">
          <cell r="E367" t="str">
            <v>VE-SBox3-1方出16mm</v>
          </cell>
          <cell r="F367" t="str">
            <v>個</v>
          </cell>
          <cell r="H367">
            <v>1410</v>
          </cell>
          <cell r="J367">
            <v>1410</v>
          </cell>
          <cell r="L367">
            <v>1410</v>
          </cell>
          <cell r="N367">
            <v>1410</v>
          </cell>
          <cell r="P367">
            <v>1410</v>
          </cell>
          <cell r="R367">
            <v>1410</v>
          </cell>
          <cell r="T367">
            <v>1410</v>
          </cell>
          <cell r="V367">
            <v>1410</v>
          </cell>
          <cell r="X367">
            <v>1410</v>
          </cell>
          <cell r="Z367">
            <v>1410</v>
          </cell>
          <cell r="AD367">
            <v>0.1</v>
          </cell>
        </row>
        <row r="368">
          <cell r="E368" t="str">
            <v>VE-SBox1-1方出22mm</v>
          </cell>
          <cell r="F368" t="str">
            <v>個</v>
          </cell>
          <cell r="H368">
            <v>266</v>
          </cell>
          <cell r="J368">
            <v>266</v>
          </cell>
          <cell r="L368">
            <v>266</v>
          </cell>
          <cell r="N368">
            <v>266</v>
          </cell>
          <cell r="P368">
            <v>266</v>
          </cell>
          <cell r="R368">
            <v>266</v>
          </cell>
          <cell r="T368">
            <v>266</v>
          </cell>
          <cell r="V368">
            <v>266</v>
          </cell>
          <cell r="X368">
            <v>266</v>
          </cell>
          <cell r="Z368">
            <v>266</v>
          </cell>
          <cell r="AD368">
            <v>0.1</v>
          </cell>
        </row>
        <row r="369">
          <cell r="E369" t="str">
            <v>VE-SBox1-2方出22mm</v>
          </cell>
          <cell r="F369" t="str">
            <v>個</v>
          </cell>
          <cell r="H369">
            <v>266</v>
          </cell>
          <cell r="J369">
            <v>266</v>
          </cell>
          <cell r="L369">
            <v>266</v>
          </cell>
          <cell r="N369">
            <v>266</v>
          </cell>
          <cell r="P369">
            <v>266</v>
          </cell>
          <cell r="R369">
            <v>266</v>
          </cell>
          <cell r="T369">
            <v>266</v>
          </cell>
          <cell r="V369">
            <v>266</v>
          </cell>
          <cell r="X369">
            <v>266</v>
          </cell>
          <cell r="Z369">
            <v>266</v>
          </cell>
          <cell r="AD369">
            <v>0.1</v>
          </cell>
        </row>
        <row r="370">
          <cell r="E370" t="str">
            <v>VE-SBox2-1方出22mm</v>
          </cell>
          <cell r="F370" t="str">
            <v>個</v>
          </cell>
          <cell r="H370">
            <v>434</v>
          </cell>
          <cell r="J370">
            <v>434</v>
          </cell>
          <cell r="L370">
            <v>434</v>
          </cell>
          <cell r="N370">
            <v>434</v>
          </cell>
          <cell r="P370">
            <v>434</v>
          </cell>
          <cell r="R370">
            <v>434</v>
          </cell>
          <cell r="T370">
            <v>434</v>
          </cell>
          <cell r="V370">
            <v>434</v>
          </cell>
          <cell r="X370">
            <v>434</v>
          </cell>
          <cell r="Z370">
            <v>434</v>
          </cell>
          <cell r="AD370">
            <v>0.1</v>
          </cell>
        </row>
        <row r="371">
          <cell r="E371" t="str">
            <v>VE-SBox3-1方出22mm</v>
          </cell>
          <cell r="F371" t="str">
            <v>個</v>
          </cell>
          <cell r="H371">
            <v>1460</v>
          </cell>
          <cell r="J371">
            <v>1460</v>
          </cell>
          <cell r="L371">
            <v>1460</v>
          </cell>
          <cell r="N371">
            <v>1460</v>
          </cell>
          <cell r="P371">
            <v>1460</v>
          </cell>
          <cell r="R371">
            <v>1460</v>
          </cell>
          <cell r="T371">
            <v>1460</v>
          </cell>
          <cell r="V371">
            <v>1460</v>
          </cell>
          <cell r="X371">
            <v>1460</v>
          </cell>
          <cell r="Z371">
            <v>1460</v>
          </cell>
          <cell r="AD371">
            <v>0.1</v>
          </cell>
        </row>
        <row r="372">
          <cell r="E372" t="str">
            <v>VE-SBox1-1方出28mm</v>
          </cell>
          <cell r="F372" t="str">
            <v>個</v>
          </cell>
          <cell r="H372">
            <v>318</v>
          </cell>
          <cell r="J372">
            <v>318</v>
          </cell>
          <cell r="L372">
            <v>318</v>
          </cell>
          <cell r="N372">
            <v>318</v>
          </cell>
          <cell r="P372">
            <v>318</v>
          </cell>
          <cell r="R372">
            <v>318</v>
          </cell>
          <cell r="T372">
            <v>318</v>
          </cell>
          <cell r="V372">
            <v>318</v>
          </cell>
          <cell r="X372">
            <v>318</v>
          </cell>
          <cell r="Z372">
            <v>318</v>
          </cell>
          <cell r="AD372">
            <v>0.1</v>
          </cell>
        </row>
        <row r="373">
          <cell r="E373" t="str">
            <v>VE-SBox1-2方出28mm</v>
          </cell>
          <cell r="F373" t="str">
            <v>個</v>
          </cell>
          <cell r="H373">
            <v>318</v>
          </cell>
          <cell r="J373">
            <v>318</v>
          </cell>
          <cell r="L373">
            <v>318</v>
          </cell>
          <cell r="N373">
            <v>318</v>
          </cell>
          <cell r="P373">
            <v>318</v>
          </cell>
          <cell r="R373">
            <v>318</v>
          </cell>
          <cell r="T373">
            <v>318</v>
          </cell>
          <cell r="V373">
            <v>318</v>
          </cell>
          <cell r="X373">
            <v>318</v>
          </cell>
          <cell r="Z373">
            <v>318</v>
          </cell>
          <cell r="AD373">
            <v>0.1</v>
          </cell>
        </row>
        <row r="374">
          <cell r="E374" t="str">
            <v>VE-SBox2-1方出28mm</v>
          </cell>
          <cell r="F374" t="str">
            <v>個</v>
          </cell>
          <cell r="H374">
            <v>516</v>
          </cell>
          <cell r="J374">
            <v>516</v>
          </cell>
          <cell r="L374">
            <v>516</v>
          </cell>
          <cell r="N374">
            <v>516</v>
          </cell>
          <cell r="P374">
            <v>516</v>
          </cell>
          <cell r="R374">
            <v>516</v>
          </cell>
          <cell r="T374">
            <v>516</v>
          </cell>
          <cell r="V374">
            <v>516</v>
          </cell>
          <cell r="X374">
            <v>516</v>
          </cell>
          <cell r="Z374">
            <v>516</v>
          </cell>
          <cell r="AD374">
            <v>0.1</v>
          </cell>
        </row>
        <row r="375">
          <cell r="E375" t="str">
            <v>VE-SBox3-1方出28mm</v>
          </cell>
          <cell r="F375" t="str">
            <v>個</v>
          </cell>
          <cell r="H375">
            <v>1500</v>
          </cell>
          <cell r="J375">
            <v>1500</v>
          </cell>
          <cell r="L375">
            <v>1500</v>
          </cell>
          <cell r="N375">
            <v>1500</v>
          </cell>
          <cell r="P375">
            <v>1500</v>
          </cell>
          <cell r="R375">
            <v>1500</v>
          </cell>
          <cell r="T375">
            <v>1500</v>
          </cell>
          <cell r="V375">
            <v>1500</v>
          </cell>
          <cell r="X375">
            <v>1500</v>
          </cell>
          <cell r="Z375">
            <v>1500</v>
          </cell>
          <cell r="AD375">
            <v>0.1</v>
          </cell>
        </row>
        <row r="377">
          <cell r="E377" t="str">
            <v>PB-300×300×200</v>
          </cell>
          <cell r="F377" t="str">
            <v>個</v>
          </cell>
          <cell r="H377">
            <v>3230</v>
          </cell>
          <cell r="J377">
            <v>3230</v>
          </cell>
          <cell r="L377">
            <v>3230</v>
          </cell>
          <cell r="N377">
            <v>3230</v>
          </cell>
          <cell r="P377">
            <v>3230</v>
          </cell>
          <cell r="R377">
            <v>3230</v>
          </cell>
          <cell r="T377">
            <v>3230</v>
          </cell>
          <cell r="V377">
            <v>3230</v>
          </cell>
          <cell r="X377">
            <v>3230</v>
          </cell>
          <cell r="Z377">
            <v>3230</v>
          </cell>
          <cell r="AD377">
            <v>0.4</v>
          </cell>
        </row>
        <row r="378">
          <cell r="E378" t="str">
            <v>PB-400×400×200</v>
          </cell>
          <cell r="F378" t="str">
            <v>個</v>
          </cell>
          <cell r="H378">
            <v>4660</v>
          </cell>
          <cell r="J378">
            <v>4660</v>
          </cell>
          <cell r="L378">
            <v>4660</v>
          </cell>
          <cell r="N378">
            <v>4660</v>
          </cell>
          <cell r="P378">
            <v>4660</v>
          </cell>
          <cell r="R378">
            <v>4660</v>
          </cell>
          <cell r="T378">
            <v>4660</v>
          </cell>
          <cell r="V378">
            <v>4660</v>
          </cell>
          <cell r="X378">
            <v>4660</v>
          </cell>
          <cell r="Z378">
            <v>4660</v>
          </cell>
          <cell r="AD378">
            <v>0.5</v>
          </cell>
        </row>
        <row r="379">
          <cell r="E379" t="str">
            <v>PB-500×500×300</v>
          </cell>
          <cell r="F379" t="str">
            <v>個</v>
          </cell>
          <cell r="H379">
            <v>7650</v>
          </cell>
          <cell r="J379">
            <v>7650</v>
          </cell>
          <cell r="L379">
            <v>7650</v>
          </cell>
          <cell r="N379">
            <v>7650</v>
          </cell>
          <cell r="P379">
            <v>7650</v>
          </cell>
          <cell r="R379">
            <v>7650</v>
          </cell>
          <cell r="T379">
            <v>7650</v>
          </cell>
          <cell r="V379">
            <v>7650</v>
          </cell>
          <cell r="X379">
            <v>7650</v>
          </cell>
          <cell r="Z379">
            <v>7650</v>
          </cell>
          <cell r="AD379">
            <v>0.65</v>
          </cell>
        </row>
        <row r="380">
          <cell r="E380" t="str">
            <v>PB-600×600×300</v>
          </cell>
          <cell r="F380" t="str">
            <v>個</v>
          </cell>
          <cell r="H380">
            <v>9860</v>
          </cell>
          <cell r="J380">
            <v>9860</v>
          </cell>
          <cell r="L380">
            <v>9860</v>
          </cell>
          <cell r="N380">
            <v>9860</v>
          </cell>
          <cell r="P380">
            <v>9860</v>
          </cell>
          <cell r="R380">
            <v>9860</v>
          </cell>
          <cell r="T380">
            <v>9860</v>
          </cell>
          <cell r="V380">
            <v>9860</v>
          </cell>
          <cell r="X380">
            <v>9860</v>
          </cell>
          <cell r="Z380">
            <v>9860</v>
          </cell>
          <cell r="AD380">
            <v>0.75</v>
          </cell>
        </row>
        <row r="381">
          <cell r="E381" t="str">
            <v>PB-700×700×400</v>
          </cell>
          <cell r="F381" t="str">
            <v>個</v>
          </cell>
          <cell r="H381">
            <v>14100</v>
          </cell>
          <cell r="J381">
            <v>14100</v>
          </cell>
          <cell r="L381">
            <v>14100</v>
          </cell>
          <cell r="N381">
            <v>14100</v>
          </cell>
          <cell r="P381">
            <v>14100</v>
          </cell>
          <cell r="R381">
            <v>14100</v>
          </cell>
          <cell r="T381">
            <v>14100</v>
          </cell>
          <cell r="V381">
            <v>14100</v>
          </cell>
          <cell r="X381">
            <v>14100</v>
          </cell>
          <cell r="Z381">
            <v>14100</v>
          </cell>
          <cell r="AD381">
            <v>0.9</v>
          </cell>
        </row>
        <row r="382">
          <cell r="E382" t="str">
            <v>PB-800×800×300</v>
          </cell>
          <cell r="F382" t="str">
            <v>個</v>
          </cell>
          <cell r="H382">
            <v>20800</v>
          </cell>
          <cell r="J382">
            <v>20800</v>
          </cell>
          <cell r="L382">
            <v>20800</v>
          </cell>
          <cell r="N382">
            <v>20800</v>
          </cell>
          <cell r="P382">
            <v>20800</v>
          </cell>
          <cell r="R382">
            <v>20800</v>
          </cell>
          <cell r="T382">
            <v>20800</v>
          </cell>
          <cell r="V382">
            <v>20800</v>
          </cell>
          <cell r="X382">
            <v>20800</v>
          </cell>
          <cell r="Z382">
            <v>20800</v>
          </cell>
          <cell r="AD382">
            <v>0.95</v>
          </cell>
        </row>
        <row r="383">
          <cell r="E383" t="str">
            <v>PB-1000×1000×500</v>
          </cell>
          <cell r="F383" t="str">
            <v>個</v>
          </cell>
          <cell r="H383">
            <v>36900</v>
          </cell>
          <cell r="J383">
            <v>36900</v>
          </cell>
          <cell r="L383">
            <v>36900</v>
          </cell>
          <cell r="N383">
            <v>36900</v>
          </cell>
          <cell r="P383">
            <v>36900</v>
          </cell>
          <cell r="R383">
            <v>36900</v>
          </cell>
          <cell r="T383">
            <v>36900</v>
          </cell>
          <cell r="V383">
            <v>36900</v>
          </cell>
          <cell r="X383">
            <v>36900</v>
          </cell>
          <cell r="Z383">
            <v>36900</v>
          </cell>
          <cell r="AD383">
            <v>1.25</v>
          </cell>
        </row>
        <row r="430">
          <cell r="E430" t="str">
            <v>トラフ- 70-500L</v>
          </cell>
          <cell r="F430" t="str">
            <v>ｍ</v>
          </cell>
          <cell r="H430">
            <v>900</v>
          </cell>
          <cell r="J430">
            <v>750</v>
          </cell>
          <cell r="L430">
            <v>735</v>
          </cell>
          <cell r="N430">
            <v>750</v>
          </cell>
          <cell r="P430">
            <v>730</v>
          </cell>
          <cell r="R430">
            <v>730</v>
          </cell>
          <cell r="T430">
            <v>770</v>
          </cell>
          <cell r="V430">
            <v>820</v>
          </cell>
          <cell r="X430">
            <v>730</v>
          </cell>
          <cell r="Z430">
            <v>900</v>
          </cell>
        </row>
        <row r="431">
          <cell r="E431" t="str">
            <v>トラフ-120-500L</v>
          </cell>
          <cell r="F431" t="str">
            <v>ｍ</v>
          </cell>
          <cell r="H431">
            <v>1190</v>
          </cell>
          <cell r="J431">
            <v>1050</v>
          </cell>
          <cell r="L431">
            <v>1170</v>
          </cell>
          <cell r="N431">
            <v>1100</v>
          </cell>
          <cell r="P431">
            <v>1070</v>
          </cell>
          <cell r="R431">
            <v>1100</v>
          </cell>
          <cell r="T431">
            <v>1130</v>
          </cell>
          <cell r="V431">
            <v>1120</v>
          </cell>
          <cell r="X431">
            <v>1070</v>
          </cell>
          <cell r="Z431">
            <v>1190</v>
          </cell>
        </row>
        <row r="432">
          <cell r="E432" t="str">
            <v>トラフ-150A-500L</v>
          </cell>
          <cell r="F432" t="str">
            <v>ｍ</v>
          </cell>
          <cell r="H432">
            <v>1450</v>
          </cell>
          <cell r="J432">
            <v>1300</v>
          </cell>
          <cell r="L432">
            <v>1460</v>
          </cell>
          <cell r="N432">
            <v>1450</v>
          </cell>
          <cell r="P432">
            <v>1400</v>
          </cell>
          <cell r="R432">
            <v>1450</v>
          </cell>
          <cell r="T432">
            <v>1490</v>
          </cell>
          <cell r="V432">
            <v>1440</v>
          </cell>
          <cell r="X432">
            <v>1480</v>
          </cell>
          <cell r="Z432">
            <v>1450</v>
          </cell>
        </row>
        <row r="433">
          <cell r="E433" t="str">
            <v>トラフ-150B-500L</v>
          </cell>
          <cell r="F433" t="str">
            <v>ｍ</v>
          </cell>
          <cell r="H433">
            <v>1580</v>
          </cell>
          <cell r="J433">
            <v>1440</v>
          </cell>
          <cell r="L433">
            <v>1620</v>
          </cell>
          <cell r="N433">
            <v>1510</v>
          </cell>
          <cell r="P433">
            <v>1470</v>
          </cell>
          <cell r="R433">
            <v>1510</v>
          </cell>
          <cell r="T433">
            <v>1550</v>
          </cell>
          <cell r="V433">
            <v>1530</v>
          </cell>
          <cell r="X433">
            <v>1520</v>
          </cell>
          <cell r="Z433">
            <v>1580</v>
          </cell>
        </row>
        <row r="434">
          <cell r="E434" t="str">
            <v>トラフ-200A-500L</v>
          </cell>
          <cell r="F434" t="str">
            <v>ｍ</v>
          </cell>
          <cell r="H434">
            <v>1950</v>
          </cell>
          <cell r="J434">
            <v>1690</v>
          </cell>
          <cell r="L434">
            <v>1990</v>
          </cell>
          <cell r="N434">
            <v>1870</v>
          </cell>
          <cell r="P434">
            <v>1810</v>
          </cell>
          <cell r="R434">
            <v>1870</v>
          </cell>
          <cell r="T434">
            <v>1910</v>
          </cell>
          <cell r="V434">
            <v>2010</v>
          </cell>
          <cell r="X434">
            <v>1810</v>
          </cell>
          <cell r="Z434">
            <v>1950</v>
          </cell>
        </row>
        <row r="435">
          <cell r="E435" t="str">
            <v>トラフ-200B-500L</v>
          </cell>
          <cell r="F435" t="str">
            <v>ｍ</v>
          </cell>
          <cell r="H435">
            <v>2170</v>
          </cell>
          <cell r="J435">
            <v>1890</v>
          </cell>
          <cell r="L435">
            <v>2340</v>
          </cell>
          <cell r="N435">
            <v>2190</v>
          </cell>
          <cell r="P435">
            <v>2100</v>
          </cell>
          <cell r="R435">
            <v>2190</v>
          </cell>
          <cell r="T435">
            <v>2220</v>
          </cell>
          <cell r="V435">
            <v>2110</v>
          </cell>
          <cell r="X435">
            <v>2110</v>
          </cell>
          <cell r="Z435">
            <v>2170</v>
          </cell>
        </row>
        <row r="436">
          <cell r="E436" t="str">
            <v>トラフ-250-500L</v>
          </cell>
          <cell r="F436" t="str">
            <v>ｍ</v>
          </cell>
          <cell r="H436">
            <v>2800</v>
          </cell>
          <cell r="J436">
            <v>2340</v>
          </cell>
          <cell r="L436">
            <v>2620</v>
          </cell>
          <cell r="N436">
            <v>2570</v>
          </cell>
          <cell r="P436">
            <v>2470</v>
          </cell>
          <cell r="R436">
            <v>2570</v>
          </cell>
          <cell r="T436">
            <v>2620</v>
          </cell>
          <cell r="V436">
            <v>2530</v>
          </cell>
          <cell r="X436">
            <v>2520</v>
          </cell>
          <cell r="Z436">
            <v>2800</v>
          </cell>
        </row>
        <row r="437">
          <cell r="E437" t="str">
            <v>トラフ-300-500L</v>
          </cell>
          <cell r="F437" t="str">
            <v>ｍ</v>
          </cell>
          <cell r="H437">
            <v>3100</v>
          </cell>
          <cell r="J437">
            <v>2950</v>
          </cell>
          <cell r="L437">
            <v>3130</v>
          </cell>
          <cell r="N437">
            <v>3070</v>
          </cell>
          <cell r="P437">
            <v>2950</v>
          </cell>
          <cell r="R437">
            <v>3070</v>
          </cell>
          <cell r="T437">
            <v>3130</v>
          </cell>
          <cell r="V437">
            <v>3070</v>
          </cell>
          <cell r="X437">
            <v>3010</v>
          </cell>
          <cell r="Z437">
            <v>3100</v>
          </cell>
        </row>
        <row r="438">
          <cell r="E438" t="str">
            <v>トラフ-400-500L</v>
          </cell>
          <cell r="F438" t="str">
            <v>ｍ</v>
          </cell>
          <cell r="H438">
            <v>4400</v>
          </cell>
          <cell r="J438">
            <v>4090</v>
          </cell>
          <cell r="L438">
            <v>4540</v>
          </cell>
          <cell r="N438">
            <v>4460</v>
          </cell>
          <cell r="P438">
            <v>4270</v>
          </cell>
          <cell r="R438">
            <v>4460</v>
          </cell>
          <cell r="T438">
            <v>4540</v>
          </cell>
          <cell r="V438">
            <v>4600</v>
          </cell>
          <cell r="X438">
            <v>4450</v>
          </cell>
          <cell r="Z438">
            <v>4400</v>
          </cell>
        </row>
        <row r="439">
          <cell r="E439" t="str">
            <v>トラフ- K100-500L</v>
          </cell>
          <cell r="F439" t="str">
            <v>ｍ</v>
          </cell>
          <cell r="H439">
            <v>980</v>
          </cell>
          <cell r="J439">
            <v>980</v>
          </cell>
          <cell r="L439">
            <v>980</v>
          </cell>
          <cell r="N439">
            <v>980</v>
          </cell>
          <cell r="P439">
            <v>980</v>
          </cell>
          <cell r="R439">
            <v>980</v>
          </cell>
          <cell r="T439">
            <v>1180</v>
          </cell>
          <cell r="V439">
            <v>980</v>
          </cell>
          <cell r="X439">
            <v>1140</v>
          </cell>
          <cell r="Z439">
            <v>980</v>
          </cell>
        </row>
        <row r="440">
          <cell r="E440" t="str">
            <v>トラフ- K130-500L</v>
          </cell>
          <cell r="F440" t="str">
            <v>ｍ</v>
          </cell>
          <cell r="H440">
            <v>1050</v>
          </cell>
          <cell r="J440">
            <v>1050</v>
          </cell>
          <cell r="L440">
            <v>1050</v>
          </cell>
          <cell r="N440">
            <v>1050</v>
          </cell>
          <cell r="P440">
            <v>1050</v>
          </cell>
          <cell r="R440">
            <v>1050</v>
          </cell>
          <cell r="T440">
            <v>1290</v>
          </cell>
          <cell r="V440">
            <v>1050</v>
          </cell>
          <cell r="X440">
            <v>1230</v>
          </cell>
          <cell r="Z440">
            <v>1050</v>
          </cell>
        </row>
        <row r="441">
          <cell r="E441" t="str">
            <v>トラフ- K164-500L</v>
          </cell>
          <cell r="F441" t="str">
            <v>ｍ</v>
          </cell>
          <cell r="H441">
            <v>1450</v>
          </cell>
          <cell r="J441">
            <v>1450</v>
          </cell>
          <cell r="L441">
            <v>1450</v>
          </cell>
          <cell r="N441">
            <v>1450</v>
          </cell>
          <cell r="P441">
            <v>1450</v>
          </cell>
          <cell r="R441">
            <v>1450</v>
          </cell>
          <cell r="T441">
            <v>1830</v>
          </cell>
          <cell r="V441">
            <v>1450</v>
          </cell>
          <cell r="X441">
            <v>1740</v>
          </cell>
          <cell r="Z441">
            <v>1450</v>
          </cell>
        </row>
        <row r="442">
          <cell r="E442" t="str">
            <v>トラフ- K164C-500L</v>
          </cell>
          <cell r="F442" t="str">
            <v>ｍ</v>
          </cell>
          <cell r="H442">
            <v>2160</v>
          </cell>
          <cell r="J442">
            <v>2160</v>
          </cell>
          <cell r="L442">
            <v>2160</v>
          </cell>
          <cell r="N442">
            <v>2160</v>
          </cell>
          <cell r="P442">
            <v>2160</v>
          </cell>
          <cell r="R442">
            <v>2160</v>
          </cell>
          <cell r="T442">
            <v>2160</v>
          </cell>
          <cell r="V442">
            <v>2160</v>
          </cell>
          <cell r="X442">
            <v>2160</v>
          </cell>
          <cell r="Z442">
            <v>2160</v>
          </cell>
        </row>
        <row r="443">
          <cell r="E443" t="str">
            <v>トラフ- K220-500L</v>
          </cell>
          <cell r="F443" t="str">
            <v>ｍ</v>
          </cell>
          <cell r="H443">
            <v>2180</v>
          </cell>
          <cell r="J443">
            <v>2180</v>
          </cell>
          <cell r="L443">
            <v>2180</v>
          </cell>
          <cell r="N443">
            <v>2180</v>
          </cell>
          <cell r="P443">
            <v>2180</v>
          </cell>
          <cell r="R443">
            <v>2180</v>
          </cell>
          <cell r="T443">
            <v>2510</v>
          </cell>
          <cell r="V443">
            <v>2180</v>
          </cell>
          <cell r="X443">
            <v>2370</v>
          </cell>
          <cell r="Z443">
            <v>2180</v>
          </cell>
        </row>
        <row r="444">
          <cell r="E444" t="str">
            <v>トラフ- K220C-500L</v>
          </cell>
          <cell r="F444" t="str">
            <v>ｍ</v>
          </cell>
          <cell r="H444">
            <v>2840</v>
          </cell>
          <cell r="J444">
            <v>2840</v>
          </cell>
          <cell r="L444">
            <v>2840</v>
          </cell>
          <cell r="N444">
            <v>2840</v>
          </cell>
          <cell r="P444">
            <v>2840</v>
          </cell>
          <cell r="R444">
            <v>2840</v>
          </cell>
          <cell r="T444">
            <v>2840</v>
          </cell>
          <cell r="V444">
            <v>2840</v>
          </cell>
          <cell r="X444">
            <v>2840</v>
          </cell>
          <cell r="Z444">
            <v>2840</v>
          </cell>
        </row>
        <row r="445">
          <cell r="E445" t="str">
            <v>トラフ- 280-500L</v>
          </cell>
          <cell r="F445" t="str">
            <v>ｍ</v>
          </cell>
          <cell r="H445">
            <v>2780</v>
          </cell>
          <cell r="J445">
            <v>2780</v>
          </cell>
          <cell r="L445">
            <v>2780</v>
          </cell>
          <cell r="N445">
            <v>2780</v>
          </cell>
          <cell r="P445">
            <v>2780</v>
          </cell>
          <cell r="R445">
            <v>2780</v>
          </cell>
          <cell r="T445">
            <v>2920</v>
          </cell>
          <cell r="V445">
            <v>2780</v>
          </cell>
          <cell r="X445">
            <v>2760</v>
          </cell>
          <cell r="Z445">
            <v>2780</v>
          </cell>
        </row>
        <row r="446">
          <cell r="E446" t="str">
            <v>トラフ- 280C-500L</v>
          </cell>
          <cell r="F446" t="str">
            <v>ｍ</v>
          </cell>
          <cell r="H446">
            <v>3240</v>
          </cell>
          <cell r="J446">
            <v>3240</v>
          </cell>
          <cell r="L446">
            <v>3240</v>
          </cell>
          <cell r="N446">
            <v>3240</v>
          </cell>
          <cell r="P446">
            <v>3240</v>
          </cell>
          <cell r="R446">
            <v>3240</v>
          </cell>
          <cell r="T446">
            <v>3240</v>
          </cell>
          <cell r="V446">
            <v>3240</v>
          </cell>
          <cell r="X446">
            <v>3240</v>
          </cell>
          <cell r="Z446">
            <v>3240</v>
          </cell>
        </row>
        <row r="447">
          <cell r="E447" t="str">
            <v>トラフ- 330-500L</v>
          </cell>
          <cell r="F447" t="str">
            <v>ｍ</v>
          </cell>
          <cell r="H447">
            <v>3100</v>
          </cell>
          <cell r="J447">
            <v>3100</v>
          </cell>
          <cell r="L447">
            <v>3100</v>
          </cell>
          <cell r="N447">
            <v>3100</v>
          </cell>
          <cell r="P447">
            <v>3100</v>
          </cell>
          <cell r="R447">
            <v>3100</v>
          </cell>
          <cell r="T447">
            <v>3600</v>
          </cell>
          <cell r="V447">
            <v>3100</v>
          </cell>
          <cell r="X447">
            <v>3400</v>
          </cell>
          <cell r="Z447">
            <v>3100</v>
          </cell>
        </row>
        <row r="448">
          <cell r="E448" t="str">
            <v>トラフ- 330C-500L</v>
          </cell>
          <cell r="F448" t="str">
            <v>ｍ</v>
          </cell>
          <cell r="H448">
            <v>3840</v>
          </cell>
          <cell r="J448">
            <v>3840</v>
          </cell>
          <cell r="L448">
            <v>3840</v>
          </cell>
          <cell r="N448">
            <v>3840</v>
          </cell>
          <cell r="P448">
            <v>3840</v>
          </cell>
          <cell r="R448">
            <v>3840</v>
          </cell>
          <cell r="T448">
            <v>3840</v>
          </cell>
          <cell r="V448">
            <v>3840</v>
          </cell>
          <cell r="X448">
            <v>3840</v>
          </cell>
          <cell r="Z448">
            <v>3840</v>
          </cell>
        </row>
        <row r="449">
          <cell r="E449" t="str">
            <v>トラフ- 450-500L</v>
          </cell>
          <cell r="F449" t="str">
            <v>ｍ</v>
          </cell>
          <cell r="H449">
            <v>4400</v>
          </cell>
          <cell r="J449">
            <v>4400</v>
          </cell>
          <cell r="L449">
            <v>4400</v>
          </cell>
          <cell r="N449">
            <v>4400</v>
          </cell>
          <cell r="P449">
            <v>4400</v>
          </cell>
          <cell r="R449">
            <v>4400</v>
          </cell>
          <cell r="T449">
            <v>4750</v>
          </cell>
          <cell r="V449">
            <v>4400</v>
          </cell>
          <cell r="X449">
            <v>4490</v>
          </cell>
          <cell r="Z449">
            <v>4400</v>
          </cell>
        </row>
        <row r="450">
          <cell r="E450" t="str">
            <v>トラフ- 470C-500L</v>
          </cell>
          <cell r="F450" t="str">
            <v>ｍ</v>
          </cell>
          <cell r="H450">
            <v>5710</v>
          </cell>
          <cell r="J450">
            <v>5710</v>
          </cell>
          <cell r="L450">
            <v>5710</v>
          </cell>
          <cell r="N450">
            <v>5710</v>
          </cell>
          <cell r="P450">
            <v>5710</v>
          </cell>
          <cell r="R450">
            <v>5710</v>
          </cell>
          <cell r="T450">
            <v>5710</v>
          </cell>
          <cell r="V450">
            <v>5710</v>
          </cell>
          <cell r="X450">
            <v>5710</v>
          </cell>
          <cell r="Z450">
            <v>5710</v>
          </cell>
        </row>
        <row r="451">
          <cell r="E451" t="str">
            <v>メラミンCR-200mm</v>
          </cell>
          <cell r="F451" t="str">
            <v>ｍ</v>
          </cell>
          <cell r="G451">
            <v>6460</v>
          </cell>
          <cell r="H451">
            <v>2153</v>
          </cell>
          <cell r="I451">
            <v>6460</v>
          </cell>
          <cell r="J451">
            <v>2153</v>
          </cell>
          <cell r="K451">
            <v>6460</v>
          </cell>
          <cell r="L451">
            <v>2153</v>
          </cell>
          <cell r="M451">
            <v>6460</v>
          </cell>
          <cell r="N451">
            <v>2153</v>
          </cell>
          <cell r="O451">
            <v>6460</v>
          </cell>
          <cell r="P451">
            <v>2153</v>
          </cell>
          <cell r="Q451">
            <v>6460</v>
          </cell>
          <cell r="R451">
            <v>2153</v>
          </cell>
          <cell r="S451">
            <v>6460</v>
          </cell>
          <cell r="T451">
            <v>2153</v>
          </cell>
          <cell r="U451">
            <v>6460</v>
          </cell>
          <cell r="V451">
            <v>2153</v>
          </cell>
          <cell r="W451">
            <v>6460</v>
          </cell>
          <cell r="X451">
            <v>2153</v>
          </cell>
          <cell r="Y451">
            <v>6460</v>
          </cell>
          <cell r="Z451">
            <v>2153</v>
          </cell>
          <cell r="AD451">
            <v>0.183</v>
          </cell>
        </row>
        <row r="452">
          <cell r="E452" t="str">
            <v>メラミンCR-300mm</v>
          </cell>
          <cell r="F452" t="str">
            <v>ｍ</v>
          </cell>
          <cell r="G452">
            <v>6880</v>
          </cell>
          <cell r="H452">
            <v>2293</v>
          </cell>
          <cell r="I452">
            <v>6880</v>
          </cell>
          <cell r="J452">
            <v>2293</v>
          </cell>
          <cell r="K452">
            <v>6880</v>
          </cell>
          <cell r="L452">
            <v>2293</v>
          </cell>
          <cell r="M452">
            <v>6880</v>
          </cell>
          <cell r="N452">
            <v>2293</v>
          </cell>
          <cell r="O452">
            <v>6880</v>
          </cell>
          <cell r="P452">
            <v>2293</v>
          </cell>
          <cell r="Q452">
            <v>6880</v>
          </cell>
          <cell r="R452">
            <v>2293</v>
          </cell>
          <cell r="S452">
            <v>6880</v>
          </cell>
          <cell r="T452">
            <v>2293</v>
          </cell>
          <cell r="U452">
            <v>6880</v>
          </cell>
          <cell r="V452">
            <v>2293</v>
          </cell>
          <cell r="W452">
            <v>6880</v>
          </cell>
          <cell r="X452">
            <v>2293</v>
          </cell>
          <cell r="Y452">
            <v>6880</v>
          </cell>
          <cell r="Z452">
            <v>2293</v>
          </cell>
          <cell r="AD452">
            <v>0.24299999999999999</v>
          </cell>
        </row>
        <row r="453">
          <cell r="E453" t="str">
            <v>メラミンCR-400mm</v>
          </cell>
          <cell r="F453" t="str">
            <v>ｍ</v>
          </cell>
          <cell r="G453">
            <v>7380</v>
          </cell>
          <cell r="H453">
            <v>2460</v>
          </cell>
          <cell r="I453">
            <v>7380</v>
          </cell>
          <cell r="J453">
            <v>2460</v>
          </cell>
          <cell r="K453">
            <v>7380</v>
          </cell>
          <cell r="L453">
            <v>2460</v>
          </cell>
          <cell r="M453">
            <v>7380</v>
          </cell>
          <cell r="N453">
            <v>2460</v>
          </cell>
          <cell r="O453">
            <v>7380</v>
          </cell>
          <cell r="P453">
            <v>2460</v>
          </cell>
          <cell r="Q453">
            <v>7380</v>
          </cell>
          <cell r="R453">
            <v>2460</v>
          </cell>
          <cell r="S453">
            <v>7380</v>
          </cell>
          <cell r="T453">
            <v>2460</v>
          </cell>
          <cell r="U453">
            <v>7380</v>
          </cell>
          <cell r="V453">
            <v>2460</v>
          </cell>
          <cell r="W453">
            <v>7380</v>
          </cell>
          <cell r="X453">
            <v>2460</v>
          </cell>
          <cell r="Y453">
            <v>7380</v>
          </cell>
          <cell r="Z453">
            <v>2460</v>
          </cell>
          <cell r="AD453">
            <v>0.29599999999999999</v>
          </cell>
        </row>
        <row r="454">
          <cell r="E454" t="str">
            <v>メラミンCR-500mm</v>
          </cell>
          <cell r="F454" t="str">
            <v>ｍ</v>
          </cell>
          <cell r="G454">
            <v>7880</v>
          </cell>
          <cell r="H454">
            <v>2626</v>
          </cell>
          <cell r="I454">
            <v>7880</v>
          </cell>
          <cell r="J454">
            <v>2626</v>
          </cell>
          <cell r="K454">
            <v>7880</v>
          </cell>
          <cell r="L454">
            <v>2626</v>
          </cell>
          <cell r="M454">
            <v>7880</v>
          </cell>
          <cell r="N454">
            <v>2626</v>
          </cell>
          <cell r="O454">
            <v>7880</v>
          </cell>
          <cell r="P454">
            <v>2626</v>
          </cell>
          <cell r="Q454">
            <v>7880</v>
          </cell>
          <cell r="R454">
            <v>2626</v>
          </cell>
          <cell r="S454">
            <v>7880</v>
          </cell>
          <cell r="T454">
            <v>2626</v>
          </cell>
          <cell r="U454">
            <v>7880</v>
          </cell>
          <cell r="V454">
            <v>2626</v>
          </cell>
          <cell r="W454">
            <v>7880</v>
          </cell>
          <cell r="X454">
            <v>2626</v>
          </cell>
          <cell r="Y454">
            <v>7880</v>
          </cell>
          <cell r="Z454">
            <v>2626</v>
          </cell>
          <cell r="AD454">
            <v>0.33900000000000002</v>
          </cell>
        </row>
        <row r="455">
          <cell r="E455" t="str">
            <v>メラミンCR-600mm</v>
          </cell>
          <cell r="F455" t="str">
            <v>ｍ</v>
          </cell>
          <cell r="G455">
            <v>8520</v>
          </cell>
          <cell r="H455">
            <v>2840</v>
          </cell>
          <cell r="I455">
            <v>8520</v>
          </cell>
          <cell r="J455">
            <v>2840</v>
          </cell>
          <cell r="K455">
            <v>8520</v>
          </cell>
          <cell r="L455">
            <v>2840</v>
          </cell>
          <cell r="M455">
            <v>8520</v>
          </cell>
          <cell r="N455">
            <v>2840</v>
          </cell>
          <cell r="O455">
            <v>8520</v>
          </cell>
          <cell r="P455">
            <v>2840</v>
          </cell>
          <cell r="Q455">
            <v>8520</v>
          </cell>
          <cell r="R455">
            <v>2840</v>
          </cell>
          <cell r="S455">
            <v>8520</v>
          </cell>
          <cell r="T455">
            <v>2840</v>
          </cell>
          <cell r="U455">
            <v>8520</v>
          </cell>
          <cell r="V455">
            <v>2840</v>
          </cell>
          <cell r="W455">
            <v>8520</v>
          </cell>
          <cell r="X455">
            <v>2840</v>
          </cell>
          <cell r="Y455">
            <v>8520</v>
          </cell>
          <cell r="Z455">
            <v>2840</v>
          </cell>
          <cell r="AD455">
            <v>0.36499999999999999</v>
          </cell>
        </row>
        <row r="456">
          <cell r="E456" t="str">
            <v>メラミンCR-700mm</v>
          </cell>
          <cell r="F456" t="str">
            <v>ｍ</v>
          </cell>
          <cell r="G456">
            <v>9230</v>
          </cell>
          <cell r="H456">
            <v>3076</v>
          </cell>
          <cell r="I456">
            <v>9230</v>
          </cell>
          <cell r="J456">
            <v>3076</v>
          </cell>
          <cell r="K456">
            <v>9230</v>
          </cell>
          <cell r="L456">
            <v>3076</v>
          </cell>
          <cell r="M456">
            <v>9230</v>
          </cell>
          <cell r="N456">
            <v>3076</v>
          </cell>
          <cell r="O456">
            <v>9230</v>
          </cell>
          <cell r="P456">
            <v>3076</v>
          </cell>
          <cell r="Q456">
            <v>9230</v>
          </cell>
          <cell r="R456">
            <v>3076</v>
          </cell>
          <cell r="S456">
            <v>9230</v>
          </cell>
          <cell r="T456">
            <v>3076</v>
          </cell>
          <cell r="U456">
            <v>9230</v>
          </cell>
          <cell r="V456">
            <v>3076</v>
          </cell>
          <cell r="W456">
            <v>9230</v>
          </cell>
          <cell r="X456">
            <v>3076</v>
          </cell>
          <cell r="Y456">
            <v>9230</v>
          </cell>
          <cell r="Z456">
            <v>3076</v>
          </cell>
          <cell r="AD456">
            <v>0.42699999999999999</v>
          </cell>
        </row>
        <row r="457">
          <cell r="E457" t="str">
            <v>メラミンCR-800mm</v>
          </cell>
          <cell r="F457" t="str">
            <v>ｍ</v>
          </cell>
          <cell r="G457">
            <v>9940</v>
          </cell>
          <cell r="H457">
            <v>3313</v>
          </cell>
          <cell r="I457">
            <v>9940</v>
          </cell>
          <cell r="J457">
            <v>3313</v>
          </cell>
          <cell r="K457">
            <v>9940</v>
          </cell>
          <cell r="L457">
            <v>3313</v>
          </cell>
          <cell r="M457">
            <v>9940</v>
          </cell>
          <cell r="N457">
            <v>3313</v>
          </cell>
          <cell r="O457">
            <v>9940</v>
          </cell>
          <cell r="P457">
            <v>3313</v>
          </cell>
          <cell r="Q457">
            <v>9940</v>
          </cell>
          <cell r="R457">
            <v>3313</v>
          </cell>
          <cell r="S457">
            <v>9940</v>
          </cell>
          <cell r="T457">
            <v>3313</v>
          </cell>
          <cell r="U457">
            <v>9940</v>
          </cell>
          <cell r="V457">
            <v>3313</v>
          </cell>
          <cell r="W457">
            <v>9940</v>
          </cell>
          <cell r="X457">
            <v>3313</v>
          </cell>
          <cell r="Y457">
            <v>9940</v>
          </cell>
          <cell r="Z457">
            <v>3313</v>
          </cell>
          <cell r="AD457">
            <v>0.496</v>
          </cell>
        </row>
        <row r="458">
          <cell r="E458" t="str">
            <v>メラミンCR-900mm</v>
          </cell>
          <cell r="F458" t="str">
            <v>ｍ</v>
          </cell>
          <cell r="G458">
            <v>10500</v>
          </cell>
          <cell r="H458">
            <v>3500</v>
          </cell>
          <cell r="I458">
            <v>10500</v>
          </cell>
          <cell r="J458">
            <v>3500</v>
          </cell>
          <cell r="K458">
            <v>10500</v>
          </cell>
          <cell r="L458">
            <v>3500</v>
          </cell>
          <cell r="M458">
            <v>10500</v>
          </cell>
          <cell r="N458">
            <v>3500</v>
          </cell>
          <cell r="O458">
            <v>10500</v>
          </cell>
          <cell r="P458">
            <v>3500</v>
          </cell>
          <cell r="Q458">
            <v>10500</v>
          </cell>
          <cell r="R458">
            <v>3500</v>
          </cell>
          <cell r="S458">
            <v>10500</v>
          </cell>
          <cell r="T458">
            <v>3500</v>
          </cell>
          <cell r="U458">
            <v>10500</v>
          </cell>
          <cell r="V458">
            <v>3500</v>
          </cell>
          <cell r="W458">
            <v>10500</v>
          </cell>
          <cell r="X458">
            <v>3500</v>
          </cell>
          <cell r="Y458">
            <v>10500</v>
          </cell>
          <cell r="Z458">
            <v>3500</v>
          </cell>
          <cell r="AD458">
            <v>0.55400000000000005</v>
          </cell>
        </row>
        <row r="459">
          <cell r="E459" t="str">
            <v>メラミンCR-1000mm</v>
          </cell>
          <cell r="F459" t="str">
            <v>ｍ</v>
          </cell>
          <cell r="G459">
            <v>11200</v>
          </cell>
          <cell r="H459">
            <v>3733</v>
          </cell>
          <cell r="I459">
            <v>11200</v>
          </cell>
          <cell r="J459">
            <v>3733</v>
          </cell>
          <cell r="K459">
            <v>11200</v>
          </cell>
          <cell r="L459">
            <v>3733</v>
          </cell>
          <cell r="M459">
            <v>11200</v>
          </cell>
          <cell r="N459">
            <v>3733</v>
          </cell>
          <cell r="O459">
            <v>11200</v>
          </cell>
          <cell r="P459">
            <v>3733</v>
          </cell>
          <cell r="Q459">
            <v>11200</v>
          </cell>
          <cell r="R459">
            <v>3733</v>
          </cell>
          <cell r="S459">
            <v>11200</v>
          </cell>
          <cell r="T459">
            <v>3733</v>
          </cell>
          <cell r="U459">
            <v>11200</v>
          </cell>
          <cell r="V459">
            <v>3733</v>
          </cell>
          <cell r="W459">
            <v>11200</v>
          </cell>
          <cell r="X459">
            <v>3733</v>
          </cell>
          <cell r="Y459">
            <v>11200</v>
          </cell>
          <cell r="Z459">
            <v>3733</v>
          </cell>
          <cell r="AD459">
            <v>0.61699999999999999</v>
          </cell>
        </row>
        <row r="460">
          <cell r="E460" t="str">
            <v>メラミンCR-1200mm</v>
          </cell>
          <cell r="F460" t="str">
            <v>ｍ</v>
          </cell>
          <cell r="G460">
            <v>15600</v>
          </cell>
          <cell r="H460">
            <v>5200</v>
          </cell>
          <cell r="I460">
            <v>15600</v>
          </cell>
          <cell r="J460">
            <v>5200</v>
          </cell>
          <cell r="K460">
            <v>15600</v>
          </cell>
          <cell r="L460">
            <v>5200</v>
          </cell>
          <cell r="M460">
            <v>15600</v>
          </cell>
          <cell r="N460">
            <v>5200</v>
          </cell>
          <cell r="O460">
            <v>15600</v>
          </cell>
          <cell r="P460">
            <v>5200</v>
          </cell>
          <cell r="Q460">
            <v>15600</v>
          </cell>
          <cell r="R460">
            <v>5200</v>
          </cell>
          <cell r="S460">
            <v>15600</v>
          </cell>
          <cell r="T460">
            <v>5200</v>
          </cell>
          <cell r="U460">
            <v>15600</v>
          </cell>
          <cell r="V460">
            <v>5200</v>
          </cell>
          <cell r="W460">
            <v>15600</v>
          </cell>
          <cell r="X460">
            <v>5200</v>
          </cell>
          <cell r="Y460">
            <v>15600</v>
          </cell>
          <cell r="Z460">
            <v>5200</v>
          </cell>
          <cell r="AD460">
            <v>0.74</v>
          </cell>
        </row>
        <row r="461">
          <cell r="E461" t="str">
            <v>エポキシCR-200mm</v>
          </cell>
          <cell r="F461" t="str">
            <v>ｍ</v>
          </cell>
          <cell r="G461">
            <v>6630</v>
          </cell>
          <cell r="H461">
            <v>2210</v>
          </cell>
          <cell r="I461">
            <v>6630</v>
          </cell>
          <cell r="J461">
            <v>2210</v>
          </cell>
          <cell r="K461">
            <v>6630</v>
          </cell>
          <cell r="L461">
            <v>2210</v>
          </cell>
          <cell r="M461">
            <v>6630</v>
          </cell>
          <cell r="N461">
            <v>2210</v>
          </cell>
          <cell r="O461">
            <v>6630</v>
          </cell>
          <cell r="P461">
            <v>2210</v>
          </cell>
          <cell r="Q461">
            <v>6630</v>
          </cell>
          <cell r="R461">
            <v>2210</v>
          </cell>
          <cell r="S461">
            <v>6630</v>
          </cell>
          <cell r="T461">
            <v>2210</v>
          </cell>
          <cell r="U461">
            <v>6630</v>
          </cell>
          <cell r="V461">
            <v>2210</v>
          </cell>
          <cell r="W461">
            <v>6630</v>
          </cell>
          <cell r="X461">
            <v>2210</v>
          </cell>
          <cell r="Y461">
            <v>6630</v>
          </cell>
          <cell r="Z461">
            <v>2210</v>
          </cell>
          <cell r="AD461">
            <v>0.183</v>
          </cell>
        </row>
        <row r="462">
          <cell r="E462" t="str">
            <v>エポキシCR-300mm</v>
          </cell>
          <cell r="F462" t="str">
            <v>ｍ</v>
          </cell>
          <cell r="G462">
            <v>7100</v>
          </cell>
          <cell r="H462">
            <v>2366</v>
          </cell>
          <cell r="I462">
            <v>7100</v>
          </cell>
          <cell r="J462">
            <v>2366</v>
          </cell>
          <cell r="K462">
            <v>7100</v>
          </cell>
          <cell r="L462">
            <v>2366</v>
          </cell>
          <cell r="M462">
            <v>7100</v>
          </cell>
          <cell r="N462">
            <v>2366</v>
          </cell>
          <cell r="O462">
            <v>7100</v>
          </cell>
          <cell r="P462">
            <v>2366</v>
          </cell>
          <cell r="Q462">
            <v>7100</v>
          </cell>
          <cell r="R462">
            <v>2366</v>
          </cell>
          <cell r="S462">
            <v>7100</v>
          </cell>
          <cell r="T462">
            <v>2366</v>
          </cell>
          <cell r="U462">
            <v>7100</v>
          </cell>
          <cell r="V462">
            <v>2366</v>
          </cell>
          <cell r="W462">
            <v>7100</v>
          </cell>
          <cell r="X462">
            <v>2366</v>
          </cell>
          <cell r="Y462">
            <v>7100</v>
          </cell>
          <cell r="Z462">
            <v>2366</v>
          </cell>
          <cell r="AD462">
            <v>0.24299999999999999</v>
          </cell>
        </row>
        <row r="463">
          <cell r="E463" t="str">
            <v>エポキシCR-400mm</v>
          </cell>
          <cell r="F463" t="str">
            <v>ｍ</v>
          </cell>
          <cell r="G463">
            <v>7590</v>
          </cell>
          <cell r="H463">
            <v>2530</v>
          </cell>
          <cell r="I463">
            <v>7590</v>
          </cell>
          <cell r="J463">
            <v>2530</v>
          </cell>
          <cell r="K463">
            <v>7590</v>
          </cell>
          <cell r="L463">
            <v>2530</v>
          </cell>
          <cell r="M463">
            <v>7590</v>
          </cell>
          <cell r="N463">
            <v>2530</v>
          </cell>
          <cell r="O463">
            <v>7590</v>
          </cell>
          <cell r="P463">
            <v>2530</v>
          </cell>
          <cell r="Q463">
            <v>7590</v>
          </cell>
          <cell r="R463">
            <v>2530</v>
          </cell>
          <cell r="S463">
            <v>7590</v>
          </cell>
          <cell r="T463">
            <v>2530</v>
          </cell>
          <cell r="U463">
            <v>7590</v>
          </cell>
          <cell r="V463">
            <v>2530</v>
          </cell>
          <cell r="W463">
            <v>7590</v>
          </cell>
          <cell r="X463">
            <v>2530</v>
          </cell>
          <cell r="Y463">
            <v>7590</v>
          </cell>
          <cell r="Z463">
            <v>2530</v>
          </cell>
          <cell r="AD463">
            <v>0.29599999999999999</v>
          </cell>
        </row>
        <row r="464">
          <cell r="E464" t="str">
            <v>エポキシCR-500mm</v>
          </cell>
          <cell r="F464" t="str">
            <v>ｍ</v>
          </cell>
          <cell r="G464">
            <v>8020</v>
          </cell>
          <cell r="H464">
            <v>2673</v>
          </cell>
          <cell r="I464">
            <v>8020</v>
          </cell>
          <cell r="J464">
            <v>2673</v>
          </cell>
          <cell r="K464">
            <v>8020</v>
          </cell>
          <cell r="L464">
            <v>2673</v>
          </cell>
          <cell r="M464">
            <v>8020</v>
          </cell>
          <cell r="N464">
            <v>2673</v>
          </cell>
          <cell r="O464">
            <v>8020</v>
          </cell>
          <cell r="P464">
            <v>2673</v>
          </cell>
          <cell r="Q464">
            <v>8020</v>
          </cell>
          <cell r="R464">
            <v>2673</v>
          </cell>
          <cell r="S464">
            <v>8020</v>
          </cell>
          <cell r="T464">
            <v>2673</v>
          </cell>
          <cell r="U464">
            <v>8020</v>
          </cell>
          <cell r="V464">
            <v>2673</v>
          </cell>
          <cell r="W464">
            <v>8020</v>
          </cell>
          <cell r="X464">
            <v>2673</v>
          </cell>
          <cell r="Y464">
            <v>8020</v>
          </cell>
          <cell r="Z464">
            <v>2673</v>
          </cell>
          <cell r="AD464">
            <v>0.33900000000000002</v>
          </cell>
        </row>
        <row r="465">
          <cell r="E465" t="str">
            <v>エポキシCR-600mm</v>
          </cell>
          <cell r="F465" t="str">
            <v>ｍ</v>
          </cell>
          <cell r="G465">
            <v>8660</v>
          </cell>
          <cell r="H465">
            <v>2886</v>
          </cell>
          <cell r="I465">
            <v>8660</v>
          </cell>
          <cell r="J465">
            <v>2886</v>
          </cell>
          <cell r="K465">
            <v>8660</v>
          </cell>
          <cell r="L465">
            <v>2886</v>
          </cell>
          <cell r="M465">
            <v>8660</v>
          </cell>
          <cell r="N465">
            <v>2886</v>
          </cell>
          <cell r="O465">
            <v>8660</v>
          </cell>
          <cell r="P465">
            <v>2886</v>
          </cell>
          <cell r="Q465">
            <v>8660</v>
          </cell>
          <cell r="R465">
            <v>2886</v>
          </cell>
          <cell r="S465">
            <v>8660</v>
          </cell>
          <cell r="T465">
            <v>2886</v>
          </cell>
          <cell r="U465">
            <v>8660</v>
          </cell>
          <cell r="V465">
            <v>2886</v>
          </cell>
          <cell r="W465">
            <v>8660</v>
          </cell>
          <cell r="X465">
            <v>2886</v>
          </cell>
          <cell r="Y465">
            <v>8660</v>
          </cell>
          <cell r="Z465">
            <v>2886</v>
          </cell>
          <cell r="AD465">
            <v>0.36499999999999999</v>
          </cell>
        </row>
        <row r="466">
          <cell r="E466" t="str">
            <v>エポキシCR-700mm</v>
          </cell>
          <cell r="F466" t="str">
            <v>ｍ</v>
          </cell>
          <cell r="G466">
            <v>9300</v>
          </cell>
          <cell r="H466">
            <v>3100</v>
          </cell>
          <cell r="I466">
            <v>9300</v>
          </cell>
          <cell r="J466">
            <v>3100</v>
          </cell>
          <cell r="K466">
            <v>9300</v>
          </cell>
          <cell r="L466">
            <v>3100</v>
          </cell>
          <cell r="M466">
            <v>9300</v>
          </cell>
          <cell r="N466">
            <v>3100</v>
          </cell>
          <cell r="O466">
            <v>9300</v>
          </cell>
          <cell r="P466">
            <v>3100</v>
          </cell>
          <cell r="Q466">
            <v>9300</v>
          </cell>
          <cell r="R466">
            <v>3100</v>
          </cell>
          <cell r="S466">
            <v>9300</v>
          </cell>
          <cell r="T466">
            <v>3100</v>
          </cell>
          <cell r="U466">
            <v>9300</v>
          </cell>
          <cell r="V466">
            <v>3100</v>
          </cell>
          <cell r="W466">
            <v>9300</v>
          </cell>
          <cell r="X466">
            <v>3100</v>
          </cell>
          <cell r="Y466">
            <v>9300</v>
          </cell>
          <cell r="Z466">
            <v>3100</v>
          </cell>
          <cell r="AD466">
            <v>0.42699999999999999</v>
          </cell>
        </row>
        <row r="467">
          <cell r="E467" t="str">
            <v>エポキシCR-800mm</v>
          </cell>
          <cell r="F467" t="str">
            <v>ｍ</v>
          </cell>
          <cell r="G467">
            <v>9940</v>
          </cell>
          <cell r="H467">
            <v>3313</v>
          </cell>
          <cell r="I467">
            <v>9940</v>
          </cell>
          <cell r="J467">
            <v>3313</v>
          </cell>
          <cell r="K467">
            <v>9940</v>
          </cell>
          <cell r="L467">
            <v>3313</v>
          </cell>
          <cell r="M467">
            <v>9940</v>
          </cell>
          <cell r="N467">
            <v>3313</v>
          </cell>
          <cell r="O467">
            <v>9940</v>
          </cell>
          <cell r="P467">
            <v>3313</v>
          </cell>
          <cell r="Q467">
            <v>9940</v>
          </cell>
          <cell r="R467">
            <v>3313</v>
          </cell>
          <cell r="S467">
            <v>9940</v>
          </cell>
          <cell r="T467">
            <v>3313</v>
          </cell>
          <cell r="U467">
            <v>9940</v>
          </cell>
          <cell r="V467">
            <v>3313</v>
          </cell>
          <cell r="W467">
            <v>9940</v>
          </cell>
          <cell r="X467">
            <v>3313</v>
          </cell>
          <cell r="Y467">
            <v>9940</v>
          </cell>
          <cell r="Z467">
            <v>3313</v>
          </cell>
          <cell r="AD467">
            <v>0.496</v>
          </cell>
        </row>
        <row r="468">
          <cell r="E468" t="str">
            <v>エポキシCR-900mm</v>
          </cell>
          <cell r="F468" t="str">
            <v>ｍ</v>
          </cell>
          <cell r="G468">
            <v>10600</v>
          </cell>
          <cell r="H468">
            <v>3533</v>
          </cell>
          <cell r="I468">
            <v>10600</v>
          </cell>
          <cell r="J468">
            <v>3533</v>
          </cell>
          <cell r="K468">
            <v>10600</v>
          </cell>
          <cell r="L468">
            <v>3533</v>
          </cell>
          <cell r="M468">
            <v>10600</v>
          </cell>
          <cell r="N468">
            <v>3533</v>
          </cell>
          <cell r="O468">
            <v>10600</v>
          </cell>
          <cell r="P468">
            <v>3533</v>
          </cell>
          <cell r="Q468">
            <v>10600</v>
          </cell>
          <cell r="R468">
            <v>3533</v>
          </cell>
          <cell r="S468">
            <v>10600</v>
          </cell>
          <cell r="T468">
            <v>3533</v>
          </cell>
          <cell r="U468">
            <v>10600</v>
          </cell>
          <cell r="V468">
            <v>3533</v>
          </cell>
          <cell r="W468">
            <v>10600</v>
          </cell>
          <cell r="X468">
            <v>3533</v>
          </cell>
          <cell r="Y468">
            <v>10600</v>
          </cell>
          <cell r="Z468">
            <v>3533</v>
          </cell>
          <cell r="AD468">
            <v>0.55400000000000005</v>
          </cell>
        </row>
        <row r="469">
          <cell r="E469" t="str">
            <v>エポキシCR-1000mm</v>
          </cell>
          <cell r="F469" t="str">
            <v>ｍ</v>
          </cell>
          <cell r="G469">
            <v>11200</v>
          </cell>
          <cell r="H469">
            <v>3733</v>
          </cell>
          <cell r="I469">
            <v>11200</v>
          </cell>
          <cell r="J469">
            <v>3733</v>
          </cell>
          <cell r="K469">
            <v>11200</v>
          </cell>
          <cell r="L469">
            <v>3733</v>
          </cell>
          <cell r="M469">
            <v>11200</v>
          </cell>
          <cell r="N469">
            <v>3733</v>
          </cell>
          <cell r="O469">
            <v>11200</v>
          </cell>
          <cell r="P469">
            <v>3733</v>
          </cell>
          <cell r="Q469">
            <v>11200</v>
          </cell>
          <cell r="R469">
            <v>3733</v>
          </cell>
          <cell r="S469">
            <v>11200</v>
          </cell>
          <cell r="T469">
            <v>3733</v>
          </cell>
          <cell r="U469">
            <v>11200</v>
          </cell>
          <cell r="V469">
            <v>3733</v>
          </cell>
          <cell r="W469">
            <v>11200</v>
          </cell>
          <cell r="X469">
            <v>3733</v>
          </cell>
          <cell r="Y469">
            <v>11200</v>
          </cell>
          <cell r="Z469">
            <v>3733</v>
          </cell>
          <cell r="AD469">
            <v>0.61699999999999999</v>
          </cell>
        </row>
        <row r="470">
          <cell r="E470" t="str">
            <v>エポキシCR-1200mm</v>
          </cell>
          <cell r="F470" t="str">
            <v>ｍ</v>
          </cell>
          <cell r="G470">
            <v>15600</v>
          </cell>
          <cell r="H470">
            <v>5200</v>
          </cell>
          <cell r="I470">
            <v>15600</v>
          </cell>
          <cell r="J470">
            <v>5200</v>
          </cell>
          <cell r="K470">
            <v>15600</v>
          </cell>
          <cell r="L470">
            <v>5200</v>
          </cell>
          <cell r="M470">
            <v>15600</v>
          </cell>
          <cell r="N470">
            <v>5200</v>
          </cell>
          <cell r="O470">
            <v>15600</v>
          </cell>
          <cell r="P470">
            <v>5200</v>
          </cell>
          <cell r="Q470">
            <v>15600</v>
          </cell>
          <cell r="R470">
            <v>5200</v>
          </cell>
          <cell r="S470">
            <v>15600</v>
          </cell>
          <cell r="T470">
            <v>5200</v>
          </cell>
          <cell r="U470">
            <v>15600</v>
          </cell>
          <cell r="V470">
            <v>5200</v>
          </cell>
          <cell r="W470">
            <v>15600</v>
          </cell>
          <cell r="X470">
            <v>5200</v>
          </cell>
          <cell r="Y470">
            <v>15600</v>
          </cell>
          <cell r="Z470">
            <v>5200</v>
          </cell>
          <cell r="AD470">
            <v>0.74</v>
          </cell>
        </row>
        <row r="471">
          <cell r="E471" t="str">
            <v>溶融亜鉛CR-200mm</v>
          </cell>
          <cell r="F471" t="str">
            <v>ｍ</v>
          </cell>
          <cell r="G471">
            <v>8460</v>
          </cell>
          <cell r="H471">
            <v>2820</v>
          </cell>
          <cell r="I471">
            <v>8460</v>
          </cell>
          <cell r="J471">
            <v>2820</v>
          </cell>
          <cell r="K471">
            <v>8460</v>
          </cell>
          <cell r="L471">
            <v>2820</v>
          </cell>
          <cell r="M471">
            <v>8460</v>
          </cell>
          <cell r="N471">
            <v>2820</v>
          </cell>
          <cell r="O471">
            <v>8460</v>
          </cell>
          <cell r="P471">
            <v>2820</v>
          </cell>
          <cell r="Q471">
            <v>8460</v>
          </cell>
          <cell r="R471">
            <v>2820</v>
          </cell>
          <cell r="S471">
            <v>8460</v>
          </cell>
          <cell r="T471">
            <v>2820</v>
          </cell>
          <cell r="U471">
            <v>8460</v>
          </cell>
          <cell r="V471">
            <v>2820</v>
          </cell>
          <cell r="W471">
            <v>8460</v>
          </cell>
          <cell r="X471">
            <v>2820</v>
          </cell>
          <cell r="Y471">
            <v>8460</v>
          </cell>
          <cell r="Z471">
            <v>2820</v>
          </cell>
          <cell r="AD471">
            <v>0.183</v>
          </cell>
        </row>
        <row r="472">
          <cell r="E472" t="str">
            <v>溶融亜鉛CR-300mm</v>
          </cell>
          <cell r="F472" t="str">
            <v>ｍ</v>
          </cell>
          <cell r="G472">
            <v>8970</v>
          </cell>
          <cell r="H472">
            <v>2990</v>
          </cell>
          <cell r="I472">
            <v>8970</v>
          </cell>
          <cell r="J472">
            <v>2990</v>
          </cell>
          <cell r="K472">
            <v>8970</v>
          </cell>
          <cell r="L472">
            <v>2990</v>
          </cell>
          <cell r="M472">
            <v>8970</v>
          </cell>
          <cell r="N472">
            <v>2990</v>
          </cell>
          <cell r="O472">
            <v>8970</v>
          </cell>
          <cell r="P472">
            <v>2990</v>
          </cell>
          <cell r="Q472">
            <v>8970</v>
          </cell>
          <cell r="R472">
            <v>2990</v>
          </cell>
          <cell r="S472">
            <v>8970</v>
          </cell>
          <cell r="T472">
            <v>2990</v>
          </cell>
          <cell r="U472">
            <v>8970</v>
          </cell>
          <cell r="V472">
            <v>2990</v>
          </cell>
          <cell r="W472">
            <v>8970</v>
          </cell>
          <cell r="X472">
            <v>2990</v>
          </cell>
          <cell r="Y472">
            <v>8970</v>
          </cell>
          <cell r="Z472">
            <v>2990</v>
          </cell>
          <cell r="AD472">
            <v>0.24299999999999999</v>
          </cell>
        </row>
        <row r="473">
          <cell r="E473" t="str">
            <v>溶融亜鉛CR-400mm</v>
          </cell>
          <cell r="F473" t="str">
            <v>ｍ</v>
          </cell>
          <cell r="G473">
            <v>9490</v>
          </cell>
          <cell r="H473">
            <v>3163</v>
          </cell>
          <cell r="I473">
            <v>9490</v>
          </cell>
          <cell r="J473">
            <v>3163</v>
          </cell>
          <cell r="K473">
            <v>9490</v>
          </cell>
          <cell r="L473">
            <v>3163</v>
          </cell>
          <cell r="M473">
            <v>9490</v>
          </cell>
          <cell r="N473">
            <v>3163</v>
          </cell>
          <cell r="O473">
            <v>9490</v>
          </cell>
          <cell r="P473">
            <v>3163</v>
          </cell>
          <cell r="Q473">
            <v>9490</v>
          </cell>
          <cell r="R473">
            <v>3163</v>
          </cell>
          <cell r="S473">
            <v>9490</v>
          </cell>
          <cell r="T473">
            <v>3163</v>
          </cell>
          <cell r="U473">
            <v>9490</v>
          </cell>
          <cell r="V473">
            <v>3163</v>
          </cell>
          <cell r="W473">
            <v>9490</v>
          </cell>
          <cell r="X473">
            <v>3163</v>
          </cell>
          <cell r="Y473">
            <v>9490</v>
          </cell>
          <cell r="Z473">
            <v>3163</v>
          </cell>
          <cell r="AD473">
            <v>0.29599999999999999</v>
          </cell>
        </row>
        <row r="474">
          <cell r="E474" t="str">
            <v>溶融亜鉛CR-500mm</v>
          </cell>
          <cell r="F474" t="str">
            <v>ｍ</v>
          </cell>
          <cell r="G474">
            <v>10200</v>
          </cell>
          <cell r="H474">
            <v>3400</v>
          </cell>
          <cell r="I474">
            <v>10200</v>
          </cell>
          <cell r="J474">
            <v>3400</v>
          </cell>
          <cell r="K474">
            <v>10200</v>
          </cell>
          <cell r="L474">
            <v>3400</v>
          </cell>
          <cell r="M474">
            <v>10200</v>
          </cell>
          <cell r="N474">
            <v>3400</v>
          </cell>
          <cell r="O474">
            <v>10200</v>
          </cell>
          <cell r="P474">
            <v>3400</v>
          </cell>
          <cell r="Q474">
            <v>10200</v>
          </cell>
          <cell r="R474">
            <v>3400</v>
          </cell>
          <cell r="S474">
            <v>10200</v>
          </cell>
          <cell r="T474">
            <v>3400</v>
          </cell>
          <cell r="U474">
            <v>10200</v>
          </cell>
          <cell r="V474">
            <v>3400</v>
          </cell>
          <cell r="W474">
            <v>10200</v>
          </cell>
          <cell r="X474">
            <v>3400</v>
          </cell>
          <cell r="Y474">
            <v>10200</v>
          </cell>
          <cell r="Z474">
            <v>3400</v>
          </cell>
          <cell r="AD474">
            <v>0.33900000000000002</v>
          </cell>
        </row>
        <row r="475">
          <cell r="E475" t="str">
            <v>溶融亜鉛CR-600mm</v>
          </cell>
          <cell r="F475" t="str">
            <v>ｍ</v>
          </cell>
          <cell r="G475">
            <v>10800</v>
          </cell>
          <cell r="H475">
            <v>3600</v>
          </cell>
          <cell r="I475">
            <v>10800</v>
          </cell>
          <cell r="J475">
            <v>3600</v>
          </cell>
          <cell r="K475">
            <v>10800</v>
          </cell>
          <cell r="L475">
            <v>3600</v>
          </cell>
          <cell r="M475">
            <v>10800</v>
          </cell>
          <cell r="N475">
            <v>3600</v>
          </cell>
          <cell r="O475">
            <v>10800</v>
          </cell>
          <cell r="P475">
            <v>3600</v>
          </cell>
          <cell r="Q475">
            <v>10800</v>
          </cell>
          <cell r="R475">
            <v>3600</v>
          </cell>
          <cell r="S475">
            <v>10800</v>
          </cell>
          <cell r="T475">
            <v>3600</v>
          </cell>
          <cell r="U475">
            <v>10800</v>
          </cell>
          <cell r="V475">
            <v>3600</v>
          </cell>
          <cell r="W475">
            <v>10800</v>
          </cell>
          <cell r="X475">
            <v>3600</v>
          </cell>
          <cell r="Y475">
            <v>10800</v>
          </cell>
          <cell r="Z475">
            <v>3600</v>
          </cell>
          <cell r="AD475">
            <v>0.36499999999999999</v>
          </cell>
        </row>
        <row r="476">
          <cell r="E476" t="str">
            <v>溶融亜鉛CR-700mm</v>
          </cell>
          <cell r="F476" t="str">
            <v>ｍ</v>
          </cell>
          <cell r="G476">
            <v>11600</v>
          </cell>
          <cell r="H476">
            <v>3866</v>
          </cell>
          <cell r="I476">
            <v>11600</v>
          </cell>
          <cell r="J476">
            <v>3866</v>
          </cell>
          <cell r="K476">
            <v>11600</v>
          </cell>
          <cell r="L476">
            <v>3866</v>
          </cell>
          <cell r="M476">
            <v>11600</v>
          </cell>
          <cell r="N476">
            <v>3866</v>
          </cell>
          <cell r="O476">
            <v>11600</v>
          </cell>
          <cell r="P476">
            <v>3866</v>
          </cell>
          <cell r="Q476">
            <v>11600</v>
          </cell>
          <cell r="R476">
            <v>3866</v>
          </cell>
          <cell r="S476">
            <v>11600</v>
          </cell>
          <cell r="T476">
            <v>3866</v>
          </cell>
          <cell r="U476">
            <v>11600</v>
          </cell>
          <cell r="V476">
            <v>3866</v>
          </cell>
          <cell r="W476">
            <v>11600</v>
          </cell>
          <cell r="X476">
            <v>3866</v>
          </cell>
          <cell r="Y476">
            <v>11600</v>
          </cell>
          <cell r="Z476">
            <v>3866</v>
          </cell>
          <cell r="AD476">
            <v>0.42699999999999999</v>
          </cell>
        </row>
        <row r="477">
          <cell r="E477" t="str">
            <v>溶融亜鉛CR-800mm</v>
          </cell>
          <cell r="F477" t="str">
            <v>ｍ</v>
          </cell>
          <cell r="G477">
            <v>12300</v>
          </cell>
          <cell r="H477">
            <v>4100</v>
          </cell>
          <cell r="I477">
            <v>12300</v>
          </cell>
          <cell r="J477">
            <v>4100</v>
          </cell>
          <cell r="K477">
            <v>12300</v>
          </cell>
          <cell r="L477">
            <v>4100</v>
          </cell>
          <cell r="M477">
            <v>12300</v>
          </cell>
          <cell r="N477">
            <v>4100</v>
          </cell>
          <cell r="O477">
            <v>12300</v>
          </cell>
          <cell r="P477">
            <v>4100</v>
          </cell>
          <cell r="Q477">
            <v>12300</v>
          </cell>
          <cell r="R477">
            <v>4100</v>
          </cell>
          <cell r="S477">
            <v>12300</v>
          </cell>
          <cell r="T477">
            <v>4100</v>
          </cell>
          <cell r="U477">
            <v>12300</v>
          </cell>
          <cell r="V477">
            <v>4100</v>
          </cell>
          <cell r="W477">
            <v>12300</v>
          </cell>
          <cell r="X477">
            <v>4100</v>
          </cell>
          <cell r="Y477">
            <v>12300</v>
          </cell>
          <cell r="Z477">
            <v>4100</v>
          </cell>
          <cell r="AD477">
            <v>0.496</v>
          </cell>
        </row>
        <row r="478">
          <cell r="E478" t="str">
            <v>溶融亜鉛CR-900mm</v>
          </cell>
          <cell r="F478" t="str">
            <v>ｍ</v>
          </cell>
          <cell r="G478">
            <v>13000</v>
          </cell>
          <cell r="H478">
            <v>4333</v>
          </cell>
          <cell r="I478">
            <v>13000</v>
          </cell>
          <cell r="J478">
            <v>4333</v>
          </cell>
          <cell r="K478">
            <v>13000</v>
          </cell>
          <cell r="L478">
            <v>4333</v>
          </cell>
          <cell r="M478">
            <v>13000</v>
          </cell>
          <cell r="N478">
            <v>4333</v>
          </cell>
          <cell r="O478">
            <v>13000</v>
          </cell>
          <cell r="P478">
            <v>4333</v>
          </cell>
          <cell r="Q478">
            <v>13000</v>
          </cell>
          <cell r="R478">
            <v>4333</v>
          </cell>
          <cell r="S478">
            <v>13000</v>
          </cell>
          <cell r="T478">
            <v>4333</v>
          </cell>
          <cell r="U478">
            <v>13000</v>
          </cell>
          <cell r="V478">
            <v>4333</v>
          </cell>
          <cell r="W478">
            <v>13000</v>
          </cell>
          <cell r="X478">
            <v>4333</v>
          </cell>
          <cell r="Y478">
            <v>13000</v>
          </cell>
          <cell r="Z478">
            <v>4333</v>
          </cell>
          <cell r="AD478">
            <v>0.55400000000000005</v>
          </cell>
        </row>
        <row r="479">
          <cell r="E479" t="str">
            <v>溶融亜鉛CR-1000mm</v>
          </cell>
          <cell r="F479" t="str">
            <v>ｍ</v>
          </cell>
          <cell r="G479">
            <v>13700</v>
          </cell>
          <cell r="H479">
            <v>4566</v>
          </cell>
          <cell r="I479">
            <v>13700</v>
          </cell>
          <cell r="J479">
            <v>4566</v>
          </cell>
          <cell r="K479">
            <v>13700</v>
          </cell>
          <cell r="L479">
            <v>4566</v>
          </cell>
          <cell r="M479">
            <v>13700</v>
          </cell>
          <cell r="N479">
            <v>4566</v>
          </cell>
          <cell r="O479">
            <v>13700</v>
          </cell>
          <cell r="P479">
            <v>4566</v>
          </cell>
          <cell r="Q479">
            <v>13700</v>
          </cell>
          <cell r="R479">
            <v>4566</v>
          </cell>
          <cell r="S479">
            <v>13700</v>
          </cell>
          <cell r="T479">
            <v>4566</v>
          </cell>
          <cell r="U479">
            <v>13700</v>
          </cell>
          <cell r="V479">
            <v>4566</v>
          </cell>
          <cell r="W479">
            <v>13700</v>
          </cell>
          <cell r="X479">
            <v>4566</v>
          </cell>
          <cell r="Y479">
            <v>13700</v>
          </cell>
          <cell r="Z479">
            <v>4566</v>
          </cell>
          <cell r="AD479">
            <v>0.61699999999999999</v>
          </cell>
        </row>
        <row r="480">
          <cell r="E480" t="str">
            <v>溶融亜鉛CR-1200mm</v>
          </cell>
          <cell r="F480" t="str">
            <v>ｍ</v>
          </cell>
          <cell r="G480">
            <v>19700</v>
          </cell>
          <cell r="H480">
            <v>6566</v>
          </cell>
          <cell r="I480">
            <v>19700</v>
          </cell>
          <cell r="J480">
            <v>6566</v>
          </cell>
          <cell r="K480">
            <v>19700</v>
          </cell>
          <cell r="L480">
            <v>6566</v>
          </cell>
          <cell r="M480">
            <v>19700</v>
          </cell>
          <cell r="N480">
            <v>6566</v>
          </cell>
          <cell r="O480">
            <v>19700</v>
          </cell>
          <cell r="P480">
            <v>6566</v>
          </cell>
          <cell r="Q480">
            <v>19700</v>
          </cell>
          <cell r="R480">
            <v>6566</v>
          </cell>
          <cell r="S480">
            <v>19700</v>
          </cell>
          <cell r="T480">
            <v>6566</v>
          </cell>
          <cell r="U480">
            <v>19700</v>
          </cell>
          <cell r="V480">
            <v>6566</v>
          </cell>
          <cell r="W480">
            <v>19700</v>
          </cell>
          <cell r="X480">
            <v>6566</v>
          </cell>
          <cell r="Y480">
            <v>19700</v>
          </cell>
          <cell r="Z480">
            <v>6566</v>
          </cell>
          <cell r="AD480">
            <v>0.74</v>
          </cell>
        </row>
        <row r="481">
          <cell r="E481" t="str">
            <v>ZAM製CR-200mm</v>
          </cell>
          <cell r="F481" t="str">
            <v>ｍ</v>
          </cell>
          <cell r="G481">
            <v>6950</v>
          </cell>
          <cell r="H481">
            <v>2316</v>
          </cell>
          <cell r="I481">
            <v>6950</v>
          </cell>
          <cell r="J481">
            <v>2316</v>
          </cell>
          <cell r="K481">
            <v>6950</v>
          </cell>
          <cell r="L481">
            <v>2316</v>
          </cell>
          <cell r="M481">
            <v>6950</v>
          </cell>
          <cell r="N481">
            <v>2316</v>
          </cell>
          <cell r="O481">
            <v>6950</v>
          </cell>
          <cell r="P481">
            <v>2316</v>
          </cell>
          <cell r="Q481">
            <v>6950</v>
          </cell>
          <cell r="R481">
            <v>2316</v>
          </cell>
          <cell r="S481">
            <v>6950</v>
          </cell>
          <cell r="T481">
            <v>2316</v>
          </cell>
          <cell r="U481">
            <v>6950</v>
          </cell>
          <cell r="V481">
            <v>2316</v>
          </cell>
          <cell r="W481">
            <v>6950</v>
          </cell>
          <cell r="X481">
            <v>2316</v>
          </cell>
          <cell r="Y481">
            <v>6950</v>
          </cell>
          <cell r="Z481">
            <v>2316</v>
          </cell>
          <cell r="AD481">
            <v>0.183</v>
          </cell>
        </row>
        <row r="482">
          <cell r="E482" t="str">
            <v>ZAM製CR-300mm</v>
          </cell>
          <cell r="F482" t="str">
            <v>ｍ</v>
          </cell>
          <cell r="G482">
            <v>7590</v>
          </cell>
          <cell r="H482">
            <v>2530</v>
          </cell>
          <cell r="I482">
            <v>7590</v>
          </cell>
          <cell r="J482">
            <v>2530</v>
          </cell>
          <cell r="K482">
            <v>7590</v>
          </cell>
          <cell r="L482">
            <v>2530</v>
          </cell>
          <cell r="M482">
            <v>7590</v>
          </cell>
          <cell r="N482">
            <v>2530</v>
          </cell>
          <cell r="O482">
            <v>7590</v>
          </cell>
          <cell r="P482">
            <v>2530</v>
          </cell>
          <cell r="Q482">
            <v>7590</v>
          </cell>
          <cell r="R482">
            <v>2530</v>
          </cell>
          <cell r="S482">
            <v>7590</v>
          </cell>
          <cell r="T482">
            <v>2530</v>
          </cell>
          <cell r="U482">
            <v>7590</v>
          </cell>
          <cell r="V482">
            <v>2530</v>
          </cell>
          <cell r="W482">
            <v>7590</v>
          </cell>
          <cell r="X482">
            <v>2530</v>
          </cell>
          <cell r="Y482">
            <v>7590</v>
          </cell>
          <cell r="Z482">
            <v>2530</v>
          </cell>
          <cell r="AD482">
            <v>0.24299999999999999</v>
          </cell>
        </row>
        <row r="483">
          <cell r="E483" t="str">
            <v>ZAM製CR-400mm</v>
          </cell>
          <cell r="F483" t="str">
            <v>ｍ</v>
          </cell>
          <cell r="G483">
            <v>8240</v>
          </cell>
          <cell r="H483">
            <v>2746</v>
          </cell>
          <cell r="I483">
            <v>8240</v>
          </cell>
          <cell r="J483">
            <v>2746</v>
          </cell>
          <cell r="K483">
            <v>8240</v>
          </cell>
          <cell r="L483">
            <v>2746</v>
          </cell>
          <cell r="M483">
            <v>8240</v>
          </cell>
          <cell r="N483">
            <v>2746</v>
          </cell>
          <cell r="O483">
            <v>8240</v>
          </cell>
          <cell r="P483">
            <v>2746</v>
          </cell>
          <cell r="Q483">
            <v>8240</v>
          </cell>
          <cell r="R483">
            <v>2746</v>
          </cell>
          <cell r="S483">
            <v>8240</v>
          </cell>
          <cell r="T483">
            <v>2746</v>
          </cell>
          <cell r="U483">
            <v>8240</v>
          </cell>
          <cell r="V483">
            <v>2746</v>
          </cell>
          <cell r="W483">
            <v>8240</v>
          </cell>
          <cell r="X483">
            <v>2746</v>
          </cell>
          <cell r="Y483">
            <v>8240</v>
          </cell>
          <cell r="Z483">
            <v>2746</v>
          </cell>
          <cell r="AD483">
            <v>0.29599999999999999</v>
          </cell>
        </row>
        <row r="484">
          <cell r="E484" t="str">
            <v>ZAM製CR-500mm</v>
          </cell>
          <cell r="F484" t="str">
            <v>ｍ</v>
          </cell>
          <cell r="G484">
            <v>8900</v>
          </cell>
          <cell r="H484">
            <v>2966</v>
          </cell>
          <cell r="I484">
            <v>8900</v>
          </cell>
          <cell r="J484">
            <v>2966</v>
          </cell>
          <cell r="K484">
            <v>8900</v>
          </cell>
          <cell r="L484">
            <v>2966</v>
          </cell>
          <cell r="M484">
            <v>8900</v>
          </cell>
          <cell r="N484">
            <v>2966</v>
          </cell>
          <cell r="O484">
            <v>8900</v>
          </cell>
          <cell r="P484">
            <v>2966</v>
          </cell>
          <cell r="Q484">
            <v>8900</v>
          </cell>
          <cell r="R484">
            <v>2966</v>
          </cell>
          <cell r="S484">
            <v>8900</v>
          </cell>
          <cell r="T484">
            <v>2966</v>
          </cell>
          <cell r="U484">
            <v>8900</v>
          </cell>
          <cell r="V484">
            <v>2966</v>
          </cell>
          <cell r="W484">
            <v>8900</v>
          </cell>
          <cell r="X484">
            <v>2966</v>
          </cell>
          <cell r="Y484">
            <v>8900</v>
          </cell>
          <cell r="Z484">
            <v>2966</v>
          </cell>
          <cell r="AD484">
            <v>0.33900000000000002</v>
          </cell>
        </row>
        <row r="485">
          <cell r="E485" t="str">
            <v>ZAM製CR-600mm</v>
          </cell>
          <cell r="F485" t="str">
            <v>ｍ</v>
          </cell>
          <cell r="G485">
            <v>9560</v>
          </cell>
          <cell r="H485">
            <v>3186</v>
          </cell>
          <cell r="I485">
            <v>9560</v>
          </cell>
          <cell r="J485">
            <v>3186</v>
          </cell>
          <cell r="K485">
            <v>9560</v>
          </cell>
          <cell r="L485">
            <v>3186</v>
          </cell>
          <cell r="M485">
            <v>9560</v>
          </cell>
          <cell r="N485">
            <v>3186</v>
          </cell>
          <cell r="O485">
            <v>9560</v>
          </cell>
          <cell r="P485">
            <v>3186</v>
          </cell>
          <cell r="Q485">
            <v>9560</v>
          </cell>
          <cell r="R485">
            <v>3186</v>
          </cell>
          <cell r="S485">
            <v>9560</v>
          </cell>
          <cell r="T485">
            <v>3186</v>
          </cell>
          <cell r="U485">
            <v>9560</v>
          </cell>
          <cell r="V485">
            <v>3186</v>
          </cell>
          <cell r="W485">
            <v>9560</v>
          </cell>
          <cell r="X485">
            <v>3186</v>
          </cell>
          <cell r="Y485">
            <v>9560</v>
          </cell>
          <cell r="Z485">
            <v>3186</v>
          </cell>
          <cell r="AD485">
            <v>0.36499999999999999</v>
          </cell>
        </row>
        <row r="486">
          <cell r="E486" t="str">
            <v>ZAM製CR-700mm</v>
          </cell>
          <cell r="F486" t="str">
            <v>ｍ</v>
          </cell>
          <cell r="G486">
            <v>10200</v>
          </cell>
          <cell r="H486">
            <v>3400</v>
          </cell>
          <cell r="I486">
            <v>10200</v>
          </cell>
          <cell r="J486">
            <v>3400</v>
          </cell>
          <cell r="K486">
            <v>10200</v>
          </cell>
          <cell r="L486">
            <v>3400</v>
          </cell>
          <cell r="M486">
            <v>10200</v>
          </cell>
          <cell r="N486">
            <v>3400</v>
          </cell>
          <cell r="O486">
            <v>10200</v>
          </cell>
          <cell r="P486">
            <v>3400</v>
          </cell>
          <cell r="Q486">
            <v>10200</v>
          </cell>
          <cell r="R486">
            <v>3400</v>
          </cell>
          <cell r="S486">
            <v>10200</v>
          </cell>
          <cell r="T486">
            <v>3400</v>
          </cell>
          <cell r="U486">
            <v>10200</v>
          </cell>
          <cell r="V486">
            <v>3400</v>
          </cell>
          <cell r="W486">
            <v>10200</v>
          </cell>
          <cell r="X486">
            <v>3400</v>
          </cell>
          <cell r="Y486">
            <v>10200</v>
          </cell>
          <cell r="Z486">
            <v>3400</v>
          </cell>
          <cell r="AD486">
            <v>0.42699999999999999</v>
          </cell>
        </row>
        <row r="487">
          <cell r="E487" t="str">
            <v>ZAM製CR-800mm</v>
          </cell>
          <cell r="F487" t="str">
            <v>ｍ</v>
          </cell>
          <cell r="G487">
            <v>10900</v>
          </cell>
          <cell r="H487">
            <v>3633</v>
          </cell>
          <cell r="I487">
            <v>10900</v>
          </cell>
          <cell r="J487">
            <v>3633</v>
          </cell>
          <cell r="K487">
            <v>10900</v>
          </cell>
          <cell r="L487">
            <v>3633</v>
          </cell>
          <cell r="M487">
            <v>10900</v>
          </cell>
          <cell r="N487">
            <v>3633</v>
          </cell>
          <cell r="O487">
            <v>10900</v>
          </cell>
          <cell r="P487">
            <v>3633</v>
          </cell>
          <cell r="Q487">
            <v>10900</v>
          </cell>
          <cell r="R487">
            <v>3633</v>
          </cell>
          <cell r="S487">
            <v>10900</v>
          </cell>
          <cell r="T487">
            <v>3633</v>
          </cell>
          <cell r="U487">
            <v>10900</v>
          </cell>
          <cell r="V487">
            <v>3633</v>
          </cell>
          <cell r="W487">
            <v>10900</v>
          </cell>
          <cell r="X487">
            <v>3633</v>
          </cell>
          <cell r="Y487">
            <v>10900</v>
          </cell>
          <cell r="Z487">
            <v>3633</v>
          </cell>
          <cell r="AD487">
            <v>0.496</v>
          </cell>
        </row>
        <row r="488">
          <cell r="E488" t="str">
            <v>ZAM製CR-900mm</v>
          </cell>
          <cell r="F488" t="str">
            <v>ｍ</v>
          </cell>
          <cell r="G488">
            <v>11600</v>
          </cell>
          <cell r="H488">
            <v>3866</v>
          </cell>
          <cell r="I488">
            <v>11600</v>
          </cell>
          <cell r="J488">
            <v>3866</v>
          </cell>
          <cell r="K488">
            <v>11600</v>
          </cell>
          <cell r="L488">
            <v>3866</v>
          </cell>
          <cell r="M488">
            <v>11600</v>
          </cell>
          <cell r="N488">
            <v>3866</v>
          </cell>
          <cell r="O488">
            <v>11600</v>
          </cell>
          <cell r="P488">
            <v>3866</v>
          </cell>
          <cell r="Q488">
            <v>11600</v>
          </cell>
          <cell r="R488">
            <v>3866</v>
          </cell>
          <cell r="S488">
            <v>11600</v>
          </cell>
          <cell r="T488">
            <v>3866</v>
          </cell>
          <cell r="U488">
            <v>11600</v>
          </cell>
          <cell r="V488">
            <v>3866</v>
          </cell>
          <cell r="W488">
            <v>11600</v>
          </cell>
          <cell r="X488">
            <v>3866</v>
          </cell>
          <cell r="Y488">
            <v>11600</v>
          </cell>
          <cell r="Z488">
            <v>3866</v>
          </cell>
          <cell r="AD488">
            <v>0.55400000000000005</v>
          </cell>
        </row>
        <row r="489">
          <cell r="E489" t="str">
            <v>ZAM製CR-1000mm</v>
          </cell>
          <cell r="F489" t="str">
            <v>ｍ</v>
          </cell>
          <cell r="G489">
            <v>12500</v>
          </cell>
          <cell r="H489">
            <v>4166</v>
          </cell>
          <cell r="I489">
            <v>12500</v>
          </cell>
          <cell r="J489">
            <v>4166</v>
          </cell>
          <cell r="K489">
            <v>12500</v>
          </cell>
          <cell r="L489">
            <v>4166</v>
          </cell>
          <cell r="M489">
            <v>12500</v>
          </cell>
          <cell r="N489">
            <v>4166</v>
          </cell>
          <cell r="O489">
            <v>12500</v>
          </cell>
          <cell r="P489">
            <v>4166</v>
          </cell>
          <cell r="Q489">
            <v>12500</v>
          </cell>
          <cell r="R489">
            <v>4166</v>
          </cell>
          <cell r="S489">
            <v>12500</v>
          </cell>
          <cell r="T489">
            <v>4166</v>
          </cell>
          <cell r="U489">
            <v>12500</v>
          </cell>
          <cell r="V489">
            <v>4166</v>
          </cell>
          <cell r="W489">
            <v>12500</v>
          </cell>
          <cell r="X489">
            <v>4166</v>
          </cell>
          <cell r="Y489">
            <v>12500</v>
          </cell>
          <cell r="Z489">
            <v>4166</v>
          </cell>
          <cell r="AD489">
            <v>0.61699999999999999</v>
          </cell>
        </row>
        <row r="490">
          <cell r="E490" t="str">
            <v>ZAM製CR-1200mm</v>
          </cell>
          <cell r="F490" t="str">
            <v>ｍ</v>
          </cell>
          <cell r="G490">
            <v>16700</v>
          </cell>
          <cell r="H490">
            <v>5566</v>
          </cell>
          <cell r="I490">
            <v>16700</v>
          </cell>
          <cell r="J490">
            <v>5566</v>
          </cell>
          <cell r="K490">
            <v>16700</v>
          </cell>
          <cell r="L490">
            <v>5566</v>
          </cell>
          <cell r="M490">
            <v>16700</v>
          </cell>
          <cell r="N490">
            <v>5566</v>
          </cell>
          <cell r="O490">
            <v>16700</v>
          </cell>
          <cell r="P490">
            <v>5566</v>
          </cell>
          <cell r="Q490">
            <v>16700</v>
          </cell>
          <cell r="R490">
            <v>5566</v>
          </cell>
          <cell r="S490">
            <v>16700</v>
          </cell>
          <cell r="T490">
            <v>5566</v>
          </cell>
          <cell r="U490">
            <v>16700</v>
          </cell>
          <cell r="V490">
            <v>5566</v>
          </cell>
          <cell r="W490">
            <v>16700</v>
          </cell>
          <cell r="X490">
            <v>5566</v>
          </cell>
          <cell r="Y490">
            <v>16700</v>
          </cell>
          <cell r="Z490">
            <v>5566</v>
          </cell>
          <cell r="AD490">
            <v>0.74</v>
          </cell>
        </row>
        <row r="491">
          <cell r="E491" t="str">
            <v>G鋼板製CR-200mm</v>
          </cell>
          <cell r="F491" t="str">
            <v>ｍ</v>
          </cell>
          <cell r="G491">
            <v>7150</v>
          </cell>
          <cell r="H491">
            <v>2383</v>
          </cell>
          <cell r="I491">
            <v>7150</v>
          </cell>
          <cell r="J491">
            <v>2383</v>
          </cell>
          <cell r="K491">
            <v>7150</v>
          </cell>
          <cell r="L491">
            <v>2383</v>
          </cell>
          <cell r="M491">
            <v>7150</v>
          </cell>
          <cell r="N491">
            <v>2383</v>
          </cell>
          <cell r="O491">
            <v>7150</v>
          </cell>
          <cell r="P491">
            <v>2383</v>
          </cell>
          <cell r="Q491">
            <v>7150</v>
          </cell>
          <cell r="R491">
            <v>2383</v>
          </cell>
          <cell r="S491">
            <v>7150</v>
          </cell>
          <cell r="T491">
            <v>2383</v>
          </cell>
          <cell r="U491">
            <v>7150</v>
          </cell>
          <cell r="V491">
            <v>2383</v>
          </cell>
          <cell r="W491">
            <v>7150</v>
          </cell>
          <cell r="X491">
            <v>2383</v>
          </cell>
          <cell r="Y491">
            <v>7150</v>
          </cell>
          <cell r="Z491">
            <v>2383</v>
          </cell>
          <cell r="AD491">
            <v>0.183</v>
          </cell>
        </row>
        <row r="492">
          <cell r="E492" t="str">
            <v>G鋼板製CR-300mm</v>
          </cell>
          <cell r="F492" t="str">
            <v>ｍ</v>
          </cell>
          <cell r="G492">
            <v>7950</v>
          </cell>
          <cell r="H492">
            <v>2650</v>
          </cell>
          <cell r="I492">
            <v>7950</v>
          </cell>
          <cell r="J492">
            <v>2650</v>
          </cell>
          <cell r="K492">
            <v>7950</v>
          </cell>
          <cell r="L492">
            <v>2650</v>
          </cell>
          <cell r="M492">
            <v>7950</v>
          </cell>
          <cell r="N492">
            <v>2650</v>
          </cell>
          <cell r="O492">
            <v>7950</v>
          </cell>
          <cell r="P492">
            <v>2650</v>
          </cell>
          <cell r="Q492">
            <v>7950</v>
          </cell>
          <cell r="R492">
            <v>2650</v>
          </cell>
          <cell r="S492">
            <v>7950</v>
          </cell>
          <cell r="T492">
            <v>2650</v>
          </cell>
          <cell r="U492">
            <v>7950</v>
          </cell>
          <cell r="V492">
            <v>2650</v>
          </cell>
          <cell r="W492">
            <v>7950</v>
          </cell>
          <cell r="X492">
            <v>2650</v>
          </cell>
          <cell r="Y492">
            <v>7950</v>
          </cell>
          <cell r="Z492">
            <v>2650</v>
          </cell>
          <cell r="AD492">
            <v>0.24299999999999999</v>
          </cell>
        </row>
        <row r="493">
          <cell r="E493" t="str">
            <v>G鋼板製CR-400mm</v>
          </cell>
          <cell r="F493" t="str">
            <v>ｍ</v>
          </cell>
          <cell r="G493">
            <v>8440</v>
          </cell>
          <cell r="H493">
            <v>2813</v>
          </cell>
          <cell r="I493">
            <v>8440</v>
          </cell>
          <cell r="J493">
            <v>2813</v>
          </cell>
          <cell r="K493">
            <v>8440</v>
          </cell>
          <cell r="L493">
            <v>2813</v>
          </cell>
          <cell r="M493">
            <v>8440</v>
          </cell>
          <cell r="N493">
            <v>2813</v>
          </cell>
          <cell r="O493">
            <v>8440</v>
          </cell>
          <cell r="P493">
            <v>2813</v>
          </cell>
          <cell r="Q493">
            <v>8440</v>
          </cell>
          <cell r="R493">
            <v>2813</v>
          </cell>
          <cell r="S493">
            <v>8440</v>
          </cell>
          <cell r="T493">
            <v>2813</v>
          </cell>
          <cell r="U493">
            <v>8440</v>
          </cell>
          <cell r="V493">
            <v>2813</v>
          </cell>
          <cell r="W493">
            <v>8440</v>
          </cell>
          <cell r="X493">
            <v>2813</v>
          </cell>
          <cell r="Y493">
            <v>8440</v>
          </cell>
          <cell r="Z493">
            <v>2813</v>
          </cell>
          <cell r="AD493">
            <v>0.29599999999999999</v>
          </cell>
        </row>
        <row r="494">
          <cell r="E494" t="str">
            <v>G鋼板製CR-500mm</v>
          </cell>
          <cell r="F494" t="str">
            <v>ｍ</v>
          </cell>
          <cell r="G494">
            <v>8870</v>
          </cell>
          <cell r="H494">
            <v>2956</v>
          </cell>
          <cell r="I494">
            <v>8870</v>
          </cell>
          <cell r="J494">
            <v>2956</v>
          </cell>
          <cell r="K494">
            <v>8870</v>
          </cell>
          <cell r="L494">
            <v>2956</v>
          </cell>
          <cell r="M494">
            <v>8870</v>
          </cell>
          <cell r="N494">
            <v>2956</v>
          </cell>
          <cell r="O494">
            <v>8870</v>
          </cell>
          <cell r="P494">
            <v>2956</v>
          </cell>
          <cell r="Q494">
            <v>8870</v>
          </cell>
          <cell r="R494">
            <v>2956</v>
          </cell>
          <cell r="S494">
            <v>8870</v>
          </cell>
          <cell r="T494">
            <v>2956</v>
          </cell>
          <cell r="U494">
            <v>8870</v>
          </cell>
          <cell r="V494">
            <v>2956</v>
          </cell>
          <cell r="W494">
            <v>8870</v>
          </cell>
          <cell r="X494">
            <v>2956</v>
          </cell>
          <cell r="Y494">
            <v>8870</v>
          </cell>
          <cell r="Z494">
            <v>2956</v>
          </cell>
          <cell r="AD494">
            <v>0.33900000000000002</v>
          </cell>
        </row>
        <row r="495">
          <cell r="E495" t="str">
            <v>G鋼板製CR-600mm</v>
          </cell>
          <cell r="F495" t="str">
            <v>ｍ</v>
          </cell>
          <cell r="G495">
            <v>9320</v>
          </cell>
          <cell r="H495">
            <v>3106</v>
          </cell>
          <cell r="I495">
            <v>9320</v>
          </cell>
          <cell r="J495">
            <v>3106</v>
          </cell>
          <cell r="K495">
            <v>9320</v>
          </cell>
          <cell r="L495">
            <v>3106</v>
          </cell>
          <cell r="M495">
            <v>9320</v>
          </cell>
          <cell r="N495">
            <v>3106</v>
          </cell>
          <cell r="O495">
            <v>9320</v>
          </cell>
          <cell r="P495">
            <v>3106</v>
          </cell>
          <cell r="Q495">
            <v>9320</v>
          </cell>
          <cell r="R495">
            <v>3106</v>
          </cell>
          <cell r="S495">
            <v>9320</v>
          </cell>
          <cell r="T495">
            <v>3106</v>
          </cell>
          <cell r="U495">
            <v>9320</v>
          </cell>
          <cell r="V495">
            <v>3106</v>
          </cell>
          <cell r="W495">
            <v>9320</v>
          </cell>
          <cell r="X495">
            <v>3106</v>
          </cell>
          <cell r="Y495">
            <v>9320</v>
          </cell>
          <cell r="Z495">
            <v>3106</v>
          </cell>
          <cell r="AD495">
            <v>0.36499999999999999</v>
          </cell>
        </row>
        <row r="496">
          <cell r="E496" t="str">
            <v>G鋼板製CR-700mm</v>
          </cell>
          <cell r="F496" t="str">
            <v>ｍ</v>
          </cell>
          <cell r="G496">
            <v>9960</v>
          </cell>
          <cell r="H496">
            <v>3320</v>
          </cell>
          <cell r="I496">
            <v>9960</v>
          </cell>
          <cell r="J496">
            <v>3320</v>
          </cell>
          <cell r="K496">
            <v>9960</v>
          </cell>
          <cell r="L496">
            <v>3320</v>
          </cell>
          <cell r="M496">
            <v>9960</v>
          </cell>
          <cell r="N496">
            <v>3320</v>
          </cell>
          <cell r="O496">
            <v>9960</v>
          </cell>
          <cell r="P496">
            <v>3320</v>
          </cell>
          <cell r="Q496">
            <v>9960</v>
          </cell>
          <cell r="R496">
            <v>3320</v>
          </cell>
          <cell r="S496">
            <v>9960</v>
          </cell>
          <cell r="T496">
            <v>3320</v>
          </cell>
          <cell r="U496">
            <v>9960</v>
          </cell>
          <cell r="V496">
            <v>3320</v>
          </cell>
          <cell r="W496">
            <v>9960</v>
          </cell>
          <cell r="X496">
            <v>3320</v>
          </cell>
          <cell r="Y496">
            <v>9960</v>
          </cell>
          <cell r="Z496">
            <v>3320</v>
          </cell>
          <cell r="AD496">
            <v>0.42699999999999999</v>
          </cell>
        </row>
        <row r="497">
          <cell r="E497" t="str">
            <v>G鋼板製CR-800mm</v>
          </cell>
          <cell r="F497" t="str">
            <v>ｍ</v>
          </cell>
          <cell r="G497">
            <v>10600</v>
          </cell>
          <cell r="H497">
            <v>3533</v>
          </cell>
          <cell r="I497">
            <v>10600</v>
          </cell>
          <cell r="J497">
            <v>3533</v>
          </cell>
          <cell r="K497">
            <v>10600</v>
          </cell>
          <cell r="L497">
            <v>3533</v>
          </cell>
          <cell r="M497">
            <v>10600</v>
          </cell>
          <cell r="N497">
            <v>3533</v>
          </cell>
          <cell r="O497">
            <v>10600</v>
          </cell>
          <cell r="P497">
            <v>3533</v>
          </cell>
          <cell r="Q497">
            <v>10600</v>
          </cell>
          <cell r="R497">
            <v>3533</v>
          </cell>
          <cell r="S497">
            <v>10600</v>
          </cell>
          <cell r="T497">
            <v>3533</v>
          </cell>
          <cell r="U497">
            <v>10600</v>
          </cell>
          <cell r="V497">
            <v>3533</v>
          </cell>
          <cell r="W497">
            <v>10600</v>
          </cell>
          <cell r="X497">
            <v>3533</v>
          </cell>
          <cell r="Y497">
            <v>10600</v>
          </cell>
          <cell r="Z497">
            <v>3533</v>
          </cell>
          <cell r="AD497">
            <v>0.496</v>
          </cell>
        </row>
        <row r="498">
          <cell r="E498" t="str">
            <v>G鋼板製CR-1000mm</v>
          </cell>
          <cell r="F498" t="str">
            <v>ｍ</v>
          </cell>
          <cell r="G498">
            <v>12100</v>
          </cell>
          <cell r="H498">
            <v>4033</v>
          </cell>
          <cell r="I498">
            <v>12100</v>
          </cell>
          <cell r="J498">
            <v>4033</v>
          </cell>
          <cell r="K498">
            <v>12100</v>
          </cell>
          <cell r="L498">
            <v>4033</v>
          </cell>
          <cell r="M498">
            <v>12100</v>
          </cell>
          <cell r="N498">
            <v>4033</v>
          </cell>
          <cell r="O498">
            <v>12100</v>
          </cell>
          <cell r="P498">
            <v>4033</v>
          </cell>
          <cell r="Q498">
            <v>12100</v>
          </cell>
          <cell r="R498">
            <v>4033</v>
          </cell>
          <cell r="S498">
            <v>12100</v>
          </cell>
          <cell r="T498">
            <v>4033</v>
          </cell>
          <cell r="U498">
            <v>12100</v>
          </cell>
          <cell r="V498">
            <v>4033</v>
          </cell>
          <cell r="W498">
            <v>12100</v>
          </cell>
          <cell r="X498">
            <v>4033</v>
          </cell>
          <cell r="Y498">
            <v>12100</v>
          </cell>
          <cell r="Z498">
            <v>4033</v>
          </cell>
          <cell r="AD498">
            <v>0.61699999999999999</v>
          </cell>
        </row>
        <row r="499">
          <cell r="E499" t="str">
            <v>G鋼板製CR-1200mm</v>
          </cell>
          <cell r="F499" t="str">
            <v>ｍ</v>
          </cell>
          <cell r="G499">
            <v>17400</v>
          </cell>
          <cell r="H499">
            <v>5800</v>
          </cell>
          <cell r="I499">
            <v>17400</v>
          </cell>
          <cell r="J499">
            <v>5800</v>
          </cell>
          <cell r="K499">
            <v>17400</v>
          </cell>
          <cell r="L499">
            <v>5800</v>
          </cell>
          <cell r="M499">
            <v>17400</v>
          </cell>
          <cell r="N499">
            <v>5800</v>
          </cell>
          <cell r="O499">
            <v>17400</v>
          </cell>
          <cell r="P499">
            <v>5800</v>
          </cell>
          <cell r="Q499">
            <v>17400</v>
          </cell>
          <cell r="R499">
            <v>5800</v>
          </cell>
          <cell r="S499">
            <v>17400</v>
          </cell>
          <cell r="T499">
            <v>5800</v>
          </cell>
          <cell r="U499">
            <v>17400</v>
          </cell>
          <cell r="V499">
            <v>5800</v>
          </cell>
          <cell r="W499">
            <v>17400</v>
          </cell>
          <cell r="X499">
            <v>5800</v>
          </cell>
          <cell r="Y499">
            <v>17400</v>
          </cell>
          <cell r="Z499">
            <v>5800</v>
          </cell>
          <cell r="AD499">
            <v>0.74</v>
          </cell>
        </row>
        <row r="500">
          <cell r="E500" t="str">
            <v>SD製CR-200mm</v>
          </cell>
          <cell r="F500" t="str">
            <v>ｍ</v>
          </cell>
          <cell r="G500">
            <v>7300</v>
          </cell>
          <cell r="H500">
            <v>2433</v>
          </cell>
          <cell r="I500">
            <v>7300</v>
          </cell>
          <cell r="J500">
            <v>2433</v>
          </cell>
          <cell r="K500">
            <v>7300</v>
          </cell>
          <cell r="L500">
            <v>2433</v>
          </cell>
          <cell r="M500">
            <v>7300</v>
          </cell>
          <cell r="N500">
            <v>2433</v>
          </cell>
          <cell r="O500">
            <v>7300</v>
          </cell>
          <cell r="P500">
            <v>2433</v>
          </cell>
          <cell r="Q500">
            <v>7300</v>
          </cell>
          <cell r="R500">
            <v>2433</v>
          </cell>
          <cell r="S500">
            <v>7300</v>
          </cell>
          <cell r="T500">
            <v>2433</v>
          </cell>
          <cell r="U500">
            <v>7300</v>
          </cell>
          <cell r="V500">
            <v>2433</v>
          </cell>
          <cell r="W500">
            <v>7300</v>
          </cell>
          <cell r="X500">
            <v>2433</v>
          </cell>
          <cell r="Y500">
            <v>7300</v>
          </cell>
          <cell r="Z500">
            <v>2433</v>
          </cell>
          <cell r="AD500">
            <v>0.183</v>
          </cell>
        </row>
        <row r="501">
          <cell r="E501" t="str">
            <v>SD製CR-300mm</v>
          </cell>
          <cell r="F501" t="str">
            <v>ｍ</v>
          </cell>
          <cell r="G501">
            <v>8030</v>
          </cell>
          <cell r="H501">
            <v>2676</v>
          </cell>
          <cell r="I501">
            <v>8030</v>
          </cell>
          <cell r="J501">
            <v>2676</v>
          </cell>
          <cell r="K501">
            <v>8030</v>
          </cell>
          <cell r="L501">
            <v>2676</v>
          </cell>
          <cell r="M501">
            <v>8030</v>
          </cell>
          <cell r="N501">
            <v>2676</v>
          </cell>
          <cell r="O501">
            <v>8030</v>
          </cell>
          <cell r="P501">
            <v>2676</v>
          </cell>
          <cell r="Q501">
            <v>8030</v>
          </cell>
          <cell r="R501">
            <v>2676</v>
          </cell>
          <cell r="S501">
            <v>8030</v>
          </cell>
          <cell r="T501">
            <v>2676</v>
          </cell>
          <cell r="U501">
            <v>8030</v>
          </cell>
          <cell r="V501">
            <v>2676</v>
          </cell>
          <cell r="W501">
            <v>8030</v>
          </cell>
          <cell r="X501">
            <v>2676</v>
          </cell>
          <cell r="Y501">
            <v>8030</v>
          </cell>
          <cell r="Z501">
            <v>2676</v>
          </cell>
          <cell r="AD501">
            <v>0.24299999999999999</v>
          </cell>
        </row>
        <row r="502">
          <cell r="E502" t="str">
            <v>SD製CR-400mm</v>
          </cell>
          <cell r="F502" t="str">
            <v>ｍ</v>
          </cell>
          <cell r="G502">
            <v>8610</v>
          </cell>
          <cell r="H502">
            <v>2870</v>
          </cell>
          <cell r="I502">
            <v>8610</v>
          </cell>
          <cell r="J502">
            <v>2870</v>
          </cell>
          <cell r="K502">
            <v>8610</v>
          </cell>
          <cell r="L502">
            <v>2870</v>
          </cell>
          <cell r="M502">
            <v>8610</v>
          </cell>
          <cell r="N502">
            <v>2870</v>
          </cell>
          <cell r="O502">
            <v>8610</v>
          </cell>
          <cell r="P502">
            <v>2870</v>
          </cell>
          <cell r="Q502">
            <v>8610</v>
          </cell>
          <cell r="R502">
            <v>2870</v>
          </cell>
          <cell r="S502">
            <v>8610</v>
          </cell>
          <cell r="T502">
            <v>2870</v>
          </cell>
          <cell r="U502">
            <v>8610</v>
          </cell>
          <cell r="V502">
            <v>2870</v>
          </cell>
          <cell r="W502">
            <v>8610</v>
          </cell>
          <cell r="X502">
            <v>2870</v>
          </cell>
          <cell r="Y502">
            <v>8610</v>
          </cell>
          <cell r="Z502">
            <v>2870</v>
          </cell>
          <cell r="AD502">
            <v>0.29599999999999999</v>
          </cell>
        </row>
        <row r="503">
          <cell r="E503" t="str">
            <v>SD製CR-500mm</v>
          </cell>
          <cell r="F503" t="str">
            <v>ｍ</v>
          </cell>
          <cell r="G503">
            <v>9050</v>
          </cell>
          <cell r="H503">
            <v>3016</v>
          </cell>
          <cell r="I503">
            <v>9050</v>
          </cell>
          <cell r="J503">
            <v>3016</v>
          </cell>
          <cell r="K503">
            <v>9050</v>
          </cell>
          <cell r="L503">
            <v>3016</v>
          </cell>
          <cell r="M503">
            <v>9050</v>
          </cell>
          <cell r="N503">
            <v>3016</v>
          </cell>
          <cell r="O503">
            <v>9050</v>
          </cell>
          <cell r="P503">
            <v>3016</v>
          </cell>
          <cell r="Q503">
            <v>9050</v>
          </cell>
          <cell r="R503">
            <v>3016</v>
          </cell>
          <cell r="S503">
            <v>9050</v>
          </cell>
          <cell r="T503">
            <v>3016</v>
          </cell>
          <cell r="U503">
            <v>9050</v>
          </cell>
          <cell r="V503">
            <v>3016</v>
          </cell>
          <cell r="W503">
            <v>9050</v>
          </cell>
          <cell r="X503">
            <v>3016</v>
          </cell>
          <cell r="Y503">
            <v>9050</v>
          </cell>
          <cell r="Z503">
            <v>3016</v>
          </cell>
          <cell r="AD503">
            <v>0.33900000000000002</v>
          </cell>
        </row>
        <row r="504">
          <cell r="E504" t="str">
            <v>SD製CR-600mm</v>
          </cell>
          <cell r="F504" t="str">
            <v>ｍ</v>
          </cell>
          <cell r="G504">
            <v>9490</v>
          </cell>
          <cell r="H504">
            <v>3163</v>
          </cell>
          <cell r="I504">
            <v>9490</v>
          </cell>
          <cell r="J504">
            <v>3163</v>
          </cell>
          <cell r="K504">
            <v>9490</v>
          </cell>
          <cell r="L504">
            <v>3163</v>
          </cell>
          <cell r="M504">
            <v>9490</v>
          </cell>
          <cell r="N504">
            <v>3163</v>
          </cell>
          <cell r="O504">
            <v>9490</v>
          </cell>
          <cell r="P504">
            <v>3163</v>
          </cell>
          <cell r="Q504">
            <v>9490</v>
          </cell>
          <cell r="R504">
            <v>3163</v>
          </cell>
          <cell r="S504">
            <v>9490</v>
          </cell>
          <cell r="T504">
            <v>3163</v>
          </cell>
          <cell r="U504">
            <v>9490</v>
          </cell>
          <cell r="V504">
            <v>3163</v>
          </cell>
          <cell r="W504">
            <v>9490</v>
          </cell>
          <cell r="X504">
            <v>3163</v>
          </cell>
          <cell r="Y504">
            <v>9490</v>
          </cell>
          <cell r="Z504">
            <v>3163</v>
          </cell>
          <cell r="AD504">
            <v>0.36499999999999999</v>
          </cell>
        </row>
        <row r="505">
          <cell r="E505" t="str">
            <v>SD製CR-700mm</v>
          </cell>
          <cell r="F505" t="str">
            <v>ｍ</v>
          </cell>
          <cell r="G505">
            <v>10000</v>
          </cell>
          <cell r="H505">
            <v>3333</v>
          </cell>
          <cell r="I505">
            <v>10000</v>
          </cell>
          <cell r="J505">
            <v>3333</v>
          </cell>
          <cell r="K505">
            <v>10000</v>
          </cell>
          <cell r="L505">
            <v>3333</v>
          </cell>
          <cell r="M505">
            <v>10000</v>
          </cell>
          <cell r="N505">
            <v>3333</v>
          </cell>
          <cell r="O505">
            <v>10000</v>
          </cell>
          <cell r="P505">
            <v>3333</v>
          </cell>
          <cell r="Q505">
            <v>10000</v>
          </cell>
          <cell r="R505">
            <v>3333</v>
          </cell>
          <cell r="S505">
            <v>10000</v>
          </cell>
          <cell r="T505">
            <v>3333</v>
          </cell>
          <cell r="U505">
            <v>10000</v>
          </cell>
          <cell r="V505">
            <v>3333</v>
          </cell>
          <cell r="W505">
            <v>10000</v>
          </cell>
          <cell r="X505">
            <v>3333</v>
          </cell>
          <cell r="Y505">
            <v>10000</v>
          </cell>
          <cell r="Z505">
            <v>3333</v>
          </cell>
          <cell r="AD505">
            <v>0.42699999999999999</v>
          </cell>
        </row>
        <row r="506">
          <cell r="E506" t="str">
            <v>SD製CR-800mm</v>
          </cell>
          <cell r="F506" t="str">
            <v>ｍ</v>
          </cell>
          <cell r="G506">
            <v>10600</v>
          </cell>
          <cell r="H506">
            <v>3533</v>
          </cell>
          <cell r="I506">
            <v>10600</v>
          </cell>
          <cell r="J506">
            <v>3533</v>
          </cell>
          <cell r="K506">
            <v>10600</v>
          </cell>
          <cell r="L506">
            <v>3533</v>
          </cell>
          <cell r="M506">
            <v>10600</v>
          </cell>
          <cell r="N506">
            <v>3533</v>
          </cell>
          <cell r="O506">
            <v>10600</v>
          </cell>
          <cell r="P506">
            <v>3533</v>
          </cell>
          <cell r="Q506">
            <v>10600</v>
          </cell>
          <cell r="R506">
            <v>3533</v>
          </cell>
          <cell r="S506">
            <v>10600</v>
          </cell>
          <cell r="T506">
            <v>3533</v>
          </cell>
          <cell r="U506">
            <v>10600</v>
          </cell>
          <cell r="V506">
            <v>3533</v>
          </cell>
          <cell r="W506">
            <v>10600</v>
          </cell>
          <cell r="X506">
            <v>3533</v>
          </cell>
          <cell r="Y506">
            <v>10600</v>
          </cell>
          <cell r="Z506">
            <v>3533</v>
          </cell>
          <cell r="AD506">
            <v>0.496</v>
          </cell>
        </row>
        <row r="507">
          <cell r="E507" t="str">
            <v>SD製CR-900mm</v>
          </cell>
          <cell r="F507" t="str">
            <v>ｍ</v>
          </cell>
          <cell r="G507">
            <v>11200</v>
          </cell>
          <cell r="H507">
            <v>3733</v>
          </cell>
          <cell r="I507">
            <v>11200</v>
          </cell>
          <cell r="J507">
            <v>3733</v>
          </cell>
          <cell r="K507">
            <v>11200</v>
          </cell>
          <cell r="L507">
            <v>3733</v>
          </cell>
          <cell r="M507">
            <v>11200</v>
          </cell>
          <cell r="N507">
            <v>3733</v>
          </cell>
          <cell r="O507">
            <v>11200</v>
          </cell>
          <cell r="P507">
            <v>3733</v>
          </cell>
          <cell r="Q507">
            <v>11200</v>
          </cell>
          <cell r="R507">
            <v>3733</v>
          </cell>
          <cell r="S507">
            <v>11200</v>
          </cell>
          <cell r="T507">
            <v>3733</v>
          </cell>
          <cell r="U507">
            <v>11200</v>
          </cell>
          <cell r="V507">
            <v>3733</v>
          </cell>
          <cell r="W507">
            <v>11200</v>
          </cell>
          <cell r="X507">
            <v>3733</v>
          </cell>
          <cell r="Y507">
            <v>11200</v>
          </cell>
          <cell r="Z507">
            <v>3733</v>
          </cell>
          <cell r="AD507">
            <v>0.55400000000000005</v>
          </cell>
        </row>
        <row r="508">
          <cell r="E508" t="str">
            <v>SD製CR-1000mm</v>
          </cell>
          <cell r="F508" t="str">
            <v>ｍ</v>
          </cell>
          <cell r="G508">
            <v>11700</v>
          </cell>
          <cell r="H508">
            <v>3900</v>
          </cell>
          <cell r="I508">
            <v>11700</v>
          </cell>
          <cell r="J508">
            <v>3900</v>
          </cell>
          <cell r="K508">
            <v>11700</v>
          </cell>
          <cell r="L508">
            <v>3900</v>
          </cell>
          <cell r="M508">
            <v>11700</v>
          </cell>
          <cell r="N508">
            <v>3900</v>
          </cell>
          <cell r="O508">
            <v>11700</v>
          </cell>
          <cell r="P508">
            <v>3900</v>
          </cell>
          <cell r="Q508">
            <v>11700</v>
          </cell>
          <cell r="R508">
            <v>3900</v>
          </cell>
          <cell r="S508">
            <v>11700</v>
          </cell>
          <cell r="T508">
            <v>3900</v>
          </cell>
          <cell r="U508">
            <v>11700</v>
          </cell>
          <cell r="V508">
            <v>3900</v>
          </cell>
          <cell r="W508">
            <v>11700</v>
          </cell>
          <cell r="X508">
            <v>3900</v>
          </cell>
          <cell r="Y508">
            <v>11700</v>
          </cell>
          <cell r="Z508">
            <v>3900</v>
          </cell>
          <cell r="AD508">
            <v>0.61699999999999999</v>
          </cell>
        </row>
        <row r="509">
          <cell r="E509" t="str">
            <v>SD製CR-1200mm</v>
          </cell>
          <cell r="F509" t="str">
            <v>ｍ</v>
          </cell>
          <cell r="G509">
            <v>18900</v>
          </cell>
          <cell r="H509">
            <v>6300</v>
          </cell>
          <cell r="I509">
            <v>18900</v>
          </cell>
          <cell r="J509">
            <v>6300</v>
          </cell>
          <cell r="K509">
            <v>18900</v>
          </cell>
          <cell r="L509">
            <v>6300</v>
          </cell>
          <cell r="M509">
            <v>18900</v>
          </cell>
          <cell r="N509">
            <v>6300</v>
          </cell>
          <cell r="O509">
            <v>18900</v>
          </cell>
          <cell r="P509">
            <v>6300</v>
          </cell>
          <cell r="Q509">
            <v>18900</v>
          </cell>
          <cell r="R509">
            <v>6300</v>
          </cell>
          <cell r="S509">
            <v>18900</v>
          </cell>
          <cell r="T509">
            <v>6300</v>
          </cell>
          <cell r="U509">
            <v>18900</v>
          </cell>
          <cell r="V509">
            <v>6300</v>
          </cell>
          <cell r="W509">
            <v>18900</v>
          </cell>
          <cell r="X509">
            <v>6300</v>
          </cell>
          <cell r="Y509">
            <v>18900</v>
          </cell>
          <cell r="Z509">
            <v>6300</v>
          </cell>
          <cell r="AD509">
            <v>0.74</v>
          </cell>
        </row>
        <row r="510">
          <cell r="E510" t="str">
            <v>SUS製CR-200mm</v>
          </cell>
          <cell r="F510" t="str">
            <v>ｍ</v>
          </cell>
          <cell r="G510">
            <v>18200</v>
          </cell>
          <cell r="H510">
            <v>6066</v>
          </cell>
          <cell r="I510">
            <v>18200</v>
          </cell>
          <cell r="J510">
            <v>6066</v>
          </cell>
          <cell r="K510">
            <v>18200</v>
          </cell>
          <cell r="L510">
            <v>6066</v>
          </cell>
          <cell r="M510">
            <v>18200</v>
          </cell>
          <cell r="N510">
            <v>6066</v>
          </cell>
          <cell r="O510">
            <v>18200</v>
          </cell>
          <cell r="P510">
            <v>6066</v>
          </cell>
          <cell r="Q510">
            <v>18200</v>
          </cell>
          <cell r="R510">
            <v>6066</v>
          </cell>
          <cell r="S510">
            <v>18200</v>
          </cell>
          <cell r="T510">
            <v>6066</v>
          </cell>
          <cell r="U510">
            <v>18200</v>
          </cell>
          <cell r="V510">
            <v>6066</v>
          </cell>
          <cell r="W510">
            <v>18200</v>
          </cell>
          <cell r="X510">
            <v>6066</v>
          </cell>
          <cell r="Y510">
            <v>18200</v>
          </cell>
          <cell r="Z510">
            <v>6066</v>
          </cell>
          <cell r="AD510">
            <v>0.183</v>
          </cell>
        </row>
        <row r="511">
          <cell r="E511" t="str">
            <v>SUS製CR-300mm</v>
          </cell>
          <cell r="F511" t="str">
            <v>ｍ</v>
          </cell>
          <cell r="G511">
            <v>18900</v>
          </cell>
          <cell r="H511">
            <v>6300</v>
          </cell>
          <cell r="I511">
            <v>18900</v>
          </cell>
          <cell r="J511">
            <v>6300</v>
          </cell>
          <cell r="K511">
            <v>18900</v>
          </cell>
          <cell r="L511">
            <v>6300</v>
          </cell>
          <cell r="M511">
            <v>18900</v>
          </cell>
          <cell r="N511">
            <v>6300</v>
          </cell>
          <cell r="O511">
            <v>18900</v>
          </cell>
          <cell r="P511">
            <v>6300</v>
          </cell>
          <cell r="Q511">
            <v>18900</v>
          </cell>
          <cell r="R511">
            <v>6300</v>
          </cell>
          <cell r="S511">
            <v>18900</v>
          </cell>
          <cell r="T511">
            <v>6300</v>
          </cell>
          <cell r="U511">
            <v>18900</v>
          </cell>
          <cell r="V511">
            <v>6300</v>
          </cell>
          <cell r="W511">
            <v>18900</v>
          </cell>
          <cell r="X511">
            <v>6300</v>
          </cell>
          <cell r="Y511">
            <v>18900</v>
          </cell>
          <cell r="Z511">
            <v>6300</v>
          </cell>
          <cell r="AD511">
            <v>0.24299999999999999</v>
          </cell>
        </row>
        <row r="512">
          <cell r="E512" t="str">
            <v>SUS製CR-400mm</v>
          </cell>
          <cell r="F512" t="str">
            <v>ｍ</v>
          </cell>
          <cell r="G512">
            <v>19700</v>
          </cell>
          <cell r="H512">
            <v>6566</v>
          </cell>
          <cell r="I512">
            <v>19700</v>
          </cell>
          <cell r="J512">
            <v>6566</v>
          </cell>
          <cell r="K512">
            <v>19700</v>
          </cell>
          <cell r="L512">
            <v>6566</v>
          </cell>
          <cell r="M512">
            <v>19700</v>
          </cell>
          <cell r="N512">
            <v>6566</v>
          </cell>
          <cell r="O512">
            <v>19700</v>
          </cell>
          <cell r="P512">
            <v>6566</v>
          </cell>
          <cell r="Q512">
            <v>19700</v>
          </cell>
          <cell r="R512">
            <v>6566</v>
          </cell>
          <cell r="S512">
            <v>19700</v>
          </cell>
          <cell r="T512">
            <v>6566</v>
          </cell>
          <cell r="U512">
            <v>19700</v>
          </cell>
          <cell r="V512">
            <v>6566</v>
          </cell>
          <cell r="W512">
            <v>19700</v>
          </cell>
          <cell r="X512">
            <v>6566</v>
          </cell>
          <cell r="Y512">
            <v>19700</v>
          </cell>
          <cell r="Z512">
            <v>6566</v>
          </cell>
          <cell r="AD512">
            <v>0.29599999999999999</v>
          </cell>
        </row>
        <row r="513">
          <cell r="E513" t="str">
            <v>SUS製CR-500mm</v>
          </cell>
          <cell r="F513" t="str">
            <v>ｍ</v>
          </cell>
          <cell r="G513">
            <v>20300</v>
          </cell>
          <cell r="H513">
            <v>6766</v>
          </cell>
          <cell r="I513">
            <v>20300</v>
          </cell>
          <cell r="J513">
            <v>6766</v>
          </cell>
          <cell r="K513">
            <v>20300</v>
          </cell>
          <cell r="L513">
            <v>6766</v>
          </cell>
          <cell r="M513">
            <v>20300</v>
          </cell>
          <cell r="N513">
            <v>6766</v>
          </cell>
          <cell r="O513">
            <v>20300</v>
          </cell>
          <cell r="P513">
            <v>6766</v>
          </cell>
          <cell r="Q513">
            <v>20300</v>
          </cell>
          <cell r="R513">
            <v>6766</v>
          </cell>
          <cell r="S513">
            <v>20300</v>
          </cell>
          <cell r="T513">
            <v>6766</v>
          </cell>
          <cell r="U513">
            <v>20300</v>
          </cell>
          <cell r="V513">
            <v>6766</v>
          </cell>
          <cell r="W513">
            <v>20300</v>
          </cell>
          <cell r="X513">
            <v>6766</v>
          </cell>
          <cell r="Y513">
            <v>20300</v>
          </cell>
          <cell r="Z513">
            <v>6766</v>
          </cell>
          <cell r="AD513">
            <v>0.33900000000000002</v>
          </cell>
        </row>
        <row r="514">
          <cell r="E514" t="str">
            <v>SUS製CR-600mm</v>
          </cell>
          <cell r="F514" t="str">
            <v>ｍ</v>
          </cell>
          <cell r="G514">
            <v>21400</v>
          </cell>
          <cell r="H514">
            <v>7133</v>
          </cell>
          <cell r="I514">
            <v>21400</v>
          </cell>
          <cell r="J514">
            <v>7133</v>
          </cell>
          <cell r="K514">
            <v>21400</v>
          </cell>
          <cell r="L514">
            <v>7133</v>
          </cell>
          <cell r="M514">
            <v>21400</v>
          </cell>
          <cell r="N514">
            <v>7133</v>
          </cell>
          <cell r="O514">
            <v>21400</v>
          </cell>
          <cell r="P514">
            <v>7133</v>
          </cell>
          <cell r="Q514">
            <v>21400</v>
          </cell>
          <cell r="R514">
            <v>7133</v>
          </cell>
          <cell r="S514">
            <v>21400</v>
          </cell>
          <cell r="T514">
            <v>7133</v>
          </cell>
          <cell r="U514">
            <v>21400</v>
          </cell>
          <cell r="V514">
            <v>7133</v>
          </cell>
          <cell r="W514">
            <v>21400</v>
          </cell>
          <cell r="X514">
            <v>7133</v>
          </cell>
          <cell r="Y514">
            <v>21400</v>
          </cell>
          <cell r="Z514">
            <v>7133</v>
          </cell>
          <cell r="AD514">
            <v>0.36499999999999999</v>
          </cell>
        </row>
        <row r="515">
          <cell r="E515" t="str">
            <v>SUS製CR-700mm</v>
          </cell>
          <cell r="F515" t="str">
            <v>ｍ</v>
          </cell>
          <cell r="G515">
            <v>22600</v>
          </cell>
          <cell r="H515">
            <v>7533</v>
          </cell>
          <cell r="I515">
            <v>22600</v>
          </cell>
          <cell r="J515">
            <v>7533</v>
          </cell>
          <cell r="K515">
            <v>22600</v>
          </cell>
          <cell r="L515">
            <v>7533</v>
          </cell>
          <cell r="M515">
            <v>22600</v>
          </cell>
          <cell r="N515">
            <v>7533</v>
          </cell>
          <cell r="O515">
            <v>22600</v>
          </cell>
          <cell r="P515">
            <v>7533</v>
          </cell>
          <cell r="Q515">
            <v>22600</v>
          </cell>
          <cell r="R515">
            <v>7533</v>
          </cell>
          <cell r="S515">
            <v>22600</v>
          </cell>
          <cell r="T515">
            <v>7533</v>
          </cell>
          <cell r="U515">
            <v>22600</v>
          </cell>
          <cell r="V515">
            <v>7533</v>
          </cell>
          <cell r="W515">
            <v>22600</v>
          </cell>
          <cell r="X515">
            <v>7533</v>
          </cell>
          <cell r="Y515">
            <v>22600</v>
          </cell>
          <cell r="Z515">
            <v>7533</v>
          </cell>
          <cell r="AD515">
            <v>0.42699999999999999</v>
          </cell>
        </row>
        <row r="516">
          <cell r="E516" t="str">
            <v>SUS製CR-800mm</v>
          </cell>
          <cell r="F516" t="str">
            <v>ｍ</v>
          </cell>
          <cell r="G516">
            <v>26200</v>
          </cell>
          <cell r="H516">
            <v>8733</v>
          </cell>
          <cell r="I516">
            <v>26200</v>
          </cell>
          <cell r="J516">
            <v>8733</v>
          </cell>
          <cell r="K516">
            <v>26200</v>
          </cell>
          <cell r="L516">
            <v>8733</v>
          </cell>
          <cell r="M516">
            <v>26200</v>
          </cell>
          <cell r="N516">
            <v>8733</v>
          </cell>
          <cell r="O516">
            <v>26200</v>
          </cell>
          <cell r="P516">
            <v>8733</v>
          </cell>
          <cell r="Q516">
            <v>26200</v>
          </cell>
          <cell r="R516">
            <v>8733</v>
          </cell>
          <cell r="S516">
            <v>26200</v>
          </cell>
          <cell r="T516">
            <v>8733</v>
          </cell>
          <cell r="U516">
            <v>26200</v>
          </cell>
          <cell r="V516">
            <v>8733</v>
          </cell>
          <cell r="W516">
            <v>26200</v>
          </cell>
          <cell r="X516">
            <v>8733</v>
          </cell>
          <cell r="Y516">
            <v>26200</v>
          </cell>
          <cell r="Z516">
            <v>8733</v>
          </cell>
          <cell r="AD516">
            <v>0.496</v>
          </cell>
        </row>
        <row r="517">
          <cell r="E517" t="str">
            <v>SUS製CR-900mm</v>
          </cell>
          <cell r="F517" t="str">
            <v>ｍ</v>
          </cell>
          <cell r="G517">
            <v>27700</v>
          </cell>
          <cell r="H517">
            <v>9233</v>
          </cell>
          <cell r="I517">
            <v>27700</v>
          </cell>
          <cell r="J517">
            <v>9233</v>
          </cell>
          <cell r="K517">
            <v>27700</v>
          </cell>
          <cell r="L517">
            <v>9233</v>
          </cell>
          <cell r="M517">
            <v>27700</v>
          </cell>
          <cell r="N517">
            <v>9233</v>
          </cell>
          <cell r="O517">
            <v>27700</v>
          </cell>
          <cell r="P517">
            <v>9233</v>
          </cell>
          <cell r="Q517">
            <v>27700</v>
          </cell>
          <cell r="R517">
            <v>9233</v>
          </cell>
          <cell r="S517">
            <v>27700</v>
          </cell>
          <cell r="T517">
            <v>9233</v>
          </cell>
          <cell r="U517">
            <v>27700</v>
          </cell>
          <cell r="V517">
            <v>9233</v>
          </cell>
          <cell r="W517">
            <v>27700</v>
          </cell>
          <cell r="X517">
            <v>9233</v>
          </cell>
          <cell r="Y517">
            <v>27700</v>
          </cell>
          <cell r="Z517">
            <v>9233</v>
          </cell>
          <cell r="AD517">
            <v>0.55400000000000005</v>
          </cell>
        </row>
        <row r="518">
          <cell r="E518" t="str">
            <v>SUS製CR-1000mm</v>
          </cell>
          <cell r="F518" t="str">
            <v>ｍ</v>
          </cell>
          <cell r="G518">
            <v>29200</v>
          </cell>
          <cell r="H518">
            <v>9733</v>
          </cell>
          <cell r="I518">
            <v>29200</v>
          </cell>
          <cell r="J518">
            <v>9733</v>
          </cell>
          <cell r="K518">
            <v>29200</v>
          </cell>
          <cell r="L518">
            <v>9733</v>
          </cell>
          <cell r="M518">
            <v>29200</v>
          </cell>
          <cell r="N518">
            <v>9733</v>
          </cell>
          <cell r="O518">
            <v>29200</v>
          </cell>
          <cell r="P518">
            <v>9733</v>
          </cell>
          <cell r="Q518">
            <v>29200</v>
          </cell>
          <cell r="R518">
            <v>9733</v>
          </cell>
          <cell r="S518">
            <v>29200</v>
          </cell>
          <cell r="T518">
            <v>9733</v>
          </cell>
          <cell r="U518">
            <v>29200</v>
          </cell>
          <cell r="V518">
            <v>9733</v>
          </cell>
          <cell r="W518">
            <v>29200</v>
          </cell>
          <cell r="X518">
            <v>9733</v>
          </cell>
          <cell r="Y518">
            <v>29200</v>
          </cell>
          <cell r="Z518">
            <v>9733</v>
          </cell>
          <cell r="AD518">
            <v>0.61699999999999999</v>
          </cell>
        </row>
        <row r="519">
          <cell r="E519" t="str">
            <v>SUS製CR-1200mm</v>
          </cell>
          <cell r="F519" t="str">
            <v>ｍ</v>
          </cell>
          <cell r="G519">
            <v>32800</v>
          </cell>
          <cell r="H519">
            <v>10933</v>
          </cell>
          <cell r="I519">
            <v>32800</v>
          </cell>
          <cell r="J519">
            <v>10933</v>
          </cell>
          <cell r="K519">
            <v>32800</v>
          </cell>
          <cell r="L519">
            <v>10933</v>
          </cell>
          <cell r="M519">
            <v>32800</v>
          </cell>
          <cell r="N519">
            <v>10933</v>
          </cell>
          <cell r="O519">
            <v>32800</v>
          </cell>
          <cell r="P519">
            <v>10933</v>
          </cell>
          <cell r="Q519">
            <v>32800</v>
          </cell>
          <cell r="R519">
            <v>10933</v>
          </cell>
          <cell r="S519">
            <v>32800</v>
          </cell>
          <cell r="T519">
            <v>10933</v>
          </cell>
          <cell r="U519">
            <v>32800</v>
          </cell>
          <cell r="V519">
            <v>10933</v>
          </cell>
          <cell r="W519">
            <v>32800</v>
          </cell>
          <cell r="X519">
            <v>10933</v>
          </cell>
          <cell r="Y519">
            <v>32800</v>
          </cell>
          <cell r="Z519">
            <v>10933</v>
          </cell>
          <cell r="AD519">
            <v>0.74</v>
          </cell>
        </row>
        <row r="520">
          <cell r="E520" t="str">
            <v>アルミ製CR-200mm-H70</v>
          </cell>
          <cell r="F520" t="str">
            <v>ｍ</v>
          </cell>
          <cell r="G520">
            <v>7590</v>
          </cell>
          <cell r="H520">
            <v>2530</v>
          </cell>
          <cell r="I520">
            <v>7590</v>
          </cell>
          <cell r="J520">
            <v>2530</v>
          </cell>
          <cell r="K520">
            <v>7590</v>
          </cell>
          <cell r="L520">
            <v>2530</v>
          </cell>
          <cell r="M520">
            <v>7590</v>
          </cell>
          <cell r="N520">
            <v>2530</v>
          </cell>
          <cell r="O520">
            <v>7590</v>
          </cell>
          <cell r="P520">
            <v>2530</v>
          </cell>
          <cell r="Q520">
            <v>7590</v>
          </cell>
          <cell r="R520">
            <v>2530</v>
          </cell>
          <cell r="S520">
            <v>7590</v>
          </cell>
          <cell r="T520">
            <v>2530</v>
          </cell>
          <cell r="U520">
            <v>7590</v>
          </cell>
          <cell r="V520">
            <v>2530</v>
          </cell>
          <cell r="W520">
            <v>7590</v>
          </cell>
          <cell r="X520">
            <v>2530</v>
          </cell>
          <cell r="Y520">
            <v>7590</v>
          </cell>
          <cell r="Z520">
            <v>2530</v>
          </cell>
          <cell r="AD520">
            <v>0.183</v>
          </cell>
        </row>
        <row r="521">
          <cell r="E521" t="str">
            <v>アルミ製CR-300mm-H70</v>
          </cell>
          <cell r="F521" t="str">
            <v>ｍ</v>
          </cell>
          <cell r="G521">
            <v>8240</v>
          </cell>
          <cell r="H521">
            <v>2746</v>
          </cell>
          <cell r="I521">
            <v>8240</v>
          </cell>
          <cell r="J521">
            <v>2746</v>
          </cell>
          <cell r="K521">
            <v>8240</v>
          </cell>
          <cell r="L521">
            <v>2746</v>
          </cell>
          <cell r="M521">
            <v>8240</v>
          </cell>
          <cell r="N521">
            <v>2746</v>
          </cell>
          <cell r="O521">
            <v>8240</v>
          </cell>
          <cell r="P521">
            <v>2746</v>
          </cell>
          <cell r="Q521">
            <v>8240</v>
          </cell>
          <cell r="R521">
            <v>2746</v>
          </cell>
          <cell r="S521">
            <v>8240</v>
          </cell>
          <cell r="T521">
            <v>2746</v>
          </cell>
          <cell r="U521">
            <v>8240</v>
          </cell>
          <cell r="V521">
            <v>2746</v>
          </cell>
          <cell r="W521">
            <v>8240</v>
          </cell>
          <cell r="X521">
            <v>2746</v>
          </cell>
          <cell r="Y521">
            <v>8240</v>
          </cell>
          <cell r="Z521">
            <v>2746</v>
          </cell>
          <cell r="AD521">
            <v>0.24299999999999999</v>
          </cell>
        </row>
        <row r="522">
          <cell r="E522" t="str">
            <v>アルミ製CR-400mm-H70</v>
          </cell>
          <cell r="F522" t="str">
            <v>ｍ</v>
          </cell>
          <cell r="G522">
            <v>8830</v>
          </cell>
          <cell r="H522">
            <v>2943</v>
          </cell>
          <cell r="I522">
            <v>8830</v>
          </cell>
          <cell r="J522">
            <v>2943</v>
          </cell>
          <cell r="K522">
            <v>8830</v>
          </cell>
          <cell r="L522">
            <v>2943</v>
          </cell>
          <cell r="M522">
            <v>8830</v>
          </cell>
          <cell r="N522">
            <v>2943</v>
          </cell>
          <cell r="O522">
            <v>8830</v>
          </cell>
          <cell r="P522">
            <v>2943</v>
          </cell>
          <cell r="Q522">
            <v>8830</v>
          </cell>
          <cell r="R522">
            <v>2943</v>
          </cell>
          <cell r="S522">
            <v>8830</v>
          </cell>
          <cell r="T522">
            <v>2943</v>
          </cell>
          <cell r="U522">
            <v>8830</v>
          </cell>
          <cell r="V522">
            <v>2943</v>
          </cell>
          <cell r="W522">
            <v>8830</v>
          </cell>
          <cell r="X522">
            <v>2943</v>
          </cell>
          <cell r="Y522">
            <v>8830</v>
          </cell>
          <cell r="Z522">
            <v>2943</v>
          </cell>
          <cell r="AD522">
            <v>0.29599999999999999</v>
          </cell>
        </row>
        <row r="523">
          <cell r="E523" t="str">
            <v>アルミ製CR-500mm-H70</v>
          </cell>
          <cell r="F523" t="str">
            <v>ｍ</v>
          </cell>
          <cell r="G523">
            <v>9560</v>
          </cell>
          <cell r="H523">
            <v>3186</v>
          </cell>
          <cell r="I523">
            <v>9560</v>
          </cell>
          <cell r="J523">
            <v>3186</v>
          </cell>
          <cell r="K523">
            <v>9560</v>
          </cell>
          <cell r="L523">
            <v>3186</v>
          </cell>
          <cell r="M523">
            <v>9560</v>
          </cell>
          <cell r="N523">
            <v>3186</v>
          </cell>
          <cell r="O523">
            <v>9560</v>
          </cell>
          <cell r="P523">
            <v>3186</v>
          </cell>
          <cell r="Q523">
            <v>9560</v>
          </cell>
          <cell r="R523">
            <v>3186</v>
          </cell>
          <cell r="S523">
            <v>9560</v>
          </cell>
          <cell r="T523">
            <v>3186</v>
          </cell>
          <cell r="U523">
            <v>9560</v>
          </cell>
          <cell r="V523">
            <v>3186</v>
          </cell>
          <cell r="W523">
            <v>9560</v>
          </cell>
          <cell r="X523">
            <v>3186</v>
          </cell>
          <cell r="Y523">
            <v>9560</v>
          </cell>
          <cell r="Z523">
            <v>3186</v>
          </cell>
          <cell r="AD523">
            <v>0.33900000000000002</v>
          </cell>
        </row>
        <row r="524">
          <cell r="E524" t="str">
            <v>アルミ製CR-600mm-H70</v>
          </cell>
          <cell r="F524" t="str">
            <v>ｍ</v>
          </cell>
          <cell r="G524">
            <v>10200</v>
          </cell>
          <cell r="H524">
            <v>3400</v>
          </cell>
          <cell r="I524">
            <v>10200</v>
          </cell>
          <cell r="J524">
            <v>3400</v>
          </cell>
          <cell r="K524">
            <v>10200</v>
          </cell>
          <cell r="L524">
            <v>3400</v>
          </cell>
          <cell r="M524">
            <v>10200</v>
          </cell>
          <cell r="N524">
            <v>3400</v>
          </cell>
          <cell r="O524">
            <v>10200</v>
          </cell>
          <cell r="P524">
            <v>3400</v>
          </cell>
          <cell r="Q524">
            <v>10200</v>
          </cell>
          <cell r="R524">
            <v>3400</v>
          </cell>
          <cell r="S524">
            <v>10200</v>
          </cell>
          <cell r="T524">
            <v>3400</v>
          </cell>
          <cell r="U524">
            <v>10200</v>
          </cell>
          <cell r="V524">
            <v>3400</v>
          </cell>
          <cell r="W524">
            <v>10200</v>
          </cell>
          <cell r="X524">
            <v>3400</v>
          </cell>
          <cell r="Y524">
            <v>10200</v>
          </cell>
          <cell r="Z524">
            <v>3400</v>
          </cell>
          <cell r="AD524">
            <v>0.36499999999999999</v>
          </cell>
        </row>
        <row r="525">
          <cell r="E525" t="str">
            <v>アルミ製CR-800mm-H70</v>
          </cell>
          <cell r="F525" t="str">
            <v>ｍ</v>
          </cell>
          <cell r="G525">
            <v>11700</v>
          </cell>
          <cell r="H525">
            <v>3900</v>
          </cell>
          <cell r="I525">
            <v>11700</v>
          </cell>
          <cell r="J525">
            <v>3900</v>
          </cell>
          <cell r="K525">
            <v>11700</v>
          </cell>
          <cell r="L525">
            <v>3900</v>
          </cell>
          <cell r="M525">
            <v>11700</v>
          </cell>
          <cell r="N525">
            <v>3900</v>
          </cell>
          <cell r="O525">
            <v>11700</v>
          </cell>
          <cell r="P525">
            <v>3900</v>
          </cell>
          <cell r="Q525">
            <v>11700</v>
          </cell>
          <cell r="R525">
            <v>3900</v>
          </cell>
          <cell r="S525">
            <v>11700</v>
          </cell>
          <cell r="T525">
            <v>3900</v>
          </cell>
          <cell r="U525">
            <v>11700</v>
          </cell>
          <cell r="V525">
            <v>3900</v>
          </cell>
          <cell r="W525">
            <v>11700</v>
          </cell>
          <cell r="X525">
            <v>3900</v>
          </cell>
          <cell r="Y525">
            <v>11700</v>
          </cell>
          <cell r="Z525">
            <v>3900</v>
          </cell>
          <cell r="AD525">
            <v>0.496</v>
          </cell>
        </row>
        <row r="526">
          <cell r="E526" t="str">
            <v>アルミ製CR-1000mm-H70</v>
          </cell>
          <cell r="F526" t="str">
            <v>ｍ</v>
          </cell>
          <cell r="G526">
            <v>13200</v>
          </cell>
          <cell r="H526">
            <v>4400</v>
          </cell>
          <cell r="I526">
            <v>13200</v>
          </cell>
          <cell r="J526">
            <v>4400</v>
          </cell>
          <cell r="K526">
            <v>13200</v>
          </cell>
          <cell r="L526">
            <v>4400</v>
          </cell>
          <cell r="M526">
            <v>13200</v>
          </cell>
          <cell r="N526">
            <v>4400</v>
          </cell>
          <cell r="O526">
            <v>13200</v>
          </cell>
          <cell r="P526">
            <v>4400</v>
          </cell>
          <cell r="Q526">
            <v>13200</v>
          </cell>
          <cell r="R526">
            <v>4400</v>
          </cell>
          <cell r="S526">
            <v>13200</v>
          </cell>
          <cell r="T526">
            <v>4400</v>
          </cell>
          <cell r="U526">
            <v>13200</v>
          </cell>
          <cell r="V526">
            <v>4400</v>
          </cell>
          <cell r="W526">
            <v>13200</v>
          </cell>
          <cell r="X526">
            <v>4400</v>
          </cell>
          <cell r="Y526">
            <v>13200</v>
          </cell>
          <cell r="Z526">
            <v>4400</v>
          </cell>
          <cell r="AD526">
            <v>0.61699999999999999</v>
          </cell>
        </row>
        <row r="527">
          <cell r="E527" t="str">
            <v>アルミ製CR-200mm-H80</v>
          </cell>
          <cell r="F527" t="str">
            <v>ｍ</v>
          </cell>
          <cell r="G527">
            <v>7730</v>
          </cell>
          <cell r="H527">
            <v>2576</v>
          </cell>
          <cell r="I527">
            <v>7730</v>
          </cell>
          <cell r="J527">
            <v>2576</v>
          </cell>
          <cell r="K527">
            <v>7730</v>
          </cell>
          <cell r="L527">
            <v>2576</v>
          </cell>
          <cell r="M527">
            <v>7730</v>
          </cell>
          <cell r="N527">
            <v>2576</v>
          </cell>
          <cell r="O527">
            <v>7730</v>
          </cell>
          <cell r="P527">
            <v>2576</v>
          </cell>
          <cell r="Q527">
            <v>7730</v>
          </cell>
          <cell r="R527">
            <v>2576</v>
          </cell>
          <cell r="S527">
            <v>7730</v>
          </cell>
          <cell r="T527">
            <v>2576</v>
          </cell>
          <cell r="U527">
            <v>7730</v>
          </cell>
          <cell r="V527">
            <v>2576</v>
          </cell>
          <cell r="W527">
            <v>7730</v>
          </cell>
          <cell r="X527">
            <v>2576</v>
          </cell>
          <cell r="Y527">
            <v>7730</v>
          </cell>
          <cell r="Z527">
            <v>2576</v>
          </cell>
          <cell r="AD527">
            <v>0.183</v>
          </cell>
        </row>
        <row r="528">
          <cell r="E528" t="str">
            <v>アルミ製CR-300mm-H80</v>
          </cell>
          <cell r="F528" t="str">
            <v>ｍ</v>
          </cell>
          <cell r="G528">
            <v>8460</v>
          </cell>
          <cell r="H528">
            <v>2820</v>
          </cell>
          <cell r="I528">
            <v>8460</v>
          </cell>
          <cell r="J528">
            <v>2820</v>
          </cell>
          <cell r="K528">
            <v>8460</v>
          </cell>
          <cell r="L528">
            <v>2820</v>
          </cell>
          <cell r="M528">
            <v>8460</v>
          </cell>
          <cell r="N528">
            <v>2820</v>
          </cell>
          <cell r="O528">
            <v>8460</v>
          </cell>
          <cell r="P528">
            <v>2820</v>
          </cell>
          <cell r="Q528">
            <v>8460</v>
          </cell>
          <cell r="R528">
            <v>2820</v>
          </cell>
          <cell r="S528">
            <v>8460</v>
          </cell>
          <cell r="T528">
            <v>2820</v>
          </cell>
          <cell r="U528">
            <v>8460</v>
          </cell>
          <cell r="V528">
            <v>2820</v>
          </cell>
          <cell r="W528">
            <v>8460</v>
          </cell>
          <cell r="X528">
            <v>2820</v>
          </cell>
          <cell r="Y528">
            <v>8460</v>
          </cell>
          <cell r="Z528">
            <v>2820</v>
          </cell>
          <cell r="AD528">
            <v>0.24299999999999999</v>
          </cell>
        </row>
        <row r="529">
          <cell r="E529" t="str">
            <v>アルミ製CR-400mm-H80</v>
          </cell>
          <cell r="F529" t="str">
            <v>ｍ</v>
          </cell>
          <cell r="G529">
            <v>9050</v>
          </cell>
          <cell r="H529">
            <v>3016</v>
          </cell>
          <cell r="I529">
            <v>9050</v>
          </cell>
          <cell r="J529">
            <v>3016</v>
          </cell>
          <cell r="K529">
            <v>9050</v>
          </cell>
          <cell r="L529">
            <v>3016</v>
          </cell>
          <cell r="M529">
            <v>9050</v>
          </cell>
          <cell r="N529">
            <v>3016</v>
          </cell>
          <cell r="O529">
            <v>9050</v>
          </cell>
          <cell r="P529">
            <v>3016</v>
          </cell>
          <cell r="Q529">
            <v>9050</v>
          </cell>
          <cell r="R529">
            <v>3016</v>
          </cell>
          <cell r="S529">
            <v>9050</v>
          </cell>
          <cell r="T529">
            <v>3016</v>
          </cell>
          <cell r="U529">
            <v>9050</v>
          </cell>
          <cell r="V529">
            <v>3016</v>
          </cell>
          <cell r="W529">
            <v>9050</v>
          </cell>
          <cell r="X529">
            <v>3016</v>
          </cell>
          <cell r="Y529">
            <v>9050</v>
          </cell>
          <cell r="Z529">
            <v>3016</v>
          </cell>
          <cell r="AD529">
            <v>0.29599999999999999</v>
          </cell>
        </row>
        <row r="530">
          <cell r="E530" t="str">
            <v>アルミ製CR-500mm-H80</v>
          </cell>
          <cell r="F530" t="str">
            <v>ｍ</v>
          </cell>
          <cell r="G530">
            <v>9780</v>
          </cell>
          <cell r="H530">
            <v>3260</v>
          </cell>
          <cell r="I530">
            <v>9780</v>
          </cell>
          <cell r="J530">
            <v>3260</v>
          </cell>
          <cell r="K530">
            <v>9780</v>
          </cell>
          <cell r="L530">
            <v>3260</v>
          </cell>
          <cell r="M530">
            <v>9780</v>
          </cell>
          <cell r="N530">
            <v>3260</v>
          </cell>
          <cell r="O530">
            <v>9780</v>
          </cell>
          <cell r="P530">
            <v>3260</v>
          </cell>
          <cell r="Q530">
            <v>9780</v>
          </cell>
          <cell r="R530">
            <v>3260</v>
          </cell>
          <cell r="S530">
            <v>9780</v>
          </cell>
          <cell r="T530">
            <v>3260</v>
          </cell>
          <cell r="U530">
            <v>9780</v>
          </cell>
          <cell r="V530">
            <v>3260</v>
          </cell>
          <cell r="W530">
            <v>9780</v>
          </cell>
          <cell r="X530">
            <v>3260</v>
          </cell>
          <cell r="Y530">
            <v>9780</v>
          </cell>
          <cell r="Z530">
            <v>3260</v>
          </cell>
          <cell r="AD530">
            <v>0.33900000000000002</v>
          </cell>
        </row>
        <row r="531">
          <cell r="E531" t="str">
            <v>アルミ製CR-600mm-H80</v>
          </cell>
          <cell r="F531" t="str">
            <v>ｍ</v>
          </cell>
          <cell r="G531">
            <v>10300</v>
          </cell>
          <cell r="H531">
            <v>3433</v>
          </cell>
          <cell r="I531">
            <v>10300</v>
          </cell>
          <cell r="J531">
            <v>3433</v>
          </cell>
          <cell r="K531">
            <v>10300</v>
          </cell>
          <cell r="L531">
            <v>3433</v>
          </cell>
          <cell r="M531">
            <v>10300</v>
          </cell>
          <cell r="N531">
            <v>3433</v>
          </cell>
          <cell r="O531">
            <v>10300</v>
          </cell>
          <cell r="P531">
            <v>3433</v>
          </cell>
          <cell r="Q531">
            <v>10300</v>
          </cell>
          <cell r="R531">
            <v>3433</v>
          </cell>
          <cell r="S531">
            <v>10300</v>
          </cell>
          <cell r="T531">
            <v>3433</v>
          </cell>
          <cell r="U531">
            <v>10300</v>
          </cell>
          <cell r="V531">
            <v>3433</v>
          </cell>
          <cell r="W531">
            <v>10300</v>
          </cell>
          <cell r="X531">
            <v>3433</v>
          </cell>
          <cell r="Y531">
            <v>10300</v>
          </cell>
          <cell r="Z531">
            <v>3433</v>
          </cell>
          <cell r="AD531">
            <v>0.36499999999999999</v>
          </cell>
        </row>
        <row r="532">
          <cell r="E532" t="str">
            <v>アルミ製CR-800mm-H80</v>
          </cell>
          <cell r="F532" t="str">
            <v>ｍ</v>
          </cell>
          <cell r="G532">
            <v>12000</v>
          </cell>
          <cell r="H532">
            <v>4000</v>
          </cell>
          <cell r="I532">
            <v>12000</v>
          </cell>
          <cell r="J532">
            <v>4000</v>
          </cell>
          <cell r="K532">
            <v>12000</v>
          </cell>
          <cell r="L532">
            <v>4000</v>
          </cell>
          <cell r="M532">
            <v>12000</v>
          </cell>
          <cell r="N532">
            <v>4000</v>
          </cell>
          <cell r="O532">
            <v>12000</v>
          </cell>
          <cell r="P532">
            <v>4000</v>
          </cell>
          <cell r="Q532">
            <v>12000</v>
          </cell>
          <cell r="R532">
            <v>4000</v>
          </cell>
          <cell r="S532">
            <v>12000</v>
          </cell>
          <cell r="T532">
            <v>4000</v>
          </cell>
          <cell r="U532">
            <v>12000</v>
          </cell>
          <cell r="V532">
            <v>4000</v>
          </cell>
          <cell r="W532">
            <v>12000</v>
          </cell>
          <cell r="X532">
            <v>4000</v>
          </cell>
          <cell r="Y532">
            <v>12000</v>
          </cell>
          <cell r="Z532">
            <v>4000</v>
          </cell>
          <cell r="AD532">
            <v>0.496</v>
          </cell>
        </row>
        <row r="533">
          <cell r="E533" t="str">
            <v>アルミ製CR-1000mm-H80</v>
          </cell>
          <cell r="F533" t="str">
            <v>ｍ</v>
          </cell>
          <cell r="G533">
            <v>13500</v>
          </cell>
          <cell r="H533">
            <v>4500</v>
          </cell>
          <cell r="I533">
            <v>13500</v>
          </cell>
          <cell r="J533">
            <v>4500</v>
          </cell>
          <cell r="K533">
            <v>13500</v>
          </cell>
          <cell r="L533">
            <v>4500</v>
          </cell>
          <cell r="M533">
            <v>13500</v>
          </cell>
          <cell r="N533">
            <v>4500</v>
          </cell>
          <cell r="O533">
            <v>13500</v>
          </cell>
          <cell r="P533">
            <v>4500</v>
          </cell>
          <cell r="Q533">
            <v>13500</v>
          </cell>
          <cell r="R533">
            <v>4500</v>
          </cell>
          <cell r="S533">
            <v>13500</v>
          </cell>
          <cell r="T533">
            <v>4500</v>
          </cell>
          <cell r="U533">
            <v>13500</v>
          </cell>
          <cell r="V533">
            <v>4500</v>
          </cell>
          <cell r="W533">
            <v>13500</v>
          </cell>
          <cell r="X533">
            <v>4500</v>
          </cell>
          <cell r="Y533">
            <v>13500</v>
          </cell>
          <cell r="Z533">
            <v>4500</v>
          </cell>
          <cell r="AD533">
            <v>0.61699999999999999</v>
          </cell>
        </row>
        <row r="534">
          <cell r="E534" t="str">
            <v>アルミ製CR-200mm</v>
          </cell>
          <cell r="F534" t="str">
            <v>ｍ</v>
          </cell>
          <cell r="G534">
            <v>8760</v>
          </cell>
          <cell r="H534">
            <v>2920</v>
          </cell>
          <cell r="I534">
            <v>8760</v>
          </cell>
          <cell r="J534">
            <v>2920</v>
          </cell>
          <cell r="K534">
            <v>8760</v>
          </cell>
          <cell r="L534">
            <v>2920</v>
          </cell>
          <cell r="M534">
            <v>8760</v>
          </cell>
          <cell r="N534">
            <v>2920</v>
          </cell>
          <cell r="O534">
            <v>8760</v>
          </cell>
          <cell r="P534">
            <v>2920</v>
          </cell>
          <cell r="Q534">
            <v>8760</v>
          </cell>
          <cell r="R534">
            <v>2920</v>
          </cell>
          <cell r="S534">
            <v>8760</v>
          </cell>
          <cell r="T534">
            <v>2920</v>
          </cell>
          <cell r="U534">
            <v>8760</v>
          </cell>
          <cell r="V534">
            <v>2920</v>
          </cell>
          <cell r="W534">
            <v>8760</v>
          </cell>
          <cell r="X534">
            <v>2920</v>
          </cell>
          <cell r="Y534">
            <v>8760</v>
          </cell>
          <cell r="Z534">
            <v>2920</v>
          </cell>
          <cell r="AD534">
            <v>0.183</v>
          </cell>
        </row>
        <row r="535">
          <cell r="E535" t="str">
            <v>アルミ製CR-300mm</v>
          </cell>
          <cell r="F535" t="str">
            <v>ｍ</v>
          </cell>
          <cell r="G535">
            <v>9490</v>
          </cell>
          <cell r="H535">
            <v>3163</v>
          </cell>
          <cell r="I535">
            <v>9490</v>
          </cell>
          <cell r="J535">
            <v>3163</v>
          </cell>
          <cell r="K535">
            <v>9490</v>
          </cell>
          <cell r="L535">
            <v>3163</v>
          </cell>
          <cell r="M535">
            <v>9490</v>
          </cell>
          <cell r="N535">
            <v>3163</v>
          </cell>
          <cell r="O535">
            <v>9490</v>
          </cell>
          <cell r="P535">
            <v>3163</v>
          </cell>
          <cell r="Q535">
            <v>9490</v>
          </cell>
          <cell r="R535">
            <v>3163</v>
          </cell>
          <cell r="S535">
            <v>9490</v>
          </cell>
          <cell r="T535">
            <v>3163</v>
          </cell>
          <cell r="U535">
            <v>9490</v>
          </cell>
          <cell r="V535">
            <v>3163</v>
          </cell>
          <cell r="W535">
            <v>9490</v>
          </cell>
          <cell r="X535">
            <v>3163</v>
          </cell>
          <cell r="Y535">
            <v>9490</v>
          </cell>
          <cell r="Z535">
            <v>3163</v>
          </cell>
          <cell r="AD535">
            <v>0.24299999999999999</v>
          </cell>
        </row>
        <row r="536">
          <cell r="E536" t="str">
            <v>アルミ製CR-400mm</v>
          </cell>
          <cell r="F536" t="str">
            <v>ｍ</v>
          </cell>
          <cell r="G536">
            <v>10000</v>
          </cell>
          <cell r="H536">
            <v>3333</v>
          </cell>
          <cell r="I536">
            <v>10000</v>
          </cell>
          <cell r="J536">
            <v>3333</v>
          </cell>
          <cell r="K536">
            <v>10000</v>
          </cell>
          <cell r="L536">
            <v>3333</v>
          </cell>
          <cell r="M536">
            <v>10000</v>
          </cell>
          <cell r="N536">
            <v>3333</v>
          </cell>
          <cell r="O536">
            <v>10000</v>
          </cell>
          <cell r="P536">
            <v>3333</v>
          </cell>
          <cell r="Q536">
            <v>10000</v>
          </cell>
          <cell r="R536">
            <v>3333</v>
          </cell>
          <cell r="S536">
            <v>10000</v>
          </cell>
          <cell r="T536">
            <v>3333</v>
          </cell>
          <cell r="U536">
            <v>10000</v>
          </cell>
          <cell r="V536">
            <v>3333</v>
          </cell>
          <cell r="W536">
            <v>10000</v>
          </cell>
          <cell r="X536">
            <v>3333</v>
          </cell>
          <cell r="Y536">
            <v>10000</v>
          </cell>
          <cell r="Z536">
            <v>3333</v>
          </cell>
          <cell r="AD536">
            <v>0.29599999999999999</v>
          </cell>
        </row>
        <row r="537">
          <cell r="E537" t="str">
            <v>アルミ製CR-500mm</v>
          </cell>
          <cell r="F537" t="str">
            <v>ｍ</v>
          </cell>
          <cell r="G537">
            <v>10700</v>
          </cell>
          <cell r="H537">
            <v>3566</v>
          </cell>
          <cell r="I537">
            <v>10700</v>
          </cell>
          <cell r="J537">
            <v>3566</v>
          </cell>
          <cell r="K537">
            <v>10700</v>
          </cell>
          <cell r="L537">
            <v>3566</v>
          </cell>
          <cell r="M537">
            <v>10700</v>
          </cell>
          <cell r="N537">
            <v>3566</v>
          </cell>
          <cell r="O537">
            <v>10700</v>
          </cell>
          <cell r="P537">
            <v>3566</v>
          </cell>
          <cell r="Q537">
            <v>10700</v>
          </cell>
          <cell r="R537">
            <v>3566</v>
          </cell>
          <cell r="S537">
            <v>10700</v>
          </cell>
          <cell r="T537">
            <v>3566</v>
          </cell>
          <cell r="U537">
            <v>10700</v>
          </cell>
          <cell r="V537">
            <v>3566</v>
          </cell>
          <cell r="W537">
            <v>10700</v>
          </cell>
          <cell r="X537">
            <v>3566</v>
          </cell>
          <cell r="Y537">
            <v>10700</v>
          </cell>
          <cell r="Z537">
            <v>3566</v>
          </cell>
          <cell r="AD537">
            <v>0.33900000000000002</v>
          </cell>
        </row>
        <row r="538">
          <cell r="E538" t="str">
            <v>アルミ製CR-600mm</v>
          </cell>
          <cell r="F538" t="str">
            <v>ｍ</v>
          </cell>
          <cell r="G538">
            <v>11300</v>
          </cell>
          <cell r="H538">
            <v>3766</v>
          </cell>
          <cell r="I538">
            <v>11300</v>
          </cell>
          <cell r="J538">
            <v>3766</v>
          </cell>
          <cell r="K538">
            <v>11300</v>
          </cell>
          <cell r="L538">
            <v>3766</v>
          </cell>
          <cell r="M538">
            <v>11300</v>
          </cell>
          <cell r="N538">
            <v>3766</v>
          </cell>
          <cell r="O538">
            <v>11300</v>
          </cell>
          <cell r="P538">
            <v>3766</v>
          </cell>
          <cell r="Q538">
            <v>11300</v>
          </cell>
          <cell r="R538">
            <v>3766</v>
          </cell>
          <cell r="S538">
            <v>11300</v>
          </cell>
          <cell r="T538">
            <v>3766</v>
          </cell>
          <cell r="U538">
            <v>11300</v>
          </cell>
          <cell r="V538">
            <v>3766</v>
          </cell>
          <cell r="W538">
            <v>11300</v>
          </cell>
          <cell r="X538">
            <v>3766</v>
          </cell>
          <cell r="Y538">
            <v>11300</v>
          </cell>
          <cell r="Z538">
            <v>3766</v>
          </cell>
          <cell r="AD538">
            <v>0.36499999999999999</v>
          </cell>
        </row>
        <row r="539">
          <cell r="E539" t="str">
            <v>アルミ製CR-800mm</v>
          </cell>
          <cell r="F539" t="str">
            <v>ｍ</v>
          </cell>
          <cell r="G539">
            <v>14000</v>
          </cell>
          <cell r="H539">
            <v>4666</v>
          </cell>
          <cell r="I539">
            <v>14000</v>
          </cell>
          <cell r="J539">
            <v>4666</v>
          </cell>
          <cell r="K539">
            <v>14000</v>
          </cell>
          <cell r="L539">
            <v>4666</v>
          </cell>
          <cell r="M539">
            <v>14000</v>
          </cell>
          <cell r="N539">
            <v>4666</v>
          </cell>
          <cell r="O539">
            <v>14000</v>
          </cell>
          <cell r="P539">
            <v>4666</v>
          </cell>
          <cell r="Q539">
            <v>14000</v>
          </cell>
          <cell r="R539">
            <v>4666</v>
          </cell>
          <cell r="S539">
            <v>14000</v>
          </cell>
          <cell r="T539">
            <v>4666</v>
          </cell>
          <cell r="U539">
            <v>14000</v>
          </cell>
          <cell r="V539">
            <v>4666</v>
          </cell>
          <cell r="W539">
            <v>14000</v>
          </cell>
          <cell r="X539">
            <v>4666</v>
          </cell>
          <cell r="Y539">
            <v>14000</v>
          </cell>
          <cell r="Z539">
            <v>4666</v>
          </cell>
          <cell r="AD539">
            <v>0.496</v>
          </cell>
        </row>
        <row r="540">
          <cell r="E540" t="str">
            <v>アルミ製CR-1000mm</v>
          </cell>
          <cell r="F540" t="str">
            <v>ｍ</v>
          </cell>
          <cell r="G540">
            <v>15600</v>
          </cell>
          <cell r="H540">
            <v>5200</v>
          </cell>
          <cell r="I540">
            <v>15600</v>
          </cell>
          <cell r="J540">
            <v>5200</v>
          </cell>
          <cell r="K540">
            <v>15600</v>
          </cell>
          <cell r="L540">
            <v>5200</v>
          </cell>
          <cell r="M540">
            <v>15600</v>
          </cell>
          <cell r="N540">
            <v>5200</v>
          </cell>
          <cell r="O540">
            <v>15600</v>
          </cell>
          <cell r="P540">
            <v>5200</v>
          </cell>
          <cell r="Q540">
            <v>15600</v>
          </cell>
          <cell r="R540">
            <v>5200</v>
          </cell>
          <cell r="S540">
            <v>15600</v>
          </cell>
          <cell r="T540">
            <v>5200</v>
          </cell>
          <cell r="U540">
            <v>15600</v>
          </cell>
          <cell r="V540">
            <v>5200</v>
          </cell>
          <cell r="W540">
            <v>15600</v>
          </cell>
          <cell r="X540">
            <v>5200</v>
          </cell>
          <cell r="Y540">
            <v>15600</v>
          </cell>
          <cell r="Z540">
            <v>5200</v>
          </cell>
          <cell r="AD540">
            <v>0.61699999999999999</v>
          </cell>
        </row>
        <row r="584">
          <cell r="E584" t="str">
            <v>IV-1.0mm</v>
          </cell>
          <cell r="F584" t="str">
            <v>ｍ</v>
          </cell>
          <cell r="H584">
            <v>11.4</v>
          </cell>
          <cell r="J584">
            <v>11.4</v>
          </cell>
          <cell r="L584">
            <v>12.3</v>
          </cell>
          <cell r="N584">
            <v>11.7</v>
          </cell>
          <cell r="P584">
            <v>11.5</v>
          </cell>
          <cell r="R584">
            <v>11.2</v>
          </cell>
          <cell r="T584">
            <v>10.9</v>
          </cell>
          <cell r="V584">
            <v>11.2</v>
          </cell>
          <cell r="X584">
            <v>11.9</v>
          </cell>
          <cell r="Z584">
            <v>11.4</v>
          </cell>
          <cell r="AD584">
            <v>8.9999999999999993E-3</v>
          </cell>
        </row>
        <row r="585">
          <cell r="E585" t="str">
            <v>IV-1.2mm</v>
          </cell>
          <cell r="F585" t="str">
            <v>ｍ</v>
          </cell>
          <cell r="H585">
            <v>15.3</v>
          </cell>
          <cell r="J585">
            <v>15.3</v>
          </cell>
          <cell r="L585">
            <v>16.5</v>
          </cell>
          <cell r="N585">
            <v>15.7</v>
          </cell>
          <cell r="P585">
            <v>15.4</v>
          </cell>
          <cell r="R585">
            <v>15</v>
          </cell>
          <cell r="T585">
            <v>14.6</v>
          </cell>
          <cell r="V585">
            <v>15</v>
          </cell>
          <cell r="X585">
            <v>14.6</v>
          </cell>
          <cell r="Z585">
            <v>15.3</v>
          </cell>
          <cell r="AD585">
            <v>0.01</v>
          </cell>
        </row>
        <row r="586">
          <cell r="E586" t="str">
            <v>IV-1.6mm</v>
          </cell>
          <cell r="F586" t="str">
            <v>ｍ</v>
          </cell>
          <cell r="H586">
            <v>25.2</v>
          </cell>
          <cell r="J586">
            <v>25.2</v>
          </cell>
          <cell r="L586">
            <v>27.1</v>
          </cell>
          <cell r="N586">
            <v>25.9</v>
          </cell>
          <cell r="P586">
            <v>25.3</v>
          </cell>
          <cell r="R586">
            <v>24.8</v>
          </cell>
          <cell r="T586">
            <v>24</v>
          </cell>
          <cell r="V586">
            <v>24.8</v>
          </cell>
          <cell r="X586">
            <v>24</v>
          </cell>
          <cell r="Z586">
            <v>25.2</v>
          </cell>
          <cell r="AD586">
            <v>0.01</v>
          </cell>
        </row>
        <row r="587">
          <cell r="E587" t="str">
            <v>IV-2.0mm</v>
          </cell>
          <cell r="F587" t="str">
            <v>ｍ</v>
          </cell>
          <cell r="H587">
            <v>37.4</v>
          </cell>
          <cell r="J587">
            <v>37.4</v>
          </cell>
          <cell r="L587">
            <v>40.299999999999997</v>
          </cell>
          <cell r="N587">
            <v>38.6</v>
          </cell>
          <cell r="P587">
            <v>37.700000000000003</v>
          </cell>
          <cell r="R587">
            <v>36.9</v>
          </cell>
          <cell r="T587">
            <v>35.700000000000003</v>
          </cell>
          <cell r="V587">
            <v>36.9</v>
          </cell>
          <cell r="X587">
            <v>35.700000000000003</v>
          </cell>
          <cell r="Z587">
            <v>37.4</v>
          </cell>
          <cell r="AD587">
            <v>1.0999999999999999E-2</v>
          </cell>
        </row>
        <row r="588">
          <cell r="E588" t="str">
            <v>IV-2.6mm</v>
          </cell>
          <cell r="F588" t="str">
            <v>ｍ</v>
          </cell>
          <cell r="H588">
            <v>59.6</v>
          </cell>
          <cell r="J588">
            <v>59.6</v>
          </cell>
          <cell r="L588">
            <v>64.2</v>
          </cell>
          <cell r="N588">
            <v>61.4</v>
          </cell>
          <cell r="P588">
            <v>60.1</v>
          </cell>
          <cell r="R588">
            <v>58.7</v>
          </cell>
          <cell r="T588">
            <v>56.9</v>
          </cell>
          <cell r="V588">
            <v>58.7</v>
          </cell>
          <cell r="X588">
            <v>56.9</v>
          </cell>
          <cell r="Z588">
            <v>59.6</v>
          </cell>
          <cell r="AD588">
            <v>1.4E-2</v>
          </cell>
        </row>
        <row r="589">
          <cell r="E589" t="str">
            <v>IV-3.2mm</v>
          </cell>
          <cell r="F589" t="str">
            <v>ｍ</v>
          </cell>
          <cell r="H589">
            <v>88.4</v>
          </cell>
          <cell r="J589">
            <v>88.4</v>
          </cell>
          <cell r="L589">
            <v>95.2</v>
          </cell>
          <cell r="N589">
            <v>91.1</v>
          </cell>
          <cell r="P589">
            <v>89.1</v>
          </cell>
          <cell r="R589">
            <v>87</v>
          </cell>
          <cell r="T589">
            <v>84.3</v>
          </cell>
          <cell r="V589">
            <v>87</v>
          </cell>
          <cell r="X589">
            <v>84.3</v>
          </cell>
          <cell r="Z589">
            <v>88.4</v>
          </cell>
          <cell r="AD589">
            <v>1.6E-2</v>
          </cell>
        </row>
        <row r="590">
          <cell r="E590" t="str">
            <v>IV-4.0mm</v>
          </cell>
          <cell r="F590" t="str">
            <v>ｍ</v>
          </cell>
          <cell r="H590">
            <v>137</v>
          </cell>
          <cell r="J590">
            <v>137</v>
          </cell>
          <cell r="L590">
            <v>148</v>
          </cell>
          <cell r="N590">
            <v>141</v>
          </cell>
          <cell r="P590">
            <v>138</v>
          </cell>
          <cell r="R590">
            <v>135</v>
          </cell>
          <cell r="T590">
            <v>131</v>
          </cell>
          <cell r="V590">
            <v>135</v>
          </cell>
          <cell r="X590">
            <v>131</v>
          </cell>
          <cell r="Z590">
            <v>137</v>
          </cell>
          <cell r="AD590">
            <v>0.02</v>
          </cell>
        </row>
        <row r="591">
          <cell r="E591" t="str">
            <v>IV-5.0mm</v>
          </cell>
          <cell r="F591" t="str">
            <v>ｍ</v>
          </cell>
          <cell r="H591">
            <v>211</v>
          </cell>
          <cell r="J591">
            <v>211</v>
          </cell>
          <cell r="L591">
            <v>228</v>
          </cell>
          <cell r="N591">
            <v>218</v>
          </cell>
          <cell r="P591">
            <v>213</v>
          </cell>
          <cell r="R591">
            <v>208</v>
          </cell>
          <cell r="T591">
            <v>202</v>
          </cell>
          <cell r="V591">
            <v>208</v>
          </cell>
          <cell r="X591">
            <v>202</v>
          </cell>
          <cell r="Z591">
            <v>211</v>
          </cell>
          <cell r="AD591">
            <v>2.4E-2</v>
          </cell>
        </row>
        <row r="592">
          <cell r="E592" t="str">
            <v>IV-0.9sq</v>
          </cell>
          <cell r="F592" t="str">
            <v>ｍ</v>
          </cell>
          <cell r="H592">
            <v>15.1</v>
          </cell>
          <cell r="J592">
            <v>15.1</v>
          </cell>
          <cell r="L592">
            <v>16.2</v>
          </cell>
          <cell r="N592">
            <v>15.5</v>
          </cell>
          <cell r="P592">
            <v>15.2</v>
          </cell>
          <cell r="R592">
            <v>14.8</v>
          </cell>
          <cell r="T592">
            <v>14.4</v>
          </cell>
          <cell r="V592">
            <v>14.8</v>
          </cell>
          <cell r="X592">
            <v>14.4</v>
          </cell>
          <cell r="Z592">
            <v>15.1</v>
          </cell>
          <cell r="AD592">
            <v>8.9999999999999993E-3</v>
          </cell>
        </row>
        <row r="593">
          <cell r="E593" t="str">
            <v>IV-1.25sq</v>
          </cell>
          <cell r="F593" t="str">
            <v>ｍ</v>
          </cell>
          <cell r="H593">
            <v>18.100000000000001</v>
          </cell>
          <cell r="J593">
            <v>18.100000000000001</v>
          </cell>
          <cell r="L593">
            <v>19.5</v>
          </cell>
          <cell r="N593">
            <v>18.600000000000001</v>
          </cell>
          <cell r="P593">
            <v>18.2</v>
          </cell>
          <cell r="R593">
            <v>17.8</v>
          </cell>
          <cell r="T593">
            <v>17.2</v>
          </cell>
          <cell r="V593">
            <v>17.8</v>
          </cell>
          <cell r="X593">
            <v>17.2</v>
          </cell>
          <cell r="Z593">
            <v>18.100000000000001</v>
          </cell>
          <cell r="AD593">
            <v>8.9999999999999993E-3</v>
          </cell>
        </row>
        <row r="594">
          <cell r="E594" t="str">
            <v>IV-2.0sq</v>
          </cell>
          <cell r="F594" t="str">
            <v>ｍ</v>
          </cell>
          <cell r="H594">
            <v>27.6</v>
          </cell>
          <cell r="J594">
            <v>27.6</v>
          </cell>
          <cell r="L594">
            <v>29.7</v>
          </cell>
          <cell r="N594">
            <v>28.4</v>
          </cell>
          <cell r="P594">
            <v>27.8</v>
          </cell>
          <cell r="R594">
            <v>27.1</v>
          </cell>
          <cell r="T594">
            <v>26.3</v>
          </cell>
          <cell r="V594">
            <v>27.1</v>
          </cell>
          <cell r="X594">
            <v>26.3</v>
          </cell>
          <cell r="Z594">
            <v>27.6</v>
          </cell>
          <cell r="AD594">
            <v>0.01</v>
          </cell>
        </row>
        <row r="595">
          <cell r="E595" t="str">
            <v>IV-3.5sq</v>
          </cell>
          <cell r="F595" t="str">
            <v>ｍ</v>
          </cell>
          <cell r="H595">
            <v>44.5</v>
          </cell>
          <cell r="J595">
            <v>44.5</v>
          </cell>
          <cell r="L595">
            <v>48</v>
          </cell>
          <cell r="N595">
            <v>45.9</v>
          </cell>
          <cell r="P595">
            <v>44.9</v>
          </cell>
          <cell r="R595">
            <v>43.8</v>
          </cell>
          <cell r="T595">
            <v>42.5</v>
          </cell>
          <cell r="V595">
            <v>43.8</v>
          </cell>
          <cell r="X595">
            <v>42.5</v>
          </cell>
          <cell r="Z595">
            <v>44.5</v>
          </cell>
          <cell r="AD595">
            <v>1.0999999999999999E-2</v>
          </cell>
        </row>
        <row r="596">
          <cell r="E596" t="str">
            <v>IV-5.5sq</v>
          </cell>
          <cell r="F596" t="str">
            <v>ｍ</v>
          </cell>
          <cell r="H596">
            <v>68.3</v>
          </cell>
          <cell r="J596">
            <v>68.3</v>
          </cell>
          <cell r="L596">
            <v>73.5</v>
          </cell>
          <cell r="N596">
            <v>70.400000000000006</v>
          </cell>
          <cell r="P596">
            <v>68.8</v>
          </cell>
          <cell r="R596">
            <v>67.2</v>
          </cell>
          <cell r="T596">
            <v>65.099999999999994</v>
          </cell>
          <cell r="V596">
            <v>67.2</v>
          </cell>
          <cell r="X596">
            <v>65.099999999999994</v>
          </cell>
          <cell r="Z596">
            <v>68.3</v>
          </cell>
          <cell r="AD596">
            <v>1.4E-2</v>
          </cell>
        </row>
        <row r="597">
          <cell r="E597" t="str">
            <v>IV-8sq</v>
          </cell>
          <cell r="F597" t="str">
            <v>ｍ</v>
          </cell>
          <cell r="H597">
            <v>96.9</v>
          </cell>
          <cell r="J597">
            <v>96.9</v>
          </cell>
          <cell r="L597">
            <v>104</v>
          </cell>
          <cell r="N597">
            <v>99.8</v>
          </cell>
          <cell r="P597">
            <v>97.6</v>
          </cell>
          <cell r="R597">
            <v>95.4</v>
          </cell>
          <cell r="T597">
            <v>92.4</v>
          </cell>
          <cell r="V597">
            <v>95.4</v>
          </cell>
          <cell r="X597">
            <v>92.4</v>
          </cell>
          <cell r="Z597">
            <v>96.9</v>
          </cell>
          <cell r="AD597">
            <v>1.6E-2</v>
          </cell>
        </row>
        <row r="598">
          <cell r="E598" t="str">
            <v>IV-14sq</v>
          </cell>
          <cell r="F598" t="str">
            <v>ｍ</v>
          </cell>
          <cell r="H598">
            <v>170</v>
          </cell>
          <cell r="J598">
            <v>170</v>
          </cell>
          <cell r="L598">
            <v>183</v>
          </cell>
          <cell r="N598">
            <v>175</v>
          </cell>
          <cell r="P598">
            <v>171</v>
          </cell>
          <cell r="R598">
            <v>167</v>
          </cell>
          <cell r="T598">
            <v>162</v>
          </cell>
          <cell r="V598">
            <v>167</v>
          </cell>
          <cell r="X598">
            <v>162</v>
          </cell>
          <cell r="Z598">
            <v>170</v>
          </cell>
          <cell r="AD598">
            <v>0.02</v>
          </cell>
        </row>
        <row r="599">
          <cell r="E599" t="str">
            <v>IV-22sq</v>
          </cell>
          <cell r="F599" t="str">
            <v>ｍ</v>
          </cell>
          <cell r="H599">
            <v>259</v>
          </cell>
          <cell r="J599">
            <v>259</v>
          </cell>
          <cell r="L599">
            <v>279</v>
          </cell>
          <cell r="N599">
            <v>267</v>
          </cell>
          <cell r="P599">
            <v>261</v>
          </cell>
          <cell r="R599">
            <v>255</v>
          </cell>
          <cell r="T599">
            <v>247</v>
          </cell>
          <cell r="V599">
            <v>255</v>
          </cell>
          <cell r="X599">
            <v>247</v>
          </cell>
          <cell r="Z599">
            <v>259</v>
          </cell>
          <cell r="AD599">
            <v>2.4E-2</v>
          </cell>
        </row>
        <row r="600">
          <cell r="E600" t="str">
            <v>IV-38sq</v>
          </cell>
          <cell r="F600" t="str">
            <v>ｍ</v>
          </cell>
          <cell r="H600">
            <v>430</v>
          </cell>
          <cell r="J600">
            <v>430</v>
          </cell>
          <cell r="L600">
            <v>463</v>
          </cell>
          <cell r="N600">
            <v>443</v>
          </cell>
          <cell r="P600">
            <v>433</v>
          </cell>
          <cell r="R600">
            <v>423</v>
          </cell>
          <cell r="T600">
            <v>410</v>
          </cell>
          <cell r="V600">
            <v>423</v>
          </cell>
          <cell r="X600">
            <v>410</v>
          </cell>
          <cell r="Z600">
            <v>430</v>
          </cell>
          <cell r="AD600">
            <v>3.2000000000000001E-2</v>
          </cell>
        </row>
        <row r="601">
          <cell r="E601" t="str">
            <v>IV-60sq</v>
          </cell>
          <cell r="F601" t="str">
            <v>ｍ</v>
          </cell>
          <cell r="H601">
            <v>675</v>
          </cell>
          <cell r="J601">
            <v>675</v>
          </cell>
          <cell r="L601">
            <v>727</v>
          </cell>
          <cell r="N601">
            <v>695</v>
          </cell>
          <cell r="P601">
            <v>680</v>
          </cell>
          <cell r="R601">
            <v>664</v>
          </cell>
          <cell r="T601">
            <v>644</v>
          </cell>
          <cell r="V601">
            <v>664</v>
          </cell>
          <cell r="X601">
            <v>644</v>
          </cell>
          <cell r="Z601">
            <v>675</v>
          </cell>
          <cell r="AD601">
            <v>4.2000000000000003E-2</v>
          </cell>
        </row>
        <row r="602">
          <cell r="E602" t="str">
            <v>IV-100sq</v>
          </cell>
          <cell r="F602" t="str">
            <v>ｍ</v>
          </cell>
          <cell r="H602">
            <v>1123</v>
          </cell>
          <cell r="J602">
            <v>1123</v>
          </cell>
          <cell r="L602">
            <v>1210</v>
          </cell>
          <cell r="N602">
            <v>1158</v>
          </cell>
          <cell r="P602">
            <v>1132</v>
          </cell>
          <cell r="R602">
            <v>1106</v>
          </cell>
          <cell r="T602">
            <v>1071</v>
          </cell>
          <cell r="V602">
            <v>1106</v>
          </cell>
          <cell r="X602">
            <v>1071</v>
          </cell>
          <cell r="Z602">
            <v>1123</v>
          </cell>
          <cell r="AD602">
            <v>5.6000000000000001E-2</v>
          </cell>
        </row>
        <row r="603">
          <cell r="E603" t="str">
            <v>IV-150sq</v>
          </cell>
          <cell r="F603" t="str">
            <v>ｍ</v>
          </cell>
          <cell r="H603">
            <v>1698</v>
          </cell>
          <cell r="J603">
            <v>1698</v>
          </cell>
          <cell r="L603">
            <v>1829</v>
          </cell>
          <cell r="N603">
            <v>1751</v>
          </cell>
          <cell r="P603">
            <v>1712</v>
          </cell>
          <cell r="R603">
            <v>1672</v>
          </cell>
          <cell r="T603">
            <v>1620</v>
          </cell>
          <cell r="V603">
            <v>1672</v>
          </cell>
          <cell r="X603">
            <v>1620</v>
          </cell>
          <cell r="Z603">
            <v>1698</v>
          </cell>
          <cell r="AD603">
            <v>7.2999999999999995E-2</v>
          </cell>
        </row>
        <row r="604">
          <cell r="E604" t="str">
            <v>IV-200sq</v>
          </cell>
          <cell r="F604" t="str">
            <v>ｍ</v>
          </cell>
          <cell r="H604">
            <v>2160</v>
          </cell>
          <cell r="J604">
            <v>2160</v>
          </cell>
          <cell r="L604">
            <v>2326</v>
          </cell>
          <cell r="N604">
            <v>2226</v>
          </cell>
          <cell r="P604">
            <v>2177</v>
          </cell>
          <cell r="R604">
            <v>127</v>
          </cell>
          <cell r="T604">
            <v>2060</v>
          </cell>
          <cell r="V604">
            <v>127</v>
          </cell>
          <cell r="X604">
            <v>2060</v>
          </cell>
          <cell r="Z604">
            <v>2160</v>
          </cell>
          <cell r="AD604">
            <v>8.3000000000000004E-2</v>
          </cell>
        </row>
        <row r="605">
          <cell r="E605" t="str">
            <v>IV-250sq</v>
          </cell>
          <cell r="F605" t="str">
            <v>ｍ</v>
          </cell>
          <cell r="H605">
            <v>2809</v>
          </cell>
          <cell r="J605">
            <v>2809</v>
          </cell>
          <cell r="L605">
            <v>3025</v>
          </cell>
          <cell r="N605">
            <v>2896</v>
          </cell>
          <cell r="P605">
            <v>2831</v>
          </cell>
          <cell r="R605">
            <v>2766</v>
          </cell>
          <cell r="T605">
            <v>2680</v>
          </cell>
          <cell r="V605">
            <v>2766</v>
          </cell>
          <cell r="X605">
            <v>2680</v>
          </cell>
          <cell r="Z605">
            <v>2809</v>
          </cell>
          <cell r="AD605">
            <v>9.8000000000000004E-2</v>
          </cell>
        </row>
        <row r="606">
          <cell r="E606" t="str">
            <v>IV-325sq</v>
          </cell>
          <cell r="F606" t="str">
            <v>ｍ</v>
          </cell>
          <cell r="H606">
            <v>3581</v>
          </cell>
          <cell r="J606">
            <v>3581</v>
          </cell>
          <cell r="L606">
            <v>3856</v>
          </cell>
          <cell r="N606">
            <v>3691</v>
          </cell>
          <cell r="P606">
            <v>3608</v>
          </cell>
          <cell r="R606">
            <v>3526</v>
          </cell>
          <cell r="T606">
            <v>3416</v>
          </cell>
          <cell r="V606">
            <v>3526</v>
          </cell>
          <cell r="X606">
            <v>3416</v>
          </cell>
          <cell r="Z606">
            <v>3581</v>
          </cell>
          <cell r="AD606">
            <v>0.11700000000000001</v>
          </cell>
        </row>
        <row r="607">
          <cell r="E607" t="str">
            <v>IE-1.0mm</v>
          </cell>
          <cell r="F607" t="str">
            <v>ｍ</v>
          </cell>
          <cell r="H607">
            <v>19.399999999999999</v>
          </cell>
          <cell r="J607">
            <v>19.399999999999999</v>
          </cell>
          <cell r="L607">
            <v>19.399999999999999</v>
          </cell>
          <cell r="N607">
            <v>18.8</v>
          </cell>
          <cell r="P607">
            <v>18.3</v>
          </cell>
          <cell r="R607">
            <v>19.100000000000001</v>
          </cell>
          <cell r="T607">
            <v>18.5</v>
          </cell>
          <cell r="V607">
            <v>19.100000000000001</v>
          </cell>
          <cell r="X607">
            <v>18.5</v>
          </cell>
          <cell r="Z607">
            <v>19.399999999999999</v>
          </cell>
          <cell r="AD607">
            <v>8.9999999999999993E-3</v>
          </cell>
        </row>
        <row r="608">
          <cell r="E608" t="str">
            <v>IE-1.2mm</v>
          </cell>
          <cell r="F608" t="str">
            <v>ｍ</v>
          </cell>
          <cell r="H608">
            <v>22.8</v>
          </cell>
          <cell r="J608">
            <v>22.8</v>
          </cell>
          <cell r="L608">
            <v>22.8</v>
          </cell>
          <cell r="N608">
            <v>22.1</v>
          </cell>
          <cell r="P608">
            <v>21.5</v>
          </cell>
          <cell r="R608">
            <v>22.4</v>
          </cell>
          <cell r="T608">
            <v>21.7</v>
          </cell>
          <cell r="V608">
            <v>22.4</v>
          </cell>
          <cell r="X608">
            <v>21.7</v>
          </cell>
          <cell r="Z608">
            <v>22.8</v>
          </cell>
          <cell r="AD608">
            <v>0.01</v>
          </cell>
        </row>
        <row r="609">
          <cell r="E609" t="str">
            <v>IE-1.6mm</v>
          </cell>
          <cell r="F609" t="str">
            <v>ｍ</v>
          </cell>
          <cell r="H609">
            <v>33.200000000000003</v>
          </cell>
          <cell r="J609">
            <v>33.200000000000003</v>
          </cell>
          <cell r="L609">
            <v>33.200000000000003</v>
          </cell>
          <cell r="N609">
            <v>32.1</v>
          </cell>
          <cell r="P609">
            <v>31.4</v>
          </cell>
          <cell r="R609">
            <v>32.6</v>
          </cell>
          <cell r="T609">
            <v>31.6</v>
          </cell>
          <cell r="V609">
            <v>32.6</v>
          </cell>
          <cell r="X609">
            <v>31.6</v>
          </cell>
          <cell r="Z609">
            <v>33.200000000000003</v>
          </cell>
          <cell r="AD609">
            <v>0.01</v>
          </cell>
        </row>
        <row r="610">
          <cell r="E610" t="str">
            <v>IE-2.0mm</v>
          </cell>
          <cell r="F610" t="str">
            <v>ｍ</v>
          </cell>
          <cell r="H610">
            <v>48.2</v>
          </cell>
          <cell r="J610">
            <v>48.2</v>
          </cell>
          <cell r="L610">
            <v>48.2</v>
          </cell>
          <cell r="N610">
            <v>46.7</v>
          </cell>
          <cell r="P610">
            <v>45.6</v>
          </cell>
          <cell r="R610">
            <v>47.4</v>
          </cell>
          <cell r="T610">
            <v>45.9</v>
          </cell>
          <cell r="V610">
            <v>47.4</v>
          </cell>
          <cell r="X610">
            <v>45.9</v>
          </cell>
          <cell r="Z610">
            <v>48.2</v>
          </cell>
          <cell r="AD610">
            <v>1.0999999999999999E-2</v>
          </cell>
        </row>
        <row r="611">
          <cell r="E611" t="str">
            <v>IE-2.6mm</v>
          </cell>
          <cell r="F611" t="str">
            <v>ｍ</v>
          </cell>
          <cell r="H611">
            <v>75.599999999999994</v>
          </cell>
          <cell r="J611">
            <v>75.599999999999994</v>
          </cell>
          <cell r="L611">
            <v>75.599999999999994</v>
          </cell>
          <cell r="N611">
            <v>73.3</v>
          </cell>
          <cell r="P611">
            <v>71.5</v>
          </cell>
          <cell r="R611">
            <v>74.400000000000006</v>
          </cell>
          <cell r="T611">
            <v>72.099999999999994</v>
          </cell>
          <cell r="V611">
            <v>74.400000000000006</v>
          </cell>
          <cell r="X611">
            <v>72.099999999999994</v>
          </cell>
          <cell r="Z611">
            <v>75.599999999999994</v>
          </cell>
          <cell r="AD611">
            <v>1.4E-2</v>
          </cell>
        </row>
        <row r="612">
          <cell r="E612" t="str">
            <v>IE-0.9sq</v>
          </cell>
          <cell r="F612" t="str">
            <v>ｍ</v>
          </cell>
          <cell r="H612">
            <v>23.4</v>
          </cell>
          <cell r="J612">
            <v>23.4</v>
          </cell>
          <cell r="L612">
            <v>23.4</v>
          </cell>
          <cell r="N612">
            <v>22.7</v>
          </cell>
          <cell r="P612">
            <v>22.1</v>
          </cell>
          <cell r="R612">
            <v>23</v>
          </cell>
          <cell r="T612">
            <v>22.3</v>
          </cell>
          <cell r="V612">
            <v>23</v>
          </cell>
          <cell r="X612">
            <v>22.3</v>
          </cell>
          <cell r="Z612">
            <v>23.4</v>
          </cell>
          <cell r="AD612">
            <v>8.9999999999999993E-3</v>
          </cell>
        </row>
        <row r="613">
          <cell r="E613" t="str">
            <v>IE-1.25sq</v>
          </cell>
          <cell r="F613" t="str">
            <v>ｍ</v>
          </cell>
          <cell r="H613">
            <v>26.7</v>
          </cell>
          <cell r="J613">
            <v>26.7</v>
          </cell>
          <cell r="L613">
            <v>26.7</v>
          </cell>
          <cell r="N613">
            <v>25.9</v>
          </cell>
          <cell r="P613">
            <v>25.3</v>
          </cell>
          <cell r="R613">
            <v>26.3</v>
          </cell>
          <cell r="T613">
            <v>25.5</v>
          </cell>
          <cell r="V613">
            <v>26.3</v>
          </cell>
          <cell r="X613">
            <v>25.5</v>
          </cell>
          <cell r="Z613">
            <v>26.7</v>
          </cell>
          <cell r="AD613">
            <v>8.9999999999999993E-3</v>
          </cell>
        </row>
        <row r="614">
          <cell r="E614" t="str">
            <v>IE-2.0sq</v>
          </cell>
          <cell r="F614" t="str">
            <v>ｍ</v>
          </cell>
          <cell r="H614">
            <v>36.5</v>
          </cell>
          <cell r="J614">
            <v>36.5</v>
          </cell>
          <cell r="L614">
            <v>36.5</v>
          </cell>
          <cell r="N614">
            <v>35.4</v>
          </cell>
          <cell r="P614">
            <v>34.6</v>
          </cell>
          <cell r="R614">
            <v>36</v>
          </cell>
          <cell r="T614">
            <v>34.799999999999997</v>
          </cell>
          <cell r="V614">
            <v>36</v>
          </cell>
          <cell r="X614">
            <v>34.799999999999997</v>
          </cell>
          <cell r="Z614">
            <v>36.5</v>
          </cell>
          <cell r="AD614">
            <v>0.01</v>
          </cell>
        </row>
        <row r="615">
          <cell r="E615" t="str">
            <v>IE-3.5sq</v>
          </cell>
          <cell r="F615" t="str">
            <v>ｍ</v>
          </cell>
          <cell r="H615">
            <v>56.3</v>
          </cell>
          <cell r="J615">
            <v>56.3</v>
          </cell>
          <cell r="L615">
            <v>56.3</v>
          </cell>
          <cell r="N615">
            <v>54.6</v>
          </cell>
          <cell r="P615">
            <v>53.3</v>
          </cell>
          <cell r="R615">
            <v>55.4</v>
          </cell>
          <cell r="T615">
            <v>53.7</v>
          </cell>
          <cell r="V615">
            <v>55.4</v>
          </cell>
          <cell r="X615">
            <v>53.7</v>
          </cell>
          <cell r="Z615">
            <v>56.3</v>
          </cell>
          <cell r="AD615">
            <v>1.0999999999999999E-2</v>
          </cell>
        </row>
        <row r="616">
          <cell r="E616" t="str">
            <v>IE-5.5sq</v>
          </cell>
          <cell r="F616" t="str">
            <v>ｍ</v>
          </cell>
          <cell r="H616">
            <v>85.2</v>
          </cell>
          <cell r="J616">
            <v>85.2</v>
          </cell>
          <cell r="L616">
            <v>85.2</v>
          </cell>
          <cell r="N616">
            <v>82.5</v>
          </cell>
          <cell r="P616">
            <v>80.599999999999994</v>
          </cell>
          <cell r="R616">
            <v>83.8</v>
          </cell>
          <cell r="T616">
            <v>81.2</v>
          </cell>
          <cell r="V616">
            <v>83.8</v>
          </cell>
          <cell r="X616">
            <v>81.2</v>
          </cell>
          <cell r="Z616">
            <v>85.2</v>
          </cell>
          <cell r="AD616">
            <v>1.4E-2</v>
          </cell>
        </row>
        <row r="617">
          <cell r="E617" t="str">
            <v>IE-8sq</v>
          </cell>
          <cell r="F617" t="str">
            <v>ｍ</v>
          </cell>
          <cell r="H617">
            <v>116</v>
          </cell>
          <cell r="J617">
            <v>116</v>
          </cell>
          <cell r="L617">
            <v>116</v>
          </cell>
          <cell r="N617">
            <v>113</v>
          </cell>
          <cell r="P617">
            <v>110</v>
          </cell>
          <cell r="R617">
            <v>115</v>
          </cell>
          <cell r="T617">
            <v>111</v>
          </cell>
          <cell r="V617">
            <v>115</v>
          </cell>
          <cell r="X617">
            <v>111</v>
          </cell>
          <cell r="Z617">
            <v>116</v>
          </cell>
          <cell r="AD617">
            <v>1.6E-2</v>
          </cell>
        </row>
        <row r="618">
          <cell r="E618" t="str">
            <v>IE-14sq</v>
          </cell>
          <cell r="F618" t="str">
            <v>ｍ</v>
          </cell>
          <cell r="H618">
            <v>199</v>
          </cell>
          <cell r="J618">
            <v>199</v>
          </cell>
          <cell r="L618">
            <v>199</v>
          </cell>
          <cell r="N618">
            <v>193</v>
          </cell>
          <cell r="P618">
            <v>188</v>
          </cell>
          <cell r="R618">
            <v>196</v>
          </cell>
          <cell r="T618">
            <v>190</v>
          </cell>
          <cell r="V618">
            <v>196</v>
          </cell>
          <cell r="X618">
            <v>190</v>
          </cell>
          <cell r="Z618">
            <v>199</v>
          </cell>
          <cell r="AD618">
            <v>0.02</v>
          </cell>
        </row>
        <row r="619">
          <cell r="E619" t="str">
            <v>IE-22sq</v>
          </cell>
          <cell r="F619" t="str">
            <v>ｍ</v>
          </cell>
          <cell r="H619">
            <v>294</v>
          </cell>
          <cell r="J619">
            <v>294</v>
          </cell>
          <cell r="L619">
            <v>294</v>
          </cell>
          <cell r="N619">
            <v>285</v>
          </cell>
          <cell r="P619">
            <v>279</v>
          </cell>
          <cell r="R619">
            <v>290</v>
          </cell>
          <cell r="T619">
            <v>281</v>
          </cell>
          <cell r="V619">
            <v>290</v>
          </cell>
          <cell r="X619">
            <v>281</v>
          </cell>
          <cell r="Z619">
            <v>294</v>
          </cell>
          <cell r="AD619">
            <v>2.4E-2</v>
          </cell>
        </row>
        <row r="620">
          <cell r="E620" t="str">
            <v>IE-38sq</v>
          </cell>
          <cell r="F620" t="str">
            <v>ｍ</v>
          </cell>
          <cell r="H620">
            <v>480</v>
          </cell>
          <cell r="J620">
            <v>480</v>
          </cell>
          <cell r="L620">
            <v>480</v>
          </cell>
          <cell r="N620">
            <v>466</v>
          </cell>
          <cell r="P620">
            <v>454</v>
          </cell>
          <cell r="R620">
            <v>473</v>
          </cell>
          <cell r="T620">
            <v>458</v>
          </cell>
          <cell r="V620">
            <v>473</v>
          </cell>
          <cell r="X620">
            <v>458</v>
          </cell>
          <cell r="Z620">
            <v>480</v>
          </cell>
          <cell r="AD620">
            <v>3.2000000000000001E-2</v>
          </cell>
        </row>
        <row r="621">
          <cell r="E621" t="str">
            <v>IE-60sq</v>
          </cell>
          <cell r="F621" t="str">
            <v>ｍ</v>
          </cell>
          <cell r="H621">
            <v>740</v>
          </cell>
          <cell r="J621">
            <v>740</v>
          </cell>
          <cell r="L621">
            <v>740</v>
          </cell>
          <cell r="N621">
            <v>717</v>
          </cell>
          <cell r="P621">
            <v>700</v>
          </cell>
          <cell r="R621">
            <v>728</v>
          </cell>
          <cell r="T621">
            <v>706</v>
          </cell>
          <cell r="V621">
            <v>728</v>
          </cell>
          <cell r="X621">
            <v>706</v>
          </cell>
          <cell r="Z621">
            <v>740</v>
          </cell>
          <cell r="AD621">
            <v>4.2000000000000003E-2</v>
          </cell>
        </row>
        <row r="622">
          <cell r="E622" t="str">
            <v>IE-100sq</v>
          </cell>
          <cell r="F622" t="str">
            <v>ｍ</v>
          </cell>
          <cell r="H622">
            <v>1210</v>
          </cell>
          <cell r="J622">
            <v>1210</v>
          </cell>
          <cell r="L622">
            <v>1210</v>
          </cell>
          <cell r="N622">
            <v>1172</v>
          </cell>
          <cell r="P622">
            <v>1145</v>
          </cell>
          <cell r="R622">
            <v>1191</v>
          </cell>
          <cell r="T622">
            <v>1154</v>
          </cell>
          <cell r="V622">
            <v>1191</v>
          </cell>
          <cell r="X622">
            <v>1154</v>
          </cell>
          <cell r="Z622">
            <v>1210</v>
          </cell>
          <cell r="AD622">
            <v>5.6000000000000001E-2</v>
          </cell>
        </row>
        <row r="623">
          <cell r="E623" t="str">
            <v>IE-150sq</v>
          </cell>
          <cell r="F623" t="str">
            <v>ｍ</v>
          </cell>
          <cell r="H623">
            <v>1819</v>
          </cell>
          <cell r="J623">
            <v>1819</v>
          </cell>
          <cell r="L623">
            <v>1819</v>
          </cell>
          <cell r="N623">
            <v>1763</v>
          </cell>
          <cell r="P623">
            <v>1721</v>
          </cell>
          <cell r="R623">
            <v>1791</v>
          </cell>
          <cell r="T623">
            <v>1735</v>
          </cell>
          <cell r="V623">
            <v>1791</v>
          </cell>
          <cell r="X623">
            <v>1735</v>
          </cell>
          <cell r="Z623">
            <v>1819</v>
          </cell>
          <cell r="AD623">
            <v>7.2999999999999995E-2</v>
          </cell>
        </row>
        <row r="624">
          <cell r="E624" t="str">
            <v>IE-200sq</v>
          </cell>
          <cell r="F624" t="str">
            <v>ｍ</v>
          </cell>
          <cell r="H624">
            <v>2307</v>
          </cell>
          <cell r="J624">
            <v>2307</v>
          </cell>
          <cell r="L624">
            <v>2307</v>
          </cell>
          <cell r="N624">
            <v>2236</v>
          </cell>
          <cell r="P624">
            <v>2183</v>
          </cell>
          <cell r="R624">
            <v>2271</v>
          </cell>
          <cell r="T624">
            <v>2200</v>
          </cell>
          <cell r="V624">
            <v>2271</v>
          </cell>
          <cell r="X624">
            <v>2200</v>
          </cell>
          <cell r="Z624">
            <v>2307</v>
          </cell>
          <cell r="AD624">
            <v>8.3000000000000004E-2</v>
          </cell>
        </row>
        <row r="625">
          <cell r="E625" t="str">
            <v>IE-250sq</v>
          </cell>
          <cell r="F625" t="str">
            <v>ｍ</v>
          </cell>
          <cell r="H625">
            <v>2978</v>
          </cell>
          <cell r="J625">
            <v>2978</v>
          </cell>
          <cell r="L625">
            <v>2978</v>
          </cell>
          <cell r="N625">
            <v>2886</v>
          </cell>
          <cell r="P625">
            <v>2817</v>
          </cell>
          <cell r="R625">
            <v>2932</v>
          </cell>
          <cell r="T625">
            <v>2840</v>
          </cell>
          <cell r="V625">
            <v>2932</v>
          </cell>
          <cell r="X625">
            <v>2840</v>
          </cell>
          <cell r="Z625">
            <v>2978</v>
          </cell>
          <cell r="AD625">
            <v>9.8000000000000004E-2</v>
          </cell>
        </row>
        <row r="626">
          <cell r="E626" t="str">
            <v>IE-325sq</v>
          </cell>
          <cell r="F626" t="str">
            <v>ｍ</v>
          </cell>
          <cell r="H626">
            <v>3784</v>
          </cell>
          <cell r="J626">
            <v>3784</v>
          </cell>
          <cell r="L626">
            <v>3784</v>
          </cell>
          <cell r="N626">
            <v>3668</v>
          </cell>
          <cell r="P626">
            <v>3581</v>
          </cell>
          <cell r="R626">
            <v>3726</v>
          </cell>
          <cell r="T626">
            <v>3610</v>
          </cell>
          <cell r="V626">
            <v>3726</v>
          </cell>
          <cell r="X626">
            <v>3610</v>
          </cell>
          <cell r="Z626">
            <v>3784</v>
          </cell>
          <cell r="AD626">
            <v>0.11700000000000001</v>
          </cell>
        </row>
        <row r="627">
          <cell r="E627" t="str">
            <v>14_Users</v>
          </cell>
          <cell r="F627" t="str">
            <v>ｍ</v>
          </cell>
        </row>
        <row r="628">
          <cell r="E628" t="str">
            <v>14_Users</v>
          </cell>
          <cell r="F628" t="str">
            <v>ｍ</v>
          </cell>
        </row>
        <row r="629">
          <cell r="E629" t="str">
            <v>14_Users</v>
          </cell>
          <cell r="F629" t="str">
            <v>ｍ</v>
          </cell>
        </row>
        <row r="630">
          <cell r="E630" t="str">
            <v>14_Users</v>
          </cell>
          <cell r="F630" t="str">
            <v>ｍ</v>
          </cell>
        </row>
        <row r="631">
          <cell r="E631" t="str">
            <v>14_Users</v>
          </cell>
          <cell r="F631" t="str">
            <v>ｍ</v>
          </cell>
        </row>
        <row r="632">
          <cell r="E632" t="str">
            <v>14_Users</v>
          </cell>
          <cell r="F632" t="str">
            <v>ｍ</v>
          </cell>
        </row>
        <row r="633">
          <cell r="E633" t="str">
            <v>14_Users</v>
          </cell>
          <cell r="F633" t="str">
            <v>ｍ</v>
          </cell>
        </row>
        <row r="634">
          <cell r="E634" t="str">
            <v>14_Users</v>
          </cell>
          <cell r="F634" t="str">
            <v>ｍ</v>
          </cell>
        </row>
        <row r="635">
          <cell r="E635" t="str">
            <v>HIV-1.2mm</v>
          </cell>
          <cell r="F635" t="str">
            <v>ｍ</v>
          </cell>
          <cell r="H635">
            <v>21</v>
          </cell>
          <cell r="J635">
            <v>21</v>
          </cell>
          <cell r="L635">
            <v>21</v>
          </cell>
          <cell r="N635">
            <v>20.3</v>
          </cell>
          <cell r="P635">
            <v>19.899999999999999</v>
          </cell>
          <cell r="R635">
            <v>20.7</v>
          </cell>
          <cell r="T635">
            <v>20</v>
          </cell>
          <cell r="V635">
            <v>20.7</v>
          </cell>
          <cell r="X635">
            <v>20</v>
          </cell>
          <cell r="Z635">
            <v>21</v>
          </cell>
          <cell r="AD635">
            <v>0.01</v>
          </cell>
        </row>
        <row r="636">
          <cell r="E636" t="str">
            <v>HIV-1.6mm</v>
          </cell>
          <cell r="F636" t="str">
            <v>ｍ</v>
          </cell>
          <cell r="H636">
            <v>32.799999999999997</v>
          </cell>
          <cell r="J636">
            <v>32.799999999999997</v>
          </cell>
          <cell r="L636">
            <v>32.799999999999997</v>
          </cell>
          <cell r="N636">
            <v>31.8</v>
          </cell>
          <cell r="P636">
            <v>31</v>
          </cell>
          <cell r="R636">
            <v>32.299999999999997</v>
          </cell>
          <cell r="T636">
            <v>31.2</v>
          </cell>
          <cell r="V636">
            <v>32.299999999999997</v>
          </cell>
          <cell r="X636">
            <v>31.2</v>
          </cell>
          <cell r="Z636">
            <v>32.799999999999997</v>
          </cell>
          <cell r="AD636">
            <v>0.01</v>
          </cell>
        </row>
        <row r="637">
          <cell r="E637" t="str">
            <v>HIV-2.0mm</v>
          </cell>
          <cell r="F637" t="str">
            <v>ｍ</v>
          </cell>
          <cell r="H637">
            <v>46.1</v>
          </cell>
          <cell r="J637">
            <v>46.1</v>
          </cell>
          <cell r="L637">
            <v>46.1</v>
          </cell>
          <cell r="N637">
            <v>44.7</v>
          </cell>
          <cell r="P637">
            <v>43.6</v>
          </cell>
          <cell r="R637">
            <v>45.4</v>
          </cell>
          <cell r="T637">
            <v>44</v>
          </cell>
          <cell r="V637">
            <v>45.4</v>
          </cell>
          <cell r="X637">
            <v>44</v>
          </cell>
          <cell r="Z637">
            <v>46.1</v>
          </cell>
          <cell r="AD637">
            <v>1.0999999999999999E-2</v>
          </cell>
        </row>
        <row r="638">
          <cell r="E638" t="str">
            <v>HIV-2.6mm</v>
          </cell>
          <cell r="F638" t="str">
            <v>ｍ</v>
          </cell>
          <cell r="H638">
            <v>72.2</v>
          </cell>
          <cell r="J638">
            <v>72.2</v>
          </cell>
          <cell r="L638">
            <v>72.2</v>
          </cell>
          <cell r="N638">
            <v>69.900000000000006</v>
          </cell>
          <cell r="P638">
            <v>68.3</v>
          </cell>
          <cell r="R638">
            <v>71</v>
          </cell>
          <cell r="T638">
            <v>68.8</v>
          </cell>
          <cell r="V638">
            <v>71</v>
          </cell>
          <cell r="X638">
            <v>68.8</v>
          </cell>
          <cell r="Z638">
            <v>72.2</v>
          </cell>
          <cell r="AD638">
            <v>1.4E-2</v>
          </cell>
        </row>
        <row r="639">
          <cell r="E639" t="str">
            <v>HIV-0.9sq</v>
          </cell>
          <cell r="F639" t="str">
            <v>ｍ</v>
          </cell>
          <cell r="H639">
            <v>24.6</v>
          </cell>
          <cell r="J639">
            <v>24.6</v>
          </cell>
          <cell r="L639">
            <v>24.6</v>
          </cell>
          <cell r="N639">
            <v>23.9</v>
          </cell>
          <cell r="P639">
            <v>23.3</v>
          </cell>
          <cell r="R639">
            <v>24.3</v>
          </cell>
          <cell r="T639">
            <v>23.5</v>
          </cell>
          <cell r="V639">
            <v>24.3</v>
          </cell>
          <cell r="X639">
            <v>23.5</v>
          </cell>
          <cell r="Z639">
            <v>24.6</v>
          </cell>
          <cell r="AD639">
            <v>8.9999999999999993E-3</v>
          </cell>
        </row>
        <row r="640">
          <cell r="E640" t="str">
            <v>HIV-1.25sq</v>
          </cell>
          <cell r="F640" t="str">
            <v>ｍ</v>
          </cell>
          <cell r="H640">
            <v>24.7</v>
          </cell>
          <cell r="J640">
            <v>24.7</v>
          </cell>
          <cell r="L640">
            <v>24.7</v>
          </cell>
          <cell r="N640">
            <v>23.9</v>
          </cell>
          <cell r="P640">
            <v>23.4</v>
          </cell>
          <cell r="R640">
            <v>24.3</v>
          </cell>
          <cell r="T640">
            <v>23.6</v>
          </cell>
          <cell r="V640">
            <v>24.3</v>
          </cell>
          <cell r="X640">
            <v>23.6</v>
          </cell>
          <cell r="Z640">
            <v>24.7</v>
          </cell>
          <cell r="AD640">
            <v>8.9999999999999993E-3</v>
          </cell>
        </row>
        <row r="641">
          <cell r="E641" t="str">
            <v>HIV-2.0sq</v>
          </cell>
          <cell r="F641" t="str">
            <v>ｍ</v>
          </cell>
          <cell r="H641">
            <v>36.1</v>
          </cell>
          <cell r="J641">
            <v>36.1</v>
          </cell>
          <cell r="L641">
            <v>36.1</v>
          </cell>
          <cell r="N641">
            <v>35</v>
          </cell>
          <cell r="P641">
            <v>34.1</v>
          </cell>
          <cell r="R641">
            <v>35.5</v>
          </cell>
          <cell r="T641">
            <v>34.4</v>
          </cell>
          <cell r="V641">
            <v>35.5</v>
          </cell>
          <cell r="X641">
            <v>34.4</v>
          </cell>
          <cell r="Z641">
            <v>36.1</v>
          </cell>
          <cell r="AD641">
            <v>0.01</v>
          </cell>
        </row>
        <row r="642">
          <cell r="E642" t="str">
            <v>HIV-3.5sq</v>
          </cell>
          <cell r="F642" t="str">
            <v>ｍ</v>
          </cell>
          <cell r="H642">
            <v>53.2</v>
          </cell>
          <cell r="J642">
            <v>53.2</v>
          </cell>
          <cell r="L642">
            <v>53.2</v>
          </cell>
          <cell r="N642">
            <v>51.5</v>
          </cell>
          <cell r="P642">
            <v>50.3</v>
          </cell>
          <cell r="R642">
            <v>52.4</v>
          </cell>
          <cell r="T642">
            <v>50.7</v>
          </cell>
          <cell r="V642">
            <v>52.4</v>
          </cell>
          <cell r="X642">
            <v>50.7</v>
          </cell>
          <cell r="Z642">
            <v>53.2</v>
          </cell>
          <cell r="AD642">
            <v>1.0999999999999999E-2</v>
          </cell>
        </row>
        <row r="643">
          <cell r="E643" t="str">
            <v>HIV-5.5sq</v>
          </cell>
          <cell r="F643" t="str">
            <v>ｍ</v>
          </cell>
          <cell r="H643">
            <v>77.400000000000006</v>
          </cell>
          <cell r="J643">
            <v>77.400000000000006</v>
          </cell>
          <cell r="L643">
            <v>77.400000000000006</v>
          </cell>
          <cell r="N643">
            <v>75</v>
          </cell>
          <cell r="P643">
            <v>73.2</v>
          </cell>
          <cell r="R643">
            <v>76.2</v>
          </cell>
          <cell r="T643">
            <v>73.8</v>
          </cell>
          <cell r="V643">
            <v>76.2</v>
          </cell>
          <cell r="X643">
            <v>73.8</v>
          </cell>
          <cell r="Z643">
            <v>77.400000000000006</v>
          </cell>
          <cell r="AD643">
            <v>1.4E-2</v>
          </cell>
        </row>
        <row r="644">
          <cell r="E644" t="str">
            <v>HIV-8sq</v>
          </cell>
          <cell r="F644" t="str">
            <v>ｍ</v>
          </cell>
          <cell r="H644">
            <v>108</v>
          </cell>
          <cell r="J644">
            <v>108</v>
          </cell>
          <cell r="L644">
            <v>108</v>
          </cell>
          <cell r="N644">
            <v>105</v>
          </cell>
          <cell r="P644">
            <v>102</v>
          </cell>
          <cell r="R644">
            <v>106</v>
          </cell>
          <cell r="T644">
            <v>103</v>
          </cell>
          <cell r="V644">
            <v>106</v>
          </cell>
          <cell r="X644">
            <v>103</v>
          </cell>
          <cell r="Z644">
            <v>108</v>
          </cell>
          <cell r="AD644">
            <v>1.6E-2</v>
          </cell>
        </row>
        <row r="645">
          <cell r="E645" t="str">
            <v>HIV-14sq</v>
          </cell>
          <cell r="F645" t="str">
            <v>ｍ</v>
          </cell>
          <cell r="H645">
            <v>184</v>
          </cell>
          <cell r="J645">
            <v>184</v>
          </cell>
          <cell r="L645">
            <v>184</v>
          </cell>
          <cell r="N645">
            <v>178</v>
          </cell>
          <cell r="P645">
            <v>174</v>
          </cell>
          <cell r="R645">
            <v>181</v>
          </cell>
          <cell r="T645">
            <v>175</v>
          </cell>
          <cell r="V645">
            <v>181</v>
          </cell>
          <cell r="X645">
            <v>175</v>
          </cell>
          <cell r="Z645">
            <v>184</v>
          </cell>
          <cell r="AD645">
            <v>0.02</v>
          </cell>
        </row>
        <row r="646">
          <cell r="E646" t="str">
            <v>HIV-22sq</v>
          </cell>
          <cell r="F646" t="str">
            <v>ｍ</v>
          </cell>
          <cell r="H646">
            <v>281</v>
          </cell>
          <cell r="J646">
            <v>281</v>
          </cell>
          <cell r="L646">
            <v>281</v>
          </cell>
          <cell r="N646">
            <v>272</v>
          </cell>
          <cell r="P646">
            <v>266</v>
          </cell>
          <cell r="R646">
            <v>276</v>
          </cell>
          <cell r="T646">
            <v>268</v>
          </cell>
          <cell r="V646">
            <v>276</v>
          </cell>
          <cell r="X646">
            <v>268</v>
          </cell>
          <cell r="Z646">
            <v>281</v>
          </cell>
          <cell r="AD646">
            <v>2.4E-2</v>
          </cell>
        </row>
        <row r="647">
          <cell r="E647" t="str">
            <v>HIV-38sq</v>
          </cell>
          <cell r="F647" t="str">
            <v>ｍ</v>
          </cell>
          <cell r="H647">
            <v>458</v>
          </cell>
          <cell r="J647">
            <v>458</v>
          </cell>
          <cell r="L647">
            <v>458</v>
          </cell>
          <cell r="N647">
            <v>444</v>
          </cell>
          <cell r="P647">
            <v>433</v>
          </cell>
          <cell r="R647">
            <v>451</v>
          </cell>
          <cell r="T647">
            <v>436</v>
          </cell>
          <cell r="V647">
            <v>451</v>
          </cell>
          <cell r="X647">
            <v>436</v>
          </cell>
          <cell r="Z647">
            <v>458</v>
          </cell>
          <cell r="AD647">
            <v>3.2000000000000001E-2</v>
          </cell>
        </row>
        <row r="648">
          <cell r="E648" t="str">
            <v>HIV-60sq</v>
          </cell>
          <cell r="F648" t="str">
            <v>ｍ</v>
          </cell>
          <cell r="H648">
            <v>711</v>
          </cell>
          <cell r="J648">
            <v>711</v>
          </cell>
          <cell r="L648">
            <v>711</v>
          </cell>
          <cell r="N648">
            <v>689</v>
          </cell>
          <cell r="P648">
            <v>673</v>
          </cell>
          <cell r="R648">
            <v>700</v>
          </cell>
          <cell r="T648">
            <v>678</v>
          </cell>
          <cell r="V648">
            <v>700</v>
          </cell>
          <cell r="X648">
            <v>678</v>
          </cell>
          <cell r="Z648">
            <v>711</v>
          </cell>
          <cell r="AD648">
            <v>4.2000000000000003E-2</v>
          </cell>
        </row>
        <row r="649">
          <cell r="E649" t="str">
            <v>HIV-100sq</v>
          </cell>
          <cell r="F649" t="str">
            <v>ｍ</v>
          </cell>
          <cell r="H649">
            <v>1201</v>
          </cell>
          <cell r="J649">
            <v>1201</v>
          </cell>
          <cell r="L649">
            <v>1201</v>
          </cell>
          <cell r="N649">
            <v>1164</v>
          </cell>
          <cell r="P649">
            <v>1137</v>
          </cell>
          <cell r="R649">
            <v>1183</v>
          </cell>
          <cell r="T649">
            <v>1146</v>
          </cell>
          <cell r="V649">
            <v>1183</v>
          </cell>
          <cell r="X649">
            <v>1146</v>
          </cell>
          <cell r="Z649">
            <v>1201</v>
          </cell>
          <cell r="AD649">
            <v>5.6000000000000001E-2</v>
          </cell>
        </row>
        <row r="650">
          <cell r="E650" t="str">
            <v>HIV-150sq</v>
          </cell>
          <cell r="F650" t="str">
            <v>ｍ</v>
          </cell>
          <cell r="H650">
            <v>1766</v>
          </cell>
          <cell r="J650">
            <v>1766</v>
          </cell>
          <cell r="L650">
            <v>1766</v>
          </cell>
          <cell r="N650">
            <v>1712</v>
          </cell>
          <cell r="P650">
            <v>1671</v>
          </cell>
          <cell r="R650">
            <v>1739</v>
          </cell>
          <cell r="T650">
            <v>1685</v>
          </cell>
          <cell r="V650">
            <v>1739</v>
          </cell>
          <cell r="X650">
            <v>1685</v>
          </cell>
          <cell r="Z650">
            <v>1766</v>
          </cell>
          <cell r="AD650">
            <v>7.2999999999999995E-2</v>
          </cell>
        </row>
        <row r="651">
          <cell r="E651" t="str">
            <v>HIV-200sq</v>
          </cell>
          <cell r="F651" t="str">
            <v>ｍ</v>
          </cell>
          <cell r="H651">
            <v>2284</v>
          </cell>
          <cell r="J651">
            <v>2284</v>
          </cell>
          <cell r="L651">
            <v>2284</v>
          </cell>
          <cell r="N651">
            <v>2214</v>
          </cell>
          <cell r="P651">
            <v>2161</v>
          </cell>
          <cell r="R651">
            <v>2249</v>
          </cell>
          <cell r="T651">
            <v>2179</v>
          </cell>
          <cell r="V651">
            <v>2249</v>
          </cell>
          <cell r="X651">
            <v>2179</v>
          </cell>
          <cell r="Z651">
            <v>2284</v>
          </cell>
          <cell r="AD651">
            <v>8.3000000000000004E-2</v>
          </cell>
        </row>
        <row r="652">
          <cell r="E652" t="str">
            <v>HIV-250sq</v>
          </cell>
          <cell r="F652" t="str">
            <v>ｍ</v>
          </cell>
          <cell r="H652">
            <v>2915</v>
          </cell>
          <cell r="J652">
            <v>2915</v>
          </cell>
          <cell r="L652">
            <v>2915</v>
          </cell>
          <cell r="N652">
            <v>2826</v>
          </cell>
          <cell r="P652">
            <v>2758</v>
          </cell>
          <cell r="R652">
            <v>2870</v>
          </cell>
          <cell r="T652">
            <v>2781</v>
          </cell>
          <cell r="V652">
            <v>2870</v>
          </cell>
          <cell r="X652">
            <v>2781</v>
          </cell>
          <cell r="Z652">
            <v>2915</v>
          </cell>
          <cell r="AD652">
            <v>9.8000000000000004E-2</v>
          </cell>
        </row>
        <row r="653">
          <cell r="E653" t="str">
            <v>HIV-325sq</v>
          </cell>
          <cell r="F653" t="str">
            <v>ｍ</v>
          </cell>
          <cell r="H653">
            <v>3704</v>
          </cell>
          <cell r="J653">
            <v>3704</v>
          </cell>
          <cell r="L653">
            <v>3704</v>
          </cell>
          <cell r="N653">
            <v>3590</v>
          </cell>
          <cell r="P653">
            <v>3505</v>
          </cell>
          <cell r="R653">
            <v>3647</v>
          </cell>
          <cell r="T653">
            <v>3533</v>
          </cell>
          <cell r="V653">
            <v>3647</v>
          </cell>
          <cell r="X653">
            <v>3533</v>
          </cell>
          <cell r="Z653">
            <v>3704</v>
          </cell>
          <cell r="AD653">
            <v>0.11700000000000001</v>
          </cell>
        </row>
        <row r="654">
          <cell r="E654" t="str">
            <v>VV-F 1.6mm-2C</v>
          </cell>
          <cell r="F654" t="str">
            <v>ｍ</v>
          </cell>
          <cell r="H654">
            <v>40.5</v>
          </cell>
          <cell r="J654">
            <v>40</v>
          </cell>
          <cell r="L654">
            <v>40</v>
          </cell>
          <cell r="N654">
            <v>39.5</v>
          </cell>
          <cell r="P654">
            <v>39</v>
          </cell>
          <cell r="R654">
            <v>40</v>
          </cell>
          <cell r="T654">
            <v>41</v>
          </cell>
          <cell r="V654">
            <v>41.5</v>
          </cell>
          <cell r="X654">
            <v>40</v>
          </cell>
          <cell r="Z654">
            <v>42</v>
          </cell>
          <cell r="AD654">
            <v>1.2999999999999999E-2</v>
          </cell>
        </row>
        <row r="655">
          <cell r="E655" t="str">
            <v>VV-F 2.0mm-2C</v>
          </cell>
          <cell r="F655" t="str">
            <v>ｍ</v>
          </cell>
          <cell r="H655">
            <v>73</v>
          </cell>
          <cell r="J655">
            <v>72</v>
          </cell>
          <cell r="L655">
            <v>72</v>
          </cell>
          <cell r="N655">
            <v>71</v>
          </cell>
          <cell r="P655">
            <v>70</v>
          </cell>
          <cell r="R655">
            <v>72</v>
          </cell>
          <cell r="T655">
            <v>74</v>
          </cell>
          <cell r="V655">
            <v>74.5</v>
          </cell>
          <cell r="X655">
            <v>72</v>
          </cell>
          <cell r="Z655">
            <v>75.5</v>
          </cell>
          <cell r="AD655">
            <v>1.7000000000000001E-2</v>
          </cell>
        </row>
        <row r="656">
          <cell r="E656" t="str">
            <v>VV-F 2.6mm-2C</v>
          </cell>
          <cell r="F656" t="str">
            <v>ｍ</v>
          </cell>
          <cell r="H656">
            <v>134</v>
          </cell>
          <cell r="J656">
            <v>132</v>
          </cell>
          <cell r="L656">
            <v>132</v>
          </cell>
          <cell r="N656">
            <v>131</v>
          </cell>
          <cell r="P656">
            <v>129</v>
          </cell>
          <cell r="R656">
            <v>132</v>
          </cell>
          <cell r="T656">
            <v>136</v>
          </cell>
          <cell r="V656">
            <v>137</v>
          </cell>
          <cell r="X656">
            <v>132</v>
          </cell>
          <cell r="Z656">
            <v>139</v>
          </cell>
          <cell r="AD656">
            <v>2.1000000000000001E-2</v>
          </cell>
        </row>
        <row r="657">
          <cell r="E657" t="str">
            <v>VV-F 1.6mm-3C</v>
          </cell>
          <cell r="F657" t="str">
            <v>ｍ</v>
          </cell>
          <cell r="H657">
            <v>76</v>
          </cell>
          <cell r="J657">
            <v>75</v>
          </cell>
          <cell r="L657">
            <v>75</v>
          </cell>
          <cell r="N657">
            <v>74.5</v>
          </cell>
          <cell r="P657">
            <v>73.5</v>
          </cell>
          <cell r="R657">
            <v>75</v>
          </cell>
          <cell r="T657">
            <v>77</v>
          </cell>
          <cell r="V657">
            <v>78</v>
          </cell>
          <cell r="X657">
            <v>75</v>
          </cell>
          <cell r="Z657">
            <v>79</v>
          </cell>
          <cell r="AD657">
            <v>1.7000000000000001E-2</v>
          </cell>
        </row>
        <row r="658">
          <cell r="E658" t="str">
            <v>VV-F 2.0mm-3C</v>
          </cell>
          <cell r="F658" t="str">
            <v>ｍ</v>
          </cell>
          <cell r="H658">
            <v>121</v>
          </cell>
          <cell r="J658">
            <v>120</v>
          </cell>
          <cell r="L658">
            <v>120</v>
          </cell>
          <cell r="N658">
            <v>118</v>
          </cell>
          <cell r="P658">
            <v>117</v>
          </cell>
          <cell r="R658">
            <v>120</v>
          </cell>
          <cell r="T658">
            <v>123</v>
          </cell>
          <cell r="V658">
            <v>124</v>
          </cell>
          <cell r="X658">
            <v>120</v>
          </cell>
          <cell r="Z658">
            <v>128</v>
          </cell>
          <cell r="AD658">
            <v>2.1000000000000001E-2</v>
          </cell>
        </row>
        <row r="659">
          <cell r="E659" t="str">
            <v>VV-F 2.6mm-3C</v>
          </cell>
          <cell r="F659" t="str">
            <v>ｍ</v>
          </cell>
          <cell r="H659">
            <v>175</v>
          </cell>
          <cell r="J659">
            <v>173</v>
          </cell>
          <cell r="L659">
            <v>173</v>
          </cell>
          <cell r="N659">
            <v>171</v>
          </cell>
          <cell r="P659">
            <v>168</v>
          </cell>
          <cell r="R659">
            <v>173</v>
          </cell>
          <cell r="T659">
            <v>177</v>
          </cell>
          <cell r="V659">
            <v>179</v>
          </cell>
          <cell r="X659">
            <v>173</v>
          </cell>
          <cell r="Z659">
            <v>181</v>
          </cell>
          <cell r="AD659">
            <v>2.5999999999999999E-2</v>
          </cell>
        </row>
        <row r="660">
          <cell r="E660" t="str">
            <v>VV-F 1.6mm-4C</v>
          </cell>
          <cell r="F660" t="str">
            <v>ｍ</v>
          </cell>
          <cell r="H660">
            <v>123</v>
          </cell>
          <cell r="J660">
            <v>122</v>
          </cell>
          <cell r="L660">
            <v>122</v>
          </cell>
          <cell r="N660">
            <v>120</v>
          </cell>
          <cell r="P660">
            <v>119</v>
          </cell>
          <cell r="R660">
            <v>122</v>
          </cell>
          <cell r="T660">
            <v>125</v>
          </cell>
          <cell r="V660">
            <v>126</v>
          </cell>
          <cell r="X660">
            <v>122</v>
          </cell>
          <cell r="Z660">
            <v>123</v>
          </cell>
          <cell r="AD660">
            <v>0.02</v>
          </cell>
        </row>
        <row r="661">
          <cell r="E661" t="str">
            <v>VV-F 2.0mm-4C</v>
          </cell>
          <cell r="F661" t="str">
            <v>ｍ</v>
          </cell>
          <cell r="H661">
            <v>168</v>
          </cell>
          <cell r="J661">
            <v>166</v>
          </cell>
          <cell r="L661">
            <v>166</v>
          </cell>
          <cell r="N661">
            <v>164</v>
          </cell>
          <cell r="P661">
            <v>162</v>
          </cell>
          <cell r="R661">
            <v>166</v>
          </cell>
          <cell r="T661">
            <v>171</v>
          </cell>
          <cell r="V661">
            <v>173</v>
          </cell>
          <cell r="X661">
            <v>166</v>
          </cell>
          <cell r="Z661">
            <v>168</v>
          </cell>
          <cell r="AD661">
            <v>2.4E-2</v>
          </cell>
        </row>
        <row r="662">
          <cell r="E662" t="str">
            <v>EE-F 1.6mm-2C</v>
          </cell>
          <cell r="F662" t="str">
            <v>ｍ</v>
          </cell>
          <cell r="H662">
            <v>84.5</v>
          </cell>
          <cell r="J662">
            <v>84</v>
          </cell>
          <cell r="L662">
            <v>84</v>
          </cell>
          <cell r="N662">
            <v>85</v>
          </cell>
          <cell r="P662">
            <v>83</v>
          </cell>
          <cell r="R662">
            <v>84</v>
          </cell>
          <cell r="T662">
            <v>85</v>
          </cell>
          <cell r="V662">
            <v>85.5</v>
          </cell>
          <cell r="X662">
            <v>84</v>
          </cell>
          <cell r="Z662">
            <v>86</v>
          </cell>
          <cell r="AD662">
            <v>1.2999999999999999E-2</v>
          </cell>
        </row>
        <row r="663">
          <cell r="E663" t="str">
            <v>EE-F 2.0mm-2C</v>
          </cell>
          <cell r="F663" t="str">
            <v>ｍ</v>
          </cell>
          <cell r="H663">
            <v>117</v>
          </cell>
          <cell r="J663">
            <v>116</v>
          </cell>
          <cell r="L663">
            <v>116</v>
          </cell>
          <cell r="N663">
            <v>118</v>
          </cell>
          <cell r="P663">
            <v>114</v>
          </cell>
          <cell r="R663">
            <v>116</v>
          </cell>
          <cell r="T663">
            <v>118</v>
          </cell>
          <cell r="V663">
            <v>119</v>
          </cell>
          <cell r="X663">
            <v>116</v>
          </cell>
          <cell r="Z663">
            <v>120</v>
          </cell>
          <cell r="AD663">
            <v>1.7000000000000001E-2</v>
          </cell>
        </row>
        <row r="664">
          <cell r="E664" t="str">
            <v>EE-F 2.6mm-2C</v>
          </cell>
          <cell r="F664" t="str">
            <v>ｍ</v>
          </cell>
          <cell r="H664">
            <v>180</v>
          </cell>
          <cell r="J664">
            <v>178</v>
          </cell>
          <cell r="L664">
            <v>178</v>
          </cell>
          <cell r="N664">
            <v>182</v>
          </cell>
          <cell r="P664">
            <v>175</v>
          </cell>
          <cell r="R664">
            <v>178</v>
          </cell>
          <cell r="T664">
            <v>182</v>
          </cell>
          <cell r="V664">
            <v>193</v>
          </cell>
          <cell r="X664">
            <v>178</v>
          </cell>
          <cell r="Z664">
            <v>185</v>
          </cell>
          <cell r="AD664">
            <v>2.1000000000000001E-2</v>
          </cell>
        </row>
        <row r="665">
          <cell r="E665" t="str">
            <v>EE-F 1.6mm-3C</v>
          </cell>
          <cell r="F665" t="str">
            <v>ｍ</v>
          </cell>
          <cell r="H665">
            <v>124</v>
          </cell>
          <cell r="J665">
            <v>123</v>
          </cell>
          <cell r="L665">
            <v>123</v>
          </cell>
          <cell r="N665">
            <v>125</v>
          </cell>
          <cell r="P665">
            <v>122</v>
          </cell>
          <cell r="R665">
            <v>123</v>
          </cell>
          <cell r="T665">
            <v>125</v>
          </cell>
          <cell r="V665">
            <v>126</v>
          </cell>
          <cell r="X665">
            <v>123</v>
          </cell>
          <cell r="Z665">
            <v>127</v>
          </cell>
          <cell r="AD665">
            <v>1.7000000000000001E-2</v>
          </cell>
        </row>
        <row r="666">
          <cell r="E666" t="str">
            <v>EE-F 2.0mm-3C</v>
          </cell>
          <cell r="F666" t="str">
            <v>ｍ</v>
          </cell>
          <cell r="H666">
            <v>169</v>
          </cell>
          <cell r="J666">
            <v>168</v>
          </cell>
          <cell r="L666">
            <v>168</v>
          </cell>
          <cell r="N666">
            <v>171</v>
          </cell>
          <cell r="P666">
            <v>165</v>
          </cell>
          <cell r="R666">
            <v>168</v>
          </cell>
          <cell r="T666">
            <v>171</v>
          </cell>
          <cell r="V666">
            <v>172</v>
          </cell>
          <cell r="X666">
            <v>168</v>
          </cell>
          <cell r="Z666">
            <v>174</v>
          </cell>
          <cell r="AD666">
            <v>2.1000000000000001E-2</v>
          </cell>
        </row>
        <row r="667">
          <cell r="E667" t="str">
            <v>EE-F 2.6mm-3C</v>
          </cell>
          <cell r="F667" t="str">
            <v>ｍ</v>
          </cell>
          <cell r="H667">
            <v>240</v>
          </cell>
          <cell r="J667">
            <v>238</v>
          </cell>
          <cell r="L667">
            <v>238</v>
          </cell>
          <cell r="N667">
            <v>242</v>
          </cell>
          <cell r="P667">
            <v>233</v>
          </cell>
          <cell r="R667">
            <v>238</v>
          </cell>
          <cell r="T667">
            <v>242</v>
          </cell>
          <cell r="V667">
            <v>244</v>
          </cell>
          <cell r="X667">
            <v>238</v>
          </cell>
          <cell r="Z667">
            <v>246</v>
          </cell>
          <cell r="AD667">
            <v>2.5999999999999999E-2</v>
          </cell>
        </row>
        <row r="668">
          <cell r="E668" t="str">
            <v>VV-R 1.6mm-2C</v>
          </cell>
          <cell r="F668" t="str">
            <v>ｍ</v>
          </cell>
          <cell r="H668">
            <v>94.1</v>
          </cell>
          <cell r="J668">
            <v>93.3</v>
          </cell>
          <cell r="L668">
            <v>91.6</v>
          </cell>
          <cell r="N668">
            <v>91.6</v>
          </cell>
          <cell r="P668">
            <v>90</v>
          </cell>
          <cell r="R668">
            <v>93.3</v>
          </cell>
          <cell r="T668">
            <v>93.3</v>
          </cell>
          <cell r="V668">
            <v>94.1</v>
          </cell>
          <cell r="X668">
            <v>91.6</v>
          </cell>
          <cell r="Z668">
            <v>96.7</v>
          </cell>
          <cell r="AD668">
            <v>1.2999999999999999E-2</v>
          </cell>
        </row>
        <row r="669">
          <cell r="E669" t="str">
            <v>VV-R 2.0mm-2C</v>
          </cell>
          <cell r="F669" t="str">
            <v>ｍ</v>
          </cell>
          <cell r="H669">
            <v>116</v>
          </cell>
          <cell r="J669">
            <v>115</v>
          </cell>
          <cell r="L669">
            <v>113</v>
          </cell>
          <cell r="N669">
            <v>113</v>
          </cell>
          <cell r="P669">
            <v>111</v>
          </cell>
          <cell r="R669">
            <v>115</v>
          </cell>
          <cell r="T669">
            <v>115</v>
          </cell>
          <cell r="V669">
            <v>116</v>
          </cell>
          <cell r="X669">
            <v>113</v>
          </cell>
          <cell r="Z669">
            <v>118</v>
          </cell>
          <cell r="AD669">
            <v>1.7000000000000001E-2</v>
          </cell>
        </row>
        <row r="670">
          <cell r="E670" t="str">
            <v>VV-R 2.6mm-2C</v>
          </cell>
          <cell r="F670" t="str">
            <v>ｍ</v>
          </cell>
          <cell r="H670">
            <v>169</v>
          </cell>
          <cell r="J670">
            <v>167</v>
          </cell>
          <cell r="L670">
            <v>164</v>
          </cell>
          <cell r="N670">
            <v>164</v>
          </cell>
          <cell r="P670">
            <v>161</v>
          </cell>
          <cell r="R670">
            <v>167</v>
          </cell>
          <cell r="T670">
            <v>167</v>
          </cell>
          <cell r="V670">
            <v>169</v>
          </cell>
          <cell r="X670">
            <v>164</v>
          </cell>
          <cell r="Z670">
            <v>171</v>
          </cell>
          <cell r="AD670">
            <v>2.1000000000000001E-2</v>
          </cell>
        </row>
        <row r="671">
          <cell r="E671" t="str">
            <v>VV-R 5.5sq-2C</v>
          </cell>
          <cell r="F671" t="str">
            <v>ｍ</v>
          </cell>
          <cell r="H671">
            <v>175</v>
          </cell>
          <cell r="J671">
            <v>174</v>
          </cell>
          <cell r="L671">
            <v>171</v>
          </cell>
          <cell r="N671">
            <v>171</v>
          </cell>
          <cell r="P671">
            <v>168</v>
          </cell>
          <cell r="R671">
            <v>174</v>
          </cell>
          <cell r="T671">
            <v>174</v>
          </cell>
          <cell r="V671">
            <v>175</v>
          </cell>
          <cell r="X671">
            <v>171</v>
          </cell>
          <cell r="Z671">
            <v>179</v>
          </cell>
          <cell r="AD671">
            <v>2.1000000000000001E-2</v>
          </cell>
        </row>
        <row r="672">
          <cell r="E672" t="str">
            <v>VV-R 8sq-2C</v>
          </cell>
          <cell r="F672" t="str">
            <v>ｍ</v>
          </cell>
          <cell r="H672">
            <v>227</v>
          </cell>
          <cell r="J672">
            <v>225</v>
          </cell>
          <cell r="L672">
            <v>221</v>
          </cell>
          <cell r="N672">
            <v>221</v>
          </cell>
          <cell r="P672">
            <v>217</v>
          </cell>
          <cell r="R672">
            <v>225</v>
          </cell>
          <cell r="T672">
            <v>225</v>
          </cell>
          <cell r="V672">
            <v>227</v>
          </cell>
          <cell r="X672">
            <v>221</v>
          </cell>
          <cell r="Z672">
            <v>231</v>
          </cell>
          <cell r="AD672">
            <v>2.3E-2</v>
          </cell>
        </row>
        <row r="673">
          <cell r="E673" t="str">
            <v>VV-R 14sq-2C</v>
          </cell>
          <cell r="F673" t="str">
            <v>ｍ</v>
          </cell>
          <cell r="H673">
            <v>364</v>
          </cell>
          <cell r="J673">
            <v>361</v>
          </cell>
          <cell r="L673">
            <v>355</v>
          </cell>
          <cell r="N673">
            <v>355</v>
          </cell>
          <cell r="P673">
            <v>348</v>
          </cell>
          <cell r="R673">
            <v>361</v>
          </cell>
          <cell r="T673">
            <v>361</v>
          </cell>
          <cell r="V673">
            <v>364</v>
          </cell>
          <cell r="X673">
            <v>355</v>
          </cell>
          <cell r="Z673">
            <v>370</v>
          </cell>
          <cell r="AD673">
            <v>2.9000000000000001E-2</v>
          </cell>
        </row>
        <row r="674">
          <cell r="E674" t="str">
            <v>VV-R 22sq-2C</v>
          </cell>
          <cell r="F674" t="str">
            <v>ｍ</v>
          </cell>
          <cell r="H674">
            <v>545</v>
          </cell>
          <cell r="J674">
            <v>540</v>
          </cell>
          <cell r="L674">
            <v>530</v>
          </cell>
          <cell r="N674">
            <v>530</v>
          </cell>
          <cell r="P674">
            <v>521</v>
          </cell>
          <cell r="R674">
            <v>540</v>
          </cell>
          <cell r="T674">
            <v>540</v>
          </cell>
          <cell r="V674">
            <v>545</v>
          </cell>
          <cell r="X674">
            <v>530</v>
          </cell>
          <cell r="Z674">
            <v>554</v>
          </cell>
          <cell r="AD674">
            <v>3.6999999999999998E-2</v>
          </cell>
        </row>
        <row r="675">
          <cell r="E675" t="str">
            <v>VV-R 38sq-2C</v>
          </cell>
          <cell r="F675" t="str">
            <v>ｍ</v>
          </cell>
          <cell r="H675">
            <v>953</v>
          </cell>
          <cell r="J675">
            <v>944</v>
          </cell>
          <cell r="L675">
            <v>928</v>
          </cell>
          <cell r="N675">
            <v>928</v>
          </cell>
          <cell r="P675">
            <v>910</v>
          </cell>
          <cell r="R675">
            <v>944</v>
          </cell>
          <cell r="T675">
            <v>944</v>
          </cell>
          <cell r="V675">
            <v>953</v>
          </cell>
          <cell r="X675">
            <v>928</v>
          </cell>
          <cell r="Z675">
            <v>969</v>
          </cell>
          <cell r="AD675">
            <v>0.05</v>
          </cell>
        </row>
        <row r="676">
          <cell r="E676" t="str">
            <v>VV-R 60sq-2C</v>
          </cell>
          <cell r="F676" t="str">
            <v>ｍ</v>
          </cell>
          <cell r="H676">
            <v>1502</v>
          </cell>
          <cell r="J676">
            <v>1488</v>
          </cell>
          <cell r="L676">
            <v>1462</v>
          </cell>
          <cell r="N676">
            <v>1462</v>
          </cell>
          <cell r="P676">
            <v>1436</v>
          </cell>
          <cell r="R676">
            <v>1488</v>
          </cell>
          <cell r="T676">
            <v>1488</v>
          </cell>
          <cell r="V676">
            <v>1502</v>
          </cell>
          <cell r="X676">
            <v>1462</v>
          </cell>
          <cell r="Z676">
            <v>1527</v>
          </cell>
          <cell r="AD676">
            <v>6.5000000000000002E-2</v>
          </cell>
        </row>
        <row r="677">
          <cell r="E677" t="str">
            <v>VV-R 100sq-2C</v>
          </cell>
          <cell r="F677" t="str">
            <v>ｍ</v>
          </cell>
          <cell r="H677">
            <v>2567</v>
          </cell>
          <cell r="J677">
            <v>2545</v>
          </cell>
          <cell r="L677">
            <v>2500</v>
          </cell>
          <cell r="N677">
            <v>2500</v>
          </cell>
          <cell r="P677">
            <v>2455</v>
          </cell>
          <cell r="R677">
            <v>2545</v>
          </cell>
          <cell r="T677">
            <v>2545</v>
          </cell>
          <cell r="V677">
            <v>2567</v>
          </cell>
          <cell r="X677">
            <v>2500</v>
          </cell>
          <cell r="Z677">
            <v>2612</v>
          </cell>
          <cell r="AD677">
            <v>0.09</v>
          </cell>
        </row>
        <row r="678">
          <cell r="E678" t="str">
            <v>VV-R 150sq-2C</v>
          </cell>
          <cell r="F678" t="str">
            <v>ｍ</v>
          </cell>
          <cell r="H678">
            <v>3896</v>
          </cell>
          <cell r="J678">
            <v>3861</v>
          </cell>
          <cell r="L678">
            <v>3794</v>
          </cell>
          <cell r="N678">
            <v>3794</v>
          </cell>
          <cell r="P678">
            <v>3726</v>
          </cell>
          <cell r="R678">
            <v>3861</v>
          </cell>
          <cell r="T678">
            <v>3861</v>
          </cell>
          <cell r="V678">
            <v>3896</v>
          </cell>
          <cell r="X678">
            <v>3794</v>
          </cell>
          <cell r="Z678">
            <v>3963</v>
          </cell>
          <cell r="AD678">
            <v>0.11</v>
          </cell>
        </row>
        <row r="679">
          <cell r="E679" t="str">
            <v>VV-R 200sq-2C</v>
          </cell>
          <cell r="F679" t="str">
            <v>ｍ</v>
          </cell>
          <cell r="H679">
            <v>5194</v>
          </cell>
          <cell r="J679">
            <v>5149</v>
          </cell>
          <cell r="L679">
            <v>5059</v>
          </cell>
          <cell r="N679">
            <v>5059</v>
          </cell>
          <cell r="P679">
            <v>4968</v>
          </cell>
          <cell r="R679">
            <v>5149</v>
          </cell>
          <cell r="T679">
            <v>5149</v>
          </cell>
          <cell r="V679">
            <v>5194</v>
          </cell>
          <cell r="X679">
            <v>5059</v>
          </cell>
          <cell r="Z679">
            <v>5285</v>
          </cell>
          <cell r="AD679">
            <v>0.13600000000000001</v>
          </cell>
        </row>
        <row r="680">
          <cell r="E680" t="str">
            <v>VV-R 250sq-2C</v>
          </cell>
          <cell r="F680" t="str">
            <v>ｍ</v>
          </cell>
          <cell r="H680">
            <v>6817</v>
          </cell>
          <cell r="J680">
            <v>6757</v>
          </cell>
          <cell r="L680">
            <v>6638</v>
          </cell>
          <cell r="N680">
            <v>6638</v>
          </cell>
          <cell r="P680">
            <v>6521</v>
          </cell>
          <cell r="R680">
            <v>6757</v>
          </cell>
          <cell r="T680">
            <v>6757</v>
          </cell>
          <cell r="V680">
            <v>6817</v>
          </cell>
          <cell r="X680">
            <v>6638</v>
          </cell>
          <cell r="Z680">
            <v>6935</v>
          </cell>
          <cell r="AD680">
            <v>0.157</v>
          </cell>
        </row>
        <row r="681">
          <cell r="E681" t="str">
            <v>VV-R 325sq-2C</v>
          </cell>
          <cell r="F681" t="str">
            <v>ｍ</v>
          </cell>
          <cell r="H681">
            <v>9856</v>
          </cell>
          <cell r="J681">
            <v>9771</v>
          </cell>
          <cell r="L681">
            <v>9599</v>
          </cell>
          <cell r="N681">
            <v>9599</v>
          </cell>
          <cell r="P681">
            <v>9428</v>
          </cell>
          <cell r="R681">
            <v>9771</v>
          </cell>
          <cell r="T681">
            <v>9771</v>
          </cell>
          <cell r="V681">
            <v>9856</v>
          </cell>
          <cell r="X681">
            <v>9599</v>
          </cell>
          <cell r="Z681">
            <v>10028</v>
          </cell>
          <cell r="AD681">
            <v>0.19800000000000001</v>
          </cell>
        </row>
        <row r="682">
          <cell r="E682" t="str">
            <v>VV-R 1.6mm-3C</v>
          </cell>
          <cell r="F682" t="str">
            <v>ｍ</v>
          </cell>
          <cell r="H682">
            <v>116</v>
          </cell>
          <cell r="J682">
            <v>115</v>
          </cell>
          <cell r="L682">
            <v>113</v>
          </cell>
          <cell r="N682">
            <v>113</v>
          </cell>
          <cell r="P682">
            <v>111</v>
          </cell>
          <cell r="R682">
            <v>115</v>
          </cell>
          <cell r="T682">
            <v>115</v>
          </cell>
          <cell r="V682">
            <v>116</v>
          </cell>
          <cell r="X682">
            <v>113</v>
          </cell>
          <cell r="Z682">
            <v>118</v>
          </cell>
          <cell r="AD682">
            <v>1.7000000000000001E-2</v>
          </cell>
        </row>
        <row r="683">
          <cell r="E683" t="str">
            <v>VV-R 2.0mm-3C</v>
          </cell>
          <cell r="F683" t="str">
            <v>ｍ</v>
          </cell>
          <cell r="H683">
            <v>151</v>
          </cell>
          <cell r="J683">
            <v>150</v>
          </cell>
          <cell r="L683">
            <v>147</v>
          </cell>
          <cell r="N683">
            <v>147</v>
          </cell>
          <cell r="P683">
            <v>145</v>
          </cell>
          <cell r="R683">
            <v>150</v>
          </cell>
          <cell r="T683">
            <v>150</v>
          </cell>
          <cell r="V683">
            <v>151</v>
          </cell>
          <cell r="X683">
            <v>147</v>
          </cell>
          <cell r="Z683">
            <v>154</v>
          </cell>
          <cell r="AD683">
            <v>2.1000000000000001E-2</v>
          </cell>
        </row>
        <row r="684">
          <cell r="E684" t="str">
            <v>VV-R 2.6mm-3C</v>
          </cell>
          <cell r="F684" t="str">
            <v>ｍ</v>
          </cell>
          <cell r="H684">
            <v>229</v>
          </cell>
          <cell r="J684">
            <v>227</v>
          </cell>
          <cell r="L684">
            <v>223</v>
          </cell>
          <cell r="N684">
            <v>223</v>
          </cell>
          <cell r="P684">
            <v>219</v>
          </cell>
          <cell r="R684">
            <v>227</v>
          </cell>
          <cell r="T684">
            <v>227</v>
          </cell>
          <cell r="V684">
            <v>229</v>
          </cell>
          <cell r="X684">
            <v>223</v>
          </cell>
          <cell r="Z684">
            <v>233</v>
          </cell>
          <cell r="AD684">
            <v>2.5999999999999999E-2</v>
          </cell>
        </row>
        <row r="685">
          <cell r="E685" t="str">
            <v>VV-R 5.5sq-3C</v>
          </cell>
          <cell r="F685" t="str">
            <v>ｍ</v>
          </cell>
          <cell r="H685">
            <v>242</v>
          </cell>
          <cell r="J685">
            <v>240</v>
          </cell>
          <cell r="L685">
            <v>236</v>
          </cell>
          <cell r="N685">
            <v>236</v>
          </cell>
          <cell r="P685">
            <v>232</v>
          </cell>
          <cell r="R685">
            <v>240</v>
          </cell>
          <cell r="T685">
            <v>240</v>
          </cell>
          <cell r="V685">
            <v>242</v>
          </cell>
          <cell r="X685">
            <v>236</v>
          </cell>
          <cell r="Z685">
            <v>246</v>
          </cell>
          <cell r="AD685">
            <v>2.5999999999999999E-2</v>
          </cell>
        </row>
        <row r="686">
          <cell r="E686" t="str">
            <v>VV-R 8sq-3C</v>
          </cell>
          <cell r="F686" t="str">
            <v>ｍ</v>
          </cell>
          <cell r="H686">
            <v>320</v>
          </cell>
          <cell r="J686">
            <v>318</v>
          </cell>
          <cell r="L686">
            <v>312</v>
          </cell>
          <cell r="N686">
            <v>312</v>
          </cell>
          <cell r="P686">
            <v>306</v>
          </cell>
          <cell r="R686">
            <v>318</v>
          </cell>
          <cell r="T686">
            <v>318</v>
          </cell>
          <cell r="V686">
            <v>320</v>
          </cell>
          <cell r="X686">
            <v>312</v>
          </cell>
          <cell r="Z686">
            <v>326</v>
          </cell>
          <cell r="AD686">
            <v>2.9000000000000001E-2</v>
          </cell>
        </row>
        <row r="687">
          <cell r="E687" t="str">
            <v>VV-R 14sq-3C</v>
          </cell>
          <cell r="F687" t="str">
            <v>ｍ</v>
          </cell>
          <cell r="H687">
            <v>514</v>
          </cell>
          <cell r="J687">
            <v>509</v>
          </cell>
          <cell r="L687">
            <v>500</v>
          </cell>
          <cell r="N687">
            <v>500</v>
          </cell>
          <cell r="P687">
            <v>491</v>
          </cell>
          <cell r="R687">
            <v>509</v>
          </cell>
          <cell r="T687">
            <v>509</v>
          </cell>
          <cell r="V687">
            <v>514</v>
          </cell>
          <cell r="X687">
            <v>500</v>
          </cell>
          <cell r="Z687">
            <v>522</v>
          </cell>
          <cell r="AD687">
            <v>3.6999999999999998E-2</v>
          </cell>
        </row>
        <row r="688">
          <cell r="E688" t="str">
            <v>VV-R 22sq-3C</v>
          </cell>
          <cell r="F688" t="str">
            <v>ｍ</v>
          </cell>
          <cell r="H688">
            <v>789</v>
          </cell>
          <cell r="J688">
            <v>762</v>
          </cell>
          <cell r="L688">
            <v>749</v>
          </cell>
          <cell r="N688">
            <v>749</v>
          </cell>
          <cell r="P688">
            <v>735</v>
          </cell>
          <cell r="R688">
            <v>762</v>
          </cell>
          <cell r="T688">
            <v>762</v>
          </cell>
          <cell r="V688">
            <v>789</v>
          </cell>
          <cell r="X688">
            <v>749</v>
          </cell>
          <cell r="Z688">
            <v>782</v>
          </cell>
          <cell r="AD688">
            <v>4.7E-2</v>
          </cell>
        </row>
        <row r="689">
          <cell r="E689" t="str">
            <v>VV-R 38sq-3C</v>
          </cell>
          <cell r="F689" t="str">
            <v>ｍ</v>
          </cell>
          <cell r="H689">
            <v>1371</v>
          </cell>
          <cell r="J689">
            <v>1359</v>
          </cell>
          <cell r="L689">
            <v>1335</v>
          </cell>
          <cell r="N689">
            <v>1335</v>
          </cell>
          <cell r="P689">
            <v>1311</v>
          </cell>
          <cell r="R689">
            <v>1359</v>
          </cell>
          <cell r="T689">
            <v>1359</v>
          </cell>
          <cell r="V689">
            <v>1371</v>
          </cell>
          <cell r="X689">
            <v>1335</v>
          </cell>
          <cell r="Z689">
            <v>1394</v>
          </cell>
          <cell r="AD689">
            <v>6.2E-2</v>
          </cell>
        </row>
        <row r="690">
          <cell r="E690" t="str">
            <v>VV-R 60sq-3C</v>
          </cell>
          <cell r="F690" t="str">
            <v>ｍ</v>
          </cell>
          <cell r="H690">
            <v>2170</v>
          </cell>
          <cell r="J690">
            <v>2152</v>
          </cell>
          <cell r="L690">
            <v>2113</v>
          </cell>
          <cell r="N690">
            <v>2113</v>
          </cell>
          <cell r="P690">
            <v>2076</v>
          </cell>
          <cell r="R690">
            <v>2152</v>
          </cell>
          <cell r="T690">
            <v>2152</v>
          </cell>
          <cell r="V690">
            <v>2170</v>
          </cell>
          <cell r="X690">
            <v>2113</v>
          </cell>
          <cell r="Z690">
            <v>2208</v>
          </cell>
          <cell r="AD690">
            <v>8.2000000000000003E-2</v>
          </cell>
        </row>
        <row r="691">
          <cell r="E691" t="str">
            <v>VV-R 100sq-3C</v>
          </cell>
          <cell r="F691" t="str">
            <v>ｍ</v>
          </cell>
          <cell r="H691">
            <v>3589</v>
          </cell>
          <cell r="J691">
            <v>3567</v>
          </cell>
          <cell r="L691">
            <v>3504</v>
          </cell>
          <cell r="N691">
            <v>3504</v>
          </cell>
          <cell r="P691">
            <v>3442</v>
          </cell>
          <cell r="R691">
            <v>3567</v>
          </cell>
          <cell r="T691">
            <v>3567</v>
          </cell>
          <cell r="V691">
            <v>3589</v>
          </cell>
          <cell r="X691">
            <v>3504</v>
          </cell>
          <cell r="Z691">
            <v>3660</v>
          </cell>
          <cell r="AD691">
            <v>0.112</v>
          </cell>
        </row>
        <row r="692">
          <cell r="E692" t="str">
            <v>VV-R 150sq-3C</v>
          </cell>
          <cell r="F692" t="str">
            <v>ｍ</v>
          </cell>
          <cell r="H692">
            <v>5530</v>
          </cell>
          <cell r="J692">
            <v>5482</v>
          </cell>
          <cell r="L692">
            <v>5387</v>
          </cell>
          <cell r="N692">
            <v>5387</v>
          </cell>
          <cell r="P692">
            <v>5290</v>
          </cell>
          <cell r="R692">
            <v>5482</v>
          </cell>
          <cell r="T692">
            <v>5482</v>
          </cell>
          <cell r="V692">
            <v>5530</v>
          </cell>
          <cell r="X692">
            <v>5387</v>
          </cell>
          <cell r="Z692">
            <v>5627</v>
          </cell>
          <cell r="AD692">
            <v>0.13700000000000001</v>
          </cell>
        </row>
        <row r="693">
          <cell r="E693" t="str">
            <v>VV-R 200sq-3C</v>
          </cell>
          <cell r="F693" t="str">
            <v>ｍ</v>
          </cell>
          <cell r="H693">
            <v>7228</v>
          </cell>
          <cell r="J693">
            <v>7165</v>
          </cell>
          <cell r="L693">
            <v>7040</v>
          </cell>
          <cell r="N693">
            <v>7040</v>
          </cell>
          <cell r="P693">
            <v>6914</v>
          </cell>
          <cell r="R693">
            <v>7165</v>
          </cell>
          <cell r="T693">
            <v>7165</v>
          </cell>
          <cell r="V693">
            <v>7228</v>
          </cell>
          <cell r="X693">
            <v>7040</v>
          </cell>
          <cell r="Z693">
            <v>7354</v>
          </cell>
          <cell r="AD693">
            <v>0.17</v>
          </cell>
        </row>
        <row r="694">
          <cell r="E694" t="str">
            <v>VV-R 250sq-3C</v>
          </cell>
          <cell r="F694" t="str">
            <v>ｍ</v>
          </cell>
          <cell r="H694">
            <v>9574</v>
          </cell>
          <cell r="J694">
            <v>9491</v>
          </cell>
          <cell r="L694">
            <v>9324</v>
          </cell>
          <cell r="N694">
            <v>9324</v>
          </cell>
          <cell r="P694">
            <v>9157</v>
          </cell>
          <cell r="R694">
            <v>9491</v>
          </cell>
          <cell r="T694">
            <v>9491</v>
          </cell>
          <cell r="V694">
            <v>9574</v>
          </cell>
          <cell r="X694">
            <v>9324</v>
          </cell>
          <cell r="Z694">
            <v>9740</v>
          </cell>
          <cell r="AD694">
            <v>0.19600000000000001</v>
          </cell>
        </row>
        <row r="695">
          <cell r="E695" t="str">
            <v>VV-R 325sq-3C</v>
          </cell>
          <cell r="F695" t="str">
            <v>ｍ</v>
          </cell>
          <cell r="H695">
            <v>13823</v>
          </cell>
          <cell r="J695">
            <v>13703</v>
          </cell>
          <cell r="L695">
            <v>13463</v>
          </cell>
          <cell r="N695">
            <v>13463</v>
          </cell>
          <cell r="P695">
            <v>13222</v>
          </cell>
          <cell r="R695">
            <v>13703</v>
          </cell>
          <cell r="T695">
            <v>13703</v>
          </cell>
          <cell r="V695">
            <v>13823</v>
          </cell>
          <cell r="X695">
            <v>13463</v>
          </cell>
          <cell r="Z695">
            <v>14063</v>
          </cell>
          <cell r="AD695">
            <v>0.248</v>
          </cell>
        </row>
        <row r="696">
          <cell r="E696" t="str">
            <v>CV 2sq-1C</v>
          </cell>
          <cell r="F696" t="str">
            <v>ｍ</v>
          </cell>
          <cell r="H696">
            <v>38.5</v>
          </cell>
          <cell r="J696">
            <v>39.1</v>
          </cell>
          <cell r="L696">
            <v>39.1</v>
          </cell>
          <cell r="N696">
            <v>37.9</v>
          </cell>
          <cell r="P696">
            <v>37</v>
          </cell>
          <cell r="R696">
            <v>38.5</v>
          </cell>
          <cell r="T696">
            <v>38.5</v>
          </cell>
          <cell r="V696">
            <v>39.1</v>
          </cell>
          <cell r="X696">
            <v>39.700000000000003</v>
          </cell>
          <cell r="Z696">
            <v>39.1</v>
          </cell>
          <cell r="AD696">
            <v>0.01</v>
          </cell>
        </row>
        <row r="697">
          <cell r="E697" t="str">
            <v>CV 3.5sq-1C</v>
          </cell>
          <cell r="F697" t="str">
            <v>ｍ</v>
          </cell>
          <cell r="H697">
            <v>56.8</v>
          </cell>
          <cell r="J697">
            <v>56.7</v>
          </cell>
          <cell r="L697">
            <v>56.7</v>
          </cell>
          <cell r="N697">
            <v>54.9</v>
          </cell>
          <cell r="P697">
            <v>53.6</v>
          </cell>
          <cell r="R697">
            <v>56.8</v>
          </cell>
          <cell r="T697">
            <v>56.8</v>
          </cell>
          <cell r="V697">
            <v>56.7</v>
          </cell>
          <cell r="X697">
            <v>54.9</v>
          </cell>
          <cell r="Z697">
            <v>56.7</v>
          </cell>
          <cell r="AD697">
            <v>1.2E-2</v>
          </cell>
        </row>
        <row r="698">
          <cell r="E698" t="str">
            <v>CV 5.5sq-1C</v>
          </cell>
          <cell r="F698" t="str">
            <v>ｍ</v>
          </cell>
          <cell r="H698">
            <v>76.8</v>
          </cell>
          <cell r="J698">
            <v>78</v>
          </cell>
          <cell r="L698">
            <v>78</v>
          </cell>
          <cell r="N698">
            <v>75.599999999999994</v>
          </cell>
          <cell r="P698">
            <v>73.8</v>
          </cell>
          <cell r="R698">
            <v>76.8</v>
          </cell>
          <cell r="T698">
            <v>76.8</v>
          </cell>
          <cell r="V698">
            <v>78</v>
          </cell>
          <cell r="X698">
            <v>75.599999999999994</v>
          </cell>
          <cell r="Z698">
            <v>78</v>
          </cell>
          <cell r="AD698">
            <v>1.6E-2</v>
          </cell>
        </row>
        <row r="699">
          <cell r="E699" t="str">
            <v>CV 8sq-1C</v>
          </cell>
          <cell r="F699" t="str">
            <v>ｍ</v>
          </cell>
          <cell r="H699">
            <v>104</v>
          </cell>
          <cell r="J699">
            <v>106</v>
          </cell>
          <cell r="L699">
            <v>106</v>
          </cell>
          <cell r="N699">
            <v>103</v>
          </cell>
          <cell r="P699">
            <v>100</v>
          </cell>
          <cell r="R699">
            <v>104</v>
          </cell>
          <cell r="T699">
            <v>104</v>
          </cell>
          <cell r="V699">
            <v>106</v>
          </cell>
          <cell r="X699">
            <v>103</v>
          </cell>
          <cell r="Z699">
            <v>106</v>
          </cell>
          <cell r="AD699">
            <v>1.7000000000000001E-2</v>
          </cell>
        </row>
        <row r="700">
          <cell r="E700" t="str">
            <v>CV 14sq-1C</v>
          </cell>
          <cell r="F700" t="str">
            <v>ｍ</v>
          </cell>
          <cell r="H700">
            <v>163</v>
          </cell>
          <cell r="J700">
            <v>165</v>
          </cell>
          <cell r="L700">
            <v>165</v>
          </cell>
          <cell r="N700">
            <v>160</v>
          </cell>
          <cell r="P700">
            <v>156</v>
          </cell>
          <cell r="R700">
            <v>163</v>
          </cell>
          <cell r="T700">
            <v>163</v>
          </cell>
          <cell r="V700">
            <v>165</v>
          </cell>
          <cell r="X700">
            <v>160</v>
          </cell>
          <cell r="Z700">
            <v>165</v>
          </cell>
          <cell r="AD700">
            <v>2.1999999999999999E-2</v>
          </cell>
        </row>
        <row r="701">
          <cell r="E701" t="str">
            <v>CV 22sq-1C</v>
          </cell>
          <cell r="F701" t="str">
            <v>ｍ</v>
          </cell>
          <cell r="H701">
            <v>247</v>
          </cell>
          <cell r="J701">
            <v>251</v>
          </cell>
          <cell r="L701">
            <v>251</v>
          </cell>
          <cell r="N701">
            <v>243</v>
          </cell>
          <cell r="P701">
            <v>237</v>
          </cell>
          <cell r="R701">
            <v>247</v>
          </cell>
          <cell r="T701">
            <v>247</v>
          </cell>
          <cell r="V701">
            <v>251</v>
          </cell>
          <cell r="X701">
            <v>243</v>
          </cell>
          <cell r="Z701">
            <v>251</v>
          </cell>
          <cell r="AD701">
            <v>2.9000000000000001E-2</v>
          </cell>
        </row>
        <row r="702">
          <cell r="E702" t="str">
            <v>CV 38sq-1C</v>
          </cell>
          <cell r="F702" t="str">
            <v>ｍ</v>
          </cell>
          <cell r="H702">
            <v>406</v>
          </cell>
          <cell r="J702">
            <v>413</v>
          </cell>
          <cell r="L702">
            <v>413</v>
          </cell>
          <cell r="N702">
            <v>400</v>
          </cell>
          <cell r="P702">
            <v>391</v>
          </cell>
          <cell r="R702">
            <v>406</v>
          </cell>
          <cell r="T702">
            <v>406</v>
          </cell>
          <cell r="V702">
            <v>413</v>
          </cell>
          <cell r="X702">
            <v>400</v>
          </cell>
          <cell r="Z702">
            <v>413</v>
          </cell>
          <cell r="AD702">
            <v>3.6999999999999998E-2</v>
          </cell>
        </row>
        <row r="703">
          <cell r="E703" t="str">
            <v>CV 60sq-1C</v>
          </cell>
          <cell r="F703" t="str">
            <v>ｍ</v>
          </cell>
          <cell r="H703">
            <v>627</v>
          </cell>
          <cell r="J703">
            <v>636</v>
          </cell>
          <cell r="L703">
            <v>636</v>
          </cell>
          <cell r="N703">
            <v>617</v>
          </cell>
          <cell r="P703">
            <v>602</v>
          </cell>
          <cell r="R703">
            <v>627</v>
          </cell>
          <cell r="T703">
            <v>627</v>
          </cell>
          <cell r="V703">
            <v>636</v>
          </cell>
          <cell r="X703">
            <v>617</v>
          </cell>
          <cell r="Z703">
            <v>636</v>
          </cell>
          <cell r="AD703">
            <v>4.9000000000000002E-2</v>
          </cell>
        </row>
        <row r="704">
          <cell r="E704" t="str">
            <v>CV 100sq-1C</v>
          </cell>
          <cell r="F704" t="str">
            <v>ｍ</v>
          </cell>
          <cell r="H704">
            <v>1048</v>
          </cell>
          <cell r="J704">
            <v>1065</v>
          </cell>
          <cell r="L704">
            <v>1065</v>
          </cell>
          <cell r="N704">
            <v>1032</v>
          </cell>
          <cell r="P704">
            <v>1007</v>
          </cell>
          <cell r="R704">
            <v>1048</v>
          </cell>
          <cell r="T704">
            <v>48</v>
          </cell>
          <cell r="V704">
            <v>1065</v>
          </cell>
          <cell r="X704">
            <v>1032</v>
          </cell>
          <cell r="Z704">
            <v>1065</v>
          </cell>
          <cell r="AD704">
            <v>6.7000000000000004E-2</v>
          </cell>
        </row>
        <row r="705">
          <cell r="E705" t="str">
            <v>CV 150sq-1C</v>
          </cell>
          <cell r="F705" t="str">
            <v>ｍ</v>
          </cell>
          <cell r="H705">
            <v>1558</v>
          </cell>
          <cell r="J705">
            <v>1582</v>
          </cell>
          <cell r="L705">
            <v>1582</v>
          </cell>
          <cell r="N705">
            <v>1533</v>
          </cell>
          <cell r="P705">
            <v>1497</v>
          </cell>
          <cell r="R705">
            <v>1558</v>
          </cell>
          <cell r="T705">
            <v>1558</v>
          </cell>
          <cell r="V705">
            <v>1582</v>
          </cell>
          <cell r="X705">
            <v>1533</v>
          </cell>
          <cell r="Z705">
            <v>1582</v>
          </cell>
          <cell r="AD705">
            <v>8.3000000000000004E-2</v>
          </cell>
        </row>
        <row r="706">
          <cell r="E706" t="str">
            <v>CV 200sq-1C</v>
          </cell>
          <cell r="F706" t="str">
            <v>ｍ</v>
          </cell>
          <cell r="H706">
            <v>2068</v>
          </cell>
          <cell r="J706">
            <v>2101</v>
          </cell>
          <cell r="L706">
            <v>2101</v>
          </cell>
          <cell r="N706">
            <v>2036</v>
          </cell>
          <cell r="P706">
            <v>1988</v>
          </cell>
          <cell r="R706">
            <v>2068</v>
          </cell>
          <cell r="T706">
            <v>2068</v>
          </cell>
          <cell r="V706">
            <v>2101</v>
          </cell>
          <cell r="X706">
            <v>2036</v>
          </cell>
          <cell r="Z706">
            <v>2101</v>
          </cell>
          <cell r="AD706">
            <v>0.10199999999999999</v>
          </cell>
        </row>
        <row r="707">
          <cell r="E707" t="str">
            <v>CV 250sq-1C</v>
          </cell>
          <cell r="F707" t="str">
            <v>ｍ</v>
          </cell>
          <cell r="H707">
            <v>2602</v>
          </cell>
          <cell r="J707">
            <v>2643</v>
          </cell>
          <cell r="L707">
            <v>2643</v>
          </cell>
          <cell r="N707">
            <v>2562</v>
          </cell>
          <cell r="P707">
            <v>2501</v>
          </cell>
          <cell r="R707">
            <v>2602</v>
          </cell>
          <cell r="T707">
            <v>2602</v>
          </cell>
          <cell r="V707">
            <v>2643</v>
          </cell>
          <cell r="X707">
            <v>2562</v>
          </cell>
          <cell r="Z707">
            <v>2643</v>
          </cell>
          <cell r="AD707">
            <v>0.11700000000000001</v>
          </cell>
        </row>
        <row r="708">
          <cell r="E708" t="str">
            <v>CV 325sq-1C</v>
          </cell>
          <cell r="F708" t="str">
            <v>ｍ</v>
          </cell>
          <cell r="H708">
            <v>3364</v>
          </cell>
          <cell r="J708">
            <v>3416</v>
          </cell>
          <cell r="L708">
            <v>3416</v>
          </cell>
          <cell r="N708">
            <v>3311</v>
          </cell>
          <cell r="P708">
            <v>3232</v>
          </cell>
          <cell r="R708">
            <v>3364</v>
          </cell>
          <cell r="T708">
            <v>3364</v>
          </cell>
          <cell r="V708">
            <v>3416</v>
          </cell>
          <cell r="X708">
            <v>3311</v>
          </cell>
          <cell r="Z708">
            <v>3416</v>
          </cell>
          <cell r="AD708">
            <v>0.14899999999999999</v>
          </cell>
        </row>
        <row r="709">
          <cell r="E709" t="str">
            <v>CV 2sq-2C</v>
          </cell>
          <cell r="F709" t="str">
            <v>ｍ</v>
          </cell>
          <cell r="H709">
            <v>90.2</v>
          </cell>
          <cell r="J709">
            <v>91.7</v>
          </cell>
          <cell r="L709">
            <v>91.7</v>
          </cell>
          <cell r="N709">
            <v>88.8</v>
          </cell>
          <cell r="P709">
            <v>86.7</v>
          </cell>
          <cell r="R709">
            <v>90.2</v>
          </cell>
          <cell r="T709">
            <v>90.2</v>
          </cell>
          <cell r="V709">
            <v>91.7</v>
          </cell>
          <cell r="X709">
            <v>88.8</v>
          </cell>
          <cell r="Z709">
            <v>91.7</v>
          </cell>
          <cell r="AD709">
            <v>1.2999999999999999E-2</v>
          </cell>
        </row>
        <row r="710">
          <cell r="E710" t="str">
            <v>CV 3.5sq-2C</v>
          </cell>
          <cell r="F710" t="str">
            <v>ｍ</v>
          </cell>
          <cell r="H710">
            <v>128</v>
          </cell>
          <cell r="J710">
            <v>130</v>
          </cell>
          <cell r="L710">
            <v>130</v>
          </cell>
          <cell r="N710">
            <v>126</v>
          </cell>
          <cell r="P710">
            <v>123</v>
          </cell>
          <cell r="R710">
            <v>128</v>
          </cell>
          <cell r="T710">
            <v>128</v>
          </cell>
          <cell r="V710">
            <v>130</v>
          </cell>
          <cell r="X710">
            <v>126</v>
          </cell>
          <cell r="Z710">
            <v>130</v>
          </cell>
          <cell r="AD710">
            <v>1.7000000000000001E-2</v>
          </cell>
        </row>
        <row r="711">
          <cell r="E711" t="str">
            <v>CV 5.5sq-2C</v>
          </cell>
          <cell r="F711" t="str">
            <v>ｍ</v>
          </cell>
          <cell r="H711">
            <v>175</v>
          </cell>
          <cell r="J711">
            <v>178</v>
          </cell>
          <cell r="L711">
            <v>178</v>
          </cell>
          <cell r="N711">
            <v>173</v>
          </cell>
          <cell r="P711">
            <v>169</v>
          </cell>
          <cell r="R711">
            <v>175</v>
          </cell>
          <cell r="T711">
            <v>175</v>
          </cell>
          <cell r="V711">
            <v>178</v>
          </cell>
          <cell r="X711">
            <v>173</v>
          </cell>
          <cell r="Z711">
            <v>178</v>
          </cell>
          <cell r="AD711">
            <v>2.1000000000000001E-2</v>
          </cell>
        </row>
        <row r="712">
          <cell r="E712" t="str">
            <v>CV 8sq-2C</v>
          </cell>
          <cell r="F712" t="str">
            <v>ｍ</v>
          </cell>
          <cell r="H712">
            <v>232</v>
          </cell>
          <cell r="J712">
            <v>235</v>
          </cell>
          <cell r="L712">
            <v>235</v>
          </cell>
          <cell r="N712">
            <v>228</v>
          </cell>
          <cell r="P712">
            <v>223</v>
          </cell>
          <cell r="R712">
            <v>232</v>
          </cell>
          <cell r="T712">
            <v>232</v>
          </cell>
          <cell r="V712">
            <v>235</v>
          </cell>
          <cell r="X712">
            <v>228</v>
          </cell>
          <cell r="Z712">
            <v>235</v>
          </cell>
          <cell r="AD712">
            <v>2.3E-2</v>
          </cell>
        </row>
        <row r="713">
          <cell r="E713" t="str">
            <v>CV 14sq-2C</v>
          </cell>
          <cell r="F713" t="str">
            <v>ｍ</v>
          </cell>
          <cell r="H713">
            <v>355</v>
          </cell>
          <cell r="J713">
            <v>360</v>
          </cell>
          <cell r="L713">
            <v>360</v>
          </cell>
          <cell r="N713">
            <v>349</v>
          </cell>
          <cell r="P713">
            <v>341</v>
          </cell>
          <cell r="R713">
            <v>355</v>
          </cell>
          <cell r="T713">
            <v>355</v>
          </cell>
          <cell r="V713">
            <v>360</v>
          </cell>
          <cell r="X713">
            <v>349</v>
          </cell>
          <cell r="Z713">
            <v>360</v>
          </cell>
          <cell r="AD713">
            <v>2.9000000000000001E-2</v>
          </cell>
        </row>
        <row r="714">
          <cell r="E714" t="str">
            <v>CV 22sq-2C</v>
          </cell>
          <cell r="F714" t="str">
            <v>ｍ</v>
          </cell>
          <cell r="H714">
            <v>529</v>
          </cell>
          <cell r="J714">
            <v>538</v>
          </cell>
          <cell r="L714">
            <v>538</v>
          </cell>
          <cell r="N714">
            <v>521</v>
          </cell>
          <cell r="P714">
            <v>509</v>
          </cell>
          <cell r="R714">
            <v>529</v>
          </cell>
          <cell r="T714">
            <v>529</v>
          </cell>
          <cell r="V714">
            <v>538</v>
          </cell>
          <cell r="X714">
            <v>521</v>
          </cell>
          <cell r="Z714">
            <v>538</v>
          </cell>
          <cell r="AD714">
            <v>3.6999999999999998E-2</v>
          </cell>
        </row>
        <row r="715">
          <cell r="E715" t="str">
            <v>CV 38sq-2C</v>
          </cell>
          <cell r="F715" t="str">
            <v>ｍ</v>
          </cell>
          <cell r="H715">
            <v>857</v>
          </cell>
          <cell r="J715">
            <v>870</v>
          </cell>
          <cell r="L715">
            <v>870</v>
          </cell>
          <cell r="N715">
            <v>944</v>
          </cell>
          <cell r="P715">
            <v>823</v>
          </cell>
          <cell r="R715">
            <v>857</v>
          </cell>
          <cell r="T715">
            <v>857</v>
          </cell>
          <cell r="V715">
            <v>870</v>
          </cell>
          <cell r="X715">
            <v>844</v>
          </cell>
          <cell r="Z715">
            <v>870</v>
          </cell>
          <cell r="AD715">
            <v>0.05</v>
          </cell>
        </row>
        <row r="716">
          <cell r="E716" t="str">
            <v>CV 60sq-2C</v>
          </cell>
          <cell r="F716" t="str">
            <v>ｍ</v>
          </cell>
          <cell r="H716">
            <v>1338</v>
          </cell>
          <cell r="J716">
            <v>1359</v>
          </cell>
          <cell r="L716">
            <v>1359</v>
          </cell>
          <cell r="N716">
            <v>1317</v>
          </cell>
          <cell r="P716">
            <v>1285</v>
          </cell>
          <cell r="R716">
            <v>1338</v>
          </cell>
          <cell r="T716">
            <v>1338</v>
          </cell>
          <cell r="V716">
            <v>1359</v>
          </cell>
          <cell r="X716">
            <v>1317</v>
          </cell>
          <cell r="Z716">
            <v>1359</v>
          </cell>
          <cell r="AD716">
            <v>6.5000000000000002E-2</v>
          </cell>
        </row>
        <row r="717">
          <cell r="E717" t="str">
            <v>CV 100sq-2C</v>
          </cell>
          <cell r="F717" t="str">
            <v>ｍ</v>
          </cell>
          <cell r="H717">
            <v>2208</v>
          </cell>
          <cell r="J717">
            <v>2243</v>
          </cell>
          <cell r="L717">
            <v>2243</v>
          </cell>
          <cell r="N717">
            <v>2174</v>
          </cell>
          <cell r="P717">
            <v>2122</v>
          </cell>
          <cell r="R717">
            <v>2208</v>
          </cell>
          <cell r="T717">
            <v>2208</v>
          </cell>
          <cell r="V717">
            <v>2243</v>
          </cell>
          <cell r="X717">
            <v>2174</v>
          </cell>
          <cell r="Z717">
            <v>2243</v>
          </cell>
          <cell r="AD717">
            <v>0.09</v>
          </cell>
        </row>
        <row r="718">
          <cell r="E718" t="str">
            <v>CV 150sq-2C</v>
          </cell>
          <cell r="F718" t="str">
            <v>ｍ</v>
          </cell>
          <cell r="H718">
            <v>3294</v>
          </cell>
          <cell r="J718">
            <v>3346</v>
          </cell>
          <cell r="L718">
            <v>3346</v>
          </cell>
          <cell r="N718">
            <v>3243</v>
          </cell>
          <cell r="P718">
            <v>3165</v>
          </cell>
          <cell r="R718">
            <v>3294</v>
          </cell>
          <cell r="T718">
            <v>3294</v>
          </cell>
          <cell r="V718">
            <v>3346</v>
          </cell>
          <cell r="X718">
            <v>3243</v>
          </cell>
          <cell r="Z718">
            <v>3346</v>
          </cell>
          <cell r="AD718">
            <v>0.11</v>
          </cell>
        </row>
        <row r="719">
          <cell r="E719" t="str">
            <v>CV 200sq-2C</v>
          </cell>
          <cell r="F719" t="str">
            <v>ｍ</v>
          </cell>
          <cell r="H719">
            <v>4428</v>
          </cell>
          <cell r="J719">
            <v>4497</v>
          </cell>
          <cell r="L719">
            <v>4497</v>
          </cell>
          <cell r="N719">
            <v>4358</v>
          </cell>
          <cell r="P719">
            <v>4255</v>
          </cell>
          <cell r="R719">
            <v>4428</v>
          </cell>
          <cell r="T719">
            <v>4428</v>
          </cell>
          <cell r="V719">
            <v>4497</v>
          </cell>
          <cell r="X719">
            <v>4358</v>
          </cell>
          <cell r="Z719">
            <v>4497</v>
          </cell>
          <cell r="AD719">
            <v>0.13600000000000001</v>
          </cell>
        </row>
        <row r="720">
          <cell r="E720" t="str">
            <v>CV 250sq-2C</v>
          </cell>
          <cell r="F720" t="str">
            <v>ｍ</v>
          </cell>
          <cell r="H720">
            <v>6132</v>
          </cell>
          <cell r="J720">
            <v>6228</v>
          </cell>
          <cell r="L720">
            <v>6228</v>
          </cell>
          <cell r="N720">
            <v>6036</v>
          </cell>
          <cell r="P720">
            <v>5892</v>
          </cell>
          <cell r="R720">
            <v>6132</v>
          </cell>
          <cell r="T720">
            <v>6132</v>
          </cell>
          <cell r="V720">
            <v>6228</v>
          </cell>
          <cell r="X720">
            <v>6036</v>
          </cell>
          <cell r="Z720">
            <v>6228</v>
          </cell>
          <cell r="AD720">
            <v>0.157</v>
          </cell>
        </row>
        <row r="721">
          <cell r="E721" t="str">
            <v>CV 325sq-2C</v>
          </cell>
          <cell r="F721" t="str">
            <v>ｍ</v>
          </cell>
          <cell r="H721">
            <v>7827</v>
          </cell>
          <cell r="J721">
            <v>7949</v>
          </cell>
          <cell r="L721">
            <v>7949</v>
          </cell>
          <cell r="N721">
            <v>7704</v>
          </cell>
          <cell r="P721">
            <v>7521</v>
          </cell>
          <cell r="R721">
            <v>7827</v>
          </cell>
          <cell r="T721">
            <v>7827</v>
          </cell>
          <cell r="V721">
            <v>7949</v>
          </cell>
          <cell r="X721">
            <v>7704</v>
          </cell>
          <cell r="Z721">
            <v>7949</v>
          </cell>
          <cell r="AD721">
            <v>0.19800000000000001</v>
          </cell>
        </row>
        <row r="722">
          <cell r="E722" t="str">
            <v>CV  2sq-3C</v>
          </cell>
          <cell r="F722" t="str">
            <v>ｍ</v>
          </cell>
          <cell r="H722">
            <v>116</v>
          </cell>
          <cell r="J722">
            <v>118</v>
          </cell>
          <cell r="L722">
            <v>118</v>
          </cell>
          <cell r="N722">
            <v>115</v>
          </cell>
          <cell r="P722">
            <v>112</v>
          </cell>
          <cell r="R722">
            <v>116</v>
          </cell>
          <cell r="T722">
            <v>116</v>
          </cell>
          <cell r="V722">
            <v>118</v>
          </cell>
          <cell r="X722">
            <v>115</v>
          </cell>
          <cell r="Z722">
            <v>118</v>
          </cell>
          <cell r="AD722">
            <v>1.7000000000000001E-2</v>
          </cell>
        </row>
        <row r="723">
          <cell r="E723" t="str">
            <v>CV3.5sq-3C</v>
          </cell>
          <cell r="F723" t="str">
            <v>ｍ</v>
          </cell>
          <cell r="H723">
            <v>170</v>
          </cell>
          <cell r="J723">
            <v>173</v>
          </cell>
          <cell r="L723">
            <v>173</v>
          </cell>
          <cell r="N723">
            <v>168</v>
          </cell>
          <cell r="P723">
            <v>164</v>
          </cell>
          <cell r="R723">
            <v>170</v>
          </cell>
          <cell r="T723">
            <v>170</v>
          </cell>
          <cell r="V723">
            <v>173</v>
          </cell>
          <cell r="X723">
            <v>168</v>
          </cell>
          <cell r="Z723">
            <v>173</v>
          </cell>
          <cell r="AD723">
            <v>2.1000000000000001E-2</v>
          </cell>
        </row>
        <row r="724">
          <cell r="E724" t="str">
            <v>CV5.5sq-3C</v>
          </cell>
          <cell r="F724" t="str">
            <v>ｍ</v>
          </cell>
          <cell r="H724">
            <v>239</v>
          </cell>
          <cell r="J724">
            <v>243</v>
          </cell>
          <cell r="L724">
            <v>243</v>
          </cell>
          <cell r="N724">
            <v>236</v>
          </cell>
          <cell r="P724">
            <v>230</v>
          </cell>
          <cell r="R724">
            <v>239</v>
          </cell>
          <cell r="T724">
            <v>239</v>
          </cell>
          <cell r="V724">
            <v>243</v>
          </cell>
          <cell r="X724">
            <v>236</v>
          </cell>
          <cell r="Z724">
            <v>243</v>
          </cell>
          <cell r="AD724">
            <v>2.5999999999999999E-2</v>
          </cell>
        </row>
        <row r="725">
          <cell r="E725" t="str">
            <v>CV  8sq-3C</v>
          </cell>
          <cell r="F725" t="str">
            <v>ｍ</v>
          </cell>
          <cell r="H725">
            <v>319</v>
          </cell>
          <cell r="J725">
            <v>324</v>
          </cell>
          <cell r="L725">
            <v>324</v>
          </cell>
          <cell r="N725">
            <v>314</v>
          </cell>
          <cell r="P725">
            <v>307</v>
          </cell>
          <cell r="R725">
            <v>319</v>
          </cell>
          <cell r="T725">
            <v>319</v>
          </cell>
          <cell r="V725">
            <v>324</v>
          </cell>
          <cell r="X725">
            <v>314</v>
          </cell>
          <cell r="Z725">
            <v>324</v>
          </cell>
          <cell r="AD725">
            <v>2.9000000000000001E-2</v>
          </cell>
        </row>
        <row r="726">
          <cell r="E726" t="str">
            <v>CV 14sq-3C</v>
          </cell>
          <cell r="F726" t="str">
            <v>ｍ</v>
          </cell>
          <cell r="H726">
            <v>500</v>
          </cell>
          <cell r="J726">
            <v>508</v>
          </cell>
          <cell r="L726">
            <v>508</v>
          </cell>
          <cell r="N726">
            <v>492</v>
          </cell>
          <cell r="P726">
            <v>480</v>
          </cell>
          <cell r="R726">
            <v>500</v>
          </cell>
          <cell r="T726">
            <v>500</v>
          </cell>
          <cell r="V726">
            <v>508</v>
          </cell>
          <cell r="X726">
            <v>492</v>
          </cell>
          <cell r="Z726">
            <v>508</v>
          </cell>
          <cell r="AD726">
            <v>3.6999999999999998E-2</v>
          </cell>
        </row>
        <row r="727">
          <cell r="E727" t="str">
            <v>CV 22sq-3C</v>
          </cell>
          <cell r="F727" t="str">
            <v>ｍ</v>
          </cell>
          <cell r="H727">
            <v>754</v>
          </cell>
          <cell r="J727">
            <v>766</v>
          </cell>
          <cell r="L727">
            <v>766</v>
          </cell>
          <cell r="N727">
            <v>742</v>
          </cell>
          <cell r="P727">
            <v>724</v>
          </cell>
          <cell r="R727">
            <v>754</v>
          </cell>
          <cell r="T727">
            <v>754</v>
          </cell>
          <cell r="V727">
            <v>766</v>
          </cell>
          <cell r="X727">
            <v>742</v>
          </cell>
          <cell r="Z727">
            <v>766</v>
          </cell>
          <cell r="AD727">
            <v>4.7E-2</v>
          </cell>
        </row>
        <row r="728">
          <cell r="E728" t="str">
            <v>CV 38sq-3C</v>
          </cell>
          <cell r="F728" t="str">
            <v>ｍ</v>
          </cell>
          <cell r="H728">
            <v>1246</v>
          </cell>
          <cell r="J728">
            <v>1266</v>
          </cell>
          <cell r="L728">
            <v>1266</v>
          </cell>
          <cell r="N728">
            <v>1227</v>
          </cell>
          <cell r="P728">
            <v>1197</v>
          </cell>
          <cell r="R728">
            <v>1246</v>
          </cell>
          <cell r="T728">
            <v>1246</v>
          </cell>
          <cell r="V728">
            <v>1266</v>
          </cell>
          <cell r="X728">
            <v>1227</v>
          </cell>
          <cell r="Z728">
            <v>1266</v>
          </cell>
          <cell r="AD728">
            <v>6.2E-2</v>
          </cell>
        </row>
        <row r="729">
          <cell r="E729" t="str">
            <v>CV 60sq-3C</v>
          </cell>
          <cell r="F729" t="str">
            <v>ｍ</v>
          </cell>
          <cell r="H729">
            <v>1932</v>
          </cell>
          <cell r="J729">
            <v>1962</v>
          </cell>
          <cell r="L729">
            <v>1962</v>
          </cell>
          <cell r="N729">
            <v>1902</v>
          </cell>
          <cell r="P729">
            <v>1857</v>
          </cell>
          <cell r="R729">
            <v>1932</v>
          </cell>
          <cell r="T729">
            <v>1932</v>
          </cell>
          <cell r="V729">
            <v>1962</v>
          </cell>
          <cell r="X729">
            <v>1902</v>
          </cell>
          <cell r="Z729">
            <v>1962</v>
          </cell>
          <cell r="AD729">
            <v>8.2000000000000003E-2</v>
          </cell>
        </row>
        <row r="730">
          <cell r="E730" t="str">
            <v>CV100sq-3C</v>
          </cell>
          <cell r="F730" t="str">
            <v>ｍ</v>
          </cell>
          <cell r="H730">
            <v>3239</v>
          </cell>
          <cell r="J730">
            <v>3290</v>
          </cell>
          <cell r="L730">
            <v>3290</v>
          </cell>
          <cell r="N730">
            <v>3188</v>
          </cell>
          <cell r="P730">
            <v>3113</v>
          </cell>
          <cell r="R730">
            <v>3239</v>
          </cell>
          <cell r="T730">
            <v>3239</v>
          </cell>
          <cell r="V730">
            <v>3290</v>
          </cell>
          <cell r="X730">
            <v>3188</v>
          </cell>
          <cell r="Z730">
            <v>3290</v>
          </cell>
          <cell r="AD730">
            <v>0.112</v>
          </cell>
        </row>
        <row r="731">
          <cell r="E731" t="str">
            <v>CV150sq-3C</v>
          </cell>
          <cell r="F731" t="str">
            <v>ｍ</v>
          </cell>
          <cell r="H731">
            <v>4794</v>
          </cell>
          <cell r="J731">
            <v>4869</v>
          </cell>
          <cell r="L731">
            <v>4869</v>
          </cell>
          <cell r="N731">
            <v>4719</v>
          </cell>
          <cell r="P731">
            <v>4606</v>
          </cell>
          <cell r="R731">
            <v>4794</v>
          </cell>
          <cell r="T731">
            <v>4794</v>
          </cell>
          <cell r="V731">
            <v>4869</v>
          </cell>
          <cell r="X731">
            <v>4719</v>
          </cell>
          <cell r="Z731">
            <v>4869</v>
          </cell>
          <cell r="AD731">
            <v>0.13700000000000001</v>
          </cell>
        </row>
        <row r="732">
          <cell r="E732" t="str">
            <v>CV200sq-3C</v>
          </cell>
          <cell r="F732" t="str">
            <v>ｍ</v>
          </cell>
          <cell r="H732">
            <v>6427</v>
          </cell>
          <cell r="J732">
            <v>6527</v>
          </cell>
          <cell r="L732">
            <v>6527</v>
          </cell>
          <cell r="N732">
            <v>6326</v>
          </cell>
          <cell r="P732">
            <v>6176</v>
          </cell>
          <cell r="R732">
            <v>6427</v>
          </cell>
          <cell r="T732">
            <v>6427</v>
          </cell>
          <cell r="V732">
            <v>6527</v>
          </cell>
          <cell r="X732">
            <v>6326</v>
          </cell>
          <cell r="Z732">
            <v>6527</v>
          </cell>
          <cell r="AD732">
            <v>0.17</v>
          </cell>
        </row>
        <row r="733">
          <cell r="E733" t="str">
            <v>CV250sq-3C</v>
          </cell>
          <cell r="F733" t="str">
            <v>ｍ</v>
          </cell>
          <cell r="H733">
            <v>8076</v>
          </cell>
          <cell r="J733">
            <v>8202</v>
          </cell>
          <cell r="L733">
            <v>8202</v>
          </cell>
          <cell r="N733">
            <v>7950</v>
          </cell>
          <cell r="P733">
            <v>7761</v>
          </cell>
          <cell r="R733">
            <v>8076</v>
          </cell>
          <cell r="T733">
            <v>8076</v>
          </cell>
          <cell r="V733">
            <v>8202</v>
          </cell>
          <cell r="X733">
            <v>7950</v>
          </cell>
          <cell r="Z733">
            <v>8202</v>
          </cell>
          <cell r="AD733">
            <v>0.19600000000000001</v>
          </cell>
        </row>
        <row r="734">
          <cell r="E734" t="str">
            <v>CV325sq-3C</v>
          </cell>
          <cell r="F734" t="str">
            <v>ｍ</v>
          </cell>
          <cell r="H734">
            <v>11469</v>
          </cell>
          <cell r="J734">
            <v>11648</v>
          </cell>
          <cell r="L734">
            <v>11648</v>
          </cell>
          <cell r="N734">
            <v>11290</v>
          </cell>
          <cell r="P734">
            <v>11021</v>
          </cell>
          <cell r="R734">
            <v>11469</v>
          </cell>
          <cell r="T734">
            <v>11469</v>
          </cell>
          <cell r="V734">
            <v>11648</v>
          </cell>
          <cell r="X734">
            <v>11290</v>
          </cell>
          <cell r="Z734">
            <v>11648</v>
          </cell>
          <cell r="AD734">
            <v>0.248</v>
          </cell>
        </row>
        <row r="735">
          <cell r="E735" t="str">
            <v>CV 2sq-4C</v>
          </cell>
          <cell r="F735" t="str">
            <v>ｍ</v>
          </cell>
          <cell r="H735">
            <v>142</v>
          </cell>
          <cell r="J735">
            <v>144</v>
          </cell>
          <cell r="L735">
            <v>144</v>
          </cell>
          <cell r="N735">
            <v>142</v>
          </cell>
          <cell r="P735">
            <v>137</v>
          </cell>
          <cell r="R735">
            <v>142</v>
          </cell>
          <cell r="T735">
            <v>142</v>
          </cell>
          <cell r="V735">
            <v>144</v>
          </cell>
          <cell r="X735">
            <v>140</v>
          </cell>
          <cell r="Z735">
            <v>144</v>
          </cell>
          <cell r="AD735">
            <v>0.02</v>
          </cell>
        </row>
        <row r="736">
          <cell r="E736" t="str">
            <v>CV 3.5sq-4C</v>
          </cell>
          <cell r="F736" t="str">
            <v>ｍ</v>
          </cell>
          <cell r="H736">
            <v>217</v>
          </cell>
          <cell r="J736">
            <v>220</v>
          </cell>
          <cell r="L736">
            <v>220</v>
          </cell>
          <cell r="N736">
            <v>217</v>
          </cell>
          <cell r="P736">
            <v>208</v>
          </cell>
          <cell r="R736">
            <v>217</v>
          </cell>
          <cell r="T736">
            <v>217</v>
          </cell>
          <cell r="V736">
            <v>220</v>
          </cell>
          <cell r="X736">
            <v>214</v>
          </cell>
          <cell r="Z736">
            <v>220</v>
          </cell>
          <cell r="AD736">
            <v>2.4E-2</v>
          </cell>
        </row>
        <row r="737">
          <cell r="E737" t="str">
            <v>CV 5.5sq-4C</v>
          </cell>
          <cell r="F737" t="str">
            <v>ｍ</v>
          </cell>
          <cell r="H737">
            <v>308</v>
          </cell>
          <cell r="J737">
            <v>313</v>
          </cell>
          <cell r="L737">
            <v>313</v>
          </cell>
          <cell r="N737">
            <v>308</v>
          </cell>
          <cell r="P737">
            <v>296</v>
          </cell>
          <cell r="R737">
            <v>308</v>
          </cell>
          <cell r="T737">
            <v>308</v>
          </cell>
          <cell r="V737">
            <v>313</v>
          </cell>
          <cell r="X737">
            <v>304</v>
          </cell>
          <cell r="Z737">
            <v>313</v>
          </cell>
          <cell r="AD737">
            <v>0.03</v>
          </cell>
        </row>
        <row r="738">
          <cell r="E738" t="str">
            <v>CV 8sq-4C</v>
          </cell>
          <cell r="F738" t="str">
            <v>ｍ</v>
          </cell>
          <cell r="H738">
            <v>421</v>
          </cell>
          <cell r="J738">
            <v>428</v>
          </cell>
          <cell r="L738">
            <v>428</v>
          </cell>
          <cell r="N738">
            <v>421</v>
          </cell>
          <cell r="P738">
            <v>405</v>
          </cell>
          <cell r="R738">
            <v>421</v>
          </cell>
          <cell r="T738">
            <v>421</v>
          </cell>
          <cell r="V738">
            <v>428</v>
          </cell>
          <cell r="X738">
            <v>415</v>
          </cell>
          <cell r="Z738">
            <v>428</v>
          </cell>
          <cell r="AD738">
            <v>3.5000000000000003E-2</v>
          </cell>
        </row>
        <row r="739">
          <cell r="E739" t="str">
            <v>CV 14sq-4C</v>
          </cell>
          <cell r="F739" t="str">
            <v>ｍ</v>
          </cell>
          <cell r="H739">
            <v>657</v>
          </cell>
          <cell r="J739">
            <v>668</v>
          </cell>
          <cell r="L739">
            <v>668</v>
          </cell>
          <cell r="N739">
            <v>657</v>
          </cell>
          <cell r="P739">
            <v>632</v>
          </cell>
          <cell r="R739">
            <v>657</v>
          </cell>
          <cell r="T739">
            <v>657</v>
          </cell>
          <cell r="V739">
            <v>668</v>
          </cell>
          <cell r="X739">
            <v>647</v>
          </cell>
          <cell r="Z739">
            <v>668</v>
          </cell>
          <cell r="AD739">
            <v>4.2999999999999997E-2</v>
          </cell>
        </row>
        <row r="740">
          <cell r="E740" t="str">
            <v>CV 22sq-4C</v>
          </cell>
          <cell r="F740" t="str">
            <v>ｍ</v>
          </cell>
          <cell r="H740">
            <v>1007</v>
          </cell>
          <cell r="J740">
            <v>1022</v>
          </cell>
          <cell r="L740">
            <v>1022</v>
          </cell>
          <cell r="N740">
            <v>1007</v>
          </cell>
          <cell r="P740">
            <v>967</v>
          </cell>
          <cell r="R740">
            <v>1007</v>
          </cell>
          <cell r="T740">
            <v>1007</v>
          </cell>
          <cell r="V740">
            <v>1022</v>
          </cell>
          <cell r="X740">
            <v>961</v>
          </cell>
          <cell r="Z740">
            <v>1022</v>
          </cell>
          <cell r="AD740">
            <v>5.6000000000000001E-2</v>
          </cell>
        </row>
        <row r="741">
          <cell r="E741" t="str">
            <v>CV 38sq-4C</v>
          </cell>
          <cell r="F741" t="str">
            <v>ｍ</v>
          </cell>
          <cell r="H741">
            <v>1659</v>
          </cell>
          <cell r="J741">
            <v>1685</v>
          </cell>
          <cell r="L741">
            <v>1685</v>
          </cell>
          <cell r="N741">
            <v>1659</v>
          </cell>
          <cell r="P741">
            <v>1594</v>
          </cell>
          <cell r="R741">
            <v>1659</v>
          </cell>
          <cell r="T741">
            <v>1659</v>
          </cell>
          <cell r="V741">
            <v>1685</v>
          </cell>
          <cell r="X741">
            <v>1633</v>
          </cell>
          <cell r="Z741">
            <v>1685</v>
          </cell>
          <cell r="AD741">
            <v>7.3999999999999996E-2</v>
          </cell>
        </row>
        <row r="742">
          <cell r="E742" t="str">
            <v>CV 60sq-4C</v>
          </cell>
          <cell r="F742" t="str">
            <v>ｍ</v>
          </cell>
          <cell r="H742">
            <v>2604</v>
          </cell>
          <cell r="J742">
            <v>2645</v>
          </cell>
          <cell r="L742">
            <v>2645</v>
          </cell>
          <cell r="N742">
            <v>2604</v>
          </cell>
          <cell r="P742">
            <v>2502</v>
          </cell>
          <cell r="R742">
            <v>2604</v>
          </cell>
          <cell r="T742">
            <v>2604</v>
          </cell>
          <cell r="V742">
            <v>2645</v>
          </cell>
          <cell r="X742">
            <v>2563</v>
          </cell>
          <cell r="Z742">
            <v>2645</v>
          </cell>
          <cell r="AD742">
            <v>9.8000000000000004E-2</v>
          </cell>
        </row>
        <row r="743">
          <cell r="E743" t="str">
            <v>CV 100sq-4C</v>
          </cell>
          <cell r="F743" t="str">
            <v>ｍ</v>
          </cell>
          <cell r="H743">
            <v>4330</v>
          </cell>
          <cell r="J743">
            <v>4398</v>
          </cell>
          <cell r="L743">
            <v>4398</v>
          </cell>
          <cell r="N743">
            <v>4330</v>
          </cell>
          <cell r="P743">
            <v>4161</v>
          </cell>
          <cell r="R743">
            <v>4330</v>
          </cell>
          <cell r="T743">
            <v>4330</v>
          </cell>
          <cell r="V743">
            <v>4398</v>
          </cell>
          <cell r="X743">
            <v>4263</v>
          </cell>
          <cell r="Z743">
            <v>4398</v>
          </cell>
          <cell r="AD743">
            <v>0.13400000000000001</v>
          </cell>
        </row>
        <row r="744">
          <cell r="E744" t="str">
            <v>CV 150sq-4C</v>
          </cell>
          <cell r="F744" t="str">
            <v>ｍ</v>
          </cell>
          <cell r="H744">
            <v>6401</v>
          </cell>
          <cell r="J744">
            <v>6501</v>
          </cell>
          <cell r="L744">
            <v>6501</v>
          </cell>
          <cell r="N744">
            <v>6401</v>
          </cell>
          <cell r="P744">
            <v>6151</v>
          </cell>
          <cell r="R744">
            <v>6401</v>
          </cell>
          <cell r="T744">
            <v>6401</v>
          </cell>
          <cell r="V744">
            <v>6501</v>
          </cell>
          <cell r="X744">
            <v>6301</v>
          </cell>
          <cell r="Z744">
            <v>6501</v>
          </cell>
          <cell r="AD744">
            <v>0.16500000000000001</v>
          </cell>
        </row>
        <row r="745">
          <cell r="E745" t="str">
            <v>CV 200sq-4C</v>
          </cell>
          <cell r="F745" t="str">
            <v>ｍ</v>
          </cell>
          <cell r="H745">
            <v>9081</v>
          </cell>
          <cell r="J745">
            <v>9223</v>
          </cell>
          <cell r="L745">
            <v>9223</v>
          </cell>
          <cell r="N745">
            <v>9081</v>
          </cell>
          <cell r="P745">
            <v>6726</v>
          </cell>
          <cell r="R745">
            <v>9081</v>
          </cell>
          <cell r="T745">
            <v>9081</v>
          </cell>
          <cell r="V745">
            <v>9223</v>
          </cell>
          <cell r="X745">
            <v>8939</v>
          </cell>
          <cell r="Z745">
            <v>9223</v>
          </cell>
          <cell r="AD745">
            <v>0.20399999999999999</v>
          </cell>
        </row>
        <row r="746">
          <cell r="E746" t="str">
            <v>CV 250sq-4C</v>
          </cell>
          <cell r="F746" t="str">
            <v>ｍ</v>
          </cell>
          <cell r="H746">
            <v>11537</v>
          </cell>
          <cell r="J746">
            <v>11717</v>
          </cell>
          <cell r="L746">
            <v>11717</v>
          </cell>
          <cell r="N746">
            <v>11537</v>
          </cell>
          <cell r="P746">
            <v>11066</v>
          </cell>
          <cell r="R746">
            <v>11537</v>
          </cell>
          <cell r="T746">
            <v>11537</v>
          </cell>
          <cell r="V746">
            <v>11717</v>
          </cell>
          <cell r="X746">
            <v>11356</v>
          </cell>
          <cell r="Z746">
            <v>11717</v>
          </cell>
          <cell r="AD746">
            <v>0.23499999999999999</v>
          </cell>
        </row>
        <row r="747">
          <cell r="E747" t="str">
            <v>CV 325sq-4C</v>
          </cell>
          <cell r="F747" t="str">
            <v>ｍ</v>
          </cell>
          <cell r="H747">
            <v>14927</v>
          </cell>
          <cell r="J747">
            <v>15160</v>
          </cell>
          <cell r="L747">
            <v>15160</v>
          </cell>
          <cell r="N747">
            <v>14927</v>
          </cell>
          <cell r="P747">
            <v>14344</v>
          </cell>
          <cell r="R747">
            <v>14927</v>
          </cell>
          <cell r="T747">
            <v>14927</v>
          </cell>
          <cell r="V747">
            <v>15160</v>
          </cell>
          <cell r="X747">
            <v>14693</v>
          </cell>
          <cell r="Z747">
            <v>15160</v>
          </cell>
          <cell r="AD747">
            <v>0.29699999999999999</v>
          </cell>
        </row>
        <row r="748">
          <cell r="E748" t="str">
            <v>CE 2sq-1C</v>
          </cell>
          <cell r="F748" t="str">
            <v>ｍ</v>
          </cell>
          <cell r="H748">
            <v>61.8</v>
          </cell>
          <cell r="J748">
            <v>62.7</v>
          </cell>
          <cell r="L748">
            <v>62.7</v>
          </cell>
          <cell r="N748">
            <v>60.8</v>
          </cell>
          <cell r="P748">
            <v>59.3</v>
          </cell>
          <cell r="R748">
            <v>61.8</v>
          </cell>
          <cell r="T748">
            <v>61.8</v>
          </cell>
          <cell r="V748">
            <v>62.7</v>
          </cell>
          <cell r="X748">
            <v>60.8</v>
          </cell>
          <cell r="Z748">
            <v>62.7</v>
          </cell>
          <cell r="AD748">
            <v>0.01</v>
          </cell>
        </row>
        <row r="749">
          <cell r="E749" t="str">
            <v>CE 3.5sq-1C</v>
          </cell>
          <cell r="F749" t="str">
            <v>ｍ</v>
          </cell>
          <cell r="H749">
            <v>85.1</v>
          </cell>
          <cell r="J749">
            <v>86.5</v>
          </cell>
          <cell r="L749">
            <v>86.5</v>
          </cell>
          <cell r="N749">
            <v>83.8</v>
          </cell>
          <cell r="P749">
            <v>81.8</v>
          </cell>
          <cell r="R749">
            <v>85.1</v>
          </cell>
          <cell r="T749">
            <v>85.1</v>
          </cell>
          <cell r="V749">
            <v>86.5</v>
          </cell>
          <cell r="X749">
            <v>83.8</v>
          </cell>
          <cell r="Z749">
            <v>86.5</v>
          </cell>
          <cell r="AD749">
            <v>1.2E-2</v>
          </cell>
        </row>
        <row r="750">
          <cell r="E750" t="str">
            <v>CE 5.5sq-1C</v>
          </cell>
          <cell r="F750" t="str">
            <v>ｍ</v>
          </cell>
          <cell r="H750">
            <v>106</v>
          </cell>
          <cell r="J750">
            <v>107</v>
          </cell>
          <cell r="L750">
            <v>107</v>
          </cell>
          <cell r="N750">
            <v>104</v>
          </cell>
          <cell r="P750">
            <v>101</v>
          </cell>
          <cell r="R750">
            <v>106</v>
          </cell>
          <cell r="T750">
            <v>106</v>
          </cell>
          <cell r="V750">
            <v>107</v>
          </cell>
          <cell r="X750">
            <v>104</v>
          </cell>
          <cell r="Z750">
            <v>107</v>
          </cell>
          <cell r="AD750">
            <v>1.6E-2</v>
          </cell>
        </row>
        <row r="751">
          <cell r="E751" t="str">
            <v>CE 8sq-1C</v>
          </cell>
          <cell r="F751" t="str">
            <v>ｍ</v>
          </cell>
          <cell r="H751">
            <v>133</v>
          </cell>
          <cell r="J751">
            <v>135</v>
          </cell>
          <cell r="L751">
            <v>135</v>
          </cell>
          <cell r="N751">
            <v>131</v>
          </cell>
          <cell r="P751">
            <v>128</v>
          </cell>
          <cell r="R751">
            <v>133</v>
          </cell>
          <cell r="T751">
            <v>133</v>
          </cell>
          <cell r="V751">
            <v>135</v>
          </cell>
          <cell r="X751">
            <v>131</v>
          </cell>
          <cell r="Z751">
            <v>135</v>
          </cell>
          <cell r="AD751">
            <v>1.7000000000000001E-2</v>
          </cell>
        </row>
        <row r="752">
          <cell r="E752" t="str">
            <v>CE14sq-1C</v>
          </cell>
          <cell r="F752" t="str">
            <v>ｍ</v>
          </cell>
          <cell r="H752">
            <v>198</v>
          </cell>
          <cell r="J752">
            <v>202</v>
          </cell>
          <cell r="L752">
            <v>202</v>
          </cell>
          <cell r="N752">
            <v>195</v>
          </cell>
          <cell r="P752">
            <v>191</v>
          </cell>
          <cell r="R752">
            <v>198</v>
          </cell>
          <cell r="T752">
            <v>198</v>
          </cell>
          <cell r="V752">
            <v>202</v>
          </cell>
          <cell r="X752">
            <v>195</v>
          </cell>
          <cell r="Z752">
            <v>202</v>
          </cell>
          <cell r="AD752">
            <v>2.1999999999999999E-2</v>
          </cell>
        </row>
        <row r="753">
          <cell r="E753" t="str">
            <v>CE22sq-1C</v>
          </cell>
          <cell r="F753" t="str">
            <v>ｍ</v>
          </cell>
          <cell r="H753">
            <v>289</v>
          </cell>
          <cell r="J753">
            <v>293</v>
          </cell>
          <cell r="L753">
            <v>293</v>
          </cell>
          <cell r="N753">
            <v>284</v>
          </cell>
          <cell r="P753">
            <v>277</v>
          </cell>
          <cell r="R753">
            <v>289</v>
          </cell>
          <cell r="T753">
            <v>289</v>
          </cell>
          <cell r="V753">
            <v>293</v>
          </cell>
          <cell r="X753">
            <v>284</v>
          </cell>
          <cell r="Z753">
            <v>293</v>
          </cell>
          <cell r="AD753">
            <v>2.9000000000000001E-2</v>
          </cell>
        </row>
        <row r="754">
          <cell r="E754" t="str">
            <v>CE38sq-1C</v>
          </cell>
          <cell r="F754" t="str">
            <v>ｍ</v>
          </cell>
          <cell r="H754">
            <v>459</v>
          </cell>
          <cell r="J754">
            <v>466</v>
          </cell>
          <cell r="L754">
            <v>466</v>
          </cell>
          <cell r="N754">
            <v>452</v>
          </cell>
          <cell r="P754">
            <v>441</v>
          </cell>
          <cell r="R754">
            <v>459</v>
          </cell>
          <cell r="T754">
            <v>459</v>
          </cell>
          <cell r="V754">
            <v>466</v>
          </cell>
          <cell r="X754">
            <v>452</v>
          </cell>
          <cell r="Z754">
            <v>466</v>
          </cell>
          <cell r="AD754">
            <v>3.6999999999999998E-2</v>
          </cell>
        </row>
        <row r="755">
          <cell r="E755" t="str">
            <v>CE60sq-1C</v>
          </cell>
          <cell r="F755" t="str">
            <v>ｍ</v>
          </cell>
          <cell r="H755">
            <v>693</v>
          </cell>
          <cell r="J755">
            <v>704</v>
          </cell>
          <cell r="L755">
            <v>704</v>
          </cell>
          <cell r="N755">
            <v>682</v>
          </cell>
          <cell r="P755">
            <v>666</v>
          </cell>
          <cell r="R755">
            <v>693</v>
          </cell>
          <cell r="T755">
            <v>693</v>
          </cell>
          <cell r="V755">
            <v>704</v>
          </cell>
          <cell r="X755">
            <v>682</v>
          </cell>
          <cell r="Z755">
            <v>704</v>
          </cell>
          <cell r="AD755">
            <v>4.9000000000000002E-2</v>
          </cell>
        </row>
        <row r="756">
          <cell r="E756" t="str">
            <v>CE100sq-1C</v>
          </cell>
          <cell r="F756" t="str">
            <v>ｍ</v>
          </cell>
          <cell r="H756">
            <v>1148</v>
          </cell>
          <cell r="J756">
            <v>1166</v>
          </cell>
          <cell r="L756">
            <v>1166</v>
          </cell>
          <cell r="N756">
            <v>1130</v>
          </cell>
          <cell r="P756">
            <v>1103</v>
          </cell>
          <cell r="R756">
            <v>1148</v>
          </cell>
          <cell r="T756">
            <v>1148</v>
          </cell>
          <cell r="V756">
            <v>1166</v>
          </cell>
          <cell r="X756">
            <v>1130</v>
          </cell>
          <cell r="Z756">
            <v>1166</v>
          </cell>
          <cell r="AD756">
            <v>6.7000000000000004E-2</v>
          </cell>
        </row>
        <row r="757">
          <cell r="E757" t="str">
            <v>CE150sq-1C</v>
          </cell>
          <cell r="F757" t="str">
            <v>ｍ</v>
          </cell>
          <cell r="H757">
            <v>1688</v>
          </cell>
          <cell r="J757">
            <v>1714</v>
          </cell>
          <cell r="L757">
            <v>1714</v>
          </cell>
          <cell r="N757">
            <v>1661</v>
          </cell>
          <cell r="P757">
            <v>1622</v>
          </cell>
          <cell r="R757">
            <v>1688</v>
          </cell>
          <cell r="T757">
            <v>1688</v>
          </cell>
          <cell r="V757">
            <v>1714</v>
          </cell>
          <cell r="X757">
            <v>1661</v>
          </cell>
          <cell r="Z757">
            <v>1714</v>
          </cell>
          <cell r="AD757">
            <v>8.3000000000000004E-2</v>
          </cell>
        </row>
        <row r="758">
          <cell r="E758" t="str">
            <v>CE200sq-1C</v>
          </cell>
          <cell r="F758" t="str">
            <v>ｍ</v>
          </cell>
          <cell r="H758">
            <v>2234</v>
          </cell>
          <cell r="J758">
            <v>2269</v>
          </cell>
          <cell r="L758">
            <v>2269</v>
          </cell>
          <cell r="N758">
            <v>2199</v>
          </cell>
          <cell r="P758">
            <v>2146</v>
          </cell>
          <cell r="R758">
            <v>2234</v>
          </cell>
          <cell r="T758">
            <v>2234</v>
          </cell>
          <cell r="V758">
            <v>2269</v>
          </cell>
          <cell r="X758">
            <v>2199</v>
          </cell>
          <cell r="Z758">
            <v>2269</v>
          </cell>
          <cell r="AD758">
            <v>0.10199999999999999</v>
          </cell>
        </row>
        <row r="759">
          <cell r="E759" t="str">
            <v>CE250sq-1C</v>
          </cell>
          <cell r="F759" t="str">
            <v>ｍ</v>
          </cell>
          <cell r="H759">
            <v>2794</v>
          </cell>
          <cell r="J759">
            <v>2837</v>
          </cell>
          <cell r="L759">
            <v>2837</v>
          </cell>
          <cell r="N759">
            <v>2750</v>
          </cell>
          <cell r="P759">
            <v>2684</v>
          </cell>
          <cell r="R759">
            <v>2794</v>
          </cell>
          <cell r="T759">
            <v>2794</v>
          </cell>
          <cell r="V759">
            <v>2837</v>
          </cell>
          <cell r="X759">
            <v>2750</v>
          </cell>
          <cell r="Z759">
            <v>2837</v>
          </cell>
          <cell r="AD759">
            <v>0.11700000000000001</v>
          </cell>
        </row>
        <row r="760">
          <cell r="E760" t="str">
            <v>CE325sq-1C</v>
          </cell>
          <cell r="F760" t="str">
            <v>ｍ</v>
          </cell>
          <cell r="H760">
            <v>3592</v>
          </cell>
          <cell r="J760">
            <v>3648</v>
          </cell>
          <cell r="L760">
            <v>3648</v>
          </cell>
          <cell r="N760">
            <v>3536</v>
          </cell>
          <cell r="P760">
            <v>3452</v>
          </cell>
          <cell r="R760">
            <v>3592</v>
          </cell>
          <cell r="T760">
            <v>3592</v>
          </cell>
          <cell r="V760">
            <v>3648</v>
          </cell>
          <cell r="X760">
            <v>3536</v>
          </cell>
          <cell r="Z760">
            <v>3648</v>
          </cell>
          <cell r="AD760">
            <v>0.14899999999999999</v>
          </cell>
        </row>
        <row r="761">
          <cell r="E761" t="str">
            <v>CE 2sq-2C</v>
          </cell>
          <cell r="F761" t="str">
            <v>ｍ</v>
          </cell>
          <cell r="H761">
            <v>131</v>
          </cell>
          <cell r="J761">
            <v>133</v>
          </cell>
          <cell r="L761">
            <v>133</v>
          </cell>
          <cell r="N761">
            <v>129</v>
          </cell>
          <cell r="P761">
            <v>126</v>
          </cell>
          <cell r="R761">
            <v>131</v>
          </cell>
          <cell r="T761">
            <v>131</v>
          </cell>
          <cell r="V761">
            <v>133</v>
          </cell>
          <cell r="X761">
            <v>129</v>
          </cell>
          <cell r="Z761">
            <v>133</v>
          </cell>
          <cell r="AD761">
            <v>1.2999999999999999E-2</v>
          </cell>
        </row>
        <row r="762">
          <cell r="E762" t="str">
            <v>CE 3.5sq-2C</v>
          </cell>
          <cell r="F762" t="str">
            <v>ｍ</v>
          </cell>
          <cell r="H762">
            <v>175</v>
          </cell>
          <cell r="J762">
            <v>178</v>
          </cell>
          <cell r="L762">
            <v>178</v>
          </cell>
          <cell r="N762">
            <v>173</v>
          </cell>
          <cell r="P762">
            <v>169</v>
          </cell>
          <cell r="R762">
            <v>175</v>
          </cell>
          <cell r="T762">
            <v>175</v>
          </cell>
          <cell r="V762">
            <v>178</v>
          </cell>
          <cell r="X762">
            <v>173</v>
          </cell>
          <cell r="Z762">
            <v>178</v>
          </cell>
          <cell r="AD762">
            <v>1.7000000000000001E-2</v>
          </cell>
        </row>
        <row r="763">
          <cell r="E763" t="str">
            <v>CE 5.5sq-2C</v>
          </cell>
          <cell r="F763" t="str">
            <v>ｍ</v>
          </cell>
          <cell r="H763">
            <v>237</v>
          </cell>
          <cell r="J763">
            <v>241</v>
          </cell>
          <cell r="L763">
            <v>241</v>
          </cell>
          <cell r="N763">
            <v>233</v>
          </cell>
          <cell r="P763">
            <v>228</v>
          </cell>
          <cell r="R763">
            <v>237</v>
          </cell>
          <cell r="T763">
            <v>237</v>
          </cell>
          <cell r="V763">
            <v>241</v>
          </cell>
          <cell r="X763">
            <v>233</v>
          </cell>
          <cell r="Z763">
            <v>241</v>
          </cell>
          <cell r="AD763">
            <v>2.1000000000000001E-2</v>
          </cell>
        </row>
        <row r="764">
          <cell r="E764" t="str">
            <v>CE 8sq-2C</v>
          </cell>
          <cell r="F764" t="str">
            <v>ｍ</v>
          </cell>
          <cell r="H764">
            <v>297</v>
          </cell>
          <cell r="J764">
            <v>302</v>
          </cell>
          <cell r="L764">
            <v>302</v>
          </cell>
          <cell r="N764">
            <v>292</v>
          </cell>
          <cell r="P764">
            <v>285</v>
          </cell>
          <cell r="R764">
            <v>297</v>
          </cell>
          <cell r="T764">
            <v>297</v>
          </cell>
          <cell r="V764">
            <v>302</v>
          </cell>
          <cell r="X764">
            <v>292</v>
          </cell>
          <cell r="Z764">
            <v>302</v>
          </cell>
          <cell r="AD764">
            <v>2.3E-2</v>
          </cell>
        </row>
        <row r="765">
          <cell r="E765" t="str">
            <v>CE 14sq-2C</v>
          </cell>
          <cell r="F765" t="str">
            <v>ｍ</v>
          </cell>
          <cell r="H765">
            <v>433</v>
          </cell>
          <cell r="J765">
            <v>440</v>
          </cell>
          <cell r="L765">
            <v>440</v>
          </cell>
          <cell r="N765">
            <v>427</v>
          </cell>
          <cell r="P765">
            <v>416</v>
          </cell>
          <cell r="R765">
            <v>433</v>
          </cell>
          <cell r="T765">
            <v>433</v>
          </cell>
          <cell r="V765">
            <v>440</v>
          </cell>
          <cell r="X765">
            <v>427</v>
          </cell>
          <cell r="Z765">
            <v>440</v>
          </cell>
          <cell r="AD765">
            <v>2.9000000000000001E-2</v>
          </cell>
        </row>
        <row r="766">
          <cell r="E766" t="str">
            <v>CE 22sq-2C</v>
          </cell>
          <cell r="F766" t="str">
            <v>ｍ</v>
          </cell>
          <cell r="H766">
            <v>637</v>
          </cell>
          <cell r="J766">
            <v>647</v>
          </cell>
          <cell r="L766">
            <v>647</v>
          </cell>
          <cell r="N766">
            <v>627</v>
          </cell>
          <cell r="P766">
            <v>612</v>
          </cell>
          <cell r="R766">
            <v>637</v>
          </cell>
          <cell r="T766">
            <v>637</v>
          </cell>
          <cell r="V766">
            <v>647</v>
          </cell>
          <cell r="X766">
            <v>627</v>
          </cell>
          <cell r="Z766">
            <v>647</v>
          </cell>
          <cell r="AD766">
            <v>3.6999999999999998E-2</v>
          </cell>
        </row>
        <row r="767">
          <cell r="E767" t="str">
            <v>CE 38sq-2C</v>
          </cell>
          <cell r="F767" t="str">
            <v>ｍ</v>
          </cell>
          <cell r="H767">
            <v>998</v>
          </cell>
          <cell r="J767">
            <v>1014</v>
          </cell>
          <cell r="L767">
            <v>1014</v>
          </cell>
          <cell r="N767">
            <v>983</v>
          </cell>
          <cell r="P767">
            <v>959</v>
          </cell>
          <cell r="R767">
            <v>998</v>
          </cell>
          <cell r="T767">
            <v>998</v>
          </cell>
          <cell r="V767">
            <v>1014</v>
          </cell>
          <cell r="X767">
            <v>983</v>
          </cell>
          <cell r="Z767">
            <v>1014</v>
          </cell>
          <cell r="AD767">
            <v>0.05</v>
          </cell>
        </row>
        <row r="768">
          <cell r="E768" t="str">
            <v>CE 60sq-2C</v>
          </cell>
          <cell r="F768" t="str">
            <v>ｍ</v>
          </cell>
          <cell r="H768">
            <v>1536</v>
          </cell>
          <cell r="J768">
            <v>1562</v>
          </cell>
          <cell r="L768">
            <v>1562</v>
          </cell>
          <cell r="N768">
            <v>1514</v>
          </cell>
          <cell r="P768">
            <v>1478</v>
          </cell>
          <cell r="R768">
            <v>1536</v>
          </cell>
          <cell r="T768">
            <v>1536</v>
          </cell>
          <cell r="V768">
            <v>1562</v>
          </cell>
          <cell r="X768">
            <v>1514</v>
          </cell>
          <cell r="Z768">
            <v>1562</v>
          </cell>
          <cell r="AD768">
            <v>6.5000000000000002E-2</v>
          </cell>
        </row>
        <row r="769">
          <cell r="E769" t="str">
            <v>CE 100sq-2C</v>
          </cell>
          <cell r="F769" t="str">
            <v>ｍ</v>
          </cell>
          <cell r="H769">
            <v>2516</v>
          </cell>
          <cell r="J769">
            <v>2555</v>
          </cell>
          <cell r="L769">
            <v>2555</v>
          </cell>
          <cell r="N769">
            <v>2477</v>
          </cell>
          <cell r="P769">
            <v>2416</v>
          </cell>
          <cell r="R769">
            <v>2516</v>
          </cell>
          <cell r="T769">
            <v>2516</v>
          </cell>
          <cell r="V769">
            <v>2555</v>
          </cell>
          <cell r="X769">
            <v>2477</v>
          </cell>
          <cell r="Z769">
            <v>2555</v>
          </cell>
          <cell r="AD769">
            <v>0.09</v>
          </cell>
        </row>
        <row r="770">
          <cell r="E770" t="str">
            <v>CE 150sq-2C</v>
          </cell>
          <cell r="F770" t="str">
            <v>ｍ</v>
          </cell>
          <cell r="H770">
            <v>4099</v>
          </cell>
          <cell r="J770">
            <v>4163</v>
          </cell>
          <cell r="L770">
            <v>4163</v>
          </cell>
          <cell r="N770">
            <v>4035</v>
          </cell>
          <cell r="P770">
            <v>3939</v>
          </cell>
          <cell r="R770">
            <v>4099</v>
          </cell>
          <cell r="T770">
            <v>4099</v>
          </cell>
          <cell r="V770">
            <v>4163</v>
          </cell>
          <cell r="X770">
            <v>4035</v>
          </cell>
          <cell r="Z770">
            <v>4163</v>
          </cell>
          <cell r="AD770">
            <v>0.11</v>
          </cell>
        </row>
        <row r="771">
          <cell r="E771" t="str">
            <v>CE 200sq-2C</v>
          </cell>
          <cell r="F771" t="str">
            <v>ｍ</v>
          </cell>
          <cell r="H771">
            <v>5429</v>
          </cell>
          <cell r="J771">
            <v>5514</v>
          </cell>
          <cell r="L771">
            <v>5514</v>
          </cell>
          <cell r="N771">
            <v>4344</v>
          </cell>
          <cell r="P771">
            <v>5217</v>
          </cell>
          <cell r="R771">
            <v>5429</v>
          </cell>
          <cell r="T771">
            <v>5429</v>
          </cell>
          <cell r="V771">
            <v>5514</v>
          </cell>
          <cell r="X771">
            <v>4344</v>
          </cell>
          <cell r="Z771">
            <v>5514</v>
          </cell>
          <cell r="AD771">
            <v>0.13600000000000001</v>
          </cell>
        </row>
        <row r="772">
          <cell r="E772" t="str">
            <v>CE 250sq-2C</v>
          </cell>
          <cell r="F772" t="str">
            <v>ｍ</v>
          </cell>
          <cell r="H772">
            <v>6779</v>
          </cell>
          <cell r="J772">
            <v>6885</v>
          </cell>
          <cell r="L772">
            <v>6885</v>
          </cell>
          <cell r="N772">
            <v>6673</v>
          </cell>
          <cell r="P772">
            <v>6514</v>
          </cell>
          <cell r="R772">
            <v>6779</v>
          </cell>
          <cell r="T772">
            <v>6779</v>
          </cell>
          <cell r="V772">
            <v>6885</v>
          </cell>
          <cell r="X772">
            <v>6673</v>
          </cell>
          <cell r="Z772">
            <v>6885</v>
          </cell>
          <cell r="AD772">
            <v>0.157</v>
          </cell>
        </row>
        <row r="773">
          <cell r="E773" t="str">
            <v>CE 325sq-2C</v>
          </cell>
          <cell r="F773" t="str">
            <v>ｍ</v>
          </cell>
          <cell r="H773">
            <v>8605</v>
          </cell>
          <cell r="J773">
            <v>8739</v>
          </cell>
          <cell r="L773">
            <v>8739</v>
          </cell>
          <cell r="N773">
            <v>8470</v>
          </cell>
          <cell r="P773">
            <v>8269</v>
          </cell>
          <cell r="R773">
            <v>8605</v>
          </cell>
          <cell r="T773">
            <v>8605</v>
          </cell>
          <cell r="V773">
            <v>8739</v>
          </cell>
          <cell r="X773">
            <v>8470</v>
          </cell>
          <cell r="Z773">
            <v>8739</v>
          </cell>
          <cell r="AD773">
            <v>0.19800000000000001</v>
          </cell>
        </row>
        <row r="774">
          <cell r="E774" t="str">
            <v>CE  2sq-3C</v>
          </cell>
          <cell r="F774" t="str">
            <v>ｍ</v>
          </cell>
          <cell r="H774">
            <v>160</v>
          </cell>
          <cell r="J774">
            <v>163</v>
          </cell>
          <cell r="L774">
            <v>163</v>
          </cell>
          <cell r="N774">
            <v>158</v>
          </cell>
          <cell r="P774">
            <v>154</v>
          </cell>
          <cell r="R774">
            <v>160</v>
          </cell>
          <cell r="T774">
            <v>160</v>
          </cell>
          <cell r="V774">
            <v>163</v>
          </cell>
          <cell r="X774">
            <v>158</v>
          </cell>
          <cell r="Z774">
            <v>163</v>
          </cell>
          <cell r="AD774">
            <v>1.7000000000000001E-2</v>
          </cell>
        </row>
        <row r="775">
          <cell r="E775" t="str">
            <v>CE3.5sq-3C</v>
          </cell>
          <cell r="F775" t="str">
            <v>ｍ</v>
          </cell>
          <cell r="H775">
            <v>222</v>
          </cell>
          <cell r="J775">
            <v>226</v>
          </cell>
          <cell r="L775">
            <v>226</v>
          </cell>
          <cell r="N775">
            <v>219</v>
          </cell>
          <cell r="P775">
            <v>213</v>
          </cell>
          <cell r="R775">
            <v>222</v>
          </cell>
          <cell r="T775">
            <v>222</v>
          </cell>
          <cell r="V775">
            <v>226</v>
          </cell>
          <cell r="X775">
            <v>219</v>
          </cell>
          <cell r="Z775">
            <v>226</v>
          </cell>
          <cell r="AD775">
            <v>2.1000000000000001E-2</v>
          </cell>
        </row>
        <row r="776">
          <cell r="E776" t="str">
            <v>CE5.5sq-3C</v>
          </cell>
          <cell r="F776" t="str">
            <v>ｍ</v>
          </cell>
          <cell r="H776">
            <v>306</v>
          </cell>
          <cell r="J776">
            <v>311</v>
          </cell>
          <cell r="L776">
            <v>311</v>
          </cell>
          <cell r="N776">
            <v>301</v>
          </cell>
          <cell r="P776">
            <v>294</v>
          </cell>
          <cell r="R776">
            <v>306</v>
          </cell>
          <cell r="T776">
            <v>306</v>
          </cell>
          <cell r="V776">
            <v>311</v>
          </cell>
          <cell r="X776">
            <v>301</v>
          </cell>
          <cell r="Z776">
            <v>311</v>
          </cell>
          <cell r="AD776">
            <v>2.5999999999999999E-2</v>
          </cell>
        </row>
        <row r="777">
          <cell r="E777" t="str">
            <v>CE  8sq-3C</v>
          </cell>
          <cell r="F777" t="str">
            <v>ｍ</v>
          </cell>
          <cell r="H777">
            <v>392</v>
          </cell>
          <cell r="J777">
            <v>398</v>
          </cell>
          <cell r="L777">
            <v>398</v>
          </cell>
          <cell r="N777">
            <v>386</v>
          </cell>
          <cell r="P777">
            <v>377</v>
          </cell>
          <cell r="R777">
            <v>392</v>
          </cell>
          <cell r="T777">
            <v>392</v>
          </cell>
          <cell r="V777">
            <v>398</v>
          </cell>
          <cell r="X777">
            <v>386</v>
          </cell>
          <cell r="Z777">
            <v>398</v>
          </cell>
          <cell r="AD777">
            <v>2.9000000000000001E-2</v>
          </cell>
        </row>
        <row r="778">
          <cell r="E778" t="str">
            <v>CE 14sq-3C</v>
          </cell>
          <cell r="F778" t="str">
            <v>ｍ</v>
          </cell>
          <cell r="H778">
            <v>585</v>
          </cell>
          <cell r="J778">
            <v>594</v>
          </cell>
          <cell r="L778">
            <v>594</v>
          </cell>
          <cell r="N778">
            <v>576</v>
          </cell>
          <cell r="P778">
            <v>562</v>
          </cell>
          <cell r="R778">
            <v>585</v>
          </cell>
          <cell r="T778">
            <v>585</v>
          </cell>
          <cell r="V778">
            <v>594</v>
          </cell>
          <cell r="X778">
            <v>576</v>
          </cell>
          <cell r="Z778">
            <v>594</v>
          </cell>
          <cell r="AD778">
            <v>3.6999999999999998E-2</v>
          </cell>
        </row>
        <row r="779">
          <cell r="E779" t="str">
            <v>CE 22sq-3C</v>
          </cell>
          <cell r="F779" t="str">
            <v>ｍ</v>
          </cell>
          <cell r="H779">
            <v>872</v>
          </cell>
          <cell r="J779">
            <v>885</v>
          </cell>
          <cell r="L779">
            <v>885</v>
          </cell>
          <cell r="N779">
            <v>858</v>
          </cell>
          <cell r="P779">
            <v>838</v>
          </cell>
          <cell r="R779">
            <v>872</v>
          </cell>
          <cell r="T779">
            <v>872</v>
          </cell>
          <cell r="V779">
            <v>885</v>
          </cell>
          <cell r="X779">
            <v>858</v>
          </cell>
          <cell r="Z779">
            <v>885</v>
          </cell>
          <cell r="AD779">
            <v>4.7E-2</v>
          </cell>
        </row>
        <row r="780">
          <cell r="E780" t="str">
            <v>CE 38sq-3C</v>
          </cell>
          <cell r="F780" t="str">
            <v>ｍ</v>
          </cell>
          <cell r="H780">
            <v>1399</v>
          </cell>
          <cell r="J780">
            <v>1421</v>
          </cell>
          <cell r="L780">
            <v>1421</v>
          </cell>
          <cell r="N780">
            <v>1377</v>
          </cell>
          <cell r="P780">
            <v>1344</v>
          </cell>
          <cell r="R780">
            <v>1399</v>
          </cell>
          <cell r="T780">
            <v>1399</v>
          </cell>
          <cell r="V780">
            <v>1421</v>
          </cell>
          <cell r="X780">
            <v>1377</v>
          </cell>
          <cell r="Z780">
            <v>1421</v>
          </cell>
          <cell r="AD780">
            <v>6.2E-2</v>
          </cell>
        </row>
        <row r="781">
          <cell r="E781" t="str">
            <v>CE 60sq-3C</v>
          </cell>
          <cell r="F781" t="str">
            <v>ｍ</v>
          </cell>
          <cell r="H781">
            <v>2154</v>
          </cell>
          <cell r="J781">
            <v>2188</v>
          </cell>
          <cell r="L781">
            <v>2188</v>
          </cell>
          <cell r="N781">
            <v>2121</v>
          </cell>
          <cell r="P781">
            <v>2070</v>
          </cell>
          <cell r="R781">
            <v>2154</v>
          </cell>
          <cell r="T781">
            <v>2154</v>
          </cell>
          <cell r="V781">
            <v>2188</v>
          </cell>
          <cell r="X781">
            <v>2121</v>
          </cell>
          <cell r="Z781">
            <v>2188</v>
          </cell>
          <cell r="AD781">
            <v>8.2000000000000003E-2</v>
          </cell>
        </row>
        <row r="782">
          <cell r="E782" t="str">
            <v>CE100sq-3C</v>
          </cell>
          <cell r="F782" t="str">
            <v>ｍ</v>
          </cell>
          <cell r="H782">
            <v>3592</v>
          </cell>
          <cell r="J782">
            <v>3648</v>
          </cell>
          <cell r="L782">
            <v>3648</v>
          </cell>
          <cell r="N782">
            <v>3536</v>
          </cell>
          <cell r="P782">
            <v>3452</v>
          </cell>
          <cell r="R782">
            <v>3592</v>
          </cell>
          <cell r="T782">
            <v>3592</v>
          </cell>
          <cell r="V782">
            <v>3648</v>
          </cell>
          <cell r="X782">
            <v>3536</v>
          </cell>
          <cell r="Z782">
            <v>3648</v>
          </cell>
          <cell r="AD782">
            <v>0.112</v>
          </cell>
        </row>
        <row r="783">
          <cell r="E783" t="str">
            <v>CE150sq-3C</v>
          </cell>
          <cell r="F783" t="str">
            <v>ｍ</v>
          </cell>
          <cell r="H783">
            <v>5814</v>
          </cell>
          <cell r="J783">
            <v>3905</v>
          </cell>
          <cell r="L783">
            <v>3905</v>
          </cell>
          <cell r="N783">
            <v>5724</v>
          </cell>
          <cell r="P783">
            <v>5587</v>
          </cell>
          <cell r="R783">
            <v>5814</v>
          </cell>
          <cell r="T783">
            <v>5814</v>
          </cell>
          <cell r="V783">
            <v>3905</v>
          </cell>
          <cell r="X783">
            <v>5724</v>
          </cell>
          <cell r="Z783">
            <v>3905</v>
          </cell>
          <cell r="AD783">
            <v>0.13700000000000001</v>
          </cell>
        </row>
        <row r="784">
          <cell r="E784" t="str">
            <v>CE200sq-3C</v>
          </cell>
          <cell r="F784" t="str">
            <v>ｍ</v>
          </cell>
          <cell r="H784">
            <v>7734</v>
          </cell>
          <cell r="J784">
            <v>7855</v>
          </cell>
          <cell r="L784">
            <v>7855</v>
          </cell>
          <cell r="N784">
            <v>7614</v>
          </cell>
          <cell r="P784">
            <v>7432</v>
          </cell>
          <cell r="R784">
            <v>7734</v>
          </cell>
          <cell r="T784">
            <v>7734</v>
          </cell>
          <cell r="V784">
            <v>7855</v>
          </cell>
          <cell r="X784">
            <v>7614</v>
          </cell>
          <cell r="Z784">
            <v>7855</v>
          </cell>
          <cell r="AD784">
            <v>0.17</v>
          </cell>
        </row>
        <row r="785">
          <cell r="E785" t="str">
            <v>CE250sq-3C</v>
          </cell>
          <cell r="F785" t="str">
            <v>ｍ</v>
          </cell>
          <cell r="H785">
            <v>9704</v>
          </cell>
          <cell r="J785">
            <v>9855</v>
          </cell>
          <cell r="L785">
            <v>9855</v>
          </cell>
          <cell r="N785">
            <v>9552</v>
          </cell>
          <cell r="P785">
            <v>9325</v>
          </cell>
          <cell r="R785">
            <v>9704</v>
          </cell>
          <cell r="T785">
            <v>9704</v>
          </cell>
          <cell r="V785">
            <v>9855</v>
          </cell>
          <cell r="X785">
            <v>9552</v>
          </cell>
          <cell r="Z785">
            <v>9855</v>
          </cell>
          <cell r="AD785">
            <v>0.19600000000000001</v>
          </cell>
        </row>
        <row r="786">
          <cell r="E786" t="str">
            <v>CE325sq-3C</v>
          </cell>
          <cell r="F786" t="str">
            <v>ｍ</v>
          </cell>
          <cell r="H786">
            <v>12384</v>
          </cell>
          <cell r="J786">
            <v>12578</v>
          </cell>
          <cell r="L786">
            <v>12578</v>
          </cell>
          <cell r="N786">
            <v>12191</v>
          </cell>
          <cell r="P786">
            <v>11900</v>
          </cell>
          <cell r="R786">
            <v>12384</v>
          </cell>
          <cell r="T786">
            <v>12384</v>
          </cell>
          <cell r="V786">
            <v>12578</v>
          </cell>
          <cell r="X786">
            <v>12191</v>
          </cell>
          <cell r="Z786">
            <v>12578</v>
          </cell>
          <cell r="AD786">
            <v>0.248</v>
          </cell>
        </row>
        <row r="787">
          <cell r="E787" t="str">
            <v>CE 2sq-4C</v>
          </cell>
          <cell r="F787" t="str">
            <v>ｍ</v>
          </cell>
          <cell r="H787">
            <v>191</v>
          </cell>
          <cell r="J787">
            <v>194</v>
          </cell>
          <cell r="L787">
            <v>194</v>
          </cell>
          <cell r="N787">
            <v>188</v>
          </cell>
          <cell r="P787">
            <v>184</v>
          </cell>
          <cell r="R787">
            <v>191</v>
          </cell>
          <cell r="T787">
            <v>191</v>
          </cell>
          <cell r="V787">
            <v>194</v>
          </cell>
          <cell r="X787">
            <v>188</v>
          </cell>
          <cell r="Z787">
            <v>194</v>
          </cell>
          <cell r="AD787">
            <v>0.02</v>
          </cell>
        </row>
        <row r="788">
          <cell r="E788" t="str">
            <v>CE 3.5sq-4C</v>
          </cell>
          <cell r="F788" t="str">
            <v>ｍ</v>
          </cell>
          <cell r="H788">
            <v>278</v>
          </cell>
          <cell r="J788">
            <v>283</v>
          </cell>
          <cell r="L788">
            <v>283</v>
          </cell>
          <cell r="N788">
            <v>274</v>
          </cell>
          <cell r="P788">
            <v>268</v>
          </cell>
          <cell r="R788">
            <v>278</v>
          </cell>
          <cell r="T788">
            <v>278</v>
          </cell>
          <cell r="V788">
            <v>283</v>
          </cell>
          <cell r="X788">
            <v>274</v>
          </cell>
          <cell r="Z788">
            <v>283</v>
          </cell>
          <cell r="AD788">
            <v>2.4E-2</v>
          </cell>
        </row>
        <row r="789">
          <cell r="E789" t="str">
            <v>CE 5.5sq-4C</v>
          </cell>
          <cell r="F789" t="str">
            <v>ｍ</v>
          </cell>
          <cell r="H789">
            <v>383</v>
          </cell>
          <cell r="J789">
            <v>389</v>
          </cell>
          <cell r="L789">
            <v>389</v>
          </cell>
          <cell r="N789">
            <v>377</v>
          </cell>
          <cell r="P789">
            <v>368</v>
          </cell>
          <cell r="R789">
            <v>383</v>
          </cell>
          <cell r="T789">
            <v>383</v>
          </cell>
          <cell r="V789">
            <v>389</v>
          </cell>
          <cell r="X789">
            <v>377</v>
          </cell>
          <cell r="Z789">
            <v>389</v>
          </cell>
          <cell r="AD789">
            <v>0.03</v>
          </cell>
        </row>
        <row r="790">
          <cell r="E790" t="str">
            <v>CE 8sq-4C</v>
          </cell>
          <cell r="F790" t="str">
            <v>ｍ</v>
          </cell>
          <cell r="H790">
            <v>504</v>
          </cell>
          <cell r="J790">
            <v>512</v>
          </cell>
          <cell r="L790">
            <v>512</v>
          </cell>
          <cell r="N790">
            <v>496</v>
          </cell>
          <cell r="P790">
            <v>484</v>
          </cell>
          <cell r="R790">
            <v>504</v>
          </cell>
          <cell r="T790">
            <v>504</v>
          </cell>
          <cell r="V790">
            <v>512</v>
          </cell>
          <cell r="X790">
            <v>496</v>
          </cell>
          <cell r="Z790">
            <v>512</v>
          </cell>
          <cell r="AD790">
            <v>3.5000000000000003E-2</v>
          </cell>
        </row>
        <row r="791">
          <cell r="E791" t="str">
            <v>CE 14sq-4C</v>
          </cell>
          <cell r="F791" t="str">
            <v>ｍ</v>
          </cell>
          <cell r="H791">
            <v>769</v>
          </cell>
          <cell r="J791">
            <v>781</v>
          </cell>
          <cell r="L791">
            <v>781</v>
          </cell>
          <cell r="N791">
            <v>757</v>
          </cell>
          <cell r="P791">
            <v>739</v>
          </cell>
          <cell r="R791">
            <v>769</v>
          </cell>
          <cell r="T791">
            <v>769</v>
          </cell>
          <cell r="V791">
            <v>781</v>
          </cell>
          <cell r="X791">
            <v>757</v>
          </cell>
          <cell r="Z791">
            <v>781</v>
          </cell>
          <cell r="AD791">
            <v>4.2999999999999997E-2</v>
          </cell>
        </row>
        <row r="792">
          <cell r="E792" t="str">
            <v>CE 22sq-4C</v>
          </cell>
          <cell r="F792" t="str">
            <v>ｍ</v>
          </cell>
          <cell r="H792">
            <v>1157</v>
          </cell>
          <cell r="J792">
            <v>1175</v>
          </cell>
          <cell r="L792">
            <v>1175</v>
          </cell>
          <cell r="N792">
            <v>1139</v>
          </cell>
          <cell r="P792">
            <v>1112</v>
          </cell>
          <cell r="R792">
            <v>1157</v>
          </cell>
          <cell r="T792">
            <v>1157</v>
          </cell>
          <cell r="V792">
            <v>1175</v>
          </cell>
          <cell r="X792">
            <v>1139</v>
          </cell>
          <cell r="Z792">
            <v>1175</v>
          </cell>
          <cell r="AD792">
            <v>5.6000000000000001E-2</v>
          </cell>
        </row>
        <row r="793">
          <cell r="E793" t="str">
            <v>CE 38sq-4C</v>
          </cell>
          <cell r="F793" t="str">
            <v>ｍ</v>
          </cell>
          <cell r="H793">
            <v>1853</v>
          </cell>
          <cell r="J793">
            <v>1882</v>
          </cell>
          <cell r="L793">
            <v>1882</v>
          </cell>
          <cell r="N793">
            <v>1824</v>
          </cell>
          <cell r="P793">
            <v>1781</v>
          </cell>
          <cell r="R793">
            <v>1853</v>
          </cell>
          <cell r="T793">
            <v>1853</v>
          </cell>
          <cell r="V793">
            <v>1882</v>
          </cell>
          <cell r="X793">
            <v>1824</v>
          </cell>
          <cell r="Z793">
            <v>1882</v>
          </cell>
          <cell r="AD793">
            <v>7.3999999999999996E-2</v>
          </cell>
        </row>
        <row r="794">
          <cell r="E794" t="str">
            <v>CE 60sq-4C</v>
          </cell>
          <cell r="F794" t="str">
            <v>ｍ</v>
          </cell>
          <cell r="H794">
            <v>3202</v>
          </cell>
          <cell r="J794">
            <v>3252</v>
          </cell>
          <cell r="L794">
            <v>3252</v>
          </cell>
          <cell r="N794">
            <v>3152</v>
          </cell>
          <cell r="P794">
            <v>3077</v>
          </cell>
          <cell r="R794">
            <v>3202</v>
          </cell>
          <cell r="T794">
            <v>3202</v>
          </cell>
          <cell r="V794">
            <v>3252</v>
          </cell>
          <cell r="X794">
            <v>3152</v>
          </cell>
          <cell r="Z794">
            <v>3252</v>
          </cell>
          <cell r="AD794">
            <v>9.8000000000000004E-2</v>
          </cell>
        </row>
        <row r="795">
          <cell r="E795" t="str">
            <v>CE 100sq-4C</v>
          </cell>
          <cell r="F795" t="str">
            <v>ｍ</v>
          </cell>
          <cell r="H795">
            <v>5240</v>
          </cell>
          <cell r="J795">
            <v>5322</v>
          </cell>
          <cell r="L795">
            <v>5322</v>
          </cell>
          <cell r="N795">
            <v>5158</v>
          </cell>
          <cell r="P795">
            <v>5035</v>
          </cell>
          <cell r="R795">
            <v>5240</v>
          </cell>
          <cell r="T795">
            <v>5240</v>
          </cell>
          <cell r="V795">
            <v>5322</v>
          </cell>
          <cell r="X795">
            <v>5158</v>
          </cell>
          <cell r="Z795">
            <v>5322</v>
          </cell>
          <cell r="AD795">
            <v>0.13400000000000001</v>
          </cell>
        </row>
        <row r="796">
          <cell r="E796" t="str">
            <v>CE 150sq-4C</v>
          </cell>
          <cell r="F796" t="str">
            <v>ｍ</v>
          </cell>
          <cell r="H796">
            <v>7651</v>
          </cell>
          <cell r="J796">
            <v>7771</v>
          </cell>
          <cell r="L796">
            <v>7771</v>
          </cell>
          <cell r="N796">
            <v>7532</v>
          </cell>
          <cell r="P796">
            <v>7352</v>
          </cell>
          <cell r="R796">
            <v>7651</v>
          </cell>
          <cell r="T796">
            <v>7651</v>
          </cell>
          <cell r="V796">
            <v>7771</v>
          </cell>
          <cell r="X796">
            <v>7532</v>
          </cell>
          <cell r="Z796">
            <v>7771</v>
          </cell>
          <cell r="AD796">
            <v>0.16500000000000001</v>
          </cell>
        </row>
        <row r="797">
          <cell r="E797" t="str">
            <v>CE 200sq-4C</v>
          </cell>
          <cell r="F797" t="str">
            <v>ｍ</v>
          </cell>
          <cell r="H797">
            <v>9822</v>
          </cell>
          <cell r="J797">
            <v>9976</v>
          </cell>
          <cell r="L797">
            <v>9976</v>
          </cell>
          <cell r="N797">
            <v>9669</v>
          </cell>
          <cell r="P797">
            <v>9438</v>
          </cell>
          <cell r="R797">
            <v>9822</v>
          </cell>
          <cell r="T797">
            <v>9822</v>
          </cell>
          <cell r="V797">
            <v>9976</v>
          </cell>
          <cell r="X797">
            <v>9669</v>
          </cell>
          <cell r="Z797">
            <v>9976</v>
          </cell>
          <cell r="AD797">
            <v>0.20399999999999999</v>
          </cell>
        </row>
        <row r="798">
          <cell r="E798" t="str">
            <v>CE 250sq-4C</v>
          </cell>
          <cell r="F798" t="str">
            <v>ｍ</v>
          </cell>
          <cell r="H798">
            <v>12472</v>
          </cell>
          <cell r="J798">
            <v>12667</v>
          </cell>
          <cell r="L798">
            <v>12667</v>
          </cell>
          <cell r="N798">
            <v>12277</v>
          </cell>
          <cell r="P798">
            <v>11985</v>
          </cell>
          <cell r="R798">
            <v>12472</v>
          </cell>
          <cell r="T798">
            <v>12472</v>
          </cell>
          <cell r="V798">
            <v>12667</v>
          </cell>
          <cell r="X798">
            <v>12277</v>
          </cell>
          <cell r="Z798">
            <v>12667</v>
          </cell>
          <cell r="AD798">
            <v>0.23499999999999999</v>
          </cell>
        </row>
        <row r="799">
          <cell r="E799" t="str">
            <v>CE 325sq-4C</v>
          </cell>
          <cell r="F799" t="str">
            <v>ｍ</v>
          </cell>
          <cell r="H799">
            <v>16079</v>
          </cell>
          <cell r="J799">
            <v>16330</v>
          </cell>
          <cell r="L799">
            <v>16330</v>
          </cell>
          <cell r="N799">
            <v>15827</v>
          </cell>
          <cell r="P799">
            <v>15451</v>
          </cell>
          <cell r="R799">
            <v>16079</v>
          </cell>
          <cell r="T799">
            <v>16079</v>
          </cell>
          <cell r="V799">
            <v>16330</v>
          </cell>
          <cell r="X799">
            <v>15827</v>
          </cell>
          <cell r="Z799">
            <v>16330</v>
          </cell>
          <cell r="AD799">
            <v>0.29699999999999999</v>
          </cell>
        </row>
        <row r="800">
          <cell r="E800" t="str">
            <v>CVD 14sq</v>
          </cell>
          <cell r="F800" t="str">
            <v>ｍ</v>
          </cell>
          <cell r="H800">
            <v>353</v>
          </cell>
          <cell r="J800">
            <v>359</v>
          </cell>
          <cell r="L800">
            <v>359</v>
          </cell>
          <cell r="N800">
            <v>348</v>
          </cell>
          <cell r="P800">
            <v>339</v>
          </cell>
          <cell r="R800">
            <v>353</v>
          </cell>
          <cell r="T800">
            <v>353</v>
          </cell>
          <cell r="V800">
            <v>359</v>
          </cell>
          <cell r="X800">
            <v>348</v>
          </cell>
          <cell r="Z800">
            <v>359</v>
          </cell>
          <cell r="AD800">
            <v>2.9000000000000001E-2</v>
          </cell>
        </row>
        <row r="801">
          <cell r="E801" t="str">
            <v>CVD 22sq</v>
          </cell>
          <cell r="F801" t="str">
            <v>ｍ</v>
          </cell>
          <cell r="H801">
            <v>526</v>
          </cell>
          <cell r="J801">
            <v>534</v>
          </cell>
          <cell r="L801">
            <v>534</v>
          </cell>
          <cell r="N801">
            <v>518</v>
          </cell>
          <cell r="P801">
            <v>506</v>
          </cell>
          <cell r="R801">
            <v>526</v>
          </cell>
          <cell r="T801">
            <v>526</v>
          </cell>
          <cell r="V801">
            <v>534</v>
          </cell>
          <cell r="X801">
            <v>518</v>
          </cell>
          <cell r="Z801">
            <v>534</v>
          </cell>
          <cell r="AD801">
            <v>3.6999999999999998E-2</v>
          </cell>
        </row>
        <row r="802">
          <cell r="E802" t="str">
            <v>CVD 38sq</v>
          </cell>
          <cell r="F802" t="str">
            <v>ｍ</v>
          </cell>
          <cell r="H802">
            <v>856</v>
          </cell>
          <cell r="J802">
            <v>870</v>
          </cell>
          <cell r="L802">
            <v>870</v>
          </cell>
          <cell r="N802">
            <v>843</v>
          </cell>
          <cell r="P802">
            <v>823</v>
          </cell>
          <cell r="R802">
            <v>856</v>
          </cell>
          <cell r="T802">
            <v>856</v>
          </cell>
          <cell r="V802">
            <v>870</v>
          </cell>
          <cell r="X802">
            <v>843</v>
          </cell>
          <cell r="Z802">
            <v>870</v>
          </cell>
          <cell r="AD802">
            <v>0.05</v>
          </cell>
        </row>
        <row r="803">
          <cell r="E803" t="str">
            <v>CVD 60sq</v>
          </cell>
          <cell r="F803" t="str">
            <v>ｍ</v>
          </cell>
          <cell r="H803">
            <v>1309</v>
          </cell>
          <cell r="J803">
            <v>1330</v>
          </cell>
          <cell r="L803">
            <v>1330</v>
          </cell>
          <cell r="N803">
            <v>1289</v>
          </cell>
          <cell r="P803">
            <v>1258</v>
          </cell>
          <cell r="R803">
            <v>1309</v>
          </cell>
          <cell r="T803">
            <v>1309</v>
          </cell>
          <cell r="V803">
            <v>1330</v>
          </cell>
          <cell r="X803">
            <v>1289</v>
          </cell>
          <cell r="Z803">
            <v>1330</v>
          </cell>
          <cell r="AD803">
            <v>6.5000000000000002E-2</v>
          </cell>
        </row>
        <row r="804">
          <cell r="E804" t="str">
            <v>CVD 100sq</v>
          </cell>
          <cell r="F804" t="str">
            <v>ｍ</v>
          </cell>
          <cell r="H804">
            <v>2193</v>
          </cell>
          <cell r="J804">
            <v>2228</v>
          </cell>
          <cell r="L804">
            <v>2228</v>
          </cell>
          <cell r="N804">
            <v>2159</v>
          </cell>
          <cell r="P804">
            <v>2108</v>
          </cell>
          <cell r="R804">
            <v>2193</v>
          </cell>
          <cell r="T804">
            <v>2193</v>
          </cell>
          <cell r="V804">
            <v>2228</v>
          </cell>
          <cell r="X804">
            <v>2159</v>
          </cell>
          <cell r="Z804">
            <v>2228</v>
          </cell>
          <cell r="AD804">
            <v>0.09</v>
          </cell>
        </row>
        <row r="805">
          <cell r="E805" t="str">
            <v>CVD 150sq</v>
          </cell>
          <cell r="F805" t="str">
            <v>ｍ</v>
          </cell>
          <cell r="H805">
            <v>3250</v>
          </cell>
          <cell r="J805">
            <v>3301</v>
          </cell>
          <cell r="L805">
            <v>3301</v>
          </cell>
          <cell r="N805">
            <v>3199</v>
          </cell>
          <cell r="P805">
            <v>3123</v>
          </cell>
          <cell r="R805">
            <v>3250</v>
          </cell>
          <cell r="T805">
            <v>3250</v>
          </cell>
          <cell r="V805">
            <v>3301</v>
          </cell>
          <cell r="X805">
            <v>3199</v>
          </cell>
          <cell r="Z805">
            <v>3301</v>
          </cell>
          <cell r="AD805">
            <v>0.11</v>
          </cell>
        </row>
        <row r="806">
          <cell r="E806" t="str">
            <v>CVD 200sq</v>
          </cell>
          <cell r="F806" t="str">
            <v>ｍ</v>
          </cell>
          <cell r="H806">
            <v>4335</v>
          </cell>
          <cell r="J806">
            <v>4402</v>
          </cell>
          <cell r="L806">
            <v>4402</v>
          </cell>
          <cell r="N806">
            <v>4267</v>
          </cell>
          <cell r="P806">
            <v>4165</v>
          </cell>
          <cell r="R806">
            <v>4335</v>
          </cell>
          <cell r="T806">
            <v>4335</v>
          </cell>
          <cell r="V806">
            <v>4402</v>
          </cell>
          <cell r="X806">
            <v>4267</v>
          </cell>
          <cell r="Z806">
            <v>4402</v>
          </cell>
          <cell r="AD806">
            <v>0.13600000000000001</v>
          </cell>
        </row>
        <row r="807">
          <cell r="E807" t="str">
            <v>CVD 250sq</v>
          </cell>
          <cell r="F807" t="str">
            <v>ｍ</v>
          </cell>
          <cell r="H807">
            <v>5449</v>
          </cell>
          <cell r="J807">
            <v>5534</v>
          </cell>
          <cell r="L807">
            <v>5534</v>
          </cell>
          <cell r="N807">
            <v>5364</v>
          </cell>
          <cell r="P807">
            <v>5236</v>
          </cell>
          <cell r="R807">
            <v>5449</v>
          </cell>
          <cell r="T807">
            <v>5449</v>
          </cell>
          <cell r="V807">
            <v>5534</v>
          </cell>
          <cell r="X807">
            <v>5364</v>
          </cell>
          <cell r="Z807">
            <v>5534</v>
          </cell>
          <cell r="AD807">
            <v>0.157</v>
          </cell>
        </row>
        <row r="808">
          <cell r="E808" t="str">
            <v>CVT 14sq</v>
          </cell>
          <cell r="F808" t="str">
            <v>ｍ</v>
          </cell>
          <cell r="H808">
            <v>508</v>
          </cell>
          <cell r="J808">
            <v>516</v>
          </cell>
          <cell r="L808">
            <v>516</v>
          </cell>
          <cell r="N808">
            <v>500</v>
          </cell>
          <cell r="P808">
            <v>488</v>
          </cell>
          <cell r="R808">
            <v>508</v>
          </cell>
          <cell r="T808">
            <v>508</v>
          </cell>
          <cell r="V808">
            <v>516</v>
          </cell>
          <cell r="X808">
            <v>500</v>
          </cell>
          <cell r="Z808">
            <v>516</v>
          </cell>
          <cell r="AD808">
            <v>3.6999999999999998E-2</v>
          </cell>
        </row>
        <row r="809">
          <cell r="E809" t="str">
            <v>CVT 22sq</v>
          </cell>
          <cell r="F809" t="str">
            <v>ｍ</v>
          </cell>
          <cell r="H809">
            <v>763</v>
          </cell>
          <cell r="J809">
            <v>775</v>
          </cell>
          <cell r="L809">
            <v>775</v>
          </cell>
          <cell r="N809">
            <v>751</v>
          </cell>
          <cell r="P809">
            <v>733</v>
          </cell>
          <cell r="R809">
            <v>763</v>
          </cell>
          <cell r="T809">
            <v>763</v>
          </cell>
          <cell r="V809">
            <v>775</v>
          </cell>
          <cell r="X809">
            <v>751</v>
          </cell>
          <cell r="Z809">
            <v>775</v>
          </cell>
          <cell r="AD809">
            <v>4.7E-2</v>
          </cell>
        </row>
        <row r="810">
          <cell r="E810" t="str">
            <v>CVT 38sq</v>
          </cell>
          <cell r="F810" t="str">
            <v>ｍ</v>
          </cell>
          <cell r="H810">
            <v>1256</v>
          </cell>
          <cell r="J810">
            <v>1276</v>
          </cell>
          <cell r="L810">
            <v>1276</v>
          </cell>
          <cell r="N810">
            <v>1237</v>
          </cell>
          <cell r="P810">
            <v>1207</v>
          </cell>
          <cell r="R810">
            <v>1256</v>
          </cell>
          <cell r="T810">
            <v>1256</v>
          </cell>
          <cell r="V810">
            <v>1276</v>
          </cell>
          <cell r="X810">
            <v>1237</v>
          </cell>
          <cell r="Z810">
            <v>1276</v>
          </cell>
          <cell r="AD810">
            <v>6.2E-2</v>
          </cell>
        </row>
        <row r="811">
          <cell r="E811" t="str">
            <v>CVT 60sq</v>
          </cell>
          <cell r="F811" t="str">
            <v>ｍ</v>
          </cell>
          <cell r="H811">
            <v>1920</v>
          </cell>
          <cell r="J811">
            <v>1950</v>
          </cell>
          <cell r="L811">
            <v>1950</v>
          </cell>
          <cell r="N811">
            <v>1890</v>
          </cell>
          <cell r="P811">
            <v>1845</v>
          </cell>
          <cell r="R811">
            <v>1920</v>
          </cell>
          <cell r="T811">
            <v>1920</v>
          </cell>
          <cell r="V811">
            <v>1950</v>
          </cell>
          <cell r="X811">
            <v>1890</v>
          </cell>
          <cell r="Z811">
            <v>1950</v>
          </cell>
          <cell r="AD811">
            <v>8.2000000000000003E-2</v>
          </cell>
        </row>
        <row r="812">
          <cell r="E812" t="str">
            <v>CVT100sq</v>
          </cell>
          <cell r="F812" t="str">
            <v>ｍ</v>
          </cell>
          <cell r="H812">
            <v>3233</v>
          </cell>
          <cell r="J812">
            <v>3283</v>
          </cell>
          <cell r="L812">
            <v>3283</v>
          </cell>
          <cell r="N812">
            <v>3182</v>
          </cell>
          <cell r="P812">
            <v>3106</v>
          </cell>
          <cell r="R812">
            <v>3233</v>
          </cell>
          <cell r="T812">
            <v>3233</v>
          </cell>
          <cell r="V812">
            <v>3283</v>
          </cell>
          <cell r="X812">
            <v>3182</v>
          </cell>
          <cell r="Z812">
            <v>3283</v>
          </cell>
          <cell r="AD812">
            <v>0.112</v>
          </cell>
        </row>
        <row r="813">
          <cell r="E813" t="str">
            <v>CVT150sq</v>
          </cell>
          <cell r="F813" t="str">
            <v>ｍ</v>
          </cell>
          <cell r="H813">
            <v>4799</v>
          </cell>
          <cell r="J813">
            <v>4874</v>
          </cell>
          <cell r="L813">
            <v>4874</v>
          </cell>
          <cell r="N813">
            <v>4724</v>
          </cell>
          <cell r="P813">
            <v>4612</v>
          </cell>
          <cell r="R813">
            <v>4799</v>
          </cell>
          <cell r="T813">
            <v>4799</v>
          </cell>
          <cell r="V813">
            <v>4874</v>
          </cell>
          <cell r="X813">
            <v>4724</v>
          </cell>
          <cell r="Z813">
            <v>4874</v>
          </cell>
          <cell r="AD813">
            <v>0.13700000000000001</v>
          </cell>
        </row>
        <row r="814">
          <cell r="E814" t="str">
            <v>CVT200sq</v>
          </cell>
          <cell r="F814" t="str">
            <v>ｍ</v>
          </cell>
          <cell r="H814">
            <v>6369</v>
          </cell>
          <cell r="J814">
            <v>6469</v>
          </cell>
          <cell r="L814">
            <v>6469</v>
          </cell>
          <cell r="N814">
            <v>6270</v>
          </cell>
          <cell r="P814">
            <v>6120</v>
          </cell>
          <cell r="R814">
            <v>6369</v>
          </cell>
          <cell r="T814">
            <v>6369</v>
          </cell>
          <cell r="V814">
            <v>6469</v>
          </cell>
          <cell r="X814">
            <v>6270</v>
          </cell>
          <cell r="Z814">
            <v>6469</v>
          </cell>
          <cell r="AD814">
            <v>0.17</v>
          </cell>
        </row>
        <row r="815">
          <cell r="E815" t="str">
            <v>CVT250sq</v>
          </cell>
          <cell r="F815" t="str">
            <v>ｍ</v>
          </cell>
          <cell r="H815">
            <v>8013</v>
          </cell>
          <cell r="J815">
            <v>8138</v>
          </cell>
          <cell r="L815">
            <v>8138</v>
          </cell>
          <cell r="N815">
            <v>7888</v>
          </cell>
          <cell r="P815">
            <v>7700</v>
          </cell>
          <cell r="R815">
            <v>8013</v>
          </cell>
          <cell r="T815">
            <v>8013</v>
          </cell>
          <cell r="V815">
            <v>8138</v>
          </cell>
          <cell r="X815">
            <v>7888</v>
          </cell>
          <cell r="Z815">
            <v>8138</v>
          </cell>
          <cell r="AD815">
            <v>0.19600000000000001</v>
          </cell>
        </row>
        <row r="816">
          <cell r="E816" t="str">
            <v>CVT325sq</v>
          </cell>
          <cell r="F816" t="str">
            <v>ｍ</v>
          </cell>
          <cell r="H816">
            <v>10349</v>
          </cell>
          <cell r="J816">
            <v>10511</v>
          </cell>
          <cell r="L816">
            <v>10511</v>
          </cell>
          <cell r="N816">
            <v>10188</v>
          </cell>
          <cell r="P816">
            <v>9945</v>
          </cell>
          <cell r="R816">
            <v>10349</v>
          </cell>
          <cell r="T816">
            <v>10349</v>
          </cell>
          <cell r="V816">
            <v>10511</v>
          </cell>
          <cell r="X816">
            <v>10188</v>
          </cell>
          <cell r="Z816">
            <v>10511</v>
          </cell>
          <cell r="AD816">
            <v>0.248</v>
          </cell>
        </row>
        <row r="817">
          <cell r="E817" t="str">
            <v>CVQ 14sq</v>
          </cell>
          <cell r="F817" t="str">
            <v>ｍ</v>
          </cell>
          <cell r="H817">
            <v>673</v>
          </cell>
          <cell r="J817">
            <v>683</v>
          </cell>
          <cell r="L817">
            <v>683</v>
          </cell>
          <cell r="N817">
            <v>662</v>
          </cell>
          <cell r="P817">
            <v>646</v>
          </cell>
          <cell r="R817">
            <v>673</v>
          </cell>
          <cell r="T817">
            <v>673</v>
          </cell>
          <cell r="V817">
            <v>683</v>
          </cell>
          <cell r="X817">
            <v>662</v>
          </cell>
          <cell r="Z817">
            <v>683</v>
          </cell>
          <cell r="AD817">
            <v>4.2999999999999997E-2</v>
          </cell>
        </row>
        <row r="818">
          <cell r="E818" t="str">
            <v>CVQ 22sq</v>
          </cell>
          <cell r="F818" t="str">
            <v>ｍ</v>
          </cell>
          <cell r="H818">
            <v>1010</v>
          </cell>
          <cell r="J818">
            <v>1026</v>
          </cell>
          <cell r="L818">
            <v>1026</v>
          </cell>
          <cell r="N818">
            <v>994</v>
          </cell>
          <cell r="P818">
            <v>970</v>
          </cell>
          <cell r="R818">
            <v>1010</v>
          </cell>
          <cell r="T818">
            <v>1010</v>
          </cell>
          <cell r="V818">
            <v>1026</v>
          </cell>
          <cell r="X818">
            <v>994</v>
          </cell>
          <cell r="Z818">
            <v>1026</v>
          </cell>
          <cell r="AD818">
            <v>5.6000000000000001E-2</v>
          </cell>
        </row>
        <row r="819">
          <cell r="E819" t="str">
            <v>CVQ 38sq</v>
          </cell>
          <cell r="F819" t="str">
            <v>ｍ</v>
          </cell>
          <cell r="H819">
            <v>1667</v>
          </cell>
          <cell r="J819">
            <v>1693</v>
          </cell>
          <cell r="L819">
            <v>1693</v>
          </cell>
          <cell r="N819">
            <v>1641</v>
          </cell>
          <cell r="P819">
            <v>1602</v>
          </cell>
          <cell r="R819">
            <v>1667</v>
          </cell>
          <cell r="T819">
            <v>1667</v>
          </cell>
          <cell r="V819">
            <v>1693</v>
          </cell>
          <cell r="X819">
            <v>1641</v>
          </cell>
          <cell r="Z819">
            <v>1693</v>
          </cell>
          <cell r="AD819">
            <v>7.3999999999999996E-2</v>
          </cell>
        </row>
        <row r="820">
          <cell r="E820" t="str">
            <v>CVQ 60sq</v>
          </cell>
          <cell r="F820" t="str">
            <v>ｍ</v>
          </cell>
          <cell r="H820">
            <v>2566</v>
          </cell>
          <cell r="J820">
            <v>2607</v>
          </cell>
          <cell r="L820">
            <v>2607</v>
          </cell>
          <cell r="N820">
            <v>2526</v>
          </cell>
          <cell r="P820">
            <v>2466</v>
          </cell>
          <cell r="R820">
            <v>2566</v>
          </cell>
          <cell r="T820">
            <v>2566</v>
          </cell>
          <cell r="V820">
            <v>2607</v>
          </cell>
          <cell r="X820">
            <v>2526</v>
          </cell>
          <cell r="Z820">
            <v>2607</v>
          </cell>
          <cell r="AD820">
            <v>9.8000000000000004E-2</v>
          </cell>
        </row>
        <row r="821">
          <cell r="E821" t="str">
            <v>CVQ 100sq</v>
          </cell>
          <cell r="F821" t="str">
            <v>ｍ</v>
          </cell>
          <cell r="H821">
            <v>4292</v>
          </cell>
          <cell r="J821">
            <v>4360</v>
          </cell>
          <cell r="L821">
            <v>4360</v>
          </cell>
          <cell r="N821">
            <v>4225</v>
          </cell>
          <cell r="P821">
            <v>4125</v>
          </cell>
          <cell r="R821">
            <v>4292</v>
          </cell>
          <cell r="T821">
            <v>4292</v>
          </cell>
          <cell r="V821">
            <v>4360</v>
          </cell>
          <cell r="X821">
            <v>4225</v>
          </cell>
          <cell r="Z821">
            <v>4360</v>
          </cell>
          <cell r="AD821">
            <v>0.13400000000000001</v>
          </cell>
        </row>
        <row r="822">
          <cell r="E822" t="str">
            <v>CVQ 150sq</v>
          </cell>
          <cell r="F822" t="str">
            <v>ｍ</v>
          </cell>
          <cell r="H822">
            <v>6376</v>
          </cell>
          <cell r="J822">
            <v>6475</v>
          </cell>
          <cell r="L822">
            <v>6475</v>
          </cell>
          <cell r="N822">
            <v>6276</v>
          </cell>
          <cell r="P822">
            <v>6127</v>
          </cell>
          <cell r="R822">
            <v>6376</v>
          </cell>
          <cell r="T822">
            <v>6376</v>
          </cell>
          <cell r="V822">
            <v>6475</v>
          </cell>
          <cell r="X822">
            <v>6276</v>
          </cell>
          <cell r="Z822">
            <v>6475</v>
          </cell>
          <cell r="AD822">
            <v>0.16500000000000001</v>
          </cell>
        </row>
        <row r="823">
          <cell r="E823" t="str">
            <v>CVQ 200sq</v>
          </cell>
          <cell r="F823" t="str">
            <v>ｍ</v>
          </cell>
          <cell r="H823">
            <v>8467</v>
          </cell>
          <cell r="J823">
            <v>8599</v>
          </cell>
          <cell r="L823">
            <v>8599</v>
          </cell>
          <cell r="N823">
            <v>8334</v>
          </cell>
          <cell r="P823">
            <v>8136</v>
          </cell>
          <cell r="R823">
            <v>8467</v>
          </cell>
          <cell r="T823">
            <v>8467</v>
          </cell>
          <cell r="V823">
            <v>8599</v>
          </cell>
          <cell r="X823">
            <v>8334</v>
          </cell>
          <cell r="Z823">
            <v>8599</v>
          </cell>
          <cell r="AD823">
            <v>0.20399999999999999</v>
          </cell>
        </row>
        <row r="824">
          <cell r="E824" t="str">
            <v>CVQ 250sq</v>
          </cell>
          <cell r="F824" t="str">
            <v>ｍ</v>
          </cell>
          <cell r="H824">
            <v>10652</v>
          </cell>
          <cell r="J824">
            <v>10818</v>
          </cell>
          <cell r="L824">
            <v>10818</v>
          </cell>
          <cell r="N824">
            <v>10485</v>
          </cell>
          <cell r="P824">
            <v>10235</v>
          </cell>
          <cell r="R824">
            <v>10652</v>
          </cell>
          <cell r="T824">
            <v>10652</v>
          </cell>
          <cell r="V824">
            <v>10818</v>
          </cell>
          <cell r="X824">
            <v>10485</v>
          </cell>
          <cell r="Z824">
            <v>10818</v>
          </cell>
          <cell r="AD824">
            <v>0.23499999999999999</v>
          </cell>
        </row>
        <row r="825">
          <cell r="E825" t="str">
            <v>CET 14sq</v>
          </cell>
          <cell r="F825" t="str">
            <v>ｍ</v>
          </cell>
          <cell r="H825">
            <v>618</v>
          </cell>
          <cell r="J825">
            <v>628</v>
          </cell>
          <cell r="L825">
            <v>628</v>
          </cell>
          <cell r="N825">
            <v>609</v>
          </cell>
          <cell r="P825">
            <v>594</v>
          </cell>
          <cell r="R825">
            <v>618</v>
          </cell>
          <cell r="T825">
            <v>618</v>
          </cell>
          <cell r="V825">
            <v>628</v>
          </cell>
          <cell r="X825">
            <v>609</v>
          </cell>
          <cell r="Z825">
            <v>628</v>
          </cell>
          <cell r="AD825">
            <v>3.6999999999999998E-2</v>
          </cell>
        </row>
        <row r="826">
          <cell r="E826" t="str">
            <v>CET 22sq</v>
          </cell>
          <cell r="F826" t="str">
            <v>ｍ</v>
          </cell>
          <cell r="H826">
            <v>891</v>
          </cell>
          <cell r="J826">
            <v>905</v>
          </cell>
          <cell r="L826">
            <v>905</v>
          </cell>
          <cell r="N826">
            <v>877</v>
          </cell>
          <cell r="P826">
            <v>856</v>
          </cell>
          <cell r="R826">
            <v>891</v>
          </cell>
          <cell r="T826">
            <v>891</v>
          </cell>
          <cell r="V826">
            <v>905</v>
          </cell>
          <cell r="X826">
            <v>877</v>
          </cell>
          <cell r="Z826">
            <v>905</v>
          </cell>
          <cell r="AD826">
            <v>4.7E-2</v>
          </cell>
        </row>
        <row r="827">
          <cell r="E827" t="str">
            <v>CET 38sq</v>
          </cell>
          <cell r="F827" t="str">
            <v>ｍ</v>
          </cell>
          <cell r="H827">
            <v>1418</v>
          </cell>
          <cell r="J827">
            <v>1440</v>
          </cell>
          <cell r="L827">
            <v>1440</v>
          </cell>
          <cell r="N827">
            <v>1396</v>
          </cell>
          <cell r="P827">
            <v>1363</v>
          </cell>
          <cell r="R827">
            <v>1418</v>
          </cell>
          <cell r="T827">
            <v>1418</v>
          </cell>
          <cell r="V827">
            <v>1440</v>
          </cell>
          <cell r="X827">
            <v>1396</v>
          </cell>
          <cell r="Z827">
            <v>1440</v>
          </cell>
          <cell r="AD827">
            <v>6.2E-2</v>
          </cell>
        </row>
        <row r="828">
          <cell r="E828" t="str">
            <v>CET 60sq</v>
          </cell>
          <cell r="F828" t="str">
            <v>ｍ</v>
          </cell>
          <cell r="H828">
            <v>2121</v>
          </cell>
          <cell r="J828">
            <v>2154</v>
          </cell>
          <cell r="L828">
            <v>2154</v>
          </cell>
          <cell r="N828">
            <v>2088</v>
          </cell>
          <cell r="P828">
            <v>2038</v>
          </cell>
          <cell r="R828">
            <v>2121</v>
          </cell>
          <cell r="T828">
            <v>2121</v>
          </cell>
          <cell r="V828">
            <v>2154</v>
          </cell>
          <cell r="X828">
            <v>2088</v>
          </cell>
          <cell r="Z828">
            <v>2154</v>
          </cell>
          <cell r="AD828">
            <v>8.2000000000000003E-2</v>
          </cell>
        </row>
        <row r="829">
          <cell r="E829" t="str">
            <v>CET100sq</v>
          </cell>
          <cell r="F829" t="str">
            <v>ｍ</v>
          </cell>
          <cell r="H829">
            <v>3538</v>
          </cell>
          <cell r="J829">
            <v>3593</v>
          </cell>
          <cell r="L829">
            <v>3593</v>
          </cell>
          <cell r="N829">
            <v>3483</v>
          </cell>
          <cell r="P829">
            <v>3400</v>
          </cell>
          <cell r="R829">
            <v>3538</v>
          </cell>
          <cell r="T829">
            <v>3538</v>
          </cell>
          <cell r="V829">
            <v>3593</v>
          </cell>
          <cell r="X829">
            <v>3483</v>
          </cell>
          <cell r="Z829">
            <v>3593</v>
          </cell>
          <cell r="AD829">
            <v>0.112</v>
          </cell>
        </row>
        <row r="830">
          <cell r="E830" t="str">
            <v>CET150sq</v>
          </cell>
          <cell r="F830" t="str">
            <v>ｍ</v>
          </cell>
          <cell r="H830">
            <v>5199</v>
          </cell>
          <cell r="J830">
            <v>5280</v>
          </cell>
          <cell r="L830">
            <v>5280</v>
          </cell>
          <cell r="N830">
            <v>5117</v>
          </cell>
          <cell r="P830">
            <v>4996</v>
          </cell>
          <cell r="R830">
            <v>5199</v>
          </cell>
          <cell r="T830">
            <v>5199</v>
          </cell>
          <cell r="V830">
            <v>5280</v>
          </cell>
          <cell r="X830">
            <v>5117</v>
          </cell>
          <cell r="Z830">
            <v>5280</v>
          </cell>
          <cell r="AD830">
            <v>0.13700000000000001</v>
          </cell>
        </row>
        <row r="831">
          <cell r="E831" t="str">
            <v>CET200sq</v>
          </cell>
          <cell r="F831" t="str">
            <v>ｍ</v>
          </cell>
          <cell r="H831">
            <v>6880</v>
          </cell>
          <cell r="J831">
            <v>6988</v>
          </cell>
          <cell r="L831">
            <v>6988</v>
          </cell>
          <cell r="N831">
            <v>6773</v>
          </cell>
          <cell r="P831">
            <v>6611</v>
          </cell>
          <cell r="R831">
            <v>6880</v>
          </cell>
          <cell r="T831">
            <v>6880</v>
          </cell>
          <cell r="V831">
            <v>6988</v>
          </cell>
          <cell r="X831">
            <v>6773</v>
          </cell>
          <cell r="Z831">
            <v>6988</v>
          </cell>
          <cell r="AD831">
            <v>0.17</v>
          </cell>
        </row>
        <row r="832">
          <cell r="E832" t="str">
            <v>CET250sq</v>
          </cell>
          <cell r="F832" t="str">
            <v>ｍ</v>
          </cell>
          <cell r="H832">
            <v>8603</v>
          </cell>
          <cell r="J832">
            <v>8737</v>
          </cell>
          <cell r="L832">
            <v>8737</v>
          </cell>
          <cell r="N832">
            <v>8468</v>
          </cell>
          <cell r="P832">
            <v>8267</v>
          </cell>
          <cell r="R832">
            <v>8603</v>
          </cell>
          <cell r="T832">
            <v>8603</v>
          </cell>
          <cell r="V832">
            <v>8737</v>
          </cell>
          <cell r="X832">
            <v>8468</v>
          </cell>
          <cell r="Z832">
            <v>8737</v>
          </cell>
          <cell r="AD832">
            <v>0.19600000000000001</v>
          </cell>
        </row>
        <row r="833">
          <cell r="E833" t="str">
            <v>CET325sq</v>
          </cell>
          <cell r="F833" t="str">
            <v>ｍ</v>
          </cell>
          <cell r="H833">
            <v>11051</v>
          </cell>
          <cell r="J833">
            <v>11224</v>
          </cell>
          <cell r="L833">
            <v>11224</v>
          </cell>
          <cell r="N833">
            <v>10878</v>
          </cell>
          <cell r="P833">
            <v>10619</v>
          </cell>
          <cell r="R833">
            <v>11051</v>
          </cell>
          <cell r="T833">
            <v>11051</v>
          </cell>
          <cell r="V833">
            <v>11224</v>
          </cell>
          <cell r="X833">
            <v>10878</v>
          </cell>
          <cell r="Z833">
            <v>11224</v>
          </cell>
          <cell r="AD833">
            <v>0.248</v>
          </cell>
        </row>
        <row r="834">
          <cell r="E834" t="str">
            <v>FP 1.2mm-1C</v>
          </cell>
          <cell r="F834" t="str">
            <v>ｍ</v>
          </cell>
          <cell r="H834">
            <v>94.9</v>
          </cell>
          <cell r="J834">
            <v>94.9</v>
          </cell>
          <cell r="L834">
            <v>94.9</v>
          </cell>
          <cell r="N834">
            <v>94.9</v>
          </cell>
          <cell r="P834">
            <v>94.9</v>
          </cell>
          <cell r="R834">
            <v>94.9</v>
          </cell>
          <cell r="T834">
            <v>94.9</v>
          </cell>
          <cell r="V834">
            <v>94.9</v>
          </cell>
          <cell r="X834">
            <v>94.9</v>
          </cell>
          <cell r="Z834">
            <v>94.9</v>
          </cell>
          <cell r="AD834">
            <v>1.2E-2</v>
          </cell>
        </row>
        <row r="835">
          <cell r="E835" t="str">
            <v>FP 1.6mm-1C</v>
          </cell>
          <cell r="F835" t="str">
            <v>ｍ</v>
          </cell>
          <cell r="H835">
            <v>105</v>
          </cell>
          <cell r="J835">
            <v>105</v>
          </cell>
          <cell r="L835">
            <v>105</v>
          </cell>
          <cell r="N835">
            <v>105</v>
          </cell>
          <cell r="P835">
            <v>105</v>
          </cell>
          <cell r="R835">
            <v>105</v>
          </cell>
          <cell r="T835">
            <v>105</v>
          </cell>
          <cell r="V835">
            <v>105</v>
          </cell>
          <cell r="X835">
            <v>105</v>
          </cell>
          <cell r="Z835">
            <v>105</v>
          </cell>
          <cell r="AD835">
            <v>1.2999999999999999E-2</v>
          </cell>
        </row>
        <row r="836">
          <cell r="E836" t="str">
            <v>FP 2.0mm-1C</v>
          </cell>
          <cell r="F836" t="str">
            <v>ｍ</v>
          </cell>
          <cell r="H836">
            <v>137</v>
          </cell>
          <cell r="J836">
            <v>137</v>
          </cell>
          <cell r="L836">
            <v>137</v>
          </cell>
          <cell r="N836">
            <v>137</v>
          </cell>
          <cell r="P836">
            <v>137</v>
          </cell>
          <cell r="R836">
            <v>137</v>
          </cell>
          <cell r="T836">
            <v>137</v>
          </cell>
          <cell r="V836">
            <v>137</v>
          </cell>
          <cell r="X836">
            <v>137</v>
          </cell>
          <cell r="Z836">
            <v>137</v>
          </cell>
          <cell r="AD836">
            <v>1.4999999999999999E-2</v>
          </cell>
        </row>
        <row r="837">
          <cell r="E837" t="str">
            <v>FP 2sq-1C</v>
          </cell>
          <cell r="F837" t="str">
            <v>ｍ</v>
          </cell>
          <cell r="H837">
            <v>125</v>
          </cell>
          <cell r="J837">
            <v>125</v>
          </cell>
          <cell r="L837">
            <v>125</v>
          </cell>
          <cell r="N837">
            <v>125</v>
          </cell>
          <cell r="P837">
            <v>125</v>
          </cell>
          <cell r="R837">
            <v>125</v>
          </cell>
          <cell r="T837">
            <v>125</v>
          </cell>
          <cell r="V837">
            <v>125</v>
          </cell>
          <cell r="X837">
            <v>125</v>
          </cell>
          <cell r="Z837">
            <v>125</v>
          </cell>
          <cell r="AD837">
            <v>1.0999999999999999E-2</v>
          </cell>
        </row>
        <row r="838">
          <cell r="E838" t="str">
            <v>FP 3.5sq-1C</v>
          </cell>
          <cell r="F838" t="str">
            <v>ｍ</v>
          </cell>
          <cell r="H838">
            <v>160</v>
          </cell>
          <cell r="J838">
            <v>160</v>
          </cell>
          <cell r="L838">
            <v>160</v>
          </cell>
          <cell r="N838">
            <v>160</v>
          </cell>
          <cell r="P838">
            <v>160</v>
          </cell>
          <cell r="R838">
            <v>160</v>
          </cell>
          <cell r="T838">
            <v>160</v>
          </cell>
          <cell r="V838">
            <v>160</v>
          </cell>
          <cell r="X838">
            <v>160</v>
          </cell>
          <cell r="Z838">
            <v>160</v>
          </cell>
          <cell r="AD838">
            <v>1.4999999999999999E-2</v>
          </cell>
        </row>
        <row r="839">
          <cell r="E839" t="str">
            <v>FP 5.5sq-1C</v>
          </cell>
          <cell r="F839" t="str">
            <v>ｍ</v>
          </cell>
          <cell r="H839">
            <v>198</v>
          </cell>
          <cell r="J839">
            <v>198</v>
          </cell>
          <cell r="L839">
            <v>198</v>
          </cell>
          <cell r="N839">
            <v>198</v>
          </cell>
          <cell r="P839">
            <v>198</v>
          </cell>
          <cell r="R839">
            <v>198</v>
          </cell>
          <cell r="T839">
            <v>198</v>
          </cell>
          <cell r="V839">
            <v>198</v>
          </cell>
          <cell r="X839">
            <v>198</v>
          </cell>
          <cell r="Z839">
            <v>198</v>
          </cell>
          <cell r="AD839">
            <v>0.19</v>
          </cell>
        </row>
        <row r="840">
          <cell r="E840" t="str">
            <v>FP 8sq-1C</v>
          </cell>
          <cell r="F840" t="str">
            <v>ｍ</v>
          </cell>
          <cell r="H840">
            <v>241</v>
          </cell>
          <cell r="J840">
            <v>241</v>
          </cell>
          <cell r="L840">
            <v>241</v>
          </cell>
          <cell r="N840">
            <v>241</v>
          </cell>
          <cell r="P840">
            <v>241</v>
          </cell>
          <cell r="R840">
            <v>241</v>
          </cell>
          <cell r="T840">
            <v>241</v>
          </cell>
          <cell r="V840">
            <v>241</v>
          </cell>
          <cell r="X840">
            <v>241</v>
          </cell>
          <cell r="Z840">
            <v>241</v>
          </cell>
          <cell r="AD840">
            <v>2.1000000000000001E-2</v>
          </cell>
        </row>
        <row r="841">
          <cell r="E841" t="str">
            <v>FP 14sq-1C</v>
          </cell>
          <cell r="F841" t="str">
            <v>ｍ</v>
          </cell>
          <cell r="H841">
            <v>375</v>
          </cell>
          <cell r="J841">
            <v>375</v>
          </cell>
          <cell r="L841">
            <v>375</v>
          </cell>
          <cell r="N841">
            <v>375</v>
          </cell>
          <cell r="P841">
            <v>375</v>
          </cell>
          <cell r="R841">
            <v>375</v>
          </cell>
          <cell r="T841">
            <v>375</v>
          </cell>
          <cell r="V841">
            <v>375</v>
          </cell>
          <cell r="X841">
            <v>375</v>
          </cell>
          <cell r="Z841">
            <v>375</v>
          </cell>
          <cell r="AD841">
            <v>2.5999999999999999E-2</v>
          </cell>
        </row>
        <row r="842">
          <cell r="E842" t="str">
            <v>FP 22sq-1C</v>
          </cell>
          <cell r="F842" t="str">
            <v>ｍ</v>
          </cell>
          <cell r="H842">
            <v>498</v>
          </cell>
          <cell r="J842">
            <v>498</v>
          </cell>
          <cell r="L842">
            <v>498</v>
          </cell>
          <cell r="N842">
            <v>498</v>
          </cell>
          <cell r="P842">
            <v>498</v>
          </cell>
          <cell r="R842">
            <v>498</v>
          </cell>
          <cell r="T842">
            <v>498</v>
          </cell>
          <cell r="V842">
            <v>498</v>
          </cell>
          <cell r="X842">
            <v>498</v>
          </cell>
          <cell r="Z842">
            <v>498</v>
          </cell>
          <cell r="AD842">
            <v>3.3000000000000002E-2</v>
          </cell>
        </row>
        <row r="843">
          <cell r="E843" t="str">
            <v>FP 38sq-1C</v>
          </cell>
          <cell r="F843" t="str">
            <v>ｍ</v>
          </cell>
          <cell r="H843">
            <v>775</v>
          </cell>
          <cell r="J843">
            <v>775</v>
          </cell>
          <cell r="L843">
            <v>775</v>
          </cell>
          <cell r="N843">
            <v>775</v>
          </cell>
          <cell r="P843">
            <v>775</v>
          </cell>
          <cell r="R843">
            <v>775</v>
          </cell>
          <cell r="T843">
            <v>775</v>
          </cell>
          <cell r="V843">
            <v>775</v>
          </cell>
          <cell r="X843">
            <v>775</v>
          </cell>
          <cell r="Z843">
            <v>775</v>
          </cell>
          <cell r="AD843">
            <v>4.4999999999999998E-2</v>
          </cell>
        </row>
        <row r="844">
          <cell r="E844" t="str">
            <v>FP 60sq-1C</v>
          </cell>
          <cell r="F844" t="str">
            <v>ｍ</v>
          </cell>
          <cell r="H844">
            <v>1202</v>
          </cell>
          <cell r="J844">
            <v>1202</v>
          </cell>
          <cell r="L844">
            <v>1202</v>
          </cell>
          <cell r="N844">
            <v>1202</v>
          </cell>
          <cell r="P844">
            <v>1202</v>
          </cell>
          <cell r="R844">
            <v>1202</v>
          </cell>
          <cell r="T844">
            <v>1202</v>
          </cell>
          <cell r="V844">
            <v>1202</v>
          </cell>
          <cell r="X844">
            <v>1202</v>
          </cell>
          <cell r="Z844">
            <v>1202</v>
          </cell>
          <cell r="AD844">
            <v>5.8000000000000003E-2</v>
          </cell>
        </row>
        <row r="845">
          <cell r="E845" t="str">
            <v>FP 100sq-1C</v>
          </cell>
          <cell r="F845" t="str">
            <v>ｍ</v>
          </cell>
          <cell r="H845">
            <v>1796</v>
          </cell>
          <cell r="J845">
            <v>1796</v>
          </cell>
          <cell r="L845">
            <v>1796</v>
          </cell>
          <cell r="N845">
            <v>1796</v>
          </cell>
          <cell r="P845">
            <v>1796</v>
          </cell>
          <cell r="R845">
            <v>1796</v>
          </cell>
          <cell r="T845">
            <v>1796</v>
          </cell>
          <cell r="V845">
            <v>1796</v>
          </cell>
          <cell r="X845">
            <v>1796</v>
          </cell>
          <cell r="Z845">
            <v>1796</v>
          </cell>
          <cell r="AD845">
            <v>0.08</v>
          </cell>
        </row>
        <row r="846">
          <cell r="E846" t="str">
            <v>FP 150sq-1C</v>
          </cell>
          <cell r="F846" t="str">
            <v>ｍ</v>
          </cell>
          <cell r="H846">
            <v>2502</v>
          </cell>
          <cell r="J846">
            <v>2502</v>
          </cell>
          <cell r="L846">
            <v>2502</v>
          </cell>
          <cell r="N846">
            <v>2502</v>
          </cell>
          <cell r="P846">
            <v>2502</v>
          </cell>
          <cell r="R846">
            <v>2502</v>
          </cell>
          <cell r="T846">
            <v>2502</v>
          </cell>
          <cell r="V846">
            <v>2502</v>
          </cell>
          <cell r="X846">
            <v>2502</v>
          </cell>
          <cell r="Z846">
            <v>2502</v>
          </cell>
          <cell r="AD846">
            <v>9.9000000000000005E-2</v>
          </cell>
        </row>
        <row r="847">
          <cell r="E847" t="str">
            <v>FP 200sq-1C</v>
          </cell>
          <cell r="F847" t="str">
            <v>ｍ</v>
          </cell>
          <cell r="H847">
            <v>3083</v>
          </cell>
          <cell r="J847">
            <v>3083</v>
          </cell>
          <cell r="L847">
            <v>3083</v>
          </cell>
          <cell r="N847">
            <v>3083</v>
          </cell>
          <cell r="P847">
            <v>3083</v>
          </cell>
          <cell r="R847">
            <v>3083</v>
          </cell>
          <cell r="T847">
            <v>3083</v>
          </cell>
          <cell r="V847">
            <v>3083</v>
          </cell>
          <cell r="X847">
            <v>3083</v>
          </cell>
          <cell r="Z847">
            <v>3083</v>
          </cell>
          <cell r="AD847">
            <v>0.122</v>
          </cell>
        </row>
        <row r="848">
          <cell r="E848" t="str">
            <v>FP 250sq-1C</v>
          </cell>
          <cell r="F848" t="str">
            <v>ｍ</v>
          </cell>
          <cell r="H848">
            <v>4096</v>
          </cell>
          <cell r="J848">
            <v>4096</v>
          </cell>
          <cell r="L848">
            <v>4096</v>
          </cell>
          <cell r="N848">
            <v>4096</v>
          </cell>
          <cell r="P848">
            <v>4096</v>
          </cell>
          <cell r="R848">
            <v>4096</v>
          </cell>
          <cell r="T848">
            <v>4096</v>
          </cell>
          <cell r="V848">
            <v>4096</v>
          </cell>
          <cell r="X848">
            <v>4096</v>
          </cell>
          <cell r="Z848">
            <v>4096</v>
          </cell>
          <cell r="AD848">
            <v>0.15</v>
          </cell>
        </row>
        <row r="849">
          <cell r="E849" t="str">
            <v>FP 325sq-1C</v>
          </cell>
          <cell r="F849" t="str">
            <v>ｍ</v>
          </cell>
          <cell r="H849">
            <v>4941</v>
          </cell>
          <cell r="J849">
            <v>4941</v>
          </cell>
          <cell r="L849">
            <v>4941</v>
          </cell>
          <cell r="N849">
            <v>4941</v>
          </cell>
          <cell r="P849">
            <v>4941</v>
          </cell>
          <cell r="R849">
            <v>4941</v>
          </cell>
          <cell r="T849">
            <v>4941</v>
          </cell>
          <cell r="V849">
            <v>4941</v>
          </cell>
          <cell r="X849">
            <v>4941</v>
          </cell>
          <cell r="Z849">
            <v>4941</v>
          </cell>
          <cell r="AD849">
            <v>0.19500000000000001</v>
          </cell>
        </row>
        <row r="850">
          <cell r="E850" t="str">
            <v>FP 1.2mm-2C</v>
          </cell>
          <cell r="F850" t="str">
            <v>ｍ</v>
          </cell>
          <cell r="H850">
            <v>182</v>
          </cell>
          <cell r="J850">
            <v>182</v>
          </cell>
          <cell r="L850">
            <v>182</v>
          </cell>
          <cell r="N850">
            <v>182</v>
          </cell>
          <cell r="P850">
            <v>182</v>
          </cell>
          <cell r="R850">
            <v>182</v>
          </cell>
          <cell r="T850">
            <v>182</v>
          </cell>
          <cell r="V850">
            <v>182</v>
          </cell>
          <cell r="X850">
            <v>182</v>
          </cell>
          <cell r="Z850">
            <v>182</v>
          </cell>
          <cell r="AD850">
            <v>1.4999999999999999E-2</v>
          </cell>
        </row>
        <row r="851">
          <cell r="E851" t="str">
            <v>FP 1.6mm-2C</v>
          </cell>
          <cell r="F851" t="str">
            <v>ｍ</v>
          </cell>
          <cell r="H851">
            <v>206</v>
          </cell>
          <cell r="J851">
            <v>206</v>
          </cell>
          <cell r="L851">
            <v>206</v>
          </cell>
          <cell r="N851">
            <v>206</v>
          </cell>
          <cell r="P851">
            <v>206</v>
          </cell>
          <cell r="R851">
            <v>206</v>
          </cell>
          <cell r="T851">
            <v>206</v>
          </cell>
          <cell r="V851">
            <v>206</v>
          </cell>
          <cell r="X851">
            <v>206</v>
          </cell>
          <cell r="Z851">
            <v>206</v>
          </cell>
          <cell r="AD851">
            <v>1.7000000000000001E-2</v>
          </cell>
        </row>
        <row r="852">
          <cell r="E852" t="str">
            <v>FP 2.0mm-2C</v>
          </cell>
          <cell r="F852" t="str">
            <v>ｍ</v>
          </cell>
          <cell r="H852">
            <v>254</v>
          </cell>
          <cell r="J852">
            <v>254</v>
          </cell>
          <cell r="L852">
            <v>254</v>
          </cell>
          <cell r="N852">
            <v>254</v>
          </cell>
          <cell r="P852">
            <v>254</v>
          </cell>
          <cell r="R852">
            <v>254</v>
          </cell>
          <cell r="T852">
            <v>254</v>
          </cell>
          <cell r="V852">
            <v>254</v>
          </cell>
          <cell r="X852">
            <v>254</v>
          </cell>
          <cell r="Z852">
            <v>254</v>
          </cell>
          <cell r="AD852">
            <v>0.02</v>
          </cell>
        </row>
        <row r="853">
          <cell r="E853" t="str">
            <v>FP 2.6mm-2C</v>
          </cell>
          <cell r="F853" t="str">
            <v>ｍ</v>
          </cell>
          <cell r="H853">
            <v>366</v>
          </cell>
          <cell r="J853">
            <v>366</v>
          </cell>
          <cell r="L853">
            <v>366</v>
          </cell>
          <cell r="N853">
            <v>366</v>
          </cell>
          <cell r="P853">
            <v>366</v>
          </cell>
          <cell r="R853">
            <v>366</v>
          </cell>
          <cell r="T853">
            <v>366</v>
          </cell>
          <cell r="V853">
            <v>366</v>
          </cell>
          <cell r="X853">
            <v>366</v>
          </cell>
          <cell r="Z853">
            <v>366</v>
          </cell>
          <cell r="AD853">
            <v>2.5000000000000001E-2</v>
          </cell>
        </row>
        <row r="854">
          <cell r="E854" t="str">
            <v>FP 2sq-2C</v>
          </cell>
          <cell r="F854" t="str">
            <v>ｍ</v>
          </cell>
          <cell r="H854">
            <v>225</v>
          </cell>
          <cell r="J854">
            <v>225</v>
          </cell>
          <cell r="L854">
            <v>225</v>
          </cell>
          <cell r="N854">
            <v>225</v>
          </cell>
          <cell r="P854">
            <v>225</v>
          </cell>
          <cell r="R854">
            <v>225</v>
          </cell>
          <cell r="T854">
            <v>225</v>
          </cell>
          <cell r="V854">
            <v>225</v>
          </cell>
          <cell r="X854">
            <v>225</v>
          </cell>
          <cell r="Z854">
            <v>225</v>
          </cell>
          <cell r="AD854">
            <v>1.7000000000000001E-2</v>
          </cell>
        </row>
        <row r="855">
          <cell r="E855" t="str">
            <v>FP 3.5sq-2C</v>
          </cell>
          <cell r="F855" t="str">
            <v>ｍ</v>
          </cell>
          <cell r="H855">
            <v>259</v>
          </cell>
          <cell r="J855">
            <v>259</v>
          </cell>
          <cell r="L855">
            <v>259</v>
          </cell>
          <cell r="N855">
            <v>259</v>
          </cell>
          <cell r="P855">
            <v>259</v>
          </cell>
          <cell r="R855">
            <v>259</v>
          </cell>
          <cell r="T855">
            <v>259</v>
          </cell>
          <cell r="V855">
            <v>259</v>
          </cell>
          <cell r="X855">
            <v>259</v>
          </cell>
          <cell r="Z855">
            <v>259</v>
          </cell>
          <cell r="AD855">
            <v>0.02</v>
          </cell>
        </row>
        <row r="856">
          <cell r="E856" t="str">
            <v>FP 5.5sq-2C</v>
          </cell>
          <cell r="F856" t="str">
            <v>ｍ</v>
          </cell>
          <cell r="H856">
            <v>329</v>
          </cell>
          <cell r="J856">
            <v>329</v>
          </cell>
          <cell r="L856">
            <v>329</v>
          </cell>
          <cell r="N856">
            <v>329</v>
          </cell>
          <cell r="P856">
            <v>329</v>
          </cell>
          <cell r="R856">
            <v>329</v>
          </cell>
          <cell r="T856">
            <v>329</v>
          </cell>
          <cell r="V856">
            <v>329</v>
          </cell>
          <cell r="X856">
            <v>329</v>
          </cell>
          <cell r="Z856">
            <v>329</v>
          </cell>
          <cell r="AD856">
            <v>2.5000000000000001E-2</v>
          </cell>
        </row>
        <row r="857">
          <cell r="E857" t="str">
            <v>FP 8sq-2C</v>
          </cell>
          <cell r="F857" t="str">
            <v>ｍ</v>
          </cell>
          <cell r="H857">
            <v>492</v>
          </cell>
          <cell r="J857">
            <v>492</v>
          </cell>
          <cell r="L857">
            <v>492</v>
          </cell>
          <cell r="N857">
            <v>492</v>
          </cell>
          <cell r="P857">
            <v>492</v>
          </cell>
          <cell r="R857">
            <v>492</v>
          </cell>
          <cell r="T857">
            <v>492</v>
          </cell>
          <cell r="V857">
            <v>492</v>
          </cell>
          <cell r="X857">
            <v>492</v>
          </cell>
          <cell r="Z857">
            <v>492</v>
          </cell>
          <cell r="AD857">
            <v>2.7E-2</v>
          </cell>
        </row>
        <row r="858">
          <cell r="E858" t="str">
            <v>FP 14sq-2C</v>
          </cell>
          <cell r="F858" t="str">
            <v>ｍ</v>
          </cell>
          <cell r="H858">
            <v>725</v>
          </cell>
          <cell r="J858">
            <v>725</v>
          </cell>
          <cell r="L858">
            <v>725</v>
          </cell>
          <cell r="N858">
            <v>725</v>
          </cell>
          <cell r="P858">
            <v>725</v>
          </cell>
          <cell r="R858">
            <v>725</v>
          </cell>
          <cell r="T858">
            <v>725</v>
          </cell>
          <cell r="V858">
            <v>725</v>
          </cell>
          <cell r="X858">
            <v>725</v>
          </cell>
          <cell r="Z858">
            <v>725</v>
          </cell>
          <cell r="AD858">
            <v>3.5000000000000003E-2</v>
          </cell>
        </row>
        <row r="859">
          <cell r="E859" t="str">
            <v>FP 22sq-2C</v>
          </cell>
          <cell r="F859" t="str">
            <v>ｍ</v>
          </cell>
          <cell r="H859">
            <v>1005</v>
          </cell>
          <cell r="J859">
            <v>1005</v>
          </cell>
          <cell r="L859">
            <v>1005</v>
          </cell>
          <cell r="N859">
            <v>1005</v>
          </cell>
          <cell r="P859">
            <v>1005</v>
          </cell>
          <cell r="R859">
            <v>1005</v>
          </cell>
          <cell r="T859">
            <v>1005</v>
          </cell>
          <cell r="V859">
            <v>1005</v>
          </cell>
          <cell r="X859">
            <v>1005</v>
          </cell>
          <cell r="Z859">
            <v>1005</v>
          </cell>
          <cell r="AD859">
            <v>4.4999999999999998E-2</v>
          </cell>
        </row>
        <row r="860">
          <cell r="E860" t="str">
            <v>FP 38sq-2C</v>
          </cell>
          <cell r="F860" t="str">
            <v>ｍ</v>
          </cell>
          <cell r="H860">
            <v>1529</v>
          </cell>
          <cell r="J860">
            <v>1529</v>
          </cell>
          <cell r="L860">
            <v>1529</v>
          </cell>
          <cell r="N860">
            <v>1529</v>
          </cell>
          <cell r="P860">
            <v>1529</v>
          </cell>
          <cell r="R860">
            <v>1529</v>
          </cell>
          <cell r="T860">
            <v>1529</v>
          </cell>
          <cell r="V860">
            <v>1529</v>
          </cell>
          <cell r="X860">
            <v>1529</v>
          </cell>
          <cell r="Z860">
            <v>1529</v>
          </cell>
          <cell r="AD860">
            <v>5.8999999999999997E-2</v>
          </cell>
        </row>
        <row r="861">
          <cell r="E861" t="str">
            <v>FP 60sq-2C</v>
          </cell>
          <cell r="F861" t="str">
            <v>ｍ</v>
          </cell>
          <cell r="H861">
            <v>2390</v>
          </cell>
          <cell r="J861">
            <v>2390</v>
          </cell>
          <cell r="L861">
            <v>2390</v>
          </cell>
          <cell r="N861">
            <v>2390</v>
          </cell>
          <cell r="P861">
            <v>2390</v>
          </cell>
          <cell r="R861">
            <v>2390</v>
          </cell>
          <cell r="T861">
            <v>2390</v>
          </cell>
          <cell r="V861">
            <v>2390</v>
          </cell>
          <cell r="X861">
            <v>2390</v>
          </cell>
          <cell r="Z861">
            <v>2390</v>
          </cell>
          <cell r="AD861">
            <v>7.8E-2</v>
          </cell>
        </row>
        <row r="862">
          <cell r="E862" t="str">
            <v>FP 100sq-2C</v>
          </cell>
          <cell r="F862" t="str">
            <v>ｍ</v>
          </cell>
          <cell r="H862">
            <v>3654</v>
          </cell>
          <cell r="J862">
            <v>3654</v>
          </cell>
          <cell r="L862">
            <v>3654</v>
          </cell>
          <cell r="N862">
            <v>3654</v>
          </cell>
          <cell r="P862">
            <v>3654</v>
          </cell>
          <cell r="R862">
            <v>3654</v>
          </cell>
          <cell r="T862">
            <v>3654</v>
          </cell>
          <cell r="V862">
            <v>3654</v>
          </cell>
          <cell r="X862">
            <v>3654</v>
          </cell>
          <cell r="Z862">
            <v>3654</v>
          </cell>
          <cell r="AD862">
            <v>0.108</v>
          </cell>
        </row>
        <row r="863">
          <cell r="E863" t="str">
            <v>FP 150sq-2C</v>
          </cell>
          <cell r="F863" t="str">
            <v>ｍ</v>
          </cell>
          <cell r="H863">
            <v>5586</v>
          </cell>
          <cell r="J863">
            <v>5586</v>
          </cell>
          <cell r="L863">
            <v>5586</v>
          </cell>
          <cell r="N863">
            <v>5586</v>
          </cell>
          <cell r="P863">
            <v>5586</v>
          </cell>
          <cell r="R863">
            <v>5586</v>
          </cell>
          <cell r="T863">
            <v>5586</v>
          </cell>
          <cell r="V863">
            <v>5586</v>
          </cell>
          <cell r="X863">
            <v>5586</v>
          </cell>
          <cell r="Z863">
            <v>5586</v>
          </cell>
          <cell r="AD863">
            <v>0.13100000000000001</v>
          </cell>
        </row>
        <row r="864">
          <cell r="E864" t="str">
            <v>FP 200sq-2C</v>
          </cell>
          <cell r="F864" t="str">
            <v>ｍ</v>
          </cell>
          <cell r="H864">
            <v>6870</v>
          </cell>
          <cell r="J864">
            <v>6870</v>
          </cell>
          <cell r="L864">
            <v>6870</v>
          </cell>
          <cell r="N864">
            <v>6870</v>
          </cell>
          <cell r="P864">
            <v>6870</v>
          </cell>
          <cell r="R864">
            <v>6870</v>
          </cell>
          <cell r="T864">
            <v>6870</v>
          </cell>
          <cell r="V864">
            <v>6870</v>
          </cell>
          <cell r="X864">
            <v>6870</v>
          </cell>
          <cell r="Z864">
            <v>6870</v>
          </cell>
          <cell r="AD864">
            <v>0.16300000000000001</v>
          </cell>
        </row>
        <row r="865">
          <cell r="E865" t="str">
            <v>FP 250sq-2C</v>
          </cell>
          <cell r="F865" t="str">
            <v>ｍ</v>
          </cell>
          <cell r="H865">
            <v>9076</v>
          </cell>
          <cell r="J865">
            <v>9076</v>
          </cell>
          <cell r="L865">
            <v>9076</v>
          </cell>
          <cell r="N865">
            <v>9076</v>
          </cell>
          <cell r="P865">
            <v>9076</v>
          </cell>
          <cell r="R865">
            <v>9076</v>
          </cell>
          <cell r="T865">
            <v>9076</v>
          </cell>
          <cell r="V865">
            <v>9076</v>
          </cell>
          <cell r="X865">
            <v>9076</v>
          </cell>
          <cell r="Z865">
            <v>9076</v>
          </cell>
          <cell r="AD865">
            <v>0.20300000000000001</v>
          </cell>
        </row>
        <row r="866">
          <cell r="E866" t="str">
            <v>FP 325sq-2C</v>
          </cell>
          <cell r="F866" t="str">
            <v>ｍ</v>
          </cell>
          <cell r="H866">
            <v>10874</v>
          </cell>
          <cell r="J866">
            <v>10874</v>
          </cell>
          <cell r="L866">
            <v>10874</v>
          </cell>
          <cell r="N866">
            <v>10874</v>
          </cell>
          <cell r="P866">
            <v>10874</v>
          </cell>
          <cell r="R866">
            <v>10874</v>
          </cell>
          <cell r="T866">
            <v>10874</v>
          </cell>
          <cell r="V866">
            <v>10874</v>
          </cell>
          <cell r="X866">
            <v>10874</v>
          </cell>
          <cell r="Z866">
            <v>10874</v>
          </cell>
          <cell r="AD866">
            <v>0.26300000000000001</v>
          </cell>
        </row>
        <row r="867">
          <cell r="E867" t="str">
            <v>FP 1.2mm-3C</v>
          </cell>
          <cell r="F867" t="str">
            <v>ｍ</v>
          </cell>
          <cell r="H867">
            <v>253</v>
          </cell>
          <cell r="J867">
            <v>253</v>
          </cell>
          <cell r="L867">
            <v>253</v>
          </cell>
          <cell r="N867">
            <v>253</v>
          </cell>
          <cell r="P867">
            <v>253</v>
          </cell>
          <cell r="R867">
            <v>253</v>
          </cell>
          <cell r="T867">
            <v>253</v>
          </cell>
          <cell r="V867">
            <v>253</v>
          </cell>
          <cell r="X867">
            <v>253</v>
          </cell>
          <cell r="Z867">
            <v>253</v>
          </cell>
          <cell r="AD867">
            <v>1.7000000000000001E-2</v>
          </cell>
        </row>
        <row r="868">
          <cell r="E868" t="str">
            <v>FP 1.6mm-3C</v>
          </cell>
          <cell r="F868" t="str">
            <v>ｍ</v>
          </cell>
          <cell r="H868">
            <v>299</v>
          </cell>
          <cell r="J868">
            <v>299</v>
          </cell>
          <cell r="L868">
            <v>299</v>
          </cell>
          <cell r="N868">
            <v>299</v>
          </cell>
          <cell r="P868">
            <v>299</v>
          </cell>
          <cell r="R868">
            <v>299</v>
          </cell>
          <cell r="T868">
            <v>299</v>
          </cell>
          <cell r="V868">
            <v>299</v>
          </cell>
          <cell r="X868">
            <v>299</v>
          </cell>
          <cell r="Z868">
            <v>299</v>
          </cell>
          <cell r="AD868">
            <v>0.02</v>
          </cell>
        </row>
        <row r="869">
          <cell r="E869" t="str">
            <v>FP 2.0mm-3C</v>
          </cell>
          <cell r="F869" t="str">
            <v>ｍ</v>
          </cell>
          <cell r="H869">
            <v>364</v>
          </cell>
          <cell r="J869">
            <v>364</v>
          </cell>
          <cell r="L869">
            <v>364</v>
          </cell>
          <cell r="N869">
            <v>364</v>
          </cell>
          <cell r="P869">
            <v>364</v>
          </cell>
          <cell r="R869">
            <v>364</v>
          </cell>
          <cell r="T869">
            <v>364</v>
          </cell>
          <cell r="V869">
            <v>364</v>
          </cell>
          <cell r="X869">
            <v>364</v>
          </cell>
          <cell r="Z869">
            <v>364</v>
          </cell>
          <cell r="AD869">
            <v>2.4E-2</v>
          </cell>
        </row>
        <row r="870">
          <cell r="E870" t="str">
            <v>FP 2.6mm-3C</v>
          </cell>
          <cell r="F870" t="str">
            <v>ｍ</v>
          </cell>
          <cell r="H870">
            <v>531</v>
          </cell>
          <cell r="J870">
            <v>531</v>
          </cell>
          <cell r="L870">
            <v>531</v>
          </cell>
          <cell r="N870">
            <v>531</v>
          </cell>
          <cell r="P870">
            <v>531</v>
          </cell>
          <cell r="R870">
            <v>531</v>
          </cell>
          <cell r="T870">
            <v>531</v>
          </cell>
          <cell r="V870">
            <v>531</v>
          </cell>
          <cell r="X870">
            <v>531</v>
          </cell>
          <cell r="Z870">
            <v>531</v>
          </cell>
          <cell r="AD870">
            <v>0.03</v>
          </cell>
        </row>
        <row r="871">
          <cell r="E871" t="str">
            <v>FP 2sq-3C</v>
          </cell>
          <cell r="F871" t="str">
            <v>ｍ</v>
          </cell>
          <cell r="H871">
            <v>327</v>
          </cell>
          <cell r="J871">
            <v>327</v>
          </cell>
          <cell r="L871">
            <v>327</v>
          </cell>
          <cell r="N871">
            <v>327</v>
          </cell>
          <cell r="P871">
            <v>327</v>
          </cell>
          <cell r="R871">
            <v>327</v>
          </cell>
          <cell r="T871">
            <v>327</v>
          </cell>
          <cell r="V871">
            <v>327</v>
          </cell>
          <cell r="X871">
            <v>327</v>
          </cell>
          <cell r="Z871">
            <v>327</v>
          </cell>
          <cell r="AD871">
            <v>0.02</v>
          </cell>
        </row>
        <row r="872">
          <cell r="E872" t="str">
            <v>FP 3.5sq-3C</v>
          </cell>
          <cell r="F872" t="str">
            <v>ｍ</v>
          </cell>
          <cell r="H872">
            <v>384</v>
          </cell>
          <cell r="J872">
            <v>384</v>
          </cell>
          <cell r="L872">
            <v>384</v>
          </cell>
          <cell r="N872">
            <v>384</v>
          </cell>
          <cell r="P872">
            <v>384</v>
          </cell>
          <cell r="R872">
            <v>384</v>
          </cell>
          <cell r="T872">
            <v>384</v>
          </cell>
          <cell r="V872">
            <v>384</v>
          </cell>
          <cell r="X872">
            <v>384</v>
          </cell>
          <cell r="Z872">
            <v>384</v>
          </cell>
          <cell r="AD872">
            <v>2.4E-2</v>
          </cell>
        </row>
        <row r="873">
          <cell r="E873" t="str">
            <v>FP 5.5sq-3C</v>
          </cell>
          <cell r="F873" t="str">
            <v>ｍ</v>
          </cell>
          <cell r="H873">
            <v>526</v>
          </cell>
          <cell r="J873">
            <v>526</v>
          </cell>
          <cell r="L873">
            <v>526</v>
          </cell>
          <cell r="N873">
            <v>526</v>
          </cell>
          <cell r="P873">
            <v>526</v>
          </cell>
          <cell r="R873">
            <v>526</v>
          </cell>
          <cell r="T873">
            <v>526</v>
          </cell>
          <cell r="V873">
            <v>526</v>
          </cell>
          <cell r="X873">
            <v>526</v>
          </cell>
          <cell r="Z873">
            <v>526</v>
          </cell>
          <cell r="AD873">
            <v>0.03</v>
          </cell>
        </row>
        <row r="874">
          <cell r="E874" t="str">
            <v>FP 8sq-3C</v>
          </cell>
          <cell r="F874" t="str">
            <v>ｍ</v>
          </cell>
          <cell r="H874">
            <v>670</v>
          </cell>
          <cell r="J874">
            <v>670</v>
          </cell>
          <cell r="L874">
            <v>670</v>
          </cell>
          <cell r="N874">
            <v>670</v>
          </cell>
          <cell r="P874">
            <v>670</v>
          </cell>
          <cell r="R874">
            <v>670</v>
          </cell>
          <cell r="T874">
            <v>670</v>
          </cell>
          <cell r="V874">
            <v>670</v>
          </cell>
          <cell r="X874">
            <v>670</v>
          </cell>
          <cell r="Z874">
            <v>670</v>
          </cell>
          <cell r="AD874">
            <v>3.5000000000000003E-2</v>
          </cell>
        </row>
        <row r="875">
          <cell r="E875" t="str">
            <v>FP 14sq-3C</v>
          </cell>
          <cell r="F875" t="str">
            <v>ｍ</v>
          </cell>
          <cell r="H875">
            <v>1006</v>
          </cell>
          <cell r="J875">
            <v>1006</v>
          </cell>
          <cell r="L875">
            <v>1006</v>
          </cell>
          <cell r="N875">
            <v>1006</v>
          </cell>
          <cell r="P875">
            <v>1006</v>
          </cell>
          <cell r="R875">
            <v>1006</v>
          </cell>
          <cell r="T875">
            <v>1006</v>
          </cell>
          <cell r="V875">
            <v>1006</v>
          </cell>
          <cell r="X875">
            <v>1006</v>
          </cell>
          <cell r="Z875">
            <v>1006</v>
          </cell>
          <cell r="AD875">
            <v>4.2999999999999997E-2</v>
          </cell>
        </row>
        <row r="876">
          <cell r="E876" t="str">
            <v>FP 22sq-3C</v>
          </cell>
          <cell r="F876" t="str">
            <v>ｍ</v>
          </cell>
          <cell r="H876">
            <v>1409</v>
          </cell>
          <cell r="J876">
            <v>1409</v>
          </cell>
          <cell r="L876">
            <v>1409</v>
          </cell>
          <cell r="N876">
            <v>1409</v>
          </cell>
          <cell r="P876">
            <v>1409</v>
          </cell>
          <cell r="R876">
            <v>1409</v>
          </cell>
          <cell r="T876">
            <v>1409</v>
          </cell>
          <cell r="V876">
            <v>1409</v>
          </cell>
          <cell r="X876">
            <v>1409</v>
          </cell>
          <cell r="Z876">
            <v>1409</v>
          </cell>
          <cell r="AD876">
            <v>5.6000000000000001E-2</v>
          </cell>
        </row>
        <row r="877">
          <cell r="E877" t="str">
            <v>FP 38sq-3C</v>
          </cell>
          <cell r="F877" t="str">
            <v>ｍ</v>
          </cell>
          <cell r="H877">
            <v>2208</v>
          </cell>
          <cell r="J877">
            <v>2208</v>
          </cell>
          <cell r="L877">
            <v>2208</v>
          </cell>
          <cell r="N877">
            <v>2208</v>
          </cell>
          <cell r="P877">
            <v>2208</v>
          </cell>
          <cell r="R877">
            <v>2208</v>
          </cell>
          <cell r="T877">
            <v>2208</v>
          </cell>
          <cell r="V877">
            <v>2208</v>
          </cell>
          <cell r="X877">
            <v>2208</v>
          </cell>
          <cell r="Z877">
            <v>2208</v>
          </cell>
          <cell r="AD877">
            <v>7.3999999999999996E-2</v>
          </cell>
        </row>
        <row r="878">
          <cell r="E878" t="str">
            <v>FP 60sq-3C</v>
          </cell>
          <cell r="F878" t="str">
            <v>ｍ</v>
          </cell>
          <cell r="H878">
            <v>3416</v>
          </cell>
          <cell r="J878">
            <v>3416</v>
          </cell>
          <cell r="L878">
            <v>3416</v>
          </cell>
          <cell r="N878">
            <v>3416</v>
          </cell>
          <cell r="P878">
            <v>3416</v>
          </cell>
          <cell r="R878">
            <v>3416</v>
          </cell>
          <cell r="T878">
            <v>3416</v>
          </cell>
          <cell r="V878">
            <v>3416</v>
          </cell>
          <cell r="X878">
            <v>3416</v>
          </cell>
          <cell r="Z878">
            <v>3416</v>
          </cell>
          <cell r="AD878">
            <v>9.8000000000000004E-2</v>
          </cell>
        </row>
        <row r="879">
          <cell r="E879" t="str">
            <v>FP 100sq-3C</v>
          </cell>
          <cell r="F879" t="str">
            <v>ｍ</v>
          </cell>
          <cell r="H879">
            <v>5097</v>
          </cell>
          <cell r="J879">
            <v>5097</v>
          </cell>
          <cell r="L879">
            <v>5097</v>
          </cell>
          <cell r="N879">
            <v>5097</v>
          </cell>
          <cell r="P879">
            <v>5097</v>
          </cell>
          <cell r="R879">
            <v>5097</v>
          </cell>
          <cell r="T879">
            <v>5097</v>
          </cell>
          <cell r="V879">
            <v>5097</v>
          </cell>
          <cell r="X879">
            <v>5097</v>
          </cell>
          <cell r="Z879">
            <v>5097</v>
          </cell>
          <cell r="AD879">
            <v>0.13400000000000001</v>
          </cell>
        </row>
        <row r="880">
          <cell r="E880" t="str">
            <v>FP 150sq-3C</v>
          </cell>
          <cell r="F880" t="str">
            <v>ｍ</v>
          </cell>
          <cell r="H880">
            <v>7692</v>
          </cell>
          <cell r="J880">
            <v>7692</v>
          </cell>
          <cell r="L880">
            <v>7692</v>
          </cell>
          <cell r="N880">
            <v>7692</v>
          </cell>
          <cell r="P880">
            <v>7692</v>
          </cell>
          <cell r="R880">
            <v>7692</v>
          </cell>
          <cell r="T880">
            <v>7692</v>
          </cell>
          <cell r="V880">
            <v>7692</v>
          </cell>
          <cell r="X880">
            <v>7692</v>
          </cell>
          <cell r="Z880">
            <v>7692</v>
          </cell>
          <cell r="AD880">
            <v>0.16500000000000001</v>
          </cell>
        </row>
        <row r="881">
          <cell r="E881" t="str">
            <v>FP 200sq-3C</v>
          </cell>
          <cell r="F881" t="str">
            <v>ｍ</v>
          </cell>
          <cell r="H881">
            <v>9591</v>
          </cell>
          <cell r="J881">
            <v>9591</v>
          </cell>
          <cell r="L881">
            <v>9591</v>
          </cell>
          <cell r="N881">
            <v>9591</v>
          </cell>
          <cell r="P881">
            <v>9591</v>
          </cell>
          <cell r="R881">
            <v>9591</v>
          </cell>
          <cell r="T881">
            <v>9591</v>
          </cell>
          <cell r="V881">
            <v>9591</v>
          </cell>
          <cell r="X881">
            <v>9591</v>
          </cell>
          <cell r="Z881">
            <v>9591</v>
          </cell>
          <cell r="AD881">
            <v>0.20399999999999999</v>
          </cell>
        </row>
        <row r="882">
          <cell r="E882" t="str">
            <v>FP 250sq-3C</v>
          </cell>
          <cell r="F882" t="str">
            <v>ｍ</v>
          </cell>
          <cell r="H882">
            <v>12478</v>
          </cell>
          <cell r="J882">
            <v>12478</v>
          </cell>
          <cell r="L882">
            <v>12478</v>
          </cell>
          <cell r="N882">
            <v>12478</v>
          </cell>
          <cell r="P882">
            <v>12478</v>
          </cell>
          <cell r="R882">
            <v>12478</v>
          </cell>
          <cell r="T882">
            <v>12478</v>
          </cell>
          <cell r="V882">
            <v>12478</v>
          </cell>
          <cell r="X882">
            <v>12478</v>
          </cell>
          <cell r="Z882">
            <v>12478</v>
          </cell>
          <cell r="AD882">
            <v>0.255</v>
          </cell>
        </row>
        <row r="883">
          <cell r="E883" t="str">
            <v>FP 325sq-3C</v>
          </cell>
          <cell r="F883" t="str">
            <v>ｍ</v>
          </cell>
          <cell r="H883">
            <v>15203</v>
          </cell>
          <cell r="J883">
            <v>15203</v>
          </cell>
          <cell r="L883">
            <v>15203</v>
          </cell>
          <cell r="N883">
            <v>15203</v>
          </cell>
          <cell r="P883">
            <v>15203</v>
          </cell>
          <cell r="R883">
            <v>15203</v>
          </cell>
          <cell r="T883">
            <v>15203</v>
          </cell>
          <cell r="V883">
            <v>15203</v>
          </cell>
          <cell r="X883">
            <v>15203</v>
          </cell>
          <cell r="Z883">
            <v>15203</v>
          </cell>
          <cell r="AD883">
            <v>0.33100000000000002</v>
          </cell>
        </row>
        <row r="884">
          <cell r="E884" t="str">
            <v>FP 1.2mm-4C</v>
          </cell>
          <cell r="F884" t="str">
            <v>ｍ</v>
          </cell>
          <cell r="H884">
            <v>321</v>
          </cell>
          <cell r="J884">
            <v>321</v>
          </cell>
          <cell r="L884">
            <v>321</v>
          </cell>
          <cell r="N884">
            <v>321</v>
          </cell>
          <cell r="P884">
            <v>321</v>
          </cell>
          <cell r="R884">
            <v>321</v>
          </cell>
          <cell r="T884">
            <v>321</v>
          </cell>
          <cell r="V884">
            <v>321</v>
          </cell>
          <cell r="X884">
            <v>321</v>
          </cell>
          <cell r="Z884">
            <v>321</v>
          </cell>
          <cell r="AD884">
            <v>2.1000000000000001E-2</v>
          </cell>
        </row>
        <row r="885">
          <cell r="E885" t="str">
            <v>FP 1.6mm-4C</v>
          </cell>
          <cell r="F885" t="str">
            <v>ｍ</v>
          </cell>
          <cell r="H885">
            <v>399</v>
          </cell>
          <cell r="J885">
            <v>399</v>
          </cell>
          <cell r="L885">
            <v>399</v>
          </cell>
          <cell r="N885">
            <v>399</v>
          </cell>
          <cell r="P885">
            <v>399</v>
          </cell>
          <cell r="R885">
            <v>399</v>
          </cell>
          <cell r="T885">
            <v>399</v>
          </cell>
          <cell r="V885">
            <v>399</v>
          </cell>
          <cell r="X885">
            <v>399</v>
          </cell>
          <cell r="Z885">
            <v>399</v>
          </cell>
          <cell r="AD885">
            <v>2.4E-2</v>
          </cell>
        </row>
        <row r="886">
          <cell r="E886" t="str">
            <v>FP 2.0mm-4C</v>
          </cell>
          <cell r="F886" t="str">
            <v>ｍ</v>
          </cell>
          <cell r="H886">
            <v>488</v>
          </cell>
          <cell r="J886">
            <v>488</v>
          </cell>
          <cell r="L886">
            <v>488</v>
          </cell>
          <cell r="N886">
            <v>488</v>
          </cell>
          <cell r="P886">
            <v>488</v>
          </cell>
          <cell r="R886">
            <v>488</v>
          </cell>
          <cell r="T886">
            <v>488</v>
          </cell>
          <cell r="V886">
            <v>488</v>
          </cell>
          <cell r="X886">
            <v>488</v>
          </cell>
          <cell r="Z886">
            <v>488</v>
          </cell>
          <cell r="AD886">
            <v>0.03</v>
          </cell>
        </row>
        <row r="887">
          <cell r="E887" t="str">
            <v>FP 2.6mm-4C</v>
          </cell>
          <cell r="F887" t="str">
            <v>ｍ</v>
          </cell>
          <cell r="H887">
            <v>677</v>
          </cell>
          <cell r="J887">
            <v>677</v>
          </cell>
          <cell r="L887">
            <v>677</v>
          </cell>
          <cell r="N887">
            <v>677</v>
          </cell>
          <cell r="P887">
            <v>677</v>
          </cell>
          <cell r="R887">
            <v>677</v>
          </cell>
          <cell r="T887">
            <v>677</v>
          </cell>
          <cell r="V887">
            <v>677</v>
          </cell>
          <cell r="X887">
            <v>677</v>
          </cell>
          <cell r="Z887">
            <v>677</v>
          </cell>
          <cell r="AD887">
            <v>3.6999999999999998E-2</v>
          </cell>
        </row>
        <row r="888">
          <cell r="E888" t="str">
            <v>FP 2sq-4C</v>
          </cell>
          <cell r="F888" t="str">
            <v>ｍ</v>
          </cell>
          <cell r="H888">
            <v>412</v>
          </cell>
          <cell r="J888">
            <v>412</v>
          </cell>
          <cell r="L888">
            <v>412</v>
          </cell>
          <cell r="N888">
            <v>412</v>
          </cell>
          <cell r="P888">
            <v>412</v>
          </cell>
          <cell r="R888">
            <v>412</v>
          </cell>
          <cell r="T888">
            <v>412</v>
          </cell>
          <cell r="V888">
            <v>412</v>
          </cell>
          <cell r="X888">
            <v>412</v>
          </cell>
          <cell r="Z888">
            <v>412</v>
          </cell>
          <cell r="AD888">
            <v>2.4E-2</v>
          </cell>
        </row>
        <row r="889">
          <cell r="E889" t="str">
            <v>FP 3.5sq-4C</v>
          </cell>
          <cell r="F889" t="str">
            <v>ｍ</v>
          </cell>
          <cell r="H889">
            <v>552</v>
          </cell>
          <cell r="J889">
            <v>552</v>
          </cell>
          <cell r="L889">
            <v>552</v>
          </cell>
          <cell r="N889">
            <v>552</v>
          </cell>
          <cell r="P889">
            <v>552</v>
          </cell>
          <cell r="R889">
            <v>552</v>
          </cell>
          <cell r="T889">
            <v>552</v>
          </cell>
          <cell r="V889">
            <v>552</v>
          </cell>
          <cell r="X889">
            <v>552</v>
          </cell>
          <cell r="Z889">
            <v>552</v>
          </cell>
          <cell r="AD889">
            <v>0.03</v>
          </cell>
        </row>
        <row r="890">
          <cell r="E890" t="str">
            <v>FP 5.5sq-4C</v>
          </cell>
          <cell r="F890" t="str">
            <v>ｍ</v>
          </cell>
          <cell r="H890">
            <v>704</v>
          </cell>
          <cell r="J890">
            <v>704</v>
          </cell>
          <cell r="L890">
            <v>704</v>
          </cell>
          <cell r="N890">
            <v>704</v>
          </cell>
          <cell r="P890">
            <v>704</v>
          </cell>
          <cell r="R890">
            <v>704</v>
          </cell>
          <cell r="T890">
            <v>704</v>
          </cell>
          <cell r="V890">
            <v>704</v>
          </cell>
          <cell r="X890">
            <v>704</v>
          </cell>
          <cell r="Z890">
            <v>704</v>
          </cell>
          <cell r="AD890">
            <v>3.6999999999999998E-2</v>
          </cell>
        </row>
        <row r="891">
          <cell r="E891" t="str">
            <v>FP 8sq-4C</v>
          </cell>
          <cell r="F891" t="str">
            <v>ｍ</v>
          </cell>
          <cell r="H891">
            <v>886</v>
          </cell>
          <cell r="J891">
            <v>886</v>
          </cell>
          <cell r="L891">
            <v>886</v>
          </cell>
          <cell r="N891">
            <v>886</v>
          </cell>
          <cell r="P891">
            <v>886</v>
          </cell>
          <cell r="R891">
            <v>886</v>
          </cell>
          <cell r="T891">
            <v>886</v>
          </cell>
          <cell r="V891">
            <v>886</v>
          </cell>
          <cell r="X891">
            <v>886</v>
          </cell>
          <cell r="Z891">
            <v>886</v>
          </cell>
          <cell r="AD891">
            <v>4.2000000000000003E-2</v>
          </cell>
        </row>
        <row r="892">
          <cell r="E892" t="str">
            <v>FP 14sq-4C</v>
          </cell>
          <cell r="F892" t="str">
            <v>ｍ</v>
          </cell>
          <cell r="H892">
            <v>1440</v>
          </cell>
          <cell r="J892">
            <v>1440</v>
          </cell>
          <cell r="L892">
            <v>1440</v>
          </cell>
          <cell r="N892">
            <v>1440</v>
          </cell>
          <cell r="P892">
            <v>1440</v>
          </cell>
          <cell r="R892">
            <v>1440</v>
          </cell>
          <cell r="T892">
            <v>1440</v>
          </cell>
          <cell r="V892">
            <v>1440</v>
          </cell>
          <cell r="X892">
            <v>1440</v>
          </cell>
          <cell r="Z892">
            <v>1440</v>
          </cell>
          <cell r="AD892">
            <v>5.1999999999999998E-2</v>
          </cell>
        </row>
        <row r="893">
          <cell r="E893" t="str">
            <v>FP 22sq-4C</v>
          </cell>
          <cell r="F893" t="str">
            <v>ｍ</v>
          </cell>
          <cell r="H893">
            <v>1929</v>
          </cell>
          <cell r="J893">
            <v>1929</v>
          </cell>
          <cell r="L893">
            <v>1929</v>
          </cell>
          <cell r="N893">
            <v>1929</v>
          </cell>
          <cell r="P893">
            <v>1929</v>
          </cell>
          <cell r="R893">
            <v>1929</v>
          </cell>
          <cell r="T893">
            <v>1929</v>
          </cell>
          <cell r="V893">
            <v>1929</v>
          </cell>
          <cell r="X893">
            <v>1929</v>
          </cell>
          <cell r="Z893">
            <v>1929</v>
          </cell>
          <cell r="AD893">
            <v>6.7000000000000004E-2</v>
          </cell>
        </row>
        <row r="894">
          <cell r="E894" t="str">
            <v>FP 38sq-4C</v>
          </cell>
          <cell r="F894" t="str">
            <v>ｍ</v>
          </cell>
          <cell r="H894">
            <v>2896</v>
          </cell>
          <cell r="J894">
            <v>2896</v>
          </cell>
          <cell r="L894">
            <v>2896</v>
          </cell>
          <cell r="N894">
            <v>2896</v>
          </cell>
          <cell r="P894">
            <v>2896</v>
          </cell>
          <cell r="R894">
            <v>2896</v>
          </cell>
          <cell r="T894">
            <v>2896</v>
          </cell>
          <cell r="V894">
            <v>2896</v>
          </cell>
          <cell r="X894">
            <v>2896</v>
          </cell>
          <cell r="Z894">
            <v>2896</v>
          </cell>
          <cell r="AD894">
            <v>8.8999999999999996E-2</v>
          </cell>
        </row>
        <row r="895">
          <cell r="E895" t="str">
            <v>FP 60sq-4C</v>
          </cell>
          <cell r="F895" t="str">
            <v>ｍ</v>
          </cell>
          <cell r="H895">
            <v>4574</v>
          </cell>
          <cell r="J895">
            <v>4574</v>
          </cell>
          <cell r="L895">
            <v>4574</v>
          </cell>
          <cell r="N895">
            <v>4574</v>
          </cell>
          <cell r="P895">
            <v>4574</v>
          </cell>
          <cell r="R895">
            <v>4574</v>
          </cell>
          <cell r="T895">
            <v>4574</v>
          </cell>
          <cell r="V895">
            <v>4574</v>
          </cell>
          <cell r="X895">
            <v>4574</v>
          </cell>
          <cell r="Z895">
            <v>4574</v>
          </cell>
          <cell r="AD895">
            <v>0.11799999999999999</v>
          </cell>
        </row>
        <row r="896">
          <cell r="E896" t="str">
            <v>FP 100sq-4C</v>
          </cell>
          <cell r="F896" t="str">
            <v>ｍ</v>
          </cell>
          <cell r="H896">
            <v>6875</v>
          </cell>
          <cell r="J896">
            <v>6875</v>
          </cell>
          <cell r="L896">
            <v>6875</v>
          </cell>
          <cell r="N896">
            <v>6875</v>
          </cell>
          <cell r="P896">
            <v>6875</v>
          </cell>
          <cell r="R896">
            <v>6875</v>
          </cell>
          <cell r="T896">
            <v>6875</v>
          </cell>
          <cell r="V896">
            <v>6875</v>
          </cell>
          <cell r="X896">
            <v>6875</v>
          </cell>
          <cell r="Z896">
            <v>6875</v>
          </cell>
          <cell r="AD896">
            <v>0.161</v>
          </cell>
        </row>
        <row r="897">
          <cell r="E897" t="str">
            <v>FP 150sq-4C</v>
          </cell>
          <cell r="F897" t="str">
            <v>ｍ</v>
          </cell>
          <cell r="H897">
            <v>10326</v>
          </cell>
          <cell r="J897">
            <v>10326</v>
          </cell>
          <cell r="L897">
            <v>10326</v>
          </cell>
          <cell r="N897">
            <v>10326</v>
          </cell>
          <cell r="P897">
            <v>10326</v>
          </cell>
          <cell r="R897">
            <v>10326</v>
          </cell>
          <cell r="T897">
            <v>10326</v>
          </cell>
          <cell r="V897">
            <v>10326</v>
          </cell>
          <cell r="X897">
            <v>10326</v>
          </cell>
          <cell r="Z897">
            <v>10326</v>
          </cell>
          <cell r="AD897">
            <v>0.19800000000000001</v>
          </cell>
        </row>
        <row r="898">
          <cell r="E898" t="str">
            <v>FP 200sq-4C</v>
          </cell>
          <cell r="F898" t="str">
            <v>ｍ</v>
          </cell>
          <cell r="H898">
            <v>12950</v>
          </cell>
          <cell r="J898">
            <v>12950</v>
          </cell>
          <cell r="L898">
            <v>12950</v>
          </cell>
          <cell r="N898">
            <v>12950</v>
          </cell>
          <cell r="P898">
            <v>12950</v>
          </cell>
          <cell r="R898">
            <v>12950</v>
          </cell>
          <cell r="T898">
            <v>12950</v>
          </cell>
          <cell r="V898">
            <v>12950</v>
          </cell>
          <cell r="X898">
            <v>12950</v>
          </cell>
          <cell r="Z898">
            <v>12950</v>
          </cell>
          <cell r="AD898">
            <v>0.245</v>
          </cell>
        </row>
        <row r="899">
          <cell r="E899" t="str">
            <v>FP 250sq-4C</v>
          </cell>
          <cell r="F899" t="str">
            <v>ｍ</v>
          </cell>
          <cell r="H899">
            <v>16488</v>
          </cell>
          <cell r="J899">
            <v>16488</v>
          </cell>
          <cell r="L899">
            <v>16488</v>
          </cell>
          <cell r="N899">
            <v>16488</v>
          </cell>
          <cell r="P899">
            <v>16488</v>
          </cell>
          <cell r="R899">
            <v>16488</v>
          </cell>
          <cell r="T899">
            <v>16488</v>
          </cell>
          <cell r="V899">
            <v>16488</v>
          </cell>
          <cell r="X899">
            <v>16488</v>
          </cell>
          <cell r="Z899">
            <v>16488</v>
          </cell>
          <cell r="AD899">
            <v>0.30599999999999999</v>
          </cell>
        </row>
        <row r="900">
          <cell r="E900" t="str">
            <v>FP 325sq-4C</v>
          </cell>
          <cell r="F900" t="str">
            <v>ｍ</v>
          </cell>
          <cell r="H900">
            <v>20182</v>
          </cell>
          <cell r="J900">
            <v>20182</v>
          </cell>
          <cell r="L900">
            <v>20182</v>
          </cell>
          <cell r="N900">
            <v>20182</v>
          </cell>
          <cell r="P900">
            <v>20182</v>
          </cell>
          <cell r="R900">
            <v>20182</v>
          </cell>
          <cell r="T900">
            <v>20182</v>
          </cell>
          <cell r="V900">
            <v>20182</v>
          </cell>
          <cell r="X900">
            <v>20182</v>
          </cell>
          <cell r="Z900">
            <v>20182</v>
          </cell>
          <cell r="AD900">
            <v>0.39700000000000002</v>
          </cell>
        </row>
        <row r="937">
          <cell r="E937" t="str">
            <v>3KV CV 8sq-1C</v>
          </cell>
          <cell r="F937" t="str">
            <v>ｍ</v>
          </cell>
          <cell r="H937">
            <v>242</v>
          </cell>
          <cell r="J937">
            <v>246</v>
          </cell>
          <cell r="L937">
            <v>246</v>
          </cell>
          <cell r="N937">
            <v>238</v>
          </cell>
          <cell r="P937">
            <v>233</v>
          </cell>
          <cell r="R937">
            <v>242</v>
          </cell>
          <cell r="T937">
            <v>242</v>
          </cell>
          <cell r="V937">
            <v>246</v>
          </cell>
          <cell r="X937">
            <v>238</v>
          </cell>
          <cell r="Z937">
            <v>246</v>
          </cell>
          <cell r="AD937">
            <v>1.9E-2</v>
          </cell>
        </row>
        <row r="938">
          <cell r="E938" t="str">
            <v>3KV CV 14sq-1C</v>
          </cell>
          <cell r="F938" t="str">
            <v>ｍ</v>
          </cell>
          <cell r="H938">
            <v>325</v>
          </cell>
          <cell r="J938">
            <v>330</v>
          </cell>
          <cell r="L938">
            <v>330</v>
          </cell>
          <cell r="N938">
            <v>320</v>
          </cell>
          <cell r="P938">
            <v>313</v>
          </cell>
          <cell r="R938">
            <v>325</v>
          </cell>
          <cell r="T938">
            <v>325</v>
          </cell>
          <cell r="V938">
            <v>330</v>
          </cell>
          <cell r="X938">
            <v>320</v>
          </cell>
          <cell r="Z938">
            <v>330</v>
          </cell>
          <cell r="AD938">
            <v>2.4E-2</v>
          </cell>
        </row>
        <row r="939">
          <cell r="E939" t="str">
            <v>3KV CV 22sq-1C</v>
          </cell>
          <cell r="F939" t="str">
            <v>ｍ</v>
          </cell>
          <cell r="H939">
            <v>463</v>
          </cell>
          <cell r="J939">
            <v>470</v>
          </cell>
          <cell r="L939">
            <v>470</v>
          </cell>
          <cell r="N939">
            <v>456</v>
          </cell>
          <cell r="P939">
            <v>445</v>
          </cell>
          <cell r="R939">
            <v>463</v>
          </cell>
          <cell r="T939">
            <v>463</v>
          </cell>
          <cell r="V939">
            <v>470</v>
          </cell>
          <cell r="X939">
            <v>456</v>
          </cell>
          <cell r="Z939">
            <v>470</v>
          </cell>
          <cell r="AD939">
            <v>3.1E-2</v>
          </cell>
        </row>
        <row r="940">
          <cell r="E940" t="str">
            <v>3KV CV 38sq-1C</v>
          </cell>
          <cell r="F940" t="str">
            <v>ｍ</v>
          </cell>
          <cell r="H940">
            <v>678</v>
          </cell>
          <cell r="J940">
            <v>688</v>
          </cell>
          <cell r="L940">
            <v>688</v>
          </cell>
          <cell r="N940">
            <v>668</v>
          </cell>
          <cell r="P940">
            <v>652</v>
          </cell>
          <cell r="R940">
            <v>678</v>
          </cell>
          <cell r="T940">
            <v>678</v>
          </cell>
          <cell r="V940">
            <v>688</v>
          </cell>
          <cell r="X940">
            <v>668</v>
          </cell>
          <cell r="Z940">
            <v>688</v>
          </cell>
          <cell r="AD940">
            <v>4.1000000000000002E-2</v>
          </cell>
        </row>
        <row r="941">
          <cell r="E941" t="str">
            <v>3KV CV 60sq-1C</v>
          </cell>
          <cell r="F941" t="str">
            <v>ｍ</v>
          </cell>
          <cell r="H941">
            <v>948</v>
          </cell>
          <cell r="J941">
            <v>962</v>
          </cell>
          <cell r="L941">
            <v>962</v>
          </cell>
          <cell r="N941">
            <v>933</v>
          </cell>
          <cell r="P941">
            <v>911</v>
          </cell>
          <cell r="R941">
            <v>948</v>
          </cell>
          <cell r="T941">
            <v>948</v>
          </cell>
          <cell r="V941">
            <v>962</v>
          </cell>
          <cell r="X941">
            <v>933</v>
          </cell>
          <cell r="Z941">
            <v>962</v>
          </cell>
          <cell r="AD941">
            <v>5.3999999999999999E-2</v>
          </cell>
        </row>
        <row r="942">
          <cell r="E942" t="str">
            <v>3KV CV 100sq-1C</v>
          </cell>
          <cell r="F942" t="str">
            <v>ｍ</v>
          </cell>
          <cell r="H942">
            <v>1399</v>
          </cell>
          <cell r="J942">
            <v>1420</v>
          </cell>
          <cell r="L942">
            <v>1420</v>
          </cell>
          <cell r="N942">
            <v>1377</v>
          </cell>
          <cell r="P942">
            <v>1345</v>
          </cell>
          <cell r="R942">
            <v>1399</v>
          </cell>
          <cell r="T942">
            <v>1399</v>
          </cell>
          <cell r="V942">
            <v>1420</v>
          </cell>
          <cell r="X942">
            <v>1377</v>
          </cell>
          <cell r="Z942">
            <v>1420</v>
          </cell>
          <cell r="AD942">
            <v>7.3999999999999996E-2</v>
          </cell>
        </row>
        <row r="943">
          <cell r="E943" t="str">
            <v>3KV CV 150sq-1C</v>
          </cell>
          <cell r="F943" t="str">
            <v>ｍ</v>
          </cell>
          <cell r="H943">
            <v>1908</v>
          </cell>
          <cell r="J943">
            <v>1938</v>
          </cell>
          <cell r="L943">
            <v>1938</v>
          </cell>
          <cell r="N943">
            <v>1879</v>
          </cell>
          <cell r="P943">
            <v>1835</v>
          </cell>
          <cell r="R943">
            <v>1908</v>
          </cell>
          <cell r="T943">
            <v>1908</v>
          </cell>
          <cell r="V943">
            <v>1938</v>
          </cell>
          <cell r="X943">
            <v>1879</v>
          </cell>
          <cell r="Z943">
            <v>1938</v>
          </cell>
          <cell r="AD943">
            <v>9.0999999999999998E-2</v>
          </cell>
        </row>
        <row r="944">
          <cell r="E944" t="str">
            <v>3KV CV 200sq-1C</v>
          </cell>
          <cell r="F944" t="str">
            <v>ｍ</v>
          </cell>
          <cell r="H944">
            <v>2420</v>
          </cell>
          <cell r="J944">
            <v>2457</v>
          </cell>
          <cell r="L944">
            <v>2457</v>
          </cell>
          <cell r="N944">
            <v>2383</v>
          </cell>
          <cell r="P944">
            <v>2327</v>
          </cell>
          <cell r="R944">
            <v>2420</v>
          </cell>
          <cell r="T944">
            <v>2420</v>
          </cell>
          <cell r="V944">
            <v>2457</v>
          </cell>
          <cell r="X944">
            <v>2383</v>
          </cell>
          <cell r="Z944">
            <v>2457</v>
          </cell>
          <cell r="AD944">
            <v>0.112</v>
          </cell>
        </row>
        <row r="945">
          <cell r="E945" t="str">
            <v>3KV CV 250sq-1C</v>
          </cell>
          <cell r="F945" t="str">
            <v>ｍ</v>
          </cell>
          <cell r="H945">
            <v>3036</v>
          </cell>
          <cell r="J945">
            <v>3082</v>
          </cell>
          <cell r="L945">
            <v>3082</v>
          </cell>
          <cell r="N945">
            <v>2989</v>
          </cell>
          <cell r="P945">
            <v>2919</v>
          </cell>
          <cell r="R945">
            <v>3036</v>
          </cell>
          <cell r="T945">
            <v>3036</v>
          </cell>
          <cell r="V945">
            <v>3082</v>
          </cell>
          <cell r="X945">
            <v>2989</v>
          </cell>
          <cell r="Z945">
            <v>3082</v>
          </cell>
          <cell r="AD945">
            <v>0.129</v>
          </cell>
        </row>
        <row r="946">
          <cell r="E946" t="str">
            <v>3KV CV 325sq-1C</v>
          </cell>
          <cell r="F946" t="str">
            <v>ｍ</v>
          </cell>
          <cell r="H946">
            <v>3847</v>
          </cell>
          <cell r="J946">
            <v>3906</v>
          </cell>
          <cell r="L946">
            <v>3906</v>
          </cell>
          <cell r="N946">
            <v>3788</v>
          </cell>
          <cell r="P946">
            <v>3699</v>
          </cell>
          <cell r="R946">
            <v>3847</v>
          </cell>
          <cell r="T946">
            <v>3847</v>
          </cell>
          <cell r="V946">
            <v>3906</v>
          </cell>
          <cell r="X946">
            <v>3788</v>
          </cell>
          <cell r="Z946">
            <v>3906</v>
          </cell>
          <cell r="AD946">
            <v>0.16400000000000001</v>
          </cell>
        </row>
        <row r="947">
          <cell r="E947" t="str">
            <v>3KV CV 8sq-3C</v>
          </cell>
          <cell r="F947" t="str">
            <v>ｍ</v>
          </cell>
          <cell r="H947">
            <v>696</v>
          </cell>
          <cell r="J947">
            <v>706</v>
          </cell>
          <cell r="L947">
            <v>706</v>
          </cell>
          <cell r="N947">
            <v>685</v>
          </cell>
          <cell r="P947">
            <v>669</v>
          </cell>
          <cell r="R947">
            <v>696</v>
          </cell>
          <cell r="T947">
            <v>696</v>
          </cell>
          <cell r="V947">
            <v>706</v>
          </cell>
          <cell r="X947">
            <v>685</v>
          </cell>
          <cell r="Z947">
            <v>706</v>
          </cell>
          <cell r="AD947">
            <v>3.2000000000000001E-2</v>
          </cell>
        </row>
        <row r="948">
          <cell r="E948" t="str">
            <v>3KV CV 14sq-3C</v>
          </cell>
          <cell r="F948" t="str">
            <v>ｍ</v>
          </cell>
          <cell r="H948">
            <v>886</v>
          </cell>
          <cell r="J948">
            <v>900</v>
          </cell>
          <cell r="L948">
            <v>900</v>
          </cell>
          <cell r="N948">
            <v>872</v>
          </cell>
          <cell r="P948">
            <v>852</v>
          </cell>
          <cell r="R948">
            <v>886</v>
          </cell>
          <cell r="T948">
            <v>886</v>
          </cell>
          <cell r="V948">
            <v>900</v>
          </cell>
          <cell r="X948">
            <v>872</v>
          </cell>
          <cell r="Z948">
            <v>900</v>
          </cell>
          <cell r="AD948">
            <v>0.04</v>
          </cell>
        </row>
        <row r="949">
          <cell r="E949" t="str">
            <v>3KV CV 22sq-3C</v>
          </cell>
          <cell r="F949" t="str">
            <v>ｍ</v>
          </cell>
          <cell r="H949">
            <v>1208</v>
          </cell>
          <cell r="J949">
            <v>1227</v>
          </cell>
          <cell r="L949">
            <v>1227</v>
          </cell>
          <cell r="N949">
            <v>1190</v>
          </cell>
          <cell r="P949">
            <v>1162</v>
          </cell>
          <cell r="R949">
            <v>1208</v>
          </cell>
          <cell r="T949">
            <v>1208</v>
          </cell>
          <cell r="V949">
            <v>1227</v>
          </cell>
          <cell r="X949">
            <v>1190</v>
          </cell>
          <cell r="Z949">
            <v>1227</v>
          </cell>
          <cell r="AD949">
            <v>5.1999999999999998E-2</v>
          </cell>
        </row>
        <row r="950">
          <cell r="E950" t="str">
            <v>3KV CV 38sq-3C</v>
          </cell>
          <cell r="F950" t="str">
            <v>ｍ</v>
          </cell>
          <cell r="H950">
            <v>1720</v>
          </cell>
          <cell r="J950">
            <v>1797</v>
          </cell>
          <cell r="L950">
            <v>1797</v>
          </cell>
          <cell r="N950">
            <v>1743</v>
          </cell>
          <cell r="P950">
            <v>1702</v>
          </cell>
          <cell r="R950">
            <v>1720</v>
          </cell>
          <cell r="T950">
            <v>1720</v>
          </cell>
          <cell r="V950">
            <v>1797</v>
          </cell>
          <cell r="X950">
            <v>1743</v>
          </cell>
          <cell r="Z950">
            <v>1797</v>
          </cell>
          <cell r="AD950">
            <v>6.8000000000000005E-2</v>
          </cell>
        </row>
        <row r="951">
          <cell r="E951" t="str">
            <v>3KV CV 60sq-3C</v>
          </cell>
          <cell r="F951" t="str">
            <v>ｍ</v>
          </cell>
          <cell r="H951">
            <v>2590</v>
          </cell>
          <cell r="J951">
            <v>2629</v>
          </cell>
          <cell r="L951">
            <v>2629</v>
          </cell>
          <cell r="N951">
            <v>2550</v>
          </cell>
          <cell r="P951">
            <v>2490</v>
          </cell>
          <cell r="R951">
            <v>2590</v>
          </cell>
          <cell r="T951">
            <v>2590</v>
          </cell>
          <cell r="V951">
            <v>2629</v>
          </cell>
          <cell r="X951">
            <v>2550</v>
          </cell>
          <cell r="Z951">
            <v>2629</v>
          </cell>
          <cell r="AD951">
            <v>0.09</v>
          </cell>
        </row>
        <row r="952">
          <cell r="E952" t="str">
            <v>3KV CV 100sq-3C</v>
          </cell>
          <cell r="F952" t="str">
            <v>ｍ</v>
          </cell>
          <cell r="H952">
            <v>4016</v>
          </cell>
          <cell r="J952">
            <v>4078</v>
          </cell>
          <cell r="L952">
            <v>4078</v>
          </cell>
          <cell r="N952">
            <v>3955</v>
          </cell>
          <cell r="P952">
            <v>3862</v>
          </cell>
          <cell r="R952">
            <v>4016</v>
          </cell>
          <cell r="T952">
            <v>4016</v>
          </cell>
          <cell r="V952">
            <v>4078</v>
          </cell>
          <cell r="X952">
            <v>3955</v>
          </cell>
          <cell r="Z952">
            <v>4078</v>
          </cell>
          <cell r="AD952">
            <v>0.124</v>
          </cell>
        </row>
        <row r="953">
          <cell r="E953" t="str">
            <v>3KV CV 150sq-3C</v>
          </cell>
          <cell r="F953" t="str">
            <v>ｍ</v>
          </cell>
          <cell r="H953">
            <v>5903</v>
          </cell>
          <cell r="J953">
            <v>5994</v>
          </cell>
          <cell r="L953">
            <v>5994</v>
          </cell>
          <cell r="N953">
            <v>5812</v>
          </cell>
          <cell r="P953">
            <v>5676</v>
          </cell>
          <cell r="R953">
            <v>5903</v>
          </cell>
          <cell r="T953">
            <v>5903</v>
          </cell>
          <cell r="V953">
            <v>5994</v>
          </cell>
          <cell r="X953">
            <v>5812</v>
          </cell>
          <cell r="Z953">
            <v>5994</v>
          </cell>
          <cell r="AD953">
            <v>0.151</v>
          </cell>
        </row>
        <row r="954">
          <cell r="E954" t="str">
            <v>3KV CV 200sq-3C</v>
          </cell>
          <cell r="F954" t="str">
            <v>ｍ</v>
          </cell>
          <cell r="H954">
            <v>8389</v>
          </cell>
          <cell r="J954">
            <v>8518</v>
          </cell>
          <cell r="L954">
            <v>8518</v>
          </cell>
          <cell r="N954">
            <v>8260</v>
          </cell>
          <cell r="P954">
            <v>8066</v>
          </cell>
          <cell r="R954">
            <v>8389</v>
          </cell>
          <cell r="T954">
            <v>8389</v>
          </cell>
          <cell r="V954">
            <v>8518</v>
          </cell>
          <cell r="X954">
            <v>8260</v>
          </cell>
          <cell r="Z954">
            <v>8518</v>
          </cell>
          <cell r="AD954">
            <v>0.188</v>
          </cell>
        </row>
        <row r="955">
          <cell r="E955" t="str">
            <v>3KV CV 250sq-3C</v>
          </cell>
          <cell r="F955" t="str">
            <v>ｍ</v>
          </cell>
          <cell r="H955">
            <v>10509</v>
          </cell>
          <cell r="J955">
            <v>10671</v>
          </cell>
          <cell r="L955">
            <v>10671</v>
          </cell>
          <cell r="N955">
            <v>10348</v>
          </cell>
          <cell r="P955">
            <v>10105</v>
          </cell>
          <cell r="R955">
            <v>10509</v>
          </cell>
          <cell r="T955">
            <v>10509</v>
          </cell>
          <cell r="V955">
            <v>10671</v>
          </cell>
          <cell r="X955">
            <v>10348</v>
          </cell>
          <cell r="Z955">
            <v>10671</v>
          </cell>
          <cell r="AD955">
            <v>0.216</v>
          </cell>
        </row>
        <row r="956">
          <cell r="E956" t="str">
            <v>3KV CV 325sq-3C</v>
          </cell>
          <cell r="F956" t="str">
            <v>ｍ</v>
          </cell>
          <cell r="H956">
            <v>13466</v>
          </cell>
          <cell r="J956">
            <v>13667</v>
          </cell>
          <cell r="L956">
            <v>13667</v>
          </cell>
          <cell r="N956">
            <v>13252</v>
          </cell>
          <cell r="P956">
            <v>12942</v>
          </cell>
          <cell r="R956">
            <v>13466</v>
          </cell>
          <cell r="T956">
            <v>13466</v>
          </cell>
          <cell r="V956">
            <v>13667</v>
          </cell>
          <cell r="X956">
            <v>13252</v>
          </cell>
          <cell r="Z956">
            <v>13667</v>
          </cell>
          <cell r="AD956">
            <v>0.27300000000000002</v>
          </cell>
        </row>
        <row r="957">
          <cell r="E957" t="str">
            <v>6KV CV 8sq-1C</v>
          </cell>
          <cell r="F957" t="str">
            <v>ｍ</v>
          </cell>
          <cell r="H957">
            <v>303</v>
          </cell>
          <cell r="J957">
            <v>308</v>
          </cell>
          <cell r="L957">
            <v>308</v>
          </cell>
          <cell r="N957">
            <v>298</v>
          </cell>
          <cell r="P957">
            <v>291</v>
          </cell>
          <cell r="R957">
            <v>303</v>
          </cell>
          <cell r="T957">
            <v>303</v>
          </cell>
          <cell r="V957">
            <v>308</v>
          </cell>
          <cell r="X957">
            <v>298</v>
          </cell>
          <cell r="Z957">
            <v>308</v>
          </cell>
          <cell r="AD957">
            <v>1.9E-2</v>
          </cell>
        </row>
        <row r="958">
          <cell r="E958" t="str">
            <v>6KV CV 14sq-1C</v>
          </cell>
          <cell r="F958" t="str">
            <v>ｍ</v>
          </cell>
          <cell r="H958">
            <v>441</v>
          </cell>
          <cell r="J958">
            <v>447</v>
          </cell>
          <cell r="L958">
            <v>447</v>
          </cell>
          <cell r="N958">
            <v>434</v>
          </cell>
          <cell r="P958">
            <v>424</v>
          </cell>
          <cell r="R958">
            <v>441</v>
          </cell>
          <cell r="T958">
            <v>441</v>
          </cell>
          <cell r="V958">
            <v>447</v>
          </cell>
          <cell r="X958">
            <v>434</v>
          </cell>
          <cell r="Z958">
            <v>447</v>
          </cell>
          <cell r="AD958">
            <v>2.4E-2</v>
          </cell>
        </row>
        <row r="959">
          <cell r="E959" t="str">
            <v>6KV CV 22sq-1C</v>
          </cell>
          <cell r="F959" t="str">
            <v>ｍ</v>
          </cell>
          <cell r="H959">
            <v>561</v>
          </cell>
          <cell r="J959">
            <v>560</v>
          </cell>
          <cell r="L959">
            <v>560</v>
          </cell>
          <cell r="N959">
            <v>543</v>
          </cell>
          <cell r="P959">
            <v>530</v>
          </cell>
          <cell r="R959">
            <v>561</v>
          </cell>
          <cell r="T959">
            <v>561</v>
          </cell>
          <cell r="V959">
            <v>560</v>
          </cell>
          <cell r="X959">
            <v>543</v>
          </cell>
          <cell r="Z959">
            <v>560</v>
          </cell>
          <cell r="AD959">
            <v>3.1E-2</v>
          </cell>
        </row>
        <row r="960">
          <cell r="E960" t="str">
            <v>6KV CV 38sq-1C</v>
          </cell>
          <cell r="F960" t="str">
            <v>ｍ</v>
          </cell>
          <cell r="H960">
            <v>685</v>
          </cell>
          <cell r="J960">
            <v>696</v>
          </cell>
          <cell r="L960">
            <v>696</v>
          </cell>
          <cell r="N960">
            <v>675</v>
          </cell>
          <cell r="P960">
            <v>659</v>
          </cell>
          <cell r="R960">
            <v>685</v>
          </cell>
          <cell r="T960">
            <v>685</v>
          </cell>
          <cell r="V960">
            <v>696</v>
          </cell>
          <cell r="X960">
            <v>675</v>
          </cell>
          <cell r="Z960">
            <v>696</v>
          </cell>
          <cell r="AD960">
            <v>4.1000000000000002E-2</v>
          </cell>
        </row>
        <row r="961">
          <cell r="E961" t="str">
            <v>6KV CV 60sq-1C</v>
          </cell>
          <cell r="F961" t="str">
            <v>ｍ</v>
          </cell>
          <cell r="H961">
            <v>967</v>
          </cell>
          <cell r="J961">
            <v>982</v>
          </cell>
          <cell r="L961">
            <v>982</v>
          </cell>
          <cell r="N961">
            <v>952</v>
          </cell>
          <cell r="P961">
            <v>930</v>
          </cell>
          <cell r="R961">
            <v>967</v>
          </cell>
          <cell r="T961">
            <v>967</v>
          </cell>
          <cell r="V961">
            <v>982</v>
          </cell>
          <cell r="X961">
            <v>952</v>
          </cell>
          <cell r="Z961">
            <v>982</v>
          </cell>
          <cell r="AD961">
            <v>5.3999999999999999E-2</v>
          </cell>
        </row>
        <row r="962">
          <cell r="E962" t="str">
            <v>6KV CV 100sq-1C</v>
          </cell>
          <cell r="F962" t="str">
            <v>ｍ</v>
          </cell>
          <cell r="H962">
            <v>1439</v>
          </cell>
          <cell r="J962">
            <v>1461</v>
          </cell>
          <cell r="L962">
            <v>1461</v>
          </cell>
          <cell r="N962">
            <v>1417</v>
          </cell>
          <cell r="P962">
            <v>1384</v>
          </cell>
          <cell r="R962">
            <v>1439</v>
          </cell>
          <cell r="T962">
            <v>1439</v>
          </cell>
          <cell r="V962">
            <v>1461</v>
          </cell>
          <cell r="X962">
            <v>1417</v>
          </cell>
          <cell r="Z962">
            <v>1461</v>
          </cell>
          <cell r="AD962">
            <v>7.3999999999999996E-2</v>
          </cell>
        </row>
        <row r="963">
          <cell r="E963" t="str">
            <v>6KV CV 150sq-1C</v>
          </cell>
          <cell r="F963" t="str">
            <v>ｍ</v>
          </cell>
          <cell r="H963">
            <v>1908</v>
          </cell>
          <cell r="J963">
            <v>2018</v>
          </cell>
          <cell r="L963">
            <v>2018</v>
          </cell>
          <cell r="N963">
            <v>1957</v>
          </cell>
          <cell r="P963">
            <v>1911</v>
          </cell>
          <cell r="R963">
            <v>1908</v>
          </cell>
          <cell r="T963">
            <v>1908</v>
          </cell>
          <cell r="V963">
            <v>2018</v>
          </cell>
          <cell r="X963">
            <v>1957</v>
          </cell>
          <cell r="Z963">
            <v>2018</v>
          </cell>
          <cell r="AD963">
            <v>9.0999999999999998E-2</v>
          </cell>
        </row>
        <row r="964">
          <cell r="E964" t="str">
            <v>6KV CV 200sq-1C</v>
          </cell>
          <cell r="F964" t="str">
            <v>ｍ</v>
          </cell>
          <cell r="H964">
            <v>2556</v>
          </cell>
          <cell r="J964">
            <v>2596</v>
          </cell>
          <cell r="L964">
            <v>2596</v>
          </cell>
          <cell r="N964">
            <v>2517</v>
          </cell>
          <cell r="P964">
            <v>2458</v>
          </cell>
          <cell r="R964">
            <v>2556</v>
          </cell>
          <cell r="T964">
            <v>2556</v>
          </cell>
          <cell r="V964">
            <v>2596</v>
          </cell>
          <cell r="X964">
            <v>2517</v>
          </cell>
          <cell r="Z964">
            <v>2596</v>
          </cell>
          <cell r="AD964">
            <v>0.112</v>
          </cell>
        </row>
        <row r="965">
          <cell r="E965" t="str">
            <v>6KV CV 250sq-1C</v>
          </cell>
          <cell r="F965" t="str">
            <v>ｍ</v>
          </cell>
          <cell r="H965">
            <v>3179</v>
          </cell>
          <cell r="J965">
            <v>3228</v>
          </cell>
          <cell r="L965">
            <v>3228</v>
          </cell>
          <cell r="N965">
            <v>3130</v>
          </cell>
          <cell r="P965">
            <v>3057</v>
          </cell>
          <cell r="R965">
            <v>3179</v>
          </cell>
          <cell r="T965">
            <v>3179</v>
          </cell>
          <cell r="V965">
            <v>3228</v>
          </cell>
          <cell r="X965">
            <v>3130</v>
          </cell>
          <cell r="Z965">
            <v>3228</v>
          </cell>
          <cell r="AD965">
            <v>0.129</v>
          </cell>
        </row>
        <row r="966">
          <cell r="E966" t="str">
            <v>6KV CV 325sq-1C</v>
          </cell>
          <cell r="F966" t="str">
            <v>ｍ</v>
          </cell>
          <cell r="H966">
            <v>3950</v>
          </cell>
          <cell r="J966">
            <v>4011</v>
          </cell>
          <cell r="L966">
            <v>4011</v>
          </cell>
          <cell r="N966">
            <v>3889</v>
          </cell>
          <cell r="P966">
            <v>3798</v>
          </cell>
          <cell r="R966">
            <v>3950</v>
          </cell>
          <cell r="T966">
            <v>3950</v>
          </cell>
          <cell r="V966">
            <v>4011</v>
          </cell>
          <cell r="X966">
            <v>3889</v>
          </cell>
          <cell r="Z966">
            <v>4011</v>
          </cell>
          <cell r="AD966">
            <v>0.16400000000000001</v>
          </cell>
        </row>
        <row r="967">
          <cell r="E967" t="str">
            <v>6KV CV 8sq-3C</v>
          </cell>
          <cell r="F967" t="str">
            <v>ｍ</v>
          </cell>
          <cell r="H967">
            <v>956</v>
          </cell>
          <cell r="J967">
            <v>970</v>
          </cell>
          <cell r="L967">
            <v>970</v>
          </cell>
          <cell r="N967">
            <v>941</v>
          </cell>
          <cell r="P967">
            <v>919</v>
          </cell>
          <cell r="R967">
            <v>956</v>
          </cell>
          <cell r="T967">
            <v>956</v>
          </cell>
          <cell r="V967">
            <v>970</v>
          </cell>
          <cell r="X967">
            <v>941</v>
          </cell>
          <cell r="Z967">
            <v>970</v>
          </cell>
          <cell r="AD967">
            <v>3.2000000000000001E-2</v>
          </cell>
        </row>
        <row r="968">
          <cell r="E968" t="str">
            <v>6KV CV 14sq-3C</v>
          </cell>
          <cell r="F968" t="str">
            <v>ｍ</v>
          </cell>
          <cell r="H968">
            <v>1184</v>
          </cell>
          <cell r="J968">
            <v>1203</v>
          </cell>
          <cell r="L968">
            <v>1203</v>
          </cell>
          <cell r="N968">
            <v>1166</v>
          </cell>
          <cell r="P968">
            <v>1139</v>
          </cell>
          <cell r="R968">
            <v>1184</v>
          </cell>
          <cell r="T968">
            <v>1184</v>
          </cell>
          <cell r="V968">
            <v>1203</v>
          </cell>
          <cell r="X968">
            <v>1166</v>
          </cell>
          <cell r="Z968">
            <v>1203</v>
          </cell>
          <cell r="AD968">
            <v>0.04</v>
          </cell>
        </row>
        <row r="969">
          <cell r="E969" t="str">
            <v>6KV CV 22sq-3C</v>
          </cell>
          <cell r="F969" t="str">
            <v>ｍ</v>
          </cell>
          <cell r="H969">
            <v>1507</v>
          </cell>
          <cell r="J969">
            <v>1530</v>
          </cell>
          <cell r="L969">
            <v>1530</v>
          </cell>
          <cell r="N969">
            <v>1484</v>
          </cell>
          <cell r="P969">
            <v>1449</v>
          </cell>
          <cell r="R969">
            <v>1507</v>
          </cell>
          <cell r="T969">
            <v>1507</v>
          </cell>
          <cell r="V969">
            <v>1530</v>
          </cell>
          <cell r="X969">
            <v>1484</v>
          </cell>
          <cell r="Z969">
            <v>1530</v>
          </cell>
          <cell r="AD969">
            <v>5.1999999999999998E-2</v>
          </cell>
        </row>
        <row r="970">
          <cell r="E970" t="str">
            <v>6KV CV 38sq-3C</v>
          </cell>
          <cell r="F970" t="str">
            <v>ｍ</v>
          </cell>
          <cell r="H970">
            <v>2076</v>
          </cell>
          <cell r="J970">
            <v>2108</v>
          </cell>
          <cell r="L970">
            <v>2108</v>
          </cell>
          <cell r="N970">
            <v>2044</v>
          </cell>
          <cell r="P970">
            <v>1996</v>
          </cell>
          <cell r="R970">
            <v>2076</v>
          </cell>
          <cell r="T970">
            <v>2076</v>
          </cell>
          <cell r="V970">
            <v>2108</v>
          </cell>
          <cell r="X970">
            <v>2044</v>
          </cell>
          <cell r="Z970">
            <v>2108</v>
          </cell>
          <cell r="AD970">
            <v>6.8000000000000005E-2</v>
          </cell>
        </row>
        <row r="971">
          <cell r="E971" t="str">
            <v>6KV CV 60sq-3C</v>
          </cell>
          <cell r="F971" t="str">
            <v>ｍ</v>
          </cell>
          <cell r="H971">
            <v>2874</v>
          </cell>
          <cell r="J971">
            <v>2919</v>
          </cell>
          <cell r="L971">
            <v>2919</v>
          </cell>
          <cell r="N971">
            <v>2830</v>
          </cell>
          <cell r="P971">
            <v>2764</v>
          </cell>
          <cell r="R971">
            <v>2874</v>
          </cell>
          <cell r="T971">
            <v>2874</v>
          </cell>
          <cell r="V971">
            <v>2919</v>
          </cell>
          <cell r="X971">
            <v>2830</v>
          </cell>
          <cell r="Z971">
            <v>2919</v>
          </cell>
          <cell r="AD971">
            <v>0.09</v>
          </cell>
        </row>
        <row r="972">
          <cell r="E972" t="str">
            <v>6KV CV 100sq-3C</v>
          </cell>
          <cell r="F972" t="str">
            <v>ｍ</v>
          </cell>
          <cell r="H972">
            <v>4391</v>
          </cell>
          <cell r="J972">
            <v>4458</v>
          </cell>
          <cell r="L972">
            <v>4458</v>
          </cell>
          <cell r="N972">
            <v>4323</v>
          </cell>
          <cell r="P972">
            <v>4222</v>
          </cell>
          <cell r="R972">
            <v>4391</v>
          </cell>
          <cell r="T972">
            <v>4391</v>
          </cell>
          <cell r="V972">
            <v>4458</v>
          </cell>
          <cell r="X972">
            <v>4323</v>
          </cell>
          <cell r="Z972">
            <v>4458</v>
          </cell>
          <cell r="AD972">
            <v>0.124</v>
          </cell>
        </row>
        <row r="973">
          <cell r="E973" t="str">
            <v>6KV CV 150sq-3C</v>
          </cell>
          <cell r="F973" t="str">
            <v>ｍ</v>
          </cell>
          <cell r="H973">
            <v>6403</v>
          </cell>
          <cell r="J973">
            <v>6501</v>
          </cell>
          <cell r="L973">
            <v>6501</v>
          </cell>
          <cell r="N973">
            <v>6304</v>
          </cell>
          <cell r="P973">
            <v>6156</v>
          </cell>
          <cell r="R973">
            <v>6403</v>
          </cell>
          <cell r="T973">
            <v>6403</v>
          </cell>
          <cell r="V973">
            <v>6501</v>
          </cell>
          <cell r="X973">
            <v>6304</v>
          </cell>
          <cell r="Z973">
            <v>6501</v>
          </cell>
          <cell r="AD973">
            <v>0.151</v>
          </cell>
        </row>
        <row r="974">
          <cell r="E974" t="str">
            <v>6KV CV 200sq-3C</v>
          </cell>
          <cell r="F974" t="str">
            <v>ｍ</v>
          </cell>
          <cell r="H974">
            <v>8906</v>
          </cell>
          <cell r="J974">
            <v>9043</v>
          </cell>
          <cell r="L974">
            <v>9043</v>
          </cell>
          <cell r="N974">
            <v>8769</v>
          </cell>
          <cell r="P974">
            <v>8564</v>
          </cell>
          <cell r="R974">
            <v>8906</v>
          </cell>
          <cell r="T974">
            <v>8906</v>
          </cell>
          <cell r="V974">
            <v>9043</v>
          </cell>
          <cell r="X974">
            <v>8769</v>
          </cell>
          <cell r="Z974">
            <v>9043</v>
          </cell>
          <cell r="AD974">
            <v>0.188</v>
          </cell>
        </row>
        <row r="975">
          <cell r="E975" t="str">
            <v>6KV CV 250sq-3C</v>
          </cell>
          <cell r="F975" t="str">
            <v>ｍ</v>
          </cell>
          <cell r="H975">
            <v>11250</v>
          </cell>
          <cell r="J975">
            <v>11423</v>
          </cell>
          <cell r="L975">
            <v>11423</v>
          </cell>
          <cell r="N975">
            <v>11076</v>
          </cell>
          <cell r="P975">
            <v>10817</v>
          </cell>
          <cell r="R975">
            <v>11250</v>
          </cell>
          <cell r="T975">
            <v>11250</v>
          </cell>
          <cell r="V975">
            <v>11423</v>
          </cell>
          <cell r="X975">
            <v>11076</v>
          </cell>
          <cell r="Z975">
            <v>11423</v>
          </cell>
          <cell r="AD975">
            <v>0.216</v>
          </cell>
        </row>
        <row r="976">
          <cell r="E976" t="str">
            <v>6KV CV 325sq-3C</v>
          </cell>
          <cell r="F976" t="str">
            <v>ｍ</v>
          </cell>
          <cell r="H976">
            <v>14199</v>
          </cell>
          <cell r="J976">
            <v>14418</v>
          </cell>
          <cell r="L976">
            <v>14418</v>
          </cell>
          <cell r="N976">
            <v>13981</v>
          </cell>
          <cell r="P976">
            <v>13653</v>
          </cell>
          <cell r="R976">
            <v>14199</v>
          </cell>
          <cell r="T976">
            <v>14199</v>
          </cell>
          <cell r="V976">
            <v>14418</v>
          </cell>
          <cell r="X976">
            <v>13981</v>
          </cell>
          <cell r="Z976">
            <v>14418</v>
          </cell>
          <cell r="AD976">
            <v>0.27300000000000002</v>
          </cell>
        </row>
        <row r="978">
          <cell r="E978" t="str">
            <v>6KV CVT 22sq</v>
          </cell>
          <cell r="F978" t="str">
            <v>ｍ</v>
          </cell>
          <cell r="H978">
            <v>1544</v>
          </cell>
          <cell r="J978">
            <v>1568</v>
          </cell>
          <cell r="L978">
            <v>1568</v>
          </cell>
          <cell r="N978">
            <v>1520</v>
          </cell>
          <cell r="P978">
            <v>1484</v>
          </cell>
          <cell r="R978">
            <v>1544</v>
          </cell>
          <cell r="T978">
            <v>1544</v>
          </cell>
          <cell r="V978">
            <v>1568</v>
          </cell>
          <cell r="X978">
            <v>1520</v>
          </cell>
          <cell r="Z978">
            <v>1568</v>
          </cell>
          <cell r="AD978">
            <v>5.1999999999999998E-2</v>
          </cell>
        </row>
        <row r="979">
          <cell r="E979" t="str">
            <v>6KV CVT 38sq</v>
          </cell>
          <cell r="F979" t="str">
            <v>ｍ</v>
          </cell>
          <cell r="H979">
            <v>2128</v>
          </cell>
          <cell r="J979">
            <v>2161</v>
          </cell>
          <cell r="L979">
            <v>2161</v>
          </cell>
          <cell r="N979">
            <v>2095</v>
          </cell>
          <cell r="P979">
            <v>2045</v>
          </cell>
          <cell r="R979">
            <v>2128</v>
          </cell>
          <cell r="T979">
            <v>2128</v>
          </cell>
          <cell r="V979">
            <v>2161</v>
          </cell>
          <cell r="X979">
            <v>2095</v>
          </cell>
          <cell r="Z979">
            <v>2161</v>
          </cell>
          <cell r="AD979">
            <v>6.8000000000000005E-2</v>
          </cell>
        </row>
        <row r="980">
          <cell r="E980" t="str">
            <v>6KV CVT 60sq</v>
          </cell>
          <cell r="F980" t="str">
            <v>ｍ</v>
          </cell>
          <cell r="H980">
            <v>2911</v>
          </cell>
          <cell r="J980">
            <v>2957</v>
          </cell>
          <cell r="L980">
            <v>2957</v>
          </cell>
          <cell r="N980">
            <v>2866</v>
          </cell>
          <cell r="P980">
            <v>2798</v>
          </cell>
          <cell r="R980">
            <v>2911</v>
          </cell>
          <cell r="T980">
            <v>2911</v>
          </cell>
          <cell r="V980">
            <v>2957</v>
          </cell>
          <cell r="X980">
            <v>2866</v>
          </cell>
          <cell r="Z980">
            <v>2957</v>
          </cell>
          <cell r="AD980">
            <v>0.09</v>
          </cell>
        </row>
        <row r="981">
          <cell r="E981" t="str">
            <v>6KV CVT 100sq</v>
          </cell>
          <cell r="F981" t="str">
            <v>ｍ</v>
          </cell>
          <cell r="H981">
            <v>4345</v>
          </cell>
          <cell r="J981">
            <v>4413</v>
          </cell>
          <cell r="L981">
            <v>4413</v>
          </cell>
          <cell r="N981">
            <v>4277</v>
          </cell>
          <cell r="P981">
            <v>4175</v>
          </cell>
          <cell r="R981">
            <v>4345</v>
          </cell>
          <cell r="T981">
            <v>4345</v>
          </cell>
          <cell r="V981">
            <v>4413</v>
          </cell>
          <cell r="X981">
            <v>4277</v>
          </cell>
          <cell r="Z981">
            <v>4413</v>
          </cell>
          <cell r="AD981">
            <v>0.124</v>
          </cell>
        </row>
        <row r="982">
          <cell r="E982" t="str">
            <v>6KV CVT 150sq</v>
          </cell>
          <cell r="F982" t="str">
            <v>ｍ</v>
          </cell>
          <cell r="H982">
            <v>6170</v>
          </cell>
          <cell r="J982">
            <v>6266</v>
          </cell>
          <cell r="L982">
            <v>6266</v>
          </cell>
          <cell r="N982">
            <v>6073</v>
          </cell>
          <cell r="P982">
            <v>5929</v>
          </cell>
          <cell r="R982">
            <v>6170</v>
          </cell>
          <cell r="T982">
            <v>6170</v>
          </cell>
          <cell r="V982">
            <v>6266</v>
          </cell>
          <cell r="X982">
            <v>6073</v>
          </cell>
          <cell r="Z982">
            <v>6266</v>
          </cell>
          <cell r="AD982">
            <v>0.151</v>
          </cell>
        </row>
        <row r="983">
          <cell r="E983" t="str">
            <v>6KV CVT 200sq</v>
          </cell>
          <cell r="F983" t="str">
            <v>ｍ</v>
          </cell>
          <cell r="H983">
            <v>7762</v>
          </cell>
          <cell r="J983">
            <v>7883</v>
          </cell>
          <cell r="L983">
            <v>7883</v>
          </cell>
          <cell r="N983">
            <v>7641</v>
          </cell>
          <cell r="P983">
            <v>7459</v>
          </cell>
          <cell r="R983">
            <v>7762</v>
          </cell>
          <cell r="T983">
            <v>7762</v>
          </cell>
          <cell r="V983">
            <v>7883</v>
          </cell>
          <cell r="X983">
            <v>7641</v>
          </cell>
          <cell r="Z983">
            <v>7883</v>
          </cell>
          <cell r="AD983">
            <v>0.188</v>
          </cell>
        </row>
        <row r="984">
          <cell r="E984" t="str">
            <v>6KV CVT 250sq</v>
          </cell>
          <cell r="F984" t="str">
            <v>ｍ</v>
          </cell>
          <cell r="H984">
            <v>9811</v>
          </cell>
          <cell r="J984">
            <v>9965</v>
          </cell>
          <cell r="L984">
            <v>9965</v>
          </cell>
          <cell r="N984">
            <v>9658</v>
          </cell>
          <cell r="P984">
            <v>9428</v>
          </cell>
          <cell r="R984">
            <v>9811</v>
          </cell>
          <cell r="T984">
            <v>9811</v>
          </cell>
          <cell r="V984">
            <v>9965</v>
          </cell>
          <cell r="X984">
            <v>9658</v>
          </cell>
          <cell r="Z984">
            <v>9965</v>
          </cell>
          <cell r="AD984">
            <v>0.216</v>
          </cell>
        </row>
        <row r="985">
          <cell r="E985" t="str">
            <v>6KV CVT 325sq</v>
          </cell>
          <cell r="F985" t="str">
            <v>ｍ</v>
          </cell>
          <cell r="H985">
            <v>12310</v>
          </cell>
          <cell r="J985">
            <v>12503</v>
          </cell>
          <cell r="L985">
            <v>12503</v>
          </cell>
          <cell r="N985">
            <v>12118</v>
          </cell>
          <cell r="P985">
            <v>11830</v>
          </cell>
          <cell r="R985">
            <v>12310</v>
          </cell>
          <cell r="T985">
            <v>12310</v>
          </cell>
          <cell r="V985">
            <v>12503</v>
          </cell>
          <cell r="X985">
            <v>12118</v>
          </cell>
          <cell r="Z985">
            <v>12503</v>
          </cell>
          <cell r="AD985">
            <v>0.27300000000000002</v>
          </cell>
        </row>
        <row r="986">
          <cell r="E986" t="str">
            <v>6KV CE 8sq-3C</v>
          </cell>
          <cell r="F986" t="str">
            <v>ｍ</v>
          </cell>
          <cell r="H986">
            <v>1237</v>
          </cell>
          <cell r="J986">
            <v>1256</v>
          </cell>
          <cell r="L986">
            <v>1256</v>
          </cell>
          <cell r="N986">
            <v>1217</v>
          </cell>
          <cell r="P986">
            <v>1189</v>
          </cell>
          <cell r="R986">
            <v>1237</v>
          </cell>
          <cell r="T986">
            <v>1237</v>
          </cell>
          <cell r="V986">
            <v>1237</v>
          </cell>
          <cell r="X986">
            <v>1217</v>
          </cell>
          <cell r="Z986">
            <v>1256</v>
          </cell>
          <cell r="AD986">
            <v>3.2000000000000001E-2</v>
          </cell>
        </row>
        <row r="987">
          <cell r="E987" t="str">
            <v>6KV CE 14sq-3C</v>
          </cell>
          <cell r="F987" t="str">
            <v>ｍ</v>
          </cell>
          <cell r="H987">
            <v>1494</v>
          </cell>
          <cell r="J987">
            <v>1517</v>
          </cell>
          <cell r="L987">
            <v>1517</v>
          </cell>
          <cell r="N987">
            <v>1471</v>
          </cell>
          <cell r="P987">
            <v>1437</v>
          </cell>
          <cell r="R987">
            <v>1494</v>
          </cell>
          <cell r="T987">
            <v>1494</v>
          </cell>
          <cell r="V987">
            <v>1494</v>
          </cell>
          <cell r="X987">
            <v>1471</v>
          </cell>
          <cell r="Z987">
            <v>1517</v>
          </cell>
          <cell r="AD987">
            <v>0.04</v>
          </cell>
        </row>
        <row r="988">
          <cell r="E988" t="str">
            <v>6KV CE 22sq-3C</v>
          </cell>
          <cell r="F988" t="str">
            <v>ｍ</v>
          </cell>
          <cell r="H988">
            <v>1863</v>
          </cell>
          <cell r="J988">
            <v>1891</v>
          </cell>
          <cell r="L988">
            <v>1891</v>
          </cell>
          <cell r="N988">
            <v>1834</v>
          </cell>
          <cell r="P988">
            <v>1791</v>
          </cell>
          <cell r="R988">
            <v>1863</v>
          </cell>
          <cell r="T988">
            <v>1863</v>
          </cell>
          <cell r="V988">
            <v>1863</v>
          </cell>
          <cell r="X988">
            <v>1834</v>
          </cell>
          <cell r="Z988">
            <v>1891</v>
          </cell>
          <cell r="AD988">
            <v>5.1999999999999998E-2</v>
          </cell>
        </row>
        <row r="989">
          <cell r="E989" t="str">
            <v>6KV CE 38sq-3C</v>
          </cell>
          <cell r="F989" t="str">
            <v>ｍ</v>
          </cell>
          <cell r="H989">
            <v>2513</v>
          </cell>
          <cell r="J989">
            <v>2552</v>
          </cell>
          <cell r="L989">
            <v>2552</v>
          </cell>
          <cell r="N989">
            <v>2474</v>
          </cell>
          <cell r="P989">
            <v>2416</v>
          </cell>
          <cell r="R989">
            <v>2513</v>
          </cell>
          <cell r="T989">
            <v>2513</v>
          </cell>
          <cell r="V989">
            <v>2513</v>
          </cell>
          <cell r="X989">
            <v>2474</v>
          </cell>
          <cell r="Z989">
            <v>2552</v>
          </cell>
          <cell r="AD989">
            <v>6.8000000000000005E-2</v>
          </cell>
        </row>
        <row r="990">
          <cell r="E990" t="str">
            <v>6KV CE 60sq-3C</v>
          </cell>
          <cell r="F990" t="str">
            <v>ｍ</v>
          </cell>
          <cell r="H990">
            <v>3396</v>
          </cell>
          <cell r="J990">
            <v>3449</v>
          </cell>
          <cell r="L990">
            <v>3449</v>
          </cell>
          <cell r="N990">
            <v>3344</v>
          </cell>
          <cell r="P990">
            <v>3266</v>
          </cell>
          <cell r="R990">
            <v>3396</v>
          </cell>
          <cell r="T990">
            <v>3396</v>
          </cell>
          <cell r="V990">
            <v>3396</v>
          </cell>
          <cell r="X990">
            <v>3344</v>
          </cell>
          <cell r="Z990">
            <v>3449</v>
          </cell>
          <cell r="AD990">
            <v>0.09</v>
          </cell>
        </row>
        <row r="991">
          <cell r="E991" t="str">
            <v>6KV CE 100sq-3C</v>
          </cell>
          <cell r="F991" t="str">
            <v>ｍ</v>
          </cell>
          <cell r="H991">
            <v>5027</v>
          </cell>
          <cell r="J991">
            <v>5104</v>
          </cell>
          <cell r="L991">
            <v>5104</v>
          </cell>
          <cell r="N991">
            <v>4949</v>
          </cell>
          <cell r="P991">
            <v>4833</v>
          </cell>
          <cell r="R991">
            <v>5027</v>
          </cell>
          <cell r="T991">
            <v>5027</v>
          </cell>
          <cell r="V991">
            <v>5027</v>
          </cell>
          <cell r="X991">
            <v>4949</v>
          </cell>
          <cell r="Z991">
            <v>5104</v>
          </cell>
          <cell r="AD991">
            <v>0.124</v>
          </cell>
        </row>
        <row r="992">
          <cell r="E992" t="str">
            <v>6KV CE 150sq-3C</v>
          </cell>
          <cell r="F992" t="str">
            <v>ｍ</v>
          </cell>
          <cell r="H992">
            <v>7217</v>
          </cell>
          <cell r="J992">
            <v>7328</v>
          </cell>
          <cell r="L992">
            <v>7328</v>
          </cell>
          <cell r="N992">
            <v>7105</v>
          </cell>
          <cell r="P992">
            <v>6939</v>
          </cell>
          <cell r="R992">
            <v>7217</v>
          </cell>
          <cell r="T992">
            <v>7217</v>
          </cell>
          <cell r="V992">
            <v>7217</v>
          </cell>
          <cell r="X992">
            <v>7105</v>
          </cell>
          <cell r="Z992">
            <v>7328</v>
          </cell>
          <cell r="AD992">
            <v>0.151</v>
          </cell>
        </row>
        <row r="993">
          <cell r="E993" t="str">
            <v>6KV CE 200sq-3C</v>
          </cell>
          <cell r="F993" t="str">
            <v>ｍ</v>
          </cell>
          <cell r="H993">
            <v>9886</v>
          </cell>
          <cell r="J993">
            <v>10038</v>
          </cell>
          <cell r="L993">
            <v>10038</v>
          </cell>
          <cell r="N993">
            <v>9734</v>
          </cell>
          <cell r="P993">
            <v>9506</v>
          </cell>
          <cell r="R993">
            <v>9886</v>
          </cell>
          <cell r="T993">
            <v>9886</v>
          </cell>
          <cell r="V993">
            <v>9886</v>
          </cell>
          <cell r="X993">
            <v>9734</v>
          </cell>
          <cell r="Z993">
            <v>10038</v>
          </cell>
          <cell r="AD993">
            <v>0.188</v>
          </cell>
        </row>
        <row r="994">
          <cell r="E994" t="str">
            <v>6KV CE 250sq-3C</v>
          </cell>
          <cell r="F994" t="str">
            <v>ｍ</v>
          </cell>
          <cell r="H994">
            <v>12477</v>
          </cell>
          <cell r="J994">
            <v>12688</v>
          </cell>
          <cell r="L994">
            <v>12688</v>
          </cell>
          <cell r="N994">
            <v>12285</v>
          </cell>
          <cell r="P994">
            <v>11997</v>
          </cell>
          <cell r="R994">
            <v>12477</v>
          </cell>
          <cell r="T994">
            <v>12477</v>
          </cell>
          <cell r="V994">
            <v>12477</v>
          </cell>
          <cell r="X994">
            <v>12285</v>
          </cell>
          <cell r="Z994">
            <v>12688</v>
          </cell>
          <cell r="AD994">
            <v>0.216</v>
          </cell>
        </row>
        <row r="995">
          <cell r="E995" t="str">
            <v>6KV CE 325sq-3C</v>
          </cell>
          <cell r="F995" t="str">
            <v>ｍ</v>
          </cell>
          <cell r="H995">
            <v>15664</v>
          </cell>
          <cell r="J995">
            <v>15905</v>
          </cell>
          <cell r="L995">
            <v>15905</v>
          </cell>
          <cell r="N995">
            <v>15423</v>
          </cell>
          <cell r="P995">
            <v>15062</v>
          </cell>
          <cell r="R995">
            <v>15664</v>
          </cell>
          <cell r="T995">
            <v>15664</v>
          </cell>
          <cell r="V995">
            <v>15664</v>
          </cell>
          <cell r="X995">
            <v>15423</v>
          </cell>
          <cell r="Z995">
            <v>15905</v>
          </cell>
          <cell r="AD995">
            <v>0.27300000000000002</v>
          </cell>
        </row>
        <row r="998">
          <cell r="E998" t="str">
            <v>04_Users</v>
          </cell>
        </row>
        <row r="999">
          <cell r="E999" t="str">
            <v>04_Users</v>
          </cell>
        </row>
        <row r="1000">
          <cell r="E1000" t="str">
            <v>04_Users</v>
          </cell>
        </row>
        <row r="1001">
          <cell r="E1001" t="str">
            <v>04_Users</v>
          </cell>
        </row>
        <row r="1002">
          <cell r="E1002" t="str">
            <v>04_Users</v>
          </cell>
        </row>
        <row r="1003">
          <cell r="E1003" t="str">
            <v>04_Users</v>
          </cell>
        </row>
        <row r="1004">
          <cell r="E1004" t="str">
            <v>04_Users</v>
          </cell>
        </row>
        <row r="1005">
          <cell r="E1005" t="str">
            <v>04_Users</v>
          </cell>
        </row>
        <row r="1006">
          <cell r="E1006" t="str">
            <v>04_Users</v>
          </cell>
        </row>
        <row r="1007">
          <cell r="E1007" t="str">
            <v>04_Users</v>
          </cell>
        </row>
        <row r="1008">
          <cell r="E1008" t="str">
            <v>04_Users</v>
          </cell>
        </row>
        <row r="1009">
          <cell r="E1009" t="str">
            <v>04_Users</v>
          </cell>
        </row>
        <row r="1010">
          <cell r="E1010" t="str">
            <v>04_Users</v>
          </cell>
        </row>
        <row r="1011">
          <cell r="E1011" t="str">
            <v>04_Users</v>
          </cell>
        </row>
        <row r="1012">
          <cell r="E1012" t="str">
            <v>04_Users</v>
          </cell>
        </row>
        <row r="1013">
          <cell r="E1013" t="str">
            <v>04_Users</v>
          </cell>
        </row>
        <row r="1014">
          <cell r="E1014" t="str">
            <v>04_Users</v>
          </cell>
        </row>
        <row r="1015">
          <cell r="E1015" t="str">
            <v>04_Users</v>
          </cell>
        </row>
        <row r="1016">
          <cell r="E1016" t="str">
            <v>04_Users</v>
          </cell>
        </row>
        <row r="1017">
          <cell r="E1017" t="str">
            <v>04_Users</v>
          </cell>
        </row>
        <row r="1018">
          <cell r="E1018" t="str">
            <v>04_Users</v>
          </cell>
        </row>
        <row r="1019">
          <cell r="E1019" t="str">
            <v>04_Users</v>
          </cell>
        </row>
        <row r="1020">
          <cell r="E1020" t="str">
            <v>04_Users</v>
          </cell>
        </row>
        <row r="1021">
          <cell r="E1021" t="str">
            <v>04_Users</v>
          </cell>
        </row>
        <row r="1022">
          <cell r="E1022" t="str">
            <v>04_Users</v>
          </cell>
        </row>
        <row r="1023">
          <cell r="E1023" t="str">
            <v>04_Users</v>
          </cell>
        </row>
        <row r="1024">
          <cell r="E1024" t="str">
            <v>04_Users</v>
          </cell>
        </row>
        <row r="1025">
          <cell r="E1025" t="str">
            <v>04_Users</v>
          </cell>
        </row>
        <row r="1026">
          <cell r="E1026" t="str">
            <v>04_Users</v>
          </cell>
        </row>
        <row r="1027">
          <cell r="E1027" t="str">
            <v>04_Users</v>
          </cell>
        </row>
        <row r="1028">
          <cell r="E1028" t="str">
            <v>04_Users</v>
          </cell>
        </row>
        <row r="1029">
          <cell r="E1029" t="str">
            <v>04_Users</v>
          </cell>
        </row>
        <row r="1030">
          <cell r="E1030" t="str">
            <v>04_Users</v>
          </cell>
        </row>
        <row r="1031">
          <cell r="E1031" t="str">
            <v>04_Users</v>
          </cell>
        </row>
        <row r="1032">
          <cell r="E1032" t="str">
            <v>04_Users</v>
          </cell>
        </row>
        <row r="1033">
          <cell r="E1033" t="str">
            <v>04_Users</v>
          </cell>
        </row>
        <row r="1034">
          <cell r="E1034" t="str">
            <v>04_Users</v>
          </cell>
        </row>
        <row r="1035">
          <cell r="E1035" t="str">
            <v>04_Users</v>
          </cell>
        </row>
        <row r="1036">
          <cell r="E1036" t="str">
            <v>04_Users</v>
          </cell>
        </row>
        <row r="1037">
          <cell r="E1037" t="str">
            <v>04_Users</v>
          </cell>
        </row>
        <row r="1040">
          <cell r="E1040" t="str">
            <v>HP 0.65mm-2C</v>
          </cell>
          <cell r="F1040" t="str">
            <v>ｍ</v>
          </cell>
          <cell r="H1040">
            <v>27.4</v>
          </cell>
          <cell r="J1040">
            <v>27.4</v>
          </cell>
          <cell r="L1040">
            <v>27.4</v>
          </cell>
          <cell r="N1040">
            <v>27.4</v>
          </cell>
          <cell r="P1040">
            <v>27.4</v>
          </cell>
          <cell r="R1040">
            <v>27.4</v>
          </cell>
          <cell r="T1040">
            <v>27.4</v>
          </cell>
          <cell r="V1040">
            <v>27.4</v>
          </cell>
          <cell r="X1040">
            <v>27.4</v>
          </cell>
          <cell r="Z1040">
            <v>27.4</v>
          </cell>
          <cell r="AD1040">
            <v>1.2999999999999999E-2</v>
          </cell>
        </row>
        <row r="1041">
          <cell r="E1041" t="str">
            <v>HP 0.65mm-4C</v>
          </cell>
          <cell r="F1041" t="str">
            <v>ｍ</v>
          </cell>
          <cell r="H1041">
            <v>45.4</v>
          </cell>
          <cell r="J1041">
            <v>45.4</v>
          </cell>
          <cell r="L1041">
            <v>45.4</v>
          </cell>
          <cell r="N1041">
            <v>45.4</v>
          </cell>
          <cell r="P1041">
            <v>45.4</v>
          </cell>
          <cell r="R1041">
            <v>45.4</v>
          </cell>
          <cell r="T1041">
            <v>45.4</v>
          </cell>
          <cell r="V1041">
            <v>45.4</v>
          </cell>
          <cell r="X1041">
            <v>45.4</v>
          </cell>
          <cell r="Z1041">
            <v>45.4</v>
          </cell>
          <cell r="AD1041">
            <v>1.4E-2</v>
          </cell>
        </row>
        <row r="1042">
          <cell r="E1042" t="str">
            <v>HP 0.65mm-6C</v>
          </cell>
          <cell r="F1042" t="str">
            <v>ｍ</v>
          </cell>
          <cell r="H1042">
            <v>66.900000000000006</v>
          </cell>
          <cell r="J1042">
            <v>66.900000000000006</v>
          </cell>
          <cell r="L1042">
            <v>66.900000000000006</v>
          </cell>
          <cell r="N1042">
            <v>66.900000000000006</v>
          </cell>
          <cell r="P1042">
            <v>66.900000000000006</v>
          </cell>
          <cell r="R1042">
            <v>66.900000000000006</v>
          </cell>
          <cell r="T1042">
            <v>66.900000000000006</v>
          </cell>
          <cell r="V1042">
            <v>66.900000000000006</v>
          </cell>
          <cell r="X1042">
            <v>66.900000000000006</v>
          </cell>
          <cell r="Z1042">
            <v>66.900000000000006</v>
          </cell>
          <cell r="AD1042">
            <v>1.4999999999999999E-2</v>
          </cell>
        </row>
        <row r="1043">
          <cell r="E1043" t="str">
            <v>HP 0.65mm-5Pr</v>
          </cell>
          <cell r="F1043" t="str">
            <v>ｍ</v>
          </cell>
          <cell r="H1043">
            <v>125</v>
          </cell>
          <cell r="J1043">
            <v>125</v>
          </cell>
          <cell r="L1043">
            <v>125</v>
          </cell>
          <cell r="N1043">
            <v>125</v>
          </cell>
          <cell r="P1043">
            <v>125</v>
          </cell>
          <cell r="R1043">
            <v>125</v>
          </cell>
          <cell r="T1043">
            <v>125</v>
          </cell>
          <cell r="V1043">
            <v>125</v>
          </cell>
          <cell r="X1043">
            <v>125</v>
          </cell>
          <cell r="Z1043">
            <v>125</v>
          </cell>
          <cell r="AD1043">
            <v>1.7000000000000001E-2</v>
          </cell>
        </row>
        <row r="1044">
          <cell r="E1044" t="str">
            <v>HP 0.65mm-10Pr</v>
          </cell>
          <cell r="F1044" t="str">
            <v>ｍ</v>
          </cell>
          <cell r="H1044">
            <v>235</v>
          </cell>
          <cell r="J1044">
            <v>235</v>
          </cell>
          <cell r="L1044">
            <v>235</v>
          </cell>
          <cell r="N1044">
            <v>235</v>
          </cell>
          <cell r="P1044">
            <v>235</v>
          </cell>
          <cell r="R1044">
            <v>235</v>
          </cell>
          <cell r="T1044">
            <v>235</v>
          </cell>
          <cell r="V1044">
            <v>235</v>
          </cell>
          <cell r="X1044">
            <v>235</v>
          </cell>
          <cell r="Z1044">
            <v>235</v>
          </cell>
          <cell r="AD1044">
            <v>0.02</v>
          </cell>
        </row>
        <row r="1045">
          <cell r="E1045" t="str">
            <v>HP 0.65mm-15Pr</v>
          </cell>
          <cell r="F1045" t="str">
            <v>ｍ</v>
          </cell>
          <cell r="H1045">
            <v>328</v>
          </cell>
          <cell r="J1045">
            <v>328</v>
          </cell>
          <cell r="L1045">
            <v>328</v>
          </cell>
          <cell r="N1045">
            <v>328</v>
          </cell>
          <cell r="P1045">
            <v>328</v>
          </cell>
          <cell r="R1045">
            <v>328</v>
          </cell>
          <cell r="T1045">
            <v>328</v>
          </cell>
          <cell r="V1045">
            <v>328</v>
          </cell>
          <cell r="X1045">
            <v>328</v>
          </cell>
          <cell r="Z1045">
            <v>328</v>
          </cell>
          <cell r="AD1045">
            <v>2.1999999999999999E-2</v>
          </cell>
        </row>
        <row r="1046">
          <cell r="E1046" t="str">
            <v>HP 0.65mm-20Pr</v>
          </cell>
          <cell r="F1046" t="str">
            <v>ｍ</v>
          </cell>
          <cell r="H1046">
            <v>441</v>
          </cell>
          <cell r="J1046">
            <v>441</v>
          </cell>
          <cell r="L1046">
            <v>441</v>
          </cell>
          <cell r="N1046">
            <v>441</v>
          </cell>
          <cell r="P1046">
            <v>441</v>
          </cell>
          <cell r="R1046">
            <v>441</v>
          </cell>
          <cell r="T1046">
            <v>441</v>
          </cell>
          <cell r="V1046">
            <v>441</v>
          </cell>
          <cell r="X1046">
            <v>441</v>
          </cell>
          <cell r="Z1046">
            <v>441</v>
          </cell>
          <cell r="AD1046">
            <v>2.4E-2</v>
          </cell>
        </row>
        <row r="1047">
          <cell r="E1047" t="str">
            <v>HP 0.65mm-30Pr</v>
          </cell>
          <cell r="F1047" t="str">
            <v>ｍ</v>
          </cell>
          <cell r="H1047">
            <v>654</v>
          </cell>
          <cell r="J1047">
            <v>654</v>
          </cell>
          <cell r="L1047">
            <v>654</v>
          </cell>
          <cell r="N1047">
            <v>654</v>
          </cell>
          <cell r="P1047">
            <v>654</v>
          </cell>
          <cell r="R1047">
            <v>654</v>
          </cell>
          <cell r="T1047">
            <v>654</v>
          </cell>
          <cell r="V1047">
            <v>654</v>
          </cell>
          <cell r="X1047">
            <v>654</v>
          </cell>
          <cell r="Z1047">
            <v>654</v>
          </cell>
          <cell r="AD1047">
            <v>2.9000000000000001E-2</v>
          </cell>
        </row>
        <row r="1048">
          <cell r="E1048" t="str">
            <v>HP 0.65mm-40Pr</v>
          </cell>
          <cell r="F1048" t="str">
            <v>ｍ</v>
          </cell>
          <cell r="H1048">
            <v>862</v>
          </cell>
          <cell r="J1048">
            <v>862</v>
          </cell>
          <cell r="L1048">
            <v>862</v>
          </cell>
          <cell r="N1048">
            <v>862</v>
          </cell>
          <cell r="P1048">
            <v>862</v>
          </cell>
          <cell r="R1048">
            <v>862</v>
          </cell>
          <cell r="T1048">
            <v>862</v>
          </cell>
          <cell r="V1048">
            <v>862</v>
          </cell>
          <cell r="X1048">
            <v>862</v>
          </cell>
          <cell r="Z1048">
            <v>862</v>
          </cell>
          <cell r="AD1048">
            <v>3.4000000000000002E-2</v>
          </cell>
        </row>
        <row r="1049">
          <cell r="E1049" t="str">
            <v>HP 0.65mm-50Pr</v>
          </cell>
          <cell r="F1049" t="str">
            <v>ｍ</v>
          </cell>
          <cell r="H1049">
            <v>1050</v>
          </cell>
          <cell r="J1049">
            <v>1050</v>
          </cell>
          <cell r="L1049">
            <v>1050</v>
          </cell>
          <cell r="N1049">
            <v>1050</v>
          </cell>
          <cell r="P1049">
            <v>1050</v>
          </cell>
          <cell r="R1049">
            <v>1050</v>
          </cell>
          <cell r="T1049">
            <v>1050</v>
          </cell>
          <cell r="V1049">
            <v>1050</v>
          </cell>
          <cell r="X1049">
            <v>1050</v>
          </cell>
          <cell r="Z1049">
            <v>1050</v>
          </cell>
          <cell r="AD1049">
            <v>3.9E-2</v>
          </cell>
        </row>
        <row r="1050">
          <cell r="E1050" t="str">
            <v>HP 0.65mm-100Pr</v>
          </cell>
          <cell r="F1050" t="str">
            <v>ｍ</v>
          </cell>
          <cell r="H1050">
            <v>2185</v>
          </cell>
          <cell r="J1050">
            <v>2185</v>
          </cell>
          <cell r="L1050">
            <v>2185</v>
          </cell>
          <cell r="N1050">
            <v>2185</v>
          </cell>
          <cell r="P1050">
            <v>2185</v>
          </cell>
          <cell r="R1050">
            <v>2185</v>
          </cell>
          <cell r="T1050">
            <v>2185</v>
          </cell>
          <cell r="V1050">
            <v>2185</v>
          </cell>
          <cell r="X1050">
            <v>2185</v>
          </cell>
          <cell r="Z1050">
            <v>2185</v>
          </cell>
          <cell r="AD1050">
            <v>6.4000000000000001E-2</v>
          </cell>
        </row>
        <row r="1051">
          <cell r="E1051" t="str">
            <v>HP 0.9mm-1C</v>
          </cell>
          <cell r="F1051" t="str">
            <v>ｍ</v>
          </cell>
          <cell r="H1051">
            <v>16.2</v>
          </cell>
          <cell r="J1051">
            <v>16.2</v>
          </cell>
          <cell r="L1051">
            <v>16.2</v>
          </cell>
          <cell r="N1051">
            <v>16.2</v>
          </cell>
          <cell r="P1051">
            <v>16.2</v>
          </cell>
          <cell r="R1051">
            <v>16.2</v>
          </cell>
          <cell r="T1051">
            <v>16.2</v>
          </cell>
          <cell r="V1051">
            <v>16.2</v>
          </cell>
          <cell r="X1051">
            <v>16.2</v>
          </cell>
          <cell r="Z1051">
            <v>16.2</v>
          </cell>
          <cell r="AD1051">
            <v>1.2E-2</v>
          </cell>
        </row>
        <row r="1052">
          <cell r="E1052" t="str">
            <v>HP 0.9mm-2C</v>
          </cell>
          <cell r="F1052" t="str">
            <v>ｍ</v>
          </cell>
          <cell r="H1052">
            <v>28.7</v>
          </cell>
          <cell r="J1052">
            <v>28.7</v>
          </cell>
          <cell r="L1052">
            <v>28.7</v>
          </cell>
          <cell r="N1052">
            <v>28.7</v>
          </cell>
          <cell r="P1052">
            <v>28.7</v>
          </cell>
          <cell r="R1052">
            <v>28.7</v>
          </cell>
          <cell r="T1052">
            <v>28.7</v>
          </cell>
          <cell r="V1052">
            <v>28.7</v>
          </cell>
          <cell r="X1052">
            <v>28.7</v>
          </cell>
          <cell r="Z1052">
            <v>28.7</v>
          </cell>
          <cell r="AD1052">
            <v>1.4E-2</v>
          </cell>
        </row>
        <row r="1053">
          <cell r="E1053" t="str">
            <v>HP 0.9mm-3C</v>
          </cell>
          <cell r="F1053" t="str">
            <v>ｍ</v>
          </cell>
          <cell r="H1053">
            <v>43</v>
          </cell>
          <cell r="J1053">
            <v>43</v>
          </cell>
          <cell r="L1053">
            <v>43</v>
          </cell>
          <cell r="N1053">
            <v>43</v>
          </cell>
          <cell r="P1053">
            <v>43</v>
          </cell>
          <cell r="R1053">
            <v>43</v>
          </cell>
          <cell r="T1053">
            <v>43</v>
          </cell>
          <cell r="V1053">
            <v>43</v>
          </cell>
          <cell r="X1053">
            <v>43</v>
          </cell>
          <cell r="Z1053">
            <v>43</v>
          </cell>
          <cell r="AD1053">
            <v>1.6E-2</v>
          </cell>
        </row>
        <row r="1054">
          <cell r="E1054" t="str">
            <v>HP 0.9mm-4C</v>
          </cell>
          <cell r="F1054" t="str">
            <v>ｍ</v>
          </cell>
          <cell r="H1054">
            <v>63.1</v>
          </cell>
          <cell r="J1054">
            <v>63.1</v>
          </cell>
          <cell r="L1054">
            <v>63.1</v>
          </cell>
          <cell r="N1054">
            <v>63.1</v>
          </cell>
          <cell r="P1054">
            <v>63.1</v>
          </cell>
          <cell r="R1054">
            <v>63.1</v>
          </cell>
          <cell r="T1054">
            <v>63.1</v>
          </cell>
          <cell r="V1054">
            <v>63.1</v>
          </cell>
          <cell r="X1054">
            <v>63.1</v>
          </cell>
          <cell r="Z1054">
            <v>63.1</v>
          </cell>
          <cell r="AD1054">
            <v>1.7000000000000001E-2</v>
          </cell>
        </row>
        <row r="1055">
          <cell r="E1055" t="str">
            <v>HP 0.9mm-5C</v>
          </cell>
          <cell r="F1055" t="str">
            <v>ｍ</v>
          </cell>
          <cell r="H1055">
            <v>78.900000000000006</v>
          </cell>
          <cell r="J1055">
            <v>78.900000000000006</v>
          </cell>
          <cell r="L1055">
            <v>78.900000000000006</v>
          </cell>
          <cell r="N1055">
            <v>78.900000000000006</v>
          </cell>
          <cell r="P1055">
            <v>78.900000000000006</v>
          </cell>
          <cell r="R1055">
            <v>78.900000000000006</v>
          </cell>
          <cell r="T1055">
            <v>78.900000000000006</v>
          </cell>
          <cell r="V1055">
            <v>78.900000000000006</v>
          </cell>
          <cell r="X1055">
            <v>78.900000000000006</v>
          </cell>
          <cell r="Z1055">
            <v>78.900000000000006</v>
          </cell>
          <cell r="AD1055">
            <v>1.9E-2</v>
          </cell>
        </row>
        <row r="1056">
          <cell r="E1056" t="str">
            <v>HP 0.9mm-6C</v>
          </cell>
          <cell r="F1056" t="str">
            <v>ｍ</v>
          </cell>
          <cell r="H1056">
            <v>90.2</v>
          </cell>
          <cell r="J1056">
            <v>90.2</v>
          </cell>
          <cell r="L1056">
            <v>90.2</v>
          </cell>
          <cell r="N1056">
            <v>90.2</v>
          </cell>
          <cell r="P1056">
            <v>90.2</v>
          </cell>
          <cell r="R1056">
            <v>90.2</v>
          </cell>
          <cell r="T1056">
            <v>90.2</v>
          </cell>
          <cell r="V1056">
            <v>90.2</v>
          </cell>
          <cell r="X1056">
            <v>90.2</v>
          </cell>
          <cell r="Z1056">
            <v>90.2</v>
          </cell>
          <cell r="AD1056">
            <v>1.9E-2</v>
          </cell>
        </row>
        <row r="1057">
          <cell r="E1057" t="str">
            <v>HP 0.9mm-7C</v>
          </cell>
          <cell r="F1057" t="str">
            <v>ｍ</v>
          </cell>
          <cell r="H1057">
            <v>105</v>
          </cell>
          <cell r="J1057">
            <v>105</v>
          </cell>
          <cell r="L1057">
            <v>105</v>
          </cell>
          <cell r="N1057">
            <v>105</v>
          </cell>
          <cell r="P1057">
            <v>105</v>
          </cell>
          <cell r="R1057">
            <v>105</v>
          </cell>
          <cell r="T1057">
            <v>105</v>
          </cell>
          <cell r="V1057">
            <v>105</v>
          </cell>
          <cell r="X1057">
            <v>105</v>
          </cell>
          <cell r="Z1057">
            <v>105</v>
          </cell>
          <cell r="AD1057">
            <v>0.02</v>
          </cell>
        </row>
        <row r="1058">
          <cell r="E1058" t="str">
            <v>HP 0.9mm-3Pr</v>
          </cell>
          <cell r="F1058" t="str">
            <v>ｍ</v>
          </cell>
          <cell r="H1058">
            <v>111</v>
          </cell>
          <cell r="J1058">
            <v>111</v>
          </cell>
          <cell r="L1058">
            <v>111</v>
          </cell>
          <cell r="N1058">
            <v>111</v>
          </cell>
          <cell r="P1058">
            <v>111</v>
          </cell>
          <cell r="R1058">
            <v>111</v>
          </cell>
          <cell r="T1058">
            <v>111</v>
          </cell>
          <cell r="V1058">
            <v>111</v>
          </cell>
          <cell r="X1058">
            <v>111</v>
          </cell>
          <cell r="Z1058">
            <v>111</v>
          </cell>
          <cell r="AD1058">
            <v>2.1000000000000001E-2</v>
          </cell>
        </row>
        <row r="1059">
          <cell r="E1059" t="str">
            <v>HP 0.9mm-5Pr</v>
          </cell>
          <cell r="F1059" t="str">
            <v>ｍ</v>
          </cell>
          <cell r="H1059">
            <v>154</v>
          </cell>
          <cell r="J1059">
            <v>154</v>
          </cell>
          <cell r="L1059">
            <v>154</v>
          </cell>
          <cell r="N1059">
            <v>154</v>
          </cell>
          <cell r="P1059">
            <v>154</v>
          </cell>
          <cell r="R1059">
            <v>154</v>
          </cell>
          <cell r="T1059">
            <v>154</v>
          </cell>
          <cell r="V1059">
            <v>154</v>
          </cell>
          <cell r="X1059">
            <v>154</v>
          </cell>
          <cell r="Z1059">
            <v>154</v>
          </cell>
          <cell r="AD1059">
            <v>2.1999999999999999E-2</v>
          </cell>
        </row>
        <row r="1060">
          <cell r="E1060" t="str">
            <v>HP 0.9mm-7Pr</v>
          </cell>
          <cell r="F1060" t="str">
            <v>ｍ</v>
          </cell>
          <cell r="H1060">
            <v>202</v>
          </cell>
          <cell r="J1060">
            <v>202</v>
          </cell>
          <cell r="L1060">
            <v>202</v>
          </cell>
          <cell r="N1060">
            <v>202</v>
          </cell>
          <cell r="P1060">
            <v>202</v>
          </cell>
          <cell r="R1060">
            <v>202</v>
          </cell>
          <cell r="T1060">
            <v>202</v>
          </cell>
          <cell r="V1060">
            <v>202</v>
          </cell>
          <cell r="X1060">
            <v>202</v>
          </cell>
          <cell r="Z1060">
            <v>202</v>
          </cell>
          <cell r="AD1060">
            <v>2.3E-2</v>
          </cell>
        </row>
        <row r="1061">
          <cell r="E1061" t="str">
            <v>HP 0.9mm-10Pr</v>
          </cell>
          <cell r="F1061" t="str">
            <v>ｍ</v>
          </cell>
          <cell r="H1061">
            <v>290</v>
          </cell>
          <cell r="J1061">
            <v>290</v>
          </cell>
          <cell r="L1061">
            <v>290</v>
          </cell>
          <cell r="N1061">
            <v>290</v>
          </cell>
          <cell r="P1061">
            <v>290</v>
          </cell>
          <cell r="R1061">
            <v>290</v>
          </cell>
          <cell r="T1061">
            <v>290</v>
          </cell>
          <cell r="V1061">
            <v>290</v>
          </cell>
          <cell r="X1061">
            <v>290</v>
          </cell>
          <cell r="Z1061">
            <v>290</v>
          </cell>
          <cell r="AD1061">
            <v>2.5000000000000001E-2</v>
          </cell>
        </row>
        <row r="1062">
          <cell r="E1062" t="str">
            <v>HP 0.9mm-15Pr</v>
          </cell>
          <cell r="F1062" t="str">
            <v>ｍ</v>
          </cell>
          <cell r="H1062">
            <v>426</v>
          </cell>
          <cell r="J1062">
            <v>426</v>
          </cell>
          <cell r="L1062">
            <v>426</v>
          </cell>
          <cell r="N1062">
            <v>426</v>
          </cell>
          <cell r="P1062">
            <v>426</v>
          </cell>
          <cell r="R1062">
            <v>426</v>
          </cell>
          <cell r="T1062">
            <v>426</v>
          </cell>
          <cell r="V1062">
            <v>426</v>
          </cell>
          <cell r="X1062">
            <v>426</v>
          </cell>
          <cell r="Z1062">
            <v>426</v>
          </cell>
          <cell r="AD1062">
            <v>2.8000000000000001E-2</v>
          </cell>
        </row>
        <row r="1063">
          <cell r="E1063" t="str">
            <v>HP 0.9mm-20Pr</v>
          </cell>
          <cell r="F1063" t="str">
            <v>ｍ</v>
          </cell>
          <cell r="H1063">
            <v>546</v>
          </cell>
          <cell r="J1063">
            <v>546</v>
          </cell>
          <cell r="L1063">
            <v>546</v>
          </cell>
          <cell r="N1063">
            <v>546</v>
          </cell>
          <cell r="P1063">
            <v>546</v>
          </cell>
          <cell r="R1063">
            <v>546</v>
          </cell>
          <cell r="T1063">
            <v>546</v>
          </cell>
          <cell r="V1063">
            <v>546</v>
          </cell>
          <cell r="X1063">
            <v>546</v>
          </cell>
          <cell r="Z1063">
            <v>546</v>
          </cell>
          <cell r="AD1063">
            <v>3.1E-2</v>
          </cell>
        </row>
        <row r="1064">
          <cell r="E1064" t="str">
            <v>HP 0.9mm-25Pr</v>
          </cell>
          <cell r="F1064" t="str">
            <v>ｍ</v>
          </cell>
          <cell r="H1064">
            <v>684</v>
          </cell>
          <cell r="J1064">
            <v>684</v>
          </cell>
          <cell r="L1064">
            <v>684</v>
          </cell>
          <cell r="N1064">
            <v>684</v>
          </cell>
          <cell r="P1064">
            <v>684</v>
          </cell>
          <cell r="R1064">
            <v>684</v>
          </cell>
          <cell r="T1064">
            <v>684</v>
          </cell>
          <cell r="V1064">
            <v>684</v>
          </cell>
          <cell r="X1064">
            <v>684</v>
          </cell>
          <cell r="Z1064">
            <v>684</v>
          </cell>
          <cell r="AD1064">
            <v>3.5000000000000003E-2</v>
          </cell>
        </row>
        <row r="1065">
          <cell r="E1065" t="str">
            <v>HP 0.9mm-30Pr</v>
          </cell>
          <cell r="F1065" t="str">
            <v>ｍ</v>
          </cell>
          <cell r="H1065">
            <v>812</v>
          </cell>
          <cell r="J1065">
            <v>812</v>
          </cell>
          <cell r="L1065">
            <v>812</v>
          </cell>
          <cell r="N1065">
            <v>812</v>
          </cell>
          <cell r="P1065">
            <v>812</v>
          </cell>
          <cell r="R1065">
            <v>812</v>
          </cell>
          <cell r="T1065">
            <v>812</v>
          </cell>
          <cell r="V1065">
            <v>812</v>
          </cell>
          <cell r="X1065">
            <v>812</v>
          </cell>
          <cell r="Z1065">
            <v>812</v>
          </cell>
          <cell r="AD1065">
            <v>3.6999999999999998E-2</v>
          </cell>
        </row>
        <row r="1066">
          <cell r="E1066" t="str">
            <v>HP 0.9mm-40Pr</v>
          </cell>
          <cell r="F1066" t="str">
            <v>ｍ</v>
          </cell>
          <cell r="H1066">
            <v>1128</v>
          </cell>
          <cell r="J1066">
            <v>1128</v>
          </cell>
          <cell r="L1066">
            <v>1128</v>
          </cell>
          <cell r="N1066">
            <v>1128</v>
          </cell>
          <cell r="P1066">
            <v>1128</v>
          </cell>
          <cell r="R1066">
            <v>1128</v>
          </cell>
          <cell r="T1066">
            <v>1128</v>
          </cell>
          <cell r="V1066">
            <v>1128</v>
          </cell>
          <cell r="X1066">
            <v>1128</v>
          </cell>
          <cell r="Z1066">
            <v>1128</v>
          </cell>
          <cell r="AD1066">
            <v>4.2999999999999997E-2</v>
          </cell>
        </row>
        <row r="1067">
          <cell r="E1067" t="str">
            <v>HP 0.9mm-50Pr</v>
          </cell>
          <cell r="F1067" t="str">
            <v>ｍ</v>
          </cell>
          <cell r="H1067">
            <v>1318</v>
          </cell>
          <cell r="J1067">
            <v>1318</v>
          </cell>
          <cell r="L1067">
            <v>1318</v>
          </cell>
          <cell r="N1067">
            <v>1318</v>
          </cell>
          <cell r="P1067">
            <v>1318</v>
          </cell>
          <cell r="R1067">
            <v>1318</v>
          </cell>
          <cell r="T1067">
            <v>1318</v>
          </cell>
          <cell r="V1067">
            <v>1318</v>
          </cell>
          <cell r="X1067">
            <v>1318</v>
          </cell>
          <cell r="Z1067">
            <v>1318</v>
          </cell>
          <cell r="AD1067">
            <v>0.05</v>
          </cell>
        </row>
        <row r="1068">
          <cell r="E1068" t="str">
            <v>HP 0.9mm-75Pr</v>
          </cell>
          <cell r="F1068" t="str">
            <v>ｍ</v>
          </cell>
          <cell r="H1068">
            <v>2127</v>
          </cell>
          <cell r="J1068">
            <v>2127</v>
          </cell>
          <cell r="L1068">
            <v>2127</v>
          </cell>
          <cell r="N1068">
            <v>2127</v>
          </cell>
          <cell r="P1068">
            <v>2127</v>
          </cell>
          <cell r="R1068">
            <v>2127</v>
          </cell>
          <cell r="T1068">
            <v>2127</v>
          </cell>
          <cell r="V1068">
            <v>2127</v>
          </cell>
          <cell r="X1068">
            <v>2127</v>
          </cell>
          <cell r="Z1068">
            <v>2127</v>
          </cell>
          <cell r="AD1068">
            <v>6.6000000000000003E-2</v>
          </cell>
        </row>
        <row r="1069">
          <cell r="E1069" t="str">
            <v>HP 0.9mm-100Pr</v>
          </cell>
          <cell r="F1069" t="str">
            <v>ｍ</v>
          </cell>
          <cell r="H1069">
            <v>2737</v>
          </cell>
          <cell r="J1069">
            <v>2737</v>
          </cell>
          <cell r="L1069">
            <v>2737</v>
          </cell>
          <cell r="N1069">
            <v>2737</v>
          </cell>
          <cell r="P1069">
            <v>2737</v>
          </cell>
          <cell r="R1069">
            <v>2737</v>
          </cell>
          <cell r="T1069">
            <v>2737</v>
          </cell>
          <cell r="V1069">
            <v>2737</v>
          </cell>
          <cell r="X1069">
            <v>2737</v>
          </cell>
          <cell r="Z1069">
            <v>2737</v>
          </cell>
          <cell r="AD1069">
            <v>8.3000000000000004E-2</v>
          </cell>
        </row>
        <row r="1070">
          <cell r="E1070" t="str">
            <v>HP 0.9mm-200Pr</v>
          </cell>
          <cell r="F1070" t="str">
            <v>ｍ</v>
          </cell>
          <cell r="H1070">
            <v>5110</v>
          </cell>
          <cell r="J1070">
            <v>5110</v>
          </cell>
          <cell r="L1070">
            <v>5110</v>
          </cell>
          <cell r="N1070">
            <v>5110</v>
          </cell>
          <cell r="P1070">
            <v>5110</v>
          </cell>
          <cell r="R1070">
            <v>5110</v>
          </cell>
          <cell r="T1070">
            <v>5110</v>
          </cell>
          <cell r="V1070">
            <v>5110</v>
          </cell>
          <cell r="X1070">
            <v>5110</v>
          </cell>
          <cell r="Z1070">
            <v>5110</v>
          </cell>
          <cell r="AD1070">
            <v>0.123</v>
          </cell>
        </row>
        <row r="1071">
          <cell r="E1071" t="str">
            <v>HP 1.2mm-1C</v>
          </cell>
          <cell r="F1071" t="str">
            <v>ｍ</v>
          </cell>
          <cell r="H1071">
            <v>29.5</v>
          </cell>
          <cell r="J1071">
            <v>29.5</v>
          </cell>
          <cell r="L1071">
            <v>29.5</v>
          </cell>
          <cell r="N1071">
            <v>29.5</v>
          </cell>
          <cell r="P1071">
            <v>29.5</v>
          </cell>
          <cell r="R1071">
            <v>29.5</v>
          </cell>
          <cell r="T1071">
            <v>29.5</v>
          </cell>
          <cell r="V1071">
            <v>29.5</v>
          </cell>
          <cell r="X1071">
            <v>29.5</v>
          </cell>
          <cell r="Z1071">
            <v>29.5</v>
          </cell>
          <cell r="AD1071">
            <v>1.4E-2</v>
          </cell>
        </row>
        <row r="1072">
          <cell r="E1072" t="str">
            <v>HP 1.2mm-2C</v>
          </cell>
          <cell r="F1072" t="str">
            <v>ｍ</v>
          </cell>
          <cell r="H1072">
            <v>45.6</v>
          </cell>
          <cell r="J1072">
            <v>45.6</v>
          </cell>
          <cell r="L1072">
            <v>45.6</v>
          </cell>
          <cell r="N1072">
            <v>45.6</v>
          </cell>
          <cell r="P1072">
            <v>45.6</v>
          </cell>
          <cell r="R1072">
            <v>45.6</v>
          </cell>
          <cell r="T1072">
            <v>45.6</v>
          </cell>
          <cell r="V1072">
            <v>45.6</v>
          </cell>
          <cell r="X1072">
            <v>45.6</v>
          </cell>
          <cell r="Z1072">
            <v>45.6</v>
          </cell>
          <cell r="AD1072">
            <v>1.4999999999999999E-2</v>
          </cell>
        </row>
        <row r="1073">
          <cell r="E1073" t="str">
            <v>HP 1.2mm-3C</v>
          </cell>
          <cell r="F1073" t="str">
            <v>ｍ</v>
          </cell>
          <cell r="H1073">
            <v>66.599999999999994</v>
          </cell>
          <cell r="J1073">
            <v>66.599999999999994</v>
          </cell>
          <cell r="L1073">
            <v>66.599999999999994</v>
          </cell>
          <cell r="N1073">
            <v>66.599999999999994</v>
          </cell>
          <cell r="P1073">
            <v>66.599999999999994</v>
          </cell>
          <cell r="R1073">
            <v>66.599999999999994</v>
          </cell>
          <cell r="T1073">
            <v>66.599999999999994</v>
          </cell>
          <cell r="V1073">
            <v>66.599999999999994</v>
          </cell>
          <cell r="X1073">
            <v>66.599999999999994</v>
          </cell>
          <cell r="Z1073">
            <v>66.599999999999994</v>
          </cell>
          <cell r="AD1073">
            <v>1.7000000000000001E-2</v>
          </cell>
        </row>
        <row r="1074">
          <cell r="E1074" t="str">
            <v>HP 1.2mm-4C</v>
          </cell>
          <cell r="F1074" t="str">
            <v>ｍ</v>
          </cell>
          <cell r="H1074">
            <v>89.1</v>
          </cell>
          <cell r="J1074">
            <v>89.1</v>
          </cell>
          <cell r="L1074">
            <v>89.1</v>
          </cell>
          <cell r="N1074">
            <v>89.1</v>
          </cell>
          <cell r="P1074">
            <v>89.1</v>
          </cell>
          <cell r="R1074">
            <v>89.1</v>
          </cell>
          <cell r="T1074">
            <v>89.1</v>
          </cell>
          <cell r="V1074">
            <v>89.1</v>
          </cell>
          <cell r="X1074">
            <v>89.1</v>
          </cell>
          <cell r="Z1074">
            <v>89.1</v>
          </cell>
          <cell r="AD1074">
            <v>1.7999999999999999E-2</v>
          </cell>
        </row>
        <row r="1075">
          <cell r="E1075" t="str">
            <v>HP 1.2mm-5C</v>
          </cell>
          <cell r="F1075" t="str">
            <v>ｍ</v>
          </cell>
          <cell r="H1075">
            <v>113</v>
          </cell>
          <cell r="J1075">
            <v>113</v>
          </cell>
          <cell r="L1075">
            <v>113</v>
          </cell>
          <cell r="N1075">
            <v>113</v>
          </cell>
          <cell r="P1075">
            <v>113</v>
          </cell>
          <cell r="R1075">
            <v>113</v>
          </cell>
          <cell r="T1075">
            <v>113</v>
          </cell>
          <cell r="V1075">
            <v>113</v>
          </cell>
          <cell r="X1075">
            <v>113</v>
          </cell>
          <cell r="Z1075">
            <v>113</v>
          </cell>
          <cell r="AD1075">
            <v>0.02</v>
          </cell>
        </row>
        <row r="1076">
          <cell r="E1076" t="str">
            <v>HP 1.2mm-6C</v>
          </cell>
          <cell r="F1076" t="str">
            <v>ｍ</v>
          </cell>
          <cell r="H1076">
            <v>129</v>
          </cell>
          <cell r="J1076">
            <v>129</v>
          </cell>
          <cell r="L1076">
            <v>129</v>
          </cell>
          <cell r="N1076">
            <v>129</v>
          </cell>
          <cell r="P1076">
            <v>129</v>
          </cell>
          <cell r="R1076">
            <v>129</v>
          </cell>
          <cell r="T1076">
            <v>129</v>
          </cell>
          <cell r="V1076">
            <v>129</v>
          </cell>
          <cell r="X1076">
            <v>129</v>
          </cell>
          <cell r="Z1076">
            <v>129</v>
          </cell>
          <cell r="AD1076">
            <v>0.02</v>
          </cell>
        </row>
        <row r="1077">
          <cell r="E1077" t="str">
            <v>HP 1.2mm-7C</v>
          </cell>
          <cell r="F1077" t="str">
            <v>ｍ</v>
          </cell>
          <cell r="H1077">
            <v>154</v>
          </cell>
          <cell r="J1077">
            <v>154</v>
          </cell>
          <cell r="L1077">
            <v>154</v>
          </cell>
          <cell r="N1077">
            <v>154</v>
          </cell>
          <cell r="P1077">
            <v>154</v>
          </cell>
          <cell r="R1077">
            <v>154</v>
          </cell>
          <cell r="T1077">
            <v>154</v>
          </cell>
          <cell r="V1077">
            <v>154</v>
          </cell>
          <cell r="X1077">
            <v>154</v>
          </cell>
          <cell r="Z1077">
            <v>154</v>
          </cell>
          <cell r="AD1077">
            <v>2.1999999999999999E-2</v>
          </cell>
        </row>
        <row r="1078">
          <cell r="E1078" t="str">
            <v>HP 1.2mm-3Pr</v>
          </cell>
          <cell r="F1078" t="str">
            <v>ｍ</v>
          </cell>
          <cell r="H1078">
            <v>162</v>
          </cell>
          <cell r="J1078">
            <v>162</v>
          </cell>
          <cell r="L1078">
            <v>162</v>
          </cell>
          <cell r="N1078">
            <v>162</v>
          </cell>
          <cell r="P1078">
            <v>162</v>
          </cell>
          <cell r="R1078">
            <v>162</v>
          </cell>
          <cell r="T1078">
            <v>162</v>
          </cell>
          <cell r="V1078">
            <v>162</v>
          </cell>
          <cell r="X1078">
            <v>162</v>
          </cell>
          <cell r="Z1078">
            <v>162</v>
          </cell>
          <cell r="AD1078">
            <v>2.5000000000000001E-2</v>
          </cell>
        </row>
        <row r="1079">
          <cell r="E1079" t="str">
            <v>HP 1.2mm-5Pr</v>
          </cell>
          <cell r="F1079" t="str">
            <v>ｍ</v>
          </cell>
          <cell r="H1079">
            <v>216</v>
          </cell>
          <cell r="J1079">
            <v>216</v>
          </cell>
          <cell r="L1079">
            <v>216</v>
          </cell>
          <cell r="N1079">
            <v>216</v>
          </cell>
          <cell r="P1079">
            <v>216</v>
          </cell>
          <cell r="R1079">
            <v>216</v>
          </cell>
          <cell r="T1079">
            <v>216</v>
          </cell>
          <cell r="V1079">
            <v>216</v>
          </cell>
          <cell r="X1079">
            <v>216</v>
          </cell>
          <cell r="Z1079">
            <v>216</v>
          </cell>
          <cell r="AD1079">
            <v>2.7E-2</v>
          </cell>
        </row>
        <row r="1080">
          <cell r="E1080" t="str">
            <v>HP 1.2mm-7Pr</v>
          </cell>
          <cell r="F1080" t="str">
            <v>ｍ</v>
          </cell>
          <cell r="H1080">
            <v>289</v>
          </cell>
          <cell r="J1080">
            <v>289</v>
          </cell>
          <cell r="L1080">
            <v>289</v>
          </cell>
          <cell r="N1080">
            <v>289</v>
          </cell>
          <cell r="P1080">
            <v>289</v>
          </cell>
          <cell r="R1080">
            <v>289</v>
          </cell>
          <cell r="T1080">
            <v>289</v>
          </cell>
          <cell r="V1080">
            <v>289</v>
          </cell>
          <cell r="X1080">
            <v>289</v>
          </cell>
          <cell r="Z1080">
            <v>289</v>
          </cell>
          <cell r="AD1080">
            <v>2.9000000000000001E-2</v>
          </cell>
        </row>
        <row r="1081">
          <cell r="E1081" t="str">
            <v>HP 1.2mm-10Pr</v>
          </cell>
          <cell r="F1081" t="str">
            <v>ｍ</v>
          </cell>
          <cell r="H1081">
            <v>422</v>
          </cell>
          <cell r="J1081">
            <v>422</v>
          </cell>
          <cell r="L1081">
            <v>422</v>
          </cell>
          <cell r="N1081">
            <v>422</v>
          </cell>
          <cell r="P1081">
            <v>422</v>
          </cell>
          <cell r="R1081">
            <v>422</v>
          </cell>
          <cell r="T1081">
            <v>422</v>
          </cell>
          <cell r="V1081">
            <v>422</v>
          </cell>
          <cell r="X1081">
            <v>422</v>
          </cell>
          <cell r="Z1081">
            <v>422</v>
          </cell>
          <cell r="AD1081">
            <v>3.1E-2</v>
          </cell>
        </row>
        <row r="1082">
          <cell r="E1082" t="str">
            <v>HP 1.2mm-15Pr</v>
          </cell>
          <cell r="F1082" t="str">
            <v>ｍ</v>
          </cell>
          <cell r="H1082">
            <v>621</v>
          </cell>
          <cell r="J1082">
            <v>621</v>
          </cell>
          <cell r="L1082">
            <v>621</v>
          </cell>
          <cell r="N1082">
            <v>621</v>
          </cell>
          <cell r="P1082">
            <v>621</v>
          </cell>
          <cell r="R1082">
            <v>621</v>
          </cell>
          <cell r="T1082">
            <v>621</v>
          </cell>
          <cell r="V1082">
            <v>621</v>
          </cell>
          <cell r="X1082">
            <v>621</v>
          </cell>
          <cell r="Z1082">
            <v>621</v>
          </cell>
          <cell r="AD1082">
            <v>3.4000000000000002E-2</v>
          </cell>
        </row>
        <row r="1083">
          <cell r="E1083" t="str">
            <v>HP 1.2mm-20Pr</v>
          </cell>
          <cell r="F1083" t="str">
            <v>ｍ</v>
          </cell>
          <cell r="H1083">
            <v>831</v>
          </cell>
          <cell r="J1083">
            <v>831</v>
          </cell>
          <cell r="L1083">
            <v>831</v>
          </cell>
          <cell r="N1083">
            <v>831</v>
          </cell>
          <cell r="P1083">
            <v>831</v>
          </cell>
          <cell r="R1083">
            <v>831</v>
          </cell>
          <cell r="T1083">
            <v>831</v>
          </cell>
          <cell r="V1083">
            <v>831</v>
          </cell>
          <cell r="X1083">
            <v>831</v>
          </cell>
          <cell r="Z1083">
            <v>831</v>
          </cell>
          <cell r="AD1083">
            <v>3.9E-2</v>
          </cell>
        </row>
        <row r="1084">
          <cell r="E1084" t="str">
            <v>HP 1.2mm-25Pr</v>
          </cell>
          <cell r="F1084" t="str">
            <v>ｍ</v>
          </cell>
          <cell r="H1084">
            <v>1016</v>
          </cell>
          <cell r="J1084">
            <v>1016</v>
          </cell>
          <cell r="L1084">
            <v>1016</v>
          </cell>
          <cell r="N1084">
            <v>1016</v>
          </cell>
          <cell r="P1084">
            <v>1016</v>
          </cell>
          <cell r="R1084">
            <v>1016</v>
          </cell>
          <cell r="T1084">
            <v>1016</v>
          </cell>
          <cell r="V1084">
            <v>1016</v>
          </cell>
          <cell r="X1084">
            <v>1016</v>
          </cell>
          <cell r="Z1084">
            <v>1016</v>
          </cell>
          <cell r="AD1084">
            <v>4.2999999999999997E-2</v>
          </cell>
        </row>
        <row r="1085">
          <cell r="E1085" t="str">
            <v>HP 1.2mm-30Pr</v>
          </cell>
          <cell r="F1085" t="str">
            <v>ｍ</v>
          </cell>
          <cell r="H1085">
            <v>1232</v>
          </cell>
          <cell r="J1085">
            <v>1232</v>
          </cell>
          <cell r="L1085">
            <v>1232</v>
          </cell>
          <cell r="N1085">
            <v>1232</v>
          </cell>
          <cell r="P1085">
            <v>1232</v>
          </cell>
          <cell r="R1085">
            <v>1232</v>
          </cell>
          <cell r="T1085">
            <v>1232</v>
          </cell>
          <cell r="V1085">
            <v>1232</v>
          </cell>
          <cell r="X1085">
            <v>1232</v>
          </cell>
          <cell r="Z1085">
            <v>1232</v>
          </cell>
          <cell r="AD1085">
            <v>4.5999999999999999E-2</v>
          </cell>
        </row>
        <row r="1086">
          <cell r="E1086" t="str">
            <v>HP 1.2mm-40Pr</v>
          </cell>
          <cell r="F1086" t="str">
            <v>ｍ</v>
          </cell>
          <cell r="H1086">
            <v>1627</v>
          </cell>
          <cell r="J1086">
            <v>1627</v>
          </cell>
          <cell r="L1086">
            <v>1627</v>
          </cell>
          <cell r="N1086">
            <v>1627</v>
          </cell>
          <cell r="P1086">
            <v>1627</v>
          </cell>
          <cell r="R1086">
            <v>1627</v>
          </cell>
          <cell r="T1086">
            <v>1627</v>
          </cell>
          <cell r="V1086">
            <v>1627</v>
          </cell>
          <cell r="X1086">
            <v>1627</v>
          </cell>
          <cell r="Z1086">
            <v>1627</v>
          </cell>
          <cell r="AD1086">
            <v>5.3999999999999999E-2</v>
          </cell>
        </row>
        <row r="1087">
          <cell r="E1087" t="str">
            <v>HP 1.2mm-50Pr</v>
          </cell>
          <cell r="F1087" t="str">
            <v>ｍ</v>
          </cell>
          <cell r="H1087">
            <v>2033</v>
          </cell>
          <cell r="J1087">
            <v>2033</v>
          </cell>
          <cell r="L1087">
            <v>2033</v>
          </cell>
          <cell r="N1087">
            <v>2033</v>
          </cell>
          <cell r="P1087">
            <v>2033</v>
          </cell>
          <cell r="R1087">
            <v>2033</v>
          </cell>
          <cell r="T1087">
            <v>2033</v>
          </cell>
          <cell r="V1087">
            <v>2033</v>
          </cell>
          <cell r="X1087">
            <v>2033</v>
          </cell>
          <cell r="Z1087">
            <v>2033</v>
          </cell>
          <cell r="AD1087">
            <v>6.2E-2</v>
          </cell>
        </row>
        <row r="1088">
          <cell r="E1088" t="str">
            <v>HP 1.2mm-75Pr</v>
          </cell>
          <cell r="F1088" t="str">
            <v>ｍ</v>
          </cell>
          <cell r="H1088">
            <v>3004</v>
          </cell>
          <cell r="J1088">
            <v>3004</v>
          </cell>
          <cell r="L1088">
            <v>3004</v>
          </cell>
          <cell r="N1088">
            <v>3004</v>
          </cell>
          <cell r="P1088">
            <v>3004</v>
          </cell>
          <cell r="R1088">
            <v>3004</v>
          </cell>
          <cell r="T1088">
            <v>3004</v>
          </cell>
          <cell r="V1088">
            <v>3004</v>
          </cell>
          <cell r="X1088">
            <v>3004</v>
          </cell>
          <cell r="Z1088">
            <v>3004</v>
          </cell>
          <cell r="AD1088">
            <v>8.2000000000000003E-2</v>
          </cell>
        </row>
        <row r="1089">
          <cell r="E1089" t="str">
            <v>HP 1.2mm-100Pr</v>
          </cell>
          <cell r="F1089" t="str">
            <v>ｍ</v>
          </cell>
          <cell r="H1089">
            <v>4060</v>
          </cell>
          <cell r="J1089">
            <v>4060</v>
          </cell>
          <cell r="L1089">
            <v>4060</v>
          </cell>
          <cell r="N1089">
            <v>4060</v>
          </cell>
          <cell r="P1089">
            <v>4060</v>
          </cell>
          <cell r="R1089">
            <v>4060</v>
          </cell>
          <cell r="T1089">
            <v>4060</v>
          </cell>
          <cell r="V1089">
            <v>4060</v>
          </cell>
          <cell r="X1089">
            <v>4060</v>
          </cell>
          <cell r="Z1089">
            <v>4060</v>
          </cell>
          <cell r="AD1089">
            <v>0.10299999999999999</v>
          </cell>
        </row>
        <row r="1090">
          <cell r="E1090" t="str">
            <v>HP 1.2mm-200Pr</v>
          </cell>
          <cell r="F1090" t="str">
            <v>ｍ</v>
          </cell>
          <cell r="H1090">
            <v>8080</v>
          </cell>
          <cell r="J1090">
            <v>8080</v>
          </cell>
          <cell r="L1090">
            <v>8080</v>
          </cell>
          <cell r="N1090">
            <v>8080</v>
          </cell>
          <cell r="P1090">
            <v>8080</v>
          </cell>
          <cell r="R1090">
            <v>8080</v>
          </cell>
          <cell r="T1090">
            <v>8080</v>
          </cell>
          <cell r="V1090">
            <v>8080</v>
          </cell>
          <cell r="X1090">
            <v>8080</v>
          </cell>
          <cell r="Z1090">
            <v>8080</v>
          </cell>
          <cell r="AD1090">
            <v>0.151</v>
          </cell>
        </row>
        <row r="1091">
          <cell r="E1091" t="str">
            <v>HP 1.6mm-1C</v>
          </cell>
          <cell r="F1091" t="str">
            <v>ｍ</v>
          </cell>
          <cell r="H1091">
            <v>69.2</v>
          </cell>
          <cell r="J1091">
            <v>69.2</v>
          </cell>
          <cell r="L1091">
            <v>69.2</v>
          </cell>
          <cell r="N1091">
            <v>69.2</v>
          </cell>
          <cell r="P1091">
            <v>69.2</v>
          </cell>
          <cell r="R1091">
            <v>69.2</v>
          </cell>
          <cell r="T1091">
            <v>69.2</v>
          </cell>
          <cell r="V1091">
            <v>69.2</v>
          </cell>
          <cell r="X1091">
            <v>69.2</v>
          </cell>
          <cell r="Z1091">
            <v>69.2</v>
          </cell>
          <cell r="AD1091">
            <v>1.4999999999999999E-2</v>
          </cell>
        </row>
        <row r="1092">
          <cell r="E1092" t="str">
            <v>HP 1.6mm-2C</v>
          </cell>
          <cell r="F1092" t="str">
            <v>ｍ</v>
          </cell>
          <cell r="H1092">
            <v>103</v>
          </cell>
          <cell r="J1092">
            <v>103</v>
          </cell>
          <cell r="L1092">
            <v>103</v>
          </cell>
          <cell r="N1092">
            <v>103</v>
          </cell>
          <cell r="P1092">
            <v>103</v>
          </cell>
          <cell r="R1092">
            <v>103</v>
          </cell>
          <cell r="T1092">
            <v>103</v>
          </cell>
          <cell r="V1092">
            <v>103</v>
          </cell>
          <cell r="X1092">
            <v>103</v>
          </cell>
          <cell r="Z1092">
            <v>103</v>
          </cell>
          <cell r="AD1092">
            <v>1.7000000000000001E-2</v>
          </cell>
        </row>
        <row r="1093">
          <cell r="E1093" t="str">
            <v>HP 1.6mm-3C</v>
          </cell>
          <cell r="F1093" t="str">
            <v>ｍ</v>
          </cell>
          <cell r="H1093">
            <v>157</v>
          </cell>
          <cell r="J1093">
            <v>157</v>
          </cell>
          <cell r="L1093">
            <v>157</v>
          </cell>
          <cell r="N1093">
            <v>157</v>
          </cell>
          <cell r="P1093">
            <v>157</v>
          </cell>
          <cell r="R1093">
            <v>157</v>
          </cell>
          <cell r="T1093">
            <v>157</v>
          </cell>
          <cell r="V1093">
            <v>157</v>
          </cell>
          <cell r="X1093">
            <v>157</v>
          </cell>
          <cell r="Z1093">
            <v>157</v>
          </cell>
          <cell r="AD1093">
            <v>1.9E-2</v>
          </cell>
        </row>
        <row r="1094">
          <cell r="E1094" t="str">
            <v>HP 1.6mm-4C</v>
          </cell>
          <cell r="F1094" t="str">
            <v>ｍ</v>
          </cell>
          <cell r="H1094">
            <v>197</v>
          </cell>
          <cell r="J1094">
            <v>197</v>
          </cell>
          <cell r="L1094">
            <v>197</v>
          </cell>
          <cell r="N1094">
            <v>197</v>
          </cell>
          <cell r="P1094">
            <v>197</v>
          </cell>
          <cell r="R1094">
            <v>197</v>
          </cell>
          <cell r="T1094">
            <v>197</v>
          </cell>
          <cell r="V1094">
            <v>197</v>
          </cell>
          <cell r="X1094">
            <v>197</v>
          </cell>
          <cell r="Z1094">
            <v>197</v>
          </cell>
          <cell r="AD1094">
            <v>2.1999999999999999E-2</v>
          </cell>
        </row>
        <row r="1095">
          <cell r="E1095" t="str">
            <v>HP 1.6mm-5C</v>
          </cell>
          <cell r="F1095" t="str">
            <v>ｍ</v>
          </cell>
          <cell r="H1095">
            <v>267</v>
          </cell>
          <cell r="J1095">
            <v>267</v>
          </cell>
          <cell r="L1095">
            <v>267</v>
          </cell>
          <cell r="N1095">
            <v>267</v>
          </cell>
          <cell r="P1095">
            <v>267</v>
          </cell>
          <cell r="R1095">
            <v>267</v>
          </cell>
          <cell r="T1095">
            <v>267</v>
          </cell>
          <cell r="V1095">
            <v>267</v>
          </cell>
          <cell r="X1095">
            <v>267</v>
          </cell>
          <cell r="Z1095">
            <v>267</v>
          </cell>
          <cell r="AD1095">
            <v>2.1999999999999999E-2</v>
          </cell>
        </row>
        <row r="1096">
          <cell r="E1096" t="str">
            <v>HP 1.6mm-6C</v>
          </cell>
          <cell r="F1096" t="str">
            <v>ｍ</v>
          </cell>
          <cell r="H1096">
            <v>357</v>
          </cell>
          <cell r="J1096">
            <v>357</v>
          </cell>
          <cell r="L1096">
            <v>357</v>
          </cell>
          <cell r="N1096">
            <v>357</v>
          </cell>
          <cell r="P1096">
            <v>357</v>
          </cell>
          <cell r="R1096">
            <v>357</v>
          </cell>
          <cell r="T1096">
            <v>357</v>
          </cell>
          <cell r="V1096">
            <v>357</v>
          </cell>
          <cell r="X1096">
            <v>357</v>
          </cell>
          <cell r="Z1096">
            <v>357</v>
          </cell>
          <cell r="AD1096">
            <v>2.1999999999999999E-2</v>
          </cell>
        </row>
        <row r="1097">
          <cell r="E1097" t="str">
            <v>HP 1.6mm-7C</v>
          </cell>
          <cell r="F1097" t="str">
            <v>ｍ</v>
          </cell>
          <cell r="H1097">
            <v>402</v>
          </cell>
          <cell r="J1097">
            <v>402</v>
          </cell>
          <cell r="L1097">
            <v>402</v>
          </cell>
          <cell r="N1097">
            <v>402</v>
          </cell>
          <cell r="P1097">
            <v>402</v>
          </cell>
          <cell r="R1097">
            <v>402</v>
          </cell>
          <cell r="T1097">
            <v>402</v>
          </cell>
          <cell r="V1097">
            <v>402</v>
          </cell>
          <cell r="X1097">
            <v>402</v>
          </cell>
          <cell r="Z1097">
            <v>402</v>
          </cell>
          <cell r="AD1097">
            <v>2.4E-2</v>
          </cell>
        </row>
        <row r="1098">
          <cell r="E1098" t="str">
            <v>HP 1.6mm-3Pr</v>
          </cell>
          <cell r="F1098" t="str">
            <v>ｍ</v>
          </cell>
          <cell r="H1098">
            <v>374</v>
          </cell>
          <cell r="J1098">
            <v>374</v>
          </cell>
          <cell r="L1098">
            <v>374</v>
          </cell>
          <cell r="N1098">
            <v>374</v>
          </cell>
          <cell r="P1098">
            <v>374</v>
          </cell>
          <cell r="R1098">
            <v>374</v>
          </cell>
          <cell r="T1098">
            <v>374</v>
          </cell>
          <cell r="V1098">
            <v>374</v>
          </cell>
          <cell r="X1098">
            <v>374</v>
          </cell>
          <cell r="Z1098">
            <v>374</v>
          </cell>
          <cell r="AD1098">
            <v>0.03</v>
          </cell>
        </row>
        <row r="1099">
          <cell r="E1099" t="str">
            <v>HP 1.6mm-5Pr</v>
          </cell>
          <cell r="F1099" t="str">
            <v>ｍ</v>
          </cell>
          <cell r="H1099">
            <v>573</v>
          </cell>
          <cell r="J1099">
            <v>573</v>
          </cell>
          <cell r="L1099">
            <v>573</v>
          </cell>
          <cell r="N1099">
            <v>573</v>
          </cell>
          <cell r="P1099">
            <v>573</v>
          </cell>
          <cell r="R1099">
            <v>573</v>
          </cell>
          <cell r="T1099">
            <v>573</v>
          </cell>
          <cell r="V1099">
            <v>573</v>
          </cell>
          <cell r="X1099">
            <v>573</v>
          </cell>
          <cell r="Z1099">
            <v>573</v>
          </cell>
          <cell r="AD1099">
            <v>3.2000000000000001E-2</v>
          </cell>
        </row>
        <row r="1100">
          <cell r="E1100" t="str">
            <v>HP 1.6mm-7Pr</v>
          </cell>
          <cell r="F1100" t="str">
            <v>ｍ</v>
          </cell>
          <cell r="H1100">
            <v>829</v>
          </cell>
          <cell r="J1100">
            <v>829</v>
          </cell>
          <cell r="L1100">
            <v>829</v>
          </cell>
          <cell r="N1100">
            <v>829</v>
          </cell>
          <cell r="P1100">
            <v>829</v>
          </cell>
          <cell r="R1100">
            <v>829</v>
          </cell>
          <cell r="T1100">
            <v>829</v>
          </cell>
          <cell r="V1100">
            <v>829</v>
          </cell>
          <cell r="X1100">
            <v>829</v>
          </cell>
          <cell r="Z1100">
            <v>829</v>
          </cell>
          <cell r="AD1100">
            <v>3.4000000000000002E-2</v>
          </cell>
        </row>
        <row r="1101">
          <cell r="E1101" t="str">
            <v>HP 1.6mm-10Pr</v>
          </cell>
          <cell r="F1101" t="str">
            <v>ｍ</v>
          </cell>
          <cell r="H1101">
            <v>1155</v>
          </cell>
          <cell r="J1101">
            <v>1155</v>
          </cell>
          <cell r="L1101">
            <v>1155</v>
          </cell>
          <cell r="N1101">
            <v>1155</v>
          </cell>
          <cell r="P1101">
            <v>1155</v>
          </cell>
          <cell r="R1101">
            <v>1155</v>
          </cell>
          <cell r="T1101">
            <v>1155</v>
          </cell>
          <cell r="V1101">
            <v>1155</v>
          </cell>
          <cell r="X1101">
            <v>1155</v>
          </cell>
          <cell r="Z1101">
            <v>1155</v>
          </cell>
          <cell r="AD1101">
            <v>3.6999999999999998E-2</v>
          </cell>
        </row>
        <row r="1102">
          <cell r="E1102" t="str">
            <v>HP 1.6mm-15Pr</v>
          </cell>
          <cell r="F1102" t="str">
            <v>ｍ</v>
          </cell>
          <cell r="H1102">
            <v>1719</v>
          </cell>
          <cell r="J1102">
            <v>1719</v>
          </cell>
          <cell r="L1102">
            <v>1719</v>
          </cell>
          <cell r="N1102">
            <v>1719</v>
          </cell>
          <cell r="P1102">
            <v>1719</v>
          </cell>
          <cell r="R1102">
            <v>1719</v>
          </cell>
          <cell r="T1102">
            <v>1719</v>
          </cell>
          <cell r="V1102">
            <v>1719</v>
          </cell>
          <cell r="X1102">
            <v>1719</v>
          </cell>
          <cell r="Z1102">
            <v>1719</v>
          </cell>
          <cell r="AD1102">
            <v>0.04</v>
          </cell>
        </row>
        <row r="1103">
          <cell r="E1103" t="str">
            <v>HP 1.6mm-20Pr</v>
          </cell>
          <cell r="F1103" t="str">
            <v>ｍ</v>
          </cell>
          <cell r="H1103">
            <v>2259</v>
          </cell>
          <cell r="J1103">
            <v>2259</v>
          </cell>
          <cell r="L1103">
            <v>2259</v>
          </cell>
          <cell r="N1103">
            <v>2259</v>
          </cell>
          <cell r="P1103">
            <v>2259</v>
          </cell>
          <cell r="R1103">
            <v>2259</v>
          </cell>
          <cell r="T1103">
            <v>2259</v>
          </cell>
          <cell r="V1103">
            <v>2259</v>
          </cell>
          <cell r="X1103">
            <v>2259</v>
          </cell>
          <cell r="Z1103">
            <v>2259</v>
          </cell>
          <cell r="AD1103">
            <v>4.7E-2</v>
          </cell>
        </row>
        <row r="1104">
          <cell r="E1104" t="str">
            <v>HP 1.6mm-25Pr</v>
          </cell>
          <cell r="F1104" t="str">
            <v>ｍ</v>
          </cell>
          <cell r="H1104">
            <v>2804</v>
          </cell>
          <cell r="J1104">
            <v>2804</v>
          </cell>
          <cell r="L1104">
            <v>2804</v>
          </cell>
          <cell r="N1104">
            <v>2804</v>
          </cell>
          <cell r="P1104">
            <v>2804</v>
          </cell>
          <cell r="R1104">
            <v>2804</v>
          </cell>
          <cell r="T1104">
            <v>2804</v>
          </cell>
          <cell r="V1104">
            <v>2804</v>
          </cell>
          <cell r="X1104">
            <v>2804</v>
          </cell>
          <cell r="Z1104">
            <v>2804</v>
          </cell>
          <cell r="AD1104">
            <v>5.0999999999999997E-2</v>
          </cell>
        </row>
        <row r="1105">
          <cell r="E1105" t="str">
            <v>HP 1.6mm-30Pr</v>
          </cell>
          <cell r="F1105" t="str">
            <v>ｍ</v>
          </cell>
          <cell r="H1105">
            <v>3264</v>
          </cell>
          <cell r="J1105">
            <v>3264</v>
          </cell>
          <cell r="L1105">
            <v>3264</v>
          </cell>
          <cell r="N1105">
            <v>3264</v>
          </cell>
          <cell r="P1105">
            <v>3264</v>
          </cell>
          <cell r="R1105">
            <v>3264</v>
          </cell>
          <cell r="T1105">
            <v>3264</v>
          </cell>
          <cell r="V1105">
            <v>3264</v>
          </cell>
          <cell r="X1105">
            <v>3264</v>
          </cell>
          <cell r="Z1105">
            <v>3264</v>
          </cell>
          <cell r="AD1105">
            <v>5.3999999999999999E-2</v>
          </cell>
        </row>
        <row r="1106">
          <cell r="E1106" t="str">
            <v>HP 1.6mm-40Pr</v>
          </cell>
          <cell r="F1106" t="str">
            <v>ｍ</v>
          </cell>
          <cell r="H1106">
            <v>4358</v>
          </cell>
          <cell r="J1106">
            <v>4358</v>
          </cell>
          <cell r="L1106">
            <v>4358</v>
          </cell>
          <cell r="N1106">
            <v>4358</v>
          </cell>
          <cell r="P1106">
            <v>4358</v>
          </cell>
          <cell r="R1106">
            <v>4358</v>
          </cell>
          <cell r="T1106">
            <v>4358</v>
          </cell>
          <cell r="V1106">
            <v>4358</v>
          </cell>
          <cell r="X1106">
            <v>4358</v>
          </cell>
          <cell r="Z1106">
            <v>4358</v>
          </cell>
          <cell r="AD1106">
            <v>6.4000000000000001E-2</v>
          </cell>
        </row>
        <row r="1107">
          <cell r="E1107" t="str">
            <v>HP 1.6mm-50Pr</v>
          </cell>
          <cell r="F1107" t="str">
            <v>ｍ</v>
          </cell>
          <cell r="H1107">
            <v>5061</v>
          </cell>
          <cell r="J1107">
            <v>5061</v>
          </cell>
          <cell r="L1107">
            <v>5061</v>
          </cell>
          <cell r="N1107">
            <v>5061</v>
          </cell>
          <cell r="P1107">
            <v>5061</v>
          </cell>
          <cell r="R1107">
            <v>5061</v>
          </cell>
          <cell r="T1107">
            <v>5061</v>
          </cell>
          <cell r="V1107">
            <v>5061</v>
          </cell>
          <cell r="X1107">
            <v>5061</v>
          </cell>
          <cell r="Z1107">
            <v>5061</v>
          </cell>
          <cell r="AD1107">
            <v>7.3999999999999996E-2</v>
          </cell>
        </row>
        <row r="1108">
          <cell r="E1108" t="str">
            <v>HP 1.6mm-75Pr</v>
          </cell>
          <cell r="F1108" t="str">
            <v>ｍ</v>
          </cell>
          <cell r="H1108">
            <v>7196</v>
          </cell>
          <cell r="J1108">
            <v>7196</v>
          </cell>
          <cell r="L1108">
            <v>7196</v>
          </cell>
          <cell r="N1108">
            <v>7196</v>
          </cell>
          <cell r="P1108">
            <v>7196</v>
          </cell>
          <cell r="R1108">
            <v>7196</v>
          </cell>
          <cell r="T1108">
            <v>7196</v>
          </cell>
          <cell r="V1108">
            <v>7196</v>
          </cell>
          <cell r="X1108">
            <v>7196</v>
          </cell>
          <cell r="Z1108">
            <v>7196</v>
          </cell>
          <cell r="AD1108">
            <v>0.109</v>
          </cell>
        </row>
        <row r="1109">
          <cell r="E1109" t="str">
            <v>HP 1.6mm-100Pr</v>
          </cell>
          <cell r="F1109" t="str">
            <v>ｍ</v>
          </cell>
          <cell r="H1109">
            <v>9733</v>
          </cell>
          <cell r="J1109">
            <v>9733</v>
          </cell>
          <cell r="L1109">
            <v>9733</v>
          </cell>
          <cell r="N1109">
            <v>9733</v>
          </cell>
          <cell r="P1109">
            <v>9733</v>
          </cell>
          <cell r="R1109">
            <v>9733</v>
          </cell>
          <cell r="T1109">
            <v>9733</v>
          </cell>
          <cell r="V1109">
            <v>9733</v>
          </cell>
          <cell r="X1109">
            <v>9733</v>
          </cell>
          <cell r="Z1109">
            <v>9733</v>
          </cell>
          <cell r="AD1109">
            <v>0.14399999999999999</v>
          </cell>
        </row>
        <row r="1110">
          <cell r="E1110" t="str">
            <v>HP 1.6mm-200Pr</v>
          </cell>
          <cell r="F1110" t="str">
            <v>ｍ</v>
          </cell>
          <cell r="H1110">
            <v>17958</v>
          </cell>
          <cell r="J1110">
            <v>17958</v>
          </cell>
          <cell r="L1110">
            <v>17958</v>
          </cell>
          <cell r="N1110">
            <v>17958</v>
          </cell>
          <cell r="P1110">
            <v>17958</v>
          </cell>
          <cell r="R1110">
            <v>17958</v>
          </cell>
          <cell r="T1110">
            <v>17958</v>
          </cell>
          <cell r="V1110">
            <v>17958</v>
          </cell>
          <cell r="X1110">
            <v>17958</v>
          </cell>
          <cell r="Z1110">
            <v>17958</v>
          </cell>
          <cell r="AD1110">
            <v>0.16900000000000001</v>
          </cell>
        </row>
        <row r="1111">
          <cell r="E1111" t="str">
            <v>HP 2.0mm-1C</v>
          </cell>
          <cell r="F1111" t="str">
            <v>ｍ</v>
          </cell>
          <cell r="H1111">
            <v>92.4</v>
          </cell>
          <cell r="J1111">
            <v>92.4</v>
          </cell>
          <cell r="L1111">
            <v>92.4</v>
          </cell>
          <cell r="N1111">
            <v>92.4</v>
          </cell>
          <cell r="P1111">
            <v>92.4</v>
          </cell>
          <cell r="R1111">
            <v>92.4</v>
          </cell>
          <cell r="T1111">
            <v>92.4</v>
          </cell>
          <cell r="V1111">
            <v>92.4</v>
          </cell>
          <cell r="X1111">
            <v>92.4</v>
          </cell>
          <cell r="Z1111">
            <v>92.4</v>
          </cell>
          <cell r="AD1111">
            <v>1.6E-2</v>
          </cell>
        </row>
        <row r="1112">
          <cell r="E1112" t="str">
            <v>HP 2.0mm-2C</v>
          </cell>
          <cell r="F1112" t="str">
            <v>ｍ</v>
          </cell>
          <cell r="H1112">
            <v>154</v>
          </cell>
          <cell r="J1112">
            <v>154</v>
          </cell>
          <cell r="L1112">
            <v>154</v>
          </cell>
          <cell r="N1112">
            <v>154</v>
          </cell>
          <cell r="P1112">
            <v>154</v>
          </cell>
          <cell r="R1112">
            <v>154</v>
          </cell>
          <cell r="T1112">
            <v>154</v>
          </cell>
          <cell r="V1112">
            <v>154</v>
          </cell>
          <cell r="X1112">
            <v>154</v>
          </cell>
          <cell r="Z1112">
            <v>154</v>
          </cell>
          <cell r="AD1112">
            <v>1.7999999999999999E-2</v>
          </cell>
        </row>
        <row r="1113">
          <cell r="E1113" t="str">
            <v>HP 2.0mm-3C</v>
          </cell>
          <cell r="F1113" t="str">
            <v>ｍ</v>
          </cell>
          <cell r="H1113">
            <v>225</v>
          </cell>
          <cell r="J1113">
            <v>225</v>
          </cell>
          <cell r="L1113">
            <v>225</v>
          </cell>
          <cell r="N1113">
            <v>225</v>
          </cell>
          <cell r="P1113">
            <v>225</v>
          </cell>
          <cell r="R1113">
            <v>225</v>
          </cell>
          <cell r="T1113">
            <v>225</v>
          </cell>
          <cell r="V1113">
            <v>225</v>
          </cell>
          <cell r="X1113">
            <v>225</v>
          </cell>
          <cell r="Z1113">
            <v>225</v>
          </cell>
          <cell r="AD1113">
            <v>2.1000000000000001E-2</v>
          </cell>
        </row>
        <row r="1114">
          <cell r="E1114" t="str">
            <v>HP 2.0mm-4C</v>
          </cell>
          <cell r="F1114" t="str">
            <v>ｍ</v>
          </cell>
          <cell r="H1114">
            <v>276</v>
          </cell>
          <cell r="J1114">
            <v>276</v>
          </cell>
          <cell r="L1114">
            <v>276</v>
          </cell>
          <cell r="N1114">
            <v>276</v>
          </cell>
          <cell r="P1114">
            <v>276</v>
          </cell>
          <cell r="R1114">
            <v>276</v>
          </cell>
          <cell r="T1114">
            <v>276</v>
          </cell>
          <cell r="V1114">
            <v>276</v>
          </cell>
          <cell r="X1114">
            <v>276</v>
          </cell>
          <cell r="Z1114">
            <v>276</v>
          </cell>
          <cell r="AD1114">
            <v>2.3E-2</v>
          </cell>
        </row>
        <row r="1115">
          <cell r="E1115" t="str">
            <v>HP 2.0mm-6C</v>
          </cell>
          <cell r="F1115" t="str">
            <v>ｍ</v>
          </cell>
          <cell r="H1115">
            <v>413</v>
          </cell>
          <cell r="J1115">
            <v>413</v>
          </cell>
          <cell r="L1115">
            <v>413</v>
          </cell>
          <cell r="N1115">
            <v>413</v>
          </cell>
          <cell r="P1115">
            <v>413</v>
          </cell>
          <cell r="R1115">
            <v>413</v>
          </cell>
          <cell r="T1115">
            <v>413</v>
          </cell>
          <cell r="V1115">
            <v>413</v>
          </cell>
          <cell r="X1115">
            <v>413</v>
          </cell>
          <cell r="Z1115">
            <v>413</v>
          </cell>
          <cell r="AD1115">
            <v>0.03</v>
          </cell>
        </row>
        <row r="1116">
          <cell r="E1116" t="str">
            <v>HP 2.0mm-10Pr</v>
          </cell>
          <cell r="F1116" t="str">
            <v>ｍ</v>
          </cell>
          <cell r="H1116">
            <v>1453</v>
          </cell>
          <cell r="J1116">
            <v>1453</v>
          </cell>
          <cell r="L1116">
            <v>1453</v>
          </cell>
          <cell r="N1116">
            <v>1453</v>
          </cell>
          <cell r="P1116">
            <v>1453</v>
          </cell>
          <cell r="R1116">
            <v>1453</v>
          </cell>
          <cell r="T1116">
            <v>1453</v>
          </cell>
          <cell r="V1116">
            <v>1453</v>
          </cell>
          <cell r="X1116">
            <v>1453</v>
          </cell>
          <cell r="Z1116">
            <v>1453</v>
          </cell>
          <cell r="AD1116">
            <v>7.6999999999999999E-2</v>
          </cell>
        </row>
        <row r="1117">
          <cell r="E1117" t="str">
            <v>HP 2.0mm-15Pr</v>
          </cell>
          <cell r="F1117" t="str">
            <v>ｍ</v>
          </cell>
          <cell r="H1117">
            <v>2115</v>
          </cell>
          <cell r="J1117">
            <v>2115</v>
          </cell>
          <cell r="L1117">
            <v>2115</v>
          </cell>
          <cell r="N1117">
            <v>2115</v>
          </cell>
          <cell r="P1117">
            <v>2115</v>
          </cell>
          <cell r="R1117">
            <v>2115</v>
          </cell>
          <cell r="T1117">
            <v>2115</v>
          </cell>
          <cell r="V1117">
            <v>2115</v>
          </cell>
          <cell r="X1117">
            <v>2115</v>
          </cell>
          <cell r="Z1117">
            <v>2115</v>
          </cell>
          <cell r="AD1117">
            <v>9.0999999999999998E-2</v>
          </cell>
        </row>
        <row r="1118">
          <cell r="E1118" t="str">
            <v>HP 0.75sq-2C</v>
          </cell>
          <cell r="F1118" t="str">
            <v>ｍ</v>
          </cell>
          <cell r="H1118">
            <v>297</v>
          </cell>
          <cell r="J1118">
            <v>297</v>
          </cell>
          <cell r="L1118">
            <v>297</v>
          </cell>
          <cell r="N1118">
            <v>297</v>
          </cell>
          <cell r="P1118">
            <v>297</v>
          </cell>
          <cell r="R1118">
            <v>297</v>
          </cell>
          <cell r="T1118">
            <v>297</v>
          </cell>
          <cell r="V1118">
            <v>297</v>
          </cell>
          <cell r="X1118">
            <v>297</v>
          </cell>
          <cell r="Z1118">
            <v>297</v>
          </cell>
          <cell r="AD1118">
            <v>1.6E-2</v>
          </cell>
        </row>
        <row r="1119">
          <cell r="E1119" t="str">
            <v>AE 0.65mm-2C</v>
          </cell>
          <cell r="F1119" t="str">
            <v>ｍ</v>
          </cell>
          <cell r="H1119">
            <v>16.3</v>
          </cell>
          <cell r="J1119">
            <v>16.3</v>
          </cell>
          <cell r="L1119">
            <v>16.3</v>
          </cell>
          <cell r="N1119">
            <v>16.3</v>
          </cell>
          <cell r="P1119">
            <v>16.3</v>
          </cell>
          <cell r="R1119">
            <v>16.3</v>
          </cell>
          <cell r="T1119">
            <v>16.3</v>
          </cell>
          <cell r="V1119">
            <v>16.3</v>
          </cell>
          <cell r="X1119">
            <v>16.3</v>
          </cell>
          <cell r="Z1119">
            <v>16.3</v>
          </cell>
          <cell r="AD1119">
            <v>1.2999999999999999E-2</v>
          </cell>
        </row>
        <row r="1120">
          <cell r="E1120" t="str">
            <v>AE 0.65mm-3C</v>
          </cell>
          <cell r="F1120" t="str">
            <v>ｍ</v>
          </cell>
          <cell r="H1120">
            <v>22.7</v>
          </cell>
          <cell r="J1120">
            <v>22.7</v>
          </cell>
          <cell r="L1120">
            <v>22.7</v>
          </cell>
          <cell r="N1120">
            <v>22.7</v>
          </cell>
          <cell r="P1120">
            <v>22.7</v>
          </cell>
          <cell r="R1120">
            <v>22.7</v>
          </cell>
          <cell r="T1120">
            <v>22.7</v>
          </cell>
          <cell r="V1120">
            <v>22.7</v>
          </cell>
          <cell r="X1120">
            <v>22.7</v>
          </cell>
          <cell r="Z1120">
            <v>22.7</v>
          </cell>
          <cell r="AD1120">
            <v>1.4E-2</v>
          </cell>
        </row>
        <row r="1121">
          <cell r="E1121" t="str">
            <v>AE 0.65mm-4C</v>
          </cell>
          <cell r="F1121" t="str">
            <v>ｍ</v>
          </cell>
          <cell r="H1121">
            <v>28.3</v>
          </cell>
          <cell r="J1121">
            <v>28.3</v>
          </cell>
          <cell r="L1121">
            <v>28.3</v>
          </cell>
          <cell r="N1121">
            <v>28.3</v>
          </cell>
          <cell r="P1121">
            <v>28.3</v>
          </cell>
          <cell r="R1121">
            <v>28.3</v>
          </cell>
          <cell r="T1121">
            <v>28.3</v>
          </cell>
          <cell r="V1121">
            <v>28.3</v>
          </cell>
          <cell r="X1121">
            <v>28.3</v>
          </cell>
          <cell r="Z1121">
            <v>28.3</v>
          </cell>
          <cell r="AD1121">
            <v>1.4E-2</v>
          </cell>
        </row>
        <row r="1122">
          <cell r="E1122" t="str">
            <v>AE 0.65mm-6C</v>
          </cell>
          <cell r="F1122" t="str">
            <v>ｍ</v>
          </cell>
          <cell r="H1122">
            <v>45.1</v>
          </cell>
          <cell r="J1122">
            <v>45.1</v>
          </cell>
          <cell r="L1122">
            <v>45.1</v>
          </cell>
          <cell r="N1122">
            <v>45.1</v>
          </cell>
          <cell r="P1122">
            <v>45.1</v>
          </cell>
          <cell r="R1122">
            <v>45.1</v>
          </cell>
          <cell r="T1122">
            <v>45.1</v>
          </cell>
          <cell r="V1122">
            <v>45.1</v>
          </cell>
          <cell r="X1122">
            <v>45.1</v>
          </cell>
          <cell r="Z1122">
            <v>45.1</v>
          </cell>
          <cell r="AD1122">
            <v>1.4999999999999999E-2</v>
          </cell>
        </row>
        <row r="1123">
          <cell r="E1123" t="str">
            <v>AE 0.65mm-5Pr</v>
          </cell>
          <cell r="F1123" t="str">
            <v>ｍ</v>
          </cell>
          <cell r="H1123">
            <v>78.900000000000006</v>
          </cell>
          <cell r="J1123">
            <v>78.900000000000006</v>
          </cell>
          <cell r="L1123">
            <v>78.900000000000006</v>
          </cell>
          <cell r="N1123">
            <v>78.900000000000006</v>
          </cell>
          <cell r="P1123">
            <v>78.900000000000006</v>
          </cell>
          <cell r="R1123">
            <v>78.900000000000006</v>
          </cell>
          <cell r="T1123">
            <v>78.900000000000006</v>
          </cell>
          <cell r="V1123">
            <v>78.900000000000006</v>
          </cell>
          <cell r="X1123">
            <v>78.900000000000006</v>
          </cell>
          <cell r="Z1123">
            <v>78.900000000000006</v>
          </cell>
          <cell r="AD1123">
            <v>1.7000000000000001E-2</v>
          </cell>
        </row>
        <row r="1124">
          <cell r="E1124" t="str">
            <v>AE 0.65mm-10Pr</v>
          </cell>
          <cell r="F1124" t="str">
            <v>ｍ</v>
          </cell>
          <cell r="H1124">
            <v>133</v>
          </cell>
          <cell r="J1124">
            <v>133</v>
          </cell>
          <cell r="L1124">
            <v>133</v>
          </cell>
          <cell r="N1124">
            <v>133</v>
          </cell>
          <cell r="P1124">
            <v>133</v>
          </cell>
          <cell r="R1124">
            <v>133</v>
          </cell>
          <cell r="T1124">
            <v>133</v>
          </cell>
          <cell r="V1124">
            <v>133</v>
          </cell>
          <cell r="X1124">
            <v>133</v>
          </cell>
          <cell r="Z1124">
            <v>133</v>
          </cell>
          <cell r="AD1124">
            <v>0.02</v>
          </cell>
        </row>
        <row r="1125">
          <cell r="E1125" t="str">
            <v>AE 0.65mm-15Pr</v>
          </cell>
          <cell r="F1125" t="str">
            <v>ｍ</v>
          </cell>
          <cell r="H1125">
            <v>193</v>
          </cell>
          <cell r="J1125">
            <v>193</v>
          </cell>
          <cell r="L1125">
            <v>193</v>
          </cell>
          <cell r="N1125">
            <v>193</v>
          </cell>
          <cell r="P1125">
            <v>193</v>
          </cell>
          <cell r="R1125">
            <v>193</v>
          </cell>
          <cell r="T1125">
            <v>193</v>
          </cell>
          <cell r="V1125">
            <v>193</v>
          </cell>
          <cell r="X1125">
            <v>193</v>
          </cell>
          <cell r="Z1125">
            <v>193</v>
          </cell>
          <cell r="AD1125">
            <v>2.1999999999999999E-2</v>
          </cell>
        </row>
        <row r="1126">
          <cell r="E1126" t="str">
            <v>AE 0.65mm-20Pr</v>
          </cell>
          <cell r="F1126" t="str">
            <v>ｍ</v>
          </cell>
          <cell r="H1126">
            <v>256</v>
          </cell>
          <cell r="J1126">
            <v>256</v>
          </cell>
          <cell r="L1126">
            <v>256</v>
          </cell>
          <cell r="N1126">
            <v>256</v>
          </cell>
          <cell r="P1126">
            <v>256</v>
          </cell>
          <cell r="R1126">
            <v>256</v>
          </cell>
          <cell r="T1126">
            <v>256</v>
          </cell>
          <cell r="V1126">
            <v>256</v>
          </cell>
          <cell r="X1126">
            <v>256</v>
          </cell>
          <cell r="Z1126">
            <v>256</v>
          </cell>
          <cell r="AD1126">
            <v>2.4E-2</v>
          </cell>
        </row>
        <row r="1127">
          <cell r="E1127" t="str">
            <v>AE 0.65mm-30Pr</v>
          </cell>
          <cell r="F1127" t="str">
            <v>ｍ</v>
          </cell>
          <cell r="H1127">
            <v>366</v>
          </cell>
          <cell r="J1127">
            <v>366</v>
          </cell>
          <cell r="L1127">
            <v>366</v>
          </cell>
          <cell r="N1127">
            <v>366</v>
          </cell>
          <cell r="P1127">
            <v>366</v>
          </cell>
          <cell r="R1127">
            <v>366</v>
          </cell>
          <cell r="T1127">
            <v>366</v>
          </cell>
          <cell r="V1127">
            <v>366</v>
          </cell>
          <cell r="X1127">
            <v>366</v>
          </cell>
          <cell r="Z1127">
            <v>366</v>
          </cell>
          <cell r="AD1127">
            <v>2.9000000000000001E-2</v>
          </cell>
        </row>
        <row r="1128">
          <cell r="E1128" t="str">
            <v>AE 0.65mm-50Pr</v>
          </cell>
          <cell r="F1128" t="str">
            <v>ｍ</v>
          </cell>
          <cell r="H1128">
            <v>587</v>
          </cell>
          <cell r="J1128">
            <v>587</v>
          </cell>
          <cell r="L1128">
            <v>587</v>
          </cell>
          <cell r="N1128">
            <v>587</v>
          </cell>
          <cell r="P1128">
            <v>587</v>
          </cell>
          <cell r="R1128">
            <v>587</v>
          </cell>
          <cell r="T1128">
            <v>587</v>
          </cell>
          <cell r="V1128">
            <v>587</v>
          </cell>
          <cell r="X1128">
            <v>587</v>
          </cell>
          <cell r="Z1128">
            <v>587</v>
          </cell>
          <cell r="AD1128">
            <v>3.9E-2</v>
          </cell>
        </row>
        <row r="1129">
          <cell r="E1129" t="str">
            <v>AE 0.65mm-100Pr</v>
          </cell>
          <cell r="F1129" t="str">
            <v>ｍ</v>
          </cell>
          <cell r="H1129">
            <v>1127</v>
          </cell>
          <cell r="J1129">
            <v>1127</v>
          </cell>
          <cell r="L1129">
            <v>1127</v>
          </cell>
          <cell r="N1129">
            <v>1127</v>
          </cell>
          <cell r="P1129">
            <v>1127</v>
          </cell>
          <cell r="R1129">
            <v>1127</v>
          </cell>
          <cell r="T1129">
            <v>1127</v>
          </cell>
          <cell r="V1129">
            <v>1127</v>
          </cell>
          <cell r="X1129">
            <v>1127</v>
          </cell>
          <cell r="Z1129">
            <v>1127</v>
          </cell>
          <cell r="AD1129">
            <v>6.4000000000000001E-2</v>
          </cell>
        </row>
        <row r="1130">
          <cell r="E1130" t="str">
            <v>AE 0.9mm-2C</v>
          </cell>
          <cell r="F1130" t="str">
            <v>ｍ</v>
          </cell>
          <cell r="H1130">
            <v>22.5</v>
          </cell>
          <cell r="J1130">
            <v>22.5</v>
          </cell>
          <cell r="L1130">
            <v>22.5</v>
          </cell>
          <cell r="N1130">
            <v>22.5</v>
          </cell>
          <cell r="P1130">
            <v>22.5</v>
          </cell>
          <cell r="R1130">
            <v>22.5</v>
          </cell>
          <cell r="T1130">
            <v>22.5</v>
          </cell>
          <cell r="V1130">
            <v>22.5</v>
          </cell>
          <cell r="X1130">
            <v>22.5</v>
          </cell>
          <cell r="Z1130">
            <v>22.5</v>
          </cell>
          <cell r="AD1130">
            <v>1.4E-2</v>
          </cell>
        </row>
        <row r="1131">
          <cell r="E1131" t="str">
            <v>AE 0.9mm-3C</v>
          </cell>
          <cell r="F1131" t="str">
            <v>ｍ</v>
          </cell>
          <cell r="H1131">
            <v>33.299999999999997</v>
          </cell>
          <cell r="J1131">
            <v>33.299999999999997</v>
          </cell>
          <cell r="L1131">
            <v>33.299999999999997</v>
          </cell>
          <cell r="N1131">
            <v>33.299999999999997</v>
          </cell>
          <cell r="P1131">
            <v>33.299999999999997</v>
          </cell>
          <cell r="R1131">
            <v>33.299999999999997</v>
          </cell>
          <cell r="T1131">
            <v>33.299999999999997</v>
          </cell>
          <cell r="V1131">
            <v>33.299999999999997</v>
          </cell>
          <cell r="X1131">
            <v>33.299999999999997</v>
          </cell>
          <cell r="Z1131">
            <v>33.299999999999997</v>
          </cell>
          <cell r="AD1131">
            <v>1.6E-2</v>
          </cell>
        </row>
        <row r="1132">
          <cell r="E1132" t="str">
            <v>AE 0.9mm-4C</v>
          </cell>
          <cell r="F1132" t="str">
            <v>ｍ</v>
          </cell>
          <cell r="H1132">
            <v>40.700000000000003</v>
          </cell>
          <cell r="J1132">
            <v>40.700000000000003</v>
          </cell>
          <cell r="L1132">
            <v>40.700000000000003</v>
          </cell>
          <cell r="N1132">
            <v>40.700000000000003</v>
          </cell>
          <cell r="P1132">
            <v>40.700000000000003</v>
          </cell>
          <cell r="R1132">
            <v>40.700000000000003</v>
          </cell>
          <cell r="T1132">
            <v>40.700000000000003</v>
          </cell>
          <cell r="V1132">
            <v>40.700000000000003</v>
          </cell>
          <cell r="X1132">
            <v>40.700000000000003</v>
          </cell>
          <cell r="Z1132">
            <v>40.700000000000003</v>
          </cell>
          <cell r="AD1132">
            <v>1.7000000000000001E-2</v>
          </cell>
        </row>
        <row r="1133">
          <cell r="E1133" t="str">
            <v>AE 0.9mm-6C</v>
          </cell>
          <cell r="F1133" t="str">
            <v>ｍ</v>
          </cell>
          <cell r="H1133">
            <v>66.2</v>
          </cell>
          <cell r="J1133">
            <v>66.2</v>
          </cell>
          <cell r="L1133">
            <v>66.2</v>
          </cell>
          <cell r="N1133">
            <v>66.2</v>
          </cell>
          <cell r="P1133">
            <v>66.2</v>
          </cell>
          <cell r="R1133">
            <v>66.2</v>
          </cell>
          <cell r="T1133">
            <v>66.2</v>
          </cell>
          <cell r="V1133">
            <v>66.2</v>
          </cell>
          <cell r="X1133">
            <v>66.2</v>
          </cell>
          <cell r="Z1133">
            <v>66.2</v>
          </cell>
          <cell r="AD1133">
            <v>1.9E-2</v>
          </cell>
        </row>
        <row r="1134">
          <cell r="E1134" t="str">
            <v>AE 0.9mm-5Pr</v>
          </cell>
          <cell r="F1134" t="str">
            <v>ｍ</v>
          </cell>
          <cell r="H1134">
            <v>115</v>
          </cell>
          <cell r="J1134">
            <v>115</v>
          </cell>
          <cell r="L1134">
            <v>115</v>
          </cell>
          <cell r="N1134">
            <v>115</v>
          </cell>
          <cell r="P1134">
            <v>115</v>
          </cell>
          <cell r="R1134">
            <v>115</v>
          </cell>
          <cell r="T1134">
            <v>115</v>
          </cell>
          <cell r="V1134">
            <v>115</v>
          </cell>
          <cell r="X1134">
            <v>115</v>
          </cell>
          <cell r="Z1134">
            <v>115</v>
          </cell>
          <cell r="AD1134">
            <v>2.1999999999999999E-2</v>
          </cell>
        </row>
        <row r="1135">
          <cell r="E1135" t="str">
            <v>AE 0.9mm-6Pr</v>
          </cell>
          <cell r="F1135" t="str">
            <v>ｍ</v>
          </cell>
          <cell r="H1135">
            <v>138</v>
          </cell>
          <cell r="J1135">
            <v>138</v>
          </cell>
          <cell r="L1135">
            <v>138</v>
          </cell>
          <cell r="N1135">
            <v>138</v>
          </cell>
          <cell r="P1135">
            <v>138</v>
          </cell>
          <cell r="R1135">
            <v>138</v>
          </cell>
          <cell r="T1135">
            <v>138</v>
          </cell>
          <cell r="V1135">
            <v>138</v>
          </cell>
          <cell r="X1135">
            <v>138</v>
          </cell>
          <cell r="Z1135">
            <v>138</v>
          </cell>
          <cell r="AD1135">
            <v>2.3E-2</v>
          </cell>
        </row>
        <row r="1136">
          <cell r="E1136" t="str">
            <v>AE 0.9mm-7Pr</v>
          </cell>
          <cell r="F1136" t="str">
            <v>ｍ</v>
          </cell>
          <cell r="H1136">
            <v>161</v>
          </cell>
          <cell r="J1136">
            <v>161</v>
          </cell>
          <cell r="L1136">
            <v>161</v>
          </cell>
          <cell r="N1136">
            <v>161</v>
          </cell>
          <cell r="P1136">
            <v>161</v>
          </cell>
          <cell r="R1136">
            <v>161</v>
          </cell>
          <cell r="T1136">
            <v>161</v>
          </cell>
          <cell r="V1136">
            <v>161</v>
          </cell>
          <cell r="X1136">
            <v>161</v>
          </cell>
          <cell r="Z1136">
            <v>161</v>
          </cell>
          <cell r="AD1136">
            <v>2.3E-2</v>
          </cell>
        </row>
        <row r="1137">
          <cell r="E1137" t="str">
            <v>AE 0.9mm-10Pr</v>
          </cell>
          <cell r="F1137" t="str">
            <v>ｍ</v>
          </cell>
          <cell r="H1137">
            <v>229</v>
          </cell>
          <cell r="J1137">
            <v>229</v>
          </cell>
          <cell r="L1137">
            <v>229</v>
          </cell>
          <cell r="N1137">
            <v>229</v>
          </cell>
          <cell r="P1137">
            <v>229</v>
          </cell>
          <cell r="R1137">
            <v>229</v>
          </cell>
          <cell r="T1137">
            <v>229</v>
          </cell>
          <cell r="V1137">
            <v>229</v>
          </cell>
          <cell r="X1137">
            <v>229</v>
          </cell>
          <cell r="Z1137">
            <v>229</v>
          </cell>
          <cell r="AD1137">
            <v>2.5000000000000001E-2</v>
          </cell>
        </row>
        <row r="1138">
          <cell r="E1138" t="str">
            <v>AE 0.9mm-15Pr</v>
          </cell>
          <cell r="F1138" t="str">
            <v>ｍ</v>
          </cell>
          <cell r="H1138">
            <v>326</v>
          </cell>
          <cell r="J1138">
            <v>326</v>
          </cell>
          <cell r="L1138">
            <v>326</v>
          </cell>
          <cell r="N1138">
            <v>326</v>
          </cell>
          <cell r="P1138">
            <v>326</v>
          </cell>
          <cell r="R1138">
            <v>326</v>
          </cell>
          <cell r="T1138">
            <v>326</v>
          </cell>
          <cell r="V1138">
            <v>326</v>
          </cell>
          <cell r="X1138">
            <v>326</v>
          </cell>
          <cell r="Z1138">
            <v>326</v>
          </cell>
          <cell r="AD1138">
            <v>2.8000000000000001E-2</v>
          </cell>
        </row>
        <row r="1139">
          <cell r="E1139" t="str">
            <v>AE 0.9mm-20Pr</v>
          </cell>
          <cell r="F1139" t="str">
            <v>ｍ</v>
          </cell>
          <cell r="H1139">
            <v>446</v>
          </cell>
          <cell r="J1139">
            <v>446</v>
          </cell>
          <cell r="L1139">
            <v>446</v>
          </cell>
          <cell r="N1139">
            <v>446</v>
          </cell>
          <cell r="P1139">
            <v>446</v>
          </cell>
          <cell r="R1139">
            <v>446</v>
          </cell>
          <cell r="T1139">
            <v>446</v>
          </cell>
          <cell r="V1139">
            <v>446</v>
          </cell>
          <cell r="X1139">
            <v>446</v>
          </cell>
          <cell r="Z1139">
            <v>446</v>
          </cell>
          <cell r="AD1139">
            <v>3.1E-2</v>
          </cell>
        </row>
        <row r="1140">
          <cell r="E1140" t="str">
            <v>AE 0.9mm-30Pr</v>
          </cell>
          <cell r="F1140" t="str">
            <v>ｍ</v>
          </cell>
          <cell r="H1140">
            <v>621</v>
          </cell>
          <cell r="J1140">
            <v>621</v>
          </cell>
          <cell r="L1140">
            <v>621</v>
          </cell>
          <cell r="N1140">
            <v>621</v>
          </cell>
          <cell r="P1140">
            <v>621</v>
          </cell>
          <cell r="R1140">
            <v>621</v>
          </cell>
          <cell r="T1140">
            <v>621</v>
          </cell>
          <cell r="V1140">
            <v>621</v>
          </cell>
          <cell r="X1140">
            <v>621</v>
          </cell>
          <cell r="Z1140">
            <v>621</v>
          </cell>
          <cell r="AD1140">
            <v>3.6999999999999998E-2</v>
          </cell>
        </row>
        <row r="1141">
          <cell r="E1141" t="str">
            <v>AE 0.9mm-50Pr</v>
          </cell>
          <cell r="F1141" t="str">
            <v>ｍ</v>
          </cell>
          <cell r="H1141">
            <v>1028</v>
          </cell>
          <cell r="J1141">
            <v>1028</v>
          </cell>
          <cell r="L1141">
            <v>1028</v>
          </cell>
          <cell r="N1141">
            <v>1028</v>
          </cell>
          <cell r="P1141">
            <v>1028</v>
          </cell>
          <cell r="R1141">
            <v>1028</v>
          </cell>
          <cell r="T1141">
            <v>1028</v>
          </cell>
          <cell r="V1141">
            <v>1028</v>
          </cell>
          <cell r="X1141">
            <v>1028</v>
          </cell>
          <cell r="Z1141">
            <v>1028</v>
          </cell>
          <cell r="AD1141">
            <v>0.05</v>
          </cell>
        </row>
        <row r="1142">
          <cell r="E1142" t="str">
            <v>AE 0.9mm-100Pr</v>
          </cell>
          <cell r="F1142" t="str">
            <v>ｍ</v>
          </cell>
          <cell r="H1142">
            <v>1934</v>
          </cell>
          <cell r="J1142">
            <v>1934</v>
          </cell>
          <cell r="L1142">
            <v>1934</v>
          </cell>
          <cell r="N1142">
            <v>1934</v>
          </cell>
          <cell r="P1142">
            <v>1934</v>
          </cell>
          <cell r="R1142">
            <v>1934</v>
          </cell>
          <cell r="T1142">
            <v>1934</v>
          </cell>
          <cell r="V1142">
            <v>1934</v>
          </cell>
          <cell r="X1142">
            <v>1934</v>
          </cell>
          <cell r="Z1142">
            <v>1934</v>
          </cell>
          <cell r="AD1142">
            <v>8.3000000000000004E-2</v>
          </cell>
        </row>
        <row r="1143">
          <cell r="E1143" t="str">
            <v>AE 1.2mm-2C</v>
          </cell>
          <cell r="F1143" t="str">
            <v>ｍ</v>
          </cell>
          <cell r="H1143">
            <v>38.200000000000003</v>
          </cell>
          <cell r="J1143">
            <v>38.200000000000003</v>
          </cell>
          <cell r="L1143">
            <v>38.200000000000003</v>
          </cell>
          <cell r="N1143">
            <v>38.200000000000003</v>
          </cell>
          <cell r="P1143">
            <v>38.200000000000003</v>
          </cell>
          <cell r="R1143">
            <v>38.200000000000003</v>
          </cell>
          <cell r="T1143">
            <v>38.200000000000003</v>
          </cell>
          <cell r="V1143">
            <v>38.200000000000003</v>
          </cell>
          <cell r="X1143">
            <v>38.200000000000003</v>
          </cell>
          <cell r="Z1143">
            <v>38.200000000000003</v>
          </cell>
          <cell r="AD1143">
            <v>1.4999999999999999E-2</v>
          </cell>
        </row>
        <row r="1144">
          <cell r="E1144" t="str">
            <v>AE 1.2mm-3C</v>
          </cell>
          <cell r="F1144" t="str">
            <v>ｍ</v>
          </cell>
          <cell r="H1144">
            <v>54.3</v>
          </cell>
          <cell r="J1144">
            <v>54.3</v>
          </cell>
          <cell r="L1144">
            <v>54.3</v>
          </cell>
          <cell r="N1144">
            <v>54.3</v>
          </cell>
          <cell r="P1144">
            <v>54.3</v>
          </cell>
          <cell r="R1144">
            <v>54.3</v>
          </cell>
          <cell r="T1144">
            <v>54.3</v>
          </cell>
          <cell r="V1144">
            <v>54.3</v>
          </cell>
          <cell r="X1144">
            <v>54.3</v>
          </cell>
          <cell r="Z1144">
            <v>54.3</v>
          </cell>
          <cell r="AD1144">
            <v>1.7000000000000001E-2</v>
          </cell>
        </row>
        <row r="1145">
          <cell r="E1145" t="str">
            <v>AE 1.2mm-4C</v>
          </cell>
          <cell r="F1145" t="str">
            <v>ｍ</v>
          </cell>
          <cell r="H1145">
            <v>67</v>
          </cell>
          <cell r="J1145">
            <v>67</v>
          </cell>
          <cell r="L1145">
            <v>67</v>
          </cell>
          <cell r="N1145">
            <v>67</v>
          </cell>
          <cell r="P1145">
            <v>67</v>
          </cell>
          <cell r="R1145">
            <v>67</v>
          </cell>
          <cell r="T1145">
            <v>67</v>
          </cell>
          <cell r="V1145">
            <v>67</v>
          </cell>
          <cell r="X1145">
            <v>67</v>
          </cell>
          <cell r="Z1145">
            <v>67</v>
          </cell>
          <cell r="AD1145">
            <v>1.7999999999999999E-2</v>
          </cell>
        </row>
        <row r="1146">
          <cell r="E1146" t="str">
            <v>AE 1.2mm-6C</v>
          </cell>
          <cell r="F1146" t="str">
            <v>ｍ</v>
          </cell>
          <cell r="H1146">
            <v>108</v>
          </cell>
          <cell r="J1146">
            <v>108</v>
          </cell>
          <cell r="L1146">
            <v>108</v>
          </cell>
          <cell r="N1146">
            <v>108</v>
          </cell>
          <cell r="P1146">
            <v>108</v>
          </cell>
          <cell r="R1146">
            <v>108</v>
          </cell>
          <cell r="T1146">
            <v>108</v>
          </cell>
          <cell r="V1146">
            <v>108</v>
          </cell>
          <cell r="X1146">
            <v>108</v>
          </cell>
          <cell r="Z1146">
            <v>108</v>
          </cell>
          <cell r="AD1146">
            <v>0.02</v>
          </cell>
        </row>
        <row r="1147">
          <cell r="E1147" t="str">
            <v>AE 1.2mm-4Pr</v>
          </cell>
          <cell r="F1147" t="str">
            <v>ｍ</v>
          </cell>
          <cell r="H1147">
            <v>160</v>
          </cell>
          <cell r="J1147">
            <v>160</v>
          </cell>
          <cell r="L1147">
            <v>160</v>
          </cell>
          <cell r="N1147">
            <v>160</v>
          </cell>
          <cell r="P1147">
            <v>160</v>
          </cell>
          <cell r="R1147">
            <v>160</v>
          </cell>
          <cell r="T1147">
            <v>160</v>
          </cell>
          <cell r="V1147">
            <v>160</v>
          </cell>
          <cell r="X1147">
            <v>160</v>
          </cell>
          <cell r="Z1147">
            <v>160</v>
          </cell>
          <cell r="AD1147">
            <v>2.5999999999999999E-2</v>
          </cell>
        </row>
        <row r="1148">
          <cell r="E1148" t="str">
            <v>AE 1.2mm-5Pr</v>
          </cell>
          <cell r="F1148" t="str">
            <v>ｍ</v>
          </cell>
          <cell r="H1148">
            <v>196</v>
          </cell>
          <cell r="J1148">
            <v>196</v>
          </cell>
          <cell r="L1148">
            <v>196</v>
          </cell>
          <cell r="N1148">
            <v>196</v>
          </cell>
          <cell r="P1148">
            <v>196</v>
          </cell>
          <cell r="R1148">
            <v>196</v>
          </cell>
          <cell r="T1148">
            <v>196</v>
          </cell>
          <cell r="V1148">
            <v>196</v>
          </cell>
          <cell r="X1148">
            <v>196</v>
          </cell>
          <cell r="Z1148">
            <v>196</v>
          </cell>
          <cell r="AD1148">
            <v>2.7E-2</v>
          </cell>
        </row>
        <row r="1149">
          <cell r="E1149" t="str">
            <v>AE 1.2mm-7Pr</v>
          </cell>
          <cell r="F1149" t="str">
            <v>ｍ</v>
          </cell>
          <cell r="H1149">
            <v>261</v>
          </cell>
          <cell r="J1149">
            <v>261</v>
          </cell>
          <cell r="L1149">
            <v>261</v>
          </cell>
          <cell r="N1149">
            <v>261</v>
          </cell>
          <cell r="P1149">
            <v>261</v>
          </cell>
          <cell r="R1149">
            <v>261</v>
          </cell>
          <cell r="T1149">
            <v>261</v>
          </cell>
          <cell r="V1149">
            <v>261</v>
          </cell>
          <cell r="X1149">
            <v>261</v>
          </cell>
          <cell r="Z1149">
            <v>261</v>
          </cell>
          <cell r="AD1149">
            <v>2.9000000000000001E-2</v>
          </cell>
        </row>
        <row r="1150">
          <cell r="E1150" t="str">
            <v>AE 1.2mm-10Pr</v>
          </cell>
          <cell r="F1150" t="str">
            <v>ｍ</v>
          </cell>
          <cell r="H1150">
            <v>359</v>
          </cell>
          <cell r="J1150">
            <v>359</v>
          </cell>
          <cell r="L1150">
            <v>359</v>
          </cell>
          <cell r="N1150">
            <v>359</v>
          </cell>
          <cell r="P1150">
            <v>359</v>
          </cell>
          <cell r="R1150">
            <v>359</v>
          </cell>
          <cell r="T1150">
            <v>359</v>
          </cell>
          <cell r="V1150">
            <v>359</v>
          </cell>
          <cell r="X1150">
            <v>359</v>
          </cell>
          <cell r="Z1150">
            <v>359</v>
          </cell>
          <cell r="AD1150">
            <v>3.1E-2</v>
          </cell>
        </row>
        <row r="1151">
          <cell r="E1151" t="str">
            <v>AE 1.2mm-15Pr</v>
          </cell>
          <cell r="F1151" t="str">
            <v>ｍ</v>
          </cell>
          <cell r="H1151">
            <v>547</v>
          </cell>
          <cell r="J1151">
            <v>547</v>
          </cell>
          <cell r="L1151">
            <v>547</v>
          </cell>
          <cell r="N1151">
            <v>547</v>
          </cell>
          <cell r="P1151">
            <v>547</v>
          </cell>
          <cell r="R1151">
            <v>547</v>
          </cell>
          <cell r="T1151">
            <v>547</v>
          </cell>
          <cell r="V1151">
            <v>547</v>
          </cell>
          <cell r="X1151">
            <v>547</v>
          </cell>
          <cell r="Z1151">
            <v>547</v>
          </cell>
          <cell r="AD1151">
            <v>3.4000000000000002E-2</v>
          </cell>
        </row>
        <row r="1152">
          <cell r="E1152" t="str">
            <v>AE 1.2mm-20Pr</v>
          </cell>
          <cell r="F1152" t="str">
            <v>ｍ</v>
          </cell>
          <cell r="H1152">
            <v>693</v>
          </cell>
          <cell r="J1152">
            <v>693</v>
          </cell>
          <cell r="L1152">
            <v>693</v>
          </cell>
          <cell r="N1152">
            <v>693</v>
          </cell>
          <cell r="P1152">
            <v>693</v>
          </cell>
          <cell r="R1152">
            <v>693</v>
          </cell>
          <cell r="T1152">
            <v>693</v>
          </cell>
          <cell r="V1152">
            <v>693</v>
          </cell>
          <cell r="X1152">
            <v>693</v>
          </cell>
          <cell r="Z1152">
            <v>693</v>
          </cell>
          <cell r="AD1152">
            <v>3.9E-2</v>
          </cell>
        </row>
        <row r="1153">
          <cell r="E1153" t="str">
            <v>AE 1.2mm-30Pr</v>
          </cell>
          <cell r="F1153" t="str">
            <v>ｍ</v>
          </cell>
          <cell r="H1153">
            <v>1039</v>
          </cell>
          <cell r="J1153">
            <v>1039</v>
          </cell>
          <cell r="L1153">
            <v>1039</v>
          </cell>
          <cell r="N1153">
            <v>1039</v>
          </cell>
          <cell r="P1153">
            <v>1039</v>
          </cell>
          <cell r="R1153">
            <v>1039</v>
          </cell>
          <cell r="T1153">
            <v>1039</v>
          </cell>
          <cell r="V1153">
            <v>1039</v>
          </cell>
          <cell r="X1153">
            <v>1039</v>
          </cell>
          <cell r="Z1153">
            <v>1039</v>
          </cell>
          <cell r="AD1153">
            <v>4.5999999999999999E-2</v>
          </cell>
        </row>
        <row r="1154">
          <cell r="E1154" t="str">
            <v>AE 1.2mm-50Pr</v>
          </cell>
          <cell r="F1154" t="str">
            <v>ｍ</v>
          </cell>
          <cell r="H1154">
            <v>1749</v>
          </cell>
          <cell r="J1154">
            <v>1749</v>
          </cell>
          <cell r="L1154">
            <v>1749</v>
          </cell>
          <cell r="N1154">
            <v>1749</v>
          </cell>
          <cell r="P1154">
            <v>1749</v>
          </cell>
          <cell r="R1154">
            <v>1749</v>
          </cell>
          <cell r="T1154">
            <v>1749</v>
          </cell>
          <cell r="V1154">
            <v>1749</v>
          </cell>
          <cell r="X1154">
            <v>1749</v>
          </cell>
          <cell r="Z1154">
            <v>1749</v>
          </cell>
          <cell r="AD1154">
            <v>6.2E-2</v>
          </cell>
        </row>
        <row r="1155">
          <cell r="E1155" t="str">
            <v>AE 1.2mm-100Pr</v>
          </cell>
          <cell r="F1155" t="str">
            <v>ｍ</v>
          </cell>
          <cell r="H1155">
            <v>3513</v>
          </cell>
          <cell r="J1155">
            <v>3513</v>
          </cell>
          <cell r="L1155">
            <v>3513</v>
          </cell>
          <cell r="N1155">
            <v>3513</v>
          </cell>
          <cell r="P1155">
            <v>3513</v>
          </cell>
          <cell r="R1155">
            <v>3513</v>
          </cell>
          <cell r="T1155">
            <v>3513</v>
          </cell>
          <cell r="V1155">
            <v>3513</v>
          </cell>
          <cell r="X1155">
            <v>3513</v>
          </cell>
          <cell r="Z1155">
            <v>3513</v>
          </cell>
          <cell r="AD1155">
            <v>0.10299999999999999</v>
          </cell>
        </row>
        <row r="1156">
          <cell r="E1156" t="str">
            <v>CCP-P 0.4-10Pr</v>
          </cell>
          <cell r="F1156" t="str">
            <v>ｍ</v>
          </cell>
          <cell r="H1156">
            <v>123</v>
          </cell>
          <cell r="J1156">
            <v>123</v>
          </cell>
          <cell r="L1156">
            <v>123</v>
          </cell>
          <cell r="N1156">
            <v>123</v>
          </cell>
          <cell r="P1156">
            <v>123</v>
          </cell>
          <cell r="R1156">
            <v>123</v>
          </cell>
          <cell r="T1156">
            <v>123</v>
          </cell>
          <cell r="V1156">
            <v>123</v>
          </cell>
          <cell r="X1156">
            <v>123</v>
          </cell>
          <cell r="Z1156">
            <v>123</v>
          </cell>
          <cell r="AD1156">
            <v>2.1999999999999999E-2</v>
          </cell>
        </row>
        <row r="1157">
          <cell r="E1157" t="str">
            <v>CCP-P 0.4-30Pr</v>
          </cell>
          <cell r="F1157" t="str">
            <v>ｍ</v>
          </cell>
          <cell r="H1157">
            <v>213</v>
          </cell>
          <cell r="J1157">
            <v>213</v>
          </cell>
          <cell r="L1157">
            <v>213</v>
          </cell>
          <cell r="N1157">
            <v>213</v>
          </cell>
          <cell r="P1157">
            <v>213</v>
          </cell>
          <cell r="R1157">
            <v>213</v>
          </cell>
          <cell r="T1157">
            <v>213</v>
          </cell>
          <cell r="V1157">
            <v>213</v>
          </cell>
          <cell r="X1157">
            <v>213</v>
          </cell>
          <cell r="Z1157">
            <v>213</v>
          </cell>
          <cell r="AD1157">
            <v>2.9000000000000001E-2</v>
          </cell>
        </row>
        <row r="1158">
          <cell r="E1158" t="str">
            <v>CCP-P 0.4-50Pr</v>
          </cell>
          <cell r="F1158" t="str">
            <v>ｍ</v>
          </cell>
          <cell r="H1158">
            <v>314</v>
          </cell>
          <cell r="J1158">
            <v>314</v>
          </cell>
          <cell r="L1158">
            <v>314</v>
          </cell>
          <cell r="N1158">
            <v>314</v>
          </cell>
          <cell r="P1158">
            <v>314</v>
          </cell>
          <cell r="R1158">
            <v>314</v>
          </cell>
          <cell r="T1158">
            <v>314</v>
          </cell>
          <cell r="V1158">
            <v>314</v>
          </cell>
          <cell r="X1158">
            <v>314</v>
          </cell>
          <cell r="Z1158">
            <v>314</v>
          </cell>
          <cell r="AD1158">
            <v>3.9E-2</v>
          </cell>
        </row>
        <row r="1159">
          <cell r="E1159" t="str">
            <v>CCP-P 0.4-100Pr</v>
          </cell>
          <cell r="F1159" t="str">
            <v>ｍ</v>
          </cell>
          <cell r="H1159">
            <v>548</v>
          </cell>
          <cell r="J1159">
            <v>548</v>
          </cell>
          <cell r="L1159">
            <v>548</v>
          </cell>
          <cell r="N1159">
            <v>548</v>
          </cell>
          <cell r="P1159">
            <v>548</v>
          </cell>
          <cell r="R1159">
            <v>548</v>
          </cell>
          <cell r="T1159">
            <v>548</v>
          </cell>
          <cell r="V1159">
            <v>548</v>
          </cell>
          <cell r="X1159">
            <v>548</v>
          </cell>
          <cell r="Z1159">
            <v>548</v>
          </cell>
          <cell r="AD1159">
            <v>6.4000000000000001E-2</v>
          </cell>
        </row>
        <row r="1160">
          <cell r="E1160" t="str">
            <v>CCP-P 0.4-200Pr</v>
          </cell>
          <cell r="F1160" t="str">
            <v>ｍ</v>
          </cell>
          <cell r="H1160">
            <v>1021</v>
          </cell>
          <cell r="J1160">
            <v>1021</v>
          </cell>
          <cell r="L1160">
            <v>1021</v>
          </cell>
          <cell r="N1160">
            <v>1021</v>
          </cell>
          <cell r="P1160">
            <v>1021</v>
          </cell>
          <cell r="R1160">
            <v>1021</v>
          </cell>
          <cell r="T1160">
            <v>1021</v>
          </cell>
          <cell r="V1160">
            <v>1021</v>
          </cell>
          <cell r="X1160">
            <v>1021</v>
          </cell>
          <cell r="Z1160">
            <v>1021</v>
          </cell>
          <cell r="AD1160">
            <v>9.5000000000000001E-2</v>
          </cell>
        </row>
        <row r="1161">
          <cell r="E1161" t="str">
            <v>CCP-P 0.5-10Pr</v>
          </cell>
          <cell r="F1161" t="str">
            <v>ｍ</v>
          </cell>
          <cell r="H1161">
            <v>141</v>
          </cell>
          <cell r="J1161">
            <v>141</v>
          </cell>
          <cell r="L1161">
            <v>141</v>
          </cell>
          <cell r="N1161">
            <v>141</v>
          </cell>
          <cell r="P1161">
            <v>141</v>
          </cell>
          <cell r="R1161">
            <v>141</v>
          </cell>
          <cell r="T1161">
            <v>141</v>
          </cell>
          <cell r="V1161">
            <v>141</v>
          </cell>
          <cell r="X1161">
            <v>141</v>
          </cell>
          <cell r="Z1161">
            <v>141</v>
          </cell>
          <cell r="AD1161">
            <v>2.1999999999999999E-2</v>
          </cell>
        </row>
        <row r="1162">
          <cell r="E1162" t="str">
            <v>CCP-P 0.5-30Pr</v>
          </cell>
          <cell r="F1162" t="str">
            <v>ｍ</v>
          </cell>
          <cell r="H1162">
            <v>277</v>
          </cell>
          <cell r="J1162">
            <v>277</v>
          </cell>
          <cell r="L1162">
            <v>277</v>
          </cell>
          <cell r="N1162">
            <v>277</v>
          </cell>
          <cell r="P1162">
            <v>277</v>
          </cell>
          <cell r="R1162">
            <v>277</v>
          </cell>
          <cell r="T1162">
            <v>277</v>
          </cell>
          <cell r="V1162">
            <v>277</v>
          </cell>
          <cell r="X1162">
            <v>277</v>
          </cell>
          <cell r="Z1162">
            <v>277</v>
          </cell>
          <cell r="AD1162">
            <v>2.9000000000000001E-2</v>
          </cell>
        </row>
        <row r="1163">
          <cell r="E1163" t="str">
            <v>CCP-P 0.5-50Pr</v>
          </cell>
          <cell r="F1163" t="str">
            <v>ｍ</v>
          </cell>
          <cell r="H1163">
            <v>409</v>
          </cell>
          <cell r="J1163">
            <v>409</v>
          </cell>
          <cell r="L1163">
            <v>409</v>
          </cell>
          <cell r="N1163">
            <v>409</v>
          </cell>
          <cell r="P1163">
            <v>409</v>
          </cell>
          <cell r="R1163">
            <v>409</v>
          </cell>
          <cell r="T1163">
            <v>409</v>
          </cell>
          <cell r="V1163">
            <v>409</v>
          </cell>
          <cell r="X1163">
            <v>409</v>
          </cell>
          <cell r="Z1163">
            <v>409</v>
          </cell>
          <cell r="AD1163">
            <v>3.9E-2</v>
          </cell>
        </row>
        <row r="1164">
          <cell r="E1164" t="str">
            <v>CCP-P 0.5-100Pr</v>
          </cell>
          <cell r="F1164" t="str">
            <v>ｍ</v>
          </cell>
          <cell r="H1164">
            <v>735</v>
          </cell>
          <cell r="J1164">
            <v>735</v>
          </cell>
          <cell r="L1164">
            <v>735</v>
          </cell>
          <cell r="N1164">
            <v>735</v>
          </cell>
          <cell r="P1164">
            <v>735</v>
          </cell>
          <cell r="R1164">
            <v>735</v>
          </cell>
          <cell r="T1164">
            <v>735</v>
          </cell>
          <cell r="V1164">
            <v>735</v>
          </cell>
          <cell r="X1164">
            <v>735</v>
          </cell>
          <cell r="Z1164">
            <v>735</v>
          </cell>
          <cell r="AD1164">
            <v>6.4000000000000001E-2</v>
          </cell>
        </row>
        <row r="1165">
          <cell r="E1165" t="str">
            <v>CCP-P 0.5-200Pr</v>
          </cell>
          <cell r="F1165" t="str">
            <v>ｍ</v>
          </cell>
          <cell r="H1165">
            <v>1364</v>
          </cell>
          <cell r="J1165">
            <v>1364</v>
          </cell>
          <cell r="L1165">
            <v>1364</v>
          </cell>
          <cell r="N1165">
            <v>1364</v>
          </cell>
          <cell r="P1165">
            <v>1364</v>
          </cell>
          <cell r="R1165">
            <v>1364</v>
          </cell>
          <cell r="T1165">
            <v>1364</v>
          </cell>
          <cell r="V1165">
            <v>1364</v>
          </cell>
          <cell r="X1165">
            <v>1364</v>
          </cell>
          <cell r="Z1165">
            <v>1364</v>
          </cell>
          <cell r="AD1165">
            <v>9.5000000000000001E-2</v>
          </cell>
        </row>
        <row r="1166">
          <cell r="E1166" t="str">
            <v>CCP-P 0.65-10Pr</v>
          </cell>
          <cell r="F1166" t="str">
            <v>ｍ</v>
          </cell>
          <cell r="H1166">
            <v>186</v>
          </cell>
          <cell r="J1166">
            <v>186</v>
          </cell>
          <cell r="L1166">
            <v>186</v>
          </cell>
          <cell r="N1166">
            <v>186</v>
          </cell>
          <cell r="P1166">
            <v>186</v>
          </cell>
          <cell r="R1166">
            <v>186</v>
          </cell>
          <cell r="T1166">
            <v>186</v>
          </cell>
          <cell r="V1166">
            <v>186</v>
          </cell>
          <cell r="X1166">
            <v>186</v>
          </cell>
          <cell r="Z1166">
            <v>186</v>
          </cell>
          <cell r="AD1166">
            <v>2.1999999999999999E-2</v>
          </cell>
        </row>
        <row r="1167">
          <cell r="E1167" t="str">
            <v>CCP-P 0.65-30Pr</v>
          </cell>
          <cell r="F1167" t="str">
            <v>ｍ</v>
          </cell>
          <cell r="H1167">
            <v>381</v>
          </cell>
          <cell r="J1167">
            <v>381</v>
          </cell>
          <cell r="L1167">
            <v>381</v>
          </cell>
          <cell r="N1167">
            <v>381</v>
          </cell>
          <cell r="P1167">
            <v>381</v>
          </cell>
          <cell r="R1167">
            <v>381</v>
          </cell>
          <cell r="T1167">
            <v>381</v>
          </cell>
          <cell r="V1167">
            <v>381</v>
          </cell>
          <cell r="X1167">
            <v>381</v>
          </cell>
          <cell r="Z1167">
            <v>381</v>
          </cell>
          <cell r="AD1167">
            <v>2.9000000000000001E-2</v>
          </cell>
        </row>
        <row r="1168">
          <cell r="E1168" t="str">
            <v>CCP-P 0.65-50Pr</v>
          </cell>
          <cell r="F1168" t="str">
            <v>ｍ</v>
          </cell>
          <cell r="H1168">
            <v>593</v>
          </cell>
          <cell r="J1168">
            <v>593</v>
          </cell>
          <cell r="L1168">
            <v>593</v>
          </cell>
          <cell r="N1168">
            <v>593</v>
          </cell>
          <cell r="P1168">
            <v>593</v>
          </cell>
          <cell r="R1168">
            <v>593</v>
          </cell>
          <cell r="T1168">
            <v>593</v>
          </cell>
          <cell r="V1168">
            <v>593</v>
          </cell>
          <cell r="X1168">
            <v>593</v>
          </cell>
          <cell r="Z1168">
            <v>593</v>
          </cell>
          <cell r="AD1168">
            <v>3.9E-2</v>
          </cell>
        </row>
        <row r="1169">
          <cell r="E1169" t="str">
            <v>CCP-P 0.65-100Pr</v>
          </cell>
          <cell r="F1169" t="str">
            <v>ｍ</v>
          </cell>
          <cell r="H1169">
            <v>1102</v>
          </cell>
          <cell r="J1169">
            <v>1102</v>
          </cell>
          <cell r="L1169">
            <v>1102</v>
          </cell>
          <cell r="N1169">
            <v>1102</v>
          </cell>
          <cell r="P1169">
            <v>1102</v>
          </cell>
          <cell r="R1169">
            <v>1102</v>
          </cell>
          <cell r="T1169">
            <v>1102</v>
          </cell>
          <cell r="V1169">
            <v>1102</v>
          </cell>
          <cell r="X1169">
            <v>1102</v>
          </cell>
          <cell r="Z1169">
            <v>1102</v>
          </cell>
          <cell r="AD1169">
            <v>6.4000000000000001E-2</v>
          </cell>
        </row>
        <row r="1170">
          <cell r="E1170" t="str">
            <v>CCP-P 0.65-200Pr</v>
          </cell>
          <cell r="F1170" t="str">
            <v>ｍ</v>
          </cell>
          <cell r="H1170">
            <v>2060</v>
          </cell>
          <cell r="J1170">
            <v>2060</v>
          </cell>
          <cell r="L1170">
            <v>2060</v>
          </cell>
          <cell r="N1170">
            <v>2060</v>
          </cell>
          <cell r="P1170">
            <v>2060</v>
          </cell>
          <cell r="R1170">
            <v>2060</v>
          </cell>
          <cell r="T1170">
            <v>2060</v>
          </cell>
          <cell r="V1170">
            <v>2060</v>
          </cell>
          <cell r="X1170">
            <v>2060</v>
          </cell>
          <cell r="Z1170">
            <v>2060</v>
          </cell>
          <cell r="AD1170">
            <v>9.5000000000000001E-2</v>
          </cell>
        </row>
        <row r="1171">
          <cell r="E1171" t="str">
            <v>CCP-P 0.9-10Pr</v>
          </cell>
          <cell r="F1171" t="str">
            <v>ｍ</v>
          </cell>
          <cell r="H1171">
            <v>267</v>
          </cell>
          <cell r="J1171">
            <v>267</v>
          </cell>
          <cell r="L1171">
            <v>267</v>
          </cell>
          <cell r="N1171">
            <v>267</v>
          </cell>
          <cell r="P1171">
            <v>267</v>
          </cell>
          <cell r="R1171">
            <v>267</v>
          </cell>
          <cell r="T1171">
            <v>267</v>
          </cell>
          <cell r="V1171">
            <v>267</v>
          </cell>
          <cell r="X1171">
            <v>267</v>
          </cell>
          <cell r="Z1171">
            <v>267</v>
          </cell>
          <cell r="AD1171">
            <v>2.5000000000000001E-2</v>
          </cell>
        </row>
        <row r="1172">
          <cell r="E1172" t="str">
            <v>CCP-P 0.9-30Pr</v>
          </cell>
          <cell r="F1172" t="str">
            <v>ｍ</v>
          </cell>
          <cell r="H1172">
            <v>642</v>
          </cell>
          <cell r="J1172">
            <v>642</v>
          </cell>
          <cell r="L1172">
            <v>642</v>
          </cell>
          <cell r="N1172">
            <v>642</v>
          </cell>
          <cell r="P1172">
            <v>642</v>
          </cell>
          <cell r="R1172">
            <v>642</v>
          </cell>
          <cell r="T1172">
            <v>642</v>
          </cell>
          <cell r="V1172">
            <v>642</v>
          </cell>
          <cell r="X1172">
            <v>642</v>
          </cell>
          <cell r="Z1172">
            <v>642</v>
          </cell>
          <cell r="AD1172">
            <v>3.6999999999999998E-2</v>
          </cell>
        </row>
        <row r="1173">
          <cell r="E1173" t="str">
            <v>CCP-P 0.9-50Pr</v>
          </cell>
          <cell r="F1173" t="str">
            <v>ｍ</v>
          </cell>
          <cell r="H1173">
            <v>1010</v>
          </cell>
          <cell r="J1173">
            <v>1010</v>
          </cell>
          <cell r="L1173">
            <v>1010</v>
          </cell>
          <cell r="N1173">
            <v>1010</v>
          </cell>
          <cell r="P1173">
            <v>1010</v>
          </cell>
          <cell r="R1173">
            <v>1010</v>
          </cell>
          <cell r="T1173">
            <v>1010</v>
          </cell>
          <cell r="V1173">
            <v>1010</v>
          </cell>
          <cell r="X1173">
            <v>1010</v>
          </cell>
          <cell r="Z1173">
            <v>1010</v>
          </cell>
          <cell r="AD1173">
            <v>0.05</v>
          </cell>
        </row>
        <row r="1174">
          <cell r="E1174" t="str">
            <v>CCP-P 0.9-100Pr</v>
          </cell>
          <cell r="F1174" t="str">
            <v>ｍ</v>
          </cell>
          <cell r="H1174">
            <v>1902</v>
          </cell>
          <cell r="J1174">
            <v>1902</v>
          </cell>
          <cell r="L1174">
            <v>1902</v>
          </cell>
          <cell r="N1174">
            <v>1902</v>
          </cell>
          <cell r="P1174">
            <v>1902</v>
          </cell>
          <cell r="R1174">
            <v>1902</v>
          </cell>
          <cell r="T1174">
            <v>1902</v>
          </cell>
          <cell r="V1174">
            <v>1902</v>
          </cell>
          <cell r="X1174">
            <v>1902</v>
          </cell>
          <cell r="Z1174">
            <v>1902</v>
          </cell>
          <cell r="AD1174">
            <v>8.3000000000000004E-2</v>
          </cell>
        </row>
        <row r="1175">
          <cell r="E1175" t="str">
            <v>CCP-P-SS 0.4-30Pr</v>
          </cell>
          <cell r="F1175" t="str">
            <v>ｍ</v>
          </cell>
          <cell r="H1175">
            <v>291</v>
          </cell>
          <cell r="J1175">
            <v>291</v>
          </cell>
          <cell r="L1175">
            <v>291</v>
          </cell>
          <cell r="N1175">
            <v>291</v>
          </cell>
          <cell r="P1175">
            <v>291</v>
          </cell>
          <cell r="R1175">
            <v>291</v>
          </cell>
          <cell r="T1175">
            <v>291</v>
          </cell>
          <cell r="V1175">
            <v>291</v>
          </cell>
          <cell r="X1175">
            <v>291</v>
          </cell>
          <cell r="Z1175">
            <v>291</v>
          </cell>
          <cell r="AD1175">
            <v>2.9000000000000001E-2</v>
          </cell>
        </row>
        <row r="1176">
          <cell r="E1176" t="str">
            <v>CCP-P-SS 0.4-50Pr</v>
          </cell>
          <cell r="F1176" t="str">
            <v>ｍ</v>
          </cell>
          <cell r="H1176">
            <v>388</v>
          </cell>
          <cell r="J1176">
            <v>388</v>
          </cell>
          <cell r="L1176">
            <v>388</v>
          </cell>
          <cell r="N1176">
            <v>388</v>
          </cell>
          <cell r="P1176">
            <v>388</v>
          </cell>
          <cell r="R1176">
            <v>388</v>
          </cell>
          <cell r="T1176">
            <v>388</v>
          </cell>
          <cell r="V1176">
            <v>388</v>
          </cell>
          <cell r="X1176">
            <v>388</v>
          </cell>
          <cell r="Z1176">
            <v>388</v>
          </cell>
          <cell r="AD1176">
            <v>3.9E-2</v>
          </cell>
        </row>
        <row r="1177">
          <cell r="E1177" t="str">
            <v>CCP-P-SS 0.4-100Pr</v>
          </cell>
          <cell r="F1177" t="str">
            <v>ｍ</v>
          </cell>
          <cell r="H1177">
            <v>645</v>
          </cell>
          <cell r="J1177">
            <v>645</v>
          </cell>
          <cell r="L1177">
            <v>645</v>
          </cell>
          <cell r="N1177">
            <v>645</v>
          </cell>
          <cell r="P1177">
            <v>645</v>
          </cell>
          <cell r="R1177">
            <v>645</v>
          </cell>
          <cell r="T1177">
            <v>645</v>
          </cell>
          <cell r="V1177">
            <v>645</v>
          </cell>
          <cell r="X1177">
            <v>645</v>
          </cell>
          <cell r="Z1177">
            <v>645</v>
          </cell>
          <cell r="AD1177">
            <v>6.4000000000000001E-2</v>
          </cell>
        </row>
        <row r="1178">
          <cell r="E1178" t="str">
            <v>CCP-P-SS 0.4-200Pr</v>
          </cell>
          <cell r="F1178" t="str">
            <v>ｍ</v>
          </cell>
          <cell r="H1178">
            <v>1157</v>
          </cell>
          <cell r="J1178">
            <v>1157</v>
          </cell>
          <cell r="L1178">
            <v>1157</v>
          </cell>
          <cell r="N1178">
            <v>1157</v>
          </cell>
          <cell r="P1178">
            <v>1157</v>
          </cell>
          <cell r="R1178">
            <v>1157</v>
          </cell>
          <cell r="T1178">
            <v>1157</v>
          </cell>
          <cell r="V1178">
            <v>1157</v>
          </cell>
          <cell r="X1178">
            <v>1157</v>
          </cell>
          <cell r="Z1178">
            <v>1157</v>
          </cell>
          <cell r="AD1178">
            <v>9.5000000000000001E-2</v>
          </cell>
        </row>
        <row r="1179">
          <cell r="E1179" t="str">
            <v>CCP-P-SS 0.5-30Pr</v>
          </cell>
          <cell r="F1179" t="str">
            <v>ｍ</v>
          </cell>
          <cell r="H1179">
            <v>351</v>
          </cell>
          <cell r="J1179">
            <v>351</v>
          </cell>
          <cell r="L1179">
            <v>351</v>
          </cell>
          <cell r="N1179">
            <v>351</v>
          </cell>
          <cell r="P1179">
            <v>351</v>
          </cell>
          <cell r="R1179">
            <v>351</v>
          </cell>
          <cell r="T1179">
            <v>351</v>
          </cell>
          <cell r="V1179">
            <v>351</v>
          </cell>
          <cell r="X1179">
            <v>351</v>
          </cell>
          <cell r="Z1179">
            <v>351</v>
          </cell>
          <cell r="AD1179">
            <v>2.9000000000000001E-2</v>
          </cell>
        </row>
        <row r="1180">
          <cell r="E1180" t="str">
            <v>CCP-P-SS 0.5-50Pr</v>
          </cell>
          <cell r="F1180" t="str">
            <v>ｍ</v>
          </cell>
          <cell r="H1180">
            <v>492</v>
          </cell>
          <cell r="J1180">
            <v>492</v>
          </cell>
          <cell r="L1180">
            <v>492</v>
          </cell>
          <cell r="N1180">
            <v>492</v>
          </cell>
          <cell r="P1180">
            <v>492</v>
          </cell>
          <cell r="R1180">
            <v>492</v>
          </cell>
          <cell r="T1180">
            <v>492</v>
          </cell>
          <cell r="V1180">
            <v>492</v>
          </cell>
          <cell r="X1180">
            <v>492</v>
          </cell>
          <cell r="Z1180">
            <v>492</v>
          </cell>
          <cell r="AD1180">
            <v>3.9E-2</v>
          </cell>
        </row>
        <row r="1181">
          <cell r="E1181" t="str">
            <v>CCP-P-SS 0.5-100Pr</v>
          </cell>
          <cell r="F1181" t="str">
            <v>ｍ</v>
          </cell>
          <cell r="H1181">
            <v>838</v>
          </cell>
          <cell r="J1181">
            <v>838</v>
          </cell>
          <cell r="L1181">
            <v>838</v>
          </cell>
          <cell r="N1181">
            <v>838</v>
          </cell>
          <cell r="P1181">
            <v>838</v>
          </cell>
          <cell r="R1181">
            <v>838</v>
          </cell>
          <cell r="T1181">
            <v>838</v>
          </cell>
          <cell r="V1181">
            <v>838</v>
          </cell>
          <cell r="X1181">
            <v>838</v>
          </cell>
          <cell r="Z1181">
            <v>838</v>
          </cell>
          <cell r="AD1181">
            <v>6.4000000000000001E-2</v>
          </cell>
        </row>
        <row r="1182">
          <cell r="E1182" t="str">
            <v>CCP-P-SS 0.5-200Pr</v>
          </cell>
          <cell r="F1182" t="str">
            <v>ｍ</v>
          </cell>
          <cell r="H1182">
            <v>1519</v>
          </cell>
          <cell r="J1182">
            <v>1519</v>
          </cell>
          <cell r="L1182">
            <v>1519</v>
          </cell>
          <cell r="N1182">
            <v>1519</v>
          </cell>
          <cell r="P1182">
            <v>1519</v>
          </cell>
          <cell r="R1182">
            <v>1519</v>
          </cell>
          <cell r="T1182">
            <v>1519</v>
          </cell>
          <cell r="V1182">
            <v>1519</v>
          </cell>
          <cell r="X1182">
            <v>1519</v>
          </cell>
          <cell r="Z1182">
            <v>1519</v>
          </cell>
          <cell r="AD1182">
            <v>9.5000000000000001E-2</v>
          </cell>
        </row>
        <row r="1183">
          <cell r="E1183" t="str">
            <v>CCP-P-SS 0.65-30Pr</v>
          </cell>
          <cell r="F1183" t="str">
            <v>ｍ</v>
          </cell>
          <cell r="H1183">
            <v>480</v>
          </cell>
          <cell r="J1183">
            <v>480</v>
          </cell>
          <cell r="L1183">
            <v>480</v>
          </cell>
          <cell r="N1183">
            <v>480</v>
          </cell>
          <cell r="P1183">
            <v>480</v>
          </cell>
          <cell r="R1183">
            <v>480</v>
          </cell>
          <cell r="T1183">
            <v>480</v>
          </cell>
          <cell r="V1183">
            <v>480</v>
          </cell>
          <cell r="X1183">
            <v>480</v>
          </cell>
          <cell r="Z1183">
            <v>480</v>
          </cell>
          <cell r="AD1183">
            <v>2.9000000000000001E-2</v>
          </cell>
        </row>
        <row r="1184">
          <cell r="E1184" t="str">
            <v>CCP-P-SS 0.65-50Pr</v>
          </cell>
          <cell r="F1184" t="str">
            <v>ｍ</v>
          </cell>
          <cell r="H1184">
            <v>690</v>
          </cell>
          <cell r="J1184">
            <v>690</v>
          </cell>
          <cell r="L1184">
            <v>690</v>
          </cell>
          <cell r="N1184">
            <v>690</v>
          </cell>
          <cell r="P1184">
            <v>690</v>
          </cell>
          <cell r="R1184">
            <v>690</v>
          </cell>
          <cell r="T1184">
            <v>690</v>
          </cell>
          <cell r="V1184">
            <v>690</v>
          </cell>
          <cell r="X1184">
            <v>690</v>
          </cell>
          <cell r="Z1184">
            <v>690</v>
          </cell>
          <cell r="AD1184">
            <v>3.9E-2</v>
          </cell>
        </row>
        <row r="1185">
          <cell r="E1185" t="str">
            <v>CCP-P-SS 0.65-100Pr</v>
          </cell>
          <cell r="F1185" t="str">
            <v>ｍ</v>
          </cell>
          <cell r="H1185">
            <v>1252</v>
          </cell>
          <cell r="J1185">
            <v>1252</v>
          </cell>
          <cell r="L1185">
            <v>1252</v>
          </cell>
          <cell r="N1185">
            <v>1252</v>
          </cell>
          <cell r="P1185">
            <v>1252</v>
          </cell>
          <cell r="R1185">
            <v>1252</v>
          </cell>
          <cell r="T1185">
            <v>1252</v>
          </cell>
          <cell r="V1185">
            <v>1252</v>
          </cell>
          <cell r="X1185">
            <v>1252</v>
          </cell>
          <cell r="Z1185">
            <v>1252</v>
          </cell>
          <cell r="AD1185">
            <v>6.4000000000000001E-2</v>
          </cell>
        </row>
        <row r="1186">
          <cell r="E1186" t="str">
            <v>CCP-P-SS 0.9-30Pr</v>
          </cell>
          <cell r="F1186" t="str">
            <v>ｍ</v>
          </cell>
          <cell r="H1186">
            <v>784</v>
          </cell>
          <cell r="J1186">
            <v>784</v>
          </cell>
          <cell r="L1186">
            <v>784</v>
          </cell>
          <cell r="N1186">
            <v>784</v>
          </cell>
          <cell r="P1186">
            <v>784</v>
          </cell>
          <cell r="R1186">
            <v>784</v>
          </cell>
          <cell r="T1186">
            <v>784</v>
          </cell>
          <cell r="V1186">
            <v>784</v>
          </cell>
          <cell r="X1186">
            <v>784</v>
          </cell>
          <cell r="Z1186">
            <v>784</v>
          </cell>
          <cell r="AD1186">
            <v>2.9000000000000001E-2</v>
          </cell>
        </row>
        <row r="1187">
          <cell r="E1187" t="str">
            <v>CCP-P-SS 0.9-50Pr</v>
          </cell>
          <cell r="F1187" t="str">
            <v>ｍ</v>
          </cell>
          <cell r="H1187">
            <v>1170</v>
          </cell>
          <cell r="J1187">
            <v>1170</v>
          </cell>
          <cell r="L1187">
            <v>1170</v>
          </cell>
          <cell r="N1187">
            <v>1170</v>
          </cell>
          <cell r="P1187">
            <v>1170</v>
          </cell>
          <cell r="R1187">
            <v>1170</v>
          </cell>
          <cell r="T1187">
            <v>1170</v>
          </cell>
          <cell r="V1187">
            <v>1170</v>
          </cell>
          <cell r="X1187">
            <v>1170</v>
          </cell>
          <cell r="Z1187">
            <v>1170</v>
          </cell>
          <cell r="AD1187">
            <v>3.9E-2</v>
          </cell>
        </row>
        <row r="1188">
          <cell r="E1188" t="str">
            <v>CCP-AP 0.4-10Pr</v>
          </cell>
          <cell r="F1188" t="str">
            <v>ｍ</v>
          </cell>
          <cell r="H1188">
            <v>162</v>
          </cell>
          <cell r="J1188">
            <v>162</v>
          </cell>
          <cell r="L1188">
            <v>162</v>
          </cell>
          <cell r="N1188">
            <v>162</v>
          </cell>
          <cell r="P1188">
            <v>162</v>
          </cell>
          <cell r="R1188">
            <v>162</v>
          </cell>
          <cell r="T1188">
            <v>162</v>
          </cell>
          <cell r="V1188">
            <v>162</v>
          </cell>
          <cell r="X1188">
            <v>162</v>
          </cell>
          <cell r="Z1188">
            <v>162</v>
          </cell>
          <cell r="AD1188">
            <v>2.1999999999999999E-2</v>
          </cell>
        </row>
        <row r="1189">
          <cell r="E1189" t="str">
            <v>CCP-AP 0.4-30Pr</v>
          </cell>
          <cell r="F1189" t="str">
            <v>ｍ</v>
          </cell>
          <cell r="H1189">
            <v>285</v>
          </cell>
          <cell r="J1189">
            <v>285</v>
          </cell>
          <cell r="L1189">
            <v>285</v>
          </cell>
          <cell r="N1189">
            <v>285</v>
          </cell>
          <cell r="P1189">
            <v>285</v>
          </cell>
          <cell r="R1189">
            <v>285</v>
          </cell>
          <cell r="T1189">
            <v>285</v>
          </cell>
          <cell r="V1189">
            <v>285</v>
          </cell>
          <cell r="X1189">
            <v>285</v>
          </cell>
          <cell r="Z1189">
            <v>285</v>
          </cell>
          <cell r="AD1189">
            <v>2.9000000000000001E-2</v>
          </cell>
        </row>
        <row r="1190">
          <cell r="E1190" t="str">
            <v>CCP-AP 0.4-50Pr</v>
          </cell>
          <cell r="F1190" t="str">
            <v>ｍ</v>
          </cell>
          <cell r="H1190">
            <v>390</v>
          </cell>
          <cell r="J1190">
            <v>390</v>
          </cell>
          <cell r="L1190">
            <v>390</v>
          </cell>
          <cell r="N1190">
            <v>390</v>
          </cell>
          <cell r="P1190">
            <v>390</v>
          </cell>
          <cell r="R1190">
            <v>390</v>
          </cell>
          <cell r="T1190">
            <v>390</v>
          </cell>
          <cell r="V1190">
            <v>390</v>
          </cell>
          <cell r="X1190">
            <v>390</v>
          </cell>
          <cell r="Z1190">
            <v>390</v>
          </cell>
          <cell r="AD1190">
            <v>3.9E-2</v>
          </cell>
        </row>
        <row r="1191">
          <cell r="E1191" t="str">
            <v>CCP-AP 0.4-100Pr</v>
          </cell>
          <cell r="F1191" t="str">
            <v>ｍ</v>
          </cell>
          <cell r="H1191">
            <v>662</v>
          </cell>
          <cell r="J1191">
            <v>662</v>
          </cell>
          <cell r="L1191">
            <v>662</v>
          </cell>
          <cell r="N1191">
            <v>662</v>
          </cell>
          <cell r="P1191">
            <v>662</v>
          </cell>
          <cell r="R1191">
            <v>662</v>
          </cell>
          <cell r="T1191">
            <v>662</v>
          </cell>
          <cell r="V1191">
            <v>662</v>
          </cell>
          <cell r="X1191">
            <v>662</v>
          </cell>
          <cell r="Z1191">
            <v>662</v>
          </cell>
          <cell r="AD1191">
            <v>6.4000000000000001E-2</v>
          </cell>
        </row>
        <row r="1192">
          <cell r="E1192" t="str">
            <v>CCP-AP 0.4-200Pr</v>
          </cell>
          <cell r="F1192" t="str">
            <v>ｍ</v>
          </cell>
          <cell r="H1192">
            <v>1165</v>
          </cell>
          <cell r="J1192">
            <v>1165</v>
          </cell>
          <cell r="L1192">
            <v>1165</v>
          </cell>
          <cell r="N1192">
            <v>1165</v>
          </cell>
          <cell r="P1192">
            <v>1165</v>
          </cell>
          <cell r="R1192">
            <v>1165</v>
          </cell>
          <cell r="T1192">
            <v>1165</v>
          </cell>
          <cell r="V1192">
            <v>1165</v>
          </cell>
          <cell r="X1192">
            <v>1165</v>
          </cell>
          <cell r="Z1192">
            <v>1165</v>
          </cell>
          <cell r="AD1192">
            <v>9.5000000000000001E-2</v>
          </cell>
        </row>
        <row r="1193">
          <cell r="E1193" t="str">
            <v>CCP-AP 0.5-10Pr</v>
          </cell>
          <cell r="F1193" t="str">
            <v>ｍ</v>
          </cell>
          <cell r="H1193">
            <v>195</v>
          </cell>
          <cell r="J1193">
            <v>195</v>
          </cell>
          <cell r="L1193">
            <v>195</v>
          </cell>
          <cell r="N1193">
            <v>195</v>
          </cell>
          <cell r="P1193">
            <v>195</v>
          </cell>
          <cell r="R1193">
            <v>195</v>
          </cell>
          <cell r="T1193">
            <v>195</v>
          </cell>
          <cell r="V1193">
            <v>195</v>
          </cell>
          <cell r="X1193">
            <v>195</v>
          </cell>
          <cell r="Z1193">
            <v>195</v>
          </cell>
          <cell r="AD1193">
            <v>2.1999999999999999E-2</v>
          </cell>
        </row>
        <row r="1194">
          <cell r="E1194" t="str">
            <v>CCP-AP 0.5-30Pr</v>
          </cell>
          <cell r="F1194" t="str">
            <v>ｍ</v>
          </cell>
          <cell r="H1194">
            <v>351</v>
          </cell>
          <cell r="J1194">
            <v>351</v>
          </cell>
          <cell r="L1194">
            <v>351</v>
          </cell>
          <cell r="N1194">
            <v>351</v>
          </cell>
          <cell r="P1194">
            <v>351</v>
          </cell>
          <cell r="R1194">
            <v>351</v>
          </cell>
          <cell r="T1194">
            <v>351</v>
          </cell>
          <cell r="V1194">
            <v>351</v>
          </cell>
          <cell r="X1194">
            <v>351</v>
          </cell>
          <cell r="Z1194">
            <v>351</v>
          </cell>
          <cell r="AD1194">
            <v>2.9000000000000001E-2</v>
          </cell>
        </row>
        <row r="1195">
          <cell r="E1195" t="str">
            <v>CCP-AP 0.5-50Pr</v>
          </cell>
          <cell r="F1195" t="str">
            <v>ｍ</v>
          </cell>
          <cell r="H1195">
            <v>487</v>
          </cell>
          <cell r="J1195">
            <v>487</v>
          </cell>
          <cell r="L1195">
            <v>487</v>
          </cell>
          <cell r="N1195">
            <v>487</v>
          </cell>
          <cell r="P1195">
            <v>487</v>
          </cell>
          <cell r="R1195">
            <v>487</v>
          </cell>
          <cell r="T1195">
            <v>487</v>
          </cell>
          <cell r="V1195">
            <v>487</v>
          </cell>
          <cell r="X1195">
            <v>487</v>
          </cell>
          <cell r="Z1195">
            <v>487</v>
          </cell>
          <cell r="AD1195">
            <v>3.9E-2</v>
          </cell>
        </row>
        <row r="1196">
          <cell r="E1196" t="str">
            <v>CCP-AP 0.5-100Pr</v>
          </cell>
          <cell r="F1196" t="str">
            <v>ｍ</v>
          </cell>
          <cell r="H1196">
            <v>852</v>
          </cell>
          <cell r="J1196">
            <v>852</v>
          </cell>
          <cell r="L1196">
            <v>852</v>
          </cell>
          <cell r="N1196">
            <v>852</v>
          </cell>
          <cell r="P1196">
            <v>852</v>
          </cell>
          <cell r="R1196">
            <v>852</v>
          </cell>
          <cell r="T1196">
            <v>852</v>
          </cell>
          <cell r="V1196">
            <v>852</v>
          </cell>
          <cell r="X1196">
            <v>852</v>
          </cell>
          <cell r="Z1196">
            <v>852</v>
          </cell>
          <cell r="AD1196">
            <v>6.4000000000000001E-2</v>
          </cell>
        </row>
        <row r="1197">
          <cell r="E1197" t="str">
            <v>CCP-AP 0.5-200Pr</v>
          </cell>
          <cell r="F1197" t="str">
            <v>ｍ</v>
          </cell>
          <cell r="H1197">
            <v>1526</v>
          </cell>
          <cell r="J1197">
            <v>1526</v>
          </cell>
          <cell r="L1197">
            <v>1526</v>
          </cell>
          <cell r="N1197">
            <v>1526</v>
          </cell>
          <cell r="P1197">
            <v>1526</v>
          </cell>
          <cell r="R1197">
            <v>1526</v>
          </cell>
          <cell r="T1197">
            <v>1526</v>
          </cell>
          <cell r="V1197">
            <v>1526</v>
          </cell>
          <cell r="X1197">
            <v>1526</v>
          </cell>
          <cell r="Z1197">
            <v>1526</v>
          </cell>
          <cell r="AD1197">
            <v>9.5000000000000001E-2</v>
          </cell>
        </row>
        <row r="1198">
          <cell r="E1198" t="str">
            <v>CCP-AP 0.65-10Pr</v>
          </cell>
          <cell r="F1198" t="str">
            <v>ｍ</v>
          </cell>
          <cell r="H1198">
            <v>243</v>
          </cell>
          <cell r="J1198">
            <v>243</v>
          </cell>
          <cell r="L1198">
            <v>243</v>
          </cell>
          <cell r="N1198">
            <v>243</v>
          </cell>
          <cell r="P1198">
            <v>243</v>
          </cell>
          <cell r="R1198">
            <v>243</v>
          </cell>
          <cell r="T1198">
            <v>243</v>
          </cell>
          <cell r="V1198">
            <v>243</v>
          </cell>
          <cell r="X1198">
            <v>243</v>
          </cell>
          <cell r="Z1198">
            <v>243</v>
          </cell>
          <cell r="AD1198">
            <v>2.1999999999999999E-2</v>
          </cell>
        </row>
        <row r="1199">
          <cell r="E1199" t="str">
            <v>CCP-AP 0.65-30Pr</v>
          </cell>
          <cell r="F1199" t="str">
            <v>ｍ</v>
          </cell>
          <cell r="H1199">
            <v>466</v>
          </cell>
          <cell r="J1199">
            <v>466</v>
          </cell>
          <cell r="L1199">
            <v>466</v>
          </cell>
          <cell r="N1199">
            <v>466</v>
          </cell>
          <cell r="P1199">
            <v>466</v>
          </cell>
          <cell r="R1199">
            <v>466</v>
          </cell>
          <cell r="T1199">
            <v>466</v>
          </cell>
          <cell r="V1199">
            <v>466</v>
          </cell>
          <cell r="X1199">
            <v>466</v>
          </cell>
          <cell r="Z1199">
            <v>466</v>
          </cell>
          <cell r="AD1199">
            <v>2.9000000000000001E-2</v>
          </cell>
        </row>
        <row r="1200">
          <cell r="E1200" t="str">
            <v>CCP-AP 0.65-50Pr</v>
          </cell>
          <cell r="F1200" t="str">
            <v>ｍ</v>
          </cell>
          <cell r="H1200">
            <v>689</v>
          </cell>
          <cell r="J1200">
            <v>689</v>
          </cell>
          <cell r="L1200">
            <v>689</v>
          </cell>
          <cell r="N1200">
            <v>689</v>
          </cell>
          <cell r="P1200">
            <v>689</v>
          </cell>
          <cell r="R1200">
            <v>689</v>
          </cell>
          <cell r="T1200">
            <v>689</v>
          </cell>
          <cell r="V1200">
            <v>689</v>
          </cell>
          <cell r="X1200">
            <v>689</v>
          </cell>
          <cell r="Z1200">
            <v>689</v>
          </cell>
          <cell r="AD1200">
            <v>3.9E-2</v>
          </cell>
        </row>
        <row r="1201">
          <cell r="E1201" t="str">
            <v>CCP-AP 0.65-100Pr</v>
          </cell>
          <cell r="F1201" t="str">
            <v>ｍ</v>
          </cell>
          <cell r="H1201">
            <v>1249</v>
          </cell>
          <cell r="J1201">
            <v>1249</v>
          </cell>
          <cell r="L1201">
            <v>1249</v>
          </cell>
          <cell r="N1201">
            <v>1249</v>
          </cell>
          <cell r="P1201">
            <v>1249</v>
          </cell>
          <cell r="R1201">
            <v>1249</v>
          </cell>
          <cell r="T1201">
            <v>1249</v>
          </cell>
          <cell r="V1201">
            <v>1249</v>
          </cell>
          <cell r="X1201">
            <v>1249</v>
          </cell>
          <cell r="Z1201">
            <v>1249</v>
          </cell>
          <cell r="AD1201">
            <v>6.4000000000000001E-2</v>
          </cell>
        </row>
        <row r="1202">
          <cell r="E1202" t="str">
            <v>CCP-AP 0.65-200Pr</v>
          </cell>
          <cell r="F1202" t="str">
            <v>ｍ</v>
          </cell>
          <cell r="H1202">
            <v>2314</v>
          </cell>
          <cell r="J1202">
            <v>2314</v>
          </cell>
          <cell r="L1202">
            <v>2314</v>
          </cell>
          <cell r="N1202">
            <v>2314</v>
          </cell>
          <cell r="P1202">
            <v>2314</v>
          </cell>
          <cell r="R1202">
            <v>2314</v>
          </cell>
          <cell r="T1202">
            <v>2314</v>
          </cell>
          <cell r="V1202">
            <v>2314</v>
          </cell>
          <cell r="X1202">
            <v>2314</v>
          </cell>
          <cell r="Z1202">
            <v>2314</v>
          </cell>
          <cell r="AD1202">
            <v>9.5000000000000001E-2</v>
          </cell>
        </row>
        <row r="1203">
          <cell r="E1203" t="str">
            <v>CCP-AP 0.9-10Pr</v>
          </cell>
          <cell r="F1203" t="str">
            <v>ｍ</v>
          </cell>
          <cell r="H1203">
            <v>339</v>
          </cell>
          <cell r="J1203">
            <v>339</v>
          </cell>
          <cell r="L1203">
            <v>339</v>
          </cell>
          <cell r="N1203">
            <v>339</v>
          </cell>
          <cell r="P1203">
            <v>339</v>
          </cell>
          <cell r="R1203">
            <v>339</v>
          </cell>
          <cell r="T1203">
            <v>339</v>
          </cell>
          <cell r="V1203">
            <v>339</v>
          </cell>
          <cell r="X1203">
            <v>339</v>
          </cell>
          <cell r="Z1203">
            <v>339</v>
          </cell>
          <cell r="AD1203">
            <v>2.5000000000000001E-2</v>
          </cell>
        </row>
        <row r="1204">
          <cell r="E1204" t="str">
            <v>CCP-AP 0.9-30Pr</v>
          </cell>
          <cell r="F1204" t="str">
            <v>ｍ</v>
          </cell>
          <cell r="H1204">
            <v>776</v>
          </cell>
          <cell r="J1204">
            <v>776</v>
          </cell>
          <cell r="L1204">
            <v>776</v>
          </cell>
          <cell r="N1204">
            <v>776</v>
          </cell>
          <cell r="P1204">
            <v>776</v>
          </cell>
          <cell r="R1204">
            <v>776</v>
          </cell>
          <cell r="T1204">
            <v>776</v>
          </cell>
          <cell r="V1204">
            <v>776</v>
          </cell>
          <cell r="X1204">
            <v>776</v>
          </cell>
          <cell r="Z1204">
            <v>776</v>
          </cell>
          <cell r="AD1204">
            <v>3.6999999999999998E-2</v>
          </cell>
        </row>
        <row r="1205">
          <cell r="E1205" t="str">
            <v>CCP-AP 0.9-50Pr</v>
          </cell>
          <cell r="F1205" t="str">
            <v>ｍ</v>
          </cell>
          <cell r="H1205">
            <v>1176</v>
          </cell>
          <cell r="J1205">
            <v>1176</v>
          </cell>
          <cell r="L1205">
            <v>1176</v>
          </cell>
          <cell r="N1205">
            <v>1176</v>
          </cell>
          <cell r="P1205">
            <v>1176</v>
          </cell>
          <cell r="R1205">
            <v>1176</v>
          </cell>
          <cell r="T1205">
            <v>1176</v>
          </cell>
          <cell r="V1205">
            <v>1176</v>
          </cell>
          <cell r="X1205">
            <v>1176</v>
          </cell>
          <cell r="Z1205">
            <v>1176</v>
          </cell>
          <cell r="AD1205">
            <v>0.05</v>
          </cell>
        </row>
        <row r="1206">
          <cell r="E1206" t="str">
            <v>CCP-AP 0.9-100Pr</v>
          </cell>
          <cell r="F1206" t="str">
            <v>ｍ</v>
          </cell>
          <cell r="H1206">
            <v>2172</v>
          </cell>
          <cell r="J1206">
            <v>2172</v>
          </cell>
          <cell r="L1206">
            <v>2172</v>
          </cell>
          <cell r="N1206">
            <v>2172</v>
          </cell>
          <cell r="P1206">
            <v>2172</v>
          </cell>
          <cell r="R1206">
            <v>2172</v>
          </cell>
          <cell r="T1206">
            <v>2172</v>
          </cell>
          <cell r="V1206">
            <v>2172</v>
          </cell>
          <cell r="X1206">
            <v>2172</v>
          </cell>
          <cell r="Z1206">
            <v>2172</v>
          </cell>
          <cell r="AD1206">
            <v>8.3000000000000004E-2</v>
          </cell>
        </row>
        <row r="1207">
          <cell r="E1207" t="str">
            <v>CCP-AP-SS 0.4-30Pr</v>
          </cell>
          <cell r="F1207" t="str">
            <v>ｍ</v>
          </cell>
          <cell r="H1207">
            <v>353</v>
          </cell>
          <cell r="J1207">
            <v>353</v>
          </cell>
          <cell r="L1207">
            <v>353</v>
          </cell>
          <cell r="N1207">
            <v>353</v>
          </cell>
          <cell r="P1207">
            <v>353</v>
          </cell>
          <cell r="R1207">
            <v>353</v>
          </cell>
          <cell r="T1207">
            <v>353</v>
          </cell>
          <cell r="V1207">
            <v>353</v>
          </cell>
          <cell r="X1207">
            <v>353</v>
          </cell>
          <cell r="Z1207">
            <v>353</v>
          </cell>
          <cell r="AD1207">
            <v>2.9000000000000001E-2</v>
          </cell>
        </row>
        <row r="1208">
          <cell r="E1208" t="str">
            <v>CCP-AP-SS 0.4-50Pr</v>
          </cell>
          <cell r="F1208" t="str">
            <v>ｍ</v>
          </cell>
          <cell r="H1208">
            <v>469</v>
          </cell>
          <cell r="J1208">
            <v>469</v>
          </cell>
          <cell r="L1208">
            <v>469</v>
          </cell>
          <cell r="N1208">
            <v>469</v>
          </cell>
          <cell r="P1208">
            <v>469</v>
          </cell>
          <cell r="R1208">
            <v>469</v>
          </cell>
          <cell r="T1208">
            <v>469</v>
          </cell>
          <cell r="V1208">
            <v>469</v>
          </cell>
          <cell r="X1208">
            <v>469</v>
          </cell>
          <cell r="Z1208">
            <v>469</v>
          </cell>
          <cell r="AD1208">
            <v>3.9E-2</v>
          </cell>
        </row>
        <row r="1209">
          <cell r="E1209" t="str">
            <v>CCP-AP-SS 0.4-100Pr</v>
          </cell>
          <cell r="F1209" t="str">
            <v>ｍ</v>
          </cell>
          <cell r="H1209">
            <v>739</v>
          </cell>
          <cell r="J1209">
            <v>739</v>
          </cell>
          <cell r="L1209">
            <v>739</v>
          </cell>
          <cell r="N1209">
            <v>739</v>
          </cell>
          <cell r="P1209">
            <v>739</v>
          </cell>
          <cell r="R1209">
            <v>739</v>
          </cell>
          <cell r="T1209">
            <v>739</v>
          </cell>
          <cell r="V1209">
            <v>739</v>
          </cell>
          <cell r="X1209">
            <v>739</v>
          </cell>
          <cell r="Z1209">
            <v>739</v>
          </cell>
          <cell r="AD1209">
            <v>6.4000000000000001E-2</v>
          </cell>
        </row>
        <row r="1210">
          <cell r="E1210" t="str">
            <v>CCP-AP-SS 0.4-200Pr</v>
          </cell>
          <cell r="F1210" t="str">
            <v>ｍ</v>
          </cell>
          <cell r="H1210">
            <v>1259</v>
          </cell>
          <cell r="J1210">
            <v>1259</v>
          </cell>
          <cell r="L1210">
            <v>1259</v>
          </cell>
          <cell r="N1210">
            <v>1259</v>
          </cell>
          <cell r="P1210">
            <v>1259</v>
          </cell>
          <cell r="R1210">
            <v>1259</v>
          </cell>
          <cell r="T1210">
            <v>1259</v>
          </cell>
          <cell r="V1210">
            <v>1259</v>
          </cell>
          <cell r="X1210">
            <v>1259</v>
          </cell>
          <cell r="Z1210">
            <v>1259</v>
          </cell>
          <cell r="AD1210">
            <v>9.5000000000000001E-2</v>
          </cell>
        </row>
        <row r="1211">
          <cell r="E1211" t="str">
            <v>CCP-AP-SS 0.5-30Pr</v>
          </cell>
          <cell r="F1211" t="str">
            <v>ｍ</v>
          </cell>
          <cell r="H1211">
            <v>433</v>
          </cell>
          <cell r="J1211">
            <v>433</v>
          </cell>
          <cell r="L1211">
            <v>433</v>
          </cell>
          <cell r="N1211">
            <v>433</v>
          </cell>
          <cell r="P1211">
            <v>433</v>
          </cell>
          <cell r="R1211">
            <v>433</v>
          </cell>
          <cell r="T1211">
            <v>433</v>
          </cell>
          <cell r="V1211">
            <v>433</v>
          </cell>
          <cell r="X1211">
            <v>433</v>
          </cell>
          <cell r="Z1211">
            <v>433</v>
          </cell>
          <cell r="AD1211">
            <v>2.9000000000000001E-2</v>
          </cell>
        </row>
        <row r="1212">
          <cell r="E1212" t="str">
            <v>CCP-AP-SS 0.5-50Pr</v>
          </cell>
          <cell r="F1212" t="str">
            <v>ｍ</v>
          </cell>
          <cell r="H1212">
            <v>567</v>
          </cell>
          <cell r="J1212">
            <v>567</v>
          </cell>
          <cell r="L1212">
            <v>567</v>
          </cell>
          <cell r="N1212">
            <v>567</v>
          </cell>
          <cell r="P1212">
            <v>567</v>
          </cell>
          <cell r="R1212">
            <v>567</v>
          </cell>
          <cell r="T1212">
            <v>567</v>
          </cell>
          <cell r="V1212">
            <v>567</v>
          </cell>
          <cell r="X1212">
            <v>567</v>
          </cell>
          <cell r="Z1212">
            <v>567</v>
          </cell>
          <cell r="AD1212">
            <v>3.9E-2</v>
          </cell>
        </row>
        <row r="1213">
          <cell r="E1213" t="str">
            <v>CCP-AP-SS 0.5-100Pr</v>
          </cell>
          <cell r="F1213" t="str">
            <v>ｍ</v>
          </cell>
          <cell r="H1213">
            <v>967</v>
          </cell>
          <cell r="J1213">
            <v>967</v>
          </cell>
          <cell r="L1213">
            <v>967</v>
          </cell>
          <cell r="N1213">
            <v>967</v>
          </cell>
          <cell r="P1213">
            <v>967</v>
          </cell>
          <cell r="R1213">
            <v>967</v>
          </cell>
          <cell r="T1213">
            <v>967</v>
          </cell>
          <cell r="V1213">
            <v>967</v>
          </cell>
          <cell r="X1213">
            <v>967</v>
          </cell>
          <cell r="Z1213">
            <v>967</v>
          </cell>
          <cell r="AD1213">
            <v>6.4000000000000001E-2</v>
          </cell>
        </row>
        <row r="1214">
          <cell r="E1214" t="str">
            <v>CCP-AP-SS 0.5-200Pr</v>
          </cell>
          <cell r="F1214" t="str">
            <v>ｍ</v>
          </cell>
          <cell r="H1214">
            <v>1673</v>
          </cell>
          <cell r="J1214">
            <v>1673</v>
          </cell>
          <cell r="L1214">
            <v>1673</v>
          </cell>
          <cell r="N1214">
            <v>1673</v>
          </cell>
          <cell r="P1214">
            <v>1673</v>
          </cell>
          <cell r="R1214">
            <v>1673</v>
          </cell>
          <cell r="T1214">
            <v>1673</v>
          </cell>
          <cell r="V1214">
            <v>1673</v>
          </cell>
          <cell r="X1214">
            <v>1673</v>
          </cell>
          <cell r="Z1214">
            <v>1673</v>
          </cell>
          <cell r="AD1214">
            <v>9.5000000000000001E-2</v>
          </cell>
        </row>
        <row r="1215">
          <cell r="E1215" t="str">
            <v>CCP-AP-SS 0.65-30Pr</v>
          </cell>
          <cell r="F1215" t="str">
            <v>ｍ</v>
          </cell>
          <cell r="H1215">
            <v>560</v>
          </cell>
          <cell r="J1215">
            <v>560</v>
          </cell>
          <cell r="L1215">
            <v>560</v>
          </cell>
          <cell r="N1215">
            <v>560</v>
          </cell>
          <cell r="P1215">
            <v>560</v>
          </cell>
          <cell r="R1215">
            <v>560</v>
          </cell>
          <cell r="T1215">
            <v>560</v>
          </cell>
          <cell r="V1215">
            <v>560</v>
          </cell>
          <cell r="X1215">
            <v>560</v>
          </cell>
          <cell r="Z1215">
            <v>560</v>
          </cell>
          <cell r="AD1215">
            <v>2.9000000000000001E-2</v>
          </cell>
        </row>
        <row r="1216">
          <cell r="E1216" t="str">
            <v>CCP-AP-SS 0.65-50Pr</v>
          </cell>
          <cell r="F1216" t="str">
            <v>ｍ</v>
          </cell>
          <cell r="H1216">
            <v>821</v>
          </cell>
          <cell r="J1216">
            <v>821</v>
          </cell>
          <cell r="L1216">
            <v>821</v>
          </cell>
          <cell r="N1216">
            <v>821</v>
          </cell>
          <cell r="P1216">
            <v>821</v>
          </cell>
          <cell r="R1216">
            <v>821</v>
          </cell>
          <cell r="T1216">
            <v>821</v>
          </cell>
          <cell r="V1216">
            <v>821</v>
          </cell>
          <cell r="X1216">
            <v>821</v>
          </cell>
          <cell r="Z1216">
            <v>821</v>
          </cell>
          <cell r="AD1216">
            <v>3.9E-2</v>
          </cell>
        </row>
        <row r="1217">
          <cell r="E1217" t="str">
            <v>CCP-AP-SS 0.65-100Pr</v>
          </cell>
          <cell r="F1217" t="str">
            <v>ｍ</v>
          </cell>
          <cell r="H1217">
            <v>1402</v>
          </cell>
          <cell r="J1217">
            <v>1402</v>
          </cell>
          <cell r="L1217">
            <v>1402</v>
          </cell>
          <cell r="N1217">
            <v>1402</v>
          </cell>
          <cell r="P1217">
            <v>1402</v>
          </cell>
          <cell r="R1217">
            <v>1402</v>
          </cell>
          <cell r="T1217">
            <v>1402</v>
          </cell>
          <cell r="V1217">
            <v>1402</v>
          </cell>
          <cell r="X1217">
            <v>1402</v>
          </cell>
          <cell r="Z1217">
            <v>1402</v>
          </cell>
          <cell r="AD1217">
            <v>6.4000000000000001E-2</v>
          </cell>
        </row>
        <row r="1218">
          <cell r="E1218" t="str">
            <v>CCP-AP-SS 0.9-30Pr</v>
          </cell>
          <cell r="F1218" t="str">
            <v>ｍ</v>
          </cell>
          <cell r="H1218">
            <v>891</v>
          </cell>
          <cell r="J1218">
            <v>891</v>
          </cell>
          <cell r="L1218">
            <v>891</v>
          </cell>
          <cell r="N1218">
            <v>891</v>
          </cell>
          <cell r="P1218">
            <v>891</v>
          </cell>
          <cell r="R1218">
            <v>891</v>
          </cell>
          <cell r="T1218">
            <v>891</v>
          </cell>
          <cell r="V1218">
            <v>891</v>
          </cell>
          <cell r="X1218">
            <v>891</v>
          </cell>
          <cell r="Z1218">
            <v>891</v>
          </cell>
          <cell r="AD1218">
            <v>3.6999999999999998E-2</v>
          </cell>
        </row>
        <row r="1219">
          <cell r="E1219" t="str">
            <v>CCP-AP-SS 0.9-50Pr</v>
          </cell>
          <cell r="F1219" t="str">
            <v>ｍ</v>
          </cell>
          <cell r="H1219">
            <v>1317</v>
          </cell>
          <cell r="J1219">
            <v>1317</v>
          </cell>
          <cell r="L1219">
            <v>1317</v>
          </cell>
          <cell r="N1219">
            <v>1317</v>
          </cell>
          <cell r="P1219">
            <v>1317</v>
          </cell>
          <cell r="R1219">
            <v>1317</v>
          </cell>
          <cell r="T1219">
            <v>1317</v>
          </cell>
          <cell r="V1219">
            <v>1317</v>
          </cell>
          <cell r="X1219">
            <v>1317</v>
          </cell>
          <cell r="Z1219">
            <v>1317</v>
          </cell>
          <cell r="AD1219">
            <v>0.05</v>
          </cell>
        </row>
        <row r="1220">
          <cell r="E1220" t="str">
            <v>FCPEV 0.65-1Pr</v>
          </cell>
          <cell r="F1220" t="str">
            <v>ｍ</v>
          </cell>
          <cell r="H1220">
            <v>44</v>
          </cell>
          <cell r="J1220">
            <v>44</v>
          </cell>
          <cell r="L1220">
            <v>44</v>
          </cell>
          <cell r="N1220">
            <v>44</v>
          </cell>
          <cell r="P1220">
            <v>44</v>
          </cell>
          <cell r="R1220">
            <v>44</v>
          </cell>
          <cell r="T1220">
            <v>44</v>
          </cell>
          <cell r="V1220">
            <v>44</v>
          </cell>
          <cell r="X1220">
            <v>44</v>
          </cell>
          <cell r="Z1220">
            <v>44</v>
          </cell>
          <cell r="AD1220">
            <v>1.2999999999999999E-2</v>
          </cell>
        </row>
        <row r="1221">
          <cell r="E1221" t="str">
            <v>FCPEV 0.65-2Pr</v>
          </cell>
          <cell r="F1221" t="str">
            <v>ｍ</v>
          </cell>
          <cell r="H1221">
            <v>60.5</v>
          </cell>
          <cell r="J1221">
            <v>60.5</v>
          </cell>
          <cell r="L1221">
            <v>60.5</v>
          </cell>
          <cell r="N1221">
            <v>60.5</v>
          </cell>
          <cell r="P1221">
            <v>60.5</v>
          </cell>
          <cell r="R1221">
            <v>60.5</v>
          </cell>
          <cell r="T1221">
            <v>60.5</v>
          </cell>
          <cell r="V1221">
            <v>60.5</v>
          </cell>
          <cell r="X1221">
            <v>60.5</v>
          </cell>
          <cell r="Z1221">
            <v>60.5</v>
          </cell>
          <cell r="AD1221">
            <v>1.4E-2</v>
          </cell>
        </row>
        <row r="1222">
          <cell r="E1222" t="str">
            <v>FCPEV 0.65-3Pr</v>
          </cell>
          <cell r="F1222" t="str">
            <v>ｍ</v>
          </cell>
          <cell r="H1222">
            <v>72.599999999999994</v>
          </cell>
          <cell r="J1222">
            <v>72.599999999999994</v>
          </cell>
          <cell r="L1222">
            <v>72.599999999999994</v>
          </cell>
          <cell r="N1222">
            <v>72.599999999999994</v>
          </cell>
          <cell r="P1222">
            <v>72.599999999999994</v>
          </cell>
          <cell r="R1222">
            <v>72.599999999999994</v>
          </cell>
          <cell r="T1222">
            <v>72.599999999999994</v>
          </cell>
          <cell r="V1222">
            <v>72.599999999999994</v>
          </cell>
          <cell r="X1222">
            <v>72.599999999999994</v>
          </cell>
          <cell r="Z1222">
            <v>72.599999999999994</v>
          </cell>
          <cell r="AD1222">
            <v>1.4999999999999999E-2</v>
          </cell>
        </row>
        <row r="1223">
          <cell r="E1223" t="str">
            <v>FCPEV 0.65-5Pr</v>
          </cell>
          <cell r="F1223" t="str">
            <v>ｍ</v>
          </cell>
          <cell r="H1223">
            <v>105</v>
          </cell>
          <cell r="J1223">
            <v>105</v>
          </cell>
          <cell r="L1223">
            <v>105</v>
          </cell>
          <cell r="N1223">
            <v>105</v>
          </cell>
          <cell r="P1223">
            <v>105</v>
          </cell>
          <cell r="R1223">
            <v>105</v>
          </cell>
          <cell r="T1223">
            <v>105</v>
          </cell>
          <cell r="V1223">
            <v>105</v>
          </cell>
          <cell r="X1223">
            <v>105</v>
          </cell>
          <cell r="Z1223">
            <v>105</v>
          </cell>
          <cell r="AD1223">
            <v>1.7000000000000001E-2</v>
          </cell>
        </row>
        <row r="1224">
          <cell r="E1224" t="str">
            <v>FCPEV 0.65-7Pr</v>
          </cell>
          <cell r="F1224" t="str">
            <v>ｍ</v>
          </cell>
          <cell r="H1224">
            <v>132</v>
          </cell>
          <cell r="J1224">
            <v>132</v>
          </cell>
          <cell r="L1224">
            <v>132</v>
          </cell>
          <cell r="N1224">
            <v>132</v>
          </cell>
          <cell r="P1224">
            <v>132</v>
          </cell>
          <cell r="R1224">
            <v>132</v>
          </cell>
          <cell r="T1224">
            <v>132</v>
          </cell>
          <cell r="V1224">
            <v>132</v>
          </cell>
          <cell r="X1224">
            <v>132</v>
          </cell>
          <cell r="Z1224">
            <v>132</v>
          </cell>
          <cell r="AD1224">
            <v>1.7999999999999999E-2</v>
          </cell>
        </row>
        <row r="1225">
          <cell r="E1225" t="str">
            <v>FCPEV 0.65-10Pr</v>
          </cell>
          <cell r="F1225" t="str">
            <v>ｍ</v>
          </cell>
          <cell r="H1225">
            <v>180</v>
          </cell>
          <cell r="J1225">
            <v>180</v>
          </cell>
          <cell r="L1225">
            <v>180</v>
          </cell>
          <cell r="N1225">
            <v>180</v>
          </cell>
          <cell r="P1225">
            <v>180</v>
          </cell>
          <cell r="R1225">
            <v>180</v>
          </cell>
          <cell r="T1225">
            <v>180</v>
          </cell>
          <cell r="V1225">
            <v>180</v>
          </cell>
          <cell r="X1225">
            <v>180</v>
          </cell>
          <cell r="Z1225">
            <v>180</v>
          </cell>
          <cell r="AD1225">
            <v>0.02</v>
          </cell>
        </row>
        <row r="1226">
          <cell r="E1226" t="str">
            <v>FCPEV 0.65-15Pr</v>
          </cell>
          <cell r="F1226" t="str">
            <v>ｍ</v>
          </cell>
          <cell r="H1226">
            <v>228</v>
          </cell>
          <cell r="J1226">
            <v>228</v>
          </cell>
          <cell r="L1226">
            <v>228</v>
          </cell>
          <cell r="N1226">
            <v>228</v>
          </cell>
          <cell r="P1226">
            <v>228</v>
          </cell>
          <cell r="R1226">
            <v>228</v>
          </cell>
          <cell r="T1226">
            <v>228</v>
          </cell>
          <cell r="V1226">
            <v>228</v>
          </cell>
          <cell r="X1226">
            <v>228</v>
          </cell>
          <cell r="Z1226">
            <v>228</v>
          </cell>
          <cell r="AD1226">
            <v>2.1999999999999999E-2</v>
          </cell>
        </row>
        <row r="1227">
          <cell r="E1227" t="str">
            <v>FCPEV 0.65-20Pr</v>
          </cell>
          <cell r="F1227" t="str">
            <v>ｍ</v>
          </cell>
          <cell r="H1227">
            <v>279</v>
          </cell>
          <cell r="J1227">
            <v>279</v>
          </cell>
          <cell r="L1227">
            <v>279</v>
          </cell>
          <cell r="N1227">
            <v>279</v>
          </cell>
          <cell r="P1227">
            <v>279</v>
          </cell>
          <cell r="R1227">
            <v>279</v>
          </cell>
          <cell r="T1227">
            <v>279</v>
          </cell>
          <cell r="V1227">
            <v>279</v>
          </cell>
          <cell r="X1227">
            <v>279</v>
          </cell>
          <cell r="Z1227">
            <v>279</v>
          </cell>
          <cell r="AD1227">
            <v>2.4E-2</v>
          </cell>
        </row>
        <row r="1228">
          <cell r="E1228" t="str">
            <v>FCPEV 0.65-30Pr</v>
          </cell>
          <cell r="F1228" t="str">
            <v>ｍ</v>
          </cell>
          <cell r="H1228">
            <v>382</v>
          </cell>
          <cell r="J1228">
            <v>382</v>
          </cell>
          <cell r="L1228">
            <v>382</v>
          </cell>
          <cell r="N1228">
            <v>382</v>
          </cell>
          <cell r="P1228">
            <v>382</v>
          </cell>
          <cell r="R1228">
            <v>382</v>
          </cell>
          <cell r="T1228">
            <v>382</v>
          </cell>
          <cell r="V1228">
            <v>382</v>
          </cell>
          <cell r="X1228">
            <v>382</v>
          </cell>
          <cell r="Z1228">
            <v>382</v>
          </cell>
          <cell r="AD1228">
            <v>2.9000000000000001E-2</v>
          </cell>
        </row>
        <row r="1229">
          <cell r="E1229" t="str">
            <v>FCPEV 0.65-50Pr</v>
          </cell>
          <cell r="F1229" t="str">
            <v>ｍ</v>
          </cell>
          <cell r="H1229">
            <v>620</v>
          </cell>
          <cell r="J1229">
            <v>620</v>
          </cell>
          <cell r="L1229">
            <v>620</v>
          </cell>
          <cell r="N1229">
            <v>620</v>
          </cell>
          <cell r="P1229">
            <v>620</v>
          </cell>
          <cell r="R1229">
            <v>620</v>
          </cell>
          <cell r="T1229">
            <v>620</v>
          </cell>
          <cell r="V1229">
            <v>620</v>
          </cell>
          <cell r="X1229">
            <v>620</v>
          </cell>
          <cell r="Z1229">
            <v>620</v>
          </cell>
          <cell r="AD1229">
            <v>3.9E-2</v>
          </cell>
        </row>
        <row r="1230">
          <cell r="E1230" t="str">
            <v>FCPEV 0.65-70Pr</v>
          </cell>
          <cell r="F1230" t="str">
            <v>ｍ</v>
          </cell>
          <cell r="H1230">
            <v>827</v>
          </cell>
          <cell r="J1230">
            <v>827</v>
          </cell>
          <cell r="L1230">
            <v>827</v>
          </cell>
          <cell r="N1230">
            <v>827</v>
          </cell>
          <cell r="P1230">
            <v>827</v>
          </cell>
          <cell r="R1230">
            <v>827</v>
          </cell>
          <cell r="T1230">
            <v>827</v>
          </cell>
          <cell r="V1230">
            <v>827</v>
          </cell>
          <cell r="X1230">
            <v>827</v>
          </cell>
          <cell r="Z1230">
            <v>827</v>
          </cell>
          <cell r="AD1230">
            <v>5.0999999999999997E-2</v>
          </cell>
        </row>
        <row r="1231">
          <cell r="E1231" t="str">
            <v>FCPEV 0.65-100Pr</v>
          </cell>
          <cell r="F1231" t="str">
            <v>ｍ</v>
          </cell>
          <cell r="H1231">
            <v>1166</v>
          </cell>
          <cell r="J1231">
            <v>1166</v>
          </cell>
          <cell r="L1231">
            <v>1166</v>
          </cell>
          <cell r="N1231">
            <v>1166</v>
          </cell>
          <cell r="P1231">
            <v>1166</v>
          </cell>
          <cell r="R1231">
            <v>1166</v>
          </cell>
          <cell r="T1231">
            <v>1166</v>
          </cell>
          <cell r="V1231">
            <v>1166</v>
          </cell>
          <cell r="X1231">
            <v>1166</v>
          </cell>
          <cell r="Z1231">
            <v>1166</v>
          </cell>
          <cell r="AD1231">
            <v>6.4000000000000001E-2</v>
          </cell>
        </row>
        <row r="1232">
          <cell r="E1232" t="str">
            <v>FCPEV 0.65-150Pr</v>
          </cell>
          <cell r="F1232" t="str">
            <v>ｍ</v>
          </cell>
          <cell r="H1232">
            <v>1730</v>
          </cell>
          <cell r="J1232">
            <v>1730</v>
          </cell>
          <cell r="L1232">
            <v>1730</v>
          </cell>
          <cell r="N1232">
            <v>1730</v>
          </cell>
          <cell r="P1232">
            <v>1730</v>
          </cell>
          <cell r="R1232">
            <v>1730</v>
          </cell>
          <cell r="T1232">
            <v>1730</v>
          </cell>
          <cell r="V1232">
            <v>1730</v>
          </cell>
          <cell r="X1232">
            <v>1730</v>
          </cell>
          <cell r="Z1232">
            <v>1730</v>
          </cell>
          <cell r="AD1232">
            <v>8.3000000000000004E-2</v>
          </cell>
        </row>
        <row r="1233">
          <cell r="E1233" t="str">
            <v>FCPEV 0.65-200Pr</v>
          </cell>
          <cell r="F1233" t="str">
            <v>ｍ</v>
          </cell>
          <cell r="H1233">
            <v>2254</v>
          </cell>
          <cell r="J1233">
            <v>2254</v>
          </cell>
          <cell r="L1233">
            <v>2254</v>
          </cell>
          <cell r="N1233">
            <v>2254</v>
          </cell>
          <cell r="P1233">
            <v>2254</v>
          </cell>
          <cell r="R1233">
            <v>2254</v>
          </cell>
          <cell r="T1233">
            <v>2254</v>
          </cell>
          <cell r="V1233">
            <v>2254</v>
          </cell>
          <cell r="X1233">
            <v>2254</v>
          </cell>
          <cell r="Z1233">
            <v>2254</v>
          </cell>
          <cell r="AD1233">
            <v>9.5000000000000001E-2</v>
          </cell>
        </row>
        <row r="1234">
          <cell r="E1234" t="str">
            <v>FCPEV 0.9-1Pr</v>
          </cell>
          <cell r="F1234" t="str">
            <v>ｍ</v>
          </cell>
          <cell r="H1234">
            <v>59.9</v>
          </cell>
          <cell r="J1234">
            <v>59.9</v>
          </cell>
          <cell r="L1234">
            <v>59.9</v>
          </cell>
          <cell r="N1234">
            <v>59.9</v>
          </cell>
          <cell r="P1234">
            <v>59.9</v>
          </cell>
          <cell r="R1234">
            <v>59.9</v>
          </cell>
          <cell r="T1234">
            <v>59.9</v>
          </cell>
          <cell r="V1234">
            <v>59.9</v>
          </cell>
          <cell r="X1234">
            <v>59.9</v>
          </cell>
          <cell r="Z1234">
            <v>59.9</v>
          </cell>
          <cell r="AD1234">
            <v>1.6E-2</v>
          </cell>
        </row>
        <row r="1235">
          <cell r="E1235" t="str">
            <v>FCPEV 0.9-2Pr</v>
          </cell>
          <cell r="F1235" t="str">
            <v>ｍ</v>
          </cell>
          <cell r="H1235">
            <v>86.8</v>
          </cell>
          <cell r="J1235">
            <v>86.8</v>
          </cell>
          <cell r="L1235">
            <v>86.8</v>
          </cell>
          <cell r="N1235">
            <v>86.8</v>
          </cell>
          <cell r="P1235">
            <v>86.8</v>
          </cell>
          <cell r="R1235">
            <v>86.8</v>
          </cell>
          <cell r="T1235">
            <v>86.8</v>
          </cell>
          <cell r="V1235">
            <v>86.8</v>
          </cell>
          <cell r="X1235">
            <v>86.8</v>
          </cell>
          <cell r="Z1235">
            <v>86.8</v>
          </cell>
          <cell r="AD1235">
            <v>1.7999999999999999E-2</v>
          </cell>
        </row>
        <row r="1236">
          <cell r="E1236" t="str">
            <v>FCPEV 0.9-3Pr</v>
          </cell>
          <cell r="F1236" t="str">
            <v>ｍ</v>
          </cell>
          <cell r="H1236">
            <v>107</v>
          </cell>
          <cell r="J1236">
            <v>107</v>
          </cell>
          <cell r="L1236">
            <v>107</v>
          </cell>
          <cell r="N1236">
            <v>107</v>
          </cell>
          <cell r="P1236">
            <v>107</v>
          </cell>
          <cell r="R1236">
            <v>107</v>
          </cell>
          <cell r="T1236">
            <v>107</v>
          </cell>
          <cell r="V1236">
            <v>107</v>
          </cell>
          <cell r="X1236">
            <v>107</v>
          </cell>
          <cell r="Z1236">
            <v>107</v>
          </cell>
          <cell r="AD1236">
            <v>0.02</v>
          </cell>
        </row>
        <row r="1237">
          <cell r="E1237" t="str">
            <v>FCPEV 0.9-5Pr</v>
          </cell>
          <cell r="F1237" t="str">
            <v>ｍ</v>
          </cell>
          <cell r="H1237">
            <v>137</v>
          </cell>
          <cell r="J1237">
            <v>137</v>
          </cell>
          <cell r="L1237">
            <v>137</v>
          </cell>
          <cell r="N1237">
            <v>137</v>
          </cell>
          <cell r="P1237">
            <v>137</v>
          </cell>
          <cell r="R1237">
            <v>137</v>
          </cell>
          <cell r="T1237">
            <v>137</v>
          </cell>
          <cell r="V1237">
            <v>137</v>
          </cell>
          <cell r="X1237">
            <v>137</v>
          </cell>
          <cell r="Z1237">
            <v>137</v>
          </cell>
          <cell r="AD1237">
            <v>2.1999999999999999E-2</v>
          </cell>
        </row>
        <row r="1238">
          <cell r="E1238" t="str">
            <v>FCPEV 0.9-7Pr</v>
          </cell>
          <cell r="F1238" t="str">
            <v>ｍ</v>
          </cell>
          <cell r="H1238">
            <v>186</v>
          </cell>
          <cell r="J1238">
            <v>186</v>
          </cell>
          <cell r="L1238">
            <v>186</v>
          </cell>
          <cell r="N1238">
            <v>186</v>
          </cell>
          <cell r="P1238">
            <v>186</v>
          </cell>
          <cell r="R1238">
            <v>186</v>
          </cell>
          <cell r="T1238">
            <v>186</v>
          </cell>
          <cell r="V1238">
            <v>186</v>
          </cell>
          <cell r="X1238">
            <v>186</v>
          </cell>
          <cell r="Z1238">
            <v>186</v>
          </cell>
          <cell r="AD1238">
            <v>2.3E-2</v>
          </cell>
        </row>
        <row r="1239">
          <cell r="E1239" t="str">
            <v>FCPEV 0.9-10Pr</v>
          </cell>
          <cell r="F1239" t="str">
            <v>ｍ</v>
          </cell>
          <cell r="H1239">
            <v>240</v>
          </cell>
          <cell r="J1239">
            <v>240</v>
          </cell>
          <cell r="L1239">
            <v>240</v>
          </cell>
          <cell r="N1239">
            <v>240</v>
          </cell>
          <cell r="P1239">
            <v>240</v>
          </cell>
          <cell r="R1239">
            <v>240</v>
          </cell>
          <cell r="T1239">
            <v>240</v>
          </cell>
          <cell r="V1239">
            <v>240</v>
          </cell>
          <cell r="X1239">
            <v>240</v>
          </cell>
          <cell r="Z1239">
            <v>240</v>
          </cell>
          <cell r="AD1239">
            <v>2.5000000000000001E-2</v>
          </cell>
        </row>
        <row r="1240">
          <cell r="E1240" t="str">
            <v>FCPEV 0.9-15Pr</v>
          </cell>
          <cell r="F1240" t="str">
            <v>ｍ</v>
          </cell>
          <cell r="H1240">
            <v>321</v>
          </cell>
          <cell r="J1240">
            <v>321</v>
          </cell>
          <cell r="L1240">
            <v>321</v>
          </cell>
          <cell r="N1240">
            <v>321</v>
          </cell>
          <cell r="P1240">
            <v>321</v>
          </cell>
          <cell r="R1240">
            <v>321</v>
          </cell>
          <cell r="T1240">
            <v>321</v>
          </cell>
          <cell r="V1240">
            <v>321</v>
          </cell>
          <cell r="X1240">
            <v>321</v>
          </cell>
          <cell r="Z1240">
            <v>321</v>
          </cell>
          <cell r="AD1240">
            <v>2.8000000000000001E-2</v>
          </cell>
        </row>
        <row r="1241">
          <cell r="E1241" t="str">
            <v>FCPEV 0.9-20Pr</v>
          </cell>
          <cell r="F1241" t="str">
            <v>ｍ</v>
          </cell>
          <cell r="H1241">
            <v>417</v>
          </cell>
          <cell r="J1241">
            <v>417</v>
          </cell>
          <cell r="L1241">
            <v>417</v>
          </cell>
          <cell r="N1241">
            <v>417</v>
          </cell>
          <cell r="P1241">
            <v>417</v>
          </cell>
          <cell r="R1241">
            <v>417</v>
          </cell>
          <cell r="T1241">
            <v>417</v>
          </cell>
          <cell r="V1241">
            <v>417</v>
          </cell>
          <cell r="X1241">
            <v>417</v>
          </cell>
          <cell r="Z1241">
            <v>417</v>
          </cell>
          <cell r="AD1241">
            <v>3.1E-2</v>
          </cell>
        </row>
        <row r="1242">
          <cell r="E1242" t="str">
            <v>FCPEV 0.9-30Pr</v>
          </cell>
          <cell r="F1242" t="str">
            <v>ｍ</v>
          </cell>
          <cell r="H1242">
            <v>599</v>
          </cell>
          <cell r="J1242">
            <v>599</v>
          </cell>
          <cell r="L1242">
            <v>599</v>
          </cell>
          <cell r="N1242">
            <v>599</v>
          </cell>
          <cell r="P1242">
            <v>599</v>
          </cell>
          <cell r="R1242">
            <v>599</v>
          </cell>
          <cell r="T1242">
            <v>599</v>
          </cell>
          <cell r="V1242">
            <v>599</v>
          </cell>
          <cell r="X1242">
            <v>599</v>
          </cell>
          <cell r="Z1242">
            <v>599</v>
          </cell>
          <cell r="AD1242">
            <v>3.6999999999999998E-2</v>
          </cell>
        </row>
        <row r="1243">
          <cell r="E1243" t="str">
            <v>FCPEV 0.9-50Pr</v>
          </cell>
          <cell r="F1243" t="str">
            <v>ｍ</v>
          </cell>
          <cell r="H1243">
            <v>1025</v>
          </cell>
          <cell r="J1243">
            <v>1025</v>
          </cell>
          <cell r="L1243">
            <v>1025</v>
          </cell>
          <cell r="N1243">
            <v>1025</v>
          </cell>
          <cell r="P1243">
            <v>1025</v>
          </cell>
          <cell r="R1243">
            <v>1025</v>
          </cell>
          <cell r="T1243">
            <v>1025</v>
          </cell>
          <cell r="V1243">
            <v>1025</v>
          </cell>
          <cell r="X1243">
            <v>1025</v>
          </cell>
          <cell r="Z1243">
            <v>1025</v>
          </cell>
          <cell r="AD1243">
            <v>0.05</v>
          </cell>
        </row>
        <row r="1244">
          <cell r="E1244" t="str">
            <v>FCPEV 0.9-70Pr</v>
          </cell>
          <cell r="F1244" t="str">
            <v>ｍ</v>
          </cell>
          <cell r="H1244">
            <v>1479</v>
          </cell>
          <cell r="J1244">
            <v>1479</v>
          </cell>
          <cell r="L1244">
            <v>1479</v>
          </cell>
          <cell r="N1244">
            <v>1479</v>
          </cell>
          <cell r="P1244">
            <v>1479</v>
          </cell>
          <cell r="R1244">
            <v>1479</v>
          </cell>
          <cell r="T1244">
            <v>1479</v>
          </cell>
          <cell r="V1244">
            <v>1479</v>
          </cell>
          <cell r="X1244">
            <v>1479</v>
          </cell>
          <cell r="Z1244">
            <v>1479</v>
          </cell>
          <cell r="AD1244">
            <v>6.6000000000000003E-2</v>
          </cell>
        </row>
        <row r="1245">
          <cell r="E1245" t="str">
            <v>FCPEV 0.9-100Pr</v>
          </cell>
          <cell r="F1245" t="str">
            <v>ｍ</v>
          </cell>
          <cell r="H1245">
            <v>1944</v>
          </cell>
          <cell r="J1245">
            <v>1944</v>
          </cell>
          <cell r="L1245">
            <v>1944</v>
          </cell>
          <cell r="N1245">
            <v>1944</v>
          </cell>
          <cell r="P1245">
            <v>1944</v>
          </cell>
          <cell r="R1245">
            <v>1944</v>
          </cell>
          <cell r="T1245">
            <v>1944</v>
          </cell>
          <cell r="V1245">
            <v>1944</v>
          </cell>
          <cell r="X1245">
            <v>1944</v>
          </cell>
          <cell r="Z1245">
            <v>1944</v>
          </cell>
          <cell r="AD1245">
            <v>8.3000000000000004E-2</v>
          </cell>
        </row>
        <row r="1246">
          <cell r="E1246" t="str">
            <v>FCPEV 0.9-150Pr</v>
          </cell>
          <cell r="F1246" t="str">
            <v>ｍ</v>
          </cell>
          <cell r="H1246">
            <v>2818</v>
          </cell>
          <cell r="J1246">
            <v>2818</v>
          </cell>
          <cell r="L1246">
            <v>2818</v>
          </cell>
          <cell r="N1246">
            <v>2818</v>
          </cell>
          <cell r="P1246">
            <v>2818</v>
          </cell>
          <cell r="R1246">
            <v>2818</v>
          </cell>
          <cell r="T1246">
            <v>2818</v>
          </cell>
          <cell r="V1246">
            <v>2818</v>
          </cell>
          <cell r="X1246">
            <v>2818</v>
          </cell>
          <cell r="Z1246">
            <v>2818</v>
          </cell>
          <cell r="AD1246">
            <v>0.10299999999999999</v>
          </cell>
        </row>
        <row r="1247">
          <cell r="E1247" t="str">
            <v>FCPEV 0.9-200Pr</v>
          </cell>
          <cell r="F1247" t="str">
            <v>ｍ</v>
          </cell>
          <cell r="H1247">
            <v>3669</v>
          </cell>
          <cell r="J1247">
            <v>3669</v>
          </cell>
          <cell r="L1247">
            <v>3669</v>
          </cell>
          <cell r="N1247">
            <v>3669</v>
          </cell>
          <cell r="P1247">
            <v>3669</v>
          </cell>
          <cell r="R1247">
            <v>3669</v>
          </cell>
          <cell r="T1247">
            <v>3669</v>
          </cell>
          <cell r="V1247">
            <v>3669</v>
          </cell>
          <cell r="X1247">
            <v>3669</v>
          </cell>
          <cell r="Z1247">
            <v>3669</v>
          </cell>
          <cell r="AD1247">
            <v>0.123</v>
          </cell>
        </row>
        <row r="1248">
          <cell r="E1248" t="str">
            <v>FCPEV 1.2-1Pr</v>
          </cell>
          <cell r="F1248" t="str">
            <v>ｍ</v>
          </cell>
          <cell r="H1248">
            <v>86.6</v>
          </cell>
          <cell r="J1248">
            <v>86.6</v>
          </cell>
          <cell r="L1248">
            <v>86.6</v>
          </cell>
          <cell r="N1248">
            <v>86.6</v>
          </cell>
          <cell r="P1248">
            <v>86.6</v>
          </cell>
          <cell r="R1248">
            <v>86.6</v>
          </cell>
          <cell r="T1248">
            <v>86.6</v>
          </cell>
          <cell r="V1248">
            <v>86.6</v>
          </cell>
          <cell r="X1248">
            <v>86.6</v>
          </cell>
          <cell r="Z1248">
            <v>86.6</v>
          </cell>
          <cell r="AD1248">
            <v>2.1000000000000001E-2</v>
          </cell>
        </row>
        <row r="1249">
          <cell r="E1249" t="str">
            <v>FCPEV 1.2-2Pr</v>
          </cell>
          <cell r="F1249" t="str">
            <v>ｍ</v>
          </cell>
          <cell r="H1249">
            <v>123</v>
          </cell>
          <cell r="J1249">
            <v>123</v>
          </cell>
          <cell r="L1249">
            <v>123</v>
          </cell>
          <cell r="N1249">
            <v>123</v>
          </cell>
          <cell r="P1249">
            <v>123</v>
          </cell>
          <cell r="R1249">
            <v>123</v>
          </cell>
          <cell r="T1249">
            <v>123</v>
          </cell>
          <cell r="V1249">
            <v>123</v>
          </cell>
          <cell r="X1249">
            <v>123</v>
          </cell>
          <cell r="Z1249">
            <v>123</v>
          </cell>
          <cell r="AD1249">
            <v>2.3E-2</v>
          </cell>
        </row>
        <row r="1250">
          <cell r="E1250" t="str">
            <v>FCPEV 1.2-3Pr</v>
          </cell>
          <cell r="F1250" t="str">
            <v>ｍ</v>
          </cell>
          <cell r="H1250">
            <v>147</v>
          </cell>
          <cell r="J1250">
            <v>147</v>
          </cell>
          <cell r="L1250">
            <v>147</v>
          </cell>
          <cell r="N1250">
            <v>147</v>
          </cell>
          <cell r="P1250">
            <v>147</v>
          </cell>
          <cell r="R1250">
            <v>147</v>
          </cell>
          <cell r="T1250">
            <v>147</v>
          </cell>
          <cell r="V1250">
            <v>147</v>
          </cell>
          <cell r="X1250">
            <v>147</v>
          </cell>
          <cell r="Z1250">
            <v>147</v>
          </cell>
          <cell r="AD1250">
            <v>2.5000000000000001E-2</v>
          </cell>
        </row>
        <row r="1251">
          <cell r="E1251" t="str">
            <v>FCPEV 1.2-5Pr</v>
          </cell>
          <cell r="F1251" t="str">
            <v>ｍ</v>
          </cell>
          <cell r="H1251">
            <v>221</v>
          </cell>
          <cell r="J1251">
            <v>221</v>
          </cell>
          <cell r="L1251">
            <v>221</v>
          </cell>
          <cell r="N1251">
            <v>221</v>
          </cell>
          <cell r="P1251">
            <v>221</v>
          </cell>
          <cell r="R1251">
            <v>221</v>
          </cell>
          <cell r="T1251">
            <v>221</v>
          </cell>
          <cell r="V1251">
            <v>221</v>
          </cell>
          <cell r="X1251">
            <v>221</v>
          </cell>
          <cell r="Z1251">
            <v>221</v>
          </cell>
          <cell r="AD1251">
            <v>2.7E-2</v>
          </cell>
        </row>
        <row r="1252">
          <cell r="E1252" t="str">
            <v>FCPEV 1.2-7Pr</v>
          </cell>
          <cell r="F1252" t="str">
            <v>ｍ</v>
          </cell>
          <cell r="H1252">
            <v>284</v>
          </cell>
          <cell r="J1252">
            <v>284</v>
          </cell>
          <cell r="L1252">
            <v>284</v>
          </cell>
          <cell r="N1252">
            <v>284</v>
          </cell>
          <cell r="P1252">
            <v>284</v>
          </cell>
          <cell r="R1252">
            <v>284</v>
          </cell>
          <cell r="T1252">
            <v>284</v>
          </cell>
          <cell r="V1252">
            <v>284</v>
          </cell>
          <cell r="X1252">
            <v>284</v>
          </cell>
          <cell r="Z1252">
            <v>284</v>
          </cell>
          <cell r="AD1252">
            <v>2.9000000000000001E-2</v>
          </cell>
        </row>
        <row r="1253">
          <cell r="E1253" t="str">
            <v>FCPEV 1.2-10Pr</v>
          </cell>
          <cell r="F1253" t="str">
            <v>ｍ</v>
          </cell>
          <cell r="H1253">
            <v>369</v>
          </cell>
          <cell r="J1253">
            <v>369</v>
          </cell>
          <cell r="L1253">
            <v>369</v>
          </cell>
          <cell r="N1253">
            <v>369</v>
          </cell>
          <cell r="P1253">
            <v>369</v>
          </cell>
          <cell r="R1253">
            <v>369</v>
          </cell>
          <cell r="T1253">
            <v>369</v>
          </cell>
          <cell r="V1253">
            <v>369</v>
          </cell>
          <cell r="X1253">
            <v>369</v>
          </cell>
          <cell r="Z1253">
            <v>369</v>
          </cell>
          <cell r="AD1253">
            <v>3.1E-2</v>
          </cell>
        </row>
        <row r="1254">
          <cell r="E1254" t="str">
            <v>FCPEV 1.2-15Pr</v>
          </cell>
          <cell r="F1254" t="str">
            <v>ｍ</v>
          </cell>
          <cell r="H1254">
            <v>507</v>
          </cell>
          <cell r="J1254">
            <v>507</v>
          </cell>
          <cell r="L1254">
            <v>507</v>
          </cell>
          <cell r="N1254">
            <v>507</v>
          </cell>
          <cell r="P1254">
            <v>507</v>
          </cell>
          <cell r="R1254">
            <v>507</v>
          </cell>
          <cell r="T1254">
            <v>507</v>
          </cell>
          <cell r="V1254">
            <v>507</v>
          </cell>
          <cell r="X1254">
            <v>507</v>
          </cell>
          <cell r="Z1254">
            <v>507</v>
          </cell>
          <cell r="AD1254">
            <v>3.4000000000000002E-2</v>
          </cell>
        </row>
        <row r="1255">
          <cell r="E1255" t="str">
            <v>FCPEV 1.2-20Pr</v>
          </cell>
          <cell r="F1255" t="str">
            <v>ｍ</v>
          </cell>
          <cell r="H1255">
            <v>648</v>
          </cell>
          <cell r="J1255">
            <v>648</v>
          </cell>
          <cell r="L1255">
            <v>648</v>
          </cell>
          <cell r="N1255">
            <v>648</v>
          </cell>
          <cell r="P1255">
            <v>648</v>
          </cell>
          <cell r="R1255">
            <v>648</v>
          </cell>
          <cell r="T1255">
            <v>648</v>
          </cell>
          <cell r="V1255">
            <v>648</v>
          </cell>
          <cell r="X1255">
            <v>648</v>
          </cell>
          <cell r="Z1255">
            <v>648</v>
          </cell>
          <cell r="AD1255">
            <v>3.9E-2</v>
          </cell>
        </row>
        <row r="1256">
          <cell r="E1256" t="str">
            <v>FCPEV 1.2-30Pr</v>
          </cell>
          <cell r="F1256" t="str">
            <v>ｍ</v>
          </cell>
          <cell r="H1256">
            <v>905</v>
          </cell>
          <cell r="J1256">
            <v>905</v>
          </cell>
          <cell r="L1256">
            <v>905</v>
          </cell>
          <cell r="N1256">
            <v>905</v>
          </cell>
          <cell r="P1256">
            <v>905</v>
          </cell>
          <cell r="R1256">
            <v>905</v>
          </cell>
          <cell r="T1256">
            <v>905</v>
          </cell>
          <cell r="V1256">
            <v>905</v>
          </cell>
          <cell r="X1256">
            <v>905</v>
          </cell>
          <cell r="Z1256">
            <v>905</v>
          </cell>
          <cell r="AD1256">
            <v>4.5999999999999999E-2</v>
          </cell>
        </row>
        <row r="1257">
          <cell r="E1257" t="str">
            <v>FCPEV 1.2-50Pr</v>
          </cell>
          <cell r="F1257" t="str">
            <v>ｍ</v>
          </cell>
          <cell r="H1257">
            <v>1537</v>
          </cell>
          <cell r="J1257">
            <v>1537</v>
          </cell>
          <cell r="L1257">
            <v>1537</v>
          </cell>
          <cell r="N1257">
            <v>1537</v>
          </cell>
          <cell r="P1257">
            <v>1537</v>
          </cell>
          <cell r="R1257">
            <v>1537</v>
          </cell>
          <cell r="T1257">
            <v>1537</v>
          </cell>
          <cell r="V1257">
            <v>1537</v>
          </cell>
          <cell r="X1257">
            <v>1537</v>
          </cell>
          <cell r="Z1257">
            <v>1537</v>
          </cell>
          <cell r="AD1257">
            <v>6.2E-2</v>
          </cell>
        </row>
        <row r="1258">
          <cell r="E1258" t="str">
            <v>FCPEV 1.2-70Pr</v>
          </cell>
          <cell r="F1258" t="str">
            <v>ｍ</v>
          </cell>
          <cell r="H1258">
            <v>2090</v>
          </cell>
          <cell r="J1258">
            <v>2090</v>
          </cell>
          <cell r="L1258">
            <v>2090</v>
          </cell>
          <cell r="N1258">
            <v>2090</v>
          </cell>
          <cell r="P1258">
            <v>2090</v>
          </cell>
          <cell r="R1258">
            <v>2090</v>
          </cell>
          <cell r="T1258">
            <v>2090</v>
          </cell>
          <cell r="V1258">
            <v>2090</v>
          </cell>
          <cell r="X1258">
            <v>2090</v>
          </cell>
          <cell r="Z1258">
            <v>2090</v>
          </cell>
          <cell r="AD1258">
            <v>8.2000000000000003E-2</v>
          </cell>
        </row>
        <row r="1259">
          <cell r="E1259" t="str">
            <v>FCPEV 1.2-100Pr</v>
          </cell>
          <cell r="F1259" t="str">
            <v>ｍ</v>
          </cell>
          <cell r="H1259">
            <v>2967</v>
          </cell>
          <cell r="J1259">
            <v>2967</v>
          </cell>
          <cell r="L1259">
            <v>2967</v>
          </cell>
          <cell r="N1259">
            <v>2967</v>
          </cell>
          <cell r="P1259">
            <v>2967</v>
          </cell>
          <cell r="R1259">
            <v>2967</v>
          </cell>
          <cell r="T1259">
            <v>2967</v>
          </cell>
          <cell r="V1259">
            <v>2967</v>
          </cell>
          <cell r="X1259">
            <v>2967</v>
          </cell>
          <cell r="Z1259">
            <v>2967</v>
          </cell>
          <cell r="AD1259">
            <v>0.10299999999999999</v>
          </cell>
        </row>
        <row r="1260">
          <cell r="E1260" t="str">
            <v>FCPEV 1.2-150Pr</v>
          </cell>
          <cell r="F1260" t="str">
            <v>ｍ</v>
          </cell>
          <cell r="H1260">
            <v>4380</v>
          </cell>
          <cell r="J1260">
            <v>4380</v>
          </cell>
          <cell r="L1260">
            <v>4380</v>
          </cell>
          <cell r="N1260">
            <v>4380</v>
          </cell>
          <cell r="P1260">
            <v>4380</v>
          </cell>
          <cell r="R1260">
            <v>4380</v>
          </cell>
          <cell r="T1260">
            <v>4380</v>
          </cell>
          <cell r="V1260">
            <v>4380</v>
          </cell>
          <cell r="X1260">
            <v>4380</v>
          </cell>
          <cell r="Z1260">
            <v>4380</v>
          </cell>
          <cell r="AD1260">
            <v>0.13300000000000001</v>
          </cell>
        </row>
        <row r="1261">
          <cell r="E1261" t="str">
            <v>FCPEV 1.2-200Pr</v>
          </cell>
          <cell r="F1261" t="str">
            <v>ｍ</v>
          </cell>
          <cell r="H1261">
            <v>5804</v>
          </cell>
          <cell r="J1261">
            <v>5804</v>
          </cell>
          <cell r="L1261">
            <v>5804</v>
          </cell>
          <cell r="N1261">
            <v>5804</v>
          </cell>
          <cell r="P1261">
            <v>5804</v>
          </cell>
          <cell r="R1261">
            <v>5804</v>
          </cell>
          <cell r="T1261">
            <v>5804</v>
          </cell>
          <cell r="V1261">
            <v>5804</v>
          </cell>
          <cell r="X1261">
            <v>5804</v>
          </cell>
          <cell r="Z1261">
            <v>5804</v>
          </cell>
          <cell r="AD1261">
            <v>0.151</v>
          </cell>
        </row>
        <row r="1262">
          <cell r="E1262" t="str">
            <v>KPEV 0.5sq-1Pr</v>
          </cell>
          <cell r="F1262" t="str">
            <v>ｍ</v>
          </cell>
          <cell r="H1262">
            <v>56.5</v>
          </cell>
          <cell r="J1262">
            <v>56.5</v>
          </cell>
          <cell r="L1262">
            <v>56.5</v>
          </cell>
          <cell r="N1262">
            <v>56.5</v>
          </cell>
          <cell r="P1262">
            <v>56.5</v>
          </cell>
          <cell r="R1262">
            <v>56.5</v>
          </cell>
          <cell r="T1262">
            <v>56.5</v>
          </cell>
          <cell r="V1262">
            <v>56.5</v>
          </cell>
          <cell r="X1262">
            <v>56.5</v>
          </cell>
          <cell r="Z1262">
            <v>56.5</v>
          </cell>
          <cell r="AD1262">
            <v>1.2999999999999999E-2</v>
          </cell>
        </row>
        <row r="1263">
          <cell r="E1263" t="str">
            <v>KPEV 0.5sq-2Pr</v>
          </cell>
          <cell r="F1263" t="str">
            <v>ｍ</v>
          </cell>
          <cell r="H1263">
            <v>114</v>
          </cell>
          <cell r="J1263">
            <v>114</v>
          </cell>
          <cell r="L1263">
            <v>114</v>
          </cell>
          <cell r="N1263">
            <v>114</v>
          </cell>
          <cell r="P1263">
            <v>114</v>
          </cell>
          <cell r="R1263">
            <v>114</v>
          </cell>
          <cell r="T1263">
            <v>114</v>
          </cell>
          <cell r="V1263">
            <v>114</v>
          </cell>
          <cell r="X1263">
            <v>114</v>
          </cell>
          <cell r="Z1263">
            <v>114</v>
          </cell>
          <cell r="AD1263">
            <v>1.4E-2</v>
          </cell>
        </row>
        <row r="1264">
          <cell r="E1264" t="str">
            <v>KPEV 0.5sq-5Pr</v>
          </cell>
          <cell r="F1264" t="str">
            <v>ｍ</v>
          </cell>
          <cell r="H1264">
            <v>234</v>
          </cell>
          <cell r="J1264">
            <v>234</v>
          </cell>
          <cell r="L1264">
            <v>234</v>
          </cell>
          <cell r="N1264">
            <v>234</v>
          </cell>
          <cell r="P1264">
            <v>234</v>
          </cell>
          <cell r="R1264">
            <v>234</v>
          </cell>
          <cell r="T1264">
            <v>234</v>
          </cell>
          <cell r="V1264">
            <v>234</v>
          </cell>
          <cell r="X1264">
            <v>234</v>
          </cell>
          <cell r="Z1264">
            <v>234</v>
          </cell>
          <cell r="AD1264">
            <v>1.4999999999999999E-2</v>
          </cell>
        </row>
        <row r="1265">
          <cell r="E1265" t="str">
            <v>KPEV 0.5sq-10Pr</v>
          </cell>
          <cell r="F1265" t="str">
            <v>ｍ</v>
          </cell>
          <cell r="H1265">
            <v>446</v>
          </cell>
          <cell r="J1265">
            <v>446</v>
          </cell>
          <cell r="L1265">
            <v>446</v>
          </cell>
          <cell r="N1265">
            <v>446</v>
          </cell>
          <cell r="P1265">
            <v>446</v>
          </cell>
          <cell r="R1265">
            <v>446</v>
          </cell>
          <cell r="T1265">
            <v>446</v>
          </cell>
          <cell r="V1265">
            <v>446</v>
          </cell>
          <cell r="X1265">
            <v>446</v>
          </cell>
          <cell r="Z1265">
            <v>446</v>
          </cell>
          <cell r="AD1265">
            <v>1.7000000000000001E-2</v>
          </cell>
        </row>
        <row r="1266">
          <cell r="E1266" t="str">
            <v>KPEV 0.5sq-15Pr</v>
          </cell>
          <cell r="F1266" t="str">
            <v>ｍ</v>
          </cell>
          <cell r="H1266">
            <v>651</v>
          </cell>
          <cell r="J1266">
            <v>651</v>
          </cell>
          <cell r="L1266">
            <v>651</v>
          </cell>
          <cell r="N1266">
            <v>651</v>
          </cell>
          <cell r="P1266">
            <v>651</v>
          </cell>
          <cell r="R1266">
            <v>651</v>
          </cell>
          <cell r="T1266">
            <v>651</v>
          </cell>
          <cell r="V1266">
            <v>651</v>
          </cell>
          <cell r="X1266">
            <v>651</v>
          </cell>
          <cell r="Z1266">
            <v>651</v>
          </cell>
          <cell r="AD1266">
            <v>1.7999999999999999E-2</v>
          </cell>
        </row>
        <row r="1267">
          <cell r="E1267" t="str">
            <v>KPEV 0.5sq-20Pr</v>
          </cell>
          <cell r="F1267" t="str">
            <v>ｍ</v>
          </cell>
          <cell r="H1267">
            <v>857</v>
          </cell>
          <cell r="J1267">
            <v>857</v>
          </cell>
          <cell r="L1267">
            <v>857</v>
          </cell>
          <cell r="N1267">
            <v>857</v>
          </cell>
          <cell r="P1267">
            <v>857</v>
          </cell>
          <cell r="R1267">
            <v>857</v>
          </cell>
          <cell r="T1267">
            <v>857</v>
          </cell>
          <cell r="V1267">
            <v>857</v>
          </cell>
          <cell r="X1267">
            <v>857</v>
          </cell>
          <cell r="Z1267">
            <v>857</v>
          </cell>
          <cell r="AD1267">
            <v>0.02</v>
          </cell>
        </row>
        <row r="1268">
          <cell r="E1268" t="str">
            <v>KPEV 0.5sq-25Pr</v>
          </cell>
          <cell r="F1268" t="str">
            <v>ｍ</v>
          </cell>
          <cell r="H1268">
            <v>1067</v>
          </cell>
          <cell r="J1268">
            <v>1067</v>
          </cell>
          <cell r="L1268">
            <v>1067</v>
          </cell>
          <cell r="N1268">
            <v>1067</v>
          </cell>
          <cell r="P1268">
            <v>1067</v>
          </cell>
          <cell r="R1268">
            <v>1067</v>
          </cell>
          <cell r="T1268">
            <v>1067</v>
          </cell>
          <cell r="V1268">
            <v>1067</v>
          </cell>
          <cell r="X1268">
            <v>1067</v>
          </cell>
          <cell r="Z1268">
            <v>1067</v>
          </cell>
          <cell r="AD1268">
            <v>2.1999999999999999E-2</v>
          </cell>
        </row>
        <row r="1269">
          <cell r="E1269" t="str">
            <v>KPEV 0.5sq-30Pr</v>
          </cell>
          <cell r="F1269" t="str">
            <v>ｍ</v>
          </cell>
          <cell r="H1269">
            <v>1271</v>
          </cell>
          <cell r="J1269">
            <v>1271</v>
          </cell>
          <cell r="L1269">
            <v>1271</v>
          </cell>
          <cell r="N1269">
            <v>1271</v>
          </cell>
          <cell r="P1269">
            <v>1271</v>
          </cell>
          <cell r="R1269">
            <v>1271</v>
          </cell>
          <cell r="T1269">
            <v>1271</v>
          </cell>
          <cell r="V1269">
            <v>1271</v>
          </cell>
          <cell r="X1269">
            <v>1271</v>
          </cell>
          <cell r="Z1269">
            <v>1271</v>
          </cell>
          <cell r="AD1269">
            <v>2.4E-2</v>
          </cell>
        </row>
        <row r="1270">
          <cell r="E1270" t="str">
            <v>KPEV 0.5sq-40Pr</v>
          </cell>
          <cell r="F1270" t="str">
            <v>ｍ</v>
          </cell>
          <cell r="H1270">
            <v>1692</v>
          </cell>
          <cell r="J1270">
            <v>1692</v>
          </cell>
          <cell r="L1270">
            <v>1692</v>
          </cell>
          <cell r="N1270">
            <v>1692</v>
          </cell>
          <cell r="P1270">
            <v>1692</v>
          </cell>
          <cell r="R1270">
            <v>1692</v>
          </cell>
          <cell r="T1270">
            <v>1692</v>
          </cell>
          <cell r="V1270">
            <v>1692</v>
          </cell>
          <cell r="X1270">
            <v>1692</v>
          </cell>
          <cell r="Z1270">
            <v>1692</v>
          </cell>
          <cell r="AD1270">
            <v>2.9000000000000001E-2</v>
          </cell>
        </row>
        <row r="1271">
          <cell r="E1271" t="str">
            <v>KPEV 0.5sq-50Pr</v>
          </cell>
          <cell r="F1271" t="str">
            <v>ｍ</v>
          </cell>
          <cell r="H1271">
            <v>2084</v>
          </cell>
          <cell r="J1271">
            <v>2084</v>
          </cell>
          <cell r="L1271">
            <v>2084</v>
          </cell>
          <cell r="N1271">
            <v>2084</v>
          </cell>
          <cell r="P1271">
            <v>2084</v>
          </cell>
          <cell r="R1271">
            <v>2084</v>
          </cell>
          <cell r="T1271">
            <v>2084</v>
          </cell>
          <cell r="V1271">
            <v>2084</v>
          </cell>
          <cell r="X1271">
            <v>2084</v>
          </cell>
          <cell r="Z1271">
            <v>2084</v>
          </cell>
          <cell r="AD1271">
            <v>3.9E-2</v>
          </cell>
        </row>
        <row r="1272">
          <cell r="E1272" t="str">
            <v>KPEV 0.5sq-60Pr</v>
          </cell>
          <cell r="F1272" t="str">
            <v>ｍ</v>
          </cell>
          <cell r="H1272">
            <v>2491</v>
          </cell>
          <cell r="J1272">
            <v>2491</v>
          </cell>
          <cell r="L1272">
            <v>2491</v>
          </cell>
          <cell r="N1272">
            <v>2491</v>
          </cell>
          <cell r="P1272">
            <v>2491</v>
          </cell>
          <cell r="R1272">
            <v>2491</v>
          </cell>
          <cell r="T1272">
            <v>2491</v>
          </cell>
          <cell r="V1272">
            <v>2491</v>
          </cell>
          <cell r="X1272">
            <v>2491</v>
          </cell>
          <cell r="Z1272">
            <v>2491</v>
          </cell>
          <cell r="AD1272">
            <v>5.0999999999999997E-2</v>
          </cell>
        </row>
        <row r="1273">
          <cell r="E1273" t="str">
            <v>KPEV 0.5sq-70Pr</v>
          </cell>
          <cell r="F1273" t="str">
            <v>ｍ</v>
          </cell>
          <cell r="H1273">
            <v>2898</v>
          </cell>
          <cell r="J1273">
            <v>2898</v>
          </cell>
          <cell r="L1273">
            <v>2898</v>
          </cell>
          <cell r="N1273">
            <v>2898</v>
          </cell>
          <cell r="P1273">
            <v>2898</v>
          </cell>
          <cell r="R1273">
            <v>2898</v>
          </cell>
          <cell r="T1273">
            <v>2898</v>
          </cell>
          <cell r="V1273">
            <v>2898</v>
          </cell>
          <cell r="X1273">
            <v>2898</v>
          </cell>
          <cell r="Z1273">
            <v>2898</v>
          </cell>
          <cell r="AD1273">
            <v>6.4000000000000001E-2</v>
          </cell>
        </row>
        <row r="1274">
          <cell r="E1274" t="str">
            <v>KPEV 0.5sq-80Pr</v>
          </cell>
          <cell r="F1274" t="str">
            <v>ｍ</v>
          </cell>
          <cell r="H1274">
            <v>3298</v>
          </cell>
          <cell r="J1274">
            <v>3298</v>
          </cell>
          <cell r="L1274">
            <v>3298</v>
          </cell>
          <cell r="N1274">
            <v>3298</v>
          </cell>
          <cell r="P1274">
            <v>3298</v>
          </cell>
          <cell r="R1274">
            <v>3298</v>
          </cell>
          <cell r="T1274">
            <v>3298</v>
          </cell>
          <cell r="V1274">
            <v>3298</v>
          </cell>
          <cell r="X1274">
            <v>3298</v>
          </cell>
          <cell r="Z1274">
            <v>3298</v>
          </cell>
          <cell r="AD1274">
            <v>8.3000000000000004E-2</v>
          </cell>
        </row>
        <row r="1275">
          <cell r="E1275" t="str">
            <v>KPEV 0.5sq-100Pr</v>
          </cell>
          <cell r="F1275" t="str">
            <v>ｍ</v>
          </cell>
          <cell r="H1275">
            <v>4090</v>
          </cell>
          <cell r="J1275">
            <v>4090</v>
          </cell>
          <cell r="L1275">
            <v>4090</v>
          </cell>
          <cell r="N1275">
            <v>4090</v>
          </cell>
          <cell r="P1275">
            <v>4090</v>
          </cell>
          <cell r="R1275">
            <v>4090</v>
          </cell>
          <cell r="T1275">
            <v>4090</v>
          </cell>
          <cell r="V1275">
            <v>4090</v>
          </cell>
          <cell r="X1275">
            <v>4090</v>
          </cell>
          <cell r="Z1275">
            <v>4090</v>
          </cell>
          <cell r="AD1275">
            <v>9.5000000000000001E-2</v>
          </cell>
        </row>
        <row r="1276">
          <cell r="E1276" t="str">
            <v>KPEV 0.75sq-1Pr</v>
          </cell>
          <cell r="F1276" t="str">
            <v>ｍ</v>
          </cell>
          <cell r="H1276">
            <v>59.8</v>
          </cell>
          <cell r="J1276">
            <v>59.8</v>
          </cell>
          <cell r="L1276">
            <v>59.8</v>
          </cell>
          <cell r="N1276">
            <v>59.8</v>
          </cell>
          <cell r="P1276">
            <v>59.8</v>
          </cell>
          <cell r="R1276">
            <v>59.8</v>
          </cell>
          <cell r="T1276">
            <v>59.8</v>
          </cell>
          <cell r="V1276">
            <v>59.8</v>
          </cell>
          <cell r="X1276">
            <v>59.8</v>
          </cell>
          <cell r="Z1276">
            <v>59.8</v>
          </cell>
          <cell r="AD1276">
            <v>1.6E-2</v>
          </cell>
        </row>
        <row r="1277">
          <cell r="E1277" t="str">
            <v>KPEV 0.75sq-2Pr</v>
          </cell>
          <cell r="F1277" t="str">
            <v>ｍ</v>
          </cell>
          <cell r="H1277">
            <v>125</v>
          </cell>
          <cell r="J1277">
            <v>125</v>
          </cell>
          <cell r="L1277">
            <v>125</v>
          </cell>
          <cell r="N1277">
            <v>125</v>
          </cell>
          <cell r="P1277">
            <v>125</v>
          </cell>
          <cell r="R1277">
            <v>125</v>
          </cell>
          <cell r="T1277">
            <v>125</v>
          </cell>
          <cell r="V1277">
            <v>125</v>
          </cell>
          <cell r="X1277">
            <v>125</v>
          </cell>
          <cell r="Z1277">
            <v>125</v>
          </cell>
          <cell r="AD1277">
            <v>1.7999999999999999E-2</v>
          </cell>
        </row>
        <row r="1278">
          <cell r="E1278" t="str">
            <v>KPEV 0.75sq-5Pr</v>
          </cell>
          <cell r="F1278" t="str">
            <v>ｍ</v>
          </cell>
          <cell r="H1278">
            <v>244</v>
          </cell>
          <cell r="J1278">
            <v>244</v>
          </cell>
          <cell r="L1278">
            <v>244</v>
          </cell>
          <cell r="N1278">
            <v>244</v>
          </cell>
          <cell r="P1278">
            <v>244</v>
          </cell>
          <cell r="R1278">
            <v>244</v>
          </cell>
          <cell r="T1278">
            <v>244</v>
          </cell>
          <cell r="V1278">
            <v>244</v>
          </cell>
          <cell r="X1278">
            <v>244</v>
          </cell>
          <cell r="Z1278">
            <v>244</v>
          </cell>
          <cell r="AD1278">
            <v>0.02</v>
          </cell>
        </row>
        <row r="1279">
          <cell r="E1279" t="str">
            <v>KPEV 0.75sq-10Pr</v>
          </cell>
          <cell r="F1279" t="str">
            <v>ｍ</v>
          </cell>
          <cell r="H1279">
            <v>464</v>
          </cell>
          <cell r="J1279">
            <v>464</v>
          </cell>
          <cell r="L1279">
            <v>464</v>
          </cell>
          <cell r="N1279">
            <v>464</v>
          </cell>
          <cell r="P1279">
            <v>464</v>
          </cell>
          <cell r="R1279">
            <v>464</v>
          </cell>
          <cell r="T1279">
            <v>464</v>
          </cell>
          <cell r="V1279">
            <v>464</v>
          </cell>
          <cell r="X1279">
            <v>464</v>
          </cell>
          <cell r="Z1279">
            <v>464</v>
          </cell>
          <cell r="AD1279">
            <v>2.1999999999999999E-2</v>
          </cell>
        </row>
        <row r="1280">
          <cell r="E1280" t="str">
            <v>KPEV 0.75sq-15Pr</v>
          </cell>
          <cell r="F1280" t="str">
            <v>ｍ</v>
          </cell>
          <cell r="H1280">
            <v>680</v>
          </cell>
          <cell r="J1280">
            <v>680</v>
          </cell>
          <cell r="L1280">
            <v>680</v>
          </cell>
          <cell r="N1280">
            <v>680</v>
          </cell>
          <cell r="P1280">
            <v>680</v>
          </cell>
          <cell r="R1280">
            <v>680</v>
          </cell>
          <cell r="T1280">
            <v>680</v>
          </cell>
          <cell r="V1280">
            <v>680</v>
          </cell>
          <cell r="X1280">
            <v>680</v>
          </cell>
          <cell r="Z1280">
            <v>680</v>
          </cell>
          <cell r="AD1280">
            <v>2.3E-2</v>
          </cell>
        </row>
        <row r="1281">
          <cell r="E1281" t="str">
            <v>KPEV 0.75sq-20Pr</v>
          </cell>
          <cell r="F1281" t="str">
            <v>ｍ</v>
          </cell>
          <cell r="H1281">
            <v>893</v>
          </cell>
          <cell r="J1281">
            <v>893</v>
          </cell>
          <cell r="L1281">
            <v>893</v>
          </cell>
          <cell r="N1281">
            <v>893</v>
          </cell>
          <cell r="P1281">
            <v>893</v>
          </cell>
          <cell r="R1281">
            <v>893</v>
          </cell>
          <cell r="T1281">
            <v>893</v>
          </cell>
          <cell r="V1281">
            <v>893</v>
          </cell>
          <cell r="X1281">
            <v>893</v>
          </cell>
          <cell r="Z1281">
            <v>893</v>
          </cell>
          <cell r="AD1281">
            <v>2.5000000000000001E-2</v>
          </cell>
        </row>
        <row r="1282">
          <cell r="E1282" t="str">
            <v>KPEV 0.75sq-25Pr</v>
          </cell>
          <cell r="F1282" t="str">
            <v>ｍ</v>
          </cell>
          <cell r="H1282">
            <v>1119</v>
          </cell>
          <cell r="J1282">
            <v>1119</v>
          </cell>
          <cell r="L1282">
            <v>1119</v>
          </cell>
          <cell r="N1282">
            <v>1119</v>
          </cell>
          <cell r="P1282">
            <v>1119</v>
          </cell>
          <cell r="R1282">
            <v>1119</v>
          </cell>
          <cell r="T1282">
            <v>1119</v>
          </cell>
          <cell r="V1282">
            <v>1119</v>
          </cell>
          <cell r="X1282">
            <v>1119</v>
          </cell>
          <cell r="Z1282">
            <v>1119</v>
          </cell>
          <cell r="AD1282">
            <v>2.8000000000000001E-2</v>
          </cell>
        </row>
        <row r="1283">
          <cell r="E1283" t="str">
            <v>KPEV 0.75sq-30Pr</v>
          </cell>
          <cell r="F1283" t="str">
            <v>ｍ</v>
          </cell>
          <cell r="H1283">
            <v>1332</v>
          </cell>
          <cell r="J1283">
            <v>1332</v>
          </cell>
          <cell r="L1283">
            <v>1332</v>
          </cell>
          <cell r="N1283">
            <v>1332</v>
          </cell>
          <cell r="P1283">
            <v>1332</v>
          </cell>
          <cell r="R1283">
            <v>1332</v>
          </cell>
          <cell r="T1283">
            <v>1332</v>
          </cell>
          <cell r="V1283">
            <v>1332</v>
          </cell>
          <cell r="X1283">
            <v>1332</v>
          </cell>
          <cell r="Z1283">
            <v>1332</v>
          </cell>
          <cell r="AD1283">
            <v>3.1E-2</v>
          </cell>
        </row>
        <row r="1284">
          <cell r="E1284" t="str">
            <v>KPEV 0.75sq-40Pr</v>
          </cell>
          <cell r="F1284" t="str">
            <v>ｍ</v>
          </cell>
          <cell r="H1284">
            <v>1778</v>
          </cell>
          <cell r="J1284">
            <v>1778</v>
          </cell>
          <cell r="L1284">
            <v>1778</v>
          </cell>
          <cell r="N1284">
            <v>1778</v>
          </cell>
          <cell r="P1284">
            <v>1778</v>
          </cell>
          <cell r="R1284">
            <v>1778</v>
          </cell>
          <cell r="T1284">
            <v>1778</v>
          </cell>
          <cell r="V1284">
            <v>1778</v>
          </cell>
          <cell r="X1284">
            <v>1778</v>
          </cell>
          <cell r="Z1284">
            <v>1778</v>
          </cell>
          <cell r="AD1284">
            <v>3.6999999999999998E-2</v>
          </cell>
        </row>
        <row r="1285">
          <cell r="E1285" t="str">
            <v>KPEV 0.75sq-50Pr</v>
          </cell>
          <cell r="F1285" t="str">
            <v>ｍ</v>
          </cell>
          <cell r="H1285">
            <v>2196</v>
          </cell>
          <cell r="J1285">
            <v>2196</v>
          </cell>
          <cell r="L1285">
            <v>2196</v>
          </cell>
          <cell r="N1285">
            <v>2196</v>
          </cell>
          <cell r="P1285">
            <v>2196</v>
          </cell>
          <cell r="R1285">
            <v>2196</v>
          </cell>
          <cell r="T1285">
            <v>2196</v>
          </cell>
          <cell r="V1285">
            <v>2196</v>
          </cell>
          <cell r="X1285">
            <v>2196</v>
          </cell>
          <cell r="Z1285">
            <v>2196</v>
          </cell>
          <cell r="AD1285">
            <v>0.05</v>
          </cell>
        </row>
        <row r="1286">
          <cell r="E1286" t="str">
            <v>KPEV 0.75sq-60Pr</v>
          </cell>
          <cell r="F1286" t="str">
            <v>ｍ</v>
          </cell>
          <cell r="H1286">
            <v>2621</v>
          </cell>
          <cell r="J1286">
            <v>2621</v>
          </cell>
          <cell r="L1286">
            <v>2621</v>
          </cell>
          <cell r="N1286">
            <v>2621</v>
          </cell>
          <cell r="P1286">
            <v>2621</v>
          </cell>
          <cell r="R1286">
            <v>2621</v>
          </cell>
          <cell r="T1286">
            <v>2621</v>
          </cell>
          <cell r="V1286">
            <v>2621</v>
          </cell>
          <cell r="X1286">
            <v>2621</v>
          </cell>
          <cell r="Z1286">
            <v>2621</v>
          </cell>
          <cell r="AD1286">
            <v>6.6000000000000003E-2</v>
          </cell>
        </row>
        <row r="1287">
          <cell r="E1287" t="str">
            <v>KPEV 0.75sq-70Pr</v>
          </cell>
          <cell r="F1287" t="str">
            <v>ｍ</v>
          </cell>
          <cell r="H1287">
            <v>3045</v>
          </cell>
          <cell r="J1287">
            <v>3045</v>
          </cell>
          <cell r="L1287">
            <v>3045</v>
          </cell>
          <cell r="N1287">
            <v>3045</v>
          </cell>
          <cell r="P1287">
            <v>3045</v>
          </cell>
          <cell r="R1287">
            <v>3045</v>
          </cell>
          <cell r="T1287">
            <v>3045</v>
          </cell>
          <cell r="V1287">
            <v>3045</v>
          </cell>
          <cell r="X1287">
            <v>3045</v>
          </cell>
          <cell r="Z1287">
            <v>3045</v>
          </cell>
          <cell r="AD1287">
            <v>8.3000000000000004E-2</v>
          </cell>
        </row>
        <row r="1288">
          <cell r="E1288" t="str">
            <v>KPEV 0.75sq-80Pr</v>
          </cell>
          <cell r="F1288" t="str">
            <v>ｍ</v>
          </cell>
          <cell r="H1288">
            <v>3470</v>
          </cell>
          <cell r="J1288">
            <v>3470</v>
          </cell>
          <cell r="L1288">
            <v>3470</v>
          </cell>
          <cell r="N1288">
            <v>3470</v>
          </cell>
          <cell r="P1288">
            <v>3470</v>
          </cell>
          <cell r="R1288">
            <v>3470</v>
          </cell>
          <cell r="T1288">
            <v>3470</v>
          </cell>
          <cell r="V1288">
            <v>3470</v>
          </cell>
          <cell r="X1288">
            <v>3470</v>
          </cell>
          <cell r="Z1288">
            <v>3470</v>
          </cell>
          <cell r="AD1288">
            <v>0.10299999999999999</v>
          </cell>
        </row>
        <row r="1289">
          <cell r="E1289" t="str">
            <v>KPEV 0.75sq-100Pr</v>
          </cell>
          <cell r="F1289" t="str">
            <v>ｍ</v>
          </cell>
          <cell r="H1289">
            <v>4327</v>
          </cell>
          <cell r="J1289">
            <v>4327</v>
          </cell>
          <cell r="L1289">
            <v>4327</v>
          </cell>
          <cell r="N1289">
            <v>4327</v>
          </cell>
          <cell r="P1289">
            <v>4327</v>
          </cell>
          <cell r="R1289">
            <v>4327</v>
          </cell>
          <cell r="T1289">
            <v>4327</v>
          </cell>
          <cell r="V1289">
            <v>4327</v>
          </cell>
          <cell r="X1289">
            <v>4327</v>
          </cell>
          <cell r="Z1289">
            <v>4327</v>
          </cell>
          <cell r="AD1289">
            <v>0.123</v>
          </cell>
        </row>
        <row r="1290">
          <cell r="E1290" t="str">
            <v>KPEV 1.25sq-1Pr</v>
          </cell>
          <cell r="F1290" t="str">
            <v>ｍ</v>
          </cell>
          <cell r="H1290">
            <v>67.599999999999994</v>
          </cell>
          <cell r="J1290">
            <v>67.599999999999994</v>
          </cell>
          <cell r="L1290">
            <v>67.599999999999994</v>
          </cell>
          <cell r="N1290">
            <v>67.599999999999994</v>
          </cell>
          <cell r="P1290">
            <v>67.599999999999994</v>
          </cell>
          <cell r="R1290">
            <v>67.599999999999994</v>
          </cell>
          <cell r="T1290">
            <v>67.599999999999994</v>
          </cell>
          <cell r="V1290">
            <v>67.599999999999994</v>
          </cell>
          <cell r="X1290">
            <v>67.599999999999994</v>
          </cell>
          <cell r="Z1290">
            <v>67.599999999999994</v>
          </cell>
          <cell r="AD1290">
            <v>2.1000000000000001E-2</v>
          </cell>
        </row>
        <row r="1291">
          <cell r="E1291" t="str">
            <v>KPEV 1.25sq-2Pr</v>
          </cell>
          <cell r="F1291" t="str">
            <v>ｍ</v>
          </cell>
          <cell r="H1291">
            <v>155</v>
          </cell>
          <cell r="J1291">
            <v>155</v>
          </cell>
          <cell r="L1291">
            <v>155</v>
          </cell>
          <cell r="N1291">
            <v>155</v>
          </cell>
          <cell r="P1291">
            <v>155</v>
          </cell>
          <cell r="R1291">
            <v>155</v>
          </cell>
          <cell r="T1291">
            <v>155</v>
          </cell>
          <cell r="V1291">
            <v>155</v>
          </cell>
          <cell r="X1291">
            <v>155</v>
          </cell>
          <cell r="Z1291">
            <v>155</v>
          </cell>
          <cell r="AD1291">
            <v>2.3E-2</v>
          </cell>
        </row>
        <row r="1292">
          <cell r="E1292" t="str">
            <v>KPEV 1.25sq-5Pr</v>
          </cell>
          <cell r="F1292" t="str">
            <v>ｍ</v>
          </cell>
          <cell r="H1292">
            <v>315</v>
          </cell>
          <cell r="J1292">
            <v>315</v>
          </cell>
          <cell r="L1292">
            <v>315</v>
          </cell>
          <cell r="N1292">
            <v>315</v>
          </cell>
          <cell r="P1292">
            <v>315</v>
          </cell>
          <cell r="R1292">
            <v>315</v>
          </cell>
          <cell r="T1292">
            <v>315</v>
          </cell>
          <cell r="V1292">
            <v>315</v>
          </cell>
          <cell r="X1292">
            <v>315</v>
          </cell>
          <cell r="Z1292">
            <v>315</v>
          </cell>
          <cell r="AD1292">
            <v>2.7E-2</v>
          </cell>
        </row>
        <row r="1293">
          <cell r="E1293" t="str">
            <v>KPEV 1.25sq-10Pr</v>
          </cell>
          <cell r="F1293" t="str">
            <v>ｍ</v>
          </cell>
          <cell r="H1293">
            <v>586</v>
          </cell>
          <cell r="J1293">
            <v>586</v>
          </cell>
          <cell r="L1293">
            <v>586</v>
          </cell>
          <cell r="N1293">
            <v>586</v>
          </cell>
          <cell r="P1293">
            <v>586</v>
          </cell>
          <cell r="R1293">
            <v>586</v>
          </cell>
          <cell r="T1293">
            <v>586</v>
          </cell>
          <cell r="V1293">
            <v>586</v>
          </cell>
          <cell r="X1293">
            <v>586</v>
          </cell>
          <cell r="Z1293">
            <v>586</v>
          </cell>
          <cell r="AD1293">
            <v>3.1E-2</v>
          </cell>
        </row>
        <row r="1294">
          <cell r="E1294" t="str">
            <v>KPEV 1.25sq-15Pr</v>
          </cell>
          <cell r="F1294" t="str">
            <v>ｍ</v>
          </cell>
          <cell r="H1294">
            <v>838</v>
          </cell>
          <cell r="J1294">
            <v>838</v>
          </cell>
          <cell r="L1294">
            <v>838</v>
          </cell>
          <cell r="N1294">
            <v>838</v>
          </cell>
          <cell r="P1294">
            <v>838</v>
          </cell>
          <cell r="R1294">
            <v>838</v>
          </cell>
          <cell r="T1294">
            <v>838</v>
          </cell>
          <cell r="V1294">
            <v>838</v>
          </cell>
          <cell r="X1294">
            <v>838</v>
          </cell>
          <cell r="Z1294">
            <v>838</v>
          </cell>
          <cell r="AD1294">
            <v>3.4000000000000002E-2</v>
          </cell>
        </row>
        <row r="1295">
          <cell r="E1295" t="str">
            <v>KPEV 1.25sq-20Pr</v>
          </cell>
          <cell r="F1295" t="str">
            <v>ｍ</v>
          </cell>
          <cell r="H1295">
            <v>1101</v>
          </cell>
          <cell r="J1295">
            <v>1101</v>
          </cell>
          <cell r="L1295">
            <v>1101</v>
          </cell>
          <cell r="N1295">
            <v>1101</v>
          </cell>
          <cell r="P1295">
            <v>1101</v>
          </cell>
          <cell r="R1295">
            <v>1101</v>
          </cell>
          <cell r="T1295">
            <v>1101</v>
          </cell>
          <cell r="V1295">
            <v>1101</v>
          </cell>
          <cell r="X1295">
            <v>1101</v>
          </cell>
          <cell r="Z1295">
            <v>1101</v>
          </cell>
          <cell r="AD1295">
            <v>3.9E-2</v>
          </cell>
        </row>
        <row r="1296">
          <cell r="E1296" t="str">
            <v>KPEV 2.0sq-1Pr</v>
          </cell>
          <cell r="F1296" t="str">
            <v>ｍ</v>
          </cell>
          <cell r="H1296">
            <v>87.7</v>
          </cell>
          <cell r="J1296">
            <v>87.7</v>
          </cell>
          <cell r="L1296">
            <v>87.7</v>
          </cell>
          <cell r="N1296">
            <v>87.7</v>
          </cell>
          <cell r="P1296">
            <v>87.7</v>
          </cell>
          <cell r="R1296">
            <v>87.7</v>
          </cell>
          <cell r="T1296">
            <v>87.7</v>
          </cell>
          <cell r="V1296">
            <v>87.7</v>
          </cell>
          <cell r="X1296">
            <v>87.7</v>
          </cell>
          <cell r="Z1296">
            <v>87.7</v>
          </cell>
          <cell r="AD1296">
            <v>2.7E-2</v>
          </cell>
        </row>
        <row r="1297">
          <cell r="E1297" t="str">
            <v>KPEV 2.0sq-2Pr</v>
          </cell>
          <cell r="F1297" t="str">
            <v>ｍ</v>
          </cell>
          <cell r="H1297">
            <v>188</v>
          </cell>
          <cell r="J1297">
            <v>188</v>
          </cell>
          <cell r="L1297">
            <v>188</v>
          </cell>
          <cell r="N1297">
            <v>188</v>
          </cell>
          <cell r="P1297">
            <v>188</v>
          </cell>
          <cell r="R1297">
            <v>188</v>
          </cell>
          <cell r="T1297">
            <v>188</v>
          </cell>
          <cell r="V1297">
            <v>188</v>
          </cell>
          <cell r="X1297">
            <v>188</v>
          </cell>
          <cell r="Z1297">
            <v>188</v>
          </cell>
          <cell r="AD1297">
            <v>2.9000000000000001E-2</v>
          </cell>
        </row>
        <row r="1298">
          <cell r="E1298" t="str">
            <v>KPEV 2.0sq-5Pr</v>
          </cell>
          <cell r="F1298" t="str">
            <v>ｍ</v>
          </cell>
          <cell r="H1298">
            <v>418</v>
          </cell>
          <cell r="J1298">
            <v>418</v>
          </cell>
          <cell r="L1298">
            <v>418</v>
          </cell>
          <cell r="N1298">
            <v>418</v>
          </cell>
          <cell r="P1298">
            <v>418</v>
          </cell>
          <cell r="R1298">
            <v>418</v>
          </cell>
          <cell r="T1298">
            <v>418</v>
          </cell>
          <cell r="V1298">
            <v>418</v>
          </cell>
          <cell r="X1298">
            <v>418</v>
          </cell>
          <cell r="Z1298">
            <v>418</v>
          </cell>
          <cell r="AD1298">
            <v>3.2000000000000001E-2</v>
          </cell>
        </row>
        <row r="1299">
          <cell r="E1299" t="str">
            <v>KPEV 2.0sq-10Pr</v>
          </cell>
          <cell r="F1299" t="str">
            <v>ｍ</v>
          </cell>
          <cell r="H1299">
            <v>791</v>
          </cell>
          <cell r="J1299">
            <v>791</v>
          </cell>
          <cell r="L1299">
            <v>791</v>
          </cell>
          <cell r="N1299">
            <v>791</v>
          </cell>
          <cell r="P1299">
            <v>791</v>
          </cell>
          <cell r="R1299">
            <v>791</v>
          </cell>
          <cell r="T1299">
            <v>791</v>
          </cell>
          <cell r="V1299">
            <v>791</v>
          </cell>
          <cell r="X1299">
            <v>791</v>
          </cell>
          <cell r="Z1299">
            <v>791</v>
          </cell>
          <cell r="AD1299">
            <v>3.6999999999999998E-2</v>
          </cell>
        </row>
        <row r="1300">
          <cell r="E1300" t="str">
            <v>KPEV 2.0sq-15Pr</v>
          </cell>
          <cell r="F1300" t="str">
            <v>ｍ</v>
          </cell>
          <cell r="H1300">
            <v>1153</v>
          </cell>
          <cell r="J1300">
            <v>1153</v>
          </cell>
          <cell r="L1300">
            <v>1153</v>
          </cell>
          <cell r="N1300">
            <v>1153</v>
          </cell>
          <cell r="P1300">
            <v>1153</v>
          </cell>
          <cell r="R1300">
            <v>1153</v>
          </cell>
          <cell r="T1300">
            <v>1153</v>
          </cell>
          <cell r="V1300">
            <v>1153</v>
          </cell>
          <cell r="X1300">
            <v>1153</v>
          </cell>
          <cell r="Z1300">
            <v>1153</v>
          </cell>
          <cell r="AD1300">
            <v>0.04</v>
          </cell>
        </row>
        <row r="1301">
          <cell r="E1301" t="str">
            <v>KPEV 2.0sq-20Pr</v>
          </cell>
          <cell r="F1301" t="str">
            <v>ｍ</v>
          </cell>
          <cell r="H1301">
            <v>1531</v>
          </cell>
          <cell r="J1301">
            <v>1531</v>
          </cell>
          <cell r="L1301">
            <v>1531</v>
          </cell>
          <cell r="N1301">
            <v>1531</v>
          </cell>
          <cell r="P1301">
            <v>1531</v>
          </cell>
          <cell r="R1301">
            <v>1531</v>
          </cell>
          <cell r="T1301">
            <v>1531</v>
          </cell>
          <cell r="V1301">
            <v>1531</v>
          </cell>
          <cell r="X1301">
            <v>1531</v>
          </cell>
          <cell r="Z1301">
            <v>1531</v>
          </cell>
          <cell r="AD1301">
            <v>4.7E-2</v>
          </cell>
        </row>
        <row r="1302">
          <cell r="E1302" t="str">
            <v>KPEV-S 0.5sq-1Pr</v>
          </cell>
          <cell r="F1302" t="str">
            <v>ｍ</v>
          </cell>
          <cell r="H1302">
            <v>111</v>
          </cell>
          <cell r="J1302">
            <v>111</v>
          </cell>
          <cell r="L1302">
            <v>111</v>
          </cell>
          <cell r="N1302">
            <v>111</v>
          </cell>
          <cell r="P1302">
            <v>111</v>
          </cell>
          <cell r="R1302">
            <v>111</v>
          </cell>
          <cell r="T1302">
            <v>111</v>
          </cell>
          <cell r="V1302">
            <v>111</v>
          </cell>
          <cell r="X1302">
            <v>111</v>
          </cell>
          <cell r="Z1302">
            <v>111</v>
          </cell>
          <cell r="AD1302">
            <v>1.2999999999999999E-2</v>
          </cell>
        </row>
        <row r="1303">
          <cell r="E1303" t="str">
            <v>KPEV-S 0.5sq-2Pr</v>
          </cell>
          <cell r="F1303" t="str">
            <v>ｍ</v>
          </cell>
          <cell r="H1303">
            <v>181</v>
          </cell>
          <cell r="J1303">
            <v>181</v>
          </cell>
          <cell r="L1303">
            <v>181</v>
          </cell>
          <cell r="N1303">
            <v>181</v>
          </cell>
          <cell r="P1303">
            <v>181</v>
          </cell>
          <cell r="R1303">
            <v>181</v>
          </cell>
          <cell r="T1303">
            <v>181</v>
          </cell>
          <cell r="V1303">
            <v>181</v>
          </cell>
          <cell r="X1303">
            <v>181</v>
          </cell>
          <cell r="Z1303">
            <v>181</v>
          </cell>
          <cell r="AD1303">
            <v>1.4E-2</v>
          </cell>
        </row>
        <row r="1304">
          <cell r="E1304" t="str">
            <v>KPEV-S 0.5sq-5Pr</v>
          </cell>
          <cell r="F1304" t="str">
            <v>ｍ</v>
          </cell>
          <cell r="H1304">
            <v>312</v>
          </cell>
          <cell r="J1304">
            <v>312</v>
          </cell>
          <cell r="L1304">
            <v>312</v>
          </cell>
          <cell r="N1304">
            <v>312</v>
          </cell>
          <cell r="P1304">
            <v>312</v>
          </cell>
          <cell r="R1304">
            <v>312</v>
          </cell>
          <cell r="T1304">
            <v>312</v>
          </cell>
          <cell r="V1304">
            <v>312</v>
          </cell>
          <cell r="X1304">
            <v>312</v>
          </cell>
          <cell r="Z1304">
            <v>312</v>
          </cell>
          <cell r="AD1304">
            <v>1.4999999999999999E-2</v>
          </cell>
        </row>
        <row r="1305">
          <cell r="E1305" t="str">
            <v>KPEV-S 0.5sq-10Pr</v>
          </cell>
          <cell r="F1305" t="str">
            <v>ｍ</v>
          </cell>
          <cell r="H1305">
            <v>539</v>
          </cell>
          <cell r="J1305">
            <v>539</v>
          </cell>
          <cell r="L1305">
            <v>539</v>
          </cell>
          <cell r="N1305">
            <v>539</v>
          </cell>
          <cell r="P1305">
            <v>539</v>
          </cell>
          <cell r="R1305">
            <v>539</v>
          </cell>
          <cell r="T1305">
            <v>539</v>
          </cell>
          <cell r="V1305">
            <v>539</v>
          </cell>
          <cell r="X1305">
            <v>539</v>
          </cell>
          <cell r="Z1305">
            <v>539</v>
          </cell>
          <cell r="AD1305">
            <v>1.7000000000000001E-2</v>
          </cell>
        </row>
        <row r="1306">
          <cell r="E1306" t="str">
            <v>KPEV-S 0.5sq-15Pr</v>
          </cell>
          <cell r="F1306" t="str">
            <v>ｍ</v>
          </cell>
          <cell r="H1306">
            <v>750</v>
          </cell>
          <cell r="J1306">
            <v>750</v>
          </cell>
          <cell r="L1306">
            <v>750</v>
          </cell>
          <cell r="N1306">
            <v>750</v>
          </cell>
          <cell r="P1306">
            <v>750</v>
          </cell>
          <cell r="R1306">
            <v>750</v>
          </cell>
          <cell r="T1306">
            <v>750</v>
          </cell>
          <cell r="V1306">
            <v>750</v>
          </cell>
          <cell r="X1306">
            <v>750</v>
          </cell>
          <cell r="Z1306">
            <v>750</v>
          </cell>
          <cell r="AD1306">
            <v>1.7999999999999999E-2</v>
          </cell>
        </row>
        <row r="1307">
          <cell r="E1307" t="str">
            <v>KPEV-S 0.5sq-20Pr</v>
          </cell>
          <cell r="F1307" t="str">
            <v>ｍ</v>
          </cell>
          <cell r="H1307">
            <v>979</v>
          </cell>
          <cell r="J1307">
            <v>979</v>
          </cell>
          <cell r="L1307">
            <v>979</v>
          </cell>
          <cell r="N1307">
            <v>979</v>
          </cell>
          <cell r="P1307">
            <v>979</v>
          </cell>
          <cell r="R1307">
            <v>979</v>
          </cell>
          <cell r="T1307">
            <v>979</v>
          </cell>
          <cell r="V1307">
            <v>979</v>
          </cell>
          <cell r="X1307">
            <v>979</v>
          </cell>
          <cell r="Z1307">
            <v>979</v>
          </cell>
          <cell r="AD1307">
            <v>0.02</v>
          </cell>
        </row>
        <row r="1308">
          <cell r="E1308" t="str">
            <v>KPEV-S 0.5sq-25Pr</v>
          </cell>
          <cell r="F1308" t="str">
            <v>ｍ</v>
          </cell>
          <cell r="H1308">
            <v>1199</v>
          </cell>
          <cell r="J1308">
            <v>1199</v>
          </cell>
          <cell r="L1308">
            <v>1199</v>
          </cell>
          <cell r="N1308">
            <v>1199</v>
          </cell>
          <cell r="P1308">
            <v>1199</v>
          </cell>
          <cell r="R1308">
            <v>1199</v>
          </cell>
          <cell r="T1308">
            <v>1199</v>
          </cell>
          <cell r="V1308">
            <v>1199</v>
          </cell>
          <cell r="X1308">
            <v>1199</v>
          </cell>
          <cell r="Z1308">
            <v>1199</v>
          </cell>
          <cell r="AD1308">
            <v>2.1999999999999999E-2</v>
          </cell>
        </row>
        <row r="1309">
          <cell r="E1309" t="str">
            <v>KPEV-S 0.5sq-30Pr</v>
          </cell>
          <cell r="F1309" t="str">
            <v>ｍ</v>
          </cell>
          <cell r="H1309">
            <v>1425</v>
          </cell>
          <cell r="J1309">
            <v>1425</v>
          </cell>
          <cell r="L1309">
            <v>1425</v>
          </cell>
          <cell r="N1309">
            <v>1425</v>
          </cell>
          <cell r="P1309">
            <v>1425</v>
          </cell>
          <cell r="R1309">
            <v>1425</v>
          </cell>
          <cell r="T1309">
            <v>1425</v>
          </cell>
          <cell r="V1309">
            <v>1425</v>
          </cell>
          <cell r="X1309">
            <v>1425</v>
          </cell>
          <cell r="Z1309">
            <v>1425</v>
          </cell>
          <cell r="AD1309">
            <v>2.4E-2</v>
          </cell>
        </row>
        <row r="1310">
          <cell r="E1310" t="str">
            <v>KPEV-S 0.5sq-40Pr</v>
          </cell>
          <cell r="F1310" t="str">
            <v>ｍ</v>
          </cell>
          <cell r="H1310">
            <v>1872</v>
          </cell>
          <cell r="J1310">
            <v>1872</v>
          </cell>
          <cell r="L1310">
            <v>1872</v>
          </cell>
          <cell r="N1310">
            <v>1872</v>
          </cell>
          <cell r="P1310">
            <v>1872</v>
          </cell>
          <cell r="R1310">
            <v>1872</v>
          </cell>
          <cell r="T1310">
            <v>1872</v>
          </cell>
          <cell r="V1310">
            <v>1872</v>
          </cell>
          <cell r="X1310">
            <v>1872</v>
          </cell>
          <cell r="Z1310">
            <v>1872</v>
          </cell>
          <cell r="AD1310">
            <v>2.9000000000000001E-2</v>
          </cell>
        </row>
        <row r="1311">
          <cell r="E1311" t="str">
            <v>KPEV-S 0.5sq-50Pr</v>
          </cell>
          <cell r="F1311" t="str">
            <v>ｍ</v>
          </cell>
          <cell r="H1311">
            <v>2282</v>
          </cell>
          <cell r="J1311">
            <v>2282</v>
          </cell>
          <cell r="L1311">
            <v>2282</v>
          </cell>
          <cell r="N1311">
            <v>2282</v>
          </cell>
          <cell r="P1311">
            <v>2282</v>
          </cell>
          <cell r="R1311">
            <v>2282</v>
          </cell>
          <cell r="T1311">
            <v>2282</v>
          </cell>
          <cell r="V1311">
            <v>2282</v>
          </cell>
          <cell r="X1311">
            <v>2282</v>
          </cell>
          <cell r="Z1311">
            <v>2282</v>
          </cell>
          <cell r="AD1311">
            <v>3.9E-2</v>
          </cell>
        </row>
        <row r="1312">
          <cell r="E1312" t="str">
            <v>KPEV-S 0.5sq-60Pr</v>
          </cell>
          <cell r="F1312" t="str">
            <v>ｍ</v>
          </cell>
          <cell r="H1312">
            <v>2707</v>
          </cell>
          <cell r="J1312">
            <v>2707</v>
          </cell>
          <cell r="L1312">
            <v>2707</v>
          </cell>
          <cell r="N1312">
            <v>2707</v>
          </cell>
          <cell r="P1312">
            <v>2707</v>
          </cell>
          <cell r="R1312">
            <v>2707</v>
          </cell>
          <cell r="T1312">
            <v>2707</v>
          </cell>
          <cell r="V1312">
            <v>2707</v>
          </cell>
          <cell r="X1312">
            <v>2707</v>
          </cell>
          <cell r="Z1312">
            <v>2707</v>
          </cell>
          <cell r="AD1312">
            <v>5.0999999999999997E-2</v>
          </cell>
        </row>
        <row r="1313">
          <cell r="E1313" t="str">
            <v>KPEV-S 0.5sq-70Pr</v>
          </cell>
          <cell r="F1313" t="str">
            <v>ｍ</v>
          </cell>
          <cell r="H1313">
            <v>3132</v>
          </cell>
          <cell r="J1313">
            <v>3132</v>
          </cell>
          <cell r="L1313">
            <v>3132</v>
          </cell>
          <cell r="N1313">
            <v>3132</v>
          </cell>
          <cell r="P1313">
            <v>3132</v>
          </cell>
          <cell r="R1313">
            <v>3132</v>
          </cell>
          <cell r="T1313">
            <v>3132</v>
          </cell>
          <cell r="V1313">
            <v>3132</v>
          </cell>
          <cell r="X1313">
            <v>3132</v>
          </cell>
          <cell r="Z1313">
            <v>3132</v>
          </cell>
          <cell r="AD1313">
            <v>6.4000000000000001E-2</v>
          </cell>
        </row>
        <row r="1314">
          <cell r="E1314" t="str">
            <v>KPEV-S 0.5sq-80Pr</v>
          </cell>
          <cell r="F1314" t="str">
            <v>ｍ</v>
          </cell>
          <cell r="H1314">
            <v>3543</v>
          </cell>
          <cell r="J1314">
            <v>3543</v>
          </cell>
          <cell r="L1314">
            <v>3543</v>
          </cell>
          <cell r="N1314">
            <v>3543</v>
          </cell>
          <cell r="P1314">
            <v>3543</v>
          </cell>
          <cell r="R1314">
            <v>3543</v>
          </cell>
          <cell r="T1314">
            <v>3543</v>
          </cell>
          <cell r="V1314">
            <v>3543</v>
          </cell>
          <cell r="X1314">
            <v>3543</v>
          </cell>
          <cell r="Z1314">
            <v>3543</v>
          </cell>
          <cell r="AD1314">
            <v>8.3000000000000004E-2</v>
          </cell>
        </row>
        <row r="1315">
          <cell r="E1315" t="str">
            <v>KPEV-S 0.5sq-100Pr</v>
          </cell>
          <cell r="F1315" t="str">
            <v>ｍ</v>
          </cell>
          <cell r="H1315">
            <v>4363</v>
          </cell>
          <cell r="J1315">
            <v>4363</v>
          </cell>
          <cell r="L1315">
            <v>4363</v>
          </cell>
          <cell r="N1315">
            <v>4363</v>
          </cell>
          <cell r="P1315">
            <v>4363</v>
          </cell>
          <cell r="R1315">
            <v>4363</v>
          </cell>
          <cell r="T1315">
            <v>4363</v>
          </cell>
          <cell r="V1315">
            <v>4363</v>
          </cell>
          <cell r="X1315">
            <v>4363</v>
          </cell>
          <cell r="Z1315">
            <v>4363</v>
          </cell>
          <cell r="AD1315">
            <v>9.5000000000000001E-2</v>
          </cell>
        </row>
        <row r="1316">
          <cell r="E1316" t="str">
            <v>KPEV-S 0.75sq-1Pr</v>
          </cell>
          <cell r="F1316" t="str">
            <v>ｍ</v>
          </cell>
          <cell r="H1316">
            <v>114</v>
          </cell>
          <cell r="J1316">
            <v>114</v>
          </cell>
          <cell r="L1316">
            <v>114</v>
          </cell>
          <cell r="N1316">
            <v>114</v>
          </cell>
          <cell r="P1316">
            <v>114</v>
          </cell>
          <cell r="R1316">
            <v>114</v>
          </cell>
          <cell r="T1316">
            <v>114</v>
          </cell>
          <cell r="V1316">
            <v>114</v>
          </cell>
          <cell r="X1316">
            <v>114</v>
          </cell>
          <cell r="Z1316">
            <v>114</v>
          </cell>
          <cell r="AD1316">
            <v>2.1000000000000001E-2</v>
          </cell>
        </row>
        <row r="1317">
          <cell r="E1317" t="str">
            <v>KPEV-S 0.75sq-2Pr</v>
          </cell>
          <cell r="F1317" t="str">
            <v>ｍ</v>
          </cell>
          <cell r="H1317">
            <v>192</v>
          </cell>
          <cell r="J1317">
            <v>192</v>
          </cell>
          <cell r="L1317">
            <v>192</v>
          </cell>
          <cell r="N1317">
            <v>192</v>
          </cell>
          <cell r="P1317">
            <v>192</v>
          </cell>
          <cell r="R1317">
            <v>192</v>
          </cell>
          <cell r="T1317">
            <v>192</v>
          </cell>
          <cell r="V1317">
            <v>192</v>
          </cell>
          <cell r="X1317">
            <v>192</v>
          </cell>
          <cell r="Z1317">
            <v>192</v>
          </cell>
          <cell r="AD1317">
            <v>2.3E-2</v>
          </cell>
        </row>
        <row r="1318">
          <cell r="E1318" t="str">
            <v>KPEV-S 0.75sq-5Pr</v>
          </cell>
          <cell r="F1318" t="str">
            <v>ｍ</v>
          </cell>
          <cell r="H1318">
            <v>325</v>
          </cell>
          <cell r="J1318">
            <v>325</v>
          </cell>
          <cell r="L1318">
            <v>325</v>
          </cell>
          <cell r="N1318">
            <v>325</v>
          </cell>
          <cell r="P1318">
            <v>325</v>
          </cell>
          <cell r="R1318">
            <v>325</v>
          </cell>
          <cell r="T1318">
            <v>325</v>
          </cell>
          <cell r="V1318">
            <v>325</v>
          </cell>
          <cell r="X1318">
            <v>325</v>
          </cell>
          <cell r="Z1318">
            <v>325</v>
          </cell>
          <cell r="AD1318">
            <v>2.5000000000000001E-2</v>
          </cell>
        </row>
        <row r="1319">
          <cell r="E1319" t="str">
            <v>KPEV-S 0.75sq-10Pr</v>
          </cell>
          <cell r="F1319" t="str">
            <v>ｍ</v>
          </cell>
          <cell r="H1319">
            <v>562</v>
          </cell>
          <cell r="J1319">
            <v>562</v>
          </cell>
          <cell r="L1319">
            <v>562</v>
          </cell>
          <cell r="N1319">
            <v>562</v>
          </cell>
          <cell r="P1319">
            <v>562</v>
          </cell>
          <cell r="R1319">
            <v>562</v>
          </cell>
          <cell r="T1319">
            <v>562</v>
          </cell>
          <cell r="V1319">
            <v>562</v>
          </cell>
          <cell r="X1319">
            <v>562</v>
          </cell>
          <cell r="Z1319">
            <v>562</v>
          </cell>
          <cell r="AD1319">
            <v>2.7E-2</v>
          </cell>
        </row>
        <row r="1320">
          <cell r="E1320" t="str">
            <v>KPEV-S 0.75sq-15Pr</v>
          </cell>
          <cell r="F1320" t="str">
            <v>ｍ</v>
          </cell>
          <cell r="H1320">
            <v>795</v>
          </cell>
          <cell r="J1320">
            <v>795</v>
          </cell>
          <cell r="L1320">
            <v>795</v>
          </cell>
          <cell r="N1320">
            <v>795</v>
          </cell>
          <cell r="P1320">
            <v>795</v>
          </cell>
          <cell r="R1320">
            <v>795</v>
          </cell>
          <cell r="T1320">
            <v>795</v>
          </cell>
          <cell r="V1320">
            <v>795</v>
          </cell>
          <cell r="X1320">
            <v>795</v>
          </cell>
          <cell r="Z1320">
            <v>795</v>
          </cell>
          <cell r="AD1320">
            <v>2.9000000000000001E-2</v>
          </cell>
        </row>
        <row r="1321">
          <cell r="E1321" t="str">
            <v>KPEV-S 0.75sq-20Pr</v>
          </cell>
          <cell r="F1321" t="str">
            <v>ｍ</v>
          </cell>
          <cell r="H1321">
            <v>1024</v>
          </cell>
          <cell r="J1321">
            <v>1024</v>
          </cell>
          <cell r="L1321">
            <v>1024</v>
          </cell>
          <cell r="N1321">
            <v>1024</v>
          </cell>
          <cell r="P1321">
            <v>1024</v>
          </cell>
          <cell r="R1321">
            <v>1024</v>
          </cell>
          <cell r="T1321">
            <v>1024</v>
          </cell>
          <cell r="V1321">
            <v>1024</v>
          </cell>
          <cell r="X1321">
            <v>1024</v>
          </cell>
          <cell r="Z1321">
            <v>1024</v>
          </cell>
          <cell r="AD1321">
            <v>3.1E-2</v>
          </cell>
        </row>
        <row r="1322">
          <cell r="E1322" t="str">
            <v>KPEV-S 0.75sq-25Pr</v>
          </cell>
          <cell r="F1322" t="str">
            <v>ｍ</v>
          </cell>
          <cell r="H1322">
            <v>1260</v>
          </cell>
          <cell r="J1322">
            <v>1260</v>
          </cell>
          <cell r="L1322">
            <v>1260</v>
          </cell>
          <cell r="N1322">
            <v>1260</v>
          </cell>
          <cell r="P1322">
            <v>1260</v>
          </cell>
          <cell r="R1322">
            <v>1260</v>
          </cell>
          <cell r="T1322">
            <v>1260</v>
          </cell>
          <cell r="V1322">
            <v>1260</v>
          </cell>
          <cell r="X1322">
            <v>1260</v>
          </cell>
          <cell r="Z1322">
            <v>1260</v>
          </cell>
          <cell r="AD1322">
            <v>3.4000000000000002E-2</v>
          </cell>
        </row>
        <row r="1323">
          <cell r="E1323" t="str">
            <v>KPEV-S 0.75sq-30Pr</v>
          </cell>
          <cell r="F1323" t="str">
            <v>ｍ</v>
          </cell>
          <cell r="H1323">
            <v>1496</v>
          </cell>
          <cell r="J1323">
            <v>1496</v>
          </cell>
          <cell r="L1323">
            <v>1496</v>
          </cell>
          <cell r="N1323">
            <v>1496</v>
          </cell>
          <cell r="P1323">
            <v>1496</v>
          </cell>
          <cell r="R1323">
            <v>1496</v>
          </cell>
          <cell r="T1323">
            <v>1496</v>
          </cell>
          <cell r="V1323">
            <v>1496</v>
          </cell>
          <cell r="X1323">
            <v>1496</v>
          </cell>
          <cell r="Z1323">
            <v>1496</v>
          </cell>
          <cell r="AD1323">
            <v>3.9E-2</v>
          </cell>
        </row>
        <row r="1324">
          <cell r="E1324" t="str">
            <v>KPEV-S 0.75sq-40Pr</v>
          </cell>
          <cell r="F1324" t="str">
            <v>ｍ</v>
          </cell>
          <cell r="H1324">
            <v>1968</v>
          </cell>
          <cell r="J1324">
            <v>1968</v>
          </cell>
          <cell r="L1324">
            <v>1968</v>
          </cell>
          <cell r="N1324">
            <v>1968</v>
          </cell>
          <cell r="P1324">
            <v>1968</v>
          </cell>
          <cell r="R1324">
            <v>1968</v>
          </cell>
          <cell r="T1324">
            <v>1968</v>
          </cell>
          <cell r="V1324">
            <v>1968</v>
          </cell>
          <cell r="X1324">
            <v>1968</v>
          </cell>
          <cell r="Z1324">
            <v>1968</v>
          </cell>
          <cell r="AD1324">
            <v>4.5999999999999999E-2</v>
          </cell>
        </row>
        <row r="1325">
          <cell r="E1325" t="str">
            <v>KPEV-S 0.75sq-50Pr</v>
          </cell>
          <cell r="F1325" t="str">
            <v>ｍ</v>
          </cell>
          <cell r="H1325">
            <v>2412</v>
          </cell>
          <cell r="J1325">
            <v>2412</v>
          </cell>
          <cell r="L1325">
            <v>2412</v>
          </cell>
          <cell r="N1325">
            <v>2412</v>
          </cell>
          <cell r="P1325">
            <v>2412</v>
          </cell>
          <cell r="R1325">
            <v>2412</v>
          </cell>
          <cell r="T1325">
            <v>2412</v>
          </cell>
          <cell r="V1325">
            <v>2412</v>
          </cell>
          <cell r="X1325">
            <v>2412</v>
          </cell>
          <cell r="Z1325">
            <v>2412</v>
          </cell>
          <cell r="AD1325">
            <v>6.2E-2</v>
          </cell>
        </row>
        <row r="1326">
          <cell r="E1326" t="str">
            <v>KPEV-S 0.75sq-60Pr</v>
          </cell>
          <cell r="F1326" t="str">
            <v>ｍ</v>
          </cell>
          <cell r="H1326">
            <v>2855</v>
          </cell>
          <cell r="J1326">
            <v>2855</v>
          </cell>
          <cell r="L1326">
            <v>2855</v>
          </cell>
          <cell r="N1326">
            <v>2855</v>
          </cell>
          <cell r="P1326">
            <v>2855</v>
          </cell>
          <cell r="R1326">
            <v>2855</v>
          </cell>
          <cell r="T1326">
            <v>2855</v>
          </cell>
          <cell r="V1326">
            <v>2855</v>
          </cell>
          <cell r="X1326">
            <v>2855</v>
          </cell>
          <cell r="Z1326">
            <v>2855</v>
          </cell>
          <cell r="AD1326">
            <v>8.2000000000000003E-2</v>
          </cell>
        </row>
        <row r="1327">
          <cell r="E1327" t="str">
            <v>KPEV-S 0.75sq-70Pr</v>
          </cell>
          <cell r="F1327" t="str">
            <v>ｍ</v>
          </cell>
          <cell r="H1327">
            <v>3291</v>
          </cell>
          <cell r="J1327">
            <v>3291</v>
          </cell>
          <cell r="L1327">
            <v>3291</v>
          </cell>
          <cell r="N1327">
            <v>3291</v>
          </cell>
          <cell r="P1327">
            <v>3291</v>
          </cell>
          <cell r="R1327">
            <v>3291</v>
          </cell>
          <cell r="T1327">
            <v>3291</v>
          </cell>
          <cell r="V1327">
            <v>3291</v>
          </cell>
          <cell r="X1327">
            <v>3291</v>
          </cell>
          <cell r="Z1327">
            <v>3291</v>
          </cell>
          <cell r="AD1327">
            <v>0.10299999999999999</v>
          </cell>
        </row>
        <row r="1328">
          <cell r="E1328" t="str">
            <v>KPEV-S 0.75sq-80Pr</v>
          </cell>
          <cell r="F1328" t="str">
            <v>ｍ</v>
          </cell>
          <cell r="H1328">
            <v>3735</v>
          </cell>
          <cell r="J1328">
            <v>3735</v>
          </cell>
          <cell r="L1328">
            <v>3735</v>
          </cell>
          <cell r="N1328">
            <v>3735</v>
          </cell>
          <cell r="P1328">
            <v>3735</v>
          </cell>
          <cell r="R1328">
            <v>3735</v>
          </cell>
          <cell r="T1328">
            <v>3735</v>
          </cell>
          <cell r="V1328">
            <v>3735</v>
          </cell>
          <cell r="X1328">
            <v>3735</v>
          </cell>
          <cell r="Z1328">
            <v>3735</v>
          </cell>
          <cell r="AD1328">
            <v>0.13300000000000001</v>
          </cell>
        </row>
        <row r="1329">
          <cell r="E1329" t="str">
            <v>KPEV-S 0.75sq-100Pr</v>
          </cell>
          <cell r="F1329" t="str">
            <v>ｍ</v>
          </cell>
          <cell r="H1329">
            <v>4629</v>
          </cell>
          <cell r="J1329">
            <v>4629</v>
          </cell>
          <cell r="L1329">
            <v>4629</v>
          </cell>
          <cell r="N1329">
            <v>4629</v>
          </cell>
          <cell r="P1329">
            <v>4629</v>
          </cell>
          <cell r="R1329">
            <v>4629</v>
          </cell>
          <cell r="T1329">
            <v>4629</v>
          </cell>
          <cell r="V1329">
            <v>4629</v>
          </cell>
          <cell r="X1329">
            <v>4629</v>
          </cell>
          <cell r="Z1329">
            <v>4629</v>
          </cell>
          <cell r="AD1329">
            <v>0.151</v>
          </cell>
        </row>
        <row r="1330">
          <cell r="E1330" t="str">
            <v>KPEV-S 1.25sq-1Pr</v>
          </cell>
          <cell r="F1330" t="str">
            <v>ｍ</v>
          </cell>
          <cell r="H1330">
            <v>127</v>
          </cell>
          <cell r="J1330">
            <v>127</v>
          </cell>
          <cell r="L1330">
            <v>127</v>
          </cell>
          <cell r="N1330">
            <v>127</v>
          </cell>
          <cell r="P1330">
            <v>127</v>
          </cell>
          <cell r="R1330">
            <v>127</v>
          </cell>
          <cell r="T1330">
            <v>127</v>
          </cell>
          <cell r="V1330">
            <v>127</v>
          </cell>
          <cell r="X1330">
            <v>127</v>
          </cell>
          <cell r="Z1330">
            <v>127</v>
          </cell>
          <cell r="AD1330">
            <v>2.1000000000000001E-2</v>
          </cell>
        </row>
        <row r="1331">
          <cell r="E1331" t="str">
            <v>KPEV-S 1.25sq-2Pr</v>
          </cell>
          <cell r="F1331" t="str">
            <v>ｍ</v>
          </cell>
          <cell r="H1331">
            <v>232</v>
          </cell>
          <cell r="J1331">
            <v>232</v>
          </cell>
          <cell r="L1331">
            <v>232</v>
          </cell>
          <cell r="N1331">
            <v>232</v>
          </cell>
          <cell r="P1331">
            <v>232</v>
          </cell>
          <cell r="R1331">
            <v>232</v>
          </cell>
          <cell r="T1331">
            <v>232</v>
          </cell>
          <cell r="V1331">
            <v>232</v>
          </cell>
          <cell r="X1331">
            <v>232</v>
          </cell>
          <cell r="Z1331">
            <v>232</v>
          </cell>
          <cell r="AD1331">
            <v>2.3E-2</v>
          </cell>
        </row>
        <row r="1332">
          <cell r="E1332" t="str">
            <v>KPEV-S 1.25sq-5Pr</v>
          </cell>
          <cell r="F1332" t="str">
            <v>ｍ</v>
          </cell>
          <cell r="H1332">
            <v>408</v>
          </cell>
          <cell r="J1332">
            <v>408</v>
          </cell>
          <cell r="L1332">
            <v>408</v>
          </cell>
          <cell r="N1332">
            <v>408</v>
          </cell>
          <cell r="P1332">
            <v>408</v>
          </cell>
          <cell r="R1332">
            <v>408</v>
          </cell>
          <cell r="T1332">
            <v>408</v>
          </cell>
          <cell r="V1332">
            <v>408</v>
          </cell>
          <cell r="X1332">
            <v>408</v>
          </cell>
          <cell r="Z1332">
            <v>408</v>
          </cell>
          <cell r="AD1332">
            <v>2.7E-2</v>
          </cell>
        </row>
        <row r="1333">
          <cell r="E1333" t="str">
            <v>KPEV-S 1.25sq-10Pr</v>
          </cell>
          <cell r="F1333" t="str">
            <v>ｍ</v>
          </cell>
          <cell r="H1333">
            <v>701</v>
          </cell>
          <cell r="J1333">
            <v>701</v>
          </cell>
          <cell r="L1333">
            <v>701</v>
          </cell>
          <cell r="N1333">
            <v>701</v>
          </cell>
          <cell r="P1333">
            <v>701</v>
          </cell>
          <cell r="R1333">
            <v>701</v>
          </cell>
          <cell r="T1333">
            <v>701</v>
          </cell>
          <cell r="V1333">
            <v>701</v>
          </cell>
          <cell r="X1333">
            <v>701</v>
          </cell>
          <cell r="Z1333">
            <v>701</v>
          </cell>
          <cell r="AD1333">
            <v>3.1E-2</v>
          </cell>
        </row>
        <row r="1334">
          <cell r="E1334" t="str">
            <v>KPEV-S 1.25sq-15Pr</v>
          </cell>
          <cell r="F1334" t="str">
            <v>ｍ</v>
          </cell>
          <cell r="H1334">
            <v>979</v>
          </cell>
          <cell r="J1334">
            <v>979</v>
          </cell>
          <cell r="L1334">
            <v>979</v>
          </cell>
          <cell r="N1334">
            <v>979</v>
          </cell>
          <cell r="P1334">
            <v>979</v>
          </cell>
          <cell r="R1334">
            <v>979</v>
          </cell>
          <cell r="T1334">
            <v>979</v>
          </cell>
          <cell r="V1334">
            <v>979</v>
          </cell>
          <cell r="X1334">
            <v>979</v>
          </cell>
          <cell r="Z1334">
            <v>979</v>
          </cell>
          <cell r="AD1334">
            <v>3.4000000000000002E-2</v>
          </cell>
        </row>
        <row r="1335">
          <cell r="E1335" t="str">
            <v>KPEV-S 1.25sq-20Pr</v>
          </cell>
          <cell r="F1335" t="str">
            <v>ｍ</v>
          </cell>
          <cell r="H1335">
            <v>1259</v>
          </cell>
          <cell r="J1335">
            <v>1259</v>
          </cell>
          <cell r="L1335">
            <v>1259</v>
          </cell>
          <cell r="N1335">
            <v>1259</v>
          </cell>
          <cell r="P1335">
            <v>1259</v>
          </cell>
          <cell r="R1335">
            <v>1259</v>
          </cell>
          <cell r="T1335">
            <v>1259</v>
          </cell>
          <cell r="V1335">
            <v>1259</v>
          </cell>
          <cell r="X1335">
            <v>1259</v>
          </cell>
          <cell r="Z1335">
            <v>1259</v>
          </cell>
          <cell r="AD1335">
            <v>3.9E-2</v>
          </cell>
        </row>
        <row r="1336">
          <cell r="E1336" t="str">
            <v>KPEV-S 2.0sq-1Pr</v>
          </cell>
          <cell r="F1336" t="str">
            <v>ｍ</v>
          </cell>
          <cell r="H1336">
            <v>153</v>
          </cell>
          <cell r="J1336">
            <v>153</v>
          </cell>
          <cell r="L1336">
            <v>153</v>
          </cell>
          <cell r="N1336">
            <v>153</v>
          </cell>
          <cell r="P1336">
            <v>153</v>
          </cell>
          <cell r="R1336">
            <v>153</v>
          </cell>
          <cell r="T1336">
            <v>153</v>
          </cell>
          <cell r="V1336">
            <v>153</v>
          </cell>
          <cell r="X1336">
            <v>153</v>
          </cell>
          <cell r="Z1336">
            <v>153</v>
          </cell>
          <cell r="AD1336">
            <v>2.7E-2</v>
          </cell>
        </row>
        <row r="1337">
          <cell r="E1337" t="str">
            <v>KPEV-S 2.0sq-2Pr</v>
          </cell>
          <cell r="F1337" t="str">
            <v>ｍ</v>
          </cell>
          <cell r="H1337">
            <v>271</v>
          </cell>
          <cell r="J1337">
            <v>271</v>
          </cell>
          <cell r="L1337">
            <v>271</v>
          </cell>
          <cell r="N1337">
            <v>271</v>
          </cell>
          <cell r="P1337">
            <v>271</v>
          </cell>
          <cell r="R1337">
            <v>271</v>
          </cell>
          <cell r="T1337">
            <v>271</v>
          </cell>
          <cell r="V1337">
            <v>271</v>
          </cell>
          <cell r="X1337">
            <v>271</v>
          </cell>
          <cell r="Z1337">
            <v>271</v>
          </cell>
          <cell r="AD1337">
            <v>2.9000000000000001E-2</v>
          </cell>
        </row>
        <row r="1338">
          <cell r="E1338" t="str">
            <v>KPEV-S 2.0sq-5Pr</v>
          </cell>
          <cell r="F1338" t="str">
            <v>ｍ</v>
          </cell>
          <cell r="H1338">
            <v>523</v>
          </cell>
          <cell r="J1338">
            <v>523</v>
          </cell>
          <cell r="L1338">
            <v>523</v>
          </cell>
          <cell r="N1338">
            <v>523</v>
          </cell>
          <cell r="P1338">
            <v>523</v>
          </cell>
          <cell r="R1338">
            <v>523</v>
          </cell>
          <cell r="T1338">
            <v>523</v>
          </cell>
          <cell r="V1338">
            <v>523</v>
          </cell>
          <cell r="X1338">
            <v>523</v>
          </cell>
          <cell r="Z1338">
            <v>523</v>
          </cell>
          <cell r="AD1338">
            <v>3.2000000000000001E-2</v>
          </cell>
        </row>
        <row r="1339">
          <cell r="E1339" t="str">
            <v>KPEV-S 2.0sq-10Pr</v>
          </cell>
          <cell r="F1339" t="str">
            <v>ｍ</v>
          </cell>
          <cell r="H1339">
            <v>933</v>
          </cell>
          <cell r="J1339">
            <v>933</v>
          </cell>
          <cell r="L1339">
            <v>933</v>
          </cell>
          <cell r="N1339">
            <v>933</v>
          </cell>
          <cell r="P1339">
            <v>933</v>
          </cell>
          <cell r="R1339">
            <v>933</v>
          </cell>
          <cell r="T1339">
            <v>933</v>
          </cell>
          <cell r="V1339">
            <v>933</v>
          </cell>
          <cell r="X1339">
            <v>933</v>
          </cell>
          <cell r="Z1339">
            <v>933</v>
          </cell>
          <cell r="AD1339">
            <v>3.6999999999999998E-2</v>
          </cell>
        </row>
        <row r="1340">
          <cell r="E1340" t="str">
            <v>KPEV-S 2.0sq-15Pr</v>
          </cell>
          <cell r="F1340" t="str">
            <v>ｍ</v>
          </cell>
          <cell r="H1340">
            <v>1316</v>
          </cell>
          <cell r="J1340">
            <v>1316</v>
          </cell>
          <cell r="L1340">
            <v>1316</v>
          </cell>
          <cell r="N1340">
            <v>1316</v>
          </cell>
          <cell r="P1340">
            <v>1316</v>
          </cell>
          <cell r="R1340">
            <v>1316</v>
          </cell>
          <cell r="T1340">
            <v>1316</v>
          </cell>
          <cell r="V1340">
            <v>1316</v>
          </cell>
          <cell r="X1340">
            <v>1316</v>
          </cell>
          <cell r="Z1340">
            <v>1316</v>
          </cell>
          <cell r="AD1340">
            <v>0.04</v>
          </cell>
        </row>
        <row r="1341">
          <cell r="E1341" t="str">
            <v>KPEV-S 2.0sq-20Pr</v>
          </cell>
          <cell r="F1341" t="str">
            <v>ｍ</v>
          </cell>
          <cell r="H1341">
            <v>1729</v>
          </cell>
          <cell r="J1341">
            <v>1729</v>
          </cell>
          <cell r="L1341">
            <v>1729</v>
          </cell>
          <cell r="N1341">
            <v>1729</v>
          </cell>
          <cell r="P1341">
            <v>1729</v>
          </cell>
          <cell r="R1341">
            <v>1729</v>
          </cell>
          <cell r="T1341">
            <v>1729</v>
          </cell>
          <cell r="V1341">
            <v>1729</v>
          </cell>
          <cell r="X1341">
            <v>1729</v>
          </cell>
          <cell r="Z1341">
            <v>1729</v>
          </cell>
          <cell r="AD1341">
            <v>4.7E-2</v>
          </cell>
        </row>
        <row r="1342">
          <cell r="E1342" t="str">
            <v>SWVP 0.5-6C</v>
          </cell>
          <cell r="F1342" t="str">
            <v>ｍ</v>
          </cell>
          <cell r="H1342">
            <v>73.3</v>
          </cell>
          <cell r="J1342">
            <v>73.3</v>
          </cell>
          <cell r="L1342">
            <v>73.3</v>
          </cell>
          <cell r="N1342">
            <v>73.3</v>
          </cell>
          <cell r="P1342">
            <v>73.3</v>
          </cell>
          <cell r="R1342">
            <v>73.3</v>
          </cell>
          <cell r="T1342">
            <v>73.3</v>
          </cell>
          <cell r="V1342">
            <v>73.3</v>
          </cell>
          <cell r="X1342">
            <v>73.3</v>
          </cell>
          <cell r="Z1342">
            <v>73.3</v>
          </cell>
          <cell r="AD1342">
            <v>1.4999999999999999E-2</v>
          </cell>
        </row>
        <row r="1343">
          <cell r="E1343" t="str">
            <v>SWVP 0.5-12C</v>
          </cell>
          <cell r="F1343" t="str">
            <v>ｍ</v>
          </cell>
          <cell r="H1343">
            <v>100</v>
          </cell>
          <cell r="J1343">
            <v>100</v>
          </cell>
          <cell r="L1343">
            <v>100</v>
          </cell>
          <cell r="N1343">
            <v>100</v>
          </cell>
          <cell r="P1343">
            <v>100</v>
          </cell>
          <cell r="R1343">
            <v>100</v>
          </cell>
          <cell r="T1343">
            <v>100</v>
          </cell>
          <cell r="V1343">
            <v>100</v>
          </cell>
          <cell r="X1343">
            <v>100</v>
          </cell>
          <cell r="Z1343">
            <v>100</v>
          </cell>
          <cell r="AD1343">
            <v>1.7000000000000001E-2</v>
          </cell>
        </row>
        <row r="1344">
          <cell r="E1344" t="str">
            <v>SWVP 0.5-22C</v>
          </cell>
          <cell r="F1344" t="str">
            <v>ｍ</v>
          </cell>
          <cell r="H1344">
            <v>149</v>
          </cell>
          <cell r="J1344">
            <v>149</v>
          </cell>
          <cell r="L1344">
            <v>149</v>
          </cell>
          <cell r="N1344">
            <v>149</v>
          </cell>
          <cell r="P1344">
            <v>149</v>
          </cell>
          <cell r="R1344">
            <v>149</v>
          </cell>
          <cell r="T1344">
            <v>149</v>
          </cell>
          <cell r="V1344">
            <v>149</v>
          </cell>
          <cell r="X1344">
            <v>149</v>
          </cell>
          <cell r="Z1344">
            <v>149</v>
          </cell>
          <cell r="AD1344">
            <v>0.02</v>
          </cell>
        </row>
        <row r="1345">
          <cell r="E1345" t="str">
            <v>SWVP 0.5-24C</v>
          </cell>
          <cell r="F1345" t="str">
            <v>ｍ</v>
          </cell>
          <cell r="H1345">
            <v>153</v>
          </cell>
          <cell r="J1345">
            <v>153</v>
          </cell>
          <cell r="L1345">
            <v>153</v>
          </cell>
          <cell r="N1345">
            <v>153</v>
          </cell>
          <cell r="P1345">
            <v>153</v>
          </cell>
          <cell r="R1345">
            <v>153</v>
          </cell>
          <cell r="T1345">
            <v>153</v>
          </cell>
          <cell r="V1345">
            <v>153</v>
          </cell>
          <cell r="X1345">
            <v>153</v>
          </cell>
          <cell r="Z1345">
            <v>153</v>
          </cell>
          <cell r="AD1345">
            <v>2.1000000000000001E-2</v>
          </cell>
        </row>
        <row r="1346">
          <cell r="E1346" t="str">
            <v>SWVP 0.5-33C</v>
          </cell>
          <cell r="F1346" t="str">
            <v>ｍ</v>
          </cell>
          <cell r="H1346">
            <v>190</v>
          </cell>
          <cell r="J1346">
            <v>190</v>
          </cell>
          <cell r="L1346">
            <v>190</v>
          </cell>
          <cell r="N1346">
            <v>190</v>
          </cell>
          <cell r="P1346">
            <v>190</v>
          </cell>
          <cell r="R1346">
            <v>190</v>
          </cell>
          <cell r="T1346">
            <v>190</v>
          </cell>
          <cell r="V1346">
            <v>190</v>
          </cell>
          <cell r="X1346">
            <v>190</v>
          </cell>
          <cell r="Z1346">
            <v>190</v>
          </cell>
          <cell r="AD1346">
            <v>2.1999999999999999E-2</v>
          </cell>
        </row>
        <row r="1347">
          <cell r="E1347" t="str">
            <v>SWVP 0.5-40C</v>
          </cell>
          <cell r="F1347" t="str">
            <v>ｍ</v>
          </cell>
          <cell r="H1347">
            <v>225</v>
          </cell>
          <cell r="J1347">
            <v>225</v>
          </cell>
          <cell r="L1347">
            <v>225</v>
          </cell>
          <cell r="N1347">
            <v>225</v>
          </cell>
          <cell r="P1347">
            <v>225</v>
          </cell>
          <cell r="R1347">
            <v>225</v>
          </cell>
          <cell r="T1347">
            <v>225</v>
          </cell>
          <cell r="V1347">
            <v>225</v>
          </cell>
          <cell r="X1347">
            <v>225</v>
          </cell>
          <cell r="Z1347">
            <v>225</v>
          </cell>
          <cell r="AD1347">
            <v>2.4E-2</v>
          </cell>
        </row>
        <row r="1348">
          <cell r="E1348" t="str">
            <v>SWVP 0.5-48C</v>
          </cell>
          <cell r="F1348" t="str">
            <v>ｍ</v>
          </cell>
          <cell r="H1348">
            <v>251</v>
          </cell>
          <cell r="J1348">
            <v>251</v>
          </cell>
          <cell r="L1348">
            <v>251</v>
          </cell>
          <cell r="N1348">
            <v>251</v>
          </cell>
          <cell r="P1348">
            <v>251</v>
          </cell>
          <cell r="R1348">
            <v>251</v>
          </cell>
          <cell r="T1348">
            <v>251</v>
          </cell>
          <cell r="V1348">
            <v>251</v>
          </cell>
          <cell r="X1348">
            <v>251</v>
          </cell>
          <cell r="Z1348">
            <v>251</v>
          </cell>
          <cell r="AD1348">
            <v>2.5999999999999999E-2</v>
          </cell>
        </row>
        <row r="1349">
          <cell r="E1349" t="str">
            <v>SWVP 0.5-60C</v>
          </cell>
          <cell r="F1349" t="str">
            <v>ｍ</v>
          </cell>
          <cell r="H1349">
            <v>300</v>
          </cell>
          <cell r="J1349">
            <v>300</v>
          </cell>
          <cell r="L1349">
            <v>300</v>
          </cell>
          <cell r="N1349">
            <v>300</v>
          </cell>
          <cell r="P1349">
            <v>300</v>
          </cell>
          <cell r="R1349">
            <v>300</v>
          </cell>
          <cell r="T1349">
            <v>300</v>
          </cell>
          <cell r="V1349">
            <v>300</v>
          </cell>
          <cell r="X1349">
            <v>300</v>
          </cell>
          <cell r="Z1349">
            <v>300</v>
          </cell>
          <cell r="AD1349">
            <v>2.9000000000000001E-2</v>
          </cell>
        </row>
        <row r="1350">
          <cell r="E1350" t="str">
            <v>SWVP 0.5-75C</v>
          </cell>
          <cell r="F1350" t="str">
            <v>ｍ</v>
          </cell>
          <cell r="H1350">
            <v>364</v>
          </cell>
          <cell r="J1350">
            <v>364</v>
          </cell>
          <cell r="L1350">
            <v>364</v>
          </cell>
          <cell r="N1350">
            <v>364</v>
          </cell>
          <cell r="P1350">
            <v>364</v>
          </cell>
          <cell r="R1350">
            <v>364</v>
          </cell>
          <cell r="T1350">
            <v>364</v>
          </cell>
          <cell r="V1350">
            <v>364</v>
          </cell>
          <cell r="X1350">
            <v>364</v>
          </cell>
          <cell r="Z1350">
            <v>364</v>
          </cell>
          <cell r="AD1350">
            <v>3.1E-2</v>
          </cell>
        </row>
        <row r="1351">
          <cell r="E1351" t="str">
            <v>SWVP 0.5-80C</v>
          </cell>
          <cell r="F1351" t="str">
            <v>ｍ</v>
          </cell>
          <cell r="H1351">
            <v>399</v>
          </cell>
          <cell r="J1351">
            <v>399</v>
          </cell>
          <cell r="L1351">
            <v>399</v>
          </cell>
          <cell r="N1351">
            <v>399</v>
          </cell>
          <cell r="P1351">
            <v>399</v>
          </cell>
          <cell r="R1351">
            <v>399</v>
          </cell>
          <cell r="T1351">
            <v>399</v>
          </cell>
          <cell r="V1351">
            <v>399</v>
          </cell>
          <cell r="X1351">
            <v>399</v>
          </cell>
          <cell r="Z1351">
            <v>399</v>
          </cell>
          <cell r="AD1351">
            <v>3.4000000000000002E-2</v>
          </cell>
        </row>
        <row r="1352">
          <cell r="E1352" t="str">
            <v>SWVP 0.5-100C</v>
          </cell>
          <cell r="F1352" t="str">
            <v>ｍ</v>
          </cell>
          <cell r="H1352">
            <v>478</v>
          </cell>
          <cell r="J1352">
            <v>478</v>
          </cell>
          <cell r="L1352">
            <v>478</v>
          </cell>
          <cell r="N1352">
            <v>478</v>
          </cell>
          <cell r="P1352">
            <v>478</v>
          </cell>
          <cell r="R1352">
            <v>478</v>
          </cell>
          <cell r="T1352">
            <v>478</v>
          </cell>
          <cell r="V1352">
            <v>478</v>
          </cell>
          <cell r="X1352">
            <v>478</v>
          </cell>
          <cell r="Z1352">
            <v>478</v>
          </cell>
          <cell r="AD1352">
            <v>3.9E-2</v>
          </cell>
        </row>
        <row r="1353">
          <cell r="E1353" t="str">
            <v>SWVP 0.5-120C</v>
          </cell>
          <cell r="F1353" t="str">
            <v>ｍ</v>
          </cell>
          <cell r="H1353">
            <v>548</v>
          </cell>
          <cell r="J1353">
            <v>548</v>
          </cell>
          <cell r="L1353">
            <v>548</v>
          </cell>
          <cell r="N1353">
            <v>548</v>
          </cell>
          <cell r="P1353">
            <v>548</v>
          </cell>
          <cell r="R1353">
            <v>548</v>
          </cell>
          <cell r="T1353">
            <v>548</v>
          </cell>
          <cell r="V1353">
            <v>548</v>
          </cell>
          <cell r="X1353">
            <v>548</v>
          </cell>
          <cell r="Z1353">
            <v>548</v>
          </cell>
          <cell r="AD1353">
            <v>4.3999999999999997E-2</v>
          </cell>
        </row>
        <row r="1354">
          <cell r="E1354" t="str">
            <v>SWVP 0.5-150C</v>
          </cell>
          <cell r="F1354" t="str">
            <v>ｍ</v>
          </cell>
          <cell r="H1354">
            <v>663</v>
          </cell>
          <cell r="J1354">
            <v>663</v>
          </cell>
          <cell r="L1354">
            <v>663</v>
          </cell>
          <cell r="N1354">
            <v>663</v>
          </cell>
          <cell r="P1354">
            <v>663</v>
          </cell>
          <cell r="R1354">
            <v>663</v>
          </cell>
          <cell r="T1354">
            <v>663</v>
          </cell>
          <cell r="V1354">
            <v>663</v>
          </cell>
          <cell r="X1354">
            <v>663</v>
          </cell>
          <cell r="Z1354">
            <v>663</v>
          </cell>
          <cell r="AD1354">
            <v>5.0999999999999997E-2</v>
          </cell>
        </row>
        <row r="1355">
          <cell r="E1355" t="str">
            <v>構内0.4-10Pr</v>
          </cell>
          <cell r="F1355" t="str">
            <v>ｍ</v>
          </cell>
          <cell r="H1355">
            <v>117</v>
          </cell>
          <cell r="J1355">
            <v>117</v>
          </cell>
          <cell r="L1355">
            <v>117</v>
          </cell>
          <cell r="N1355">
            <v>117</v>
          </cell>
          <cell r="P1355">
            <v>117</v>
          </cell>
          <cell r="R1355">
            <v>117</v>
          </cell>
          <cell r="T1355">
            <v>117</v>
          </cell>
          <cell r="V1355">
            <v>117</v>
          </cell>
          <cell r="X1355">
            <v>117</v>
          </cell>
          <cell r="Z1355">
            <v>117</v>
          </cell>
          <cell r="AD1355">
            <v>0.02</v>
          </cell>
        </row>
        <row r="1356">
          <cell r="E1356" t="str">
            <v>構内0.4-20Pr</v>
          </cell>
          <cell r="F1356" t="str">
            <v>ｍ</v>
          </cell>
          <cell r="H1356">
            <v>168</v>
          </cell>
          <cell r="J1356">
            <v>168</v>
          </cell>
          <cell r="L1356">
            <v>168</v>
          </cell>
          <cell r="N1356">
            <v>168</v>
          </cell>
          <cell r="P1356">
            <v>168</v>
          </cell>
          <cell r="R1356">
            <v>168</v>
          </cell>
          <cell r="T1356">
            <v>168</v>
          </cell>
          <cell r="V1356">
            <v>168</v>
          </cell>
          <cell r="X1356">
            <v>168</v>
          </cell>
          <cell r="Z1356">
            <v>168</v>
          </cell>
          <cell r="AD1356">
            <v>2.4E-2</v>
          </cell>
        </row>
        <row r="1357">
          <cell r="E1357" t="str">
            <v>構内0.4-30Pr</v>
          </cell>
          <cell r="F1357" t="str">
            <v>ｍ</v>
          </cell>
          <cell r="H1357">
            <v>214</v>
          </cell>
          <cell r="J1357">
            <v>214</v>
          </cell>
          <cell r="L1357">
            <v>214</v>
          </cell>
          <cell r="N1357">
            <v>214</v>
          </cell>
          <cell r="P1357">
            <v>214</v>
          </cell>
          <cell r="R1357">
            <v>214</v>
          </cell>
          <cell r="T1357">
            <v>214</v>
          </cell>
          <cell r="V1357">
            <v>214</v>
          </cell>
          <cell r="X1357">
            <v>214</v>
          </cell>
          <cell r="Z1357">
            <v>214</v>
          </cell>
          <cell r="AD1357">
            <v>2.9000000000000001E-2</v>
          </cell>
        </row>
        <row r="1358">
          <cell r="E1358" t="str">
            <v>構内0.4-50Pr</v>
          </cell>
          <cell r="F1358" t="str">
            <v>ｍ</v>
          </cell>
          <cell r="H1358">
            <v>311</v>
          </cell>
          <cell r="J1358">
            <v>311</v>
          </cell>
          <cell r="L1358">
            <v>311</v>
          </cell>
          <cell r="N1358">
            <v>311</v>
          </cell>
          <cell r="P1358">
            <v>311</v>
          </cell>
          <cell r="R1358">
            <v>311</v>
          </cell>
          <cell r="T1358">
            <v>311</v>
          </cell>
          <cell r="V1358">
            <v>311</v>
          </cell>
          <cell r="X1358">
            <v>311</v>
          </cell>
          <cell r="Z1358">
            <v>311</v>
          </cell>
          <cell r="AD1358">
            <v>3.9E-2</v>
          </cell>
        </row>
        <row r="1359">
          <cell r="E1359" t="str">
            <v>構内0.4-100Pr</v>
          </cell>
          <cell r="F1359" t="str">
            <v>ｍ</v>
          </cell>
          <cell r="H1359">
            <v>547</v>
          </cell>
          <cell r="J1359">
            <v>547</v>
          </cell>
          <cell r="L1359">
            <v>547</v>
          </cell>
          <cell r="N1359">
            <v>547</v>
          </cell>
          <cell r="P1359">
            <v>547</v>
          </cell>
          <cell r="R1359">
            <v>547</v>
          </cell>
          <cell r="T1359">
            <v>547</v>
          </cell>
          <cell r="V1359">
            <v>547</v>
          </cell>
          <cell r="X1359">
            <v>547</v>
          </cell>
          <cell r="Z1359">
            <v>547</v>
          </cell>
          <cell r="AD1359">
            <v>6.4000000000000001E-2</v>
          </cell>
        </row>
        <row r="1360">
          <cell r="E1360" t="str">
            <v>構内0.4-200Pr</v>
          </cell>
          <cell r="F1360" t="str">
            <v>ｍ</v>
          </cell>
          <cell r="H1360">
            <v>974</v>
          </cell>
          <cell r="J1360">
            <v>974</v>
          </cell>
          <cell r="L1360">
            <v>974</v>
          </cell>
          <cell r="N1360">
            <v>974</v>
          </cell>
          <cell r="P1360">
            <v>974</v>
          </cell>
          <cell r="R1360">
            <v>974</v>
          </cell>
          <cell r="T1360">
            <v>974</v>
          </cell>
          <cell r="V1360">
            <v>974</v>
          </cell>
          <cell r="X1360">
            <v>974</v>
          </cell>
          <cell r="Z1360">
            <v>974</v>
          </cell>
          <cell r="AD1360">
            <v>9.5000000000000001E-2</v>
          </cell>
        </row>
        <row r="1361">
          <cell r="E1361" t="str">
            <v>構内0.5-10Pr</v>
          </cell>
          <cell r="F1361" t="str">
            <v>ｍ</v>
          </cell>
          <cell r="H1361">
            <v>136</v>
          </cell>
          <cell r="J1361">
            <v>136</v>
          </cell>
          <cell r="L1361">
            <v>136</v>
          </cell>
          <cell r="N1361">
            <v>136</v>
          </cell>
          <cell r="P1361">
            <v>136</v>
          </cell>
          <cell r="R1361">
            <v>136</v>
          </cell>
          <cell r="T1361">
            <v>136</v>
          </cell>
          <cell r="V1361">
            <v>136</v>
          </cell>
          <cell r="X1361">
            <v>136</v>
          </cell>
          <cell r="Z1361">
            <v>136</v>
          </cell>
          <cell r="AD1361">
            <v>0.02</v>
          </cell>
        </row>
        <row r="1362">
          <cell r="E1362" t="str">
            <v>構内0.5-20Pr</v>
          </cell>
          <cell r="F1362" t="str">
            <v>ｍ</v>
          </cell>
          <cell r="H1362">
            <v>205</v>
          </cell>
          <cell r="J1362">
            <v>205</v>
          </cell>
          <cell r="L1362">
            <v>205</v>
          </cell>
          <cell r="N1362">
            <v>205</v>
          </cell>
          <cell r="P1362">
            <v>205</v>
          </cell>
          <cell r="R1362">
            <v>205</v>
          </cell>
          <cell r="T1362">
            <v>205</v>
          </cell>
          <cell r="V1362">
            <v>205</v>
          </cell>
          <cell r="X1362">
            <v>205</v>
          </cell>
          <cell r="Z1362">
            <v>205</v>
          </cell>
          <cell r="AD1362">
            <v>2.4E-2</v>
          </cell>
        </row>
        <row r="1363">
          <cell r="E1363" t="str">
            <v>構内0.5-30Pr</v>
          </cell>
          <cell r="F1363" t="str">
            <v>ｍ</v>
          </cell>
          <cell r="H1363">
            <v>270</v>
          </cell>
          <cell r="J1363">
            <v>270</v>
          </cell>
          <cell r="L1363">
            <v>270</v>
          </cell>
          <cell r="N1363">
            <v>270</v>
          </cell>
          <cell r="P1363">
            <v>270</v>
          </cell>
          <cell r="R1363">
            <v>270</v>
          </cell>
          <cell r="T1363">
            <v>270</v>
          </cell>
          <cell r="V1363">
            <v>270</v>
          </cell>
          <cell r="X1363">
            <v>270</v>
          </cell>
          <cell r="Z1363">
            <v>270</v>
          </cell>
          <cell r="AD1363">
            <v>2.9000000000000001E-2</v>
          </cell>
        </row>
        <row r="1364">
          <cell r="E1364" t="str">
            <v>構内0.5-50Pr</v>
          </cell>
          <cell r="F1364" t="str">
            <v>ｍ</v>
          </cell>
          <cell r="H1364">
            <v>397</v>
          </cell>
          <cell r="J1364">
            <v>397</v>
          </cell>
          <cell r="L1364">
            <v>397</v>
          </cell>
          <cell r="N1364">
            <v>397</v>
          </cell>
          <cell r="P1364">
            <v>397</v>
          </cell>
          <cell r="R1364">
            <v>397</v>
          </cell>
          <cell r="T1364">
            <v>397</v>
          </cell>
          <cell r="V1364">
            <v>397</v>
          </cell>
          <cell r="X1364">
            <v>397</v>
          </cell>
          <cell r="Z1364">
            <v>397</v>
          </cell>
          <cell r="AD1364">
            <v>3.9E-2</v>
          </cell>
        </row>
        <row r="1365">
          <cell r="E1365" t="str">
            <v>構内0.5-100Pr</v>
          </cell>
          <cell r="F1365" t="str">
            <v>ｍ</v>
          </cell>
          <cell r="H1365">
            <v>713</v>
          </cell>
          <cell r="J1365">
            <v>713</v>
          </cell>
          <cell r="L1365">
            <v>713</v>
          </cell>
          <cell r="N1365">
            <v>713</v>
          </cell>
          <cell r="P1365">
            <v>713</v>
          </cell>
          <cell r="R1365">
            <v>713</v>
          </cell>
          <cell r="T1365">
            <v>713</v>
          </cell>
          <cell r="V1365">
            <v>713</v>
          </cell>
          <cell r="X1365">
            <v>713</v>
          </cell>
          <cell r="Z1365">
            <v>713</v>
          </cell>
          <cell r="AD1365">
            <v>6.4000000000000001E-2</v>
          </cell>
        </row>
        <row r="1366">
          <cell r="E1366" t="str">
            <v>構内0.5-200Pr</v>
          </cell>
          <cell r="F1366" t="str">
            <v>ｍ</v>
          </cell>
          <cell r="H1366">
            <v>1331</v>
          </cell>
          <cell r="J1366">
            <v>1331</v>
          </cell>
          <cell r="L1366">
            <v>1331</v>
          </cell>
          <cell r="N1366">
            <v>1331</v>
          </cell>
          <cell r="P1366">
            <v>1331</v>
          </cell>
          <cell r="R1366">
            <v>1331</v>
          </cell>
          <cell r="T1366">
            <v>1331</v>
          </cell>
          <cell r="V1366">
            <v>1331</v>
          </cell>
          <cell r="X1366">
            <v>1331</v>
          </cell>
          <cell r="Z1366">
            <v>1331</v>
          </cell>
          <cell r="AD1366">
            <v>9.5000000000000001E-2</v>
          </cell>
        </row>
        <row r="1367">
          <cell r="E1367" t="str">
            <v>構内0.65-10Pr</v>
          </cell>
          <cell r="F1367" t="str">
            <v>ｍ</v>
          </cell>
          <cell r="H1367">
            <v>178</v>
          </cell>
          <cell r="J1367">
            <v>178</v>
          </cell>
          <cell r="L1367">
            <v>178</v>
          </cell>
          <cell r="N1367">
            <v>178</v>
          </cell>
          <cell r="P1367">
            <v>178</v>
          </cell>
          <cell r="R1367">
            <v>178</v>
          </cell>
          <cell r="T1367">
            <v>178</v>
          </cell>
          <cell r="V1367">
            <v>178</v>
          </cell>
          <cell r="X1367">
            <v>178</v>
          </cell>
          <cell r="Z1367">
            <v>178</v>
          </cell>
          <cell r="AD1367">
            <v>0.02</v>
          </cell>
        </row>
        <row r="1368">
          <cell r="E1368" t="str">
            <v>構内0.65-20Pr</v>
          </cell>
          <cell r="F1368" t="str">
            <v>ｍ</v>
          </cell>
          <cell r="H1368">
            <v>285</v>
          </cell>
          <cell r="J1368">
            <v>285</v>
          </cell>
          <cell r="L1368">
            <v>285</v>
          </cell>
          <cell r="N1368">
            <v>285</v>
          </cell>
          <cell r="P1368">
            <v>285</v>
          </cell>
          <cell r="R1368">
            <v>285</v>
          </cell>
          <cell r="T1368">
            <v>285</v>
          </cell>
          <cell r="V1368">
            <v>285</v>
          </cell>
          <cell r="X1368">
            <v>285</v>
          </cell>
          <cell r="Z1368">
            <v>285</v>
          </cell>
          <cell r="AD1368">
            <v>2.4E-2</v>
          </cell>
        </row>
        <row r="1369">
          <cell r="E1369" t="str">
            <v>構内0.65-30Pr</v>
          </cell>
          <cell r="F1369" t="str">
            <v>ｍ</v>
          </cell>
          <cell r="H1369">
            <v>376</v>
          </cell>
          <cell r="J1369">
            <v>376</v>
          </cell>
          <cell r="L1369">
            <v>376</v>
          </cell>
          <cell r="N1369">
            <v>376</v>
          </cell>
          <cell r="P1369">
            <v>376</v>
          </cell>
          <cell r="R1369">
            <v>376</v>
          </cell>
          <cell r="T1369">
            <v>376</v>
          </cell>
          <cell r="V1369">
            <v>376</v>
          </cell>
          <cell r="X1369">
            <v>376</v>
          </cell>
          <cell r="Z1369">
            <v>376</v>
          </cell>
          <cell r="AD1369">
            <v>2.9000000000000001E-2</v>
          </cell>
        </row>
        <row r="1370">
          <cell r="E1370" t="str">
            <v>SD 0.65-1Pr</v>
          </cell>
          <cell r="F1370" t="str">
            <v>ｍ</v>
          </cell>
          <cell r="H1370">
            <v>64.8</v>
          </cell>
          <cell r="J1370">
            <v>64.8</v>
          </cell>
          <cell r="L1370">
            <v>64.8</v>
          </cell>
          <cell r="N1370">
            <v>64.8</v>
          </cell>
          <cell r="P1370">
            <v>64.8</v>
          </cell>
          <cell r="R1370">
            <v>64.8</v>
          </cell>
          <cell r="T1370">
            <v>64.8</v>
          </cell>
          <cell r="V1370">
            <v>64.8</v>
          </cell>
          <cell r="X1370">
            <v>64.8</v>
          </cell>
          <cell r="Z1370">
            <v>64.8</v>
          </cell>
          <cell r="AD1370">
            <v>1.2E-2</v>
          </cell>
        </row>
        <row r="1371">
          <cell r="E1371" t="str">
            <v>SD 0.65-2Pr</v>
          </cell>
          <cell r="F1371" t="str">
            <v>ｍ</v>
          </cell>
          <cell r="H1371">
            <v>91.1</v>
          </cell>
          <cell r="J1371">
            <v>91.1</v>
          </cell>
          <cell r="L1371">
            <v>91.1</v>
          </cell>
          <cell r="N1371">
            <v>91.1</v>
          </cell>
          <cell r="P1371">
            <v>91.1</v>
          </cell>
          <cell r="R1371">
            <v>91.1</v>
          </cell>
          <cell r="T1371">
            <v>91.1</v>
          </cell>
          <cell r="V1371">
            <v>91.1</v>
          </cell>
          <cell r="X1371">
            <v>91.1</v>
          </cell>
          <cell r="Z1371">
            <v>91.1</v>
          </cell>
          <cell r="AD1371">
            <v>1.4E-2</v>
          </cell>
        </row>
        <row r="1372">
          <cell r="E1372" t="str">
            <v>SD 0.65-6Pr</v>
          </cell>
          <cell r="F1372" t="str">
            <v>ｍ</v>
          </cell>
          <cell r="H1372">
            <v>166</v>
          </cell>
          <cell r="J1372">
            <v>166</v>
          </cell>
          <cell r="L1372">
            <v>166</v>
          </cell>
          <cell r="N1372">
            <v>166</v>
          </cell>
          <cell r="P1372">
            <v>166</v>
          </cell>
          <cell r="R1372">
            <v>166</v>
          </cell>
          <cell r="T1372">
            <v>166</v>
          </cell>
          <cell r="V1372">
            <v>166</v>
          </cell>
          <cell r="X1372">
            <v>166</v>
          </cell>
          <cell r="Z1372">
            <v>166</v>
          </cell>
          <cell r="AD1372">
            <v>1.7999999999999999E-2</v>
          </cell>
        </row>
        <row r="1373">
          <cell r="E1373" t="str">
            <v>SD 0.9-1Pr</v>
          </cell>
          <cell r="F1373" t="str">
            <v>ｍ</v>
          </cell>
          <cell r="H1373">
            <v>75.7</v>
          </cell>
          <cell r="J1373">
            <v>75.7</v>
          </cell>
          <cell r="L1373">
            <v>75.7</v>
          </cell>
          <cell r="N1373">
            <v>75.7</v>
          </cell>
          <cell r="P1373">
            <v>75.7</v>
          </cell>
          <cell r="R1373">
            <v>75.7</v>
          </cell>
          <cell r="T1373">
            <v>75.7</v>
          </cell>
          <cell r="V1373">
            <v>75.7</v>
          </cell>
          <cell r="X1373">
            <v>75.7</v>
          </cell>
          <cell r="Z1373">
            <v>75.7</v>
          </cell>
          <cell r="AD1373">
            <v>1.6E-2</v>
          </cell>
        </row>
        <row r="1374">
          <cell r="E1374" t="str">
            <v>SD 0.9-2Pr</v>
          </cell>
          <cell r="F1374" t="str">
            <v>ｍ</v>
          </cell>
          <cell r="H1374">
            <v>109</v>
          </cell>
          <cell r="J1374">
            <v>109</v>
          </cell>
          <cell r="L1374">
            <v>109</v>
          </cell>
          <cell r="N1374">
            <v>109</v>
          </cell>
          <cell r="P1374">
            <v>109</v>
          </cell>
          <cell r="R1374">
            <v>109</v>
          </cell>
          <cell r="T1374">
            <v>109</v>
          </cell>
          <cell r="V1374">
            <v>109</v>
          </cell>
          <cell r="X1374">
            <v>109</v>
          </cell>
          <cell r="Z1374">
            <v>109</v>
          </cell>
          <cell r="AD1374">
            <v>1.7999999999999999E-2</v>
          </cell>
        </row>
        <row r="1375">
          <cell r="E1375" t="str">
            <v>SD 0.9-6Pr</v>
          </cell>
          <cell r="F1375" t="str">
            <v>ｍ</v>
          </cell>
          <cell r="H1375">
            <v>231</v>
          </cell>
          <cell r="J1375">
            <v>231</v>
          </cell>
          <cell r="L1375">
            <v>231</v>
          </cell>
          <cell r="N1375">
            <v>231</v>
          </cell>
          <cell r="P1375">
            <v>231</v>
          </cell>
          <cell r="R1375">
            <v>231</v>
          </cell>
          <cell r="T1375">
            <v>231</v>
          </cell>
          <cell r="V1375">
            <v>231</v>
          </cell>
          <cell r="X1375">
            <v>231</v>
          </cell>
          <cell r="Z1375">
            <v>231</v>
          </cell>
          <cell r="AD1375">
            <v>2.4E-2</v>
          </cell>
        </row>
        <row r="1376">
          <cell r="E1376" t="str">
            <v>釦電話 0.4-10Pr</v>
          </cell>
          <cell r="F1376" t="str">
            <v>ｍ</v>
          </cell>
          <cell r="H1376">
            <v>81.5</v>
          </cell>
          <cell r="J1376">
            <v>81.5</v>
          </cell>
          <cell r="L1376">
            <v>81.5</v>
          </cell>
          <cell r="N1376">
            <v>81.5</v>
          </cell>
          <cell r="P1376">
            <v>81.5</v>
          </cell>
          <cell r="R1376">
            <v>81.5</v>
          </cell>
          <cell r="T1376">
            <v>81.5</v>
          </cell>
          <cell r="V1376">
            <v>81.5</v>
          </cell>
          <cell r="X1376">
            <v>81.5</v>
          </cell>
          <cell r="Z1376">
            <v>81.5</v>
          </cell>
          <cell r="AD1376">
            <v>0.02</v>
          </cell>
        </row>
        <row r="1377">
          <cell r="E1377" t="str">
            <v>釦電話 0.4-20Pr</v>
          </cell>
          <cell r="F1377" t="str">
            <v>ｍ</v>
          </cell>
          <cell r="H1377">
            <v>127</v>
          </cell>
          <cell r="J1377">
            <v>127</v>
          </cell>
          <cell r="L1377">
            <v>127</v>
          </cell>
          <cell r="N1377">
            <v>127</v>
          </cell>
          <cell r="P1377">
            <v>127</v>
          </cell>
          <cell r="R1377">
            <v>127</v>
          </cell>
          <cell r="T1377">
            <v>127</v>
          </cell>
          <cell r="V1377">
            <v>127</v>
          </cell>
          <cell r="X1377">
            <v>127</v>
          </cell>
          <cell r="Z1377">
            <v>127</v>
          </cell>
          <cell r="AD1377">
            <v>2.4E-2</v>
          </cell>
        </row>
        <row r="1378">
          <cell r="E1378" t="str">
            <v>釦電話 0.4-30Pr</v>
          </cell>
          <cell r="F1378" t="str">
            <v>ｍ</v>
          </cell>
          <cell r="H1378">
            <v>153</v>
          </cell>
          <cell r="J1378">
            <v>153</v>
          </cell>
          <cell r="L1378">
            <v>153</v>
          </cell>
          <cell r="N1378">
            <v>153</v>
          </cell>
          <cell r="P1378">
            <v>153</v>
          </cell>
          <cell r="R1378">
            <v>153</v>
          </cell>
          <cell r="T1378">
            <v>153</v>
          </cell>
          <cell r="V1378">
            <v>153</v>
          </cell>
          <cell r="X1378">
            <v>153</v>
          </cell>
          <cell r="Z1378">
            <v>153</v>
          </cell>
          <cell r="AD1378">
            <v>2.9000000000000001E-2</v>
          </cell>
        </row>
        <row r="1379">
          <cell r="E1379" t="str">
            <v>電子釦 0.4-2Pr</v>
          </cell>
          <cell r="F1379" t="str">
            <v>ｍ</v>
          </cell>
          <cell r="H1379">
            <v>35</v>
          </cell>
          <cell r="J1379">
            <v>35</v>
          </cell>
          <cell r="L1379">
            <v>35</v>
          </cell>
          <cell r="N1379">
            <v>35</v>
          </cell>
          <cell r="P1379">
            <v>35</v>
          </cell>
          <cell r="R1379">
            <v>35</v>
          </cell>
          <cell r="T1379">
            <v>35</v>
          </cell>
          <cell r="V1379">
            <v>35</v>
          </cell>
          <cell r="X1379">
            <v>35</v>
          </cell>
          <cell r="Z1379">
            <v>35</v>
          </cell>
          <cell r="AD1379">
            <v>1.4E-2</v>
          </cell>
        </row>
        <row r="1380">
          <cell r="E1380" t="str">
            <v>電子釦 0.4-3Pr</v>
          </cell>
          <cell r="F1380" t="str">
            <v>ｍ</v>
          </cell>
          <cell r="H1380">
            <v>41.4</v>
          </cell>
          <cell r="J1380">
            <v>41.4</v>
          </cell>
          <cell r="L1380">
            <v>41.4</v>
          </cell>
          <cell r="N1380">
            <v>41.4</v>
          </cell>
          <cell r="P1380">
            <v>41.4</v>
          </cell>
          <cell r="R1380">
            <v>41.4</v>
          </cell>
          <cell r="T1380">
            <v>41.4</v>
          </cell>
          <cell r="V1380">
            <v>41.4</v>
          </cell>
          <cell r="X1380">
            <v>41.4</v>
          </cell>
          <cell r="Z1380">
            <v>41.4</v>
          </cell>
          <cell r="AD1380">
            <v>1.4999999999999999E-2</v>
          </cell>
        </row>
        <row r="1381">
          <cell r="E1381" t="str">
            <v>電子釦 0.4-4Pr</v>
          </cell>
          <cell r="F1381" t="str">
            <v>ｍ</v>
          </cell>
          <cell r="H1381">
            <v>46.6</v>
          </cell>
          <cell r="J1381">
            <v>46.6</v>
          </cell>
          <cell r="L1381">
            <v>46.6</v>
          </cell>
          <cell r="N1381">
            <v>46.6</v>
          </cell>
          <cell r="P1381">
            <v>46.6</v>
          </cell>
          <cell r="R1381">
            <v>46.6</v>
          </cell>
          <cell r="T1381">
            <v>46.6</v>
          </cell>
          <cell r="V1381">
            <v>46.6</v>
          </cell>
          <cell r="X1381">
            <v>46.6</v>
          </cell>
          <cell r="Z1381">
            <v>46.6</v>
          </cell>
          <cell r="AD1381">
            <v>1.6E-2</v>
          </cell>
        </row>
        <row r="1382">
          <cell r="E1382" t="str">
            <v>電子釦 0.4-10Pr</v>
          </cell>
          <cell r="F1382" t="str">
            <v>ｍ</v>
          </cell>
          <cell r="H1382">
            <v>135</v>
          </cell>
          <cell r="J1382">
            <v>135</v>
          </cell>
          <cell r="L1382">
            <v>135</v>
          </cell>
          <cell r="N1382">
            <v>135</v>
          </cell>
          <cell r="P1382">
            <v>135</v>
          </cell>
          <cell r="R1382">
            <v>135</v>
          </cell>
          <cell r="T1382">
            <v>135</v>
          </cell>
          <cell r="V1382">
            <v>135</v>
          </cell>
          <cell r="X1382">
            <v>135</v>
          </cell>
          <cell r="Z1382">
            <v>135</v>
          </cell>
          <cell r="AD1382">
            <v>0.02</v>
          </cell>
        </row>
        <row r="1383">
          <cell r="E1383" t="str">
            <v>電子釦 0.4-20Pr</v>
          </cell>
          <cell r="F1383" t="str">
            <v>ｍ</v>
          </cell>
          <cell r="H1383">
            <v>186</v>
          </cell>
          <cell r="J1383">
            <v>186</v>
          </cell>
          <cell r="L1383">
            <v>186</v>
          </cell>
          <cell r="N1383">
            <v>186</v>
          </cell>
          <cell r="P1383">
            <v>186</v>
          </cell>
          <cell r="R1383">
            <v>186</v>
          </cell>
          <cell r="T1383">
            <v>186</v>
          </cell>
          <cell r="V1383">
            <v>186</v>
          </cell>
          <cell r="X1383">
            <v>186</v>
          </cell>
          <cell r="Z1383">
            <v>186</v>
          </cell>
          <cell r="AD1383">
            <v>2.4E-2</v>
          </cell>
        </row>
        <row r="1384">
          <cell r="E1384" t="str">
            <v>TIVF 0.65-2C</v>
          </cell>
          <cell r="F1384" t="str">
            <v>ｍ</v>
          </cell>
          <cell r="H1384">
            <v>16</v>
          </cell>
          <cell r="J1384">
            <v>16</v>
          </cell>
          <cell r="L1384">
            <v>16</v>
          </cell>
          <cell r="N1384">
            <v>16</v>
          </cell>
          <cell r="P1384">
            <v>16</v>
          </cell>
          <cell r="R1384">
            <v>16</v>
          </cell>
          <cell r="T1384">
            <v>16</v>
          </cell>
          <cell r="V1384">
            <v>16</v>
          </cell>
          <cell r="X1384">
            <v>16</v>
          </cell>
          <cell r="Z1384">
            <v>16</v>
          </cell>
          <cell r="AD1384">
            <v>1.2999999999999999E-2</v>
          </cell>
        </row>
        <row r="1385">
          <cell r="E1385" t="str">
            <v>TIVF 0.65-3C</v>
          </cell>
          <cell r="F1385" t="str">
            <v>ｍ</v>
          </cell>
          <cell r="H1385">
            <v>19.8</v>
          </cell>
          <cell r="J1385">
            <v>19.8</v>
          </cell>
          <cell r="L1385">
            <v>19.8</v>
          </cell>
          <cell r="N1385">
            <v>19.8</v>
          </cell>
          <cell r="P1385">
            <v>19.8</v>
          </cell>
          <cell r="R1385">
            <v>19.8</v>
          </cell>
          <cell r="T1385">
            <v>19.8</v>
          </cell>
          <cell r="V1385">
            <v>19.8</v>
          </cell>
          <cell r="X1385">
            <v>19.8</v>
          </cell>
          <cell r="Z1385">
            <v>19.8</v>
          </cell>
          <cell r="AD1385">
            <v>1.4E-2</v>
          </cell>
        </row>
        <row r="1386">
          <cell r="E1386" t="str">
            <v>TIVF 0.8-2C</v>
          </cell>
          <cell r="F1386" t="str">
            <v>ｍ</v>
          </cell>
          <cell r="H1386">
            <v>18.2</v>
          </cell>
          <cell r="J1386">
            <v>18.2</v>
          </cell>
          <cell r="L1386">
            <v>18.2</v>
          </cell>
          <cell r="N1386">
            <v>18.2</v>
          </cell>
          <cell r="P1386">
            <v>18.2</v>
          </cell>
          <cell r="R1386">
            <v>18.2</v>
          </cell>
          <cell r="T1386">
            <v>18.2</v>
          </cell>
          <cell r="V1386">
            <v>18.2</v>
          </cell>
          <cell r="X1386">
            <v>18.2</v>
          </cell>
          <cell r="Z1386">
            <v>18.2</v>
          </cell>
          <cell r="AD1386">
            <v>1.7000000000000001E-2</v>
          </cell>
        </row>
        <row r="1387">
          <cell r="E1387" t="str">
            <v>TIVF 0.8-3C</v>
          </cell>
          <cell r="F1387" t="str">
            <v>ｍ</v>
          </cell>
          <cell r="H1387">
            <v>22.9</v>
          </cell>
          <cell r="J1387">
            <v>22.9</v>
          </cell>
          <cell r="L1387">
            <v>22.9</v>
          </cell>
          <cell r="N1387">
            <v>22.9</v>
          </cell>
          <cell r="P1387">
            <v>22.9</v>
          </cell>
          <cell r="R1387">
            <v>22.9</v>
          </cell>
          <cell r="T1387">
            <v>22.9</v>
          </cell>
          <cell r="V1387">
            <v>22.9</v>
          </cell>
          <cell r="X1387">
            <v>22.9</v>
          </cell>
          <cell r="Z1387">
            <v>22.9</v>
          </cell>
          <cell r="AD1387">
            <v>1.7999999999999999E-2</v>
          </cell>
        </row>
        <row r="1388">
          <cell r="E1388" t="str">
            <v>3C-2V</v>
          </cell>
          <cell r="F1388" t="str">
            <v>ｍ</v>
          </cell>
          <cell r="H1388">
            <v>51.3</v>
          </cell>
          <cell r="J1388">
            <v>51.3</v>
          </cell>
          <cell r="L1388">
            <v>51.3</v>
          </cell>
          <cell r="N1388">
            <v>51.3</v>
          </cell>
          <cell r="P1388">
            <v>51.3</v>
          </cell>
          <cell r="R1388">
            <v>51.3</v>
          </cell>
          <cell r="T1388">
            <v>51.3</v>
          </cell>
          <cell r="V1388">
            <v>51.3</v>
          </cell>
          <cell r="X1388">
            <v>51.3</v>
          </cell>
          <cell r="Z1388">
            <v>51.3</v>
          </cell>
          <cell r="AD1388">
            <v>1.7000000000000001E-2</v>
          </cell>
        </row>
        <row r="1389">
          <cell r="E1389" t="str">
            <v>3C-2W</v>
          </cell>
          <cell r="F1389" t="str">
            <v>ｍ</v>
          </cell>
          <cell r="H1389">
            <v>110</v>
          </cell>
          <cell r="J1389">
            <v>110</v>
          </cell>
          <cell r="L1389">
            <v>110</v>
          </cell>
          <cell r="N1389">
            <v>110</v>
          </cell>
          <cell r="P1389">
            <v>110</v>
          </cell>
          <cell r="R1389">
            <v>110</v>
          </cell>
          <cell r="T1389">
            <v>110</v>
          </cell>
          <cell r="V1389">
            <v>110</v>
          </cell>
          <cell r="X1389">
            <v>110</v>
          </cell>
          <cell r="Z1389">
            <v>110</v>
          </cell>
          <cell r="AD1389">
            <v>1.7000000000000001E-2</v>
          </cell>
        </row>
        <row r="1390">
          <cell r="E1390" t="str">
            <v>5C-2V</v>
          </cell>
          <cell r="F1390" t="str">
            <v>ｍ</v>
          </cell>
          <cell r="H1390">
            <v>69.099999999999994</v>
          </cell>
          <cell r="J1390">
            <v>69.099999999999994</v>
          </cell>
          <cell r="L1390">
            <v>69.099999999999994</v>
          </cell>
          <cell r="N1390">
            <v>69.099999999999994</v>
          </cell>
          <cell r="P1390">
            <v>69.099999999999994</v>
          </cell>
          <cell r="R1390">
            <v>69.099999999999994</v>
          </cell>
          <cell r="T1390">
            <v>69.099999999999994</v>
          </cell>
          <cell r="V1390">
            <v>69.099999999999994</v>
          </cell>
          <cell r="X1390">
            <v>69.099999999999994</v>
          </cell>
          <cell r="Z1390">
            <v>69.099999999999994</v>
          </cell>
          <cell r="AD1390">
            <v>1.7000000000000001E-2</v>
          </cell>
        </row>
        <row r="1391">
          <cell r="E1391" t="str">
            <v>5C-2W</v>
          </cell>
          <cell r="F1391" t="str">
            <v>ｍ</v>
          </cell>
          <cell r="H1391">
            <v>139</v>
          </cell>
          <cell r="J1391">
            <v>139</v>
          </cell>
          <cell r="L1391">
            <v>139</v>
          </cell>
          <cell r="N1391">
            <v>139</v>
          </cell>
          <cell r="P1391">
            <v>139</v>
          </cell>
          <cell r="R1391">
            <v>139</v>
          </cell>
          <cell r="T1391">
            <v>139</v>
          </cell>
          <cell r="V1391">
            <v>139</v>
          </cell>
          <cell r="X1391">
            <v>139</v>
          </cell>
          <cell r="Z1391">
            <v>139</v>
          </cell>
          <cell r="AD1391">
            <v>0.02</v>
          </cell>
        </row>
        <row r="1392">
          <cell r="E1392" t="str">
            <v>7C-2V</v>
          </cell>
          <cell r="F1392" t="str">
            <v>ｍ</v>
          </cell>
          <cell r="H1392">
            <v>165</v>
          </cell>
          <cell r="J1392">
            <v>165</v>
          </cell>
          <cell r="L1392">
            <v>165</v>
          </cell>
          <cell r="N1392">
            <v>165</v>
          </cell>
          <cell r="P1392">
            <v>165</v>
          </cell>
          <cell r="R1392">
            <v>165</v>
          </cell>
          <cell r="T1392">
            <v>165</v>
          </cell>
          <cell r="V1392">
            <v>165</v>
          </cell>
          <cell r="X1392">
            <v>165</v>
          </cell>
          <cell r="Z1392">
            <v>165</v>
          </cell>
          <cell r="AD1392">
            <v>0.02</v>
          </cell>
        </row>
        <row r="1393">
          <cell r="E1393" t="str">
            <v>10C-2V</v>
          </cell>
          <cell r="F1393" t="str">
            <v>ｍ</v>
          </cell>
          <cell r="H1393">
            <v>240</v>
          </cell>
          <cell r="J1393">
            <v>240</v>
          </cell>
          <cell r="L1393">
            <v>240</v>
          </cell>
          <cell r="N1393">
            <v>240</v>
          </cell>
          <cell r="P1393">
            <v>240</v>
          </cell>
          <cell r="R1393">
            <v>240</v>
          </cell>
          <cell r="T1393">
            <v>240</v>
          </cell>
          <cell r="V1393">
            <v>240</v>
          </cell>
          <cell r="X1393">
            <v>240</v>
          </cell>
          <cell r="Z1393">
            <v>240</v>
          </cell>
          <cell r="AD1393">
            <v>0.02</v>
          </cell>
        </row>
        <row r="1394">
          <cell r="E1394" t="str">
            <v>10C-2W</v>
          </cell>
          <cell r="F1394" t="str">
            <v>ｍ</v>
          </cell>
          <cell r="H1394">
            <v>321</v>
          </cell>
          <cell r="J1394">
            <v>321</v>
          </cell>
          <cell r="L1394">
            <v>321</v>
          </cell>
          <cell r="N1394">
            <v>321</v>
          </cell>
          <cell r="P1394">
            <v>321</v>
          </cell>
          <cell r="R1394">
            <v>321</v>
          </cell>
          <cell r="T1394">
            <v>321</v>
          </cell>
          <cell r="V1394">
            <v>321</v>
          </cell>
          <cell r="X1394">
            <v>321</v>
          </cell>
          <cell r="Z1394">
            <v>321</v>
          </cell>
          <cell r="AD1394">
            <v>2.7E-2</v>
          </cell>
        </row>
        <row r="1395">
          <cell r="E1395" t="str">
            <v>3D-2V</v>
          </cell>
          <cell r="F1395" t="str">
            <v>ｍ</v>
          </cell>
          <cell r="H1395">
            <v>71.8</v>
          </cell>
          <cell r="J1395">
            <v>71.8</v>
          </cell>
          <cell r="L1395">
            <v>71.8</v>
          </cell>
          <cell r="N1395">
            <v>71.8</v>
          </cell>
          <cell r="P1395">
            <v>71.8</v>
          </cell>
          <cell r="R1395">
            <v>71.8</v>
          </cell>
          <cell r="T1395">
            <v>71.8</v>
          </cell>
          <cell r="V1395">
            <v>71.8</v>
          </cell>
          <cell r="X1395">
            <v>71.8</v>
          </cell>
          <cell r="Z1395">
            <v>71.8</v>
          </cell>
          <cell r="AD1395">
            <v>3.4000000000000002E-2</v>
          </cell>
        </row>
        <row r="1396">
          <cell r="E1396" t="str">
            <v>3D-2W</v>
          </cell>
          <cell r="F1396" t="str">
            <v>ｍ</v>
          </cell>
          <cell r="H1396">
            <v>128</v>
          </cell>
          <cell r="J1396">
            <v>128</v>
          </cell>
          <cell r="L1396">
            <v>128</v>
          </cell>
          <cell r="N1396">
            <v>128</v>
          </cell>
          <cell r="P1396">
            <v>128</v>
          </cell>
          <cell r="R1396">
            <v>128</v>
          </cell>
          <cell r="T1396">
            <v>128</v>
          </cell>
          <cell r="V1396">
            <v>128</v>
          </cell>
          <cell r="X1396">
            <v>128</v>
          </cell>
          <cell r="Z1396">
            <v>128</v>
          </cell>
          <cell r="AD1396">
            <v>3.4000000000000002E-2</v>
          </cell>
        </row>
        <row r="1397">
          <cell r="E1397" t="str">
            <v>5D-2V</v>
          </cell>
          <cell r="F1397" t="str">
            <v>ｍ</v>
          </cell>
          <cell r="H1397">
            <v>96.4</v>
          </cell>
          <cell r="J1397">
            <v>96.4</v>
          </cell>
          <cell r="L1397">
            <v>96.4</v>
          </cell>
          <cell r="N1397">
            <v>96.4</v>
          </cell>
          <cell r="P1397">
            <v>96.4</v>
          </cell>
          <cell r="R1397">
            <v>96.4</v>
          </cell>
          <cell r="T1397">
            <v>96.4</v>
          </cell>
          <cell r="V1397">
            <v>96.4</v>
          </cell>
          <cell r="X1397">
            <v>96.4</v>
          </cell>
          <cell r="Z1397">
            <v>96.4</v>
          </cell>
          <cell r="AD1397">
            <v>1.7000000000000001E-2</v>
          </cell>
        </row>
        <row r="1398">
          <cell r="E1398" t="str">
            <v>5D-2W</v>
          </cell>
          <cell r="F1398" t="str">
            <v>ｍ</v>
          </cell>
          <cell r="H1398">
            <v>147</v>
          </cell>
          <cell r="J1398">
            <v>147</v>
          </cell>
          <cell r="L1398">
            <v>147</v>
          </cell>
          <cell r="N1398">
            <v>147</v>
          </cell>
          <cell r="P1398">
            <v>147</v>
          </cell>
          <cell r="R1398">
            <v>147</v>
          </cell>
          <cell r="T1398">
            <v>147</v>
          </cell>
          <cell r="V1398">
            <v>147</v>
          </cell>
          <cell r="X1398">
            <v>147</v>
          </cell>
          <cell r="Z1398">
            <v>147</v>
          </cell>
          <cell r="AD1398">
            <v>0.02</v>
          </cell>
        </row>
        <row r="1399">
          <cell r="E1399" t="str">
            <v>8D-2V</v>
          </cell>
          <cell r="F1399" t="str">
            <v>ｍ</v>
          </cell>
          <cell r="H1399">
            <v>203</v>
          </cell>
          <cell r="J1399">
            <v>203</v>
          </cell>
          <cell r="L1399">
            <v>203</v>
          </cell>
          <cell r="N1399">
            <v>203</v>
          </cell>
          <cell r="P1399">
            <v>203</v>
          </cell>
          <cell r="R1399">
            <v>203</v>
          </cell>
          <cell r="T1399">
            <v>203</v>
          </cell>
          <cell r="V1399">
            <v>203</v>
          </cell>
          <cell r="X1399">
            <v>203</v>
          </cell>
          <cell r="Z1399">
            <v>203</v>
          </cell>
          <cell r="AD1399">
            <v>0.02</v>
          </cell>
        </row>
        <row r="1400">
          <cell r="E1400" t="str">
            <v>8D-2W</v>
          </cell>
          <cell r="F1400" t="str">
            <v>ｍ</v>
          </cell>
          <cell r="H1400">
            <v>298</v>
          </cell>
          <cell r="J1400">
            <v>298</v>
          </cell>
          <cell r="L1400">
            <v>298</v>
          </cell>
          <cell r="N1400">
            <v>298</v>
          </cell>
          <cell r="P1400">
            <v>298</v>
          </cell>
          <cell r="R1400">
            <v>298</v>
          </cell>
          <cell r="T1400">
            <v>298</v>
          </cell>
          <cell r="V1400">
            <v>298</v>
          </cell>
          <cell r="X1400">
            <v>298</v>
          </cell>
          <cell r="Z1400">
            <v>298</v>
          </cell>
          <cell r="AD1400">
            <v>3.3000000000000002E-2</v>
          </cell>
        </row>
        <row r="1401">
          <cell r="E1401" t="str">
            <v>10D-2V</v>
          </cell>
          <cell r="F1401" t="str">
            <v>ｍ</v>
          </cell>
          <cell r="H1401">
            <v>273</v>
          </cell>
          <cell r="J1401">
            <v>273</v>
          </cell>
          <cell r="L1401">
            <v>273</v>
          </cell>
          <cell r="N1401">
            <v>273</v>
          </cell>
          <cell r="P1401">
            <v>273</v>
          </cell>
          <cell r="R1401">
            <v>273</v>
          </cell>
          <cell r="T1401">
            <v>273</v>
          </cell>
          <cell r="V1401">
            <v>273</v>
          </cell>
          <cell r="X1401">
            <v>273</v>
          </cell>
          <cell r="Z1401">
            <v>273</v>
          </cell>
          <cell r="AD1401">
            <v>3.3000000000000002E-2</v>
          </cell>
        </row>
        <row r="1402">
          <cell r="E1402" t="str">
            <v>S-5C-FB</v>
          </cell>
          <cell r="F1402" t="str">
            <v>ｍ</v>
          </cell>
          <cell r="H1402">
            <v>64.8</v>
          </cell>
          <cell r="J1402">
            <v>64.8</v>
          </cell>
          <cell r="L1402">
            <v>64.8</v>
          </cell>
          <cell r="N1402">
            <v>64.8</v>
          </cell>
          <cell r="P1402">
            <v>64.8</v>
          </cell>
          <cell r="R1402">
            <v>64.8</v>
          </cell>
          <cell r="T1402">
            <v>64.8</v>
          </cell>
          <cell r="V1402">
            <v>64.8</v>
          </cell>
          <cell r="X1402">
            <v>64.8</v>
          </cell>
          <cell r="Z1402">
            <v>64.8</v>
          </cell>
          <cell r="AD1402">
            <v>3.4000000000000002E-2</v>
          </cell>
        </row>
        <row r="1403">
          <cell r="E1403" t="str">
            <v>S-7C-FB</v>
          </cell>
          <cell r="F1403" t="str">
            <v>ｍ</v>
          </cell>
          <cell r="H1403">
            <v>133</v>
          </cell>
          <cell r="J1403">
            <v>133</v>
          </cell>
          <cell r="L1403">
            <v>133</v>
          </cell>
          <cell r="N1403">
            <v>133</v>
          </cell>
          <cell r="P1403">
            <v>133</v>
          </cell>
          <cell r="R1403">
            <v>133</v>
          </cell>
          <cell r="T1403">
            <v>133</v>
          </cell>
          <cell r="V1403">
            <v>133</v>
          </cell>
          <cell r="X1403">
            <v>133</v>
          </cell>
          <cell r="Z1403">
            <v>133</v>
          </cell>
          <cell r="AD1403">
            <v>0.02</v>
          </cell>
        </row>
        <row r="1404">
          <cell r="E1404" t="str">
            <v>S-10C-FB</v>
          </cell>
          <cell r="F1404" t="str">
            <v>ｍ</v>
          </cell>
          <cell r="H1404">
            <v>247</v>
          </cell>
          <cell r="J1404">
            <v>247</v>
          </cell>
          <cell r="L1404">
            <v>247</v>
          </cell>
          <cell r="N1404">
            <v>247</v>
          </cell>
          <cell r="P1404">
            <v>247</v>
          </cell>
          <cell r="R1404">
            <v>247</v>
          </cell>
          <cell r="T1404">
            <v>247</v>
          </cell>
          <cell r="V1404">
            <v>247</v>
          </cell>
          <cell r="X1404">
            <v>247</v>
          </cell>
          <cell r="Z1404">
            <v>247</v>
          </cell>
          <cell r="AD1404">
            <v>2.7E-2</v>
          </cell>
        </row>
        <row r="1405">
          <cell r="E1405" t="str">
            <v>S-5C-HFL</v>
          </cell>
          <cell r="F1405" t="str">
            <v>ｍ</v>
          </cell>
          <cell r="H1405">
            <v>86.3</v>
          </cell>
          <cell r="J1405">
            <v>86.3</v>
          </cell>
          <cell r="L1405">
            <v>86.3</v>
          </cell>
          <cell r="N1405">
            <v>86.3</v>
          </cell>
          <cell r="P1405">
            <v>86.3</v>
          </cell>
          <cell r="R1405">
            <v>86.3</v>
          </cell>
          <cell r="T1405">
            <v>86.3</v>
          </cell>
          <cell r="V1405">
            <v>86.3</v>
          </cell>
          <cell r="X1405">
            <v>86.3</v>
          </cell>
          <cell r="Z1405">
            <v>86.3</v>
          </cell>
          <cell r="AD1405">
            <v>3.4000000000000002E-2</v>
          </cell>
        </row>
        <row r="1406">
          <cell r="E1406" t="str">
            <v>S-7C-HFL</v>
          </cell>
          <cell r="F1406" t="str">
            <v>ｍ</v>
          </cell>
          <cell r="H1406">
            <v>157</v>
          </cell>
          <cell r="J1406">
            <v>157</v>
          </cell>
          <cell r="L1406">
            <v>157</v>
          </cell>
          <cell r="N1406">
            <v>157</v>
          </cell>
          <cell r="P1406">
            <v>157</v>
          </cell>
          <cell r="R1406">
            <v>157</v>
          </cell>
          <cell r="T1406">
            <v>157</v>
          </cell>
          <cell r="V1406">
            <v>157</v>
          </cell>
          <cell r="X1406">
            <v>157</v>
          </cell>
          <cell r="Z1406">
            <v>157</v>
          </cell>
          <cell r="AD1406">
            <v>0.02</v>
          </cell>
        </row>
        <row r="1407">
          <cell r="E1407" t="str">
            <v>S-10C-HFL</v>
          </cell>
          <cell r="F1407" t="str">
            <v>ｍ</v>
          </cell>
          <cell r="H1407">
            <v>243</v>
          </cell>
          <cell r="J1407">
            <v>243</v>
          </cell>
          <cell r="L1407">
            <v>243</v>
          </cell>
          <cell r="N1407">
            <v>243</v>
          </cell>
          <cell r="P1407">
            <v>243</v>
          </cell>
          <cell r="R1407">
            <v>243</v>
          </cell>
          <cell r="T1407">
            <v>243</v>
          </cell>
          <cell r="V1407">
            <v>243</v>
          </cell>
          <cell r="X1407">
            <v>243</v>
          </cell>
          <cell r="Z1407">
            <v>243</v>
          </cell>
          <cell r="AD1407">
            <v>2.7E-2</v>
          </cell>
        </row>
        <row r="1408">
          <cell r="E1408" t="str">
            <v>S-5C-HFL-SS</v>
          </cell>
          <cell r="F1408" t="str">
            <v>ｍ</v>
          </cell>
          <cell r="H1408">
            <v>159</v>
          </cell>
          <cell r="J1408">
            <v>159</v>
          </cell>
          <cell r="L1408">
            <v>159</v>
          </cell>
          <cell r="N1408">
            <v>159</v>
          </cell>
          <cell r="P1408">
            <v>159</v>
          </cell>
          <cell r="R1408">
            <v>159</v>
          </cell>
          <cell r="T1408">
            <v>159</v>
          </cell>
          <cell r="V1408">
            <v>159</v>
          </cell>
          <cell r="X1408">
            <v>159</v>
          </cell>
          <cell r="Z1408">
            <v>159</v>
          </cell>
          <cell r="AD1408">
            <v>0.02</v>
          </cell>
        </row>
        <row r="1409">
          <cell r="E1409" t="str">
            <v>S-7C-HFL-SS</v>
          </cell>
          <cell r="F1409" t="str">
            <v>ｍ</v>
          </cell>
          <cell r="H1409">
            <v>235</v>
          </cell>
          <cell r="J1409">
            <v>235</v>
          </cell>
          <cell r="L1409">
            <v>235</v>
          </cell>
          <cell r="N1409">
            <v>235</v>
          </cell>
          <cell r="P1409">
            <v>235</v>
          </cell>
          <cell r="R1409">
            <v>235</v>
          </cell>
          <cell r="T1409">
            <v>235</v>
          </cell>
          <cell r="V1409">
            <v>235</v>
          </cell>
          <cell r="X1409">
            <v>235</v>
          </cell>
          <cell r="Z1409">
            <v>235</v>
          </cell>
          <cell r="AD1409">
            <v>2.7E-2</v>
          </cell>
        </row>
        <row r="1410">
          <cell r="E1410" t="str">
            <v>S-10C-HFL-SS</v>
          </cell>
          <cell r="F1410" t="str">
            <v>ｍ</v>
          </cell>
          <cell r="H1410">
            <v>325</v>
          </cell>
          <cell r="J1410">
            <v>325</v>
          </cell>
          <cell r="L1410">
            <v>325</v>
          </cell>
          <cell r="N1410">
            <v>325</v>
          </cell>
          <cell r="P1410">
            <v>325</v>
          </cell>
          <cell r="R1410">
            <v>325</v>
          </cell>
          <cell r="T1410">
            <v>325</v>
          </cell>
          <cell r="V1410">
            <v>325</v>
          </cell>
          <cell r="X1410">
            <v>325</v>
          </cell>
          <cell r="Z1410">
            <v>325</v>
          </cell>
          <cell r="AD1410">
            <v>3.4000000000000002E-2</v>
          </cell>
        </row>
        <row r="1411">
          <cell r="E1411" t="str">
            <v>LAN 10BASE-5</v>
          </cell>
          <cell r="F1411" t="str">
            <v>ｍ</v>
          </cell>
          <cell r="H1411">
            <v>293</v>
          </cell>
          <cell r="J1411">
            <v>293</v>
          </cell>
          <cell r="L1411">
            <v>293</v>
          </cell>
          <cell r="N1411">
            <v>293</v>
          </cell>
          <cell r="P1411">
            <v>293</v>
          </cell>
          <cell r="R1411">
            <v>293</v>
          </cell>
          <cell r="T1411">
            <v>293</v>
          </cell>
          <cell r="V1411">
            <v>293</v>
          </cell>
          <cell r="X1411">
            <v>293</v>
          </cell>
          <cell r="Z1411">
            <v>293</v>
          </cell>
          <cell r="AD1411">
            <v>0.04</v>
          </cell>
        </row>
        <row r="1412">
          <cell r="E1412" t="str">
            <v>LAN 10BASE-2</v>
          </cell>
          <cell r="F1412" t="str">
            <v>ｍ</v>
          </cell>
          <cell r="H1412">
            <v>64</v>
          </cell>
          <cell r="J1412">
            <v>64</v>
          </cell>
          <cell r="L1412">
            <v>64</v>
          </cell>
          <cell r="N1412">
            <v>64</v>
          </cell>
          <cell r="P1412">
            <v>64</v>
          </cell>
          <cell r="R1412">
            <v>64</v>
          </cell>
          <cell r="T1412">
            <v>64</v>
          </cell>
          <cell r="V1412">
            <v>64</v>
          </cell>
          <cell r="X1412">
            <v>64</v>
          </cell>
          <cell r="Z1412">
            <v>64</v>
          </cell>
          <cell r="AD1412">
            <v>2.3E-2</v>
          </cell>
        </row>
        <row r="1413">
          <cell r="E1413" t="str">
            <v>LAN cat5e 4Pr</v>
          </cell>
          <cell r="F1413" t="str">
            <v>ｍ</v>
          </cell>
          <cell r="H1413">
            <v>36</v>
          </cell>
          <cell r="J1413">
            <v>36</v>
          </cell>
          <cell r="L1413">
            <v>36</v>
          </cell>
          <cell r="N1413">
            <v>36</v>
          </cell>
          <cell r="P1413">
            <v>36</v>
          </cell>
          <cell r="R1413">
            <v>36</v>
          </cell>
          <cell r="T1413">
            <v>36</v>
          </cell>
          <cell r="V1413">
            <v>36</v>
          </cell>
          <cell r="X1413">
            <v>36</v>
          </cell>
          <cell r="Z1413">
            <v>36</v>
          </cell>
          <cell r="AD1413">
            <v>1.6E-2</v>
          </cell>
        </row>
        <row r="1414">
          <cell r="E1414" t="str">
            <v>LAN cat5e 8Pr</v>
          </cell>
          <cell r="F1414" t="str">
            <v>ｍ</v>
          </cell>
          <cell r="H1414">
            <v>105</v>
          </cell>
          <cell r="J1414">
            <v>105</v>
          </cell>
          <cell r="L1414">
            <v>105</v>
          </cell>
          <cell r="N1414">
            <v>105</v>
          </cell>
          <cell r="P1414">
            <v>105</v>
          </cell>
          <cell r="R1414">
            <v>105</v>
          </cell>
          <cell r="T1414">
            <v>105</v>
          </cell>
          <cell r="V1414">
            <v>105</v>
          </cell>
          <cell r="X1414">
            <v>105</v>
          </cell>
          <cell r="Z1414">
            <v>105</v>
          </cell>
          <cell r="AD1414">
            <v>0.02</v>
          </cell>
        </row>
        <row r="1415">
          <cell r="E1415" t="str">
            <v>LAN cat5e 24Pr</v>
          </cell>
          <cell r="F1415" t="str">
            <v>ｍ</v>
          </cell>
          <cell r="H1415">
            <v>331</v>
          </cell>
          <cell r="J1415">
            <v>331</v>
          </cell>
          <cell r="L1415">
            <v>331</v>
          </cell>
          <cell r="N1415">
            <v>331</v>
          </cell>
          <cell r="P1415">
            <v>331</v>
          </cell>
          <cell r="R1415">
            <v>331</v>
          </cell>
          <cell r="T1415">
            <v>331</v>
          </cell>
          <cell r="V1415">
            <v>331</v>
          </cell>
          <cell r="X1415">
            <v>331</v>
          </cell>
          <cell r="Z1415">
            <v>331</v>
          </cell>
          <cell r="AD1415">
            <v>2.1999999999999999E-2</v>
          </cell>
        </row>
        <row r="1480">
          <cell r="E1480" t="str">
            <v>CVV 1.25sq-2C</v>
          </cell>
          <cell r="F1480" t="str">
            <v>ｍ</v>
          </cell>
          <cell r="H1480">
            <v>59.4</v>
          </cell>
          <cell r="J1480">
            <v>60.3</v>
          </cell>
          <cell r="L1480">
            <v>60.3</v>
          </cell>
          <cell r="N1480">
            <v>58.5</v>
          </cell>
          <cell r="P1480">
            <v>57.1</v>
          </cell>
          <cell r="R1480">
            <v>59.4</v>
          </cell>
          <cell r="T1480">
            <v>59.4</v>
          </cell>
          <cell r="V1480">
            <v>60.3</v>
          </cell>
          <cell r="X1480">
            <v>58.5</v>
          </cell>
          <cell r="Z1480">
            <v>60.3</v>
          </cell>
          <cell r="AD1480">
            <v>1.4999999999999999E-2</v>
          </cell>
        </row>
        <row r="1481">
          <cell r="E1481" t="str">
            <v>CVV 2sq-2C</v>
          </cell>
          <cell r="F1481" t="str">
            <v>ｍ</v>
          </cell>
          <cell r="H1481">
            <v>78.7</v>
          </cell>
          <cell r="J1481">
            <v>80</v>
          </cell>
          <cell r="L1481">
            <v>80</v>
          </cell>
          <cell r="N1481">
            <v>77.5</v>
          </cell>
          <cell r="P1481">
            <v>75.599999999999994</v>
          </cell>
          <cell r="R1481">
            <v>78.7</v>
          </cell>
          <cell r="T1481">
            <v>78.7</v>
          </cell>
          <cell r="V1481">
            <v>80</v>
          </cell>
          <cell r="X1481">
            <v>77.5</v>
          </cell>
          <cell r="Z1481">
            <v>80</v>
          </cell>
          <cell r="AD1481">
            <v>1.7000000000000001E-2</v>
          </cell>
        </row>
        <row r="1482">
          <cell r="E1482" t="str">
            <v>CVV 3.5sq-2C</v>
          </cell>
          <cell r="F1482" t="str">
            <v>ｍ</v>
          </cell>
          <cell r="H1482">
            <v>115</v>
          </cell>
          <cell r="J1482">
            <v>116</v>
          </cell>
          <cell r="L1482">
            <v>116</v>
          </cell>
          <cell r="N1482">
            <v>113</v>
          </cell>
          <cell r="P1482">
            <v>110</v>
          </cell>
          <cell r="R1482">
            <v>115</v>
          </cell>
          <cell r="T1482">
            <v>115</v>
          </cell>
          <cell r="V1482">
            <v>116</v>
          </cell>
          <cell r="X1482">
            <v>113</v>
          </cell>
          <cell r="Z1482">
            <v>116</v>
          </cell>
          <cell r="AD1482">
            <v>1.7999999999999999E-2</v>
          </cell>
        </row>
        <row r="1483">
          <cell r="E1483" t="str">
            <v>CVV 5.5sq-2C</v>
          </cell>
          <cell r="F1483" t="str">
            <v>ｍ</v>
          </cell>
          <cell r="H1483">
            <v>163</v>
          </cell>
          <cell r="J1483">
            <v>165</v>
          </cell>
          <cell r="L1483">
            <v>165</v>
          </cell>
          <cell r="N1483">
            <v>160</v>
          </cell>
          <cell r="P1483">
            <v>156</v>
          </cell>
          <cell r="R1483">
            <v>163</v>
          </cell>
          <cell r="T1483">
            <v>163</v>
          </cell>
          <cell r="V1483">
            <v>165</v>
          </cell>
          <cell r="X1483">
            <v>160</v>
          </cell>
          <cell r="Z1483">
            <v>165</v>
          </cell>
          <cell r="AD1483">
            <v>2.1000000000000001E-2</v>
          </cell>
        </row>
        <row r="1484">
          <cell r="E1484" t="str">
            <v>CVV 8sq-2C</v>
          </cell>
          <cell r="F1484" t="str">
            <v>ｍ</v>
          </cell>
          <cell r="H1484">
            <v>221</v>
          </cell>
          <cell r="J1484">
            <v>225</v>
          </cell>
          <cell r="L1484">
            <v>225</v>
          </cell>
          <cell r="N1484">
            <v>218</v>
          </cell>
          <cell r="P1484">
            <v>213</v>
          </cell>
          <cell r="R1484">
            <v>221</v>
          </cell>
          <cell r="T1484">
            <v>221</v>
          </cell>
          <cell r="V1484">
            <v>225</v>
          </cell>
          <cell r="X1484">
            <v>218</v>
          </cell>
          <cell r="Z1484">
            <v>225</v>
          </cell>
          <cell r="AD1484">
            <v>2.5999999999999999E-2</v>
          </cell>
        </row>
        <row r="1485">
          <cell r="E1485" t="str">
            <v>CVV 1.25sq-3C</v>
          </cell>
          <cell r="F1485" t="str">
            <v>ｍ</v>
          </cell>
          <cell r="H1485">
            <v>80</v>
          </cell>
          <cell r="J1485">
            <v>81.3</v>
          </cell>
          <cell r="L1485">
            <v>81.3</v>
          </cell>
          <cell r="N1485">
            <v>78.8</v>
          </cell>
          <cell r="P1485">
            <v>76.900000000000006</v>
          </cell>
          <cell r="R1485">
            <v>80</v>
          </cell>
          <cell r="T1485">
            <v>80</v>
          </cell>
          <cell r="V1485">
            <v>81.3</v>
          </cell>
          <cell r="X1485">
            <v>78.8</v>
          </cell>
          <cell r="Z1485">
            <v>81.3</v>
          </cell>
          <cell r="AD1485">
            <v>1.7000000000000001E-2</v>
          </cell>
        </row>
        <row r="1486">
          <cell r="E1486" t="str">
            <v>CVV 2sq-3C</v>
          </cell>
          <cell r="F1486" t="str">
            <v>ｍ</v>
          </cell>
          <cell r="H1486">
            <v>108</v>
          </cell>
          <cell r="J1486">
            <v>109</v>
          </cell>
          <cell r="L1486">
            <v>109</v>
          </cell>
          <cell r="N1486">
            <v>106</v>
          </cell>
          <cell r="P1486">
            <v>103</v>
          </cell>
          <cell r="R1486">
            <v>108</v>
          </cell>
          <cell r="T1486">
            <v>108</v>
          </cell>
          <cell r="V1486">
            <v>109</v>
          </cell>
          <cell r="X1486">
            <v>106</v>
          </cell>
          <cell r="Z1486">
            <v>109</v>
          </cell>
          <cell r="AD1486">
            <v>1.9E-2</v>
          </cell>
        </row>
        <row r="1487">
          <cell r="E1487" t="str">
            <v>CVV 3.5sq-3C</v>
          </cell>
          <cell r="F1487" t="str">
            <v>ｍ</v>
          </cell>
          <cell r="H1487">
            <v>161</v>
          </cell>
          <cell r="J1487">
            <v>163</v>
          </cell>
          <cell r="L1487">
            <v>163</v>
          </cell>
          <cell r="N1487">
            <v>158</v>
          </cell>
          <cell r="P1487">
            <v>154</v>
          </cell>
          <cell r="R1487">
            <v>161</v>
          </cell>
          <cell r="T1487">
            <v>161</v>
          </cell>
          <cell r="V1487">
            <v>163</v>
          </cell>
          <cell r="X1487">
            <v>158</v>
          </cell>
          <cell r="Z1487">
            <v>163</v>
          </cell>
          <cell r="AD1487">
            <v>2.1000000000000001E-2</v>
          </cell>
        </row>
        <row r="1488">
          <cell r="E1488" t="str">
            <v>CVV 5.5sq-3C</v>
          </cell>
          <cell r="F1488" t="str">
            <v>ｍ</v>
          </cell>
          <cell r="H1488">
            <v>229</v>
          </cell>
          <cell r="J1488">
            <v>233</v>
          </cell>
          <cell r="L1488">
            <v>233</v>
          </cell>
          <cell r="N1488">
            <v>226</v>
          </cell>
          <cell r="P1488">
            <v>220</v>
          </cell>
          <cell r="R1488">
            <v>229</v>
          </cell>
          <cell r="T1488">
            <v>229</v>
          </cell>
          <cell r="V1488">
            <v>233</v>
          </cell>
          <cell r="X1488">
            <v>226</v>
          </cell>
          <cell r="Z1488">
            <v>233</v>
          </cell>
          <cell r="AD1488">
            <v>2.4E-2</v>
          </cell>
        </row>
        <row r="1489">
          <cell r="E1489" t="str">
            <v>CVV 8sq-3C</v>
          </cell>
          <cell r="F1489" t="str">
            <v>ｍ</v>
          </cell>
          <cell r="H1489">
            <v>314</v>
          </cell>
          <cell r="J1489">
            <v>319</v>
          </cell>
          <cell r="L1489">
            <v>319</v>
          </cell>
          <cell r="N1489">
            <v>309</v>
          </cell>
          <cell r="P1489">
            <v>302</v>
          </cell>
          <cell r="R1489">
            <v>314</v>
          </cell>
          <cell r="T1489">
            <v>314</v>
          </cell>
          <cell r="V1489">
            <v>319</v>
          </cell>
          <cell r="X1489">
            <v>309</v>
          </cell>
          <cell r="Z1489">
            <v>319</v>
          </cell>
          <cell r="AD1489">
            <v>0.03</v>
          </cell>
        </row>
        <row r="1490">
          <cell r="E1490" t="str">
            <v>CVV 1.25sq-4C</v>
          </cell>
          <cell r="F1490" t="str">
            <v>ｍ</v>
          </cell>
          <cell r="H1490">
            <v>106</v>
          </cell>
          <cell r="J1490">
            <v>107</v>
          </cell>
          <cell r="L1490">
            <v>107</v>
          </cell>
          <cell r="N1490">
            <v>104</v>
          </cell>
          <cell r="P1490">
            <v>101</v>
          </cell>
          <cell r="R1490">
            <v>106</v>
          </cell>
          <cell r="T1490">
            <v>106</v>
          </cell>
          <cell r="V1490">
            <v>107</v>
          </cell>
          <cell r="X1490">
            <v>104</v>
          </cell>
          <cell r="Z1490">
            <v>107</v>
          </cell>
          <cell r="AD1490">
            <v>1.9E-2</v>
          </cell>
        </row>
        <row r="1491">
          <cell r="E1491" t="str">
            <v>CVV 2sq-4C</v>
          </cell>
          <cell r="F1491" t="str">
            <v>ｍ</v>
          </cell>
          <cell r="H1491">
            <v>145</v>
          </cell>
          <cell r="J1491">
            <v>147</v>
          </cell>
          <cell r="L1491">
            <v>147</v>
          </cell>
          <cell r="N1491">
            <v>142</v>
          </cell>
          <cell r="P1491">
            <v>139</v>
          </cell>
          <cell r="R1491">
            <v>145</v>
          </cell>
          <cell r="T1491">
            <v>145</v>
          </cell>
          <cell r="V1491">
            <v>147</v>
          </cell>
          <cell r="X1491">
            <v>142</v>
          </cell>
          <cell r="Z1491">
            <v>147</v>
          </cell>
          <cell r="AD1491">
            <v>2.1999999999999999E-2</v>
          </cell>
        </row>
        <row r="1492">
          <cell r="E1492" t="str">
            <v>CVV 3.5sq-4C</v>
          </cell>
          <cell r="F1492" t="str">
            <v>ｍ</v>
          </cell>
          <cell r="H1492">
            <v>211</v>
          </cell>
          <cell r="J1492">
            <v>215</v>
          </cell>
          <cell r="L1492">
            <v>215</v>
          </cell>
          <cell r="N1492">
            <v>208</v>
          </cell>
          <cell r="P1492">
            <v>203</v>
          </cell>
          <cell r="R1492">
            <v>211</v>
          </cell>
          <cell r="T1492">
            <v>211</v>
          </cell>
          <cell r="V1492">
            <v>215</v>
          </cell>
          <cell r="X1492">
            <v>208</v>
          </cell>
          <cell r="Z1492">
            <v>215</v>
          </cell>
          <cell r="AD1492">
            <v>2.3E-2</v>
          </cell>
        </row>
        <row r="1493">
          <cell r="E1493" t="str">
            <v>CVV 5.5sq-4C</v>
          </cell>
          <cell r="F1493" t="str">
            <v>ｍ</v>
          </cell>
          <cell r="H1493">
            <v>303</v>
          </cell>
          <cell r="J1493">
            <v>308</v>
          </cell>
          <cell r="L1493">
            <v>308</v>
          </cell>
          <cell r="N1493">
            <v>299</v>
          </cell>
          <cell r="P1493">
            <v>292</v>
          </cell>
          <cell r="R1493">
            <v>303</v>
          </cell>
          <cell r="T1493">
            <v>303</v>
          </cell>
          <cell r="V1493">
            <v>308</v>
          </cell>
          <cell r="X1493">
            <v>299</v>
          </cell>
          <cell r="Z1493">
            <v>308</v>
          </cell>
          <cell r="AD1493">
            <v>2.8000000000000001E-2</v>
          </cell>
        </row>
        <row r="1494">
          <cell r="E1494" t="str">
            <v>CVV 8sq-4C</v>
          </cell>
          <cell r="F1494" t="str">
            <v>ｍ</v>
          </cell>
          <cell r="H1494">
            <v>413</v>
          </cell>
          <cell r="J1494">
            <v>419</v>
          </cell>
          <cell r="L1494">
            <v>419</v>
          </cell>
          <cell r="N1494">
            <v>406</v>
          </cell>
          <cell r="P1494">
            <v>397</v>
          </cell>
          <cell r="R1494">
            <v>413</v>
          </cell>
          <cell r="T1494">
            <v>413</v>
          </cell>
          <cell r="V1494">
            <v>419</v>
          </cell>
          <cell r="X1494">
            <v>406</v>
          </cell>
          <cell r="Z1494">
            <v>419</v>
          </cell>
          <cell r="AD1494">
            <v>3.4000000000000002E-2</v>
          </cell>
        </row>
        <row r="1495">
          <cell r="E1495" t="str">
            <v>CVV 1.25sq-5C</v>
          </cell>
          <cell r="F1495" t="str">
            <v>ｍ</v>
          </cell>
          <cell r="H1495">
            <v>120</v>
          </cell>
          <cell r="J1495">
            <v>122</v>
          </cell>
          <cell r="L1495">
            <v>122</v>
          </cell>
          <cell r="N1495">
            <v>118</v>
          </cell>
          <cell r="P1495">
            <v>115</v>
          </cell>
          <cell r="R1495">
            <v>120</v>
          </cell>
          <cell r="T1495">
            <v>120</v>
          </cell>
          <cell r="V1495">
            <v>122</v>
          </cell>
          <cell r="X1495">
            <v>118</v>
          </cell>
          <cell r="Z1495">
            <v>122</v>
          </cell>
          <cell r="AD1495">
            <v>2.5000000000000001E-2</v>
          </cell>
        </row>
        <row r="1496">
          <cell r="E1496" t="str">
            <v>CVV 2sq-5C</v>
          </cell>
          <cell r="F1496" t="str">
            <v>ｍ</v>
          </cell>
          <cell r="H1496">
            <v>167</v>
          </cell>
          <cell r="J1496">
            <v>170</v>
          </cell>
          <cell r="L1496">
            <v>170</v>
          </cell>
          <cell r="N1496">
            <v>164</v>
          </cell>
          <cell r="P1496">
            <v>161</v>
          </cell>
          <cell r="R1496">
            <v>167</v>
          </cell>
          <cell r="T1496">
            <v>167</v>
          </cell>
          <cell r="V1496">
            <v>170</v>
          </cell>
          <cell r="X1496">
            <v>164</v>
          </cell>
          <cell r="Z1496">
            <v>170</v>
          </cell>
          <cell r="AD1496">
            <v>2.8000000000000001E-2</v>
          </cell>
        </row>
        <row r="1497">
          <cell r="E1497" t="str">
            <v>CVV 3.5sq-5C</v>
          </cell>
          <cell r="F1497" t="str">
            <v>ｍ</v>
          </cell>
          <cell r="H1497">
            <v>250</v>
          </cell>
          <cell r="J1497">
            <v>254</v>
          </cell>
          <cell r="L1497">
            <v>254</v>
          </cell>
          <cell r="N1497">
            <v>246</v>
          </cell>
          <cell r="P1497">
            <v>240</v>
          </cell>
          <cell r="R1497">
            <v>250</v>
          </cell>
          <cell r="T1497">
            <v>250</v>
          </cell>
          <cell r="V1497">
            <v>254</v>
          </cell>
          <cell r="X1497">
            <v>246</v>
          </cell>
          <cell r="Z1497">
            <v>254</v>
          </cell>
          <cell r="AD1497">
            <v>0.03</v>
          </cell>
        </row>
        <row r="1498">
          <cell r="E1498" t="str">
            <v>CVV 5.5sq-5C</v>
          </cell>
          <cell r="F1498" t="str">
            <v>ｍ</v>
          </cell>
          <cell r="H1498">
            <v>371</v>
          </cell>
          <cell r="J1498">
            <v>376</v>
          </cell>
          <cell r="L1498">
            <v>376</v>
          </cell>
          <cell r="N1498">
            <v>365</v>
          </cell>
          <cell r="P1498">
            <v>356</v>
          </cell>
          <cell r="R1498">
            <v>371</v>
          </cell>
          <cell r="T1498">
            <v>371</v>
          </cell>
          <cell r="V1498">
            <v>376</v>
          </cell>
          <cell r="X1498">
            <v>365</v>
          </cell>
          <cell r="Z1498">
            <v>376</v>
          </cell>
          <cell r="AD1498">
            <v>3.6999999999999998E-2</v>
          </cell>
        </row>
        <row r="1499">
          <cell r="E1499" t="str">
            <v>CVV 8sq-5C</v>
          </cell>
          <cell r="F1499" t="str">
            <v>ｍ</v>
          </cell>
          <cell r="H1499">
            <v>531</v>
          </cell>
          <cell r="J1499">
            <v>539</v>
          </cell>
          <cell r="L1499">
            <v>539</v>
          </cell>
          <cell r="N1499">
            <v>522</v>
          </cell>
          <cell r="P1499">
            <v>510</v>
          </cell>
          <cell r="R1499">
            <v>531</v>
          </cell>
          <cell r="T1499">
            <v>531</v>
          </cell>
          <cell r="V1499">
            <v>539</v>
          </cell>
          <cell r="X1499">
            <v>522</v>
          </cell>
          <cell r="Z1499">
            <v>539</v>
          </cell>
          <cell r="AD1499">
            <v>4.3999999999999997E-2</v>
          </cell>
        </row>
        <row r="1500">
          <cell r="E1500" t="str">
            <v>CVV 1.25sq-6C</v>
          </cell>
          <cell r="F1500" t="str">
            <v>ｍ</v>
          </cell>
          <cell r="H1500">
            <v>140</v>
          </cell>
          <cell r="J1500">
            <v>142</v>
          </cell>
          <cell r="L1500">
            <v>142</v>
          </cell>
          <cell r="N1500">
            <v>138</v>
          </cell>
          <cell r="P1500">
            <v>135</v>
          </cell>
          <cell r="R1500">
            <v>140</v>
          </cell>
          <cell r="T1500">
            <v>140</v>
          </cell>
          <cell r="V1500">
            <v>142</v>
          </cell>
          <cell r="X1500">
            <v>138</v>
          </cell>
          <cell r="Z1500">
            <v>142</v>
          </cell>
          <cell r="AD1500">
            <v>2.5000000000000001E-2</v>
          </cell>
        </row>
        <row r="1501">
          <cell r="E1501" t="str">
            <v>CVV 2sq-6C</v>
          </cell>
          <cell r="F1501" t="str">
            <v>ｍ</v>
          </cell>
          <cell r="H1501">
            <v>203</v>
          </cell>
          <cell r="J1501">
            <v>206</v>
          </cell>
          <cell r="L1501">
            <v>206</v>
          </cell>
          <cell r="N1501">
            <v>200</v>
          </cell>
          <cell r="P1501">
            <v>195</v>
          </cell>
          <cell r="R1501">
            <v>203</v>
          </cell>
          <cell r="T1501">
            <v>203</v>
          </cell>
          <cell r="V1501">
            <v>206</v>
          </cell>
          <cell r="X1501">
            <v>200</v>
          </cell>
          <cell r="Z1501">
            <v>206</v>
          </cell>
          <cell r="AD1501">
            <v>2.8000000000000001E-2</v>
          </cell>
        </row>
        <row r="1502">
          <cell r="E1502" t="str">
            <v>CVV 3.5sq-6C</v>
          </cell>
          <cell r="F1502" t="str">
            <v>ｍ</v>
          </cell>
          <cell r="H1502">
            <v>301</v>
          </cell>
          <cell r="J1502">
            <v>306</v>
          </cell>
          <cell r="L1502">
            <v>306</v>
          </cell>
          <cell r="N1502">
            <v>296</v>
          </cell>
          <cell r="P1502">
            <v>289</v>
          </cell>
          <cell r="R1502">
            <v>301</v>
          </cell>
          <cell r="T1502">
            <v>301</v>
          </cell>
          <cell r="V1502">
            <v>306</v>
          </cell>
          <cell r="X1502">
            <v>296</v>
          </cell>
          <cell r="Z1502">
            <v>306</v>
          </cell>
          <cell r="AD1502">
            <v>0.03</v>
          </cell>
        </row>
        <row r="1503">
          <cell r="E1503" t="str">
            <v>CVV 5.5sq-6C</v>
          </cell>
          <cell r="F1503" t="str">
            <v>ｍ</v>
          </cell>
          <cell r="H1503">
            <v>442</v>
          </cell>
          <cell r="J1503">
            <v>449</v>
          </cell>
          <cell r="L1503">
            <v>449</v>
          </cell>
          <cell r="N1503">
            <v>435</v>
          </cell>
          <cell r="P1503">
            <v>425</v>
          </cell>
          <cell r="R1503">
            <v>442</v>
          </cell>
          <cell r="T1503">
            <v>442</v>
          </cell>
          <cell r="V1503">
            <v>449</v>
          </cell>
          <cell r="X1503">
            <v>435</v>
          </cell>
          <cell r="Z1503">
            <v>449</v>
          </cell>
          <cell r="AD1503">
            <v>3.6999999999999998E-2</v>
          </cell>
        </row>
        <row r="1504">
          <cell r="E1504" t="str">
            <v>CVV 8sq-6C</v>
          </cell>
          <cell r="F1504" t="str">
            <v>ｍ</v>
          </cell>
          <cell r="H1504">
            <v>618</v>
          </cell>
          <cell r="J1504">
            <v>627</v>
          </cell>
          <cell r="L1504">
            <v>627</v>
          </cell>
          <cell r="N1504">
            <v>608</v>
          </cell>
          <cell r="P1504">
            <v>593</v>
          </cell>
          <cell r="R1504">
            <v>618</v>
          </cell>
          <cell r="T1504">
            <v>618</v>
          </cell>
          <cell r="V1504">
            <v>627</v>
          </cell>
          <cell r="X1504">
            <v>608</v>
          </cell>
          <cell r="Z1504">
            <v>627</v>
          </cell>
          <cell r="AD1504">
            <v>4.3999999999999997E-2</v>
          </cell>
        </row>
        <row r="1505">
          <cell r="E1505" t="str">
            <v>CVV 1.25sq-7C</v>
          </cell>
          <cell r="F1505" t="str">
            <v>ｍ</v>
          </cell>
          <cell r="H1505">
            <v>162</v>
          </cell>
          <cell r="J1505">
            <v>164</v>
          </cell>
          <cell r="L1505">
            <v>164</v>
          </cell>
          <cell r="N1505">
            <v>159</v>
          </cell>
          <cell r="P1505">
            <v>156</v>
          </cell>
          <cell r="R1505">
            <v>162</v>
          </cell>
          <cell r="T1505">
            <v>162</v>
          </cell>
          <cell r="V1505">
            <v>164</v>
          </cell>
          <cell r="X1505">
            <v>159</v>
          </cell>
          <cell r="Z1505">
            <v>164</v>
          </cell>
          <cell r="AD1505">
            <v>0.03</v>
          </cell>
        </row>
        <row r="1506">
          <cell r="E1506" t="str">
            <v>CVV 2sq-7C</v>
          </cell>
          <cell r="F1506" t="str">
            <v>ｍ</v>
          </cell>
          <cell r="H1506">
            <v>230</v>
          </cell>
          <cell r="J1506">
            <v>234</v>
          </cell>
          <cell r="L1506">
            <v>234</v>
          </cell>
          <cell r="N1506">
            <v>227</v>
          </cell>
          <cell r="P1506">
            <v>221</v>
          </cell>
          <cell r="R1506">
            <v>230</v>
          </cell>
          <cell r="T1506">
            <v>230</v>
          </cell>
          <cell r="V1506">
            <v>234</v>
          </cell>
          <cell r="X1506">
            <v>227</v>
          </cell>
          <cell r="Z1506">
            <v>234</v>
          </cell>
          <cell r="AD1506">
            <v>3.4000000000000002E-2</v>
          </cell>
        </row>
        <row r="1507">
          <cell r="E1507" t="str">
            <v>CVV 3.5sq-7C</v>
          </cell>
          <cell r="F1507" t="str">
            <v>ｍ</v>
          </cell>
          <cell r="H1507">
            <v>361</v>
          </cell>
          <cell r="J1507">
            <v>357</v>
          </cell>
          <cell r="L1507">
            <v>357</v>
          </cell>
          <cell r="N1507">
            <v>346</v>
          </cell>
          <cell r="P1507">
            <v>338</v>
          </cell>
          <cell r="R1507">
            <v>361</v>
          </cell>
          <cell r="T1507">
            <v>361</v>
          </cell>
          <cell r="V1507">
            <v>357</v>
          </cell>
          <cell r="X1507">
            <v>346</v>
          </cell>
          <cell r="Z1507">
            <v>357</v>
          </cell>
          <cell r="AD1507">
            <v>3.6999999999999998E-2</v>
          </cell>
        </row>
        <row r="1508">
          <cell r="E1508" t="str">
            <v>CVV 5.5sq-7C</v>
          </cell>
          <cell r="F1508" t="str">
            <v>ｍ</v>
          </cell>
          <cell r="H1508">
            <v>516</v>
          </cell>
          <cell r="J1508">
            <v>524</v>
          </cell>
          <cell r="L1508">
            <v>524</v>
          </cell>
          <cell r="N1508">
            <v>508</v>
          </cell>
          <cell r="P1508">
            <v>496</v>
          </cell>
          <cell r="R1508">
            <v>516</v>
          </cell>
          <cell r="T1508">
            <v>516</v>
          </cell>
          <cell r="V1508">
            <v>524</v>
          </cell>
          <cell r="X1508">
            <v>508</v>
          </cell>
          <cell r="Z1508">
            <v>524</v>
          </cell>
          <cell r="AD1508">
            <v>4.3999999999999997E-2</v>
          </cell>
        </row>
        <row r="1509">
          <cell r="E1509" t="str">
            <v>CVV 8sq-7C</v>
          </cell>
          <cell r="F1509" t="str">
            <v>ｍ</v>
          </cell>
          <cell r="H1509">
            <v>708</v>
          </cell>
          <cell r="J1509">
            <v>719</v>
          </cell>
          <cell r="L1509">
            <v>719</v>
          </cell>
          <cell r="N1509">
            <v>697</v>
          </cell>
          <cell r="P1509">
            <v>680</v>
          </cell>
          <cell r="R1509">
            <v>708</v>
          </cell>
          <cell r="T1509">
            <v>708</v>
          </cell>
          <cell r="V1509">
            <v>719</v>
          </cell>
          <cell r="X1509">
            <v>697</v>
          </cell>
          <cell r="Z1509">
            <v>719</v>
          </cell>
          <cell r="AD1509">
            <v>5.3999999999999999E-2</v>
          </cell>
        </row>
        <row r="1510">
          <cell r="E1510" t="str">
            <v>CVV 1.25sq-8C</v>
          </cell>
          <cell r="F1510" t="str">
            <v>ｍ</v>
          </cell>
          <cell r="H1510">
            <v>188</v>
          </cell>
          <cell r="J1510">
            <v>190</v>
          </cell>
          <cell r="L1510">
            <v>190</v>
          </cell>
          <cell r="N1510">
            <v>185</v>
          </cell>
          <cell r="P1510">
            <v>180</v>
          </cell>
          <cell r="R1510">
            <v>188</v>
          </cell>
          <cell r="T1510">
            <v>188</v>
          </cell>
          <cell r="V1510">
            <v>190</v>
          </cell>
          <cell r="X1510">
            <v>185</v>
          </cell>
          <cell r="Z1510">
            <v>190</v>
          </cell>
          <cell r="AD1510">
            <v>3.4000000000000002E-2</v>
          </cell>
        </row>
        <row r="1511">
          <cell r="E1511" t="str">
            <v>CVV 2sq-8C</v>
          </cell>
          <cell r="F1511" t="str">
            <v>ｍ</v>
          </cell>
          <cell r="H1511">
            <v>263</v>
          </cell>
          <cell r="J1511">
            <v>267</v>
          </cell>
          <cell r="L1511">
            <v>267</v>
          </cell>
          <cell r="N1511">
            <v>259</v>
          </cell>
          <cell r="P1511">
            <v>253</v>
          </cell>
          <cell r="R1511">
            <v>263</v>
          </cell>
          <cell r="T1511">
            <v>263</v>
          </cell>
          <cell r="V1511">
            <v>267</v>
          </cell>
          <cell r="X1511">
            <v>259</v>
          </cell>
          <cell r="Z1511">
            <v>267</v>
          </cell>
          <cell r="AD1511">
            <v>3.6999999999999998E-2</v>
          </cell>
        </row>
        <row r="1512">
          <cell r="E1512" t="str">
            <v>CVV 3.5sq-8C</v>
          </cell>
          <cell r="F1512" t="str">
            <v>ｍ</v>
          </cell>
          <cell r="H1512">
            <v>413</v>
          </cell>
          <cell r="J1512">
            <v>419</v>
          </cell>
          <cell r="L1512">
            <v>419</v>
          </cell>
          <cell r="N1512">
            <v>406</v>
          </cell>
          <cell r="P1512">
            <v>397</v>
          </cell>
          <cell r="R1512">
            <v>413</v>
          </cell>
          <cell r="T1512">
            <v>413</v>
          </cell>
          <cell r="V1512">
            <v>419</v>
          </cell>
          <cell r="X1512">
            <v>406</v>
          </cell>
          <cell r="Z1512">
            <v>419</v>
          </cell>
          <cell r="AD1512">
            <v>4.3999999999999997E-2</v>
          </cell>
        </row>
        <row r="1513">
          <cell r="E1513" t="str">
            <v>CVV 5.5sq-8C</v>
          </cell>
          <cell r="F1513" t="str">
            <v>ｍ</v>
          </cell>
          <cell r="H1513">
            <v>608</v>
          </cell>
          <cell r="J1513">
            <v>618</v>
          </cell>
          <cell r="L1513">
            <v>618</v>
          </cell>
          <cell r="N1513">
            <v>599</v>
          </cell>
          <cell r="P1513">
            <v>584</v>
          </cell>
          <cell r="R1513">
            <v>608</v>
          </cell>
          <cell r="T1513">
            <v>608</v>
          </cell>
          <cell r="V1513">
            <v>618</v>
          </cell>
          <cell r="X1513">
            <v>599</v>
          </cell>
          <cell r="Z1513">
            <v>618</v>
          </cell>
          <cell r="AD1513">
            <v>4.3999999999999997E-2</v>
          </cell>
        </row>
        <row r="1514">
          <cell r="E1514" t="str">
            <v>CVV 8sq-8C</v>
          </cell>
          <cell r="F1514" t="str">
            <v>ｍ</v>
          </cell>
          <cell r="H1514">
            <v>874</v>
          </cell>
          <cell r="J1514">
            <v>888</v>
          </cell>
          <cell r="L1514">
            <v>888</v>
          </cell>
          <cell r="N1514">
            <v>861</v>
          </cell>
          <cell r="P1514">
            <v>840</v>
          </cell>
          <cell r="R1514">
            <v>874</v>
          </cell>
          <cell r="T1514">
            <v>874</v>
          </cell>
          <cell r="V1514">
            <v>888</v>
          </cell>
          <cell r="X1514">
            <v>861</v>
          </cell>
          <cell r="Z1514">
            <v>888</v>
          </cell>
          <cell r="AD1514">
            <v>5.3999999999999999E-2</v>
          </cell>
        </row>
        <row r="1515">
          <cell r="E1515" t="str">
            <v>CVV 1.25sq-10C</v>
          </cell>
          <cell r="F1515" t="str">
            <v>ｍ</v>
          </cell>
          <cell r="H1515">
            <v>232</v>
          </cell>
          <cell r="J1515">
            <v>236</v>
          </cell>
          <cell r="L1515">
            <v>236</v>
          </cell>
          <cell r="N1515">
            <v>229</v>
          </cell>
          <cell r="P1515">
            <v>223</v>
          </cell>
          <cell r="R1515">
            <v>232</v>
          </cell>
          <cell r="T1515">
            <v>232</v>
          </cell>
          <cell r="V1515">
            <v>236</v>
          </cell>
          <cell r="X1515">
            <v>229</v>
          </cell>
          <cell r="Z1515">
            <v>236</v>
          </cell>
          <cell r="AD1515">
            <v>3.6999999999999998E-2</v>
          </cell>
        </row>
        <row r="1516">
          <cell r="E1516" t="str">
            <v>CVV 2sq-10C</v>
          </cell>
          <cell r="F1516" t="str">
            <v>ｍ</v>
          </cell>
          <cell r="H1516">
            <v>324</v>
          </cell>
          <cell r="J1516">
            <v>330</v>
          </cell>
          <cell r="L1516">
            <v>330</v>
          </cell>
          <cell r="N1516">
            <v>319</v>
          </cell>
          <cell r="P1516">
            <v>312</v>
          </cell>
          <cell r="R1516">
            <v>324</v>
          </cell>
          <cell r="T1516">
            <v>324</v>
          </cell>
          <cell r="V1516">
            <v>330</v>
          </cell>
          <cell r="X1516">
            <v>319</v>
          </cell>
          <cell r="Z1516">
            <v>330</v>
          </cell>
          <cell r="AD1516">
            <v>4.2000000000000003E-2</v>
          </cell>
        </row>
        <row r="1517">
          <cell r="E1517" t="str">
            <v>CVV 3.5sq-10C</v>
          </cell>
          <cell r="F1517" t="str">
            <v>ｍ</v>
          </cell>
          <cell r="H1517">
            <v>488</v>
          </cell>
          <cell r="J1517">
            <v>496</v>
          </cell>
          <cell r="L1517">
            <v>496</v>
          </cell>
          <cell r="N1517">
            <v>481</v>
          </cell>
          <cell r="P1517">
            <v>469</v>
          </cell>
          <cell r="R1517">
            <v>488</v>
          </cell>
          <cell r="T1517">
            <v>488</v>
          </cell>
          <cell r="V1517">
            <v>496</v>
          </cell>
          <cell r="X1517">
            <v>481</v>
          </cell>
          <cell r="Z1517">
            <v>496</v>
          </cell>
          <cell r="AD1517">
            <v>4.4999999999999998E-2</v>
          </cell>
        </row>
        <row r="1518">
          <cell r="E1518" t="str">
            <v>CVV 5.5sq-10C</v>
          </cell>
          <cell r="F1518" t="str">
            <v>ｍ</v>
          </cell>
          <cell r="H1518">
            <v>731</v>
          </cell>
          <cell r="J1518">
            <v>742</v>
          </cell>
          <cell r="L1518">
            <v>742</v>
          </cell>
          <cell r="N1518">
            <v>719</v>
          </cell>
          <cell r="P1518">
            <v>702</v>
          </cell>
          <cell r="R1518">
            <v>731</v>
          </cell>
          <cell r="T1518">
            <v>731</v>
          </cell>
          <cell r="V1518">
            <v>742</v>
          </cell>
          <cell r="X1518">
            <v>719</v>
          </cell>
          <cell r="Z1518">
            <v>742</v>
          </cell>
          <cell r="AD1518">
            <v>5.3999999999999999E-2</v>
          </cell>
        </row>
        <row r="1519">
          <cell r="E1519" t="str">
            <v>CVV 8sq-10C</v>
          </cell>
          <cell r="F1519" t="str">
            <v>ｍ</v>
          </cell>
          <cell r="H1519">
            <v>1094</v>
          </cell>
          <cell r="J1519">
            <v>1111</v>
          </cell>
          <cell r="L1519">
            <v>1111</v>
          </cell>
          <cell r="N1519">
            <v>1077</v>
          </cell>
          <cell r="P1519">
            <v>1051</v>
          </cell>
          <cell r="R1519">
            <v>1094</v>
          </cell>
          <cell r="T1519">
            <v>1094</v>
          </cell>
          <cell r="V1519">
            <v>1111</v>
          </cell>
          <cell r="X1519">
            <v>1077</v>
          </cell>
          <cell r="Z1519">
            <v>1111</v>
          </cell>
          <cell r="AD1519">
            <v>6.6000000000000003E-2</v>
          </cell>
        </row>
        <row r="1520">
          <cell r="E1520" t="str">
            <v>CVV 1.25sq-12C</v>
          </cell>
          <cell r="F1520" t="str">
            <v>ｍ</v>
          </cell>
          <cell r="H1520">
            <v>276</v>
          </cell>
          <cell r="J1520">
            <v>281</v>
          </cell>
          <cell r="L1520">
            <v>281</v>
          </cell>
          <cell r="N1520">
            <v>272</v>
          </cell>
          <cell r="P1520">
            <v>266</v>
          </cell>
          <cell r="R1520">
            <v>276</v>
          </cell>
          <cell r="T1520">
            <v>276</v>
          </cell>
          <cell r="V1520">
            <v>281</v>
          </cell>
          <cell r="X1520">
            <v>272</v>
          </cell>
          <cell r="Z1520">
            <v>281</v>
          </cell>
          <cell r="AD1520">
            <v>4.2999999999999997E-2</v>
          </cell>
        </row>
        <row r="1521">
          <cell r="E1521" t="str">
            <v>CVV 2sq-12C</v>
          </cell>
          <cell r="F1521" t="str">
            <v>ｍ</v>
          </cell>
          <cell r="H1521">
            <v>386</v>
          </cell>
          <cell r="J1521">
            <v>392</v>
          </cell>
          <cell r="L1521">
            <v>392</v>
          </cell>
          <cell r="N1521">
            <v>380</v>
          </cell>
          <cell r="P1521">
            <v>371</v>
          </cell>
          <cell r="R1521">
            <v>386</v>
          </cell>
          <cell r="T1521">
            <v>386</v>
          </cell>
          <cell r="V1521">
            <v>392</v>
          </cell>
          <cell r="X1521">
            <v>380</v>
          </cell>
          <cell r="Z1521">
            <v>392</v>
          </cell>
          <cell r="AD1521">
            <v>4.8000000000000001E-2</v>
          </cell>
        </row>
        <row r="1522">
          <cell r="E1522" t="str">
            <v>CVV 3.5sq-12C</v>
          </cell>
          <cell r="F1522" t="str">
            <v>ｍ</v>
          </cell>
          <cell r="H1522">
            <v>582</v>
          </cell>
          <cell r="J1522">
            <v>592</v>
          </cell>
          <cell r="L1522">
            <v>592</v>
          </cell>
          <cell r="N1522">
            <v>573</v>
          </cell>
          <cell r="P1522">
            <v>560</v>
          </cell>
          <cell r="R1522">
            <v>582</v>
          </cell>
          <cell r="T1522">
            <v>582</v>
          </cell>
          <cell r="V1522">
            <v>592</v>
          </cell>
          <cell r="X1522">
            <v>573</v>
          </cell>
          <cell r="Z1522">
            <v>592</v>
          </cell>
          <cell r="AD1522">
            <v>5.2999999999999999E-2</v>
          </cell>
        </row>
        <row r="1523">
          <cell r="E1523" t="str">
            <v>CVV 5.5sq-12C</v>
          </cell>
          <cell r="F1523" t="str">
            <v>ｍ</v>
          </cell>
          <cell r="H1523">
            <v>857</v>
          </cell>
          <cell r="J1523">
            <v>870</v>
          </cell>
          <cell r="L1523">
            <v>870</v>
          </cell>
          <cell r="N1523">
            <v>844</v>
          </cell>
          <cell r="P1523">
            <v>823</v>
          </cell>
          <cell r="R1523">
            <v>857</v>
          </cell>
          <cell r="T1523">
            <v>857</v>
          </cell>
          <cell r="V1523">
            <v>870</v>
          </cell>
          <cell r="X1523">
            <v>844</v>
          </cell>
          <cell r="Z1523">
            <v>870</v>
          </cell>
          <cell r="AD1523">
            <v>6.3E-2</v>
          </cell>
        </row>
        <row r="1524">
          <cell r="E1524" t="str">
            <v>CVV 8sq-12C</v>
          </cell>
          <cell r="F1524" t="str">
            <v>ｍ</v>
          </cell>
          <cell r="H1524">
            <v>1290</v>
          </cell>
          <cell r="J1524">
            <v>1310</v>
          </cell>
          <cell r="L1524">
            <v>1310</v>
          </cell>
          <cell r="N1524">
            <v>1270</v>
          </cell>
          <cell r="P1524">
            <v>1240</v>
          </cell>
          <cell r="R1524">
            <v>1290</v>
          </cell>
          <cell r="T1524">
            <v>1290</v>
          </cell>
          <cell r="V1524">
            <v>1310</v>
          </cell>
          <cell r="X1524">
            <v>1270</v>
          </cell>
          <cell r="Z1524">
            <v>1310</v>
          </cell>
          <cell r="AD1524">
            <v>7.6999999999999999E-2</v>
          </cell>
        </row>
        <row r="1525">
          <cell r="E1525" t="str">
            <v>CVV 1.25sq-15C</v>
          </cell>
          <cell r="F1525" t="str">
            <v>ｍ</v>
          </cell>
          <cell r="H1525">
            <v>342</v>
          </cell>
          <cell r="J1525">
            <v>347</v>
          </cell>
          <cell r="L1525">
            <v>347</v>
          </cell>
          <cell r="N1525">
            <v>336</v>
          </cell>
          <cell r="P1525">
            <v>328</v>
          </cell>
          <cell r="R1525">
            <v>342</v>
          </cell>
          <cell r="T1525">
            <v>342</v>
          </cell>
          <cell r="V1525">
            <v>347</v>
          </cell>
          <cell r="X1525">
            <v>336</v>
          </cell>
          <cell r="Z1525">
            <v>347</v>
          </cell>
          <cell r="AD1525">
            <v>5.3999999999999999E-2</v>
          </cell>
        </row>
        <row r="1526">
          <cell r="E1526" t="str">
            <v>CVV 2sq-15C</v>
          </cell>
          <cell r="F1526" t="str">
            <v>ｍ</v>
          </cell>
          <cell r="H1526">
            <v>479</v>
          </cell>
          <cell r="J1526">
            <v>487</v>
          </cell>
          <cell r="L1526">
            <v>487</v>
          </cell>
          <cell r="N1526">
            <v>472</v>
          </cell>
          <cell r="P1526">
            <v>451</v>
          </cell>
          <cell r="R1526">
            <v>479</v>
          </cell>
          <cell r="T1526">
            <v>479</v>
          </cell>
          <cell r="V1526">
            <v>487</v>
          </cell>
          <cell r="X1526">
            <v>472</v>
          </cell>
          <cell r="Z1526">
            <v>487</v>
          </cell>
          <cell r="AD1526">
            <v>0.06</v>
          </cell>
        </row>
        <row r="1527">
          <cell r="E1527" t="str">
            <v>CVV 3.5sq-15C</v>
          </cell>
          <cell r="F1527" t="str">
            <v>ｍ</v>
          </cell>
          <cell r="H1527">
            <v>721</v>
          </cell>
          <cell r="J1527">
            <v>732</v>
          </cell>
          <cell r="L1527">
            <v>732</v>
          </cell>
          <cell r="N1527">
            <v>709</v>
          </cell>
          <cell r="P1527">
            <v>692</v>
          </cell>
          <cell r="R1527">
            <v>721</v>
          </cell>
          <cell r="T1527">
            <v>721</v>
          </cell>
          <cell r="V1527">
            <v>732</v>
          </cell>
          <cell r="X1527">
            <v>709</v>
          </cell>
          <cell r="Z1527">
            <v>732</v>
          </cell>
          <cell r="AD1527">
            <v>6.6000000000000003E-2</v>
          </cell>
        </row>
        <row r="1528">
          <cell r="E1528" t="str">
            <v>CVV 5.5sq-15C</v>
          </cell>
          <cell r="F1528" t="str">
            <v>ｍ</v>
          </cell>
          <cell r="H1528">
            <v>1057</v>
          </cell>
          <cell r="J1528">
            <v>1073</v>
          </cell>
          <cell r="L1528">
            <v>1073</v>
          </cell>
          <cell r="N1528">
            <v>1040</v>
          </cell>
          <cell r="P1528">
            <v>1015</v>
          </cell>
          <cell r="R1528">
            <v>1057</v>
          </cell>
          <cell r="T1528">
            <v>1057</v>
          </cell>
          <cell r="V1528">
            <v>1073</v>
          </cell>
          <cell r="X1528">
            <v>1040</v>
          </cell>
          <cell r="Z1528">
            <v>1073</v>
          </cell>
          <cell r="AD1528">
            <v>7.8E-2</v>
          </cell>
        </row>
        <row r="1529">
          <cell r="E1529" t="str">
            <v>CVV 1.25sq-20C</v>
          </cell>
          <cell r="F1529" t="str">
            <v>ｍ</v>
          </cell>
          <cell r="H1529">
            <v>452</v>
          </cell>
          <cell r="J1529">
            <v>459</v>
          </cell>
          <cell r="L1529">
            <v>459</v>
          </cell>
          <cell r="N1529">
            <v>445</v>
          </cell>
          <cell r="P1529">
            <v>434</v>
          </cell>
          <cell r="R1529">
            <v>452</v>
          </cell>
          <cell r="T1529">
            <v>452</v>
          </cell>
          <cell r="V1529">
            <v>459</v>
          </cell>
          <cell r="X1529">
            <v>445</v>
          </cell>
          <cell r="Z1529">
            <v>459</v>
          </cell>
          <cell r="AD1529">
            <v>6.3E-2</v>
          </cell>
        </row>
        <row r="1530">
          <cell r="E1530" t="str">
            <v>CVV 2sq-20C</v>
          </cell>
          <cell r="F1530" t="str">
            <v>ｍ</v>
          </cell>
          <cell r="H1530">
            <v>634</v>
          </cell>
          <cell r="J1530">
            <v>644</v>
          </cell>
          <cell r="L1530">
            <v>644</v>
          </cell>
          <cell r="N1530">
            <v>624</v>
          </cell>
          <cell r="P1530">
            <v>609</v>
          </cell>
          <cell r="R1530">
            <v>634</v>
          </cell>
          <cell r="T1530">
            <v>634</v>
          </cell>
          <cell r="V1530">
            <v>644</v>
          </cell>
          <cell r="X1530">
            <v>624</v>
          </cell>
          <cell r="Z1530">
            <v>644</v>
          </cell>
          <cell r="AD1530">
            <v>7.0000000000000007E-2</v>
          </cell>
        </row>
        <row r="1531">
          <cell r="E1531" t="str">
            <v>CVV 3.5sq-20C</v>
          </cell>
          <cell r="F1531" t="str">
            <v>ｍ</v>
          </cell>
          <cell r="H1531">
            <v>963</v>
          </cell>
          <cell r="J1531">
            <v>978</v>
          </cell>
          <cell r="L1531">
            <v>978</v>
          </cell>
          <cell r="N1531">
            <v>948</v>
          </cell>
          <cell r="P1531">
            <v>925</v>
          </cell>
          <cell r="R1531">
            <v>963</v>
          </cell>
          <cell r="T1531">
            <v>963</v>
          </cell>
          <cell r="V1531">
            <v>978</v>
          </cell>
          <cell r="X1531">
            <v>948</v>
          </cell>
          <cell r="Z1531">
            <v>978</v>
          </cell>
          <cell r="AD1531">
            <v>7.6999999999999999E-2</v>
          </cell>
        </row>
        <row r="1532">
          <cell r="E1532" t="str">
            <v>CVV 5.5sq-20C</v>
          </cell>
          <cell r="F1532" t="str">
            <v>ｍ</v>
          </cell>
          <cell r="H1532">
            <v>1408</v>
          </cell>
          <cell r="J1532">
            <v>1430</v>
          </cell>
          <cell r="L1532">
            <v>1430</v>
          </cell>
          <cell r="N1532">
            <v>1386</v>
          </cell>
          <cell r="P1532">
            <v>1353</v>
          </cell>
          <cell r="R1532">
            <v>1408</v>
          </cell>
          <cell r="T1532">
            <v>1408</v>
          </cell>
          <cell r="V1532">
            <v>1430</v>
          </cell>
          <cell r="X1532">
            <v>1386</v>
          </cell>
          <cell r="Z1532">
            <v>1430</v>
          </cell>
          <cell r="AD1532">
            <v>9.0999999999999998E-2</v>
          </cell>
        </row>
        <row r="1533">
          <cell r="E1533" t="str">
            <v>CVV 1.25sq-30C</v>
          </cell>
          <cell r="F1533" t="str">
            <v>ｍ</v>
          </cell>
          <cell r="H1533">
            <v>652</v>
          </cell>
          <cell r="J1533">
            <v>662</v>
          </cell>
          <cell r="L1533">
            <v>662</v>
          </cell>
          <cell r="N1533">
            <v>642</v>
          </cell>
          <cell r="P1533">
            <v>627</v>
          </cell>
          <cell r="R1533">
            <v>652</v>
          </cell>
          <cell r="T1533">
            <v>652</v>
          </cell>
          <cell r="V1533">
            <v>662</v>
          </cell>
          <cell r="X1533">
            <v>642</v>
          </cell>
          <cell r="Z1533">
            <v>662</v>
          </cell>
          <cell r="AD1533">
            <v>7.4999999999999997E-2</v>
          </cell>
        </row>
        <row r="1534">
          <cell r="E1534" t="str">
            <v>CVV 2sq-30C</v>
          </cell>
          <cell r="F1534" t="str">
            <v>ｍ</v>
          </cell>
          <cell r="H1534">
            <v>932</v>
          </cell>
          <cell r="J1534">
            <v>946</v>
          </cell>
          <cell r="L1534">
            <v>946</v>
          </cell>
          <cell r="N1534">
            <v>917</v>
          </cell>
          <cell r="P1534">
            <v>895</v>
          </cell>
          <cell r="R1534">
            <v>932</v>
          </cell>
          <cell r="T1534">
            <v>932</v>
          </cell>
          <cell r="V1534">
            <v>946</v>
          </cell>
          <cell r="X1534">
            <v>917</v>
          </cell>
          <cell r="Z1534">
            <v>946</v>
          </cell>
          <cell r="AD1534">
            <v>8.3000000000000004E-2</v>
          </cell>
        </row>
        <row r="1535">
          <cell r="E1535" t="str">
            <v>CVV 3.5sq-30C</v>
          </cell>
          <cell r="F1535" t="str">
            <v>ｍ</v>
          </cell>
          <cell r="H1535">
            <v>1430</v>
          </cell>
          <cell r="J1535">
            <v>1453</v>
          </cell>
          <cell r="L1535">
            <v>1453</v>
          </cell>
          <cell r="N1535">
            <v>1408</v>
          </cell>
          <cell r="P1535">
            <v>1375</v>
          </cell>
          <cell r="R1535">
            <v>1430</v>
          </cell>
          <cell r="T1535">
            <v>1430</v>
          </cell>
          <cell r="V1535">
            <v>1453</v>
          </cell>
          <cell r="X1535">
            <v>1408</v>
          </cell>
          <cell r="Z1535">
            <v>1453</v>
          </cell>
          <cell r="AD1535">
            <v>9.0999999999999998E-2</v>
          </cell>
        </row>
        <row r="1536">
          <cell r="E1536" t="str">
            <v>CEE 1.25sq-2C</v>
          </cell>
          <cell r="F1536" t="str">
            <v>ｍ</v>
          </cell>
          <cell r="H1536">
            <v>106</v>
          </cell>
          <cell r="J1536">
            <v>107</v>
          </cell>
          <cell r="L1536">
            <v>107</v>
          </cell>
          <cell r="N1536">
            <v>104</v>
          </cell>
          <cell r="P1536">
            <v>101</v>
          </cell>
          <cell r="R1536">
            <v>106</v>
          </cell>
          <cell r="T1536">
            <v>106</v>
          </cell>
          <cell r="V1536">
            <v>107</v>
          </cell>
          <cell r="X1536">
            <v>104</v>
          </cell>
          <cell r="Z1536">
            <v>107</v>
          </cell>
          <cell r="AD1536">
            <v>1.4999999999999999E-2</v>
          </cell>
        </row>
        <row r="1537">
          <cell r="E1537" t="str">
            <v>CEE 2sq-2C</v>
          </cell>
          <cell r="F1537" t="str">
            <v>ｍ</v>
          </cell>
          <cell r="H1537">
            <v>129</v>
          </cell>
          <cell r="J1537">
            <v>131</v>
          </cell>
          <cell r="L1537">
            <v>131</v>
          </cell>
          <cell r="N1537">
            <v>127</v>
          </cell>
          <cell r="P1537">
            <v>124</v>
          </cell>
          <cell r="R1537">
            <v>129</v>
          </cell>
          <cell r="T1537">
            <v>129</v>
          </cell>
          <cell r="V1537">
            <v>131</v>
          </cell>
          <cell r="X1537">
            <v>127</v>
          </cell>
          <cell r="Z1537">
            <v>131</v>
          </cell>
          <cell r="AD1537">
            <v>1.7000000000000001E-2</v>
          </cell>
        </row>
        <row r="1538">
          <cell r="E1538" t="str">
            <v>CEE 3.5sq-2C</v>
          </cell>
          <cell r="F1538" t="str">
            <v>ｍ</v>
          </cell>
          <cell r="H1538">
            <v>172</v>
          </cell>
          <cell r="J1538">
            <v>175</v>
          </cell>
          <cell r="L1538">
            <v>175</v>
          </cell>
          <cell r="N1538">
            <v>169</v>
          </cell>
          <cell r="P1538">
            <v>165</v>
          </cell>
          <cell r="R1538">
            <v>172</v>
          </cell>
          <cell r="T1538">
            <v>172</v>
          </cell>
          <cell r="V1538">
            <v>175</v>
          </cell>
          <cell r="X1538">
            <v>169</v>
          </cell>
          <cell r="Z1538">
            <v>175</v>
          </cell>
          <cell r="AD1538">
            <v>1.7999999999999999E-2</v>
          </cell>
        </row>
        <row r="1539">
          <cell r="E1539" t="str">
            <v>CEE 5.5sq-2C</v>
          </cell>
          <cell r="F1539" t="str">
            <v>ｍ</v>
          </cell>
          <cell r="H1539">
            <v>236</v>
          </cell>
          <cell r="J1539">
            <v>239</v>
          </cell>
          <cell r="L1539">
            <v>239</v>
          </cell>
          <cell r="N1539">
            <v>232</v>
          </cell>
          <cell r="P1539">
            <v>226</v>
          </cell>
          <cell r="R1539">
            <v>236</v>
          </cell>
          <cell r="T1539">
            <v>236</v>
          </cell>
          <cell r="V1539">
            <v>239</v>
          </cell>
          <cell r="X1539">
            <v>232</v>
          </cell>
          <cell r="Z1539">
            <v>239</v>
          </cell>
          <cell r="AD1539">
            <v>2.1000000000000001E-2</v>
          </cell>
        </row>
        <row r="1540">
          <cell r="E1540" t="str">
            <v>CEE 8sq-2C</v>
          </cell>
          <cell r="F1540" t="str">
            <v>ｍ</v>
          </cell>
          <cell r="H1540">
            <v>306</v>
          </cell>
          <cell r="J1540">
            <v>311</v>
          </cell>
          <cell r="L1540">
            <v>311</v>
          </cell>
          <cell r="N1540">
            <v>301</v>
          </cell>
          <cell r="P1540">
            <v>294</v>
          </cell>
          <cell r="R1540">
            <v>306</v>
          </cell>
          <cell r="T1540">
            <v>306</v>
          </cell>
          <cell r="V1540">
            <v>311</v>
          </cell>
          <cell r="X1540">
            <v>301</v>
          </cell>
          <cell r="Z1540">
            <v>311</v>
          </cell>
          <cell r="AD1540">
            <v>2.5999999999999999E-2</v>
          </cell>
        </row>
        <row r="1541">
          <cell r="E1541" t="str">
            <v>CEE 1.25sq-3C</v>
          </cell>
          <cell r="F1541" t="str">
            <v>ｍ</v>
          </cell>
          <cell r="H1541">
            <v>129</v>
          </cell>
          <cell r="J1541">
            <v>131</v>
          </cell>
          <cell r="L1541">
            <v>131</v>
          </cell>
          <cell r="N1541">
            <v>127</v>
          </cell>
          <cell r="P1541">
            <v>124</v>
          </cell>
          <cell r="R1541">
            <v>129</v>
          </cell>
          <cell r="T1541">
            <v>129</v>
          </cell>
          <cell r="V1541">
            <v>131</v>
          </cell>
          <cell r="X1541">
            <v>127</v>
          </cell>
          <cell r="Z1541">
            <v>131</v>
          </cell>
          <cell r="AD1541">
            <v>1.7000000000000001E-2</v>
          </cell>
        </row>
        <row r="1542">
          <cell r="E1542" t="str">
            <v>CEE 2sq-3C</v>
          </cell>
          <cell r="F1542" t="str">
            <v>ｍ</v>
          </cell>
          <cell r="H1542">
            <v>161</v>
          </cell>
          <cell r="J1542">
            <v>163</v>
          </cell>
          <cell r="L1542">
            <v>163</v>
          </cell>
          <cell r="N1542">
            <v>158</v>
          </cell>
          <cell r="P1542">
            <v>154</v>
          </cell>
          <cell r="R1542">
            <v>161</v>
          </cell>
          <cell r="T1542">
            <v>161</v>
          </cell>
          <cell r="V1542">
            <v>163</v>
          </cell>
          <cell r="X1542">
            <v>158</v>
          </cell>
          <cell r="Z1542">
            <v>163</v>
          </cell>
          <cell r="AD1542">
            <v>1.9E-2</v>
          </cell>
        </row>
        <row r="1543">
          <cell r="E1543" t="str">
            <v>CEE 3.5sq-3C</v>
          </cell>
          <cell r="F1543" t="str">
            <v>ｍ</v>
          </cell>
          <cell r="H1543">
            <v>227</v>
          </cell>
          <cell r="J1543">
            <v>231</v>
          </cell>
          <cell r="L1543">
            <v>231</v>
          </cell>
          <cell r="N1543">
            <v>224</v>
          </cell>
          <cell r="P1543">
            <v>218</v>
          </cell>
          <cell r="R1543">
            <v>227</v>
          </cell>
          <cell r="T1543">
            <v>227</v>
          </cell>
          <cell r="V1543">
            <v>231</v>
          </cell>
          <cell r="X1543">
            <v>224</v>
          </cell>
          <cell r="Z1543">
            <v>231</v>
          </cell>
          <cell r="AD1543">
            <v>2.1000000000000001E-2</v>
          </cell>
        </row>
        <row r="1544">
          <cell r="E1544" t="str">
            <v>CEE 5.5sq-3C</v>
          </cell>
          <cell r="F1544" t="str">
            <v>ｍ</v>
          </cell>
          <cell r="H1544">
            <v>309</v>
          </cell>
          <cell r="J1544">
            <v>314</v>
          </cell>
          <cell r="L1544">
            <v>314</v>
          </cell>
          <cell r="N1544">
            <v>304</v>
          </cell>
          <cell r="P1544">
            <v>297</v>
          </cell>
          <cell r="R1544">
            <v>309</v>
          </cell>
          <cell r="T1544">
            <v>309</v>
          </cell>
          <cell r="V1544">
            <v>314</v>
          </cell>
          <cell r="X1544">
            <v>304</v>
          </cell>
          <cell r="Z1544">
            <v>314</v>
          </cell>
          <cell r="AD1544">
            <v>2.4E-2</v>
          </cell>
        </row>
        <row r="1545">
          <cell r="E1545" t="str">
            <v>CEE 8sq-3C</v>
          </cell>
          <cell r="F1545" t="str">
            <v>ｍ</v>
          </cell>
          <cell r="H1545">
            <v>408</v>
          </cell>
          <cell r="J1545">
            <v>415</v>
          </cell>
          <cell r="L1545">
            <v>415</v>
          </cell>
          <cell r="N1545">
            <v>402</v>
          </cell>
          <cell r="P1545">
            <v>392</v>
          </cell>
          <cell r="R1545">
            <v>408</v>
          </cell>
          <cell r="T1545">
            <v>408</v>
          </cell>
          <cell r="V1545">
            <v>415</v>
          </cell>
          <cell r="X1545">
            <v>402</v>
          </cell>
          <cell r="Z1545">
            <v>415</v>
          </cell>
          <cell r="AD1545">
            <v>0.03</v>
          </cell>
        </row>
        <row r="1546">
          <cell r="E1546" t="str">
            <v>CEE 1.25sq-4C</v>
          </cell>
          <cell r="F1546" t="str">
            <v>ｍ</v>
          </cell>
          <cell r="H1546">
            <v>162</v>
          </cell>
          <cell r="J1546">
            <v>164</v>
          </cell>
          <cell r="L1546">
            <v>164</v>
          </cell>
          <cell r="N1546">
            <v>159</v>
          </cell>
          <cell r="P1546">
            <v>156</v>
          </cell>
          <cell r="R1546">
            <v>162</v>
          </cell>
          <cell r="T1546">
            <v>162</v>
          </cell>
          <cell r="V1546">
            <v>164</v>
          </cell>
          <cell r="X1546">
            <v>159</v>
          </cell>
          <cell r="Z1546">
            <v>164</v>
          </cell>
          <cell r="AD1546">
            <v>1.9E-2</v>
          </cell>
        </row>
        <row r="1547">
          <cell r="E1547" t="str">
            <v>CEE 2sq-4C</v>
          </cell>
          <cell r="F1547" t="str">
            <v>ｍ</v>
          </cell>
          <cell r="H1547">
            <v>208</v>
          </cell>
          <cell r="J1547">
            <v>211</v>
          </cell>
          <cell r="L1547">
            <v>211</v>
          </cell>
          <cell r="N1547">
            <v>205</v>
          </cell>
          <cell r="P1547">
            <v>200</v>
          </cell>
          <cell r="R1547">
            <v>208</v>
          </cell>
          <cell r="T1547">
            <v>208</v>
          </cell>
          <cell r="V1547">
            <v>211</v>
          </cell>
          <cell r="X1547">
            <v>205</v>
          </cell>
          <cell r="Z1547">
            <v>211</v>
          </cell>
          <cell r="AD1547">
            <v>2.1999999999999999E-2</v>
          </cell>
        </row>
        <row r="1548">
          <cell r="E1548" t="str">
            <v>CEE 3.5sq-4C</v>
          </cell>
          <cell r="F1548" t="str">
            <v>ｍ</v>
          </cell>
          <cell r="H1548">
            <v>288</v>
          </cell>
          <cell r="J1548">
            <v>293</v>
          </cell>
          <cell r="L1548">
            <v>293</v>
          </cell>
          <cell r="N1548">
            <v>284</v>
          </cell>
          <cell r="P1548">
            <v>277</v>
          </cell>
          <cell r="R1548">
            <v>288</v>
          </cell>
          <cell r="T1548">
            <v>288</v>
          </cell>
          <cell r="V1548">
            <v>293</v>
          </cell>
          <cell r="X1548">
            <v>284</v>
          </cell>
          <cell r="Z1548">
            <v>293</v>
          </cell>
          <cell r="AD1548">
            <v>2.3E-2</v>
          </cell>
        </row>
        <row r="1549">
          <cell r="E1549" t="str">
            <v>CEE 5.5sq-4C</v>
          </cell>
          <cell r="F1549" t="str">
            <v>ｍ</v>
          </cell>
          <cell r="H1549">
            <v>393</v>
          </cell>
          <cell r="J1549">
            <v>399</v>
          </cell>
          <cell r="L1549">
            <v>399</v>
          </cell>
          <cell r="N1549">
            <v>387</v>
          </cell>
          <cell r="P1549">
            <v>378</v>
          </cell>
          <cell r="R1549">
            <v>393</v>
          </cell>
          <cell r="T1549">
            <v>393</v>
          </cell>
          <cell r="V1549">
            <v>399</v>
          </cell>
          <cell r="X1549">
            <v>387</v>
          </cell>
          <cell r="Z1549">
            <v>399</v>
          </cell>
          <cell r="AD1549">
            <v>2.8000000000000001E-2</v>
          </cell>
        </row>
        <row r="1550">
          <cell r="E1550" t="str">
            <v>CEE 8sq-4C</v>
          </cell>
          <cell r="F1550" t="str">
            <v>ｍ</v>
          </cell>
          <cell r="H1550">
            <v>563</v>
          </cell>
          <cell r="J1550">
            <v>572</v>
          </cell>
          <cell r="L1550">
            <v>572</v>
          </cell>
          <cell r="N1550">
            <v>554</v>
          </cell>
          <cell r="P1550">
            <v>541</v>
          </cell>
          <cell r="R1550">
            <v>563</v>
          </cell>
          <cell r="T1550">
            <v>563</v>
          </cell>
          <cell r="V1550">
            <v>572</v>
          </cell>
          <cell r="X1550">
            <v>554</v>
          </cell>
          <cell r="Z1550">
            <v>572</v>
          </cell>
          <cell r="AD1550">
            <v>3.4000000000000002E-2</v>
          </cell>
        </row>
        <row r="1551">
          <cell r="E1551" t="str">
            <v>CEE 1.25sq-5C</v>
          </cell>
          <cell r="F1551" t="str">
            <v>ｍ</v>
          </cell>
          <cell r="H1551">
            <v>183</v>
          </cell>
          <cell r="J1551">
            <v>186</v>
          </cell>
          <cell r="L1551">
            <v>186</v>
          </cell>
          <cell r="N1551">
            <v>180</v>
          </cell>
          <cell r="P1551">
            <v>176</v>
          </cell>
          <cell r="R1551">
            <v>183</v>
          </cell>
          <cell r="T1551">
            <v>183</v>
          </cell>
          <cell r="V1551">
            <v>186</v>
          </cell>
          <cell r="X1551">
            <v>180</v>
          </cell>
          <cell r="Z1551">
            <v>186</v>
          </cell>
          <cell r="AD1551">
            <v>2.5000000000000001E-2</v>
          </cell>
        </row>
        <row r="1552">
          <cell r="E1552" t="str">
            <v>CEE 2sq-5C</v>
          </cell>
          <cell r="F1552" t="str">
            <v>ｍ</v>
          </cell>
          <cell r="H1552">
            <v>237</v>
          </cell>
          <cell r="J1552">
            <v>241</v>
          </cell>
          <cell r="L1552">
            <v>241</v>
          </cell>
          <cell r="N1552">
            <v>234</v>
          </cell>
          <cell r="P1552">
            <v>228</v>
          </cell>
          <cell r="R1552">
            <v>237</v>
          </cell>
          <cell r="T1552">
            <v>237</v>
          </cell>
          <cell r="V1552">
            <v>241</v>
          </cell>
          <cell r="X1552">
            <v>234</v>
          </cell>
          <cell r="Z1552">
            <v>241</v>
          </cell>
          <cell r="AD1552">
            <v>2.8000000000000001E-2</v>
          </cell>
        </row>
        <row r="1553">
          <cell r="E1553" t="str">
            <v>CEE 3.5sq-5C</v>
          </cell>
          <cell r="F1553" t="str">
            <v>ｍ</v>
          </cell>
          <cell r="H1553">
            <v>332</v>
          </cell>
          <cell r="J1553">
            <v>337</v>
          </cell>
          <cell r="L1553">
            <v>337</v>
          </cell>
          <cell r="N1553">
            <v>326</v>
          </cell>
          <cell r="P1553">
            <v>319</v>
          </cell>
          <cell r="R1553">
            <v>332</v>
          </cell>
          <cell r="T1553">
            <v>332</v>
          </cell>
          <cell r="V1553">
            <v>337</v>
          </cell>
          <cell r="X1553">
            <v>326</v>
          </cell>
          <cell r="Z1553">
            <v>337</v>
          </cell>
          <cell r="AD1553">
            <v>0.03</v>
          </cell>
        </row>
        <row r="1554">
          <cell r="E1554" t="str">
            <v>CEE 5.5sq-5C</v>
          </cell>
          <cell r="F1554" t="str">
            <v>ｍ</v>
          </cell>
          <cell r="H1554">
            <v>518</v>
          </cell>
          <cell r="J1554">
            <v>527</v>
          </cell>
          <cell r="L1554">
            <v>527</v>
          </cell>
          <cell r="N1554">
            <v>510</v>
          </cell>
          <cell r="P1554">
            <v>498</v>
          </cell>
          <cell r="R1554">
            <v>518</v>
          </cell>
          <cell r="T1554">
            <v>518</v>
          </cell>
          <cell r="V1554">
            <v>527</v>
          </cell>
          <cell r="X1554">
            <v>510</v>
          </cell>
          <cell r="Z1554">
            <v>527</v>
          </cell>
          <cell r="AD1554">
            <v>3.6999999999999998E-2</v>
          </cell>
        </row>
        <row r="1555">
          <cell r="E1555" t="str">
            <v>CEE 8sq-5C</v>
          </cell>
          <cell r="F1555" t="str">
            <v>ｍ</v>
          </cell>
          <cell r="H1555">
            <v>707</v>
          </cell>
          <cell r="J1555">
            <v>718</v>
          </cell>
          <cell r="L1555">
            <v>718</v>
          </cell>
          <cell r="N1555">
            <v>696</v>
          </cell>
          <cell r="P1555">
            <v>679</v>
          </cell>
          <cell r="R1555">
            <v>707</v>
          </cell>
          <cell r="T1555">
            <v>707</v>
          </cell>
          <cell r="V1555">
            <v>718</v>
          </cell>
          <cell r="X1555">
            <v>696</v>
          </cell>
          <cell r="Z1555">
            <v>718</v>
          </cell>
          <cell r="AD1555">
            <v>4.3999999999999997E-2</v>
          </cell>
        </row>
        <row r="1556">
          <cell r="E1556" t="str">
            <v>CEE 1.25sq-6C</v>
          </cell>
          <cell r="F1556" t="str">
            <v>ｍ</v>
          </cell>
          <cell r="H1556">
            <v>212</v>
          </cell>
          <cell r="J1556">
            <v>215</v>
          </cell>
          <cell r="L1556">
            <v>215</v>
          </cell>
          <cell r="N1556">
            <v>209</v>
          </cell>
          <cell r="P1556">
            <v>204</v>
          </cell>
          <cell r="R1556">
            <v>212</v>
          </cell>
          <cell r="T1556">
            <v>212</v>
          </cell>
          <cell r="V1556">
            <v>215</v>
          </cell>
          <cell r="X1556">
            <v>209</v>
          </cell>
          <cell r="Z1556">
            <v>215</v>
          </cell>
          <cell r="AD1556">
            <v>2.5000000000000001E-2</v>
          </cell>
        </row>
        <row r="1557">
          <cell r="E1557" t="str">
            <v>CEE 2sq-6C</v>
          </cell>
          <cell r="F1557" t="str">
            <v>ｍ</v>
          </cell>
          <cell r="H1557">
            <v>284</v>
          </cell>
          <cell r="J1557">
            <v>288</v>
          </cell>
          <cell r="L1557">
            <v>288</v>
          </cell>
          <cell r="N1557">
            <v>279</v>
          </cell>
          <cell r="P1557">
            <v>272</v>
          </cell>
          <cell r="R1557">
            <v>284</v>
          </cell>
          <cell r="T1557">
            <v>284</v>
          </cell>
          <cell r="V1557">
            <v>288</v>
          </cell>
          <cell r="X1557">
            <v>279</v>
          </cell>
          <cell r="Z1557">
            <v>288</v>
          </cell>
          <cell r="AD1557">
            <v>2.8000000000000001E-2</v>
          </cell>
        </row>
        <row r="1558">
          <cell r="E1558" t="str">
            <v>CEE 3.5sq-6C</v>
          </cell>
          <cell r="F1558" t="str">
            <v>ｍ</v>
          </cell>
          <cell r="H1558">
            <v>393</v>
          </cell>
          <cell r="J1558">
            <v>399</v>
          </cell>
          <cell r="L1558">
            <v>399</v>
          </cell>
          <cell r="N1558">
            <v>387</v>
          </cell>
          <cell r="P1558">
            <v>378</v>
          </cell>
          <cell r="R1558">
            <v>393</v>
          </cell>
          <cell r="T1558">
            <v>393</v>
          </cell>
          <cell r="V1558">
            <v>399</v>
          </cell>
          <cell r="X1558">
            <v>387</v>
          </cell>
          <cell r="Z1558">
            <v>399</v>
          </cell>
          <cell r="AD1558">
            <v>0.03</v>
          </cell>
        </row>
        <row r="1559">
          <cell r="E1559" t="str">
            <v>CEE 5.5sq-6C</v>
          </cell>
          <cell r="F1559" t="str">
            <v>ｍ</v>
          </cell>
          <cell r="H1559">
            <v>606</v>
          </cell>
          <cell r="J1559">
            <v>616</v>
          </cell>
          <cell r="L1559">
            <v>616</v>
          </cell>
          <cell r="N1559">
            <v>597</v>
          </cell>
          <cell r="P1559">
            <v>582</v>
          </cell>
          <cell r="R1559">
            <v>606</v>
          </cell>
          <cell r="T1559">
            <v>606</v>
          </cell>
          <cell r="V1559">
            <v>616</v>
          </cell>
          <cell r="X1559">
            <v>597</v>
          </cell>
          <cell r="Z1559">
            <v>616</v>
          </cell>
          <cell r="AD1559">
            <v>3.6999999999999998E-2</v>
          </cell>
        </row>
        <row r="1560">
          <cell r="E1560" t="str">
            <v>CEE 8sq-6C</v>
          </cell>
          <cell r="F1560" t="str">
            <v>ｍ</v>
          </cell>
          <cell r="H1560">
            <v>826</v>
          </cell>
          <cell r="J1560">
            <v>839</v>
          </cell>
          <cell r="L1560">
            <v>839</v>
          </cell>
          <cell r="N1560">
            <v>813</v>
          </cell>
          <cell r="P1560">
            <v>793</v>
          </cell>
          <cell r="R1560">
            <v>826</v>
          </cell>
          <cell r="T1560">
            <v>826</v>
          </cell>
          <cell r="V1560">
            <v>839</v>
          </cell>
          <cell r="X1560">
            <v>813</v>
          </cell>
          <cell r="Z1560">
            <v>839</v>
          </cell>
          <cell r="AD1560">
            <v>4.3999999999999997E-2</v>
          </cell>
        </row>
        <row r="1561">
          <cell r="E1561" t="str">
            <v>CEE 1.25sq-7C</v>
          </cell>
          <cell r="F1561" t="str">
            <v>ｍ</v>
          </cell>
          <cell r="H1561">
            <v>236</v>
          </cell>
          <cell r="J1561">
            <v>239</v>
          </cell>
          <cell r="L1561">
            <v>239</v>
          </cell>
          <cell r="N1561">
            <v>232</v>
          </cell>
          <cell r="P1561">
            <v>226</v>
          </cell>
          <cell r="R1561">
            <v>236</v>
          </cell>
          <cell r="T1561">
            <v>236</v>
          </cell>
          <cell r="V1561">
            <v>239</v>
          </cell>
          <cell r="X1561">
            <v>232</v>
          </cell>
          <cell r="Z1561">
            <v>239</v>
          </cell>
          <cell r="AD1561">
            <v>0.03</v>
          </cell>
        </row>
        <row r="1562">
          <cell r="E1562" t="str">
            <v>CEE 2sq-7C</v>
          </cell>
          <cell r="F1562" t="str">
            <v>ｍ</v>
          </cell>
          <cell r="H1562">
            <v>314</v>
          </cell>
          <cell r="J1562">
            <v>319</v>
          </cell>
          <cell r="L1562">
            <v>319</v>
          </cell>
          <cell r="N1562">
            <v>309</v>
          </cell>
          <cell r="P1562">
            <v>301</v>
          </cell>
          <cell r="R1562">
            <v>314</v>
          </cell>
          <cell r="T1562">
            <v>314</v>
          </cell>
          <cell r="V1562">
            <v>319</v>
          </cell>
          <cell r="X1562">
            <v>309</v>
          </cell>
          <cell r="Z1562">
            <v>319</v>
          </cell>
          <cell r="AD1562">
            <v>3.4000000000000002E-2</v>
          </cell>
        </row>
        <row r="1563">
          <cell r="E1563" t="str">
            <v>CEE 3.5sq-7C</v>
          </cell>
          <cell r="F1563" t="str">
            <v>ｍ</v>
          </cell>
          <cell r="H1563">
            <v>447</v>
          </cell>
          <cell r="J1563">
            <v>454</v>
          </cell>
          <cell r="L1563">
            <v>454</v>
          </cell>
          <cell r="N1563">
            <v>440</v>
          </cell>
          <cell r="P1563">
            <v>430</v>
          </cell>
          <cell r="R1563">
            <v>447</v>
          </cell>
          <cell r="T1563">
            <v>447</v>
          </cell>
          <cell r="V1563">
            <v>454</v>
          </cell>
          <cell r="X1563">
            <v>440</v>
          </cell>
          <cell r="Z1563">
            <v>454</v>
          </cell>
          <cell r="AD1563">
            <v>3.6999999999999998E-2</v>
          </cell>
        </row>
        <row r="1564">
          <cell r="E1564" t="str">
            <v>CEE 5.5sq-7C</v>
          </cell>
          <cell r="F1564" t="str">
            <v>ｍ</v>
          </cell>
          <cell r="H1564">
            <v>683</v>
          </cell>
          <cell r="J1564">
            <v>694</v>
          </cell>
          <cell r="L1564">
            <v>694</v>
          </cell>
          <cell r="N1564">
            <v>672</v>
          </cell>
          <cell r="P1564">
            <v>656</v>
          </cell>
          <cell r="R1564">
            <v>683</v>
          </cell>
          <cell r="T1564">
            <v>683</v>
          </cell>
          <cell r="V1564">
            <v>694</v>
          </cell>
          <cell r="X1564">
            <v>672</v>
          </cell>
          <cell r="Z1564">
            <v>694</v>
          </cell>
          <cell r="AD1564">
            <v>4.3999999999999997E-2</v>
          </cell>
        </row>
        <row r="1565">
          <cell r="E1565" t="str">
            <v>CEE 8sq-7C</v>
          </cell>
          <cell r="F1565" t="str">
            <v>ｍ</v>
          </cell>
          <cell r="H1565">
            <v>925</v>
          </cell>
          <cell r="J1565">
            <v>940</v>
          </cell>
          <cell r="L1565">
            <v>940</v>
          </cell>
          <cell r="N1565">
            <v>911</v>
          </cell>
          <cell r="P1565">
            <v>889</v>
          </cell>
          <cell r="R1565">
            <v>925</v>
          </cell>
          <cell r="T1565">
            <v>925</v>
          </cell>
          <cell r="V1565">
            <v>940</v>
          </cell>
          <cell r="X1565">
            <v>911</v>
          </cell>
          <cell r="Z1565">
            <v>940</v>
          </cell>
          <cell r="AD1565">
            <v>5.3999999999999999E-2</v>
          </cell>
        </row>
        <row r="1566">
          <cell r="E1566" t="str">
            <v>CEE 1.25sq-8C</v>
          </cell>
          <cell r="F1566" t="str">
            <v>ｍ</v>
          </cell>
          <cell r="H1566">
            <v>273</v>
          </cell>
          <cell r="J1566">
            <v>277</v>
          </cell>
          <cell r="L1566">
            <v>277</v>
          </cell>
          <cell r="N1566">
            <v>268</v>
          </cell>
          <cell r="P1566">
            <v>262</v>
          </cell>
          <cell r="R1566">
            <v>273</v>
          </cell>
          <cell r="T1566">
            <v>273</v>
          </cell>
          <cell r="V1566">
            <v>277</v>
          </cell>
          <cell r="X1566">
            <v>268</v>
          </cell>
          <cell r="Z1566">
            <v>277</v>
          </cell>
          <cell r="AD1566">
            <v>3.4000000000000002E-2</v>
          </cell>
        </row>
        <row r="1567">
          <cell r="E1567" t="str">
            <v>CEE 2sq-8C</v>
          </cell>
          <cell r="F1567" t="str">
            <v>ｍ</v>
          </cell>
          <cell r="H1567">
            <v>355</v>
          </cell>
          <cell r="J1567">
            <v>361</v>
          </cell>
          <cell r="L1567">
            <v>361</v>
          </cell>
          <cell r="N1567">
            <v>350</v>
          </cell>
          <cell r="P1567">
            <v>341</v>
          </cell>
          <cell r="R1567">
            <v>355</v>
          </cell>
          <cell r="T1567">
            <v>355</v>
          </cell>
          <cell r="V1567">
            <v>361</v>
          </cell>
          <cell r="X1567">
            <v>350</v>
          </cell>
          <cell r="Z1567">
            <v>361</v>
          </cell>
          <cell r="AD1567">
            <v>3.6999999999999998E-2</v>
          </cell>
        </row>
        <row r="1568">
          <cell r="E1568" t="str">
            <v>CEE 3.5sq-8C</v>
          </cell>
          <cell r="F1568" t="str">
            <v>ｍ</v>
          </cell>
          <cell r="H1568">
            <v>529</v>
          </cell>
          <cell r="J1568">
            <v>538</v>
          </cell>
          <cell r="L1568">
            <v>538</v>
          </cell>
          <cell r="N1568">
            <v>521</v>
          </cell>
          <cell r="P1568">
            <v>509</v>
          </cell>
          <cell r="R1568">
            <v>529</v>
          </cell>
          <cell r="T1568">
            <v>529</v>
          </cell>
          <cell r="V1568">
            <v>538</v>
          </cell>
          <cell r="X1568">
            <v>521</v>
          </cell>
          <cell r="Z1568">
            <v>538</v>
          </cell>
          <cell r="AD1568">
            <v>4.3999999999999997E-2</v>
          </cell>
        </row>
        <row r="1569">
          <cell r="E1569" t="str">
            <v>CEE 5.5sq-8C</v>
          </cell>
          <cell r="F1569" t="str">
            <v>ｍ</v>
          </cell>
          <cell r="H1569">
            <v>811</v>
          </cell>
          <cell r="J1569">
            <v>824</v>
          </cell>
          <cell r="L1569">
            <v>824</v>
          </cell>
          <cell r="N1569">
            <v>798</v>
          </cell>
          <cell r="P1569">
            <v>779</v>
          </cell>
          <cell r="R1569">
            <v>811</v>
          </cell>
          <cell r="T1569">
            <v>811</v>
          </cell>
          <cell r="V1569">
            <v>824</v>
          </cell>
          <cell r="X1569">
            <v>798</v>
          </cell>
          <cell r="Z1569">
            <v>824</v>
          </cell>
          <cell r="AD1569">
            <v>4.3999999999999997E-2</v>
          </cell>
        </row>
        <row r="1570">
          <cell r="E1570" t="str">
            <v>CEE 8sq-8C</v>
          </cell>
          <cell r="F1570" t="str">
            <v>ｍ</v>
          </cell>
          <cell r="H1570">
            <v>1034</v>
          </cell>
          <cell r="J1570">
            <v>1050</v>
          </cell>
          <cell r="L1570">
            <v>1050</v>
          </cell>
          <cell r="N1570">
            <v>1018</v>
          </cell>
          <cell r="P1570">
            <v>994</v>
          </cell>
          <cell r="R1570">
            <v>1034</v>
          </cell>
          <cell r="T1570">
            <v>1034</v>
          </cell>
          <cell r="V1570">
            <v>1050</v>
          </cell>
          <cell r="X1570">
            <v>1018</v>
          </cell>
          <cell r="Z1570">
            <v>1050</v>
          </cell>
          <cell r="AD1570">
            <v>5.3999999999999999E-2</v>
          </cell>
        </row>
        <row r="1571">
          <cell r="E1571" t="str">
            <v>CEE 1.25sq-10C</v>
          </cell>
          <cell r="F1571" t="str">
            <v>ｍ</v>
          </cell>
          <cell r="H1571">
            <v>333</v>
          </cell>
          <cell r="J1571">
            <v>338</v>
          </cell>
          <cell r="L1571">
            <v>338</v>
          </cell>
          <cell r="N1571">
            <v>328</v>
          </cell>
          <cell r="P1571">
            <v>320</v>
          </cell>
          <cell r="R1571">
            <v>333</v>
          </cell>
          <cell r="T1571">
            <v>333</v>
          </cell>
          <cell r="V1571">
            <v>338</v>
          </cell>
          <cell r="X1571">
            <v>328</v>
          </cell>
          <cell r="Z1571">
            <v>338</v>
          </cell>
          <cell r="AD1571">
            <v>3.6999999999999998E-2</v>
          </cell>
        </row>
        <row r="1572">
          <cell r="E1572" t="str">
            <v>CEE 2sq-10C</v>
          </cell>
          <cell r="F1572" t="str">
            <v>ｍ</v>
          </cell>
          <cell r="H1572">
            <v>438</v>
          </cell>
          <cell r="J1572">
            <v>445</v>
          </cell>
          <cell r="L1572">
            <v>445</v>
          </cell>
          <cell r="N1572">
            <v>432</v>
          </cell>
          <cell r="P1572">
            <v>421</v>
          </cell>
          <cell r="R1572">
            <v>438</v>
          </cell>
          <cell r="T1572">
            <v>438</v>
          </cell>
          <cell r="V1572">
            <v>445</v>
          </cell>
          <cell r="X1572">
            <v>432</v>
          </cell>
          <cell r="Z1572">
            <v>445</v>
          </cell>
          <cell r="AD1572">
            <v>4.2000000000000003E-2</v>
          </cell>
        </row>
        <row r="1573">
          <cell r="E1573" t="str">
            <v>CEE 3.5sq-10C</v>
          </cell>
          <cell r="F1573" t="str">
            <v>ｍ</v>
          </cell>
          <cell r="H1573">
            <v>620</v>
          </cell>
          <cell r="J1573">
            <v>629</v>
          </cell>
          <cell r="L1573">
            <v>629</v>
          </cell>
          <cell r="N1573">
            <v>610</v>
          </cell>
          <cell r="P1573">
            <v>595</v>
          </cell>
          <cell r="R1573">
            <v>620</v>
          </cell>
          <cell r="T1573">
            <v>620</v>
          </cell>
          <cell r="V1573">
            <v>629</v>
          </cell>
          <cell r="X1573">
            <v>610</v>
          </cell>
          <cell r="Z1573">
            <v>629</v>
          </cell>
          <cell r="AD1573">
            <v>4.4999999999999998E-2</v>
          </cell>
        </row>
        <row r="1574">
          <cell r="E1574" t="str">
            <v>CEE 5.5sq-10C</v>
          </cell>
          <cell r="F1574" t="str">
            <v>ｍ</v>
          </cell>
          <cell r="H1574">
            <v>982</v>
          </cell>
          <cell r="J1574">
            <v>997</v>
          </cell>
          <cell r="L1574">
            <v>997</v>
          </cell>
          <cell r="N1574">
            <v>966</v>
          </cell>
          <cell r="P1574">
            <v>943</v>
          </cell>
          <cell r="R1574">
            <v>982</v>
          </cell>
          <cell r="T1574">
            <v>982</v>
          </cell>
          <cell r="V1574">
            <v>997</v>
          </cell>
          <cell r="X1574">
            <v>966</v>
          </cell>
          <cell r="Z1574">
            <v>997</v>
          </cell>
          <cell r="AD1574">
            <v>5.3999999999999999E-2</v>
          </cell>
        </row>
        <row r="1575">
          <cell r="E1575" t="str">
            <v>CEE 8sq-10C</v>
          </cell>
          <cell r="F1575" t="str">
            <v>ｍ</v>
          </cell>
          <cell r="H1575">
            <v>1309</v>
          </cell>
          <cell r="J1575">
            <v>1329</v>
          </cell>
          <cell r="L1575">
            <v>1329</v>
          </cell>
          <cell r="N1575">
            <v>1288</v>
          </cell>
          <cell r="P1575">
            <v>1258</v>
          </cell>
          <cell r="R1575">
            <v>1309</v>
          </cell>
          <cell r="T1575">
            <v>1309</v>
          </cell>
          <cell r="V1575">
            <v>1329</v>
          </cell>
          <cell r="X1575">
            <v>1288</v>
          </cell>
          <cell r="Z1575">
            <v>1329</v>
          </cell>
          <cell r="AD1575">
            <v>6.6000000000000003E-2</v>
          </cell>
        </row>
        <row r="1576">
          <cell r="E1576" t="str">
            <v>CEE 1.25sq-12C</v>
          </cell>
          <cell r="F1576" t="str">
            <v>ｍ</v>
          </cell>
          <cell r="H1576">
            <v>389</v>
          </cell>
          <cell r="J1576">
            <v>395</v>
          </cell>
          <cell r="L1576">
            <v>395</v>
          </cell>
          <cell r="N1576">
            <v>383</v>
          </cell>
          <cell r="P1576">
            <v>374</v>
          </cell>
          <cell r="R1576">
            <v>389</v>
          </cell>
          <cell r="T1576">
            <v>389</v>
          </cell>
          <cell r="V1576">
            <v>395</v>
          </cell>
          <cell r="X1576">
            <v>383</v>
          </cell>
          <cell r="Z1576">
            <v>395</v>
          </cell>
          <cell r="AD1576">
            <v>4.2999999999999997E-2</v>
          </cell>
        </row>
        <row r="1577">
          <cell r="E1577" t="str">
            <v>CEE 2sq-12C</v>
          </cell>
          <cell r="F1577" t="str">
            <v>ｍ</v>
          </cell>
          <cell r="H1577">
            <v>505</v>
          </cell>
          <cell r="J1577">
            <v>514</v>
          </cell>
          <cell r="L1577">
            <v>514</v>
          </cell>
          <cell r="N1577">
            <v>498</v>
          </cell>
          <cell r="P1577">
            <v>486</v>
          </cell>
          <cell r="R1577">
            <v>505</v>
          </cell>
          <cell r="T1577">
            <v>505</v>
          </cell>
          <cell r="V1577">
            <v>514</v>
          </cell>
          <cell r="X1577">
            <v>498</v>
          </cell>
          <cell r="Z1577">
            <v>514</v>
          </cell>
          <cell r="AD1577">
            <v>4.8000000000000001E-2</v>
          </cell>
        </row>
        <row r="1578">
          <cell r="E1578" t="str">
            <v>CEE 3.5sq-12C</v>
          </cell>
          <cell r="F1578" t="str">
            <v>ｍ</v>
          </cell>
          <cell r="H1578">
            <v>753</v>
          </cell>
          <cell r="J1578">
            <v>764</v>
          </cell>
          <cell r="L1578">
            <v>764</v>
          </cell>
          <cell r="N1578">
            <v>741</v>
          </cell>
          <cell r="P1578">
            <v>723</v>
          </cell>
          <cell r="R1578">
            <v>753</v>
          </cell>
          <cell r="T1578">
            <v>753</v>
          </cell>
          <cell r="V1578">
            <v>764</v>
          </cell>
          <cell r="X1578">
            <v>741</v>
          </cell>
          <cell r="Z1578">
            <v>764</v>
          </cell>
          <cell r="AD1578">
            <v>5.2999999999999999E-2</v>
          </cell>
        </row>
        <row r="1579">
          <cell r="E1579" t="str">
            <v>CEE 5.5sq-12C</v>
          </cell>
          <cell r="F1579" t="str">
            <v>ｍ</v>
          </cell>
          <cell r="H1579">
            <v>1137</v>
          </cell>
          <cell r="J1579">
            <v>1154</v>
          </cell>
          <cell r="L1579">
            <v>1154</v>
          </cell>
          <cell r="N1579">
            <v>1119</v>
          </cell>
          <cell r="P1579">
            <v>1092</v>
          </cell>
          <cell r="R1579">
            <v>1137</v>
          </cell>
          <cell r="T1579">
            <v>1137</v>
          </cell>
          <cell r="V1579">
            <v>1154</v>
          </cell>
          <cell r="X1579">
            <v>1119</v>
          </cell>
          <cell r="Z1579">
            <v>1154</v>
          </cell>
          <cell r="AD1579">
            <v>6.3E-2</v>
          </cell>
        </row>
        <row r="1580">
          <cell r="E1580" t="str">
            <v>CEE 8sq-12C</v>
          </cell>
          <cell r="F1580" t="str">
            <v>ｍ</v>
          </cell>
          <cell r="H1580">
            <v>1523</v>
          </cell>
          <cell r="J1580">
            <v>1546</v>
          </cell>
          <cell r="L1580">
            <v>1546</v>
          </cell>
          <cell r="N1580">
            <v>1499</v>
          </cell>
          <cell r="P1580">
            <v>1463</v>
          </cell>
          <cell r="R1580">
            <v>1523</v>
          </cell>
          <cell r="T1580">
            <v>1523</v>
          </cell>
          <cell r="V1580">
            <v>1546</v>
          </cell>
          <cell r="X1580">
            <v>1499</v>
          </cell>
          <cell r="Z1580">
            <v>1546</v>
          </cell>
          <cell r="AD1580">
            <v>7.6999999999999999E-2</v>
          </cell>
        </row>
        <row r="1581">
          <cell r="E1581" t="str">
            <v>CEE 1.25sq-15C</v>
          </cell>
          <cell r="F1581" t="str">
            <v>ｍ</v>
          </cell>
          <cell r="H1581">
            <v>469</v>
          </cell>
          <cell r="J1581">
            <v>476</v>
          </cell>
          <cell r="L1581">
            <v>476</v>
          </cell>
          <cell r="N1581">
            <v>462</v>
          </cell>
          <cell r="P1581">
            <v>451</v>
          </cell>
          <cell r="R1581">
            <v>469</v>
          </cell>
          <cell r="T1581">
            <v>469</v>
          </cell>
          <cell r="V1581">
            <v>476</v>
          </cell>
          <cell r="X1581">
            <v>462</v>
          </cell>
          <cell r="Z1581">
            <v>476</v>
          </cell>
          <cell r="AD1581">
            <v>5.3999999999999999E-2</v>
          </cell>
        </row>
        <row r="1582">
          <cell r="E1582" t="str">
            <v>CEE 2sq-15C</v>
          </cell>
          <cell r="F1582" t="str">
            <v>ｍ</v>
          </cell>
          <cell r="H1582">
            <v>623</v>
          </cell>
          <cell r="J1582">
            <v>632</v>
          </cell>
          <cell r="L1582">
            <v>632</v>
          </cell>
          <cell r="N1582">
            <v>613</v>
          </cell>
          <cell r="P1582">
            <v>598</v>
          </cell>
          <cell r="R1582">
            <v>623</v>
          </cell>
          <cell r="T1582">
            <v>623</v>
          </cell>
          <cell r="V1582">
            <v>632</v>
          </cell>
          <cell r="X1582">
            <v>613</v>
          </cell>
          <cell r="Z1582">
            <v>632</v>
          </cell>
          <cell r="AD1582">
            <v>0.06</v>
          </cell>
        </row>
        <row r="1583">
          <cell r="E1583" t="str">
            <v>CEE 3.5sq-15C</v>
          </cell>
          <cell r="F1583" t="str">
            <v>ｍ</v>
          </cell>
          <cell r="H1583">
            <v>886</v>
          </cell>
          <cell r="J1583">
            <v>900</v>
          </cell>
          <cell r="L1583">
            <v>900</v>
          </cell>
          <cell r="N1583">
            <v>872</v>
          </cell>
          <cell r="P1583">
            <v>851</v>
          </cell>
          <cell r="R1583">
            <v>886</v>
          </cell>
          <cell r="T1583">
            <v>886</v>
          </cell>
          <cell r="V1583">
            <v>900</v>
          </cell>
          <cell r="X1583">
            <v>872</v>
          </cell>
          <cell r="Z1583">
            <v>900</v>
          </cell>
          <cell r="AD1583">
            <v>6.6000000000000003E-2</v>
          </cell>
        </row>
        <row r="1584">
          <cell r="E1584" t="str">
            <v>CEE 5.5sq-15C</v>
          </cell>
          <cell r="F1584" t="str">
            <v>ｍ</v>
          </cell>
          <cell r="H1584">
            <v>1382</v>
          </cell>
          <cell r="J1584">
            <v>1404</v>
          </cell>
          <cell r="L1584">
            <v>1404</v>
          </cell>
          <cell r="N1584">
            <v>1361</v>
          </cell>
          <cell r="P1584">
            <v>1328</v>
          </cell>
          <cell r="R1584">
            <v>1382</v>
          </cell>
          <cell r="T1584">
            <v>1382</v>
          </cell>
          <cell r="V1584">
            <v>1404</v>
          </cell>
          <cell r="X1584">
            <v>1361</v>
          </cell>
          <cell r="Z1584">
            <v>1404</v>
          </cell>
          <cell r="AD1584">
            <v>7.8E-2</v>
          </cell>
        </row>
        <row r="1585">
          <cell r="E1585" t="str">
            <v>CEE 1.25sq-20C</v>
          </cell>
          <cell r="F1585" t="str">
            <v>ｍ</v>
          </cell>
          <cell r="H1585">
            <v>608</v>
          </cell>
          <cell r="J1585">
            <v>618</v>
          </cell>
          <cell r="L1585">
            <v>618</v>
          </cell>
          <cell r="N1585">
            <v>599</v>
          </cell>
          <cell r="P1585">
            <v>584</v>
          </cell>
          <cell r="R1585">
            <v>608</v>
          </cell>
          <cell r="T1585">
            <v>608</v>
          </cell>
          <cell r="V1585">
            <v>618</v>
          </cell>
          <cell r="X1585">
            <v>599</v>
          </cell>
          <cell r="Z1585">
            <v>618</v>
          </cell>
          <cell r="AD1585">
            <v>6.3E-2</v>
          </cell>
        </row>
        <row r="1586">
          <cell r="E1586" t="str">
            <v>CEE 2sq-20C</v>
          </cell>
          <cell r="F1586" t="str">
            <v>ｍ</v>
          </cell>
          <cell r="H1586">
            <v>811</v>
          </cell>
          <cell r="J1586">
            <v>824</v>
          </cell>
          <cell r="L1586">
            <v>824</v>
          </cell>
          <cell r="N1586">
            <v>798</v>
          </cell>
          <cell r="P1586">
            <v>779</v>
          </cell>
          <cell r="R1586">
            <v>811</v>
          </cell>
          <cell r="T1586">
            <v>811</v>
          </cell>
          <cell r="V1586">
            <v>824</v>
          </cell>
          <cell r="X1586">
            <v>798</v>
          </cell>
          <cell r="Z1586">
            <v>824</v>
          </cell>
          <cell r="AD1586">
            <v>7.0000000000000007E-2</v>
          </cell>
        </row>
        <row r="1587">
          <cell r="E1587" t="str">
            <v>CEE 3.5sq-20C</v>
          </cell>
          <cell r="F1587" t="str">
            <v>ｍ</v>
          </cell>
          <cell r="H1587">
            <v>1213</v>
          </cell>
          <cell r="J1587">
            <v>1232</v>
          </cell>
          <cell r="L1587">
            <v>1232</v>
          </cell>
          <cell r="N1587">
            <v>1194</v>
          </cell>
          <cell r="P1587">
            <v>1166</v>
          </cell>
          <cell r="R1587">
            <v>1213</v>
          </cell>
          <cell r="T1587">
            <v>1213</v>
          </cell>
          <cell r="V1587">
            <v>1232</v>
          </cell>
          <cell r="X1587">
            <v>1194</v>
          </cell>
          <cell r="Z1587">
            <v>1232</v>
          </cell>
          <cell r="AD1587">
            <v>7.6999999999999999E-2</v>
          </cell>
        </row>
        <row r="1588">
          <cell r="E1588" t="str">
            <v>CEE 5.5sq-20C</v>
          </cell>
          <cell r="F1588" t="str">
            <v>ｍ</v>
          </cell>
          <cell r="H1588">
            <v>1830</v>
          </cell>
          <cell r="J1588">
            <v>1858</v>
          </cell>
          <cell r="L1588">
            <v>1858</v>
          </cell>
          <cell r="N1588">
            <v>1801</v>
          </cell>
          <cell r="P1588">
            <v>1758</v>
          </cell>
          <cell r="R1588">
            <v>1830</v>
          </cell>
          <cell r="T1588">
            <v>1830</v>
          </cell>
          <cell r="V1588">
            <v>1858</v>
          </cell>
          <cell r="X1588">
            <v>1801</v>
          </cell>
          <cell r="Z1588">
            <v>1858</v>
          </cell>
          <cell r="AD1588">
            <v>9.0999999999999998E-2</v>
          </cell>
        </row>
        <row r="1589">
          <cell r="E1589" t="str">
            <v>CEE 1.25sq-30C</v>
          </cell>
          <cell r="F1589" t="str">
            <v>ｍ</v>
          </cell>
          <cell r="H1589">
            <v>862</v>
          </cell>
          <cell r="J1589">
            <v>876</v>
          </cell>
          <cell r="L1589">
            <v>876</v>
          </cell>
          <cell r="N1589">
            <v>849</v>
          </cell>
          <cell r="P1589">
            <v>828</v>
          </cell>
          <cell r="R1589">
            <v>862</v>
          </cell>
          <cell r="T1589">
            <v>862</v>
          </cell>
          <cell r="V1589">
            <v>876</v>
          </cell>
          <cell r="X1589">
            <v>849</v>
          </cell>
          <cell r="Z1589">
            <v>876</v>
          </cell>
          <cell r="AD1589">
            <v>7.4999999999999997E-2</v>
          </cell>
        </row>
        <row r="1590">
          <cell r="E1590" t="str">
            <v>CEE 2sq-30C</v>
          </cell>
          <cell r="F1590" t="str">
            <v>ｍ</v>
          </cell>
          <cell r="H1590">
            <v>1178</v>
          </cell>
          <cell r="J1590">
            <v>1196</v>
          </cell>
          <cell r="L1590">
            <v>1196</v>
          </cell>
          <cell r="N1590">
            <v>1159</v>
          </cell>
          <cell r="P1590">
            <v>1132</v>
          </cell>
          <cell r="R1590">
            <v>1178</v>
          </cell>
          <cell r="T1590">
            <v>1178</v>
          </cell>
          <cell r="V1590">
            <v>1196</v>
          </cell>
          <cell r="X1590">
            <v>1159</v>
          </cell>
          <cell r="Z1590">
            <v>1196</v>
          </cell>
          <cell r="AD1590">
            <v>8.3000000000000004E-2</v>
          </cell>
        </row>
        <row r="1591">
          <cell r="E1591" t="str">
            <v>CEE 3.5sq-30C</v>
          </cell>
          <cell r="F1591" t="str">
            <v>ｍ</v>
          </cell>
          <cell r="H1591">
            <v>1901</v>
          </cell>
          <cell r="J1591">
            <v>1931</v>
          </cell>
          <cell r="L1591">
            <v>1931</v>
          </cell>
          <cell r="N1591">
            <v>1872</v>
          </cell>
          <cell r="P1591">
            <v>1827</v>
          </cell>
          <cell r="R1591">
            <v>1901</v>
          </cell>
          <cell r="T1591">
            <v>1901</v>
          </cell>
          <cell r="V1591">
            <v>1931</v>
          </cell>
          <cell r="X1591">
            <v>1872</v>
          </cell>
          <cell r="Z1591">
            <v>1931</v>
          </cell>
          <cell r="AD1591">
            <v>9.0999999999999998E-2</v>
          </cell>
        </row>
        <row r="1592">
          <cell r="E1592" t="str">
            <v>CVVS 1.25sq-2C</v>
          </cell>
          <cell r="F1592" t="str">
            <v>ｍ</v>
          </cell>
          <cell r="H1592">
            <v>127</v>
          </cell>
          <cell r="J1592">
            <v>127</v>
          </cell>
          <cell r="L1592">
            <v>127</v>
          </cell>
          <cell r="N1592">
            <v>127</v>
          </cell>
          <cell r="P1592">
            <v>127</v>
          </cell>
          <cell r="R1592">
            <v>127</v>
          </cell>
          <cell r="T1592">
            <v>127</v>
          </cell>
          <cell r="V1592">
            <v>127</v>
          </cell>
          <cell r="X1592">
            <v>127</v>
          </cell>
          <cell r="Z1592">
            <v>127</v>
          </cell>
          <cell r="AD1592">
            <v>1.4999999999999999E-2</v>
          </cell>
        </row>
        <row r="1593">
          <cell r="E1593" t="str">
            <v>CVVS 2sq-2C</v>
          </cell>
          <cell r="F1593" t="str">
            <v>ｍ</v>
          </cell>
          <cell r="H1593">
            <v>153</v>
          </cell>
          <cell r="J1593">
            <v>153</v>
          </cell>
          <cell r="L1593">
            <v>153</v>
          </cell>
          <cell r="N1593">
            <v>153</v>
          </cell>
          <cell r="P1593">
            <v>153</v>
          </cell>
          <cell r="R1593">
            <v>153</v>
          </cell>
          <cell r="T1593">
            <v>153</v>
          </cell>
          <cell r="V1593">
            <v>153</v>
          </cell>
          <cell r="X1593">
            <v>153</v>
          </cell>
          <cell r="Z1593">
            <v>153</v>
          </cell>
          <cell r="AD1593">
            <v>1.7000000000000001E-2</v>
          </cell>
        </row>
        <row r="1594">
          <cell r="E1594" t="str">
            <v>CVVS 3.5sq-2C</v>
          </cell>
          <cell r="F1594" t="str">
            <v>ｍ</v>
          </cell>
          <cell r="H1594">
            <v>193</v>
          </cell>
          <cell r="J1594">
            <v>193</v>
          </cell>
          <cell r="L1594">
            <v>193</v>
          </cell>
          <cell r="N1594">
            <v>193</v>
          </cell>
          <cell r="P1594">
            <v>193</v>
          </cell>
          <cell r="R1594">
            <v>193</v>
          </cell>
          <cell r="T1594">
            <v>193</v>
          </cell>
          <cell r="V1594">
            <v>193</v>
          </cell>
          <cell r="X1594">
            <v>193</v>
          </cell>
          <cell r="Z1594">
            <v>193</v>
          </cell>
          <cell r="AD1594">
            <v>1.7999999999999999E-2</v>
          </cell>
        </row>
        <row r="1595">
          <cell r="E1595" t="str">
            <v>CVVS 5.5sq-2C</v>
          </cell>
          <cell r="F1595" t="str">
            <v>ｍ</v>
          </cell>
          <cell r="H1595">
            <v>253</v>
          </cell>
          <cell r="J1595">
            <v>253</v>
          </cell>
          <cell r="L1595">
            <v>253</v>
          </cell>
          <cell r="N1595">
            <v>253</v>
          </cell>
          <cell r="P1595">
            <v>253</v>
          </cell>
          <cell r="R1595">
            <v>253</v>
          </cell>
          <cell r="T1595">
            <v>253</v>
          </cell>
          <cell r="V1595">
            <v>253</v>
          </cell>
          <cell r="X1595">
            <v>253</v>
          </cell>
          <cell r="Z1595">
            <v>253</v>
          </cell>
          <cell r="AD1595">
            <v>2.1000000000000001E-2</v>
          </cell>
        </row>
        <row r="1596">
          <cell r="E1596" t="str">
            <v>CVVS 1.25sq-3C</v>
          </cell>
          <cell r="F1596" t="str">
            <v>ｍ</v>
          </cell>
          <cell r="H1596">
            <v>153</v>
          </cell>
          <cell r="J1596">
            <v>153</v>
          </cell>
          <cell r="L1596">
            <v>153</v>
          </cell>
          <cell r="N1596">
            <v>153</v>
          </cell>
          <cell r="P1596">
            <v>153</v>
          </cell>
          <cell r="R1596">
            <v>153</v>
          </cell>
          <cell r="T1596">
            <v>153</v>
          </cell>
          <cell r="V1596">
            <v>153</v>
          </cell>
          <cell r="X1596">
            <v>153</v>
          </cell>
          <cell r="Z1596">
            <v>153</v>
          </cell>
          <cell r="AD1596">
            <v>1.9E-2</v>
          </cell>
        </row>
        <row r="1597">
          <cell r="E1597" t="str">
            <v>CVVS 2sq-3C</v>
          </cell>
          <cell r="F1597" t="str">
            <v>ｍ</v>
          </cell>
          <cell r="H1597">
            <v>183</v>
          </cell>
          <cell r="J1597">
            <v>183</v>
          </cell>
          <cell r="L1597">
            <v>183</v>
          </cell>
          <cell r="N1597">
            <v>183</v>
          </cell>
          <cell r="P1597">
            <v>183</v>
          </cell>
          <cell r="R1597">
            <v>183</v>
          </cell>
          <cell r="T1597">
            <v>183</v>
          </cell>
          <cell r="V1597">
            <v>183</v>
          </cell>
          <cell r="X1597">
            <v>183</v>
          </cell>
          <cell r="Z1597">
            <v>183</v>
          </cell>
          <cell r="AD1597">
            <v>2.1000000000000001E-2</v>
          </cell>
        </row>
        <row r="1598">
          <cell r="E1598" t="str">
            <v>CVVS 3.5sq-3C</v>
          </cell>
          <cell r="F1598" t="str">
            <v>ｍ</v>
          </cell>
          <cell r="H1598">
            <v>246</v>
          </cell>
          <cell r="J1598">
            <v>246</v>
          </cell>
          <cell r="L1598">
            <v>246</v>
          </cell>
          <cell r="N1598">
            <v>246</v>
          </cell>
          <cell r="P1598">
            <v>246</v>
          </cell>
          <cell r="R1598">
            <v>246</v>
          </cell>
          <cell r="T1598">
            <v>246</v>
          </cell>
          <cell r="V1598">
            <v>246</v>
          </cell>
          <cell r="X1598">
            <v>246</v>
          </cell>
          <cell r="Z1598">
            <v>246</v>
          </cell>
          <cell r="AD1598">
            <v>2.4E-2</v>
          </cell>
        </row>
        <row r="1599">
          <cell r="E1599" t="str">
            <v>CVVS 5.5sq-3C</v>
          </cell>
          <cell r="F1599" t="str">
            <v>ｍ</v>
          </cell>
          <cell r="H1599">
            <v>326</v>
          </cell>
          <cell r="J1599">
            <v>326</v>
          </cell>
          <cell r="L1599">
            <v>326</v>
          </cell>
          <cell r="N1599">
            <v>326</v>
          </cell>
          <cell r="P1599">
            <v>326</v>
          </cell>
          <cell r="R1599">
            <v>326</v>
          </cell>
          <cell r="T1599">
            <v>326</v>
          </cell>
          <cell r="V1599">
            <v>326</v>
          </cell>
          <cell r="X1599">
            <v>326</v>
          </cell>
          <cell r="Z1599">
            <v>326</v>
          </cell>
          <cell r="AD1599">
            <v>0.03</v>
          </cell>
        </row>
        <row r="1600">
          <cell r="E1600" t="str">
            <v>CVVS 1.25sq-4C</v>
          </cell>
          <cell r="F1600" t="str">
            <v>ｍ</v>
          </cell>
          <cell r="H1600">
            <v>181</v>
          </cell>
          <cell r="J1600">
            <v>181</v>
          </cell>
          <cell r="L1600">
            <v>181</v>
          </cell>
          <cell r="N1600">
            <v>181</v>
          </cell>
          <cell r="P1600">
            <v>181</v>
          </cell>
          <cell r="R1600">
            <v>181</v>
          </cell>
          <cell r="T1600">
            <v>181</v>
          </cell>
          <cell r="V1600">
            <v>181</v>
          </cell>
          <cell r="X1600">
            <v>181</v>
          </cell>
          <cell r="Z1600">
            <v>181</v>
          </cell>
          <cell r="AD1600">
            <v>2.1999999999999999E-2</v>
          </cell>
        </row>
        <row r="1601">
          <cell r="E1601" t="str">
            <v>CVVS 2sq-4C</v>
          </cell>
          <cell r="F1601" t="str">
            <v>ｍ</v>
          </cell>
          <cell r="H1601">
            <v>225</v>
          </cell>
          <cell r="J1601">
            <v>225</v>
          </cell>
          <cell r="L1601">
            <v>225</v>
          </cell>
          <cell r="N1601">
            <v>225</v>
          </cell>
          <cell r="P1601">
            <v>225</v>
          </cell>
          <cell r="R1601">
            <v>225</v>
          </cell>
          <cell r="T1601">
            <v>225</v>
          </cell>
          <cell r="V1601">
            <v>225</v>
          </cell>
          <cell r="X1601">
            <v>225</v>
          </cell>
          <cell r="Z1601">
            <v>225</v>
          </cell>
          <cell r="AD1601">
            <v>2.3E-2</v>
          </cell>
        </row>
        <row r="1602">
          <cell r="E1602" t="str">
            <v>CVVS 3.5sq-4C</v>
          </cell>
          <cell r="F1602" t="str">
            <v>ｍ</v>
          </cell>
          <cell r="H1602">
            <v>302</v>
          </cell>
          <cell r="J1602">
            <v>302</v>
          </cell>
          <cell r="L1602">
            <v>302</v>
          </cell>
          <cell r="N1602">
            <v>302</v>
          </cell>
          <cell r="P1602">
            <v>302</v>
          </cell>
          <cell r="R1602">
            <v>302</v>
          </cell>
          <cell r="T1602">
            <v>302</v>
          </cell>
          <cell r="V1602">
            <v>302</v>
          </cell>
          <cell r="X1602">
            <v>302</v>
          </cell>
          <cell r="Z1602">
            <v>302</v>
          </cell>
          <cell r="AD1602">
            <v>2.8000000000000001E-2</v>
          </cell>
        </row>
        <row r="1603">
          <cell r="E1603" t="str">
            <v>CVVS 5.5sq-4C</v>
          </cell>
          <cell r="F1603" t="str">
            <v>ｍ</v>
          </cell>
          <cell r="H1603">
            <v>409</v>
          </cell>
          <cell r="J1603">
            <v>409</v>
          </cell>
          <cell r="L1603">
            <v>409</v>
          </cell>
          <cell r="N1603">
            <v>409</v>
          </cell>
          <cell r="P1603">
            <v>409</v>
          </cell>
          <cell r="R1603">
            <v>409</v>
          </cell>
          <cell r="T1603">
            <v>409</v>
          </cell>
          <cell r="V1603">
            <v>409</v>
          </cell>
          <cell r="X1603">
            <v>409</v>
          </cell>
          <cell r="Z1603">
            <v>409</v>
          </cell>
          <cell r="AD1603">
            <v>3.4000000000000002E-2</v>
          </cell>
        </row>
        <row r="1604">
          <cell r="E1604" t="str">
            <v>CVVS 1.25sq-5C</v>
          </cell>
          <cell r="F1604" t="str">
            <v>ｍ</v>
          </cell>
          <cell r="H1604">
            <v>199</v>
          </cell>
          <cell r="J1604">
            <v>199</v>
          </cell>
          <cell r="L1604">
            <v>199</v>
          </cell>
          <cell r="N1604">
            <v>199</v>
          </cell>
          <cell r="P1604">
            <v>199</v>
          </cell>
          <cell r="R1604">
            <v>199</v>
          </cell>
          <cell r="T1604">
            <v>199</v>
          </cell>
          <cell r="V1604">
            <v>199</v>
          </cell>
          <cell r="X1604">
            <v>199</v>
          </cell>
          <cell r="Z1604">
            <v>199</v>
          </cell>
          <cell r="AD1604">
            <v>2.5000000000000001E-2</v>
          </cell>
        </row>
        <row r="1605">
          <cell r="E1605" t="str">
            <v>CVVS 2sq-5C</v>
          </cell>
          <cell r="F1605" t="str">
            <v>ｍ</v>
          </cell>
          <cell r="H1605">
            <v>252</v>
          </cell>
          <cell r="J1605">
            <v>252</v>
          </cell>
          <cell r="L1605">
            <v>252</v>
          </cell>
          <cell r="N1605">
            <v>252</v>
          </cell>
          <cell r="P1605">
            <v>252</v>
          </cell>
          <cell r="R1605">
            <v>252</v>
          </cell>
          <cell r="T1605">
            <v>252</v>
          </cell>
          <cell r="V1605">
            <v>252</v>
          </cell>
          <cell r="X1605">
            <v>252</v>
          </cell>
          <cell r="Z1605">
            <v>252</v>
          </cell>
          <cell r="AD1605">
            <v>2.8000000000000001E-2</v>
          </cell>
        </row>
        <row r="1606">
          <cell r="E1606" t="str">
            <v>CVVS 3.5sq-5C</v>
          </cell>
          <cell r="F1606" t="str">
            <v>ｍ</v>
          </cell>
          <cell r="H1606">
            <v>347</v>
          </cell>
          <cell r="J1606">
            <v>347</v>
          </cell>
          <cell r="L1606">
            <v>347</v>
          </cell>
          <cell r="N1606">
            <v>347</v>
          </cell>
          <cell r="P1606">
            <v>347</v>
          </cell>
          <cell r="R1606">
            <v>347</v>
          </cell>
          <cell r="T1606">
            <v>347</v>
          </cell>
          <cell r="V1606">
            <v>347</v>
          </cell>
          <cell r="X1606">
            <v>347</v>
          </cell>
          <cell r="Z1606">
            <v>347</v>
          </cell>
          <cell r="AD1606">
            <v>0.03</v>
          </cell>
        </row>
        <row r="1607">
          <cell r="E1607" t="str">
            <v>CVVS 5.5sq-5C</v>
          </cell>
          <cell r="F1607" t="str">
            <v>ｍ</v>
          </cell>
          <cell r="H1607">
            <v>498</v>
          </cell>
          <cell r="J1607">
            <v>498</v>
          </cell>
          <cell r="L1607">
            <v>498</v>
          </cell>
          <cell r="N1607">
            <v>498</v>
          </cell>
          <cell r="P1607">
            <v>498</v>
          </cell>
          <cell r="R1607">
            <v>498</v>
          </cell>
          <cell r="T1607">
            <v>498</v>
          </cell>
          <cell r="V1607">
            <v>498</v>
          </cell>
          <cell r="X1607">
            <v>498</v>
          </cell>
          <cell r="Z1607">
            <v>498</v>
          </cell>
          <cell r="AD1607">
            <v>3.6999999999999998E-2</v>
          </cell>
        </row>
        <row r="1608">
          <cell r="E1608" t="str">
            <v>CVVS 1.25sq-6C</v>
          </cell>
          <cell r="F1608" t="str">
            <v>ｍ</v>
          </cell>
          <cell r="H1608">
            <v>225</v>
          </cell>
          <cell r="J1608">
            <v>225</v>
          </cell>
          <cell r="L1608">
            <v>225</v>
          </cell>
          <cell r="N1608">
            <v>225</v>
          </cell>
          <cell r="P1608">
            <v>225</v>
          </cell>
          <cell r="R1608">
            <v>225</v>
          </cell>
          <cell r="T1608">
            <v>225</v>
          </cell>
          <cell r="V1608">
            <v>225</v>
          </cell>
          <cell r="X1608">
            <v>225</v>
          </cell>
          <cell r="Z1608">
            <v>225</v>
          </cell>
          <cell r="AD1608">
            <v>2.5000000000000001E-2</v>
          </cell>
        </row>
        <row r="1609">
          <cell r="E1609" t="str">
            <v>CVVS 2sq-6C</v>
          </cell>
          <cell r="F1609" t="str">
            <v>ｍ</v>
          </cell>
          <cell r="H1609">
            <v>294</v>
          </cell>
          <cell r="J1609">
            <v>294</v>
          </cell>
          <cell r="L1609">
            <v>294</v>
          </cell>
          <cell r="N1609">
            <v>294</v>
          </cell>
          <cell r="P1609">
            <v>294</v>
          </cell>
          <cell r="R1609">
            <v>294</v>
          </cell>
          <cell r="T1609">
            <v>294</v>
          </cell>
          <cell r="V1609">
            <v>294</v>
          </cell>
          <cell r="X1609">
            <v>294</v>
          </cell>
          <cell r="Z1609">
            <v>294</v>
          </cell>
          <cell r="AD1609">
            <v>2.8000000000000001E-2</v>
          </cell>
        </row>
        <row r="1610">
          <cell r="E1610" t="str">
            <v>CVVS 3.5sq-6C</v>
          </cell>
          <cell r="F1610" t="str">
            <v>ｍ</v>
          </cell>
          <cell r="H1610">
            <v>405</v>
          </cell>
          <cell r="J1610">
            <v>405</v>
          </cell>
          <cell r="L1610">
            <v>405</v>
          </cell>
          <cell r="N1610">
            <v>405</v>
          </cell>
          <cell r="P1610">
            <v>405</v>
          </cell>
          <cell r="R1610">
            <v>405</v>
          </cell>
          <cell r="T1610">
            <v>405</v>
          </cell>
          <cell r="V1610">
            <v>405</v>
          </cell>
          <cell r="X1610">
            <v>405</v>
          </cell>
          <cell r="Z1610">
            <v>405</v>
          </cell>
          <cell r="AD1610">
            <v>0.03</v>
          </cell>
        </row>
        <row r="1611">
          <cell r="E1611" t="str">
            <v>CVVS 5.5sq-6C</v>
          </cell>
          <cell r="F1611" t="str">
            <v>ｍ</v>
          </cell>
          <cell r="H1611">
            <v>660</v>
          </cell>
          <cell r="J1611">
            <v>660</v>
          </cell>
          <cell r="L1611">
            <v>660</v>
          </cell>
          <cell r="N1611">
            <v>660</v>
          </cell>
          <cell r="P1611">
            <v>660</v>
          </cell>
          <cell r="R1611">
            <v>660</v>
          </cell>
          <cell r="T1611">
            <v>660</v>
          </cell>
          <cell r="V1611">
            <v>660</v>
          </cell>
          <cell r="X1611">
            <v>660</v>
          </cell>
          <cell r="Z1611">
            <v>660</v>
          </cell>
          <cell r="AD1611">
            <v>3.6999999999999998E-2</v>
          </cell>
        </row>
        <row r="1612">
          <cell r="E1612" t="str">
            <v>CVVS 1.25sq-7C</v>
          </cell>
          <cell r="F1612" t="str">
            <v>ｍ</v>
          </cell>
          <cell r="H1612">
            <v>246</v>
          </cell>
          <cell r="J1612">
            <v>246</v>
          </cell>
          <cell r="L1612">
            <v>246</v>
          </cell>
          <cell r="N1612">
            <v>246</v>
          </cell>
          <cell r="P1612">
            <v>246</v>
          </cell>
          <cell r="R1612">
            <v>246</v>
          </cell>
          <cell r="T1612">
            <v>246</v>
          </cell>
          <cell r="V1612">
            <v>246</v>
          </cell>
          <cell r="X1612">
            <v>246</v>
          </cell>
          <cell r="Z1612">
            <v>246</v>
          </cell>
          <cell r="AD1612">
            <v>0.03</v>
          </cell>
        </row>
        <row r="1613">
          <cell r="E1613" t="str">
            <v>CVVS 2sq-7C</v>
          </cell>
          <cell r="F1613" t="str">
            <v>ｍ</v>
          </cell>
          <cell r="H1613">
            <v>323</v>
          </cell>
          <cell r="J1613">
            <v>323</v>
          </cell>
          <cell r="L1613">
            <v>323</v>
          </cell>
          <cell r="N1613">
            <v>323</v>
          </cell>
          <cell r="P1613">
            <v>323</v>
          </cell>
          <cell r="R1613">
            <v>323</v>
          </cell>
          <cell r="T1613">
            <v>323</v>
          </cell>
          <cell r="V1613">
            <v>323</v>
          </cell>
          <cell r="X1613">
            <v>323</v>
          </cell>
          <cell r="Z1613">
            <v>323</v>
          </cell>
          <cell r="AD1613">
            <v>3.4000000000000002E-2</v>
          </cell>
        </row>
        <row r="1614">
          <cell r="E1614" t="str">
            <v>CVVS 3.5sq-7C</v>
          </cell>
          <cell r="F1614" t="str">
            <v>ｍ</v>
          </cell>
          <cell r="H1614">
            <v>458</v>
          </cell>
          <cell r="J1614">
            <v>458</v>
          </cell>
          <cell r="L1614">
            <v>458</v>
          </cell>
          <cell r="N1614">
            <v>458</v>
          </cell>
          <cell r="P1614">
            <v>458</v>
          </cell>
          <cell r="R1614">
            <v>458</v>
          </cell>
          <cell r="T1614">
            <v>458</v>
          </cell>
          <cell r="V1614">
            <v>458</v>
          </cell>
          <cell r="X1614">
            <v>458</v>
          </cell>
          <cell r="Z1614">
            <v>458</v>
          </cell>
          <cell r="AD1614">
            <v>3.6999999999999998E-2</v>
          </cell>
        </row>
        <row r="1615">
          <cell r="E1615" t="str">
            <v>CVVS 5.5sq-7C</v>
          </cell>
          <cell r="F1615" t="str">
            <v>ｍ</v>
          </cell>
          <cell r="H1615">
            <v>737</v>
          </cell>
          <cell r="J1615">
            <v>737</v>
          </cell>
          <cell r="L1615">
            <v>737</v>
          </cell>
          <cell r="N1615">
            <v>737</v>
          </cell>
          <cell r="P1615">
            <v>737</v>
          </cell>
          <cell r="R1615">
            <v>737</v>
          </cell>
          <cell r="T1615">
            <v>737</v>
          </cell>
          <cell r="V1615">
            <v>737</v>
          </cell>
          <cell r="X1615">
            <v>737</v>
          </cell>
          <cell r="Z1615">
            <v>737</v>
          </cell>
          <cell r="AD1615">
            <v>4.3999999999999997E-2</v>
          </cell>
        </row>
        <row r="1616">
          <cell r="E1616" t="str">
            <v>CVVS 1.25sq-8C</v>
          </cell>
          <cell r="F1616" t="str">
            <v>ｍ</v>
          </cell>
          <cell r="H1616">
            <v>279</v>
          </cell>
          <cell r="J1616">
            <v>279</v>
          </cell>
          <cell r="L1616">
            <v>279</v>
          </cell>
          <cell r="N1616">
            <v>279</v>
          </cell>
          <cell r="P1616">
            <v>279</v>
          </cell>
          <cell r="R1616">
            <v>279</v>
          </cell>
          <cell r="T1616">
            <v>279</v>
          </cell>
          <cell r="V1616">
            <v>279</v>
          </cell>
          <cell r="X1616">
            <v>279</v>
          </cell>
          <cell r="Z1616">
            <v>279</v>
          </cell>
          <cell r="AD1616">
            <v>3.4000000000000002E-2</v>
          </cell>
        </row>
        <row r="1617">
          <cell r="E1617" t="str">
            <v>CVVS 2sq-8C</v>
          </cell>
          <cell r="F1617" t="str">
            <v>ｍ</v>
          </cell>
          <cell r="H1617">
            <v>362</v>
          </cell>
          <cell r="J1617">
            <v>362</v>
          </cell>
          <cell r="L1617">
            <v>362</v>
          </cell>
          <cell r="N1617">
            <v>362</v>
          </cell>
          <cell r="P1617">
            <v>362</v>
          </cell>
          <cell r="R1617">
            <v>362</v>
          </cell>
          <cell r="T1617">
            <v>362</v>
          </cell>
          <cell r="V1617">
            <v>362</v>
          </cell>
          <cell r="X1617">
            <v>362</v>
          </cell>
          <cell r="Z1617">
            <v>362</v>
          </cell>
          <cell r="AD1617">
            <v>3.6999999999999998E-2</v>
          </cell>
        </row>
        <row r="1618">
          <cell r="E1618" t="str">
            <v>CVVS 3.5sq-8C</v>
          </cell>
          <cell r="F1618" t="str">
            <v>ｍ</v>
          </cell>
          <cell r="H1618">
            <v>631</v>
          </cell>
          <cell r="J1618">
            <v>631</v>
          </cell>
          <cell r="L1618">
            <v>631</v>
          </cell>
          <cell r="N1618">
            <v>631</v>
          </cell>
          <cell r="P1618">
            <v>631</v>
          </cell>
          <cell r="R1618">
            <v>631</v>
          </cell>
          <cell r="T1618">
            <v>631</v>
          </cell>
          <cell r="V1618">
            <v>631</v>
          </cell>
          <cell r="X1618">
            <v>631</v>
          </cell>
          <cell r="Z1618">
            <v>631</v>
          </cell>
          <cell r="AD1618">
            <v>4.3999999999999997E-2</v>
          </cell>
        </row>
        <row r="1619">
          <cell r="E1619" t="str">
            <v>CVVS 5.5sq-8C</v>
          </cell>
          <cell r="F1619" t="str">
            <v>ｍ</v>
          </cell>
          <cell r="H1619">
            <v>859</v>
          </cell>
          <cell r="J1619">
            <v>859</v>
          </cell>
          <cell r="L1619">
            <v>859</v>
          </cell>
          <cell r="N1619">
            <v>859</v>
          </cell>
          <cell r="P1619">
            <v>859</v>
          </cell>
          <cell r="R1619">
            <v>859</v>
          </cell>
          <cell r="T1619">
            <v>859</v>
          </cell>
          <cell r="V1619">
            <v>859</v>
          </cell>
          <cell r="X1619">
            <v>859</v>
          </cell>
          <cell r="Z1619">
            <v>859</v>
          </cell>
          <cell r="AD1619">
            <v>4.3999999999999997E-2</v>
          </cell>
        </row>
        <row r="1620">
          <cell r="E1620" t="str">
            <v>CVVS 1.25sq-10C</v>
          </cell>
          <cell r="F1620" t="str">
            <v>ｍ</v>
          </cell>
          <cell r="H1620">
            <v>335</v>
          </cell>
          <cell r="J1620">
            <v>335</v>
          </cell>
          <cell r="L1620">
            <v>335</v>
          </cell>
          <cell r="N1620">
            <v>335</v>
          </cell>
          <cell r="P1620">
            <v>335</v>
          </cell>
          <cell r="R1620">
            <v>335</v>
          </cell>
          <cell r="T1620">
            <v>335</v>
          </cell>
          <cell r="V1620">
            <v>335</v>
          </cell>
          <cell r="X1620">
            <v>335</v>
          </cell>
          <cell r="Z1620">
            <v>335</v>
          </cell>
          <cell r="AD1620">
            <v>3.6999999999999998E-2</v>
          </cell>
        </row>
        <row r="1621">
          <cell r="E1621" t="str">
            <v>CVVS 2sq-10C</v>
          </cell>
          <cell r="F1621" t="str">
            <v>ｍ</v>
          </cell>
          <cell r="H1621">
            <v>440</v>
          </cell>
          <cell r="J1621">
            <v>440</v>
          </cell>
          <cell r="L1621">
            <v>440</v>
          </cell>
          <cell r="N1621">
            <v>440</v>
          </cell>
          <cell r="P1621">
            <v>440</v>
          </cell>
          <cell r="R1621">
            <v>440</v>
          </cell>
          <cell r="T1621">
            <v>440</v>
          </cell>
          <cell r="V1621">
            <v>440</v>
          </cell>
          <cell r="X1621">
            <v>440</v>
          </cell>
          <cell r="Z1621">
            <v>440</v>
          </cell>
          <cell r="AD1621">
            <v>4.2000000000000003E-2</v>
          </cell>
        </row>
        <row r="1622">
          <cell r="E1622" t="str">
            <v>CVVS 3.5sq-10C</v>
          </cell>
          <cell r="F1622" t="str">
            <v>ｍ</v>
          </cell>
          <cell r="H1622">
            <v>622</v>
          </cell>
          <cell r="J1622">
            <v>622</v>
          </cell>
          <cell r="L1622">
            <v>622</v>
          </cell>
          <cell r="N1622">
            <v>622</v>
          </cell>
          <cell r="P1622">
            <v>622</v>
          </cell>
          <cell r="R1622">
            <v>622</v>
          </cell>
          <cell r="T1622">
            <v>622</v>
          </cell>
          <cell r="V1622">
            <v>622</v>
          </cell>
          <cell r="X1622">
            <v>622</v>
          </cell>
          <cell r="Z1622">
            <v>622</v>
          </cell>
          <cell r="AD1622">
            <v>4.4999999999999998E-2</v>
          </cell>
        </row>
        <row r="1623">
          <cell r="E1623" t="str">
            <v>CVVS 5.5sq-10C</v>
          </cell>
          <cell r="F1623" t="str">
            <v>ｍ</v>
          </cell>
          <cell r="H1623">
            <v>1026</v>
          </cell>
          <cell r="J1623">
            <v>1026</v>
          </cell>
          <cell r="L1623">
            <v>1026</v>
          </cell>
          <cell r="N1623">
            <v>1026</v>
          </cell>
          <cell r="P1623">
            <v>1026</v>
          </cell>
          <cell r="R1623">
            <v>1026</v>
          </cell>
          <cell r="T1623">
            <v>1026</v>
          </cell>
          <cell r="V1623">
            <v>1026</v>
          </cell>
          <cell r="X1623">
            <v>1026</v>
          </cell>
          <cell r="Z1623">
            <v>1026</v>
          </cell>
          <cell r="AD1623">
            <v>5.3999999999999999E-2</v>
          </cell>
        </row>
        <row r="1624">
          <cell r="E1624" t="str">
            <v>CVVS 1.25sq-12C</v>
          </cell>
          <cell r="F1624" t="str">
            <v>ｍ</v>
          </cell>
          <cell r="H1624">
            <v>387</v>
          </cell>
          <cell r="J1624">
            <v>387</v>
          </cell>
          <cell r="L1624">
            <v>387</v>
          </cell>
          <cell r="N1624">
            <v>387</v>
          </cell>
          <cell r="P1624">
            <v>387</v>
          </cell>
          <cell r="R1624">
            <v>387</v>
          </cell>
          <cell r="T1624">
            <v>387</v>
          </cell>
          <cell r="V1624">
            <v>387</v>
          </cell>
          <cell r="X1624">
            <v>387</v>
          </cell>
          <cell r="Z1624">
            <v>387</v>
          </cell>
          <cell r="AD1624">
            <v>4.2999999999999997E-2</v>
          </cell>
        </row>
        <row r="1625">
          <cell r="E1625" t="str">
            <v>CVVS 2sq-12C</v>
          </cell>
          <cell r="F1625" t="str">
            <v>ｍ</v>
          </cell>
          <cell r="H1625">
            <v>504</v>
          </cell>
          <cell r="J1625">
            <v>504</v>
          </cell>
          <cell r="L1625">
            <v>504</v>
          </cell>
          <cell r="N1625">
            <v>504</v>
          </cell>
          <cell r="P1625">
            <v>504</v>
          </cell>
          <cell r="R1625">
            <v>504</v>
          </cell>
          <cell r="T1625">
            <v>504</v>
          </cell>
          <cell r="V1625">
            <v>504</v>
          </cell>
          <cell r="X1625">
            <v>504</v>
          </cell>
          <cell r="Z1625">
            <v>504</v>
          </cell>
          <cell r="AD1625">
            <v>4.8000000000000001E-2</v>
          </cell>
        </row>
        <row r="1626">
          <cell r="E1626" t="str">
            <v>CVVS 3.5sq-12C</v>
          </cell>
          <cell r="F1626" t="str">
            <v>ｍ</v>
          </cell>
          <cell r="H1626">
            <v>737</v>
          </cell>
          <cell r="J1626">
            <v>737</v>
          </cell>
          <cell r="L1626">
            <v>737</v>
          </cell>
          <cell r="N1626">
            <v>737</v>
          </cell>
          <cell r="P1626">
            <v>737</v>
          </cell>
          <cell r="R1626">
            <v>737</v>
          </cell>
          <cell r="T1626">
            <v>737</v>
          </cell>
          <cell r="V1626">
            <v>737</v>
          </cell>
          <cell r="X1626">
            <v>737</v>
          </cell>
          <cell r="Z1626">
            <v>737</v>
          </cell>
          <cell r="AD1626">
            <v>5.2999999999999999E-2</v>
          </cell>
        </row>
        <row r="1627">
          <cell r="E1627" t="str">
            <v>CVVS 5.5sq-12C</v>
          </cell>
          <cell r="F1627" t="str">
            <v>ｍ</v>
          </cell>
          <cell r="H1627">
            <v>1179</v>
          </cell>
          <cell r="J1627">
            <v>1179</v>
          </cell>
          <cell r="L1627">
            <v>1179</v>
          </cell>
          <cell r="N1627">
            <v>1179</v>
          </cell>
          <cell r="P1627">
            <v>1179</v>
          </cell>
          <cell r="R1627">
            <v>1179</v>
          </cell>
          <cell r="T1627">
            <v>1179</v>
          </cell>
          <cell r="V1627">
            <v>1179</v>
          </cell>
          <cell r="X1627">
            <v>1179</v>
          </cell>
          <cell r="Z1627">
            <v>1179</v>
          </cell>
          <cell r="AD1627">
            <v>6.3E-2</v>
          </cell>
        </row>
        <row r="1628">
          <cell r="E1628" t="str">
            <v>CVVS 1.25sq-15C</v>
          </cell>
          <cell r="F1628" t="str">
            <v>ｍ</v>
          </cell>
          <cell r="H1628">
            <v>458</v>
          </cell>
          <cell r="J1628">
            <v>458</v>
          </cell>
          <cell r="L1628">
            <v>458</v>
          </cell>
          <cell r="N1628">
            <v>458</v>
          </cell>
          <cell r="P1628">
            <v>458</v>
          </cell>
          <cell r="R1628">
            <v>458</v>
          </cell>
          <cell r="T1628">
            <v>458</v>
          </cell>
          <cell r="V1628">
            <v>458</v>
          </cell>
          <cell r="X1628">
            <v>458</v>
          </cell>
          <cell r="Z1628">
            <v>458</v>
          </cell>
          <cell r="AD1628">
            <v>5.3999999999999999E-2</v>
          </cell>
        </row>
        <row r="1629">
          <cell r="E1629" t="str">
            <v>CVVS 2sq-15C</v>
          </cell>
          <cell r="F1629" t="str">
            <v>ｍ</v>
          </cell>
          <cell r="H1629">
            <v>611</v>
          </cell>
          <cell r="J1629">
            <v>611</v>
          </cell>
          <cell r="L1629">
            <v>611</v>
          </cell>
          <cell r="N1629">
            <v>611</v>
          </cell>
          <cell r="P1629">
            <v>611</v>
          </cell>
          <cell r="R1629">
            <v>611</v>
          </cell>
          <cell r="T1629">
            <v>611</v>
          </cell>
          <cell r="V1629">
            <v>611</v>
          </cell>
          <cell r="X1629">
            <v>611</v>
          </cell>
          <cell r="Z1629">
            <v>611</v>
          </cell>
          <cell r="AD1629">
            <v>0.06</v>
          </cell>
        </row>
        <row r="1630">
          <cell r="E1630" t="str">
            <v>CVVS 3.5sq-15C</v>
          </cell>
          <cell r="F1630" t="str">
            <v>ｍ</v>
          </cell>
          <cell r="H1630">
            <v>892</v>
          </cell>
          <cell r="J1630">
            <v>892</v>
          </cell>
          <cell r="L1630">
            <v>892</v>
          </cell>
          <cell r="N1630">
            <v>892</v>
          </cell>
          <cell r="P1630">
            <v>892</v>
          </cell>
          <cell r="R1630">
            <v>892</v>
          </cell>
          <cell r="T1630">
            <v>892</v>
          </cell>
          <cell r="V1630">
            <v>892</v>
          </cell>
          <cell r="X1630">
            <v>892</v>
          </cell>
          <cell r="Z1630">
            <v>892</v>
          </cell>
          <cell r="AD1630">
            <v>6.6000000000000003E-2</v>
          </cell>
        </row>
        <row r="1631">
          <cell r="E1631" t="str">
            <v>CVVS 5.5sq-15C</v>
          </cell>
          <cell r="F1631" t="str">
            <v>ｍ</v>
          </cell>
          <cell r="H1631">
            <v>1424</v>
          </cell>
          <cell r="J1631">
            <v>1424</v>
          </cell>
          <cell r="L1631">
            <v>1424</v>
          </cell>
          <cell r="N1631">
            <v>1424</v>
          </cell>
          <cell r="P1631">
            <v>1424</v>
          </cell>
          <cell r="R1631">
            <v>1424</v>
          </cell>
          <cell r="T1631">
            <v>1424</v>
          </cell>
          <cell r="V1631">
            <v>1424</v>
          </cell>
          <cell r="X1631">
            <v>1424</v>
          </cell>
          <cell r="Z1631">
            <v>1424</v>
          </cell>
          <cell r="AD1631">
            <v>7.8E-2</v>
          </cell>
        </row>
        <row r="1632">
          <cell r="E1632" t="str">
            <v>CVVS 1.25sq-20C</v>
          </cell>
          <cell r="F1632" t="str">
            <v>ｍ</v>
          </cell>
          <cell r="H1632">
            <v>583</v>
          </cell>
          <cell r="J1632">
            <v>583</v>
          </cell>
          <cell r="L1632">
            <v>583</v>
          </cell>
          <cell r="N1632">
            <v>583</v>
          </cell>
          <cell r="P1632">
            <v>583</v>
          </cell>
          <cell r="R1632">
            <v>583</v>
          </cell>
          <cell r="T1632">
            <v>583</v>
          </cell>
          <cell r="V1632">
            <v>583</v>
          </cell>
          <cell r="X1632">
            <v>583</v>
          </cell>
          <cell r="Z1632">
            <v>583</v>
          </cell>
          <cell r="AD1632">
            <v>6.3E-2</v>
          </cell>
        </row>
        <row r="1633">
          <cell r="E1633" t="str">
            <v>CVVS 2sq-20C</v>
          </cell>
          <cell r="F1633" t="str">
            <v>ｍ</v>
          </cell>
          <cell r="H1633">
            <v>783</v>
          </cell>
          <cell r="J1633">
            <v>783</v>
          </cell>
          <cell r="L1633">
            <v>783</v>
          </cell>
          <cell r="N1633">
            <v>783</v>
          </cell>
          <cell r="P1633">
            <v>783</v>
          </cell>
          <cell r="R1633">
            <v>783</v>
          </cell>
          <cell r="T1633">
            <v>783</v>
          </cell>
          <cell r="V1633">
            <v>783</v>
          </cell>
          <cell r="X1633">
            <v>783</v>
          </cell>
          <cell r="Z1633">
            <v>783</v>
          </cell>
          <cell r="AD1633">
            <v>7.0000000000000007E-2</v>
          </cell>
        </row>
        <row r="1634">
          <cell r="E1634" t="str">
            <v>CVVS 3.5sq-20C</v>
          </cell>
          <cell r="F1634" t="str">
            <v>ｍ</v>
          </cell>
          <cell r="H1634">
            <v>1164</v>
          </cell>
          <cell r="J1634">
            <v>1164</v>
          </cell>
          <cell r="L1634">
            <v>1164</v>
          </cell>
          <cell r="N1634">
            <v>1164</v>
          </cell>
          <cell r="P1634">
            <v>1164</v>
          </cell>
          <cell r="R1634">
            <v>1164</v>
          </cell>
          <cell r="T1634">
            <v>1164</v>
          </cell>
          <cell r="V1634">
            <v>1164</v>
          </cell>
          <cell r="X1634">
            <v>1164</v>
          </cell>
          <cell r="Z1634">
            <v>1164</v>
          </cell>
          <cell r="AD1634">
            <v>7.6999999999999999E-2</v>
          </cell>
        </row>
        <row r="1635">
          <cell r="E1635" t="str">
            <v>CVVS 5.5sq-20C</v>
          </cell>
          <cell r="F1635" t="str">
            <v>ｍ</v>
          </cell>
          <cell r="H1635">
            <v>1844</v>
          </cell>
          <cell r="J1635">
            <v>1844</v>
          </cell>
          <cell r="L1635">
            <v>1844</v>
          </cell>
          <cell r="N1635">
            <v>1844</v>
          </cell>
          <cell r="P1635">
            <v>1844</v>
          </cell>
          <cell r="R1635">
            <v>1844</v>
          </cell>
          <cell r="T1635">
            <v>1844</v>
          </cell>
          <cell r="V1635">
            <v>1844</v>
          </cell>
          <cell r="X1635">
            <v>1844</v>
          </cell>
          <cell r="Z1635">
            <v>1844</v>
          </cell>
          <cell r="AD1635">
            <v>9.0999999999999998E-2</v>
          </cell>
        </row>
        <row r="1636">
          <cell r="E1636" t="str">
            <v>CEES 1.25sq-2C</v>
          </cell>
          <cell r="F1636" t="str">
            <v>ｍ</v>
          </cell>
          <cell r="H1636">
            <v>169</v>
          </cell>
          <cell r="J1636">
            <v>169</v>
          </cell>
          <cell r="L1636">
            <v>169</v>
          </cell>
          <cell r="N1636">
            <v>169</v>
          </cell>
          <cell r="P1636">
            <v>169</v>
          </cell>
          <cell r="R1636">
            <v>169</v>
          </cell>
          <cell r="T1636">
            <v>169</v>
          </cell>
          <cell r="V1636">
            <v>169</v>
          </cell>
          <cell r="X1636">
            <v>169</v>
          </cell>
          <cell r="Z1636">
            <v>169</v>
          </cell>
          <cell r="AD1636">
            <v>1.4999999999999999E-2</v>
          </cell>
        </row>
        <row r="1637">
          <cell r="E1637" t="str">
            <v>CEES 2sq-2C</v>
          </cell>
          <cell r="F1637" t="str">
            <v>ｍ</v>
          </cell>
          <cell r="H1637">
            <v>199</v>
          </cell>
          <cell r="J1637">
            <v>199</v>
          </cell>
          <cell r="L1637">
            <v>199</v>
          </cell>
          <cell r="N1637">
            <v>199</v>
          </cell>
          <cell r="P1637">
            <v>199</v>
          </cell>
          <cell r="R1637">
            <v>199</v>
          </cell>
          <cell r="T1637">
            <v>199</v>
          </cell>
          <cell r="V1637">
            <v>199</v>
          </cell>
          <cell r="X1637">
            <v>199</v>
          </cell>
          <cell r="Z1637">
            <v>199</v>
          </cell>
          <cell r="AD1637">
            <v>1.7000000000000001E-2</v>
          </cell>
        </row>
        <row r="1638">
          <cell r="E1638" t="str">
            <v>CEES 3.5sq-2C</v>
          </cell>
          <cell r="F1638" t="str">
            <v>ｍ</v>
          </cell>
          <cell r="H1638">
            <v>298</v>
          </cell>
          <cell r="J1638">
            <v>298</v>
          </cell>
          <cell r="L1638">
            <v>298</v>
          </cell>
          <cell r="N1638">
            <v>298</v>
          </cell>
          <cell r="P1638">
            <v>298</v>
          </cell>
          <cell r="R1638">
            <v>298</v>
          </cell>
          <cell r="T1638">
            <v>298</v>
          </cell>
          <cell r="V1638">
            <v>298</v>
          </cell>
          <cell r="X1638">
            <v>298</v>
          </cell>
          <cell r="Z1638">
            <v>298</v>
          </cell>
          <cell r="AD1638">
            <v>1.7999999999999999E-2</v>
          </cell>
        </row>
        <row r="1639">
          <cell r="E1639" t="str">
            <v>CEES 5.5sq-2C</v>
          </cell>
          <cell r="F1639" t="str">
            <v>ｍ</v>
          </cell>
          <cell r="H1639">
            <v>360</v>
          </cell>
          <cell r="J1639">
            <v>360</v>
          </cell>
          <cell r="L1639">
            <v>360</v>
          </cell>
          <cell r="N1639">
            <v>360</v>
          </cell>
          <cell r="P1639">
            <v>360</v>
          </cell>
          <cell r="R1639">
            <v>360</v>
          </cell>
          <cell r="T1639">
            <v>360</v>
          </cell>
          <cell r="V1639">
            <v>360</v>
          </cell>
          <cell r="X1639">
            <v>360</v>
          </cell>
          <cell r="Z1639">
            <v>360</v>
          </cell>
          <cell r="AD1639">
            <v>2.1000000000000001E-2</v>
          </cell>
        </row>
        <row r="1640">
          <cell r="E1640" t="str">
            <v>CEES 1.25sq-3C</v>
          </cell>
          <cell r="F1640" t="str">
            <v>ｍ</v>
          </cell>
          <cell r="H1640">
            <v>199</v>
          </cell>
          <cell r="J1640">
            <v>199</v>
          </cell>
          <cell r="L1640">
            <v>199</v>
          </cell>
          <cell r="N1640">
            <v>199</v>
          </cell>
          <cell r="P1640">
            <v>199</v>
          </cell>
          <cell r="R1640">
            <v>199</v>
          </cell>
          <cell r="T1640">
            <v>199</v>
          </cell>
          <cell r="V1640">
            <v>199</v>
          </cell>
          <cell r="X1640">
            <v>199</v>
          </cell>
          <cell r="Z1640">
            <v>199</v>
          </cell>
          <cell r="AD1640">
            <v>1.9E-2</v>
          </cell>
        </row>
        <row r="1641">
          <cell r="E1641" t="str">
            <v>CEES 2sq-3C</v>
          </cell>
          <cell r="F1641" t="str">
            <v>ｍ</v>
          </cell>
          <cell r="H1641">
            <v>284</v>
          </cell>
          <cell r="J1641">
            <v>284</v>
          </cell>
          <cell r="L1641">
            <v>284</v>
          </cell>
          <cell r="N1641">
            <v>284</v>
          </cell>
          <cell r="P1641">
            <v>284</v>
          </cell>
          <cell r="R1641">
            <v>284</v>
          </cell>
          <cell r="T1641">
            <v>284</v>
          </cell>
          <cell r="V1641">
            <v>284</v>
          </cell>
          <cell r="X1641">
            <v>284</v>
          </cell>
          <cell r="Z1641">
            <v>284</v>
          </cell>
          <cell r="AD1641">
            <v>2.1000000000000001E-2</v>
          </cell>
        </row>
        <row r="1642">
          <cell r="E1642" t="str">
            <v>CEES 3.5sq-3C</v>
          </cell>
          <cell r="F1642" t="str">
            <v>ｍ</v>
          </cell>
          <cell r="H1642">
            <v>363</v>
          </cell>
          <cell r="J1642">
            <v>363</v>
          </cell>
          <cell r="L1642">
            <v>363</v>
          </cell>
          <cell r="N1642">
            <v>363</v>
          </cell>
          <cell r="P1642">
            <v>363</v>
          </cell>
          <cell r="R1642">
            <v>363</v>
          </cell>
          <cell r="T1642">
            <v>363</v>
          </cell>
          <cell r="V1642">
            <v>363</v>
          </cell>
          <cell r="X1642">
            <v>363</v>
          </cell>
          <cell r="Z1642">
            <v>363</v>
          </cell>
          <cell r="AD1642">
            <v>2.4E-2</v>
          </cell>
        </row>
        <row r="1643">
          <cell r="E1643" t="str">
            <v>CEES 5.5sq-3C</v>
          </cell>
          <cell r="F1643" t="str">
            <v>ｍ</v>
          </cell>
          <cell r="H1643">
            <v>446</v>
          </cell>
          <cell r="J1643">
            <v>446</v>
          </cell>
          <cell r="L1643">
            <v>446</v>
          </cell>
          <cell r="N1643">
            <v>446</v>
          </cell>
          <cell r="P1643">
            <v>446</v>
          </cell>
          <cell r="R1643">
            <v>446</v>
          </cell>
          <cell r="T1643">
            <v>446</v>
          </cell>
          <cell r="V1643">
            <v>446</v>
          </cell>
          <cell r="X1643">
            <v>446</v>
          </cell>
          <cell r="Z1643">
            <v>446</v>
          </cell>
          <cell r="AD1643">
            <v>0.03</v>
          </cell>
        </row>
        <row r="1644">
          <cell r="E1644" t="str">
            <v>CEES 1.25sq-4C</v>
          </cell>
          <cell r="F1644" t="str">
            <v>ｍ</v>
          </cell>
          <cell r="H1644">
            <v>284</v>
          </cell>
          <cell r="J1644">
            <v>284</v>
          </cell>
          <cell r="L1644">
            <v>284</v>
          </cell>
          <cell r="N1644">
            <v>284</v>
          </cell>
          <cell r="P1644">
            <v>284</v>
          </cell>
          <cell r="R1644">
            <v>284</v>
          </cell>
          <cell r="T1644">
            <v>284</v>
          </cell>
          <cell r="V1644">
            <v>284</v>
          </cell>
          <cell r="X1644">
            <v>284</v>
          </cell>
          <cell r="Z1644">
            <v>284</v>
          </cell>
          <cell r="AD1644">
            <v>2.1999999999999999E-2</v>
          </cell>
        </row>
        <row r="1645">
          <cell r="E1645" t="str">
            <v>CEES 2sq-4C</v>
          </cell>
          <cell r="F1645" t="str">
            <v>ｍ</v>
          </cell>
          <cell r="H1645">
            <v>341</v>
          </cell>
          <cell r="J1645">
            <v>341</v>
          </cell>
          <cell r="L1645">
            <v>341</v>
          </cell>
          <cell r="N1645">
            <v>341</v>
          </cell>
          <cell r="P1645">
            <v>341</v>
          </cell>
          <cell r="R1645">
            <v>341</v>
          </cell>
          <cell r="T1645">
            <v>341</v>
          </cell>
          <cell r="V1645">
            <v>341</v>
          </cell>
          <cell r="X1645">
            <v>341</v>
          </cell>
          <cell r="Z1645">
            <v>341</v>
          </cell>
          <cell r="AD1645">
            <v>2.3E-2</v>
          </cell>
        </row>
        <row r="1646">
          <cell r="E1646" t="str">
            <v>CEES 3.5sq-4C</v>
          </cell>
          <cell r="F1646" t="str">
            <v>ｍ</v>
          </cell>
          <cell r="H1646">
            <v>430</v>
          </cell>
          <cell r="J1646">
            <v>430</v>
          </cell>
          <cell r="L1646">
            <v>430</v>
          </cell>
          <cell r="N1646">
            <v>430</v>
          </cell>
          <cell r="P1646">
            <v>430</v>
          </cell>
          <cell r="R1646">
            <v>430</v>
          </cell>
          <cell r="T1646">
            <v>430</v>
          </cell>
          <cell r="V1646">
            <v>430</v>
          </cell>
          <cell r="X1646">
            <v>430</v>
          </cell>
          <cell r="Z1646">
            <v>430</v>
          </cell>
          <cell r="AD1646">
            <v>2.8000000000000001E-2</v>
          </cell>
        </row>
        <row r="1647">
          <cell r="E1647" t="str">
            <v>CEES 5.5sq-4C</v>
          </cell>
          <cell r="F1647" t="str">
            <v>ｍ</v>
          </cell>
          <cell r="H1647">
            <v>526</v>
          </cell>
          <cell r="J1647">
            <v>526</v>
          </cell>
          <cell r="L1647">
            <v>526</v>
          </cell>
          <cell r="N1647">
            <v>526</v>
          </cell>
          <cell r="P1647">
            <v>526</v>
          </cell>
          <cell r="R1647">
            <v>526</v>
          </cell>
          <cell r="T1647">
            <v>526</v>
          </cell>
          <cell r="V1647">
            <v>526</v>
          </cell>
          <cell r="X1647">
            <v>526</v>
          </cell>
          <cell r="Z1647">
            <v>526</v>
          </cell>
          <cell r="AD1647">
            <v>3.4000000000000002E-2</v>
          </cell>
        </row>
        <row r="1648">
          <cell r="E1648" t="str">
            <v>CEES 1.25sq-5C</v>
          </cell>
          <cell r="F1648" t="str">
            <v>ｍ</v>
          </cell>
          <cell r="H1648">
            <v>310</v>
          </cell>
          <cell r="J1648">
            <v>310</v>
          </cell>
          <cell r="L1648">
            <v>310</v>
          </cell>
          <cell r="N1648">
            <v>310</v>
          </cell>
          <cell r="P1648">
            <v>310</v>
          </cell>
          <cell r="R1648">
            <v>310</v>
          </cell>
          <cell r="T1648">
            <v>310</v>
          </cell>
          <cell r="V1648">
            <v>310</v>
          </cell>
          <cell r="X1648">
            <v>310</v>
          </cell>
          <cell r="Z1648">
            <v>310</v>
          </cell>
          <cell r="AD1648">
            <v>2.5000000000000001E-2</v>
          </cell>
        </row>
        <row r="1649">
          <cell r="E1649" t="str">
            <v>CEES 2sq-5C</v>
          </cell>
          <cell r="F1649" t="str">
            <v>ｍ</v>
          </cell>
          <cell r="H1649">
            <v>374</v>
          </cell>
          <cell r="J1649">
            <v>374</v>
          </cell>
          <cell r="L1649">
            <v>374</v>
          </cell>
          <cell r="N1649">
            <v>374</v>
          </cell>
          <cell r="P1649">
            <v>374</v>
          </cell>
          <cell r="R1649">
            <v>374</v>
          </cell>
          <cell r="T1649">
            <v>374</v>
          </cell>
          <cell r="V1649">
            <v>374</v>
          </cell>
          <cell r="X1649">
            <v>374</v>
          </cell>
          <cell r="Z1649">
            <v>374</v>
          </cell>
          <cell r="AD1649">
            <v>2.8000000000000001E-2</v>
          </cell>
        </row>
        <row r="1650">
          <cell r="E1650" t="str">
            <v>CEES 3.5sq-5C</v>
          </cell>
          <cell r="F1650" t="str">
            <v>ｍ</v>
          </cell>
          <cell r="H1650">
            <v>471</v>
          </cell>
          <cell r="J1650">
            <v>471</v>
          </cell>
          <cell r="L1650">
            <v>471</v>
          </cell>
          <cell r="N1650">
            <v>471</v>
          </cell>
          <cell r="P1650">
            <v>471</v>
          </cell>
          <cell r="R1650">
            <v>471</v>
          </cell>
          <cell r="T1650">
            <v>471</v>
          </cell>
          <cell r="V1650">
            <v>471</v>
          </cell>
          <cell r="X1650">
            <v>471</v>
          </cell>
          <cell r="Z1650">
            <v>471</v>
          </cell>
          <cell r="AD1650">
            <v>0.03</v>
          </cell>
        </row>
        <row r="1651">
          <cell r="E1651" t="str">
            <v>CEES 5.5sq-5C</v>
          </cell>
          <cell r="F1651" t="str">
            <v>ｍ</v>
          </cell>
          <cell r="H1651">
            <v>622</v>
          </cell>
          <cell r="J1651">
            <v>622</v>
          </cell>
          <cell r="L1651">
            <v>622</v>
          </cell>
          <cell r="N1651">
            <v>622</v>
          </cell>
          <cell r="P1651">
            <v>622</v>
          </cell>
          <cell r="R1651">
            <v>622</v>
          </cell>
          <cell r="T1651">
            <v>622</v>
          </cell>
          <cell r="V1651">
            <v>622</v>
          </cell>
          <cell r="X1651">
            <v>622</v>
          </cell>
          <cell r="Z1651">
            <v>622</v>
          </cell>
          <cell r="AD1651">
            <v>3.6999999999999998E-2</v>
          </cell>
        </row>
        <row r="1652">
          <cell r="E1652" t="str">
            <v>CEES 1.25sq-6C</v>
          </cell>
          <cell r="F1652" t="str">
            <v>ｍ</v>
          </cell>
          <cell r="H1652">
            <v>345</v>
          </cell>
          <cell r="J1652">
            <v>345</v>
          </cell>
          <cell r="L1652">
            <v>345</v>
          </cell>
          <cell r="N1652">
            <v>345</v>
          </cell>
          <cell r="P1652">
            <v>345</v>
          </cell>
          <cell r="R1652">
            <v>345</v>
          </cell>
          <cell r="T1652">
            <v>345</v>
          </cell>
          <cell r="V1652">
            <v>345</v>
          </cell>
          <cell r="X1652">
            <v>345</v>
          </cell>
          <cell r="Z1652">
            <v>345</v>
          </cell>
          <cell r="AD1652">
            <v>2.5000000000000001E-2</v>
          </cell>
        </row>
        <row r="1653">
          <cell r="E1653" t="str">
            <v>CEES 2sq-6C</v>
          </cell>
          <cell r="F1653" t="str">
            <v>ｍ</v>
          </cell>
          <cell r="H1653">
            <v>426</v>
          </cell>
          <cell r="J1653">
            <v>426</v>
          </cell>
          <cell r="L1653">
            <v>426</v>
          </cell>
          <cell r="N1653">
            <v>426</v>
          </cell>
          <cell r="P1653">
            <v>426</v>
          </cell>
          <cell r="R1653">
            <v>426</v>
          </cell>
          <cell r="T1653">
            <v>426</v>
          </cell>
          <cell r="V1653">
            <v>426</v>
          </cell>
          <cell r="X1653">
            <v>426</v>
          </cell>
          <cell r="Z1653">
            <v>426</v>
          </cell>
          <cell r="AD1653">
            <v>2.8000000000000001E-2</v>
          </cell>
        </row>
        <row r="1654">
          <cell r="E1654" t="str">
            <v>CEES 3.5sq-6C</v>
          </cell>
          <cell r="F1654" t="str">
            <v>ｍ</v>
          </cell>
          <cell r="H1654">
            <v>532</v>
          </cell>
          <cell r="J1654">
            <v>532</v>
          </cell>
          <cell r="L1654">
            <v>532</v>
          </cell>
          <cell r="N1654">
            <v>532</v>
          </cell>
          <cell r="P1654">
            <v>532</v>
          </cell>
          <cell r="R1654">
            <v>532</v>
          </cell>
          <cell r="T1654">
            <v>532</v>
          </cell>
          <cell r="V1654">
            <v>532</v>
          </cell>
          <cell r="X1654">
            <v>532</v>
          </cell>
          <cell r="Z1654">
            <v>532</v>
          </cell>
          <cell r="AD1654">
            <v>0.03</v>
          </cell>
        </row>
        <row r="1655">
          <cell r="E1655" t="str">
            <v>CEES 5.5sq-6C</v>
          </cell>
          <cell r="F1655" t="str">
            <v>ｍ</v>
          </cell>
          <cell r="H1655">
            <v>706</v>
          </cell>
          <cell r="J1655">
            <v>706</v>
          </cell>
          <cell r="L1655">
            <v>706</v>
          </cell>
          <cell r="N1655">
            <v>706</v>
          </cell>
          <cell r="P1655">
            <v>706</v>
          </cell>
          <cell r="R1655">
            <v>706</v>
          </cell>
          <cell r="T1655">
            <v>706</v>
          </cell>
          <cell r="V1655">
            <v>706</v>
          </cell>
          <cell r="X1655">
            <v>706</v>
          </cell>
          <cell r="Z1655">
            <v>706</v>
          </cell>
          <cell r="AD1655">
            <v>3.6999999999999998E-2</v>
          </cell>
        </row>
        <row r="1656">
          <cell r="E1656" t="str">
            <v>CEES 1.25sq-7C</v>
          </cell>
          <cell r="F1656" t="str">
            <v>ｍ</v>
          </cell>
          <cell r="H1656">
            <v>371</v>
          </cell>
          <cell r="J1656">
            <v>371</v>
          </cell>
          <cell r="L1656">
            <v>371</v>
          </cell>
          <cell r="N1656">
            <v>371</v>
          </cell>
          <cell r="P1656">
            <v>371</v>
          </cell>
          <cell r="R1656">
            <v>371</v>
          </cell>
          <cell r="T1656">
            <v>371</v>
          </cell>
          <cell r="V1656">
            <v>371</v>
          </cell>
          <cell r="X1656">
            <v>371</v>
          </cell>
          <cell r="Z1656">
            <v>371</v>
          </cell>
          <cell r="AD1656">
            <v>0.03</v>
          </cell>
        </row>
        <row r="1657">
          <cell r="E1657" t="str">
            <v>CEES 2sq-7C</v>
          </cell>
          <cell r="F1657" t="str">
            <v>ｍ</v>
          </cell>
          <cell r="H1657">
            <v>459</v>
          </cell>
          <cell r="J1657">
            <v>459</v>
          </cell>
          <cell r="L1657">
            <v>459</v>
          </cell>
          <cell r="N1657">
            <v>459</v>
          </cell>
          <cell r="P1657">
            <v>459</v>
          </cell>
          <cell r="R1657">
            <v>459</v>
          </cell>
          <cell r="T1657">
            <v>459</v>
          </cell>
          <cell r="V1657">
            <v>459</v>
          </cell>
          <cell r="X1657">
            <v>459</v>
          </cell>
          <cell r="Z1657">
            <v>459</v>
          </cell>
          <cell r="AD1657">
            <v>3.4000000000000002E-2</v>
          </cell>
        </row>
        <row r="1658">
          <cell r="E1658" t="str">
            <v>CEES 3.5sq-7C</v>
          </cell>
          <cell r="F1658" t="str">
            <v>ｍ</v>
          </cell>
          <cell r="H1658">
            <v>587</v>
          </cell>
          <cell r="J1658">
            <v>587</v>
          </cell>
          <cell r="L1658">
            <v>587</v>
          </cell>
          <cell r="N1658">
            <v>587</v>
          </cell>
          <cell r="P1658">
            <v>587</v>
          </cell>
          <cell r="R1658">
            <v>587</v>
          </cell>
          <cell r="T1658">
            <v>587</v>
          </cell>
          <cell r="V1658">
            <v>587</v>
          </cell>
          <cell r="X1658">
            <v>587</v>
          </cell>
          <cell r="Z1658">
            <v>587</v>
          </cell>
          <cell r="AD1658">
            <v>3.6999999999999998E-2</v>
          </cell>
        </row>
        <row r="1659">
          <cell r="E1659" t="str">
            <v>CEES 5.5sq-7C</v>
          </cell>
          <cell r="F1659" t="str">
            <v>ｍ</v>
          </cell>
          <cell r="H1659">
            <v>785</v>
          </cell>
          <cell r="J1659">
            <v>785</v>
          </cell>
          <cell r="L1659">
            <v>785</v>
          </cell>
          <cell r="N1659">
            <v>785</v>
          </cell>
          <cell r="P1659">
            <v>785</v>
          </cell>
          <cell r="R1659">
            <v>785</v>
          </cell>
          <cell r="T1659">
            <v>785</v>
          </cell>
          <cell r="V1659">
            <v>785</v>
          </cell>
          <cell r="X1659">
            <v>785</v>
          </cell>
          <cell r="Z1659">
            <v>785</v>
          </cell>
          <cell r="AD1659">
            <v>4.3999999999999997E-2</v>
          </cell>
        </row>
        <row r="1660">
          <cell r="E1660" t="str">
            <v>CEES 1.25sq-8C</v>
          </cell>
          <cell r="F1660" t="str">
            <v>ｍ</v>
          </cell>
          <cell r="H1660">
            <v>412</v>
          </cell>
          <cell r="J1660">
            <v>412</v>
          </cell>
          <cell r="L1660">
            <v>412</v>
          </cell>
          <cell r="N1660">
            <v>412</v>
          </cell>
          <cell r="P1660">
            <v>412</v>
          </cell>
          <cell r="R1660">
            <v>412</v>
          </cell>
          <cell r="T1660">
            <v>412</v>
          </cell>
          <cell r="V1660">
            <v>412</v>
          </cell>
          <cell r="X1660">
            <v>412</v>
          </cell>
          <cell r="Z1660">
            <v>412</v>
          </cell>
          <cell r="AD1660">
            <v>3.4000000000000002E-2</v>
          </cell>
        </row>
        <row r="1661">
          <cell r="E1661" t="str">
            <v>CEES 2sq-8C</v>
          </cell>
          <cell r="F1661" t="str">
            <v>ｍ</v>
          </cell>
          <cell r="H1661">
            <v>510</v>
          </cell>
          <cell r="J1661">
            <v>510</v>
          </cell>
          <cell r="L1661">
            <v>510</v>
          </cell>
          <cell r="N1661">
            <v>510</v>
          </cell>
          <cell r="P1661">
            <v>510</v>
          </cell>
          <cell r="R1661">
            <v>510</v>
          </cell>
          <cell r="T1661">
            <v>510</v>
          </cell>
          <cell r="V1661">
            <v>510</v>
          </cell>
          <cell r="X1661">
            <v>510</v>
          </cell>
          <cell r="Z1661">
            <v>510</v>
          </cell>
          <cell r="AD1661">
            <v>3.6999999999999998E-2</v>
          </cell>
        </row>
        <row r="1662">
          <cell r="E1662" t="str">
            <v>CEES 3.5sq-8C</v>
          </cell>
          <cell r="F1662" t="str">
            <v>ｍ</v>
          </cell>
          <cell r="H1662">
            <v>655</v>
          </cell>
          <cell r="J1662">
            <v>655</v>
          </cell>
          <cell r="L1662">
            <v>655</v>
          </cell>
          <cell r="N1662">
            <v>655</v>
          </cell>
          <cell r="P1662">
            <v>655</v>
          </cell>
          <cell r="R1662">
            <v>655</v>
          </cell>
          <cell r="T1662">
            <v>655</v>
          </cell>
          <cell r="V1662">
            <v>655</v>
          </cell>
          <cell r="X1662">
            <v>655</v>
          </cell>
          <cell r="Z1662">
            <v>655</v>
          </cell>
          <cell r="AD1662">
            <v>4.3999999999999997E-2</v>
          </cell>
        </row>
        <row r="1663">
          <cell r="E1663" t="str">
            <v>CEES 5.5sq-8C</v>
          </cell>
          <cell r="F1663" t="str">
            <v>ｍ</v>
          </cell>
          <cell r="H1663">
            <v>891</v>
          </cell>
          <cell r="J1663">
            <v>891</v>
          </cell>
          <cell r="L1663">
            <v>891</v>
          </cell>
          <cell r="N1663">
            <v>891</v>
          </cell>
          <cell r="P1663">
            <v>891</v>
          </cell>
          <cell r="R1663">
            <v>891</v>
          </cell>
          <cell r="T1663">
            <v>891</v>
          </cell>
          <cell r="V1663">
            <v>891</v>
          </cell>
          <cell r="X1663">
            <v>891</v>
          </cell>
          <cell r="Z1663">
            <v>891</v>
          </cell>
          <cell r="AD1663">
            <v>4.3999999999999997E-2</v>
          </cell>
        </row>
        <row r="1664">
          <cell r="E1664" t="str">
            <v>CEES 1.25sq-10C</v>
          </cell>
          <cell r="F1664" t="str">
            <v>ｍ</v>
          </cell>
          <cell r="H1664">
            <v>489</v>
          </cell>
          <cell r="J1664">
            <v>489</v>
          </cell>
          <cell r="L1664">
            <v>489</v>
          </cell>
          <cell r="N1664">
            <v>489</v>
          </cell>
          <cell r="P1664">
            <v>489</v>
          </cell>
          <cell r="R1664">
            <v>489</v>
          </cell>
          <cell r="T1664">
            <v>489</v>
          </cell>
          <cell r="V1664">
            <v>489</v>
          </cell>
          <cell r="X1664">
            <v>489</v>
          </cell>
          <cell r="Z1664">
            <v>489</v>
          </cell>
          <cell r="AD1664">
            <v>3.6999999999999998E-2</v>
          </cell>
        </row>
        <row r="1665">
          <cell r="E1665" t="str">
            <v>CEES 2sq-10C</v>
          </cell>
          <cell r="F1665" t="str">
            <v>ｍ</v>
          </cell>
          <cell r="H1665">
            <v>614</v>
          </cell>
          <cell r="J1665">
            <v>614</v>
          </cell>
          <cell r="L1665">
            <v>614</v>
          </cell>
          <cell r="N1665">
            <v>614</v>
          </cell>
          <cell r="P1665">
            <v>614</v>
          </cell>
          <cell r="R1665">
            <v>614</v>
          </cell>
          <cell r="T1665">
            <v>614</v>
          </cell>
          <cell r="V1665">
            <v>614</v>
          </cell>
          <cell r="X1665">
            <v>614</v>
          </cell>
          <cell r="Z1665">
            <v>614</v>
          </cell>
          <cell r="AD1665">
            <v>4.2000000000000003E-2</v>
          </cell>
        </row>
        <row r="1666">
          <cell r="E1666" t="str">
            <v>CEES 3.5sq-10C</v>
          </cell>
          <cell r="F1666" t="str">
            <v>ｍ</v>
          </cell>
          <cell r="H1666">
            <v>792</v>
          </cell>
          <cell r="J1666">
            <v>792</v>
          </cell>
          <cell r="L1666">
            <v>792</v>
          </cell>
          <cell r="N1666">
            <v>792</v>
          </cell>
          <cell r="P1666">
            <v>792</v>
          </cell>
          <cell r="R1666">
            <v>792</v>
          </cell>
          <cell r="T1666">
            <v>792</v>
          </cell>
          <cell r="V1666">
            <v>792</v>
          </cell>
          <cell r="X1666">
            <v>792</v>
          </cell>
          <cell r="Z1666">
            <v>792</v>
          </cell>
          <cell r="AD1666">
            <v>4.4999999999999998E-2</v>
          </cell>
        </row>
        <row r="1667">
          <cell r="E1667" t="str">
            <v>CEES 5.5sq-10C</v>
          </cell>
          <cell r="F1667" t="str">
            <v>ｍ</v>
          </cell>
          <cell r="H1667">
            <v>1076</v>
          </cell>
          <cell r="J1667">
            <v>1076</v>
          </cell>
          <cell r="L1667">
            <v>1076</v>
          </cell>
          <cell r="N1667">
            <v>1076</v>
          </cell>
          <cell r="P1667">
            <v>1076</v>
          </cell>
          <cell r="R1667">
            <v>1076</v>
          </cell>
          <cell r="T1667">
            <v>1076</v>
          </cell>
          <cell r="V1667">
            <v>1076</v>
          </cell>
          <cell r="X1667">
            <v>1076</v>
          </cell>
          <cell r="Z1667">
            <v>1076</v>
          </cell>
          <cell r="AD1667">
            <v>5.3999999999999999E-2</v>
          </cell>
        </row>
        <row r="1668">
          <cell r="E1668" t="str">
            <v>CEES 1.25sq-12C</v>
          </cell>
          <cell r="F1668" t="str">
            <v>ｍ</v>
          </cell>
          <cell r="H1668">
            <v>554</v>
          </cell>
          <cell r="J1668">
            <v>554</v>
          </cell>
          <cell r="L1668">
            <v>554</v>
          </cell>
          <cell r="N1668">
            <v>554</v>
          </cell>
          <cell r="P1668">
            <v>554</v>
          </cell>
          <cell r="R1668">
            <v>554</v>
          </cell>
          <cell r="T1668">
            <v>554</v>
          </cell>
          <cell r="V1668">
            <v>554</v>
          </cell>
          <cell r="X1668">
            <v>554</v>
          </cell>
          <cell r="Z1668">
            <v>554</v>
          </cell>
          <cell r="AD1668">
            <v>4.2999999999999997E-2</v>
          </cell>
        </row>
        <row r="1669">
          <cell r="E1669" t="str">
            <v>CEES 2sq-12C</v>
          </cell>
          <cell r="F1669" t="str">
            <v>ｍ</v>
          </cell>
          <cell r="H1669">
            <v>688</v>
          </cell>
          <cell r="J1669">
            <v>688</v>
          </cell>
          <cell r="L1669">
            <v>688</v>
          </cell>
          <cell r="N1669">
            <v>688</v>
          </cell>
          <cell r="P1669">
            <v>688</v>
          </cell>
          <cell r="R1669">
            <v>688</v>
          </cell>
          <cell r="T1669">
            <v>688</v>
          </cell>
          <cell r="V1669">
            <v>688</v>
          </cell>
          <cell r="X1669">
            <v>688</v>
          </cell>
          <cell r="Z1669">
            <v>688</v>
          </cell>
          <cell r="AD1669">
            <v>4.8000000000000001E-2</v>
          </cell>
        </row>
        <row r="1670">
          <cell r="E1670" t="str">
            <v>CEES 3.5sq-12C</v>
          </cell>
          <cell r="F1670" t="str">
            <v>ｍ</v>
          </cell>
          <cell r="H1670">
            <v>911</v>
          </cell>
          <cell r="J1670">
            <v>911</v>
          </cell>
          <cell r="L1670">
            <v>911</v>
          </cell>
          <cell r="N1670">
            <v>911</v>
          </cell>
          <cell r="P1670">
            <v>911</v>
          </cell>
          <cell r="R1670">
            <v>911</v>
          </cell>
          <cell r="T1670">
            <v>911</v>
          </cell>
          <cell r="V1670">
            <v>911</v>
          </cell>
          <cell r="X1670">
            <v>911</v>
          </cell>
          <cell r="Z1670">
            <v>911</v>
          </cell>
          <cell r="AD1670">
            <v>5.2999999999999999E-2</v>
          </cell>
        </row>
        <row r="1671">
          <cell r="E1671" t="str">
            <v>CEES 5.5sq-12C</v>
          </cell>
          <cell r="F1671" t="str">
            <v>ｍ</v>
          </cell>
          <cell r="H1671">
            <v>1254</v>
          </cell>
          <cell r="J1671">
            <v>1254</v>
          </cell>
          <cell r="L1671">
            <v>1254</v>
          </cell>
          <cell r="N1671">
            <v>1254</v>
          </cell>
          <cell r="P1671">
            <v>1254</v>
          </cell>
          <cell r="R1671">
            <v>1254</v>
          </cell>
          <cell r="T1671">
            <v>1254</v>
          </cell>
          <cell r="V1671">
            <v>1254</v>
          </cell>
          <cell r="X1671">
            <v>1254</v>
          </cell>
          <cell r="Z1671">
            <v>1254</v>
          </cell>
          <cell r="AD1671">
            <v>6.3E-2</v>
          </cell>
        </row>
        <row r="1672">
          <cell r="E1672" t="str">
            <v>CEES 1.25sq-15C</v>
          </cell>
          <cell r="F1672" t="str">
            <v>ｍ</v>
          </cell>
          <cell r="H1672">
            <v>646</v>
          </cell>
          <cell r="J1672">
            <v>646</v>
          </cell>
          <cell r="L1672">
            <v>646</v>
          </cell>
          <cell r="N1672">
            <v>646</v>
          </cell>
          <cell r="P1672">
            <v>646</v>
          </cell>
          <cell r="R1672">
            <v>646</v>
          </cell>
          <cell r="T1672">
            <v>646</v>
          </cell>
          <cell r="V1672">
            <v>646</v>
          </cell>
          <cell r="X1672">
            <v>646</v>
          </cell>
          <cell r="Z1672">
            <v>646</v>
          </cell>
          <cell r="AD1672">
            <v>5.3999999999999999E-2</v>
          </cell>
        </row>
        <row r="1673">
          <cell r="E1673" t="str">
            <v>CEES 2sq-15C</v>
          </cell>
          <cell r="F1673" t="str">
            <v>ｍ</v>
          </cell>
          <cell r="H1673">
            <v>824</v>
          </cell>
          <cell r="J1673">
            <v>824</v>
          </cell>
          <cell r="L1673">
            <v>824</v>
          </cell>
          <cell r="N1673">
            <v>824</v>
          </cell>
          <cell r="P1673">
            <v>824</v>
          </cell>
          <cell r="R1673">
            <v>824</v>
          </cell>
          <cell r="T1673">
            <v>824</v>
          </cell>
          <cell r="V1673">
            <v>824</v>
          </cell>
          <cell r="X1673">
            <v>824</v>
          </cell>
          <cell r="Z1673">
            <v>824</v>
          </cell>
          <cell r="AD1673">
            <v>0.06</v>
          </cell>
        </row>
        <row r="1674">
          <cell r="E1674" t="str">
            <v>CEES 3.5sq-15C</v>
          </cell>
          <cell r="F1674" t="str">
            <v>ｍ</v>
          </cell>
          <cell r="H1674">
            <v>1082</v>
          </cell>
          <cell r="J1674">
            <v>1082</v>
          </cell>
          <cell r="L1674">
            <v>1082</v>
          </cell>
          <cell r="N1674">
            <v>1082</v>
          </cell>
          <cell r="P1674">
            <v>1082</v>
          </cell>
          <cell r="R1674">
            <v>1082</v>
          </cell>
          <cell r="T1674">
            <v>1082</v>
          </cell>
          <cell r="V1674">
            <v>1082</v>
          </cell>
          <cell r="X1674">
            <v>1082</v>
          </cell>
          <cell r="Z1674">
            <v>1082</v>
          </cell>
          <cell r="AD1674">
            <v>6.6000000000000003E-2</v>
          </cell>
        </row>
        <row r="1675">
          <cell r="E1675" t="str">
            <v>CEES 5.5sq-15C</v>
          </cell>
          <cell r="F1675" t="str">
            <v>ｍ</v>
          </cell>
          <cell r="H1675">
            <v>1511</v>
          </cell>
          <cell r="J1675">
            <v>1511</v>
          </cell>
          <cell r="L1675">
            <v>1511</v>
          </cell>
          <cell r="N1675">
            <v>1511</v>
          </cell>
          <cell r="P1675">
            <v>1511</v>
          </cell>
          <cell r="R1675">
            <v>1511</v>
          </cell>
          <cell r="T1675">
            <v>1511</v>
          </cell>
          <cell r="V1675">
            <v>1511</v>
          </cell>
          <cell r="X1675">
            <v>1511</v>
          </cell>
          <cell r="Z1675">
            <v>1511</v>
          </cell>
          <cell r="AD1675">
            <v>7.8E-2</v>
          </cell>
        </row>
        <row r="1676">
          <cell r="E1676" t="str">
            <v>CEES 1.25sq-20C</v>
          </cell>
          <cell r="F1676" t="str">
            <v>ｍ</v>
          </cell>
          <cell r="H1676">
            <v>804</v>
          </cell>
          <cell r="J1676">
            <v>804</v>
          </cell>
          <cell r="L1676">
            <v>804</v>
          </cell>
          <cell r="N1676">
            <v>804</v>
          </cell>
          <cell r="P1676">
            <v>804</v>
          </cell>
          <cell r="R1676">
            <v>804</v>
          </cell>
          <cell r="T1676">
            <v>804</v>
          </cell>
          <cell r="V1676">
            <v>804</v>
          </cell>
          <cell r="X1676">
            <v>804</v>
          </cell>
          <cell r="Z1676">
            <v>804</v>
          </cell>
          <cell r="AD1676">
            <v>6.3E-2</v>
          </cell>
        </row>
        <row r="1677">
          <cell r="E1677" t="str">
            <v>CEES 2sq-20C</v>
          </cell>
          <cell r="F1677" t="str">
            <v>ｍ</v>
          </cell>
          <cell r="H1677">
            <v>1032</v>
          </cell>
          <cell r="J1677">
            <v>1032</v>
          </cell>
          <cell r="L1677">
            <v>1032</v>
          </cell>
          <cell r="N1677">
            <v>1032</v>
          </cell>
          <cell r="P1677">
            <v>1032</v>
          </cell>
          <cell r="R1677">
            <v>1032</v>
          </cell>
          <cell r="T1677">
            <v>1032</v>
          </cell>
          <cell r="V1677">
            <v>1032</v>
          </cell>
          <cell r="X1677">
            <v>1032</v>
          </cell>
          <cell r="Z1677">
            <v>1032</v>
          </cell>
          <cell r="AD1677">
            <v>7.0000000000000007E-2</v>
          </cell>
        </row>
        <row r="1678">
          <cell r="E1678" t="str">
            <v>CEES 3.5sq-20C</v>
          </cell>
          <cell r="F1678" t="str">
            <v>ｍ</v>
          </cell>
          <cell r="H1678">
            <v>1386</v>
          </cell>
          <cell r="J1678">
            <v>1386</v>
          </cell>
          <cell r="L1678">
            <v>1386</v>
          </cell>
          <cell r="N1678">
            <v>1386</v>
          </cell>
          <cell r="P1678">
            <v>1386</v>
          </cell>
          <cell r="R1678">
            <v>1386</v>
          </cell>
          <cell r="T1678">
            <v>1386</v>
          </cell>
          <cell r="V1678">
            <v>1386</v>
          </cell>
          <cell r="X1678">
            <v>1386</v>
          </cell>
          <cell r="Z1678">
            <v>1386</v>
          </cell>
          <cell r="AD1678">
            <v>7.6999999999999999E-2</v>
          </cell>
        </row>
        <row r="1679">
          <cell r="E1679" t="str">
            <v>CEES 5.5sq-20C</v>
          </cell>
          <cell r="F1679" t="str">
            <v>ｍ</v>
          </cell>
          <cell r="H1679">
            <v>1947</v>
          </cell>
          <cell r="J1679">
            <v>1947</v>
          </cell>
          <cell r="L1679">
            <v>1947</v>
          </cell>
          <cell r="N1679">
            <v>1947</v>
          </cell>
          <cell r="P1679">
            <v>1947</v>
          </cell>
          <cell r="R1679">
            <v>1947</v>
          </cell>
          <cell r="T1679">
            <v>1947</v>
          </cell>
          <cell r="V1679">
            <v>1947</v>
          </cell>
          <cell r="X1679">
            <v>1947</v>
          </cell>
          <cell r="Z1679">
            <v>1947</v>
          </cell>
          <cell r="AD1679">
            <v>9.0999999999999998E-2</v>
          </cell>
        </row>
        <row r="1682">
          <cell r="E1682" t="str">
            <v>05_Users</v>
          </cell>
        </row>
        <row r="1683">
          <cell r="E1683" t="str">
            <v>05_Users</v>
          </cell>
        </row>
        <row r="1684">
          <cell r="E1684" t="str">
            <v>05_Users</v>
          </cell>
        </row>
        <row r="1685">
          <cell r="E1685" t="str">
            <v>05_Users</v>
          </cell>
        </row>
        <row r="1686">
          <cell r="E1686" t="str">
            <v>05_Users</v>
          </cell>
        </row>
        <row r="1687">
          <cell r="E1687" t="str">
            <v>05_Users</v>
          </cell>
        </row>
        <row r="1688">
          <cell r="E1688" t="str">
            <v>05_Users</v>
          </cell>
        </row>
        <row r="1689">
          <cell r="E1689" t="str">
            <v>05_Users</v>
          </cell>
        </row>
        <row r="1690">
          <cell r="E1690" t="str">
            <v>05_Users</v>
          </cell>
        </row>
        <row r="1691">
          <cell r="E1691" t="str">
            <v>05_Users</v>
          </cell>
        </row>
        <row r="1692">
          <cell r="E1692" t="str">
            <v>05_Users</v>
          </cell>
        </row>
        <row r="1693">
          <cell r="E1693" t="str">
            <v>05_Users</v>
          </cell>
        </row>
        <row r="1694">
          <cell r="E1694" t="str">
            <v>05_Users</v>
          </cell>
        </row>
        <row r="1695">
          <cell r="E1695" t="str">
            <v>05_Users</v>
          </cell>
        </row>
        <row r="1696">
          <cell r="E1696" t="str">
            <v>05_Users</v>
          </cell>
        </row>
        <row r="1697">
          <cell r="E1697" t="str">
            <v>05_Users</v>
          </cell>
        </row>
        <row r="1698">
          <cell r="E1698" t="str">
            <v>05_Users</v>
          </cell>
        </row>
        <row r="1699">
          <cell r="E1699" t="str">
            <v>05_Users</v>
          </cell>
        </row>
        <row r="1700">
          <cell r="E1700" t="str">
            <v>05_Users</v>
          </cell>
        </row>
        <row r="1701">
          <cell r="E1701" t="str">
            <v>05_Users</v>
          </cell>
        </row>
        <row r="1702">
          <cell r="E1702" t="str">
            <v>05_Users</v>
          </cell>
        </row>
        <row r="1703">
          <cell r="E1703" t="str">
            <v>05_Users</v>
          </cell>
        </row>
        <row r="1704">
          <cell r="E1704" t="str">
            <v>05_Users</v>
          </cell>
        </row>
        <row r="1705">
          <cell r="E1705" t="str">
            <v>05_Users</v>
          </cell>
        </row>
        <row r="1706">
          <cell r="E1706" t="str">
            <v>05_Users</v>
          </cell>
        </row>
        <row r="1707">
          <cell r="E1707" t="str">
            <v>05_Users</v>
          </cell>
        </row>
        <row r="1708">
          <cell r="E1708" t="str">
            <v>05_Users</v>
          </cell>
        </row>
        <row r="1709">
          <cell r="E1709" t="str">
            <v>05_Users</v>
          </cell>
        </row>
        <row r="1710">
          <cell r="E1710" t="str">
            <v>05_Users</v>
          </cell>
        </row>
        <row r="1711">
          <cell r="E1711" t="str">
            <v>05_Users</v>
          </cell>
        </row>
        <row r="1712">
          <cell r="E1712" t="str">
            <v>05_Users</v>
          </cell>
        </row>
        <row r="1713">
          <cell r="E1713" t="str">
            <v>05_Users</v>
          </cell>
        </row>
        <row r="1714">
          <cell r="E1714" t="str">
            <v>05_Users</v>
          </cell>
        </row>
        <row r="1715">
          <cell r="E1715" t="str">
            <v>05_Users</v>
          </cell>
        </row>
        <row r="1716">
          <cell r="E1716" t="str">
            <v>05_Users</v>
          </cell>
        </row>
        <row r="1717">
          <cell r="E1717" t="str">
            <v>05_Users</v>
          </cell>
        </row>
        <row r="1718">
          <cell r="E1718" t="str">
            <v>05_Users</v>
          </cell>
        </row>
        <row r="1719">
          <cell r="E1719" t="str">
            <v>05_Users</v>
          </cell>
        </row>
        <row r="1720">
          <cell r="E1720" t="str">
            <v>05_Users</v>
          </cell>
        </row>
        <row r="1721">
          <cell r="E1721" t="str">
            <v>05_Users</v>
          </cell>
        </row>
        <row r="1722">
          <cell r="E1722" t="str">
            <v>05_Users</v>
          </cell>
        </row>
        <row r="1723">
          <cell r="E1723" t="str">
            <v>05_Users</v>
          </cell>
        </row>
        <row r="1724">
          <cell r="E1724" t="str">
            <v>05_Users</v>
          </cell>
        </row>
        <row r="1725">
          <cell r="E1725" t="str">
            <v>05_Users</v>
          </cell>
        </row>
        <row r="1726">
          <cell r="E1726" t="str">
            <v>05_Users</v>
          </cell>
        </row>
        <row r="1727">
          <cell r="E1727" t="str">
            <v>05_Users</v>
          </cell>
        </row>
        <row r="1728">
          <cell r="E1728" t="str">
            <v>05_Users</v>
          </cell>
        </row>
        <row r="1729">
          <cell r="E1729" t="str">
            <v>05_Users</v>
          </cell>
        </row>
        <row r="1730">
          <cell r="E1730" t="str">
            <v>05_Users</v>
          </cell>
        </row>
        <row r="1731">
          <cell r="E1731" t="str">
            <v>05_Users</v>
          </cell>
        </row>
        <row r="1734">
          <cell r="E1734" t="str">
            <v>TR1φ50Hz  10KVA</v>
          </cell>
          <cell r="F1734" t="str">
            <v>台</v>
          </cell>
          <cell r="H1734">
            <v>161000</v>
          </cell>
          <cell r="J1734">
            <v>161000</v>
          </cell>
          <cell r="L1734">
            <v>161000</v>
          </cell>
          <cell r="N1734">
            <v>161000</v>
          </cell>
          <cell r="P1734">
            <v>161000</v>
          </cell>
          <cell r="R1734">
            <v>161000</v>
          </cell>
          <cell r="T1734">
            <v>161000</v>
          </cell>
          <cell r="V1734">
            <v>161000</v>
          </cell>
          <cell r="X1734">
            <v>161000</v>
          </cell>
          <cell r="Z1734">
            <v>161000</v>
          </cell>
          <cell r="AD1734">
            <v>0.92</v>
          </cell>
        </row>
        <row r="1735">
          <cell r="E1735" t="str">
            <v>TR1φ50Hz  20KVA</v>
          </cell>
          <cell r="F1735" t="str">
            <v>台</v>
          </cell>
          <cell r="H1735">
            <v>190000</v>
          </cell>
          <cell r="J1735">
            <v>190000</v>
          </cell>
          <cell r="L1735">
            <v>190000</v>
          </cell>
          <cell r="N1735">
            <v>190000</v>
          </cell>
          <cell r="P1735">
            <v>190000</v>
          </cell>
          <cell r="R1735">
            <v>190000</v>
          </cell>
          <cell r="T1735">
            <v>190000</v>
          </cell>
          <cell r="V1735">
            <v>190000</v>
          </cell>
          <cell r="X1735">
            <v>190000</v>
          </cell>
          <cell r="Z1735">
            <v>190000</v>
          </cell>
          <cell r="AD1735">
            <v>1.5580000000000001</v>
          </cell>
        </row>
        <row r="1736">
          <cell r="E1736" t="str">
            <v>TR1φ50Hz  30KVA</v>
          </cell>
          <cell r="F1736" t="str">
            <v>台</v>
          </cell>
          <cell r="H1736">
            <v>225000</v>
          </cell>
          <cell r="J1736">
            <v>225000</v>
          </cell>
          <cell r="L1736">
            <v>225000</v>
          </cell>
          <cell r="N1736">
            <v>225000</v>
          </cell>
          <cell r="P1736">
            <v>225000</v>
          </cell>
          <cell r="R1736">
            <v>225000</v>
          </cell>
          <cell r="T1736">
            <v>225000</v>
          </cell>
          <cell r="V1736">
            <v>225000</v>
          </cell>
          <cell r="X1736">
            <v>225000</v>
          </cell>
          <cell r="Z1736">
            <v>225000</v>
          </cell>
          <cell r="AD1736">
            <v>1.6639999999999999</v>
          </cell>
        </row>
        <row r="1737">
          <cell r="E1737" t="str">
            <v>TR1φ50Hz  50KVA</v>
          </cell>
          <cell r="F1737" t="str">
            <v>台</v>
          </cell>
          <cell r="H1737">
            <v>269000</v>
          </cell>
          <cell r="J1737">
            <v>269000</v>
          </cell>
          <cell r="L1737">
            <v>269000</v>
          </cell>
          <cell r="N1737">
            <v>269000</v>
          </cell>
          <cell r="P1737">
            <v>269000</v>
          </cell>
          <cell r="R1737">
            <v>269000</v>
          </cell>
          <cell r="T1737">
            <v>269000</v>
          </cell>
          <cell r="V1737">
            <v>269000</v>
          </cell>
          <cell r="X1737">
            <v>269000</v>
          </cell>
          <cell r="Z1737">
            <v>269000</v>
          </cell>
          <cell r="AD1737">
            <v>1.946</v>
          </cell>
        </row>
        <row r="1738">
          <cell r="E1738" t="str">
            <v>TR1φ50Hz  75KVA</v>
          </cell>
          <cell r="F1738" t="str">
            <v>台</v>
          </cell>
          <cell r="H1738">
            <v>299000</v>
          </cell>
          <cell r="J1738">
            <v>299000</v>
          </cell>
          <cell r="L1738">
            <v>299000</v>
          </cell>
          <cell r="N1738">
            <v>299000</v>
          </cell>
          <cell r="P1738">
            <v>299000</v>
          </cell>
          <cell r="R1738">
            <v>299000</v>
          </cell>
          <cell r="T1738">
            <v>299000</v>
          </cell>
          <cell r="V1738">
            <v>299000</v>
          </cell>
          <cell r="X1738">
            <v>299000</v>
          </cell>
          <cell r="Z1738">
            <v>299000</v>
          </cell>
          <cell r="AD1738">
            <v>3.2</v>
          </cell>
        </row>
        <row r="1739">
          <cell r="E1739" t="str">
            <v>TR1φ50Hz 100KVA</v>
          </cell>
          <cell r="F1739" t="str">
            <v>台</v>
          </cell>
          <cell r="H1739">
            <v>375000</v>
          </cell>
          <cell r="J1739">
            <v>375000</v>
          </cell>
          <cell r="L1739">
            <v>375000</v>
          </cell>
          <cell r="N1739">
            <v>375000</v>
          </cell>
          <cell r="P1739">
            <v>375000</v>
          </cell>
          <cell r="R1739">
            <v>375000</v>
          </cell>
          <cell r="T1739">
            <v>375000</v>
          </cell>
          <cell r="V1739">
            <v>375000</v>
          </cell>
          <cell r="X1739">
            <v>375000</v>
          </cell>
          <cell r="Z1739">
            <v>375000</v>
          </cell>
          <cell r="AD1739">
            <v>3.42</v>
          </cell>
        </row>
        <row r="1740">
          <cell r="E1740" t="str">
            <v>TR1φ50Hz 150KVA</v>
          </cell>
          <cell r="F1740" t="str">
            <v>台</v>
          </cell>
          <cell r="H1740">
            <v>509000</v>
          </cell>
          <cell r="J1740">
            <v>509000</v>
          </cell>
          <cell r="L1740">
            <v>509000</v>
          </cell>
          <cell r="N1740">
            <v>509000</v>
          </cell>
          <cell r="P1740">
            <v>509000</v>
          </cell>
          <cell r="R1740">
            <v>509000</v>
          </cell>
          <cell r="T1740">
            <v>509000</v>
          </cell>
          <cell r="V1740">
            <v>509000</v>
          </cell>
          <cell r="X1740">
            <v>509000</v>
          </cell>
          <cell r="Z1740">
            <v>509000</v>
          </cell>
          <cell r="AD1740">
            <v>4.24</v>
          </cell>
        </row>
        <row r="1741">
          <cell r="E1741" t="str">
            <v>TR1φ50Hz 200KVA</v>
          </cell>
          <cell r="F1741" t="str">
            <v>台</v>
          </cell>
          <cell r="H1741">
            <v>658000</v>
          </cell>
          <cell r="J1741">
            <v>658000</v>
          </cell>
          <cell r="L1741">
            <v>658000</v>
          </cell>
          <cell r="N1741">
            <v>658000</v>
          </cell>
          <cell r="P1741">
            <v>658000</v>
          </cell>
          <cell r="R1741">
            <v>658000</v>
          </cell>
          <cell r="T1741">
            <v>658000</v>
          </cell>
          <cell r="V1741">
            <v>658000</v>
          </cell>
          <cell r="X1741">
            <v>658000</v>
          </cell>
          <cell r="Z1741">
            <v>658000</v>
          </cell>
          <cell r="AD1741">
            <v>4.5</v>
          </cell>
        </row>
        <row r="1742">
          <cell r="E1742" t="str">
            <v>TR1φ50Hz 300KVA</v>
          </cell>
          <cell r="F1742" t="str">
            <v>台</v>
          </cell>
          <cell r="H1742">
            <v>982000</v>
          </cell>
          <cell r="J1742">
            <v>982000</v>
          </cell>
          <cell r="L1742">
            <v>982000</v>
          </cell>
          <cell r="N1742">
            <v>982000</v>
          </cell>
          <cell r="P1742">
            <v>982000</v>
          </cell>
          <cell r="R1742">
            <v>982000</v>
          </cell>
          <cell r="T1742">
            <v>982000</v>
          </cell>
          <cell r="V1742">
            <v>982000</v>
          </cell>
          <cell r="X1742">
            <v>982000</v>
          </cell>
          <cell r="Z1742">
            <v>982000</v>
          </cell>
          <cell r="AD1742">
            <v>5.8</v>
          </cell>
        </row>
        <row r="1743">
          <cell r="E1743" t="str">
            <v>TR1φ50Hz 500KVA</v>
          </cell>
          <cell r="F1743" t="str">
            <v>台</v>
          </cell>
          <cell r="H1743">
            <v>1630000</v>
          </cell>
          <cell r="J1743">
            <v>1630000</v>
          </cell>
          <cell r="L1743">
            <v>1630000</v>
          </cell>
          <cell r="N1743">
            <v>1630000</v>
          </cell>
          <cell r="P1743">
            <v>1630000</v>
          </cell>
          <cell r="R1743">
            <v>1630000</v>
          </cell>
          <cell r="T1743">
            <v>1630000</v>
          </cell>
          <cell r="V1743">
            <v>1630000</v>
          </cell>
          <cell r="X1743">
            <v>1630000</v>
          </cell>
          <cell r="Z1743">
            <v>1630000</v>
          </cell>
          <cell r="AD1743">
            <v>7.6</v>
          </cell>
        </row>
        <row r="1744">
          <cell r="E1744" t="str">
            <v>TR3φ50Hz  20KVA</v>
          </cell>
          <cell r="F1744" t="str">
            <v>台</v>
          </cell>
          <cell r="H1744">
            <v>212000</v>
          </cell>
          <cell r="J1744">
            <v>212000</v>
          </cell>
          <cell r="L1744">
            <v>212000</v>
          </cell>
          <cell r="N1744">
            <v>212000</v>
          </cell>
          <cell r="P1744">
            <v>212000</v>
          </cell>
          <cell r="R1744">
            <v>212000</v>
          </cell>
          <cell r="T1744">
            <v>212000</v>
          </cell>
          <cell r="V1744">
            <v>212000</v>
          </cell>
          <cell r="X1744">
            <v>212000</v>
          </cell>
          <cell r="Z1744">
            <v>212000</v>
          </cell>
          <cell r="AD1744">
            <v>1.8939999999999999</v>
          </cell>
        </row>
        <row r="1745">
          <cell r="E1745" t="str">
            <v>TR3φ50Hz  30KVA</v>
          </cell>
          <cell r="F1745" t="str">
            <v>台</v>
          </cell>
          <cell r="H1745">
            <v>241000</v>
          </cell>
          <cell r="J1745">
            <v>241000</v>
          </cell>
          <cell r="L1745">
            <v>241000</v>
          </cell>
          <cell r="N1745">
            <v>241000</v>
          </cell>
          <cell r="P1745">
            <v>241000</v>
          </cell>
          <cell r="R1745">
            <v>241000</v>
          </cell>
          <cell r="T1745">
            <v>241000</v>
          </cell>
          <cell r="V1745">
            <v>241000</v>
          </cell>
          <cell r="X1745">
            <v>241000</v>
          </cell>
          <cell r="Z1745">
            <v>241000</v>
          </cell>
          <cell r="AD1745">
            <v>2.08</v>
          </cell>
        </row>
        <row r="1746">
          <cell r="E1746" t="str">
            <v>TR3φ50Hz  50KVA</v>
          </cell>
          <cell r="F1746" t="str">
            <v>台</v>
          </cell>
          <cell r="H1746">
            <v>299000</v>
          </cell>
          <cell r="J1746">
            <v>299000</v>
          </cell>
          <cell r="L1746">
            <v>299000</v>
          </cell>
          <cell r="N1746">
            <v>299000</v>
          </cell>
          <cell r="P1746">
            <v>299000</v>
          </cell>
          <cell r="R1746">
            <v>299000</v>
          </cell>
          <cell r="T1746">
            <v>299000</v>
          </cell>
          <cell r="V1746">
            <v>299000</v>
          </cell>
          <cell r="X1746">
            <v>299000</v>
          </cell>
          <cell r="Z1746">
            <v>299000</v>
          </cell>
          <cell r="AD1746">
            <v>2.44</v>
          </cell>
        </row>
        <row r="1747">
          <cell r="E1747" t="str">
            <v>TR3φ50Hz  75KVA</v>
          </cell>
          <cell r="F1747" t="str">
            <v>台</v>
          </cell>
          <cell r="H1747">
            <v>384000</v>
          </cell>
          <cell r="J1747">
            <v>384000</v>
          </cell>
          <cell r="L1747">
            <v>384000</v>
          </cell>
          <cell r="N1747">
            <v>384000</v>
          </cell>
          <cell r="P1747">
            <v>384000</v>
          </cell>
          <cell r="R1747">
            <v>384000</v>
          </cell>
          <cell r="T1747">
            <v>384000</v>
          </cell>
          <cell r="V1747">
            <v>384000</v>
          </cell>
          <cell r="X1747">
            <v>384000</v>
          </cell>
          <cell r="Z1747">
            <v>384000</v>
          </cell>
          <cell r="AD1747">
            <v>3.62</v>
          </cell>
        </row>
        <row r="1748">
          <cell r="E1748" t="str">
            <v>TR3φ50Hz 100KVA</v>
          </cell>
          <cell r="F1748" t="str">
            <v>台</v>
          </cell>
          <cell r="H1748">
            <v>471000</v>
          </cell>
          <cell r="J1748">
            <v>471000</v>
          </cell>
          <cell r="L1748">
            <v>471000</v>
          </cell>
          <cell r="N1748">
            <v>471000</v>
          </cell>
          <cell r="P1748">
            <v>471000</v>
          </cell>
          <cell r="R1748">
            <v>471000</v>
          </cell>
          <cell r="T1748">
            <v>471000</v>
          </cell>
          <cell r="V1748">
            <v>471000</v>
          </cell>
          <cell r="X1748">
            <v>471000</v>
          </cell>
          <cell r="Z1748">
            <v>471000</v>
          </cell>
          <cell r="AD1748">
            <v>4.0199999999999996</v>
          </cell>
        </row>
        <row r="1749">
          <cell r="E1749" t="str">
            <v>TR3φ50Hz 150KVA</v>
          </cell>
          <cell r="F1749" t="str">
            <v>台</v>
          </cell>
          <cell r="H1749">
            <v>633000</v>
          </cell>
          <cell r="J1749">
            <v>633000</v>
          </cell>
          <cell r="L1749">
            <v>633000</v>
          </cell>
          <cell r="N1749">
            <v>633000</v>
          </cell>
          <cell r="P1749">
            <v>633000</v>
          </cell>
          <cell r="R1749">
            <v>633000</v>
          </cell>
          <cell r="T1749">
            <v>633000</v>
          </cell>
          <cell r="V1749">
            <v>633000</v>
          </cell>
          <cell r="X1749">
            <v>633000</v>
          </cell>
          <cell r="Z1749">
            <v>633000</v>
          </cell>
          <cell r="AD1749">
            <v>4.9400000000000004</v>
          </cell>
        </row>
        <row r="1750">
          <cell r="E1750" t="str">
            <v>TR3φ50Hz 200KVA</v>
          </cell>
          <cell r="F1750" t="str">
            <v>台</v>
          </cell>
          <cell r="H1750">
            <v>795000</v>
          </cell>
          <cell r="J1750">
            <v>795000</v>
          </cell>
          <cell r="L1750">
            <v>795000</v>
          </cell>
          <cell r="N1750">
            <v>795000</v>
          </cell>
          <cell r="P1750">
            <v>795000</v>
          </cell>
          <cell r="R1750">
            <v>795000</v>
          </cell>
          <cell r="T1750">
            <v>795000</v>
          </cell>
          <cell r="V1750">
            <v>795000</v>
          </cell>
          <cell r="X1750">
            <v>795000</v>
          </cell>
          <cell r="Z1750">
            <v>795000</v>
          </cell>
          <cell r="AD1750">
            <v>5.48</v>
          </cell>
        </row>
        <row r="1751">
          <cell r="E1751" t="str">
            <v>TR3φ50Hz 300KVA</v>
          </cell>
          <cell r="F1751" t="str">
            <v>台</v>
          </cell>
          <cell r="H1751">
            <v>1120000</v>
          </cell>
          <cell r="J1751">
            <v>1120000</v>
          </cell>
          <cell r="L1751">
            <v>1120000</v>
          </cell>
          <cell r="N1751">
            <v>1120000</v>
          </cell>
          <cell r="P1751">
            <v>1120000</v>
          </cell>
          <cell r="R1751">
            <v>1120000</v>
          </cell>
          <cell r="T1751">
            <v>1120000</v>
          </cell>
          <cell r="V1751">
            <v>1120000</v>
          </cell>
          <cell r="X1751">
            <v>1120000</v>
          </cell>
          <cell r="Z1751">
            <v>1120000</v>
          </cell>
          <cell r="AD1751">
            <v>7.1</v>
          </cell>
        </row>
        <row r="1752">
          <cell r="E1752" t="str">
            <v>TR3φ50Hz 500KVA</v>
          </cell>
          <cell r="F1752" t="str">
            <v>台</v>
          </cell>
          <cell r="H1752">
            <v>1700000</v>
          </cell>
          <cell r="J1752">
            <v>1700000</v>
          </cell>
          <cell r="L1752">
            <v>1700000</v>
          </cell>
          <cell r="N1752">
            <v>1700000</v>
          </cell>
          <cell r="P1752">
            <v>1700000</v>
          </cell>
          <cell r="R1752">
            <v>1700000</v>
          </cell>
          <cell r="T1752">
            <v>1700000</v>
          </cell>
          <cell r="V1752">
            <v>1700000</v>
          </cell>
          <cell r="X1752">
            <v>1700000</v>
          </cell>
          <cell r="Z1752">
            <v>1700000</v>
          </cell>
          <cell r="AD1752">
            <v>8.74</v>
          </cell>
        </row>
        <row r="1753">
          <cell r="E1753" t="str">
            <v>TR3φ50Hz 750KVA</v>
          </cell>
          <cell r="F1753" t="str">
            <v>台</v>
          </cell>
          <cell r="H1753">
            <v>1935000</v>
          </cell>
          <cell r="J1753">
            <v>1935000</v>
          </cell>
          <cell r="L1753">
            <v>1935000</v>
          </cell>
          <cell r="N1753">
            <v>1935000</v>
          </cell>
          <cell r="P1753">
            <v>1935000</v>
          </cell>
          <cell r="R1753">
            <v>1935000</v>
          </cell>
          <cell r="T1753">
            <v>1935000</v>
          </cell>
          <cell r="V1753">
            <v>1935000</v>
          </cell>
          <cell r="X1753">
            <v>1935000</v>
          </cell>
          <cell r="Z1753">
            <v>1935000</v>
          </cell>
          <cell r="AD1753">
            <v>8.74</v>
          </cell>
        </row>
        <row r="1754">
          <cell r="E1754" t="str">
            <v>TR3φ50Hz 1000KVA</v>
          </cell>
          <cell r="F1754" t="str">
            <v>台</v>
          </cell>
          <cell r="H1754">
            <v>2902000</v>
          </cell>
          <cell r="J1754">
            <v>2902000</v>
          </cell>
          <cell r="L1754">
            <v>2902000</v>
          </cell>
          <cell r="N1754">
            <v>2902000</v>
          </cell>
          <cell r="P1754">
            <v>2902000</v>
          </cell>
          <cell r="R1754">
            <v>2902000</v>
          </cell>
          <cell r="T1754">
            <v>2902000</v>
          </cell>
          <cell r="V1754">
            <v>2902000</v>
          </cell>
          <cell r="X1754">
            <v>2902000</v>
          </cell>
          <cell r="Z1754">
            <v>2902000</v>
          </cell>
          <cell r="AD1754">
            <v>8.74</v>
          </cell>
        </row>
        <row r="1755">
          <cell r="E1755" t="str">
            <v>TR3φ50Hz 1500KVA</v>
          </cell>
          <cell r="F1755" t="str">
            <v>台</v>
          </cell>
          <cell r="H1755">
            <v>4353000</v>
          </cell>
          <cell r="J1755">
            <v>4353000</v>
          </cell>
          <cell r="L1755">
            <v>4353000</v>
          </cell>
          <cell r="N1755">
            <v>4353000</v>
          </cell>
          <cell r="P1755">
            <v>4353000</v>
          </cell>
          <cell r="R1755">
            <v>4353000</v>
          </cell>
          <cell r="T1755">
            <v>4353000</v>
          </cell>
          <cell r="V1755">
            <v>4353000</v>
          </cell>
          <cell r="X1755">
            <v>4353000</v>
          </cell>
          <cell r="Z1755">
            <v>4353000</v>
          </cell>
          <cell r="AD1755">
            <v>8.74</v>
          </cell>
        </row>
        <row r="1756">
          <cell r="E1756" t="str">
            <v>TR1φ60Hz  10KVA</v>
          </cell>
          <cell r="F1756" t="str">
            <v>台</v>
          </cell>
          <cell r="H1756">
            <v>152000</v>
          </cell>
          <cell r="J1756">
            <v>152000</v>
          </cell>
          <cell r="L1756">
            <v>152000</v>
          </cell>
          <cell r="N1756">
            <v>152000</v>
          </cell>
          <cell r="P1756">
            <v>152000</v>
          </cell>
          <cell r="R1756">
            <v>152000</v>
          </cell>
          <cell r="T1756">
            <v>152000</v>
          </cell>
          <cell r="V1756">
            <v>152000</v>
          </cell>
          <cell r="X1756">
            <v>152000</v>
          </cell>
          <cell r="Z1756">
            <v>152000</v>
          </cell>
          <cell r="AD1756">
            <v>0.92</v>
          </cell>
        </row>
        <row r="1757">
          <cell r="E1757" t="str">
            <v>TR1φ60Hz 20KVA</v>
          </cell>
          <cell r="F1757" t="str">
            <v>台</v>
          </cell>
          <cell r="H1757">
            <v>174000</v>
          </cell>
          <cell r="J1757">
            <v>174000</v>
          </cell>
          <cell r="L1757">
            <v>174000</v>
          </cell>
          <cell r="N1757">
            <v>174000</v>
          </cell>
          <cell r="P1757">
            <v>174000</v>
          </cell>
          <cell r="R1757">
            <v>174000</v>
          </cell>
          <cell r="T1757">
            <v>174000</v>
          </cell>
          <cell r="V1757">
            <v>174000</v>
          </cell>
          <cell r="X1757">
            <v>174000</v>
          </cell>
          <cell r="Z1757">
            <v>174000</v>
          </cell>
          <cell r="AD1757">
            <v>1.5580000000000001</v>
          </cell>
        </row>
        <row r="1758">
          <cell r="E1758" t="str">
            <v>TR1φ60Hz  30KVA</v>
          </cell>
          <cell r="F1758" t="str">
            <v>台</v>
          </cell>
          <cell r="H1758">
            <v>208000</v>
          </cell>
          <cell r="J1758">
            <v>208000</v>
          </cell>
          <cell r="L1758">
            <v>208000</v>
          </cell>
          <cell r="N1758">
            <v>208000</v>
          </cell>
          <cell r="P1758">
            <v>208000</v>
          </cell>
          <cell r="R1758">
            <v>208000</v>
          </cell>
          <cell r="T1758">
            <v>208000</v>
          </cell>
          <cell r="V1758">
            <v>208000</v>
          </cell>
          <cell r="X1758">
            <v>208000</v>
          </cell>
          <cell r="Z1758">
            <v>208000</v>
          </cell>
          <cell r="AD1758">
            <v>1.6639999999999999</v>
          </cell>
        </row>
        <row r="1759">
          <cell r="E1759" t="str">
            <v>TR1φ60Hz  50KVA</v>
          </cell>
          <cell r="F1759" t="str">
            <v>台</v>
          </cell>
          <cell r="H1759">
            <v>255000</v>
          </cell>
          <cell r="J1759">
            <v>255000</v>
          </cell>
          <cell r="L1759">
            <v>255000</v>
          </cell>
          <cell r="N1759">
            <v>255000</v>
          </cell>
          <cell r="P1759">
            <v>255000</v>
          </cell>
          <cell r="R1759">
            <v>255000</v>
          </cell>
          <cell r="T1759">
            <v>255000</v>
          </cell>
          <cell r="V1759">
            <v>255000</v>
          </cell>
          <cell r="X1759">
            <v>255000</v>
          </cell>
          <cell r="Z1759">
            <v>255000</v>
          </cell>
          <cell r="AD1759">
            <v>1.946</v>
          </cell>
        </row>
        <row r="1760">
          <cell r="E1760" t="str">
            <v>TR1φ60Hz  75KVA</v>
          </cell>
          <cell r="F1760" t="str">
            <v>台</v>
          </cell>
          <cell r="H1760">
            <v>283000</v>
          </cell>
          <cell r="J1760">
            <v>283000</v>
          </cell>
          <cell r="L1760">
            <v>283000</v>
          </cell>
          <cell r="N1760">
            <v>283000</v>
          </cell>
          <cell r="P1760">
            <v>283000</v>
          </cell>
          <cell r="R1760">
            <v>283000</v>
          </cell>
          <cell r="T1760">
            <v>283000</v>
          </cell>
          <cell r="V1760">
            <v>283000</v>
          </cell>
          <cell r="X1760">
            <v>283000</v>
          </cell>
          <cell r="Z1760">
            <v>283000</v>
          </cell>
          <cell r="AD1760">
            <v>3.2</v>
          </cell>
        </row>
        <row r="1761">
          <cell r="E1761" t="str">
            <v>TR1φ60Hz 100KVA</v>
          </cell>
          <cell r="F1761" t="str">
            <v>台</v>
          </cell>
          <cell r="H1761">
            <v>345000</v>
          </cell>
          <cell r="J1761">
            <v>345000</v>
          </cell>
          <cell r="L1761">
            <v>345000</v>
          </cell>
          <cell r="N1761">
            <v>345000</v>
          </cell>
          <cell r="P1761">
            <v>345000</v>
          </cell>
          <cell r="R1761">
            <v>345000</v>
          </cell>
          <cell r="T1761">
            <v>345000</v>
          </cell>
          <cell r="V1761">
            <v>345000</v>
          </cell>
          <cell r="X1761">
            <v>345000</v>
          </cell>
          <cell r="Z1761">
            <v>345000</v>
          </cell>
          <cell r="AD1761">
            <v>3.42</v>
          </cell>
        </row>
        <row r="1762">
          <cell r="E1762" t="str">
            <v>TR1φ60Hz 150KVA</v>
          </cell>
          <cell r="F1762" t="str">
            <v>台</v>
          </cell>
          <cell r="H1762">
            <v>484000</v>
          </cell>
          <cell r="J1762">
            <v>484000</v>
          </cell>
          <cell r="L1762">
            <v>484000</v>
          </cell>
          <cell r="N1762">
            <v>484000</v>
          </cell>
          <cell r="P1762">
            <v>484000</v>
          </cell>
          <cell r="R1762">
            <v>484000</v>
          </cell>
          <cell r="T1762">
            <v>484000</v>
          </cell>
          <cell r="V1762">
            <v>484000</v>
          </cell>
          <cell r="X1762">
            <v>484000</v>
          </cell>
          <cell r="Z1762">
            <v>484000</v>
          </cell>
          <cell r="AD1762">
            <v>4.24</v>
          </cell>
        </row>
        <row r="1763">
          <cell r="E1763" t="str">
            <v>TR1φ60Hz 200KVA</v>
          </cell>
          <cell r="F1763" t="str">
            <v>台</v>
          </cell>
          <cell r="H1763">
            <v>604000</v>
          </cell>
          <cell r="J1763">
            <v>604000</v>
          </cell>
          <cell r="L1763">
            <v>604000</v>
          </cell>
          <cell r="N1763">
            <v>604000</v>
          </cell>
          <cell r="P1763">
            <v>604000</v>
          </cell>
          <cell r="R1763">
            <v>604000</v>
          </cell>
          <cell r="T1763">
            <v>604000</v>
          </cell>
          <cell r="V1763">
            <v>604000</v>
          </cell>
          <cell r="X1763">
            <v>604000</v>
          </cell>
          <cell r="Z1763">
            <v>604000</v>
          </cell>
          <cell r="AD1763">
            <v>4.5</v>
          </cell>
        </row>
        <row r="1764">
          <cell r="E1764" t="str">
            <v>TR1φ60Hz 300KVA</v>
          </cell>
          <cell r="F1764" t="str">
            <v>台</v>
          </cell>
          <cell r="H1764">
            <v>903000</v>
          </cell>
          <cell r="J1764">
            <v>903000</v>
          </cell>
          <cell r="L1764">
            <v>903000</v>
          </cell>
          <cell r="N1764">
            <v>903000</v>
          </cell>
          <cell r="P1764">
            <v>903000</v>
          </cell>
          <cell r="R1764">
            <v>903000</v>
          </cell>
          <cell r="T1764">
            <v>903000</v>
          </cell>
          <cell r="V1764">
            <v>903000</v>
          </cell>
          <cell r="X1764">
            <v>903000</v>
          </cell>
          <cell r="Z1764">
            <v>903000</v>
          </cell>
          <cell r="AD1764">
            <v>5.8</v>
          </cell>
        </row>
        <row r="1765">
          <cell r="E1765" t="str">
            <v>TR1φ60Hz 500KVA</v>
          </cell>
          <cell r="F1765" t="str">
            <v>台</v>
          </cell>
          <cell r="H1765">
            <v>1510000</v>
          </cell>
          <cell r="J1765">
            <v>1510000</v>
          </cell>
          <cell r="L1765">
            <v>1510000</v>
          </cell>
          <cell r="N1765">
            <v>1510000</v>
          </cell>
          <cell r="P1765">
            <v>1510000</v>
          </cell>
          <cell r="R1765">
            <v>1510000</v>
          </cell>
          <cell r="T1765">
            <v>1510000</v>
          </cell>
          <cell r="V1765">
            <v>1510000</v>
          </cell>
          <cell r="X1765">
            <v>1510000</v>
          </cell>
          <cell r="Z1765">
            <v>1510000</v>
          </cell>
          <cell r="AD1765">
            <v>7.6</v>
          </cell>
        </row>
        <row r="1766">
          <cell r="E1766" t="str">
            <v>TR3φ60Hz  20KVA</v>
          </cell>
          <cell r="F1766" t="str">
            <v>台</v>
          </cell>
          <cell r="H1766">
            <v>196000</v>
          </cell>
          <cell r="J1766">
            <v>196000</v>
          </cell>
          <cell r="L1766">
            <v>196000</v>
          </cell>
          <cell r="N1766">
            <v>196000</v>
          </cell>
          <cell r="P1766">
            <v>196000</v>
          </cell>
          <cell r="R1766">
            <v>196000</v>
          </cell>
          <cell r="T1766">
            <v>196000</v>
          </cell>
          <cell r="V1766">
            <v>196000</v>
          </cell>
          <cell r="X1766">
            <v>196000</v>
          </cell>
          <cell r="Z1766">
            <v>196000</v>
          </cell>
          <cell r="AD1766">
            <v>1.8939999999999999</v>
          </cell>
        </row>
        <row r="1767">
          <cell r="E1767" t="str">
            <v>TR3φ60Hz  30KVA</v>
          </cell>
          <cell r="F1767" t="str">
            <v>台</v>
          </cell>
          <cell r="H1767">
            <v>228000</v>
          </cell>
          <cell r="J1767">
            <v>228000</v>
          </cell>
          <cell r="L1767">
            <v>228000</v>
          </cell>
          <cell r="N1767">
            <v>228000</v>
          </cell>
          <cell r="P1767">
            <v>228000</v>
          </cell>
          <cell r="R1767">
            <v>228000</v>
          </cell>
          <cell r="T1767">
            <v>228000</v>
          </cell>
          <cell r="V1767">
            <v>228000</v>
          </cell>
          <cell r="X1767">
            <v>228000</v>
          </cell>
          <cell r="Z1767">
            <v>228000</v>
          </cell>
          <cell r="AD1767">
            <v>2.08</v>
          </cell>
        </row>
        <row r="1768">
          <cell r="E1768" t="str">
            <v>TR3φ60H z 50KVA</v>
          </cell>
          <cell r="F1768" t="str">
            <v>台</v>
          </cell>
          <cell r="H1768">
            <v>285000</v>
          </cell>
          <cell r="J1768">
            <v>285000</v>
          </cell>
          <cell r="L1768">
            <v>285000</v>
          </cell>
          <cell r="N1768">
            <v>285000</v>
          </cell>
          <cell r="P1768">
            <v>285000</v>
          </cell>
          <cell r="R1768">
            <v>285000</v>
          </cell>
          <cell r="T1768">
            <v>285000</v>
          </cell>
          <cell r="V1768">
            <v>285000</v>
          </cell>
          <cell r="X1768">
            <v>285000</v>
          </cell>
          <cell r="Z1768">
            <v>285000</v>
          </cell>
          <cell r="AD1768">
            <v>2.44</v>
          </cell>
        </row>
        <row r="1769">
          <cell r="E1769" t="str">
            <v>TR3φ60Hz  75KVA</v>
          </cell>
          <cell r="F1769" t="str">
            <v>台</v>
          </cell>
          <cell r="H1769">
            <v>353000</v>
          </cell>
          <cell r="J1769">
            <v>353000</v>
          </cell>
          <cell r="L1769">
            <v>353000</v>
          </cell>
          <cell r="N1769">
            <v>353000</v>
          </cell>
          <cell r="P1769">
            <v>353000</v>
          </cell>
          <cell r="R1769">
            <v>353000</v>
          </cell>
          <cell r="T1769">
            <v>353000</v>
          </cell>
          <cell r="V1769">
            <v>353000</v>
          </cell>
          <cell r="X1769">
            <v>353000</v>
          </cell>
          <cell r="Z1769">
            <v>353000</v>
          </cell>
          <cell r="AD1769">
            <v>3.62</v>
          </cell>
        </row>
        <row r="1770">
          <cell r="E1770" t="str">
            <v>TR3φ60Hz 100KVA</v>
          </cell>
          <cell r="F1770" t="str">
            <v>台</v>
          </cell>
          <cell r="H1770">
            <v>432000</v>
          </cell>
          <cell r="J1770">
            <v>432000</v>
          </cell>
          <cell r="L1770">
            <v>432000</v>
          </cell>
          <cell r="N1770">
            <v>432000</v>
          </cell>
          <cell r="P1770">
            <v>432000</v>
          </cell>
          <cell r="R1770">
            <v>432000</v>
          </cell>
          <cell r="T1770">
            <v>432000</v>
          </cell>
          <cell r="V1770">
            <v>432000</v>
          </cell>
          <cell r="X1770">
            <v>432000</v>
          </cell>
          <cell r="Z1770">
            <v>432000</v>
          </cell>
          <cell r="AD1770">
            <v>4.0199999999999996</v>
          </cell>
        </row>
        <row r="1771">
          <cell r="E1771" t="str">
            <v>TR3φ60Hz 150KVA</v>
          </cell>
          <cell r="F1771" t="str">
            <v>台</v>
          </cell>
          <cell r="H1771">
            <v>582000</v>
          </cell>
          <cell r="J1771">
            <v>582000</v>
          </cell>
          <cell r="L1771">
            <v>582000</v>
          </cell>
          <cell r="N1771">
            <v>582000</v>
          </cell>
          <cell r="P1771">
            <v>582000</v>
          </cell>
          <cell r="R1771">
            <v>582000</v>
          </cell>
          <cell r="T1771">
            <v>582000</v>
          </cell>
          <cell r="V1771">
            <v>582000</v>
          </cell>
          <cell r="X1771">
            <v>582000</v>
          </cell>
          <cell r="Z1771">
            <v>582000</v>
          </cell>
          <cell r="AD1771">
            <v>4.9400000000000004</v>
          </cell>
        </row>
        <row r="1772">
          <cell r="E1772" t="str">
            <v>TR3φ60Hz 200KVA</v>
          </cell>
          <cell r="F1772" t="str">
            <v>台</v>
          </cell>
          <cell r="H1772">
            <v>732000</v>
          </cell>
          <cell r="J1772">
            <v>732000</v>
          </cell>
          <cell r="L1772">
            <v>732000</v>
          </cell>
          <cell r="N1772">
            <v>732000</v>
          </cell>
          <cell r="P1772">
            <v>732000</v>
          </cell>
          <cell r="R1772">
            <v>732000</v>
          </cell>
          <cell r="T1772">
            <v>732000</v>
          </cell>
          <cell r="V1772">
            <v>732000</v>
          </cell>
          <cell r="X1772">
            <v>732000</v>
          </cell>
          <cell r="Z1772">
            <v>732000</v>
          </cell>
          <cell r="AD1772">
            <v>5.48</v>
          </cell>
        </row>
        <row r="1773">
          <cell r="E1773" t="str">
            <v>TR3φ60Hz 300KVA</v>
          </cell>
          <cell r="F1773" t="str">
            <v>台</v>
          </cell>
          <cell r="H1773">
            <v>1030000</v>
          </cell>
          <cell r="J1773">
            <v>1030000</v>
          </cell>
          <cell r="L1773">
            <v>1030000</v>
          </cell>
          <cell r="N1773">
            <v>1030000</v>
          </cell>
          <cell r="P1773">
            <v>1030000</v>
          </cell>
          <cell r="R1773">
            <v>1030000</v>
          </cell>
          <cell r="T1773">
            <v>1030000</v>
          </cell>
          <cell r="V1773">
            <v>1030000</v>
          </cell>
          <cell r="X1773">
            <v>1030000</v>
          </cell>
          <cell r="Z1773">
            <v>1030000</v>
          </cell>
          <cell r="AD1773">
            <v>7.1</v>
          </cell>
        </row>
        <row r="1774">
          <cell r="E1774" t="str">
            <v>TR3φ60Hz 500KVA</v>
          </cell>
          <cell r="F1774" t="str">
            <v>台</v>
          </cell>
          <cell r="H1774">
            <v>1560000</v>
          </cell>
          <cell r="J1774">
            <v>1560000</v>
          </cell>
          <cell r="L1774">
            <v>1560000</v>
          </cell>
          <cell r="N1774">
            <v>1560000</v>
          </cell>
          <cell r="P1774">
            <v>1560000</v>
          </cell>
          <cell r="R1774">
            <v>1560000</v>
          </cell>
          <cell r="T1774">
            <v>1560000</v>
          </cell>
          <cell r="V1774">
            <v>1560000</v>
          </cell>
          <cell r="X1774">
            <v>1560000</v>
          </cell>
          <cell r="Z1774">
            <v>1560000</v>
          </cell>
          <cell r="AD1774">
            <v>8.74</v>
          </cell>
        </row>
        <row r="1775">
          <cell r="E1775" t="str">
            <v>TR3φ60Hz 750KVA</v>
          </cell>
          <cell r="F1775" t="str">
            <v>台</v>
          </cell>
          <cell r="H1775">
            <v>1935000</v>
          </cell>
          <cell r="J1775">
            <v>1935000</v>
          </cell>
          <cell r="L1775">
            <v>1935000</v>
          </cell>
          <cell r="N1775">
            <v>1935000</v>
          </cell>
          <cell r="P1775">
            <v>1935000</v>
          </cell>
          <cell r="R1775">
            <v>1935000</v>
          </cell>
          <cell r="T1775">
            <v>1935000</v>
          </cell>
          <cell r="V1775">
            <v>1935000</v>
          </cell>
          <cell r="X1775">
            <v>1935000</v>
          </cell>
          <cell r="Z1775">
            <v>1935000</v>
          </cell>
          <cell r="AD1775">
            <v>8.74</v>
          </cell>
        </row>
        <row r="1776">
          <cell r="E1776" t="str">
            <v>TR3φ60Hz 1000KVA</v>
          </cell>
          <cell r="F1776" t="str">
            <v>台</v>
          </cell>
          <cell r="H1776">
            <v>2902000</v>
          </cell>
          <cell r="J1776">
            <v>2902000</v>
          </cell>
          <cell r="L1776">
            <v>2902000</v>
          </cell>
          <cell r="N1776">
            <v>2902000</v>
          </cell>
          <cell r="P1776">
            <v>2902000</v>
          </cell>
          <cell r="R1776">
            <v>2902000</v>
          </cell>
          <cell r="T1776">
            <v>2902000</v>
          </cell>
          <cell r="V1776">
            <v>2902000</v>
          </cell>
          <cell r="X1776">
            <v>2902000</v>
          </cell>
          <cell r="Z1776">
            <v>2902000</v>
          </cell>
          <cell r="AD1776">
            <v>8.74</v>
          </cell>
        </row>
        <row r="1777">
          <cell r="E1777" t="str">
            <v>TR3φ60Hz 1500KVA</v>
          </cell>
          <cell r="F1777" t="str">
            <v>台</v>
          </cell>
          <cell r="H1777">
            <v>4353000</v>
          </cell>
          <cell r="J1777">
            <v>4353000</v>
          </cell>
          <cell r="L1777">
            <v>4353000</v>
          </cell>
          <cell r="N1777">
            <v>4353000</v>
          </cell>
          <cell r="P1777">
            <v>4353000</v>
          </cell>
          <cell r="R1777">
            <v>4353000</v>
          </cell>
          <cell r="T1777">
            <v>4353000</v>
          </cell>
          <cell r="V1777">
            <v>4353000</v>
          </cell>
          <cell r="X1777">
            <v>4353000</v>
          </cell>
          <cell r="Z1777">
            <v>4353000</v>
          </cell>
          <cell r="AD1777">
            <v>8.74</v>
          </cell>
        </row>
        <row r="1778">
          <cell r="E1778" t="str">
            <v>TRM1φ50Hz  10KVA</v>
          </cell>
          <cell r="F1778" t="str">
            <v>台</v>
          </cell>
          <cell r="H1778">
            <v>481000</v>
          </cell>
          <cell r="J1778">
            <v>481000</v>
          </cell>
          <cell r="L1778">
            <v>481000</v>
          </cell>
          <cell r="N1778">
            <v>481000</v>
          </cell>
          <cell r="P1778">
            <v>481000</v>
          </cell>
          <cell r="R1778">
            <v>481000</v>
          </cell>
          <cell r="T1778">
            <v>481000</v>
          </cell>
          <cell r="V1778">
            <v>481000</v>
          </cell>
          <cell r="X1778">
            <v>481000</v>
          </cell>
          <cell r="Z1778">
            <v>481000</v>
          </cell>
          <cell r="AD1778">
            <v>0.92</v>
          </cell>
        </row>
        <row r="1779">
          <cell r="E1779" t="str">
            <v>TRM1φ50Hz  20KVA</v>
          </cell>
          <cell r="F1779" t="str">
            <v>台</v>
          </cell>
          <cell r="H1779">
            <v>561000</v>
          </cell>
          <cell r="J1779">
            <v>561000</v>
          </cell>
          <cell r="L1779">
            <v>561000</v>
          </cell>
          <cell r="N1779">
            <v>561000</v>
          </cell>
          <cell r="P1779">
            <v>561000</v>
          </cell>
          <cell r="R1779">
            <v>561000</v>
          </cell>
          <cell r="T1779">
            <v>561000</v>
          </cell>
          <cell r="V1779">
            <v>561000</v>
          </cell>
          <cell r="X1779">
            <v>561000</v>
          </cell>
          <cell r="Z1779">
            <v>561000</v>
          </cell>
          <cell r="AD1779">
            <v>1.5580000000000001</v>
          </cell>
        </row>
        <row r="1780">
          <cell r="E1780" t="str">
            <v>TRM1φ50Hz  30KVA</v>
          </cell>
          <cell r="F1780" t="str">
            <v>台</v>
          </cell>
          <cell r="H1780">
            <v>643000</v>
          </cell>
          <cell r="J1780">
            <v>643000</v>
          </cell>
          <cell r="L1780">
            <v>643000</v>
          </cell>
          <cell r="N1780">
            <v>643000</v>
          </cell>
          <cell r="P1780">
            <v>643000</v>
          </cell>
          <cell r="R1780">
            <v>643000</v>
          </cell>
          <cell r="T1780">
            <v>643000</v>
          </cell>
          <cell r="V1780">
            <v>643000</v>
          </cell>
          <cell r="X1780">
            <v>643000</v>
          </cell>
          <cell r="Z1780">
            <v>643000</v>
          </cell>
          <cell r="AD1780">
            <v>1.6639999999999999</v>
          </cell>
        </row>
        <row r="1781">
          <cell r="E1781" t="str">
            <v>TRM1φ50Hz  50KVA</v>
          </cell>
          <cell r="F1781" t="str">
            <v>台</v>
          </cell>
          <cell r="H1781">
            <v>736000</v>
          </cell>
          <cell r="J1781">
            <v>736000</v>
          </cell>
          <cell r="L1781">
            <v>736000</v>
          </cell>
          <cell r="N1781">
            <v>736000</v>
          </cell>
          <cell r="P1781">
            <v>736000</v>
          </cell>
          <cell r="R1781">
            <v>736000</v>
          </cell>
          <cell r="T1781">
            <v>736000</v>
          </cell>
          <cell r="V1781">
            <v>736000</v>
          </cell>
          <cell r="X1781">
            <v>736000</v>
          </cell>
          <cell r="Z1781">
            <v>736000</v>
          </cell>
          <cell r="AD1781">
            <v>1.946</v>
          </cell>
        </row>
        <row r="1782">
          <cell r="E1782" t="str">
            <v>TRM1φ50Hz  75KVA</v>
          </cell>
          <cell r="F1782" t="str">
            <v>台</v>
          </cell>
          <cell r="H1782">
            <v>876000</v>
          </cell>
          <cell r="J1782">
            <v>876000</v>
          </cell>
          <cell r="L1782">
            <v>876000</v>
          </cell>
          <cell r="N1782">
            <v>876000</v>
          </cell>
          <cell r="P1782">
            <v>876000</v>
          </cell>
          <cell r="R1782">
            <v>876000</v>
          </cell>
          <cell r="T1782">
            <v>876000</v>
          </cell>
          <cell r="V1782">
            <v>876000</v>
          </cell>
          <cell r="X1782">
            <v>876000</v>
          </cell>
          <cell r="Z1782">
            <v>876000</v>
          </cell>
          <cell r="AD1782">
            <v>3.2</v>
          </cell>
        </row>
        <row r="1783">
          <cell r="E1783" t="str">
            <v>TRM1φ50Hz 100KVA</v>
          </cell>
          <cell r="F1783" t="str">
            <v>台</v>
          </cell>
          <cell r="H1783">
            <v>1040000</v>
          </cell>
          <cell r="J1783">
            <v>1040000</v>
          </cell>
          <cell r="L1783">
            <v>1040000</v>
          </cell>
          <cell r="N1783">
            <v>1040000</v>
          </cell>
          <cell r="P1783">
            <v>1040000</v>
          </cell>
          <cell r="R1783">
            <v>1040000</v>
          </cell>
          <cell r="T1783">
            <v>1040000</v>
          </cell>
          <cell r="V1783">
            <v>1040000</v>
          </cell>
          <cell r="X1783">
            <v>1040000</v>
          </cell>
          <cell r="Z1783">
            <v>1040000</v>
          </cell>
          <cell r="AD1783">
            <v>3.42</v>
          </cell>
        </row>
        <row r="1784">
          <cell r="E1784" t="str">
            <v>TRM1φ50Hz 150KVA</v>
          </cell>
          <cell r="F1784" t="str">
            <v>台</v>
          </cell>
          <cell r="H1784">
            <v>1350000</v>
          </cell>
          <cell r="J1784">
            <v>1350000</v>
          </cell>
          <cell r="L1784">
            <v>1350000</v>
          </cell>
          <cell r="N1784">
            <v>1350000</v>
          </cell>
          <cell r="P1784">
            <v>1350000</v>
          </cell>
          <cell r="R1784">
            <v>1350000</v>
          </cell>
          <cell r="T1784">
            <v>1350000</v>
          </cell>
          <cell r="V1784">
            <v>1350000</v>
          </cell>
          <cell r="X1784">
            <v>1350000</v>
          </cell>
          <cell r="Z1784">
            <v>1350000</v>
          </cell>
          <cell r="AD1784">
            <v>4.24</v>
          </cell>
        </row>
        <row r="1785">
          <cell r="E1785" t="str">
            <v>TRM1φ50Hz 200KVA</v>
          </cell>
          <cell r="F1785" t="str">
            <v>台</v>
          </cell>
          <cell r="H1785">
            <v>1680000</v>
          </cell>
          <cell r="J1785">
            <v>1680000</v>
          </cell>
          <cell r="L1785">
            <v>1680000</v>
          </cell>
          <cell r="N1785">
            <v>1680000</v>
          </cell>
          <cell r="P1785">
            <v>1680000</v>
          </cell>
          <cell r="R1785">
            <v>1680000</v>
          </cell>
          <cell r="T1785">
            <v>1680000</v>
          </cell>
          <cell r="V1785">
            <v>1680000</v>
          </cell>
          <cell r="X1785">
            <v>1680000</v>
          </cell>
          <cell r="Z1785">
            <v>1680000</v>
          </cell>
          <cell r="AD1785">
            <v>4.5</v>
          </cell>
        </row>
        <row r="1786">
          <cell r="E1786" t="str">
            <v>TRM1φ50Hz 300KVA</v>
          </cell>
          <cell r="F1786" t="str">
            <v>台</v>
          </cell>
          <cell r="H1786">
            <v>2330000</v>
          </cell>
          <cell r="J1786">
            <v>2330000</v>
          </cell>
          <cell r="L1786">
            <v>2330000</v>
          </cell>
          <cell r="N1786">
            <v>2330000</v>
          </cell>
          <cell r="P1786">
            <v>2330000</v>
          </cell>
          <cell r="R1786">
            <v>2330000</v>
          </cell>
          <cell r="T1786">
            <v>2330000</v>
          </cell>
          <cell r="V1786">
            <v>2330000</v>
          </cell>
          <cell r="X1786">
            <v>2330000</v>
          </cell>
          <cell r="Z1786">
            <v>2330000</v>
          </cell>
          <cell r="AD1786">
            <v>5.8</v>
          </cell>
        </row>
        <row r="1787">
          <cell r="E1787" t="str">
            <v>TRM1φ50Hz 500KVA</v>
          </cell>
          <cell r="F1787" t="str">
            <v>台</v>
          </cell>
          <cell r="H1787">
            <v>3700000</v>
          </cell>
          <cell r="J1787">
            <v>3700000</v>
          </cell>
          <cell r="L1787">
            <v>3700000</v>
          </cell>
          <cell r="N1787">
            <v>3700000</v>
          </cell>
          <cell r="P1787">
            <v>3700000</v>
          </cell>
          <cell r="R1787">
            <v>3700000</v>
          </cell>
          <cell r="T1787">
            <v>3700000</v>
          </cell>
          <cell r="V1787">
            <v>3700000</v>
          </cell>
          <cell r="X1787">
            <v>3700000</v>
          </cell>
          <cell r="Z1787">
            <v>3700000</v>
          </cell>
          <cell r="AD1787">
            <v>7.6</v>
          </cell>
        </row>
        <row r="1788">
          <cell r="E1788" t="str">
            <v>TRM3φ50Hz  20KVA</v>
          </cell>
          <cell r="F1788" t="str">
            <v>台</v>
          </cell>
          <cell r="H1788">
            <v>787000</v>
          </cell>
          <cell r="J1788">
            <v>787000</v>
          </cell>
          <cell r="L1788">
            <v>787000</v>
          </cell>
          <cell r="N1788">
            <v>787000</v>
          </cell>
          <cell r="P1788">
            <v>787000</v>
          </cell>
          <cell r="R1788">
            <v>787000</v>
          </cell>
          <cell r="T1788">
            <v>787000</v>
          </cell>
          <cell r="V1788">
            <v>787000</v>
          </cell>
          <cell r="X1788">
            <v>787000</v>
          </cell>
          <cell r="Z1788">
            <v>787000</v>
          </cell>
          <cell r="AD1788">
            <v>1.8939999999999999</v>
          </cell>
        </row>
        <row r="1789">
          <cell r="E1789" t="str">
            <v>TRM3φ50Hz  30KVA</v>
          </cell>
          <cell r="F1789" t="str">
            <v>台</v>
          </cell>
          <cell r="H1789">
            <v>902000</v>
          </cell>
          <cell r="J1789">
            <v>902000</v>
          </cell>
          <cell r="L1789">
            <v>902000</v>
          </cell>
          <cell r="N1789">
            <v>902000</v>
          </cell>
          <cell r="P1789">
            <v>902000</v>
          </cell>
          <cell r="R1789">
            <v>902000</v>
          </cell>
          <cell r="T1789">
            <v>902000</v>
          </cell>
          <cell r="V1789">
            <v>902000</v>
          </cell>
          <cell r="X1789">
            <v>902000</v>
          </cell>
          <cell r="Z1789">
            <v>902000</v>
          </cell>
          <cell r="AD1789">
            <v>2.08</v>
          </cell>
        </row>
        <row r="1790">
          <cell r="E1790" t="str">
            <v>TRM3φ50Hz  50KVA</v>
          </cell>
          <cell r="F1790" t="str">
            <v>台</v>
          </cell>
          <cell r="H1790">
            <v>982000</v>
          </cell>
          <cell r="J1790">
            <v>982000</v>
          </cell>
          <cell r="L1790">
            <v>982000</v>
          </cell>
          <cell r="N1790">
            <v>982000</v>
          </cell>
          <cell r="P1790">
            <v>982000</v>
          </cell>
          <cell r="R1790">
            <v>982000</v>
          </cell>
          <cell r="T1790">
            <v>982000</v>
          </cell>
          <cell r="V1790">
            <v>982000</v>
          </cell>
          <cell r="X1790">
            <v>982000</v>
          </cell>
          <cell r="Z1790">
            <v>982000</v>
          </cell>
          <cell r="AD1790">
            <v>2.44</v>
          </cell>
        </row>
        <row r="1791">
          <cell r="E1791" t="str">
            <v>TRM3φ50Hz  75KVA</v>
          </cell>
          <cell r="F1791" t="str">
            <v>台</v>
          </cell>
          <cell r="H1791">
            <v>1170000</v>
          </cell>
          <cell r="J1791">
            <v>1170000</v>
          </cell>
          <cell r="L1791">
            <v>1170000</v>
          </cell>
          <cell r="N1791">
            <v>1170000</v>
          </cell>
          <cell r="P1791">
            <v>1170000</v>
          </cell>
          <cell r="R1791">
            <v>1170000</v>
          </cell>
          <cell r="T1791">
            <v>1170000</v>
          </cell>
          <cell r="V1791">
            <v>1170000</v>
          </cell>
          <cell r="X1791">
            <v>1170000</v>
          </cell>
          <cell r="Z1791">
            <v>1170000</v>
          </cell>
          <cell r="AD1791">
            <v>3.62</v>
          </cell>
        </row>
        <row r="1792">
          <cell r="E1792" t="str">
            <v>TRM3φ50Hz 100KVA</v>
          </cell>
          <cell r="F1792" t="str">
            <v>台</v>
          </cell>
          <cell r="H1792">
            <v>1320000</v>
          </cell>
          <cell r="J1792">
            <v>1320000</v>
          </cell>
          <cell r="L1792">
            <v>1320000</v>
          </cell>
          <cell r="N1792">
            <v>1320000</v>
          </cell>
          <cell r="P1792">
            <v>1320000</v>
          </cell>
          <cell r="R1792">
            <v>1320000</v>
          </cell>
          <cell r="T1792">
            <v>1320000</v>
          </cell>
          <cell r="V1792">
            <v>1320000</v>
          </cell>
          <cell r="X1792">
            <v>1320000</v>
          </cell>
          <cell r="Z1792">
            <v>1320000</v>
          </cell>
          <cell r="AD1792">
            <v>4.0199999999999996</v>
          </cell>
        </row>
        <row r="1793">
          <cell r="E1793" t="str">
            <v>TRM3φ50Hz 150KVA</v>
          </cell>
          <cell r="F1793" t="str">
            <v>台</v>
          </cell>
          <cell r="H1793">
            <v>1660000</v>
          </cell>
          <cell r="J1793">
            <v>1660000</v>
          </cell>
          <cell r="L1793">
            <v>1660000</v>
          </cell>
          <cell r="N1793">
            <v>1660000</v>
          </cell>
          <cell r="P1793">
            <v>1660000</v>
          </cell>
          <cell r="R1793">
            <v>1660000</v>
          </cell>
          <cell r="T1793">
            <v>1660000</v>
          </cell>
          <cell r="V1793">
            <v>1660000</v>
          </cell>
          <cell r="X1793">
            <v>1660000</v>
          </cell>
          <cell r="Z1793">
            <v>1660000</v>
          </cell>
          <cell r="AD1793">
            <v>4.9400000000000004</v>
          </cell>
        </row>
        <row r="1794">
          <cell r="E1794" t="str">
            <v>TRM3φ50Hz 200KVA</v>
          </cell>
          <cell r="F1794" t="str">
            <v>台</v>
          </cell>
          <cell r="H1794">
            <v>2020000</v>
          </cell>
          <cell r="J1794">
            <v>2020000</v>
          </cell>
          <cell r="L1794">
            <v>2020000</v>
          </cell>
          <cell r="N1794">
            <v>2020000</v>
          </cell>
          <cell r="P1794">
            <v>2020000</v>
          </cell>
          <cell r="R1794">
            <v>2020000</v>
          </cell>
          <cell r="T1794">
            <v>2020000</v>
          </cell>
          <cell r="V1794">
            <v>2020000</v>
          </cell>
          <cell r="X1794">
            <v>2020000</v>
          </cell>
          <cell r="Z1794">
            <v>2020000</v>
          </cell>
          <cell r="AD1794">
            <v>5.48</v>
          </cell>
        </row>
        <row r="1795">
          <cell r="E1795" t="str">
            <v>TRM3φ50Hz 300KVA</v>
          </cell>
          <cell r="F1795" t="str">
            <v>台</v>
          </cell>
          <cell r="H1795">
            <v>2830000</v>
          </cell>
          <cell r="J1795">
            <v>2830000</v>
          </cell>
          <cell r="L1795">
            <v>2830000</v>
          </cell>
          <cell r="N1795">
            <v>2830000</v>
          </cell>
          <cell r="P1795">
            <v>2830000</v>
          </cell>
          <cell r="R1795">
            <v>2830000</v>
          </cell>
          <cell r="T1795">
            <v>2830000</v>
          </cell>
          <cell r="V1795">
            <v>2830000</v>
          </cell>
          <cell r="X1795">
            <v>2830000</v>
          </cell>
          <cell r="Z1795">
            <v>2830000</v>
          </cell>
          <cell r="AD1795">
            <v>7.1</v>
          </cell>
        </row>
        <row r="1796">
          <cell r="E1796" t="str">
            <v>TRM3φ50Hz 500KVA</v>
          </cell>
          <cell r="F1796" t="str">
            <v>台</v>
          </cell>
          <cell r="H1796">
            <v>4440000</v>
          </cell>
          <cell r="J1796">
            <v>4440000</v>
          </cell>
          <cell r="L1796">
            <v>4440000</v>
          </cell>
          <cell r="N1796">
            <v>4440000</v>
          </cell>
          <cell r="P1796">
            <v>4440000</v>
          </cell>
          <cell r="R1796">
            <v>4440000</v>
          </cell>
          <cell r="T1796">
            <v>4440000</v>
          </cell>
          <cell r="V1796">
            <v>4440000</v>
          </cell>
          <cell r="X1796">
            <v>4440000</v>
          </cell>
          <cell r="Z1796">
            <v>4440000</v>
          </cell>
          <cell r="AD1796">
            <v>8.74</v>
          </cell>
        </row>
        <row r="1797">
          <cell r="E1797" t="str">
            <v>TRM3φ50Hz 750KVA</v>
          </cell>
          <cell r="F1797" t="str">
            <v>台</v>
          </cell>
          <cell r="H1797">
            <v>4325000</v>
          </cell>
          <cell r="J1797">
            <v>4325000</v>
          </cell>
          <cell r="L1797">
            <v>4325000</v>
          </cell>
          <cell r="N1797">
            <v>4325000</v>
          </cell>
          <cell r="P1797">
            <v>4325000</v>
          </cell>
          <cell r="R1797">
            <v>4325000</v>
          </cell>
          <cell r="T1797">
            <v>4325000</v>
          </cell>
          <cell r="V1797">
            <v>4325000</v>
          </cell>
          <cell r="X1797">
            <v>4325000</v>
          </cell>
          <cell r="Z1797">
            <v>4325000</v>
          </cell>
          <cell r="AD1797">
            <v>8.74</v>
          </cell>
        </row>
        <row r="1798">
          <cell r="E1798" t="str">
            <v>TRM3φ50Hz 1000KVA</v>
          </cell>
          <cell r="F1798" t="str">
            <v>台</v>
          </cell>
          <cell r="H1798">
            <v>4808000</v>
          </cell>
          <cell r="J1798">
            <v>4808000</v>
          </cell>
          <cell r="L1798">
            <v>4808000</v>
          </cell>
          <cell r="N1798">
            <v>4808000</v>
          </cell>
          <cell r="P1798">
            <v>4808000</v>
          </cell>
          <cell r="R1798">
            <v>4808000</v>
          </cell>
          <cell r="T1798">
            <v>4808000</v>
          </cell>
          <cell r="V1798">
            <v>4808000</v>
          </cell>
          <cell r="X1798">
            <v>4808000</v>
          </cell>
          <cell r="Z1798">
            <v>4808000</v>
          </cell>
          <cell r="AD1798">
            <v>8.74</v>
          </cell>
        </row>
        <row r="1799">
          <cell r="E1799" t="str">
            <v>TRM3φ50Hz 1500KVA</v>
          </cell>
          <cell r="F1799" t="str">
            <v>台</v>
          </cell>
          <cell r="H1799">
            <v>6011000</v>
          </cell>
          <cell r="J1799">
            <v>6011000</v>
          </cell>
          <cell r="L1799">
            <v>6011000</v>
          </cell>
          <cell r="N1799">
            <v>6011000</v>
          </cell>
          <cell r="P1799">
            <v>6011000</v>
          </cell>
          <cell r="R1799">
            <v>6011000</v>
          </cell>
          <cell r="T1799">
            <v>6011000</v>
          </cell>
          <cell r="V1799">
            <v>6011000</v>
          </cell>
          <cell r="X1799">
            <v>6011000</v>
          </cell>
          <cell r="Z1799">
            <v>6011000</v>
          </cell>
          <cell r="AD1799">
            <v>8.74</v>
          </cell>
        </row>
        <row r="1800">
          <cell r="E1800" t="str">
            <v>TRM1φ60Hz  10KVA</v>
          </cell>
          <cell r="F1800" t="str">
            <v>台</v>
          </cell>
          <cell r="H1800">
            <v>430000</v>
          </cell>
          <cell r="J1800">
            <v>430000</v>
          </cell>
          <cell r="L1800">
            <v>430000</v>
          </cell>
          <cell r="N1800">
            <v>430000</v>
          </cell>
          <cell r="P1800">
            <v>430000</v>
          </cell>
          <cell r="R1800">
            <v>430000</v>
          </cell>
          <cell r="T1800">
            <v>430000</v>
          </cell>
          <cell r="V1800">
            <v>430000</v>
          </cell>
          <cell r="X1800">
            <v>430000</v>
          </cell>
          <cell r="Z1800">
            <v>430000</v>
          </cell>
          <cell r="AD1800">
            <v>0.92</v>
          </cell>
        </row>
        <row r="1801">
          <cell r="E1801" t="str">
            <v>TRM1φ60Hz  20KVA</v>
          </cell>
          <cell r="F1801" t="str">
            <v>台</v>
          </cell>
          <cell r="H1801">
            <v>496000</v>
          </cell>
          <cell r="J1801">
            <v>496000</v>
          </cell>
          <cell r="L1801">
            <v>496000</v>
          </cell>
          <cell r="N1801">
            <v>496000</v>
          </cell>
          <cell r="P1801">
            <v>496000</v>
          </cell>
          <cell r="R1801">
            <v>496000</v>
          </cell>
          <cell r="T1801">
            <v>496000</v>
          </cell>
          <cell r="V1801">
            <v>496000</v>
          </cell>
          <cell r="X1801">
            <v>496000</v>
          </cell>
          <cell r="Z1801">
            <v>496000</v>
          </cell>
          <cell r="AD1801">
            <v>1.5580000000000001</v>
          </cell>
        </row>
        <row r="1802">
          <cell r="E1802" t="str">
            <v>TRM1φ60Hz  30KVA</v>
          </cell>
          <cell r="F1802" t="str">
            <v>台</v>
          </cell>
          <cell r="H1802">
            <v>610000</v>
          </cell>
          <cell r="J1802">
            <v>610000</v>
          </cell>
          <cell r="L1802">
            <v>610000</v>
          </cell>
          <cell r="N1802">
            <v>610000</v>
          </cell>
          <cell r="P1802">
            <v>610000</v>
          </cell>
          <cell r="R1802">
            <v>610000</v>
          </cell>
          <cell r="T1802">
            <v>610000</v>
          </cell>
          <cell r="V1802">
            <v>610000</v>
          </cell>
          <cell r="X1802">
            <v>610000</v>
          </cell>
          <cell r="Z1802">
            <v>610000</v>
          </cell>
          <cell r="AD1802">
            <v>1.6639999999999999</v>
          </cell>
        </row>
        <row r="1803">
          <cell r="E1803" t="str">
            <v>TRM1φ60Hz  50KVA</v>
          </cell>
          <cell r="F1803" t="str">
            <v>台</v>
          </cell>
          <cell r="H1803">
            <v>696000</v>
          </cell>
          <cell r="J1803">
            <v>696000</v>
          </cell>
          <cell r="L1803">
            <v>696000</v>
          </cell>
          <cell r="N1803">
            <v>696000</v>
          </cell>
          <cell r="P1803">
            <v>696000</v>
          </cell>
          <cell r="R1803">
            <v>696000</v>
          </cell>
          <cell r="T1803">
            <v>696000</v>
          </cell>
          <cell r="V1803">
            <v>696000</v>
          </cell>
          <cell r="X1803">
            <v>696000</v>
          </cell>
          <cell r="Z1803">
            <v>696000</v>
          </cell>
          <cell r="AD1803">
            <v>1.946</v>
          </cell>
        </row>
        <row r="1804">
          <cell r="E1804" t="str">
            <v>TRM1φ60Hz  75KVA</v>
          </cell>
          <cell r="F1804" t="str">
            <v>台</v>
          </cell>
          <cell r="H1804">
            <v>832000</v>
          </cell>
          <cell r="J1804">
            <v>832000</v>
          </cell>
          <cell r="L1804">
            <v>832000</v>
          </cell>
          <cell r="N1804">
            <v>832000</v>
          </cell>
          <cell r="P1804">
            <v>832000</v>
          </cell>
          <cell r="R1804">
            <v>832000</v>
          </cell>
          <cell r="T1804">
            <v>832000</v>
          </cell>
          <cell r="V1804">
            <v>832000</v>
          </cell>
          <cell r="X1804">
            <v>832000</v>
          </cell>
          <cell r="Z1804">
            <v>832000</v>
          </cell>
          <cell r="AD1804">
            <v>3.2</v>
          </cell>
        </row>
        <row r="1805">
          <cell r="E1805" t="str">
            <v>TRM1φ60Hz 100KVA</v>
          </cell>
          <cell r="F1805" t="str">
            <v>台</v>
          </cell>
          <cell r="H1805">
            <v>968000</v>
          </cell>
          <cell r="J1805">
            <v>968000</v>
          </cell>
          <cell r="L1805">
            <v>968000</v>
          </cell>
          <cell r="N1805">
            <v>968000</v>
          </cell>
          <cell r="P1805">
            <v>968000</v>
          </cell>
          <cell r="R1805">
            <v>968000</v>
          </cell>
          <cell r="T1805">
            <v>968000</v>
          </cell>
          <cell r="V1805">
            <v>968000</v>
          </cell>
          <cell r="X1805">
            <v>968000</v>
          </cell>
          <cell r="Z1805">
            <v>968000</v>
          </cell>
          <cell r="AD1805">
            <v>3.42</v>
          </cell>
        </row>
        <row r="1806">
          <cell r="E1806" t="str">
            <v>TRM1φ60Hz 150KVA</v>
          </cell>
          <cell r="F1806" t="str">
            <v>台</v>
          </cell>
          <cell r="H1806">
            <v>1280000</v>
          </cell>
          <cell r="J1806">
            <v>1280000</v>
          </cell>
          <cell r="L1806">
            <v>1280000</v>
          </cell>
          <cell r="N1806">
            <v>1280000</v>
          </cell>
          <cell r="P1806">
            <v>1280000</v>
          </cell>
          <cell r="R1806">
            <v>1280000</v>
          </cell>
          <cell r="T1806">
            <v>1280000</v>
          </cell>
          <cell r="V1806">
            <v>1280000</v>
          </cell>
          <cell r="X1806">
            <v>1280000</v>
          </cell>
          <cell r="Z1806">
            <v>1280000</v>
          </cell>
          <cell r="AD1806">
            <v>4.24</v>
          </cell>
        </row>
        <row r="1807">
          <cell r="E1807" t="str">
            <v>TRM1φ60Hz 200KVA</v>
          </cell>
          <cell r="F1807" t="str">
            <v>台</v>
          </cell>
          <cell r="H1807">
            <v>1600000</v>
          </cell>
          <cell r="J1807">
            <v>1600000</v>
          </cell>
          <cell r="L1807">
            <v>1600000</v>
          </cell>
          <cell r="N1807">
            <v>1600000</v>
          </cell>
          <cell r="P1807">
            <v>1600000</v>
          </cell>
          <cell r="R1807">
            <v>1600000</v>
          </cell>
          <cell r="T1807">
            <v>1600000</v>
          </cell>
          <cell r="V1807">
            <v>1600000</v>
          </cell>
          <cell r="X1807">
            <v>1600000</v>
          </cell>
          <cell r="Z1807">
            <v>1600000</v>
          </cell>
          <cell r="AD1807">
            <v>4.5</v>
          </cell>
        </row>
        <row r="1808">
          <cell r="E1808" t="str">
            <v>TRM1φ60Hz 300KVA</v>
          </cell>
          <cell r="F1808" t="str">
            <v>台</v>
          </cell>
          <cell r="H1808">
            <v>2210000</v>
          </cell>
          <cell r="J1808">
            <v>2210000</v>
          </cell>
          <cell r="L1808">
            <v>2210000</v>
          </cell>
          <cell r="N1808">
            <v>2210000</v>
          </cell>
          <cell r="P1808">
            <v>2210000</v>
          </cell>
          <cell r="R1808">
            <v>2210000</v>
          </cell>
          <cell r="T1808">
            <v>2210000</v>
          </cell>
          <cell r="V1808">
            <v>2210000</v>
          </cell>
          <cell r="X1808">
            <v>2210000</v>
          </cell>
          <cell r="Z1808">
            <v>2210000</v>
          </cell>
          <cell r="AD1808">
            <v>5.8</v>
          </cell>
        </row>
        <row r="1809">
          <cell r="E1809" t="str">
            <v>TRM1φ60Hz 500KVA</v>
          </cell>
          <cell r="F1809" t="str">
            <v>台</v>
          </cell>
          <cell r="H1809">
            <v>3440000</v>
          </cell>
          <cell r="J1809">
            <v>3440000</v>
          </cell>
          <cell r="L1809">
            <v>3440000</v>
          </cell>
          <cell r="N1809">
            <v>3440000</v>
          </cell>
          <cell r="P1809">
            <v>3440000</v>
          </cell>
          <cell r="R1809">
            <v>3440000</v>
          </cell>
          <cell r="T1809">
            <v>3440000</v>
          </cell>
          <cell r="V1809">
            <v>3440000</v>
          </cell>
          <cell r="X1809">
            <v>3440000</v>
          </cell>
          <cell r="Z1809">
            <v>3440000</v>
          </cell>
          <cell r="AD1809">
            <v>7.6</v>
          </cell>
        </row>
        <row r="1810">
          <cell r="E1810" t="str">
            <v>TR3φ60Hz  20KVA</v>
          </cell>
          <cell r="F1810" t="str">
            <v>台</v>
          </cell>
          <cell r="H1810">
            <v>782000</v>
          </cell>
          <cell r="J1810">
            <v>782000</v>
          </cell>
          <cell r="L1810">
            <v>782000</v>
          </cell>
          <cell r="N1810">
            <v>782000</v>
          </cell>
          <cell r="P1810">
            <v>782000</v>
          </cell>
          <cell r="R1810">
            <v>782000</v>
          </cell>
          <cell r="T1810">
            <v>782000</v>
          </cell>
          <cell r="V1810">
            <v>782000</v>
          </cell>
          <cell r="X1810">
            <v>782000</v>
          </cell>
          <cell r="Z1810">
            <v>782000</v>
          </cell>
          <cell r="AD1810">
            <v>1.8939999999999999</v>
          </cell>
        </row>
        <row r="1811">
          <cell r="E1811" t="str">
            <v>TR3φ60Hz  30KVA</v>
          </cell>
          <cell r="F1811" t="str">
            <v>台</v>
          </cell>
          <cell r="H1811">
            <v>858000</v>
          </cell>
          <cell r="J1811">
            <v>858000</v>
          </cell>
          <cell r="L1811">
            <v>858000</v>
          </cell>
          <cell r="N1811">
            <v>858000</v>
          </cell>
          <cell r="P1811">
            <v>858000</v>
          </cell>
          <cell r="R1811">
            <v>858000</v>
          </cell>
          <cell r="T1811">
            <v>858000</v>
          </cell>
          <cell r="V1811">
            <v>858000</v>
          </cell>
          <cell r="X1811">
            <v>858000</v>
          </cell>
          <cell r="Z1811">
            <v>858000</v>
          </cell>
          <cell r="AD1811">
            <v>2.08</v>
          </cell>
        </row>
        <row r="1812">
          <cell r="E1812" t="str">
            <v>TR3φ60Hz  50KVA</v>
          </cell>
          <cell r="F1812" t="str">
            <v>台</v>
          </cell>
          <cell r="H1812">
            <v>954000</v>
          </cell>
          <cell r="J1812">
            <v>954000</v>
          </cell>
          <cell r="L1812">
            <v>954000</v>
          </cell>
          <cell r="N1812">
            <v>954000</v>
          </cell>
          <cell r="P1812">
            <v>954000</v>
          </cell>
          <cell r="R1812">
            <v>954000</v>
          </cell>
          <cell r="T1812">
            <v>954000</v>
          </cell>
          <cell r="V1812">
            <v>954000</v>
          </cell>
          <cell r="X1812">
            <v>954000</v>
          </cell>
          <cell r="Z1812">
            <v>954000</v>
          </cell>
          <cell r="AD1812">
            <v>2.44</v>
          </cell>
        </row>
        <row r="1813">
          <cell r="E1813" t="str">
            <v>TR3φ60Hz  75KVA</v>
          </cell>
          <cell r="F1813" t="str">
            <v>台</v>
          </cell>
          <cell r="H1813">
            <v>1090000</v>
          </cell>
          <cell r="J1813">
            <v>1090000</v>
          </cell>
          <cell r="L1813">
            <v>1090000</v>
          </cell>
          <cell r="N1813">
            <v>1090000</v>
          </cell>
          <cell r="P1813">
            <v>1090000</v>
          </cell>
          <cell r="R1813">
            <v>1090000</v>
          </cell>
          <cell r="T1813">
            <v>1090000</v>
          </cell>
          <cell r="V1813">
            <v>1090000</v>
          </cell>
          <cell r="X1813">
            <v>1090000</v>
          </cell>
          <cell r="Z1813">
            <v>1090000</v>
          </cell>
          <cell r="AD1813">
            <v>3.62</v>
          </cell>
        </row>
        <row r="1814">
          <cell r="E1814" t="str">
            <v>TR3φ60Hz 100KVA</v>
          </cell>
          <cell r="F1814" t="str">
            <v>台</v>
          </cell>
          <cell r="H1814">
            <v>1260000</v>
          </cell>
          <cell r="J1814">
            <v>1260000</v>
          </cell>
          <cell r="L1814">
            <v>1260000</v>
          </cell>
          <cell r="N1814">
            <v>1260000</v>
          </cell>
          <cell r="P1814">
            <v>1260000</v>
          </cell>
          <cell r="R1814">
            <v>1260000</v>
          </cell>
          <cell r="T1814">
            <v>1260000</v>
          </cell>
          <cell r="V1814">
            <v>1260000</v>
          </cell>
          <cell r="X1814">
            <v>1260000</v>
          </cell>
          <cell r="Z1814">
            <v>1260000</v>
          </cell>
          <cell r="AD1814">
            <v>4.0199999999999996</v>
          </cell>
        </row>
        <row r="1815">
          <cell r="E1815" t="str">
            <v>TR3φ60Hz 150KVA</v>
          </cell>
          <cell r="F1815" t="str">
            <v>台</v>
          </cell>
          <cell r="H1815">
            <v>1580000</v>
          </cell>
          <cell r="J1815">
            <v>1580000</v>
          </cell>
          <cell r="L1815">
            <v>1580000</v>
          </cell>
          <cell r="N1815">
            <v>1580000</v>
          </cell>
          <cell r="P1815">
            <v>1580000</v>
          </cell>
          <cell r="R1815">
            <v>1580000</v>
          </cell>
          <cell r="T1815">
            <v>1580000</v>
          </cell>
          <cell r="V1815">
            <v>1580000</v>
          </cell>
          <cell r="X1815">
            <v>1580000</v>
          </cell>
          <cell r="Z1815">
            <v>1580000</v>
          </cell>
          <cell r="AD1815">
            <v>4.9400000000000004</v>
          </cell>
        </row>
        <row r="1816">
          <cell r="E1816" t="str">
            <v>TR3φ60Hz 200KVA</v>
          </cell>
          <cell r="F1816" t="str">
            <v>台</v>
          </cell>
          <cell r="H1816">
            <v>1920000</v>
          </cell>
          <cell r="J1816">
            <v>1920000</v>
          </cell>
          <cell r="L1816">
            <v>1920000</v>
          </cell>
          <cell r="N1816">
            <v>1920000</v>
          </cell>
          <cell r="P1816">
            <v>1920000</v>
          </cell>
          <cell r="R1816">
            <v>1920000</v>
          </cell>
          <cell r="T1816">
            <v>1920000</v>
          </cell>
          <cell r="V1816">
            <v>1920000</v>
          </cell>
          <cell r="X1816">
            <v>1920000</v>
          </cell>
          <cell r="Z1816">
            <v>1920000</v>
          </cell>
          <cell r="AD1816">
            <v>5.48</v>
          </cell>
        </row>
        <row r="1817">
          <cell r="E1817" t="str">
            <v>TR3φ60Hz 300KVA</v>
          </cell>
          <cell r="F1817" t="str">
            <v>台</v>
          </cell>
          <cell r="H1817">
            <v>2630000</v>
          </cell>
          <cell r="J1817">
            <v>2630000</v>
          </cell>
          <cell r="L1817">
            <v>2630000</v>
          </cell>
          <cell r="N1817">
            <v>2630000</v>
          </cell>
          <cell r="P1817">
            <v>2630000</v>
          </cell>
          <cell r="R1817">
            <v>2630000</v>
          </cell>
          <cell r="T1817">
            <v>2630000</v>
          </cell>
          <cell r="V1817">
            <v>2630000</v>
          </cell>
          <cell r="X1817">
            <v>2630000</v>
          </cell>
          <cell r="Z1817">
            <v>2630000</v>
          </cell>
          <cell r="AD1817">
            <v>7.1</v>
          </cell>
        </row>
        <row r="1818">
          <cell r="E1818" t="str">
            <v>TR3φ60Hz 500KVA</v>
          </cell>
          <cell r="F1818" t="str">
            <v>台</v>
          </cell>
          <cell r="H1818">
            <v>4210000</v>
          </cell>
          <cell r="J1818">
            <v>4210000</v>
          </cell>
          <cell r="L1818">
            <v>4210000</v>
          </cell>
          <cell r="N1818">
            <v>4210000</v>
          </cell>
          <cell r="P1818">
            <v>4210000</v>
          </cell>
          <cell r="R1818">
            <v>4210000</v>
          </cell>
          <cell r="T1818">
            <v>4210000</v>
          </cell>
          <cell r="V1818">
            <v>4210000</v>
          </cell>
          <cell r="X1818">
            <v>4210000</v>
          </cell>
          <cell r="Z1818">
            <v>4210000</v>
          </cell>
          <cell r="AD1818">
            <v>8.74</v>
          </cell>
        </row>
        <row r="1819">
          <cell r="E1819" t="str">
            <v>TR3φ60Hz 750KVA</v>
          </cell>
          <cell r="F1819" t="str">
            <v>台</v>
          </cell>
          <cell r="H1819">
            <v>4325000</v>
          </cell>
          <cell r="J1819">
            <v>4325000</v>
          </cell>
          <cell r="L1819">
            <v>4325000</v>
          </cell>
          <cell r="N1819">
            <v>4325000</v>
          </cell>
          <cell r="P1819">
            <v>4325000</v>
          </cell>
          <cell r="R1819">
            <v>4325000</v>
          </cell>
          <cell r="T1819">
            <v>4325000</v>
          </cell>
          <cell r="V1819">
            <v>4325000</v>
          </cell>
          <cell r="X1819">
            <v>4325000</v>
          </cell>
          <cell r="Z1819">
            <v>4325000</v>
          </cell>
          <cell r="AD1819">
            <v>8.74</v>
          </cell>
        </row>
        <row r="1820">
          <cell r="E1820" t="str">
            <v>TR3φ60Hz 1000KVA</v>
          </cell>
          <cell r="F1820" t="str">
            <v>台</v>
          </cell>
          <cell r="H1820">
            <v>4808000</v>
          </cell>
          <cell r="J1820">
            <v>4808000</v>
          </cell>
          <cell r="L1820">
            <v>4808000</v>
          </cell>
          <cell r="N1820">
            <v>4808000</v>
          </cell>
          <cell r="P1820">
            <v>4808000</v>
          </cell>
          <cell r="R1820">
            <v>4808000</v>
          </cell>
          <cell r="T1820">
            <v>4808000</v>
          </cell>
          <cell r="V1820">
            <v>4808000</v>
          </cell>
          <cell r="X1820">
            <v>4808000</v>
          </cell>
          <cell r="Z1820">
            <v>4808000</v>
          </cell>
          <cell r="AD1820">
            <v>8.74</v>
          </cell>
        </row>
        <row r="1821">
          <cell r="E1821" t="str">
            <v>TR3φ60Hz 1500KVA</v>
          </cell>
          <cell r="F1821" t="str">
            <v>台</v>
          </cell>
          <cell r="H1821">
            <v>6011000</v>
          </cell>
          <cell r="J1821">
            <v>6011000</v>
          </cell>
          <cell r="L1821">
            <v>6011000</v>
          </cell>
          <cell r="N1821">
            <v>6011000</v>
          </cell>
          <cell r="P1821">
            <v>6011000</v>
          </cell>
          <cell r="R1821">
            <v>6011000</v>
          </cell>
          <cell r="T1821">
            <v>6011000</v>
          </cell>
          <cell r="V1821">
            <v>6011000</v>
          </cell>
          <cell r="X1821">
            <v>6011000</v>
          </cell>
          <cell r="Z1821">
            <v>6011000</v>
          </cell>
          <cell r="AD1821">
            <v>8.74</v>
          </cell>
        </row>
        <row r="1822">
          <cell r="E1822" t="str">
            <v>50Hz SC 10 Kvar 6%</v>
          </cell>
          <cell r="F1822" t="str">
            <v>台</v>
          </cell>
          <cell r="H1822">
            <v>59800</v>
          </cell>
          <cell r="J1822">
            <v>59800</v>
          </cell>
          <cell r="L1822">
            <v>59800</v>
          </cell>
          <cell r="N1822">
            <v>59800</v>
          </cell>
          <cell r="P1822">
            <v>59800</v>
          </cell>
          <cell r="R1822">
            <v>59800</v>
          </cell>
          <cell r="T1822">
            <v>59800</v>
          </cell>
          <cell r="V1822">
            <v>59800</v>
          </cell>
          <cell r="X1822">
            <v>59800</v>
          </cell>
          <cell r="Z1822">
            <v>59800</v>
          </cell>
          <cell r="AD1822">
            <v>0.496</v>
          </cell>
        </row>
        <row r="1823">
          <cell r="E1823" t="str">
            <v>50Hz SC 15 Kvar 6%</v>
          </cell>
          <cell r="F1823" t="str">
            <v>台</v>
          </cell>
          <cell r="H1823">
            <v>37500</v>
          </cell>
          <cell r="J1823">
            <v>37500</v>
          </cell>
          <cell r="L1823">
            <v>37500</v>
          </cell>
          <cell r="N1823">
            <v>37500</v>
          </cell>
          <cell r="P1823">
            <v>37500</v>
          </cell>
          <cell r="R1823">
            <v>37500</v>
          </cell>
          <cell r="T1823">
            <v>37500</v>
          </cell>
          <cell r="V1823">
            <v>37500</v>
          </cell>
          <cell r="X1823">
            <v>37500</v>
          </cell>
          <cell r="Z1823">
            <v>37500</v>
          </cell>
          <cell r="AD1823">
            <v>0.60199999999999998</v>
          </cell>
        </row>
        <row r="1824">
          <cell r="E1824" t="str">
            <v>50Hz SC 20 Kvar 6%</v>
          </cell>
          <cell r="F1824" t="str">
            <v>台</v>
          </cell>
          <cell r="H1824">
            <v>77300</v>
          </cell>
          <cell r="J1824">
            <v>77300</v>
          </cell>
          <cell r="L1824">
            <v>77300</v>
          </cell>
          <cell r="N1824">
            <v>77300</v>
          </cell>
          <cell r="P1824">
            <v>77300</v>
          </cell>
          <cell r="R1824">
            <v>77300</v>
          </cell>
          <cell r="T1824">
            <v>77300</v>
          </cell>
          <cell r="V1824">
            <v>77300</v>
          </cell>
          <cell r="X1824">
            <v>77300</v>
          </cell>
          <cell r="Z1824">
            <v>77300</v>
          </cell>
          <cell r="AD1824">
            <v>0.88400000000000001</v>
          </cell>
        </row>
        <row r="1825">
          <cell r="E1825" t="str">
            <v>50Hz SC 25 Kvar 6%</v>
          </cell>
          <cell r="F1825" t="str">
            <v>台</v>
          </cell>
          <cell r="H1825">
            <v>85000</v>
          </cell>
          <cell r="J1825">
            <v>85000</v>
          </cell>
          <cell r="L1825">
            <v>85000</v>
          </cell>
          <cell r="N1825">
            <v>85000</v>
          </cell>
          <cell r="P1825">
            <v>85000</v>
          </cell>
          <cell r="R1825">
            <v>85000</v>
          </cell>
          <cell r="T1825">
            <v>85000</v>
          </cell>
          <cell r="V1825">
            <v>85000</v>
          </cell>
          <cell r="X1825">
            <v>85000</v>
          </cell>
          <cell r="Z1825">
            <v>85000</v>
          </cell>
          <cell r="AD1825">
            <v>1.1160000000000001</v>
          </cell>
        </row>
        <row r="1826">
          <cell r="E1826" t="str">
            <v>50Hz SC 30 Kvar 6%</v>
          </cell>
          <cell r="F1826" t="str">
            <v>台</v>
          </cell>
          <cell r="H1826">
            <v>91700</v>
          </cell>
          <cell r="J1826">
            <v>91700</v>
          </cell>
          <cell r="L1826">
            <v>91700</v>
          </cell>
          <cell r="N1826">
            <v>91700</v>
          </cell>
          <cell r="P1826">
            <v>91700</v>
          </cell>
          <cell r="R1826">
            <v>91700</v>
          </cell>
          <cell r="T1826">
            <v>91700</v>
          </cell>
          <cell r="V1826">
            <v>91700</v>
          </cell>
          <cell r="X1826">
            <v>91700</v>
          </cell>
          <cell r="Z1826">
            <v>91700</v>
          </cell>
          <cell r="AD1826">
            <v>1.1499999999999999</v>
          </cell>
        </row>
        <row r="1827">
          <cell r="E1827" t="str">
            <v>50Hz SC 50 Kvar 6%</v>
          </cell>
          <cell r="F1827" t="str">
            <v>台</v>
          </cell>
          <cell r="H1827">
            <v>128000</v>
          </cell>
          <cell r="J1827">
            <v>128000</v>
          </cell>
          <cell r="L1827">
            <v>128000</v>
          </cell>
          <cell r="N1827">
            <v>128000</v>
          </cell>
          <cell r="P1827">
            <v>128000</v>
          </cell>
          <cell r="R1827">
            <v>128000</v>
          </cell>
          <cell r="T1827">
            <v>128000</v>
          </cell>
          <cell r="V1827">
            <v>128000</v>
          </cell>
          <cell r="X1827">
            <v>128000</v>
          </cell>
          <cell r="Z1827">
            <v>128000</v>
          </cell>
          <cell r="AD1827">
            <v>1.31</v>
          </cell>
        </row>
        <row r="1828">
          <cell r="E1828" t="str">
            <v>50Hz SC 75 Kvar 6%</v>
          </cell>
          <cell r="F1828" t="str">
            <v>台</v>
          </cell>
          <cell r="H1828">
            <v>159000</v>
          </cell>
          <cell r="J1828">
            <v>159000</v>
          </cell>
          <cell r="L1828">
            <v>159000</v>
          </cell>
          <cell r="N1828">
            <v>159000</v>
          </cell>
          <cell r="P1828">
            <v>159000</v>
          </cell>
          <cell r="R1828">
            <v>159000</v>
          </cell>
          <cell r="T1828">
            <v>159000</v>
          </cell>
          <cell r="V1828">
            <v>159000</v>
          </cell>
          <cell r="X1828">
            <v>159000</v>
          </cell>
          <cell r="Z1828">
            <v>159000</v>
          </cell>
          <cell r="AD1828">
            <v>2.2599999999999998</v>
          </cell>
        </row>
        <row r="1829">
          <cell r="E1829" t="str">
            <v>50Hz SC100 Kvar 6%</v>
          </cell>
          <cell r="F1829" t="str">
            <v>台</v>
          </cell>
          <cell r="H1829">
            <v>186000</v>
          </cell>
          <cell r="J1829">
            <v>186000</v>
          </cell>
          <cell r="L1829">
            <v>186000</v>
          </cell>
          <cell r="N1829">
            <v>186000</v>
          </cell>
          <cell r="P1829">
            <v>186000</v>
          </cell>
          <cell r="R1829">
            <v>186000</v>
          </cell>
          <cell r="T1829">
            <v>186000</v>
          </cell>
          <cell r="V1829">
            <v>186000</v>
          </cell>
          <cell r="X1829">
            <v>186000</v>
          </cell>
          <cell r="Z1829">
            <v>186000</v>
          </cell>
          <cell r="AD1829">
            <v>2.52</v>
          </cell>
        </row>
        <row r="1830">
          <cell r="E1830" t="str">
            <v>50Hz SC150 Kvar 6%</v>
          </cell>
          <cell r="F1830" t="str">
            <v>台</v>
          </cell>
          <cell r="H1830">
            <v>253000</v>
          </cell>
          <cell r="J1830">
            <v>253000</v>
          </cell>
          <cell r="L1830">
            <v>253000</v>
          </cell>
          <cell r="N1830">
            <v>253000</v>
          </cell>
          <cell r="P1830">
            <v>253000</v>
          </cell>
          <cell r="R1830">
            <v>253000</v>
          </cell>
          <cell r="T1830">
            <v>253000</v>
          </cell>
          <cell r="V1830">
            <v>253000</v>
          </cell>
          <cell r="X1830">
            <v>253000</v>
          </cell>
          <cell r="Z1830">
            <v>253000</v>
          </cell>
          <cell r="AD1830">
            <v>3.18</v>
          </cell>
        </row>
        <row r="1831">
          <cell r="E1831" t="str">
            <v>50Hz SC200 Kvar 6%</v>
          </cell>
          <cell r="F1831" t="str">
            <v>台</v>
          </cell>
          <cell r="H1831">
            <v>323000</v>
          </cell>
          <cell r="J1831">
            <v>323000</v>
          </cell>
          <cell r="L1831">
            <v>323000</v>
          </cell>
          <cell r="N1831">
            <v>323000</v>
          </cell>
          <cell r="P1831">
            <v>323000</v>
          </cell>
          <cell r="R1831">
            <v>323000</v>
          </cell>
          <cell r="T1831">
            <v>323000</v>
          </cell>
          <cell r="V1831">
            <v>323000</v>
          </cell>
          <cell r="X1831">
            <v>323000</v>
          </cell>
          <cell r="Z1831">
            <v>323000</v>
          </cell>
          <cell r="AD1831">
            <v>3.56</v>
          </cell>
        </row>
        <row r="1832">
          <cell r="E1832" t="str">
            <v>50Hz SC250 Kvar 6%</v>
          </cell>
          <cell r="F1832" t="str">
            <v>台</v>
          </cell>
          <cell r="H1832">
            <v>403000</v>
          </cell>
          <cell r="J1832">
            <v>403000</v>
          </cell>
          <cell r="L1832">
            <v>403000</v>
          </cell>
          <cell r="N1832">
            <v>403000</v>
          </cell>
          <cell r="P1832">
            <v>403000</v>
          </cell>
          <cell r="R1832">
            <v>403000</v>
          </cell>
          <cell r="T1832">
            <v>403000</v>
          </cell>
          <cell r="V1832">
            <v>403000</v>
          </cell>
          <cell r="X1832">
            <v>403000</v>
          </cell>
          <cell r="Z1832">
            <v>403000</v>
          </cell>
          <cell r="AD1832">
            <v>4.4939999999999998</v>
          </cell>
        </row>
        <row r="1833">
          <cell r="E1833" t="str">
            <v>50Hz SC300 Kvar 6%</v>
          </cell>
          <cell r="F1833" t="str">
            <v>台</v>
          </cell>
          <cell r="H1833">
            <v>480000</v>
          </cell>
          <cell r="J1833">
            <v>480000</v>
          </cell>
          <cell r="L1833">
            <v>480000</v>
          </cell>
          <cell r="N1833">
            <v>480000</v>
          </cell>
          <cell r="P1833">
            <v>480000</v>
          </cell>
          <cell r="R1833">
            <v>480000</v>
          </cell>
          <cell r="T1833">
            <v>480000</v>
          </cell>
          <cell r="V1833">
            <v>480000</v>
          </cell>
          <cell r="X1833">
            <v>480000</v>
          </cell>
          <cell r="Z1833">
            <v>480000</v>
          </cell>
          <cell r="AD1833">
            <v>4.63</v>
          </cell>
        </row>
        <row r="1834">
          <cell r="E1834" t="str">
            <v>50Hz SC400 Kvar 6%</v>
          </cell>
          <cell r="F1834" t="str">
            <v>台</v>
          </cell>
          <cell r="H1834">
            <v>640000</v>
          </cell>
          <cell r="J1834">
            <v>800000</v>
          </cell>
          <cell r="L1834">
            <v>800000</v>
          </cell>
          <cell r="N1834">
            <v>640000</v>
          </cell>
          <cell r="P1834">
            <v>640000</v>
          </cell>
          <cell r="R1834">
            <v>640000</v>
          </cell>
          <cell r="T1834">
            <v>640000</v>
          </cell>
          <cell r="V1834">
            <v>640000</v>
          </cell>
          <cell r="X1834">
            <v>640000</v>
          </cell>
          <cell r="Z1834">
            <v>640000</v>
          </cell>
          <cell r="AD1834">
            <v>4.9379999999999997</v>
          </cell>
        </row>
        <row r="1835">
          <cell r="E1835" t="str">
            <v>50Hz SC500 Kvar 6%</v>
          </cell>
          <cell r="F1835" t="str">
            <v>台</v>
          </cell>
          <cell r="H1835">
            <v>800000</v>
          </cell>
          <cell r="J1835">
            <v>59800</v>
          </cell>
          <cell r="L1835">
            <v>59800</v>
          </cell>
          <cell r="N1835">
            <v>800000</v>
          </cell>
          <cell r="P1835">
            <v>800000</v>
          </cell>
          <cell r="R1835">
            <v>800000</v>
          </cell>
          <cell r="T1835">
            <v>800000</v>
          </cell>
          <cell r="V1835">
            <v>800000</v>
          </cell>
          <cell r="X1835">
            <v>800000</v>
          </cell>
          <cell r="Z1835">
            <v>800000</v>
          </cell>
          <cell r="AD1835">
            <v>5.274</v>
          </cell>
        </row>
        <row r="1836">
          <cell r="E1836" t="str">
            <v>60Hz SC 12 Kvar 6%</v>
          </cell>
          <cell r="F1836" t="str">
            <v>台</v>
          </cell>
          <cell r="H1836">
            <v>59800</v>
          </cell>
          <cell r="J1836">
            <v>67500</v>
          </cell>
          <cell r="L1836">
            <v>67500</v>
          </cell>
          <cell r="N1836">
            <v>59800</v>
          </cell>
          <cell r="P1836">
            <v>59800</v>
          </cell>
          <cell r="R1836">
            <v>59800</v>
          </cell>
          <cell r="T1836">
            <v>59800</v>
          </cell>
          <cell r="V1836">
            <v>59800</v>
          </cell>
          <cell r="X1836">
            <v>59800</v>
          </cell>
          <cell r="Z1836">
            <v>59800</v>
          </cell>
          <cell r="AD1836">
            <v>0.496</v>
          </cell>
        </row>
        <row r="1837">
          <cell r="E1837" t="str">
            <v>60Hz SC 18 Kvar 6%</v>
          </cell>
          <cell r="F1837" t="str">
            <v>台</v>
          </cell>
          <cell r="H1837">
            <v>67500</v>
          </cell>
          <cell r="J1837">
            <v>77300</v>
          </cell>
          <cell r="L1837">
            <v>77300</v>
          </cell>
          <cell r="N1837">
            <v>67500</v>
          </cell>
          <cell r="P1837">
            <v>67500</v>
          </cell>
          <cell r="R1837">
            <v>67500</v>
          </cell>
          <cell r="T1837">
            <v>67500</v>
          </cell>
          <cell r="V1837">
            <v>67500</v>
          </cell>
          <cell r="X1837">
            <v>67500</v>
          </cell>
          <cell r="Z1837">
            <v>67500</v>
          </cell>
          <cell r="AD1837">
            <v>0.60199999999999998</v>
          </cell>
        </row>
        <row r="1838">
          <cell r="E1838" t="str">
            <v>60Hz SC 24 Kvar 6%</v>
          </cell>
          <cell r="F1838" t="str">
            <v>台</v>
          </cell>
          <cell r="H1838">
            <v>77300</v>
          </cell>
          <cell r="J1838">
            <v>85000</v>
          </cell>
          <cell r="L1838">
            <v>85000</v>
          </cell>
          <cell r="N1838">
            <v>77300</v>
          </cell>
          <cell r="P1838">
            <v>77300</v>
          </cell>
          <cell r="R1838">
            <v>77300</v>
          </cell>
          <cell r="T1838">
            <v>77300</v>
          </cell>
          <cell r="V1838">
            <v>77300</v>
          </cell>
          <cell r="X1838">
            <v>77300</v>
          </cell>
          <cell r="Z1838">
            <v>77300</v>
          </cell>
          <cell r="AD1838">
            <v>0.88400000000000001</v>
          </cell>
        </row>
        <row r="1839">
          <cell r="E1839" t="str">
            <v>60Hz SC 30 Kvar 6%</v>
          </cell>
          <cell r="F1839" t="str">
            <v>台</v>
          </cell>
          <cell r="H1839">
            <v>85000</v>
          </cell>
          <cell r="J1839">
            <v>91700</v>
          </cell>
          <cell r="L1839">
            <v>91700</v>
          </cell>
          <cell r="N1839">
            <v>85000</v>
          </cell>
          <cell r="P1839">
            <v>85000</v>
          </cell>
          <cell r="R1839">
            <v>85000</v>
          </cell>
          <cell r="T1839">
            <v>85000</v>
          </cell>
          <cell r="V1839">
            <v>85000</v>
          </cell>
          <cell r="X1839">
            <v>85000</v>
          </cell>
          <cell r="Z1839">
            <v>85000</v>
          </cell>
          <cell r="AD1839">
            <v>1.1160000000000001</v>
          </cell>
        </row>
        <row r="1840">
          <cell r="E1840" t="str">
            <v>60Hz SC 36 Kvar 6%</v>
          </cell>
          <cell r="F1840" t="str">
            <v>台</v>
          </cell>
          <cell r="H1840">
            <v>91700</v>
          </cell>
          <cell r="J1840">
            <v>114000</v>
          </cell>
          <cell r="L1840">
            <v>114000</v>
          </cell>
          <cell r="N1840">
            <v>91700</v>
          </cell>
          <cell r="P1840">
            <v>91700</v>
          </cell>
          <cell r="R1840">
            <v>91700</v>
          </cell>
          <cell r="T1840">
            <v>91700</v>
          </cell>
          <cell r="V1840">
            <v>91700</v>
          </cell>
          <cell r="X1840">
            <v>91700</v>
          </cell>
          <cell r="Z1840">
            <v>91700</v>
          </cell>
          <cell r="AD1840">
            <v>1.1499999999999999</v>
          </cell>
        </row>
        <row r="1841">
          <cell r="E1841" t="str">
            <v>60Hz SC 50 Kvar 6%</v>
          </cell>
          <cell r="F1841" t="str">
            <v>台</v>
          </cell>
          <cell r="H1841">
            <v>114000</v>
          </cell>
          <cell r="J1841">
            <v>143000</v>
          </cell>
          <cell r="L1841">
            <v>143000</v>
          </cell>
          <cell r="N1841">
            <v>114000</v>
          </cell>
          <cell r="P1841">
            <v>114000</v>
          </cell>
          <cell r="R1841">
            <v>114000</v>
          </cell>
          <cell r="T1841">
            <v>114000</v>
          </cell>
          <cell r="V1841">
            <v>114000</v>
          </cell>
          <cell r="X1841">
            <v>114000</v>
          </cell>
          <cell r="Z1841">
            <v>114000</v>
          </cell>
          <cell r="AD1841">
            <v>1.31</v>
          </cell>
        </row>
        <row r="1842">
          <cell r="E1842" t="str">
            <v>60Hz SC 75 Kvar 6%</v>
          </cell>
          <cell r="F1842" t="str">
            <v>台</v>
          </cell>
          <cell r="H1842">
            <v>143000</v>
          </cell>
          <cell r="J1842">
            <v>167000</v>
          </cell>
          <cell r="L1842">
            <v>167000</v>
          </cell>
          <cell r="N1842">
            <v>143000</v>
          </cell>
          <cell r="P1842">
            <v>143000</v>
          </cell>
          <cell r="R1842">
            <v>143000</v>
          </cell>
          <cell r="T1842">
            <v>143000</v>
          </cell>
          <cell r="V1842">
            <v>143000</v>
          </cell>
          <cell r="X1842">
            <v>143000</v>
          </cell>
          <cell r="Z1842">
            <v>143000</v>
          </cell>
          <cell r="AD1842">
            <v>2.2599999999999998</v>
          </cell>
        </row>
        <row r="1843">
          <cell r="E1843" t="str">
            <v>60Hz SC100 Kvar 6%</v>
          </cell>
          <cell r="F1843" t="str">
            <v>台</v>
          </cell>
          <cell r="H1843">
            <v>167000</v>
          </cell>
          <cell r="J1843">
            <v>228000</v>
          </cell>
          <cell r="L1843">
            <v>228000</v>
          </cell>
          <cell r="N1843">
            <v>167000</v>
          </cell>
          <cell r="P1843">
            <v>167000</v>
          </cell>
          <cell r="R1843">
            <v>167000</v>
          </cell>
          <cell r="T1843">
            <v>167000</v>
          </cell>
          <cell r="V1843">
            <v>167000</v>
          </cell>
          <cell r="X1843">
            <v>167000</v>
          </cell>
          <cell r="Z1843">
            <v>167000</v>
          </cell>
          <cell r="AD1843">
            <v>2.52</v>
          </cell>
        </row>
        <row r="1844">
          <cell r="E1844" t="str">
            <v>60Hz SC150 Kvar 6%</v>
          </cell>
          <cell r="F1844" t="str">
            <v>台</v>
          </cell>
          <cell r="H1844">
            <v>228000</v>
          </cell>
          <cell r="J1844">
            <v>291000</v>
          </cell>
          <cell r="L1844">
            <v>291000</v>
          </cell>
          <cell r="N1844">
            <v>228000</v>
          </cell>
          <cell r="P1844">
            <v>228000</v>
          </cell>
          <cell r="R1844">
            <v>228000</v>
          </cell>
          <cell r="T1844">
            <v>228000</v>
          </cell>
          <cell r="V1844">
            <v>228000</v>
          </cell>
          <cell r="X1844">
            <v>228000</v>
          </cell>
          <cell r="Z1844">
            <v>228000</v>
          </cell>
          <cell r="AD1844">
            <v>3.18</v>
          </cell>
        </row>
        <row r="1845">
          <cell r="E1845" t="str">
            <v>60Hz SC200 Kvar 6%</v>
          </cell>
          <cell r="F1845" t="str">
            <v>台</v>
          </cell>
          <cell r="H1845">
            <v>291000</v>
          </cell>
          <cell r="J1845">
            <v>364000</v>
          </cell>
          <cell r="L1845">
            <v>364000</v>
          </cell>
          <cell r="N1845">
            <v>291000</v>
          </cell>
          <cell r="P1845">
            <v>291000</v>
          </cell>
          <cell r="R1845">
            <v>291000</v>
          </cell>
          <cell r="T1845">
            <v>291000</v>
          </cell>
          <cell r="V1845">
            <v>291000</v>
          </cell>
          <cell r="X1845">
            <v>291000</v>
          </cell>
          <cell r="Z1845">
            <v>291000</v>
          </cell>
          <cell r="AD1845">
            <v>3.56</v>
          </cell>
        </row>
        <row r="1846">
          <cell r="E1846" t="str">
            <v>60Hz SC250 Kvar 6%</v>
          </cell>
          <cell r="F1846" t="str">
            <v>台</v>
          </cell>
          <cell r="H1846">
            <v>364000</v>
          </cell>
          <cell r="J1846">
            <v>432000</v>
          </cell>
          <cell r="L1846">
            <v>432000</v>
          </cell>
          <cell r="N1846">
            <v>364000</v>
          </cell>
          <cell r="P1846">
            <v>364000</v>
          </cell>
          <cell r="R1846">
            <v>364000</v>
          </cell>
          <cell r="T1846">
            <v>364000</v>
          </cell>
          <cell r="V1846">
            <v>364000</v>
          </cell>
          <cell r="X1846">
            <v>364000</v>
          </cell>
          <cell r="Z1846">
            <v>364000</v>
          </cell>
          <cell r="AD1846">
            <v>4.4939999999999998</v>
          </cell>
        </row>
        <row r="1847">
          <cell r="E1847" t="str">
            <v>60Hz SC300 Kvar 6%</v>
          </cell>
          <cell r="F1847" t="str">
            <v>台</v>
          </cell>
          <cell r="H1847">
            <v>432000</v>
          </cell>
          <cell r="J1847">
            <v>719000</v>
          </cell>
          <cell r="L1847">
            <v>719000</v>
          </cell>
          <cell r="N1847">
            <v>432000</v>
          </cell>
          <cell r="P1847">
            <v>432000</v>
          </cell>
          <cell r="R1847">
            <v>432000</v>
          </cell>
          <cell r="T1847">
            <v>432000</v>
          </cell>
          <cell r="V1847">
            <v>432000</v>
          </cell>
          <cell r="X1847">
            <v>432000</v>
          </cell>
          <cell r="Z1847">
            <v>432000</v>
          </cell>
          <cell r="AD1847">
            <v>4.63</v>
          </cell>
        </row>
        <row r="1848">
          <cell r="E1848" t="str">
            <v>60Hz SC400 Kvar 6%</v>
          </cell>
          <cell r="F1848" t="str">
            <v>台</v>
          </cell>
          <cell r="H1848">
            <v>575500</v>
          </cell>
          <cell r="J1848">
            <v>78400</v>
          </cell>
          <cell r="L1848">
            <v>78400</v>
          </cell>
          <cell r="N1848">
            <v>575500</v>
          </cell>
          <cell r="P1848">
            <v>575500</v>
          </cell>
          <cell r="R1848">
            <v>575500</v>
          </cell>
          <cell r="T1848">
            <v>575500</v>
          </cell>
          <cell r="V1848">
            <v>575500</v>
          </cell>
          <cell r="X1848">
            <v>575500</v>
          </cell>
          <cell r="Z1848">
            <v>575500</v>
          </cell>
          <cell r="AD1848">
            <v>5.952</v>
          </cell>
        </row>
        <row r="1849">
          <cell r="E1849" t="str">
            <v>60Hz SC500 Kvar 6%</v>
          </cell>
          <cell r="F1849" t="str">
            <v>台</v>
          </cell>
          <cell r="H1849">
            <v>719000</v>
          </cell>
          <cell r="J1849">
            <v>88200</v>
          </cell>
          <cell r="L1849">
            <v>88200</v>
          </cell>
          <cell r="N1849">
            <v>719000</v>
          </cell>
          <cell r="P1849">
            <v>719000</v>
          </cell>
          <cell r="R1849">
            <v>719000</v>
          </cell>
          <cell r="T1849">
            <v>719000</v>
          </cell>
          <cell r="V1849">
            <v>719000</v>
          </cell>
          <cell r="X1849">
            <v>719000</v>
          </cell>
          <cell r="Z1849">
            <v>719000</v>
          </cell>
          <cell r="AD1849">
            <v>5.274</v>
          </cell>
        </row>
        <row r="1850">
          <cell r="E1850" t="str">
            <v>50Hz SC 10 Kvar 13%</v>
          </cell>
          <cell r="F1850" t="str">
            <v>台</v>
          </cell>
          <cell r="H1850">
            <v>78400</v>
          </cell>
          <cell r="J1850">
            <v>100000</v>
          </cell>
          <cell r="L1850">
            <v>100000</v>
          </cell>
          <cell r="N1850">
            <v>78400</v>
          </cell>
          <cell r="P1850">
            <v>78400</v>
          </cell>
          <cell r="R1850">
            <v>78400</v>
          </cell>
          <cell r="T1850">
            <v>78400</v>
          </cell>
          <cell r="V1850">
            <v>78400</v>
          </cell>
          <cell r="X1850">
            <v>78400</v>
          </cell>
          <cell r="Z1850">
            <v>78400</v>
          </cell>
          <cell r="AD1850">
            <v>0.496</v>
          </cell>
        </row>
        <row r="1851">
          <cell r="E1851" t="str">
            <v>50Hz SC 15 Kvar 13%</v>
          </cell>
          <cell r="F1851" t="str">
            <v>台</v>
          </cell>
          <cell r="H1851">
            <v>88200</v>
          </cell>
          <cell r="J1851">
            <v>110000</v>
          </cell>
          <cell r="L1851">
            <v>110000</v>
          </cell>
          <cell r="N1851">
            <v>88200</v>
          </cell>
          <cell r="P1851">
            <v>88200</v>
          </cell>
          <cell r="R1851">
            <v>88200</v>
          </cell>
          <cell r="T1851">
            <v>88200</v>
          </cell>
          <cell r="V1851">
            <v>88200</v>
          </cell>
          <cell r="X1851">
            <v>88200</v>
          </cell>
          <cell r="Z1851">
            <v>88200</v>
          </cell>
          <cell r="AD1851">
            <v>0.60199999999999998</v>
          </cell>
        </row>
        <row r="1852">
          <cell r="E1852" t="str">
            <v>50Hz SC 20 Kvar 13%</v>
          </cell>
          <cell r="F1852" t="str">
            <v>台</v>
          </cell>
          <cell r="H1852">
            <v>100000</v>
          </cell>
          <cell r="J1852">
            <v>128000</v>
          </cell>
          <cell r="L1852">
            <v>128000</v>
          </cell>
          <cell r="N1852">
            <v>100000</v>
          </cell>
          <cell r="P1852">
            <v>100000</v>
          </cell>
          <cell r="R1852">
            <v>100000</v>
          </cell>
          <cell r="T1852">
            <v>100000</v>
          </cell>
          <cell r="V1852">
            <v>100000</v>
          </cell>
          <cell r="X1852">
            <v>100000</v>
          </cell>
          <cell r="Z1852">
            <v>100000</v>
          </cell>
          <cell r="AD1852">
            <v>0.88400000000000001</v>
          </cell>
        </row>
        <row r="1853">
          <cell r="E1853" t="str">
            <v>50Hz SC 25 Kvar 13%</v>
          </cell>
          <cell r="F1853" t="str">
            <v>台</v>
          </cell>
          <cell r="H1853">
            <v>110000</v>
          </cell>
          <cell r="J1853">
            <v>165000</v>
          </cell>
          <cell r="L1853">
            <v>165000</v>
          </cell>
          <cell r="N1853">
            <v>110000</v>
          </cell>
          <cell r="P1853">
            <v>110000</v>
          </cell>
          <cell r="R1853">
            <v>110000</v>
          </cell>
          <cell r="T1853">
            <v>110000</v>
          </cell>
          <cell r="V1853">
            <v>110000</v>
          </cell>
          <cell r="X1853">
            <v>110000</v>
          </cell>
          <cell r="Z1853">
            <v>110000</v>
          </cell>
          <cell r="AD1853">
            <v>1.1160000000000001</v>
          </cell>
        </row>
        <row r="1854">
          <cell r="E1854" t="str">
            <v>50Hz SC 30 Kvar 13%</v>
          </cell>
          <cell r="F1854" t="str">
            <v>台</v>
          </cell>
          <cell r="H1854">
            <v>128000</v>
          </cell>
          <cell r="J1854">
            <v>206000</v>
          </cell>
          <cell r="L1854">
            <v>206000</v>
          </cell>
          <cell r="N1854">
            <v>128000</v>
          </cell>
          <cell r="P1854">
            <v>128000</v>
          </cell>
          <cell r="R1854">
            <v>128000</v>
          </cell>
          <cell r="T1854">
            <v>128000</v>
          </cell>
          <cell r="V1854">
            <v>128000</v>
          </cell>
          <cell r="X1854">
            <v>128000</v>
          </cell>
          <cell r="Z1854">
            <v>128000</v>
          </cell>
          <cell r="AD1854">
            <v>1.1499999999999999</v>
          </cell>
        </row>
        <row r="1855">
          <cell r="E1855" t="str">
            <v>50Hz SC 50 Kvar 13%</v>
          </cell>
          <cell r="F1855" t="str">
            <v>台</v>
          </cell>
          <cell r="H1855">
            <v>165000</v>
          </cell>
          <cell r="J1855">
            <v>241000</v>
          </cell>
          <cell r="L1855">
            <v>241000</v>
          </cell>
          <cell r="N1855">
            <v>165000</v>
          </cell>
          <cell r="P1855">
            <v>165000</v>
          </cell>
          <cell r="R1855">
            <v>165000</v>
          </cell>
          <cell r="T1855">
            <v>165000</v>
          </cell>
          <cell r="V1855">
            <v>165000</v>
          </cell>
          <cell r="X1855">
            <v>165000</v>
          </cell>
          <cell r="Z1855">
            <v>165000</v>
          </cell>
          <cell r="AD1855">
            <v>1.31</v>
          </cell>
        </row>
        <row r="1856">
          <cell r="E1856" t="str">
            <v>50Hz SC 75 Kvar 13%</v>
          </cell>
          <cell r="F1856" t="str">
            <v>台</v>
          </cell>
          <cell r="H1856">
            <v>206000</v>
          </cell>
          <cell r="J1856">
            <v>329000</v>
          </cell>
          <cell r="L1856">
            <v>329000</v>
          </cell>
          <cell r="N1856">
            <v>206000</v>
          </cell>
          <cell r="P1856">
            <v>206000</v>
          </cell>
          <cell r="R1856">
            <v>206000</v>
          </cell>
          <cell r="T1856">
            <v>206000</v>
          </cell>
          <cell r="V1856">
            <v>206000</v>
          </cell>
          <cell r="X1856">
            <v>206000</v>
          </cell>
          <cell r="Z1856">
            <v>206000</v>
          </cell>
          <cell r="AD1856">
            <v>2.2599999999999998</v>
          </cell>
        </row>
        <row r="1857">
          <cell r="E1857" t="str">
            <v>50Hz SC100 Kvar 13%</v>
          </cell>
          <cell r="F1857" t="str">
            <v>台</v>
          </cell>
          <cell r="H1857">
            <v>241000</v>
          </cell>
          <cell r="J1857">
            <v>421000</v>
          </cell>
          <cell r="L1857">
            <v>421000</v>
          </cell>
          <cell r="N1857">
            <v>241000</v>
          </cell>
          <cell r="P1857">
            <v>241000</v>
          </cell>
          <cell r="R1857">
            <v>241000</v>
          </cell>
          <cell r="T1857">
            <v>241000</v>
          </cell>
          <cell r="V1857">
            <v>241000</v>
          </cell>
          <cell r="X1857">
            <v>241000</v>
          </cell>
          <cell r="Z1857">
            <v>241000</v>
          </cell>
          <cell r="AD1857">
            <v>2.52</v>
          </cell>
        </row>
        <row r="1858">
          <cell r="E1858" t="str">
            <v>50Hz SC150 Kvar 13%</v>
          </cell>
          <cell r="F1858" t="str">
            <v>台</v>
          </cell>
          <cell r="H1858">
            <v>329000</v>
          </cell>
          <cell r="J1858">
            <v>525000</v>
          </cell>
          <cell r="L1858">
            <v>525000</v>
          </cell>
          <cell r="N1858">
            <v>329000</v>
          </cell>
          <cell r="P1858">
            <v>329000</v>
          </cell>
          <cell r="R1858">
            <v>329000</v>
          </cell>
          <cell r="T1858">
            <v>329000</v>
          </cell>
          <cell r="V1858">
            <v>329000</v>
          </cell>
          <cell r="X1858">
            <v>329000</v>
          </cell>
          <cell r="Z1858">
            <v>329000</v>
          </cell>
          <cell r="AD1858">
            <v>3.18</v>
          </cell>
        </row>
        <row r="1859">
          <cell r="E1859" t="str">
            <v>50Hz SC200 Kvar 13%</v>
          </cell>
          <cell r="F1859" t="str">
            <v>台</v>
          </cell>
          <cell r="H1859">
            <v>421000</v>
          </cell>
          <cell r="J1859">
            <v>625000</v>
          </cell>
          <cell r="L1859">
            <v>625000</v>
          </cell>
          <cell r="N1859">
            <v>421000</v>
          </cell>
          <cell r="P1859">
            <v>421000</v>
          </cell>
          <cell r="R1859">
            <v>421000</v>
          </cell>
          <cell r="T1859">
            <v>421000</v>
          </cell>
          <cell r="V1859">
            <v>421000</v>
          </cell>
          <cell r="X1859">
            <v>421000</v>
          </cell>
          <cell r="Z1859">
            <v>421000</v>
          </cell>
          <cell r="AD1859">
            <v>3.56</v>
          </cell>
        </row>
        <row r="1860">
          <cell r="E1860" t="str">
            <v>50Hz SC250 Kvar 13%</v>
          </cell>
          <cell r="F1860" t="str">
            <v>台</v>
          </cell>
          <cell r="H1860">
            <v>525000</v>
          </cell>
          <cell r="J1860">
            <v>1040000</v>
          </cell>
          <cell r="L1860">
            <v>1040000</v>
          </cell>
          <cell r="N1860">
            <v>525000</v>
          </cell>
          <cell r="P1860">
            <v>525000</v>
          </cell>
          <cell r="R1860">
            <v>525000</v>
          </cell>
          <cell r="T1860">
            <v>525000</v>
          </cell>
          <cell r="V1860">
            <v>525000</v>
          </cell>
          <cell r="X1860">
            <v>525000</v>
          </cell>
          <cell r="Z1860">
            <v>525000</v>
          </cell>
          <cell r="AD1860">
            <v>4.4939999999999998</v>
          </cell>
        </row>
        <row r="1861">
          <cell r="E1861" t="str">
            <v>50Hz SC300 Kvar 13%</v>
          </cell>
          <cell r="F1861" t="str">
            <v>台</v>
          </cell>
          <cell r="H1861">
            <v>625000</v>
          </cell>
          <cell r="J1861">
            <v>78400</v>
          </cell>
          <cell r="L1861">
            <v>78400</v>
          </cell>
          <cell r="N1861">
            <v>625000</v>
          </cell>
          <cell r="P1861">
            <v>625000</v>
          </cell>
          <cell r="R1861">
            <v>625000</v>
          </cell>
          <cell r="T1861">
            <v>625000</v>
          </cell>
          <cell r="V1861">
            <v>625000</v>
          </cell>
          <cell r="X1861">
            <v>625000</v>
          </cell>
          <cell r="Z1861">
            <v>625000</v>
          </cell>
          <cell r="AD1861">
            <v>4.63</v>
          </cell>
        </row>
        <row r="1862">
          <cell r="E1862" t="str">
            <v>50Hz SC500 Kvar 13%</v>
          </cell>
          <cell r="F1862" t="str">
            <v>台</v>
          </cell>
          <cell r="H1862">
            <v>1040000</v>
          </cell>
          <cell r="J1862">
            <v>88200</v>
          </cell>
          <cell r="L1862">
            <v>88200</v>
          </cell>
          <cell r="N1862">
            <v>1040000</v>
          </cell>
          <cell r="P1862">
            <v>1040000</v>
          </cell>
          <cell r="R1862">
            <v>1040000</v>
          </cell>
          <cell r="T1862">
            <v>1040000</v>
          </cell>
          <cell r="V1862">
            <v>1040000</v>
          </cell>
          <cell r="X1862">
            <v>1040000</v>
          </cell>
          <cell r="Z1862">
            <v>1040000</v>
          </cell>
          <cell r="AD1862">
            <v>5.274</v>
          </cell>
        </row>
        <row r="1863">
          <cell r="E1863" t="str">
            <v>60Hz SC 10 Kvar 13%</v>
          </cell>
          <cell r="F1863" t="str">
            <v>台</v>
          </cell>
          <cell r="H1863">
            <v>78400</v>
          </cell>
          <cell r="J1863">
            <v>100000</v>
          </cell>
          <cell r="L1863">
            <v>100000</v>
          </cell>
          <cell r="N1863">
            <v>78400</v>
          </cell>
          <cell r="P1863">
            <v>78400</v>
          </cell>
          <cell r="R1863">
            <v>78400</v>
          </cell>
          <cell r="T1863">
            <v>78400</v>
          </cell>
          <cell r="V1863">
            <v>78400</v>
          </cell>
          <cell r="X1863">
            <v>78400</v>
          </cell>
          <cell r="Z1863">
            <v>78400</v>
          </cell>
          <cell r="AD1863">
            <v>0.496</v>
          </cell>
        </row>
        <row r="1864">
          <cell r="E1864" t="str">
            <v>60Hz SC 15 Kvar 13%</v>
          </cell>
          <cell r="F1864" t="str">
            <v>台</v>
          </cell>
          <cell r="H1864">
            <v>88200</v>
          </cell>
          <cell r="J1864">
            <v>110000</v>
          </cell>
          <cell r="L1864">
            <v>110000</v>
          </cell>
          <cell r="N1864">
            <v>88200</v>
          </cell>
          <cell r="P1864">
            <v>88200</v>
          </cell>
          <cell r="R1864">
            <v>88200</v>
          </cell>
          <cell r="T1864">
            <v>88200</v>
          </cell>
          <cell r="V1864">
            <v>88200</v>
          </cell>
          <cell r="X1864">
            <v>88200</v>
          </cell>
          <cell r="Z1864">
            <v>88200</v>
          </cell>
          <cell r="AD1864">
            <v>0.60199999999999998</v>
          </cell>
        </row>
        <row r="1865">
          <cell r="E1865" t="str">
            <v>60Hz SC 20 Kvar 13%</v>
          </cell>
          <cell r="F1865" t="str">
            <v>台</v>
          </cell>
          <cell r="H1865">
            <v>100000</v>
          </cell>
          <cell r="J1865">
            <v>128000</v>
          </cell>
          <cell r="L1865">
            <v>128000</v>
          </cell>
          <cell r="N1865">
            <v>100000</v>
          </cell>
          <cell r="P1865">
            <v>100000</v>
          </cell>
          <cell r="R1865">
            <v>100000</v>
          </cell>
          <cell r="T1865">
            <v>100000</v>
          </cell>
          <cell r="V1865">
            <v>100000</v>
          </cell>
          <cell r="X1865">
            <v>100000</v>
          </cell>
          <cell r="Z1865">
            <v>100000</v>
          </cell>
          <cell r="AD1865">
            <v>0.88400000000000001</v>
          </cell>
        </row>
        <row r="1866">
          <cell r="E1866" t="str">
            <v>60Hz SC 25 Kvar 13%</v>
          </cell>
          <cell r="F1866" t="str">
            <v>台</v>
          </cell>
          <cell r="H1866">
            <v>110000</v>
          </cell>
          <cell r="J1866">
            <v>149000</v>
          </cell>
          <cell r="L1866">
            <v>149000</v>
          </cell>
          <cell r="N1866">
            <v>110000</v>
          </cell>
          <cell r="P1866">
            <v>110000</v>
          </cell>
          <cell r="R1866">
            <v>110000</v>
          </cell>
          <cell r="T1866">
            <v>110000</v>
          </cell>
          <cell r="V1866">
            <v>110000</v>
          </cell>
          <cell r="X1866">
            <v>110000</v>
          </cell>
          <cell r="Z1866">
            <v>110000</v>
          </cell>
          <cell r="AD1866">
            <v>1.1160000000000001</v>
          </cell>
        </row>
        <row r="1867">
          <cell r="E1867" t="str">
            <v>60Hz SC 30 Kvar 13%</v>
          </cell>
          <cell r="F1867" t="str">
            <v>台</v>
          </cell>
          <cell r="H1867">
            <v>128000</v>
          </cell>
          <cell r="J1867">
            <v>186000</v>
          </cell>
          <cell r="L1867">
            <v>186000</v>
          </cell>
          <cell r="N1867">
            <v>128000</v>
          </cell>
          <cell r="P1867">
            <v>128000</v>
          </cell>
          <cell r="R1867">
            <v>128000</v>
          </cell>
          <cell r="T1867">
            <v>128000</v>
          </cell>
          <cell r="V1867">
            <v>128000</v>
          </cell>
          <cell r="X1867">
            <v>128000</v>
          </cell>
          <cell r="Z1867">
            <v>128000</v>
          </cell>
          <cell r="AD1867">
            <v>1.1499999999999999</v>
          </cell>
        </row>
        <row r="1868">
          <cell r="E1868" t="str">
            <v>60Hz SC 50 Kvar 13%</v>
          </cell>
          <cell r="F1868" t="str">
            <v>台</v>
          </cell>
          <cell r="H1868">
            <v>149000</v>
          </cell>
          <cell r="J1868">
            <v>217000</v>
          </cell>
          <cell r="L1868">
            <v>217000</v>
          </cell>
          <cell r="N1868">
            <v>149000</v>
          </cell>
          <cell r="P1868">
            <v>149000</v>
          </cell>
          <cell r="R1868">
            <v>149000</v>
          </cell>
          <cell r="T1868">
            <v>149000</v>
          </cell>
          <cell r="V1868">
            <v>149000</v>
          </cell>
          <cell r="X1868">
            <v>149000</v>
          </cell>
          <cell r="Z1868">
            <v>149000</v>
          </cell>
          <cell r="AD1868">
            <v>1.31</v>
          </cell>
        </row>
        <row r="1869">
          <cell r="E1869" t="str">
            <v>60Hz SC 75 Kvar 13%</v>
          </cell>
          <cell r="F1869" t="str">
            <v>台</v>
          </cell>
          <cell r="H1869">
            <v>186000</v>
          </cell>
          <cell r="J1869">
            <v>296000</v>
          </cell>
          <cell r="L1869">
            <v>296000</v>
          </cell>
          <cell r="N1869">
            <v>186000</v>
          </cell>
          <cell r="P1869">
            <v>186000</v>
          </cell>
          <cell r="R1869">
            <v>186000</v>
          </cell>
          <cell r="T1869">
            <v>186000</v>
          </cell>
          <cell r="V1869">
            <v>186000</v>
          </cell>
          <cell r="X1869">
            <v>186000</v>
          </cell>
          <cell r="Z1869">
            <v>186000</v>
          </cell>
          <cell r="AD1869">
            <v>2.2599999999999998</v>
          </cell>
        </row>
        <row r="1870">
          <cell r="E1870" t="str">
            <v>60Hz SC100 Kvar 13%</v>
          </cell>
          <cell r="F1870" t="str">
            <v>台</v>
          </cell>
          <cell r="H1870">
            <v>217000</v>
          </cell>
          <cell r="J1870">
            <v>379000</v>
          </cell>
          <cell r="L1870">
            <v>379000</v>
          </cell>
          <cell r="N1870">
            <v>217000</v>
          </cell>
          <cell r="P1870">
            <v>217000</v>
          </cell>
          <cell r="R1870">
            <v>217000</v>
          </cell>
          <cell r="T1870">
            <v>217000</v>
          </cell>
          <cell r="V1870">
            <v>217000</v>
          </cell>
          <cell r="X1870">
            <v>217000</v>
          </cell>
          <cell r="Z1870">
            <v>217000</v>
          </cell>
          <cell r="AD1870">
            <v>2.52</v>
          </cell>
        </row>
        <row r="1871">
          <cell r="E1871" t="str">
            <v>60Hz SC150 Kvar 13%</v>
          </cell>
          <cell r="F1871" t="str">
            <v>台</v>
          </cell>
          <cell r="H1871">
            <v>296000</v>
          </cell>
          <cell r="J1871">
            <v>472000</v>
          </cell>
          <cell r="L1871">
            <v>472000</v>
          </cell>
          <cell r="N1871">
            <v>296000</v>
          </cell>
          <cell r="P1871">
            <v>296000</v>
          </cell>
          <cell r="R1871">
            <v>296000</v>
          </cell>
          <cell r="T1871">
            <v>296000</v>
          </cell>
          <cell r="V1871">
            <v>296000</v>
          </cell>
          <cell r="X1871">
            <v>296000</v>
          </cell>
          <cell r="Z1871">
            <v>296000</v>
          </cell>
          <cell r="AD1871">
            <v>3.18</v>
          </cell>
        </row>
        <row r="1872">
          <cell r="E1872" t="str">
            <v>60Hz SC200 Kvar 13%</v>
          </cell>
          <cell r="F1872" t="str">
            <v>台</v>
          </cell>
          <cell r="H1872">
            <v>379000</v>
          </cell>
          <cell r="J1872">
            <v>562000</v>
          </cell>
          <cell r="L1872">
            <v>562000</v>
          </cell>
          <cell r="N1872">
            <v>379000</v>
          </cell>
          <cell r="P1872">
            <v>379000</v>
          </cell>
          <cell r="R1872">
            <v>379000</v>
          </cell>
          <cell r="T1872">
            <v>379000</v>
          </cell>
          <cell r="V1872">
            <v>379000</v>
          </cell>
          <cell r="X1872">
            <v>379000</v>
          </cell>
          <cell r="Z1872">
            <v>379000</v>
          </cell>
          <cell r="AD1872">
            <v>3.56</v>
          </cell>
        </row>
        <row r="1873">
          <cell r="E1873" t="str">
            <v>60Hz SC250 Kvar 13%</v>
          </cell>
          <cell r="F1873" t="str">
            <v>台</v>
          </cell>
          <cell r="H1873">
            <v>472000</v>
          </cell>
          <cell r="J1873">
            <v>930000</v>
          </cell>
          <cell r="L1873">
            <v>930000</v>
          </cell>
          <cell r="N1873">
            <v>472000</v>
          </cell>
          <cell r="P1873">
            <v>472000</v>
          </cell>
          <cell r="R1873">
            <v>472000</v>
          </cell>
          <cell r="T1873">
            <v>472000</v>
          </cell>
          <cell r="V1873">
            <v>472000</v>
          </cell>
          <cell r="X1873">
            <v>472000</v>
          </cell>
          <cell r="Z1873">
            <v>472000</v>
          </cell>
          <cell r="AD1873">
            <v>4.4939999999999998</v>
          </cell>
        </row>
        <row r="1874">
          <cell r="E1874" t="str">
            <v>60Hz SC300 Kvar 13%</v>
          </cell>
          <cell r="F1874" t="str">
            <v>台</v>
          </cell>
          <cell r="H1874">
            <v>562000</v>
          </cell>
          <cell r="J1874">
            <v>411000</v>
          </cell>
          <cell r="L1874">
            <v>411000</v>
          </cell>
          <cell r="N1874">
            <v>562000</v>
          </cell>
          <cell r="P1874">
            <v>562000</v>
          </cell>
          <cell r="R1874">
            <v>562000</v>
          </cell>
          <cell r="T1874">
            <v>562000</v>
          </cell>
          <cell r="V1874">
            <v>562000</v>
          </cell>
          <cell r="X1874">
            <v>562000</v>
          </cell>
          <cell r="Z1874">
            <v>562000</v>
          </cell>
          <cell r="AD1874">
            <v>4.63</v>
          </cell>
        </row>
        <row r="1875">
          <cell r="E1875" t="str">
            <v>60Hz SC400 Kvar 13%</v>
          </cell>
          <cell r="F1875" t="str">
            <v>台</v>
          </cell>
          <cell r="H1875">
            <v>746000</v>
          </cell>
          <cell r="J1875">
            <v>411000</v>
          </cell>
          <cell r="L1875">
            <v>411000</v>
          </cell>
          <cell r="N1875">
            <v>746000</v>
          </cell>
          <cell r="P1875">
            <v>746000</v>
          </cell>
          <cell r="R1875">
            <v>746000</v>
          </cell>
          <cell r="T1875">
            <v>746000</v>
          </cell>
          <cell r="V1875">
            <v>746000</v>
          </cell>
          <cell r="X1875">
            <v>746000</v>
          </cell>
          <cell r="Z1875">
            <v>746000</v>
          </cell>
          <cell r="AD1875">
            <v>4.9379999999999997</v>
          </cell>
        </row>
        <row r="1876">
          <cell r="E1876" t="str">
            <v>60Hz SC500 Kvar 13%</v>
          </cell>
          <cell r="F1876" t="str">
            <v>台</v>
          </cell>
          <cell r="H1876">
            <v>930000</v>
          </cell>
          <cell r="J1876">
            <v>411000</v>
          </cell>
          <cell r="L1876">
            <v>411000</v>
          </cell>
          <cell r="N1876">
            <v>930000</v>
          </cell>
          <cell r="P1876">
            <v>930000</v>
          </cell>
          <cell r="R1876">
            <v>930000</v>
          </cell>
          <cell r="T1876">
            <v>930000</v>
          </cell>
          <cell r="V1876">
            <v>930000</v>
          </cell>
          <cell r="X1876">
            <v>930000</v>
          </cell>
          <cell r="Z1876">
            <v>930000</v>
          </cell>
          <cell r="AD1876">
            <v>5.274</v>
          </cell>
        </row>
        <row r="1877">
          <cell r="E1877" t="str">
            <v>50Hz SR 10 Kvar 6%</v>
          </cell>
          <cell r="F1877" t="str">
            <v>台</v>
          </cell>
          <cell r="H1877">
            <v>411000</v>
          </cell>
          <cell r="J1877">
            <v>411000</v>
          </cell>
          <cell r="L1877">
            <v>411000</v>
          </cell>
          <cell r="N1877">
            <v>411000</v>
          </cell>
          <cell r="P1877">
            <v>411000</v>
          </cell>
          <cell r="R1877">
            <v>411000</v>
          </cell>
          <cell r="T1877">
            <v>411000</v>
          </cell>
          <cell r="V1877">
            <v>411000</v>
          </cell>
          <cell r="X1877">
            <v>411000</v>
          </cell>
          <cell r="Z1877">
            <v>411000</v>
          </cell>
          <cell r="AD1877">
            <v>0.60799999999999998</v>
          </cell>
        </row>
        <row r="1878">
          <cell r="E1878" t="str">
            <v>50Hz SR 15 Kvar 6%</v>
          </cell>
          <cell r="F1878" t="str">
            <v>台</v>
          </cell>
          <cell r="H1878">
            <v>411000</v>
          </cell>
          <cell r="J1878">
            <v>449000</v>
          </cell>
          <cell r="L1878">
            <v>449000</v>
          </cell>
          <cell r="N1878">
            <v>411000</v>
          </cell>
          <cell r="P1878">
            <v>411000</v>
          </cell>
          <cell r="R1878">
            <v>411000</v>
          </cell>
          <cell r="T1878">
            <v>411000</v>
          </cell>
          <cell r="V1878">
            <v>411000</v>
          </cell>
          <cell r="X1878">
            <v>411000</v>
          </cell>
          <cell r="Z1878">
            <v>411000</v>
          </cell>
          <cell r="AD1878">
            <v>0.65900000000000003</v>
          </cell>
        </row>
        <row r="1879">
          <cell r="E1879" t="str">
            <v>50Hz SR 20 Kvar 6%</v>
          </cell>
          <cell r="F1879" t="str">
            <v>台</v>
          </cell>
          <cell r="H1879">
            <v>411000</v>
          </cell>
          <cell r="J1879">
            <v>483000</v>
          </cell>
          <cell r="L1879">
            <v>483000</v>
          </cell>
          <cell r="N1879">
            <v>411000</v>
          </cell>
          <cell r="P1879">
            <v>411000</v>
          </cell>
          <cell r="R1879">
            <v>411000</v>
          </cell>
          <cell r="T1879">
            <v>411000</v>
          </cell>
          <cell r="V1879">
            <v>411000</v>
          </cell>
          <cell r="X1879">
            <v>411000</v>
          </cell>
          <cell r="Z1879">
            <v>411000</v>
          </cell>
          <cell r="AD1879">
            <v>0.79600000000000004</v>
          </cell>
        </row>
        <row r="1880">
          <cell r="E1880" t="str">
            <v>50Hz SR 25 Kvar 6%</v>
          </cell>
          <cell r="F1880" t="str">
            <v>台</v>
          </cell>
          <cell r="H1880">
            <v>411000</v>
          </cell>
          <cell r="J1880">
            <v>514000</v>
          </cell>
          <cell r="L1880">
            <v>514000</v>
          </cell>
          <cell r="N1880">
            <v>411000</v>
          </cell>
          <cell r="P1880">
            <v>411000</v>
          </cell>
          <cell r="R1880">
            <v>411000</v>
          </cell>
          <cell r="T1880">
            <v>411000</v>
          </cell>
          <cell r="V1880">
            <v>411000</v>
          </cell>
          <cell r="X1880">
            <v>411000</v>
          </cell>
          <cell r="Z1880">
            <v>411000</v>
          </cell>
          <cell r="AD1880">
            <v>0.96099999999999997</v>
          </cell>
        </row>
        <row r="1881">
          <cell r="E1881" t="str">
            <v>50Hz SR 30 Kvar 6%</v>
          </cell>
          <cell r="F1881" t="str">
            <v>台</v>
          </cell>
          <cell r="H1881">
            <v>449000</v>
          </cell>
          <cell r="J1881">
            <v>534000</v>
          </cell>
          <cell r="L1881">
            <v>534000</v>
          </cell>
          <cell r="N1881">
            <v>449000</v>
          </cell>
          <cell r="P1881">
            <v>449000</v>
          </cell>
          <cell r="R1881">
            <v>449000</v>
          </cell>
          <cell r="T1881">
            <v>449000</v>
          </cell>
          <cell r="V1881">
            <v>449000</v>
          </cell>
          <cell r="X1881">
            <v>449000</v>
          </cell>
          <cell r="Z1881">
            <v>449000</v>
          </cell>
          <cell r="AD1881">
            <v>1.1599999999999999</v>
          </cell>
        </row>
        <row r="1882">
          <cell r="E1882" t="str">
            <v>50Hz SR 50 Kvar 6%</v>
          </cell>
          <cell r="F1882" t="str">
            <v>台</v>
          </cell>
          <cell r="H1882">
            <v>483000</v>
          </cell>
          <cell r="J1882">
            <v>603000</v>
          </cell>
          <cell r="L1882">
            <v>603000</v>
          </cell>
          <cell r="N1882">
            <v>483000</v>
          </cell>
          <cell r="P1882">
            <v>483000</v>
          </cell>
          <cell r="R1882">
            <v>483000</v>
          </cell>
          <cell r="T1882">
            <v>483000</v>
          </cell>
          <cell r="V1882">
            <v>483000</v>
          </cell>
          <cell r="X1882">
            <v>483000</v>
          </cell>
          <cell r="Z1882">
            <v>483000</v>
          </cell>
          <cell r="AD1882">
            <v>1.258</v>
          </cell>
        </row>
        <row r="1883">
          <cell r="E1883" t="str">
            <v>50Hz SR 75 Kvar 6%</v>
          </cell>
          <cell r="F1883" t="str">
            <v>台</v>
          </cell>
          <cell r="H1883">
            <v>514000</v>
          </cell>
          <cell r="J1883">
            <v>659000</v>
          </cell>
          <cell r="L1883">
            <v>659000</v>
          </cell>
          <cell r="N1883">
            <v>514000</v>
          </cell>
          <cell r="P1883">
            <v>514000</v>
          </cell>
          <cell r="R1883">
            <v>514000</v>
          </cell>
          <cell r="T1883">
            <v>514000</v>
          </cell>
          <cell r="V1883">
            <v>514000</v>
          </cell>
          <cell r="X1883">
            <v>514000</v>
          </cell>
          <cell r="Z1883">
            <v>514000</v>
          </cell>
          <cell r="AD1883">
            <v>1.3640000000000001</v>
          </cell>
        </row>
        <row r="1884">
          <cell r="E1884" t="str">
            <v>50Hz SR100 Kvar 6%</v>
          </cell>
          <cell r="F1884" t="str">
            <v>台</v>
          </cell>
          <cell r="H1884">
            <v>534000</v>
          </cell>
          <cell r="J1884">
            <v>741000</v>
          </cell>
          <cell r="L1884">
            <v>741000</v>
          </cell>
          <cell r="N1884">
            <v>534000</v>
          </cell>
          <cell r="P1884">
            <v>534000</v>
          </cell>
          <cell r="R1884">
            <v>534000</v>
          </cell>
          <cell r="T1884">
            <v>534000</v>
          </cell>
          <cell r="V1884">
            <v>534000</v>
          </cell>
          <cell r="X1884">
            <v>534000</v>
          </cell>
          <cell r="Z1884">
            <v>534000</v>
          </cell>
          <cell r="AD1884">
            <v>1.6459999999999999</v>
          </cell>
        </row>
        <row r="1885">
          <cell r="E1885" t="str">
            <v>50Hz SR150 Kvar 6%</v>
          </cell>
          <cell r="F1885" t="str">
            <v>台</v>
          </cell>
          <cell r="H1885">
            <v>603000</v>
          </cell>
          <cell r="J1885">
            <v>797000</v>
          </cell>
          <cell r="L1885">
            <v>797000</v>
          </cell>
          <cell r="N1885">
            <v>603000</v>
          </cell>
          <cell r="P1885">
            <v>603000</v>
          </cell>
          <cell r="R1885">
            <v>603000</v>
          </cell>
          <cell r="T1885">
            <v>603000</v>
          </cell>
          <cell r="V1885">
            <v>603000</v>
          </cell>
          <cell r="X1885">
            <v>603000</v>
          </cell>
          <cell r="Z1885">
            <v>603000</v>
          </cell>
          <cell r="AD1885">
            <v>1.8220000000000001</v>
          </cell>
        </row>
        <row r="1886">
          <cell r="E1886" t="str">
            <v>50Hz SR200 Kvar 6%</v>
          </cell>
          <cell r="F1886" t="str">
            <v>台</v>
          </cell>
          <cell r="H1886">
            <v>659000</v>
          </cell>
          <cell r="J1886">
            <v>1190000</v>
          </cell>
          <cell r="L1886">
            <v>1190000</v>
          </cell>
          <cell r="N1886">
            <v>659000</v>
          </cell>
          <cell r="P1886">
            <v>659000</v>
          </cell>
          <cell r="R1886">
            <v>659000</v>
          </cell>
          <cell r="T1886">
            <v>659000</v>
          </cell>
          <cell r="V1886">
            <v>659000</v>
          </cell>
          <cell r="X1886">
            <v>659000</v>
          </cell>
          <cell r="Z1886">
            <v>659000</v>
          </cell>
          <cell r="AD1886">
            <v>1.946</v>
          </cell>
        </row>
        <row r="1887">
          <cell r="E1887" t="str">
            <v>50Hz SR250 Kvar 6%</v>
          </cell>
          <cell r="F1887" t="str">
            <v>台</v>
          </cell>
          <cell r="H1887">
            <v>741000</v>
          </cell>
          <cell r="J1887">
            <v>403000</v>
          </cell>
          <cell r="L1887">
            <v>403000</v>
          </cell>
          <cell r="N1887">
            <v>741000</v>
          </cell>
          <cell r="P1887">
            <v>741000</v>
          </cell>
          <cell r="R1887">
            <v>741000</v>
          </cell>
          <cell r="T1887">
            <v>741000</v>
          </cell>
          <cell r="V1887">
            <v>741000</v>
          </cell>
          <cell r="X1887">
            <v>741000</v>
          </cell>
          <cell r="Z1887">
            <v>741000</v>
          </cell>
          <cell r="AD1887">
            <v>2.3490000000000002</v>
          </cell>
        </row>
        <row r="1888">
          <cell r="E1888" t="str">
            <v>50Hz SR300 Kvar 6%</v>
          </cell>
          <cell r="F1888" t="str">
            <v>台</v>
          </cell>
          <cell r="H1888">
            <v>797000</v>
          </cell>
          <cell r="J1888">
            <v>403000</v>
          </cell>
          <cell r="L1888">
            <v>403000</v>
          </cell>
          <cell r="N1888">
            <v>797000</v>
          </cell>
          <cell r="P1888">
            <v>797000</v>
          </cell>
          <cell r="R1888">
            <v>797000</v>
          </cell>
          <cell r="T1888">
            <v>797000</v>
          </cell>
          <cell r="V1888">
            <v>797000</v>
          </cell>
          <cell r="X1888">
            <v>797000</v>
          </cell>
          <cell r="Z1888">
            <v>797000</v>
          </cell>
          <cell r="AD1888">
            <v>2.835</v>
          </cell>
        </row>
        <row r="1889">
          <cell r="E1889" t="str">
            <v>50Hz SR500 Kvar 6%</v>
          </cell>
          <cell r="F1889" t="str">
            <v>台</v>
          </cell>
          <cell r="H1889">
            <v>1190000</v>
          </cell>
          <cell r="J1889">
            <v>403000</v>
          </cell>
          <cell r="L1889">
            <v>403000</v>
          </cell>
          <cell r="N1889">
            <v>1190000</v>
          </cell>
          <cell r="P1889">
            <v>1190000</v>
          </cell>
          <cell r="R1889">
            <v>1190000</v>
          </cell>
          <cell r="T1889">
            <v>1190000</v>
          </cell>
          <cell r="V1889">
            <v>1190000</v>
          </cell>
          <cell r="X1889">
            <v>1190000</v>
          </cell>
          <cell r="Z1889">
            <v>1190000</v>
          </cell>
          <cell r="AD1889">
            <v>3.0750000000000002</v>
          </cell>
        </row>
        <row r="1890">
          <cell r="E1890" t="str">
            <v>60Hz SR 12 Kvar 6%</v>
          </cell>
          <cell r="F1890" t="str">
            <v>台</v>
          </cell>
          <cell r="H1890">
            <v>403000</v>
          </cell>
          <cell r="J1890">
            <v>403000</v>
          </cell>
          <cell r="L1890">
            <v>403000</v>
          </cell>
          <cell r="N1890">
            <v>403000</v>
          </cell>
          <cell r="P1890">
            <v>403000</v>
          </cell>
          <cell r="R1890">
            <v>403000</v>
          </cell>
          <cell r="T1890">
            <v>403000</v>
          </cell>
          <cell r="V1890">
            <v>403000</v>
          </cell>
          <cell r="X1890">
            <v>403000</v>
          </cell>
          <cell r="Z1890">
            <v>403000</v>
          </cell>
          <cell r="AD1890">
            <v>0.60799999999999998</v>
          </cell>
        </row>
        <row r="1891">
          <cell r="E1891" t="str">
            <v>60Hz SR 18 Kvar 6%</v>
          </cell>
          <cell r="F1891" t="str">
            <v>台</v>
          </cell>
          <cell r="H1891">
            <v>403000</v>
          </cell>
          <cell r="J1891">
            <v>440000</v>
          </cell>
          <cell r="L1891">
            <v>440000</v>
          </cell>
          <cell r="N1891">
            <v>403000</v>
          </cell>
          <cell r="P1891">
            <v>403000</v>
          </cell>
          <cell r="R1891">
            <v>403000</v>
          </cell>
          <cell r="T1891">
            <v>403000</v>
          </cell>
          <cell r="V1891">
            <v>403000</v>
          </cell>
          <cell r="X1891">
            <v>403000</v>
          </cell>
          <cell r="Z1891">
            <v>403000</v>
          </cell>
          <cell r="AD1891">
            <v>0.65900000000000003</v>
          </cell>
        </row>
        <row r="1892">
          <cell r="E1892" t="str">
            <v>60Hz SR 24 Kvar 6%</v>
          </cell>
          <cell r="F1892" t="str">
            <v>台</v>
          </cell>
          <cell r="H1892">
            <v>403000</v>
          </cell>
          <cell r="J1892">
            <v>473000</v>
          </cell>
          <cell r="L1892">
            <v>473000</v>
          </cell>
          <cell r="N1892">
            <v>403000</v>
          </cell>
          <cell r="P1892">
            <v>403000</v>
          </cell>
          <cell r="R1892">
            <v>403000</v>
          </cell>
          <cell r="T1892">
            <v>403000</v>
          </cell>
          <cell r="V1892">
            <v>403000</v>
          </cell>
          <cell r="X1892">
            <v>403000</v>
          </cell>
          <cell r="Z1892">
            <v>403000</v>
          </cell>
          <cell r="AD1892">
            <v>0.79600000000000004</v>
          </cell>
        </row>
        <row r="1893">
          <cell r="E1893" t="str">
            <v>60Hz SR 30 Kvar 6%</v>
          </cell>
          <cell r="F1893" t="str">
            <v>台</v>
          </cell>
          <cell r="H1893">
            <v>403000</v>
          </cell>
          <cell r="J1893">
            <v>503000</v>
          </cell>
          <cell r="L1893">
            <v>503000</v>
          </cell>
          <cell r="N1893">
            <v>403000</v>
          </cell>
          <cell r="P1893">
            <v>403000</v>
          </cell>
          <cell r="R1893">
            <v>403000</v>
          </cell>
          <cell r="T1893">
            <v>403000</v>
          </cell>
          <cell r="V1893">
            <v>403000</v>
          </cell>
          <cell r="X1893">
            <v>403000</v>
          </cell>
          <cell r="Z1893">
            <v>403000</v>
          </cell>
          <cell r="AD1893">
            <v>0.96099999999999997</v>
          </cell>
        </row>
        <row r="1894">
          <cell r="E1894" t="str">
            <v>60Hz SR 36 Kvar 6%</v>
          </cell>
          <cell r="F1894" t="str">
            <v>台</v>
          </cell>
          <cell r="H1894">
            <v>440000</v>
          </cell>
          <cell r="J1894">
            <v>532000</v>
          </cell>
          <cell r="L1894">
            <v>532000</v>
          </cell>
          <cell r="N1894">
            <v>440000</v>
          </cell>
          <cell r="P1894">
            <v>440000</v>
          </cell>
          <cell r="R1894">
            <v>440000</v>
          </cell>
          <cell r="T1894">
            <v>440000</v>
          </cell>
          <cell r="V1894">
            <v>440000</v>
          </cell>
          <cell r="X1894">
            <v>440000</v>
          </cell>
          <cell r="Z1894">
            <v>440000</v>
          </cell>
          <cell r="AD1894">
            <v>1.1599999999999999</v>
          </cell>
        </row>
        <row r="1895">
          <cell r="E1895" t="str">
            <v>60Hz SR 50 Kvar 6%</v>
          </cell>
          <cell r="F1895" t="str">
            <v>台</v>
          </cell>
          <cell r="H1895">
            <v>473000</v>
          </cell>
          <cell r="J1895">
            <v>591000</v>
          </cell>
          <cell r="L1895">
            <v>591000</v>
          </cell>
          <cell r="N1895">
            <v>473000</v>
          </cell>
          <cell r="P1895">
            <v>473000</v>
          </cell>
          <cell r="R1895">
            <v>473000</v>
          </cell>
          <cell r="T1895">
            <v>473000</v>
          </cell>
          <cell r="V1895">
            <v>473000</v>
          </cell>
          <cell r="X1895">
            <v>473000</v>
          </cell>
          <cell r="Z1895">
            <v>473000</v>
          </cell>
          <cell r="AD1895">
            <v>1.258</v>
          </cell>
        </row>
        <row r="1896">
          <cell r="E1896" t="str">
            <v>60Hz SR 75 Kvar 6%</v>
          </cell>
          <cell r="F1896" t="str">
            <v>台</v>
          </cell>
          <cell r="H1896">
            <v>503000</v>
          </cell>
          <cell r="J1896">
            <v>645000</v>
          </cell>
          <cell r="L1896">
            <v>645000</v>
          </cell>
          <cell r="N1896">
            <v>503000</v>
          </cell>
          <cell r="P1896">
            <v>503000</v>
          </cell>
          <cell r="R1896">
            <v>503000</v>
          </cell>
          <cell r="T1896">
            <v>503000</v>
          </cell>
          <cell r="V1896">
            <v>503000</v>
          </cell>
          <cell r="X1896">
            <v>503000</v>
          </cell>
          <cell r="Z1896">
            <v>503000</v>
          </cell>
          <cell r="AD1896">
            <v>1.3640000000000001</v>
          </cell>
        </row>
        <row r="1897">
          <cell r="E1897" t="str">
            <v>60Hz SR100 Kvar 6%</v>
          </cell>
          <cell r="F1897" t="str">
            <v>台</v>
          </cell>
          <cell r="H1897">
            <v>532000</v>
          </cell>
          <cell r="J1897">
            <v>726000</v>
          </cell>
          <cell r="L1897">
            <v>726000</v>
          </cell>
          <cell r="N1897">
            <v>532000</v>
          </cell>
          <cell r="P1897">
            <v>532000</v>
          </cell>
          <cell r="R1897">
            <v>532000</v>
          </cell>
          <cell r="T1897">
            <v>532000</v>
          </cell>
          <cell r="V1897">
            <v>532000</v>
          </cell>
          <cell r="X1897">
            <v>532000</v>
          </cell>
          <cell r="Z1897">
            <v>532000</v>
          </cell>
          <cell r="AD1897">
            <v>1.6459999999999999</v>
          </cell>
        </row>
        <row r="1898">
          <cell r="E1898" t="str">
            <v>60Hz SR150 Kvar 6%</v>
          </cell>
          <cell r="F1898" t="str">
            <v>台</v>
          </cell>
          <cell r="H1898">
            <v>591000</v>
          </cell>
          <cell r="J1898">
            <v>781000</v>
          </cell>
          <cell r="L1898">
            <v>781000</v>
          </cell>
          <cell r="N1898">
            <v>591000</v>
          </cell>
          <cell r="P1898">
            <v>591000</v>
          </cell>
          <cell r="R1898">
            <v>591000</v>
          </cell>
          <cell r="T1898">
            <v>591000</v>
          </cell>
          <cell r="V1898">
            <v>591000</v>
          </cell>
          <cell r="X1898">
            <v>591000</v>
          </cell>
          <cell r="Z1898">
            <v>591000</v>
          </cell>
          <cell r="AD1898">
            <v>1.8220000000000001</v>
          </cell>
        </row>
        <row r="1899">
          <cell r="E1899" t="str">
            <v>60Hz SR200 Kvar 6%</v>
          </cell>
          <cell r="F1899" t="str">
            <v>台</v>
          </cell>
          <cell r="H1899">
            <v>645000</v>
          </cell>
          <cell r="J1899">
            <v>1170000</v>
          </cell>
          <cell r="L1899">
            <v>1170000</v>
          </cell>
          <cell r="N1899">
            <v>645000</v>
          </cell>
          <cell r="P1899">
            <v>645000</v>
          </cell>
          <cell r="R1899">
            <v>645000</v>
          </cell>
          <cell r="T1899">
            <v>645000</v>
          </cell>
          <cell r="V1899">
            <v>645000</v>
          </cell>
          <cell r="X1899">
            <v>645000</v>
          </cell>
          <cell r="Z1899">
            <v>645000</v>
          </cell>
          <cell r="AD1899">
            <v>1.946</v>
          </cell>
        </row>
        <row r="1900">
          <cell r="E1900" t="str">
            <v>60Hz SR250 Kvar 6%</v>
          </cell>
          <cell r="F1900" t="str">
            <v>台</v>
          </cell>
          <cell r="H1900">
            <v>726000</v>
          </cell>
          <cell r="J1900">
            <v>526000</v>
          </cell>
          <cell r="L1900">
            <v>526000</v>
          </cell>
          <cell r="N1900">
            <v>726000</v>
          </cell>
          <cell r="P1900">
            <v>726000</v>
          </cell>
          <cell r="R1900">
            <v>726000</v>
          </cell>
          <cell r="T1900">
            <v>726000</v>
          </cell>
          <cell r="V1900">
            <v>726000</v>
          </cell>
          <cell r="X1900">
            <v>726000</v>
          </cell>
          <cell r="Z1900">
            <v>726000</v>
          </cell>
          <cell r="AD1900">
            <v>2.3490000000000002</v>
          </cell>
        </row>
        <row r="1901">
          <cell r="E1901" t="str">
            <v>60Hz SR300 Kvar 6%</v>
          </cell>
          <cell r="F1901" t="str">
            <v>台</v>
          </cell>
          <cell r="H1901">
            <v>781000</v>
          </cell>
          <cell r="J1901">
            <v>526000</v>
          </cell>
          <cell r="L1901">
            <v>526000</v>
          </cell>
          <cell r="N1901">
            <v>781000</v>
          </cell>
          <cell r="P1901">
            <v>781000</v>
          </cell>
          <cell r="R1901">
            <v>781000</v>
          </cell>
          <cell r="T1901">
            <v>781000</v>
          </cell>
          <cell r="V1901">
            <v>781000</v>
          </cell>
          <cell r="X1901">
            <v>781000</v>
          </cell>
          <cell r="Z1901">
            <v>781000</v>
          </cell>
          <cell r="AD1901">
            <v>2.835</v>
          </cell>
        </row>
        <row r="1902">
          <cell r="E1902" t="str">
            <v>60Hz SR500 Kvar 6%</v>
          </cell>
          <cell r="F1902" t="str">
            <v>台</v>
          </cell>
          <cell r="H1902">
            <v>1170000</v>
          </cell>
          <cell r="J1902">
            <v>526000</v>
          </cell>
          <cell r="L1902">
            <v>526000</v>
          </cell>
          <cell r="N1902">
            <v>1170000</v>
          </cell>
          <cell r="P1902">
            <v>1170000</v>
          </cell>
          <cell r="R1902">
            <v>1170000</v>
          </cell>
          <cell r="T1902">
            <v>1170000</v>
          </cell>
          <cell r="V1902">
            <v>1170000</v>
          </cell>
          <cell r="X1902">
            <v>1170000</v>
          </cell>
          <cell r="Z1902">
            <v>1170000</v>
          </cell>
          <cell r="AD1902">
            <v>3.0750000000000002</v>
          </cell>
        </row>
        <row r="1903">
          <cell r="E1903" t="str">
            <v>50Hz SR 10 Kvar 13%</v>
          </cell>
          <cell r="F1903" t="str">
            <v>台</v>
          </cell>
          <cell r="H1903">
            <v>526000</v>
          </cell>
          <cell r="J1903">
            <v>526000</v>
          </cell>
          <cell r="L1903">
            <v>526000</v>
          </cell>
          <cell r="N1903">
            <v>526000</v>
          </cell>
          <cell r="P1903">
            <v>526000</v>
          </cell>
          <cell r="R1903">
            <v>526000</v>
          </cell>
          <cell r="T1903">
            <v>526000</v>
          </cell>
          <cell r="V1903">
            <v>526000</v>
          </cell>
          <cell r="X1903">
            <v>526000</v>
          </cell>
          <cell r="Z1903">
            <v>526000</v>
          </cell>
          <cell r="AD1903">
            <v>0.77900000000000003</v>
          </cell>
        </row>
        <row r="1904">
          <cell r="E1904" t="str">
            <v>50Hz SR 15 Kvar 13%</v>
          </cell>
          <cell r="F1904" t="str">
            <v>台</v>
          </cell>
          <cell r="H1904">
            <v>526000</v>
          </cell>
          <cell r="J1904">
            <v>574000</v>
          </cell>
          <cell r="L1904">
            <v>574000</v>
          </cell>
          <cell r="N1904">
            <v>526000</v>
          </cell>
          <cell r="P1904">
            <v>526000</v>
          </cell>
          <cell r="R1904">
            <v>526000</v>
          </cell>
          <cell r="T1904">
            <v>526000</v>
          </cell>
          <cell r="V1904">
            <v>526000</v>
          </cell>
          <cell r="X1904">
            <v>526000</v>
          </cell>
          <cell r="Z1904">
            <v>526000</v>
          </cell>
          <cell r="AD1904">
            <v>0.84399999999999997</v>
          </cell>
        </row>
        <row r="1905">
          <cell r="E1905" t="str">
            <v>50Hz SR 20 Kvar 13%</v>
          </cell>
          <cell r="F1905" t="str">
            <v>台</v>
          </cell>
          <cell r="H1905">
            <v>526000</v>
          </cell>
          <cell r="J1905">
            <v>617000</v>
          </cell>
          <cell r="L1905">
            <v>617000</v>
          </cell>
          <cell r="N1905">
            <v>526000</v>
          </cell>
          <cell r="P1905">
            <v>526000</v>
          </cell>
          <cell r="R1905">
            <v>526000</v>
          </cell>
          <cell r="T1905">
            <v>526000</v>
          </cell>
          <cell r="V1905">
            <v>526000</v>
          </cell>
          <cell r="X1905">
            <v>526000</v>
          </cell>
          <cell r="Z1905">
            <v>526000</v>
          </cell>
          <cell r="AD1905">
            <v>1.0189999999999999</v>
          </cell>
        </row>
        <row r="1906">
          <cell r="E1906" t="str">
            <v>50Hz SR 25 Kvar 13%</v>
          </cell>
          <cell r="F1906" t="str">
            <v>台</v>
          </cell>
          <cell r="H1906">
            <v>526000</v>
          </cell>
          <cell r="J1906">
            <v>665000</v>
          </cell>
          <cell r="L1906">
            <v>665000</v>
          </cell>
          <cell r="N1906">
            <v>526000</v>
          </cell>
          <cell r="P1906">
            <v>526000</v>
          </cell>
          <cell r="R1906">
            <v>526000</v>
          </cell>
          <cell r="T1906">
            <v>526000</v>
          </cell>
          <cell r="V1906">
            <v>526000</v>
          </cell>
          <cell r="X1906">
            <v>526000</v>
          </cell>
          <cell r="Z1906">
            <v>526000</v>
          </cell>
          <cell r="AD1906">
            <v>1.23</v>
          </cell>
        </row>
        <row r="1907">
          <cell r="E1907" t="str">
            <v>50Hz SR 30 Kvar 13%</v>
          </cell>
          <cell r="F1907" t="str">
            <v>台</v>
          </cell>
          <cell r="H1907">
            <v>574000</v>
          </cell>
          <cell r="J1907">
            <v>694000</v>
          </cell>
          <cell r="L1907">
            <v>694000</v>
          </cell>
          <cell r="N1907">
            <v>574000</v>
          </cell>
          <cell r="P1907">
            <v>574000</v>
          </cell>
          <cell r="R1907">
            <v>574000</v>
          </cell>
          <cell r="T1907">
            <v>574000</v>
          </cell>
          <cell r="V1907">
            <v>574000</v>
          </cell>
          <cell r="X1907">
            <v>574000</v>
          </cell>
          <cell r="Z1907">
            <v>574000</v>
          </cell>
          <cell r="AD1907">
            <v>1.4850000000000001</v>
          </cell>
        </row>
        <row r="1908">
          <cell r="E1908" t="str">
            <v>50Hz SR 50 Kvar 13%</v>
          </cell>
          <cell r="F1908" t="str">
            <v>台</v>
          </cell>
          <cell r="H1908">
            <v>617000</v>
          </cell>
          <cell r="J1908">
            <v>771000</v>
          </cell>
          <cell r="L1908">
            <v>771000</v>
          </cell>
          <cell r="N1908">
            <v>617000</v>
          </cell>
          <cell r="P1908">
            <v>617000</v>
          </cell>
          <cell r="R1908">
            <v>617000</v>
          </cell>
          <cell r="T1908">
            <v>617000</v>
          </cell>
          <cell r="V1908">
            <v>617000</v>
          </cell>
          <cell r="X1908">
            <v>617000</v>
          </cell>
          <cell r="Z1908">
            <v>617000</v>
          </cell>
          <cell r="AD1908">
            <v>1.611</v>
          </cell>
        </row>
        <row r="1909">
          <cell r="E1909" t="str">
            <v>50Hz SR 75 Kvar 13%</v>
          </cell>
          <cell r="F1909" t="str">
            <v>台</v>
          </cell>
          <cell r="H1909">
            <v>665000</v>
          </cell>
          <cell r="J1909">
            <v>842000</v>
          </cell>
          <cell r="L1909">
            <v>842000</v>
          </cell>
          <cell r="N1909">
            <v>665000</v>
          </cell>
          <cell r="P1909">
            <v>665000</v>
          </cell>
          <cell r="R1909">
            <v>665000</v>
          </cell>
          <cell r="T1909">
            <v>665000</v>
          </cell>
          <cell r="V1909">
            <v>665000</v>
          </cell>
          <cell r="X1909">
            <v>665000</v>
          </cell>
          <cell r="Z1909">
            <v>665000</v>
          </cell>
          <cell r="AD1909">
            <v>1.7470000000000001</v>
          </cell>
        </row>
        <row r="1910">
          <cell r="E1910" t="str">
            <v>50Hz SR100 Kvar 13%</v>
          </cell>
          <cell r="F1910" t="str">
            <v>台</v>
          </cell>
          <cell r="H1910">
            <v>694000</v>
          </cell>
          <cell r="J1910">
            <v>948000</v>
          </cell>
          <cell r="L1910">
            <v>948000</v>
          </cell>
          <cell r="N1910">
            <v>694000</v>
          </cell>
          <cell r="P1910">
            <v>694000</v>
          </cell>
          <cell r="R1910">
            <v>694000</v>
          </cell>
          <cell r="T1910">
            <v>694000</v>
          </cell>
          <cell r="V1910">
            <v>694000</v>
          </cell>
          <cell r="X1910">
            <v>694000</v>
          </cell>
          <cell r="Z1910">
            <v>694000</v>
          </cell>
          <cell r="AD1910">
            <v>2.1080000000000001</v>
          </cell>
        </row>
        <row r="1911">
          <cell r="E1911" t="str">
            <v>50Hz SR150 Kvar 13%</v>
          </cell>
          <cell r="F1911" t="str">
            <v>台</v>
          </cell>
          <cell r="H1911">
            <v>771000</v>
          </cell>
          <cell r="J1911">
            <v>1010000</v>
          </cell>
          <cell r="L1911">
            <v>1010000</v>
          </cell>
          <cell r="N1911">
            <v>771000</v>
          </cell>
          <cell r="P1911">
            <v>771000</v>
          </cell>
          <cell r="R1911">
            <v>771000</v>
          </cell>
          <cell r="T1911">
            <v>771000</v>
          </cell>
          <cell r="V1911">
            <v>771000</v>
          </cell>
          <cell r="X1911">
            <v>771000</v>
          </cell>
          <cell r="Z1911">
            <v>771000</v>
          </cell>
          <cell r="AD1911">
            <v>2.3330000000000002</v>
          </cell>
        </row>
        <row r="1912">
          <cell r="E1912" t="str">
            <v>50Hz SR200 Kvar 13%</v>
          </cell>
          <cell r="F1912" t="str">
            <v>台</v>
          </cell>
          <cell r="H1912">
            <v>842000</v>
          </cell>
          <cell r="J1912">
            <v>1530000</v>
          </cell>
          <cell r="L1912">
            <v>1530000</v>
          </cell>
          <cell r="N1912">
            <v>842000</v>
          </cell>
          <cell r="P1912">
            <v>842000</v>
          </cell>
          <cell r="R1912">
            <v>842000</v>
          </cell>
          <cell r="T1912">
            <v>842000</v>
          </cell>
          <cell r="V1912">
            <v>842000</v>
          </cell>
          <cell r="X1912">
            <v>842000</v>
          </cell>
          <cell r="Z1912">
            <v>842000</v>
          </cell>
          <cell r="AD1912">
            <v>2.492</v>
          </cell>
        </row>
        <row r="1913">
          <cell r="E1913" t="str">
            <v>50Hz SR250 Kvar 13%</v>
          </cell>
          <cell r="F1913" t="str">
            <v>台</v>
          </cell>
          <cell r="H1913">
            <v>948000</v>
          </cell>
          <cell r="J1913">
            <v>515000</v>
          </cell>
          <cell r="L1913">
            <v>515000</v>
          </cell>
          <cell r="N1913">
            <v>948000</v>
          </cell>
          <cell r="P1913">
            <v>948000</v>
          </cell>
          <cell r="R1913">
            <v>948000</v>
          </cell>
          <cell r="T1913">
            <v>948000</v>
          </cell>
          <cell r="V1913">
            <v>948000</v>
          </cell>
          <cell r="X1913">
            <v>948000</v>
          </cell>
          <cell r="Z1913">
            <v>948000</v>
          </cell>
          <cell r="AD1913">
            <v>3.008</v>
          </cell>
        </row>
        <row r="1914">
          <cell r="E1914" t="str">
            <v>50Hz SR300 Kvar 13%</v>
          </cell>
          <cell r="F1914" t="str">
            <v>台</v>
          </cell>
          <cell r="H1914">
            <v>1010000</v>
          </cell>
          <cell r="J1914">
            <v>515000</v>
          </cell>
          <cell r="L1914">
            <v>515000</v>
          </cell>
          <cell r="N1914">
            <v>1010000</v>
          </cell>
          <cell r="P1914">
            <v>1010000</v>
          </cell>
          <cell r="R1914">
            <v>1010000</v>
          </cell>
          <cell r="T1914">
            <v>1010000</v>
          </cell>
          <cell r="V1914">
            <v>1010000</v>
          </cell>
          <cell r="X1914">
            <v>1010000</v>
          </cell>
          <cell r="Z1914">
            <v>1010000</v>
          </cell>
          <cell r="AD1914">
            <v>3.63</v>
          </cell>
        </row>
        <row r="1915">
          <cell r="E1915" t="str">
            <v>50Hz SR500 Kvar 13%</v>
          </cell>
          <cell r="F1915" t="str">
            <v>台</v>
          </cell>
          <cell r="H1915">
            <v>1530000</v>
          </cell>
          <cell r="J1915">
            <v>515000</v>
          </cell>
          <cell r="L1915">
            <v>515000</v>
          </cell>
          <cell r="N1915">
            <v>1530000</v>
          </cell>
          <cell r="P1915">
            <v>1530000</v>
          </cell>
          <cell r="R1915">
            <v>1530000</v>
          </cell>
          <cell r="T1915">
            <v>1530000</v>
          </cell>
          <cell r="V1915">
            <v>1530000</v>
          </cell>
          <cell r="X1915">
            <v>1530000</v>
          </cell>
          <cell r="Z1915">
            <v>1530000</v>
          </cell>
          <cell r="AD1915">
            <v>3.9369999999999998</v>
          </cell>
        </row>
        <row r="1916">
          <cell r="E1916" t="str">
            <v>60Hz SR 12 Kvar 13%</v>
          </cell>
          <cell r="F1916" t="str">
            <v>台</v>
          </cell>
          <cell r="H1916">
            <v>515000</v>
          </cell>
          <cell r="J1916">
            <v>515000</v>
          </cell>
          <cell r="L1916">
            <v>515000</v>
          </cell>
          <cell r="N1916">
            <v>515000</v>
          </cell>
          <cell r="P1916">
            <v>515000</v>
          </cell>
          <cell r="R1916">
            <v>515000</v>
          </cell>
          <cell r="T1916">
            <v>515000</v>
          </cell>
          <cell r="V1916">
            <v>515000</v>
          </cell>
          <cell r="X1916">
            <v>515000</v>
          </cell>
          <cell r="Z1916">
            <v>515000</v>
          </cell>
          <cell r="AD1916">
            <v>0.77900000000000003</v>
          </cell>
        </row>
        <row r="1917">
          <cell r="E1917" t="str">
            <v>60Hz SR 18 Kvar 13%</v>
          </cell>
          <cell r="F1917" t="str">
            <v>台</v>
          </cell>
          <cell r="H1917">
            <v>515000</v>
          </cell>
          <cell r="J1917">
            <v>562000</v>
          </cell>
          <cell r="L1917">
            <v>562000</v>
          </cell>
          <cell r="N1917">
            <v>515000</v>
          </cell>
          <cell r="P1917">
            <v>515000</v>
          </cell>
          <cell r="R1917">
            <v>515000</v>
          </cell>
          <cell r="T1917">
            <v>515000</v>
          </cell>
          <cell r="V1917">
            <v>515000</v>
          </cell>
          <cell r="X1917">
            <v>515000</v>
          </cell>
          <cell r="Z1917">
            <v>515000</v>
          </cell>
          <cell r="AD1917">
            <v>0.84399999999999997</v>
          </cell>
        </row>
        <row r="1918">
          <cell r="E1918" t="str">
            <v>60Hz SR 24 Kvar 13%</v>
          </cell>
          <cell r="F1918" t="str">
            <v>台</v>
          </cell>
          <cell r="H1918">
            <v>515000</v>
          </cell>
          <cell r="J1918">
            <v>604000</v>
          </cell>
          <cell r="L1918">
            <v>604000</v>
          </cell>
          <cell r="N1918">
            <v>515000</v>
          </cell>
          <cell r="P1918">
            <v>515000</v>
          </cell>
          <cell r="R1918">
            <v>515000</v>
          </cell>
          <cell r="T1918">
            <v>515000</v>
          </cell>
          <cell r="V1918">
            <v>515000</v>
          </cell>
          <cell r="X1918">
            <v>515000</v>
          </cell>
          <cell r="Z1918">
            <v>515000</v>
          </cell>
          <cell r="AD1918">
            <v>1.0189999999999999</v>
          </cell>
        </row>
        <row r="1919">
          <cell r="E1919" t="str">
            <v>60Hz SR 30 Kvar 13%</v>
          </cell>
          <cell r="F1919" t="str">
            <v>台</v>
          </cell>
          <cell r="H1919">
            <v>515000</v>
          </cell>
          <cell r="J1919">
            <v>642000</v>
          </cell>
          <cell r="L1919">
            <v>642000</v>
          </cell>
          <cell r="N1919">
            <v>515000</v>
          </cell>
          <cell r="P1919">
            <v>515000</v>
          </cell>
          <cell r="R1919">
            <v>515000</v>
          </cell>
          <cell r="T1919">
            <v>515000</v>
          </cell>
          <cell r="V1919">
            <v>515000</v>
          </cell>
          <cell r="X1919">
            <v>515000</v>
          </cell>
          <cell r="Z1919">
            <v>515000</v>
          </cell>
          <cell r="AD1919">
            <v>1.23</v>
          </cell>
        </row>
        <row r="1920">
          <cell r="E1920" t="str">
            <v>60Hz SR 36 Kvar 13%</v>
          </cell>
          <cell r="F1920" t="str">
            <v>台</v>
          </cell>
          <cell r="H1920">
            <v>562000</v>
          </cell>
          <cell r="J1920">
            <v>680000</v>
          </cell>
          <cell r="L1920">
            <v>680000</v>
          </cell>
          <cell r="N1920">
            <v>562000</v>
          </cell>
          <cell r="P1920">
            <v>562000</v>
          </cell>
          <cell r="R1920">
            <v>562000</v>
          </cell>
          <cell r="T1920">
            <v>562000</v>
          </cell>
          <cell r="V1920">
            <v>562000</v>
          </cell>
          <cell r="X1920">
            <v>562000</v>
          </cell>
          <cell r="Z1920">
            <v>562000</v>
          </cell>
          <cell r="AD1920">
            <v>1.4850000000000001</v>
          </cell>
        </row>
        <row r="1921">
          <cell r="E1921" t="str">
            <v>60Hz SR 50 Kvar 13%</v>
          </cell>
          <cell r="F1921" t="str">
            <v>台</v>
          </cell>
          <cell r="H1921">
            <v>604000</v>
          </cell>
          <cell r="J1921">
            <v>756000</v>
          </cell>
          <cell r="L1921">
            <v>756000</v>
          </cell>
          <cell r="N1921">
            <v>604000</v>
          </cell>
          <cell r="P1921">
            <v>604000</v>
          </cell>
          <cell r="R1921">
            <v>604000</v>
          </cell>
          <cell r="T1921">
            <v>604000</v>
          </cell>
          <cell r="V1921">
            <v>604000</v>
          </cell>
          <cell r="X1921">
            <v>604000</v>
          </cell>
          <cell r="Z1921">
            <v>604000</v>
          </cell>
          <cell r="AD1921">
            <v>1.611</v>
          </cell>
        </row>
        <row r="1922">
          <cell r="E1922" t="str">
            <v>60Hz SR 75 Kvar 13%</v>
          </cell>
          <cell r="F1922" t="str">
            <v>台</v>
          </cell>
          <cell r="H1922">
            <v>642000</v>
          </cell>
          <cell r="J1922">
            <v>826000</v>
          </cell>
          <cell r="L1922">
            <v>826000</v>
          </cell>
          <cell r="N1922">
            <v>642000</v>
          </cell>
          <cell r="P1922">
            <v>642000</v>
          </cell>
          <cell r="R1922">
            <v>642000</v>
          </cell>
          <cell r="T1922">
            <v>642000</v>
          </cell>
          <cell r="V1922">
            <v>642000</v>
          </cell>
          <cell r="X1922">
            <v>642000</v>
          </cell>
          <cell r="Z1922">
            <v>642000</v>
          </cell>
          <cell r="AD1922">
            <v>1.7470000000000001</v>
          </cell>
        </row>
        <row r="1923">
          <cell r="E1923" t="str">
            <v>60Hz SR100 Kvar 13%</v>
          </cell>
          <cell r="F1923" t="str">
            <v>台</v>
          </cell>
          <cell r="H1923">
            <v>680000</v>
          </cell>
          <cell r="J1923">
            <v>928000</v>
          </cell>
          <cell r="L1923">
            <v>928000</v>
          </cell>
          <cell r="N1923">
            <v>680000</v>
          </cell>
          <cell r="P1923">
            <v>680000</v>
          </cell>
          <cell r="R1923">
            <v>680000</v>
          </cell>
          <cell r="T1923">
            <v>680000</v>
          </cell>
          <cell r="V1923">
            <v>680000</v>
          </cell>
          <cell r="X1923">
            <v>680000</v>
          </cell>
          <cell r="Z1923">
            <v>680000</v>
          </cell>
          <cell r="AD1923">
            <v>2.1080000000000001</v>
          </cell>
        </row>
        <row r="1924">
          <cell r="E1924" t="str">
            <v>60Hz SR150 Kvar 13%</v>
          </cell>
          <cell r="F1924" t="str">
            <v>台</v>
          </cell>
          <cell r="H1924">
            <v>756000</v>
          </cell>
          <cell r="J1924">
            <v>998000</v>
          </cell>
          <cell r="L1924">
            <v>998000</v>
          </cell>
          <cell r="N1924">
            <v>756000</v>
          </cell>
          <cell r="P1924">
            <v>756000</v>
          </cell>
          <cell r="R1924">
            <v>756000</v>
          </cell>
          <cell r="T1924">
            <v>756000</v>
          </cell>
          <cell r="V1924">
            <v>756000</v>
          </cell>
          <cell r="X1924">
            <v>756000</v>
          </cell>
          <cell r="Z1924">
            <v>756000</v>
          </cell>
          <cell r="AD1924">
            <v>2.3330000000000002</v>
          </cell>
        </row>
        <row r="1925">
          <cell r="E1925" t="str">
            <v>60Hz SR200 Kvar 13%</v>
          </cell>
          <cell r="F1925" t="str">
            <v>台</v>
          </cell>
          <cell r="H1925">
            <v>826000</v>
          </cell>
          <cell r="J1925">
            <v>1490000</v>
          </cell>
          <cell r="L1925">
            <v>1490000</v>
          </cell>
          <cell r="N1925">
            <v>826000</v>
          </cell>
          <cell r="P1925">
            <v>826000</v>
          </cell>
          <cell r="R1925">
            <v>826000</v>
          </cell>
          <cell r="T1925">
            <v>826000</v>
          </cell>
          <cell r="V1925">
            <v>826000</v>
          </cell>
          <cell r="X1925">
            <v>826000</v>
          </cell>
          <cell r="Z1925">
            <v>826000</v>
          </cell>
          <cell r="AD1925">
            <v>2.492</v>
          </cell>
        </row>
        <row r="1926">
          <cell r="E1926" t="str">
            <v>60Hz SR250 Kvar 13%</v>
          </cell>
          <cell r="F1926" t="str">
            <v>台</v>
          </cell>
          <cell r="H1926">
            <v>928000</v>
          </cell>
          <cell r="J1926">
            <v>82300</v>
          </cell>
          <cell r="L1926">
            <v>82300</v>
          </cell>
          <cell r="N1926">
            <v>928000</v>
          </cell>
          <cell r="P1926">
            <v>928000</v>
          </cell>
          <cell r="R1926">
            <v>928000</v>
          </cell>
          <cell r="T1926">
            <v>928000</v>
          </cell>
          <cell r="V1926">
            <v>928000</v>
          </cell>
          <cell r="X1926">
            <v>928000</v>
          </cell>
          <cell r="Z1926">
            <v>928000</v>
          </cell>
          <cell r="AD1926">
            <v>3.008</v>
          </cell>
        </row>
        <row r="1927">
          <cell r="E1927" t="str">
            <v>60Hz SR300 Kvar 13%</v>
          </cell>
          <cell r="F1927" t="str">
            <v>台</v>
          </cell>
          <cell r="H1927">
            <v>998000</v>
          </cell>
          <cell r="J1927">
            <v>368000</v>
          </cell>
          <cell r="L1927">
            <v>368000</v>
          </cell>
          <cell r="N1927">
            <v>998000</v>
          </cell>
          <cell r="P1927">
            <v>998000</v>
          </cell>
          <cell r="R1927">
            <v>998000</v>
          </cell>
          <cell r="T1927">
            <v>998000</v>
          </cell>
          <cell r="V1927">
            <v>998000</v>
          </cell>
          <cell r="X1927">
            <v>998000</v>
          </cell>
          <cell r="Z1927">
            <v>998000</v>
          </cell>
          <cell r="AD1927">
            <v>3.63</v>
          </cell>
        </row>
        <row r="1928">
          <cell r="E1928" t="str">
            <v>60Hz SR500 Kvar 13%</v>
          </cell>
          <cell r="F1928" t="str">
            <v>台</v>
          </cell>
          <cell r="H1928">
            <v>1490000</v>
          </cell>
          <cell r="J1928">
            <v>90000</v>
          </cell>
          <cell r="L1928">
            <v>90000</v>
          </cell>
          <cell r="N1928">
            <v>1490000</v>
          </cell>
          <cell r="P1928">
            <v>1490000</v>
          </cell>
          <cell r="R1928">
            <v>1490000</v>
          </cell>
          <cell r="T1928">
            <v>1490000</v>
          </cell>
          <cell r="V1928">
            <v>1490000</v>
          </cell>
          <cell r="X1928">
            <v>1490000</v>
          </cell>
          <cell r="Z1928">
            <v>1490000</v>
          </cell>
          <cell r="AD1928">
            <v>3.9369999999999998</v>
          </cell>
        </row>
        <row r="1929">
          <cell r="E1929" t="str">
            <v>LBS7.2KV200A(PF付)</v>
          </cell>
          <cell r="F1929" t="str">
            <v>台</v>
          </cell>
          <cell r="H1929">
            <v>82300</v>
          </cell>
          <cell r="J1929">
            <v>129000</v>
          </cell>
          <cell r="L1929">
            <v>129000</v>
          </cell>
          <cell r="N1929">
            <v>82300</v>
          </cell>
          <cell r="P1929">
            <v>82300</v>
          </cell>
          <cell r="R1929">
            <v>82300</v>
          </cell>
          <cell r="T1929">
            <v>82300</v>
          </cell>
          <cell r="V1929">
            <v>82300</v>
          </cell>
          <cell r="X1929">
            <v>82300</v>
          </cell>
          <cell r="Z1929">
            <v>82300</v>
          </cell>
          <cell r="AD1929">
            <v>0.82299999999999995</v>
          </cell>
        </row>
        <row r="1930">
          <cell r="E1930" t="str">
            <v>VMC 7.2KV 200A</v>
          </cell>
          <cell r="F1930" t="str">
            <v>台</v>
          </cell>
          <cell r="H1930">
            <v>368000</v>
          </cell>
          <cell r="J1930">
            <v>155000</v>
          </cell>
          <cell r="L1930">
            <v>155000</v>
          </cell>
          <cell r="N1930">
            <v>368000</v>
          </cell>
          <cell r="P1930">
            <v>368000</v>
          </cell>
          <cell r="R1930">
            <v>368000</v>
          </cell>
          <cell r="T1930">
            <v>368000</v>
          </cell>
          <cell r="V1930">
            <v>368000</v>
          </cell>
          <cell r="X1930">
            <v>368000</v>
          </cell>
          <cell r="Z1930">
            <v>368000</v>
          </cell>
          <cell r="AD1930">
            <v>0.94599999999999995</v>
          </cell>
        </row>
        <row r="1931">
          <cell r="E1931" t="str">
            <v>PAS 7.2KV200A 重</v>
          </cell>
          <cell r="F1931" t="str">
            <v>台</v>
          </cell>
          <cell r="H1931">
            <v>90000</v>
          </cell>
          <cell r="J1931">
            <v>129000</v>
          </cell>
          <cell r="L1931">
            <v>129000</v>
          </cell>
          <cell r="N1931">
            <v>90000</v>
          </cell>
          <cell r="P1931">
            <v>90000</v>
          </cell>
          <cell r="R1931">
            <v>90000</v>
          </cell>
          <cell r="T1931">
            <v>90000</v>
          </cell>
          <cell r="V1931">
            <v>90000</v>
          </cell>
          <cell r="X1931">
            <v>90000</v>
          </cell>
          <cell r="Z1931">
            <v>90000</v>
          </cell>
          <cell r="AD1931">
            <v>1.1499999999999999</v>
          </cell>
        </row>
        <row r="1932">
          <cell r="E1932" t="str">
            <v>PAS 7.2KV300A 重</v>
          </cell>
          <cell r="F1932" t="str">
            <v>台</v>
          </cell>
          <cell r="H1932">
            <v>129000</v>
          </cell>
          <cell r="J1932">
            <v>204000</v>
          </cell>
          <cell r="L1932">
            <v>204000</v>
          </cell>
          <cell r="N1932">
            <v>129000</v>
          </cell>
          <cell r="P1932">
            <v>129000</v>
          </cell>
          <cell r="R1932">
            <v>129000</v>
          </cell>
          <cell r="T1932">
            <v>129000</v>
          </cell>
          <cell r="V1932">
            <v>129000</v>
          </cell>
          <cell r="X1932">
            <v>129000</v>
          </cell>
          <cell r="Z1932">
            <v>129000</v>
          </cell>
          <cell r="AD1932">
            <v>1.28</v>
          </cell>
        </row>
        <row r="1933">
          <cell r="E1933" t="str">
            <v>PAS 7.2KV400A 重</v>
          </cell>
          <cell r="F1933" t="str">
            <v>台</v>
          </cell>
          <cell r="H1933">
            <v>155000</v>
          </cell>
          <cell r="J1933">
            <v>234000</v>
          </cell>
          <cell r="L1933">
            <v>234000</v>
          </cell>
          <cell r="N1933">
            <v>155000</v>
          </cell>
          <cell r="P1933">
            <v>155000</v>
          </cell>
          <cell r="R1933">
            <v>155000</v>
          </cell>
          <cell r="T1933">
            <v>155000</v>
          </cell>
          <cell r="V1933">
            <v>155000</v>
          </cell>
          <cell r="X1933">
            <v>155000</v>
          </cell>
          <cell r="Z1933">
            <v>155000</v>
          </cell>
          <cell r="AD1933">
            <v>1.32</v>
          </cell>
        </row>
        <row r="1934">
          <cell r="E1934" t="str">
            <v>PAS 7.2KV200A GR</v>
          </cell>
          <cell r="F1934" t="str">
            <v>台</v>
          </cell>
          <cell r="H1934">
            <v>129000</v>
          </cell>
          <cell r="J1934">
            <v>247000</v>
          </cell>
          <cell r="L1934">
            <v>247000</v>
          </cell>
          <cell r="N1934">
            <v>129000</v>
          </cell>
          <cell r="P1934">
            <v>129000</v>
          </cell>
          <cell r="R1934">
            <v>129000</v>
          </cell>
          <cell r="T1934">
            <v>129000</v>
          </cell>
          <cell r="V1934">
            <v>129000</v>
          </cell>
          <cell r="X1934">
            <v>129000</v>
          </cell>
          <cell r="Z1934">
            <v>129000</v>
          </cell>
          <cell r="AD1934">
            <v>1.32</v>
          </cell>
        </row>
        <row r="1935">
          <cell r="E1935" t="str">
            <v>PAS 7.2KV300A GR</v>
          </cell>
          <cell r="F1935" t="str">
            <v>台</v>
          </cell>
          <cell r="H1935">
            <v>204000</v>
          </cell>
          <cell r="J1935">
            <v>362000</v>
          </cell>
          <cell r="L1935">
            <v>362000</v>
          </cell>
          <cell r="N1935">
            <v>204000</v>
          </cell>
          <cell r="P1935">
            <v>204000</v>
          </cell>
          <cell r="R1935">
            <v>204000</v>
          </cell>
          <cell r="T1935">
            <v>204000</v>
          </cell>
          <cell r="V1935">
            <v>204000</v>
          </cell>
          <cell r="X1935">
            <v>204000</v>
          </cell>
          <cell r="Z1935">
            <v>204000</v>
          </cell>
          <cell r="AD1935">
            <v>1.48</v>
          </cell>
        </row>
        <row r="1936">
          <cell r="E1936" t="str">
            <v>PAS 7.2KV400A GR</v>
          </cell>
          <cell r="F1936" t="str">
            <v>台</v>
          </cell>
          <cell r="H1936">
            <v>234000</v>
          </cell>
          <cell r="J1936">
            <v>125000</v>
          </cell>
          <cell r="L1936">
            <v>125000</v>
          </cell>
          <cell r="N1936">
            <v>234000</v>
          </cell>
          <cell r="P1936">
            <v>234000</v>
          </cell>
          <cell r="R1936">
            <v>234000</v>
          </cell>
          <cell r="T1936">
            <v>234000</v>
          </cell>
          <cell r="V1936">
            <v>234000</v>
          </cell>
          <cell r="X1936">
            <v>234000</v>
          </cell>
          <cell r="Z1936">
            <v>234000</v>
          </cell>
          <cell r="AD1936">
            <v>1.52</v>
          </cell>
        </row>
        <row r="1937">
          <cell r="E1937" t="str">
            <v>PAS 7.2KV200A DGR</v>
          </cell>
          <cell r="F1937" t="str">
            <v>台</v>
          </cell>
          <cell r="H1937">
            <v>247000</v>
          </cell>
          <cell r="J1937">
            <v>242000</v>
          </cell>
          <cell r="L1937">
            <v>242000</v>
          </cell>
          <cell r="N1937">
            <v>247000</v>
          </cell>
          <cell r="P1937">
            <v>247000</v>
          </cell>
          <cell r="R1937">
            <v>247000</v>
          </cell>
          <cell r="T1937">
            <v>247000</v>
          </cell>
          <cell r="V1937">
            <v>247000</v>
          </cell>
          <cell r="X1937">
            <v>247000</v>
          </cell>
          <cell r="Z1937">
            <v>247000</v>
          </cell>
          <cell r="AD1937">
            <v>1.32</v>
          </cell>
        </row>
        <row r="1938">
          <cell r="E1938" t="str">
            <v>PAS 7.2KV300A DGR</v>
          </cell>
          <cell r="F1938" t="str">
            <v>台</v>
          </cell>
          <cell r="H1938">
            <v>362000</v>
          </cell>
          <cell r="J1938">
            <v>249000</v>
          </cell>
          <cell r="L1938">
            <v>249000</v>
          </cell>
          <cell r="N1938">
            <v>362000</v>
          </cell>
          <cell r="P1938">
            <v>362000</v>
          </cell>
          <cell r="R1938">
            <v>362000</v>
          </cell>
          <cell r="T1938">
            <v>362000</v>
          </cell>
          <cell r="V1938">
            <v>362000</v>
          </cell>
          <cell r="X1938">
            <v>362000</v>
          </cell>
          <cell r="Z1938">
            <v>362000</v>
          </cell>
          <cell r="AD1938">
            <v>1.48</v>
          </cell>
        </row>
        <row r="1939">
          <cell r="E1939" t="str">
            <v>PAS 7.2KV200A 重GR</v>
          </cell>
          <cell r="F1939" t="str">
            <v>台</v>
          </cell>
          <cell r="H1939">
            <v>125000</v>
          </cell>
          <cell r="J1939">
            <v>405000</v>
          </cell>
          <cell r="L1939">
            <v>405000</v>
          </cell>
          <cell r="N1939">
            <v>125000</v>
          </cell>
          <cell r="P1939">
            <v>125000</v>
          </cell>
          <cell r="R1939">
            <v>125000</v>
          </cell>
          <cell r="T1939">
            <v>125000</v>
          </cell>
          <cell r="V1939">
            <v>125000</v>
          </cell>
          <cell r="X1939">
            <v>125000</v>
          </cell>
          <cell r="Z1939">
            <v>125000</v>
          </cell>
          <cell r="AD1939">
            <v>1.32</v>
          </cell>
        </row>
        <row r="1940">
          <cell r="E1940" t="str">
            <v>PAS 7.2KV200A 重DGR</v>
          </cell>
          <cell r="F1940" t="str">
            <v>台</v>
          </cell>
          <cell r="H1940">
            <v>242000</v>
          </cell>
          <cell r="J1940">
            <v>445000</v>
          </cell>
          <cell r="L1940">
            <v>445000</v>
          </cell>
          <cell r="N1940">
            <v>242000</v>
          </cell>
          <cell r="P1940">
            <v>242000</v>
          </cell>
          <cell r="R1940">
            <v>242000</v>
          </cell>
          <cell r="T1940">
            <v>242000</v>
          </cell>
          <cell r="V1940">
            <v>242000</v>
          </cell>
          <cell r="X1940">
            <v>242000</v>
          </cell>
          <cell r="Z1940">
            <v>242000</v>
          </cell>
          <cell r="AD1940">
            <v>1.32</v>
          </cell>
        </row>
        <row r="1941">
          <cell r="E1941" t="str">
            <v>PAS 7.2KV300A 重GR</v>
          </cell>
          <cell r="F1941" t="str">
            <v>台</v>
          </cell>
          <cell r="H1941">
            <v>249000</v>
          </cell>
          <cell r="J1941">
            <v>132000</v>
          </cell>
          <cell r="L1941">
            <v>132000</v>
          </cell>
          <cell r="N1941">
            <v>249000</v>
          </cell>
          <cell r="P1941">
            <v>249000</v>
          </cell>
          <cell r="R1941">
            <v>249000</v>
          </cell>
          <cell r="T1941">
            <v>249000</v>
          </cell>
          <cell r="V1941">
            <v>249000</v>
          </cell>
          <cell r="X1941">
            <v>249000</v>
          </cell>
          <cell r="Z1941">
            <v>249000</v>
          </cell>
          <cell r="AD1941">
            <v>1.48</v>
          </cell>
        </row>
        <row r="1942">
          <cell r="E1942" t="str">
            <v>PAS 7.2KV300A 重DGR</v>
          </cell>
          <cell r="F1942" t="str">
            <v>台</v>
          </cell>
          <cell r="H1942">
            <v>405000</v>
          </cell>
          <cell r="J1942">
            <v>227000</v>
          </cell>
          <cell r="L1942">
            <v>227000</v>
          </cell>
          <cell r="N1942">
            <v>405000</v>
          </cell>
          <cell r="P1942">
            <v>405000</v>
          </cell>
          <cell r="R1942">
            <v>405000</v>
          </cell>
          <cell r="T1942">
            <v>405000</v>
          </cell>
          <cell r="V1942">
            <v>405000</v>
          </cell>
          <cell r="X1942">
            <v>405000</v>
          </cell>
          <cell r="Z1942">
            <v>405000</v>
          </cell>
          <cell r="AD1942">
            <v>1.48</v>
          </cell>
        </row>
        <row r="1943">
          <cell r="E1943" t="str">
            <v>PAS 7.2KV300A 重DGR・LA</v>
          </cell>
          <cell r="F1943" t="str">
            <v>台</v>
          </cell>
          <cell r="H1943">
            <v>445000</v>
          </cell>
          <cell r="J1943">
            <v>254000</v>
          </cell>
          <cell r="L1943">
            <v>254000</v>
          </cell>
          <cell r="N1943">
            <v>445000</v>
          </cell>
          <cell r="P1943">
            <v>445000</v>
          </cell>
          <cell r="R1943">
            <v>445000</v>
          </cell>
          <cell r="T1943">
            <v>445000</v>
          </cell>
          <cell r="V1943">
            <v>445000</v>
          </cell>
          <cell r="X1943">
            <v>445000</v>
          </cell>
          <cell r="Z1943">
            <v>445000</v>
          </cell>
          <cell r="AD1943">
            <v>1.48</v>
          </cell>
        </row>
        <row r="1944">
          <cell r="E1944" t="str">
            <v>PAS 7.2KV200A 塩GR</v>
          </cell>
          <cell r="F1944" t="str">
            <v>台</v>
          </cell>
          <cell r="H1944">
            <v>132000</v>
          </cell>
          <cell r="J1944">
            <v>415000</v>
          </cell>
          <cell r="L1944">
            <v>415000</v>
          </cell>
          <cell r="N1944">
            <v>132000</v>
          </cell>
          <cell r="P1944">
            <v>132000</v>
          </cell>
          <cell r="R1944">
            <v>132000</v>
          </cell>
          <cell r="T1944">
            <v>132000</v>
          </cell>
          <cell r="V1944">
            <v>132000</v>
          </cell>
          <cell r="X1944">
            <v>132000</v>
          </cell>
          <cell r="Z1944">
            <v>132000</v>
          </cell>
          <cell r="AD1944">
            <v>1.32</v>
          </cell>
        </row>
        <row r="1945">
          <cell r="E1945" t="str">
            <v>PAS 7.2KV300A 塩GR</v>
          </cell>
          <cell r="F1945" t="str">
            <v>台</v>
          </cell>
          <cell r="H1945">
            <v>227000</v>
          </cell>
          <cell r="J1945">
            <v>800000</v>
          </cell>
          <cell r="L1945">
            <v>800000</v>
          </cell>
          <cell r="N1945">
            <v>227000</v>
          </cell>
          <cell r="P1945">
            <v>227000</v>
          </cell>
          <cell r="R1945">
            <v>227000</v>
          </cell>
          <cell r="T1945">
            <v>227000</v>
          </cell>
          <cell r="V1945">
            <v>227000</v>
          </cell>
          <cell r="X1945">
            <v>227000</v>
          </cell>
          <cell r="Z1945">
            <v>227000</v>
          </cell>
          <cell r="AD1945">
            <v>1.48</v>
          </cell>
        </row>
        <row r="1946">
          <cell r="E1946" t="str">
            <v>PAS 7.2KV200A 塩DGR</v>
          </cell>
          <cell r="F1946" t="str">
            <v>台</v>
          </cell>
          <cell r="H1946">
            <v>254000</v>
          </cell>
          <cell r="J1946">
            <v>900000</v>
          </cell>
          <cell r="L1946">
            <v>900000</v>
          </cell>
          <cell r="N1946">
            <v>254000</v>
          </cell>
          <cell r="P1946">
            <v>254000</v>
          </cell>
          <cell r="R1946">
            <v>254000</v>
          </cell>
          <cell r="T1946">
            <v>254000</v>
          </cell>
          <cell r="V1946">
            <v>254000</v>
          </cell>
          <cell r="X1946">
            <v>254000</v>
          </cell>
          <cell r="Z1946">
            <v>254000</v>
          </cell>
          <cell r="AD1946">
            <v>1.32</v>
          </cell>
        </row>
        <row r="1947">
          <cell r="E1947" t="str">
            <v>PAS 7.2KV300A 塩DGR</v>
          </cell>
          <cell r="F1947" t="str">
            <v>台</v>
          </cell>
          <cell r="H1947">
            <v>415000</v>
          </cell>
          <cell r="J1947">
            <v>1000000</v>
          </cell>
          <cell r="L1947">
            <v>1000000</v>
          </cell>
          <cell r="N1947">
            <v>415000</v>
          </cell>
          <cell r="P1947">
            <v>415000</v>
          </cell>
          <cell r="R1947">
            <v>415000</v>
          </cell>
          <cell r="T1947">
            <v>415000</v>
          </cell>
          <cell r="V1947">
            <v>415000</v>
          </cell>
          <cell r="X1947">
            <v>415000</v>
          </cell>
          <cell r="Z1947">
            <v>415000</v>
          </cell>
          <cell r="AD1947">
            <v>1.48</v>
          </cell>
        </row>
        <row r="1948">
          <cell r="E1948" t="str">
            <v>自立型UGS7.2KV200ADGR</v>
          </cell>
          <cell r="F1948" t="str">
            <v>台</v>
          </cell>
          <cell r="H1948">
            <v>800000</v>
          </cell>
          <cell r="N1948">
            <v>800000</v>
          </cell>
          <cell r="P1948">
            <v>800000</v>
          </cell>
          <cell r="R1948">
            <v>800000</v>
          </cell>
          <cell r="T1948">
            <v>800000</v>
          </cell>
          <cell r="V1948">
            <v>800000</v>
          </cell>
          <cell r="X1948">
            <v>800000</v>
          </cell>
          <cell r="Z1948">
            <v>800000</v>
          </cell>
          <cell r="AD1948">
            <v>4</v>
          </cell>
        </row>
        <row r="1949">
          <cell r="E1949" t="str">
            <v>自立型UGS7.2KV300ADGR</v>
          </cell>
          <cell r="F1949" t="str">
            <v>台</v>
          </cell>
          <cell r="H1949">
            <v>900000</v>
          </cell>
          <cell r="N1949">
            <v>900000</v>
          </cell>
          <cell r="P1949">
            <v>900000</v>
          </cell>
          <cell r="R1949">
            <v>900000</v>
          </cell>
          <cell r="T1949">
            <v>900000</v>
          </cell>
          <cell r="V1949">
            <v>900000</v>
          </cell>
          <cell r="X1949">
            <v>900000</v>
          </cell>
          <cell r="Z1949">
            <v>900000</v>
          </cell>
          <cell r="AD1949">
            <v>4.5</v>
          </cell>
        </row>
        <row r="1950">
          <cell r="E1950" t="str">
            <v>自立型UGS7.2KV400ADGR</v>
          </cell>
          <cell r="F1950" t="str">
            <v>台</v>
          </cell>
          <cell r="H1950">
            <v>1000000</v>
          </cell>
          <cell r="N1950">
            <v>1000000</v>
          </cell>
          <cell r="P1950">
            <v>1000000</v>
          </cell>
          <cell r="R1950">
            <v>1000000</v>
          </cell>
          <cell r="T1950">
            <v>1000000</v>
          </cell>
          <cell r="V1950">
            <v>1000000</v>
          </cell>
          <cell r="X1950">
            <v>1000000</v>
          </cell>
          <cell r="Z1950">
            <v>1000000</v>
          </cell>
          <cell r="AD1950">
            <v>5</v>
          </cell>
        </row>
        <row r="1953">
          <cell r="E1953" t="str">
            <v>11_Users</v>
          </cell>
        </row>
        <row r="1954">
          <cell r="E1954" t="str">
            <v>11_Users</v>
          </cell>
        </row>
        <row r="1955">
          <cell r="E1955" t="str">
            <v>11_Users</v>
          </cell>
        </row>
        <row r="1956">
          <cell r="E1956" t="str">
            <v>11_Users</v>
          </cell>
        </row>
        <row r="1957">
          <cell r="E1957" t="str">
            <v>11_Users</v>
          </cell>
        </row>
        <row r="1958">
          <cell r="E1958" t="str">
            <v>11_Users</v>
          </cell>
        </row>
        <row r="1959">
          <cell r="E1959" t="str">
            <v>11_Users</v>
          </cell>
        </row>
        <row r="1960">
          <cell r="E1960" t="str">
            <v>11_Users</v>
          </cell>
        </row>
        <row r="1961">
          <cell r="E1961" t="str">
            <v>11_Users</v>
          </cell>
        </row>
        <row r="1962">
          <cell r="E1962" t="str">
            <v>11_Users</v>
          </cell>
        </row>
        <row r="1963">
          <cell r="E1963" t="str">
            <v>11_Users</v>
          </cell>
        </row>
        <row r="1964">
          <cell r="E1964" t="str">
            <v>11_Users</v>
          </cell>
        </row>
        <row r="1965">
          <cell r="E1965" t="str">
            <v>11_Users</v>
          </cell>
        </row>
        <row r="1966">
          <cell r="E1966" t="str">
            <v>11_Users</v>
          </cell>
        </row>
        <row r="1967">
          <cell r="E1967" t="str">
            <v>11_Users</v>
          </cell>
        </row>
        <row r="1968">
          <cell r="E1968" t="str">
            <v>11_Users</v>
          </cell>
        </row>
        <row r="1969">
          <cell r="E1969" t="str">
            <v>11_Users</v>
          </cell>
        </row>
        <row r="1970">
          <cell r="E1970" t="str">
            <v>11_Users</v>
          </cell>
        </row>
        <row r="1971">
          <cell r="E1971" t="str">
            <v>11_Users</v>
          </cell>
        </row>
        <row r="1972">
          <cell r="E1972" t="str">
            <v>11_Users</v>
          </cell>
        </row>
        <row r="1973">
          <cell r="E1973" t="str">
            <v>11_Users</v>
          </cell>
        </row>
        <row r="1974">
          <cell r="E1974" t="str">
            <v>11_Users</v>
          </cell>
        </row>
        <row r="1975">
          <cell r="E1975" t="str">
            <v>11_Users</v>
          </cell>
        </row>
        <row r="1976">
          <cell r="E1976" t="str">
            <v>11_Users</v>
          </cell>
        </row>
        <row r="1977">
          <cell r="E1977" t="str">
            <v>11_Users</v>
          </cell>
        </row>
        <row r="1978">
          <cell r="E1978" t="str">
            <v>11_Users</v>
          </cell>
        </row>
        <row r="1979">
          <cell r="E1979" t="str">
            <v>11_Users</v>
          </cell>
        </row>
        <row r="1980">
          <cell r="E1980" t="str">
            <v>11_Users</v>
          </cell>
        </row>
        <row r="1981">
          <cell r="E1981" t="str">
            <v>11_Users</v>
          </cell>
        </row>
        <row r="1982">
          <cell r="E1982" t="str">
            <v>11_Users</v>
          </cell>
        </row>
        <row r="1983">
          <cell r="E1983" t="str">
            <v>11_Users</v>
          </cell>
        </row>
        <row r="1984">
          <cell r="E1984" t="str">
            <v>11_Users</v>
          </cell>
        </row>
        <row r="1985">
          <cell r="E1985" t="str">
            <v>11_Users</v>
          </cell>
        </row>
        <row r="1986">
          <cell r="E1986" t="str">
            <v>11_Users</v>
          </cell>
        </row>
        <row r="1987">
          <cell r="E1987" t="str">
            <v>11_Users</v>
          </cell>
        </row>
        <row r="1988">
          <cell r="E1988" t="str">
            <v>11_Users</v>
          </cell>
        </row>
        <row r="1989">
          <cell r="E1989" t="str">
            <v>11_Users</v>
          </cell>
        </row>
        <row r="1990">
          <cell r="E1990" t="str">
            <v>11_Users</v>
          </cell>
        </row>
        <row r="1991">
          <cell r="E1991" t="str">
            <v>11_Users</v>
          </cell>
        </row>
        <row r="1992">
          <cell r="E1992" t="str">
            <v>11_Users</v>
          </cell>
        </row>
        <row r="1995">
          <cell r="E1995" t="str">
            <v>■Ｈｆウォールライト</v>
          </cell>
        </row>
        <row r="1996">
          <cell r="E1996" t="str">
            <v>B7-321PH</v>
          </cell>
          <cell r="F1996" t="str">
            <v>台</v>
          </cell>
          <cell r="H1996">
            <v>29000</v>
          </cell>
          <cell r="J1996">
            <v>29000</v>
          </cell>
          <cell r="L1996">
            <v>29000</v>
          </cell>
          <cell r="N1996">
            <v>29000</v>
          </cell>
          <cell r="P1996">
            <v>29000</v>
          </cell>
          <cell r="R1996">
            <v>29000</v>
          </cell>
          <cell r="T1996">
            <v>29000</v>
          </cell>
          <cell r="V1996">
            <v>29000</v>
          </cell>
          <cell r="X1996">
            <v>29000</v>
          </cell>
          <cell r="Z1996">
            <v>29000</v>
          </cell>
          <cell r="AD1996">
            <v>0.20899999999999999</v>
          </cell>
          <cell r="AG1996">
            <v>4950</v>
          </cell>
          <cell r="AH1996">
            <v>48</v>
          </cell>
          <cell r="AI1996">
            <v>0.97899999999999998</v>
          </cell>
          <cell r="AJ1996">
            <v>1</v>
          </cell>
          <cell r="AK1996">
            <v>49.02</v>
          </cell>
        </row>
        <row r="1997">
          <cell r="E1997" t="str">
            <v>■Ｈｆ片反射笠</v>
          </cell>
        </row>
        <row r="1998">
          <cell r="E1998" t="str">
            <v>S5-321PN</v>
          </cell>
          <cell r="F1998" t="str">
            <v>台</v>
          </cell>
          <cell r="H1998">
            <v>3460</v>
          </cell>
          <cell r="J1998">
            <v>3460</v>
          </cell>
          <cell r="L1998">
            <v>3460</v>
          </cell>
          <cell r="N1998">
            <v>3460</v>
          </cell>
          <cell r="P1998">
            <v>3460</v>
          </cell>
          <cell r="R1998">
            <v>3460</v>
          </cell>
          <cell r="T1998">
            <v>3460</v>
          </cell>
          <cell r="V1998">
            <v>3460</v>
          </cell>
          <cell r="X1998">
            <v>3460</v>
          </cell>
          <cell r="Z1998">
            <v>3460</v>
          </cell>
          <cell r="AD1998">
            <v>0.20899999999999999</v>
          </cell>
          <cell r="AG1998">
            <v>4950</v>
          </cell>
          <cell r="AH1998">
            <v>48</v>
          </cell>
          <cell r="AI1998">
            <v>0.97899999999999998</v>
          </cell>
          <cell r="AJ1998">
            <v>1</v>
          </cell>
          <cell r="AK1998">
            <v>49.02</v>
          </cell>
        </row>
        <row r="1999">
          <cell r="E1999" t="str">
            <v>S5-321PH</v>
          </cell>
          <cell r="F1999" t="str">
            <v>台</v>
          </cell>
          <cell r="H1999">
            <v>4420</v>
          </cell>
          <cell r="J1999">
            <v>4420</v>
          </cell>
          <cell r="L1999">
            <v>4420</v>
          </cell>
          <cell r="N1999">
            <v>4420</v>
          </cell>
          <cell r="P1999">
            <v>4420</v>
          </cell>
          <cell r="R1999">
            <v>4420</v>
          </cell>
          <cell r="T1999">
            <v>4420</v>
          </cell>
          <cell r="V1999">
            <v>4420</v>
          </cell>
          <cell r="X1999">
            <v>4420</v>
          </cell>
          <cell r="Z1999">
            <v>4420</v>
          </cell>
          <cell r="AD1999">
            <v>0.20899999999999999</v>
          </cell>
          <cell r="AG1999">
            <v>4950</v>
          </cell>
          <cell r="AH1999">
            <v>48</v>
          </cell>
          <cell r="AI1999">
            <v>0.97899999999999998</v>
          </cell>
          <cell r="AJ1999">
            <v>1</v>
          </cell>
          <cell r="AK1999">
            <v>49.02</v>
          </cell>
        </row>
        <row r="2000">
          <cell r="E2000" t="str">
            <v>S5-321PK</v>
          </cell>
          <cell r="F2000" t="str">
            <v>台</v>
          </cell>
          <cell r="H2000">
            <v>6460</v>
          </cell>
          <cell r="J2000">
            <v>6460</v>
          </cell>
          <cell r="L2000">
            <v>6460</v>
          </cell>
          <cell r="N2000">
            <v>6460</v>
          </cell>
          <cell r="P2000">
            <v>6460</v>
          </cell>
          <cell r="R2000">
            <v>6460</v>
          </cell>
          <cell r="T2000">
            <v>6460</v>
          </cell>
          <cell r="V2000">
            <v>6460</v>
          </cell>
          <cell r="X2000">
            <v>6460</v>
          </cell>
          <cell r="Z2000">
            <v>6460</v>
          </cell>
          <cell r="AD2000">
            <v>0.20899999999999999</v>
          </cell>
          <cell r="AG2000">
            <v>4950</v>
          </cell>
          <cell r="AH2000">
            <v>48</v>
          </cell>
          <cell r="AI2000">
            <v>0.97899999999999998</v>
          </cell>
          <cell r="AJ2000">
            <v>1</v>
          </cell>
          <cell r="AK2000">
            <v>49.02</v>
          </cell>
        </row>
        <row r="2001">
          <cell r="E2001" t="str">
            <v>■Ｈｆコーナー</v>
          </cell>
        </row>
        <row r="2002">
          <cell r="E2002" t="str">
            <v>B6-321PN</v>
          </cell>
          <cell r="F2002" t="str">
            <v>台</v>
          </cell>
          <cell r="H2002">
            <v>8500</v>
          </cell>
          <cell r="J2002">
            <v>8500</v>
          </cell>
          <cell r="L2002">
            <v>8500</v>
          </cell>
          <cell r="N2002">
            <v>8500</v>
          </cell>
          <cell r="P2002">
            <v>8500</v>
          </cell>
          <cell r="R2002">
            <v>8500</v>
          </cell>
          <cell r="T2002">
            <v>8500</v>
          </cell>
          <cell r="V2002">
            <v>8500</v>
          </cell>
          <cell r="X2002">
            <v>8500</v>
          </cell>
          <cell r="Z2002">
            <v>8500</v>
          </cell>
          <cell r="AD2002">
            <v>0.20899999999999999</v>
          </cell>
          <cell r="AG2002">
            <v>4950</v>
          </cell>
          <cell r="AH2002">
            <v>48</v>
          </cell>
          <cell r="AI2002">
            <v>0.97899999999999998</v>
          </cell>
          <cell r="AJ2002">
            <v>1</v>
          </cell>
          <cell r="AK2002">
            <v>49.02</v>
          </cell>
        </row>
        <row r="2003">
          <cell r="E2003" t="str">
            <v>B6-321PH</v>
          </cell>
          <cell r="F2003" t="str">
            <v>台</v>
          </cell>
          <cell r="H2003">
            <v>9620</v>
          </cell>
          <cell r="J2003">
            <v>9620</v>
          </cell>
          <cell r="L2003">
            <v>9620</v>
          </cell>
          <cell r="N2003">
            <v>9620</v>
          </cell>
          <cell r="P2003">
            <v>9620</v>
          </cell>
          <cell r="R2003">
            <v>9620</v>
          </cell>
          <cell r="T2003">
            <v>9620</v>
          </cell>
          <cell r="V2003">
            <v>9620</v>
          </cell>
          <cell r="X2003">
            <v>9620</v>
          </cell>
          <cell r="Z2003">
            <v>9620</v>
          </cell>
          <cell r="AD2003">
            <v>0.20899999999999999</v>
          </cell>
          <cell r="AG2003">
            <v>4950</v>
          </cell>
          <cell r="AH2003">
            <v>48</v>
          </cell>
          <cell r="AI2003">
            <v>0.97899999999999998</v>
          </cell>
          <cell r="AJ2003">
            <v>1</v>
          </cell>
          <cell r="AK2003">
            <v>49.02</v>
          </cell>
        </row>
        <row r="2004">
          <cell r="E2004" t="str">
            <v>B6-321PK</v>
          </cell>
          <cell r="F2004" t="str">
            <v>台</v>
          </cell>
          <cell r="H2004">
            <v>10600</v>
          </cell>
          <cell r="J2004">
            <v>10600</v>
          </cell>
          <cell r="L2004">
            <v>10600</v>
          </cell>
          <cell r="N2004">
            <v>10600</v>
          </cell>
          <cell r="P2004">
            <v>10600</v>
          </cell>
          <cell r="R2004">
            <v>10600</v>
          </cell>
          <cell r="T2004">
            <v>10600</v>
          </cell>
          <cell r="V2004">
            <v>10600</v>
          </cell>
          <cell r="X2004">
            <v>10600</v>
          </cell>
          <cell r="Z2004">
            <v>10600</v>
          </cell>
          <cell r="AD2004">
            <v>0.20899999999999999</v>
          </cell>
          <cell r="AG2004">
            <v>4950</v>
          </cell>
          <cell r="AH2004">
            <v>48</v>
          </cell>
          <cell r="AI2004">
            <v>0.97899999999999998</v>
          </cell>
          <cell r="AJ2004">
            <v>1</v>
          </cell>
          <cell r="AK2004">
            <v>49.02</v>
          </cell>
        </row>
        <row r="2005">
          <cell r="E2005" t="str">
            <v>■センサ付Ｈｆ開放埋込形</v>
          </cell>
        </row>
        <row r="2006">
          <cell r="E2006" t="str">
            <v>A26D-322PH</v>
          </cell>
          <cell r="F2006" t="str">
            <v>台</v>
          </cell>
          <cell r="H2006">
            <v>12700</v>
          </cell>
          <cell r="J2006">
            <v>12700</v>
          </cell>
          <cell r="L2006">
            <v>12700</v>
          </cell>
          <cell r="N2006">
            <v>12700</v>
          </cell>
          <cell r="P2006">
            <v>12700</v>
          </cell>
          <cell r="R2006">
            <v>12700</v>
          </cell>
          <cell r="T2006">
            <v>12700</v>
          </cell>
          <cell r="V2006">
            <v>12700</v>
          </cell>
          <cell r="X2006">
            <v>12700</v>
          </cell>
          <cell r="Z2006">
            <v>12700</v>
          </cell>
          <cell r="AD2006">
            <v>0.39100000000000001</v>
          </cell>
          <cell r="AG2006">
            <v>9900</v>
          </cell>
          <cell r="AH2006">
            <v>96</v>
          </cell>
          <cell r="AI2006">
            <v>0.98899999999999999</v>
          </cell>
          <cell r="AJ2006">
            <v>1</v>
          </cell>
          <cell r="AK2006">
            <v>97.06</v>
          </cell>
        </row>
        <row r="2007">
          <cell r="E2007" t="str">
            <v>■センサ付Ｈｆ反射笠埋込形</v>
          </cell>
        </row>
        <row r="2008">
          <cell r="E2008" t="str">
            <v>A2D-321PH</v>
          </cell>
          <cell r="F2008" t="str">
            <v>台</v>
          </cell>
          <cell r="H2008">
            <v>9350</v>
          </cell>
          <cell r="J2008">
            <v>9350</v>
          </cell>
          <cell r="L2008">
            <v>9350</v>
          </cell>
          <cell r="N2008">
            <v>9350</v>
          </cell>
          <cell r="P2008">
            <v>9350</v>
          </cell>
          <cell r="R2008">
            <v>9350</v>
          </cell>
          <cell r="T2008">
            <v>9350</v>
          </cell>
          <cell r="V2008">
            <v>9350</v>
          </cell>
          <cell r="X2008">
            <v>9350</v>
          </cell>
          <cell r="Z2008">
            <v>9350</v>
          </cell>
          <cell r="AD2008">
            <v>0.39100000000000001</v>
          </cell>
          <cell r="AG2008">
            <v>9900</v>
          </cell>
          <cell r="AH2008">
            <v>96</v>
          </cell>
          <cell r="AI2008">
            <v>0.98899999999999999</v>
          </cell>
          <cell r="AJ2008">
            <v>1</v>
          </cell>
          <cell r="AK2008">
            <v>97.06</v>
          </cell>
        </row>
        <row r="2009">
          <cell r="E2009" t="str">
            <v>A2D-322PH</v>
          </cell>
          <cell r="F2009" t="str">
            <v>台</v>
          </cell>
          <cell r="H2009">
            <v>11400</v>
          </cell>
          <cell r="J2009">
            <v>11400</v>
          </cell>
          <cell r="L2009">
            <v>11400</v>
          </cell>
          <cell r="N2009">
            <v>11400</v>
          </cell>
          <cell r="P2009">
            <v>11400</v>
          </cell>
          <cell r="R2009">
            <v>11400</v>
          </cell>
          <cell r="T2009">
            <v>11400</v>
          </cell>
          <cell r="V2009">
            <v>11400</v>
          </cell>
          <cell r="X2009">
            <v>11400</v>
          </cell>
          <cell r="Z2009">
            <v>11400</v>
          </cell>
          <cell r="AD2009">
            <v>0.39100000000000001</v>
          </cell>
          <cell r="AG2009">
            <v>9900</v>
          </cell>
          <cell r="AH2009">
            <v>96</v>
          </cell>
          <cell r="AI2009">
            <v>0.98899999999999999</v>
          </cell>
          <cell r="AJ2009">
            <v>1</v>
          </cell>
          <cell r="AK2009">
            <v>97.06</v>
          </cell>
        </row>
        <row r="2010">
          <cell r="E2010" t="str">
            <v>■センサ付Ｈｆ開放直付形</v>
          </cell>
        </row>
        <row r="2011">
          <cell r="E2011" t="str">
            <v>As6D-322PH</v>
          </cell>
          <cell r="F2011" t="str">
            <v>台</v>
          </cell>
          <cell r="H2011">
            <v>12900</v>
          </cell>
          <cell r="J2011">
            <v>12900</v>
          </cell>
          <cell r="L2011">
            <v>12900</v>
          </cell>
          <cell r="N2011">
            <v>12900</v>
          </cell>
          <cell r="P2011">
            <v>12900</v>
          </cell>
          <cell r="R2011">
            <v>12900</v>
          </cell>
          <cell r="T2011">
            <v>12900</v>
          </cell>
          <cell r="V2011">
            <v>12900</v>
          </cell>
          <cell r="X2011">
            <v>12900</v>
          </cell>
          <cell r="Z2011">
            <v>12900</v>
          </cell>
          <cell r="AD2011">
            <v>0.26100000000000001</v>
          </cell>
          <cell r="AG2011">
            <v>9900</v>
          </cell>
          <cell r="AH2011">
            <v>96</v>
          </cell>
          <cell r="AI2011">
            <v>0.98899999999999999</v>
          </cell>
          <cell r="AJ2011">
            <v>1</v>
          </cell>
          <cell r="AK2011">
            <v>97.06</v>
          </cell>
        </row>
        <row r="2012">
          <cell r="E2012" t="str">
            <v>■センサ付Ｈｆ開放直付形</v>
          </cell>
        </row>
        <row r="2013">
          <cell r="E2013" t="str">
            <v>V9D-321PH</v>
          </cell>
          <cell r="F2013" t="str">
            <v>台</v>
          </cell>
          <cell r="H2013">
            <v>9380</v>
          </cell>
          <cell r="J2013">
            <v>9380</v>
          </cell>
          <cell r="L2013">
            <v>9380</v>
          </cell>
          <cell r="N2013">
            <v>9380</v>
          </cell>
          <cell r="P2013">
            <v>9380</v>
          </cell>
          <cell r="R2013">
            <v>9380</v>
          </cell>
          <cell r="T2013">
            <v>9380</v>
          </cell>
          <cell r="V2013">
            <v>9380</v>
          </cell>
          <cell r="X2013">
            <v>9380</v>
          </cell>
          <cell r="Z2013">
            <v>9380</v>
          </cell>
          <cell r="AD2013">
            <v>0.20899999999999999</v>
          </cell>
          <cell r="AG2013">
            <v>4950</v>
          </cell>
          <cell r="AH2013">
            <v>48</v>
          </cell>
          <cell r="AI2013">
            <v>0.97899999999999998</v>
          </cell>
          <cell r="AJ2013">
            <v>1</v>
          </cell>
          <cell r="AK2013">
            <v>49.02</v>
          </cell>
        </row>
        <row r="2014">
          <cell r="E2014" t="str">
            <v>V9D-322PH</v>
          </cell>
          <cell r="F2014" t="str">
            <v>台</v>
          </cell>
          <cell r="H2014">
            <v>10500</v>
          </cell>
          <cell r="J2014">
            <v>10500</v>
          </cell>
          <cell r="L2014">
            <v>10500</v>
          </cell>
          <cell r="N2014">
            <v>10500</v>
          </cell>
          <cell r="P2014">
            <v>10500</v>
          </cell>
          <cell r="R2014">
            <v>10500</v>
          </cell>
          <cell r="T2014">
            <v>10500</v>
          </cell>
          <cell r="V2014">
            <v>10500</v>
          </cell>
          <cell r="X2014">
            <v>10500</v>
          </cell>
          <cell r="Z2014">
            <v>10500</v>
          </cell>
          <cell r="AD2014">
            <v>0.20899999999999999</v>
          </cell>
          <cell r="AG2014">
            <v>9900</v>
          </cell>
          <cell r="AH2014">
            <v>96</v>
          </cell>
          <cell r="AI2014">
            <v>0.98899999999999999</v>
          </cell>
          <cell r="AJ2014">
            <v>1</v>
          </cell>
          <cell r="AK2014">
            <v>97.06</v>
          </cell>
        </row>
        <row r="2015">
          <cell r="E2015" t="str">
            <v>■センサ付Ｈｆダウンライト</v>
          </cell>
        </row>
        <row r="2016">
          <cell r="E2016" t="str">
            <v>d2D-321PX</v>
          </cell>
          <cell r="F2016" t="str">
            <v>台</v>
          </cell>
          <cell r="H2016">
            <v>10900</v>
          </cell>
          <cell r="J2016">
            <v>10900</v>
          </cell>
          <cell r="L2016">
            <v>10900</v>
          </cell>
          <cell r="N2016">
            <v>10900</v>
          </cell>
          <cell r="P2016">
            <v>10900</v>
          </cell>
          <cell r="R2016">
            <v>10900</v>
          </cell>
          <cell r="T2016">
            <v>10900</v>
          </cell>
          <cell r="V2016">
            <v>10900</v>
          </cell>
          <cell r="X2016">
            <v>10900</v>
          </cell>
          <cell r="Z2016">
            <v>10900</v>
          </cell>
          <cell r="AD2016">
            <v>0.20899999999999999</v>
          </cell>
          <cell r="AG2016">
            <v>1800</v>
          </cell>
          <cell r="AH2016">
            <v>24</v>
          </cell>
          <cell r="AI2016">
            <v>0.98</v>
          </cell>
          <cell r="AJ2016">
            <v>1</v>
          </cell>
          <cell r="AK2016">
            <v>24.48</v>
          </cell>
        </row>
        <row r="2017">
          <cell r="E2017" t="str">
            <v>d2D-322PX</v>
          </cell>
          <cell r="F2017" t="str">
            <v>台</v>
          </cell>
          <cell r="H2017">
            <v>12100</v>
          </cell>
          <cell r="J2017">
            <v>12100</v>
          </cell>
          <cell r="L2017">
            <v>12100</v>
          </cell>
          <cell r="N2017">
            <v>12100</v>
          </cell>
          <cell r="P2017">
            <v>12100</v>
          </cell>
          <cell r="R2017">
            <v>12100</v>
          </cell>
          <cell r="T2017">
            <v>12100</v>
          </cell>
          <cell r="V2017">
            <v>12100</v>
          </cell>
          <cell r="X2017">
            <v>12100</v>
          </cell>
          <cell r="Z2017">
            <v>12100</v>
          </cell>
          <cell r="AD2017">
            <v>0.20899999999999999</v>
          </cell>
          <cell r="AG2017">
            <v>2400</v>
          </cell>
          <cell r="AH2017">
            <v>32</v>
          </cell>
          <cell r="AI2017">
            <v>0.98</v>
          </cell>
          <cell r="AJ2017">
            <v>1</v>
          </cell>
          <cell r="AK2017">
            <v>32.65</v>
          </cell>
        </row>
        <row r="2018">
          <cell r="E2018" t="str">
            <v>■センサ付Ｈｆ開放直付形</v>
          </cell>
        </row>
        <row r="2019">
          <cell r="E2019" t="str">
            <v>V6D-322PX</v>
          </cell>
          <cell r="F2019" t="str">
            <v>台</v>
          </cell>
          <cell r="H2019">
            <v>14100</v>
          </cell>
          <cell r="J2019">
            <v>14100</v>
          </cell>
          <cell r="L2019">
            <v>14100</v>
          </cell>
          <cell r="N2019">
            <v>14100</v>
          </cell>
          <cell r="P2019">
            <v>14100</v>
          </cell>
          <cell r="R2019">
            <v>14100</v>
          </cell>
          <cell r="T2019">
            <v>14100</v>
          </cell>
          <cell r="V2019">
            <v>14100</v>
          </cell>
          <cell r="X2019">
            <v>14100</v>
          </cell>
          <cell r="Z2019">
            <v>14100</v>
          </cell>
          <cell r="AD2019">
            <v>0.20899999999999999</v>
          </cell>
          <cell r="AG2019">
            <v>3200</v>
          </cell>
          <cell r="AH2019">
            <v>42</v>
          </cell>
          <cell r="AI2019">
            <v>0.98</v>
          </cell>
          <cell r="AJ2019">
            <v>1</v>
          </cell>
          <cell r="AK2019">
            <v>42.85</v>
          </cell>
        </row>
        <row r="2020">
          <cell r="E2020" t="str">
            <v>■センサ付Ｈｆ反射笠埋込形</v>
          </cell>
        </row>
        <row r="2021">
          <cell r="E2021" t="str">
            <v>R2D-321PX</v>
          </cell>
          <cell r="F2021" t="str">
            <v>台</v>
          </cell>
          <cell r="H2021">
            <v>10900</v>
          </cell>
          <cell r="J2021">
            <v>10900</v>
          </cell>
          <cell r="L2021">
            <v>10900</v>
          </cell>
          <cell r="N2021">
            <v>10900</v>
          </cell>
          <cell r="P2021">
            <v>10900</v>
          </cell>
          <cell r="R2021">
            <v>10900</v>
          </cell>
          <cell r="T2021">
            <v>10900</v>
          </cell>
          <cell r="V2021">
            <v>10900</v>
          </cell>
          <cell r="X2021">
            <v>10900</v>
          </cell>
          <cell r="Z2021">
            <v>10900</v>
          </cell>
          <cell r="AD2021">
            <v>0.20899999999999999</v>
          </cell>
          <cell r="AG2021">
            <v>4950</v>
          </cell>
          <cell r="AH2021">
            <v>48</v>
          </cell>
          <cell r="AI2021">
            <v>0.97899999999999998</v>
          </cell>
          <cell r="AJ2021">
            <v>1</v>
          </cell>
          <cell r="AK2021">
            <v>49.02</v>
          </cell>
        </row>
        <row r="2022">
          <cell r="E2022" t="str">
            <v>R2D-322PX</v>
          </cell>
          <cell r="F2022" t="str">
            <v>台</v>
          </cell>
          <cell r="H2022">
            <v>12100</v>
          </cell>
          <cell r="J2022">
            <v>12100</v>
          </cell>
          <cell r="L2022">
            <v>12100</v>
          </cell>
          <cell r="N2022">
            <v>12100</v>
          </cell>
          <cell r="P2022">
            <v>12100</v>
          </cell>
          <cell r="R2022">
            <v>12100</v>
          </cell>
          <cell r="T2022">
            <v>12100</v>
          </cell>
          <cell r="V2022">
            <v>12100</v>
          </cell>
          <cell r="X2022">
            <v>12100</v>
          </cell>
          <cell r="Z2022">
            <v>12100</v>
          </cell>
          <cell r="AD2022">
            <v>0.20899999999999999</v>
          </cell>
          <cell r="AG2022">
            <v>9900</v>
          </cell>
          <cell r="AH2022">
            <v>96</v>
          </cell>
          <cell r="AI2022">
            <v>0.98899999999999999</v>
          </cell>
          <cell r="AJ2022">
            <v>1</v>
          </cell>
          <cell r="AK2022">
            <v>97.06</v>
          </cell>
        </row>
        <row r="2023">
          <cell r="E2023" t="str">
            <v>■センサ付Ｈｆ開放直付形</v>
          </cell>
        </row>
        <row r="2024">
          <cell r="E2024" t="str">
            <v>As6D-322PX</v>
          </cell>
          <cell r="F2024" t="str">
            <v>台</v>
          </cell>
          <cell r="H2024">
            <v>14100</v>
          </cell>
          <cell r="J2024">
            <v>14100</v>
          </cell>
          <cell r="L2024">
            <v>14100</v>
          </cell>
          <cell r="N2024">
            <v>14100</v>
          </cell>
          <cell r="P2024">
            <v>14100</v>
          </cell>
          <cell r="R2024">
            <v>14100</v>
          </cell>
          <cell r="T2024">
            <v>14100</v>
          </cell>
          <cell r="V2024">
            <v>14100</v>
          </cell>
          <cell r="X2024">
            <v>14100</v>
          </cell>
          <cell r="Z2024">
            <v>14100</v>
          </cell>
          <cell r="AD2024">
            <v>0.26100000000000001</v>
          </cell>
          <cell r="AG2024">
            <v>9900</v>
          </cell>
          <cell r="AH2024">
            <v>96</v>
          </cell>
          <cell r="AI2024">
            <v>0.98899999999999999</v>
          </cell>
          <cell r="AJ2024">
            <v>1</v>
          </cell>
          <cell r="AK2024">
            <v>97.06</v>
          </cell>
        </row>
        <row r="2025">
          <cell r="E2025" t="str">
            <v>■センサ付Ｈｆ逆富士</v>
          </cell>
        </row>
        <row r="2026">
          <cell r="E2026" t="str">
            <v>V29D-321PH</v>
          </cell>
          <cell r="F2026" t="str">
            <v>台</v>
          </cell>
          <cell r="H2026">
            <v>11100</v>
          </cell>
          <cell r="J2026">
            <v>11100</v>
          </cell>
          <cell r="L2026">
            <v>11100</v>
          </cell>
          <cell r="N2026">
            <v>11100</v>
          </cell>
          <cell r="P2026">
            <v>11100</v>
          </cell>
          <cell r="R2026">
            <v>11100</v>
          </cell>
          <cell r="T2026">
            <v>11100</v>
          </cell>
          <cell r="V2026">
            <v>11100</v>
          </cell>
          <cell r="X2026">
            <v>11100</v>
          </cell>
          <cell r="Z2026">
            <v>11100</v>
          </cell>
          <cell r="AD2026">
            <v>0.26100000000000001</v>
          </cell>
          <cell r="AG2026">
            <v>4950</v>
          </cell>
          <cell r="AH2026">
            <v>48</v>
          </cell>
          <cell r="AI2026">
            <v>0.97899999999999998</v>
          </cell>
          <cell r="AJ2026">
            <v>1</v>
          </cell>
          <cell r="AK2026">
            <v>49.02</v>
          </cell>
        </row>
        <row r="2027">
          <cell r="E2027" t="str">
            <v>V29D-322PH</v>
          </cell>
          <cell r="F2027" t="str">
            <v>台</v>
          </cell>
          <cell r="H2027">
            <v>11700</v>
          </cell>
          <cell r="J2027">
            <v>11700</v>
          </cell>
          <cell r="L2027">
            <v>11700</v>
          </cell>
          <cell r="N2027">
            <v>11700</v>
          </cell>
          <cell r="P2027">
            <v>11700</v>
          </cell>
          <cell r="R2027">
            <v>11700</v>
          </cell>
          <cell r="T2027">
            <v>11700</v>
          </cell>
          <cell r="V2027">
            <v>11700</v>
          </cell>
          <cell r="X2027">
            <v>11700</v>
          </cell>
          <cell r="Z2027">
            <v>11700</v>
          </cell>
          <cell r="AD2027">
            <v>0.26100000000000001</v>
          </cell>
          <cell r="AG2027">
            <v>9900</v>
          </cell>
          <cell r="AH2027">
            <v>96</v>
          </cell>
          <cell r="AI2027">
            <v>0.98899999999999999</v>
          </cell>
          <cell r="AJ2027">
            <v>1</v>
          </cell>
          <cell r="AK2027">
            <v>97.06</v>
          </cell>
        </row>
        <row r="2028">
          <cell r="E2028" t="str">
            <v>■Ｈｆカバー埋込形</v>
          </cell>
        </row>
        <row r="2029">
          <cell r="E2029" t="str">
            <v>C5-321PN</v>
          </cell>
          <cell r="F2029" t="str">
            <v>台</v>
          </cell>
          <cell r="H2029">
            <v>12500</v>
          </cell>
          <cell r="J2029">
            <v>12500</v>
          </cell>
          <cell r="L2029">
            <v>12500</v>
          </cell>
          <cell r="N2029">
            <v>12500</v>
          </cell>
          <cell r="P2029">
            <v>12500</v>
          </cell>
          <cell r="R2029">
            <v>12500</v>
          </cell>
          <cell r="T2029">
            <v>12500</v>
          </cell>
          <cell r="V2029">
            <v>12500</v>
          </cell>
          <cell r="X2029">
            <v>12500</v>
          </cell>
          <cell r="Z2029">
            <v>12500</v>
          </cell>
          <cell r="AD2029">
            <v>0.2</v>
          </cell>
          <cell r="AG2029">
            <v>4950</v>
          </cell>
          <cell r="AH2029">
            <v>48</v>
          </cell>
          <cell r="AI2029">
            <v>0.97899999999999998</v>
          </cell>
          <cell r="AJ2029">
            <v>1</v>
          </cell>
          <cell r="AK2029">
            <v>49.02</v>
          </cell>
        </row>
        <row r="2030">
          <cell r="E2030" t="str">
            <v>C5-321PH</v>
          </cell>
          <cell r="F2030" t="str">
            <v>台</v>
          </cell>
          <cell r="H2030">
            <v>13700</v>
          </cell>
          <cell r="J2030">
            <v>13700</v>
          </cell>
          <cell r="L2030">
            <v>13700</v>
          </cell>
          <cell r="N2030">
            <v>13700</v>
          </cell>
          <cell r="P2030">
            <v>13700</v>
          </cell>
          <cell r="R2030">
            <v>13700</v>
          </cell>
          <cell r="T2030">
            <v>13700</v>
          </cell>
          <cell r="V2030">
            <v>13700</v>
          </cell>
          <cell r="X2030">
            <v>13700</v>
          </cell>
          <cell r="Z2030">
            <v>13700</v>
          </cell>
          <cell r="AD2030">
            <v>0.2</v>
          </cell>
          <cell r="AG2030">
            <v>4950</v>
          </cell>
          <cell r="AH2030">
            <v>48</v>
          </cell>
          <cell r="AI2030">
            <v>0.97899999999999998</v>
          </cell>
          <cell r="AJ2030">
            <v>1</v>
          </cell>
          <cell r="AK2030">
            <v>49.02</v>
          </cell>
        </row>
        <row r="2031">
          <cell r="E2031" t="str">
            <v>C9-323PR</v>
          </cell>
          <cell r="F2031" t="str">
            <v>台</v>
          </cell>
          <cell r="H2031">
            <v>15000</v>
          </cell>
          <cell r="J2031">
            <v>15000</v>
          </cell>
          <cell r="L2031">
            <v>15000</v>
          </cell>
          <cell r="N2031">
            <v>15000</v>
          </cell>
          <cell r="P2031">
            <v>15000</v>
          </cell>
          <cell r="R2031">
            <v>15000</v>
          </cell>
          <cell r="T2031">
            <v>15000</v>
          </cell>
          <cell r="V2031">
            <v>15000</v>
          </cell>
          <cell r="X2031">
            <v>15000</v>
          </cell>
          <cell r="Z2031">
            <v>15000</v>
          </cell>
          <cell r="AD2031">
            <v>0.313</v>
          </cell>
          <cell r="AG2031">
            <v>8700</v>
          </cell>
          <cell r="AH2031">
            <v>144</v>
          </cell>
          <cell r="AI2031">
            <v>0.98</v>
          </cell>
          <cell r="AJ2031">
            <v>1</v>
          </cell>
          <cell r="AK2031">
            <v>146.93</v>
          </cell>
        </row>
        <row r="2032">
          <cell r="E2032" t="str">
            <v>C9-454PN</v>
          </cell>
          <cell r="F2032" t="str">
            <v>台</v>
          </cell>
          <cell r="H2032">
            <v>25100</v>
          </cell>
          <cell r="J2032">
            <v>25100</v>
          </cell>
          <cell r="L2032">
            <v>25100</v>
          </cell>
          <cell r="N2032">
            <v>25100</v>
          </cell>
          <cell r="P2032">
            <v>25100</v>
          </cell>
          <cell r="R2032">
            <v>25100</v>
          </cell>
          <cell r="T2032">
            <v>25100</v>
          </cell>
          <cell r="V2032">
            <v>25100</v>
          </cell>
          <cell r="X2032">
            <v>25100</v>
          </cell>
          <cell r="Z2032">
            <v>25100</v>
          </cell>
          <cell r="AD2032">
            <v>0.46100000000000002</v>
          </cell>
          <cell r="AG2032">
            <v>17400</v>
          </cell>
          <cell r="AH2032">
            <v>192</v>
          </cell>
          <cell r="AI2032">
            <v>0.97</v>
          </cell>
          <cell r="AJ2032">
            <v>1</v>
          </cell>
          <cell r="AK2032">
            <v>197.93</v>
          </cell>
        </row>
        <row r="2033">
          <cell r="E2033" t="str">
            <v>C9-454PW</v>
          </cell>
          <cell r="F2033" t="str">
            <v>台</v>
          </cell>
          <cell r="H2033">
            <v>27800</v>
          </cell>
          <cell r="J2033">
            <v>27800</v>
          </cell>
          <cell r="L2033">
            <v>27800</v>
          </cell>
          <cell r="N2033">
            <v>27800</v>
          </cell>
          <cell r="P2033">
            <v>27800</v>
          </cell>
          <cell r="R2033">
            <v>27800</v>
          </cell>
          <cell r="T2033">
            <v>27800</v>
          </cell>
          <cell r="V2033">
            <v>27800</v>
          </cell>
          <cell r="X2033">
            <v>27800</v>
          </cell>
          <cell r="Z2033">
            <v>27800</v>
          </cell>
          <cell r="AD2033">
            <v>0.46100000000000002</v>
          </cell>
          <cell r="AG2033">
            <v>17400</v>
          </cell>
          <cell r="AH2033">
            <v>192</v>
          </cell>
          <cell r="AI2033">
            <v>0.97</v>
          </cell>
          <cell r="AJ2033">
            <v>1</v>
          </cell>
          <cell r="AK2033">
            <v>197.93</v>
          </cell>
        </row>
        <row r="2034">
          <cell r="E2034" t="str">
            <v>■Ｈｆルーバ埋込形</v>
          </cell>
        </row>
        <row r="2035">
          <cell r="E2035" t="str">
            <v>D9-321PN</v>
          </cell>
          <cell r="F2035" t="str">
            <v>台</v>
          </cell>
          <cell r="H2035">
            <v>8090</v>
          </cell>
          <cell r="J2035">
            <v>8090</v>
          </cell>
          <cell r="L2035">
            <v>8090</v>
          </cell>
          <cell r="N2035">
            <v>8090</v>
          </cell>
          <cell r="P2035">
            <v>8090</v>
          </cell>
          <cell r="R2035">
            <v>8090</v>
          </cell>
          <cell r="T2035">
            <v>8090</v>
          </cell>
          <cell r="V2035">
            <v>8090</v>
          </cell>
          <cell r="X2035">
            <v>8090</v>
          </cell>
          <cell r="Z2035">
            <v>8090</v>
          </cell>
          <cell r="AD2035">
            <v>0.2</v>
          </cell>
          <cell r="AG2035">
            <v>4950</v>
          </cell>
          <cell r="AH2035">
            <v>48</v>
          </cell>
          <cell r="AI2035">
            <v>0.97899999999999998</v>
          </cell>
          <cell r="AJ2035">
            <v>1</v>
          </cell>
          <cell r="AK2035">
            <v>49.02</v>
          </cell>
        </row>
        <row r="2036">
          <cell r="E2036" t="str">
            <v>D9-321PH</v>
          </cell>
          <cell r="F2036" t="str">
            <v>台</v>
          </cell>
          <cell r="H2036">
            <v>10100</v>
          </cell>
          <cell r="J2036">
            <v>10100</v>
          </cell>
          <cell r="L2036">
            <v>10100</v>
          </cell>
          <cell r="N2036">
            <v>10100</v>
          </cell>
          <cell r="P2036">
            <v>10100</v>
          </cell>
          <cell r="R2036">
            <v>10100</v>
          </cell>
          <cell r="T2036">
            <v>10100</v>
          </cell>
          <cell r="V2036">
            <v>10100</v>
          </cell>
          <cell r="X2036">
            <v>10100</v>
          </cell>
          <cell r="Z2036">
            <v>10100</v>
          </cell>
          <cell r="AD2036">
            <v>0.2</v>
          </cell>
          <cell r="AG2036">
            <v>4950</v>
          </cell>
          <cell r="AH2036">
            <v>48</v>
          </cell>
          <cell r="AI2036">
            <v>0.97899999999999998</v>
          </cell>
          <cell r="AJ2036">
            <v>1</v>
          </cell>
          <cell r="AK2036">
            <v>49.02</v>
          </cell>
        </row>
        <row r="2037">
          <cell r="E2037" t="str">
            <v>D9-321PX</v>
          </cell>
          <cell r="F2037" t="str">
            <v>台</v>
          </cell>
          <cell r="H2037">
            <v>11300</v>
          </cell>
          <cell r="J2037">
            <v>11300</v>
          </cell>
          <cell r="L2037">
            <v>11300</v>
          </cell>
          <cell r="N2037">
            <v>11300</v>
          </cell>
          <cell r="P2037">
            <v>11300</v>
          </cell>
          <cell r="R2037">
            <v>11300</v>
          </cell>
          <cell r="T2037">
            <v>11300</v>
          </cell>
          <cell r="V2037">
            <v>11300</v>
          </cell>
          <cell r="X2037">
            <v>11300</v>
          </cell>
          <cell r="Z2037">
            <v>11300</v>
          </cell>
          <cell r="AD2037">
            <v>0.2</v>
          </cell>
          <cell r="AG2037">
            <v>4950</v>
          </cell>
          <cell r="AH2037">
            <v>48</v>
          </cell>
          <cell r="AI2037">
            <v>0.97899999999999998</v>
          </cell>
          <cell r="AJ2037">
            <v>1</v>
          </cell>
          <cell r="AK2037">
            <v>49.02</v>
          </cell>
        </row>
        <row r="2038">
          <cell r="E2038" t="str">
            <v>D9-321PK</v>
          </cell>
          <cell r="F2038" t="str">
            <v>台</v>
          </cell>
          <cell r="H2038">
            <v>11300</v>
          </cell>
          <cell r="J2038">
            <v>11300</v>
          </cell>
          <cell r="L2038">
            <v>11300</v>
          </cell>
          <cell r="N2038">
            <v>11300</v>
          </cell>
          <cell r="P2038">
            <v>11300</v>
          </cell>
          <cell r="R2038">
            <v>11300</v>
          </cell>
          <cell r="T2038">
            <v>11300</v>
          </cell>
          <cell r="V2038">
            <v>11300</v>
          </cell>
          <cell r="X2038">
            <v>11300</v>
          </cell>
          <cell r="Z2038">
            <v>11300</v>
          </cell>
          <cell r="AD2038">
            <v>0.2</v>
          </cell>
          <cell r="AG2038">
            <v>4950</v>
          </cell>
          <cell r="AH2038">
            <v>48</v>
          </cell>
          <cell r="AI2038">
            <v>0.97899999999999998</v>
          </cell>
          <cell r="AJ2038">
            <v>1</v>
          </cell>
          <cell r="AK2038">
            <v>49.02</v>
          </cell>
        </row>
        <row r="2039">
          <cell r="E2039" t="str">
            <v>D10-322PN</v>
          </cell>
          <cell r="F2039" t="str">
            <v>台</v>
          </cell>
          <cell r="H2039">
            <v>10000</v>
          </cell>
          <cell r="J2039">
            <v>10000</v>
          </cell>
          <cell r="L2039">
            <v>10000</v>
          </cell>
          <cell r="N2039">
            <v>10000</v>
          </cell>
          <cell r="P2039">
            <v>10000</v>
          </cell>
          <cell r="R2039">
            <v>10000</v>
          </cell>
          <cell r="T2039">
            <v>10000</v>
          </cell>
          <cell r="V2039">
            <v>10000</v>
          </cell>
          <cell r="X2039">
            <v>10000</v>
          </cell>
          <cell r="Z2039">
            <v>10000</v>
          </cell>
          <cell r="AD2039">
            <v>0.252</v>
          </cell>
          <cell r="AG2039">
            <v>9900</v>
          </cell>
          <cell r="AH2039">
            <v>96</v>
          </cell>
          <cell r="AI2039">
            <v>0.98899999999999999</v>
          </cell>
          <cell r="AJ2039">
            <v>1</v>
          </cell>
          <cell r="AK2039">
            <v>97.06</v>
          </cell>
        </row>
        <row r="2040">
          <cell r="E2040" t="str">
            <v>D10-322PH</v>
          </cell>
          <cell r="F2040" t="str">
            <v>台</v>
          </cell>
          <cell r="H2040">
            <v>10700</v>
          </cell>
          <cell r="J2040">
            <v>10700</v>
          </cell>
          <cell r="L2040">
            <v>10700</v>
          </cell>
          <cell r="N2040">
            <v>10700</v>
          </cell>
          <cell r="P2040">
            <v>10700</v>
          </cell>
          <cell r="R2040">
            <v>10700</v>
          </cell>
          <cell r="T2040">
            <v>10700</v>
          </cell>
          <cell r="V2040">
            <v>10700</v>
          </cell>
          <cell r="X2040">
            <v>10700</v>
          </cell>
          <cell r="Z2040">
            <v>10700</v>
          </cell>
          <cell r="AD2040">
            <v>0.252</v>
          </cell>
          <cell r="AG2040">
            <v>9900</v>
          </cell>
          <cell r="AH2040">
            <v>96</v>
          </cell>
          <cell r="AI2040">
            <v>0.98899999999999999</v>
          </cell>
          <cell r="AJ2040">
            <v>1</v>
          </cell>
          <cell r="AK2040">
            <v>97.06</v>
          </cell>
        </row>
        <row r="2041">
          <cell r="E2041" t="str">
            <v>D10-322PX</v>
          </cell>
          <cell r="F2041" t="str">
            <v>台</v>
          </cell>
          <cell r="H2041">
            <v>11700</v>
          </cell>
          <cell r="J2041">
            <v>11700</v>
          </cell>
          <cell r="L2041">
            <v>11700</v>
          </cell>
          <cell r="N2041">
            <v>11700</v>
          </cell>
          <cell r="P2041">
            <v>11700</v>
          </cell>
          <cell r="R2041">
            <v>11700</v>
          </cell>
          <cell r="T2041">
            <v>11700</v>
          </cell>
          <cell r="V2041">
            <v>11700</v>
          </cell>
          <cell r="X2041">
            <v>11700</v>
          </cell>
          <cell r="Z2041">
            <v>11700</v>
          </cell>
          <cell r="AD2041">
            <v>0.252</v>
          </cell>
          <cell r="AG2041">
            <v>9900</v>
          </cell>
          <cell r="AH2041">
            <v>96</v>
          </cell>
          <cell r="AI2041">
            <v>0.98899999999999999</v>
          </cell>
          <cell r="AJ2041">
            <v>1</v>
          </cell>
          <cell r="AK2041">
            <v>97.06</v>
          </cell>
        </row>
        <row r="2042">
          <cell r="E2042" t="str">
            <v>D10-322PK</v>
          </cell>
          <cell r="F2042" t="str">
            <v>台</v>
          </cell>
          <cell r="H2042">
            <v>11700</v>
          </cell>
          <cell r="J2042">
            <v>11700</v>
          </cell>
          <cell r="L2042">
            <v>11700</v>
          </cell>
          <cell r="N2042">
            <v>11700</v>
          </cell>
          <cell r="P2042">
            <v>11700</v>
          </cell>
          <cell r="R2042">
            <v>11700</v>
          </cell>
          <cell r="T2042">
            <v>11700</v>
          </cell>
          <cell r="V2042">
            <v>11700</v>
          </cell>
          <cell r="X2042">
            <v>11700</v>
          </cell>
          <cell r="Z2042">
            <v>11700</v>
          </cell>
          <cell r="AD2042">
            <v>0.252</v>
          </cell>
          <cell r="AG2042">
            <v>9900</v>
          </cell>
          <cell r="AH2042">
            <v>96</v>
          </cell>
          <cell r="AI2042">
            <v>0.98899999999999999</v>
          </cell>
          <cell r="AJ2042">
            <v>1</v>
          </cell>
          <cell r="AK2042">
            <v>97.06</v>
          </cell>
        </row>
        <row r="2043">
          <cell r="E2043" t="str">
            <v>D11-323PR</v>
          </cell>
          <cell r="F2043" t="str">
            <v>台</v>
          </cell>
          <cell r="H2043">
            <v>17000</v>
          </cell>
          <cell r="J2043">
            <v>17000</v>
          </cell>
          <cell r="L2043">
            <v>17000</v>
          </cell>
          <cell r="N2043">
            <v>17000</v>
          </cell>
          <cell r="P2043">
            <v>17000</v>
          </cell>
          <cell r="R2043">
            <v>17000</v>
          </cell>
          <cell r="T2043">
            <v>17000</v>
          </cell>
          <cell r="V2043">
            <v>17000</v>
          </cell>
          <cell r="X2043">
            <v>17000</v>
          </cell>
          <cell r="Z2043">
            <v>17000</v>
          </cell>
          <cell r="AD2043">
            <v>0.252</v>
          </cell>
          <cell r="AG2043">
            <v>8700</v>
          </cell>
          <cell r="AH2043">
            <v>144</v>
          </cell>
          <cell r="AI2043">
            <v>0.98</v>
          </cell>
          <cell r="AJ2043">
            <v>1</v>
          </cell>
          <cell r="AK2043">
            <v>146.93</v>
          </cell>
        </row>
        <row r="2044">
          <cell r="E2044" t="str">
            <v>D11-454PN</v>
          </cell>
          <cell r="F2044" t="str">
            <v>台</v>
          </cell>
          <cell r="H2044">
            <v>26700</v>
          </cell>
          <cell r="J2044">
            <v>26700</v>
          </cell>
          <cell r="L2044">
            <v>26700</v>
          </cell>
          <cell r="N2044">
            <v>26700</v>
          </cell>
          <cell r="P2044">
            <v>26700</v>
          </cell>
          <cell r="R2044">
            <v>26700</v>
          </cell>
          <cell r="T2044">
            <v>26700</v>
          </cell>
          <cell r="V2044">
            <v>26700</v>
          </cell>
          <cell r="X2044">
            <v>26700</v>
          </cell>
          <cell r="Z2044">
            <v>26700</v>
          </cell>
          <cell r="AD2044">
            <v>0.46100000000000002</v>
          </cell>
          <cell r="AG2044">
            <v>17400</v>
          </cell>
          <cell r="AH2044">
            <v>192</v>
          </cell>
          <cell r="AI2044">
            <v>0.97</v>
          </cell>
          <cell r="AJ2044">
            <v>1</v>
          </cell>
          <cell r="AK2044">
            <v>197.93</v>
          </cell>
        </row>
        <row r="2045">
          <cell r="E2045" t="str">
            <v>D11-323PR</v>
          </cell>
          <cell r="F2045" t="str">
            <v>台</v>
          </cell>
          <cell r="H2045">
            <v>17700</v>
          </cell>
          <cell r="J2045">
            <v>17700</v>
          </cell>
          <cell r="L2045">
            <v>17700</v>
          </cell>
          <cell r="N2045">
            <v>17700</v>
          </cell>
          <cell r="P2045">
            <v>17700</v>
          </cell>
          <cell r="R2045">
            <v>17700</v>
          </cell>
          <cell r="T2045">
            <v>17700</v>
          </cell>
          <cell r="V2045">
            <v>17700</v>
          </cell>
          <cell r="X2045">
            <v>17700</v>
          </cell>
          <cell r="Z2045">
            <v>17700</v>
          </cell>
          <cell r="AD2045">
            <v>0.313</v>
          </cell>
          <cell r="AG2045">
            <v>8700</v>
          </cell>
          <cell r="AH2045">
            <v>144</v>
          </cell>
          <cell r="AI2045">
            <v>0.98</v>
          </cell>
          <cell r="AJ2045">
            <v>1</v>
          </cell>
          <cell r="AK2045">
            <v>146.93</v>
          </cell>
        </row>
        <row r="2046">
          <cell r="E2046" t="str">
            <v>D11-454PN</v>
          </cell>
          <cell r="F2046" t="str">
            <v>台</v>
          </cell>
          <cell r="H2046">
            <v>27800</v>
          </cell>
          <cell r="J2046">
            <v>27800</v>
          </cell>
          <cell r="L2046">
            <v>27800</v>
          </cell>
          <cell r="N2046">
            <v>27800</v>
          </cell>
          <cell r="P2046">
            <v>27800</v>
          </cell>
          <cell r="R2046">
            <v>27800</v>
          </cell>
          <cell r="T2046">
            <v>27800</v>
          </cell>
          <cell r="V2046">
            <v>27800</v>
          </cell>
          <cell r="X2046">
            <v>27800</v>
          </cell>
          <cell r="Z2046">
            <v>27800</v>
          </cell>
          <cell r="AD2046">
            <v>0.46100000000000002</v>
          </cell>
          <cell r="AG2046">
            <v>17400</v>
          </cell>
          <cell r="AH2046">
            <v>192</v>
          </cell>
          <cell r="AI2046">
            <v>0.97</v>
          </cell>
          <cell r="AJ2046">
            <v>1</v>
          </cell>
          <cell r="AK2046">
            <v>197.93</v>
          </cell>
        </row>
        <row r="2047">
          <cell r="E2047" t="str">
            <v>D12-323PR</v>
          </cell>
          <cell r="F2047" t="str">
            <v>台</v>
          </cell>
          <cell r="H2047">
            <v>13200</v>
          </cell>
          <cell r="J2047">
            <v>13200</v>
          </cell>
          <cell r="L2047">
            <v>13200</v>
          </cell>
          <cell r="N2047">
            <v>13200</v>
          </cell>
          <cell r="P2047">
            <v>13200</v>
          </cell>
          <cell r="R2047">
            <v>13200</v>
          </cell>
          <cell r="T2047">
            <v>13200</v>
          </cell>
          <cell r="V2047">
            <v>13200</v>
          </cell>
          <cell r="X2047">
            <v>13200</v>
          </cell>
          <cell r="Z2047">
            <v>13200</v>
          </cell>
          <cell r="AD2047">
            <v>0.313</v>
          </cell>
          <cell r="AG2047">
            <v>8700</v>
          </cell>
          <cell r="AH2047">
            <v>144</v>
          </cell>
          <cell r="AI2047">
            <v>0.98</v>
          </cell>
          <cell r="AJ2047">
            <v>1</v>
          </cell>
          <cell r="AK2047">
            <v>146.93</v>
          </cell>
        </row>
        <row r="2048">
          <cell r="E2048" t="str">
            <v>D12-323PW</v>
          </cell>
          <cell r="F2048" t="str">
            <v>台</v>
          </cell>
          <cell r="H2048">
            <v>15300</v>
          </cell>
          <cell r="J2048">
            <v>15300</v>
          </cell>
          <cell r="L2048">
            <v>15300</v>
          </cell>
          <cell r="N2048">
            <v>15300</v>
          </cell>
          <cell r="P2048">
            <v>15300</v>
          </cell>
          <cell r="R2048">
            <v>15300</v>
          </cell>
          <cell r="T2048">
            <v>15300</v>
          </cell>
          <cell r="V2048">
            <v>15300</v>
          </cell>
          <cell r="X2048">
            <v>15300</v>
          </cell>
          <cell r="Z2048">
            <v>15300</v>
          </cell>
          <cell r="AD2048">
            <v>0.313</v>
          </cell>
          <cell r="AG2048">
            <v>8700</v>
          </cell>
          <cell r="AH2048">
            <v>144</v>
          </cell>
          <cell r="AI2048">
            <v>0.98</v>
          </cell>
          <cell r="AJ2048">
            <v>1</v>
          </cell>
          <cell r="AK2048">
            <v>146.93</v>
          </cell>
        </row>
        <row r="2049">
          <cell r="E2049" t="str">
            <v>D12-454PN</v>
          </cell>
          <cell r="F2049" t="str">
            <v>台</v>
          </cell>
          <cell r="H2049">
            <v>23000</v>
          </cell>
          <cell r="J2049">
            <v>23000</v>
          </cell>
          <cell r="L2049">
            <v>23000</v>
          </cell>
          <cell r="N2049">
            <v>23000</v>
          </cell>
          <cell r="P2049">
            <v>23000</v>
          </cell>
          <cell r="R2049">
            <v>23000</v>
          </cell>
          <cell r="T2049">
            <v>23000</v>
          </cell>
          <cell r="V2049">
            <v>23000</v>
          </cell>
          <cell r="X2049">
            <v>23000</v>
          </cell>
          <cell r="Z2049">
            <v>23000</v>
          </cell>
          <cell r="AD2049">
            <v>0.46100000000000002</v>
          </cell>
          <cell r="AG2049">
            <v>17400</v>
          </cell>
          <cell r="AH2049">
            <v>192</v>
          </cell>
          <cell r="AI2049">
            <v>0.97</v>
          </cell>
          <cell r="AJ2049">
            <v>1</v>
          </cell>
          <cell r="AK2049">
            <v>197.93</v>
          </cell>
        </row>
        <row r="2050">
          <cell r="E2050" t="str">
            <v>■Ｈｆ開放埋込形</v>
          </cell>
        </row>
        <row r="2051">
          <cell r="E2051" t="str">
            <v>A15-162PX</v>
          </cell>
          <cell r="F2051" t="str">
            <v>台</v>
          </cell>
          <cell r="H2051">
            <v>10900</v>
          </cell>
          <cell r="J2051">
            <v>10900</v>
          </cell>
          <cell r="L2051">
            <v>10900</v>
          </cell>
          <cell r="N2051">
            <v>10900</v>
          </cell>
          <cell r="P2051">
            <v>10900</v>
          </cell>
          <cell r="R2051">
            <v>10900</v>
          </cell>
          <cell r="T2051">
            <v>10900</v>
          </cell>
          <cell r="V2051">
            <v>10900</v>
          </cell>
          <cell r="X2051">
            <v>10900</v>
          </cell>
          <cell r="Z2051">
            <v>10900</v>
          </cell>
          <cell r="AD2051">
            <v>0.252</v>
          </cell>
          <cell r="AG2051">
            <v>4200</v>
          </cell>
          <cell r="AH2051">
            <v>50</v>
          </cell>
          <cell r="AI2051">
            <v>0.98</v>
          </cell>
          <cell r="AJ2051">
            <v>1</v>
          </cell>
          <cell r="AK2051">
            <v>51.02</v>
          </cell>
        </row>
        <row r="2052">
          <cell r="E2052" t="str">
            <v>A15-321PN</v>
          </cell>
          <cell r="F2052" t="str">
            <v>台</v>
          </cell>
          <cell r="H2052">
            <v>7240</v>
          </cell>
          <cell r="J2052">
            <v>7240</v>
          </cell>
          <cell r="L2052">
            <v>7240</v>
          </cell>
          <cell r="N2052">
            <v>7240</v>
          </cell>
          <cell r="P2052">
            <v>7240</v>
          </cell>
          <cell r="R2052">
            <v>7240</v>
          </cell>
          <cell r="T2052">
            <v>7240</v>
          </cell>
          <cell r="V2052">
            <v>7240</v>
          </cell>
          <cell r="X2052">
            <v>7240</v>
          </cell>
          <cell r="Z2052">
            <v>7240</v>
          </cell>
          <cell r="AD2052">
            <v>0.20899999999999999</v>
          </cell>
          <cell r="AG2052">
            <v>4950</v>
          </cell>
          <cell r="AH2052">
            <v>48</v>
          </cell>
          <cell r="AI2052">
            <v>0.97899999999999998</v>
          </cell>
          <cell r="AJ2052">
            <v>1</v>
          </cell>
          <cell r="AK2052">
            <v>49.02</v>
          </cell>
        </row>
        <row r="2053">
          <cell r="E2053" t="str">
            <v>A15-321PH</v>
          </cell>
          <cell r="F2053" t="str">
            <v>台</v>
          </cell>
          <cell r="H2053">
            <v>9280</v>
          </cell>
          <cell r="J2053">
            <v>9280</v>
          </cell>
          <cell r="L2053">
            <v>9280</v>
          </cell>
          <cell r="N2053">
            <v>9280</v>
          </cell>
          <cell r="P2053">
            <v>9280</v>
          </cell>
          <cell r="R2053">
            <v>9280</v>
          </cell>
          <cell r="T2053">
            <v>9280</v>
          </cell>
          <cell r="V2053">
            <v>9280</v>
          </cell>
          <cell r="X2053">
            <v>9280</v>
          </cell>
          <cell r="Z2053">
            <v>9280</v>
          </cell>
          <cell r="AD2053">
            <v>0.313</v>
          </cell>
          <cell r="AG2053">
            <v>4950</v>
          </cell>
          <cell r="AH2053">
            <v>48</v>
          </cell>
          <cell r="AI2053">
            <v>0.97899999999999998</v>
          </cell>
          <cell r="AJ2053">
            <v>1</v>
          </cell>
          <cell r="AK2053">
            <v>49.02</v>
          </cell>
        </row>
        <row r="2054">
          <cell r="E2054" t="str">
            <v>A15-321PX</v>
          </cell>
          <cell r="F2054" t="str">
            <v>台</v>
          </cell>
          <cell r="H2054">
            <v>10400</v>
          </cell>
          <cell r="J2054">
            <v>10400</v>
          </cell>
          <cell r="L2054">
            <v>10400</v>
          </cell>
          <cell r="N2054">
            <v>10400</v>
          </cell>
          <cell r="P2054">
            <v>10400</v>
          </cell>
          <cell r="R2054">
            <v>10400</v>
          </cell>
          <cell r="T2054">
            <v>10400</v>
          </cell>
          <cell r="V2054">
            <v>10400</v>
          </cell>
          <cell r="X2054">
            <v>10400</v>
          </cell>
          <cell r="Z2054">
            <v>10400</v>
          </cell>
          <cell r="AD2054">
            <v>0.313</v>
          </cell>
          <cell r="AG2054">
            <v>4950</v>
          </cell>
          <cell r="AH2054">
            <v>48</v>
          </cell>
          <cell r="AI2054">
            <v>0.97899999999999998</v>
          </cell>
          <cell r="AJ2054">
            <v>1</v>
          </cell>
          <cell r="AK2054">
            <v>49.02</v>
          </cell>
        </row>
        <row r="2055">
          <cell r="E2055" t="str">
            <v>A15-321PK</v>
          </cell>
          <cell r="F2055" t="str">
            <v>台</v>
          </cell>
          <cell r="H2055">
            <v>10400</v>
          </cell>
          <cell r="J2055">
            <v>10400</v>
          </cell>
          <cell r="L2055">
            <v>10400</v>
          </cell>
          <cell r="N2055">
            <v>10400</v>
          </cell>
          <cell r="P2055">
            <v>10400</v>
          </cell>
          <cell r="R2055">
            <v>10400</v>
          </cell>
          <cell r="T2055">
            <v>10400</v>
          </cell>
          <cell r="V2055">
            <v>10400</v>
          </cell>
          <cell r="X2055">
            <v>10400</v>
          </cell>
          <cell r="Z2055">
            <v>10400</v>
          </cell>
          <cell r="AD2055">
            <v>0.313</v>
          </cell>
          <cell r="AG2055">
            <v>4950</v>
          </cell>
          <cell r="AH2055">
            <v>48</v>
          </cell>
          <cell r="AI2055">
            <v>0.97899999999999998</v>
          </cell>
          <cell r="AJ2055">
            <v>1</v>
          </cell>
          <cell r="AK2055">
            <v>49.02</v>
          </cell>
        </row>
        <row r="2056">
          <cell r="E2056" t="str">
            <v>A15-322PN</v>
          </cell>
          <cell r="F2056" t="str">
            <v>台</v>
          </cell>
          <cell r="H2056">
            <v>8630</v>
          </cell>
          <cell r="J2056">
            <v>8630</v>
          </cell>
          <cell r="L2056">
            <v>8630</v>
          </cell>
          <cell r="N2056">
            <v>8630</v>
          </cell>
          <cell r="P2056">
            <v>8630</v>
          </cell>
          <cell r="R2056">
            <v>8630</v>
          </cell>
          <cell r="T2056">
            <v>8630</v>
          </cell>
          <cell r="V2056">
            <v>8630</v>
          </cell>
          <cell r="X2056">
            <v>8630</v>
          </cell>
          <cell r="Z2056">
            <v>8630</v>
          </cell>
          <cell r="AD2056">
            <v>0.39100000000000001</v>
          </cell>
          <cell r="AG2056">
            <v>9900</v>
          </cell>
          <cell r="AH2056">
            <v>96</v>
          </cell>
          <cell r="AI2056">
            <v>0.98899999999999999</v>
          </cell>
          <cell r="AJ2056">
            <v>1</v>
          </cell>
          <cell r="AK2056">
            <v>97.06</v>
          </cell>
        </row>
        <row r="2057">
          <cell r="E2057" t="str">
            <v>A15-322PH</v>
          </cell>
          <cell r="F2057" t="str">
            <v>台</v>
          </cell>
          <cell r="H2057">
            <v>10000</v>
          </cell>
          <cell r="J2057">
            <v>10000</v>
          </cell>
          <cell r="L2057">
            <v>10000</v>
          </cell>
          <cell r="N2057">
            <v>10000</v>
          </cell>
          <cell r="P2057">
            <v>10000</v>
          </cell>
          <cell r="R2057">
            <v>10000</v>
          </cell>
          <cell r="T2057">
            <v>10000</v>
          </cell>
          <cell r="V2057">
            <v>10000</v>
          </cell>
          <cell r="X2057">
            <v>10000</v>
          </cell>
          <cell r="Z2057">
            <v>10000</v>
          </cell>
          <cell r="AD2057">
            <v>0.39100000000000001</v>
          </cell>
          <cell r="AG2057">
            <v>9900</v>
          </cell>
          <cell r="AH2057">
            <v>96</v>
          </cell>
          <cell r="AI2057">
            <v>0.98899999999999999</v>
          </cell>
          <cell r="AJ2057">
            <v>1</v>
          </cell>
          <cell r="AK2057">
            <v>97.06</v>
          </cell>
        </row>
        <row r="2058">
          <cell r="E2058" t="str">
            <v>A15-322PX</v>
          </cell>
          <cell r="F2058" t="str">
            <v>台</v>
          </cell>
          <cell r="H2058">
            <v>11000</v>
          </cell>
          <cell r="J2058">
            <v>11000</v>
          </cell>
          <cell r="L2058">
            <v>11000</v>
          </cell>
          <cell r="N2058">
            <v>11000</v>
          </cell>
          <cell r="P2058">
            <v>11000</v>
          </cell>
          <cell r="R2058">
            <v>11000</v>
          </cell>
          <cell r="T2058">
            <v>11000</v>
          </cell>
          <cell r="V2058">
            <v>11000</v>
          </cell>
          <cell r="X2058">
            <v>11000</v>
          </cell>
          <cell r="Z2058">
            <v>11000</v>
          </cell>
          <cell r="AD2058">
            <v>0.39100000000000001</v>
          </cell>
          <cell r="AG2058">
            <v>9900</v>
          </cell>
          <cell r="AH2058">
            <v>96</v>
          </cell>
          <cell r="AI2058">
            <v>0.98899999999999999</v>
          </cell>
          <cell r="AJ2058">
            <v>1</v>
          </cell>
          <cell r="AK2058">
            <v>97.06</v>
          </cell>
        </row>
        <row r="2059">
          <cell r="E2059" t="str">
            <v>A15-322PZ</v>
          </cell>
          <cell r="F2059" t="str">
            <v>台</v>
          </cell>
          <cell r="H2059">
            <v>14100</v>
          </cell>
          <cell r="J2059">
            <v>14100</v>
          </cell>
          <cell r="L2059">
            <v>14100</v>
          </cell>
          <cell r="N2059">
            <v>14100</v>
          </cell>
          <cell r="P2059">
            <v>14100</v>
          </cell>
          <cell r="R2059">
            <v>14100</v>
          </cell>
          <cell r="T2059">
            <v>14100</v>
          </cell>
          <cell r="V2059">
            <v>14100</v>
          </cell>
          <cell r="X2059">
            <v>14100</v>
          </cell>
          <cell r="Z2059">
            <v>14100</v>
          </cell>
          <cell r="AD2059">
            <v>0.39100000000000001</v>
          </cell>
          <cell r="AG2059">
            <v>9900</v>
          </cell>
          <cell r="AH2059">
            <v>96</v>
          </cell>
          <cell r="AI2059">
            <v>0.98899999999999999</v>
          </cell>
          <cell r="AJ2059">
            <v>1</v>
          </cell>
          <cell r="AK2059">
            <v>97.06</v>
          </cell>
        </row>
        <row r="2060">
          <cell r="E2060" t="str">
            <v>A15-322PK</v>
          </cell>
          <cell r="F2060" t="str">
            <v>台</v>
          </cell>
          <cell r="H2060">
            <v>11000</v>
          </cell>
          <cell r="J2060">
            <v>11000</v>
          </cell>
          <cell r="L2060">
            <v>11000</v>
          </cell>
          <cell r="N2060">
            <v>11000</v>
          </cell>
          <cell r="P2060">
            <v>11000</v>
          </cell>
          <cell r="R2060">
            <v>11000</v>
          </cell>
          <cell r="T2060">
            <v>11000</v>
          </cell>
          <cell r="V2060">
            <v>11000</v>
          </cell>
          <cell r="X2060">
            <v>11000</v>
          </cell>
          <cell r="Z2060">
            <v>11000</v>
          </cell>
          <cell r="AD2060">
            <v>0.39100000000000001</v>
          </cell>
          <cell r="AG2060">
            <v>9900</v>
          </cell>
          <cell r="AH2060">
            <v>96</v>
          </cell>
          <cell r="AI2060">
            <v>0.98899999999999999</v>
          </cell>
          <cell r="AJ2060">
            <v>1</v>
          </cell>
          <cell r="AK2060">
            <v>97.06</v>
          </cell>
        </row>
        <row r="2061">
          <cell r="E2061" t="str">
            <v>■Ｈｆカバー埋込形</v>
          </cell>
        </row>
        <row r="2062">
          <cell r="E2062" t="str">
            <v>C15F1-321PN</v>
          </cell>
          <cell r="F2062" t="str">
            <v>台</v>
          </cell>
          <cell r="H2062">
            <v>9960</v>
          </cell>
          <cell r="J2062">
            <v>9960</v>
          </cell>
          <cell r="L2062">
            <v>9960</v>
          </cell>
          <cell r="N2062">
            <v>9960</v>
          </cell>
          <cell r="P2062">
            <v>9960</v>
          </cell>
          <cell r="R2062">
            <v>9960</v>
          </cell>
          <cell r="T2062">
            <v>9960</v>
          </cell>
          <cell r="V2062">
            <v>9960</v>
          </cell>
          <cell r="X2062">
            <v>9960</v>
          </cell>
          <cell r="Z2062">
            <v>9960</v>
          </cell>
          <cell r="AD2062">
            <v>0.313</v>
          </cell>
          <cell r="AG2062">
            <v>4950</v>
          </cell>
          <cell r="AH2062">
            <v>48</v>
          </cell>
          <cell r="AI2062">
            <v>0.97899999999999998</v>
          </cell>
          <cell r="AJ2062">
            <v>1</v>
          </cell>
          <cell r="AK2062">
            <v>49.02</v>
          </cell>
        </row>
        <row r="2063">
          <cell r="E2063" t="str">
            <v>C15F1-321PH</v>
          </cell>
          <cell r="F2063" t="str">
            <v>台</v>
          </cell>
          <cell r="H2063">
            <v>12000</v>
          </cell>
          <cell r="J2063">
            <v>12000</v>
          </cell>
          <cell r="L2063">
            <v>12000</v>
          </cell>
          <cell r="N2063">
            <v>12000</v>
          </cell>
          <cell r="P2063">
            <v>12000</v>
          </cell>
          <cell r="R2063">
            <v>12000</v>
          </cell>
          <cell r="T2063">
            <v>12000</v>
          </cell>
          <cell r="V2063">
            <v>12000</v>
          </cell>
          <cell r="X2063">
            <v>12000</v>
          </cell>
          <cell r="Z2063">
            <v>12000</v>
          </cell>
          <cell r="AD2063">
            <v>0.313</v>
          </cell>
          <cell r="AG2063">
            <v>4950</v>
          </cell>
          <cell r="AH2063">
            <v>48</v>
          </cell>
          <cell r="AI2063">
            <v>0.97899999999999998</v>
          </cell>
          <cell r="AJ2063">
            <v>1</v>
          </cell>
          <cell r="AK2063">
            <v>49.02</v>
          </cell>
        </row>
        <row r="2064">
          <cell r="E2064" t="str">
            <v>C15F1-321PX</v>
          </cell>
          <cell r="F2064" t="str">
            <v>台</v>
          </cell>
          <cell r="H2064">
            <v>13100</v>
          </cell>
          <cell r="J2064">
            <v>13100</v>
          </cell>
          <cell r="L2064">
            <v>13100</v>
          </cell>
          <cell r="N2064">
            <v>13100</v>
          </cell>
          <cell r="P2064">
            <v>13100</v>
          </cell>
          <cell r="R2064">
            <v>13100</v>
          </cell>
          <cell r="T2064">
            <v>13100</v>
          </cell>
          <cell r="V2064">
            <v>13100</v>
          </cell>
          <cell r="X2064">
            <v>13100</v>
          </cell>
          <cell r="Z2064">
            <v>13100</v>
          </cell>
          <cell r="AD2064">
            <v>0.313</v>
          </cell>
          <cell r="AG2064">
            <v>4950</v>
          </cell>
          <cell r="AH2064">
            <v>48</v>
          </cell>
          <cell r="AI2064">
            <v>0.97899999999999998</v>
          </cell>
          <cell r="AJ2064">
            <v>1</v>
          </cell>
          <cell r="AK2064">
            <v>49.02</v>
          </cell>
        </row>
        <row r="2065">
          <cell r="E2065" t="str">
            <v>C15F1-321PK</v>
          </cell>
          <cell r="F2065" t="str">
            <v>台</v>
          </cell>
          <cell r="H2065">
            <v>13100</v>
          </cell>
          <cell r="J2065">
            <v>13100</v>
          </cell>
          <cell r="L2065">
            <v>13100</v>
          </cell>
          <cell r="N2065">
            <v>13100</v>
          </cell>
          <cell r="P2065">
            <v>13100</v>
          </cell>
          <cell r="R2065">
            <v>13100</v>
          </cell>
          <cell r="T2065">
            <v>13100</v>
          </cell>
          <cell r="V2065">
            <v>13100</v>
          </cell>
          <cell r="X2065">
            <v>13100</v>
          </cell>
          <cell r="Z2065">
            <v>13100</v>
          </cell>
          <cell r="AD2065">
            <v>0.313</v>
          </cell>
          <cell r="AG2065">
            <v>4950</v>
          </cell>
          <cell r="AH2065">
            <v>48</v>
          </cell>
          <cell r="AI2065">
            <v>0.97899999999999998</v>
          </cell>
          <cell r="AJ2065">
            <v>1</v>
          </cell>
          <cell r="AK2065">
            <v>49.02</v>
          </cell>
        </row>
        <row r="2066">
          <cell r="E2066" t="str">
            <v>C15F1-322PN</v>
          </cell>
          <cell r="F2066" t="str">
            <v>台</v>
          </cell>
          <cell r="H2066">
            <v>11600</v>
          </cell>
          <cell r="J2066">
            <v>11600</v>
          </cell>
          <cell r="L2066">
            <v>11600</v>
          </cell>
          <cell r="N2066">
            <v>11600</v>
          </cell>
          <cell r="P2066">
            <v>11600</v>
          </cell>
          <cell r="R2066">
            <v>11600</v>
          </cell>
          <cell r="T2066">
            <v>11600</v>
          </cell>
          <cell r="V2066">
            <v>11600</v>
          </cell>
          <cell r="X2066">
            <v>11600</v>
          </cell>
          <cell r="Z2066">
            <v>11600</v>
          </cell>
          <cell r="AD2066">
            <v>0.39100000000000001</v>
          </cell>
          <cell r="AG2066">
            <v>9900</v>
          </cell>
          <cell r="AH2066">
            <v>96</v>
          </cell>
          <cell r="AI2066">
            <v>0.98899999999999999</v>
          </cell>
          <cell r="AJ2066">
            <v>1</v>
          </cell>
          <cell r="AK2066">
            <v>97.06</v>
          </cell>
        </row>
        <row r="2067">
          <cell r="E2067" t="str">
            <v>C15F1-322PH</v>
          </cell>
          <cell r="F2067" t="str">
            <v>台</v>
          </cell>
          <cell r="H2067">
            <v>13100</v>
          </cell>
          <cell r="J2067">
            <v>13100</v>
          </cell>
          <cell r="L2067">
            <v>13100</v>
          </cell>
          <cell r="N2067">
            <v>13100</v>
          </cell>
          <cell r="P2067">
            <v>13100</v>
          </cell>
          <cell r="R2067">
            <v>13100</v>
          </cell>
          <cell r="T2067">
            <v>13100</v>
          </cell>
          <cell r="V2067">
            <v>13100</v>
          </cell>
          <cell r="X2067">
            <v>13100</v>
          </cell>
          <cell r="Z2067">
            <v>13100</v>
          </cell>
          <cell r="AD2067">
            <v>0.39100000000000001</v>
          </cell>
          <cell r="AG2067">
            <v>9900</v>
          </cell>
          <cell r="AH2067">
            <v>96</v>
          </cell>
          <cell r="AI2067">
            <v>0.98899999999999999</v>
          </cell>
          <cell r="AJ2067">
            <v>1</v>
          </cell>
          <cell r="AK2067">
            <v>97.06</v>
          </cell>
        </row>
        <row r="2068">
          <cell r="E2068" t="str">
            <v>C15F1-322PX</v>
          </cell>
          <cell r="F2068" t="str">
            <v>台</v>
          </cell>
          <cell r="H2068">
            <v>14100</v>
          </cell>
          <cell r="J2068">
            <v>14100</v>
          </cell>
          <cell r="L2068">
            <v>14100</v>
          </cell>
          <cell r="N2068">
            <v>14100</v>
          </cell>
          <cell r="P2068">
            <v>14100</v>
          </cell>
          <cell r="R2068">
            <v>14100</v>
          </cell>
          <cell r="T2068">
            <v>14100</v>
          </cell>
          <cell r="V2068">
            <v>14100</v>
          </cell>
          <cell r="X2068">
            <v>14100</v>
          </cell>
          <cell r="Z2068">
            <v>14100</v>
          </cell>
          <cell r="AD2068">
            <v>0.39100000000000001</v>
          </cell>
          <cell r="AG2068">
            <v>9900</v>
          </cell>
          <cell r="AH2068">
            <v>96</v>
          </cell>
          <cell r="AI2068">
            <v>0.98899999999999999</v>
          </cell>
          <cell r="AJ2068">
            <v>1</v>
          </cell>
          <cell r="AK2068">
            <v>97.06</v>
          </cell>
        </row>
        <row r="2069">
          <cell r="E2069" t="str">
            <v>C15F1-322PZ</v>
          </cell>
          <cell r="F2069" t="str">
            <v>台</v>
          </cell>
          <cell r="H2069">
            <v>17200</v>
          </cell>
          <cell r="J2069">
            <v>17200</v>
          </cell>
          <cell r="L2069">
            <v>17200</v>
          </cell>
          <cell r="N2069">
            <v>17200</v>
          </cell>
          <cell r="P2069">
            <v>17200</v>
          </cell>
          <cell r="R2069">
            <v>17200</v>
          </cell>
          <cell r="T2069">
            <v>17200</v>
          </cell>
          <cell r="V2069">
            <v>17200</v>
          </cell>
          <cell r="X2069">
            <v>17200</v>
          </cell>
          <cell r="Z2069">
            <v>17200</v>
          </cell>
          <cell r="AD2069">
            <v>0.39100000000000001</v>
          </cell>
          <cell r="AG2069">
            <v>9900</v>
          </cell>
          <cell r="AH2069">
            <v>96</v>
          </cell>
          <cell r="AI2069">
            <v>0.98899999999999999</v>
          </cell>
          <cell r="AJ2069">
            <v>1</v>
          </cell>
          <cell r="AK2069">
            <v>97.06</v>
          </cell>
        </row>
        <row r="2070">
          <cell r="E2070" t="str">
            <v>C15F1-322PK</v>
          </cell>
          <cell r="F2070" t="str">
            <v>台</v>
          </cell>
          <cell r="H2070">
            <v>14100</v>
          </cell>
          <cell r="J2070">
            <v>14100</v>
          </cell>
          <cell r="L2070">
            <v>14100</v>
          </cell>
          <cell r="N2070">
            <v>14100</v>
          </cell>
          <cell r="P2070">
            <v>14100</v>
          </cell>
          <cell r="R2070">
            <v>14100</v>
          </cell>
          <cell r="T2070">
            <v>14100</v>
          </cell>
          <cell r="V2070">
            <v>14100</v>
          </cell>
          <cell r="X2070">
            <v>14100</v>
          </cell>
          <cell r="Z2070">
            <v>14100</v>
          </cell>
          <cell r="AD2070">
            <v>0.39100000000000001</v>
          </cell>
          <cell r="AG2070">
            <v>9900</v>
          </cell>
          <cell r="AH2070">
            <v>96</v>
          </cell>
          <cell r="AI2070">
            <v>0.98899999999999999</v>
          </cell>
          <cell r="AJ2070">
            <v>1</v>
          </cell>
          <cell r="AK2070">
            <v>97.06</v>
          </cell>
        </row>
        <row r="2071">
          <cell r="E2071" t="str">
            <v>■Ｈｆルーバ埋込形</v>
          </cell>
        </row>
        <row r="2072">
          <cell r="E2072" t="str">
            <v>D15-162PH</v>
          </cell>
          <cell r="F2072" t="str">
            <v>台</v>
          </cell>
          <cell r="H2072">
            <v>15700</v>
          </cell>
          <cell r="J2072">
            <v>15700</v>
          </cell>
          <cell r="L2072">
            <v>15700</v>
          </cell>
          <cell r="N2072">
            <v>15700</v>
          </cell>
          <cell r="P2072">
            <v>15700</v>
          </cell>
          <cell r="R2072">
            <v>15700</v>
          </cell>
          <cell r="T2072">
            <v>15700</v>
          </cell>
          <cell r="V2072">
            <v>15700</v>
          </cell>
          <cell r="X2072">
            <v>15700</v>
          </cell>
          <cell r="Z2072">
            <v>15700</v>
          </cell>
          <cell r="AD2072">
            <v>0.252</v>
          </cell>
          <cell r="AG2072">
            <v>4200</v>
          </cell>
          <cell r="AH2072">
            <v>50</v>
          </cell>
          <cell r="AI2072">
            <v>0.98</v>
          </cell>
          <cell r="AJ2072">
            <v>1</v>
          </cell>
          <cell r="AK2072">
            <v>51.02</v>
          </cell>
        </row>
        <row r="2073">
          <cell r="E2073" t="str">
            <v>D15-162PX</v>
          </cell>
          <cell r="F2073" t="str">
            <v>台</v>
          </cell>
          <cell r="H2073">
            <v>16700</v>
          </cell>
          <cell r="J2073">
            <v>16700</v>
          </cell>
          <cell r="L2073">
            <v>16700</v>
          </cell>
          <cell r="N2073">
            <v>16700</v>
          </cell>
          <cell r="P2073">
            <v>16700</v>
          </cell>
          <cell r="R2073">
            <v>16700</v>
          </cell>
          <cell r="T2073">
            <v>16700</v>
          </cell>
          <cell r="V2073">
            <v>16700</v>
          </cell>
          <cell r="X2073">
            <v>16700</v>
          </cell>
          <cell r="Z2073">
            <v>16700</v>
          </cell>
          <cell r="AD2073">
            <v>0.252</v>
          </cell>
          <cell r="AG2073">
            <v>4200</v>
          </cell>
          <cell r="AH2073">
            <v>50</v>
          </cell>
          <cell r="AI2073">
            <v>0.98</v>
          </cell>
          <cell r="AJ2073">
            <v>1</v>
          </cell>
          <cell r="AK2073">
            <v>51.02</v>
          </cell>
        </row>
        <row r="2074">
          <cell r="E2074" t="str">
            <v>D15-321PN</v>
          </cell>
          <cell r="F2074" t="str">
            <v>台</v>
          </cell>
          <cell r="H2074">
            <v>13800</v>
          </cell>
          <cell r="J2074">
            <v>13800</v>
          </cell>
          <cell r="L2074">
            <v>13800</v>
          </cell>
          <cell r="N2074">
            <v>13800</v>
          </cell>
          <cell r="P2074">
            <v>13800</v>
          </cell>
          <cell r="R2074">
            <v>13800</v>
          </cell>
          <cell r="T2074">
            <v>13800</v>
          </cell>
          <cell r="V2074">
            <v>13800</v>
          </cell>
          <cell r="X2074">
            <v>13800</v>
          </cell>
          <cell r="Z2074">
            <v>13800</v>
          </cell>
          <cell r="AD2074">
            <v>0.313</v>
          </cell>
          <cell r="AG2074">
            <v>4950</v>
          </cell>
          <cell r="AH2074">
            <v>48</v>
          </cell>
          <cell r="AI2074">
            <v>0.97899999999999998</v>
          </cell>
          <cell r="AJ2074">
            <v>1</v>
          </cell>
          <cell r="AK2074">
            <v>49.02</v>
          </cell>
        </row>
        <row r="2075">
          <cell r="E2075" t="str">
            <v>D15-321PH</v>
          </cell>
          <cell r="F2075" t="str">
            <v>台</v>
          </cell>
          <cell r="H2075">
            <v>15900</v>
          </cell>
          <cell r="J2075">
            <v>15900</v>
          </cell>
          <cell r="L2075">
            <v>15900</v>
          </cell>
          <cell r="N2075">
            <v>15900</v>
          </cell>
          <cell r="P2075">
            <v>15900</v>
          </cell>
          <cell r="R2075">
            <v>15900</v>
          </cell>
          <cell r="T2075">
            <v>15900</v>
          </cell>
          <cell r="V2075">
            <v>15900</v>
          </cell>
          <cell r="X2075">
            <v>15900</v>
          </cell>
          <cell r="Z2075">
            <v>15900</v>
          </cell>
          <cell r="AD2075">
            <v>0.313</v>
          </cell>
          <cell r="AG2075">
            <v>4950</v>
          </cell>
          <cell r="AH2075">
            <v>48</v>
          </cell>
          <cell r="AI2075">
            <v>0.97899999999999998</v>
          </cell>
          <cell r="AJ2075">
            <v>1</v>
          </cell>
          <cell r="AK2075">
            <v>49.02</v>
          </cell>
        </row>
        <row r="2076">
          <cell r="E2076" t="str">
            <v>D15-321PX</v>
          </cell>
          <cell r="F2076" t="str">
            <v>台</v>
          </cell>
          <cell r="H2076">
            <v>17100</v>
          </cell>
          <cell r="J2076">
            <v>17100</v>
          </cell>
          <cell r="L2076">
            <v>17100</v>
          </cell>
          <cell r="N2076">
            <v>17100</v>
          </cell>
          <cell r="P2076">
            <v>17100</v>
          </cell>
          <cell r="R2076">
            <v>17100</v>
          </cell>
          <cell r="T2076">
            <v>17100</v>
          </cell>
          <cell r="V2076">
            <v>17100</v>
          </cell>
          <cell r="X2076">
            <v>17100</v>
          </cell>
          <cell r="Z2076">
            <v>17100</v>
          </cell>
          <cell r="AD2076">
            <v>0.313</v>
          </cell>
          <cell r="AG2076">
            <v>4950</v>
          </cell>
          <cell r="AH2076">
            <v>48</v>
          </cell>
          <cell r="AI2076">
            <v>0.97899999999999998</v>
          </cell>
          <cell r="AJ2076">
            <v>1</v>
          </cell>
          <cell r="AK2076">
            <v>49.02</v>
          </cell>
        </row>
        <row r="2077">
          <cell r="E2077" t="str">
            <v>D15-321PK</v>
          </cell>
          <cell r="F2077" t="str">
            <v>台</v>
          </cell>
          <cell r="H2077">
            <v>17100</v>
          </cell>
          <cell r="J2077">
            <v>17100</v>
          </cell>
          <cell r="L2077">
            <v>17100</v>
          </cell>
          <cell r="N2077">
            <v>17100</v>
          </cell>
          <cell r="P2077">
            <v>17100</v>
          </cell>
          <cell r="R2077">
            <v>17100</v>
          </cell>
          <cell r="T2077">
            <v>17100</v>
          </cell>
          <cell r="V2077">
            <v>17100</v>
          </cell>
          <cell r="X2077">
            <v>17100</v>
          </cell>
          <cell r="Z2077">
            <v>17100</v>
          </cell>
          <cell r="AD2077">
            <v>0.313</v>
          </cell>
          <cell r="AG2077">
            <v>4950</v>
          </cell>
          <cell r="AH2077">
            <v>48</v>
          </cell>
          <cell r="AI2077">
            <v>0.97899999999999998</v>
          </cell>
          <cell r="AJ2077">
            <v>1</v>
          </cell>
          <cell r="AK2077">
            <v>49.02</v>
          </cell>
        </row>
        <row r="2078">
          <cell r="E2078" t="str">
            <v>D15-322PN</v>
          </cell>
          <cell r="F2078" t="str">
            <v>台</v>
          </cell>
          <cell r="H2078">
            <v>16400</v>
          </cell>
          <cell r="J2078">
            <v>16400</v>
          </cell>
          <cell r="L2078">
            <v>16400</v>
          </cell>
          <cell r="N2078">
            <v>16400</v>
          </cell>
          <cell r="P2078">
            <v>16400</v>
          </cell>
          <cell r="R2078">
            <v>16400</v>
          </cell>
          <cell r="T2078">
            <v>16400</v>
          </cell>
          <cell r="V2078">
            <v>16400</v>
          </cell>
          <cell r="X2078">
            <v>16400</v>
          </cell>
          <cell r="Z2078">
            <v>16400</v>
          </cell>
          <cell r="AD2078">
            <v>0.39100000000000001</v>
          </cell>
          <cell r="AG2078">
            <v>9900</v>
          </cell>
          <cell r="AH2078">
            <v>96</v>
          </cell>
          <cell r="AI2078">
            <v>0.98899999999999999</v>
          </cell>
          <cell r="AJ2078">
            <v>1</v>
          </cell>
          <cell r="AK2078">
            <v>97.06</v>
          </cell>
        </row>
        <row r="2079">
          <cell r="E2079" t="str">
            <v>D15-322PH</v>
          </cell>
          <cell r="F2079" t="str">
            <v>台</v>
          </cell>
          <cell r="H2079">
            <v>17800</v>
          </cell>
          <cell r="J2079">
            <v>17800</v>
          </cell>
          <cell r="L2079">
            <v>17800</v>
          </cell>
          <cell r="N2079">
            <v>17800</v>
          </cell>
          <cell r="P2079">
            <v>17800</v>
          </cell>
          <cell r="R2079">
            <v>17800</v>
          </cell>
          <cell r="T2079">
            <v>17800</v>
          </cell>
          <cell r="V2079">
            <v>17800</v>
          </cell>
          <cell r="X2079">
            <v>17800</v>
          </cell>
          <cell r="Z2079">
            <v>17800</v>
          </cell>
          <cell r="AD2079">
            <v>0.39100000000000001</v>
          </cell>
          <cell r="AG2079">
            <v>9900</v>
          </cell>
          <cell r="AH2079">
            <v>96</v>
          </cell>
          <cell r="AI2079">
            <v>0.98899999999999999</v>
          </cell>
          <cell r="AJ2079">
            <v>1</v>
          </cell>
          <cell r="AK2079">
            <v>97.06</v>
          </cell>
        </row>
        <row r="2080">
          <cell r="E2080" t="str">
            <v>D15-322PX</v>
          </cell>
          <cell r="F2080" t="str">
            <v>台</v>
          </cell>
          <cell r="H2080">
            <v>18900</v>
          </cell>
          <cell r="J2080">
            <v>18900</v>
          </cell>
          <cell r="L2080">
            <v>18900</v>
          </cell>
          <cell r="N2080">
            <v>18900</v>
          </cell>
          <cell r="P2080">
            <v>18900</v>
          </cell>
          <cell r="R2080">
            <v>18900</v>
          </cell>
          <cell r="T2080">
            <v>18900</v>
          </cell>
          <cell r="V2080">
            <v>18900</v>
          </cell>
          <cell r="X2080">
            <v>18900</v>
          </cell>
          <cell r="Z2080">
            <v>18900</v>
          </cell>
          <cell r="AD2080">
            <v>0.39100000000000001</v>
          </cell>
          <cell r="AG2080">
            <v>9900</v>
          </cell>
          <cell r="AH2080">
            <v>96</v>
          </cell>
          <cell r="AI2080">
            <v>0.98899999999999999</v>
          </cell>
          <cell r="AJ2080">
            <v>1</v>
          </cell>
          <cell r="AK2080">
            <v>97.06</v>
          </cell>
        </row>
        <row r="2081">
          <cell r="E2081" t="str">
            <v>D15-322PZ</v>
          </cell>
          <cell r="F2081" t="str">
            <v>台</v>
          </cell>
          <cell r="H2081">
            <v>21900</v>
          </cell>
          <cell r="J2081">
            <v>21900</v>
          </cell>
          <cell r="L2081">
            <v>21900</v>
          </cell>
          <cell r="N2081">
            <v>21900</v>
          </cell>
          <cell r="P2081">
            <v>21900</v>
          </cell>
          <cell r="R2081">
            <v>21900</v>
          </cell>
          <cell r="T2081">
            <v>21900</v>
          </cell>
          <cell r="V2081">
            <v>21900</v>
          </cell>
          <cell r="X2081">
            <v>21900</v>
          </cell>
          <cell r="Z2081">
            <v>21900</v>
          </cell>
          <cell r="AD2081">
            <v>0.39100000000000001</v>
          </cell>
          <cell r="AG2081">
            <v>9900</v>
          </cell>
          <cell r="AH2081">
            <v>96</v>
          </cell>
          <cell r="AI2081">
            <v>0.98899999999999999</v>
          </cell>
          <cell r="AJ2081">
            <v>1</v>
          </cell>
          <cell r="AK2081">
            <v>97.06</v>
          </cell>
        </row>
        <row r="2082">
          <cell r="E2082" t="str">
            <v>D15-322PK</v>
          </cell>
          <cell r="F2082" t="str">
            <v>台</v>
          </cell>
          <cell r="H2082">
            <v>18900</v>
          </cell>
          <cell r="J2082">
            <v>18900</v>
          </cell>
          <cell r="L2082">
            <v>18900</v>
          </cell>
          <cell r="N2082">
            <v>18900</v>
          </cell>
          <cell r="P2082">
            <v>18900</v>
          </cell>
          <cell r="R2082">
            <v>18900</v>
          </cell>
          <cell r="T2082">
            <v>18900</v>
          </cell>
          <cell r="V2082">
            <v>18900</v>
          </cell>
          <cell r="X2082">
            <v>18900</v>
          </cell>
          <cell r="Z2082">
            <v>18900</v>
          </cell>
          <cell r="AD2082">
            <v>0.39100000000000001</v>
          </cell>
          <cell r="AG2082">
            <v>9900</v>
          </cell>
          <cell r="AH2082">
            <v>96</v>
          </cell>
          <cell r="AI2082">
            <v>0.98899999999999999</v>
          </cell>
          <cell r="AJ2082">
            <v>1</v>
          </cell>
          <cell r="AK2082">
            <v>97.06</v>
          </cell>
        </row>
        <row r="2083">
          <cell r="E2083" t="str">
            <v>D15L3-162PH</v>
          </cell>
          <cell r="F2083" t="str">
            <v>台</v>
          </cell>
          <cell r="H2083">
            <v>15700</v>
          </cell>
          <cell r="J2083">
            <v>15700</v>
          </cell>
          <cell r="L2083">
            <v>15700</v>
          </cell>
          <cell r="N2083">
            <v>15700</v>
          </cell>
          <cell r="P2083">
            <v>15700</v>
          </cell>
          <cell r="R2083">
            <v>15700</v>
          </cell>
          <cell r="T2083">
            <v>15700</v>
          </cell>
          <cell r="V2083">
            <v>15700</v>
          </cell>
          <cell r="X2083">
            <v>15700</v>
          </cell>
          <cell r="Z2083">
            <v>15700</v>
          </cell>
          <cell r="AD2083">
            <v>0.252</v>
          </cell>
          <cell r="AG2083">
            <v>4200</v>
          </cell>
          <cell r="AH2083">
            <v>50</v>
          </cell>
          <cell r="AI2083">
            <v>0.98</v>
          </cell>
          <cell r="AJ2083">
            <v>1</v>
          </cell>
          <cell r="AK2083">
            <v>51.02</v>
          </cell>
        </row>
        <row r="2084">
          <cell r="E2084" t="str">
            <v>D15L3-162PX</v>
          </cell>
          <cell r="F2084" t="str">
            <v>台</v>
          </cell>
          <cell r="H2084">
            <v>16700</v>
          </cell>
          <cell r="J2084">
            <v>16700</v>
          </cell>
          <cell r="L2084">
            <v>16700</v>
          </cell>
          <cell r="N2084">
            <v>16700</v>
          </cell>
          <cell r="P2084">
            <v>16700</v>
          </cell>
          <cell r="R2084">
            <v>16700</v>
          </cell>
          <cell r="T2084">
            <v>16700</v>
          </cell>
          <cell r="V2084">
            <v>16700</v>
          </cell>
          <cell r="X2084">
            <v>16700</v>
          </cell>
          <cell r="Z2084">
            <v>16700</v>
          </cell>
          <cell r="AD2084">
            <v>0.252</v>
          </cell>
          <cell r="AG2084">
            <v>4200</v>
          </cell>
          <cell r="AH2084">
            <v>50</v>
          </cell>
          <cell r="AI2084">
            <v>0.98</v>
          </cell>
          <cell r="AJ2084">
            <v>1</v>
          </cell>
          <cell r="AK2084">
            <v>51.02</v>
          </cell>
        </row>
        <row r="2085">
          <cell r="E2085" t="str">
            <v>D15L3-321PN</v>
          </cell>
          <cell r="F2085" t="str">
            <v>台</v>
          </cell>
          <cell r="H2085">
            <v>13800</v>
          </cell>
          <cell r="J2085">
            <v>13800</v>
          </cell>
          <cell r="L2085">
            <v>13800</v>
          </cell>
          <cell r="N2085">
            <v>13800</v>
          </cell>
          <cell r="P2085">
            <v>13800</v>
          </cell>
          <cell r="R2085">
            <v>13800</v>
          </cell>
          <cell r="T2085">
            <v>13800</v>
          </cell>
          <cell r="V2085">
            <v>13800</v>
          </cell>
          <cell r="X2085">
            <v>13800</v>
          </cell>
          <cell r="Z2085">
            <v>13800</v>
          </cell>
          <cell r="AD2085">
            <v>0.313</v>
          </cell>
          <cell r="AG2085">
            <v>4950</v>
          </cell>
          <cell r="AH2085">
            <v>48</v>
          </cell>
          <cell r="AI2085">
            <v>0.97899999999999998</v>
          </cell>
          <cell r="AJ2085">
            <v>1</v>
          </cell>
          <cell r="AK2085">
            <v>49.02</v>
          </cell>
        </row>
        <row r="2086">
          <cell r="E2086" t="str">
            <v>D15L3-321PH</v>
          </cell>
          <cell r="F2086" t="str">
            <v>台</v>
          </cell>
          <cell r="H2086">
            <v>15900</v>
          </cell>
          <cell r="J2086">
            <v>15900</v>
          </cell>
          <cell r="L2086">
            <v>15900</v>
          </cell>
          <cell r="N2086">
            <v>15900</v>
          </cell>
          <cell r="P2086">
            <v>15900</v>
          </cell>
          <cell r="R2086">
            <v>15900</v>
          </cell>
          <cell r="T2086">
            <v>15900</v>
          </cell>
          <cell r="V2086">
            <v>15900</v>
          </cell>
          <cell r="X2086">
            <v>15900</v>
          </cell>
          <cell r="Z2086">
            <v>15900</v>
          </cell>
          <cell r="AD2086">
            <v>0.313</v>
          </cell>
          <cell r="AG2086">
            <v>4950</v>
          </cell>
          <cell r="AH2086">
            <v>48</v>
          </cell>
          <cell r="AI2086">
            <v>0.97899999999999998</v>
          </cell>
          <cell r="AJ2086">
            <v>1</v>
          </cell>
          <cell r="AK2086">
            <v>49.02</v>
          </cell>
        </row>
        <row r="2087">
          <cell r="E2087" t="str">
            <v>D15L3-321PX</v>
          </cell>
          <cell r="F2087" t="str">
            <v>台</v>
          </cell>
          <cell r="H2087">
            <v>17100</v>
          </cell>
          <cell r="J2087">
            <v>17100</v>
          </cell>
          <cell r="L2087">
            <v>17100</v>
          </cell>
          <cell r="N2087">
            <v>17100</v>
          </cell>
          <cell r="P2087">
            <v>17100</v>
          </cell>
          <cell r="R2087">
            <v>17100</v>
          </cell>
          <cell r="T2087">
            <v>17100</v>
          </cell>
          <cell r="V2087">
            <v>17100</v>
          </cell>
          <cell r="X2087">
            <v>17100</v>
          </cell>
          <cell r="Z2087">
            <v>17100</v>
          </cell>
          <cell r="AD2087">
            <v>0.313</v>
          </cell>
          <cell r="AG2087">
            <v>4950</v>
          </cell>
          <cell r="AH2087">
            <v>48</v>
          </cell>
          <cell r="AI2087">
            <v>0.97899999999999998</v>
          </cell>
          <cell r="AJ2087">
            <v>1</v>
          </cell>
          <cell r="AK2087">
            <v>49.02</v>
          </cell>
        </row>
        <row r="2088">
          <cell r="E2088" t="str">
            <v>D15L3-321PK</v>
          </cell>
          <cell r="F2088" t="str">
            <v>台</v>
          </cell>
          <cell r="H2088">
            <v>17100</v>
          </cell>
          <cell r="J2088">
            <v>17100</v>
          </cell>
          <cell r="L2088">
            <v>17100</v>
          </cell>
          <cell r="N2088">
            <v>17100</v>
          </cell>
          <cell r="P2088">
            <v>17100</v>
          </cell>
          <cell r="R2088">
            <v>17100</v>
          </cell>
          <cell r="T2088">
            <v>17100</v>
          </cell>
          <cell r="V2088">
            <v>17100</v>
          </cell>
          <cell r="X2088">
            <v>17100</v>
          </cell>
          <cell r="Z2088">
            <v>17100</v>
          </cell>
          <cell r="AD2088">
            <v>0.313</v>
          </cell>
          <cell r="AG2088">
            <v>4950</v>
          </cell>
          <cell r="AH2088">
            <v>48</v>
          </cell>
          <cell r="AI2088">
            <v>0.97899999999999998</v>
          </cell>
          <cell r="AJ2088">
            <v>1</v>
          </cell>
          <cell r="AK2088">
            <v>49.02</v>
          </cell>
        </row>
        <row r="2089">
          <cell r="E2089" t="str">
            <v>D15L3-322PN</v>
          </cell>
          <cell r="F2089" t="str">
            <v>台</v>
          </cell>
          <cell r="H2089">
            <v>16400</v>
          </cell>
          <cell r="J2089">
            <v>16400</v>
          </cell>
          <cell r="L2089">
            <v>16400</v>
          </cell>
          <cell r="N2089">
            <v>16400</v>
          </cell>
          <cell r="P2089">
            <v>16400</v>
          </cell>
          <cell r="R2089">
            <v>16400</v>
          </cell>
          <cell r="T2089">
            <v>16400</v>
          </cell>
          <cell r="V2089">
            <v>16400</v>
          </cell>
          <cell r="X2089">
            <v>16400</v>
          </cell>
          <cell r="Z2089">
            <v>16400</v>
          </cell>
          <cell r="AD2089">
            <v>0.39100000000000001</v>
          </cell>
          <cell r="AG2089">
            <v>9900</v>
          </cell>
          <cell r="AH2089">
            <v>96</v>
          </cell>
          <cell r="AI2089">
            <v>0.98899999999999999</v>
          </cell>
          <cell r="AJ2089">
            <v>1</v>
          </cell>
          <cell r="AK2089">
            <v>97.06</v>
          </cell>
        </row>
        <row r="2090">
          <cell r="E2090" t="str">
            <v>D15L3-322PH</v>
          </cell>
          <cell r="F2090" t="str">
            <v>台</v>
          </cell>
          <cell r="H2090">
            <v>17800</v>
          </cell>
          <cell r="J2090">
            <v>17800</v>
          </cell>
          <cell r="L2090">
            <v>17800</v>
          </cell>
          <cell r="N2090">
            <v>17800</v>
          </cell>
          <cell r="P2090">
            <v>17800</v>
          </cell>
          <cell r="R2090">
            <v>17800</v>
          </cell>
          <cell r="T2090">
            <v>17800</v>
          </cell>
          <cell r="V2090">
            <v>17800</v>
          </cell>
          <cell r="X2090">
            <v>17800</v>
          </cell>
          <cell r="Z2090">
            <v>17800</v>
          </cell>
          <cell r="AD2090">
            <v>0.39100000000000001</v>
          </cell>
          <cell r="AG2090">
            <v>9900</v>
          </cell>
          <cell r="AH2090">
            <v>96</v>
          </cell>
          <cell r="AI2090">
            <v>0.98899999999999999</v>
          </cell>
          <cell r="AJ2090">
            <v>1</v>
          </cell>
          <cell r="AK2090">
            <v>97.06</v>
          </cell>
        </row>
        <row r="2091">
          <cell r="E2091" t="str">
            <v>D15L3-322PX</v>
          </cell>
          <cell r="F2091" t="str">
            <v>台</v>
          </cell>
          <cell r="H2091">
            <v>18900</v>
          </cell>
          <cell r="J2091">
            <v>18900</v>
          </cell>
          <cell r="L2091">
            <v>18900</v>
          </cell>
          <cell r="N2091">
            <v>18900</v>
          </cell>
          <cell r="P2091">
            <v>18900</v>
          </cell>
          <cell r="R2091">
            <v>18900</v>
          </cell>
          <cell r="T2091">
            <v>18900</v>
          </cell>
          <cell r="V2091">
            <v>18900</v>
          </cell>
          <cell r="X2091">
            <v>18900</v>
          </cell>
          <cell r="Z2091">
            <v>18900</v>
          </cell>
          <cell r="AD2091">
            <v>0.39100000000000001</v>
          </cell>
          <cell r="AG2091">
            <v>9900</v>
          </cell>
          <cell r="AH2091">
            <v>96</v>
          </cell>
          <cell r="AI2091">
            <v>0.98899999999999999</v>
          </cell>
          <cell r="AJ2091">
            <v>1</v>
          </cell>
          <cell r="AK2091">
            <v>97.06</v>
          </cell>
        </row>
        <row r="2092">
          <cell r="E2092" t="str">
            <v>D15L3-322PZ</v>
          </cell>
          <cell r="F2092" t="str">
            <v>台</v>
          </cell>
          <cell r="H2092">
            <v>21900</v>
          </cell>
          <cell r="J2092">
            <v>21900</v>
          </cell>
          <cell r="L2092">
            <v>21900</v>
          </cell>
          <cell r="N2092">
            <v>21900</v>
          </cell>
          <cell r="P2092">
            <v>21900</v>
          </cell>
          <cell r="R2092">
            <v>21900</v>
          </cell>
          <cell r="T2092">
            <v>21900</v>
          </cell>
          <cell r="V2092">
            <v>21900</v>
          </cell>
          <cell r="X2092">
            <v>21900</v>
          </cell>
          <cell r="Z2092">
            <v>21900</v>
          </cell>
          <cell r="AD2092">
            <v>0.39100000000000001</v>
          </cell>
          <cell r="AG2092">
            <v>9900</v>
          </cell>
          <cell r="AH2092">
            <v>96</v>
          </cell>
          <cell r="AI2092">
            <v>0.98899999999999999</v>
          </cell>
          <cell r="AJ2092">
            <v>1</v>
          </cell>
          <cell r="AK2092">
            <v>97.06</v>
          </cell>
        </row>
        <row r="2093">
          <cell r="E2093" t="str">
            <v>D15L3-322PK</v>
          </cell>
          <cell r="F2093" t="str">
            <v>台</v>
          </cell>
          <cell r="H2093">
            <v>18900</v>
          </cell>
          <cell r="J2093">
            <v>18900</v>
          </cell>
          <cell r="L2093">
            <v>18900</v>
          </cell>
          <cell r="N2093">
            <v>18900</v>
          </cell>
          <cell r="P2093">
            <v>18900</v>
          </cell>
          <cell r="R2093">
            <v>18900</v>
          </cell>
          <cell r="T2093">
            <v>18900</v>
          </cell>
          <cell r="V2093">
            <v>18900</v>
          </cell>
          <cell r="X2093">
            <v>18900</v>
          </cell>
          <cell r="Z2093">
            <v>18900</v>
          </cell>
          <cell r="AD2093">
            <v>0.39100000000000001</v>
          </cell>
          <cell r="AG2093">
            <v>9900</v>
          </cell>
          <cell r="AH2093">
            <v>96</v>
          </cell>
          <cell r="AI2093">
            <v>0.98899999999999999</v>
          </cell>
          <cell r="AJ2093">
            <v>1</v>
          </cell>
          <cell r="AK2093">
            <v>97.06</v>
          </cell>
        </row>
        <row r="2094">
          <cell r="E2094" t="str">
            <v>D15L5-162PH</v>
          </cell>
          <cell r="F2094" t="str">
            <v>台</v>
          </cell>
          <cell r="H2094">
            <v>12400</v>
          </cell>
          <cell r="J2094">
            <v>12400</v>
          </cell>
          <cell r="L2094">
            <v>12400</v>
          </cell>
          <cell r="N2094">
            <v>12400</v>
          </cell>
          <cell r="P2094">
            <v>12400</v>
          </cell>
          <cell r="R2094">
            <v>12400</v>
          </cell>
          <cell r="T2094">
            <v>12400</v>
          </cell>
          <cell r="V2094">
            <v>12400</v>
          </cell>
          <cell r="X2094">
            <v>12400</v>
          </cell>
          <cell r="Z2094">
            <v>12400</v>
          </cell>
          <cell r="AD2094">
            <v>0.252</v>
          </cell>
          <cell r="AG2094">
            <v>4200</v>
          </cell>
          <cell r="AH2094">
            <v>50</v>
          </cell>
          <cell r="AI2094">
            <v>0.98</v>
          </cell>
          <cell r="AJ2094">
            <v>1</v>
          </cell>
          <cell r="AK2094">
            <v>51.02</v>
          </cell>
        </row>
        <row r="2095">
          <cell r="E2095" t="str">
            <v>D15L5-162PX</v>
          </cell>
          <cell r="F2095" t="str">
            <v>台</v>
          </cell>
          <cell r="H2095">
            <v>13400</v>
          </cell>
          <cell r="J2095">
            <v>13400</v>
          </cell>
          <cell r="L2095">
            <v>13400</v>
          </cell>
          <cell r="N2095">
            <v>13400</v>
          </cell>
          <cell r="P2095">
            <v>13400</v>
          </cell>
          <cell r="R2095">
            <v>13400</v>
          </cell>
          <cell r="T2095">
            <v>13400</v>
          </cell>
          <cell r="V2095">
            <v>13400</v>
          </cell>
          <cell r="X2095">
            <v>13400</v>
          </cell>
          <cell r="Z2095">
            <v>13400</v>
          </cell>
          <cell r="AD2095">
            <v>0.252</v>
          </cell>
          <cell r="AG2095">
            <v>4200</v>
          </cell>
          <cell r="AH2095">
            <v>50</v>
          </cell>
          <cell r="AI2095">
            <v>0.98</v>
          </cell>
          <cell r="AJ2095">
            <v>1</v>
          </cell>
          <cell r="AK2095">
            <v>51.02</v>
          </cell>
        </row>
        <row r="2096">
          <cell r="E2096" t="str">
            <v>D15L5-321PN</v>
          </cell>
          <cell r="F2096" t="str">
            <v>台</v>
          </cell>
          <cell r="H2096">
            <v>10100</v>
          </cell>
          <cell r="J2096">
            <v>10100</v>
          </cell>
          <cell r="L2096">
            <v>10100</v>
          </cell>
          <cell r="N2096">
            <v>10100</v>
          </cell>
          <cell r="P2096">
            <v>10100</v>
          </cell>
          <cell r="R2096">
            <v>10100</v>
          </cell>
          <cell r="T2096">
            <v>10100</v>
          </cell>
          <cell r="V2096">
            <v>10100</v>
          </cell>
          <cell r="X2096">
            <v>10100</v>
          </cell>
          <cell r="Z2096">
            <v>10100</v>
          </cell>
          <cell r="AD2096">
            <v>0.313</v>
          </cell>
          <cell r="AG2096">
            <v>4950</v>
          </cell>
          <cell r="AH2096">
            <v>48</v>
          </cell>
          <cell r="AI2096">
            <v>0.97899999999999998</v>
          </cell>
          <cell r="AJ2096">
            <v>1</v>
          </cell>
          <cell r="AK2096">
            <v>49.02</v>
          </cell>
        </row>
        <row r="2097">
          <cell r="E2097" t="str">
            <v>D15L5-321PH</v>
          </cell>
          <cell r="F2097" t="str">
            <v>台</v>
          </cell>
          <cell r="H2097">
            <v>12100</v>
          </cell>
          <cell r="J2097">
            <v>12100</v>
          </cell>
          <cell r="L2097">
            <v>12100</v>
          </cell>
          <cell r="N2097">
            <v>12100</v>
          </cell>
          <cell r="P2097">
            <v>12100</v>
          </cell>
          <cell r="R2097">
            <v>12100</v>
          </cell>
          <cell r="T2097">
            <v>12100</v>
          </cell>
          <cell r="V2097">
            <v>12100</v>
          </cell>
          <cell r="X2097">
            <v>12100</v>
          </cell>
          <cell r="Z2097">
            <v>12100</v>
          </cell>
          <cell r="AD2097">
            <v>0.313</v>
          </cell>
          <cell r="AG2097">
            <v>4950</v>
          </cell>
          <cell r="AH2097">
            <v>48</v>
          </cell>
          <cell r="AI2097">
            <v>0.97899999999999998</v>
          </cell>
          <cell r="AJ2097">
            <v>1</v>
          </cell>
          <cell r="AK2097">
            <v>49.02</v>
          </cell>
        </row>
        <row r="2098">
          <cell r="E2098" t="str">
            <v>D15L5-321PX</v>
          </cell>
          <cell r="F2098" t="str">
            <v>台</v>
          </cell>
          <cell r="H2098">
            <v>13300</v>
          </cell>
          <cell r="J2098">
            <v>13300</v>
          </cell>
          <cell r="L2098">
            <v>13300</v>
          </cell>
          <cell r="N2098">
            <v>13300</v>
          </cell>
          <cell r="P2098">
            <v>13300</v>
          </cell>
          <cell r="R2098">
            <v>13300</v>
          </cell>
          <cell r="T2098">
            <v>13300</v>
          </cell>
          <cell r="V2098">
            <v>13300</v>
          </cell>
          <cell r="X2098">
            <v>13300</v>
          </cell>
          <cell r="Z2098">
            <v>13300</v>
          </cell>
          <cell r="AD2098">
            <v>0.313</v>
          </cell>
          <cell r="AG2098">
            <v>4950</v>
          </cell>
          <cell r="AH2098">
            <v>48</v>
          </cell>
          <cell r="AI2098">
            <v>0.97899999999999998</v>
          </cell>
          <cell r="AJ2098">
            <v>1</v>
          </cell>
          <cell r="AK2098">
            <v>49.02</v>
          </cell>
        </row>
        <row r="2099">
          <cell r="E2099" t="str">
            <v>D15L5-321PK</v>
          </cell>
          <cell r="F2099" t="str">
            <v>台</v>
          </cell>
          <cell r="H2099">
            <v>13300</v>
          </cell>
          <cell r="J2099">
            <v>13300</v>
          </cell>
          <cell r="L2099">
            <v>13300</v>
          </cell>
          <cell r="N2099">
            <v>13300</v>
          </cell>
          <cell r="P2099">
            <v>13300</v>
          </cell>
          <cell r="R2099">
            <v>13300</v>
          </cell>
          <cell r="T2099">
            <v>13300</v>
          </cell>
          <cell r="V2099">
            <v>13300</v>
          </cell>
          <cell r="X2099">
            <v>13300</v>
          </cell>
          <cell r="Z2099">
            <v>13300</v>
          </cell>
          <cell r="AD2099">
            <v>0.313</v>
          </cell>
          <cell r="AG2099">
            <v>4950</v>
          </cell>
          <cell r="AH2099">
            <v>48</v>
          </cell>
          <cell r="AI2099">
            <v>0.97899999999999998</v>
          </cell>
          <cell r="AJ2099">
            <v>1</v>
          </cell>
          <cell r="AK2099">
            <v>49.02</v>
          </cell>
        </row>
        <row r="2100">
          <cell r="E2100" t="str">
            <v>D15L5-322PN</v>
          </cell>
          <cell r="F2100" t="str">
            <v>台</v>
          </cell>
          <cell r="H2100">
            <v>11800</v>
          </cell>
          <cell r="J2100">
            <v>11800</v>
          </cell>
          <cell r="L2100">
            <v>11800</v>
          </cell>
          <cell r="N2100">
            <v>11800</v>
          </cell>
          <cell r="P2100">
            <v>11800</v>
          </cell>
          <cell r="R2100">
            <v>11800</v>
          </cell>
          <cell r="T2100">
            <v>11800</v>
          </cell>
          <cell r="V2100">
            <v>11800</v>
          </cell>
          <cell r="X2100">
            <v>11800</v>
          </cell>
          <cell r="Z2100">
            <v>11800</v>
          </cell>
          <cell r="AD2100">
            <v>0.39100000000000001</v>
          </cell>
          <cell r="AG2100">
            <v>9900</v>
          </cell>
          <cell r="AH2100">
            <v>96</v>
          </cell>
          <cell r="AI2100">
            <v>0.98899999999999999</v>
          </cell>
          <cell r="AJ2100">
            <v>1</v>
          </cell>
          <cell r="AK2100">
            <v>97.06</v>
          </cell>
        </row>
        <row r="2101">
          <cell r="E2101" t="str">
            <v>D15L5-322PH</v>
          </cell>
          <cell r="F2101" t="str">
            <v>台</v>
          </cell>
          <cell r="H2101">
            <v>13200</v>
          </cell>
          <cell r="J2101">
            <v>13200</v>
          </cell>
          <cell r="L2101">
            <v>13200</v>
          </cell>
          <cell r="N2101">
            <v>13200</v>
          </cell>
          <cell r="P2101">
            <v>13200</v>
          </cell>
          <cell r="R2101">
            <v>13200</v>
          </cell>
          <cell r="T2101">
            <v>13200</v>
          </cell>
          <cell r="V2101">
            <v>13200</v>
          </cell>
          <cell r="X2101">
            <v>13200</v>
          </cell>
          <cell r="Z2101">
            <v>13200</v>
          </cell>
          <cell r="AD2101">
            <v>0.39100000000000001</v>
          </cell>
          <cell r="AG2101">
            <v>9900</v>
          </cell>
          <cell r="AH2101">
            <v>96</v>
          </cell>
          <cell r="AI2101">
            <v>0.98899999999999999</v>
          </cell>
          <cell r="AJ2101">
            <v>1</v>
          </cell>
          <cell r="AK2101">
            <v>97.06</v>
          </cell>
        </row>
        <row r="2102">
          <cell r="E2102" t="str">
            <v>D15L5-322PX</v>
          </cell>
          <cell r="F2102" t="str">
            <v>台</v>
          </cell>
          <cell r="H2102">
            <v>14300</v>
          </cell>
          <cell r="J2102">
            <v>14300</v>
          </cell>
          <cell r="L2102">
            <v>14300</v>
          </cell>
          <cell r="N2102">
            <v>14300</v>
          </cell>
          <cell r="P2102">
            <v>14300</v>
          </cell>
          <cell r="R2102">
            <v>14300</v>
          </cell>
          <cell r="T2102">
            <v>14300</v>
          </cell>
          <cell r="V2102">
            <v>14300</v>
          </cell>
          <cell r="X2102">
            <v>14300</v>
          </cell>
          <cell r="Z2102">
            <v>14300</v>
          </cell>
          <cell r="AD2102">
            <v>0.39100000000000001</v>
          </cell>
          <cell r="AG2102">
            <v>9900</v>
          </cell>
          <cell r="AH2102">
            <v>96</v>
          </cell>
          <cell r="AI2102">
            <v>0.98899999999999999</v>
          </cell>
          <cell r="AJ2102">
            <v>1</v>
          </cell>
          <cell r="AK2102">
            <v>97.06</v>
          </cell>
        </row>
        <row r="2103">
          <cell r="E2103" t="str">
            <v>D15L5-322PZ</v>
          </cell>
          <cell r="F2103" t="str">
            <v>台</v>
          </cell>
          <cell r="H2103">
            <v>17300</v>
          </cell>
          <cell r="J2103">
            <v>17300</v>
          </cell>
          <cell r="L2103">
            <v>17300</v>
          </cell>
          <cell r="N2103">
            <v>17300</v>
          </cell>
          <cell r="P2103">
            <v>17300</v>
          </cell>
          <cell r="R2103">
            <v>17300</v>
          </cell>
          <cell r="T2103">
            <v>17300</v>
          </cell>
          <cell r="V2103">
            <v>17300</v>
          </cell>
          <cell r="X2103">
            <v>17300</v>
          </cell>
          <cell r="Z2103">
            <v>17300</v>
          </cell>
          <cell r="AD2103">
            <v>0.39100000000000001</v>
          </cell>
          <cell r="AG2103">
            <v>9900</v>
          </cell>
          <cell r="AH2103">
            <v>96</v>
          </cell>
          <cell r="AI2103">
            <v>0.98899999999999999</v>
          </cell>
          <cell r="AJ2103">
            <v>1</v>
          </cell>
          <cell r="AK2103">
            <v>97.06</v>
          </cell>
        </row>
        <row r="2104">
          <cell r="E2104" t="str">
            <v>D15L5-322PK</v>
          </cell>
          <cell r="F2104" t="str">
            <v>台</v>
          </cell>
          <cell r="H2104">
            <v>14300</v>
          </cell>
          <cell r="J2104">
            <v>14300</v>
          </cell>
          <cell r="L2104">
            <v>14300</v>
          </cell>
          <cell r="N2104">
            <v>14300</v>
          </cell>
          <cell r="P2104">
            <v>14300</v>
          </cell>
          <cell r="R2104">
            <v>14300</v>
          </cell>
          <cell r="T2104">
            <v>14300</v>
          </cell>
          <cell r="V2104">
            <v>14300</v>
          </cell>
          <cell r="X2104">
            <v>14300</v>
          </cell>
          <cell r="Z2104">
            <v>14300</v>
          </cell>
          <cell r="AD2104">
            <v>0.39100000000000001</v>
          </cell>
          <cell r="AG2104">
            <v>9900</v>
          </cell>
          <cell r="AH2104">
            <v>96</v>
          </cell>
          <cell r="AI2104">
            <v>0.98899999999999999</v>
          </cell>
          <cell r="AJ2104">
            <v>1</v>
          </cell>
          <cell r="AK2104">
            <v>97.06</v>
          </cell>
        </row>
        <row r="2105">
          <cell r="E2105" t="str">
            <v>■Ｈｆ開放埋込形</v>
          </cell>
        </row>
        <row r="2106">
          <cell r="E2106" t="str">
            <v>A18-322PN</v>
          </cell>
          <cell r="F2106" t="str">
            <v>台</v>
          </cell>
          <cell r="H2106">
            <v>9040</v>
          </cell>
          <cell r="J2106">
            <v>9040</v>
          </cell>
          <cell r="L2106">
            <v>9040</v>
          </cell>
          <cell r="N2106">
            <v>9040</v>
          </cell>
          <cell r="P2106">
            <v>9040</v>
          </cell>
          <cell r="R2106">
            <v>9040</v>
          </cell>
          <cell r="T2106">
            <v>9040</v>
          </cell>
          <cell r="V2106">
            <v>9040</v>
          </cell>
          <cell r="X2106">
            <v>9040</v>
          </cell>
          <cell r="Z2106">
            <v>9040</v>
          </cell>
          <cell r="AD2106">
            <v>0.39100000000000001</v>
          </cell>
          <cell r="AG2106">
            <v>9900</v>
          </cell>
          <cell r="AH2106">
            <v>96</v>
          </cell>
          <cell r="AI2106">
            <v>0.98899999999999999</v>
          </cell>
          <cell r="AJ2106">
            <v>1</v>
          </cell>
          <cell r="AK2106">
            <v>97.06</v>
          </cell>
        </row>
        <row r="2107">
          <cell r="E2107" t="str">
            <v>A18-322PH</v>
          </cell>
          <cell r="F2107" t="str">
            <v>台</v>
          </cell>
          <cell r="H2107">
            <v>10200</v>
          </cell>
          <cell r="J2107">
            <v>10200</v>
          </cell>
          <cell r="L2107">
            <v>10200</v>
          </cell>
          <cell r="N2107">
            <v>10200</v>
          </cell>
          <cell r="P2107">
            <v>10200</v>
          </cell>
          <cell r="R2107">
            <v>10200</v>
          </cell>
          <cell r="T2107">
            <v>10200</v>
          </cell>
          <cell r="V2107">
            <v>10200</v>
          </cell>
          <cell r="X2107">
            <v>10200</v>
          </cell>
          <cell r="Z2107">
            <v>10200</v>
          </cell>
          <cell r="AD2107">
            <v>0.39100000000000001</v>
          </cell>
          <cell r="AG2107">
            <v>9900</v>
          </cell>
          <cell r="AH2107">
            <v>96</v>
          </cell>
          <cell r="AI2107">
            <v>0.98899999999999999</v>
          </cell>
          <cell r="AJ2107">
            <v>1</v>
          </cell>
          <cell r="AK2107">
            <v>97.06</v>
          </cell>
        </row>
        <row r="2108">
          <cell r="E2108" t="str">
            <v>A18-322PX</v>
          </cell>
          <cell r="F2108" t="str">
            <v>台</v>
          </cell>
          <cell r="H2108">
            <v>11200</v>
          </cell>
          <cell r="J2108">
            <v>11200</v>
          </cell>
          <cell r="L2108">
            <v>11200</v>
          </cell>
          <cell r="N2108">
            <v>11200</v>
          </cell>
          <cell r="P2108">
            <v>11200</v>
          </cell>
          <cell r="R2108">
            <v>11200</v>
          </cell>
          <cell r="T2108">
            <v>11200</v>
          </cell>
          <cell r="V2108">
            <v>11200</v>
          </cell>
          <cell r="X2108">
            <v>11200</v>
          </cell>
          <cell r="Z2108">
            <v>11200</v>
          </cell>
          <cell r="AD2108">
            <v>0.39100000000000001</v>
          </cell>
          <cell r="AG2108">
            <v>9900</v>
          </cell>
          <cell r="AH2108">
            <v>96</v>
          </cell>
          <cell r="AI2108">
            <v>0.98899999999999999</v>
          </cell>
          <cell r="AJ2108">
            <v>1</v>
          </cell>
          <cell r="AK2108">
            <v>97.06</v>
          </cell>
        </row>
        <row r="2109">
          <cell r="E2109" t="str">
            <v>A18-322PK</v>
          </cell>
          <cell r="F2109" t="str">
            <v>台</v>
          </cell>
          <cell r="H2109">
            <v>11200</v>
          </cell>
          <cell r="J2109">
            <v>11200</v>
          </cell>
          <cell r="L2109">
            <v>11200</v>
          </cell>
          <cell r="N2109">
            <v>11200</v>
          </cell>
          <cell r="P2109">
            <v>11200</v>
          </cell>
          <cell r="R2109">
            <v>11200</v>
          </cell>
          <cell r="T2109">
            <v>11200</v>
          </cell>
          <cell r="V2109">
            <v>11200</v>
          </cell>
          <cell r="X2109">
            <v>11200</v>
          </cell>
          <cell r="Z2109">
            <v>11200</v>
          </cell>
          <cell r="AD2109">
            <v>0.39100000000000001</v>
          </cell>
          <cell r="AG2109">
            <v>9900</v>
          </cell>
          <cell r="AH2109">
            <v>96</v>
          </cell>
          <cell r="AI2109">
            <v>0.98899999999999999</v>
          </cell>
          <cell r="AJ2109">
            <v>1</v>
          </cell>
          <cell r="AK2109">
            <v>97.06</v>
          </cell>
        </row>
        <row r="2110">
          <cell r="E2110" t="str">
            <v>■Ｈｆカバー埋込形</v>
          </cell>
        </row>
        <row r="2111">
          <cell r="E2111" t="str">
            <v>C18-322PN</v>
          </cell>
          <cell r="F2111" t="str">
            <v>台</v>
          </cell>
          <cell r="H2111">
            <v>12300</v>
          </cell>
          <cell r="J2111">
            <v>12300</v>
          </cell>
          <cell r="L2111">
            <v>12300</v>
          </cell>
          <cell r="N2111">
            <v>12300</v>
          </cell>
          <cell r="P2111">
            <v>12300</v>
          </cell>
          <cell r="R2111">
            <v>12300</v>
          </cell>
          <cell r="T2111">
            <v>12300</v>
          </cell>
          <cell r="V2111">
            <v>12300</v>
          </cell>
          <cell r="X2111">
            <v>12300</v>
          </cell>
          <cell r="Z2111">
            <v>12300</v>
          </cell>
          <cell r="AD2111">
            <v>0.39100000000000001</v>
          </cell>
          <cell r="AG2111">
            <v>9900</v>
          </cell>
          <cell r="AH2111">
            <v>96</v>
          </cell>
          <cell r="AI2111">
            <v>0.98899999999999999</v>
          </cell>
          <cell r="AJ2111">
            <v>1</v>
          </cell>
          <cell r="AK2111">
            <v>97.06</v>
          </cell>
        </row>
        <row r="2112">
          <cell r="E2112" t="str">
            <v>C18-322PH</v>
          </cell>
          <cell r="F2112" t="str">
            <v>台</v>
          </cell>
          <cell r="H2112">
            <v>13500</v>
          </cell>
          <cell r="J2112">
            <v>13500</v>
          </cell>
          <cell r="L2112">
            <v>13500</v>
          </cell>
          <cell r="N2112">
            <v>13500</v>
          </cell>
          <cell r="P2112">
            <v>13500</v>
          </cell>
          <cell r="R2112">
            <v>13500</v>
          </cell>
          <cell r="T2112">
            <v>13500</v>
          </cell>
          <cell r="V2112">
            <v>13500</v>
          </cell>
          <cell r="X2112">
            <v>13500</v>
          </cell>
          <cell r="Z2112">
            <v>13500</v>
          </cell>
          <cell r="AD2112">
            <v>0.39100000000000001</v>
          </cell>
          <cell r="AG2112">
            <v>9900</v>
          </cell>
          <cell r="AH2112">
            <v>96</v>
          </cell>
          <cell r="AI2112">
            <v>0.98899999999999999</v>
          </cell>
          <cell r="AJ2112">
            <v>1</v>
          </cell>
          <cell r="AK2112">
            <v>97.06</v>
          </cell>
        </row>
        <row r="2113">
          <cell r="E2113" t="str">
            <v>C18-322PX</v>
          </cell>
          <cell r="F2113" t="str">
            <v>台</v>
          </cell>
          <cell r="H2113">
            <v>14500</v>
          </cell>
          <cell r="J2113">
            <v>14500</v>
          </cell>
          <cell r="L2113">
            <v>14500</v>
          </cell>
          <cell r="N2113">
            <v>14500</v>
          </cell>
          <cell r="P2113">
            <v>14500</v>
          </cell>
          <cell r="R2113">
            <v>14500</v>
          </cell>
          <cell r="T2113">
            <v>14500</v>
          </cell>
          <cell r="V2113">
            <v>14500</v>
          </cell>
          <cell r="X2113">
            <v>14500</v>
          </cell>
          <cell r="Z2113">
            <v>14500</v>
          </cell>
          <cell r="AD2113">
            <v>0.39100000000000001</v>
          </cell>
          <cell r="AG2113">
            <v>9900</v>
          </cell>
          <cell r="AH2113">
            <v>96</v>
          </cell>
          <cell r="AI2113">
            <v>0.98899999999999999</v>
          </cell>
          <cell r="AJ2113">
            <v>1</v>
          </cell>
          <cell r="AK2113">
            <v>97.06</v>
          </cell>
        </row>
        <row r="2114">
          <cell r="E2114" t="str">
            <v>C18-322PK</v>
          </cell>
          <cell r="F2114" t="str">
            <v>台</v>
          </cell>
          <cell r="H2114">
            <v>14500</v>
          </cell>
          <cell r="J2114">
            <v>14500</v>
          </cell>
          <cell r="L2114">
            <v>14500</v>
          </cell>
          <cell r="N2114">
            <v>14500</v>
          </cell>
          <cell r="P2114">
            <v>14500</v>
          </cell>
          <cell r="R2114">
            <v>14500</v>
          </cell>
          <cell r="T2114">
            <v>14500</v>
          </cell>
          <cell r="V2114">
            <v>14500</v>
          </cell>
          <cell r="X2114">
            <v>14500</v>
          </cell>
          <cell r="Z2114">
            <v>14500</v>
          </cell>
          <cell r="AD2114">
            <v>0.39100000000000001</v>
          </cell>
          <cell r="AG2114">
            <v>9900</v>
          </cell>
          <cell r="AH2114">
            <v>96</v>
          </cell>
          <cell r="AI2114">
            <v>0.98899999999999999</v>
          </cell>
          <cell r="AJ2114">
            <v>1</v>
          </cell>
          <cell r="AK2114">
            <v>97.06</v>
          </cell>
        </row>
        <row r="2115">
          <cell r="E2115" t="str">
            <v>■Ｈｆルーバ埋込形</v>
          </cell>
        </row>
        <row r="2116">
          <cell r="E2116" t="str">
            <v>D18-322PN</v>
          </cell>
          <cell r="F2116" t="str">
            <v>台</v>
          </cell>
          <cell r="H2116">
            <v>22900</v>
          </cell>
          <cell r="J2116">
            <v>22900</v>
          </cell>
          <cell r="L2116">
            <v>22900</v>
          </cell>
          <cell r="N2116">
            <v>22900</v>
          </cell>
          <cell r="P2116">
            <v>22900</v>
          </cell>
          <cell r="R2116">
            <v>22900</v>
          </cell>
          <cell r="T2116">
            <v>22900</v>
          </cell>
          <cell r="V2116">
            <v>22900</v>
          </cell>
          <cell r="X2116">
            <v>22900</v>
          </cell>
          <cell r="Z2116">
            <v>22900</v>
          </cell>
          <cell r="AD2116">
            <v>0.39100000000000001</v>
          </cell>
          <cell r="AG2116">
            <v>9900</v>
          </cell>
          <cell r="AH2116">
            <v>96</v>
          </cell>
          <cell r="AI2116">
            <v>0.98899999999999999</v>
          </cell>
          <cell r="AJ2116">
            <v>1</v>
          </cell>
          <cell r="AK2116">
            <v>97.06</v>
          </cell>
        </row>
        <row r="2117">
          <cell r="E2117" t="str">
            <v>D18-322PH</v>
          </cell>
          <cell r="F2117" t="str">
            <v>台</v>
          </cell>
          <cell r="H2117">
            <v>24100</v>
          </cell>
          <cell r="J2117">
            <v>24100</v>
          </cell>
          <cell r="L2117">
            <v>24100</v>
          </cell>
          <cell r="N2117">
            <v>24100</v>
          </cell>
          <cell r="P2117">
            <v>24100</v>
          </cell>
          <cell r="R2117">
            <v>24100</v>
          </cell>
          <cell r="T2117">
            <v>24100</v>
          </cell>
          <cell r="V2117">
            <v>24100</v>
          </cell>
          <cell r="X2117">
            <v>24100</v>
          </cell>
          <cell r="Z2117">
            <v>24100</v>
          </cell>
          <cell r="AD2117">
            <v>0.39100000000000001</v>
          </cell>
          <cell r="AG2117">
            <v>9900</v>
          </cell>
          <cell r="AH2117">
            <v>96</v>
          </cell>
          <cell r="AI2117">
            <v>0.98899999999999999</v>
          </cell>
          <cell r="AJ2117">
            <v>1</v>
          </cell>
          <cell r="AK2117">
            <v>97.06</v>
          </cell>
        </row>
        <row r="2118">
          <cell r="E2118" t="str">
            <v>D18-322PX</v>
          </cell>
          <cell r="F2118" t="str">
            <v>台</v>
          </cell>
          <cell r="H2118">
            <v>25100</v>
          </cell>
          <cell r="J2118">
            <v>25100</v>
          </cell>
          <cell r="L2118">
            <v>25100</v>
          </cell>
          <cell r="N2118">
            <v>25100</v>
          </cell>
          <cell r="P2118">
            <v>25100</v>
          </cell>
          <cell r="R2118">
            <v>25100</v>
          </cell>
          <cell r="T2118">
            <v>25100</v>
          </cell>
          <cell r="V2118">
            <v>25100</v>
          </cell>
          <cell r="X2118">
            <v>25100</v>
          </cell>
          <cell r="Z2118">
            <v>25100</v>
          </cell>
          <cell r="AD2118">
            <v>0.39100000000000001</v>
          </cell>
          <cell r="AG2118">
            <v>9900</v>
          </cell>
          <cell r="AH2118">
            <v>96</v>
          </cell>
          <cell r="AI2118">
            <v>0.98899999999999999</v>
          </cell>
          <cell r="AJ2118">
            <v>1</v>
          </cell>
          <cell r="AK2118">
            <v>97.06</v>
          </cell>
        </row>
        <row r="2119">
          <cell r="E2119" t="str">
            <v>D18-322PK</v>
          </cell>
          <cell r="F2119" t="str">
            <v>台</v>
          </cell>
          <cell r="H2119">
            <v>25100</v>
          </cell>
          <cell r="J2119">
            <v>25100</v>
          </cell>
          <cell r="L2119">
            <v>25100</v>
          </cell>
          <cell r="N2119">
            <v>25100</v>
          </cell>
          <cell r="P2119">
            <v>25100</v>
          </cell>
          <cell r="R2119">
            <v>25100</v>
          </cell>
          <cell r="T2119">
            <v>25100</v>
          </cell>
          <cell r="V2119">
            <v>25100</v>
          </cell>
          <cell r="X2119">
            <v>25100</v>
          </cell>
          <cell r="Z2119">
            <v>25100</v>
          </cell>
          <cell r="AD2119">
            <v>0.39100000000000001</v>
          </cell>
          <cell r="AG2119">
            <v>9900</v>
          </cell>
          <cell r="AH2119">
            <v>96</v>
          </cell>
          <cell r="AI2119">
            <v>0.98899999999999999</v>
          </cell>
          <cell r="AJ2119">
            <v>1</v>
          </cell>
          <cell r="AK2119">
            <v>97.06</v>
          </cell>
        </row>
        <row r="2120">
          <cell r="E2120" t="str">
            <v>D18V-322PN</v>
          </cell>
          <cell r="F2120" t="str">
            <v>台</v>
          </cell>
          <cell r="H2120">
            <v>22900</v>
          </cell>
          <cell r="J2120">
            <v>22900</v>
          </cell>
          <cell r="L2120">
            <v>22900</v>
          </cell>
          <cell r="N2120">
            <v>22900</v>
          </cell>
          <cell r="P2120">
            <v>22900</v>
          </cell>
          <cell r="R2120">
            <v>22900</v>
          </cell>
          <cell r="T2120">
            <v>22900</v>
          </cell>
          <cell r="V2120">
            <v>22900</v>
          </cell>
          <cell r="X2120">
            <v>22900</v>
          </cell>
          <cell r="Z2120">
            <v>22900</v>
          </cell>
          <cell r="AD2120">
            <v>0.39100000000000001</v>
          </cell>
          <cell r="AG2120">
            <v>9900</v>
          </cell>
          <cell r="AH2120">
            <v>96</v>
          </cell>
          <cell r="AI2120">
            <v>0.98899999999999999</v>
          </cell>
          <cell r="AJ2120">
            <v>1</v>
          </cell>
          <cell r="AK2120">
            <v>97.06</v>
          </cell>
        </row>
        <row r="2121">
          <cell r="E2121" t="str">
            <v>D18V-322PH</v>
          </cell>
          <cell r="F2121" t="str">
            <v>台</v>
          </cell>
          <cell r="H2121">
            <v>24100</v>
          </cell>
          <cell r="J2121">
            <v>24100</v>
          </cell>
          <cell r="L2121">
            <v>24100</v>
          </cell>
          <cell r="N2121">
            <v>24100</v>
          </cell>
          <cell r="P2121">
            <v>24100</v>
          </cell>
          <cell r="R2121">
            <v>24100</v>
          </cell>
          <cell r="T2121">
            <v>24100</v>
          </cell>
          <cell r="V2121">
            <v>24100</v>
          </cell>
          <cell r="X2121">
            <v>24100</v>
          </cell>
          <cell r="Z2121">
            <v>24100</v>
          </cell>
          <cell r="AD2121">
            <v>0.39100000000000001</v>
          </cell>
          <cell r="AG2121">
            <v>9900</v>
          </cell>
          <cell r="AH2121">
            <v>96</v>
          </cell>
          <cell r="AI2121">
            <v>0.98899999999999999</v>
          </cell>
          <cell r="AJ2121">
            <v>1</v>
          </cell>
          <cell r="AK2121">
            <v>97.06</v>
          </cell>
        </row>
        <row r="2122">
          <cell r="E2122" t="str">
            <v>D18V-322PX</v>
          </cell>
          <cell r="F2122" t="str">
            <v>台</v>
          </cell>
          <cell r="H2122">
            <v>25100</v>
          </cell>
          <cell r="J2122">
            <v>25100</v>
          </cell>
          <cell r="L2122">
            <v>25100</v>
          </cell>
          <cell r="N2122">
            <v>25100</v>
          </cell>
          <cell r="P2122">
            <v>25100</v>
          </cell>
          <cell r="R2122">
            <v>25100</v>
          </cell>
          <cell r="T2122">
            <v>25100</v>
          </cell>
          <cell r="V2122">
            <v>25100</v>
          </cell>
          <cell r="X2122">
            <v>25100</v>
          </cell>
          <cell r="Z2122">
            <v>25100</v>
          </cell>
          <cell r="AD2122">
            <v>0.39100000000000001</v>
          </cell>
          <cell r="AG2122">
            <v>9900</v>
          </cell>
          <cell r="AH2122">
            <v>96</v>
          </cell>
          <cell r="AI2122">
            <v>0.98899999999999999</v>
          </cell>
          <cell r="AJ2122">
            <v>1</v>
          </cell>
          <cell r="AK2122">
            <v>97.06</v>
          </cell>
        </row>
        <row r="2123">
          <cell r="E2123" t="str">
            <v>D18V-322PK</v>
          </cell>
          <cell r="F2123" t="str">
            <v>台</v>
          </cell>
          <cell r="H2123">
            <v>25100</v>
          </cell>
          <cell r="J2123">
            <v>25100</v>
          </cell>
          <cell r="L2123">
            <v>25100</v>
          </cell>
          <cell r="N2123">
            <v>25100</v>
          </cell>
          <cell r="P2123">
            <v>25100</v>
          </cell>
          <cell r="R2123">
            <v>25100</v>
          </cell>
          <cell r="T2123">
            <v>25100</v>
          </cell>
          <cell r="V2123">
            <v>25100</v>
          </cell>
          <cell r="X2123">
            <v>25100</v>
          </cell>
          <cell r="Z2123">
            <v>25100</v>
          </cell>
          <cell r="AD2123">
            <v>0.39100000000000001</v>
          </cell>
          <cell r="AG2123">
            <v>9900</v>
          </cell>
          <cell r="AH2123">
            <v>96</v>
          </cell>
          <cell r="AI2123">
            <v>0.98899999999999999</v>
          </cell>
          <cell r="AJ2123">
            <v>1</v>
          </cell>
          <cell r="AK2123">
            <v>97.06</v>
          </cell>
        </row>
        <row r="2124">
          <cell r="E2124" t="str">
            <v>D18L-322PN</v>
          </cell>
          <cell r="F2124" t="str">
            <v>台</v>
          </cell>
          <cell r="H2124">
            <v>11300</v>
          </cell>
          <cell r="J2124">
            <v>11300</v>
          </cell>
          <cell r="L2124">
            <v>11300</v>
          </cell>
          <cell r="N2124">
            <v>11300</v>
          </cell>
          <cell r="P2124">
            <v>11300</v>
          </cell>
          <cell r="R2124">
            <v>11300</v>
          </cell>
          <cell r="T2124">
            <v>11300</v>
          </cell>
          <cell r="V2124">
            <v>11300</v>
          </cell>
          <cell r="X2124">
            <v>11300</v>
          </cell>
          <cell r="Z2124">
            <v>11300</v>
          </cell>
          <cell r="AD2124">
            <v>0.39100000000000001</v>
          </cell>
          <cell r="AG2124">
            <v>9900</v>
          </cell>
          <cell r="AH2124">
            <v>96</v>
          </cell>
          <cell r="AI2124">
            <v>0.98899999999999999</v>
          </cell>
          <cell r="AJ2124">
            <v>1</v>
          </cell>
          <cell r="AK2124">
            <v>97.06</v>
          </cell>
        </row>
        <row r="2125">
          <cell r="E2125" t="str">
            <v>D18L-322PH</v>
          </cell>
          <cell r="F2125" t="str">
            <v>台</v>
          </cell>
          <cell r="H2125">
            <v>12500</v>
          </cell>
          <cell r="J2125">
            <v>12500</v>
          </cell>
          <cell r="L2125">
            <v>12500</v>
          </cell>
          <cell r="N2125">
            <v>12500</v>
          </cell>
          <cell r="P2125">
            <v>12500</v>
          </cell>
          <cell r="R2125">
            <v>12500</v>
          </cell>
          <cell r="T2125">
            <v>12500</v>
          </cell>
          <cell r="V2125">
            <v>12500</v>
          </cell>
          <cell r="X2125">
            <v>12500</v>
          </cell>
          <cell r="Z2125">
            <v>12500</v>
          </cell>
          <cell r="AD2125">
            <v>0.39100000000000001</v>
          </cell>
          <cell r="AG2125">
            <v>9900</v>
          </cell>
          <cell r="AH2125">
            <v>96</v>
          </cell>
          <cell r="AI2125">
            <v>0.98899999999999999</v>
          </cell>
          <cell r="AJ2125">
            <v>1</v>
          </cell>
          <cell r="AK2125">
            <v>97.06</v>
          </cell>
        </row>
        <row r="2126">
          <cell r="E2126" t="str">
            <v>D18L-322PX</v>
          </cell>
          <cell r="F2126" t="str">
            <v>台</v>
          </cell>
          <cell r="H2126">
            <v>13500</v>
          </cell>
          <cell r="J2126">
            <v>13500</v>
          </cell>
          <cell r="L2126">
            <v>13500</v>
          </cell>
          <cell r="N2126">
            <v>13500</v>
          </cell>
          <cell r="P2126">
            <v>13500</v>
          </cell>
          <cell r="R2126">
            <v>13500</v>
          </cell>
          <cell r="T2126">
            <v>13500</v>
          </cell>
          <cell r="V2126">
            <v>13500</v>
          </cell>
          <cell r="X2126">
            <v>13500</v>
          </cell>
          <cell r="Z2126">
            <v>13500</v>
          </cell>
          <cell r="AD2126">
            <v>0.39100000000000001</v>
          </cell>
          <cell r="AG2126">
            <v>9900</v>
          </cell>
          <cell r="AH2126">
            <v>96</v>
          </cell>
          <cell r="AI2126">
            <v>0.98899999999999999</v>
          </cell>
          <cell r="AJ2126">
            <v>1</v>
          </cell>
          <cell r="AK2126">
            <v>97.06</v>
          </cell>
        </row>
        <row r="2127">
          <cell r="E2127" t="str">
            <v>D18L-322PK</v>
          </cell>
          <cell r="F2127" t="str">
            <v>台</v>
          </cell>
          <cell r="H2127">
            <v>13500</v>
          </cell>
          <cell r="J2127">
            <v>13500</v>
          </cell>
          <cell r="L2127">
            <v>13500</v>
          </cell>
          <cell r="N2127">
            <v>13500</v>
          </cell>
          <cell r="P2127">
            <v>13500</v>
          </cell>
          <cell r="R2127">
            <v>13500</v>
          </cell>
          <cell r="T2127">
            <v>13500</v>
          </cell>
          <cell r="V2127">
            <v>13500</v>
          </cell>
          <cell r="X2127">
            <v>13500</v>
          </cell>
          <cell r="Z2127">
            <v>13500</v>
          </cell>
          <cell r="AD2127">
            <v>0.39100000000000001</v>
          </cell>
          <cell r="AG2127">
            <v>9900</v>
          </cell>
          <cell r="AH2127">
            <v>96</v>
          </cell>
          <cell r="AI2127">
            <v>0.98899999999999999</v>
          </cell>
          <cell r="AJ2127">
            <v>1</v>
          </cell>
          <cell r="AK2127">
            <v>97.06</v>
          </cell>
        </row>
        <row r="2128">
          <cell r="E2128" t="str">
            <v>■Ｈｆダウンライト</v>
          </cell>
        </row>
        <row r="2129">
          <cell r="E2129" t="str">
            <v>d21-241PN</v>
          </cell>
          <cell r="F2129" t="str">
            <v>台</v>
          </cell>
          <cell r="H2129">
            <v>6450</v>
          </cell>
          <cell r="J2129">
            <v>6450</v>
          </cell>
          <cell r="L2129">
            <v>6450</v>
          </cell>
          <cell r="N2129">
            <v>6450</v>
          </cell>
          <cell r="P2129">
            <v>6450</v>
          </cell>
          <cell r="R2129">
            <v>6450</v>
          </cell>
          <cell r="T2129">
            <v>6450</v>
          </cell>
          <cell r="V2129">
            <v>6450</v>
          </cell>
          <cell r="X2129">
            <v>6450</v>
          </cell>
          <cell r="Z2129">
            <v>6450</v>
          </cell>
          <cell r="AD2129">
            <v>0.20899999999999999</v>
          </cell>
          <cell r="AG2129">
            <v>1800</v>
          </cell>
          <cell r="AH2129">
            <v>24</v>
          </cell>
          <cell r="AI2129">
            <v>0.98</v>
          </cell>
          <cell r="AJ2129">
            <v>1</v>
          </cell>
          <cell r="AK2129">
            <v>24.48</v>
          </cell>
        </row>
        <row r="2130">
          <cell r="E2130" t="str">
            <v>d21-241PX</v>
          </cell>
          <cell r="F2130" t="str">
            <v>台</v>
          </cell>
          <cell r="H2130">
            <v>9310</v>
          </cell>
          <cell r="J2130">
            <v>9310</v>
          </cell>
          <cell r="L2130">
            <v>9310</v>
          </cell>
          <cell r="N2130">
            <v>9310</v>
          </cell>
          <cell r="P2130">
            <v>9310</v>
          </cell>
          <cell r="R2130">
            <v>9310</v>
          </cell>
          <cell r="T2130">
            <v>9310</v>
          </cell>
          <cell r="V2130">
            <v>9310</v>
          </cell>
          <cell r="X2130">
            <v>9310</v>
          </cell>
          <cell r="Z2130">
            <v>9310</v>
          </cell>
          <cell r="AD2130">
            <v>0.20899999999999999</v>
          </cell>
          <cell r="AG2130">
            <v>1800</v>
          </cell>
          <cell r="AH2130">
            <v>24</v>
          </cell>
          <cell r="AI2130">
            <v>0.98</v>
          </cell>
          <cell r="AJ2130">
            <v>1</v>
          </cell>
          <cell r="AK2130">
            <v>24.48</v>
          </cell>
        </row>
        <row r="2131">
          <cell r="E2131" t="str">
            <v>d21-321PN</v>
          </cell>
          <cell r="F2131" t="str">
            <v>台</v>
          </cell>
          <cell r="H2131">
            <v>6620</v>
          </cell>
          <cell r="J2131">
            <v>6620</v>
          </cell>
          <cell r="L2131">
            <v>6620</v>
          </cell>
          <cell r="N2131">
            <v>6620</v>
          </cell>
          <cell r="P2131">
            <v>6620</v>
          </cell>
          <cell r="R2131">
            <v>6620</v>
          </cell>
          <cell r="T2131">
            <v>6620</v>
          </cell>
          <cell r="V2131">
            <v>6620</v>
          </cell>
          <cell r="X2131">
            <v>6620</v>
          </cell>
          <cell r="Z2131">
            <v>6620</v>
          </cell>
          <cell r="AD2131">
            <v>0.20899999999999999</v>
          </cell>
          <cell r="AG2131">
            <v>2400</v>
          </cell>
          <cell r="AH2131">
            <v>32</v>
          </cell>
          <cell r="AI2131">
            <v>0.98</v>
          </cell>
          <cell r="AJ2131">
            <v>1</v>
          </cell>
          <cell r="AK2131">
            <v>32.65</v>
          </cell>
        </row>
        <row r="2132">
          <cell r="E2132" t="str">
            <v>d21-321PX</v>
          </cell>
          <cell r="F2132" t="str">
            <v>台</v>
          </cell>
          <cell r="H2132">
            <v>9680</v>
          </cell>
          <cell r="J2132">
            <v>9680</v>
          </cell>
          <cell r="L2132">
            <v>9680</v>
          </cell>
          <cell r="N2132">
            <v>9680</v>
          </cell>
          <cell r="P2132">
            <v>9680</v>
          </cell>
          <cell r="R2132">
            <v>9680</v>
          </cell>
          <cell r="T2132">
            <v>9680</v>
          </cell>
          <cell r="V2132">
            <v>9680</v>
          </cell>
          <cell r="X2132">
            <v>9680</v>
          </cell>
          <cell r="Z2132">
            <v>9680</v>
          </cell>
          <cell r="AD2132">
            <v>0.20899999999999999</v>
          </cell>
          <cell r="AG2132">
            <v>2400</v>
          </cell>
          <cell r="AH2132">
            <v>32</v>
          </cell>
          <cell r="AI2132">
            <v>0.98</v>
          </cell>
          <cell r="AJ2132">
            <v>1</v>
          </cell>
          <cell r="AK2132">
            <v>32.65</v>
          </cell>
        </row>
        <row r="2133">
          <cell r="E2133" t="str">
            <v>d21-421PN</v>
          </cell>
          <cell r="F2133" t="str">
            <v>台</v>
          </cell>
          <cell r="H2133">
            <v>7400</v>
          </cell>
          <cell r="J2133">
            <v>7400</v>
          </cell>
          <cell r="L2133">
            <v>7400</v>
          </cell>
          <cell r="N2133">
            <v>7400</v>
          </cell>
          <cell r="P2133">
            <v>7400</v>
          </cell>
          <cell r="R2133">
            <v>7400</v>
          </cell>
          <cell r="T2133">
            <v>7400</v>
          </cell>
          <cell r="V2133">
            <v>7400</v>
          </cell>
          <cell r="X2133">
            <v>7400</v>
          </cell>
          <cell r="Z2133">
            <v>7400</v>
          </cell>
          <cell r="AD2133">
            <v>0.20899999999999999</v>
          </cell>
          <cell r="AG2133">
            <v>3200</v>
          </cell>
          <cell r="AH2133">
            <v>42</v>
          </cell>
          <cell r="AI2133">
            <v>0.98</v>
          </cell>
          <cell r="AJ2133">
            <v>1</v>
          </cell>
          <cell r="AK2133">
            <v>42.85</v>
          </cell>
        </row>
        <row r="2134">
          <cell r="E2134" t="str">
            <v>d21-421PN</v>
          </cell>
          <cell r="F2134" t="str">
            <v>台</v>
          </cell>
          <cell r="H2134">
            <v>10400</v>
          </cell>
          <cell r="J2134">
            <v>10400</v>
          </cell>
          <cell r="L2134">
            <v>10400</v>
          </cell>
          <cell r="N2134">
            <v>10400</v>
          </cell>
          <cell r="P2134">
            <v>10400</v>
          </cell>
          <cell r="R2134">
            <v>10400</v>
          </cell>
          <cell r="T2134">
            <v>10400</v>
          </cell>
          <cell r="V2134">
            <v>10400</v>
          </cell>
          <cell r="X2134">
            <v>10400</v>
          </cell>
          <cell r="Z2134">
            <v>10400</v>
          </cell>
          <cell r="AD2134">
            <v>0.20899999999999999</v>
          </cell>
          <cell r="AG2134">
            <v>6400</v>
          </cell>
          <cell r="AH2134">
            <v>84</v>
          </cell>
          <cell r="AI2134">
            <v>0.98</v>
          </cell>
          <cell r="AJ2134">
            <v>1</v>
          </cell>
          <cell r="AK2134">
            <v>85.71</v>
          </cell>
        </row>
        <row r="2135">
          <cell r="E2135" t="str">
            <v>d21-422PX</v>
          </cell>
          <cell r="F2135" t="str">
            <v>台</v>
          </cell>
          <cell r="H2135">
            <v>13100</v>
          </cell>
          <cell r="J2135">
            <v>13100</v>
          </cell>
          <cell r="L2135">
            <v>13100</v>
          </cell>
          <cell r="N2135">
            <v>13100</v>
          </cell>
          <cell r="P2135">
            <v>13100</v>
          </cell>
          <cell r="R2135">
            <v>13100</v>
          </cell>
          <cell r="T2135">
            <v>13100</v>
          </cell>
          <cell r="V2135">
            <v>13100</v>
          </cell>
          <cell r="X2135">
            <v>13100</v>
          </cell>
          <cell r="Z2135">
            <v>13100</v>
          </cell>
          <cell r="AD2135">
            <v>0.20899999999999999</v>
          </cell>
          <cell r="AG2135">
            <v>6400</v>
          </cell>
          <cell r="AH2135">
            <v>84</v>
          </cell>
          <cell r="AI2135">
            <v>0.98</v>
          </cell>
          <cell r="AJ2135">
            <v>1</v>
          </cell>
          <cell r="AK2135">
            <v>85.71</v>
          </cell>
        </row>
        <row r="2136">
          <cell r="E2136" t="str">
            <v>d21-423PN</v>
          </cell>
          <cell r="F2136" t="str">
            <v>台</v>
          </cell>
          <cell r="H2136">
            <v>15700</v>
          </cell>
          <cell r="J2136">
            <v>15700</v>
          </cell>
          <cell r="L2136">
            <v>15700</v>
          </cell>
          <cell r="N2136">
            <v>15700</v>
          </cell>
          <cell r="P2136">
            <v>15700</v>
          </cell>
          <cell r="R2136">
            <v>15700</v>
          </cell>
          <cell r="T2136">
            <v>15700</v>
          </cell>
          <cell r="V2136">
            <v>15700</v>
          </cell>
          <cell r="X2136">
            <v>15700</v>
          </cell>
          <cell r="Z2136">
            <v>15700</v>
          </cell>
          <cell r="AD2136">
            <v>0.20899999999999999</v>
          </cell>
          <cell r="AG2136">
            <v>9600</v>
          </cell>
          <cell r="AH2136">
            <v>126</v>
          </cell>
          <cell r="AI2136">
            <v>0.98</v>
          </cell>
          <cell r="AJ2136">
            <v>1</v>
          </cell>
          <cell r="AK2136">
            <v>128.57</v>
          </cell>
        </row>
        <row r="2137">
          <cell r="E2137" t="str">
            <v>d21-424PN</v>
          </cell>
          <cell r="F2137" t="str">
            <v>台</v>
          </cell>
          <cell r="H2137">
            <v>21100</v>
          </cell>
          <cell r="J2137">
            <v>21100</v>
          </cell>
          <cell r="L2137">
            <v>21100</v>
          </cell>
          <cell r="N2137">
            <v>21100</v>
          </cell>
          <cell r="P2137">
            <v>21100</v>
          </cell>
          <cell r="R2137">
            <v>21100</v>
          </cell>
          <cell r="T2137">
            <v>21100</v>
          </cell>
          <cell r="V2137">
            <v>21100</v>
          </cell>
          <cell r="X2137">
            <v>21100</v>
          </cell>
          <cell r="Z2137">
            <v>21100</v>
          </cell>
          <cell r="AD2137">
            <v>0.20899999999999999</v>
          </cell>
          <cell r="AG2137">
            <v>12800</v>
          </cell>
          <cell r="AH2137">
            <v>168</v>
          </cell>
          <cell r="AI2137">
            <v>0.98</v>
          </cell>
          <cell r="AJ2137">
            <v>1</v>
          </cell>
          <cell r="AK2137">
            <v>171.42</v>
          </cell>
        </row>
        <row r="2138">
          <cell r="E2138" t="str">
            <v>d22-241PN</v>
          </cell>
          <cell r="F2138" t="str">
            <v>台</v>
          </cell>
          <cell r="H2138">
            <v>27300</v>
          </cell>
          <cell r="J2138">
            <v>27300</v>
          </cell>
          <cell r="L2138">
            <v>27300</v>
          </cell>
          <cell r="N2138">
            <v>27300</v>
          </cell>
          <cell r="P2138">
            <v>27300</v>
          </cell>
          <cell r="R2138">
            <v>27300</v>
          </cell>
          <cell r="T2138">
            <v>27300</v>
          </cell>
          <cell r="V2138">
            <v>27300</v>
          </cell>
          <cell r="X2138">
            <v>27300</v>
          </cell>
          <cell r="Z2138">
            <v>27300</v>
          </cell>
          <cell r="AD2138">
            <v>0.20899999999999999</v>
          </cell>
          <cell r="AG2138">
            <v>1800</v>
          </cell>
          <cell r="AH2138">
            <v>24</v>
          </cell>
          <cell r="AI2138">
            <v>0.98</v>
          </cell>
          <cell r="AJ2138">
            <v>1</v>
          </cell>
          <cell r="AK2138">
            <v>24.48</v>
          </cell>
        </row>
        <row r="2139">
          <cell r="E2139" t="str">
            <v>d22-321PN</v>
          </cell>
          <cell r="F2139" t="str">
            <v>台</v>
          </cell>
          <cell r="H2139">
            <v>7440</v>
          </cell>
          <cell r="J2139">
            <v>7440</v>
          </cell>
          <cell r="L2139">
            <v>7440</v>
          </cell>
          <cell r="N2139">
            <v>7440</v>
          </cell>
          <cell r="P2139">
            <v>7440</v>
          </cell>
          <cell r="R2139">
            <v>7440</v>
          </cell>
          <cell r="T2139">
            <v>7440</v>
          </cell>
          <cell r="V2139">
            <v>7440</v>
          </cell>
          <cell r="X2139">
            <v>7440</v>
          </cell>
          <cell r="Z2139">
            <v>7440</v>
          </cell>
          <cell r="AD2139">
            <v>0.20899999999999999</v>
          </cell>
          <cell r="AG2139">
            <v>2400</v>
          </cell>
          <cell r="AH2139">
            <v>32</v>
          </cell>
          <cell r="AI2139">
            <v>0.98</v>
          </cell>
          <cell r="AJ2139">
            <v>1</v>
          </cell>
          <cell r="AK2139">
            <v>32.65</v>
          </cell>
        </row>
        <row r="2140">
          <cell r="E2140" t="str">
            <v>d22-421PN</v>
          </cell>
          <cell r="F2140" t="str">
            <v>台</v>
          </cell>
          <cell r="H2140">
            <v>7610</v>
          </cell>
          <cell r="J2140">
            <v>7610</v>
          </cell>
          <cell r="L2140">
            <v>7610</v>
          </cell>
          <cell r="N2140">
            <v>7610</v>
          </cell>
          <cell r="P2140">
            <v>7610</v>
          </cell>
          <cell r="R2140">
            <v>7610</v>
          </cell>
          <cell r="T2140">
            <v>7610</v>
          </cell>
          <cell r="V2140">
            <v>7610</v>
          </cell>
          <cell r="X2140">
            <v>7610</v>
          </cell>
          <cell r="Z2140">
            <v>7610</v>
          </cell>
          <cell r="AD2140">
            <v>0.20899999999999999</v>
          </cell>
          <cell r="AG2140">
            <v>3200</v>
          </cell>
          <cell r="AH2140">
            <v>42</v>
          </cell>
          <cell r="AI2140">
            <v>0.98</v>
          </cell>
          <cell r="AJ2140">
            <v>1</v>
          </cell>
          <cell r="AK2140">
            <v>42.85</v>
          </cell>
        </row>
        <row r="2141">
          <cell r="E2141" t="str">
            <v>d23-241PN</v>
          </cell>
          <cell r="F2141" t="str">
            <v>台</v>
          </cell>
          <cell r="H2141">
            <v>7740</v>
          </cell>
          <cell r="J2141">
            <v>7740</v>
          </cell>
          <cell r="L2141">
            <v>7740</v>
          </cell>
          <cell r="N2141">
            <v>7740</v>
          </cell>
          <cell r="P2141">
            <v>7740</v>
          </cell>
          <cell r="R2141">
            <v>7740</v>
          </cell>
          <cell r="T2141">
            <v>7740</v>
          </cell>
          <cell r="V2141">
            <v>7740</v>
          </cell>
          <cell r="X2141">
            <v>7740</v>
          </cell>
          <cell r="Z2141">
            <v>7740</v>
          </cell>
          <cell r="AD2141">
            <v>0.20899999999999999</v>
          </cell>
          <cell r="AG2141">
            <v>1800</v>
          </cell>
          <cell r="AH2141">
            <v>24</v>
          </cell>
          <cell r="AI2141">
            <v>0.98</v>
          </cell>
          <cell r="AJ2141">
            <v>1</v>
          </cell>
          <cell r="AK2141">
            <v>24.48</v>
          </cell>
        </row>
        <row r="2142">
          <cell r="E2142" t="str">
            <v>d23-241PX</v>
          </cell>
          <cell r="F2142" t="str">
            <v>台</v>
          </cell>
          <cell r="H2142">
            <v>6790</v>
          </cell>
          <cell r="J2142">
            <v>6790</v>
          </cell>
          <cell r="L2142">
            <v>6790</v>
          </cell>
          <cell r="N2142">
            <v>6790</v>
          </cell>
          <cell r="P2142">
            <v>6790</v>
          </cell>
          <cell r="R2142">
            <v>6790</v>
          </cell>
          <cell r="T2142">
            <v>6790</v>
          </cell>
          <cell r="V2142">
            <v>6790</v>
          </cell>
          <cell r="X2142">
            <v>6790</v>
          </cell>
          <cell r="Z2142">
            <v>6790</v>
          </cell>
          <cell r="AD2142">
            <v>0.20899999999999999</v>
          </cell>
          <cell r="AG2142">
            <v>1800</v>
          </cell>
          <cell r="AH2142">
            <v>24</v>
          </cell>
          <cell r="AI2142">
            <v>0.98</v>
          </cell>
          <cell r="AJ2142">
            <v>1</v>
          </cell>
          <cell r="AK2142">
            <v>24.48</v>
          </cell>
        </row>
        <row r="2143">
          <cell r="E2143" t="str">
            <v>d23-321PN</v>
          </cell>
          <cell r="F2143" t="str">
            <v>台</v>
          </cell>
          <cell r="H2143">
            <v>9580</v>
          </cell>
          <cell r="J2143">
            <v>9580</v>
          </cell>
          <cell r="L2143">
            <v>9580</v>
          </cell>
          <cell r="N2143">
            <v>9580</v>
          </cell>
          <cell r="P2143">
            <v>9580</v>
          </cell>
          <cell r="R2143">
            <v>9580</v>
          </cell>
          <cell r="T2143">
            <v>9580</v>
          </cell>
          <cell r="V2143">
            <v>9580</v>
          </cell>
          <cell r="X2143">
            <v>9580</v>
          </cell>
          <cell r="Z2143">
            <v>9580</v>
          </cell>
          <cell r="AD2143">
            <v>0.20899999999999999</v>
          </cell>
          <cell r="AG2143">
            <v>2400</v>
          </cell>
          <cell r="AH2143">
            <v>32</v>
          </cell>
          <cell r="AI2143">
            <v>0.98</v>
          </cell>
          <cell r="AJ2143">
            <v>1</v>
          </cell>
          <cell r="AK2143">
            <v>32.65</v>
          </cell>
        </row>
        <row r="2144">
          <cell r="E2144" t="str">
            <v>d23-321PX</v>
          </cell>
          <cell r="F2144" t="str">
            <v>台</v>
          </cell>
          <cell r="H2144">
            <v>6900</v>
          </cell>
          <cell r="J2144">
            <v>6900</v>
          </cell>
          <cell r="L2144">
            <v>6900</v>
          </cell>
          <cell r="N2144">
            <v>6900</v>
          </cell>
          <cell r="P2144">
            <v>6900</v>
          </cell>
          <cell r="R2144">
            <v>6900</v>
          </cell>
          <cell r="T2144">
            <v>6900</v>
          </cell>
          <cell r="V2144">
            <v>6900</v>
          </cell>
          <cell r="X2144">
            <v>6900</v>
          </cell>
          <cell r="Z2144">
            <v>6900</v>
          </cell>
          <cell r="AD2144">
            <v>0.20899999999999999</v>
          </cell>
          <cell r="AG2144">
            <v>2400</v>
          </cell>
          <cell r="AH2144">
            <v>32</v>
          </cell>
          <cell r="AI2144">
            <v>0.98</v>
          </cell>
          <cell r="AJ2144">
            <v>1</v>
          </cell>
          <cell r="AK2144">
            <v>32.65</v>
          </cell>
        </row>
        <row r="2145">
          <cell r="E2145" t="str">
            <v>d23-421PN</v>
          </cell>
          <cell r="F2145" t="str">
            <v>台</v>
          </cell>
          <cell r="H2145">
            <v>10020</v>
          </cell>
          <cell r="J2145">
            <v>10020</v>
          </cell>
          <cell r="L2145">
            <v>10020</v>
          </cell>
          <cell r="N2145">
            <v>10020</v>
          </cell>
          <cell r="P2145">
            <v>10020</v>
          </cell>
          <cell r="R2145">
            <v>10020</v>
          </cell>
          <cell r="T2145">
            <v>10020</v>
          </cell>
          <cell r="V2145">
            <v>10020</v>
          </cell>
          <cell r="X2145">
            <v>10020</v>
          </cell>
          <cell r="Z2145">
            <v>10020</v>
          </cell>
          <cell r="AD2145">
            <v>0.20899999999999999</v>
          </cell>
          <cell r="AG2145">
            <v>3200</v>
          </cell>
          <cell r="AH2145">
            <v>42</v>
          </cell>
          <cell r="AI2145">
            <v>0.98</v>
          </cell>
          <cell r="AJ2145">
            <v>1</v>
          </cell>
          <cell r="AK2145">
            <v>42.85</v>
          </cell>
        </row>
        <row r="2146">
          <cell r="E2146" t="str">
            <v>d23-422PN</v>
          </cell>
          <cell r="F2146" t="str">
            <v>台</v>
          </cell>
          <cell r="H2146">
            <v>8390</v>
          </cell>
          <cell r="J2146">
            <v>8390</v>
          </cell>
          <cell r="L2146">
            <v>8390</v>
          </cell>
          <cell r="N2146">
            <v>8390</v>
          </cell>
          <cell r="P2146">
            <v>8390</v>
          </cell>
          <cell r="R2146">
            <v>8390</v>
          </cell>
          <cell r="T2146">
            <v>8390</v>
          </cell>
          <cell r="V2146">
            <v>8390</v>
          </cell>
          <cell r="X2146">
            <v>8390</v>
          </cell>
          <cell r="Z2146">
            <v>8390</v>
          </cell>
          <cell r="AD2146">
            <v>0.20899999999999999</v>
          </cell>
          <cell r="AG2146">
            <v>6400</v>
          </cell>
          <cell r="AH2146">
            <v>84</v>
          </cell>
          <cell r="AI2146">
            <v>0.98</v>
          </cell>
          <cell r="AJ2146">
            <v>1</v>
          </cell>
          <cell r="AK2146">
            <v>85.71</v>
          </cell>
        </row>
        <row r="2147">
          <cell r="E2147" t="str">
            <v>■Ｈｆ黒板灯埋込形</v>
          </cell>
        </row>
        <row r="2148">
          <cell r="E2148" t="str">
            <v>J24-321PH</v>
          </cell>
          <cell r="F2148" t="str">
            <v>台</v>
          </cell>
          <cell r="H2148">
            <v>14000</v>
          </cell>
          <cell r="J2148">
            <v>14000</v>
          </cell>
          <cell r="L2148">
            <v>14000</v>
          </cell>
          <cell r="N2148">
            <v>14000</v>
          </cell>
          <cell r="P2148">
            <v>14000</v>
          </cell>
          <cell r="R2148">
            <v>14000</v>
          </cell>
          <cell r="T2148">
            <v>14000</v>
          </cell>
          <cell r="V2148">
            <v>14000</v>
          </cell>
          <cell r="X2148">
            <v>14000</v>
          </cell>
          <cell r="Z2148">
            <v>14000</v>
          </cell>
          <cell r="AD2148">
            <v>0.313</v>
          </cell>
          <cell r="AG2148">
            <v>4950</v>
          </cell>
          <cell r="AH2148">
            <v>48</v>
          </cell>
          <cell r="AI2148">
            <v>0.97899999999999998</v>
          </cell>
          <cell r="AJ2148">
            <v>1</v>
          </cell>
          <cell r="AK2148">
            <v>49.02</v>
          </cell>
        </row>
        <row r="2149">
          <cell r="E2149" t="str">
            <v>J24-321PK</v>
          </cell>
          <cell r="F2149" t="str">
            <v>台</v>
          </cell>
          <cell r="H2149">
            <v>16000</v>
          </cell>
          <cell r="J2149">
            <v>16000</v>
          </cell>
          <cell r="L2149">
            <v>16000</v>
          </cell>
          <cell r="N2149">
            <v>16000</v>
          </cell>
          <cell r="P2149">
            <v>16000</v>
          </cell>
          <cell r="R2149">
            <v>16000</v>
          </cell>
          <cell r="T2149">
            <v>16000</v>
          </cell>
          <cell r="V2149">
            <v>16000</v>
          </cell>
          <cell r="X2149">
            <v>16000</v>
          </cell>
          <cell r="Z2149">
            <v>16000</v>
          </cell>
          <cell r="AD2149">
            <v>0.313</v>
          </cell>
          <cell r="AG2149">
            <v>4950</v>
          </cell>
          <cell r="AH2149">
            <v>48</v>
          </cell>
          <cell r="AI2149">
            <v>0.97899999999999998</v>
          </cell>
          <cell r="AJ2149">
            <v>1</v>
          </cell>
          <cell r="AK2149">
            <v>49.02</v>
          </cell>
        </row>
        <row r="2150">
          <cell r="E2150" t="str">
            <v>J24A-321PH</v>
          </cell>
          <cell r="F2150" t="str">
            <v>台</v>
          </cell>
          <cell r="H2150">
            <v>14000</v>
          </cell>
          <cell r="J2150">
            <v>14000</v>
          </cell>
          <cell r="L2150">
            <v>14000</v>
          </cell>
          <cell r="N2150">
            <v>14000</v>
          </cell>
          <cell r="P2150">
            <v>14000</v>
          </cell>
          <cell r="R2150">
            <v>14000</v>
          </cell>
          <cell r="T2150">
            <v>14000</v>
          </cell>
          <cell r="V2150">
            <v>14000</v>
          </cell>
          <cell r="X2150">
            <v>14000</v>
          </cell>
          <cell r="Z2150">
            <v>14000</v>
          </cell>
          <cell r="AD2150">
            <v>0.313</v>
          </cell>
          <cell r="AG2150">
            <v>4950</v>
          </cell>
          <cell r="AH2150">
            <v>48</v>
          </cell>
          <cell r="AI2150">
            <v>0.97899999999999998</v>
          </cell>
          <cell r="AJ2150">
            <v>1</v>
          </cell>
          <cell r="AK2150">
            <v>49.02</v>
          </cell>
        </row>
        <row r="2151">
          <cell r="E2151" t="str">
            <v>J24A-321PK</v>
          </cell>
          <cell r="F2151" t="str">
            <v>台</v>
          </cell>
          <cell r="H2151">
            <v>16000</v>
          </cell>
          <cell r="J2151">
            <v>16000</v>
          </cell>
          <cell r="L2151">
            <v>16000</v>
          </cell>
          <cell r="N2151">
            <v>16000</v>
          </cell>
          <cell r="P2151">
            <v>16000</v>
          </cell>
          <cell r="R2151">
            <v>16000</v>
          </cell>
          <cell r="T2151">
            <v>16000</v>
          </cell>
          <cell r="V2151">
            <v>16000</v>
          </cell>
          <cell r="X2151">
            <v>16000</v>
          </cell>
          <cell r="Z2151">
            <v>16000</v>
          </cell>
          <cell r="AD2151">
            <v>0.313</v>
          </cell>
          <cell r="AG2151">
            <v>4950</v>
          </cell>
          <cell r="AH2151">
            <v>48</v>
          </cell>
          <cell r="AI2151">
            <v>0.97899999999999998</v>
          </cell>
          <cell r="AJ2151">
            <v>1</v>
          </cell>
          <cell r="AK2151">
            <v>49.02</v>
          </cell>
        </row>
        <row r="2152">
          <cell r="E2152" t="str">
            <v>■Ｈｆ開放埋込形</v>
          </cell>
        </row>
        <row r="2153">
          <cell r="E2153" t="str">
            <v>A26-162PH</v>
          </cell>
          <cell r="F2153" t="str">
            <v>台</v>
          </cell>
          <cell r="H2153">
            <v>8290</v>
          </cell>
          <cell r="J2153">
            <v>8290</v>
          </cell>
          <cell r="L2153">
            <v>8290</v>
          </cell>
          <cell r="N2153">
            <v>8290</v>
          </cell>
          <cell r="P2153">
            <v>8290</v>
          </cell>
          <cell r="R2153">
            <v>8290</v>
          </cell>
          <cell r="T2153">
            <v>8290</v>
          </cell>
          <cell r="V2153">
            <v>8290</v>
          </cell>
          <cell r="X2153">
            <v>8290</v>
          </cell>
          <cell r="Z2153">
            <v>8290</v>
          </cell>
          <cell r="AD2153">
            <v>0.252</v>
          </cell>
          <cell r="AG2153">
            <v>4200</v>
          </cell>
          <cell r="AH2153">
            <v>50</v>
          </cell>
          <cell r="AI2153">
            <v>0.98</v>
          </cell>
          <cell r="AJ2153">
            <v>1</v>
          </cell>
          <cell r="AK2153">
            <v>51.02</v>
          </cell>
        </row>
        <row r="2154">
          <cell r="E2154" t="str">
            <v>A26-162PX</v>
          </cell>
          <cell r="F2154" t="str">
            <v>台</v>
          </cell>
          <cell r="H2154">
            <v>9450</v>
          </cell>
          <cell r="J2154">
            <v>9450</v>
          </cell>
          <cell r="L2154">
            <v>9450</v>
          </cell>
          <cell r="N2154">
            <v>9450</v>
          </cell>
          <cell r="P2154">
            <v>9450</v>
          </cell>
          <cell r="R2154">
            <v>9450</v>
          </cell>
          <cell r="T2154">
            <v>9450</v>
          </cell>
          <cell r="V2154">
            <v>9450</v>
          </cell>
          <cell r="X2154">
            <v>9450</v>
          </cell>
          <cell r="Z2154">
            <v>9450</v>
          </cell>
          <cell r="AD2154">
            <v>0.252</v>
          </cell>
          <cell r="AG2154">
            <v>4200</v>
          </cell>
          <cell r="AH2154">
            <v>50</v>
          </cell>
          <cell r="AI2154">
            <v>0.98</v>
          </cell>
          <cell r="AJ2154">
            <v>1</v>
          </cell>
          <cell r="AK2154">
            <v>51.02</v>
          </cell>
        </row>
        <row r="2155">
          <cell r="E2155" t="str">
            <v>A26-322PN</v>
          </cell>
          <cell r="F2155" t="str">
            <v>台</v>
          </cell>
          <cell r="H2155">
            <v>6930</v>
          </cell>
          <cell r="J2155">
            <v>6930</v>
          </cell>
          <cell r="L2155">
            <v>6930</v>
          </cell>
          <cell r="N2155">
            <v>6930</v>
          </cell>
          <cell r="P2155">
            <v>6930</v>
          </cell>
          <cell r="R2155">
            <v>6930</v>
          </cell>
          <cell r="T2155">
            <v>6930</v>
          </cell>
          <cell r="V2155">
            <v>6930</v>
          </cell>
          <cell r="X2155">
            <v>6930</v>
          </cell>
          <cell r="Z2155">
            <v>6930</v>
          </cell>
          <cell r="AD2155">
            <v>0.39100000000000001</v>
          </cell>
          <cell r="AG2155">
            <v>9900</v>
          </cell>
          <cell r="AH2155">
            <v>96</v>
          </cell>
          <cell r="AI2155">
            <v>0.98899999999999999</v>
          </cell>
          <cell r="AJ2155">
            <v>1</v>
          </cell>
          <cell r="AK2155">
            <v>97.06</v>
          </cell>
        </row>
        <row r="2156">
          <cell r="E2156" t="str">
            <v>A26-322PH</v>
          </cell>
          <cell r="F2156" t="str">
            <v>台</v>
          </cell>
          <cell r="H2156">
            <v>8500</v>
          </cell>
          <cell r="J2156">
            <v>8500</v>
          </cell>
          <cell r="L2156">
            <v>8500</v>
          </cell>
          <cell r="N2156">
            <v>8500</v>
          </cell>
          <cell r="P2156">
            <v>8500</v>
          </cell>
          <cell r="R2156">
            <v>8500</v>
          </cell>
          <cell r="T2156">
            <v>8500</v>
          </cell>
          <cell r="V2156">
            <v>8500</v>
          </cell>
          <cell r="X2156">
            <v>8500</v>
          </cell>
          <cell r="Z2156">
            <v>8500</v>
          </cell>
          <cell r="AD2156">
            <v>0.39100000000000001</v>
          </cell>
          <cell r="AG2156">
            <v>9900</v>
          </cell>
          <cell r="AH2156">
            <v>96</v>
          </cell>
          <cell r="AI2156">
            <v>0.98899999999999999</v>
          </cell>
          <cell r="AJ2156">
            <v>1</v>
          </cell>
          <cell r="AK2156">
            <v>97.06</v>
          </cell>
        </row>
        <row r="2157">
          <cell r="E2157" t="str">
            <v>A26-322PX</v>
          </cell>
          <cell r="F2157" t="str">
            <v>台</v>
          </cell>
          <cell r="H2157">
            <v>9520</v>
          </cell>
          <cell r="J2157">
            <v>9520</v>
          </cell>
          <cell r="L2157">
            <v>9520</v>
          </cell>
          <cell r="N2157">
            <v>9520</v>
          </cell>
          <cell r="P2157">
            <v>9520</v>
          </cell>
          <cell r="R2157">
            <v>9520</v>
          </cell>
          <cell r="T2157">
            <v>9520</v>
          </cell>
          <cell r="V2157">
            <v>9520</v>
          </cell>
          <cell r="X2157">
            <v>9520</v>
          </cell>
          <cell r="Z2157">
            <v>9520</v>
          </cell>
          <cell r="AD2157">
            <v>0.39100000000000001</v>
          </cell>
          <cell r="AG2157">
            <v>9900</v>
          </cell>
          <cell r="AH2157">
            <v>96</v>
          </cell>
          <cell r="AI2157">
            <v>0.98899999999999999</v>
          </cell>
          <cell r="AJ2157">
            <v>1</v>
          </cell>
          <cell r="AK2157">
            <v>97.06</v>
          </cell>
        </row>
        <row r="2158">
          <cell r="E2158" t="str">
            <v>A26-322PK</v>
          </cell>
          <cell r="F2158" t="str">
            <v>台</v>
          </cell>
          <cell r="H2158">
            <v>9520</v>
          </cell>
          <cell r="J2158">
            <v>9520</v>
          </cell>
          <cell r="L2158">
            <v>9520</v>
          </cell>
          <cell r="N2158">
            <v>9520</v>
          </cell>
          <cell r="P2158">
            <v>9520</v>
          </cell>
          <cell r="R2158">
            <v>9520</v>
          </cell>
          <cell r="T2158">
            <v>9520</v>
          </cell>
          <cell r="V2158">
            <v>9520</v>
          </cell>
          <cell r="X2158">
            <v>9520</v>
          </cell>
          <cell r="Z2158">
            <v>9520</v>
          </cell>
          <cell r="AD2158">
            <v>0.39100000000000001</v>
          </cell>
          <cell r="AG2158">
            <v>9900</v>
          </cell>
          <cell r="AH2158">
            <v>96</v>
          </cell>
          <cell r="AI2158">
            <v>0.98899999999999999</v>
          </cell>
          <cell r="AJ2158">
            <v>1</v>
          </cell>
          <cell r="AK2158">
            <v>97.06</v>
          </cell>
        </row>
        <row r="2159">
          <cell r="E2159" t="str">
            <v>A27-321PN</v>
          </cell>
          <cell r="F2159" t="str">
            <v>台</v>
          </cell>
          <cell r="H2159">
            <v>5710</v>
          </cell>
          <cell r="J2159">
            <v>5710</v>
          </cell>
          <cell r="L2159">
            <v>5710</v>
          </cell>
          <cell r="N2159">
            <v>5710</v>
          </cell>
          <cell r="P2159">
            <v>5710</v>
          </cell>
          <cell r="R2159">
            <v>5710</v>
          </cell>
          <cell r="T2159">
            <v>5710</v>
          </cell>
          <cell r="V2159">
            <v>5710</v>
          </cell>
          <cell r="X2159">
            <v>5710</v>
          </cell>
          <cell r="Z2159">
            <v>5710</v>
          </cell>
          <cell r="AD2159">
            <v>0.313</v>
          </cell>
          <cell r="AG2159">
            <v>4950</v>
          </cell>
          <cell r="AH2159">
            <v>48</v>
          </cell>
          <cell r="AI2159">
            <v>0.97899999999999998</v>
          </cell>
          <cell r="AJ2159">
            <v>1</v>
          </cell>
          <cell r="AK2159">
            <v>49.02</v>
          </cell>
        </row>
        <row r="2160">
          <cell r="E2160" t="str">
            <v>A27-321PH</v>
          </cell>
          <cell r="F2160" t="str">
            <v>台</v>
          </cell>
          <cell r="H2160">
            <v>7750</v>
          </cell>
          <cell r="J2160">
            <v>7750</v>
          </cell>
          <cell r="L2160">
            <v>7750</v>
          </cell>
          <cell r="N2160">
            <v>7750</v>
          </cell>
          <cell r="P2160">
            <v>7750</v>
          </cell>
          <cell r="R2160">
            <v>7750</v>
          </cell>
          <cell r="T2160">
            <v>7750</v>
          </cell>
          <cell r="V2160">
            <v>7750</v>
          </cell>
          <cell r="X2160">
            <v>7750</v>
          </cell>
          <cell r="Z2160">
            <v>7750</v>
          </cell>
          <cell r="AD2160">
            <v>0.313</v>
          </cell>
          <cell r="AG2160">
            <v>4950</v>
          </cell>
          <cell r="AH2160">
            <v>48</v>
          </cell>
          <cell r="AI2160">
            <v>0.97899999999999998</v>
          </cell>
          <cell r="AJ2160">
            <v>1</v>
          </cell>
          <cell r="AK2160">
            <v>49.02</v>
          </cell>
        </row>
        <row r="2161">
          <cell r="E2161" t="str">
            <v>A27-321PX</v>
          </cell>
          <cell r="F2161" t="str">
            <v>台</v>
          </cell>
          <cell r="H2161">
            <v>8940</v>
          </cell>
          <cell r="J2161">
            <v>8940</v>
          </cell>
          <cell r="L2161">
            <v>8940</v>
          </cell>
          <cell r="N2161">
            <v>8940</v>
          </cell>
          <cell r="P2161">
            <v>8940</v>
          </cell>
          <cell r="R2161">
            <v>8940</v>
          </cell>
          <cell r="T2161">
            <v>8940</v>
          </cell>
          <cell r="V2161">
            <v>8940</v>
          </cell>
          <cell r="X2161">
            <v>8940</v>
          </cell>
          <cell r="Z2161">
            <v>8940</v>
          </cell>
          <cell r="AD2161">
            <v>0.313</v>
          </cell>
          <cell r="AG2161">
            <v>4950</v>
          </cell>
          <cell r="AH2161">
            <v>48</v>
          </cell>
          <cell r="AI2161">
            <v>0.97899999999999998</v>
          </cell>
          <cell r="AJ2161">
            <v>1</v>
          </cell>
          <cell r="AK2161">
            <v>49.02</v>
          </cell>
        </row>
        <row r="2162">
          <cell r="E2162" t="str">
            <v>A27-321PK</v>
          </cell>
          <cell r="F2162" t="str">
            <v>台</v>
          </cell>
          <cell r="H2162">
            <v>8940</v>
          </cell>
          <cell r="J2162">
            <v>8940</v>
          </cell>
          <cell r="L2162">
            <v>8940</v>
          </cell>
          <cell r="N2162">
            <v>8940</v>
          </cell>
          <cell r="P2162">
            <v>8940</v>
          </cell>
          <cell r="R2162">
            <v>8940</v>
          </cell>
          <cell r="T2162">
            <v>8940</v>
          </cell>
          <cell r="V2162">
            <v>8940</v>
          </cell>
          <cell r="X2162">
            <v>8940</v>
          </cell>
          <cell r="Z2162">
            <v>8940</v>
          </cell>
          <cell r="AD2162">
            <v>0.313</v>
          </cell>
          <cell r="AG2162">
            <v>4950</v>
          </cell>
          <cell r="AH2162">
            <v>48</v>
          </cell>
          <cell r="AI2162">
            <v>0.97899999999999998</v>
          </cell>
          <cell r="AJ2162">
            <v>1</v>
          </cell>
          <cell r="AK2162">
            <v>49.02</v>
          </cell>
        </row>
        <row r="2163">
          <cell r="E2163" t="str">
            <v>A27-322PN</v>
          </cell>
          <cell r="F2163" t="str">
            <v>台</v>
          </cell>
          <cell r="H2163">
            <v>8120</v>
          </cell>
          <cell r="J2163">
            <v>8120</v>
          </cell>
          <cell r="L2163">
            <v>8120</v>
          </cell>
          <cell r="N2163">
            <v>8120</v>
          </cell>
          <cell r="P2163">
            <v>8120</v>
          </cell>
          <cell r="R2163">
            <v>8120</v>
          </cell>
          <cell r="T2163">
            <v>8120</v>
          </cell>
          <cell r="V2163">
            <v>8120</v>
          </cell>
          <cell r="X2163">
            <v>8120</v>
          </cell>
          <cell r="Z2163">
            <v>8120</v>
          </cell>
          <cell r="AD2163">
            <v>0.39100000000000001</v>
          </cell>
          <cell r="AG2163">
            <v>9900</v>
          </cell>
          <cell r="AH2163">
            <v>96</v>
          </cell>
          <cell r="AI2163">
            <v>0.98899999999999999</v>
          </cell>
          <cell r="AJ2163">
            <v>1</v>
          </cell>
          <cell r="AK2163">
            <v>97.06</v>
          </cell>
        </row>
        <row r="2164">
          <cell r="E2164" t="str">
            <v>A27-322PH</v>
          </cell>
          <cell r="F2164" t="str">
            <v>台</v>
          </cell>
          <cell r="H2164">
            <v>9720</v>
          </cell>
          <cell r="J2164">
            <v>9720</v>
          </cell>
          <cell r="L2164">
            <v>9720</v>
          </cell>
          <cell r="N2164">
            <v>9720</v>
          </cell>
          <cell r="P2164">
            <v>9720</v>
          </cell>
          <cell r="R2164">
            <v>9720</v>
          </cell>
          <cell r="T2164">
            <v>9720</v>
          </cell>
          <cell r="V2164">
            <v>9720</v>
          </cell>
          <cell r="X2164">
            <v>9720</v>
          </cell>
          <cell r="Z2164">
            <v>9720</v>
          </cell>
          <cell r="AD2164">
            <v>0.39100000000000001</v>
          </cell>
          <cell r="AG2164">
            <v>9900</v>
          </cell>
          <cell r="AH2164">
            <v>96</v>
          </cell>
          <cell r="AI2164">
            <v>0.98899999999999999</v>
          </cell>
          <cell r="AJ2164">
            <v>1</v>
          </cell>
          <cell r="AK2164">
            <v>97.06</v>
          </cell>
        </row>
        <row r="2165">
          <cell r="E2165" t="str">
            <v>A27MP-321PN</v>
          </cell>
          <cell r="F2165" t="str">
            <v>台</v>
          </cell>
          <cell r="H2165">
            <v>19100</v>
          </cell>
          <cell r="J2165">
            <v>19100</v>
          </cell>
          <cell r="L2165">
            <v>19100</v>
          </cell>
          <cell r="N2165">
            <v>19100</v>
          </cell>
          <cell r="P2165">
            <v>19100</v>
          </cell>
          <cell r="R2165">
            <v>19100</v>
          </cell>
          <cell r="T2165">
            <v>19100</v>
          </cell>
          <cell r="V2165">
            <v>19100</v>
          </cell>
          <cell r="X2165">
            <v>19100</v>
          </cell>
          <cell r="Z2165">
            <v>19100</v>
          </cell>
          <cell r="AD2165">
            <v>0.313</v>
          </cell>
          <cell r="AG2165">
            <v>4950</v>
          </cell>
          <cell r="AH2165">
            <v>48</v>
          </cell>
          <cell r="AI2165">
            <v>0.97899999999999998</v>
          </cell>
          <cell r="AJ2165">
            <v>1</v>
          </cell>
          <cell r="AK2165">
            <v>49.02</v>
          </cell>
        </row>
        <row r="2166">
          <cell r="E2166" t="str">
            <v>A27MP-321PH</v>
          </cell>
          <cell r="F2166" t="str">
            <v>台</v>
          </cell>
          <cell r="H2166">
            <v>25600</v>
          </cell>
          <cell r="J2166">
            <v>25600</v>
          </cell>
          <cell r="L2166">
            <v>25600</v>
          </cell>
          <cell r="N2166">
            <v>25600</v>
          </cell>
          <cell r="P2166">
            <v>25600</v>
          </cell>
          <cell r="R2166">
            <v>25600</v>
          </cell>
          <cell r="T2166">
            <v>25600</v>
          </cell>
          <cell r="V2166">
            <v>25600</v>
          </cell>
          <cell r="X2166">
            <v>25600</v>
          </cell>
          <cell r="Z2166">
            <v>25600</v>
          </cell>
          <cell r="AD2166">
            <v>0.313</v>
          </cell>
          <cell r="AG2166">
            <v>4950</v>
          </cell>
          <cell r="AH2166">
            <v>48</v>
          </cell>
          <cell r="AI2166">
            <v>0.97899999999999998</v>
          </cell>
          <cell r="AJ2166">
            <v>1</v>
          </cell>
          <cell r="AK2166">
            <v>49.02</v>
          </cell>
        </row>
        <row r="2167">
          <cell r="E2167" t="str">
            <v>A27MP-322PN</v>
          </cell>
          <cell r="F2167" t="str">
            <v>台</v>
          </cell>
          <cell r="H2167">
            <v>22300</v>
          </cell>
          <cell r="J2167">
            <v>22300</v>
          </cell>
          <cell r="L2167">
            <v>22300</v>
          </cell>
          <cell r="N2167">
            <v>22300</v>
          </cell>
          <cell r="P2167">
            <v>22300</v>
          </cell>
          <cell r="R2167">
            <v>22300</v>
          </cell>
          <cell r="T2167">
            <v>22300</v>
          </cell>
          <cell r="V2167">
            <v>22300</v>
          </cell>
          <cell r="X2167">
            <v>22300</v>
          </cell>
          <cell r="Z2167">
            <v>22300</v>
          </cell>
          <cell r="AD2167">
            <v>0.39100000000000001</v>
          </cell>
          <cell r="AG2167">
            <v>9900</v>
          </cell>
          <cell r="AH2167">
            <v>96</v>
          </cell>
          <cell r="AI2167">
            <v>0.98899999999999999</v>
          </cell>
          <cell r="AJ2167">
            <v>1</v>
          </cell>
          <cell r="AK2167">
            <v>97.06</v>
          </cell>
        </row>
        <row r="2168">
          <cell r="E2168" t="str">
            <v>A27MP-322PH</v>
          </cell>
          <cell r="F2168" t="str">
            <v>台</v>
          </cell>
          <cell r="H2168">
            <v>27400</v>
          </cell>
          <cell r="J2168">
            <v>27400</v>
          </cell>
          <cell r="L2168">
            <v>27400</v>
          </cell>
          <cell r="N2168">
            <v>27400</v>
          </cell>
          <cell r="P2168">
            <v>27400</v>
          </cell>
          <cell r="R2168">
            <v>27400</v>
          </cell>
          <cell r="T2168">
            <v>27400</v>
          </cell>
          <cell r="V2168">
            <v>27400</v>
          </cell>
          <cell r="X2168">
            <v>27400</v>
          </cell>
          <cell r="Z2168">
            <v>27400</v>
          </cell>
          <cell r="AD2168">
            <v>0.39100000000000001</v>
          </cell>
          <cell r="AG2168">
            <v>9900</v>
          </cell>
          <cell r="AH2168">
            <v>96</v>
          </cell>
          <cell r="AI2168">
            <v>0.98899999999999999</v>
          </cell>
          <cell r="AJ2168">
            <v>1</v>
          </cell>
          <cell r="AK2168">
            <v>97.06</v>
          </cell>
        </row>
        <row r="2169">
          <cell r="E2169" t="str">
            <v>■Ｈｆルーバー直付形</v>
          </cell>
        </row>
        <row r="2170">
          <cell r="E2170" t="str">
            <v>Ds1-162PH</v>
          </cell>
          <cell r="F2170" t="str">
            <v>台</v>
          </cell>
          <cell r="H2170">
            <v>9920</v>
          </cell>
          <cell r="J2170">
            <v>9920</v>
          </cell>
          <cell r="L2170">
            <v>9920</v>
          </cell>
          <cell r="N2170">
            <v>9920</v>
          </cell>
          <cell r="P2170">
            <v>9920</v>
          </cell>
          <cell r="R2170">
            <v>9920</v>
          </cell>
          <cell r="T2170">
            <v>9920</v>
          </cell>
          <cell r="V2170">
            <v>9920</v>
          </cell>
          <cell r="X2170">
            <v>9920</v>
          </cell>
          <cell r="Z2170">
            <v>9920</v>
          </cell>
          <cell r="AD2170">
            <v>0.16500000000000001</v>
          </cell>
          <cell r="AG2170">
            <v>4200</v>
          </cell>
          <cell r="AH2170">
            <v>50</v>
          </cell>
          <cell r="AI2170">
            <v>0.98</v>
          </cell>
          <cell r="AJ2170">
            <v>1</v>
          </cell>
          <cell r="AK2170">
            <v>51.02</v>
          </cell>
        </row>
        <row r="2171">
          <cell r="E2171" t="str">
            <v>Ds1-322PN</v>
          </cell>
          <cell r="F2171" t="str">
            <v>台</v>
          </cell>
          <cell r="H2171">
            <v>9720</v>
          </cell>
          <cell r="J2171">
            <v>9720</v>
          </cell>
          <cell r="L2171">
            <v>9720</v>
          </cell>
          <cell r="N2171">
            <v>9720</v>
          </cell>
          <cell r="P2171">
            <v>9720</v>
          </cell>
          <cell r="R2171">
            <v>9720</v>
          </cell>
          <cell r="T2171">
            <v>9720</v>
          </cell>
          <cell r="V2171">
            <v>9720</v>
          </cell>
          <cell r="X2171">
            <v>9720</v>
          </cell>
          <cell r="Z2171">
            <v>9720</v>
          </cell>
          <cell r="AD2171">
            <v>0.26100000000000001</v>
          </cell>
          <cell r="AG2171">
            <v>9900</v>
          </cell>
          <cell r="AH2171">
            <v>96</v>
          </cell>
          <cell r="AI2171">
            <v>0.98899999999999999</v>
          </cell>
          <cell r="AJ2171">
            <v>1</v>
          </cell>
          <cell r="AK2171">
            <v>97.06</v>
          </cell>
        </row>
        <row r="2172">
          <cell r="E2172" t="str">
            <v>Ds1-322PH</v>
          </cell>
          <cell r="F2172" t="str">
            <v>台</v>
          </cell>
          <cell r="H2172">
            <v>10000</v>
          </cell>
          <cell r="J2172">
            <v>10000</v>
          </cell>
          <cell r="L2172">
            <v>10000</v>
          </cell>
          <cell r="N2172">
            <v>10000</v>
          </cell>
          <cell r="P2172">
            <v>10000</v>
          </cell>
          <cell r="R2172">
            <v>10000</v>
          </cell>
          <cell r="T2172">
            <v>10000</v>
          </cell>
          <cell r="V2172">
            <v>10000</v>
          </cell>
          <cell r="X2172">
            <v>10000</v>
          </cell>
          <cell r="Z2172">
            <v>10000</v>
          </cell>
          <cell r="AD2172">
            <v>0.26100000000000001</v>
          </cell>
          <cell r="AG2172">
            <v>9900</v>
          </cell>
          <cell r="AH2172">
            <v>96</v>
          </cell>
          <cell r="AI2172">
            <v>0.98899999999999999</v>
          </cell>
          <cell r="AJ2172">
            <v>1</v>
          </cell>
          <cell r="AK2172">
            <v>97.06</v>
          </cell>
        </row>
        <row r="2173">
          <cell r="E2173" t="str">
            <v>Ds1-322PX</v>
          </cell>
          <cell r="F2173" t="str">
            <v>台</v>
          </cell>
          <cell r="H2173">
            <v>11000</v>
          </cell>
          <cell r="J2173">
            <v>11000</v>
          </cell>
          <cell r="L2173">
            <v>11000</v>
          </cell>
          <cell r="N2173">
            <v>11000</v>
          </cell>
          <cell r="P2173">
            <v>11000</v>
          </cell>
          <cell r="R2173">
            <v>11000</v>
          </cell>
          <cell r="T2173">
            <v>11000</v>
          </cell>
          <cell r="V2173">
            <v>11000</v>
          </cell>
          <cell r="X2173">
            <v>11000</v>
          </cell>
          <cell r="Z2173">
            <v>11000</v>
          </cell>
          <cell r="AD2173">
            <v>0.26100000000000001</v>
          </cell>
          <cell r="AG2173">
            <v>9900</v>
          </cell>
          <cell r="AH2173">
            <v>96</v>
          </cell>
          <cell r="AI2173">
            <v>0.98899999999999999</v>
          </cell>
          <cell r="AJ2173">
            <v>1</v>
          </cell>
          <cell r="AK2173">
            <v>97.06</v>
          </cell>
        </row>
        <row r="2174">
          <cell r="E2174" t="str">
            <v>Ds1-322PK</v>
          </cell>
          <cell r="F2174" t="str">
            <v>台</v>
          </cell>
          <cell r="H2174">
            <v>11000</v>
          </cell>
          <cell r="J2174">
            <v>11000</v>
          </cell>
          <cell r="L2174">
            <v>11000</v>
          </cell>
          <cell r="N2174">
            <v>11000</v>
          </cell>
          <cell r="P2174">
            <v>11000</v>
          </cell>
          <cell r="R2174">
            <v>11000</v>
          </cell>
          <cell r="T2174">
            <v>11000</v>
          </cell>
          <cell r="V2174">
            <v>11000</v>
          </cell>
          <cell r="X2174">
            <v>11000</v>
          </cell>
          <cell r="Z2174">
            <v>11000</v>
          </cell>
          <cell r="AD2174">
            <v>0.26100000000000001</v>
          </cell>
          <cell r="AG2174">
            <v>9900</v>
          </cell>
          <cell r="AH2174">
            <v>96</v>
          </cell>
          <cell r="AI2174">
            <v>0.98899999999999999</v>
          </cell>
          <cell r="AJ2174">
            <v>1</v>
          </cell>
          <cell r="AK2174">
            <v>97.06</v>
          </cell>
        </row>
        <row r="2175">
          <cell r="E2175" t="str">
            <v>Ds2-322PH</v>
          </cell>
          <cell r="F2175" t="str">
            <v>台</v>
          </cell>
          <cell r="H2175">
            <v>18000</v>
          </cell>
          <cell r="J2175">
            <v>18000</v>
          </cell>
          <cell r="L2175">
            <v>18000</v>
          </cell>
          <cell r="N2175">
            <v>18000</v>
          </cell>
          <cell r="P2175">
            <v>18000</v>
          </cell>
          <cell r="R2175">
            <v>18000</v>
          </cell>
          <cell r="T2175">
            <v>18000</v>
          </cell>
          <cell r="V2175">
            <v>18000</v>
          </cell>
          <cell r="X2175">
            <v>18000</v>
          </cell>
          <cell r="Z2175">
            <v>18000</v>
          </cell>
          <cell r="AD2175">
            <v>0.26100000000000001</v>
          </cell>
          <cell r="AG2175">
            <v>9900</v>
          </cell>
          <cell r="AH2175">
            <v>96</v>
          </cell>
          <cell r="AI2175">
            <v>0.98899999999999999</v>
          </cell>
          <cell r="AJ2175">
            <v>1</v>
          </cell>
          <cell r="AK2175">
            <v>97.06</v>
          </cell>
        </row>
        <row r="2176">
          <cell r="E2176" t="str">
            <v>Ds2-322PK</v>
          </cell>
          <cell r="F2176" t="str">
            <v>台</v>
          </cell>
          <cell r="H2176">
            <v>19000</v>
          </cell>
          <cell r="J2176">
            <v>19000</v>
          </cell>
          <cell r="L2176">
            <v>19000</v>
          </cell>
          <cell r="N2176">
            <v>19000</v>
          </cell>
          <cell r="P2176">
            <v>19000</v>
          </cell>
          <cell r="R2176">
            <v>19000</v>
          </cell>
          <cell r="T2176">
            <v>19000</v>
          </cell>
          <cell r="V2176">
            <v>19000</v>
          </cell>
          <cell r="X2176">
            <v>19000</v>
          </cell>
          <cell r="Z2176">
            <v>19000</v>
          </cell>
          <cell r="AD2176">
            <v>0.26100000000000001</v>
          </cell>
          <cell r="AG2176">
            <v>9900</v>
          </cell>
          <cell r="AH2176">
            <v>96</v>
          </cell>
          <cell r="AI2176">
            <v>0.98899999999999999</v>
          </cell>
          <cell r="AJ2176">
            <v>1</v>
          </cell>
          <cell r="AK2176">
            <v>97.06</v>
          </cell>
        </row>
        <row r="2177">
          <cell r="E2177" t="str">
            <v>Ds2V-322PH</v>
          </cell>
          <cell r="F2177" t="str">
            <v>台</v>
          </cell>
          <cell r="H2177">
            <v>18000</v>
          </cell>
          <cell r="J2177">
            <v>18000</v>
          </cell>
          <cell r="L2177">
            <v>18000</v>
          </cell>
          <cell r="N2177">
            <v>18000</v>
          </cell>
          <cell r="P2177">
            <v>18000</v>
          </cell>
          <cell r="R2177">
            <v>18000</v>
          </cell>
          <cell r="T2177">
            <v>18000</v>
          </cell>
          <cell r="V2177">
            <v>18000</v>
          </cell>
          <cell r="X2177">
            <v>18000</v>
          </cell>
          <cell r="Z2177">
            <v>18000</v>
          </cell>
          <cell r="AD2177">
            <v>0.26100000000000001</v>
          </cell>
          <cell r="AG2177">
            <v>9900</v>
          </cell>
          <cell r="AH2177">
            <v>96</v>
          </cell>
          <cell r="AI2177">
            <v>0.98899999999999999</v>
          </cell>
          <cell r="AJ2177">
            <v>1</v>
          </cell>
          <cell r="AK2177">
            <v>97.06</v>
          </cell>
        </row>
        <row r="2178">
          <cell r="E2178" t="str">
            <v>Ds2V-322PK</v>
          </cell>
          <cell r="F2178" t="str">
            <v>台</v>
          </cell>
          <cell r="H2178">
            <v>19000</v>
          </cell>
          <cell r="J2178">
            <v>19000</v>
          </cell>
          <cell r="L2178">
            <v>19000</v>
          </cell>
          <cell r="N2178">
            <v>19000</v>
          </cell>
          <cell r="P2178">
            <v>19000</v>
          </cell>
          <cell r="R2178">
            <v>19000</v>
          </cell>
          <cell r="T2178">
            <v>19000</v>
          </cell>
          <cell r="V2178">
            <v>19000</v>
          </cell>
          <cell r="X2178">
            <v>19000</v>
          </cell>
          <cell r="Z2178">
            <v>19000</v>
          </cell>
          <cell r="AD2178">
            <v>0.26100000000000001</v>
          </cell>
          <cell r="AG2178">
            <v>9900</v>
          </cell>
          <cell r="AH2178">
            <v>96</v>
          </cell>
          <cell r="AI2178">
            <v>0.98899999999999999</v>
          </cell>
          <cell r="AJ2178">
            <v>1</v>
          </cell>
          <cell r="AK2178">
            <v>97.06</v>
          </cell>
        </row>
        <row r="2179">
          <cell r="E2179" t="str">
            <v>■Ｈｆ反射笠</v>
          </cell>
        </row>
        <row r="2180">
          <cell r="E2180" t="str">
            <v>R2-161PH</v>
          </cell>
          <cell r="F2180" t="str">
            <v>台</v>
          </cell>
          <cell r="H2180">
            <v>4310</v>
          </cell>
          <cell r="J2180">
            <v>4310</v>
          </cell>
          <cell r="L2180">
            <v>4310</v>
          </cell>
          <cell r="N2180">
            <v>4310</v>
          </cell>
          <cell r="P2180">
            <v>4310</v>
          </cell>
          <cell r="R2180">
            <v>4310</v>
          </cell>
          <cell r="T2180">
            <v>4310</v>
          </cell>
          <cell r="V2180">
            <v>4310</v>
          </cell>
          <cell r="X2180">
            <v>4310</v>
          </cell>
          <cell r="Z2180">
            <v>4310</v>
          </cell>
          <cell r="AD2180">
            <v>0.13</v>
          </cell>
          <cell r="AG2180">
            <v>2100</v>
          </cell>
          <cell r="AH2180">
            <v>26</v>
          </cell>
          <cell r="AI2180">
            <v>0.96299999999999997</v>
          </cell>
          <cell r="AJ2180">
            <v>1</v>
          </cell>
          <cell r="AK2180">
            <v>26.99</v>
          </cell>
        </row>
        <row r="2181">
          <cell r="E2181" t="str">
            <v>R2-321PN</v>
          </cell>
          <cell r="F2181" t="str">
            <v>台</v>
          </cell>
          <cell r="H2181">
            <v>3460</v>
          </cell>
          <cell r="J2181">
            <v>3460</v>
          </cell>
          <cell r="L2181">
            <v>3460</v>
          </cell>
          <cell r="N2181">
            <v>3460</v>
          </cell>
          <cell r="P2181">
            <v>3460</v>
          </cell>
          <cell r="R2181">
            <v>3460</v>
          </cell>
          <cell r="T2181">
            <v>3460</v>
          </cell>
          <cell r="V2181">
            <v>3460</v>
          </cell>
          <cell r="X2181">
            <v>3460</v>
          </cell>
          <cell r="Z2181">
            <v>3460</v>
          </cell>
          <cell r="AD2181">
            <v>0.20899999999999999</v>
          </cell>
          <cell r="AG2181">
            <v>4950</v>
          </cell>
          <cell r="AH2181">
            <v>48</v>
          </cell>
          <cell r="AI2181">
            <v>0.97899999999999998</v>
          </cell>
          <cell r="AJ2181">
            <v>1</v>
          </cell>
          <cell r="AK2181">
            <v>49.02</v>
          </cell>
        </row>
        <row r="2182">
          <cell r="E2182" t="str">
            <v>R2-321PH</v>
          </cell>
          <cell r="F2182" t="str">
            <v>台</v>
          </cell>
          <cell r="H2182">
            <v>4420</v>
          </cell>
          <cell r="J2182">
            <v>4420</v>
          </cell>
          <cell r="L2182">
            <v>4420</v>
          </cell>
          <cell r="N2182">
            <v>4420</v>
          </cell>
          <cell r="P2182">
            <v>4420</v>
          </cell>
          <cell r="R2182">
            <v>4420</v>
          </cell>
          <cell r="T2182">
            <v>4420</v>
          </cell>
          <cell r="V2182">
            <v>4420</v>
          </cell>
          <cell r="X2182">
            <v>4420</v>
          </cell>
          <cell r="Z2182">
            <v>4420</v>
          </cell>
          <cell r="AD2182">
            <v>0.20899999999999999</v>
          </cell>
          <cell r="AG2182">
            <v>4950</v>
          </cell>
          <cell r="AH2182">
            <v>48</v>
          </cell>
          <cell r="AI2182">
            <v>0.97899999999999998</v>
          </cell>
          <cell r="AJ2182">
            <v>1</v>
          </cell>
          <cell r="AK2182">
            <v>49.02</v>
          </cell>
        </row>
        <row r="2183">
          <cell r="E2183" t="str">
            <v>R2-321PX</v>
          </cell>
          <cell r="F2183" t="str">
            <v>台</v>
          </cell>
          <cell r="H2183">
            <v>6460</v>
          </cell>
          <cell r="J2183">
            <v>6460</v>
          </cell>
          <cell r="L2183">
            <v>6460</v>
          </cell>
          <cell r="N2183">
            <v>6460</v>
          </cell>
          <cell r="P2183">
            <v>6460</v>
          </cell>
          <cell r="R2183">
            <v>6460</v>
          </cell>
          <cell r="T2183">
            <v>6460</v>
          </cell>
          <cell r="V2183">
            <v>6460</v>
          </cell>
          <cell r="X2183">
            <v>6460</v>
          </cell>
          <cell r="Z2183">
            <v>6460</v>
          </cell>
          <cell r="AD2183">
            <v>0.20899999999999999</v>
          </cell>
          <cell r="AG2183">
            <v>4950</v>
          </cell>
          <cell r="AH2183">
            <v>48</v>
          </cell>
          <cell r="AI2183">
            <v>0.97899999999999998</v>
          </cell>
          <cell r="AJ2183">
            <v>1</v>
          </cell>
          <cell r="AK2183">
            <v>49.02</v>
          </cell>
        </row>
        <row r="2184">
          <cell r="E2184" t="str">
            <v>R2-321PK</v>
          </cell>
          <cell r="F2184" t="str">
            <v>台</v>
          </cell>
          <cell r="H2184">
            <v>6460</v>
          </cell>
          <cell r="J2184">
            <v>6460</v>
          </cell>
          <cell r="L2184">
            <v>6460</v>
          </cell>
          <cell r="N2184">
            <v>6460</v>
          </cell>
          <cell r="P2184">
            <v>6460</v>
          </cell>
          <cell r="R2184">
            <v>6460</v>
          </cell>
          <cell r="T2184">
            <v>6460</v>
          </cell>
          <cell r="V2184">
            <v>6460</v>
          </cell>
          <cell r="X2184">
            <v>6460</v>
          </cell>
          <cell r="Z2184">
            <v>6460</v>
          </cell>
          <cell r="AD2184">
            <v>0.20899999999999999</v>
          </cell>
          <cell r="AG2184">
            <v>4950</v>
          </cell>
          <cell r="AH2184">
            <v>48</v>
          </cell>
          <cell r="AI2184">
            <v>0.97899999999999998</v>
          </cell>
          <cell r="AJ2184">
            <v>1</v>
          </cell>
          <cell r="AK2184">
            <v>49.02</v>
          </cell>
        </row>
        <row r="2185">
          <cell r="E2185" t="str">
            <v>R2-322PN</v>
          </cell>
          <cell r="F2185" t="str">
            <v>台</v>
          </cell>
          <cell r="H2185">
            <v>4590</v>
          </cell>
          <cell r="J2185">
            <v>4590</v>
          </cell>
          <cell r="L2185">
            <v>4590</v>
          </cell>
          <cell r="N2185">
            <v>4590</v>
          </cell>
          <cell r="P2185">
            <v>4590</v>
          </cell>
          <cell r="R2185">
            <v>4590</v>
          </cell>
          <cell r="T2185">
            <v>4590</v>
          </cell>
          <cell r="V2185">
            <v>4590</v>
          </cell>
          <cell r="X2185">
            <v>4590</v>
          </cell>
          <cell r="Z2185">
            <v>4590</v>
          </cell>
          <cell r="AD2185">
            <v>0.26100000000000001</v>
          </cell>
          <cell r="AG2185">
            <v>9900</v>
          </cell>
          <cell r="AH2185">
            <v>96</v>
          </cell>
          <cell r="AI2185">
            <v>0.98899999999999999</v>
          </cell>
          <cell r="AJ2185">
            <v>1</v>
          </cell>
          <cell r="AK2185">
            <v>97.06</v>
          </cell>
        </row>
        <row r="2186">
          <cell r="E2186" t="str">
            <v>R2-322PH</v>
          </cell>
          <cell r="F2186" t="str">
            <v>台</v>
          </cell>
          <cell r="H2186">
            <v>6080</v>
          </cell>
          <cell r="J2186">
            <v>6080</v>
          </cell>
          <cell r="L2186">
            <v>6080</v>
          </cell>
          <cell r="N2186">
            <v>6080</v>
          </cell>
          <cell r="P2186">
            <v>6080</v>
          </cell>
          <cell r="R2186">
            <v>6080</v>
          </cell>
          <cell r="T2186">
            <v>6080</v>
          </cell>
          <cell r="V2186">
            <v>6080</v>
          </cell>
          <cell r="X2186">
            <v>6080</v>
          </cell>
          <cell r="Z2186">
            <v>6080</v>
          </cell>
          <cell r="AD2186">
            <v>0.26100000000000001</v>
          </cell>
          <cell r="AG2186">
            <v>9900</v>
          </cell>
          <cell r="AH2186">
            <v>96</v>
          </cell>
          <cell r="AI2186">
            <v>0.98899999999999999</v>
          </cell>
          <cell r="AJ2186">
            <v>1</v>
          </cell>
          <cell r="AK2186">
            <v>97.06</v>
          </cell>
        </row>
        <row r="2187">
          <cell r="E2187" t="str">
            <v>R2-322PX</v>
          </cell>
          <cell r="F2187" t="str">
            <v>台</v>
          </cell>
          <cell r="H2187">
            <v>7780</v>
          </cell>
          <cell r="J2187">
            <v>7780</v>
          </cell>
          <cell r="L2187">
            <v>7780</v>
          </cell>
          <cell r="N2187">
            <v>7780</v>
          </cell>
          <cell r="P2187">
            <v>7780</v>
          </cell>
          <cell r="R2187">
            <v>7780</v>
          </cell>
          <cell r="T2187">
            <v>7780</v>
          </cell>
          <cell r="V2187">
            <v>7780</v>
          </cell>
          <cell r="X2187">
            <v>7780</v>
          </cell>
          <cell r="Z2187">
            <v>7780</v>
          </cell>
          <cell r="AD2187">
            <v>0.26100000000000001</v>
          </cell>
          <cell r="AG2187">
            <v>9900</v>
          </cell>
          <cell r="AH2187">
            <v>96</v>
          </cell>
          <cell r="AI2187">
            <v>0.98899999999999999</v>
          </cell>
          <cell r="AJ2187">
            <v>1</v>
          </cell>
          <cell r="AK2187">
            <v>97.06</v>
          </cell>
        </row>
        <row r="2188">
          <cell r="E2188" t="str">
            <v>R2-322PK</v>
          </cell>
          <cell r="F2188" t="str">
            <v>台</v>
          </cell>
          <cell r="H2188">
            <v>7780</v>
          </cell>
          <cell r="J2188">
            <v>7780</v>
          </cell>
          <cell r="L2188">
            <v>7780</v>
          </cell>
          <cell r="N2188">
            <v>7780</v>
          </cell>
          <cell r="P2188">
            <v>7780</v>
          </cell>
          <cell r="R2188">
            <v>7780</v>
          </cell>
          <cell r="T2188">
            <v>7780</v>
          </cell>
          <cell r="V2188">
            <v>7780</v>
          </cell>
          <cell r="X2188">
            <v>7780</v>
          </cell>
          <cell r="Z2188">
            <v>7780</v>
          </cell>
          <cell r="AD2188">
            <v>0.26100000000000001</v>
          </cell>
          <cell r="AG2188">
            <v>9900</v>
          </cell>
          <cell r="AH2188">
            <v>96</v>
          </cell>
          <cell r="AI2188">
            <v>0.98899999999999999</v>
          </cell>
          <cell r="AJ2188">
            <v>1</v>
          </cell>
          <cell r="AK2188">
            <v>97.06</v>
          </cell>
        </row>
        <row r="2189">
          <cell r="E2189" t="str">
            <v>R2RP-322PN</v>
          </cell>
          <cell r="F2189" t="str">
            <v>台</v>
          </cell>
          <cell r="H2189">
            <v>8220</v>
          </cell>
          <cell r="J2189">
            <v>8220</v>
          </cell>
          <cell r="L2189">
            <v>8220</v>
          </cell>
          <cell r="N2189">
            <v>8220</v>
          </cell>
          <cell r="P2189">
            <v>8220</v>
          </cell>
          <cell r="R2189">
            <v>8220</v>
          </cell>
          <cell r="T2189">
            <v>8220</v>
          </cell>
          <cell r="V2189">
            <v>8220</v>
          </cell>
          <cell r="X2189">
            <v>8220</v>
          </cell>
          <cell r="Z2189">
            <v>8220</v>
          </cell>
          <cell r="AD2189">
            <v>0.26100000000000001</v>
          </cell>
          <cell r="AG2189">
            <v>9900</v>
          </cell>
          <cell r="AH2189">
            <v>96</v>
          </cell>
          <cell r="AI2189">
            <v>0.98899999999999999</v>
          </cell>
          <cell r="AJ2189">
            <v>1</v>
          </cell>
          <cell r="AK2189">
            <v>97.06</v>
          </cell>
        </row>
        <row r="2190">
          <cell r="E2190" t="str">
            <v>R2RP-322PH</v>
          </cell>
          <cell r="F2190" t="str">
            <v>台</v>
          </cell>
          <cell r="H2190">
            <v>13400</v>
          </cell>
          <cell r="J2190">
            <v>13400</v>
          </cell>
          <cell r="L2190">
            <v>13400</v>
          </cell>
          <cell r="N2190">
            <v>13400</v>
          </cell>
          <cell r="P2190">
            <v>13400</v>
          </cell>
          <cell r="R2190">
            <v>13400</v>
          </cell>
          <cell r="T2190">
            <v>13400</v>
          </cell>
          <cell r="V2190">
            <v>13400</v>
          </cell>
          <cell r="X2190">
            <v>13400</v>
          </cell>
          <cell r="Z2190">
            <v>13400</v>
          </cell>
          <cell r="AD2190">
            <v>0.26100000000000001</v>
          </cell>
          <cell r="AG2190">
            <v>9900</v>
          </cell>
          <cell r="AH2190">
            <v>96</v>
          </cell>
          <cell r="AI2190">
            <v>0.98899999999999999</v>
          </cell>
          <cell r="AJ2190">
            <v>1</v>
          </cell>
          <cell r="AK2190">
            <v>97.06</v>
          </cell>
        </row>
        <row r="2191">
          <cell r="E2191" t="str">
            <v>R2RPA-322PN</v>
          </cell>
          <cell r="F2191" t="str">
            <v>台</v>
          </cell>
          <cell r="H2191">
            <v>16300</v>
          </cell>
          <cell r="J2191">
            <v>16300</v>
          </cell>
          <cell r="L2191">
            <v>16300</v>
          </cell>
          <cell r="N2191">
            <v>16300</v>
          </cell>
          <cell r="P2191">
            <v>16300</v>
          </cell>
          <cell r="R2191">
            <v>16300</v>
          </cell>
          <cell r="T2191">
            <v>16300</v>
          </cell>
          <cell r="V2191">
            <v>16300</v>
          </cell>
          <cell r="X2191">
            <v>16300</v>
          </cell>
          <cell r="Z2191">
            <v>16300</v>
          </cell>
          <cell r="AD2191">
            <v>0.26100000000000001</v>
          </cell>
          <cell r="AG2191">
            <v>9900</v>
          </cell>
          <cell r="AH2191">
            <v>96</v>
          </cell>
          <cell r="AI2191">
            <v>0.98899999999999999</v>
          </cell>
          <cell r="AJ2191">
            <v>1</v>
          </cell>
          <cell r="AK2191">
            <v>97.06</v>
          </cell>
        </row>
        <row r="2192">
          <cell r="E2192" t="str">
            <v>R2RPA-322PH</v>
          </cell>
          <cell r="F2192" t="str">
            <v>台</v>
          </cell>
          <cell r="H2192">
            <v>20600</v>
          </cell>
          <cell r="J2192">
            <v>20600</v>
          </cell>
          <cell r="L2192">
            <v>20600</v>
          </cell>
          <cell r="N2192">
            <v>20600</v>
          </cell>
          <cell r="P2192">
            <v>20600</v>
          </cell>
          <cell r="R2192">
            <v>20600</v>
          </cell>
          <cell r="T2192">
            <v>20600</v>
          </cell>
          <cell r="V2192">
            <v>20600</v>
          </cell>
          <cell r="X2192">
            <v>20600</v>
          </cell>
          <cell r="Z2192">
            <v>20600</v>
          </cell>
          <cell r="AD2192">
            <v>0.26100000000000001</v>
          </cell>
          <cell r="AG2192">
            <v>9900</v>
          </cell>
          <cell r="AH2192">
            <v>96</v>
          </cell>
          <cell r="AI2192">
            <v>0.98899999999999999</v>
          </cell>
          <cell r="AJ2192">
            <v>1</v>
          </cell>
          <cell r="AK2192">
            <v>97.06</v>
          </cell>
        </row>
        <row r="2193">
          <cell r="E2193" t="str">
            <v>R2RPB-322PN</v>
          </cell>
          <cell r="F2193" t="str">
            <v>台</v>
          </cell>
          <cell r="H2193">
            <v>16300</v>
          </cell>
          <cell r="J2193">
            <v>16300</v>
          </cell>
          <cell r="L2193">
            <v>16300</v>
          </cell>
          <cell r="N2193">
            <v>16300</v>
          </cell>
          <cell r="P2193">
            <v>16300</v>
          </cell>
          <cell r="R2193">
            <v>16300</v>
          </cell>
          <cell r="T2193">
            <v>16300</v>
          </cell>
          <cell r="V2193">
            <v>16300</v>
          </cell>
          <cell r="X2193">
            <v>16300</v>
          </cell>
          <cell r="Z2193">
            <v>16300</v>
          </cell>
          <cell r="AD2193">
            <v>0.26100000000000001</v>
          </cell>
          <cell r="AG2193">
            <v>9900</v>
          </cell>
          <cell r="AH2193">
            <v>96</v>
          </cell>
          <cell r="AI2193">
            <v>0.98899999999999999</v>
          </cell>
          <cell r="AJ2193">
            <v>1</v>
          </cell>
          <cell r="AK2193">
            <v>97.06</v>
          </cell>
        </row>
        <row r="2194">
          <cell r="E2194" t="str">
            <v>R2RPB-322PH</v>
          </cell>
          <cell r="F2194" t="str">
            <v>台</v>
          </cell>
          <cell r="H2194">
            <v>20600</v>
          </cell>
          <cell r="J2194">
            <v>20600</v>
          </cell>
          <cell r="L2194">
            <v>20600</v>
          </cell>
          <cell r="N2194">
            <v>20600</v>
          </cell>
          <cell r="P2194">
            <v>20600</v>
          </cell>
          <cell r="R2194">
            <v>20600</v>
          </cell>
          <cell r="T2194">
            <v>20600</v>
          </cell>
          <cell r="V2194">
            <v>20600</v>
          </cell>
          <cell r="X2194">
            <v>20600</v>
          </cell>
          <cell r="Z2194">
            <v>20600</v>
          </cell>
          <cell r="AD2194">
            <v>0.26100000000000001</v>
          </cell>
          <cell r="AG2194">
            <v>9900</v>
          </cell>
          <cell r="AH2194">
            <v>96</v>
          </cell>
          <cell r="AI2194">
            <v>0.98899999999999999</v>
          </cell>
          <cell r="AJ2194">
            <v>1</v>
          </cell>
          <cell r="AK2194">
            <v>97.06</v>
          </cell>
        </row>
        <row r="2195">
          <cell r="E2195" t="str">
            <v>■Ｈｆ反射笠可動形</v>
          </cell>
        </row>
        <row r="2196">
          <cell r="E2196" t="str">
            <v>R12-321PH</v>
          </cell>
          <cell r="F2196" t="str">
            <v>台</v>
          </cell>
          <cell r="H2196">
            <v>12300</v>
          </cell>
          <cell r="J2196">
            <v>12300</v>
          </cell>
          <cell r="L2196">
            <v>12300</v>
          </cell>
          <cell r="N2196">
            <v>12300</v>
          </cell>
          <cell r="P2196">
            <v>12300</v>
          </cell>
          <cell r="R2196">
            <v>12300</v>
          </cell>
          <cell r="T2196">
            <v>12300</v>
          </cell>
          <cell r="V2196">
            <v>12300</v>
          </cell>
          <cell r="X2196">
            <v>12300</v>
          </cell>
          <cell r="Z2196">
            <v>12300</v>
          </cell>
          <cell r="AD2196">
            <v>0.20899999999999999</v>
          </cell>
          <cell r="AG2196">
            <v>4950</v>
          </cell>
          <cell r="AH2196">
            <v>48</v>
          </cell>
          <cell r="AI2196">
            <v>0.97899999999999998</v>
          </cell>
          <cell r="AJ2196">
            <v>1</v>
          </cell>
          <cell r="AK2196">
            <v>49.02</v>
          </cell>
        </row>
        <row r="2197">
          <cell r="E2197" t="str">
            <v>R12-321PK</v>
          </cell>
          <cell r="F2197" t="str">
            <v>台</v>
          </cell>
          <cell r="H2197">
            <v>14300</v>
          </cell>
          <cell r="J2197">
            <v>14300</v>
          </cell>
          <cell r="L2197">
            <v>14300</v>
          </cell>
          <cell r="N2197">
            <v>14300</v>
          </cell>
          <cell r="P2197">
            <v>14300</v>
          </cell>
          <cell r="R2197">
            <v>14300</v>
          </cell>
          <cell r="T2197">
            <v>14300</v>
          </cell>
          <cell r="V2197">
            <v>14300</v>
          </cell>
          <cell r="X2197">
            <v>14300</v>
          </cell>
          <cell r="Z2197">
            <v>14300</v>
          </cell>
          <cell r="AD2197">
            <v>0.20899999999999999</v>
          </cell>
          <cell r="AG2197">
            <v>4950</v>
          </cell>
          <cell r="AH2197">
            <v>48</v>
          </cell>
          <cell r="AI2197">
            <v>0.97899999999999998</v>
          </cell>
          <cell r="AJ2197">
            <v>1</v>
          </cell>
          <cell r="AK2197">
            <v>49.02</v>
          </cell>
        </row>
        <row r="2198">
          <cell r="E2198" t="str">
            <v>■Ｈｆ開放直付形</v>
          </cell>
        </row>
        <row r="2199">
          <cell r="E2199" t="str">
            <v>As6-162PH</v>
          </cell>
          <cell r="F2199" t="str">
            <v>台</v>
          </cell>
          <cell r="H2199">
            <v>8530</v>
          </cell>
          <cell r="J2199">
            <v>8530</v>
          </cell>
          <cell r="L2199">
            <v>8530</v>
          </cell>
          <cell r="N2199">
            <v>8530</v>
          </cell>
          <cell r="P2199">
            <v>8530</v>
          </cell>
          <cell r="R2199">
            <v>8530</v>
          </cell>
          <cell r="T2199">
            <v>8530</v>
          </cell>
          <cell r="V2199">
            <v>8530</v>
          </cell>
          <cell r="X2199">
            <v>8530</v>
          </cell>
          <cell r="Z2199">
            <v>8530</v>
          </cell>
          <cell r="AD2199">
            <v>0.16500000000000001</v>
          </cell>
          <cell r="AG2199">
            <v>4200</v>
          </cell>
          <cell r="AH2199">
            <v>50</v>
          </cell>
          <cell r="AI2199">
            <v>0.98</v>
          </cell>
          <cell r="AJ2199">
            <v>1</v>
          </cell>
          <cell r="AK2199">
            <v>51.02</v>
          </cell>
        </row>
        <row r="2200">
          <cell r="E2200" t="str">
            <v>As6-162PX</v>
          </cell>
          <cell r="F2200" t="str">
            <v>台</v>
          </cell>
          <cell r="H2200">
            <v>9620</v>
          </cell>
          <cell r="J2200">
            <v>9620</v>
          </cell>
          <cell r="L2200">
            <v>9620</v>
          </cell>
          <cell r="N2200">
            <v>9620</v>
          </cell>
          <cell r="P2200">
            <v>9620</v>
          </cell>
          <cell r="R2200">
            <v>9620</v>
          </cell>
          <cell r="T2200">
            <v>9620</v>
          </cell>
          <cell r="V2200">
            <v>9620</v>
          </cell>
          <cell r="X2200">
            <v>9620</v>
          </cell>
          <cell r="Z2200">
            <v>9620</v>
          </cell>
          <cell r="AD2200">
            <v>0.16500000000000001</v>
          </cell>
          <cell r="AG2200">
            <v>4200</v>
          </cell>
          <cell r="AH2200">
            <v>50</v>
          </cell>
          <cell r="AI2200">
            <v>0.98</v>
          </cell>
          <cell r="AJ2200">
            <v>1</v>
          </cell>
          <cell r="AK2200">
            <v>51.02</v>
          </cell>
        </row>
        <row r="2201">
          <cell r="E2201" t="str">
            <v>As6-322PN</v>
          </cell>
          <cell r="F2201" t="str">
            <v>台</v>
          </cell>
          <cell r="H2201">
            <v>7270</v>
          </cell>
          <cell r="J2201">
            <v>7270</v>
          </cell>
          <cell r="L2201">
            <v>7270</v>
          </cell>
          <cell r="N2201">
            <v>7270</v>
          </cell>
          <cell r="P2201">
            <v>7270</v>
          </cell>
          <cell r="R2201">
            <v>7270</v>
          </cell>
          <cell r="T2201">
            <v>7270</v>
          </cell>
          <cell r="V2201">
            <v>7270</v>
          </cell>
          <cell r="X2201">
            <v>7270</v>
          </cell>
          <cell r="Z2201">
            <v>7270</v>
          </cell>
          <cell r="AD2201">
            <v>0.26100000000000001</v>
          </cell>
          <cell r="AG2201">
            <v>9900</v>
          </cell>
          <cell r="AH2201">
            <v>96</v>
          </cell>
          <cell r="AI2201">
            <v>0.98899999999999999</v>
          </cell>
          <cell r="AJ2201">
            <v>1</v>
          </cell>
          <cell r="AK2201">
            <v>97.06</v>
          </cell>
        </row>
        <row r="2202">
          <cell r="E2202" t="str">
            <v>As6-322PH</v>
          </cell>
          <cell r="F2202" t="str">
            <v>台</v>
          </cell>
          <cell r="H2202">
            <v>8670</v>
          </cell>
          <cell r="J2202">
            <v>8670</v>
          </cell>
          <cell r="L2202">
            <v>8670</v>
          </cell>
          <cell r="N2202">
            <v>8670</v>
          </cell>
          <cell r="P2202">
            <v>8670</v>
          </cell>
          <cell r="R2202">
            <v>8670</v>
          </cell>
          <cell r="T2202">
            <v>8670</v>
          </cell>
          <cell r="V2202">
            <v>8670</v>
          </cell>
          <cell r="X2202">
            <v>8670</v>
          </cell>
          <cell r="Z2202">
            <v>8670</v>
          </cell>
          <cell r="AD2202">
            <v>0.26100000000000001</v>
          </cell>
          <cell r="AG2202">
            <v>9900</v>
          </cell>
          <cell r="AH2202">
            <v>96</v>
          </cell>
          <cell r="AI2202">
            <v>0.98899999999999999</v>
          </cell>
          <cell r="AJ2202">
            <v>1</v>
          </cell>
          <cell r="AK2202">
            <v>97.06</v>
          </cell>
        </row>
        <row r="2203">
          <cell r="E2203" t="str">
            <v>As6-322PX</v>
          </cell>
          <cell r="F2203" t="str">
            <v>台</v>
          </cell>
          <cell r="H2203">
            <v>9690</v>
          </cell>
          <cell r="J2203">
            <v>9690</v>
          </cell>
          <cell r="L2203">
            <v>9690</v>
          </cell>
          <cell r="N2203">
            <v>9690</v>
          </cell>
          <cell r="P2203">
            <v>9690</v>
          </cell>
          <cell r="R2203">
            <v>9690</v>
          </cell>
          <cell r="T2203">
            <v>9690</v>
          </cell>
          <cell r="V2203">
            <v>9690</v>
          </cell>
          <cell r="X2203">
            <v>9690</v>
          </cell>
          <cell r="Z2203">
            <v>9690</v>
          </cell>
          <cell r="AD2203">
            <v>0.26100000000000001</v>
          </cell>
          <cell r="AG2203">
            <v>9900</v>
          </cell>
          <cell r="AH2203">
            <v>96</v>
          </cell>
          <cell r="AI2203">
            <v>0.98899999999999999</v>
          </cell>
          <cell r="AJ2203">
            <v>1</v>
          </cell>
          <cell r="AK2203">
            <v>97.06</v>
          </cell>
        </row>
        <row r="2204">
          <cell r="E2204" t="str">
            <v>As6-322PK</v>
          </cell>
          <cell r="F2204" t="str">
            <v>台</v>
          </cell>
          <cell r="H2204">
            <v>9690</v>
          </cell>
          <cell r="J2204">
            <v>9690</v>
          </cell>
          <cell r="L2204">
            <v>9690</v>
          </cell>
          <cell r="N2204">
            <v>9690</v>
          </cell>
          <cell r="P2204">
            <v>9690</v>
          </cell>
          <cell r="R2204">
            <v>9690</v>
          </cell>
          <cell r="T2204">
            <v>9690</v>
          </cell>
          <cell r="V2204">
            <v>9690</v>
          </cell>
          <cell r="X2204">
            <v>9690</v>
          </cell>
          <cell r="Z2204">
            <v>9690</v>
          </cell>
          <cell r="AD2204">
            <v>0.26100000000000001</v>
          </cell>
          <cell r="AG2204">
            <v>9900</v>
          </cell>
          <cell r="AH2204">
            <v>96</v>
          </cell>
          <cell r="AI2204">
            <v>0.98899999999999999</v>
          </cell>
          <cell r="AJ2204">
            <v>1</v>
          </cell>
          <cell r="AK2204">
            <v>97.06</v>
          </cell>
        </row>
        <row r="2205">
          <cell r="E2205" t="str">
            <v>As7-322PN</v>
          </cell>
          <cell r="F2205" t="str">
            <v>台</v>
          </cell>
          <cell r="H2205">
            <v>6150</v>
          </cell>
          <cell r="J2205">
            <v>6150</v>
          </cell>
          <cell r="L2205">
            <v>6150</v>
          </cell>
          <cell r="N2205">
            <v>6150</v>
          </cell>
          <cell r="P2205">
            <v>6150</v>
          </cell>
          <cell r="R2205">
            <v>6150</v>
          </cell>
          <cell r="T2205">
            <v>6150</v>
          </cell>
          <cell r="V2205">
            <v>6150</v>
          </cell>
          <cell r="X2205">
            <v>6150</v>
          </cell>
          <cell r="Z2205">
            <v>6150</v>
          </cell>
          <cell r="AD2205">
            <v>0.26100000000000001</v>
          </cell>
          <cell r="AG2205">
            <v>9900</v>
          </cell>
          <cell r="AH2205">
            <v>96</v>
          </cell>
          <cell r="AI2205">
            <v>0.98899999999999999</v>
          </cell>
          <cell r="AJ2205">
            <v>1</v>
          </cell>
          <cell r="AK2205">
            <v>97.06</v>
          </cell>
        </row>
        <row r="2206">
          <cell r="E2206" t="str">
            <v>As7-322PH</v>
          </cell>
          <cell r="F2206" t="str">
            <v>台</v>
          </cell>
          <cell r="H2206">
            <v>8330</v>
          </cell>
          <cell r="J2206">
            <v>8330</v>
          </cell>
          <cell r="L2206">
            <v>8330</v>
          </cell>
          <cell r="N2206">
            <v>8330</v>
          </cell>
          <cell r="P2206">
            <v>8330</v>
          </cell>
          <cell r="R2206">
            <v>8330</v>
          </cell>
          <cell r="T2206">
            <v>8330</v>
          </cell>
          <cell r="V2206">
            <v>8330</v>
          </cell>
          <cell r="X2206">
            <v>8330</v>
          </cell>
          <cell r="Z2206">
            <v>8330</v>
          </cell>
          <cell r="AD2206">
            <v>0.26100000000000001</v>
          </cell>
          <cell r="AG2206">
            <v>9900</v>
          </cell>
          <cell r="AH2206">
            <v>96</v>
          </cell>
          <cell r="AI2206">
            <v>0.98899999999999999</v>
          </cell>
          <cell r="AJ2206">
            <v>1</v>
          </cell>
          <cell r="AK2206">
            <v>97.06</v>
          </cell>
        </row>
        <row r="2207">
          <cell r="E2207" t="str">
            <v>As7-322PX</v>
          </cell>
          <cell r="F2207" t="str">
            <v>台</v>
          </cell>
          <cell r="H2207">
            <v>9350</v>
          </cell>
          <cell r="J2207">
            <v>9350</v>
          </cell>
          <cell r="L2207">
            <v>9350</v>
          </cell>
          <cell r="N2207">
            <v>9350</v>
          </cell>
          <cell r="P2207">
            <v>9350</v>
          </cell>
          <cell r="R2207">
            <v>9350</v>
          </cell>
          <cell r="T2207">
            <v>9350</v>
          </cell>
          <cell r="V2207">
            <v>9350</v>
          </cell>
          <cell r="X2207">
            <v>9350</v>
          </cell>
          <cell r="Z2207">
            <v>9350</v>
          </cell>
          <cell r="AD2207">
            <v>0.26100000000000001</v>
          </cell>
          <cell r="AG2207">
            <v>9900</v>
          </cell>
          <cell r="AH2207">
            <v>96</v>
          </cell>
          <cell r="AI2207">
            <v>0.98899999999999999</v>
          </cell>
          <cell r="AJ2207">
            <v>1</v>
          </cell>
          <cell r="AK2207">
            <v>97.06</v>
          </cell>
        </row>
        <row r="2208">
          <cell r="E2208" t="str">
            <v>As7-322PK</v>
          </cell>
          <cell r="F2208" t="str">
            <v>台</v>
          </cell>
          <cell r="H2208">
            <v>9350</v>
          </cell>
          <cell r="J2208">
            <v>9350</v>
          </cell>
          <cell r="L2208">
            <v>9350</v>
          </cell>
          <cell r="N2208">
            <v>9350</v>
          </cell>
          <cell r="P2208">
            <v>9350</v>
          </cell>
          <cell r="R2208">
            <v>9350</v>
          </cell>
          <cell r="T2208">
            <v>9350</v>
          </cell>
          <cell r="V2208">
            <v>9350</v>
          </cell>
          <cell r="X2208">
            <v>9350</v>
          </cell>
          <cell r="Z2208">
            <v>9350</v>
          </cell>
          <cell r="AD2208">
            <v>0.26100000000000001</v>
          </cell>
          <cell r="AG2208">
            <v>9900</v>
          </cell>
          <cell r="AH2208">
            <v>96</v>
          </cell>
          <cell r="AI2208">
            <v>0.98899999999999999</v>
          </cell>
          <cell r="AJ2208">
            <v>1</v>
          </cell>
          <cell r="AK2208">
            <v>97.06</v>
          </cell>
        </row>
        <row r="2209">
          <cell r="E2209" t="str">
            <v>■Ｈｆ笠なし</v>
          </cell>
        </row>
        <row r="2210">
          <cell r="E2210" t="str">
            <v>T8-161PH</v>
          </cell>
          <cell r="F2210" t="str">
            <v>台</v>
          </cell>
          <cell r="H2210">
            <v>4140</v>
          </cell>
          <cell r="J2210">
            <v>4140</v>
          </cell>
          <cell r="L2210">
            <v>4140</v>
          </cell>
          <cell r="N2210">
            <v>4140</v>
          </cell>
          <cell r="P2210">
            <v>4140</v>
          </cell>
          <cell r="R2210">
            <v>4140</v>
          </cell>
          <cell r="T2210">
            <v>4140</v>
          </cell>
          <cell r="V2210">
            <v>4140</v>
          </cell>
          <cell r="X2210">
            <v>4140</v>
          </cell>
          <cell r="Z2210">
            <v>4140</v>
          </cell>
          <cell r="AD2210">
            <v>0.13</v>
          </cell>
          <cell r="AG2210">
            <v>2100</v>
          </cell>
          <cell r="AH2210">
            <v>26</v>
          </cell>
          <cell r="AI2210">
            <v>0.96299999999999997</v>
          </cell>
          <cell r="AJ2210">
            <v>1</v>
          </cell>
          <cell r="AK2210">
            <v>26.99</v>
          </cell>
        </row>
        <row r="2211">
          <cell r="E2211" t="str">
            <v>T8-321PN</v>
          </cell>
          <cell r="F2211" t="str">
            <v>台</v>
          </cell>
          <cell r="H2211">
            <v>3330</v>
          </cell>
          <cell r="J2211">
            <v>3330</v>
          </cell>
          <cell r="L2211">
            <v>3330</v>
          </cell>
          <cell r="N2211">
            <v>3330</v>
          </cell>
          <cell r="P2211">
            <v>3330</v>
          </cell>
          <cell r="R2211">
            <v>3330</v>
          </cell>
          <cell r="T2211">
            <v>3330</v>
          </cell>
          <cell r="V2211">
            <v>3330</v>
          </cell>
          <cell r="X2211">
            <v>3330</v>
          </cell>
          <cell r="Z2211">
            <v>3330</v>
          </cell>
          <cell r="AD2211">
            <v>0.20899999999999999</v>
          </cell>
          <cell r="AG2211">
            <v>4950</v>
          </cell>
          <cell r="AH2211">
            <v>48</v>
          </cell>
          <cell r="AI2211">
            <v>0.97899999999999998</v>
          </cell>
          <cell r="AJ2211">
            <v>1</v>
          </cell>
          <cell r="AK2211">
            <v>49.02</v>
          </cell>
        </row>
        <row r="2212">
          <cell r="E2212" t="str">
            <v>T8-321PH</v>
          </cell>
          <cell r="F2212" t="str">
            <v>台</v>
          </cell>
          <cell r="H2212">
            <v>4250</v>
          </cell>
          <cell r="J2212">
            <v>4250</v>
          </cell>
          <cell r="L2212">
            <v>4250</v>
          </cell>
          <cell r="N2212">
            <v>4250</v>
          </cell>
          <cell r="P2212">
            <v>4250</v>
          </cell>
          <cell r="R2212">
            <v>4250</v>
          </cell>
          <cell r="T2212">
            <v>4250</v>
          </cell>
          <cell r="V2212">
            <v>4250</v>
          </cell>
          <cell r="X2212">
            <v>4250</v>
          </cell>
          <cell r="Z2212">
            <v>4250</v>
          </cell>
          <cell r="AD2212">
            <v>0.20899999999999999</v>
          </cell>
          <cell r="AG2212">
            <v>4950</v>
          </cell>
          <cell r="AH2212">
            <v>48</v>
          </cell>
          <cell r="AI2212">
            <v>0.97899999999999998</v>
          </cell>
          <cell r="AJ2212">
            <v>1</v>
          </cell>
          <cell r="AK2212">
            <v>49.02</v>
          </cell>
        </row>
        <row r="2213">
          <cell r="E2213" t="str">
            <v>T8-321PZ</v>
          </cell>
          <cell r="F2213" t="str">
            <v>台</v>
          </cell>
          <cell r="H2213">
            <v>8330</v>
          </cell>
          <cell r="J2213">
            <v>8330</v>
          </cell>
          <cell r="L2213">
            <v>8330</v>
          </cell>
          <cell r="N2213">
            <v>8330</v>
          </cell>
          <cell r="P2213">
            <v>8330</v>
          </cell>
          <cell r="R2213">
            <v>8330</v>
          </cell>
          <cell r="T2213">
            <v>8330</v>
          </cell>
          <cell r="V2213">
            <v>8330</v>
          </cell>
          <cell r="X2213">
            <v>8330</v>
          </cell>
          <cell r="Z2213">
            <v>8330</v>
          </cell>
          <cell r="AD2213">
            <v>0.20899999999999999</v>
          </cell>
          <cell r="AG2213">
            <v>4950</v>
          </cell>
          <cell r="AH2213">
            <v>48</v>
          </cell>
          <cell r="AI2213">
            <v>0.97899999999999998</v>
          </cell>
          <cell r="AJ2213">
            <v>1</v>
          </cell>
          <cell r="AK2213">
            <v>49.02</v>
          </cell>
        </row>
        <row r="2214">
          <cell r="E2214" t="str">
            <v>T8-321PK</v>
          </cell>
          <cell r="F2214" t="str">
            <v>台</v>
          </cell>
          <cell r="H2214">
            <v>6290</v>
          </cell>
          <cell r="J2214">
            <v>6290</v>
          </cell>
          <cell r="L2214">
            <v>6290</v>
          </cell>
          <cell r="N2214">
            <v>6290</v>
          </cell>
          <cell r="P2214">
            <v>6290</v>
          </cell>
          <cell r="R2214">
            <v>6290</v>
          </cell>
          <cell r="T2214">
            <v>6290</v>
          </cell>
          <cell r="V2214">
            <v>6290</v>
          </cell>
          <cell r="X2214">
            <v>6290</v>
          </cell>
          <cell r="Z2214">
            <v>6290</v>
          </cell>
          <cell r="AD2214">
            <v>0.20899999999999999</v>
          </cell>
          <cell r="AG2214">
            <v>4950</v>
          </cell>
          <cell r="AH2214">
            <v>48</v>
          </cell>
          <cell r="AI2214">
            <v>0.97899999999999998</v>
          </cell>
          <cell r="AJ2214">
            <v>1</v>
          </cell>
          <cell r="AK2214">
            <v>49.02</v>
          </cell>
        </row>
        <row r="2215">
          <cell r="E2215" t="str">
            <v>T8-861PN</v>
          </cell>
          <cell r="F2215" t="str">
            <v>台</v>
          </cell>
          <cell r="H2215">
            <v>10000</v>
          </cell>
          <cell r="J2215">
            <v>10000</v>
          </cell>
          <cell r="L2215">
            <v>10000</v>
          </cell>
          <cell r="N2215">
            <v>10000</v>
          </cell>
          <cell r="P2215">
            <v>10000</v>
          </cell>
          <cell r="R2215">
            <v>10000</v>
          </cell>
          <cell r="T2215">
            <v>10000</v>
          </cell>
          <cell r="V2215">
            <v>10000</v>
          </cell>
          <cell r="X2215">
            <v>10000</v>
          </cell>
          <cell r="Z2215">
            <v>10000</v>
          </cell>
          <cell r="AD2215">
            <v>0.39100000000000001</v>
          </cell>
          <cell r="AG2215">
            <v>9200</v>
          </cell>
          <cell r="AH2215">
            <v>89</v>
          </cell>
          <cell r="AI2215">
            <v>0.98899999999999999</v>
          </cell>
          <cell r="AJ2215">
            <v>1</v>
          </cell>
          <cell r="AK2215">
            <v>89.98</v>
          </cell>
        </row>
        <row r="2216">
          <cell r="E2216" t="str">
            <v>T8RP-321PN</v>
          </cell>
          <cell r="F2216" t="str">
            <v>台</v>
          </cell>
          <cell r="H2216">
            <v>5060</v>
          </cell>
          <cell r="J2216">
            <v>5060</v>
          </cell>
          <cell r="L2216">
            <v>5060</v>
          </cell>
          <cell r="N2216">
            <v>5060</v>
          </cell>
          <cell r="P2216">
            <v>5060</v>
          </cell>
          <cell r="R2216">
            <v>5060</v>
          </cell>
          <cell r="T2216">
            <v>5060</v>
          </cell>
          <cell r="V2216">
            <v>5060</v>
          </cell>
          <cell r="X2216">
            <v>5060</v>
          </cell>
          <cell r="Z2216">
            <v>5060</v>
          </cell>
          <cell r="AD2216">
            <v>0.20899999999999999</v>
          </cell>
          <cell r="AG2216">
            <v>4950</v>
          </cell>
          <cell r="AH2216">
            <v>48</v>
          </cell>
          <cell r="AI2216">
            <v>0.97899999999999998</v>
          </cell>
          <cell r="AJ2216">
            <v>1</v>
          </cell>
          <cell r="AK2216">
            <v>49.02</v>
          </cell>
        </row>
        <row r="2217">
          <cell r="E2217" t="str">
            <v>T8RP-321PH</v>
          </cell>
          <cell r="F2217" t="str">
            <v>台</v>
          </cell>
          <cell r="H2217">
            <v>10800</v>
          </cell>
          <cell r="J2217">
            <v>10800</v>
          </cell>
          <cell r="L2217">
            <v>10800</v>
          </cell>
          <cell r="N2217">
            <v>10800</v>
          </cell>
          <cell r="P2217">
            <v>10800</v>
          </cell>
          <cell r="R2217">
            <v>10800</v>
          </cell>
          <cell r="T2217">
            <v>10800</v>
          </cell>
          <cell r="V2217">
            <v>10800</v>
          </cell>
          <cell r="X2217">
            <v>10800</v>
          </cell>
          <cell r="Z2217">
            <v>10800</v>
          </cell>
          <cell r="AD2217">
            <v>0.20899999999999999</v>
          </cell>
          <cell r="AG2217">
            <v>4950</v>
          </cell>
          <cell r="AH2217">
            <v>48</v>
          </cell>
          <cell r="AI2217">
            <v>0.97899999999999998</v>
          </cell>
          <cell r="AJ2217">
            <v>1</v>
          </cell>
          <cell r="AK2217">
            <v>49.02</v>
          </cell>
        </row>
        <row r="2218">
          <cell r="E2218" t="str">
            <v>T8RAP-321PN</v>
          </cell>
          <cell r="F2218" t="str">
            <v>台</v>
          </cell>
          <cell r="H2218">
            <v>11300</v>
          </cell>
          <cell r="J2218">
            <v>11300</v>
          </cell>
          <cell r="L2218">
            <v>11300</v>
          </cell>
          <cell r="N2218">
            <v>11300</v>
          </cell>
          <cell r="P2218">
            <v>11300</v>
          </cell>
          <cell r="R2218">
            <v>11300</v>
          </cell>
          <cell r="T2218">
            <v>11300</v>
          </cell>
          <cell r="V2218">
            <v>11300</v>
          </cell>
          <cell r="X2218">
            <v>11300</v>
          </cell>
          <cell r="Z2218">
            <v>11300</v>
          </cell>
          <cell r="AD2218">
            <v>0.20899999999999999</v>
          </cell>
          <cell r="AG2218">
            <v>4950</v>
          </cell>
          <cell r="AH2218">
            <v>48</v>
          </cell>
          <cell r="AI2218">
            <v>0.97899999999999998</v>
          </cell>
          <cell r="AJ2218">
            <v>1</v>
          </cell>
          <cell r="AK2218">
            <v>49.02</v>
          </cell>
        </row>
        <row r="2219">
          <cell r="E2219" t="str">
            <v>T8RPA-321PH</v>
          </cell>
          <cell r="F2219" t="str">
            <v>台</v>
          </cell>
          <cell r="H2219">
            <v>16000</v>
          </cell>
          <cell r="J2219">
            <v>16000</v>
          </cell>
          <cell r="L2219">
            <v>16000</v>
          </cell>
          <cell r="N2219">
            <v>16000</v>
          </cell>
          <cell r="P2219">
            <v>16000</v>
          </cell>
          <cell r="R2219">
            <v>16000</v>
          </cell>
          <cell r="T2219">
            <v>16000</v>
          </cell>
          <cell r="V2219">
            <v>16000</v>
          </cell>
          <cell r="X2219">
            <v>16000</v>
          </cell>
          <cell r="Z2219">
            <v>16000</v>
          </cell>
          <cell r="AD2219">
            <v>0.20899999999999999</v>
          </cell>
          <cell r="AG2219">
            <v>4950</v>
          </cell>
          <cell r="AH2219">
            <v>48</v>
          </cell>
          <cell r="AI2219">
            <v>0.97899999999999998</v>
          </cell>
          <cell r="AJ2219">
            <v>1</v>
          </cell>
          <cell r="AK2219">
            <v>49.02</v>
          </cell>
        </row>
        <row r="2220">
          <cell r="E2220" t="str">
            <v>T8BPB-321PN</v>
          </cell>
          <cell r="F2220" t="str">
            <v>台</v>
          </cell>
          <cell r="H2220">
            <v>11300</v>
          </cell>
          <cell r="J2220">
            <v>11300</v>
          </cell>
          <cell r="L2220">
            <v>11300</v>
          </cell>
          <cell r="N2220">
            <v>11300</v>
          </cell>
          <cell r="P2220">
            <v>11300</v>
          </cell>
          <cell r="R2220">
            <v>11300</v>
          </cell>
          <cell r="T2220">
            <v>11300</v>
          </cell>
          <cell r="V2220">
            <v>11300</v>
          </cell>
          <cell r="X2220">
            <v>11300</v>
          </cell>
          <cell r="Z2220">
            <v>11300</v>
          </cell>
          <cell r="AD2220">
            <v>0.20899999999999999</v>
          </cell>
          <cell r="AG2220">
            <v>4950</v>
          </cell>
          <cell r="AH2220">
            <v>48</v>
          </cell>
          <cell r="AI2220">
            <v>0.97899999999999998</v>
          </cell>
          <cell r="AJ2220">
            <v>1</v>
          </cell>
          <cell r="AK2220">
            <v>49.02</v>
          </cell>
        </row>
        <row r="2221">
          <cell r="E2221" t="str">
            <v>T8RPB-321PH</v>
          </cell>
          <cell r="F2221" t="str">
            <v>台</v>
          </cell>
          <cell r="H2221">
            <v>16000</v>
          </cell>
          <cell r="J2221">
            <v>16000</v>
          </cell>
          <cell r="L2221">
            <v>16000</v>
          </cell>
          <cell r="N2221">
            <v>16000</v>
          </cell>
          <cell r="P2221">
            <v>16000</v>
          </cell>
          <cell r="R2221">
            <v>16000</v>
          </cell>
          <cell r="T2221">
            <v>16000</v>
          </cell>
          <cell r="V2221">
            <v>16000</v>
          </cell>
          <cell r="X2221">
            <v>16000</v>
          </cell>
          <cell r="Z2221">
            <v>16000</v>
          </cell>
          <cell r="AD2221">
            <v>0.20899999999999999</v>
          </cell>
          <cell r="AG2221">
            <v>4950</v>
          </cell>
          <cell r="AH2221">
            <v>48</v>
          </cell>
          <cell r="AI2221">
            <v>0.97899999999999998</v>
          </cell>
          <cell r="AJ2221">
            <v>1</v>
          </cell>
          <cell r="AK2221">
            <v>49.02</v>
          </cell>
        </row>
        <row r="2222">
          <cell r="E2222" t="str">
            <v>■Ｈｆ逆富士</v>
          </cell>
        </row>
        <row r="2223">
          <cell r="E2223" t="str">
            <v>V9-161PH</v>
          </cell>
          <cell r="F2223" t="str">
            <v>台</v>
          </cell>
          <cell r="H2223">
            <v>4350</v>
          </cell>
          <cell r="J2223">
            <v>4350</v>
          </cell>
          <cell r="L2223">
            <v>4350</v>
          </cell>
          <cell r="N2223">
            <v>4350</v>
          </cell>
          <cell r="P2223">
            <v>4350</v>
          </cell>
          <cell r="R2223">
            <v>4350</v>
          </cell>
          <cell r="T2223">
            <v>4350</v>
          </cell>
          <cell r="V2223">
            <v>4350</v>
          </cell>
          <cell r="X2223">
            <v>4350</v>
          </cell>
          <cell r="Z2223">
            <v>4350</v>
          </cell>
          <cell r="AD2223">
            <v>0.13</v>
          </cell>
          <cell r="AG2223">
            <v>2100</v>
          </cell>
          <cell r="AH2223">
            <v>26</v>
          </cell>
          <cell r="AI2223">
            <v>0.96299999999999997</v>
          </cell>
          <cell r="AJ2223">
            <v>1</v>
          </cell>
          <cell r="AK2223">
            <v>26.99</v>
          </cell>
        </row>
        <row r="2224">
          <cell r="E2224" t="str">
            <v>V9-162PH</v>
          </cell>
          <cell r="F2224" t="str">
            <v>台</v>
          </cell>
          <cell r="H2224">
            <v>6630</v>
          </cell>
          <cell r="J2224">
            <v>6630</v>
          </cell>
          <cell r="L2224">
            <v>6630</v>
          </cell>
          <cell r="N2224">
            <v>6630</v>
          </cell>
          <cell r="P2224">
            <v>6630</v>
          </cell>
          <cell r="R2224">
            <v>6630</v>
          </cell>
          <cell r="T2224">
            <v>6630</v>
          </cell>
          <cell r="V2224">
            <v>6630</v>
          </cell>
          <cell r="X2224">
            <v>6630</v>
          </cell>
          <cell r="Z2224">
            <v>6630</v>
          </cell>
          <cell r="AD2224">
            <v>0.16500000000000001</v>
          </cell>
          <cell r="AG2224">
            <v>4200</v>
          </cell>
          <cell r="AH2224">
            <v>50</v>
          </cell>
          <cell r="AI2224">
            <v>0.98</v>
          </cell>
          <cell r="AJ2224">
            <v>1</v>
          </cell>
          <cell r="AK2224">
            <v>51.02</v>
          </cell>
        </row>
        <row r="2225">
          <cell r="E2225" t="str">
            <v>V9-162PX</v>
          </cell>
          <cell r="F2225" t="str">
            <v>台</v>
          </cell>
          <cell r="H2225">
            <v>7710</v>
          </cell>
          <cell r="J2225">
            <v>7710</v>
          </cell>
          <cell r="L2225">
            <v>7710</v>
          </cell>
          <cell r="N2225">
            <v>7710</v>
          </cell>
          <cell r="P2225">
            <v>7710</v>
          </cell>
          <cell r="R2225">
            <v>7710</v>
          </cell>
          <cell r="T2225">
            <v>7710</v>
          </cell>
          <cell r="V2225">
            <v>7710</v>
          </cell>
          <cell r="X2225">
            <v>7710</v>
          </cell>
          <cell r="Z2225">
            <v>7710</v>
          </cell>
          <cell r="AD2225">
            <v>0.16500000000000001</v>
          </cell>
          <cell r="AG2225">
            <v>4200</v>
          </cell>
          <cell r="AH2225">
            <v>50</v>
          </cell>
          <cell r="AI2225">
            <v>0.98</v>
          </cell>
          <cell r="AJ2225">
            <v>1</v>
          </cell>
          <cell r="AK2225">
            <v>51.02</v>
          </cell>
        </row>
        <row r="2226">
          <cell r="E2226" t="str">
            <v>V9-321PN</v>
          </cell>
          <cell r="F2226" t="str">
            <v>台</v>
          </cell>
          <cell r="H2226">
            <v>3600</v>
          </cell>
          <cell r="J2226">
            <v>3600</v>
          </cell>
          <cell r="L2226">
            <v>3600</v>
          </cell>
          <cell r="N2226">
            <v>3600</v>
          </cell>
          <cell r="P2226">
            <v>3600</v>
          </cell>
          <cell r="R2226">
            <v>3600</v>
          </cell>
          <cell r="T2226">
            <v>3600</v>
          </cell>
          <cell r="V2226">
            <v>3600</v>
          </cell>
          <cell r="X2226">
            <v>3600</v>
          </cell>
          <cell r="Z2226">
            <v>3600</v>
          </cell>
          <cell r="AD2226">
            <v>0.20899999999999999</v>
          </cell>
          <cell r="AG2226">
            <v>4950</v>
          </cell>
          <cell r="AH2226">
            <v>48</v>
          </cell>
          <cell r="AI2226">
            <v>0.97899999999999998</v>
          </cell>
          <cell r="AJ2226">
            <v>1</v>
          </cell>
          <cell r="AK2226">
            <v>49.02</v>
          </cell>
        </row>
        <row r="2227">
          <cell r="E2227" t="str">
            <v>V9-321PH</v>
          </cell>
          <cell r="F2227" t="str">
            <v>台</v>
          </cell>
          <cell r="H2227">
            <v>4450</v>
          </cell>
          <cell r="J2227">
            <v>4450</v>
          </cell>
          <cell r="L2227">
            <v>4450</v>
          </cell>
          <cell r="N2227">
            <v>4450</v>
          </cell>
          <cell r="P2227">
            <v>4450</v>
          </cell>
          <cell r="R2227">
            <v>4450</v>
          </cell>
          <cell r="T2227">
            <v>4450</v>
          </cell>
          <cell r="V2227">
            <v>4450</v>
          </cell>
          <cell r="X2227">
            <v>4450</v>
          </cell>
          <cell r="Z2227">
            <v>4450</v>
          </cell>
          <cell r="AD2227">
            <v>0.20899999999999999</v>
          </cell>
          <cell r="AG2227">
            <v>4950</v>
          </cell>
          <cell r="AH2227">
            <v>48</v>
          </cell>
          <cell r="AI2227">
            <v>0.97899999999999998</v>
          </cell>
          <cell r="AJ2227">
            <v>1</v>
          </cell>
          <cell r="AK2227">
            <v>49.02</v>
          </cell>
        </row>
        <row r="2228">
          <cell r="E2228" t="str">
            <v>V9-321PX</v>
          </cell>
          <cell r="F2228" t="str">
            <v>台</v>
          </cell>
          <cell r="H2228">
            <v>6490</v>
          </cell>
          <cell r="J2228">
            <v>6490</v>
          </cell>
          <cell r="L2228">
            <v>6490</v>
          </cell>
          <cell r="N2228">
            <v>6490</v>
          </cell>
          <cell r="P2228">
            <v>6490</v>
          </cell>
          <cell r="R2228">
            <v>6490</v>
          </cell>
          <cell r="T2228">
            <v>6490</v>
          </cell>
          <cell r="V2228">
            <v>6490</v>
          </cell>
          <cell r="X2228">
            <v>6490</v>
          </cell>
          <cell r="Z2228">
            <v>6490</v>
          </cell>
          <cell r="AD2228">
            <v>0.20899999999999999</v>
          </cell>
          <cell r="AG2228">
            <v>4950</v>
          </cell>
          <cell r="AH2228">
            <v>48</v>
          </cell>
          <cell r="AI2228">
            <v>0.97899999999999998</v>
          </cell>
          <cell r="AJ2228">
            <v>1</v>
          </cell>
          <cell r="AK2228">
            <v>49.02</v>
          </cell>
        </row>
        <row r="2229">
          <cell r="E2229" t="str">
            <v>V9-321PK</v>
          </cell>
          <cell r="F2229" t="str">
            <v>台</v>
          </cell>
          <cell r="H2229">
            <v>6490</v>
          </cell>
          <cell r="J2229">
            <v>6490</v>
          </cell>
          <cell r="L2229">
            <v>6490</v>
          </cell>
          <cell r="N2229">
            <v>6490</v>
          </cell>
          <cell r="P2229">
            <v>6490</v>
          </cell>
          <cell r="R2229">
            <v>6490</v>
          </cell>
          <cell r="T2229">
            <v>6490</v>
          </cell>
          <cell r="V2229">
            <v>6490</v>
          </cell>
          <cell r="X2229">
            <v>6490</v>
          </cell>
          <cell r="Z2229">
            <v>6490</v>
          </cell>
          <cell r="AD2229">
            <v>0.20899999999999999</v>
          </cell>
          <cell r="AG2229">
            <v>4950</v>
          </cell>
          <cell r="AH2229">
            <v>48</v>
          </cell>
          <cell r="AI2229">
            <v>0.97899999999999998</v>
          </cell>
          <cell r="AJ2229">
            <v>1</v>
          </cell>
          <cell r="AK2229">
            <v>49.02</v>
          </cell>
        </row>
        <row r="2230">
          <cell r="E2230" t="str">
            <v>V9-322PN</v>
          </cell>
          <cell r="F2230" t="str">
            <v>台</v>
          </cell>
          <cell r="H2230">
            <v>5400</v>
          </cell>
          <cell r="J2230">
            <v>5400</v>
          </cell>
          <cell r="L2230">
            <v>5400</v>
          </cell>
          <cell r="N2230">
            <v>5400</v>
          </cell>
          <cell r="P2230">
            <v>5400</v>
          </cell>
          <cell r="R2230">
            <v>5400</v>
          </cell>
          <cell r="T2230">
            <v>5400</v>
          </cell>
          <cell r="V2230">
            <v>5400</v>
          </cell>
          <cell r="X2230">
            <v>5400</v>
          </cell>
          <cell r="Z2230">
            <v>5400</v>
          </cell>
          <cell r="AD2230">
            <v>0.26100000000000001</v>
          </cell>
          <cell r="AG2230">
            <v>9900</v>
          </cell>
          <cell r="AH2230">
            <v>96</v>
          </cell>
          <cell r="AI2230">
            <v>0.98899999999999999</v>
          </cell>
          <cell r="AJ2230">
            <v>1</v>
          </cell>
          <cell r="AK2230">
            <v>97.06</v>
          </cell>
        </row>
        <row r="2231">
          <cell r="E2231" t="str">
            <v>V9-322PH</v>
          </cell>
          <cell r="F2231" t="str">
            <v>台</v>
          </cell>
          <cell r="H2231">
            <v>6760</v>
          </cell>
          <cell r="J2231">
            <v>6760</v>
          </cell>
          <cell r="L2231">
            <v>6760</v>
          </cell>
          <cell r="N2231">
            <v>6760</v>
          </cell>
          <cell r="P2231">
            <v>6760</v>
          </cell>
          <cell r="R2231">
            <v>6760</v>
          </cell>
          <cell r="T2231">
            <v>6760</v>
          </cell>
          <cell r="V2231">
            <v>6760</v>
          </cell>
          <cell r="X2231">
            <v>6760</v>
          </cell>
          <cell r="Z2231">
            <v>6760</v>
          </cell>
          <cell r="AD2231">
            <v>0.26100000000000001</v>
          </cell>
          <cell r="AG2231">
            <v>9900</v>
          </cell>
          <cell r="AH2231">
            <v>96</v>
          </cell>
          <cell r="AI2231">
            <v>0.98899999999999999</v>
          </cell>
          <cell r="AJ2231">
            <v>1</v>
          </cell>
          <cell r="AK2231">
            <v>97.06</v>
          </cell>
        </row>
        <row r="2232">
          <cell r="E2232" t="str">
            <v>V9-322PX</v>
          </cell>
          <cell r="F2232" t="str">
            <v>台</v>
          </cell>
          <cell r="H2232">
            <v>7780</v>
          </cell>
          <cell r="J2232">
            <v>7780</v>
          </cell>
          <cell r="L2232">
            <v>7780</v>
          </cell>
          <cell r="N2232">
            <v>7780</v>
          </cell>
          <cell r="P2232">
            <v>7780</v>
          </cell>
          <cell r="R2232">
            <v>7780</v>
          </cell>
          <cell r="T2232">
            <v>7780</v>
          </cell>
          <cell r="V2232">
            <v>7780</v>
          </cell>
          <cell r="X2232">
            <v>7780</v>
          </cell>
          <cell r="Z2232">
            <v>7780</v>
          </cell>
          <cell r="AD2232">
            <v>0.26100000000000001</v>
          </cell>
          <cell r="AG2232">
            <v>9900</v>
          </cell>
          <cell r="AH2232">
            <v>96</v>
          </cell>
          <cell r="AI2232">
            <v>0.98899999999999999</v>
          </cell>
          <cell r="AJ2232">
            <v>1</v>
          </cell>
          <cell r="AK2232">
            <v>97.06</v>
          </cell>
        </row>
        <row r="2233">
          <cell r="E2233" t="str">
            <v>V9-322PK</v>
          </cell>
          <cell r="F2233" t="str">
            <v>台</v>
          </cell>
          <cell r="H2233">
            <v>7780</v>
          </cell>
          <cell r="J2233">
            <v>7780</v>
          </cell>
          <cell r="L2233">
            <v>7780</v>
          </cell>
          <cell r="N2233">
            <v>7780</v>
          </cell>
          <cell r="P2233">
            <v>7780</v>
          </cell>
          <cell r="R2233">
            <v>7780</v>
          </cell>
          <cell r="T2233">
            <v>7780</v>
          </cell>
          <cell r="V2233">
            <v>7780</v>
          </cell>
          <cell r="X2233">
            <v>7780</v>
          </cell>
          <cell r="Z2233">
            <v>7780</v>
          </cell>
          <cell r="AD2233">
            <v>0.26100000000000001</v>
          </cell>
          <cell r="AG2233">
            <v>9900</v>
          </cell>
          <cell r="AH2233">
            <v>96</v>
          </cell>
          <cell r="AI2233">
            <v>0.98899999999999999</v>
          </cell>
          <cell r="AJ2233">
            <v>1</v>
          </cell>
          <cell r="AK2233">
            <v>97.06</v>
          </cell>
        </row>
        <row r="2234">
          <cell r="E2234" t="str">
            <v>V9MP-321PN</v>
          </cell>
          <cell r="F2234" t="str">
            <v>台</v>
          </cell>
          <cell r="H2234">
            <v>6730</v>
          </cell>
          <cell r="J2234">
            <v>6730</v>
          </cell>
          <cell r="L2234">
            <v>6730</v>
          </cell>
          <cell r="N2234">
            <v>6730</v>
          </cell>
          <cell r="P2234">
            <v>6730</v>
          </cell>
          <cell r="R2234">
            <v>6730</v>
          </cell>
          <cell r="T2234">
            <v>6730</v>
          </cell>
          <cell r="V2234">
            <v>6730</v>
          </cell>
          <cell r="X2234">
            <v>6730</v>
          </cell>
          <cell r="Z2234">
            <v>6730</v>
          </cell>
          <cell r="AD2234">
            <v>0.20899999999999999</v>
          </cell>
          <cell r="AG2234">
            <v>4950</v>
          </cell>
          <cell r="AH2234">
            <v>48</v>
          </cell>
          <cell r="AI2234">
            <v>0.97899999999999998</v>
          </cell>
          <cell r="AJ2234">
            <v>1</v>
          </cell>
          <cell r="AK2234">
            <v>49.02</v>
          </cell>
        </row>
        <row r="2235">
          <cell r="E2235" t="str">
            <v>V9MP-321PH</v>
          </cell>
          <cell r="F2235" t="str">
            <v>台</v>
          </cell>
          <cell r="H2235">
            <v>10300</v>
          </cell>
          <cell r="J2235">
            <v>10300</v>
          </cell>
          <cell r="L2235">
            <v>10300</v>
          </cell>
          <cell r="N2235">
            <v>10300</v>
          </cell>
          <cell r="P2235">
            <v>10300</v>
          </cell>
          <cell r="R2235">
            <v>10300</v>
          </cell>
          <cell r="T2235">
            <v>10300</v>
          </cell>
          <cell r="V2235">
            <v>10300</v>
          </cell>
          <cell r="X2235">
            <v>10300</v>
          </cell>
          <cell r="Z2235">
            <v>10300</v>
          </cell>
          <cell r="AD2235">
            <v>0.20899999999999999</v>
          </cell>
          <cell r="AG2235">
            <v>4950</v>
          </cell>
          <cell r="AH2235">
            <v>48</v>
          </cell>
          <cell r="AI2235">
            <v>0.97899999999999998</v>
          </cell>
          <cell r="AJ2235">
            <v>1</v>
          </cell>
          <cell r="AK2235">
            <v>49.02</v>
          </cell>
        </row>
        <row r="2236">
          <cell r="E2236" t="str">
            <v>V9MP-322PN</v>
          </cell>
          <cell r="F2236" t="str">
            <v>台</v>
          </cell>
          <cell r="H2236">
            <v>9210</v>
          </cell>
          <cell r="J2236">
            <v>9210</v>
          </cell>
          <cell r="L2236">
            <v>9210</v>
          </cell>
          <cell r="N2236">
            <v>9210</v>
          </cell>
          <cell r="P2236">
            <v>9210</v>
          </cell>
          <cell r="R2236">
            <v>9210</v>
          </cell>
          <cell r="T2236">
            <v>9210</v>
          </cell>
          <cell r="V2236">
            <v>9210</v>
          </cell>
          <cell r="X2236">
            <v>9210</v>
          </cell>
          <cell r="Z2236">
            <v>9210</v>
          </cell>
          <cell r="AD2236">
            <v>0.26100000000000001</v>
          </cell>
          <cell r="AG2236">
            <v>9900</v>
          </cell>
          <cell r="AH2236">
            <v>96</v>
          </cell>
          <cell r="AI2236">
            <v>0.98899999999999999</v>
          </cell>
          <cell r="AJ2236">
            <v>1</v>
          </cell>
          <cell r="AK2236">
            <v>97.06</v>
          </cell>
        </row>
        <row r="2237">
          <cell r="E2237" t="str">
            <v>V9MP-322PH</v>
          </cell>
          <cell r="F2237" t="str">
            <v>台</v>
          </cell>
          <cell r="H2237">
            <v>12700</v>
          </cell>
          <cell r="J2237">
            <v>12700</v>
          </cell>
          <cell r="L2237">
            <v>12700</v>
          </cell>
          <cell r="N2237">
            <v>12700</v>
          </cell>
          <cell r="P2237">
            <v>12700</v>
          </cell>
          <cell r="R2237">
            <v>12700</v>
          </cell>
          <cell r="T2237">
            <v>12700</v>
          </cell>
          <cell r="V2237">
            <v>12700</v>
          </cell>
          <cell r="X2237">
            <v>12700</v>
          </cell>
          <cell r="Z2237">
            <v>12700</v>
          </cell>
          <cell r="AD2237">
            <v>0.26100000000000001</v>
          </cell>
          <cell r="AG2237">
            <v>9900</v>
          </cell>
          <cell r="AH2237">
            <v>96</v>
          </cell>
          <cell r="AI2237">
            <v>0.98899999999999999</v>
          </cell>
          <cell r="AJ2237">
            <v>1</v>
          </cell>
          <cell r="AK2237">
            <v>97.06</v>
          </cell>
        </row>
        <row r="2238">
          <cell r="E2238" t="str">
            <v>V9MPA-321PN</v>
          </cell>
          <cell r="F2238" t="str">
            <v>台</v>
          </cell>
          <cell r="H2238">
            <v>14700</v>
          </cell>
          <cell r="J2238">
            <v>14700</v>
          </cell>
          <cell r="L2238">
            <v>14700</v>
          </cell>
          <cell r="N2238">
            <v>14700</v>
          </cell>
          <cell r="P2238">
            <v>14700</v>
          </cell>
          <cell r="R2238">
            <v>14700</v>
          </cell>
          <cell r="T2238">
            <v>14700</v>
          </cell>
          <cell r="V2238">
            <v>14700</v>
          </cell>
          <cell r="X2238">
            <v>14700</v>
          </cell>
          <cell r="Z2238">
            <v>14700</v>
          </cell>
          <cell r="AD2238">
            <v>0.20899999999999999</v>
          </cell>
          <cell r="AG2238">
            <v>4950</v>
          </cell>
          <cell r="AH2238">
            <v>48</v>
          </cell>
          <cell r="AI2238">
            <v>0.97899999999999998</v>
          </cell>
          <cell r="AJ2238">
            <v>1</v>
          </cell>
          <cell r="AK2238">
            <v>49.02</v>
          </cell>
        </row>
        <row r="2239">
          <cell r="E2239" t="str">
            <v>V9MPA-321PH</v>
          </cell>
          <cell r="F2239" t="str">
            <v>台</v>
          </cell>
          <cell r="H2239">
            <v>17100</v>
          </cell>
          <cell r="J2239">
            <v>17100</v>
          </cell>
          <cell r="L2239">
            <v>17100</v>
          </cell>
          <cell r="N2239">
            <v>17100</v>
          </cell>
          <cell r="P2239">
            <v>17100</v>
          </cell>
          <cell r="R2239">
            <v>17100</v>
          </cell>
          <cell r="T2239">
            <v>17100</v>
          </cell>
          <cell r="V2239">
            <v>17100</v>
          </cell>
          <cell r="X2239">
            <v>17100</v>
          </cell>
          <cell r="Z2239">
            <v>17100</v>
          </cell>
          <cell r="AD2239">
            <v>0.20899999999999999</v>
          </cell>
          <cell r="AG2239">
            <v>4950</v>
          </cell>
          <cell r="AH2239">
            <v>48</v>
          </cell>
          <cell r="AI2239">
            <v>0.97899999999999998</v>
          </cell>
          <cell r="AJ2239">
            <v>1</v>
          </cell>
          <cell r="AK2239">
            <v>49.02</v>
          </cell>
        </row>
        <row r="2240">
          <cell r="E2240" t="str">
            <v>V9MPA-322PN</v>
          </cell>
          <cell r="F2240" t="str">
            <v>台</v>
          </cell>
          <cell r="H2240">
            <v>18500</v>
          </cell>
          <cell r="J2240">
            <v>18500</v>
          </cell>
          <cell r="L2240">
            <v>18500</v>
          </cell>
          <cell r="N2240">
            <v>18500</v>
          </cell>
          <cell r="P2240">
            <v>18500</v>
          </cell>
          <cell r="R2240">
            <v>18500</v>
          </cell>
          <cell r="T2240">
            <v>18500</v>
          </cell>
          <cell r="V2240">
            <v>18500</v>
          </cell>
          <cell r="X2240">
            <v>18500</v>
          </cell>
          <cell r="Z2240">
            <v>18500</v>
          </cell>
          <cell r="AD2240">
            <v>0.26100000000000001</v>
          </cell>
          <cell r="AG2240">
            <v>9900</v>
          </cell>
          <cell r="AH2240">
            <v>96</v>
          </cell>
          <cell r="AI2240">
            <v>0.98899999999999999</v>
          </cell>
          <cell r="AJ2240">
            <v>1</v>
          </cell>
          <cell r="AK2240">
            <v>97.06</v>
          </cell>
        </row>
        <row r="2241">
          <cell r="E2241" t="str">
            <v>V9MPA-322PH</v>
          </cell>
          <cell r="F2241" t="str">
            <v>台</v>
          </cell>
          <cell r="H2241">
            <v>21600</v>
          </cell>
          <cell r="J2241">
            <v>21600</v>
          </cell>
          <cell r="L2241">
            <v>21600</v>
          </cell>
          <cell r="N2241">
            <v>21600</v>
          </cell>
          <cell r="P2241">
            <v>21600</v>
          </cell>
          <cell r="R2241">
            <v>21600</v>
          </cell>
          <cell r="T2241">
            <v>21600</v>
          </cell>
          <cell r="V2241">
            <v>21600</v>
          </cell>
          <cell r="X2241">
            <v>21600</v>
          </cell>
          <cell r="Z2241">
            <v>21600</v>
          </cell>
          <cell r="AD2241">
            <v>0.26100000000000001</v>
          </cell>
          <cell r="AG2241">
            <v>9900</v>
          </cell>
          <cell r="AH2241">
            <v>96</v>
          </cell>
          <cell r="AI2241">
            <v>0.98899999999999999</v>
          </cell>
          <cell r="AJ2241">
            <v>1</v>
          </cell>
          <cell r="AK2241">
            <v>97.06</v>
          </cell>
        </row>
        <row r="2242">
          <cell r="E2242" t="str">
            <v>V9MPB-321PN</v>
          </cell>
          <cell r="F2242" t="str">
            <v>台</v>
          </cell>
          <cell r="H2242">
            <v>14700</v>
          </cell>
          <cell r="J2242">
            <v>14700</v>
          </cell>
          <cell r="L2242">
            <v>14700</v>
          </cell>
          <cell r="N2242">
            <v>14700</v>
          </cell>
          <cell r="P2242">
            <v>14700</v>
          </cell>
          <cell r="R2242">
            <v>14700</v>
          </cell>
          <cell r="T2242">
            <v>14700</v>
          </cell>
          <cell r="V2242">
            <v>14700</v>
          </cell>
          <cell r="X2242">
            <v>14700</v>
          </cell>
          <cell r="Z2242">
            <v>14700</v>
          </cell>
          <cell r="AD2242">
            <v>0.20899999999999999</v>
          </cell>
          <cell r="AG2242">
            <v>4950</v>
          </cell>
          <cell r="AH2242">
            <v>48</v>
          </cell>
          <cell r="AI2242">
            <v>0.97899999999999998</v>
          </cell>
          <cell r="AJ2242">
            <v>1</v>
          </cell>
          <cell r="AK2242">
            <v>49.02</v>
          </cell>
        </row>
        <row r="2243">
          <cell r="E2243" t="str">
            <v>V9MPB-321PH</v>
          </cell>
          <cell r="F2243" t="str">
            <v>台</v>
          </cell>
          <cell r="H2243">
            <v>17100</v>
          </cell>
          <cell r="J2243">
            <v>17100</v>
          </cell>
          <cell r="L2243">
            <v>17100</v>
          </cell>
          <cell r="N2243">
            <v>17100</v>
          </cell>
          <cell r="P2243">
            <v>17100</v>
          </cell>
          <cell r="R2243">
            <v>17100</v>
          </cell>
          <cell r="T2243">
            <v>17100</v>
          </cell>
          <cell r="V2243">
            <v>17100</v>
          </cell>
          <cell r="X2243">
            <v>17100</v>
          </cell>
          <cell r="Z2243">
            <v>17100</v>
          </cell>
          <cell r="AD2243">
            <v>0.20899999999999999</v>
          </cell>
          <cell r="AG2243">
            <v>4950</v>
          </cell>
          <cell r="AH2243">
            <v>48</v>
          </cell>
          <cell r="AI2243">
            <v>0.97899999999999998</v>
          </cell>
          <cell r="AJ2243">
            <v>1</v>
          </cell>
          <cell r="AK2243">
            <v>49.02</v>
          </cell>
        </row>
        <row r="2244">
          <cell r="E2244" t="str">
            <v>V9MPB-322PN</v>
          </cell>
          <cell r="F2244" t="str">
            <v>台</v>
          </cell>
          <cell r="H2244">
            <v>18500</v>
          </cell>
          <cell r="J2244">
            <v>18500</v>
          </cell>
          <cell r="L2244">
            <v>18500</v>
          </cell>
          <cell r="N2244">
            <v>18500</v>
          </cell>
          <cell r="P2244">
            <v>18500</v>
          </cell>
          <cell r="R2244">
            <v>18500</v>
          </cell>
          <cell r="T2244">
            <v>18500</v>
          </cell>
          <cell r="V2244">
            <v>18500</v>
          </cell>
          <cell r="X2244">
            <v>18500</v>
          </cell>
          <cell r="Z2244">
            <v>18500</v>
          </cell>
          <cell r="AD2244">
            <v>0.26100000000000001</v>
          </cell>
          <cell r="AG2244">
            <v>9900</v>
          </cell>
          <cell r="AH2244">
            <v>96</v>
          </cell>
          <cell r="AI2244">
            <v>0.98899999999999999</v>
          </cell>
          <cell r="AJ2244">
            <v>1</v>
          </cell>
          <cell r="AK2244">
            <v>97.06</v>
          </cell>
        </row>
        <row r="2245">
          <cell r="E2245" t="str">
            <v>V9MPB-322PH</v>
          </cell>
          <cell r="F2245" t="str">
            <v>台</v>
          </cell>
          <cell r="H2245">
            <v>21600</v>
          </cell>
          <cell r="J2245">
            <v>21600</v>
          </cell>
          <cell r="L2245">
            <v>21600</v>
          </cell>
          <cell r="N2245">
            <v>21600</v>
          </cell>
          <cell r="P2245">
            <v>21600</v>
          </cell>
          <cell r="R2245">
            <v>21600</v>
          </cell>
          <cell r="T2245">
            <v>21600</v>
          </cell>
          <cell r="V2245">
            <v>21600</v>
          </cell>
          <cell r="X2245">
            <v>21600</v>
          </cell>
          <cell r="Z2245">
            <v>21600</v>
          </cell>
          <cell r="AD2245">
            <v>0.26100000000000001</v>
          </cell>
          <cell r="AG2245">
            <v>9900</v>
          </cell>
          <cell r="AH2245">
            <v>96</v>
          </cell>
          <cell r="AI2245">
            <v>0.98899999999999999</v>
          </cell>
          <cell r="AJ2245">
            <v>1</v>
          </cell>
          <cell r="AK2245">
            <v>97.06</v>
          </cell>
        </row>
        <row r="2246">
          <cell r="E2246" t="str">
            <v>■Ｈｆトラフ</v>
          </cell>
        </row>
        <row r="2247">
          <cell r="E2247" t="str">
            <v>T10-321PH</v>
          </cell>
          <cell r="F2247" t="str">
            <v>台</v>
          </cell>
          <cell r="H2247">
            <v>6220</v>
          </cell>
          <cell r="J2247">
            <v>6220</v>
          </cell>
          <cell r="L2247">
            <v>6220</v>
          </cell>
          <cell r="N2247">
            <v>6220</v>
          </cell>
          <cell r="P2247">
            <v>6220</v>
          </cell>
          <cell r="R2247">
            <v>6220</v>
          </cell>
          <cell r="T2247">
            <v>6220</v>
          </cell>
          <cell r="V2247">
            <v>6220</v>
          </cell>
          <cell r="X2247">
            <v>6220</v>
          </cell>
          <cell r="Z2247">
            <v>6220</v>
          </cell>
          <cell r="AD2247">
            <v>0.20899999999999999</v>
          </cell>
          <cell r="AG2247">
            <v>4950</v>
          </cell>
          <cell r="AH2247">
            <v>48</v>
          </cell>
          <cell r="AI2247">
            <v>0.97899999999999998</v>
          </cell>
          <cell r="AJ2247">
            <v>1</v>
          </cell>
          <cell r="AK2247">
            <v>49.02</v>
          </cell>
        </row>
        <row r="2248">
          <cell r="E2248" t="str">
            <v>T10-321PZ</v>
          </cell>
          <cell r="F2248" t="str">
            <v>台</v>
          </cell>
          <cell r="H2248">
            <v>10700</v>
          </cell>
          <cell r="J2248">
            <v>10700</v>
          </cell>
          <cell r="L2248">
            <v>10700</v>
          </cell>
          <cell r="N2248">
            <v>10700</v>
          </cell>
          <cell r="P2248">
            <v>10700</v>
          </cell>
          <cell r="R2248">
            <v>10700</v>
          </cell>
          <cell r="T2248">
            <v>10700</v>
          </cell>
          <cell r="V2248">
            <v>10700</v>
          </cell>
          <cell r="X2248">
            <v>10700</v>
          </cell>
          <cell r="Z2248">
            <v>10700</v>
          </cell>
          <cell r="AD2248">
            <v>0.20899999999999999</v>
          </cell>
          <cell r="AG2248">
            <v>4950</v>
          </cell>
          <cell r="AH2248">
            <v>48</v>
          </cell>
          <cell r="AI2248">
            <v>0.97899999999999998</v>
          </cell>
          <cell r="AJ2248">
            <v>1</v>
          </cell>
          <cell r="AK2248">
            <v>49.02</v>
          </cell>
        </row>
        <row r="2284">
          <cell r="E2284" t="str">
            <v>■Ｈｆ開放埋込形</v>
          </cell>
        </row>
        <row r="2285">
          <cell r="E2285" t="str">
            <v>A26-322PH+40eB</v>
          </cell>
          <cell r="F2285" t="str">
            <v>台</v>
          </cell>
          <cell r="H2285">
            <v>9180</v>
          </cell>
          <cell r="J2285">
            <v>9180</v>
          </cell>
          <cell r="L2285">
            <v>9180</v>
          </cell>
          <cell r="N2285">
            <v>9180</v>
          </cell>
          <cell r="P2285">
            <v>9180</v>
          </cell>
          <cell r="R2285">
            <v>9180</v>
          </cell>
          <cell r="T2285">
            <v>9180</v>
          </cell>
          <cell r="V2285">
            <v>9180</v>
          </cell>
          <cell r="X2285">
            <v>9180</v>
          </cell>
          <cell r="Z2285">
            <v>9180</v>
          </cell>
          <cell r="AD2285">
            <v>0.48799999999999999</v>
          </cell>
          <cell r="AG2285">
            <v>4950</v>
          </cell>
          <cell r="AH2285">
            <v>48</v>
          </cell>
          <cell r="AI2285">
            <v>0.97899999999999998</v>
          </cell>
          <cell r="AJ2285">
            <v>1</v>
          </cell>
          <cell r="AK2285">
            <v>49.02</v>
          </cell>
        </row>
        <row r="2286">
          <cell r="E2286" t="str">
            <v>■Ｈｆルーバー直付形</v>
          </cell>
        </row>
        <row r="2287">
          <cell r="E2287" t="str">
            <v>Ds1-322PH+40eB</v>
          </cell>
          <cell r="F2287" t="str">
            <v>台</v>
          </cell>
          <cell r="H2287">
            <v>10700</v>
          </cell>
          <cell r="J2287">
            <v>10700</v>
          </cell>
          <cell r="L2287">
            <v>10700</v>
          </cell>
          <cell r="N2287">
            <v>10700</v>
          </cell>
          <cell r="P2287">
            <v>10700</v>
          </cell>
          <cell r="R2287">
            <v>10700</v>
          </cell>
          <cell r="T2287">
            <v>10700</v>
          </cell>
          <cell r="V2287">
            <v>10700</v>
          </cell>
          <cell r="X2287">
            <v>10700</v>
          </cell>
          <cell r="Z2287">
            <v>10700</v>
          </cell>
          <cell r="AD2287">
            <v>0.32600000000000001</v>
          </cell>
          <cell r="AG2287">
            <v>9900</v>
          </cell>
          <cell r="AH2287">
            <v>96</v>
          </cell>
          <cell r="AI2287">
            <v>0.98899999999999999</v>
          </cell>
          <cell r="AJ2287">
            <v>1</v>
          </cell>
          <cell r="AK2287">
            <v>97.06</v>
          </cell>
        </row>
        <row r="2288">
          <cell r="E2288" t="str">
            <v>■Ｈｆ開放直付形</v>
          </cell>
        </row>
        <row r="2289">
          <cell r="E2289" t="str">
            <v>As6-322PN+40eB</v>
          </cell>
          <cell r="F2289" t="str">
            <v>台</v>
          </cell>
          <cell r="H2289">
            <v>7950</v>
          </cell>
          <cell r="J2289">
            <v>7950</v>
          </cell>
          <cell r="L2289">
            <v>7950</v>
          </cell>
          <cell r="N2289">
            <v>7950</v>
          </cell>
          <cell r="P2289">
            <v>7950</v>
          </cell>
          <cell r="R2289">
            <v>7950</v>
          </cell>
          <cell r="T2289">
            <v>7950</v>
          </cell>
          <cell r="V2289">
            <v>7950</v>
          </cell>
          <cell r="X2289">
            <v>7950</v>
          </cell>
          <cell r="Z2289">
            <v>7950</v>
          </cell>
          <cell r="AD2289">
            <v>0.32600000000000001</v>
          </cell>
          <cell r="AG2289">
            <v>9900</v>
          </cell>
          <cell r="AH2289">
            <v>96</v>
          </cell>
          <cell r="AI2289">
            <v>0.98899999999999999</v>
          </cell>
          <cell r="AJ2289">
            <v>1</v>
          </cell>
          <cell r="AK2289">
            <v>97.06</v>
          </cell>
        </row>
        <row r="2290">
          <cell r="E2290" t="str">
            <v>As6-322PH+40eB</v>
          </cell>
          <cell r="F2290" t="str">
            <v>台</v>
          </cell>
          <cell r="H2290">
            <v>9350</v>
          </cell>
          <cell r="J2290">
            <v>9350</v>
          </cell>
          <cell r="L2290">
            <v>9350</v>
          </cell>
          <cell r="N2290">
            <v>9350</v>
          </cell>
          <cell r="P2290">
            <v>9350</v>
          </cell>
          <cell r="R2290">
            <v>9350</v>
          </cell>
          <cell r="T2290">
            <v>9350</v>
          </cell>
          <cell r="V2290">
            <v>9350</v>
          </cell>
          <cell r="X2290">
            <v>9350</v>
          </cell>
          <cell r="Z2290">
            <v>9350</v>
          </cell>
          <cell r="AD2290">
            <v>0.32600000000000001</v>
          </cell>
          <cell r="AG2290">
            <v>9900</v>
          </cell>
          <cell r="AH2290">
            <v>96</v>
          </cell>
          <cell r="AI2290">
            <v>0.98899999999999999</v>
          </cell>
          <cell r="AJ2290">
            <v>1</v>
          </cell>
          <cell r="AK2290">
            <v>97.06</v>
          </cell>
        </row>
        <row r="2291">
          <cell r="E2291" t="str">
            <v>■Ｈｆ逆富士</v>
          </cell>
        </row>
        <row r="2292">
          <cell r="E2292" t="str">
            <v>V9-322PN+40eB</v>
          </cell>
          <cell r="F2292" t="str">
            <v>台</v>
          </cell>
          <cell r="H2292">
            <v>6830</v>
          </cell>
          <cell r="J2292">
            <v>6830</v>
          </cell>
          <cell r="L2292">
            <v>6830</v>
          </cell>
          <cell r="N2292">
            <v>6830</v>
          </cell>
          <cell r="P2292">
            <v>6830</v>
          </cell>
          <cell r="R2292">
            <v>6830</v>
          </cell>
          <cell r="T2292">
            <v>6830</v>
          </cell>
          <cell r="V2292">
            <v>6830</v>
          </cell>
          <cell r="X2292">
            <v>6830</v>
          </cell>
          <cell r="Z2292">
            <v>6830</v>
          </cell>
          <cell r="AD2292">
            <v>0.32600000000000001</v>
          </cell>
          <cell r="AG2292">
            <v>9900</v>
          </cell>
          <cell r="AH2292">
            <v>96</v>
          </cell>
          <cell r="AI2292">
            <v>0.98899999999999999</v>
          </cell>
          <cell r="AJ2292">
            <v>1</v>
          </cell>
          <cell r="AK2292">
            <v>97.06</v>
          </cell>
        </row>
        <row r="2293">
          <cell r="E2293" t="str">
            <v>V9-322PH+40eB</v>
          </cell>
          <cell r="F2293" t="str">
            <v>台</v>
          </cell>
          <cell r="H2293">
            <v>8090</v>
          </cell>
          <cell r="J2293">
            <v>8090</v>
          </cell>
          <cell r="L2293">
            <v>8090</v>
          </cell>
          <cell r="N2293">
            <v>8090</v>
          </cell>
          <cell r="P2293">
            <v>8090</v>
          </cell>
          <cell r="R2293">
            <v>8090</v>
          </cell>
          <cell r="T2293">
            <v>8090</v>
          </cell>
          <cell r="V2293">
            <v>8090</v>
          </cell>
          <cell r="X2293">
            <v>8090</v>
          </cell>
          <cell r="Z2293">
            <v>8090</v>
          </cell>
          <cell r="AD2293">
            <v>0.32600000000000001</v>
          </cell>
          <cell r="AG2293">
            <v>9900</v>
          </cell>
          <cell r="AH2293">
            <v>96</v>
          </cell>
          <cell r="AI2293">
            <v>0.98899999999999999</v>
          </cell>
          <cell r="AJ2293">
            <v>1</v>
          </cell>
          <cell r="AK2293">
            <v>97.06</v>
          </cell>
        </row>
        <row r="2294">
          <cell r="E2294" t="str">
            <v>■ダウンライト</v>
          </cell>
        </row>
        <row r="2295">
          <cell r="E2295" t="str">
            <v>d5-40eB</v>
          </cell>
          <cell r="F2295" t="str">
            <v>台</v>
          </cell>
          <cell r="H2295">
            <v>1370</v>
          </cell>
          <cell r="J2295">
            <v>1370</v>
          </cell>
          <cell r="L2295">
            <v>1370</v>
          </cell>
          <cell r="N2295">
            <v>1370</v>
          </cell>
          <cell r="P2295">
            <v>1370</v>
          </cell>
          <cell r="R2295">
            <v>1370</v>
          </cell>
          <cell r="T2295">
            <v>1370</v>
          </cell>
          <cell r="V2295">
            <v>1370</v>
          </cell>
          <cell r="X2295">
            <v>1370</v>
          </cell>
          <cell r="Z2295">
            <v>1370</v>
          </cell>
          <cell r="AD2295">
            <v>0.20899999999999999</v>
          </cell>
        </row>
        <row r="2296">
          <cell r="E2296" t="str">
            <v>■Ｈｆウォールライト</v>
          </cell>
        </row>
        <row r="2297">
          <cell r="E2297" t="str">
            <v>B15-321PHe</v>
          </cell>
          <cell r="F2297" t="str">
            <v>台</v>
          </cell>
          <cell r="H2297">
            <v>35400</v>
          </cell>
          <cell r="J2297">
            <v>35400</v>
          </cell>
          <cell r="L2297">
            <v>35400</v>
          </cell>
          <cell r="N2297">
            <v>35400</v>
          </cell>
          <cell r="P2297">
            <v>35400</v>
          </cell>
          <cell r="R2297">
            <v>35400</v>
          </cell>
          <cell r="T2297">
            <v>35400</v>
          </cell>
          <cell r="V2297">
            <v>35400</v>
          </cell>
          <cell r="X2297">
            <v>35400</v>
          </cell>
          <cell r="Z2297">
            <v>35400</v>
          </cell>
          <cell r="AD2297">
            <v>0.26100000000000001</v>
          </cell>
          <cell r="AG2297">
            <v>4950</v>
          </cell>
          <cell r="AH2297">
            <v>48</v>
          </cell>
          <cell r="AI2297">
            <v>0.97899999999999998</v>
          </cell>
          <cell r="AJ2297">
            <v>1</v>
          </cell>
          <cell r="AK2297">
            <v>49.02</v>
          </cell>
        </row>
        <row r="2298">
          <cell r="E2298" t="str">
            <v>■Ｈｆルーバ埋込形</v>
          </cell>
        </row>
        <row r="2299">
          <cell r="E2299" t="str">
            <v>D9-321PNe</v>
          </cell>
          <cell r="F2299" t="str">
            <v>台</v>
          </cell>
          <cell r="H2299">
            <v>30600</v>
          </cell>
          <cell r="J2299">
            <v>30600</v>
          </cell>
          <cell r="L2299">
            <v>30600</v>
          </cell>
          <cell r="N2299">
            <v>30600</v>
          </cell>
          <cell r="P2299">
            <v>30600</v>
          </cell>
          <cell r="R2299">
            <v>30600</v>
          </cell>
          <cell r="T2299">
            <v>30600</v>
          </cell>
          <cell r="V2299">
            <v>30600</v>
          </cell>
          <cell r="X2299">
            <v>30600</v>
          </cell>
          <cell r="Z2299">
            <v>30600</v>
          </cell>
          <cell r="AD2299">
            <v>0.39100000000000001</v>
          </cell>
          <cell r="AG2299">
            <v>4950</v>
          </cell>
          <cell r="AH2299">
            <v>48</v>
          </cell>
          <cell r="AI2299">
            <v>0.97899999999999998</v>
          </cell>
          <cell r="AJ2299">
            <v>1</v>
          </cell>
          <cell r="AK2299">
            <v>49.02</v>
          </cell>
        </row>
        <row r="2300">
          <cell r="E2300" t="str">
            <v>D9-321PHe</v>
          </cell>
          <cell r="F2300" t="str">
            <v>台</v>
          </cell>
          <cell r="H2300">
            <v>32600</v>
          </cell>
          <cell r="J2300">
            <v>32600</v>
          </cell>
          <cell r="L2300">
            <v>32600</v>
          </cell>
          <cell r="N2300">
            <v>32600</v>
          </cell>
          <cell r="P2300">
            <v>32600</v>
          </cell>
          <cell r="R2300">
            <v>32600</v>
          </cell>
          <cell r="T2300">
            <v>32600</v>
          </cell>
          <cell r="V2300">
            <v>32600</v>
          </cell>
          <cell r="X2300">
            <v>32600</v>
          </cell>
          <cell r="Z2300">
            <v>32600</v>
          </cell>
          <cell r="AD2300">
            <v>0.39100000000000001</v>
          </cell>
          <cell r="AG2300">
            <v>4950</v>
          </cell>
          <cell r="AH2300">
            <v>48</v>
          </cell>
          <cell r="AI2300">
            <v>0.97899999999999998</v>
          </cell>
          <cell r="AJ2300">
            <v>1</v>
          </cell>
          <cell r="AK2300">
            <v>49.02</v>
          </cell>
        </row>
        <row r="2301">
          <cell r="E2301" t="str">
            <v>D10-322PNe</v>
          </cell>
          <cell r="F2301" t="str">
            <v>台</v>
          </cell>
          <cell r="H2301">
            <v>30600</v>
          </cell>
          <cell r="J2301">
            <v>30600</v>
          </cell>
          <cell r="L2301">
            <v>30600</v>
          </cell>
          <cell r="N2301">
            <v>30600</v>
          </cell>
          <cell r="P2301">
            <v>30600</v>
          </cell>
          <cell r="R2301">
            <v>30600</v>
          </cell>
          <cell r="T2301">
            <v>30600</v>
          </cell>
          <cell r="V2301">
            <v>30600</v>
          </cell>
          <cell r="X2301">
            <v>30600</v>
          </cell>
          <cell r="Z2301">
            <v>30600</v>
          </cell>
          <cell r="AD2301">
            <v>0.48799999999999999</v>
          </cell>
          <cell r="AG2301">
            <v>9900</v>
          </cell>
          <cell r="AH2301">
            <v>96</v>
          </cell>
          <cell r="AI2301">
            <v>0.98899999999999999</v>
          </cell>
          <cell r="AJ2301">
            <v>1</v>
          </cell>
          <cell r="AK2301">
            <v>97.06</v>
          </cell>
        </row>
        <row r="2302">
          <cell r="E2302" t="str">
            <v>D10-322PHe</v>
          </cell>
          <cell r="F2302" t="str">
            <v>台</v>
          </cell>
          <cell r="H2302">
            <v>31200</v>
          </cell>
          <cell r="J2302">
            <v>31200</v>
          </cell>
          <cell r="L2302">
            <v>31200</v>
          </cell>
          <cell r="N2302">
            <v>31200</v>
          </cell>
          <cell r="P2302">
            <v>31200</v>
          </cell>
          <cell r="R2302">
            <v>31200</v>
          </cell>
          <cell r="T2302">
            <v>31200</v>
          </cell>
          <cell r="V2302">
            <v>31200</v>
          </cell>
          <cell r="X2302">
            <v>31200</v>
          </cell>
          <cell r="Z2302">
            <v>31200</v>
          </cell>
          <cell r="AD2302">
            <v>0.48799999999999999</v>
          </cell>
          <cell r="AG2302">
            <v>9900</v>
          </cell>
          <cell r="AH2302">
            <v>96</v>
          </cell>
          <cell r="AI2302">
            <v>0.98899999999999999</v>
          </cell>
          <cell r="AJ2302">
            <v>1</v>
          </cell>
          <cell r="AK2302">
            <v>97.06</v>
          </cell>
        </row>
        <row r="2303">
          <cell r="E2303" t="str">
            <v>■Ｈｆ開放埋込形</v>
          </cell>
        </row>
        <row r="2304">
          <cell r="E2304" t="str">
            <v>A15-321PNe</v>
          </cell>
          <cell r="F2304" t="str">
            <v>台</v>
          </cell>
          <cell r="H2304">
            <v>27900</v>
          </cell>
          <cell r="J2304">
            <v>27900</v>
          </cell>
          <cell r="L2304">
            <v>27900</v>
          </cell>
          <cell r="N2304">
            <v>27900</v>
          </cell>
          <cell r="P2304">
            <v>27900</v>
          </cell>
          <cell r="R2304">
            <v>27900</v>
          </cell>
          <cell r="T2304">
            <v>27900</v>
          </cell>
          <cell r="V2304">
            <v>27900</v>
          </cell>
          <cell r="X2304">
            <v>27900</v>
          </cell>
          <cell r="Z2304">
            <v>27900</v>
          </cell>
          <cell r="AD2304">
            <v>0.39100000000000001</v>
          </cell>
          <cell r="AG2304">
            <v>4950</v>
          </cell>
          <cell r="AH2304">
            <v>48</v>
          </cell>
          <cell r="AI2304">
            <v>0.97899999999999998</v>
          </cell>
          <cell r="AJ2304">
            <v>1</v>
          </cell>
          <cell r="AK2304">
            <v>49.02</v>
          </cell>
        </row>
        <row r="2305">
          <cell r="E2305" t="str">
            <v>A15-321PHe</v>
          </cell>
          <cell r="F2305" t="str">
            <v>台</v>
          </cell>
          <cell r="H2305">
            <v>29900</v>
          </cell>
          <cell r="J2305">
            <v>29900</v>
          </cell>
          <cell r="L2305">
            <v>29900</v>
          </cell>
          <cell r="N2305">
            <v>29900</v>
          </cell>
          <cell r="P2305">
            <v>29900</v>
          </cell>
          <cell r="R2305">
            <v>29900</v>
          </cell>
          <cell r="T2305">
            <v>29900</v>
          </cell>
          <cell r="V2305">
            <v>29900</v>
          </cell>
          <cell r="X2305">
            <v>29900</v>
          </cell>
          <cell r="Z2305">
            <v>29900</v>
          </cell>
          <cell r="AD2305">
            <v>0.39100000000000001</v>
          </cell>
          <cell r="AG2305">
            <v>4950</v>
          </cell>
          <cell r="AH2305">
            <v>48</v>
          </cell>
          <cell r="AI2305">
            <v>0.97899999999999998</v>
          </cell>
          <cell r="AJ2305">
            <v>1</v>
          </cell>
          <cell r="AK2305">
            <v>49.02</v>
          </cell>
        </row>
        <row r="2306">
          <cell r="E2306" t="str">
            <v>A15-322PNe</v>
          </cell>
          <cell r="F2306" t="str">
            <v>台</v>
          </cell>
          <cell r="H2306">
            <v>29300</v>
          </cell>
          <cell r="J2306">
            <v>29300</v>
          </cell>
          <cell r="L2306">
            <v>29300</v>
          </cell>
          <cell r="N2306">
            <v>29300</v>
          </cell>
          <cell r="P2306">
            <v>29300</v>
          </cell>
          <cell r="R2306">
            <v>29300</v>
          </cell>
          <cell r="T2306">
            <v>29300</v>
          </cell>
          <cell r="V2306">
            <v>29300</v>
          </cell>
          <cell r="X2306">
            <v>29300</v>
          </cell>
          <cell r="Z2306">
            <v>29300</v>
          </cell>
          <cell r="AD2306">
            <v>0.48799999999999999</v>
          </cell>
          <cell r="AG2306">
            <v>9900</v>
          </cell>
          <cell r="AH2306">
            <v>96</v>
          </cell>
          <cell r="AI2306">
            <v>0.98899999999999999</v>
          </cell>
          <cell r="AJ2306">
            <v>1</v>
          </cell>
          <cell r="AK2306">
            <v>97.06</v>
          </cell>
        </row>
        <row r="2307">
          <cell r="E2307" t="str">
            <v>A15-322PHe</v>
          </cell>
          <cell r="F2307" t="str">
            <v>台</v>
          </cell>
          <cell r="H2307">
            <v>30700</v>
          </cell>
          <cell r="J2307">
            <v>30700</v>
          </cell>
          <cell r="L2307">
            <v>30700</v>
          </cell>
          <cell r="N2307">
            <v>30700</v>
          </cell>
          <cell r="P2307">
            <v>30700</v>
          </cell>
          <cell r="R2307">
            <v>30700</v>
          </cell>
          <cell r="T2307">
            <v>30700</v>
          </cell>
          <cell r="V2307">
            <v>30700</v>
          </cell>
          <cell r="X2307">
            <v>30700</v>
          </cell>
          <cell r="Z2307">
            <v>30700</v>
          </cell>
          <cell r="AD2307">
            <v>0.48799999999999999</v>
          </cell>
          <cell r="AG2307">
            <v>9900</v>
          </cell>
          <cell r="AH2307">
            <v>96</v>
          </cell>
          <cell r="AI2307">
            <v>0.98899999999999999</v>
          </cell>
          <cell r="AJ2307">
            <v>1</v>
          </cell>
          <cell r="AK2307">
            <v>97.06</v>
          </cell>
        </row>
        <row r="2308">
          <cell r="E2308" t="str">
            <v>A15-322PXe</v>
          </cell>
          <cell r="F2308" t="str">
            <v>台</v>
          </cell>
          <cell r="H2308">
            <v>31700</v>
          </cell>
          <cell r="J2308">
            <v>31700</v>
          </cell>
          <cell r="L2308">
            <v>31700</v>
          </cell>
          <cell r="N2308">
            <v>31700</v>
          </cell>
          <cell r="P2308">
            <v>31700</v>
          </cell>
          <cell r="R2308">
            <v>31700</v>
          </cell>
          <cell r="T2308">
            <v>31700</v>
          </cell>
          <cell r="V2308">
            <v>31700</v>
          </cell>
          <cell r="X2308">
            <v>31700</v>
          </cell>
          <cell r="Z2308">
            <v>31700</v>
          </cell>
          <cell r="AD2308">
            <v>0.48799999999999999</v>
          </cell>
          <cell r="AG2308">
            <v>9900</v>
          </cell>
          <cell r="AH2308">
            <v>96</v>
          </cell>
          <cell r="AI2308">
            <v>0.98899999999999999</v>
          </cell>
          <cell r="AJ2308">
            <v>1</v>
          </cell>
          <cell r="AK2308">
            <v>97.06</v>
          </cell>
        </row>
        <row r="2309">
          <cell r="E2309" t="str">
            <v>A15-322PKe</v>
          </cell>
          <cell r="F2309" t="str">
            <v>台</v>
          </cell>
          <cell r="H2309">
            <v>31700</v>
          </cell>
          <cell r="J2309">
            <v>31700</v>
          </cell>
          <cell r="L2309">
            <v>31700</v>
          </cell>
          <cell r="N2309">
            <v>31700</v>
          </cell>
          <cell r="P2309">
            <v>31700</v>
          </cell>
          <cell r="R2309">
            <v>31700</v>
          </cell>
          <cell r="T2309">
            <v>31700</v>
          </cell>
          <cell r="V2309">
            <v>31700</v>
          </cell>
          <cell r="X2309">
            <v>31700</v>
          </cell>
          <cell r="Z2309">
            <v>31700</v>
          </cell>
          <cell r="AD2309">
            <v>0.48799999999999999</v>
          </cell>
          <cell r="AG2309">
            <v>9900</v>
          </cell>
          <cell r="AH2309">
            <v>96</v>
          </cell>
          <cell r="AI2309">
            <v>0.98899999999999999</v>
          </cell>
          <cell r="AJ2309">
            <v>1</v>
          </cell>
          <cell r="AK2309">
            <v>97.06</v>
          </cell>
        </row>
        <row r="2310">
          <cell r="E2310" t="str">
            <v>■Ｈｆルーバー埋込形</v>
          </cell>
        </row>
        <row r="2311">
          <cell r="E2311" t="str">
            <v>D15-321PNe</v>
          </cell>
          <cell r="F2311" t="str">
            <v>台</v>
          </cell>
          <cell r="H2311">
            <v>34500</v>
          </cell>
          <cell r="J2311">
            <v>34500</v>
          </cell>
          <cell r="L2311">
            <v>34500</v>
          </cell>
          <cell r="N2311">
            <v>34500</v>
          </cell>
          <cell r="P2311">
            <v>34500</v>
          </cell>
          <cell r="R2311">
            <v>34500</v>
          </cell>
          <cell r="T2311">
            <v>34500</v>
          </cell>
          <cell r="V2311">
            <v>34500</v>
          </cell>
          <cell r="X2311">
            <v>34500</v>
          </cell>
          <cell r="Z2311">
            <v>34500</v>
          </cell>
          <cell r="AD2311">
            <v>0.39100000000000001</v>
          </cell>
          <cell r="AG2311">
            <v>4950</v>
          </cell>
          <cell r="AH2311">
            <v>48</v>
          </cell>
          <cell r="AI2311">
            <v>0.97899999999999998</v>
          </cell>
          <cell r="AJ2311">
            <v>1</v>
          </cell>
          <cell r="AK2311">
            <v>49.02</v>
          </cell>
        </row>
        <row r="2312">
          <cell r="E2312" t="str">
            <v>D15-321PHe</v>
          </cell>
          <cell r="F2312" t="str">
            <v>台</v>
          </cell>
          <cell r="H2312">
            <v>36600</v>
          </cell>
          <cell r="J2312">
            <v>36600</v>
          </cell>
          <cell r="L2312">
            <v>36600</v>
          </cell>
          <cell r="N2312">
            <v>36600</v>
          </cell>
          <cell r="P2312">
            <v>36600</v>
          </cell>
          <cell r="R2312">
            <v>36600</v>
          </cell>
          <cell r="T2312">
            <v>36600</v>
          </cell>
          <cell r="V2312">
            <v>36600</v>
          </cell>
          <cell r="X2312">
            <v>36600</v>
          </cell>
          <cell r="Z2312">
            <v>36600</v>
          </cell>
          <cell r="AD2312">
            <v>0.39100000000000001</v>
          </cell>
          <cell r="AG2312">
            <v>4950</v>
          </cell>
          <cell r="AH2312">
            <v>48</v>
          </cell>
          <cell r="AI2312">
            <v>0.97899999999999998</v>
          </cell>
          <cell r="AJ2312">
            <v>1</v>
          </cell>
          <cell r="AK2312">
            <v>49.02</v>
          </cell>
        </row>
        <row r="2313">
          <cell r="E2313" t="str">
            <v>D15-322PNe</v>
          </cell>
          <cell r="F2313" t="str">
            <v>台</v>
          </cell>
          <cell r="H2313">
            <v>37100</v>
          </cell>
          <cell r="J2313">
            <v>37100</v>
          </cell>
          <cell r="L2313">
            <v>37100</v>
          </cell>
          <cell r="N2313">
            <v>37100</v>
          </cell>
          <cell r="P2313">
            <v>37100</v>
          </cell>
          <cell r="R2313">
            <v>37100</v>
          </cell>
          <cell r="T2313">
            <v>37100</v>
          </cell>
          <cell r="V2313">
            <v>37100</v>
          </cell>
          <cell r="X2313">
            <v>37100</v>
          </cell>
          <cell r="Z2313">
            <v>37100</v>
          </cell>
          <cell r="AD2313">
            <v>0.48799999999999999</v>
          </cell>
          <cell r="AG2313">
            <v>9900</v>
          </cell>
          <cell r="AH2313">
            <v>96</v>
          </cell>
          <cell r="AI2313">
            <v>0.98899999999999999</v>
          </cell>
          <cell r="AJ2313">
            <v>1</v>
          </cell>
          <cell r="AK2313">
            <v>97.06</v>
          </cell>
        </row>
        <row r="2314">
          <cell r="E2314" t="str">
            <v>D15-322PHe</v>
          </cell>
          <cell r="F2314" t="str">
            <v>台</v>
          </cell>
          <cell r="H2314">
            <v>38500</v>
          </cell>
          <cell r="J2314">
            <v>38500</v>
          </cell>
          <cell r="L2314">
            <v>38500</v>
          </cell>
          <cell r="N2314">
            <v>38500</v>
          </cell>
          <cell r="P2314">
            <v>38500</v>
          </cell>
          <cell r="R2314">
            <v>38500</v>
          </cell>
          <cell r="T2314">
            <v>38500</v>
          </cell>
          <cell r="V2314">
            <v>38500</v>
          </cell>
          <cell r="X2314">
            <v>38500</v>
          </cell>
          <cell r="Z2314">
            <v>38500</v>
          </cell>
          <cell r="AD2314">
            <v>0.48799999999999999</v>
          </cell>
          <cell r="AG2314">
            <v>9900</v>
          </cell>
          <cell r="AH2314">
            <v>96</v>
          </cell>
          <cell r="AI2314">
            <v>0.98899999999999999</v>
          </cell>
          <cell r="AJ2314">
            <v>1</v>
          </cell>
          <cell r="AK2314">
            <v>97.06</v>
          </cell>
        </row>
        <row r="2315">
          <cell r="E2315" t="str">
            <v>D15-322PKe</v>
          </cell>
          <cell r="F2315" t="str">
            <v>台</v>
          </cell>
          <cell r="H2315">
            <v>39600</v>
          </cell>
          <cell r="J2315">
            <v>39600</v>
          </cell>
          <cell r="L2315">
            <v>39600</v>
          </cell>
          <cell r="N2315">
            <v>39600</v>
          </cell>
          <cell r="P2315">
            <v>39600</v>
          </cell>
          <cell r="R2315">
            <v>39600</v>
          </cell>
          <cell r="T2315">
            <v>39600</v>
          </cell>
          <cell r="V2315">
            <v>39600</v>
          </cell>
          <cell r="X2315">
            <v>39600</v>
          </cell>
          <cell r="Z2315">
            <v>39600</v>
          </cell>
          <cell r="AD2315">
            <v>0.48799999999999999</v>
          </cell>
          <cell r="AG2315">
            <v>9900</v>
          </cell>
          <cell r="AH2315">
            <v>96</v>
          </cell>
          <cell r="AI2315">
            <v>0.98899999999999999</v>
          </cell>
          <cell r="AJ2315">
            <v>1</v>
          </cell>
          <cell r="AK2315">
            <v>97.06</v>
          </cell>
        </row>
        <row r="2316">
          <cell r="E2316" t="str">
            <v>D15V-321PNe</v>
          </cell>
          <cell r="F2316" t="str">
            <v>台</v>
          </cell>
          <cell r="H2316">
            <v>34500</v>
          </cell>
          <cell r="J2316">
            <v>34500</v>
          </cell>
          <cell r="L2316">
            <v>34500</v>
          </cell>
          <cell r="N2316">
            <v>34500</v>
          </cell>
          <cell r="P2316">
            <v>34500</v>
          </cell>
          <cell r="R2316">
            <v>34500</v>
          </cell>
          <cell r="T2316">
            <v>34500</v>
          </cell>
          <cell r="V2316">
            <v>34500</v>
          </cell>
          <cell r="X2316">
            <v>34500</v>
          </cell>
          <cell r="Z2316">
            <v>34500</v>
          </cell>
          <cell r="AD2316">
            <v>0.39100000000000001</v>
          </cell>
          <cell r="AG2316">
            <v>4950</v>
          </cell>
          <cell r="AH2316">
            <v>48</v>
          </cell>
          <cell r="AI2316">
            <v>0.97899999999999998</v>
          </cell>
          <cell r="AJ2316">
            <v>1</v>
          </cell>
          <cell r="AK2316">
            <v>49.02</v>
          </cell>
        </row>
        <row r="2317">
          <cell r="E2317" t="str">
            <v>D15V-321PHe</v>
          </cell>
          <cell r="F2317" t="str">
            <v>台</v>
          </cell>
          <cell r="H2317">
            <v>36600</v>
          </cell>
          <cell r="J2317">
            <v>36600</v>
          </cell>
          <cell r="L2317">
            <v>36600</v>
          </cell>
          <cell r="N2317">
            <v>36600</v>
          </cell>
          <cell r="P2317">
            <v>36600</v>
          </cell>
          <cell r="R2317">
            <v>36600</v>
          </cell>
          <cell r="T2317">
            <v>36600</v>
          </cell>
          <cell r="V2317">
            <v>36600</v>
          </cell>
          <cell r="X2317">
            <v>36600</v>
          </cell>
          <cell r="Z2317">
            <v>36600</v>
          </cell>
          <cell r="AD2317">
            <v>0.39100000000000001</v>
          </cell>
          <cell r="AG2317">
            <v>4950</v>
          </cell>
          <cell r="AH2317">
            <v>48</v>
          </cell>
          <cell r="AI2317">
            <v>0.97899999999999998</v>
          </cell>
          <cell r="AJ2317">
            <v>1</v>
          </cell>
          <cell r="AK2317">
            <v>49.02</v>
          </cell>
        </row>
        <row r="2318">
          <cell r="E2318" t="str">
            <v>D15V-322PNe</v>
          </cell>
          <cell r="F2318" t="str">
            <v>台</v>
          </cell>
          <cell r="H2318">
            <v>37100</v>
          </cell>
          <cell r="J2318">
            <v>37100</v>
          </cell>
          <cell r="L2318">
            <v>37100</v>
          </cell>
          <cell r="N2318">
            <v>37100</v>
          </cell>
          <cell r="P2318">
            <v>37100</v>
          </cell>
          <cell r="R2318">
            <v>37100</v>
          </cell>
          <cell r="T2318">
            <v>37100</v>
          </cell>
          <cell r="V2318">
            <v>37100</v>
          </cell>
          <cell r="X2318">
            <v>37100</v>
          </cell>
          <cell r="Z2318">
            <v>37100</v>
          </cell>
          <cell r="AD2318">
            <v>0.48799999999999999</v>
          </cell>
          <cell r="AG2318">
            <v>9900</v>
          </cell>
          <cell r="AH2318">
            <v>96</v>
          </cell>
          <cell r="AI2318">
            <v>0.98899999999999999</v>
          </cell>
          <cell r="AJ2318">
            <v>1</v>
          </cell>
          <cell r="AK2318">
            <v>97.06</v>
          </cell>
        </row>
        <row r="2319">
          <cell r="E2319" t="str">
            <v>D15V-321PHe</v>
          </cell>
          <cell r="F2319" t="str">
            <v>台</v>
          </cell>
          <cell r="H2319">
            <v>38500</v>
          </cell>
          <cell r="J2319">
            <v>38500</v>
          </cell>
          <cell r="L2319">
            <v>38500</v>
          </cell>
          <cell r="N2319">
            <v>38500</v>
          </cell>
          <cell r="P2319">
            <v>38500</v>
          </cell>
          <cell r="R2319">
            <v>38500</v>
          </cell>
          <cell r="T2319">
            <v>38500</v>
          </cell>
          <cell r="V2319">
            <v>38500</v>
          </cell>
          <cell r="X2319">
            <v>38500</v>
          </cell>
          <cell r="Z2319">
            <v>38500</v>
          </cell>
          <cell r="AD2319">
            <v>0.39100000000000001</v>
          </cell>
          <cell r="AG2319">
            <v>4950</v>
          </cell>
          <cell r="AH2319">
            <v>48</v>
          </cell>
          <cell r="AI2319">
            <v>0.97899999999999998</v>
          </cell>
          <cell r="AJ2319">
            <v>1</v>
          </cell>
          <cell r="AK2319">
            <v>49.02</v>
          </cell>
        </row>
        <row r="2320">
          <cell r="E2320" t="str">
            <v>D15V-321PXe</v>
          </cell>
          <cell r="F2320" t="str">
            <v>台</v>
          </cell>
          <cell r="H2320">
            <v>39600</v>
          </cell>
          <cell r="J2320">
            <v>39600</v>
          </cell>
          <cell r="L2320">
            <v>39600</v>
          </cell>
          <cell r="N2320">
            <v>39600</v>
          </cell>
          <cell r="P2320">
            <v>39600</v>
          </cell>
          <cell r="R2320">
            <v>39600</v>
          </cell>
          <cell r="T2320">
            <v>39600</v>
          </cell>
          <cell r="V2320">
            <v>39600</v>
          </cell>
          <cell r="X2320">
            <v>39600</v>
          </cell>
          <cell r="Z2320">
            <v>39600</v>
          </cell>
          <cell r="AD2320">
            <v>0.39100000000000001</v>
          </cell>
          <cell r="AG2320">
            <v>4950</v>
          </cell>
          <cell r="AH2320">
            <v>48</v>
          </cell>
          <cell r="AI2320">
            <v>0.97899999999999998</v>
          </cell>
          <cell r="AJ2320">
            <v>1</v>
          </cell>
          <cell r="AK2320">
            <v>49.02</v>
          </cell>
        </row>
        <row r="2321">
          <cell r="E2321" t="str">
            <v>D15V-322PKe</v>
          </cell>
          <cell r="F2321" t="str">
            <v>台</v>
          </cell>
          <cell r="H2321">
            <v>39600</v>
          </cell>
          <cell r="J2321">
            <v>39600</v>
          </cell>
          <cell r="L2321">
            <v>39600</v>
          </cell>
          <cell r="N2321">
            <v>39600</v>
          </cell>
          <cell r="P2321">
            <v>39600</v>
          </cell>
          <cell r="R2321">
            <v>39600</v>
          </cell>
          <cell r="T2321">
            <v>39600</v>
          </cell>
          <cell r="V2321">
            <v>39600</v>
          </cell>
          <cell r="X2321">
            <v>39600</v>
          </cell>
          <cell r="Z2321">
            <v>39600</v>
          </cell>
          <cell r="AD2321">
            <v>0.48799999999999999</v>
          </cell>
          <cell r="AG2321">
            <v>9900</v>
          </cell>
          <cell r="AH2321">
            <v>96</v>
          </cell>
          <cell r="AI2321">
            <v>0.98899999999999999</v>
          </cell>
          <cell r="AJ2321">
            <v>1</v>
          </cell>
          <cell r="AK2321">
            <v>97.06</v>
          </cell>
        </row>
        <row r="2322">
          <cell r="E2322" t="str">
            <v>D15L-321PNe</v>
          </cell>
          <cell r="F2322" t="str">
            <v>台</v>
          </cell>
          <cell r="H2322">
            <v>30800</v>
          </cell>
          <cell r="J2322">
            <v>30800</v>
          </cell>
          <cell r="L2322">
            <v>30800</v>
          </cell>
          <cell r="N2322">
            <v>30800</v>
          </cell>
          <cell r="P2322">
            <v>30800</v>
          </cell>
          <cell r="R2322">
            <v>30800</v>
          </cell>
          <cell r="T2322">
            <v>30800</v>
          </cell>
          <cell r="V2322">
            <v>30800</v>
          </cell>
          <cell r="X2322">
            <v>30800</v>
          </cell>
          <cell r="Z2322">
            <v>30800</v>
          </cell>
          <cell r="AD2322">
            <v>0.39100000000000001</v>
          </cell>
          <cell r="AG2322">
            <v>4950</v>
          </cell>
          <cell r="AH2322">
            <v>48</v>
          </cell>
          <cell r="AI2322">
            <v>0.97899999999999998</v>
          </cell>
          <cell r="AJ2322">
            <v>1</v>
          </cell>
          <cell r="AK2322">
            <v>49.02</v>
          </cell>
        </row>
        <row r="2323">
          <cell r="E2323" t="str">
            <v>D15L-321PHe</v>
          </cell>
          <cell r="F2323" t="str">
            <v>台</v>
          </cell>
          <cell r="H2323">
            <v>32800</v>
          </cell>
          <cell r="J2323">
            <v>32800</v>
          </cell>
          <cell r="L2323">
            <v>32800</v>
          </cell>
          <cell r="N2323">
            <v>32800</v>
          </cell>
          <cell r="P2323">
            <v>32800</v>
          </cell>
          <cell r="R2323">
            <v>32800</v>
          </cell>
          <cell r="T2323">
            <v>32800</v>
          </cell>
          <cell r="V2323">
            <v>32800</v>
          </cell>
          <cell r="X2323">
            <v>32800</v>
          </cell>
          <cell r="Z2323">
            <v>32800</v>
          </cell>
          <cell r="AD2323">
            <v>0.39100000000000001</v>
          </cell>
          <cell r="AG2323">
            <v>4950</v>
          </cell>
          <cell r="AH2323">
            <v>48</v>
          </cell>
          <cell r="AI2323">
            <v>0.97899999999999998</v>
          </cell>
          <cell r="AJ2323">
            <v>1</v>
          </cell>
          <cell r="AK2323">
            <v>49.02</v>
          </cell>
        </row>
        <row r="2324">
          <cell r="E2324" t="str">
            <v>D15L-322PNe</v>
          </cell>
          <cell r="F2324" t="str">
            <v>台</v>
          </cell>
          <cell r="H2324">
            <v>32500</v>
          </cell>
          <cell r="J2324">
            <v>32500</v>
          </cell>
          <cell r="L2324">
            <v>32500</v>
          </cell>
          <cell r="N2324">
            <v>32500</v>
          </cell>
          <cell r="P2324">
            <v>32500</v>
          </cell>
          <cell r="R2324">
            <v>32500</v>
          </cell>
          <cell r="T2324">
            <v>32500</v>
          </cell>
          <cell r="V2324">
            <v>32500</v>
          </cell>
          <cell r="X2324">
            <v>32500</v>
          </cell>
          <cell r="Z2324">
            <v>32500</v>
          </cell>
          <cell r="AD2324">
            <v>0.48799999999999999</v>
          </cell>
          <cell r="AG2324">
            <v>9900</v>
          </cell>
          <cell r="AH2324">
            <v>96</v>
          </cell>
          <cell r="AI2324">
            <v>0.98899999999999999</v>
          </cell>
          <cell r="AJ2324">
            <v>1</v>
          </cell>
          <cell r="AK2324">
            <v>97.06</v>
          </cell>
        </row>
        <row r="2325">
          <cell r="E2325" t="str">
            <v>D15L-321PHe</v>
          </cell>
          <cell r="F2325" t="str">
            <v>台</v>
          </cell>
          <cell r="H2325">
            <v>34000</v>
          </cell>
          <cell r="J2325">
            <v>34000</v>
          </cell>
          <cell r="L2325">
            <v>34000</v>
          </cell>
          <cell r="N2325">
            <v>34000</v>
          </cell>
          <cell r="P2325">
            <v>34000</v>
          </cell>
          <cell r="R2325">
            <v>34000</v>
          </cell>
          <cell r="T2325">
            <v>34000</v>
          </cell>
          <cell r="V2325">
            <v>34000</v>
          </cell>
          <cell r="X2325">
            <v>34000</v>
          </cell>
          <cell r="Z2325">
            <v>34000</v>
          </cell>
          <cell r="AD2325">
            <v>0.39100000000000001</v>
          </cell>
          <cell r="AG2325">
            <v>4950</v>
          </cell>
          <cell r="AH2325">
            <v>48</v>
          </cell>
          <cell r="AI2325">
            <v>0.97899999999999998</v>
          </cell>
          <cell r="AJ2325">
            <v>1</v>
          </cell>
          <cell r="AK2325">
            <v>49.02</v>
          </cell>
        </row>
        <row r="2326">
          <cell r="E2326" t="str">
            <v>D15L-321PXe</v>
          </cell>
          <cell r="F2326" t="str">
            <v>台</v>
          </cell>
          <cell r="H2326">
            <v>35000</v>
          </cell>
          <cell r="J2326">
            <v>35000</v>
          </cell>
          <cell r="L2326">
            <v>35000</v>
          </cell>
          <cell r="N2326">
            <v>35000</v>
          </cell>
          <cell r="P2326">
            <v>35000</v>
          </cell>
          <cell r="R2326">
            <v>35000</v>
          </cell>
          <cell r="T2326">
            <v>35000</v>
          </cell>
          <cell r="V2326">
            <v>35000</v>
          </cell>
          <cell r="X2326">
            <v>35000</v>
          </cell>
          <cell r="Z2326">
            <v>35000</v>
          </cell>
          <cell r="AD2326">
            <v>0.39100000000000001</v>
          </cell>
          <cell r="AG2326">
            <v>4950</v>
          </cell>
          <cell r="AH2326">
            <v>48</v>
          </cell>
          <cell r="AI2326">
            <v>0.97899999999999998</v>
          </cell>
          <cell r="AJ2326">
            <v>1</v>
          </cell>
          <cell r="AK2326">
            <v>49.02</v>
          </cell>
        </row>
        <row r="2327">
          <cell r="E2327" t="str">
            <v>D15L-322PKe</v>
          </cell>
          <cell r="F2327" t="str">
            <v>台</v>
          </cell>
          <cell r="H2327">
            <v>35000</v>
          </cell>
          <cell r="J2327">
            <v>35000</v>
          </cell>
          <cell r="L2327">
            <v>35000</v>
          </cell>
          <cell r="N2327">
            <v>35000</v>
          </cell>
          <cell r="P2327">
            <v>35000</v>
          </cell>
          <cell r="R2327">
            <v>35000</v>
          </cell>
          <cell r="T2327">
            <v>35000</v>
          </cell>
          <cell r="V2327">
            <v>35000</v>
          </cell>
          <cell r="X2327">
            <v>35000</v>
          </cell>
          <cell r="Z2327">
            <v>35000</v>
          </cell>
          <cell r="AD2327">
            <v>0.48799999999999999</v>
          </cell>
          <cell r="AG2327">
            <v>9900</v>
          </cell>
          <cell r="AH2327">
            <v>96</v>
          </cell>
          <cell r="AI2327">
            <v>0.98899999999999999</v>
          </cell>
          <cell r="AJ2327">
            <v>1</v>
          </cell>
          <cell r="AK2327">
            <v>97.06</v>
          </cell>
        </row>
        <row r="2328">
          <cell r="E2328" t="str">
            <v>■Ｈｆ開放埋込形</v>
          </cell>
        </row>
        <row r="2329">
          <cell r="E2329" t="str">
            <v>A18-322PNe</v>
          </cell>
          <cell r="F2329" t="str">
            <v>台</v>
          </cell>
          <cell r="H2329">
            <v>29700</v>
          </cell>
          <cell r="J2329">
            <v>29700</v>
          </cell>
          <cell r="L2329">
            <v>29700</v>
          </cell>
          <cell r="N2329">
            <v>29700</v>
          </cell>
          <cell r="P2329">
            <v>29700</v>
          </cell>
          <cell r="R2329">
            <v>29700</v>
          </cell>
          <cell r="T2329">
            <v>29700</v>
          </cell>
          <cell r="V2329">
            <v>29700</v>
          </cell>
          <cell r="X2329">
            <v>29700</v>
          </cell>
          <cell r="Z2329">
            <v>29700</v>
          </cell>
          <cell r="AD2329">
            <v>0.48799999999999999</v>
          </cell>
          <cell r="AG2329">
            <v>9900</v>
          </cell>
          <cell r="AH2329">
            <v>96</v>
          </cell>
          <cell r="AI2329">
            <v>0.98899999999999999</v>
          </cell>
          <cell r="AJ2329">
            <v>1</v>
          </cell>
          <cell r="AK2329">
            <v>97.06</v>
          </cell>
        </row>
        <row r="2330">
          <cell r="E2330" t="str">
            <v>A18-322PHe</v>
          </cell>
          <cell r="F2330" t="str">
            <v>台</v>
          </cell>
          <cell r="H2330">
            <v>30900</v>
          </cell>
          <cell r="J2330">
            <v>30900</v>
          </cell>
          <cell r="L2330">
            <v>30900</v>
          </cell>
          <cell r="N2330">
            <v>30900</v>
          </cell>
          <cell r="P2330">
            <v>30900</v>
          </cell>
          <cell r="R2330">
            <v>30900</v>
          </cell>
          <cell r="T2330">
            <v>30900</v>
          </cell>
          <cell r="V2330">
            <v>30900</v>
          </cell>
          <cell r="X2330">
            <v>30900</v>
          </cell>
          <cell r="Z2330">
            <v>30900</v>
          </cell>
          <cell r="AD2330">
            <v>0.48799999999999999</v>
          </cell>
          <cell r="AG2330">
            <v>9900</v>
          </cell>
          <cell r="AH2330">
            <v>96</v>
          </cell>
          <cell r="AI2330">
            <v>0.98899999999999999</v>
          </cell>
          <cell r="AJ2330">
            <v>1</v>
          </cell>
          <cell r="AK2330">
            <v>97.06</v>
          </cell>
        </row>
        <row r="2331">
          <cell r="E2331" t="str">
            <v>A18-322PKe</v>
          </cell>
          <cell r="F2331" t="str">
            <v>台</v>
          </cell>
          <cell r="H2331">
            <v>31900</v>
          </cell>
          <cell r="J2331">
            <v>31900</v>
          </cell>
          <cell r="L2331">
            <v>31900</v>
          </cell>
          <cell r="N2331">
            <v>31900</v>
          </cell>
          <cell r="P2331">
            <v>31900</v>
          </cell>
          <cell r="R2331">
            <v>31900</v>
          </cell>
          <cell r="T2331">
            <v>31900</v>
          </cell>
          <cell r="V2331">
            <v>31900</v>
          </cell>
          <cell r="X2331">
            <v>31900</v>
          </cell>
          <cell r="Z2331">
            <v>31900</v>
          </cell>
          <cell r="AD2331">
            <v>0.48799999999999999</v>
          </cell>
          <cell r="AG2331">
            <v>9900</v>
          </cell>
          <cell r="AH2331">
            <v>96</v>
          </cell>
          <cell r="AI2331">
            <v>0.98899999999999999</v>
          </cell>
          <cell r="AJ2331">
            <v>1</v>
          </cell>
          <cell r="AK2331">
            <v>97.06</v>
          </cell>
        </row>
        <row r="2332">
          <cell r="E2332" t="str">
            <v>■Ｈｆルーバー埋込形</v>
          </cell>
        </row>
        <row r="2333">
          <cell r="E2333" t="str">
            <v>D18-322PNe</v>
          </cell>
          <cell r="F2333" t="str">
            <v>台</v>
          </cell>
          <cell r="H2333">
            <v>53600</v>
          </cell>
          <cell r="J2333">
            <v>53600</v>
          </cell>
          <cell r="L2333">
            <v>53600</v>
          </cell>
          <cell r="N2333">
            <v>53600</v>
          </cell>
          <cell r="P2333">
            <v>53600</v>
          </cell>
          <cell r="R2333">
            <v>53600</v>
          </cell>
          <cell r="T2333">
            <v>53600</v>
          </cell>
          <cell r="V2333">
            <v>53600</v>
          </cell>
          <cell r="X2333">
            <v>53600</v>
          </cell>
          <cell r="Z2333">
            <v>53600</v>
          </cell>
          <cell r="AD2333">
            <v>0.48799999999999999</v>
          </cell>
          <cell r="AG2333">
            <v>9900</v>
          </cell>
          <cell r="AH2333">
            <v>96</v>
          </cell>
          <cell r="AI2333">
            <v>0.98899999999999999</v>
          </cell>
          <cell r="AJ2333">
            <v>1</v>
          </cell>
          <cell r="AK2333">
            <v>97.06</v>
          </cell>
        </row>
        <row r="2334">
          <cell r="E2334" t="str">
            <v>D18-322PHe</v>
          </cell>
          <cell r="F2334" t="str">
            <v>台</v>
          </cell>
          <cell r="H2334">
            <v>44800</v>
          </cell>
          <cell r="J2334">
            <v>44800</v>
          </cell>
          <cell r="L2334">
            <v>44800</v>
          </cell>
          <cell r="N2334">
            <v>44800</v>
          </cell>
          <cell r="P2334">
            <v>44800</v>
          </cell>
          <cell r="R2334">
            <v>44800</v>
          </cell>
          <cell r="T2334">
            <v>44800</v>
          </cell>
          <cell r="V2334">
            <v>44800</v>
          </cell>
          <cell r="X2334">
            <v>44800</v>
          </cell>
          <cell r="Z2334">
            <v>44800</v>
          </cell>
          <cell r="AD2334">
            <v>0.48799999999999999</v>
          </cell>
          <cell r="AG2334">
            <v>9900</v>
          </cell>
          <cell r="AH2334">
            <v>96</v>
          </cell>
          <cell r="AI2334">
            <v>0.98899999999999999</v>
          </cell>
          <cell r="AJ2334">
            <v>1</v>
          </cell>
          <cell r="AK2334">
            <v>97.06</v>
          </cell>
        </row>
        <row r="2335">
          <cell r="E2335" t="str">
            <v>D18-322PKe</v>
          </cell>
          <cell r="F2335" t="str">
            <v>台</v>
          </cell>
          <cell r="H2335">
            <v>45900</v>
          </cell>
          <cell r="J2335">
            <v>45900</v>
          </cell>
          <cell r="L2335">
            <v>45900</v>
          </cell>
          <cell r="N2335">
            <v>45900</v>
          </cell>
          <cell r="P2335">
            <v>45900</v>
          </cell>
          <cell r="R2335">
            <v>45900</v>
          </cell>
          <cell r="T2335">
            <v>45900</v>
          </cell>
          <cell r="V2335">
            <v>45900</v>
          </cell>
          <cell r="X2335">
            <v>45900</v>
          </cell>
          <cell r="Z2335">
            <v>45900</v>
          </cell>
          <cell r="AD2335">
            <v>0.48799999999999999</v>
          </cell>
          <cell r="AG2335">
            <v>9900</v>
          </cell>
          <cell r="AH2335">
            <v>96</v>
          </cell>
          <cell r="AI2335">
            <v>0.98899999999999999</v>
          </cell>
          <cell r="AJ2335">
            <v>1</v>
          </cell>
          <cell r="AK2335">
            <v>97.06</v>
          </cell>
        </row>
        <row r="2336">
          <cell r="E2336" t="str">
            <v>D18L-322PNe</v>
          </cell>
          <cell r="F2336" t="str">
            <v>台</v>
          </cell>
          <cell r="H2336">
            <v>32000</v>
          </cell>
          <cell r="J2336">
            <v>32000</v>
          </cell>
          <cell r="L2336">
            <v>32000</v>
          </cell>
          <cell r="N2336">
            <v>32000</v>
          </cell>
          <cell r="P2336">
            <v>32000</v>
          </cell>
          <cell r="R2336">
            <v>32000</v>
          </cell>
          <cell r="T2336">
            <v>32000</v>
          </cell>
          <cell r="V2336">
            <v>32000</v>
          </cell>
          <cell r="X2336">
            <v>32000</v>
          </cell>
          <cell r="Z2336">
            <v>32000</v>
          </cell>
          <cell r="AD2336">
            <v>0.48799999999999999</v>
          </cell>
          <cell r="AG2336">
            <v>9900</v>
          </cell>
          <cell r="AH2336">
            <v>96</v>
          </cell>
          <cell r="AI2336">
            <v>0.98899999999999999</v>
          </cell>
          <cell r="AJ2336">
            <v>1</v>
          </cell>
          <cell r="AK2336">
            <v>97.06</v>
          </cell>
        </row>
        <row r="2337">
          <cell r="E2337" t="str">
            <v>D18L-322PHe</v>
          </cell>
          <cell r="F2337" t="str">
            <v>台</v>
          </cell>
          <cell r="H2337">
            <v>33200</v>
          </cell>
          <cell r="J2337">
            <v>33200</v>
          </cell>
          <cell r="L2337">
            <v>33200</v>
          </cell>
          <cell r="N2337">
            <v>33200</v>
          </cell>
          <cell r="P2337">
            <v>33200</v>
          </cell>
          <cell r="R2337">
            <v>33200</v>
          </cell>
          <cell r="T2337">
            <v>33200</v>
          </cell>
          <cell r="V2337">
            <v>33200</v>
          </cell>
          <cell r="X2337">
            <v>33200</v>
          </cell>
          <cell r="Z2337">
            <v>33200</v>
          </cell>
          <cell r="AD2337">
            <v>0.48799999999999999</v>
          </cell>
          <cell r="AG2337">
            <v>9900</v>
          </cell>
          <cell r="AH2337">
            <v>96</v>
          </cell>
          <cell r="AI2337">
            <v>0.98899999999999999</v>
          </cell>
          <cell r="AJ2337">
            <v>1</v>
          </cell>
          <cell r="AK2337">
            <v>97.06</v>
          </cell>
        </row>
        <row r="2338">
          <cell r="E2338" t="str">
            <v>D18L-322PKe</v>
          </cell>
          <cell r="F2338" t="str">
            <v>台</v>
          </cell>
          <cell r="H2338">
            <v>34200</v>
          </cell>
          <cell r="J2338">
            <v>34200</v>
          </cell>
          <cell r="L2338">
            <v>34200</v>
          </cell>
          <cell r="N2338">
            <v>34200</v>
          </cell>
          <cell r="P2338">
            <v>34200</v>
          </cell>
          <cell r="R2338">
            <v>34200</v>
          </cell>
          <cell r="T2338">
            <v>34200</v>
          </cell>
          <cell r="V2338">
            <v>34200</v>
          </cell>
          <cell r="X2338">
            <v>34200</v>
          </cell>
          <cell r="Z2338">
            <v>34200</v>
          </cell>
          <cell r="AD2338">
            <v>0.48799999999999999</v>
          </cell>
          <cell r="AG2338">
            <v>9900</v>
          </cell>
          <cell r="AH2338">
            <v>96</v>
          </cell>
          <cell r="AI2338">
            <v>0.98899999999999999</v>
          </cell>
          <cell r="AJ2338">
            <v>1</v>
          </cell>
          <cell r="AK2338">
            <v>97.06</v>
          </cell>
        </row>
        <row r="2339">
          <cell r="E2339" t="str">
            <v>■Ｈｆ開放埋込形</v>
          </cell>
        </row>
        <row r="2340">
          <cell r="E2340" t="str">
            <v>A26-322PNe</v>
          </cell>
          <cell r="F2340" t="str">
            <v>台</v>
          </cell>
          <cell r="H2340">
            <v>27200</v>
          </cell>
          <cell r="J2340">
            <v>27200</v>
          </cell>
          <cell r="L2340">
            <v>27200</v>
          </cell>
          <cell r="N2340">
            <v>27200</v>
          </cell>
          <cell r="P2340">
            <v>27200</v>
          </cell>
          <cell r="R2340">
            <v>27200</v>
          </cell>
          <cell r="T2340">
            <v>27200</v>
          </cell>
          <cell r="V2340">
            <v>27200</v>
          </cell>
          <cell r="X2340">
            <v>27200</v>
          </cell>
          <cell r="Z2340">
            <v>27200</v>
          </cell>
          <cell r="AD2340">
            <v>0.48799999999999999</v>
          </cell>
          <cell r="AG2340">
            <v>9900</v>
          </cell>
          <cell r="AH2340">
            <v>96</v>
          </cell>
          <cell r="AI2340">
            <v>0.98899999999999999</v>
          </cell>
          <cell r="AJ2340">
            <v>1</v>
          </cell>
          <cell r="AK2340">
            <v>97.06</v>
          </cell>
        </row>
        <row r="2341">
          <cell r="E2341" t="str">
            <v>A26-322PHe</v>
          </cell>
          <cell r="F2341" t="str">
            <v>台</v>
          </cell>
          <cell r="H2341">
            <v>29200</v>
          </cell>
          <cell r="J2341">
            <v>29200</v>
          </cell>
          <cell r="L2341">
            <v>29200</v>
          </cell>
          <cell r="N2341">
            <v>29200</v>
          </cell>
          <cell r="P2341">
            <v>29200</v>
          </cell>
          <cell r="R2341">
            <v>29200</v>
          </cell>
          <cell r="T2341">
            <v>29200</v>
          </cell>
          <cell r="V2341">
            <v>29200</v>
          </cell>
          <cell r="X2341">
            <v>29200</v>
          </cell>
          <cell r="Z2341">
            <v>29200</v>
          </cell>
          <cell r="AD2341">
            <v>0.48799999999999999</v>
          </cell>
          <cell r="AG2341">
            <v>9900</v>
          </cell>
          <cell r="AH2341">
            <v>96</v>
          </cell>
          <cell r="AI2341">
            <v>0.98899999999999999</v>
          </cell>
          <cell r="AJ2341">
            <v>1</v>
          </cell>
          <cell r="AK2341">
            <v>97.06</v>
          </cell>
        </row>
        <row r="2342">
          <cell r="E2342" t="str">
            <v>A26-322PKe</v>
          </cell>
          <cell r="F2342" t="str">
            <v>台</v>
          </cell>
          <cell r="H2342">
            <v>30200</v>
          </cell>
          <cell r="J2342">
            <v>30200</v>
          </cell>
          <cell r="L2342">
            <v>30200</v>
          </cell>
          <cell r="N2342">
            <v>30200</v>
          </cell>
          <cell r="P2342">
            <v>30200</v>
          </cell>
          <cell r="R2342">
            <v>30200</v>
          </cell>
          <cell r="T2342">
            <v>30200</v>
          </cell>
          <cell r="V2342">
            <v>30200</v>
          </cell>
          <cell r="X2342">
            <v>30200</v>
          </cell>
          <cell r="Z2342">
            <v>30200</v>
          </cell>
          <cell r="AD2342">
            <v>0.48799999999999999</v>
          </cell>
          <cell r="AG2342">
            <v>9900</v>
          </cell>
          <cell r="AH2342">
            <v>96</v>
          </cell>
          <cell r="AI2342">
            <v>0.98899999999999999</v>
          </cell>
          <cell r="AJ2342">
            <v>1</v>
          </cell>
          <cell r="AK2342">
            <v>97.06</v>
          </cell>
        </row>
        <row r="2343">
          <cell r="E2343" t="str">
            <v>A27-322PNe</v>
          </cell>
          <cell r="F2343" t="str">
            <v>台</v>
          </cell>
          <cell r="H2343">
            <v>28800</v>
          </cell>
          <cell r="J2343">
            <v>28800</v>
          </cell>
          <cell r="L2343">
            <v>28800</v>
          </cell>
          <cell r="N2343">
            <v>28800</v>
          </cell>
          <cell r="P2343">
            <v>28800</v>
          </cell>
          <cell r="R2343">
            <v>28800</v>
          </cell>
          <cell r="T2343">
            <v>28800</v>
          </cell>
          <cell r="V2343">
            <v>28800</v>
          </cell>
          <cell r="X2343">
            <v>28800</v>
          </cell>
          <cell r="Z2343">
            <v>28800</v>
          </cell>
          <cell r="AD2343">
            <v>0.48799999999999999</v>
          </cell>
          <cell r="AG2343">
            <v>9900</v>
          </cell>
          <cell r="AH2343">
            <v>96</v>
          </cell>
          <cell r="AI2343">
            <v>0.98899999999999999</v>
          </cell>
          <cell r="AJ2343">
            <v>1</v>
          </cell>
          <cell r="AK2343">
            <v>97.06</v>
          </cell>
        </row>
        <row r="2344">
          <cell r="E2344" t="str">
            <v>A27-322PHe</v>
          </cell>
          <cell r="F2344" t="str">
            <v>台</v>
          </cell>
          <cell r="H2344">
            <v>30400</v>
          </cell>
          <cell r="J2344">
            <v>30400</v>
          </cell>
          <cell r="L2344">
            <v>30400</v>
          </cell>
          <cell r="N2344">
            <v>30400</v>
          </cell>
          <cell r="P2344">
            <v>30400</v>
          </cell>
          <cell r="R2344">
            <v>30400</v>
          </cell>
          <cell r="T2344">
            <v>30400</v>
          </cell>
          <cell r="V2344">
            <v>30400</v>
          </cell>
          <cell r="X2344">
            <v>30400</v>
          </cell>
          <cell r="Z2344">
            <v>30400</v>
          </cell>
          <cell r="AD2344">
            <v>0.48799999999999999</v>
          </cell>
          <cell r="AG2344">
            <v>9900</v>
          </cell>
          <cell r="AH2344">
            <v>96</v>
          </cell>
          <cell r="AI2344">
            <v>0.98899999999999999</v>
          </cell>
          <cell r="AJ2344">
            <v>1</v>
          </cell>
          <cell r="AK2344">
            <v>97.06</v>
          </cell>
        </row>
        <row r="2345">
          <cell r="E2345" t="str">
            <v>■Ｈｆルーバー直付形</v>
          </cell>
        </row>
        <row r="2346">
          <cell r="E2346" t="str">
            <v>D2-322PHe</v>
          </cell>
          <cell r="F2346" t="str">
            <v>台</v>
          </cell>
          <cell r="H2346">
            <v>38700</v>
          </cell>
          <cell r="J2346">
            <v>38700</v>
          </cell>
          <cell r="L2346">
            <v>38700</v>
          </cell>
          <cell r="N2346">
            <v>38700</v>
          </cell>
          <cell r="P2346">
            <v>38700</v>
          </cell>
          <cell r="R2346">
            <v>38700</v>
          </cell>
          <cell r="T2346">
            <v>38700</v>
          </cell>
          <cell r="V2346">
            <v>38700</v>
          </cell>
          <cell r="X2346">
            <v>38700</v>
          </cell>
          <cell r="Z2346">
            <v>38700</v>
          </cell>
          <cell r="AD2346">
            <v>0.32600000000000001</v>
          </cell>
          <cell r="AG2346">
            <v>9900</v>
          </cell>
          <cell r="AH2346">
            <v>96</v>
          </cell>
          <cell r="AI2346">
            <v>0.98899999999999999</v>
          </cell>
          <cell r="AJ2346">
            <v>1</v>
          </cell>
          <cell r="AK2346">
            <v>97.06</v>
          </cell>
        </row>
        <row r="2347">
          <cell r="E2347" t="str">
            <v>D2V-322PHe</v>
          </cell>
          <cell r="F2347" t="str">
            <v>台</v>
          </cell>
          <cell r="H2347">
            <v>38700</v>
          </cell>
          <cell r="J2347">
            <v>38700</v>
          </cell>
          <cell r="L2347">
            <v>38700</v>
          </cell>
          <cell r="N2347">
            <v>38700</v>
          </cell>
          <cell r="P2347">
            <v>38700</v>
          </cell>
          <cell r="R2347">
            <v>38700</v>
          </cell>
          <cell r="T2347">
            <v>38700</v>
          </cell>
          <cell r="V2347">
            <v>38700</v>
          </cell>
          <cell r="X2347">
            <v>38700</v>
          </cell>
          <cell r="Z2347">
            <v>38700</v>
          </cell>
          <cell r="AD2347">
            <v>0.32600000000000001</v>
          </cell>
          <cell r="AG2347">
            <v>9900</v>
          </cell>
          <cell r="AH2347">
            <v>96</v>
          </cell>
          <cell r="AI2347">
            <v>0.98899999999999999</v>
          </cell>
          <cell r="AJ2347">
            <v>1</v>
          </cell>
          <cell r="AK2347">
            <v>97.06</v>
          </cell>
        </row>
        <row r="2348">
          <cell r="E2348" t="str">
            <v>■Ｈｆ反射笠</v>
          </cell>
        </row>
        <row r="2349">
          <cell r="E2349" t="str">
            <v>R2-321PNe</v>
          </cell>
          <cell r="F2349" t="str">
            <v>台</v>
          </cell>
          <cell r="H2349">
            <v>24100</v>
          </cell>
          <cell r="J2349">
            <v>24100</v>
          </cell>
          <cell r="L2349">
            <v>24100</v>
          </cell>
          <cell r="N2349">
            <v>24100</v>
          </cell>
          <cell r="P2349">
            <v>24100</v>
          </cell>
          <cell r="R2349">
            <v>24100</v>
          </cell>
          <cell r="T2349">
            <v>24100</v>
          </cell>
          <cell r="V2349">
            <v>24100</v>
          </cell>
          <cell r="X2349">
            <v>24100</v>
          </cell>
          <cell r="Z2349">
            <v>24100</v>
          </cell>
          <cell r="AD2349">
            <v>0.26100000000000001</v>
          </cell>
          <cell r="AG2349">
            <v>4950</v>
          </cell>
          <cell r="AH2349">
            <v>48</v>
          </cell>
          <cell r="AI2349">
            <v>0.97899999999999998</v>
          </cell>
          <cell r="AJ2349">
            <v>1</v>
          </cell>
          <cell r="AK2349">
            <v>49.02</v>
          </cell>
        </row>
        <row r="2350">
          <cell r="E2350" t="str">
            <v>R2-321PHe</v>
          </cell>
          <cell r="F2350" t="str">
            <v>台</v>
          </cell>
          <cell r="H2350">
            <v>25100</v>
          </cell>
          <cell r="J2350">
            <v>25100</v>
          </cell>
          <cell r="L2350">
            <v>25100</v>
          </cell>
          <cell r="N2350">
            <v>25100</v>
          </cell>
          <cell r="P2350">
            <v>25100</v>
          </cell>
          <cell r="R2350">
            <v>25100</v>
          </cell>
          <cell r="T2350">
            <v>25100</v>
          </cell>
          <cell r="V2350">
            <v>25100</v>
          </cell>
          <cell r="X2350">
            <v>25100</v>
          </cell>
          <cell r="Z2350">
            <v>25100</v>
          </cell>
          <cell r="AD2350">
            <v>0.26100000000000001</v>
          </cell>
          <cell r="AG2350">
            <v>4950</v>
          </cell>
          <cell r="AH2350">
            <v>48</v>
          </cell>
          <cell r="AI2350">
            <v>0.97899999999999998</v>
          </cell>
          <cell r="AJ2350">
            <v>1</v>
          </cell>
          <cell r="AK2350">
            <v>49.02</v>
          </cell>
        </row>
        <row r="2351">
          <cell r="E2351" t="str">
            <v>R2-321PKe</v>
          </cell>
          <cell r="F2351" t="str">
            <v>台</v>
          </cell>
          <cell r="H2351">
            <v>27100</v>
          </cell>
          <cell r="J2351">
            <v>27100</v>
          </cell>
          <cell r="L2351">
            <v>27100</v>
          </cell>
          <cell r="N2351">
            <v>27100</v>
          </cell>
          <cell r="P2351">
            <v>27100</v>
          </cell>
          <cell r="R2351">
            <v>27100</v>
          </cell>
          <cell r="T2351">
            <v>27100</v>
          </cell>
          <cell r="V2351">
            <v>27100</v>
          </cell>
          <cell r="X2351">
            <v>27100</v>
          </cell>
          <cell r="Z2351">
            <v>27100</v>
          </cell>
          <cell r="AD2351">
            <v>0.26100000000000001</v>
          </cell>
          <cell r="AG2351">
            <v>4950</v>
          </cell>
          <cell r="AH2351">
            <v>48</v>
          </cell>
          <cell r="AI2351">
            <v>0.97899999999999998</v>
          </cell>
          <cell r="AJ2351">
            <v>1</v>
          </cell>
          <cell r="AK2351">
            <v>49.02</v>
          </cell>
        </row>
        <row r="2352">
          <cell r="E2352" t="str">
            <v>R2-322PNe</v>
          </cell>
          <cell r="F2352" t="str">
            <v>台</v>
          </cell>
          <cell r="H2352">
            <v>25800</v>
          </cell>
          <cell r="J2352">
            <v>25800</v>
          </cell>
          <cell r="L2352">
            <v>25800</v>
          </cell>
          <cell r="N2352">
            <v>25800</v>
          </cell>
          <cell r="P2352">
            <v>25800</v>
          </cell>
          <cell r="R2352">
            <v>25800</v>
          </cell>
          <cell r="T2352">
            <v>25800</v>
          </cell>
          <cell r="V2352">
            <v>25800</v>
          </cell>
          <cell r="X2352">
            <v>25800</v>
          </cell>
          <cell r="Z2352">
            <v>25800</v>
          </cell>
          <cell r="AD2352">
            <v>0.32600000000000001</v>
          </cell>
          <cell r="AG2352">
            <v>9900</v>
          </cell>
          <cell r="AH2352">
            <v>96</v>
          </cell>
          <cell r="AI2352">
            <v>0.98899999999999999</v>
          </cell>
          <cell r="AJ2352">
            <v>1</v>
          </cell>
          <cell r="AK2352">
            <v>97.06</v>
          </cell>
        </row>
        <row r="2353">
          <cell r="E2353" t="str">
            <v>R2-322PHe</v>
          </cell>
          <cell r="F2353" t="str">
            <v>台</v>
          </cell>
          <cell r="H2353">
            <v>26700</v>
          </cell>
          <cell r="J2353">
            <v>26700</v>
          </cell>
          <cell r="L2353">
            <v>26700</v>
          </cell>
          <cell r="N2353">
            <v>26700</v>
          </cell>
          <cell r="P2353">
            <v>26700</v>
          </cell>
          <cell r="R2353">
            <v>26700</v>
          </cell>
          <cell r="T2353">
            <v>26700</v>
          </cell>
          <cell r="V2353">
            <v>26700</v>
          </cell>
          <cell r="X2353">
            <v>26700</v>
          </cell>
          <cell r="Z2353">
            <v>26700</v>
          </cell>
          <cell r="AD2353">
            <v>0.32600000000000001</v>
          </cell>
          <cell r="AG2353">
            <v>9900</v>
          </cell>
          <cell r="AH2353">
            <v>96</v>
          </cell>
          <cell r="AI2353">
            <v>0.98899999999999999</v>
          </cell>
          <cell r="AJ2353">
            <v>1</v>
          </cell>
          <cell r="AK2353">
            <v>97.06</v>
          </cell>
        </row>
        <row r="2354">
          <cell r="E2354" t="str">
            <v>R2-322PKe</v>
          </cell>
          <cell r="F2354" t="str">
            <v>台</v>
          </cell>
          <cell r="H2354">
            <v>28400</v>
          </cell>
          <cell r="J2354">
            <v>28400</v>
          </cell>
          <cell r="L2354">
            <v>28400</v>
          </cell>
          <cell r="N2354">
            <v>28400</v>
          </cell>
          <cell r="P2354">
            <v>28400</v>
          </cell>
          <cell r="R2354">
            <v>28400</v>
          </cell>
          <cell r="T2354">
            <v>28400</v>
          </cell>
          <cell r="V2354">
            <v>28400</v>
          </cell>
          <cell r="X2354">
            <v>28400</v>
          </cell>
          <cell r="Z2354">
            <v>28400</v>
          </cell>
          <cell r="AD2354">
            <v>0.32600000000000001</v>
          </cell>
          <cell r="AG2354">
            <v>9900</v>
          </cell>
          <cell r="AH2354">
            <v>96</v>
          </cell>
          <cell r="AI2354">
            <v>0.98899999999999999</v>
          </cell>
          <cell r="AJ2354">
            <v>1</v>
          </cell>
          <cell r="AK2354">
            <v>97.06</v>
          </cell>
        </row>
        <row r="2355">
          <cell r="E2355" t="str">
            <v>■Ｈｆ逆富士</v>
          </cell>
        </row>
        <row r="2356">
          <cell r="E2356" t="str">
            <v>V9-321PNe</v>
          </cell>
          <cell r="F2356" t="str">
            <v>台</v>
          </cell>
          <cell r="H2356">
            <v>24300</v>
          </cell>
          <cell r="J2356">
            <v>24300</v>
          </cell>
          <cell r="L2356">
            <v>24300</v>
          </cell>
          <cell r="N2356">
            <v>24300</v>
          </cell>
          <cell r="P2356">
            <v>24300</v>
          </cell>
          <cell r="R2356">
            <v>24300</v>
          </cell>
          <cell r="T2356">
            <v>24300</v>
          </cell>
          <cell r="V2356">
            <v>24300</v>
          </cell>
          <cell r="X2356">
            <v>24300</v>
          </cell>
          <cell r="Z2356">
            <v>24300</v>
          </cell>
          <cell r="AD2356">
            <v>0.26100000000000001</v>
          </cell>
          <cell r="AG2356">
            <v>4950</v>
          </cell>
          <cell r="AH2356">
            <v>48</v>
          </cell>
          <cell r="AI2356">
            <v>0.97899999999999998</v>
          </cell>
          <cell r="AJ2356">
            <v>1</v>
          </cell>
          <cell r="AK2356">
            <v>49.02</v>
          </cell>
        </row>
        <row r="2357">
          <cell r="E2357" t="str">
            <v>V9-321PHe</v>
          </cell>
          <cell r="F2357" t="str">
            <v>台</v>
          </cell>
          <cell r="H2357">
            <v>25100</v>
          </cell>
          <cell r="J2357">
            <v>25100</v>
          </cell>
          <cell r="L2357">
            <v>25100</v>
          </cell>
          <cell r="N2357">
            <v>25100</v>
          </cell>
          <cell r="P2357">
            <v>25100</v>
          </cell>
          <cell r="R2357">
            <v>25100</v>
          </cell>
          <cell r="T2357">
            <v>25100</v>
          </cell>
          <cell r="V2357">
            <v>25100</v>
          </cell>
          <cell r="X2357">
            <v>25100</v>
          </cell>
          <cell r="Z2357">
            <v>25100</v>
          </cell>
          <cell r="AD2357">
            <v>0.26100000000000001</v>
          </cell>
          <cell r="AG2357">
            <v>4950</v>
          </cell>
          <cell r="AH2357">
            <v>48</v>
          </cell>
          <cell r="AI2357">
            <v>0.97899999999999998</v>
          </cell>
          <cell r="AJ2357">
            <v>1</v>
          </cell>
          <cell r="AK2357">
            <v>49.02</v>
          </cell>
        </row>
        <row r="2358">
          <cell r="E2358" t="str">
            <v>V9-322PNe</v>
          </cell>
          <cell r="F2358" t="str">
            <v>台</v>
          </cell>
          <cell r="H2358">
            <v>26600</v>
          </cell>
          <cell r="J2358">
            <v>26600</v>
          </cell>
          <cell r="L2358">
            <v>26600</v>
          </cell>
          <cell r="N2358">
            <v>26600</v>
          </cell>
          <cell r="P2358">
            <v>26600</v>
          </cell>
          <cell r="R2358">
            <v>26600</v>
          </cell>
          <cell r="T2358">
            <v>26600</v>
          </cell>
          <cell r="V2358">
            <v>26600</v>
          </cell>
          <cell r="X2358">
            <v>26600</v>
          </cell>
          <cell r="Z2358">
            <v>26600</v>
          </cell>
          <cell r="AD2358">
            <v>0.32600000000000001</v>
          </cell>
          <cell r="AG2358">
            <v>9900</v>
          </cell>
          <cell r="AH2358">
            <v>96</v>
          </cell>
          <cell r="AI2358">
            <v>0.98899999999999999</v>
          </cell>
          <cell r="AJ2358">
            <v>1</v>
          </cell>
          <cell r="AK2358">
            <v>97.06</v>
          </cell>
        </row>
        <row r="2359">
          <cell r="E2359" t="str">
            <v>V9-322PHe</v>
          </cell>
          <cell r="F2359" t="str">
            <v>台</v>
          </cell>
          <cell r="H2359">
            <v>27900</v>
          </cell>
          <cell r="J2359">
            <v>27900</v>
          </cell>
          <cell r="L2359">
            <v>27900</v>
          </cell>
          <cell r="N2359">
            <v>27900</v>
          </cell>
          <cell r="P2359">
            <v>27900</v>
          </cell>
          <cell r="R2359">
            <v>27900</v>
          </cell>
          <cell r="T2359">
            <v>27900</v>
          </cell>
          <cell r="V2359">
            <v>27900</v>
          </cell>
          <cell r="X2359">
            <v>27900</v>
          </cell>
          <cell r="Z2359">
            <v>27900</v>
          </cell>
          <cell r="AD2359">
            <v>0.32600000000000001</v>
          </cell>
          <cell r="AG2359">
            <v>9900</v>
          </cell>
          <cell r="AH2359">
            <v>96</v>
          </cell>
          <cell r="AI2359">
            <v>0.98899999999999999</v>
          </cell>
          <cell r="AJ2359">
            <v>1</v>
          </cell>
          <cell r="AK2359">
            <v>97.06</v>
          </cell>
        </row>
        <row r="2360">
          <cell r="E2360" t="str">
            <v>V9-322PKe</v>
          </cell>
          <cell r="F2360" t="str">
            <v>台</v>
          </cell>
          <cell r="H2360">
            <v>29000</v>
          </cell>
          <cell r="J2360">
            <v>29000</v>
          </cell>
          <cell r="L2360">
            <v>29000</v>
          </cell>
          <cell r="N2360">
            <v>29000</v>
          </cell>
          <cell r="P2360">
            <v>29000</v>
          </cell>
          <cell r="R2360">
            <v>29000</v>
          </cell>
          <cell r="T2360">
            <v>29000</v>
          </cell>
          <cell r="V2360">
            <v>29000</v>
          </cell>
          <cell r="X2360">
            <v>29000</v>
          </cell>
          <cell r="Z2360">
            <v>29000</v>
          </cell>
          <cell r="AD2360">
            <v>0.32600000000000001</v>
          </cell>
          <cell r="AG2360">
            <v>9900</v>
          </cell>
          <cell r="AH2360">
            <v>96</v>
          </cell>
          <cell r="AI2360">
            <v>0.98899999999999999</v>
          </cell>
          <cell r="AJ2360">
            <v>1</v>
          </cell>
          <cell r="AK2360">
            <v>97.06</v>
          </cell>
        </row>
        <row r="2361">
          <cell r="E2361" t="str">
            <v>■埋込ダウンライト</v>
          </cell>
        </row>
        <row r="2362">
          <cell r="E2362" t="str">
            <v>d4-09e</v>
          </cell>
          <cell r="F2362" t="str">
            <v>台</v>
          </cell>
          <cell r="H2362">
            <v>11000</v>
          </cell>
          <cell r="J2362">
            <v>11000</v>
          </cell>
          <cell r="L2362">
            <v>11000</v>
          </cell>
          <cell r="N2362">
            <v>11000</v>
          </cell>
          <cell r="P2362">
            <v>11000</v>
          </cell>
          <cell r="R2362">
            <v>11000</v>
          </cell>
          <cell r="T2362">
            <v>11000</v>
          </cell>
          <cell r="V2362">
            <v>11000</v>
          </cell>
          <cell r="X2362">
            <v>11000</v>
          </cell>
          <cell r="Z2362">
            <v>11000</v>
          </cell>
          <cell r="AD2362">
            <v>0.20899999999999999</v>
          </cell>
        </row>
        <row r="2363">
          <cell r="E2363" t="str">
            <v>d4-13e</v>
          </cell>
          <cell r="F2363" t="str">
            <v>台</v>
          </cell>
          <cell r="H2363">
            <v>12600</v>
          </cell>
          <cell r="J2363">
            <v>12600</v>
          </cell>
          <cell r="L2363">
            <v>12600</v>
          </cell>
          <cell r="N2363">
            <v>12600</v>
          </cell>
          <cell r="P2363">
            <v>12600</v>
          </cell>
          <cell r="R2363">
            <v>12600</v>
          </cell>
          <cell r="T2363">
            <v>12600</v>
          </cell>
          <cell r="V2363">
            <v>12600</v>
          </cell>
          <cell r="X2363">
            <v>12600</v>
          </cell>
          <cell r="Z2363">
            <v>12600</v>
          </cell>
          <cell r="AD2363">
            <v>0.20899999999999999</v>
          </cell>
        </row>
        <row r="2364">
          <cell r="E2364" t="str">
            <v>d4-30e</v>
          </cell>
          <cell r="F2364" t="str">
            <v>台</v>
          </cell>
          <cell r="H2364">
            <v>22900</v>
          </cell>
          <cell r="J2364">
            <v>22900</v>
          </cell>
          <cell r="L2364">
            <v>22900</v>
          </cell>
          <cell r="N2364">
            <v>22900</v>
          </cell>
          <cell r="P2364">
            <v>22900</v>
          </cell>
          <cell r="R2364">
            <v>22900</v>
          </cell>
          <cell r="T2364">
            <v>22900</v>
          </cell>
          <cell r="V2364">
            <v>22900</v>
          </cell>
          <cell r="X2364">
            <v>22900</v>
          </cell>
          <cell r="Z2364">
            <v>22900</v>
          </cell>
          <cell r="AD2364">
            <v>0.20899999999999999</v>
          </cell>
        </row>
        <row r="2365">
          <cell r="E2365" t="str">
            <v>■直付ダウンライト</v>
          </cell>
        </row>
        <row r="2366">
          <cell r="E2366" t="str">
            <v>CL14MP-13e</v>
          </cell>
          <cell r="F2366" t="str">
            <v>台</v>
          </cell>
          <cell r="H2366">
            <v>19300</v>
          </cell>
          <cell r="J2366">
            <v>19300</v>
          </cell>
          <cell r="L2366">
            <v>19300</v>
          </cell>
          <cell r="N2366">
            <v>19300</v>
          </cell>
          <cell r="P2366">
            <v>19300</v>
          </cell>
          <cell r="R2366">
            <v>19300</v>
          </cell>
          <cell r="T2366">
            <v>19300</v>
          </cell>
          <cell r="V2366">
            <v>19300</v>
          </cell>
          <cell r="X2366">
            <v>19300</v>
          </cell>
          <cell r="Z2366">
            <v>19300</v>
          </cell>
          <cell r="AD2366">
            <v>0.153</v>
          </cell>
        </row>
        <row r="2367">
          <cell r="E2367" t="str">
            <v>CL14MP-30e</v>
          </cell>
          <cell r="F2367" t="str">
            <v>台</v>
          </cell>
          <cell r="H2367">
            <v>26300</v>
          </cell>
          <cell r="J2367">
            <v>26300</v>
          </cell>
          <cell r="L2367">
            <v>26300</v>
          </cell>
          <cell r="N2367">
            <v>26300</v>
          </cell>
          <cell r="P2367">
            <v>26300</v>
          </cell>
          <cell r="R2367">
            <v>26300</v>
          </cell>
          <cell r="T2367">
            <v>26300</v>
          </cell>
          <cell r="V2367">
            <v>26300</v>
          </cell>
          <cell r="X2367">
            <v>26300</v>
          </cell>
          <cell r="Z2367">
            <v>26300</v>
          </cell>
          <cell r="AD2367">
            <v>0.153</v>
          </cell>
        </row>
        <row r="2368">
          <cell r="E2368" t="str">
            <v>■直付ダウンライト</v>
          </cell>
        </row>
        <row r="2369">
          <cell r="E2369" t="str">
            <v>ds4-09e</v>
          </cell>
          <cell r="F2369" t="str">
            <v>台</v>
          </cell>
          <cell r="H2369">
            <v>8670</v>
          </cell>
          <cell r="J2369">
            <v>8670</v>
          </cell>
          <cell r="L2369">
            <v>8670</v>
          </cell>
          <cell r="N2369">
            <v>8670</v>
          </cell>
          <cell r="P2369">
            <v>8670</v>
          </cell>
          <cell r="R2369">
            <v>8670</v>
          </cell>
          <cell r="T2369">
            <v>8670</v>
          </cell>
          <cell r="V2369">
            <v>8670</v>
          </cell>
          <cell r="X2369">
            <v>8670</v>
          </cell>
          <cell r="Z2369">
            <v>8670</v>
          </cell>
          <cell r="AD2369">
            <v>0.153</v>
          </cell>
        </row>
        <row r="2370">
          <cell r="E2370" t="str">
            <v>ds4-13e</v>
          </cell>
          <cell r="F2370" t="str">
            <v>台</v>
          </cell>
          <cell r="H2370">
            <v>11900</v>
          </cell>
          <cell r="J2370">
            <v>11900</v>
          </cell>
          <cell r="L2370">
            <v>11900</v>
          </cell>
          <cell r="N2370">
            <v>11900</v>
          </cell>
          <cell r="P2370">
            <v>11900</v>
          </cell>
          <cell r="R2370">
            <v>11900</v>
          </cell>
          <cell r="T2370">
            <v>11900</v>
          </cell>
          <cell r="V2370">
            <v>11900</v>
          </cell>
          <cell r="X2370">
            <v>11900</v>
          </cell>
          <cell r="Z2370">
            <v>11900</v>
          </cell>
          <cell r="AD2370">
            <v>0.153</v>
          </cell>
        </row>
        <row r="2372">
          <cell r="E2372" t="str">
            <v>ds4-30e</v>
          </cell>
          <cell r="F2372" t="str">
            <v>台</v>
          </cell>
          <cell r="H2372">
            <v>19500</v>
          </cell>
          <cell r="J2372">
            <v>19500</v>
          </cell>
          <cell r="L2372">
            <v>19500</v>
          </cell>
          <cell r="N2372">
            <v>19500</v>
          </cell>
          <cell r="P2372">
            <v>19500</v>
          </cell>
          <cell r="R2372">
            <v>19500</v>
          </cell>
          <cell r="T2372">
            <v>19500</v>
          </cell>
          <cell r="V2372">
            <v>19500</v>
          </cell>
          <cell r="X2372">
            <v>19500</v>
          </cell>
          <cell r="Z2372">
            <v>19500</v>
          </cell>
          <cell r="AD2372">
            <v>0.153</v>
          </cell>
        </row>
        <row r="2397">
          <cell r="E2397" t="str">
            <v>■避難口(壁埋込)</v>
          </cell>
        </row>
        <row r="2398">
          <cell r="E2398" t="str">
            <v>Xa1-Ce</v>
          </cell>
          <cell r="F2398" t="str">
            <v>台</v>
          </cell>
          <cell r="H2398">
            <v>13600</v>
          </cell>
          <cell r="J2398">
            <v>13600</v>
          </cell>
          <cell r="L2398">
            <v>13600</v>
          </cell>
          <cell r="N2398">
            <v>13600</v>
          </cell>
          <cell r="P2398">
            <v>13600</v>
          </cell>
          <cell r="R2398">
            <v>13600</v>
          </cell>
          <cell r="T2398">
            <v>13600</v>
          </cell>
          <cell r="V2398">
            <v>13600</v>
          </cell>
          <cell r="X2398">
            <v>13600</v>
          </cell>
          <cell r="Z2398">
            <v>13600</v>
          </cell>
          <cell r="AD2398">
            <v>0.217</v>
          </cell>
          <cell r="AH2398">
            <v>1.9</v>
          </cell>
          <cell r="AI2398">
            <v>0.47499999999999998</v>
          </cell>
          <cell r="AJ2398">
            <v>1</v>
          </cell>
          <cell r="AK2398">
            <v>4</v>
          </cell>
        </row>
        <row r="2399">
          <cell r="E2399" t="str">
            <v>Xa1-Ce60</v>
          </cell>
          <cell r="F2399" t="str">
            <v>台</v>
          </cell>
          <cell r="H2399">
            <v>29100</v>
          </cell>
          <cell r="J2399">
            <v>29100</v>
          </cell>
          <cell r="L2399">
            <v>29100</v>
          </cell>
          <cell r="N2399">
            <v>29100</v>
          </cell>
          <cell r="P2399">
            <v>29100</v>
          </cell>
          <cell r="R2399">
            <v>29100</v>
          </cell>
          <cell r="T2399">
            <v>29100</v>
          </cell>
          <cell r="V2399">
            <v>29100</v>
          </cell>
          <cell r="X2399">
            <v>29100</v>
          </cell>
          <cell r="Z2399">
            <v>29100</v>
          </cell>
          <cell r="AD2399">
            <v>0.217</v>
          </cell>
          <cell r="AH2399">
            <v>1.9</v>
          </cell>
          <cell r="AI2399">
            <v>0.46300000000000002</v>
          </cell>
          <cell r="AJ2399">
            <v>1</v>
          </cell>
          <cell r="AK2399">
            <v>4.0999999999999996</v>
          </cell>
        </row>
        <row r="2400">
          <cell r="E2400" t="str">
            <v>Xa1-BLe</v>
          </cell>
          <cell r="F2400" t="str">
            <v>台</v>
          </cell>
          <cell r="H2400">
            <v>20000</v>
          </cell>
          <cell r="J2400">
            <v>20000</v>
          </cell>
          <cell r="L2400">
            <v>20000</v>
          </cell>
          <cell r="N2400">
            <v>20000</v>
          </cell>
          <cell r="P2400">
            <v>20000</v>
          </cell>
          <cell r="R2400">
            <v>20000</v>
          </cell>
          <cell r="T2400">
            <v>20000</v>
          </cell>
          <cell r="V2400">
            <v>20000</v>
          </cell>
          <cell r="X2400">
            <v>20000</v>
          </cell>
          <cell r="Z2400">
            <v>20000</v>
          </cell>
          <cell r="AD2400">
            <v>0.25</v>
          </cell>
          <cell r="AH2400">
            <v>2.5</v>
          </cell>
          <cell r="AI2400">
            <v>0.49</v>
          </cell>
          <cell r="AJ2400">
            <v>1</v>
          </cell>
          <cell r="AK2400">
            <v>5.0999999999999996</v>
          </cell>
        </row>
        <row r="2401">
          <cell r="E2401" t="str">
            <v>Xa1-BLe60</v>
          </cell>
          <cell r="F2401" t="str">
            <v>台</v>
          </cell>
          <cell r="H2401">
            <v>34900</v>
          </cell>
          <cell r="J2401">
            <v>34900</v>
          </cell>
          <cell r="L2401">
            <v>34900</v>
          </cell>
          <cell r="N2401">
            <v>34900</v>
          </cell>
          <cell r="P2401">
            <v>34900</v>
          </cell>
          <cell r="R2401">
            <v>34900</v>
          </cell>
          <cell r="T2401">
            <v>34900</v>
          </cell>
          <cell r="V2401">
            <v>34900</v>
          </cell>
          <cell r="X2401">
            <v>34900</v>
          </cell>
          <cell r="Z2401">
            <v>34900</v>
          </cell>
          <cell r="AD2401">
            <v>0.25</v>
          </cell>
          <cell r="AH2401">
            <v>2.6</v>
          </cell>
          <cell r="AI2401">
            <v>0.49099999999999999</v>
          </cell>
          <cell r="AJ2401">
            <v>1</v>
          </cell>
          <cell r="AK2401">
            <v>5.29</v>
          </cell>
        </row>
        <row r="2402">
          <cell r="E2402" t="str">
            <v>Xa1-BHe</v>
          </cell>
          <cell r="F2402" t="str">
            <v>台</v>
          </cell>
          <cell r="H2402">
            <v>28800</v>
          </cell>
          <cell r="J2402">
            <v>28800</v>
          </cell>
          <cell r="L2402">
            <v>28800</v>
          </cell>
          <cell r="N2402">
            <v>28800</v>
          </cell>
          <cell r="P2402">
            <v>28800</v>
          </cell>
          <cell r="R2402">
            <v>28800</v>
          </cell>
          <cell r="T2402">
            <v>28800</v>
          </cell>
          <cell r="V2402">
            <v>28800</v>
          </cell>
          <cell r="X2402">
            <v>28800</v>
          </cell>
          <cell r="Z2402">
            <v>28800</v>
          </cell>
          <cell r="AD2402">
            <v>0.25</v>
          </cell>
          <cell r="AH2402">
            <v>3.4</v>
          </cell>
          <cell r="AI2402">
            <v>0.50700000000000001</v>
          </cell>
          <cell r="AJ2402">
            <v>1</v>
          </cell>
          <cell r="AK2402">
            <v>6.7</v>
          </cell>
        </row>
        <row r="2403">
          <cell r="E2403" t="str">
            <v>Xa1-BHe60</v>
          </cell>
          <cell r="F2403" t="str">
            <v>台</v>
          </cell>
          <cell r="H2403">
            <v>44000</v>
          </cell>
          <cell r="J2403">
            <v>44000</v>
          </cell>
          <cell r="L2403">
            <v>44000</v>
          </cell>
          <cell r="N2403">
            <v>44000</v>
          </cell>
          <cell r="P2403">
            <v>44000</v>
          </cell>
          <cell r="R2403">
            <v>44000</v>
          </cell>
          <cell r="T2403">
            <v>44000</v>
          </cell>
          <cell r="V2403">
            <v>44000</v>
          </cell>
          <cell r="X2403">
            <v>44000</v>
          </cell>
          <cell r="Z2403">
            <v>44000</v>
          </cell>
          <cell r="AD2403">
            <v>0.25</v>
          </cell>
          <cell r="AH2403">
            <v>3.5</v>
          </cell>
          <cell r="AI2403">
            <v>0.51500000000000001</v>
          </cell>
          <cell r="AJ2403">
            <v>1</v>
          </cell>
          <cell r="AK2403">
            <v>6.79</v>
          </cell>
        </row>
        <row r="2404">
          <cell r="E2404" t="str">
            <v>■避難口(壁埋込)</v>
          </cell>
        </row>
        <row r="2405">
          <cell r="E2405" t="str">
            <v>Xb1AF-BLe</v>
          </cell>
          <cell r="F2405" t="str">
            <v>台</v>
          </cell>
          <cell r="H2405">
            <v>53300</v>
          </cell>
          <cell r="J2405">
            <v>53300</v>
          </cell>
          <cell r="L2405">
            <v>53300</v>
          </cell>
          <cell r="N2405">
            <v>53300</v>
          </cell>
          <cell r="P2405">
            <v>53300</v>
          </cell>
          <cell r="R2405">
            <v>53300</v>
          </cell>
          <cell r="T2405">
            <v>53300</v>
          </cell>
          <cell r="V2405">
            <v>53300</v>
          </cell>
          <cell r="X2405">
            <v>53300</v>
          </cell>
          <cell r="Z2405">
            <v>53300</v>
          </cell>
          <cell r="AD2405">
            <v>0.25</v>
          </cell>
          <cell r="AH2405">
            <v>4.5999999999999996</v>
          </cell>
          <cell r="AI2405">
            <v>0.63900000000000001</v>
          </cell>
          <cell r="AJ2405">
            <v>1</v>
          </cell>
          <cell r="AK2405">
            <v>7.19</v>
          </cell>
        </row>
        <row r="2406">
          <cell r="E2406" t="str">
            <v>Xb1AF-BLe60</v>
          </cell>
          <cell r="F2406" t="str">
            <v>台</v>
          </cell>
          <cell r="H2406">
            <v>91800</v>
          </cell>
          <cell r="J2406">
            <v>91800</v>
          </cell>
          <cell r="L2406">
            <v>91800</v>
          </cell>
          <cell r="N2406">
            <v>91800</v>
          </cell>
          <cell r="P2406">
            <v>91800</v>
          </cell>
          <cell r="R2406">
            <v>91800</v>
          </cell>
          <cell r="T2406">
            <v>91800</v>
          </cell>
          <cell r="V2406">
            <v>91800</v>
          </cell>
          <cell r="X2406">
            <v>91800</v>
          </cell>
          <cell r="Z2406">
            <v>91800</v>
          </cell>
          <cell r="AD2406">
            <v>0.25</v>
          </cell>
          <cell r="AH2406">
            <v>2.8</v>
          </cell>
          <cell r="AI2406">
            <v>0.71599999999999997</v>
          </cell>
          <cell r="AJ2406">
            <v>1</v>
          </cell>
          <cell r="AK2406">
            <v>3.91</v>
          </cell>
        </row>
        <row r="2407">
          <cell r="E2407" t="str">
            <v>Xb1AF-BHe</v>
          </cell>
          <cell r="F2407" t="str">
            <v>台</v>
          </cell>
          <cell r="H2407">
            <v>63100</v>
          </cell>
          <cell r="J2407">
            <v>63100</v>
          </cell>
          <cell r="L2407">
            <v>63100</v>
          </cell>
          <cell r="N2407">
            <v>63100</v>
          </cell>
          <cell r="P2407">
            <v>63100</v>
          </cell>
          <cell r="R2407">
            <v>63100</v>
          </cell>
          <cell r="T2407">
            <v>63100</v>
          </cell>
          <cell r="V2407">
            <v>63100</v>
          </cell>
          <cell r="X2407">
            <v>63100</v>
          </cell>
          <cell r="Z2407">
            <v>63100</v>
          </cell>
          <cell r="AD2407">
            <v>0.25</v>
          </cell>
          <cell r="AH2407">
            <v>5.6</v>
          </cell>
          <cell r="AI2407">
            <v>0.63600000000000001</v>
          </cell>
          <cell r="AJ2407">
            <v>1</v>
          </cell>
          <cell r="AK2407">
            <v>8.8000000000000007</v>
          </cell>
        </row>
        <row r="2408">
          <cell r="E2408" t="str">
            <v>Xb1AF-BHe60</v>
          </cell>
          <cell r="F2408" t="str">
            <v>台</v>
          </cell>
          <cell r="H2408">
            <v>101000</v>
          </cell>
          <cell r="J2408">
            <v>101000</v>
          </cell>
          <cell r="L2408">
            <v>101000</v>
          </cell>
          <cell r="N2408">
            <v>101000</v>
          </cell>
          <cell r="P2408">
            <v>101000</v>
          </cell>
          <cell r="R2408">
            <v>101000</v>
          </cell>
          <cell r="T2408">
            <v>101000</v>
          </cell>
          <cell r="V2408">
            <v>101000</v>
          </cell>
          <cell r="X2408">
            <v>101000</v>
          </cell>
          <cell r="Z2408">
            <v>101000</v>
          </cell>
          <cell r="AD2408">
            <v>0.25</v>
          </cell>
          <cell r="AH2408">
            <v>6.7</v>
          </cell>
          <cell r="AI2408">
            <v>0.69099999999999995</v>
          </cell>
          <cell r="AJ2408">
            <v>1</v>
          </cell>
          <cell r="AK2408">
            <v>9.69</v>
          </cell>
        </row>
        <row r="2409">
          <cell r="E2409" t="str">
            <v>Xb1F-BLe</v>
          </cell>
          <cell r="F2409" t="str">
            <v>台</v>
          </cell>
          <cell r="H2409">
            <v>44200</v>
          </cell>
          <cell r="J2409">
            <v>44200</v>
          </cell>
          <cell r="L2409">
            <v>44200</v>
          </cell>
          <cell r="N2409">
            <v>44200</v>
          </cell>
          <cell r="P2409">
            <v>44200</v>
          </cell>
          <cell r="R2409">
            <v>44200</v>
          </cell>
          <cell r="T2409">
            <v>44200</v>
          </cell>
          <cell r="V2409">
            <v>44200</v>
          </cell>
          <cell r="X2409">
            <v>44200</v>
          </cell>
          <cell r="Z2409">
            <v>44200</v>
          </cell>
          <cell r="AD2409">
            <v>0.25</v>
          </cell>
          <cell r="AH2409">
            <v>4.4000000000000004</v>
          </cell>
          <cell r="AI2409">
            <v>0.64700000000000002</v>
          </cell>
          <cell r="AJ2409">
            <v>1</v>
          </cell>
          <cell r="AK2409">
            <v>6.8</v>
          </cell>
        </row>
        <row r="2410">
          <cell r="E2410" t="str">
            <v>Xb1F-BLe60</v>
          </cell>
          <cell r="F2410" t="str">
            <v>台</v>
          </cell>
          <cell r="H2410">
            <v>79400</v>
          </cell>
          <cell r="J2410">
            <v>79400</v>
          </cell>
          <cell r="L2410">
            <v>79400</v>
          </cell>
          <cell r="N2410">
            <v>79400</v>
          </cell>
          <cell r="P2410">
            <v>79400</v>
          </cell>
          <cell r="R2410">
            <v>79400</v>
          </cell>
          <cell r="T2410">
            <v>79400</v>
          </cell>
          <cell r="V2410">
            <v>79400</v>
          </cell>
          <cell r="X2410">
            <v>79400</v>
          </cell>
          <cell r="Z2410">
            <v>79400</v>
          </cell>
          <cell r="AD2410">
            <v>0.25</v>
          </cell>
          <cell r="AH2410">
            <v>5.4</v>
          </cell>
          <cell r="AI2410">
            <v>0.73</v>
          </cell>
          <cell r="AJ2410">
            <v>1</v>
          </cell>
          <cell r="AK2410">
            <v>7.39</v>
          </cell>
        </row>
        <row r="2411">
          <cell r="E2411" t="str">
            <v>Xb1F-BHe</v>
          </cell>
          <cell r="F2411" t="str">
            <v>台</v>
          </cell>
          <cell r="H2411">
            <v>54300</v>
          </cell>
          <cell r="J2411">
            <v>54300</v>
          </cell>
          <cell r="L2411">
            <v>54300</v>
          </cell>
          <cell r="N2411">
            <v>54300</v>
          </cell>
          <cell r="P2411">
            <v>54300</v>
          </cell>
          <cell r="R2411">
            <v>54300</v>
          </cell>
          <cell r="T2411">
            <v>54300</v>
          </cell>
          <cell r="V2411">
            <v>54300</v>
          </cell>
          <cell r="X2411">
            <v>54300</v>
          </cell>
          <cell r="Z2411">
            <v>54300</v>
          </cell>
          <cell r="AD2411">
            <v>0.25</v>
          </cell>
          <cell r="AH2411">
            <v>5.4</v>
          </cell>
          <cell r="AI2411">
            <v>0.623</v>
          </cell>
          <cell r="AJ2411">
            <v>1</v>
          </cell>
          <cell r="AK2411">
            <v>8.66</v>
          </cell>
        </row>
        <row r="2412">
          <cell r="E2412" t="str">
            <v>Xb1F-BHe60</v>
          </cell>
          <cell r="F2412" t="str">
            <v>台</v>
          </cell>
          <cell r="H2412">
            <v>89200</v>
          </cell>
          <cell r="J2412">
            <v>89200</v>
          </cell>
          <cell r="L2412">
            <v>89200</v>
          </cell>
          <cell r="N2412">
            <v>89200</v>
          </cell>
          <cell r="P2412">
            <v>89200</v>
          </cell>
          <cell r="R2412">
            <v>89200</v>
          </cell>
          <cell r="T2412">
            <v>89200</v>
          </cell>
          <cell r="V2412">
            <v>89200</v>
          </cell>
          <cell r="X2412">
            <v>89200</v>
          </cell>
          <cell r="Z2412">
            <v>89200</v>
          </cell>
          <cell r="AD2412">
            <v>0.25</v>
          </cell>
          <cell r="AH2412">
            <v>6.3</v>
          </cell>
          <cell r="AI2412">
            <v>0.7</v>
          </cell>
          <cell r="AJ2412">
            <v>1</v>
          </cell>
          <cell r="AK2412">
            <v>9</v>
          </cell>
        </row>
        <row r="2413">
          <cell r="E2413" t="str">
            <v>■避難口(直付)</v>
          </cell>
        </row>
        <row r="2414">
          <cell r="E2414" t="str">
            <v>Xc1-Ce</v>
          </cell>
          <cell r="F2414" t="str">
            <v>台</v>
          </cell>
          <cell r="H2414">
            <v>10400</v>
          </cell>
          <cell r="J2414">
            <v>10400</v>
          </cell>
          <cell r="L2414">
            <v>10400</v>
          </cell>
          <cell r="N2414">
            <v>10400</v>
          </cell>
          <cell r="P2414">
            <v>10400</v>
          </cell>
          <cell r="R2414">
            <v>10400</v>
          </cell>
          <cell r="T2414">
            <v>10400</v>
          </cell>
          <cell r="V2414">
            <v>10400</v>
          </cell>
          <cell r="X2414">
            <v>10400</v>
          </cell>
          <cell r="Z2414">
            <v>10400</v>
          </cell>
          <cell r="AD2414">
            <v>0.14099999999999999</v>
          </cell>
          <cell r="AH2414">
            <v>2</v>
          </cell>
          <cell r="AI2414">
            <v>0.47599999999999998</v>
          </cell>
          <cell r="AJ2414">
            <v>1</v>
          </cell>
          <cell r="AK2414">
            <v>4.2</v>
          </cell>
        </row>
        <row r="2415">
          <cell r="E2415" t="str">
            <v>Xc1-Ce60</v>
          </cell>
          <cell r="F2415" t="str">
            <v>台</v>
          </cell>
          <cell r="H2415">
            <v>23800</v>
          </cell>
          <cell r="J2415">
            <v>23800</v>
          </cell>
          <cell r="L2415">
            <v>23800</v>
          </cell>
          <cell r="N2415">
            <v>23800</v>
          </cell>
          <cell r="P2415">
            <v>23800</v>
          </cell>
          <cell r="R2415">
            <v>23800</v>
          </cell>
          <cell r="T2415">
            <v>23800</v>
          </cell>
          <cell r="V2415">
            <v>23800</v>
          </cell>
          <cell r="X2415">
            <v>23800</v>
          </cell>
          <cell r="Z2415">
            <v>23800</v>
          </cell>
          <cell r="AD2415">
            <v>0.14099999999999999</v>
          </cell>
          <cell r="AH2415">
            <v>2.1</v>
          </cell>
          <cell r="AI2415">
            <v>0.47699999999999998</v>
          </cell>
          <cell r="AJ2415">
            <v>1</v>
          </cell>
          <cell r="AK2415">
            <v>4.4000000000000004</v>
          </cell>
        </row>
        <row r="2416">
          <cell r="E2416" t="str">
            <v>Xc1-BLe</v>
          </cell>
          <cell r="F2416" t="str">
            <v>台</v>
          </cell>
          <cell r="H2416">
            <v>15500</v>
          </cell>
          <cell r="J2416">
            <v>15500</v>
          </cell>
          <cell r="L2416">
            <v>15500</v>
          </cell>
          <cell r="N2416">
            <v>15500</v>
          </cell>
          <cell r="P2416">
            <v>15500</v>
          </cell>
          <cell r="R2416">
            <v>15500</v>
          </cell>
          <cell r="T2416">
            <v>15500</v>
          </cell>
          <cell r="V2416">
            <v>15500</v>
          </cell>
          <cell r="X2416">
            <v>15500</v>
          </cell>
          <cell r="Z2416">
            <v>15500</v>
          </cell>
          <cell r="AD2416">
            <v>0.16200000000000001</v>
          </cell>
          <cell r="AH2416">
            <v>2.7</v>
          </cell>
          <cell r="AI2416">
            <v>0.5</v>
          </cell>
          <cell r="AJ2416">
            <v>1</v>
          </cell>
          <cell r="AK2416">
            <v>5.4</v>
          </cell>
        </row>
        <row r="2417">
          <cell r="E2417" t="str">
            <v>Xc1-BLe60</v>
          </cell>
          <cell r="F2417" t="str">
            <v>台</v>
          </cell>
          <cell r="H2417">
            <v>28200</v>
          </cell>
          <cell r="J2417">
            <v>28200</v>
          </cell>
          <cell r="L2417">
            <v>28200</v>
          </cell>
          <cell r="N2417">
            <v>28200</v>
          </cell>
          <cell r="P2417">
            <v>28200</v>
          </cell>
          <cell r="R2417">
            <v>28200</v>
          </cell>
          <cell r="T2417">
            <v>28200</v>
          </cell>
          <cell r="V2417">
            <v>28200</v>
          </cell>
          <cell r="X2417">
            <v>28200</v>
          </cell>
          <cell r="Z2417">
            <v>28200</v>
          </cell>
          <cell r="AD2417">
            <v>0.16200000000000001</v>
          </cell>
          <cell r="AH2417">
            <v>2.7</v>
          </cell>
          <cell r="AI2417">
            <v>0.5</v>
          </cell>
          <cell r="AJ2417">
            <v>1</v>
          </cell>
          <cell r="AK2417">
            <v>5.4</v>
          </cell>
        </row>
        <row r="2418">
          <cell r="E2418" t="str">
            <v>Xc1-BHe</v>
          </cell>
          <cell r="F2418" t="str">
            <v>台</v>
          </cell>
          <cell r="H2418">
            <v>22900</v>
          </cell>
          <cell r="J2418">
            <v>22900</v>
          </cell>
          <cell r="L2418">
            <v>22900</v>
          </cell>
          <cell r="N2418">
            <v>22900</v>
          </cell>
          <cell r="P2418">
            <v>22900</v>
          </cell>
          <cell r="R2418">
            <v>22900</v>
          </cell>
          <cell r="T2418">
            <v>22900</v>
          </cell>
          <cell r="V2418">
            <v>22900</v>
          </cell>
          <cell r="X2418">
            <v>22900</v>
          </cell>
          <cell r="Z2418">
            <v>22900</v>
          </cell>
          <cell r="AD2418">
            <v>0.16200000000000001</v>
          </cell>
          <cell r="AH2418">
            <v>3.6</v>
          </cell>
          <cell r="AI2418">
            <v>0.51400000000000001</v>
          </cell>
          <cell r="AJ2418">
            <v>1</v>
          </cell>
          <cell r="AK2418">
            <v>7</v>
          </cell>
        </row>
        <row r="2419">
          <cell r="E2419" t="str">
            <v>Xc1-BHe60</v>
          </cell>
          <cell r="F2419" t="str">
            <v>台</v>
          </cell>
          <cell r="H2419">
            <v>35900</v>
          </cell>
          <cell r="J2419">
            <v>35900</v>
          </cell>
          <cell r="L2419">
            <v>35900</v>
          </cell>
          <cell r="N2419">
            <v>35900</v>
          </cell>
          <cell r="P2419">
            <v>35900</v>
          </cell>
          <cell r="R2419">
            <v>35900</v>
          </cell>
          <cell r="T2419">
            <v>35900</v>
          </cell>
          <cell r="V2419">
            <v>35900</v>
          </cell>
          <cell r="X2419">
            <v>35900</v>
          </cell>
          <cell r="Z2419">
            <v>35900</v>
          </cell>
          <cell r="AD2419">
            <v>0.16200000000000001</v>
          </cell>
          <cell r="AH2419">
            <v>3.7</v>
          </cell>
          <cell r="AI2419">
            <v>0.52900000000000003</v>
          </cell>
          <cell r="AJ2419">
            <v>1</v>
          </cell>
          <cell r="AK2419">
            <v>6.99</v>
          </cell>
        </row>
        <row r="2420">
          <cell r="E2420" t="str">
            <v>Xc1-Ae</v>
          </cell>
          <cell r="F2420" t="str">
            <v>台</v>
          </cell>
          <cell r="H2420">
            <v>45600</v>
          </cell>
          <cell r="J2420">
            <v>45600</v>
          </cell>
          <cell r="L2420">
            <v>45600</v>
          </cell>
          <cell r="N2420">
            <v>45600</v>
          </cell>
          <cell r="P2420">
            <v>45600</v>
          </cell>
          <cell r="R2420">
            <v>45600</v>
          </cell>
          <cell r="T2420">
            <v>45600</v>
          </cell>
          <cell r="V2420">
            <v>45600</v>
          </cell>
          <cell r="X2420">
            <v>45600</v>
          </cell>
          <cell r="Z2420">
            <v>45600</v>
          </cell>
          <cell r="AD2420">
            <v>0.26100000000000001</v>
          </cell>
          <cell r="AH2420">
            <v>10.5</v>
          </cell>
          <cell r="AI2420">
            <v>0.55300000000000005</v>
          </cell>
          <cell r="AJ2420">
            <v>1</v>
          </cell>
          <cell r="AK2420">
            <v>18.98</v>
          </cell>
        </row>
        <row r="2421">
          <cell r="E2421" t="str">
            <v>Xc1AF-BLe</v>
          </cell>
          <cell r="F2421" t="str">
            <v>台</v>
          </cell>
          <cell r="H2421">
            <v>47700</v>
          </cell>
          <cell r="J2421">
            <v>47700</v>
          </cell>
          <cell r="L2421">
            <v>47700</v>
          </cell>
          <cell r="N2421">
            <v>47700</v>
          </cell>
          <cell r="P2421">
            <v>47700</v>
          </cell>
          <cell r="R2421">
            <v>47700</v>
          </cell>
          <cell r="T2421">
            <v>47700</v>
          </cell>
          <cell r="V2421">
            <v>47700</v>
          </cell>
          <cell r="X2421">
            <v>47700</v>
          </cell>
          <cell r="Z2421">
            <v>47700</v>
          </cell>
          <cell r="AD2421">
            <v>0.16200000000000001</v>
          </cell>
          <cell r="AH2421">
            <v>4.5999999999999996</v>
          </cell>
          <cell r="AI2421">
            <v>0.63900000000000001</v>
          </cell>
          <cell r="AJ2421">
            <v>1</v>
          </cell>
          <cell r="AK2421">
            <v>7.19</v>
          </cell>
        </row>
        <row r="2422">
          <cell r="E2422" t="str">
            <v>Xc1AF-BLe60</v>
          </cell>
          <cell r="F2422" t="str">
            <v>台</v>
          </cell>
          <cell r="H2422">
            <v>82800</v>
          </cell>
          <cell r="J2422">
            <v>82800</v>
          </cell>
          <cell r="L2422">
            <v>82800</v>
          </cell>
          <cell r="N2422">
            <v>82800</v>
          </cell>
          <cell r="P2422">
            <v>82800</v>
          </cell>
          <cell r="R2422">
            <v>82800</v>
          </cell>
          <cell r="T2422">
            <v>82800</v>
          </cell>
          <cell r="V2422">
            <v>82800</v>
          </cell>
          <cell r="X2422">
            <v>82800</v>
          </cell>
          <cell r="Z2422">
            <v>82800</v>
          </cell>
          <cell r="AD2422">
            <v>0.16200000000000001</v>
          </cell>
          <cell r="AH2422">
            <v>5.8</v>
          </cell>
          <cell r="AI2422">
            <v>0.71599999999999997</v>
          </cell>
          <cell r="AJ2422">
            <v>1</v>
          </cell>
          <cell r="AK2422">
            <v>8.1</v>
          </cell>
        </row>
        <row r="2423">
          <cell r="E2423" t="str">
            <v>Xc1AF-BHe</v>
          </cell>
          <cell r="F2423" t="str">
            <v>台</v>
          </cell>
          <cell r="H2423">
            <v>55800</v>
          </cell>
          <cell r="J2423">
            <v>55800</v>
          </cell>
          <cell r="L2423">
            <v>55800</v>
          </cell>
          <cell r="N2423">
            <v>55800</v>
          </cell>
          <cell r="P2423">
            <v>55800</v>
          </cell>
          <cell r="R2423">
            <v>55800</v>
          </cell>
          <cell r="T2423">
            <v>55800</v>
          </cell>
          <cell r="V2423">
            <v>55800</v>
          </cell>
          <cell r="X2423">
            <v>55800</v>
          </cell>
          <cell r="Z2423">
            <v>55800</v>
          </cell>
          <cell r="AD2423">
            <v>0.16200000000000001</v>
          </cell>
          <cell r="AH2423">
            <v>5.4</v>
          </cell>
          <cell r="AI2423">
            <v>0.64300000000000002</v>
          </cell>
          <cell r="AJ2423">
            <v>1</v>
          </cell>
          <cell r="AK2423">
            <v>8.39</v>
          </cell>
        </row>
        <row r="2424">
          <cell r="E2424" t="str">
            <v>Xd1F-BLe</v>
          </cell>
          <cell r="F2424" t="str">
            <v>台</v>
          </cell>
          <cell r="H2424">
            <v>39000</v>
          </cell>
          <cell r="J2424">
            <v>39000</v>
          </cell>
          <cell r="L2424">
            <v>39000</v>
          </cell>
          <cell r="N2424">
            <v>39000</v>
          </cell>
          <cell r="P2424">
            <v>39000</v>
          </cell>
          <cell r="R2424">
            <v>39000</v>
          </cell>
          <cell r="T2424">
            <v>39000</v>
          </cell>
          <cell r="V2424">
            <v>39000</v>
          </cell>
          <cell r="X2424">
            <v>39000</v>
          </cell>
          <cell r="Z2424">
            <v>39000</v>
          </cell>
          <cell r="AD2424">
            <v>0.16200000000000001</v>
          </cell>
          <cell r="AH2424">
            <v>4.4000000000000004</v>
          </cell>
          <cell r="AI2424">
            <v>0.64700000000000002</v>
          </cell>
          <cell r="AJ2424">
            <v>1</v>
          </cell>
          <cell r="AK2424">
            <v>6.8</v>
          </cell>
        </row>
        <row r="2425">
          <cell r="E2425" t="str">
            <v>Xd1F-BLe60</v>
          </cell>
          <cell r="F2425" t="str">
            <v>台</v>
          </cell>
          <cell r="H2425">
            <v>71900</v>
          </cell>
          <cell r="J2425">
            <v>71900</v>
          </cell>
          <cell r="L2425">
            <v>71900</v>
          </cell>
          <cell r="N2425">
            <v>71900</v>
          </cell>
          <cell r="P2425">
            <v>71900</v>
          </cell>
          <cell r="R2425">
            <v>71900</v>
          </cell>
          <cell r="T2425">
            <v>71900</v>
          </cell>
          <cell r="V2425">
            <v>71900</v>
          </cell>
          <cell r="X2425">
            <v>71900</v>
          </cell>
          <cell r="Z2425">
            <v>71900</v>
          </cell>
          <cell r="AD2425">
            <v>0.16200000000000001</v>
          </cell>
          <cell r="AH2425">
            <v>5.4</v>
          </cell>
          <cell r="AI2425">
            <v>0.73</v>
          </cell>
          <cell r="AJ2425">
            <v>1</v>
          </cell>
          <cell r="AK2425">
            <v>7.39</v>
          </cell>
        </row>
        <row r="2426">
          <cell r="E2426" t="str">
            <v>Xd1F-BHe</v>
          </cell>
          <cell r="F2426" t="str">
            <v>台</v>
          </cell>
          <cell r="H2426">
            <v>47400</v>
          </cell>
          <cell r="J2426">
            <v>47400</v>
          </cell>
          <cell r="L2426">
            <v>47400</v>
          </cell>
          <cell r="N2426">
            <v>47400</v>
          </cell>
          <cell r="P2426">
            <v>47400</v>
          </cell>
          <cell r="R2426">
            <v>47400</v>
          </cell>
          <cell r="T2426">
            <v>47400</v>
          </cell>
          <cell r="V2426">
            <v>47400</v>
          </cell>
          <cell r="X2426">
            <v>47400</v>
          </cell>
          <cell r="Z2426">
            <v>47400</v>
          </cell>
          <cell r="AD2426">
            <v>0.16200000000000001</v>
          </cell>
          <cell r="AH2426">
            <v>5.4</v>
          </cell>
          <cell r="AI2426">
            <v>0.64300000000000002</v>
          </cell>
          <cell r="AJ2426">
            <v>1</v>
          </cell>
          <cell r="AK2426">
            <v>8.39</v>
          </cell>
        </row>
        <row r="2427">
          <cell r="E2427" t="str">
            <v>Xd1F-BHe60</v>
          </cell>
          <cell r="F2427" t="str">
            <v>台</v>
          </cell>
          <cell r="H2427">
            <v>80300</v>
          </cell>
          <cell r="J2427">
            <v>80300</v>
          </cell>
          <cell r="L2427">
            <v>80300</v>
          </cell>
          <cell r="N2427">
            <v>80300</v>
          </cell>
          <cell r="P2427">
            <v>80300</v>
          </cell>
          <cell r="R2427">
            <v>80300</v>
          </cell>
          <cell r="T2427">
            <v>80300</v>
          </cell>
          <cell r="V2427">
            <v>80300</v>
          </cell>
          <cell r="X2427">
            <v>80300</v>
          </cell>
          <cell r="Z2427">
            <v>80300</v>
          </cell>
          <cell r="AD2427">
            <v>0.16200000000000001</v>
          </cell>
          <cell r="AH2427">
            <v>6.3</v>
          </cell>
          <cell r="AI2427">
            <v>0.7</v>
          </cell>
          <cell r="AJ2427">
            <v>1</v>
          </cell>
          <cell r="AK2427">
            <v>9</v>
          </cell>
        </row>
        <row r="2428">
          <cell r="E2428" t="str">
            <v>■避難口(片面天井埋込)</v>
          </cell>
        </row>
        <row r="2429">
          <cell r="E2429" t="str">
            <v>Xf1-Ce</v>
          </cell>
          <cell r="F2429" t="str">
            <v>台</v>
          </cell>
          <cell r="H2429">
            <v>13000</v>
          </cell>
          <cell r="J2429">
            <v>13000</v>
          </cell>
          <cell r="L2429">
            <v>13000</v>
          </cell>
          <cell r="N2429">
            <v>13000</v>
          </cell>
          <cell r="P2429">
            <v>13000</v>
          </cell>
          <cell r="R2429">
            <v>13000</v>
          </cell>
          <cell r="T2429">
            <v>13000</v>
          </cell>
          <cell r="V2429">
            <v>13000</v>
          </cell>
          <cell r="X2429">
            <v>13000</v>
          </cell>
          <cell r="Z2429">
            <v>13000</v>
          </cell>
          <cell r="AD2429">
            <v>0.217</v>
          </cell>
          <cell r="AH2429">
            <v>1.9</v>
          </cell>
          <cell r="AI2429">
            <v>0.47499999999999998</v>
          </cell>
          <cell r="AJ2429">
            <v>1</v>
          </cell>
          <cell r="AK2429">
            <v>4</v>
          </cell>
        </row>
        <row r="2430">
          <cell r="E2430" t="str">
            <v>Xf1-Ce60</v>
          </cell>
          <cell r="F2430" t="str">
            <v>台</v>
          </cell>
          <cell r="H2430">
            <v>31000</v>
          </cell>
          <cell r="J2430">
            <v>31000</v>
          </cell>
          <cell r="L2430">
            <v>31000</v>
          </cell>
          <cell r="N2430">
            <v>31000</v>
          </cell>
          <cell r="P2430">
            <v>31000</v>
          </cell>
          <cell r="R2430">
            <v>31000</v>
          </cell>
          <cell r="T2430">
            <v>31000</v>
          </cell>
          <cell r="V2430">
            <v>31000</v>
          </cell>
          <cell r="X2430">
            <v>31000</v>
          </cell>
          <cell r="Z2430">
            <v>31000</v>
          </cell>
          <cell r="AD2430">
            <v>0.217</v>
          </cell>
          <cell r="AH2430">
            <v>2.1</v>
          </cell>
          <cell r="AI2430">
            <v>0.47699999999999998</v>
          </cell>
          <cell r="AJ2430">
            <v>1</v>
          </cell>
          <cell r="AK2430">
            <v>4.4000000000000004</v>
          </cell>
        </row>
        <row r="2431">
          <cell r="E2431" t="str">
            <v>Xf1-BLe</v>
          </cell>
          <cell r="F2431" t="str">
            <v>台</v>
          </cell>
          <cell r="H2431">
            <v>19600</v>
          </cell>
          <cell r="J2431">
            <v>19600</v>
          </cell>
          <cell r="L2431">
            <v>19600</v>
          </cell>
          <cell r="N2431">
            <v>19600</v>
          </cell>
          <cell r="P2431">
            <v>19600</v>
          </cell>
          <cell r="R2431">
            <v>19600</v>
          </cell>
          <cell r="T2431">
            <v>19600</v>
          </cell>
          <cell r="V2431">
            <v>19600</v>
          </cell>
          <cell r="X2431">
            <v>19600</v>
          </cell>
          <cell r="Z2431">
            <v>19600</v>
          </cell>
          <cell r="AD2431">
            <v>0.25</v>
          </cell>
          <cell r="AH2431">
            <v>2.6</v>
          </cell>
          <cell r="AI2431">
            <v>0.49099999999999999</v>
          </cell>
          <cell r="AJ2431">
            <v>1</v>
          </cell>
          <cell r="AK2431">
            <v>5.29</v>
          </cell>
        </row>
        <row r="2432">
          <cell r="E2432" t="str">
            <v>Xf1-BLe60</v>
          </cell>
          <cell r="F2432" t="str">
            <v>台</v>
          </cell>
          <cell r="H2432">
            <v>34000</v>
          </cell>
          <cell r="J2432">
            <v>34000</v>
          </cell>
          <cell r="L2432">
            <v>34000</v>
          </cell>
          <cell r="N2432">
            <v>34000</v>
          </cell>
          <cell r="P2432">
            <v>34000</v>
          </cell>
          <cell r="R2432">
            <v>34000</v>
          </cell>
          <cell r="T2432">
            <v>34000</v>
          </cell>
          <cell r="V2432">
            <v>34000</v>
          </cell>
          <cell r="X2432">
            <v>34000</v>
          </cell>
          <cell r="Z2432">
            <v>34000</v>
          </cell>
          <cell r="AD2432">
            <v>0.25</v>
          </cell>
          <cell r="AH2432">
            <v>2.7</v>
          </cell>
          <cell r="AI2432">
            <v>0.5</v>
          </cell>
          <cell r="AJ2432">
            <v>1</v>
          </cell>
          <cell r="AK2432">
            <v>5.4</v>
          </cell>
        </row>
        <row r="2433">
          <cell r="E2433" t="str">
            <v>Xf1-BHe</v>
          </cell>
          <cell r="F2433" t="str">
            <v>台</v>
          </cell>
          <cell r="H2433">
            <v>29600</v>
          </cell>
          <cell r="J2433">
            <v>29600</v>
          </cell>
          <cell r="L2433">
            <v>29600</v>
          </cell>
          <cell r="N2433">
            <v>29600</v>
          </cell>
          <cell r="P2433">
            <v>29600</v>
          </cell>
          <cell r="R2433">
            <v>29600</v>
          </cell>
          <cell r="T2433">
            <v>29600</v>
          </cell>
          <cell r="V2433">
            <v>29600</v>
          </cell>
          <cell r="X2433">
            <v>29600</v>
          </cell>
          <cell r="Z2433">
            <v>29600</v>
          </cell>
          <cell r="AD2433">
            <v>0.25</v>
          </cell>
          <cell r="AH2433">
            <v>3.6</v>
          </cell>
          <cell r="AI2433">
            <v>0.51400000000000001</v>
          </cell>
          <cell r="AJ2433">
            <v>1</v>
          </cell>
          <cell r="AK2433">
            <v>7</v>
          </cell>
        </row>
        <row r="2434">
          <cell r="E2434" t="str">
            <v>Xf1-BHe60</v>
          </cell>
          <cell r="F2434" t="str">
            <v>台</v>
          </cell>
          <cell r="H2434">
            <v>43800</v>
          </cell>
          <cell r="J2434">
            <v>43800</v>
          </cell>
          <cell r="L2434">
            <v>43800</v>
          </cell>
          <cell r="N2434">
            <v>43800</v>
          </cell>
          <cell r="P2434">
            <v>43800</v>
          </cell>
          <cell r="R2434">
            <v>43800</v>
          </cell>
          <cell r="T2434">
            <v>43800</v>
          </cell>
          <cell r="V2434">
            <v>43800</v>
          </cell>
          <cell r="X2434">
            <v>43800</v>
          </cell>
          <cell r="Z2434">
            <v>43800</v>
          </cell>
          <cell r="AD2434">
            <v>0.25</v>
          </cell>
          <cell r="AH2434">
            <v>3.7</v>
          </cell>
          <cell r="AI2434">
            <v>0.52900000000000003</v>
          </cell>
          <cell r="AJ2434">
            <v>1</v>
          </cell>
          <cell r="AK2434">
            <v>6.99</v>
          </cell>
        </row>
        <row r="2435">
          <cell r="E2435" t="str">
            <v>Xf1F-BLe</v>
          </cell>
          <cell r="F2435" t="str">
            <v>台</v>
          </cell>
          <cell r="H2435">
            <v>47000</v>
          </cell>
          <cell r="J2435">
            <v>47000</v>
          </cell>
          <cell r="L2435">
            <v>47000</v>
          </cell>
          <cell r="N2435">
            <v>47000</v>
          </cell>
          <cell r="P2435">
            <v>47000</v>
          </cell>
          <cell r="R2435">
            <v>47000</v>
          </cell>
          <cell r="T2435">
            <v>47000</v>
          </cell>
          <cell r="V2435">
            <v>47000</v>
          </cell>
          <cell r="X2435">
            <v>47000</v>
          </cell>
          <cell r="Z2435">
            <v>47000</v>
          </cell>
          <cell r="AD2435">
            <v>0.25</v>
          </cell>
          <cell r="AH2435">
            <v>2.6</v>
          </cell>
          <cell r="AI2435">
            <v>0.49099999999999999</v>
          </cell>
          <cell r="AJ2435">
            <v>1</v>
          </cell>
          <cell r="AK2435">
            <v>5.29</v>
          </cell>
        </row>
        <row r="2436">
          <cell r="E2436" t="str">
            <v>Xf1F-BHe</v>
          </cell>
          <cell r="F2436" t="str">
            <v>台</v>
          </cell>
          <cell r="H2436">
            <v>57000</v>
          </cell>
          <cell r="J2436">
            <v>57000</v>
          </cell>
          <cell r="L2436">
            <v>57000</v>
          </cell>
          <cell r="N2436">
            <v>57000</v>
          </cell>
          <cell r="P2436">
            <v>57000</v>
          </cell>
          <cell r="R2436">
            <v>57000</v>
          </cell>
          <cell r="T2436">
            <v>57000</v>
          </cell>
          <cell r="V2436">
            <v>57000</v>
          </cell>
          <cell r="X2436">
            <v>57000</v>
          </cell>
          <cell r="Z2436">
            <v>57000</v>
          </cell>
          <cell r="AD2436">
            <v>0.25</v>
          </cell>
          <cell r="AH2436">
            <v>3.6</v>
          </cell>
          <cell r="AI2436">
            <v>0.51400000000000001</v>
          </cell>
          <cell r="AJ2436">
            <v>1</v>
          </cell>
          <cell r="AK2436">
            <v>7</v>
          </cell>
        </row>
        <row r="2437">
          <cell r="E2437" t="str">
            <v>■避難口(両面天井埋込)</v>
          </cell>
        </row>
        <row r="2438">
          <cell r="E2438" t="str">
            <v>Xg2-Ce</v>
          </cell>
          <cell r="F2438" t="str">
            <v>台</v>
          </cell>
          <cell r="H2438">
            <v>14500</v>
          </cell>
          <cell r="J2438">
            <v>14500</v>
          </cell>
          <cell r="L2438">
            <v>14500</v>
          </cell>
          <cell r="N2438">
            <v>14500</v>
          </cell>
          <cell r="P2438">
            <v>14500</v>
          </cell>
          <cell r="R2438">
            <v>14500</v>
          </cell>
          <cell r="T2438">
            <v>14500</v>
          </cell>
          <cell r="V2438">
            <v>14500</v>
          </cell>
          <cell r="X2438">
            <v>14500</v>
          </cell>
          <cell r="Z2438">
            <v>14500</v>
          </cell>
          <cell r="AD2438">
            <v>0.217</v>
          </cell>
          <cell r="AH2438">
            <v>2.6</v>
          </cell>
          <cell r="AI2438">
            <v>0.49099999999999999</v>
          </cell>
          <cell r="AJ2438">
            <v>1</v>
          </cell>
          <cell r="AK2438">
            <v>5.29</v>
          </cell>
        </row>
        <row r="2439">
          <cell r="E2439" t="str">
            <v>Xg2-Ce60</v>
          </cell>
          <cell r="F2439" t="str">
            <v>台</v>
          </cell>
          <cell r="H2439">
            <v>36100</v>
          </cell>
          <cell r="J2439">
            <v>36100</v>
          </cell>
          <cell r="L2439">
            <v>36100</v>
          </cell>
          <cell r="N2439">
            <v>36100</v>
          </cell>
          <cell r="P2439">
            <v>36100</v>
          </cell>
          <cell r="R2439">
            <v>36100</v>
          </cell>
          <cell r="T2439">
            <v>36100</v>
          </cell>
          <cell r="V2439">
            <v>36100</v>
          </cell>
          <cell r="X2439">
            <v>36100</v>
          </cell>
          <cell r="Z2439">
            <v>36100</v>
          </cell>
          <cell r="AD2439">
            <v>0.217</v>
          </cell>
          <cell r="AH2439">
            <v>2.7</v>
          </cell>
          <cell r="AI2439">
            <v>0.5</v>
          </cell>
          <cell r="AJ2439">
            <v>1</v>
          </cell>
          <cell r="AK2439">
            <v>5.4</v>
          </cell>
        </row>
        <row r="2440">
          <cell r="E2440" t="str">
            <v>Xg2-BLe</v>
          </cell>
          <cell r="F2440" t="str">
            <v>台</v>
          </cell>
          <cell r="H2440">
            <v>22800</v>
          </cell>
          <cell r="J2440">
            <v>22800</v>
          </cell>
          <cell r="L2440">
            <v>22800</v>
          </cell>
          <cell r="N2440">
            <v>22800</v>
          </cell>
          <cell r="P2440">
            <v>22800</v>
          </cell>
          <cell r="R2440">
            <v>22800</v>
          </cell>
          <cell r="T2440">
            <v>22800</v>
          </cell>
          <cell r="V2440">
            <v>22800</v>
          </cell>
          <cell r="X2440">
            <v>22800</v>
          </cell>
          <cell r="Z2440">
            <v>22800</v>
          </cell>
          <cell r="AD2440">
            <v>0.25</v>
          </cell>
          <cell r="AH2440">
            <v>3.6</v>
          </cell>
          <cell r="AI2440">
            <v>0.52200000000000002</v>
          </cell>
          <cell r="AJ2440">
            <v>1</v>
          </cell>
          <cell r="AK2440">
            <v>6.89</v>
          </cell>
        </row>
        <row r="2441">
          <cell r="E2441" t="str">
            <v>Xg2-BLe60</v>
          </cell>
          <cell r="F2441" t="str">
            <v>台</v>
          </cell>
          <cell r="H2441">
            <v>37000</v>
          </cell>
          <cell r="J2441">
            <v>37000</v>
          </cell>
          <cell r="L2441">
            <v>37000</v>
          </cell>
          <cell r="N2441">
            <v>37000</v>
          </cell>
          <cell r="P2441">
            <v>37000</v>
          </cell>
          <cell r="R2441">
            <v>37000</v>
          </cell>
          <cell r="T2441">
            <v>37000</v>
          </cell>
          <cell r="V2441">
            <v>37000</v>
          </cell>
          <cell r="X2441">
            <v>37000</v>
          </cell>
          <cell r="Z2441">
            <v>37000</v>
          </cell>
          <cell r="AD2441">
            <v>0.25</v>
          </cell>
          <cell r="AH2441">
            <v>3.7</v>
          </cell>
          <cell r="AI2441">
            <v>0.52100000000000002</v>
          </cell>
          <cell r="AJ2441">
            <v>1</v>
          </cell>
          <cell r="AK2441">
            <v>7.1</v>
          </cell>
        </row>
        <row r="2442">
          <cell r="E2442" t="str">
            <v>Xg2-BHe</v>
          </cell>
          <cell r="F2442" t="str">
            <v>台</v>
          </cell>
          <cell r="H2442">
            <v>34700</v>
          </cell>
          <cell r="J2442">
            <v>34700</v>
          </cell>
          <cell r="L2442">
            <v>34700</v>
          </cell>
          <cell r="N2442">
            <v>34700</v>
          </cell>
          <cell r="P2442">
            <v>34700</v>
          </cell>
          <cell r="R2442">
            <v>34700</v>
          </cell>
          <cell r="T2442">
            <v>34700</v>
          </cell>
          <cell r="V2442">
            <v>34700</v>
          </cell>
          <cell r="X2442">
            <v>34700</v>
          </cell>
          <cell r="Z2442">
            <v>34700</v>
          </cell>
          <cell r="AD2442">
            <v>0.25</v>
          </cell>
          <cell r="AH2442">
            <v>5.4</v>
          </cell>
          <cell r="AI2442">
            <v>0.54</v>
          </cell>
          <cell r="AJ2442">
            <v>1</v>
          </cell>
          <cell r="AK2442">
            <v>10</v>
          </cell>
        </row>
        <row r="2443">
          <cell r="E2443" t="str">
            <v>Xg2-BHe60</v>
          </cell>
          <cell r="F2443" t="str">
            <v>台</v>
          </cell>
          <cell r="H2443">
            <v>48900</v>
          </cell>
          <cell r="J2443">
            <v>48900</v>
          </cell>
          <cell r="L2443">
            <v>48900</v>
          </cell>
          <cell r="N2443">
            <v>48900</v>
          </cell>
          <cell r="P2443">
            <v>48900</v>
          </cell>
          <cell r="R2443">
            <v>48900</v>
          </cell>
          <cell r="T2443">
            <v>48900</v>
          </cell>
          <cell r="V2443">
            <v>48900</v>
          </cell>
          <cell r="X2443">
            <v>48900</v>
          </cell>
          <cell r="Z2443">
            <v>48900</v>
          </cell>
          <cell r="AD2443">
            <v>0.25</v>
          </cell>
          <cell r="AH2443">
            <v>5.5</v>
          </cell>
          <cell r="AI2443">
            <v>0.55000000000000004</v>
          </cell>
          <cell r="AJ2443">
            <v>1</v>
          </cell>
          <cell r="AK2443">
            <v>10</v>
          </cell>
        </row>
        <row r="2444">
          <cell r="E2444" t="str">
            <v>Xg2F-BLe</v>
          </cell>
          <cell r="F2444" t="str">
            <v>台</v>
          </cell>
          <cell r="H2444">
            <v>50200</v>
          </cell>
          <cell r="J2444">
            <v>50200</v>
          </cell>
          <cell r="L2444">
            <v>50200</v>
          </cell>
          <cell r="N2444">
            <v>50200</v>
          </cell>
          <cell r="P2444">
            <v>50200</v>
          </cell>
          <cell r="R2444">
            <v>50200</v>
          </cell>
          <cell r="T2444">
            <v>50200</v>
          </cell>
          <cell r="V2444">
            <v>50200</v>
          </cell>
          <cell r="X2444">
            <v>50200</v>
          </cell>
          <cell r="Z2444">
            <v>50200</v>
          </cell>
          <cell r="AD2444">
            <v>0.25</v>
          </cell>
          <cell r="AH2444">
            <v>3.6</v>
          </cell>
          <cell r="AI2444">
            <v>0.52200000000000002</v>
          </cell>
          <cell r="AJ2444">
            <v>1</v>
          </cell>
          <cell r="AK2444">
            <v>6.89</v>
          </cell>
        </row>
        <row r="2445">
          <cell r="E2445" t="str">
            <v>Xg2F-BHe</v>
          </cell>
          <cell r="F2445" t="str">
            <v>台</v>
          </cell>
          <cell r="H2445">
            <v>62100</v>
          </cell>
          <cell r="J2445">
            <v>62100</v>
          </cell>
          <cell r="L2445">
            <v>62100</v>
          </cell>
          <cell r="N2445">
            <v>62100</v>
          </cell>
          <cell r="P2445">
            <v>62100</v>
          </cell>
          <cell r="R2445">
            <v>62100</v>
          </cell>
          <cell r="T2445">
            <v>62100</v>
          </cell>
          <cell r="V2445">
            <v>62100</v>
          </cell>
          <cell r="X2445">
            <v>62100</v>
          </cell>
          <cell r="Z2445">
            <v>62100</v>
          </cell>
          <cell r="AD2445">
            <v>0.25</v>
          </cell>
          <cell r="AH2445">
            <v>5.4</v>
          </cell>
          <cell r="AI2445">
            <v>0.54</v>
          </cell>
          <cell r="AJ2445">
            <v>1</v>
          </cell>
          <cell r="AK2445">
            <v>10</v>
          </cell>
        </row>
        <row r="2446">
          <cell r="E2446" t="str">
            <v>■避難口(直付)</v>
          </cell>
        </row>
        <row r="2447">
          <cell r="E2447" t="str">
            <v>Xh1-Ce</v>
          </cell>
          <cell r="F2447" t="str">
            <v>台</v>
          </cell>
          <cell r="H2447">
            <v>10400</v>
          </cell>
          <cell r="J2447">
            <v>10400</v>
          </cell>
          <cell r="L2447">
            <v>10400</v>
          </cell>
          <cell r="N2447">
            <v>10400</v>
          </cell>
          <cell r="P2447">
            <v>10400</v>
          </cell>
          <cell r="R2447">
            <v>10400</v>
          </cell>
          <cell r="T2447">
            <v>10400</v>
          </cell>
          <cell r="V2447">
            <v>10400</v>
          </cell>
          <cell r="X2447">
            <v>10400</v>
          </cell>
          <cell r="Z2447">
            <v>10400</v>
          </cell>
          <cell r="AD2447">
            <v>0.14099999999999999</v>
          </cell>
          <cell r="AH2447">
            <v>2</v>
          </cell>
          <cell r="AI2447">
            <v>0.47599999999999998</v>
          </cell>
          <cell r="AJ2447">
            <v>1</v>
          </cell>
          <cell r="AK2447">
            <v>4.2</v>
          </cell>
        </row>
        <row r="2448">
          <cell r="E2448" t="str">
            <v>Xh1-Ce60</v>
          </cell>
          <cell r="F2448" t="str">
            <v>台</v>
          </cell>
          <cell r="H2448">
            <v>23800</v>
          </cell>
          <cell r="J2448">
            <v>23800</v>
          </cell>
          <cell r="L2448">
            <v>23800</v>
          </cell>
          <cell r="N2448">
            <v>23800</v>
          </cell>
          <cell r="P2448">
            <v>23800</v>
          </cell>
          <cell r="R2448">
            <v>23800</v>
          </cell>
          <cell r="T2448">
            <v>23800</v>
          </cell>
          <cell r="V2448">
            <v>23800</v>
          </cell>
          <cell r="X2448">
            <v>23800</v>
          </cell>
          <cell r="Z2448">
            <v>23800</v>
          </cell>
          <cell r="AD2448">
            <v>0.14099999999999999</v>
          </cell>
          <cell r="AH2448">
            <v>2.1</v>
          </cell>
          <cell r="AI2448">
            <v>0.47699999999999998</v>
          </cell>
          <cell r="AJ2448">
            <v>1</v>
          </cell>
          <cell r="AK2448">
            <v>4.4000000000000004</v>
          </cell>
        </row>
        <row r="2449">
          <cell r="E2449" t="str">
            <v>Xh1-BLe</v>
          </cell>
          <cell r="F2449" t="str">
            <v>台</v>
          </cell>
          <cell r="H2449">
            <v>15500</v>
          </cell>
          <cell r="J2449">
            <v>15500</v>
          </cell>
          <cell r="L2449">
            <v>15500</v>
          </cell>
          <cell r="N2449">
            <v>15500</v>
          </cell>
          <cell r="P2449">
            <v>15500</v>
          </cell>
          <cell r="R2449">
            <v>15500</v>
          </cell>
          <cell r="T2449">
            <v>15500</v>
          </cell>
          <cell r="V2449">
            <v>15500</v>
          </cell>
          <cell r="X2449">
            <v>15500</v>
          </cell>
          <cell r="Z2449">
            <v>15500</v>
          </cell>
          <cell r="AD2449">
            <v>0.16200000000000001</v>
          </cell>
          <cell r="AH2449">
            <v>2.7</v>
          </cell>
          <cell r="AI2449">
            <v>0.5</v>
          </cell>
          <cell r="AJ2449">
            <v>1</v>
          </cell>
          <cell r="AK2449">
            <v>5.4</v>
          </cell>
        </row>
        <row r="2450">
          <cell r="E2450" t="str">
            <v>Xh1-BLe60</v>
          </cell>
          <cell r="F2450" t="str">
            <v>台</v>
          </cell>
          <cell r="H2450">
            <v>28200</v>
          </cell>
          <cell r="J2450">
            <v>28200</v>
          </cell>
          <cell r="L2450">
            <v>28200</v>
          </cell>
          <cell r="N2450">
            <v>28200</v>
          </cell>
          <cell r="P2450">
            <v>28200</v>
          </cell>
          <cell r="R2450">
            <v>28200</v>
          </cell>
          <cell r="T2450">
            <v>28200</v>
          </cell>
          <cell r="V2450">
            <v>28200</v>
          </cell>
          <cell r="X2450">
            <v>28200</v>
          </cell>
          <cell r="Z2450">
            <v>28200</v>
          </cell>
          <cell r="AD2450">
            <v>0.16200000000000001</v>
          </cell>
          <cell r="AH2450">
            <v>2.7</v>
          </cell>
          <cell r="AI2450">
            <v>0.5</v>
          </cell>
          <cell r="AJ2450">
            <v>1</v>
          </cell>
          <cell r="AK2450">
            <v>5.4</v>
          </cell>
        </row>
        <row r="2451">
          <cell r="E2451" t="str">
            <v>Xh1-BHe</v>
          </cell>
          <cell r="F2451" t="str">
            <v>台</v>
          </cell>
          <cell r="H2451">
            <v>22900</v>
          </cell>
          <cell r="J2451">
            <v>22900</v>
          </cell>
          <cell r="L2451">
            <v>22900</v>
          </cell>
          <cell r="N2451">
            <v>22900</v>
          </cell>
          <cell r="P2451">
            <v>22900</v>
          </cell>
          <cell r="R2451">
            <v>22900</v>
          </cell>
          <cell r="T2451">
            <v>22900</v>
          </cell>
          <cell r="V2451">
            <v>22900</v>
          </cell>
          <cell r="X2451">
            <v>22900</v>
          </cell>
          <cell r="Z2451">
            <v>22900</v>
          </cell>
          <cell r="AD2451">
            <v>0.16200000000000001</v>
          </cell>
          <cell r="AH2451">
            <v>3.6</v>
          </cell>
          <cell r="AI2451">
            <v>0.51400000000000001</v>
          </cell>
          <cell r="AJ2451">
            <v>1</v>
          </cell>
          <cell r="AK2451">
            <v>7</v>
          </cell>
        </row>
        <row r="2452">
          <cell r="E2452" t="str">
            <v>Xh1-BHe60</v>
          </cell>
          <cell r="F2452" t="str">
            <v>台</v>
          </cell>
          <cell r="H2452">
            <v>35900</v>
          </cell>
          <cell r="J2452">
            <v>35900</v>
          </cell>
          <cell r="L2452">
            <v>35900</v>
          </cell>
          <cell r="N2452">
            <v>35900</v>
          </cell>
          <cell r="P2452">
            <v>35900</v>
          </cell>
          <cell r="R2452">
            <v>35900</v>
          </cell>
          <cell r="T2452">
            <v>35900</v>
          </cell>
          <cell r="V2452">
            <v>35900</v>
          </cell>
          <cell r="X2452">
            <v>35900</v>
          </cell>
          <cell r="Z2452">
            <v>35900</v>
          </cell>
          <cell r="AD2452">
            <v>0.16200000000000001</v>
          </cell>
          <cell r="AH2452">
            <v>3.7</v>
          </cell>
          <cell r="AI2452">
            <v>0.52900000000000003</v>
          </cell>
          <cell r="AJ2452">
            <v>1</v>
          </cell>
          <cell r="AK2452">
            <v>6.99</v>
          </cell>
        </row>
        <row r="2453">
          <cell r="E2453" t="str">
            <v>Xh1-Ae</v>
          </cell>
          <cell r="F2453" t="str">
            <v>台</v>
          </cell>
          <cell r="H2453">
            <v>45600</v>
          </cell>
          <cell r="J2453">
            <v>45600</v>
          </cell>
          <cell r="L2453">
            <v>45600</v>
          </cell>
          <cell r="N2453">
            <v>45600</v>
          </cell>
          <cell r="P2453">
            <v>45600</v>
          </cell>
          <cell r="R2453">
            <v>45600</v>
          </cell>
          <cell r="T2453">
            <v>45600</v>
          </cell>
          <cell r="V2453">
            <v>45600</v>
          </cell>
          <cell r="X2453">
            <v>45600</v>
          </cell>
          <cell r="Z2453">
            <v>45600</v>
          </cell>
          <cell r="AD2453">
            <v>0.26100000000000001</v>
          </cell>
          <cell r="AH2453">
            <v>10.5</v>
          </cell>
          <cell r="AI2453">
            <v>0.55300000000000005</v>
          </cell>
          <cell r="AJ2453">
            <v>1</v>
          </cell>
          <cell r="AK2453">
            <v>18.98</v>
          </cell>
        </row>
        <row r="2454">
          <cell r="E2454" t="str">
            <v>Xh1AF-BLe</v>
          </cell>
          <cell r="F2454" t="str">
            <v>台</v>
          </cell>
          <cell r="H2454">
            <v>47700</v>
          </cell>
          <cell r="J2454">
            <v>47700</v>
          </cell>
          <cell r="L2454">
            <v>47700</v>
          </cell>
          <cell r="N2454">
            <v>47700</v>
          </cell>
          <cell r="P2454">
            <v>47700</v>
          </cell>
          <cell r="R2454">
            <v>47700</v>
          </cell>
          <cell r="T2454">
            <v>47700</v>
          </cell>
          <cell r="V2454">
            <v>47700</v>
          </cell>
          <cell r="X2454">
            <v>47700</v>
          </cell>
          <cell r="Z2454">
            <v>47700</v>
          </cell>
          <cell r="AD2454">
            <v>0.16200000000000001</v>
          </cell>
          <cell r="AH2454">
            <v>4.5999999999999996</v>
          </cell>
          <cell r="AI2454">
            <v>0.63900000000000001</v>
          </cell>
          <cell r="AJ2454">
            <v>1</v>
          </cell>
          <cell r="AK2454">
            <v>7.19</v>
          </cell>
        </row>
        <row r="2455">
          <cell r="E2455" t="str">
            <v>Xh1AF-BLe60</v>
          </cell>
          <cell r="F2455" t="str">
            <v>台</v>
          </cell>
          <cell r="H2455">
            <v>82800</v>
          </cell>
          <cell r="J2455">
            <v>82800</v>
          </cell>
          <cell r="L2455">
            <v>82800</v>
          </cell>
          <cell r="N2455">
            <v>82800</v>
          </cell>
          <cell r="P2455">
            <v>82800</v>
          </cell>
          <cell r="R2455">
            <v>82800</v>
          </cell>
          <cell r="T2455">
            <v>82800</v>
          </cell>
          <cell r="V2455">
            <v>82800</v>
          </cell>
          <cell r="X2455">
            <v>82800</v>
          </cell>
          <cell r="Z2455">
            <v>82800</v>
          </cell>
          <cell r="AD2455">
            <v>0.16200000000000001</v>
          </cell>
          <cell r="AH2455">
            <v>5.8</v>
          </cell>
          <cell r="AI2455">
            <v>0.71599999999999997</v>
          </cell>
          <cell r="AJ2455">
            <v>1</v>
          </cell>
          <cell r="AK2455">
            <v>8.1</v>
          </cell>
        </row>
        <row r="2456">
          <cell r="E2456" t="str">
            <v>Xh1AF-BHe</v>
          </cell>
          <cell r="F2456" t="str">
            <v>台</v>
          </cell>
          <cell r="H2456">
            <v>55800</v>
          </cell>
          <cell r="J2456">
            <v>55800</v>
          </cell>
          <cell r="L2456">
            <v>55800</v>
          </cell>
          <cell r="N2456">
            <v>55800</v>
          </cell>
          <cell r="P2456">
            <v>55800</v>
          </cell>
          <cell r="R2456">
            <v>55800</v>
          </cell>
          <cell r="T2456">
            <v>55800</v>
          </cell>
          <cell r="V2456">
            <v>55800</v>
          </cell>
          <cell r="X2456">
            <v>55800</v>
          </cell>
          <cell r="Z2456">
            <v>55800</v>
          </cell>
          <cell r="AD2456">
            <v>0.16200000000000001</v>
          </cell>
          <cell r="AH2456">
            <v>5.6</v>
          </cell>
          <cell r="AI2456">
            <v>0.63600000000000001</v>
          </cell>
          <cell r="AJ2456">
            <v>1</v>
          </cell>
          <cell r="AK2456">
            <v>8.8000000000000007</v>
          </cell>
        </row>
        <row r="2457">
          <cell r="E2457" t="str">
            <v>Xh1AF-BHe60</v>
          </cell>
          <cell r="F2457" t="str">
            <v>台</v>
          </cell>
          <cell r="H2457">
            <v>92200</v>
          </cell>
          <cell r="J2457">
            <v>92200</v>
          </cell>
          <cell r="L2457">
            <v>92200</v>
          </cell>
          <cell r="N2457">
            <v>92200</v>
          </cell>
          <cell r="P2457">
            <v>92200</v>
          </cell>
          <cell r="R2457">
            <v>92200</v>
          </cell>
          <cell r="T2457">
            <v>92200</v>
          </cell>
          <cell r="V2457">
            <v>92200</v>
          </cell>
          <cell r="X2457">
            <v>92200</v>
          </cell>
          <cell r="Z2457">
            <v>92200</v>
          </cell>
          <cell r="AD2457">
            <v>0.16200000000000001</v>
          </cell>
          <cell r="AH2457">
            <v>6.7</v>
          </cell>
          <cell r="AI2457">
            <v>0.69099999999999995</v>
          </cell>
          <cell r="AJ2457">
            <v>1</v>
          </cell>
          <cell r="AK2457">
            <v>9.69</v>
          </cell>
        </row>
        <row r="2458">
          <cell r="E2458" t="str">
            <v>Xh1F-BLe</v>
          </cell>
          <cell r="F2458" t="str">
            <v>台</v>
          </cell>
          <cell r="H2458">
            <v>39000</v>
          </cell>
          <cell r="J2458">
            <v>39000</v>
          </cell>
          <cell r="L2458">
            <v>39000</v>
          </cell>
          <cell r="N2458">
            <v>39000</v>
          </cell>
          <cell r="P2458">
            <v>39000</v>
          </cell>
          <cell r="R2458">
            <v>39000</v>
          </cell>
          <cell r="T2458">
            <v>39000</v>
          </cell>
          <cell r="V2458">
            <v>39000</v>
          </cell>
          <cell r="X2458">
            <v>39000</v>
          </cell>
          <cell r="Z2458">
            <v>39000</v>
          </cell>
          <cell r="AD2458">
            <v>0.16200000000000001</v>
          </cell>
          <cell r="AH2458">
            <v>4.4000000000000004</v>
          </cell>
          <cell r="AI2458">
            <v>0.64700000000000002</v>
          </cell>
          <cell r="AJ2458">
            <v>1</v>
          </cell>
          <cell r="AK2458">
            <v>6.8</v>
          </cell>
        </row>
        <row r="2459">
          <cell r="E2459" t="str">
            <v>Xh1F-BLe60</v>
          </cell>
          <cell r="F2459" t="str">
            <v>台</v>
          </cell>
          <cell r="H2459">
            <v>71900</v>
          </cell>
          <cell r="J2459">
            <v>71900</v>
          </cell>
          <cell r="L2459">
            <v>71900</v>
          </cell>
          <cell r="N2459">
            <v>71900</v>
          </cell>
          <cell r="P2459">
            <v>71900</v>
          </cell>
          <cell r="R2459">
            <v>71900</v>
          </cell>
          <cell r="T2459">
            <v>71900</v>
          </cell>
          <cell r="V2459">
            <v>71900</v>
          </cell>
          <cell r="X2459">
            <v>71900</v>
          </cell>
          <cell r="Z2459">
            <v>71900</v>
          </cell>
          <cell r="AD2459">
            <v>0.16200000000000001</v>
          </cell>
          <cell r="AH2459">
            <v>5.4</v>
          </cell>
          <cell r="AI2459">
            <v>0.73</v>
          </cell>
          <cell r="AJ2459">
            <v>1</v>
          </cell>
          <cell r="AK2459">
            <v>7.39</v>
          </cell>
        </row>
        <row r="2460">
          <cell r="E2460" t="str">
            <v>Xh1F-BHe</v>
          </cell>
          <cell r="F2460" t="str">
            <v>台</v>
          </cell>
          <cell r="H2460">
            <v>47400</v>
          </cell>
          <cell r="J2460">
            <v>47400</v>
          </cell>
          <cell r="L2460">
            <v>47400</v>
          </cell>
          <cell r="N2460">
            <v>47400</v>
          </cell>
          <cell r="P2460">
            <v>47400</v>
          </cell>
          <cell r="R2460">
            <v>47400</v>
          </cell>
          <cell r="T2460">
            <v>47400</v>
          </cell>
          <cell r="V2460">
            <v>47400</v>
          </cell>
          <cell r="X2460">
            <v>47400</v>
          </cell>
          <cell r="Z2460">
            <v>47400</v>
          </cell>
          <cell r="AD2460">
            <v>0.16200000000000001</v>
          </cell>
          <cell r="AH2460">
            <v>5.4</v>
          </cell>
          <cell r="AI2460">
            <v>0.64300000000000002</v>
          </cell>
          <cell r="AJ2460">
            <v>1</v>
          </cell>
          <cell r="AK2460">
            <v>8.39</v>
          </cell>
        </row>
        <row r="2461">
          <cell r="E2461" t="str">
            <v>Xh1F-BHe60</v>
          </cell>
          <cell r="F2461" t="str">
            <v>台</v>
          </cell>
          <cell r="H2461">
            <v>80300</v>
          </cell>
          <cell r="J2461">
            <v>80300</v>
          </cell>
          <cell r="L2461">
            <v>80300</v>
          </cell>
          <cell r="N2461">
            <v>80300</v>
          </cell>
          <cell r="P2461">
            <v>80300</v>
          </cell>
          <cell r="R2461">
            <v>80300</v>
          </cell>
          <cell r="T2461">
            <v>80300</v>
          </cell>
          <cell r="V2461">
            <v>80300</v>
          </cell>
          <cell r="X2461">
            <v>80300</v>
          </cell>
          <cell r="Z2461">
            <v>80300</v>
          </cell>
          <cell r="AD2461">
            <v>0.16200000000000001</v>
          </cell>
          <cell r="AH2461">
            <v>6.3</v>
          </cell>
          <cell r="AI2461">
            <v>0.7</v>
          </cell>
          <cell r="AJ2461">
            <v>1</v>
          </cell>
          <cell r="AK2461">
            <v>9</v>
          </cell>
        </row>
        <row r="2462">
          <cell r="E2462" t="str">
            <v>■避難口(両面直付)</v>
          </cell>
        </row>
        <row r="2463">
          <cell r="E2463" t="str">
            <v>Xh2-Ce</v>
          </cell>
          <cell r="F2463" t="str">
            <v>台</v>
          </cell>
          <cell r="H2463">
            <v>11600</v>
          </cell>
          <cell r="J2463">
            <v>11600</v>
          </cell>
          <cell r="L2463">
            <v>11600</v>
          </cell>
          <cell r="N2463">
            <v>11600</v>
          </cell>
          <cell r="P2463">
            <v>11600</v>
          </cell>
          <cell r="R2463">
            <v>11600</v>
          </cell>
          <cell r="T2463">
            <v>11600</v>
          </cell>
          <cell r="V2463">
            <v>11600</v>
          </cell>
          <cell r="X2463">
            <v>11600</v>
          </cell>
          <cell r="Z2463">
            <v>11600</v>
          </cell>
          <cell r="AD2463">
            <v>0.14099999999999999</v>
          </cell>
          <cell r="AH2463">
            <v>2.6</v>
          </cell>
          <cell r="AI2463">
            <v>0.49099999999999999</v>
          </cell>
          <cell r="AJ2463">
            <v>1</v>
          </cell>
          <cell r="AK2463">
            <v>5.29</v>
          </cell>
        </row>
        <row r="2464">
          <cell r="E2464" t="str">
            <v>Xh2-Ce60</v>
          </cell>
          <cell r="F2464" t="str">
            <v>台</v>
          </cell>
          <cell r="H2464">
            <v>26700</v>
          </cell>
          <cell r="J2464">
            <v>26700</v>
          </cell>
          <cell r="L2464">
            <v>26700</v>
          </cell>
          <cell r="N2464">
            <v>26700</v>
          </cell>
          <cell r="P2464">
            <v>26700</v>
          </cell>
          <cell r="R2464">
            <v>26700</v>
          </cell>
          <cell r="T2464">
            <v>26700</v>
          </cell>
          <cell r="V2464">
            <v>26700</v>
          </cell>
          <cell r="X2464">
            <v>26700</v>
          </cell>
          <cell r="Z2464">
            <v>26700</v>
          </cell>
          <cell r="AD2464">
            <v>0.14099999999999999</v>
          </cell>
          <cell r="AH2464">
            <v>2.6</v>
          </cell>
          <cell r="AI2464">
            <v>0.49099999999999999</v>
          </cell>
          <cell r="AJ2464">
            <v>1</v>
          </cell>
          <cell r="AK2464">
            <v>5.29</v>
          </cell>
        </row>
        <row r="2465">
          <cell r="E2465" t="str">
            <v>Xh2-BLe</v>
          </cell>
          <cell r="F2465" t="str">
            <v>台</v>
          </cell>
          <cell r="H2465">
            <v>17200</v>
          </cell>
          <cell r="J2465">
            <v>17200</v>
          </cell>
          <cell r="L2465">
            <v>17200</v>
          </cell>
          <cell r="N2465">
            <v>17200</v>
          </cell>
          <cell r="P2465">
            <v>17200</v>
          </cell>
          <cell r="R2465">
            <v>17200</v>
          </cell>
          <cell r="T2465">
            <v>17200</v>
          </cell>
          <cell r="V2465">
            <v>17200</v>
          </cell>
          <cell r="X2465">
            <v>17200</v>
          </cell>
          <cell r="Z2465">
            <v>17200</v>
          </cell>
          <cell r="AD2465">
            <v>0.16200000000000001</v>
          </cell>
          <cell r="AH2465">
            <v>3.6</v>
          </cell>
          <cell r="AI2465">
            <v>0.52900000000000003</v>
          </cell>
          <cell r="AJ2465">
            <v>1</v>
          </cell>
          <cell r="AK2465">
            <v>6.8</v>
          </cell>
        </row>
        <row r="2466">
          <cell r="E2466" t="str">
            <v>Xh2-BLe60</v>
          </cell>
          <cell r="F2466" t="str">
            <v>台</v>
          </cell>
          <cell r="H2466">
            <v>31200</v>
          </cell>
          <cell r="J2466">
            <v>31200</v>
          </cell>
          <cell r="L2466">
            <v>31200</v>
          </cell>
          <cell r="N2466">
            <v>31200</v>
          </cell>
          <cell r="P2466">
            <v>31200</v>
          </cell>
          <cell r="R2466">
            <v>31200</v>
          </cell>
          <cell r="T2466">
            <v>31200</v>
          </cell>
          <cell r="V2466">
            <v>31200</v>
          </cell>
          <cell r="X2466">
            <v>31200</v>
          </cell>
          <cell r="Z2466">
            <v>31200</v>
          </cell>
          <cell r="AD2466">
            <v>0.16200000000000001</v>
          </cell>
          <cell r="AH2466">
            <v>3.7</v>
          </cell>
          <cell r="AI2466">
            <v>0.52100000000000002</v>
          </cell>
          <cell r="AJ2466">
            <v>1</v>
          </cell>
          <cell r="AK2466">
            <v>7.1</v>
          </cell>
        </row>
        <row r="2467">
          <cell r="E2467" t="str">
            <v>Xh2-BHe</v>
          </cell>
          <cell r="F2467" t="str">
            <v>台</v>
          </cell>
          <cell r="H2467">
            <v>27300</v>
          </cell>
          <cell r="J2467">
            <v>27300</v>
          </cell>
          <cell r="L2467">
            <v>27300</v>
          </cell>
          <cell r="N2467">
            <v>27300</v>
          </cell>
          <cell r="P2467">
            <v>27300</v>
          </cell>
          <cell r="R2467">
            <v>27300</v>
          </cell>
          <cell r="T2467">
            <v>27300</v>
          </cell>
          <cell r="V2467">
            <v>27300</v>
          </cell>
          <cell r="X2467">
            <v>27300</v>
          </cell>
          <cell r="Z2467">
            <v>27300</v>
          </cell>
          <cell r="AD2467">
            <v>0.16200000000000001</v>
          </cell>
          <cell r="AH2467">
            <v>5.4</v>
          </cell>
          <cell r="AI2467">
            <v>0.54</v>
          </cell>
          <cell r="AJ2467">
            <v>1</v>
          </cell>
          <cell r="AK2467">
            <v>10</v>
          </cell>
        </row>
        <row r="2468">
          <cell r="E2468" t="str">
            <v>Xh2-BHe60</v>
          </cell>
          <cell r="F2468" t="str">
            <v>台</v>
          </cell>
          <cell r="H2468">
            <v>41200</v>
          </cell>
          <cell r="J2468">
            <v>41200</v>
          </cell>
          <cell r="L2468">
            <v>41200</v>
          </cell>
          <cell r="N2468">
            <v>41200</v>
          </cell>
          <cell r="P2468">
            <v>41200</v>
          </cell>
          <cell r="R2468">
            <v>41200</v>
          </cell>
          <cell r="T2468">
            <v>41200</v>
          </cell>
          <cell r="V2468">
            <v>41200</v>
          </cell>
          <cell r="X2468">
            <v>41200</v>
          </cell>
          <cell r="Z2468">
            <v>41200</v>
          </cell>
          <cell r="AD2468">
            <v>0.16200000000000001</v>
          </cell>
          <cell r="AH2468">
            <v>5.5</v>
          </cell>
          <cell r="AI2468">
            <v>0.55000000000000004</v>
          </cell>
          <cell r="AJ2468">
            <v>1</v>
          </cell>
          <cell r="AK2468">
            <v>10</v>
          </cell>
        </row>
        <row r="2469">
          <cell r="E2469" t="str">
            <v>Xh2-Ae</v>
          </cell>
          <cell r="F2469" t="str">
            <v>台</v>
          </cell>
          <cell r="H2469">
            <v>75200</v>
          </cell>
          <cell r="J2469">
            <v>75200</v>
          </cell>
          <cell r="L2469">
            <v>75200</v>
          </cell>
          <cell r="N2469">
            <v>75200</v>
          </cell>
          <cell r="P2469">
            <v>75200</v>
          </cell>
          <cell r="R2469">
            <v>75200</v>
          </cell>
          <cell r="T2469">
            <v>75200</v>
          </cell>
          <cell r="V2469">
            <v>75200</v>
          </cell>
          <cell r="X2469">
            <v>75200</v>
          </cell>
          <cell r="Z2469">
            <v>75200</v>
          </cell>
          <cell r="AD2469">
            <v>0.26100000000000001</v>
          </cell>
          <cell r="AH2469">
            <v>10.7</v>
          </cell>
          <cell r="AI2469">
            <v>0.53500000000000003</v>
          </cell>
          <cell r="AJ2469">
            <v>1</v>
          </cell>
          <cell r="AK2469">
            <v>20</v>
          </cell>
        </row>
        <row r="2470">
          <cell r="E2470" t="str">
            <v>Xh2AF-BLe</v>
          </cell>
          <cell r="F2470" t="str">
            <v>台</v>
          </cell>
          <cell r="H2470">
            <v>64300</v>
          </cell>
          <cell r="J2470">
            <v>64300</v>
          </cell>
          <cell r="L2470">
            <v>64300</v>
          </cell>
          <cell r="N2470">
            <v>64300</v>
          </cell>
          <cell r="P2470">
            <v>64300</v>
          </cell>
          <cell r="R2470">
            <v>64300</v>
          </cell>
          <cell r="T2470">
            <v>64300</v>
          </cell>
          <cell r="V2470">
            <v>64300</v>
          </cell>
          <cell r="X2470">
            <v>64300</v>
          </cell>
          <cell r="Z2470">
            <v>64300</v>
          </cell>
          <cell r="AD2470">
            <v>0.16200000000000001</v>
          </cell>
          <cell r="AH2470">
            <v>4.5999999999999996</v>
          </cell>
          <cell r="AI2470">
            <v>0.63900000000000001</v>
          </cell>
          <cell r="AJ2470">
            <v>1</v>
          </cell>
          <cell r="AK2470">
            <v>7.19</v>
          </cell>
        </row>
        <row r="2471">
          <cell r="E2471" t="str">
            <v>Xh2AF-BHe</v>
          </cell>
          <cell r="F2471" t="str">
            <v>台</v>
          </cell>
          <cell r="H2471">
            <v>79700</v>
          </cell>
          <cell r="J2471">
            <v>79700</v>
          </cell>
          <cell r="L2471">
            <v>79700</v>
          </cell>
          <cell r="N2471">
            <v>79700</v>
          </cell>
          <cell r="P2471">
            <v>79700</v>
          </cell>
          <cell r="R2471">
            <v>79700</v>
          </cell>
          <cell r="T2471">
            <v>79700</v>
          </cell>
          <cell r="V2471">
            <v>79700</v>
          </cell>
          <cell r="X2471">
            <v>79700</v>
          </cell>
          <cell r="Z2471">
            <v>79700</v>
          </cell>
          <cell r="AD2471">
            <v>0.16200000000000001</v>
          </cell>
          <cell r="AH2471">
            <v>5.6</v>
          </cell>
          <cell r="AI2471">
            <v>0.63600000000000001</v>
          </cell>
          <cell r="AJ2471">
            <v>1</v>
          </cell>
          <cell r="AK2471">
            <v>8.8000000000000007</v>
          </cell>
        </row>
        <row r="2472">
          <cell r="E2472" t="str">
            <v>Xh2F-BLe</v>
          </cell>
          <cell r="F2472" t="str">
            <v>台</v>
          </cell>
          <cell r="H2472">
            <v>49700</v>
          </cell>
          <cell r="J2472">
            <v>49700</v>
          </cell>
          <cell r="L2472">
            <v>49700</v>
          </cell>
          <cell r="N2472">
            <v>49700</v>
          </cell>
          <cell r="P2472">
            <v>49700</v>
          </cell>
          <cell r="R2472">
            <v>49700</v>
          </cell>
          <cell r="T2472">
            <v>49700</v>
          </cell>
          <cell r="V2472">
            <v>49700</v>
          </cell>
          <cell r="X2472">
            <v>49700</v>
          </cell>
          <cell r="Z2472">
            <v>49700</v>
          </cell>
          <cell r="AD2472">
            <v>0.16200000000000001</v>
          </cell>
          <cell r="AH2472">
            <v>5.4</v>
          </cell>
          <cell r="AI2472">
            <v>0.623</v>
          </cell>
          <cell r="AJ2472">
            <v>1</v>
          </cell>
          <cell r="AK2472">
            <v>8.66</v>
          </cell>
        </row>
        <row r="2473">
          <cell r="E2473" t="str">
            <v>Xh2F-BHe</v>
          </cell>
          <cell r="F2473" t="str">
            <v>台</v>
          </cell>
          <cell r="H2473">
            <v>59000</v>
          </cell>
          <cell r="J2473">
            <v>59000</v>
          </cell>
          <cell r="L2473">
            <v>59000</v>
          </cell>
          <cell r="N2473">
            <v>59000</v>
          </cell>
          <cell r="P2473">
            <v>59000</v>
          </cell>
          <cell r="R2473">
            <v>59000</v>
          </cell>
          <cell r="T2473">
            <v>59000</v>
          </cell>
          <cell r="V2473">
            <v>59000</v>
          </cell>
          <cell r="X2473">
            <v>59000</v>
          </cell>
          <cell r="Z2473">
            <v>59000</v>
          </cell>
          <cell r="AD2473">
            <v>0.16200000000000001</v>
          </cell>
          <cell r="AH2473">
            <v>7.2</v>
          </cell>
          <cell r="AI2473">
            <v>0.63200000000000001</v>
          </cell>
          <cell r="AJ2473">
            <v>1</v>
          </cell>
          <cell r="AK2473">
            <v>11.39</v>
          </cell>
        </row>
        <row r="2474">
          <cell r="E2474" t="str">
            <v>■通路(壁埋込)</v>
          </cell>
        </row>
        <row r="2475">
          <cell r="E2475" t="str">
            <v>Ya1-Ce</v>
          </cell>
          <cell r="F2475" t="str">
            <v>台</v>
          </cell>
          <cell r="H2475">
            <v>13600</v>
          </cell>
          <cell r="J2475">
            <v>13600</v>
          </cell>
          <cell r="L2475">
            <v>13600</v>
          </cell>
          <cell r="N2475">
            <v>13600</v>
          </cell>
          <cell r="P2475">
            <v>13600</v>
          </cell>
          <cell r="R2475">
            <v>13600</v>
          </cell>
          <cell r="T2475">
            <v>13600</v>
          </cell>
          <cell r="V2475">
            <v>13600</v>
          </cell>
          <cell r="X2475">
            <v>13600</v>
          </cell>
          <cell r="Z2475">
            <v>13600</v>
          </cell>
          <cell r="AD2475">
            <v>0.217</v>
          </cell>
          <cell r="AH2475">
            <v>1.9</v>
          </cell>
          <cell r="AI2475">
            <v>0.47499999999999998</v>
          </cell>
          <cell r="AJ2475">
            <v>1</v>
          </cell>
          <cell r="AK2475">
            <v>4</v>
          </cell>
        </row>
        <row r="2476">
          <cell r="E2476" t="str">
            <v>Ya1-Ce60</v>
          </cell>
          <cell r="F2476" t="str">
            <v>台</v>
          </cell>
          <cell r="H2476">
            <v>29100</v>
          </cell>
          <cell r="J2476">
            <v>29100</v>
          </cell>
          <cell r="L2476">
            <v>29100</v>
          </cell>
          <cell r="N2476">
            <v>29100</v>
          </cell>
          <cell r="P2476">
            <v>29100</v>
          </cell>
          <cell r="R2476">
            <v>29100</v>
          </cell>
          <cell r="T2476">
            <v>29100</v>
          </cell>
          <cell r="V2476">
            <v>29100</v>
          </cell>
          <cell r="X2476">
            <v>29100</v>
          </cell>
          <cell r="Z2476">
            <v>29100</v>
          </cell>
          <cell r="AD2476">
            <v>0.217</v>
          </cell>
          <cell r="AH2476">
            <v>1.9</v>
          </cell>
          <cell r="AI2476">
            <v>0.46300000000000002</v>
          </cell>
          <cell r="AJ2476">
            <v>1</v>
          </cell>
          <cell r="AK2476">
            <v>4.0999999999999996</v>
          </cell>
        </row>
        <row r="2477">
          <cell r="E2477" t="str">
            <v>Ya1-BLe</v>
          </cell>
          <cell r="F2477" t="str">
            <v>台</v>
          </cell>
          <cell r="H2477">
            <v>20000</v>
          </cell>
          <cell r="J2477">
            <v>20000</v>
          </cell>
          <cell r="L2477">
            <v>20000</v>
          </cell>
          <cell r="N2477">
            <v>20000</v>
          </cell>
          <cell r="P2477">
            <v>20000</v>
          </cell>
          <cell r="R2477">
            <v>20000</v>
          </cell>
          <cell r="T2477">
            <v>20000</v>
          </cell>
          <cell r="V2477">
            <v>20000</v>
          </cell>
          <cell r="X2477">
            <v>20000</v>
          </cell>
          <cell r="Z2477">
            <v>20000</v>
          </cell>
          <cell r="AD2477">
            <v>0.25</v>
          </cell>
          <cell r="AH2477">
            <v>2.5</v>
          </cell>
          <cell r="AI2477">
            <v>0.49</v>
          </cell>
          <cell r="AJ2477">
            <v>1</v>
          </cell>
          <cell r="AK2477">
            <v>5.0999999999999996</v>
          </cell>
        </row>
        <row r="2478">
          <cell r="E2478" t="str">
            <v>Ya1-BLe60</v>
          </cell>
          <cell r="F2478" t="str">
            <v>台</v>
          </cell>
          <cell r="H2478">
            <v>34900</v>
          </cell>
          <cell r="J2478">
            <v>34900</v>
          </cell>
          <cell r="L2478">
            <v>34900</v>
          </cell>
          <cell r="N2478">
            <v>34900</v>
          </cell>
          <cell r="P2478">
            <v>34900</v>
          </cell>
          <cell r="R2478">
            <v>34900</v>
          </cell>
          <cell r="T2478">
            <v>34900</v>
          </cell>
          <cell r="V2478">
            <v>34900</v>
          </cell>
          <cell r="X2478">
            <v>34900</v>
          </cell>
          <cell r="Z2478">
            <v>34900</v>
          </cell>
          <cell r="AD2478">
            <v>0.25</v>
          </cell>
          <cell r="AH2478">
            <v>2.6</v>
          </cell>
          <cell r="AI2478">
            <v>0.49099999999999999</v>
          </cell>
          <cell r="AJ2478">
            <v>1</v>
          </cell>
          <cell r="AK2478">
            <v>5.29</v>
          </cell>
        </row>
        <row r="2479">
          <cell r="E2479" t="str">
            <v>Ya1-BHe</v>
          </cell>
          <cell r="F2479" t="str">
            <v>台</v>
          </cell>
          <cell r="H2479">
            <v>28800</v>
          </cell>
          <cell r="J2479">
            <v>28800</v>
          </cell>
          <cell r="L2479">
            <v>28800</v>
          </cell>
          <cell r="N2479">
            <v>28800</v>
          </cell>
          <cell r="P2479">
            <v>28800</v>
          </cell>
          <cell r="R2479">
            <v>28800</v>
          </cell>
          <cell r="T2479">
            <v>28800</v>
          </cell>
          <cell r="V2479">
            <v>28800</v>
          </cell>
          <cell r="X2479">
            <v>28800</v>
          </cell>
          <cell r="Z2479">
            <v>28800</v>
          </cell>
          <cell r="AD2479">
            <v>0.25</v>
          </cell>
          <cell r="AH2479">
            <v>3.4</v>
          </cell>
          <cell r="AI2479">
            <v>0.50700000000000001</v>
          </cell>
          <cell r="AJ2479">
            <v>1</v>
          </cell>
          <cell r="AK2479">
            <v>6.7</v>
          </cell>
        </row>
        <row r="2480">
          <cell r="E2480" t="str">
            <v>Ya1-BHe60</v>
          </cell>
          <cell r="F2480" t="str">
            <v>台</v>
          </cell>
          <cell r="H2480">
            <v>44000</v>
          </cell>
          <cell r="J2480">
            <v>44000</v>
          </cell>
          <cell r="L2480">
            <v>44000</v>
          </cell>
          <cell r="N2480">
            <v>44000</v>
          </cell>
          <cell r="P2480">
            <v>44000</v>
          </cell>
          <cell r="R2480">
            <v>44000</v>
          </cell>
          <cell r="T2480">
            <v>44000</v>
          </cell>
          <cell r="V2480">
            <v>44000</v>
          </cell>
          <cell r="X2480">
            <v>44000</v>
          </cell>
          <cell r="Z2480">
            <v>44000</v>
          </cell>
          <cell r="AD2480">
            <v>0.25</v>
          </cell>
          <cell r="AH2480">
            <v>3.5</v>
          </cell>
          <cell r="AI2480">
            <v>0.51500000000000001</v>
          </cell>
          <cell r="AJ2480">
            <v>1</v>
          </cell>
          <cell r="AK2480">
            <v>6.79</v>
          </cell>
        </row>
        <row r="2481">
          <cell r="E2481" t="str">
            <v>■通路(壁直付)</v>
          </cell>
        </row>
        <row r="2482">
          <cell r="E2482" t="str">
            <v>Yb1-Ce</v>
          </cell>
          <cell r="F2482" t="str">
            <v>台</v>
          </cell>
          <cell r="H2482">
            <v>10400</v>
          </cell>
          <cell r="J2482">
            <v>10400</v>
          </cell>
          <cell r="L2482">
            <v>10400</v>
          </cell>
          <cell r="N2482">
            <v>10400</v>
          </cell>
          <cell r="P2482">
            <v>10400</v>
          </cell>
          <cell r="R2482">
            <v>10400</v>
          </cell>
          <cell r="T2482">
            <v>10400</v>
          </cell>
          <cell r="V2482">
            <v>10400</v>
          </cell>
          <cell r="X2482">
            <v>10400</v>
          </cell>
          <cell r="Z2482">
            <v>10400</v>
          </cell>
          <cell r="AD2482">
            <v>0.14099999999999999</v>
          </cell>
          <cell r="AH2482">
            <v>2</v>
          </cell>
          <cell r="AI2482">
            <v>0.47599999999999998</v>
          </cell>
          <cell r="AJ2482">
            <v>1</v>
          </cell>
          <cell r="AK2482">
            <v>4.2</v>
          </cell>
        </row>
        <row r="2483">
          <cell r="E2483" t="str">
            <v>Yb1-Ce60</v>
          </cell>
          <cell r="F2483" t="str">
            <v>台</v>
          </cell>
          <cell r="H2483">
            <v>23800</v>
          </cell>
          <cell r="J2483">
            <v>23800</v>
          </cell>
          <cell r="L2483">
            <v>23800</v>
          </cell>
          <cell r="N2483">
            <v>23800</v>
          </cell>
          <cell r="P2483">
            <v>23800</v>
          </cell>
          <cell r="R2483">
            <v>23800</v>
          </cell>
          <cell r="T2483">
            <v>23800</v>
          </cell>
          <cell r="V2483">
            <v>23800</v>
          </cell>
          <cell r="X2483">
            <v>23800</v>
          </cell>
          <cell r="Z2483">
            <v>23800</v>
          </cell>
          <cell r="AD2483">
            <v>0.14099999999999999</v>
          </cell>
          <cell r="AH2483">
            <v>2.1</v>
          </cell>
          <cell r="AI2483">
            <v>0.47699999999999998</v>
          </cell>
          <cell r="AJ2483">
            <v>1</v>
          </cell>
          <cell r="AK2483">
            <v>4.4000000000000004</v>
          </cell>
        </row>
        <row r="2484">
          <cell r="E2484" t="str">
            <v>Yb1-BLe</v>
          </cell>
          <cell r="F2484" t="str">
            <v>台</v>
          </cell>
          <cell r="H2484">
            <v>15500</v>
          </cell>
          <cell r="J2484">
            <v>15500</v>
          </cell>
          <cell r="L2484">
            <v>15500</v>
          </cell>
          <cell r="N2484">
            <v>15500</v>
          </cell>
          <cell r="P2484">
            <v>15500</v>
          </cell>
          <cell r="R2484">
            <v>15500</v>
          </cell>
          <cell r="T2484">
            <v>15500</v>
          </cell>
          <cell r="V2484">
            <v>15500</v>
          </cell>
          <cell r="X2484">
            <v>15500</v>
          </cell>
          <cell r="Z2484">
            <v>15500</v>
          </cell>
          <cell r="AD2484">
            <v>0.16200000000000001</v>
          </cell>
          <cell r="AH2484">
            <v>2.7</v>
          </cell>
          <cell r="AI2484">
            <v>0.5</v>
          </cell>
          <cell r="AJ2484">
            <v>1</v>
          </cell>
          <cell r="AK2484">
            <v>5.4</v>
          </cell>
        </row>
        <row r="2485">
          <cell r="E2485" t="str">
            <v>Yb1-BLe60</v>
          </cell>
          <cell r="F2485" t="str">
            <v>台</v>
          </cell>
          <cell r="H2485">
            <v>28200</v>
          </cell>
          <cell r="J2485">
            <v>28200</v>
          </cell>
          <cell r="L2485">
            <v>28200</v>
          </cell>
          <cell r="N2485">
            <v>28200</v>
          </cell>
          <cell r="P2485">
            <v>28200</v>
          </cell>
          <cell r="R2485">
            <v>28200</v>
          </cell>
          <cell r="T2485">
            <v>28200</v>
          </cell>
          <cell r="V2485">
            <v>28200</v>
          </cell>
          <cell r="X2485">
            <v>28200</v>
          </cell>
          <cell r="Z2485">
            <v>28200</v>
          </cell>
          <cell r="AD2485">
            <v>0.16200000000000001</v>
          </cell>
          <cell r="AH2485">
            <v>2.7</v>
          </cell>
          <cell r="AI2485">
            <v>0.5</v>
          </cell>
          <cell r="AJ2485">
            <v>1</v>
          </cell>
          <cell r="AK2485">
            <v>5.4</v>
          </cell>
        </row>
        <row r="2486">
          <cell r="E2486" t="str">
            <v>Yb1-BHe</v>
          </cell>
          <cell r="F2486" t="str">
            <v>台</v>
          </cell>
          <cell r="H2486">
            <v>22900</v>
          </cell>
          <cell r="J2486">
            <v>22900</v>
          </cell>
          <cell r="L2486">
            <v>22900</v>
          </cell>
          <cell r="N2486">
            <v>22900</v>
          </cell>
          <cell r="P2486">
            <v>22900</v>
          </cell>
          <cell r="R2486">
            <v>22900</v>
          </cell>
          <cell r="T2486">
            <v>22900</v>
          </cell>
          <cell r="V2486">
            <v>22900</v>
          </cell>
          <cell r="X2486">
            <v>22900</v>
          </cell>
          <cell r="Z2486">
            <v>22900</v>
          </cell>
          <cell r="AD2486">
            <v>0.16200000000000001</v>
          </cell>
          <cell r="AH2486">
            <v>3.6</v>
          </cell>
          <cell r="AI2486">
            <v>0.51400000000000001</v>
          </cell>
          <cell r="AJ2486">
            <v>1</v>
          </cell>
          <cell r="AK2486">
            <v>7</v>
          </cell>
        </row>
        <row r="2487">
          <cell r="E2487" t="str">
            <v>Yb1-BHe60</v>
          </cell>
          <cell r="F2487" t="str">
            <v>台</v>
          </cell>
          <cell r="H2487">
            <v>35900</v>
          </cell>
          <cell r="J2487">
            <v>35900</v>
          </cell>
          <cell r="L2487">
            <v>35900</v>
          </cell>
          <cell r="N2487">
            <v>35900</v>
          </cell>
          <cell r="P2487">
            <v>35900</v>
          </cell>
          <cell r="R2487">
            <v>35900</v>
          </cell>
          <cell r="T2487">
            <v>35900</v>
          </cell>
          <cell r="V2487">
            <v>35900</v>
          </cell>
          <cell r="X2487">
            <v>35900</v>
          </cell>
          <cell r="Z2487">
            <v>35900</v>
          </cell>
          <cell r="AD2487">
            <v>0.16200000000000001</v>
          </cell>
          <cell r="AH2487">
            <v>3.7</v>
          </cell>
          <cell r="AI2487">
            <v>0.52900000000000003</v>
          </cell>
          <cell r="AJ2487">
            <v>1</v>
          </cell>
          <cell r="AK2487">
            <v>6.99</v>
          </cell>
        </row>
        <row r="2488">
          <cell r="E2488" t="str">
            <v>Yb1-Ae</v>
          </cell>
          <cell r="F2488" t="str">
            <v>台</v>
          </cell>
          <cell r="H2488">
            <v>45600</v>
          </cell>
          <cell r="J2488">
            <v>45600</v>
          </cell>
          <cell r="L2488">
            <v>45600</v>
          </cell>
          <cell r="N2488">
            <v>45600</v>
          </cell>
          <cell r="P2488">
            <v>45600</v>
          </cell>
          <cell r="R2488">
            <v>45600</v>
          </cell>
          <cell r="T2488">
            <v>45600</v>
          </cell>
          <cell r="V2488">
            <v>45600</v>
          </cell>
          <cell r="X2488">
            <v>45600</v>
          </cell>
          <cell r="Z2488">
            <v>45600</v>
          </cell>
          <cell r="AD2488">
            <v>0.26100000000000001</v>
          </cell>
          <cell r="AH2488">
            <v>10.5</v>
          </cell>
          <cell r="AI2488">
            <v>0.55300000000000005</v>
          </cell>
          <cell r="AJ2488">
            <v>1</v>
          </cell>
          <cell r="AK2488">
            <v>18.98</v>
          </cell>
        </row>
        <row r="2489">
          <cell r="E2489" t="str">
            <v>■通路(片面天井埋込)</v>
          </cell>
        </row>
        <row r="2490">
          <cell r="E2490" t="str">
            <v>Yc1-Ce</v>
          </cell>
          <cell r="F2490" t="str">
            <v>台</v>
          </cell>
          <cell r="H2490">
            <v>13000</v>
          </cell>
          <cell r="J2490">
            <v>13000</v>
          </cell>
          <cell r="L2490">
            <v>13000</v>
          </cell>
          <cell r="N2490">
            <v>13000</v>
          </cell>
          <cell r="P2490">
            <v>13000</v>
          </cell>
          <cell r="R2490">
            <v>13000</v>
          </cell>
          <cell r="T2490">
            <v>13000</v>
          </cell>
          <cell r="V2490">
            <v>13000</v>
          </cell>
          <cell r="X2490">
            <v>13000</v>
          </cell>
          <cell r="Z2490">
            <v>13000</v>
          </cell>
          <cell r="AD2490">
            <v>0.217</v>
          </cell>
          <cell r="AH2490">
            <v>1.9</v>
          </cell>
          <cell r="AI2490">
            <v>0.47499999999999998</v>
          </cell>
          <cell r="AJ2490">
            <v>1</v>
          </cell>
          <cell r="AK2490">
            <v>4</v>
          </cell>
        </row>
        <row r="2491">
          <cell r="E2491" t="str">
            <v>Yc1-Ce60</v>
          </cell>
          <cell r="F2491" t="str">
            <v>台</v>
          </cell>
          <cell r="H2491">
            <v>31000</v>
          </cell>
          <cell r="J2491">
            <v>31000</v>
          </cell>
          <cell r="L2491">
            <v>31000</v>
          </cell>
          <cell r="N2491">
            <v>31000</v>
          </cell>
          <cell r="P2491">
            <v>31000</v>
          </cell>
          <cell r="R2491">
            <v>31000</v>
          </cell>
          <cell r="T2491">
            <v>31000</v>
          </cell>
          <cell r="V2491">
            <v>31000</v>
          </cell>
          <cell r="X2491">
            <v>31000</v>
          </cell>
          <cell r="Z2491">
            <v>31000</v>
          </cell>
          <cell r="AD2491">
            <v>0.217</v>
          </cell>
          <cell r="AH2491">
            <v>2.1</v>
          </cell>
          <cell r="AI2491">
            <v>0.47699999999999998</v>
          </cell>
          <cell r="AJ2491">
            <v>1</v>
          </cell>
          <cell r="AK2491">
            <v>4.4000000000000004</v>
          </cell>
        </row>
        <row r="2492">
          <cell r="E2492" t="str">
            <v>Yc1-BLe</v>
          </cell>
          <cell r="F2492" t="str">
            <v>台</v>
          </cell>
          <cell r="H2492">
            <v>19600</v>
          </cell>
          <cell r="J2492">
            <v>19600</v>
          </cell>
          <cell r="L2492">
            <v>19600</v>
          </cell>
          <cell r="N2492">
            <v>19600</v>
          </cell>
          <cell r="P2492">
            <v>19600</v>
          </cell>
          <cell r="R2492">
            <v>19600</v>
          </cell>
          <cell r="T2492">
            <v>19600</v>
          </cell>
          <cell r="V2492">
            <v>19600</v>
          </cell>
          <cell r="X2492">
            <v>19600</v>
          </cell>
          <cell r="Z2492">
            <v>19600</v>
          </cell>
          <cell r="AD2492">
            <v>0.25</v>
          </cell>
          <cell r="AH2492">
            <v>2.6</v>
          </cell>
          <cell r="AI2492">
            <v>0.49099999999999999</v>
          </cell>
          <cell r="AJ2492">
            <v>1</v>
          </cell>
          <cell r="AK2492">
            <v>5.29</v>
          </cell>
        </row>
        <row r="2493">
          <cell r="E2493" t="str">
            <v>Yc1-BLe60</v>
          </cell>
          <cell r="F2493" t="str">
            <v>台</v>
          </cell>
          <cell r="H2493">
            <v>34000</v>
          </cell>
          <cell r="J2493">
            <v>34000</v>
          </cell>
          <cell r="L2493">
            <v>34000</v>
          </cell>
          <cell r="N2493">
            <v>34000</v>
          </cell>
          <cell r="P2493">
            <v>34000</v>
          </cell>
          <cell r="R2493">
            <v>34000</v>
          </cell>
          <cell r="T2493">
            <v>34000</v>
          </cell>
          <cell r="V2493">
            <v>34000</v>
          </cell>
          <cell r="X2493">
            <v>34000</v>
          </cell>
          <cell r="Z2493">
            <v>34000</v>
          </cell>
          <cell r="AD2493">
            <v>0.25</v>
          </cell>
          <cell r="AH2493">
            <v>2.7</v>
          </cell>
          <cell r="AI2493">
            <v>0.5</v>
          </cell>
          <cell r="AJ2493">
            <v>1</v>
          </cell>
          <cell r="AK2493">
            <v>5.4</v>
          </cell>
        </row>
        <row r="2494">
          <cell r="E2494" t="str">
            <v>Yc1-BHe</v>
          </cell>
          <cell r="F2494" t="str">
            <v>台</v>
          </cell>
          <cell r="H2494">
            <v>29600</v>
          </cell>
          <cell r="J2494">
            <v>29600</v>
          </cell>
          <cell r="L2494">
            <v>29600</v>
          </cell>
          <cell r="N2494">
            <v>29600</v>
          </cell>
          <cell r="P2494">
            <v>29600</v>
          </cell>
          <cell r="R2494">
            <v>29600</v>
          </cell>
          <cell r="T2494">
            <v>29600</v>
          </cell>
          <cell r="V2494">
            <v>29600</v>
          </cell>
          <cell r="X2494">
            <v>29600</v>
          </cell>
          <cell r="Z2494">
            <v>29600</v>
          </cell>
          <cell r="AD2494">
            <v>0.25</v>
          </cell>
          <cell r="AH2494">
            <v>3.6</v>
          </cell>
          <cell r="AI2494">
            <v>0.51400000000000001</v>
          </cell>
          <cell r="AJ2494">
            <v>1</v>
          </cell>
          <cell r="AK2494">
            <v>7</v>
          </cell>
        </row>
        <row r="2495">
          <cell r="E2495" t="str">
            <v>Yc1-BHe60</v>
          </cell>
          <cell r="F2495" t="str">
            <v>台</v>
          </cell>
          <cell r="H2495">
            <v>43800</v>
          </cell>
          <cell r="J2495">
            <v>43800</v>
          </cell>
          <cell r="L2495">
            <v>43800</v>
          </cell>
          <cell r="N2495">
            <v>43800</v>
          </cell>
          <cell r="P2495">
            <v>43800</v>
          </cell>
          <cell r="R2495">
            <v>43800</v>
          </cell>
          <cell r="T2495">
            <v>43800</v>
          </cell>
          <cell r="V2495">
            <v>43800</v>
          </cell>
          <cell r="X2495">
            <v>43800</v>
          </cell>
          <cell r="Z2495">
            <v>43800</v>
          </cell>
          <cell r="AD2495">
            <v>0.25</v>
          </cell>
          <cell r="AH2495">
            <v>3.7</v>
          </cell>
          <cell r="AI2495">
            <v>0.52900000000000003</v>
          </cell>
          <cell r="AJ2495">
            <v>1</v>
          </cell>
          <cell r="AK2495">
            <v>6.99</v>
          </cell>
        </row>
        <row r="2496">
          <cell r="E2496" t="str">
            <v>■通路(両面天井埋込)</v>
          </cell>
        </row>
        <row r="2497">
          <cell r="E2497" t="str">
            <v>Yd2-Ce</v>
          </cell>
          <cell r="F2497" t="str">
            <v>台</v>
          </cell>
          <cell r="H2497">
            <v>14500</v>
          </cell>
          <cell r="J2497">
            <v>14500</v>
          </cell>
          <cell r="L2497">
            <v>14500</v>
          </cell>
          <cell r="N2497">
            <v>14500</v>
          </cell>
          <cell r="P2497">
            <v>14500</v>
          </cell>
          <cell r="R2497">
            <v>14500</v>
          </cell>
          <cell r="T2497">
            <v>14500</v>
          </cell>
          <cell r="V2497">
            <v>14500</v>
          </cell>
          <cell r="X2497">
            <v>14500</v>
          </cell>
          <cell r="Z2497">
            <v>14500</v>
          </cell>
          <cell r="AD2497">
            <v>0.217</v>
          </cell>
          <cell r="AH2497">
            <v>2.6</v>
          </cell>
          <cell r="AI2497">
            <v>0.49099999999999999</v>
          </cell>
          <cell r="AJ2497">
            <v>1</v>
          </cell>
          <cell r="AK2497">
            <v>5.29</v>
          </cell>
        </row>
        <row r="2498">
          <cell r="E2498" t="str">
            <v>Yd2-Ce60</v>
          </cell>
          <cell r="F2498" t="str">
            <v>台</v>
          </cell>
          <cell r="H2498">
            <v>36100</v>
          </cell>
          <cell r="J2498">
            <v>36100</v>
          </cell>
          <cell r="L2498">
            <v>36100</v>
          </cell>
          <cell r="N2498">
            <v>36100</v>
          </cell>
          <cell r="P2498">
            <v>36100</v>
          </cell>
          <cell r="R2498">
            <v>36100</v>
          </cell>
          <cell r="T2498">
            <v>36100</v>
          </cell>
          <cell r="V2498">
            <v>36100</v>
          </cell>
          <cell r="X2498">
            <v>36100</v>
          </cell>
          <cell r="Z2498">
            <v>36100</v>
          </cell>
          <cell r="AD2498">
            <v>0.217</v>
          </cell>
          <cell r="AH2498">
            <v>2.7</v>
          </cell>
          <cell r="AI2498">
            <v>0.5</v>
          </cell>
          <cell r="AJ2498">
            <v>1</v>
          </cell>
          <cell r="AK2498">
            <v>5.4</v>
          </cell>
        </row>
        <row r="2499">
          <cell r="E2499" t="str">
            <v>Yd2-BLe</v>
          </cell>
          <cell r="F2499" t="str">
            <v>台</v>
          </cell>
          <cell r="H2499">
            <v>22800</v>
          </cell>
          <cell r="J2499">
            <v>22800</v>
          </cell>
          <cell r="L2499">
            <v>22800</v>
          </cell>
          <cell r="N2499">
            <v>22800</v>
          </cell>
          <cell r="P2499">
            <v>22800</v>
          </cell>
          <cell r="R2499">
            <v>22800</v>
          </cell>
          <cell r="T2499">
            <v>22800</v>
          </cell>
          <cell r="V2499">
            <v>22800</v>
          </cell>
          <cell r="X2499">
            <v>22800</v>
          </cell>
          <cell r="Z2499">
            <v>22800</v>
          </cell>
          <cell r="AD2499">
            <v>0.25</v>
          </cell>
          <cell r="AH2499">
            <v>3.6</v>
          </cell>
          <cell r="AI2499">
            <v>0.52200000000000002</v>
          </cell>
          <cell r="AJ2499">
            <v>1</v>
          </cell>
          <cell r="AK2499">
            <v>6.89</v>
          </cell>
        </row>
        <row r="2500">
          <cell r="E2500" t="str">
            <v>Yd2-BLe60</v>
          </cell>
          <cell r="F2500" t="str">
            <v>台</v>
          </cell>
          <cell r="H2500">
            <v>37000</v>
          </cell>
          <cell r="J2500">
            <v>37000</v>
          </cell>
          <cell r="L2500">
            <v>37000</v>
          </cell>
          <cell r="N2500">
            <v>37000</v>
          </cell>
          <cell r="P2500">
            <v>37000</v>
          </cell>
          <cell r="R2500">
            <v>37000</v>
          </cell>
          <cell r="T2500">
            <v>37000</v>
          </cell>
          <cell r="V2500">
            <v>37000</v>
          </cell>
          <cell r="X2500">
            <v>37000</v>
          </cell>
          <cell r="Z2500">
            <v>37000</v>
          </cell>
          <cell r="AD2500">
            <v>0.25</v>
          </cell>
          <cell r="AH2500">
            <v>3.7</v>
          </cell>
          <cell r="AI2500">
            <v>0.52100000000000002</v>
          </cell>
          <cell r="AJ2500">
            <v>1</v>
          </cell>
          <cell r="AK2500">
            <v>7.1</v>
          </cell>
        </row>
        <row r="2501">
          <cell r="E2501" t="str">
            <v>Yd2-BHe</v>
          </cell>
          <cell r="F2501" t="str">
            <v>台</v>
          </cell>
          <cell r="H2501">
            <v>34700</v>
          </cell>
          <cell r="J2501">
            <v>34700</v>
          </cell>
          <cell r="L2501">
            <v>34700</v>
          </cell>
          <cell r="N2501">
            <v>34700</v>
          </cell>
          <cell r="P2501">
            <v>34700</v>
          </cell>
          <cell r="R2501">
            <v>34700</v>
          </cell>
          <cell r="T2501">
            <v>34700</v>
          </cell>
          <cell r="V2501">
            <v>34700</v>
          </cell>
          <cell r="X2501">
            <v>34700</v>
          </cell>
          <cell r="Z2501">
            <v>34700</v>
          </cell>
          <cell r="AD2501">
            <v>0.25</v>
          </cell>
          <cell r="AH2501">
            <v>5.4</v>
          </cell>
          <cell r="AI2501">
            <v>0.54</v>
          </cell>
          <cell r="AJ2501">
            <v>1</v>
          </cell>
          <cell r="AK2501">
            <v>10</v>
          </cell>
        </row>
        <row r="2502">
          <cell r="E2502" t="str">
            <v>Yd2-BHe60</v>
          </cell>
          <cell r="F2502" t="str">
            <v>台</v>
          </cell>
          <cell r="H2502">
            <v>48900</v>
          </cell>
          <cell r="J2502">
            <v>48900</v>
          </cell>
          <cell r="L2502">
            <v>48900</v>
          </cell>
          <cell r="N2502">
            <v>48900</v>
          </cell>
          <cell r="P2502">
            <v>48900</v>
          </cell>
          <cell r="R2502">
            <v>48900</v>
          </cell>
          <cell r="T2502">
            <v>48900</v>
          </cell>
          <cell r="V2502">
            <v>48900</v>
          </cell>
          <cell r="X2502">
            <v>48900</v>
          </cell>
          <cell r="Z2502">
            <v>48900</v>
          </cell>
          <cell r="AD2502">
            <v>0.25</v>
          </cell>
          <cell r="AH2502">
            <v>5.5</v>
          </cell>
          <cell r="AI2502">
            <v>0.55000000000000004</v>
          </cell>
          <cell r="AJ2502">
            <v>1</v>
          </cell>
          <cell r="AK2502">
            <v>10</v>
          </cell>
        </row>
        <row r="2503">
          <cell r="E2503" t="str">
            <v>■通路(直付)</v>
          </cell>
        </row>
        <row r="2504">
          <cell r="E2504" t="str">
            <v>Yf1-Ce</v>
          </cell>
          <cell r="F2504" t="str">
            <v>台</v>
          </cell>
          <cell r="H2504">
            <v>10400</v>
          </cell>
          <cell r="J2504">
            <v>10400</v>
          </cell>
          <cell r="L2504">
            <v>10400</v>
          </cell>
          <cell r="N2504">
            <v>10400</v>
          </cell>
          <cell r="P2504">
            <v>10400</v>
          </cell>
          <cell r="R2504">
            <v>10400</v>
          </cell>
          <cell r="T2504">
            <v>10400</v>
          </cell>
          <cell r="V2504">
            <v>10400</v>
          </cell>
          <cell r="X2504">
            <v>10400</v>
          </cell>
          <cell r="Z2504">
            <v>10400</v>
          </cell>
          <cell r="AD2504">
            <v>0.14099999999999999</v>
          </cell>
          <cell r="AH2504">
            <v>2</v>
          </cell>
          <cell r="AI2504">
            <v>0.47599999999999998</v>
          </cell>
          <cell r="AJ2504">
            <v>1</v>
          </cell>
          <cell r="AK2504">
            <v>4.2</v>
          </cell>
        </row>
        <row r="2505">
          <cell r="E2505" t="str">
            <v>Yf1-Ce60</v>
          </cell>
          <cell r="F2505" t="str">
            <v>台</v>
          </cell>
          <cell r="H2505">
            <v>23800</v>
          </cell>
          <cell r="J2505">
            <v>23800</v>
          </cell>
          <cell r="L2505">
            <v>23800</v>
          </cell>
          <cell r="N2505">
            <v>23800</v>
          </cell>
          <cell r="P2505">
            <v>23800</v>
          </cell>
          <cell r="R2505">
            <v>23800</v>
          </cell>
          <cell r="T2505">
            <v>23800</v>
          </cell>
          <cell r="V2505">
            <v>23800</v>
          </cell>
          <cell r="X2505">
            <v>23800</v>
          </cell>
          <cell r="Z2505">
            <v>23800</v>
          </cell>
          <cell r="AD2505">
            <v>0.14099999999999999</v>
          </cell>
          <cell r="AH2505">
            <v>2.1</v>
          </cell>
          <cell r="AI2505">
            <v>0.47699999999999998</v>
          </cell>
          <cell r="AJ2505">
            <v>1</v>
          </cell>
          <cell r="AK2505">
            <v>4.4000000000000004</v>
          </cell>
        </row>
        <row r="2506">
          <cell r="E2506" t="str">
            <v>Yf1-BLe</v>
          </cell>
          <cell r="F2506" t="str">
            <v>台</v>
          </cell>
          <cell r="H2506">
            <v>15500</v>
          </cell>
          <cell r="J2506">
            <v>15500</v>
          </cell>
          <cell r="L2506">
            <v>15500</v>
          </cell>
          <cell r="N2506">
            <v>15500</v>
          </cell>
          <cell r="P2506">
            <v>15500</v>
          </cell>
          <cell r="R2506">
            <v>15500</v>
          </cell>
          <cell r="T2506">
            <v>15500</v>
          </cell>
          <cell r="V2506">
            <v>15500</v>
          </cell>
          <cell r="X2506">
            <v>15500</v>
          </cell>
          <cell r="Z2506">
            <v>15500</v>
          </cell>
          <cell r="AD2506">
            <v>0.16200000000000001</v>
          </cell>
          <cell r="AH2506">
            <v>2.7</v>
          </cell>
          <cell r="AI2506">
            <v>0.5</v>
          </cell>
          <cell r="AJ2506">
            <v>1</v>
          </cell>
          <cell r="AK2506">
            <v>5.4</v>
          </cell>
        </row>
        <row r="2507">
          <cell r="E2507" t="str">
            <v>Yf1-BLe60</v>
          </cell>
          <cell r="F2507" t="str">
            <v>台</v>
          </cell>
          <cell r="H2507">
            <v>28200</v>
          </cell>
          <cell r="J2507">
            <v>28200</v>
          </cell>
          <cell r="L2507">
            <v>28200</v>
          </cell>
          <cell r="N2507">
            <v>28200</v>
          </cell>
          <cell r="P2507">
            <v>28200</v>
          </cell>
          <cell r="R2507">
            <v>28200</v>
          </cell>
          <cell r="T2507">
            <v>28200</v>
          </cell>
          <cell r="V2507">
            <v>28200</v>
          </cell>
          <cell r="X2507">
            <v>28200</v>
          </cell>
          <cell r="Z2507">
            <v>28200</v>
          </cell>
          <cell r="AD2507">
            <v>0.16200000000000001</v>
          </cell>
          <cell r="AH2507">
            <v>2.7</v>
          </cell>
          <cell r="AI2507">
            <v>0.5</v>
          </cell>
          <cell r="AJ2507">
            <v>1</v>
          </cell>
          <cell r="AK2507">
            <v>5.4</v>
          </cell>
        </row>
        <row r="2508">
          <cell r="E2508" t="str">
            <v>Yf1-BHe</v>
          </cell>
          <cell r="F2508" t="str">
            <v>台</v>
          </cell>
          <cell r="H2508">
            <v>22900</v>
          </cell>
          <cell r="J2508">
            <v>22900</v>
          </cell>
          <cell r="L2508">
            <v>22900</v>
          </cell>
          <cell r="N2508">
            <v>22900</v>
          </cell>
          <cell r="P2508">
            <v>22900</v>
          </cell>
          <cell r="R2508">
            <v>22900</v>
          </cell>
          <cell r="T2508">
            <v>22900</v>
          </cell>
          <cell r="V2508">
            <v>22900</v>
          </cell>
          <cell r="X2508">
            <v>22900</v>
          </cell>
          <cell r="Z2508">
            <v>22900</v>
          </cell>
          <cell r="AD2508">
            <v>0.16200000000000001</v>
          </cell>
          <cell r="AH2508">
            <v>3.6</v>
          </cell>
          <cell r="AI2508">
            <v>0.51400000000000001</v>
          </cell>
          <cell r="AJ2508">
            <v>1</v>
          </cell>
          <cell r="AK2508">
            <v>7</v>
          </cell>
        </row>
        <row r="2509">
          <cell r="E2509" t="str">
            <v>Yf1-BHe60</v>
          </cell>
          <cell r="F2509" t="str">
            <v>台</v>
          </cell>
          <cell r="H2509">
            <v>35900</v>
          </cell>
          <cell r="J2509">
            <v>35900</v>
          </cell>
          <cell r="L2509">
            <v>35900</v>
          </cell>
          <cell r="N2509">
            <v>35900</v>
          </cell>
          <cell r="P2509">
            <v>35900</v>
          </cell>
          <cell r="R2509">
            <v>35900</v>
          </cell>
          <cell r="T2509">
            <v>35900</v>
          </cell>
          <cell r="V2509">
            <v>35900</v>
          </cell>
          <cell r="X2509">
            <v>35900</v>
          </cell>
          <cell r="Z2509">
            <v>35900</v>
          </cell>
          <cell r="AD2509">
            <v>0.16200000000000001</v>
          </cell>
          <cell r="AH2509">
            <v>3.7</v>
          </cell>
          <cell r="AI2509">
            <v>0.52900000000000003</v>
          </cell>
          <cell r="AJ2509">
            <v>1</v>
          </cell>
          <cell r="AK2509">
            <v>6.99</v>
          </cell>
        </row>
        <row r="2510">
          <cell r="E2510" t="str">
            <v>Yf1-Ae</v>
          </cell>
          <cell r="F2510" t="str">
            <v>台</v>
          </cell>
          <cell r="H2510">
            <v>45600</v>
          </cell>
          <cell r="J2510">
            <v>45600</v>
          </cell>
          <cell r="L2510">
            <v>45600</v>
          </cell>
          <cell r="N2510">
            <v>45600</v>
          </cell>
          <cell r="P2510">
            <v>45600</v>
          </cell>
          <cell r="R2510">
            <v>45600</v>
          </cell>
          <cell r="T2510">
            <v>45600</v>
          </cell>
          <cell r="V2510">
            <v>45600</v>
          </cell>
          <cell r="X2510">
            <v>45600</v>
          </cell>
          <cell r="Z2510">
            <v>45600</v>
          </cell>
          <cell r="AD2510">
            <v>0.26100000000000001</v>
          </cell>
          <cell r="AH2510">
            <v>10.5</v>
          </cell>
          <cell r="AI2510">
            <v>0.55300000000000005</v>
          </cell>
          <cell r="AJ2510">
            <v>1</v>
          </cell>
          <cell r="AK2510">
            <v>18.98</v>
          </cell>
        </row>
        <row r="2511">
          <cell r="E2511" t="str">
            <v>■通路(直付両面)</v>
          </cell>
        </row>
        <row r="2512">
          <cell r="E2512" t="str">
            <v>Yg2-Ce</v>
          </cell>
          <cell r="F2512" t="str">
            <v>台</v>
          </cell>
          <cell r="H2512">
            <v>11600</v>
          </cell>
          <cell r="J2512">
            <v>11600</v>
          </cell>
          <cell r="L2512">
            <v>11600</v>
          </cell>
          <cell r="N2512">
            <v>11600</v>
          </cell>
          <cell r="P2512">
            <v>11600</v>
          </cell>
          <cell r="R2512">
            <v>11600</v>
          </cell>
          <cell r="T2512">
            <v>11600</v>
          </cell>
          <cell r="V2512">
            <v>11600</v>
          </cell>
          <cell r="X2512">
            <v>11600</v>
          </cell>
          <cell r="Z2512">
            <v>11600</v>
          </cell>
          <cell r="AD2512">
            <v>0.14099999999999999</v>
          </cell>
          <cell r="AH2512">
            <v>2.6</v>
          </cell>
          <cell r="AI2512">
            <v>0.49099999999999999</v>
          </cell>
          <cell r="AJ2512">
            <v>1</v>
          </cell>
          <cell r="AK2512">
            <v>5.29</v>
          </cell>
        </row>
        <row r="2513">
          <cell r="E2513" t="str">
            <v>Yg2-Ce60</v>
          </cell>
          <cell r="F2513" t="str">
            <v>台</v>
          </cell>
          <cell r="H2513">
            <v>26700</v>
          </cell>
          <cell r="J2513">
            <v>26700</v>
          </cell>
          <cell r="L2513">
            <v>26700</v>
          </cell>
          <cell r="N2513">
            <v>26700</v>
          </cell>
          <cell r="P2513">
            <v>26700</v>
          </cell>
          <cell r="R2513">
            <v>26700</v>
          </cell>
          <cell r="T2513">
            <v>26700</v>
          </cell>
          <cell r="V2513">
            <v>26700</v>
          </cell>
          <cell r="X2513">
            <v>26700</v>
          </cell>
          <cell r="Z2513">
            <v>26700</v>
          </cell>
          <cell r="AD2513">
            <v>0.14099999999999999</v>
          </cell>
          <cell r="AH2513">
            <v>2.6</v>
          </cell>
          <cell r="AI2513">
            <v>0.49099999999999999</v>
          </cell>
          <cell r="AJ2513">
            <v>1</v>
          </cell>
          <cell r="AK2513">
            <v>5.29</v>
          </cell>
        </row>
        <row r="2514">
          <cell r="E2514" t="str">
            <v>Yg2-BLe</v>
          </cell>
          <cell r="F2514" t="str">
            <v>台</v>
          </cell>
          <cell r="H2514">
            <v>17200</v>
          </cell>
          <cell r="J2514">
            <v>17200</v>
          </cell>
          <cell r="L2514">
            <v>17200</v>
          </cell>
          <cell r="N2514">
            <v>17200</v>
          </cell>
          <cell r="P2514">
            <v>17200</v>
          </cell>
          <cell r="R2514">
            <v>17200</v>
          </cell>
          <cell r="T2514">
            <v>17200</v>
          </cell>
          <cell r="V2514">
            <v>17200</v>
          </cell>
          <cell r="X2514">
            <v>17200</v>
          </cell>
          <cell r="Z2514">
            <v>17200</v>
          </cell>
          <cell r="AD2514">
            <v>0.16200000000000001</v>
          </cell>
          <cell r="AH2514">
            <v>3.6</v>
          </cell>
          <cell r="AI2514">
            <v>0.52900000000000003</v>
          </cell>
          <cell r="AJ2514">
            <v>1</v>
          </cell>
          <cell r="AK2514">
            <v>6.8</v>
          </cell>
        </row>
        <row r="2515">
          <cell r="E2515" t="str">
            <v>Yg2-BLe60</v>
          </cell>
          <cell r="F2515" t="str">
            <v>台</v>
          </cell>
          <cell r="H2515">
            <v>31200</v>
          </cell>
          <cell r="J2515">
            <v>31200</v>
          </cell>
          <cell r="L2515">
            <v>31200</v>
          </cell>
          <cell r="N2515">
            <v>31200</v>
          </cell>
          <cell r="P2515">
            <v>31200</v>
          </cell>
          <cell r="R2515">
            <v>31200</v>
          </cell>
          <cell r="T2515">
            <v>31200</v>
          </cell>
          <cell r="V2515">
            <v>31200</v>
          </cell>
          <cell r="X2515">
            <v>31200</v>
          </cell>
          <cell r="Z2515">
            <v>31200</v>
          </cell>
          <cell r="AD2515">
            <v>0.16200000000000001</v>
          </cell>
          <cell r="AH2515">
            <v>3.7</v>
          </cell>
          <cell r="AI2515">
            <v>0.52100000000000002</v>
          </cell>
          <cell r="AJ2515">
            <v>1</v>
          </cell>
          <cell r="AK2515">
            <v>7.1</v>
          </cell>
        </row>
        <row r="2516">
          <cell r="E2516" t="str">
            <v>Yg2-BHe</v>
          </cell>
          <cell r="F2516" t="str">
            <v>台</v>
          </cell>
          <cell r="H2516">
            <v>27300</v>
          </cell>
          <cell r="J2516">
            <v>27300</v>
          </cell>
          <cell r="L2516">
            <v>27300</v>
          </cell>
          <cell r="N2516">
            <v>27300</v>
          </cell>
          <cell r="P2516">
            <v>27300</v>
          </cell>
          <cell r="R2516">
            <v>27300</v>
          </cell>
          <cell r="T2516">
            <v>27300</v>
          </cell>
          <cell r="V2516">
            <v>27300</v>
          </cell>
          <cell r="X2516">
            <v>27300</v>
          </cell>
          <cell r="Z2516">
            <v>27300</v>
          </cell>
          <cell r="AD2516">
            <v>0.16200000000000001</v>
          </cell>
          <cell r="AH2516">
            <v>5.4</v>
          </cell>
          <cell r="AI2516">
            <v>0.54</v>
          </cell>
          <cell r="AJ2516">
            <v>1</v>
          </cell>
          <cell r="AK2516">
            <v>10</v>
          </cell>
        </row>
        <row r="2517">
          <cell r="E2517" t="str">
            <v>Yg2-BHe60</v>
          </cell>
          <cell r="F2517" t="str">
            <v>台</v>
          </cell>
          <cell r="H2517">
            <v>41200</v>
          </cell>
          <cell r="J2517">
            <v>41200</v>
          </cell>
          <cell r="L2517">
            <v>41200</v>
          </cell>
          <cell r="N2517">
            <v>41200</v>
          </cell>
          <cell r="P2517">
            <v>41200</v>
          </cell>
          <cell r="R2517">
            <v>41200</v>
          </cell>
          <cell r="T2517">
            <v>41200</v>
          </cell>
          <cell r="V2517">
            <v>41200</v>
          </cell>
          <cell r="X2517">
            <v>41200</v>
          </cell>
          <cell r="Z2517">
            <v>41200</v>
          </cell>
          <cell r="AD2517">
            <v>0.16200000000000001</v>
          </cell>
          <cell r="AH2517">
            <v>5.5</v>
          </cell>
          <cell r="AI2517">
            <v>0.55000000000000004</v>
          </cell>
          <cell r="AJ2517">
            <v>1</v>
          </cell>
          <cell r="AK2517">
            <v>10</v>
          </cell>
        </row>
        <row r="2518">
          <cell r="E2518" t="str">
            <v>Yg2-Ae</v>
          </cell>
          <cell r="F2518" t="str">
            <v>台</v>
          </cell>
          <cell r="H2518">
            <v>75200</v>
          </cell>
          <cell r="J2518">
            <v>75200</v>
          </cell>
          <cell r="L2518">
            <v>75200</v>
          </cell>
          <cell r="N2518">
            <v>75200</v>
          </cell>
          <cell r="P2518">
            <v>75200</v>
          </cell>
          <cell r="R2518">
            <v>75200</v>
          </cell>
          <cell r="T2518">
            <v>75200</v>
          </cell>
          <cell r="V2518">
            <v>75200</v>
          </cell>
          <cell r="X2518">
            <v>75200</v>
          </cell>
          <cell r="Z2518">
            <v>75200</v>
          </cell>
          <cell r="AD2518">
            <v>0.26100000000000001</v>
          </cell>
          <cell r="AH2518">
            <v>10.7</v>
          </cell>
          <cell r="AI2518">
            <v>0.53500000000000003</v>
          </cell>
          <cell r="AJ2518">
            <v>1</v>
          </cell>
          <cell r="AK2518">
            <v>20</v>
          </cell>
        </row>
        <row r="2519">
          <cell r="G2519" t="str">
            <v>定価↓</v>
          </cell>
          <cell r="I2519" t="str">
            <v>定価↓</v>
          </cell>
          <cell r="K2519" t="str">
            <v>定価↓</v>
          </cell>
          <cell r="M2519" t="str">
            <v>定価↓</v>
          </cell>
          <cell r="O2519" t="str">
            <v>定価↓</v>
          </cell>
          <cell r="Q2519" t="str">
            <v>定価↓</v>
          </cell>
          <cell r="S2519" t="str">
            <v>定価↓</v>
          </cell>
          <cell r="U2519" t="str">
            <v>定価↓</v>
          </cell>
          <cell r="W2519" t="str">
            <v>定価↓</v>
          </cell>
          <cell r="Y2519" t="str">
            <v>定価↓</v>
          </cell>
        </row>
        <row r="2520">
          <cell r="E2520" t="str">
            <v>LBF1-LN</v>
          </cell>
          <cell r="F2520" t="str">
            <v>台</v>
          </cell>
          <cell r="G2520">
            <v>29500</v>
          </cell>
          <cell r="H2520">
            <v>13200</v>
          </cell>
          <cell r="I2520">
            <v>29500</v>
          </cell>
          <cell r="J2520">
            <v>13200</v>
          </cell>
          <cell r="K2520">
            <v>29500</v>
          </cell>
          <cell r="L2520">
            <v>13200</v>
          </cell>
          <cell r="M2520">
            <v>29500</v>
          </cell>
          <cell r="N2520">
            <v>13200</v>
          </cell>
          <cell r="O2520">
            <v>29500</v>
          </cell>
          <cell r="P2520">
            <v>13200</v>
          </cell>
          <cell r="Q2520">
            <v>29500</v>
          </cell>
          <cell r="R2520">
            <v>13200</v>
          </cell>
          <cell r="S2520">
            <v>29500</v>
          </cell>
          <cell r="T2520">
            <v>13200</v>
          </cell>
          <cell r="U2520">
            <v>29500</v>
          </cell>
          <cell r="V2520">
            <v>13200</v>
          </cell>
          <cell r="W2520">
            <v>29500</v>
          </cell>
          <cell r="X2520">
            <v>13200</v>
          </cell>
          <cell r="Y2520">
            <v>29500</v>
          </cell>
          <cell r="Z2520">
            <v>13200</v>
          </cell>
          <cell r="AD2520">
            <v>0.13</v>
          </cell>
          <cell r="AG2520">
            <v>24.2</v>
          </cell>
          <cell r="AH2520">
            <v>2.2000000000000002</v>
          </cell>
          <cell r="AI2520">
            <v>0.629</v>
          </cell>
          <cell r="AJ2520">
            <v>1</v>
          </cell>
          <cell r="AK2520">
            <v>3.5</v>
          </cell>
        </row>
        <row r="2521">
          <cell r="E2521" t="str">
            <v>LBF2R P-950LM-LN</v>
          </cell>
          <cell r="F2521" t="str">
            <v>台</v>
          </cell>
          <cell r="G2521">
            <v>23500</v>
          </cell>
          <cell r="H2521">
            <v>14100</v>
          </cell>
          <cell r="I2521">
            <v>23500</v>
          </cell>
          <cell r="J2521">
            <v>14100</v>
          </cell>
          <cell r="K2521">
            <v>23500</v>
          </cell>
          <cell r="L2521">
            <v>14100</v>
          </cell>
          <cell r="M2521">
            <v>23500</v>
          </cell>
          <cell r="N2521">
            <v>14100</v>
          </cell>
          <cell r="O2521">
            <v>23500</v>
          </cell>
          <cell r="P2521">
            <v>14100</v>
          </cell>
          <cell r="Q2521">
            <v>23500</v>
          </cell>
          <cell r="R2521">
            <v>14100</v>
          </cell>
          <cell r="S2521">
            <v>23500</v>
          </cell>
          <cell r="T2521">
            <v>14100</v>
          </cell>
          <cell r="U2521">
            <v>23500</v>
          </cell>
          <cell r="V2521">
            <v>14100</v>
          </cell>
          <cell r="W2521">
            <v>23500</v>
          </cell>
          <cell r="X2521">
            <v>14100</v>
          </cell>
          <cell r="Y2521">
            <v>23500</v>
          </cell>
          <cell r="Z2521">
            <v>14100</v>
          </cell>
          <cell r="AD2521">
            <v>0.13</v>
          </cell>
          <cell r="AG2521">
            <v>1360</v>
          </cell>
          <cell r="AH2521">
            <v>15.3</v>
          </cell>
          <cell r="AI2521">
            <v>0.85</v>
          </cell>
          <cell r="AJ2521">
            <v>1</v>
          </cell>
          <cell r="AK2521">
            <v>18</v>
          </cell>
        </row>
        <row r="2522">
          <cell r="E2522" t="str">
            <v>LRS1-950LM-LN</v>
          </cell>
          <cell r="F2522" t="str">
            <v>台</v>
          </cell>
          <cell r="G2522">
            <v>15500</v>
          </cell>
          <cell r="H2522">
            <v>6970</v>
          </cell>
          <cell r="I2522">
            <v>15500</v>
          </cell>
          <cell r="J2522">
            <v>6970</v>
          </cell>
          <cell r="K2522">
            <v>15500</v>
          </cell>
          <cell r="L2522">
            <v>6970</v>
          </cell>
          <cell r="M2522">
            <v>15500</v>
          </cell>
          <cell r="N2522">
            <v>6970</v>
          </cell>
          <cell r="O2522">
            <v>15500</v>
          </cell>
          <cell r="P2522">
            <v>6970</v>
          </cell>
          <cell r="Q2522">
            <v>15500</v>
          </cell>
          <cell r="R2522">
            <v>6970</v>
          </cell>
          <cell r="S2522">
            <v>15500</v>
          </cell>
          <cell r="T2522">
            <v>6970</v>
          </cell>
          <cell r="U2522">
            <v>15500</v>
          </cell>
          <cell r="V2522">
            <v>6970</v>
          </cell>
          <cell r="W2522">
            <v>15500</v>
          </cell>
          <cell r="X2522">
            <v>6970</v>
          </cell>
          <cell r="Y2522">
            <v>15500</v>
          </cell>
          <cell r="Z2522">
            <v>6970</v>
          </cell>
          <cell r="AD2522">
            <v>0.20899999999999999</v>
          </cell>
          <cell r="AG2522">
            <v>1015</v>
          </cell>
          <cell r="AH2522">
            <v>10.1</v>
          </cell>
          <cell r="AI2522">
            <v>0.98099999999999998</v>
          </cell>
          <cell r="AJ2522">
            <v>1</v>
          </cell>
          <cell r="AK2522">
            <v>10.3</v>
          </cell>
        </row>
        <row r="2523">
          <cell r="E2523" t="str">
            <v>LRS1-950LM-LZ</v>
          </cell>
          <cell r="F2523" t="str">
            <v>台</v>
          </cell>
          <cell r="G2523">
            <v>18500</v>
          </cell>
          <cell r="H2523">
            <v>8320</v>
          </cell>
          <cell r="I2523">
            <v>18500</v>
          </cell>
          <cell r="J2523">
            <v>8320</v>
          </cell>
          <cell r="K2523">
            <v>18500</v>
          </cell>
          <cell r="L2523">
            <v>8320</v>
          </cell>
          <cell r="M2523">
            <v>18500</v>
          </cell>
          <cell r="N2523">
            <v>8320</v>
          </cell>
          <cell r="O2523">
            <v>18500</v>
          </cell>
          <cell r="P2523">
            <v>8320</v>
          </cell>
          <cell r="Q2523">
            <v>18500</v>
          </cell>
          <cell r="R2523">
            <v>8320</v>
          </cell>
          <cell r="S2523">
            <v>18500</v>
          </cell>
          <cell r="T2523">
            <v>8320</v>
          </cell>
          <cell r="U2523">
            <v>18500</v>
          </cell>
          <cell r="V2523">
            <v>8320</v>
          </cell>
          <cell r="W2523">
            <v>18500</v>
          </cell>
          <cell r="X2523">
            <v>8320</v>
          </cell>
          <cell r="Y2523">
            <v>18500</v>
          </cell>
          <cell r="Z2523">
            <v>8320</v>
          </cell>
          <cell r="AD2523">
            <v>0.20899999999999999</v>
          </cell>
          <cell r="AG2523">
            <v>1015</v>
          </cell>
          <cell r="AH2523">
            <v>10.1</v>
          </cell>
          <cell r="AI2523">
            <v>0.98099999999999998</v>
          </cell>
          <cell r="AJ2523">
            <v>1</v>
          </cell>
          <cell r="AK2523">
            <v>10.3</v>
          </cell>
        </row>
        <row r="2524">
          <cell r="E2524" t="str">
            <v>LRS1-1400LM-LN</v>
          </cell>
          <cell r="F2524" t="str">
            <v>台</v>
          </cell>
          <cell r="G2524">
            <v>20800</v>
          </cell>
          <cell r="H2524">
            <v>9360</v>
          </cell>
          <cell r="I2524">
            <v>20800</v>
          </cell>
          <cell r="J2524">
            <v>9360</v>
          </cell>
          <cell r="K2524">
            <v>20800</v>
          </cell>
          <cell r="L2524">
            <v>9360</v>
          </cell>
          <cell r="M2524">
            <v>20800</v>
          </cell>
          <cell r="N2524">
            <v>9360</v>
          </cell>
          <cell r="O2524">
            <v>20800</v>
          </cell>
          <cell r="P2524">
            <v>9360</v>
          </cell>
          <cell r="Q2524">
            <v>20800</v>
          </cell>
          <cell r="R2524">
            <v>9360</v>
          </cell>
          <cell r="S2524">
            <v>20800</v>
          </cell>
          <cell r="T2524">
            <v>9360</v>
          </cell>
          <cell r="U2524">
            <v>20800</v>
          </cell>
          <cell r="V2524">
            <v>9360</v>
          </cell>
          <cell r="W2524">
            <v>20800</v>
          </cell>
          <cell r="X2524">
            <v>9360</v>
          </cell>
          <cell r="Y2524">
            <v>20800</v>
          </cell>
          <cell r="Z2524">
            <v>9360</v>
          </cell>
          <cell r="AD2524">
            <v>0.20899999999999999</v>
          </cell>
          <cell r="AG2524">
            <v>1550</v>
          </cell>
          <cell r="AH2524">
            <v>14.7</v>
          </cell>
          <cell r="AI2524">
            <v>0.98599999999999999</v>
          </cell>
          <cell r="AJ2524">
            <v>1</v>
          </cell>
          <cell r="AK2524">
            <v>14.9</v>
          </cell>
        </row>
        <row r="2525">
          <cell r="E2525" t="str">
            <v>LBS1-1400LM-LZ</v>
          </cell>
          <cell r="F2525" t="str">
            <v>台</v>
          </cell>
          <cell r="G2525">
            <v>23800</v>
          </cell>
          <cell r="H2525">
            <v>10700</v>
          </cell>
          <cell r="I2525">
            <v>23800</v>
          </cell>
          <cell r="J2525">
            <v>10700</v>
          </cell>
          <cell r="K2525">
            <v>23800</v>
          </cell>
          <cell r="L2525">
            <v>10700</v>
          </cell>
          <cell r="M2525">
            <v>23800</v>
          </cell>
          <cell r="N2525">
            <v>10700</v>
          </cell>
          <cell r="O2525">
            <v>23800</v>
          </cell>
          <cell r="P2525">
            <v>10700</v>
          </cell>
          <cell r="Q2525">
            <v>23800</v>
          </cell>
          <cell r="R2525">
            <v>10700</v>
          </cell>
          <cell r="S2525">
            <v>23800</v>
          </cell>
          <cell r="T2525">
            <v>10700</v>
          </cell>
          <cell r="U2525">
            <v>23800</v>
          </cell>
          <cell r="V2525">
            <v>10700</v>
          </cell>
          <cell r="W2525">
            <v>23800</v>
          </cell>
          <cell r="X2525">
            <v>10700</v>
          </cell>
          <cell r="Y2525">
            <v>23800</v>
          </cell>
          <cell r="Z2525">
            <v>10700</v>
          </cell>
          <cell r="AD2525">
            <v>0.20899999999999999</v>
          </cell>
          <cell r="AG2525">
            <v>1695</v>
          </cell>
          <cell r="AH2525">
            <v>16.5</v>
          </cell>
          <cell r="AI2525">
            <v>0.97099999999999997</v>
          </cell>
          <cell r="AJ2525">
            <v>1</v>
          </cell>
          <cell r="AK2525">
            <v>17</v>
          </cell>
        </row>
        <row r="2526">
          <cell r="E2526" t="str">
            <v>LRS1-1900LM-LN</v>
          </cell>
          <cell r="F2526" t="str">
            <v>台</v>
          </cell>
          <cell r="G2526">
            <v>25800</v>
          </cell>
          <cell r="H2526">
            <v>11600</v>
          </cell>
          <cell r="I2526">
            <v>25800</v>
          </cell>
          <cell r="J2526">
            <v>11600</v>
          </cell>
          <cell r="K2526">
            <v>25800</v>
          </cell>
          <cell r="L2526">
            <v>11600</v>
          </cell>
          <cell r="M2526">
            <v>25800</v>
          </cell>
          <cell r="N2526">
            <v>11600</v>
          </cell>
          <cell r="O2526">
            <v>25800</v>
          </cell>
          <cell r="P2526">
            <v>11600</v>
          </cell>
          <cell r="Q2526">
            <v>25800</v>
          </cell>
          <cell r="R2526">
            <v>11600</v>
          </cell>
          <cell r="S2526">
            <v>25800</v>
          </cell>
          <cell r="T2526">
            <v>11600</v>
          </cell>
          <cell r="U2526">
            <v>25800</v>
          </cell>
          <cell r="V2526">
            <v>11600</v>
          </cell>
          <cell r="W2526">
            <v>25800</v>
          </cell>
          <cell r="X2526">
            <v>11600</v>
          </cell>
          <cell r="Y2526">
            <v>25800</v>
          </cell>
          <cell r="Z2526">
            <v>11600</v>
          </cell>
          <cell r="AD2526">
            <v>0.20899999999999999</v>
          </cell>
          <cell r="AG2526">
            <v>2015</v>
          </cell>
          <cell r="AH2526">
            <v>17.7</v>
          </cell>
          <cell r="AI2526">
            <v>0.98299999999999998</v>
          </cell>
          <cell r="AJ2526">
            <v>1</v>
          </cell>
          <cell r="AK2526">
            <v>18</v>
          </cell>
        </row>
        <row r="2527">
          <cell r="E2527" t="str">
            <v>LBS1-1900LM-LZ</v>
          </cell>
          <cell r="F2527" t="str">
            <v>台</v>
          </cell>
          <cell r="G2527">
            <v>28800</v>
          </cell>
          <cell r="H2527">
            <v>12900</v>
          </cell>
          <cell r="I2527">
            <v>28800</v>
          </cell>
          <cell r="J2527">
            <v>12900</v>
          </cell>
          <cell r="K2527">
            <v>28800</v>
          </cell>
          <cell r="L2527">
            <v>12900</v>
          </cell>
          <cell r="M2527">
            <v>28800</v>
          </cell>
          <cell r="N2527">
            <v>12900</v>
          </cell>
          <cell r="O2527">
            <v>28800</v>
          </cell>
          <cell r="P2527">
            <v>12900</v>
          </cell>
          <cell r="Q2527">
            <v>28800</v>
          </cell>
          <cell r="R2527">
            <v>12900</v>
          </cell>
          <cell r="S2527">
            <v>28800</v>
          </cell>
          <cell r="T2527">
            <v>12900</v>
          </cell>
          <cell r="U2527">
            <v>28800</v>
          </cell>
          <cell r="V2527">
            <v>12900</v>
          </cell>
          <cell r="W2527">
            <v>28800</v>
          </cell>
          <cell r="X2527">
            <v>12900</v>
          </cell>
          <cell r="Y2527">
            <v>28800</v>
          </cell>
          <cell r="Z2527">
            <v>12900</v>
          </cell>
          <cell r="AD2527">
            <v>0.20899999999999999</v>
          </cell>
          <cell r="AG2527">
            <v>2200</v>
          </cell>
          <cell r="AH2527">
            <v>19.899999999999999</v>
          </cell>
          <cell r="AI2527">
            <v>0.995</v>
          </cell>
          <cell r="AJ2527">
            <v>1</v>
          </cell>
          <cell r="AK2527">
            <v>20</v>
          </cell>
        </row>
        <row r="2528">
          <cell r="E2528" t="str">
            <v>LBS1-3300LM-LZ</v>
          </cell>
          <cell r="F2528" t="str">
            <v>台</v>
          </cell>
          <cell r="G2528">
            <v>41500</v>
          </cell>
          <cell r="H2528">
            <v>18600</v>
          </cell>
          <cell r="I2528">
            <v>41500</v>
          </cell>
          <cell r="J2528">
            <v>18600</v>
          </cell>
          <cell r="K2528">
            <v>41500</v>
          </cell>
          <cell r="L2528">
            <v>18600</v>
          </cell>
          <cell r="M2528">
            <v>41500</v>
          </cell>
          <cell r="N2528">
            <v>18600</v>
          </cell>
          <cell r="O2528">
            <v>41500</v>
          </cell>
          <cell r="P2528">
            <v>18600</v>
          </cell>
          <cell r="Q2528">
            <v>41500</v>
          </cell>
          <cell r="R2528">
            <v>18600</v>
          </cell>
          <cell r="S2528">
            <v>41500</v>
          </cell>
          <cell r="T2528">
            <v>18600</v>
          </cell>
          <cell r="U2528">
            <v>41500</v>
          </cell>
          <cell r="V2528">
            <v>18600</v>
          </cell>
          <cell r="W2528">
            <v>41500</v>
          </cell>
          <cell r="X2528">
            <v>18600</v>
          </cell>
          <cell r="Y2528">
            <v>41500</v>
          </cell>
          <cell r="Z2528">
            <v>18600</v>
          </cell>
          <cell r="AD2528">
            <v>0.20899999999999999</v>
          </cell>
          <cell r="AG2528">
            <v>3705</v>
          </cell>
          <cell r="AH2528">
            <v>34.799999999999997</v>
          </cell>
          <cell r="AI2528">
            <v>0.94099999999999995</v>
          </cell>
          <cell r="AJ2528">
            <v>1</v>
          </cell>
          <cell r="AK2528">
            <v>37</v>
          </cell>
        </row>
        <row r="2529">
          <cell r="E2529" t="str">
            <v>LBS1-5000LM-LZ</v>
          </cell>
          <cell r="F2529" t="str">
            <v>台</v>
          </cell>
          <cell r="G2529">
            <v>56800</v>
          </cell>
          <cell r="H2529">
            <v>25500</v>
          </cell>
          <cell r="I2529">
            <v>56800</v>
          </cell>
          <cell r="J2529">
            <v>25500</v>
          </cell>
          <cell r="K2529">
            <v>56800</v>
          </cell>
          <cell r="L2529">
            <v>25500</v>
          </cell>
          <cell r="M2529">
            <v>56800</v>
          </cell>
          <cell r="N2529">
            <v>25500</v>
          </cell>
          <cell r="O2529">
            <v>56800</v>
          </cell>
          <cell r="P2529">
            <v>25500</v>
          </cell>
          <cell r="Q2529">
            <v>56800</v>
          </cell>
          <cell r="R2529">
            <v>25500</v>
          </cell>
          <cell r="S2529">
            <v>56800</v>
          </cell>
          <cell r="T2529">
            <v>25500</v>
          </cell>
          <cell r="U2529">
            <v>56800</v>
          </cell>
          <cell r="V2529">
            <v>25500</v>
          </cell>
          <cell r="W2529">
            <v>56800</v>
          </cell>
          <cell r="X2529">
            <v>25500</v>
          </cell>
          <cell r="Y2529">
            <v>56800</v>
          </cell>
          <cell r="Z2529">
            <v>25500</v>
          </cell>
          <cell r="AD2529">
            <v>0.35699999999999998</v>
          </cell>
          <cell r="AG2529">
            <v>5670</v>
          </cell>
          <cell r="AH2529">
            <v>54.4</v>
          </cell>
          <cell r="AI2529">
            <v>0.93799999999999994</v>
          </cell>
          <cell r="AJ2529">
            <v>1</v>
          </cell>
          <cell r="AK2529">
            <v>58</v>
          </cell>
        </row>
        <row r="2530">
          <cell r="E2530" t="str">
            <v>LBS1-6800LM-LZ</v>
          </cell>
          <cell r="F2530" t="str">
            <v>台</v>
          </cell>
          <cell r="G2530">
            <v>67500</v>
          </cell>
          <cell r="H2530">
            <v>30300</v>
          </cell>
          <cell r="I2530">
            <v>67500</v>
          </cell>
          <cell r="J2530">
            <v>30300</v>
          </cell>
          <cell r="K2530">
            <v>67500</v>
          </cell>
          <cell r="L2530">
            <v>30300</v>
          </cell>
          <cell r="M2530">
            <v>67500</v>
          </cell>
          <cell r="N2530">
            <v>30300</v>
          </cell>
          <cell r="O2530">
            <v>67500</v>
          </cell>
          <cell r="P2530">
            <v>30300</v>
          </cell>
          <cell r="Q2530">
            <v>67500</v>
          </cell>
          <cell r="R2530">
            <v>30300</v>
          </cell>
          <cell r="S2530">
            <v>67500</v>
          </cell>
          <cell r="T2530">
            <v>30300</v>
          </cell>
          <cell r="U2530">
            <v>67500</v>
          </cell>
          <cell r="V2530">
            <v>30300</v>
          </cell>
          <cell r="W2530">
            <v>67500</v>
          </cell>
          <cell r="X2530">
            <v>30300</v>
          </cell>
          <cell r="Y2530">
            <v>67500</v>
          </cell>
          <cell r="Z2530">
            <v>30300</v>
          </cell>
          <cell r="AD2530">
            <v>0.35699999999999998</v>
          </cell>
          <cell r="AG2530">
            <v>7820</v>
          </cell>
          <cell r="AH2530">
            <v>69.7</v>
          </cell>
          <cell r="AI2530">
            <v>0.95499999999999996</v>
          </cell>
          <cell r="AJ2530">
            <v>1</v>
          </cell>
          <cell r="AK2530">
            <v>73</v>
          </cell>
        </row>
        <row r="2531">
          <cell r="E2531" t="str">
            <v>LBS1-8600LM-LZ</v>
          </cell>
          <cell r="F2531" t="str">
            <v>台</v>
          </cell>
          <cell r="G2531">
            <v>90500</v>
          </cell>
          <cell r="H2531">
            <v>40700</v>
          </cell>
          <cell r="I2531">
            <v>90500</v>
          </cell>
          <cell r="J2531">
            <v>40700</v>
          </cell>
          <cell r="K2531">
            <v>90500</v>
          </cell>
          <cell r="L2531">
            <v>40700</v>
          </cell>
          <cell r="M2531">
            <v>90500</v>
          </cell>
          <cell r="N2531">
            <v>40700</v>
          </cell>
          <cell r="O2531">
            <v>90500</v>
          </cell>
          <cell r="P2531">
            <v>40700</v>
          </cell>
          <cell r="Q2531">
            <v>90500</v>
          </cell>
          <cell r="R2531">
            <v>40700</v>
          </cell>
          <cell r="S2531">
            <v>90500</v>
          </cell>
          <cell r="T2531">
            <v>40700</v>
          </cell>
          <cell r="U2531">
            <v>90500</v>
          </cell>
          <cell r="V2531">
            <v>40700</v>
          </cell>
          <cell r="W2531">
            <v>90500</v>
          </cell>
          <cell r="X2531">
            <v>40700</v>
          </cell>
          <cell r="Y2531">
            <v>90500</v>
          </cell>
          <cell r="Z2531">
            <v>40700</v>
          </cell>
          <cell r="AD2531">
            <v>0.35699999999999998</v>
          </cell>
          <cell r="AG2531">
            <v>9620</v>
          </cell>
          <cell r="AH2531">
            <v>85.5</v>
          </cell>
          <cell r="AI2531">
            <v>0.95</v>
          </cell>
          <cell r="AJ2531">
            <v>1</v>
          </cell>
          <cell r="AK2531">
            <v>90</v>
          </cell>
        </row>
        <row r="2532">
          <cell r="E2532" t="str">
            <v>LDS2-LRS1-950LM-LN</v>
          </cell>
          <cell r="F2532" t="str">
            <v>台</v>
          </cell>
          <cell r="G2532">
            <v>35800</v>
          </cell>
          <cell r="H2532">
            <v>16100</v>
          </cell>
          <cell r="I2532">
            <v>35800</v>
          </cell>
          <cell r="J2532">
            <v>16100</v>
          </cell>
          <cell r="K2532">
            <v>35800</v>
          </cell>
          <cell r="L2532">
            <v>16100</v>
          </cell>
          <cell r="M2532">
            <v>35800</v>
          </cell>
          <cell r="N2532">
            <v>16100</v>
          </cell>
          <cell r="O2532">
            <v>35800</v>
          </cell>
          <cell r="P2532">
            <v>16100</v>
          </cell>
          <cell r="Q2532">
            <v>35800</v>
          </cell>
          <cell r="R2532">
            <v>16100</v>
          </cell>
          <cell r="S2532">
            <v>35800</v>
          </cell>
          <cell r="T2532">
            <v>16100</v>
          </cell>
          <cell r="U2532">
            <v>35800</v>
          </cell>
          <cell r="V2532">
            <v>16100</v>
          </cell>
          <cell r="W2532">
            <v>35800</v>
          </cell>
          <cell r="X2532">
            <v>16100</v>
          </cell>
          <cell r="Y2532">
            <v>35800</v>
          </cell>
          <cell r="Z2532">
            <v>16100</v>
          </cell>
          <cell r="AD2532">
            <v>0.20899999999999999</v>
          </cell>
          <cell r="AG2532">
            <v>1075</v>
          </cell>
          <cell r="AH2532">
            <v>11.5</v>
          </cell>
          <cell r="AI2532">
            <v>0.96599999999999997</v>
          </cell>
          <cell r="AJ2532">
            <v>1</v>
          </cell>
          <cell r="AK2532">
            <v>11.9</v>
          </cell>
        </row>
        <row r="2533">
          <cell r="E2533" t="str">
            <v>LDS2-LRS1-1400LM-LN</v>
          </cell>
          <cell r="F2533" t="str">
            <v>台</v>
          </cell>
          <cell r="G2533">
            <v>40800</v>
          </cell>
          <cell r="H2533">
            <v>18300</v>
          </cell>
          <cell r="I2533">
            <v>40800</v>
          </cell>
          <cell r="J2533">
            <v>18300</v>
          </cell>
          <cell r="K2533">
            <v>40800</v>
          </cell>
          <cell r="L2533">
            <v>18300</v>
          </cell>
          <cell r="M2533">
            <v>40800</v>
          </cell>
          <cell r="N2533">
            <v>18300</v>
          </cell>
          <cell r="O2533">
            <v>40800</v>
          </cell>
          <cell r="P2533">
            <v>18300</v>
          </cell>
          <cell r="Q2533">
            <v>40800</v>
          </cell>
          <cell r="R2533">
            <v>18300</v>
          </cell>
          <cell r="S2533">
            <v>40800</v>
          </cell>
          <cell r="T2533">
            <v>18300</v>
          </cell>
          <cell r="U2533">
            <v>40800</v>
          </cell>
          <cell r="V2533">
            <v>18300</v>
          </cell>
          <cell r="W2533">
            <v>40800</v>
          </cell>
          <cell r="X2533">
            <v>18300</v>
          </cell>
          <cell r="Y2533">
            <v>40800</v>
          </cell>
          <cell r="Z2533">
            <v>18300</v>
          </cell>
          <cell r="AD2533">
            <v>0.20899999999999999</v>
          </cell>
          <cell r="AG2533">
            <v>1640</v>
          </cell>
          <cell r="AH2533">
            <v>16.899999999999999</v>
          </cell>
          <cell r="AI2533">
            <v>0.97099999999999997</v>
          </cell>
          <cell r="AJ2533">
            <v>1</v>
          </cell>
          <cell r="AK2533">
            <v>17.399999999999999</v>
          </cell>
        </row>
        <row r="2534">
          <cell r="E2534" t="str">
            <v>LDS2-LRS1-1900LM-LN</v>
          </cell>
          <cell r="F2534" t="str">
            <v>台</v>
          </cell>
          <cell r="G2534">
            <v>45800</v>
          </cell>
          <cell r="H2534">
            <v>20600</v>
          </cell>
          <cell r="I2534">
            <v>45800</v>
          </cell>
          <cell r="J2534">
            <v>20600</v>
          </cell>
          <cell r="K2534">
            <v>45800</v>
          </cell>
          <cell r="L2534">
            <v>20600</v>
          </cell>
          <cell r="M2534">
            <v>45800</v>
          </cell>
          <cell r="N2534">
            <v>20600</v>
          </cell>
          <cell r="O2534">
            <v>45800</v>
          </cell>
          <cell r="P2534">
            <v>20600</v>
          </cell>
          <cell r="Q2534">
            <v>45800</v>
          </cell>
          <cell r="R2534">
            <v>20600</v>
          </cell>
          <cell r="S2534">
            <v>45800</v>
          </cell>
          <cell r="T2534">
            <v>20600</v>
          </cell>
          <cell r="U2534">
            <v>45800</v>
          </cell>
          <cell r="V2534">
            <v>20600</v>
          </cell>
          <cell r="W2534">
            <v>45800</v>
          </cell>
          <cell r="X2534">
            <v>20600</v>
          </cell>
          <cell r="Y2534">
            <v>45800</v>
          </cell>
          <cell r="Z2534">
            <v>20600</v>
          </cell>
          <cell r="AD2534">
            <v>0.20899999999999999</v>
          </cell>
          <cell r="AG2534">
            <v>2020</v>
          </cell>
          <cell r="AH2534">
            <v>20.3</v>
          </cell>
          <cell r="AI2534">
            <v>0.995</v>
          </cell>
          <cell r="AJ2534">
            <v>1</v>
          </cell>
          <cell r="AK2534">
            <v>20.399999999999999</v>
          </cell>
        </row>
        <row r="2535">
          <cell r="E2535" t="str">
            <v>LRS1RP-950LM-LN</v>
          </cell>
          <cell r="F2535" t="str">
            <v>台</v>
          </cell>
          <cell r="G2535">
            <v>23800</v>
          </cell>
          <cell r="H2535">
            <v>10700</v>
          </cell>
          <cell r="I2535">
            <v>23800</v>
          </cell>
          <cell r="J2535">
            <v>10700</v>
          </cell>
          <cell r="K2535">
            <v>23800</v>
          </cell>
          <cell r="L2535">
            <v>10700</v>
          </cell>
          <cell r="M2535">
            <v>23800</v>
          </cell>
          <cell r="N2535">
            <v>10700</v>
          </cell>
          <cell r="O2535">
            <v>23800</v>
          </cell>
          <cell r="P2535">
            <v>10700</v>
          </cell>
          <cell r="Q2535">
            <v>23800</v>
          </cell>
          <cell r="R2535">
            <v>10700</v>
          </cell>
          <cell r="S2535">
            <v>23800</v>
          </cell>
          <cell r="T2535">
            <v>10700</v>
          </cell>
          <cell r="U2535">
            <v>23800</v>
          </cell>
          <cell r="V2535">
            <v>10700</v>
          </cell>
          <cell r="W2535">
            <v>23800</v>
          </cell>
          <cell r="X2535">
            <v>10700</v>
          </cell>
          <cell r="Y2535">
            <v>23800</v>
          </cell>
          <cell r="Z2535">
            <v>10700</v>
          </cell>
          <cell r="AD2535">
            <v>0.20899999999999999</v>
          </cell>
          <cell r="AG2535">
            <v>1055</v>
          </cell>
          <cell r="AH2535">
            <v>11.1</v>
          </cell>
          <cell r="AI2535">
            <v>0.96499999999999997</v>
          </cell>
          <cell r="AJ2535">
            <v>1</v>
          </cell>
          <cell r="AK2535">
            <v>11.5</v>
          </cell>
        </row>
        <row r="2536">
          <cell r="E2536" t="str">
            <v>LRS1RP-1400LM-LN</v>
          </cell>
          <cell r="F2536" t="str">
            <v>台</v>
          </cell>
          <cell r="G2536">
            <v>27800</v>
          </cell>
          <cell r="H2536">
            <v>12500</v>
          </cell>
          <cell r="I2536">
            <v>27800</v>
          </cell>
          <cell r="J2536">
            <v>12500</v>
          </cell>
          <cell r="K2536">
            <v>27800</v>
          </cell>
          <cell r="L2536">
            <v>12500</v>
          </cell>
          <cell r="M2536">
            <v>27800</v>
          </cell>
          <cell r="N2536">
            <v>12500</v>
          </cell>
          <cell r="O2536">
            <v>27800</v>
          </cell>
          <cell r="P2536">
            <v>12500</v>
          </cell>
          <cell r="Q2536">
            <v>27800</v>
          </cell>
          <cell r="R2536">
            <v>12500</v>
          </cell>
          <cell r="S2536">
            <v>27800</v>
          </cell>
          <cell r="T2536">
            <v>12500</v>
          </cell>
          <cell r="U2536">
            <v>27800</v>
          </cell>
          <cell r="V2536">
            <v>12500</v>
          </cell>
          <cell r="W2536">
            <v>27800</v>
          </cell>
          <cell r="X2536">
            <v>12500</v>
          </cell>
          <cell r="Y2536">
            <v>27800</v>
          </cell>
          <cell r="Z2536">
            <v>12500</v>
          </cell>
          <cell r="AD2536">
            <v>0.20899999999999999</v>
          </cell>
          <cell r="AG2536">
            <v>1480</v>
          </cell>
          <cell r="AH2536">
            <v>16.5</v>
          </cell>
          <cell r="AI2536">
            <v>0.97099999999999997</v>
          </cell>
          <cell r="AJ2536">
            <v>1</v>
          </cell>
          <cell r="AK2536">
            <v>17</v>
          </cell>
        </row>
        <row r="2537">
          <cell r="E2537" t="str">
            <v>LRS1RP-1900LM-LN</v>
          </cell>
          <cell r="F2537" t="str">
            <v>台</v>
          </cell>
          <cell r="G2537">
            <v>36800</v>
          </cell>
          <cell r="H2537">
            <v>16500</v>
          </cell>
          <cell r="I2537">
            <v>36800</v>
          </cell>
          <cell r="J2537">
            <v>16500</v>
          </cell>
          <cell r="K2537">
            <v>36800</v>
          </cell>
          <cell r="L2537">
            <v>16500</v>
          </cell>
          <cell r="M2537">
            <v>36800</v>
          </cell>
          <cell r="N2537">
            <v>16500</v>
          </cell>
          <cell r="O2537">
            <v>36800</v>
          </cell>
          <cell r="P2537">
            <v>16500</v>
          </cell>
          <cell r="Q2537">
            <v>36800</v>
          </cell>
          <cell r="R2537">
            <v>16500</v>
          </cell>
          <cell r="S2537">
            <v>36800</v>
          </cell>
          <cell r="T2537">
            <v>16500</v>
          </cell>
          <cell r="U2537">
            <v>36800</v>
          </cell>
          <cell r="V2537">
            <v>16500</v>
          </cell>
          <cell r="W2537">
            <v>36800</v>
          </cell>
          <cell r="X2537">
            <v>16500</v>
          </cell>
          <cell r="Y2537">
            <v>36800</v>
          </cell>
          <cell r="Z2537">
            <v>16500</v>
          </cell>
          <cell r="AD2537">
            <v>0.20899999999999999</v>
          </cell>
          <cell r="AG2537">
            <v>1940</v>
          </cell>
          <cell r="AH2537">
            <v>19.899999999999999</v>
          </cell>
          <cell r="AI2537">
            <v>0.995</v>
          </cell>
          <cell r="AJ2537">
            <v>1</v>
          </cell>
          <cell r="AK2537">
            <v>20</v>
          </cell>
        </row>
        <row r="2538">
          <cell r="E2538" t="str">
            <v>LRS2-12000LM-LZ</v>
          </cell>
          <cell r="F2538" t="str">
            <v>台</v>
          </cell>
          <cell r="G2538">
            <v>189600</v>
          </cell>
          <cell r="H2538">
            <v>85300</v>
          </cell>
          <cell r="I2538">
            <v>189600</v>
          </cell>
          <cell r="J2538">
            <v>85300</v>
          </cell>
          <cell r="K2538">
            <v>189600</v>
          </cell>
          <cell r="L2538">
            <v>85300</v>
          </cell>
          <cell r="M2538">
            <v>189600</v>
          </cell>
          <cell r="N2538">
            <v>85300</v>
          </cell>
          <cell r="O2538">
            <v>189600</v>
          </cell>
          <cell r="P2538">
            <v>85300</v>
          </cell>
          <cell r="Q2538">
            <v>189600</v>
          </cell>
          <cell r="R2538">
            <v>85300</v>
          </cell>
          <cell r="S2538">
            <v>189600</v>
          </cell>
          <cell r="T2538">
            <v>85300</v>
          </cell>
          <cell r="U2538">
            <v>189600</v>
          </cell>
          <cell r="V2538">
            <v>85300</v>
          </cell>
          <cell r="W2538">
            <v>189600</v>
          </cell>
          <cell r="X2538">
            <v>85300</v>
          </cell>
          <cell r="Y2538">
            <v>189600</v>
          </cell>
          <cell r="Z2538">
            <v>85300</v>
          </cell>
          <cell r="AD2538">
            <v>0.35699999999999998</v>
          </cell>
          <cell r="AG2538">
            <v>15430</v>
          </cell>
          <cell r="AH2538">
            <v>163.9</v>
          </cell>
          <cell r="AI2538">
            <v>0.99299999999999999</v>
          </cell>
          <cell r="AJ2538">
            <v>1</v>
          </cell>
          <cell r="AK2538">
            <v>165</v>
          </cell>
        </row>
        <row r="2539">
          <cell r="E2539" t="str">
            <v>LRS2-18000LM-LZ</v>
          </cell>
          <cell r="F2539" t="str">
            <v>台</v>
          </cell>
          <cell r="G2539">
            <v>237600</v>
          </cell>
          <cell r="H2539">
            <v>106000</v>
          </cell>
          <cell r="I2539">
            <v>237600</v>
          </cell>
          <cell r="J2539">
            <v>106000</v>
          </cell>
          <cell r="K2539">
            <v>237600</v>
          </cell>
          <cell r="L2539">
            <v>106000</v>
          </cell>
          <cell r="M2539">
            <v>237600</v>
          </cell>
          <cell r="N2539">
            <v>106000</v>
          </cell>
          <cell r="O2539">
            <v>237600</v>
          </cell>
          <cell r="P2539">
            <v>106000</v>
          </cell>
          <cell r="Q2539">
            <v>237600</v>
          </cell>
          <cell r="R2539">
            <v>106000</v>
          </cell>
          <cell r="S2539">
            <v>237600</v>
          </cell>
          <cell r="T2539">
            <v>106000</v>
          </cell>
          <cell r="U2539">
            <v>237600</v>
          </cell>
          <cell r="V2539">
            <v>106000</v>
          </cell>
          <cell r="W2539">
            <v>237600</v>
          </cell>
          <cell r="X2539">
            <v>106000</v>
          </cell>
          <cell r="Y2539">
            <v>237600</v>
          </cell>
          <cell r="Z2539">
            <v>106000</v>
          </cell>
          <cell r="AD2539">
            <v>0.35699999999999998</v>
          </cell>
          <cell r="AG2539">
            <v>20360</v>
          </cell>
          <cell r="AH2539">
            <v>216.4</v>
          </cell>
          <cell r="AI2539">
            <v>0.997</v>
          </cell>
          <cell r="AJ2539">
            <v>1</v>
          </cell>
          <cell r="AK2539">
            <v>217</v>
          </cell>
        </row>
        <row r="2540">
          <cell r="E2540" t="str">
            <v>LRS3-6300LM-LJ</v>
          </cell>
          <cell r="F2540" t="str">
            <v>台</v>
          </cell>
          <cell r="G2540">
            <v>36000</v>
          </cell>
          <cell r="H2540">
            <v>22500</v>
          </cell>
          <cell r="I2540">
            <v>36000</v>
          </cell>
          <cell r="J2540">
            <v>22500</v>
          </cell>
          <cell r="K2540">
            <v>36000</v>
          </cell>
          <cell r="L2540">
            <v>22500</v>
          </cell>
          <cell r="M2540">
            <v>36000</v>
          </cell>
          <cell r="N2540">
            <v>22500</v>
          </cell>
          <cell r="O2540">
            <v>36000</v>
          </cell>
          <cell r="P2540">
            <v>22500</v>
          </cell>
          <cell r="Q2540">
            <v>36000</v>
          </cell>
          <cell r="R2540">
            <v>22500</v>
          </cell>
          <cell r="S2540">
            <v>36000</v>
          </cell>
          <cell r="T2540">
            <v>22500</v>
          </cell>
          <cell r="U2540">
            <v>36000</v>
          </cell>
          <cell r="V2540">
            <v>22500</v>
          </cell>
          <cell r="W2540">
            <v>36000</v>
          </cell>
          <cell r="X2540">
            <v>22500</v>
          </cell>
          <cell r="Y2540">
            <v>36000</v>
          </cell>
          <cell r="Z2540">
            <v>22500</v>
          </cell>
          <cell r="AD2540">
            <v>0.35699999999999998</v>
          </cell>
          <cell r="AG2540">
            <v>6680</v>
          </cell>
          <cell r="AH2540">
            <v>52.1</v>
          </cell>
          <cell r="AI2540">
            <v>0.96499999999999997</v>
          </cell>
          <cell r="AJ2540">
            <v>1</v>
          </cell>
          <cell r="AK2540">
            <v>54</v>
          </cell>
        </row>
        <row r="2541">
          <cell r="E2541" t="str">
            <v>LRS3-6300LM-LX</v>
          </cell>
          <cell r="F2541" t="str">
            <v>台</v>
          </cell>
          <cell r="G2541">
            <v>36000</v>
          </cell>
          <cell r="H2541">
            <v>22500</v>
          </cell>
          <cell r="I2541">
            <v>36000</v>
          </cell>
          <cell r="J2541">
            <v>22500</v>
          </cell>
          <cell r="K2541">
            <v>36000</v>
          </cell>
          <cell r="L2541">
            <v>22500</v>
          </cell>
          <cell r="M2541">
            <v>36000</v>
          </cell>
          <cell r="N2541">
            <v>22500</v>
          </cell>
          <cell r="O2541">
            <v>36000</v>
          </cell>
          <cell r="P2541">
            <v>22500</v>
          </cell>
          <cell r="Q2541">
            <v>36000</v>
          </cell>
          <cell r="R2541">
            <v>22500</v>
          </cell>
          <cell r="S2541">
            <v>36000</v>
          </cell>
          <cell r="T2541">
            <v>22500</v>
          </cell>
          <cell r="U2541">
            <v>36000</v>
          </cell>
          <cell r="V2541">
            <v>22500</v>
          </cell>
          <cell r="W2541">
            <v>36000</v>
          </cell>
          <cell r="X2541">
            <v>22500</v>
          </cell>
          <cell r="Y2541">
            <v>36000</v>
          </cell>
          <cell r="Z2541">
            <v>22500</v>
          </cell>
          <cell r="AD2541">
            <v>0.35699999999999998</v>
          </cell>
          <cell r="AG2541">
            <v>6680</v>
          </cell>
          <cell r="AH2541">
            <v>52.1</v>
          </cell>
          <cell r="AI2541">
            <v>0.96499999999999997</v>
          </cell>
          <cell r="AJ2541">
            <v>1</v>
          </cell>
          <cell r="AK2541">
            <v>54</v>
          </cell>
        </row>
        <row r="2542">
          <cell r="E2542" t="str">
            <v>LRS4-6300LM-LJ</v>
          </cell>
          <cell r="F2542" t="str">
            <v>台</v>
          </cell>
          <cell r="G2542">
            <v>53000</v>
          </cell>
          <cell r="H2542">
            <v>26500</v>
          </cell>
          <cell r="I2542">
            <v>53000</v>
          </cell>
          <cell r="J2542">
            <v>26500</v>
          </cell>
          <cell r="K2542">
            <v>53000</v>
          </cell>
          <cell r="L2542">
            <v>26500</v>
          </cell>
          <cell r="M2542">
            <v>53000</v>
          </cell>
          <cell r="N2542">
            <v>26500</v>
          </cell>
          <cell r="O2542">
            <v>53000</v>
          </cell>
          <cell r="P2542">
            <v>26500</v>
          </cell>
          <cell r="Q2542">
            <v>53000</v>
          </cell>
          <cell r="R2542">
            <v>26500</v>
          </cell>
          <cell r="S2542">
            <v>53000</v>
          </cell>
          <cell r="T2542">
            <v>26500</v>
          </cell>
          <cell r="U2542">
            <v>53000</v>
          </cell>
          <cell r="V2542">
            <v>26500</v>
          </cell>
          <cell r="W2542">
            <v>53000</v>
          </cell>
          <cell r="X2542">
            <v>26500</v>
          </cell>
          <cell r="Y2542">
            <v>53000</v>
          </cell>
          <cell r="Z2542">
            <v>26500</v>
          </cell>
          <cell r="AD2542">
            <v>0.35699999999999998</v>
          </cell>
          <cell r="AG2542">
            <v>6750</v>
          </cell>
          <cell r="AH2542">
            <v>55</v>
          </cell>
          <cell r="AI2542">
            <v>1</v>
          </cell>
          <cell r="AJ2542">
            <v>1</v>
          </cell>
          <cell r="AK2542">
            <v>55</v>
          </cell>
        </row>
        <row r="2543">
          <cell r="E2543" t="str">
            <v>LRS4-6300LM-LX</v>
          </cell>
          <cell r="F2543" t="str">
            <v>台</v>
          </cell>
          <cell r="G2543">
            <v>53000</v>
          </cell>
          <cell r="H2543">
            <v>26500</v>
          </cell>
          <cell r="I2543">
            <v>53000</v>
          </cell>
          <cell r="J2543">
            <v>26500</v>
          </cell>
          <cell r="K2543">
            <v>53000</v>
          </cell>
          <cell r="L2543">
            <v>26500</v>
          </cell>
          <cell r="M2543">
            <v>53000</v>
          </cell>
          <cell r="N2543">
            <v>26500</v>
          </cell>
          <cell r="O2543">
            <v>53000</v>
          </cell>
          <cell r="P2543">
            <v>26500</v>
          </cell>
          <cell r="Q2543">
            <v>53000</v>
          </cell>
          <cell r="R2543">
            <v>26500</v>
          </cell>
          <cell r="S2543">
            <v>53000</v>
          </cell>
          <cell r="T2543">
            <v>26500</v>
          </cell>
          <cell r="U2543">
            <v>53000</v>
          </cell>
          <cell r="V2543">
            <v>26500</v>
          </cell>
          <cell r="W2543">
            <v>53000</v>
          </cell>
          <cell r="X2543">
            <v>26500</v>
          </cell>
          <cell r="Y2543">
            <v>53000</v>
          </cell>
          <cell r="Z2543">
            <v>26500</v>
          </cell>
          <cell r="AD2543">
            <v>0.35699999999999998</v>
          </cell>
          <cell r="AG2543">
            <v>6750</v>
          </cell>
          <cell r="AH2543">
            <v>55</v>
          </cell>
          <cell r="AI2543">
            <v>1</v>
          </cell>
          <cell r="AJ2543">
            <v>1</v>
          </cell>
          <cell r="AK2543">
            <v>55</v>
          </cell>
        </row>
        <row r="2544">
          <cell r="E2544" t="str">
            <v>LSS1-3150LM-LJ</v>
          </cell>
          <cell r="F2544" t="str">
            <v>台</v>
          </cell>
          <cell r="G2544">
            <v>21500</v>
          </cell>
          <cell r="H2544">
            <v>12500</v>
          </cell>
          <cell r="I2544">
            <v>21500</v>
          </cell>
          <cell r="J2544">
            <v>12500</v>
          </cell>
          <cell r="K2544">
            <v>21500</v>
          </cell>
          <cell r="L2544">
            <v>12500</v>
          </cell>
          <cell r="M2544">
            <v>21500</v>
          </cell>
          <cell r="N2544">
            <v>12500</v>
          </cell>
          <cell r="O2544">
            <v>21500</v>
          </cell>
          <cell r="P2544">
            <v>12500</v>
          </cell>
          <cell r="Q2544">
            <v>21500</v>
          </cell>
          <cell r="R2544">
            <v>12500</v>
          </cell>
          <cell r="S2544">
            <v>21500</v>
          </cell>
          <cell r="T2544">
            <v>12500</v>
          </cell>
          <cell r="U2544">
            <v>21500</v>
          </cell>
          <cell r="V2544">
            <v>12500</v>
          </cell>
          <cell r="W2544">
            <v>21500</v>
          </cell>
          <cell r="X2544">
            <v>12500</v>
          </cell>
          <cell r="Y2544">
            <v>21500</v>
          </cell>
          <cell r="Z2544">
            <v>12500</v>
          </cell>
          <cell r="AD2544">
            <v>0.20899999999999999</v>
          </cell>
          <cell r="AG2544">
            <v>3200</v>
          </cell>
          <cell r="AH2544">
            <v>24</v>
          </cell>
          <cell r="AI2544">
            <v>0.96</v>
          </cell>
          <cell r="AJ2544">
            <v>1</v>
          </cell>
          <cell r="AK2544">
            <v>25</v>
          </cell>
        </row>
        <row r="2590">
          <cell r="E2590" t="str">
            <v>SW:1P-15A</v>
          </cell>
          <cell r="F2590" t="str">
            <v>組</v>
          </cell>
          <cell r="H2590">
            <v>1000</v>
          </cell>
          <cell r="J2590">
            <v>1000</v>
          </cell>
          <cell r="L2590">
            <v>1000</v>
          </cell>
          <cell r="N2590">
            <v>1000</v>
          </cell>
          <cell r="P2590">
            <v>1000</v>
          </cell>
          <cell r="R2590">
            <v>1000</v>
          </cell>
          <cell r="T2590">
            <v>1000</v>
          </cell>
          <cell r="V2590">
            <v>1000</v>
          </cell>
          <cell r="X2590">
            <v>1000</v>
          </cell>
          <cell r="Z2590">
            <v>1000</v>
          </cell>
          <cell r="AD2590">
            <v>0.1</v>
          </cell>
        </row>
        <row r="2591">
          <cell r="E2591" t="str">
            <v>センサSW</v>
          </cell>
          <cell r="F2591" t="str">
            <v>組</v>
          </cell>
          <cell r="H2591">
            <v>8000</v>
          </cell>
          <cell r="J2591">
            <v>8000</v>
          </cell>
          <cell r="L2591">
            <v>8000</v>
          </cell>
          <cell r="N2591">
            <v>8000</v>
          </cell>
          <cell r="P2591">
            <v>8000</v>
          </cell>
          <cell r="R2591">
            <v>8000</v>
          </cell>
          <cell r="T2591">
            <v>8000</v>
          </cell>
          <cell r="V2591">
            <v>8000</v>
          </cell>
          <cell r="X2591">
            <v>8000</v>
          </cell>
          <cell r="Z2591">
            <v>8000</v>
          </cell>
          <cell r="AD2591">
            <v>0.1</v>
          </cell>
        </row>
        <row r="2592">
          <cell r="E2592" t="str">
            <v>Con:2P-15AE</v>
          </cell>
          <cell r="F2592" t="str">
            <v>組</v>
          </cell>
          <cell r="H2592">
            <v>800</v>
          </cell>
          <cell r="J2592">
            <v>800</v>
          </cell>
          <cell r="L2592">
            <v>800</v>
          </cell>
          <cell r="N2592">
            <v>800</v>
          </cell>
          <cell r="P2592">
            <v>800</v>
          </cell>
          <cell r="R2592">
            <v>800</v>
          </cell>
          <cell r="T2592">
            <v>800</v>
          </cell>
          <cell r="V2592">
            <v>800</v>
          </cell>
          <cell r="X2592">
            <v>800</v>
          </cell>
          <cell r="Z2592">
            <v>800</v>
          </cell>
          <cell r="AD2592">
            <v>0.1</v>
          </cell>
        </row>
        <row r="2593">
          <cell r="E2593" t="str">
            <v>Con:2P-20AE</v>
          </cell>
          <cell r="F2593" t="str">
            <v>組</v>
          </cell>
          <cell r="H2593">
            <v>900</v>
          </cell>
          <cell r="J2593">
            <v>900</v>
          </cell>
          <cell r="L2593">
            <v>900</v>
          </cell>
          <cell r="N2593">
            <v>900</v>
          </cell>
          <cell r="P2593">
            <v>900</v>
          </cell>
          <cell r="R2593">
            <v>900</v>
          </cell>
          <cell r="T2593">
            <v>900</v>
          </cell>
          <cell r="V2593">
            <v>900</v>
          </cell>
          <cell r="X2593">
            <v>900</v>
          </cell>
          <cell r="Z2593">
            <v>900</v>
          </cell>
          <cell r="AD2593">
            <v>0.1</v>
          </cell>
        </row>
        <row r="2594">
          <cell r="E2594" t="str">
            <v>防火区画処理</v>
          </cell>
          <cell r="F2594" t="str">
            <v>箇所</v>
          </cell>
          <cell r="H2594">
            <v>2500</v>
          </cell>
          <cell r="J2594">
            <v>2500</v>
          </cell>
          <cell r="L2594">
            <v>2500</v>
          </cell>
          <cell r="N2594">
            <v>2500</v>
          </cell>
          <cell r="P2594">
            <v>2500</v>
          </cell>
          <cell r="R2594">
            <v>2500</v>
          </cell>
          <cell r="T2594">
            <v>2500</v>
          </cell>
          <cell r="V2594">
            <v>2500</v>
          </cell>
          <cell r="X2594">
            <v>2500</v>
          </cell>
          <cell r="Z2594">
            <v>2500</v>
          </cell>
          <cell r="AD2594">
            <v>0.1</v>
          </cell>
        </row>
        <row r="2614">
          <cell r="E2614" t="str">
            <v>高圧カットアウト PC-6 7.2KV-30A</v>
          </cell>
          <cell r="F2614" t="str">
            <v>個</v>
          </cell>
          <cell r="H2614">
            <v>15050</v>
          </cell>
          <cell r="J2614">
            <v>15050</v>
          </cell>
          <cell r="L2614">
            <v>15050</v>
          </cell>
          <cell r="N2614">
            <v>15050</v>
          </cell>
          <cell r="P2614">
            <v>15050</v>
          </cell>
          <cell r="R2614">
            <v>15050</v>
          </cell>
          <cell r="T2614">
            <v>15050</v>
          </cell>
          <cell r="V2614">
            <v>15050</v>
          </cell>
          <cell r="X2614">
            <v>15050</v>
          </cell>
          <cell r="Z2614">
            <v>15050</v>
          </cell>
          <cell r="AD2614">
            <v>0.159</v>
          </cell>
        </row>
        <row r="2615">
          <cell r="E2615" t="str">
            <v>高圧カットアウト PC-6 7.2KV-50A</v>
          </cell>
          <cell r="F2615" t="str">
            <v>個</v>
          </cell>
          <cell r="H2615">
            <v>17820</v>
          </cell>
          <cell r="J2615">
            <v>17820</v>
          </cell>
          <cell r="L2615">
            <v>17820</v>
          </cell>
          <cell r="N2615">
            <v>17820</v>
          </cell>
          <cell r="P2615">
            <v>17820</v>
          </cell>
          <cell r="R2615">
            <v>17820</v>
          </cell>
          <cell r="T2615">
            <v>17820</v>
          </cell>
          <cell r="V2615">
            <v>17820</v>
          </cell>
          <cell r="X2615">
            <v>17820</v>
          </cell>
          <cell r="Z2615">
            <v>17820</v>
          </cell>
          <cell r="AD2615">
            <v>0.159</v>
          </cell>
        </row>
        <row r="2616">
          <cell r="E2616" t="str">
            <v>高圧カットアウト PC-7 7.2KV-100A</v>
          </cell>
          <cell r="F2616" t="str">
            <v>個</v>
          </cell>
          <cell r="H2616">
            <v>18820</v>
          </cell>
          <cell r="J2616">
            <v>18820</v>
          </cell>
          <cell r="L2616">
            <v>18820</v>
          </cell>
          <cell r="N2616">
            <v>18820</v>
          </cell>
          <cell r="P2616">
            <v>18820</v>
          </cell>
          <cell r="R2616">
            <v>18820</v>
          </cell>
          <cell r="T2616">
            <v>18820</v>
          </cell>
          <cell r="V2616">
            <v>18820</v>
          </cell>
          <cell r="X2616">
            <v>18820</v>
          </cell>
          <cell r="Z2616">
            <v>18820</v>
          </cell>
          <cell r="AD2616">
            <v>0.159</v>
          </cell>
        </row>
        <row r="2617">
          <cell r="E2617" t="str">
            <v>高圧カットアウト PC-6S 7.2KV-30A</v>
          </cell>
          <cell r="F2617" t="str">
            <v>個</v>
          </cell>
          <cell r="H2617">
            <v>18820</v>
          </cell>
          <cell r="J2617">
            <v>18820</v>
          </cell>
          <cell r="L2617">
            <v>18820</v>
          </cell>
          <cell r="N2617">
            <v>18820</v>
          </cell>
          <cell r="P2617">
            <v>18820</v>
          </cell>
          <cell r="R2617">
            <v>18820</v>
          </cell>
          <cell r="T2617">
            <v>18820</v>
          </cell>
          <cell r="V2617">
            <v>18820</v>
          </cell>
          <cell r="X2617">
            <v>18820</v>
          </cell>
          <cell r="Z2617">
            <v>18820</v>
          </cell>
          <cell r="AD2617">
            <v>0.159</v>
          </cell>
        </row>
        <row r="2618">
          <cell r="E2618" t="str">
            <v>高圧カットアウト PC-7S7.2KV-30A</v>
          </cell>
          <cell r="F2618" t="str">
            <v>個</v>
          </cell>
          <cell r="H2618">
            <v>18820</v>
          </cell>
          <cell r="J2618">
            <v>18820</v>
          </cell>
          <cell r="L2618">
            <v>18820</v>
          </cell>
          <cell r="N2618">
            <v>18820</v>
          </cell>
          <cell r="P2618">
            <v>18820</v>
          </cell>
          <cell r="R2618">
            <v>18820</v>
          </cell>
          <cell r="T2618">
            <v>18820</v>
          </cell>
          <cell r="V2618">
            <v>18820</v>
          </cell>
          <cell r="X2618">
            <v>18820</v>
          </cell>
          <cell r="Z2618">
            <v>18820</v>
          </cell>
          <cell r="AD2618">
            <v>0.159</v>
          </cell>
        </row>
        <row r="2619">
          <cell r="E2619" t="str">
            <v>高圧カットアウト PC-7S 7.2KV-100A</v>
          </cell>
          <cell r="F2619" t="str">
            <v>個</v>
          </cell>
          <cell r="H2619">
            <v>26780</v>
          </cell>
          <cell r="J2619">
            <v>26780</v>
          </cell>
          <cell r="L2619">
            <v>26780</v>
          </cell>
          <cell r="N2619">
            <v>26780</v>
          </cell>
          <cell r="P2619">
            <v>26780</v>
          </cell>
          <cell r="R2619">
            <v>26780</v>
          </cell>
          <cell r="T2619">
            <v>26780</v>
          </cell>
          <cell r="V2619">
            <v>26780</v>
          </cell>
          <cell r="X2619">
            <v>26780</v>
          </cell>
          <cell r="Z2619">
            <v>26780</v>
          </cell>
          <cell r="AD2619">
            <v>0.159</v>
          </cell>
        </row>
        <row r="2621">
          <cell r="E2621" t="str">
            <v>GLアレスタ GL-86G-8.4KV</v>
          </cell>
          <cell r="F2621" t="str">
            <v>個</v>
          </cell>
          <cell r="H2621">
            <v>10100</v>
          </cell>
          <cell r="J2621">
            <v>10100</v>
          </cell>
          <cell r="L2621">
            <v>10100</v>
          </cell>
          <cell r="N2621">
            <v>10100</v>
          </cell>
          <cell r="P2621">
            <v>10100</v>
          </cell>
          <cell r="R2621">
            <v>10100</v>
          </cell>
          <cell r="T2621">
            <v>10100</v>
          </cell>
          <cell r="V2621">
            <v>10100</v>
          </cell>
          <cell r="X2621">
            <v>10100</v>
          </cell>
          <cell r="Z2621">
            <v>10100</v>
          </cell>
          <cell r="AD2621">
            <v>0.22</v>
          </cell>
        </row>
        <row r="2622">
          <cell r="E2622" t="str">
            <v>配電用アレスタ GL-6R-8.4KV</v>
          </cell>
          <cell r="F2622" t="str">
            <v>個</v>
          </cell>
          <cell r="H2622">
            <v>12900</v>
          </cell>
          <cell r="J2622">
            <v>12900</v>
          </cell>
          <cell r="L2622">
            <v>12900</v>
          </cell>
          <cell r="N2622">
            <v>12900</v>
          </cell>
          <cell r="P2622">
            <v>12900</v>
          </cell>
          <cell r="R2622">
            <v>12900</v>
          </cell>
          <cell r="T2622">
            <v>12900</v>
          </cell>
          <cell r="V2622">
            <v>12900</v>
          </cell>
          <cell r="X2622">
            <v>12900</v>
          </cell>
          <cell r="Z2622">
            <v>12900</v>
          </cell>
          <cell r="AD2622">
            <v>0.22</v>
          </cell>
        </row>
        <row r="2623">
          <cell r="E2623" t="str">
            <v>配電用アレスタ GL-6DS-8.4KV</v>
          </cell>
          <cell r="F2623" t="str">
            <v>個</v>
          </cell>
          <cell r="H2623">
            <v>16600</v>
          </cell>
          <cell r="J2623">
            <v>16600</v>
          </cell>
          <cell r="L2623">
            <v>16600</v>
          </cell>
          <cell r="N2623">
            <v>16600</v>
          </cell>
          <cell r="P2623">
            <v>16600</v>
          </cell>
          <cell r="R2623">
            <v>16600</v>
          </cell>
          <cell r="T2623">
            <v>16600</v>
          </cell>
          <cell r="V2623">
            <v>16600</v>
          </cell>
          <cell r="X2623">
            <v>16600</v>
          </cell>
          <cell r="Z2623">
            <v>16600</v>
          </cell>
          <cell r="AD2623">
            <v>0.22</v>
          </cell>
        </row>
        <row r="2624">
          <cell r="E2624" t="str">
            <v>配電用アレスタ GL-86DS5-8.4KV</v>
          </cell>
          <cell r="F2624" t="str">
            <v>個</v>
          </cell>
          <cell r="H2624">
            <v>16400</v>
          </cell>
          <cell r="J2624">
            <v>16400</v>
          </cell>
          <cell r="L2624">
            <v>16400</v>
          </cell>
          <cell r="N2624">
            <v>16400</v>
          </cell>
          <cell r="P2624">
            <v>16400</v>
          </cell>
          <cell r="R2624">
            <v>16400</v>
          </cell>
          <cell r="T2624">
            <v>16400</v>
          </cell>
          <cell r="V2624">
            <v>16400</v>
          </cell>
          <cell r="X2624">
            <v>16400</v>
          </cell>
          <cell r="Z2624">
            <v>16400</v>
          </cell>
          <cell r="AD2624">
            <v>0.22</v>
          </cell>
        </row>
        <row r="2625">
          <cell r="E2625" t="str">
            <v>配電用アレスタ GL-65G-8.4KV</v>
          </cell>
          <cell r="F2625" t="str">
            <v>個</v>
          </cell>
          <cell r="H2625">
            <v>45500</v>
          </cell>
          <cell r="J2625">
            <v>45500</v>
          </cell>
          <cell r="L2625">
            <v>45500</v>
          </cell>
          <cell r="N2625">
            <v>45500</v>
          </cell>
          <cell r="P2625">
            <v>45500</v>
          </cell>
          <cell r="R2625">
            <v>45500</v>
          </cell>
          <cell r="T2625">
            <v>45500</v>
          </cell>
          <cell r="V2625">
            <v>45500</v>
          </cell>
          <cell r="X2625">
            <v>45500</v>
          </cell>
          <cell r="Z2625">
            <v>45500</v>
          </cell>
          <cell r="AD2625">
            <v>0.22</v>
          </cell>
        </row>
        <row r="2626">
          <cell r="E2626" t="str">
            <v>配電用アレスタ RVSQ-6GPL2-8.4KV</v>
          </cell>
          <cell r="F2626" t="str">
            <v>個</v>
          </cell>
          <cell r="H2626">
            <v>9120</v>
          </cell>
          <cell r="J2626">
            <v>9120</v>
          </cell>
          <cell r="L2626">
            <v>9120</v>
          </cell>
          <cell r="N2626">
            <v>9120</v>
          </cell>
          <cell r="P2626">
            <v>9120</v>
          </cell>
          <cell r="R2626">
            <v>9120</v>
          </cell>
          <cell r="T2626">
            <v>9120</v>
          </cell>
          <cell r="V2626">
            <v>9120</v>
          </cell>
          <cell r="X2626">
            <v>9120</v>
          </cell>
          <cell r="Z2626">
            <v>9120</v>
          </cell>
          <cell r="AD2626">
            <v>0.22</v>
          </cell>
        </row>
        <row r="2629">
          <cell r="E2629" t="str">
            <v>接地工事 EA</v>
          </cell>
          <cell r="F2629" t="str">
            <v>箇所</v>
          </cell>
          <cell r="H2629">
            <v>19000</v>
          </cell>
          <cell r="J2629">
            <v>19000</v>
          </cell>
          <cell r="L2629">
            <v>19000</v>
          </cell>
          <cell r="N2629">
            <v>19000</v>
          </cell>
          <cell r="P2629">
            <v>19000</v>
          </cell>
          <cell r="R2629">
            <v>19000</v>
          </cell>
          <cell r="T2629">
            <v>19000</v>
          </cell>
          <cell r="V2629">
            <v>19000</v>
          </cell>
          <cell r="X2629">
            <v>19000</v>
          </cell>
          <cell r="Z2629">
            <v>19000</v>
          </cell>
          <cell r="AD2629">
            <v>3.7330000000000001</v>
          </cell>
        </row>
        <row r="2630">
          <cell r="E2630" t="str">
            <v>接地工事 EA-LA</v>
          </cell>
          <cell r="F2630" t="str">
            <v>箇所</v>
          </cell>
          <cell r="H2630">
            <v>19000</v>
          </cell>
          <cell r="J2630">
            <v>19000</v>
          </cell>
          <cell r="L2630">
            <v>19000</v>
          </cell>
          <cell r="N2630">
            <v>19000</v>
          </cell>
          <cell r="P2630">
            <v>19000</v>
          </cell>
          <cell r="R2630">
            <v>19000</v>
          </cell>
          <cell r="T2630">
            <v>19000</v>
          </cell>
          <cell r="V2630">
            <v>19000</v>
          </cell>
          <cell r="X2630">
            <v>19000</v>
          </cell>
          <cell r="Z2630">
            <v>19000</v>
          </cell>
          <cell r="AD2630">
            <v>3.7330000000000001</v>
          </cell>
        </row>
        <row r="2631">
          <cell r="E2631" t="str">
            <v>接地工事 EB</v>
          </cell>
          <cell r="F2631" t="str">
            <v>箇所</v>
          </cell>
          <cell r="H2631">
            <v>19000</v>
          </cell>
          <cell r="J2631">
            <v>19000</v>
          </cell>
          <cell r="L2631">
            <v>19000</v>
          </cell>
          <cell r="N2631">
            <v>19000</v>
          </cell>
          <cell r="P2631">
            <v>19000</v>
          </cell>
          <cell r="R2631">
            <v>19000</v>
          </cell>
          <cell r="T2631">
            <v>19000</v>
          </cell>
          <cell r="V2631">
            <v>19000</v>
          </cell>
          <cell r="X2631">
            <v>19000</v>
          </cell>
          <cell r="Z2631">
            <v>19000</v>
          </cell>
          <cell r="AD2631">
            <v>3.7330000000000001</v>
          </cell>
        </row>
        <row r="2632">
          <cell r="E2632" t="str">
            <v>接地工事 ED</v>
          </cell>
          <cell r="F2632" t="str">
            <v>箇所</v>
          </cell>
          <cell r="H2632">
            <v>2800</v>
          </cell>
          <cell r="J2632">
            <v>2800</v>
          </cell>
          <cell r="L2632">
            <v>2800</v>
          </cell>
          <cell r="N2632">
            <v>2800</v>
          </cell>
          <cell r="P2632">
            <v>2800</v>
          </cell>
          <cell r="R2632">
            <v>2800</v>
          </cell>
          <cell r="T2632">
            <v>2800</v>
          </cell>
          <cell r="V2632">
            <v>2800</v>
          </cell>
          <cell r="X2632">
            <v>2800</v>
          </cell>
          <cell r="Z2632">
            <v>2800</v>
          </cell>
          <cell r="AD2632">
            <v>3.7330000000000001</v>
          </cell>
        </row>
        <row r="2633">
          <cell r="E2633" t="str">
            <v>接地工事 ED-ELB</v>
          </cell>
          <cell r="F2633" t="str">
            <v>箇所</v>
          </cell>
          <cell r="H2633">
            <v>2800</v>
          </cell>
          <cell r="J2633">
            <v>2800</v>
          </cell>
          <cell r="L2633">
            <v>2800</v>
          </cell>
          <cell r="N2633">
            <v>2800</v>
          </cell>
          <cell r="P2633">
            <v>2800</v>
          </cell>
          <cell r="R2633">
            <v>2800</v>
          </cell>
          <cell r="T2633">
            <v>2800</v>
          </cell>
          <cell r="V2633">
            <v>2800</v>
          </cell>
          <cell r="X2633">
            <v>2800</v>
          </cell>
          <cell r="Z2633">
            <v>2800</v>
          </cell>
          <cell r="AD2633">
            <v>3.7330000000000001</v>
          </cell>
        </row>
        <row r="2634">
          <cell r="E2634" t="str">
            <v>接地工事 Ep,Ec</v>
          </cell>
          <cell r="F2634" t="str">
            <v>箇所</v>
          </cell>
          <cell r="H2634">
            <v>720</v>
          </cell>
          <cell r="J2634">
            <v>720</v>
          </cell>
          <cell r="L2634">
            <v>720</v>
          </cell>
          <cell r="N2634">
            <v>720</v>
          </cell>
          <cell r="P2634">
            <v>720</v>
          </cell>
          <cell r="R2634">
            <v>720</v>
          </cell>
          <cell r="T2634">
            <v>720</v>
          </cell>
          <cell r="V2634">
            <v>720</v>
          </cell>
          <cell r="X2634">
            <v>720</v>
          </cell>
          <cell r="Z2634">
            <v>720</v>
          </cell>
          <cell r="AD2634">
            <v>0.183</v>
          </cell>
        </row>
        <row r="2636">
          <cell r="E2636" t="str">
            <v>CP 10-19-350Kg</v>
          </cell>
          <cell r="F2636" t="str">
            <v>本</v>
          </cell>
          <cell r="H2636">
            <v>37100</v>
          </cell>
          <cell r="J2636">
            <v>37100</v>
          </cell>
          <cell r="L2636">
            <v>37100</v>
          </cell>
          <cell r="N2636">
            <v>37500</v>
          </cell>
          <cell r="P2636">
            <v>36200</v>
          </cell>
          <cell r="R2636">
            <v>37500</v>
          </cell>
          <cell r="T2636">
            <v>36200</v>
          </cell>
          <cell r="V2636">
            <v>36200</v>
          </cell>
          <cell r="X2636">
            <v>37100</v>
          </cell>
          <cell r="Z2636">
            <v>37100</v>
          </cell>
          <cell r="AD2636">
            <v>2.61</v>
          </cell>
        </row>
        <row r="2637">
          <cell r="E2637" t="str">
            <v>CP 12-19-350Kg</v>
          </cell>
          <cell r="F2637" t="str">
            <v>本</v>
          </cell>
          <cell r="H2637">
            <v>46100</v>
          </cell>
          <cell r="J2637">
            <v>46100</v>
          </cell>
          <cell r="L2637">
            <v>46100</v>
          </cell>
          <cell r="N2637">
            <v>46600</v>
          </cell>
          <cell r="P2637">
            <v>45000</v>
          </cell>
          <cell r="R2637">
            <v>46600</v>
          </cell>
          <cell r="T2637">
            <v>45000</v>
          </cell>
          <cell r="V2637">
            <v>45000</v>
          </cell>
          <cell r="X2637">
            <v>46100</v>
          </cell>
          <cell r="Z2637">
            <v>46100</v>
          </cell>
          <cell r="AD2637">
            <v>3.48</v>
          </cell>
        </row>
        <row r="2638">
          <cell r="E2638" t="str">
            <v>CP 12-19-500Kg</v>
          </cell>
          <cell r="F2638" t="str">
            <v>本</v>
          </cell>
          <cell r="H2638">
            <v>60300</v>
          </cell>
          <cell r="J2638">
            <v>60300</v>
          </cell>
          <cell r="L2638">
            <v>60300</v>
          </cell>
          <cell r="N2638">
            <v>61300</v>
          </cell>
          <cell r="P2638">
            <v>57900</v>
          </cell>
          <cell r="R2638">
            <v>61300</v>
          </cell>
          <cell r="T2638">
            <v>57900</v>
          </cell>
          <cell r="V2638">
            <v>57900</v>
          </cell>
          <cell r="X2638">
            <v>60300</v>
          </cell>
          <cell r="Z2638">
            <v>60300</v>
          </cell>
          <cell r="AD2638">
            <v>3.48</v>
          </cell>
        </row>
        <row r="2639">
          <cell r="E2639" t="str">
            <v>CP 13-19-500Kg</v>
          </cell>
          <cell r="F2639" t="str">
            <v>本</v>
          </cell>
          <cell r="H2639">
            <v>66700</v>
          </cell>
          <cell r="J2639">
            <v>66700</v>
          </cell>
          <cell r="L2639">
            <v>66700</v>
          </cell>
          <cell r="N2639">
            <v>67300</v>
          </cell>
          <cell r="P2639">
            <v>64000</v>
          </cell>
          <cell r="R2639">
            <v>67300</v>
          </cell>
          <cell r="T2639">
            <v>64000</v>
          </cell>
          <cell r="V2639">
            <v>64000</v>
          </cell>
          <cell r="X2639">
            <v>66700</v>
          </cell>
          <cell r="Z2639">
            <v>66700</v>
          </cell>
          <cell r="AD2639">
            <v>3.91</v>
          </cell>
        </row>
        <row r="2640">
          <cell r="E2640" t="str">
            <v>CP 14-19-500Kg</v>
          </cell>
          <cell r="F2640" t="str">
            <v>本</v>
          </cell>
          <cell r="H2640">
            <v>72200</v>
          </cell>
          <cell r="J2640">
            <v>72200</v>
          </cell>
          <cell r="L2640">
            <v>72200</v>
          </cell>
          <cell r="N2640">
            <v>72800</v>
          </cell>
          <cell r="P2640">
            <v>70500</v>
          </cell>
          <cell r="R2640">
            <v>72800</v>
          </cell>
          <cell r="T2640">
            <v>70500</v>
          </cell>
          <cell r="V2640">
            <v>70500</v>
          </cell>
          <cell r="X2640">
            <v>72200</v>
          </cell>
          <cell r="Z2640">
            <v>72200</v>
          </cell>
          <cell r="AD2640">
            <v>4.3499999999999996</v>
          </cell>
        </row>
        <row r="2641">
          <cell r="E2641" t="str">
            <v>CP 15-19-500Kg</v>
          </cell>
          <cell r="F2641" t="str">
            <v>本</v>
          </cell>
          <cell r="H2641">
            <v>79500</v>
          </cell>
          <cell r="J2641">
            <v>79500</v>
          </cell>
          <cell r="L2641">
            <v>79500</v>
          </cell>
          <cell r="N2641">
            <v>80400</v>
          </cell>
          <cell r="P2641">
            <v>77800</v>
          </cell>
          <cell r="R2641">
            <v>80400</v>
          </cell>
          <cell r="T2641">
            <v>77800</v>
          </cell>
          <cell r="V2641">
            <v>77800</v>
          </cell>
          <cell r="X2641">
            <v>79500</v>
          </cell>
          <cell r="Z2641">
            <v>79500</v>
          </cell>
          <cell r="AD2641">
            <v>4.78</v>
          </cell>
        </row>
        <row r="2642">
          <cell r="E2642" t="str">
            <v>CP 16-19-500Kg</v>
          </cell>
          <cell r="F2642" t="str">
            <v>本</v>
          </cell>
          <cell r="H2642">
            <v>85900</v>
          </cell>
          <cell r="J2642">
            <v>85900</v>
          </cell>
          <cell r="L2642">
            <v>85900</v>
          </cell>
          <cell r="N2642">
            <v>87000</v>
          </cell>
          <cell r="P2642">
            <v>82500</v>
          </cell>
          <cell r="R2642">
            <v>87000</v>
          </cell>
          <cell r="T2642">
            <v>82500</v>
          </cell>
          <cell r="V2642">
            <v>82500</v>
          </cell>
          <cell r="X2642">
            <v>85900</v>
          </cell>
          <cell r="Z2642">
            <v>85900</v>
          </cell>
          <cell r="AD2642">
            <v>5.23</v>
          </cell>
        </row>
        <row r="2643">
          <cell r="E2643" t="str">
            <v>CP 13-19-700Kg</v>
          </cell>
          <cell r="F2643" t="str">
            <v>本</v>
          </cell>
          <cell r="H2643">
            <v>88100</v>
          </cell>
          <cell r="J2643">
            <v>88100</v>
          </cell>
          <cell r="L2643">
            <v>88100</v>
          </cell>
          <cell r="N2643">
            <v>89000</v>
          </cell>
          <cell r="P2643">
            <v>84600</v>
          </cell>
          <cell r="R2643">
            <v>89000</v>
          </cell>
          <cell r="T2643">
            <v>84600</v>
          </cell>
          <cell r="V2643">
            <v>84600</v>
          </cell>
          <cell r="X2643">
            <v>88100</v>
          </cell>
          <cell r="Z2643">
            <v>88100</v>
          </cell>
          <cell r="AD2643">
            <v>3.91</v>
          </cell>
        </row>
        <row r="2644">
          <cell r="E2644" t="str">
            <v>CP 14-19-700Kg</v>
          </cell>
          <cell r="F2644" t="str">
            <v>本</v>
          </cell>
          <cell r="H2644">
            <v>96700</v>
          </cell>
          <cell r="J2644">
            <v>96700</v>
          </cell>
          <cell r="L2644">
            <v>96700</v>
          </cell>
          <cell r="N2644">
            <v>98000</v>
          </cell>
          <cell r="P2644">
            <v>92800</v>
          </cell>
          <cell r="R2644">
            <v>98000</v>
          </cell>
          <cell r="T2644">
            <v>92800</v>
          </cell>
          <cell r="V2644">
            <v>92800</v>
          </cell>
          <cell r="X2644">
            <v>96700</v>
          </cell>
          <cell r="Z2644">
            <v>96700</v>
          </cell>
          <cell r="AD2644">
            <v>4.3499999999999996</v>
          </cell>
        </row>
        <row r="2645">
          <cell r="E2645" t="str">
            <v>CP 15-19-700Kg</v>
          </cell>
          <cell r="F2645" t="str">
            <v>本</v>
          </cell>
          <cell r="H2645">
            <v>106600</v>
          </cell>
          <cell r="J2645">
            <v>106600</v>
          </cell>
          <cell r="L2645">
            <v>106600</v>
          </cell>
          <cell r="N2645">
            <v>107900</v>
          </cell>
          <cell r="P2645">
            <v>102000</v>
          </cell>
          <cell r="R2645">
            <v>107900</v>
          </cell>
          <cell r="T2645">
            <v>102000</v>
          </cell>
          <cell r="V2645">
            <v>102000</v>
          </cell>
          <cell r="X2645">
            <v>106600</v>
          </cell>
          <cell r="Z2645">
            <v>106600</v>
          </cell>
          <cell r="AD2645">
            <v>4.78</v>
          </cell>
        </row>
        <row r="2646">
          <cell r="E2646" t="str">
            <v>CP 16-19-700Kg</v>
          </cell>
          <cell r="F2646" t="str">
            <v>本</v>
          </cell>
          <cell r="H2646">
            <v>116500</v>
          </cell>
          <cell r="J2646">
            <v>116500</v>
          </cell>
          <cell r="L2646">
            <v>116500</v>
          </cell>
          <cell r="N2646">
            <v>117900</v>
          </cell>
          <cell r="P2646">
            <v>111000</v>
          </cell>
          <cell r="R2646">
            <v>117900</v>
          </cell>
          <cell r="T2646">
            <v>111000</v>
          </cell>
          <cell r="V2646">
            <v>111000</v>
          </cell>
          <cell r="X2646">
            <v>116500</v>
          </cell>
          <cell r="Z2646">
            <v>116500</v>
          </cell>
          <cell r="AD2646">
            <v>5.23</v>
          </cell>
        </row>
        <row r="2647">
          <cell r="E2647" t="str">
            <v>CP 17-19-700Kg</v>
          </cell>
          <cell r="F2647" t="str">
            <v>本</v>
          </cell>
          <cell r="H2647">
            <v>127800</v>
          </cell>
          <cell r="J2647">
            <v>127800</v>
          </cell>
          <cell r="L2647">
            <v>127800</v>
          </cell>
          <cell r="N2647">
            <v>129800</v>
          </cell>
          <cell r="P2647">
            <v>122000</v>
          </cell>
          <cell r="R2647">
            <v>129800</v>
          </cell>
          <cell r="T2647">
            <v>122000</v>
          </cell>
          <cell r="V2647">
            <v>122000</v>
          </cell>
          <cell r="X2647">
            <v>127800</v>
          </cell>
          <cell r="Z2647">
            <v>127800</v>
          </cell>
          <cell r="AD2647">
            <v>5.68</v>
          </cell>
        </row>
        <row r="2648">
          <cell r="E2648" t="str">
            <v>CP 14-22-1000Kg</v>
          </cell>
          <cell r="F2648" t="str">
            <v>本</v>
          </cell>
          <cell r="H2648">
            <v>129100</v>
          </cell>
          <cell r="J2648">
            <v>129100</v>
          </cell>
          <cell r="L2648">
            <v>129100</v>
          </cell>
          <cell r="N2648">
            <v>131400</v>
          </cell>
          <cell r="P2648">
            <v>123000</v>
          </cell>
          <cell r="R2648">
            <v>131400</v>
          </cell>
          <cell r="T2648">
            <v>123000</v>
          </cell>
          <cell r="V2648">
            <v>123000</v>
          </cell>
          <cell r="X2648">
            <v>129100</v>
          </cell>
          <cell r="Z2648">
            <v>129100</v>
          </cell>
          <cell r="AD2648">
            <v>4.3499999999999996</v>
          </cell>
        </row>
        <row r="2649">
          <cell r="E2649" t="str">
            <v>CP 15-22-1000Kg</v>
          </cell>
          <cell r="F2649" t="str">
            <v>本</v>
          </cell>
          <cell r="H2649">
            <v>143200</v>
          </cell>
          <cell r="J2649">
            <v>143200</v>
          </cell>
          <cell r="L2649">
            <v>143200</v>
          </cell>
          <cell r="N2649">
            <v>145600</v>
          </cell>
          <cell r="P2649">
            <v>137000</v>
          </cell>
          <cell r="R2649">
            <v>145600</v>
          </cell>
          <cell r="T2649">
            <v>137000</v>
          </cell>
          <cell r="V2649">
            <v>137000</v>
          </cell>
          <cell r="X2649">
            <v>143200</v>
          </cell>
          <cell r="Z2649">
            <v>143200</v>
          </cell>
          <cell r="AD2649">
            <v>4.78</v>
          </cell>
        </row>
        <row r="2650">
          <cell r="E2650" t="str">
            <v>CP 16-22-1000Kg</v>
          </cell>
          <cell r="F2650" t="str">
            <v>本</v>
          </cell>
          <cell r="H2650">
            <v>158600</v>
          </cell>
          <cell r="J2650">
            <v>158600</v>
          </cell>
          <cell r="L2650">
            <v>158600</v>
          </cell>
          <cell r="N2650">
            <v>161300</v>
          </cell>
          <cell r="P2650">
            <v>152000</v>
          </cell>
          <cell r="R2650">
            <v>161300</v>
          </cell>
          <cell r="T2650">
            <v>152000</v>
          </cell>
          <cell r="V2650">
            <v>152000</v>
          </cell>
          <cell r="X2650">
            <v>158600</v>
          </cell>
          <cell r="Z2650">
            <v>158600</v>
          </cell>
          <cell r="AD2650">
            <v>5.23</v>
          </cell>
        </row>
        <row r="2651">
          <cell r="E2651" t="str">
            <v>CP 17-22-1000Kg</v>
          </cell>
          <cell r="F2651" t="str">
            <v>本</v>
          </cell>
          <cell r="H2651">
            <v>168000</v>
          </cell>
          <cell r="J2651">
            <v>168000</v>
          </cell>
          <cell r="L2651">
            <v>168000</v>
          </cell>
          <cell r="N2651">
            <v>171400</v>
          </cell>
          <cell r="P2651">
            <v>162000</v>
          </cell>
          <cell r="R2651">
            <v>171400</v>
          </cell>
          <cell r="T2651">
            <v>162000</v>
          </cell>
          <cell r="V2651">
            <v>162000</v>
          </cell>
          <cell r="X2651">
            <v>168000</v>
          </cell>
          <cell r="Z2651">
            <v>168000</v>
          </cell>
          <cell r="AD2651">
            <v>5.68</v>
          </cell>
        </row>
        <row r="2652">
          <cell r="E2652" t="str">
            <v>CP 14-22-1500Kg</v>
          </cell>
          <cell r="F2652" t="str">
            <v>本</v>
          </cell>
          <cell r="H2652">
            <v>206000</v>
          </cell>
          <cell r="J2652">
            <v>206000</v>
          </cell>
          <cell r="L2652">
            <v>206000</v>
          </cell>
          <cell r="N2652">
            <v>209400</v>
          </cell>
          <cell r="P2652">
            <v>197000</v>
          </cell>
          <cell r="R2652">
            <v>209400</v>
          </cell>
          <cell r="T2652">
            <v>197000</v>
          </cell>
          <cell r="V2652">
            <v>197000</v>
          </cell>
          <cell r="X2652">
            <v>206000</v>
          </cell>
          <cell r="Z2652">
            <v>206000</v>
          </cell>
          <cell r="AD2652">
            <v>4.3499999999999996</v>
          </cell>
        </row>
        <row r="2653">
          <cell r="E2653" t="str">
            <v>CP 15-22-1500Kg</v>
          </cell>
          <cell r="F2653" t="str">
            <v>本</v>
          </cell>
          <cell r="H2653">
            <v>229800</v>
          </cell>
          <cell r="J2653">
            <v>229800</v>
          </cell>
          <cell r="L2653">
            <v>229800</v>
          </cell>
          <cell r="N2653">
            <v>233600</v>
          </cell>
          <cell r="P2653">
            <v>220000</v>
          </cell>
          <cell r="R2653">
            <v>233600</v>
          </cell>
          <cell r="T2653">
            <v>220000</v>
          </cell>
          <cell r="V2653">
            <v>220000</v>
          </cell>
          <cell r="X2653">
            <v>229800</v>
          </cell>
          <cell r="Z2653">
            <v>229800</v>
          </cell>
          <cell r="AD2653">
            <v>4.78</v>
          </cell>
        </row>
        <row r="2654">
          <cell r="E2654" t="str">
            <v>CP 16-22-1500Kg</v>
          </cell>
          <cell r="F2654" t="str">
            <v>本</v>
          </cell>
          <cell r="H2654">
            <v>248600</v>
          </cell>
          <cell r="J2654">
            <v>248600</v>
          </cell>
          <cell r="L2654">
            <v>248600</v>
          </cell>
          <cell r="N2654">
            <v>252600</v>
          </cell>
          <cell r="P2654">
            <v>238000</v>
          </cell>
          <cell r="R2654">
            <v>252600</v>
          </cell>
          <cell r="T2654">
            <v>238000</v>
          </cell>
          <cell r="V2654">
            <v>238000</v>
          </cell>
          <cell r="X2654">
            <v>248600</v>
          </cell>
          <cell r="Z2654">
            <v>248600</v>
          </cell>
          <cell r="AD2654">
            <v>5.23</v>
          </cell>
        </row>
        <row r="2655">
          <cell r="E2655" t="str">
            <v>CP 17-22-1500Kg</v>
          </cell>
          <cell r="F2655" t="str">
            <v>本</v>
          </cell>
          <cell r="H2655">
            <v>275100</v>
          </cell>
          <cell r="J2655">
            <v>275100</v>
          </cell>
          <cell r="L2655">
            <v>275100</v>
          </cell>
          <cell r="N2655">
            <v>279500</v>
          </cell>
          <cell r="P2655">
            <v>264000</v>
          </cell>
          <cell r="R2655">
            <v>279500</v>
          </cell>
          <cell r="T2655">
            <v>264000</v>
          </cell>
          <cell r="V2655">
            <v>264000</v>
          </cell>
          <cell r="X2655">
            <v>275100</v>
          </cell>
          <cell r="Z2655">
            <v>275100</v>
          </cell>
          <cell r="AD2655">
            <v>5.68</v>
          </cell>
        </row>
        <row r="2656">
          <cell r="E2656" t="str">
            <v>支線14sq-7/1.6</v>
          </cell>
          <cell r="F2656" t="str">
            <v>ｍ</v>
          </cell>
          <cell r="G2656">
            <v>401</v>
          </cell>
          <cell r="H2656">
            <v>44</v>
          </cell>
          <cell r="I2656">
            <v>401</v>
          </cell>
          <cell r="J2656">
            <v>44</v>
          </cell>
          <cell r="K2656">
            <v>393</v>
          </cell>
          <cell r="L2656">
            <v>43</v>
          </cell>
          <cell r="M2656">
            <v>393</v>
          </cell>
          <cell r="N2656">
            <v>43</v>
          </cell>
          <cell r="O2656">
            <v>393</v>
          </cell>
          <cell r="P2656">
            <v>43</v>
          </cell>
          <cell r="Q2656">
            <v>393</v>
          </cell>
          <cell r="R2656">
            <v>43</v>
          </cell>
          <cell r="S2656">
            <v>393</v>
          </cell>
          <cell r="T2656">
            <v>43</v>
          </cell>
          <cell r="U2656">
            <v>393</v>
          </cell>
          <cell r="V2656">
            <v>43</v>
          </cell>
          <cell r="W2656">
            <v>393</v>
          </cell>
          <cell r="X2656">
            <v>43</v>
          </cell>
          <cell r="Y2656">
            <v>393</v>
          </cell>
          <cell r="Z2656">
            <v>43</v>
          </cell>
          <cell r="AD2656">
            <v>5.5E-2</v>
          </cell>
        </row>
        <row r="2657">
          <cell r="E2657" t="str">
            <v>支線18sq-7/1.8</v>
          </cell>
          <cell r="F2657" t="str">
            <v>ｍ</v>
          </cell>
          <cell r="G2657">
            <v>376</v>
          </cell>
          <cell r="H2657">
            <v>53</v>
          </cell>
          <cell r="I2657">
            <v>376</v>
          </cell>
          <cell r="J2657">
            <v>53</v>
          </cell>
          <cell r="K2657">
            <v>368</v>
          </cell>
          <cell r="L2657">
            <v>51</v>
          </cell>
          <cell r="M2657">
            <v>368</v>
          </cell>
          <cell r="N2657">
            <v>51</v>
          </cell>
          <cell r="O2657">
            <v>368</v>
          </cell>
          <cell r="P2657">
            <v>51</v>
          </cell>
          <cell r="Q2657">
            <v>368</v>
          </cell>
          <cell r="R2657">
            <v>51</v>
          </cell>
          <cell r="S2657">
            <v>368</v>
          </cell>
          <cell r="T2657">
            <v>51</v>
          </cell>
          <cell r="U2657">
            <v>368</v>
          </cell>
          <cell r="V2657">
            <v>51</v>
          </cell>
          <cell r="W2657">
            <v>368</v>
          </cell>
          <cell r="X2657">
            <v>51</v>
          </cell>
          <cell r="Y2657">
            <v>368</v>
          </cell>
          <cell r="Z2657">
            <v>51</v>
          </cell>
          <cell r="AD2657">
            <v>5.5E-2</v>
          </cell>
        </row>
        <row r="2658">
          <cell r="E2658" t="str">
            <v>支線22sq-7/2.0</v>
          </cell>
          <cell r="F2658" t="str">
            <v>ｍ</v>
          </cell>
          <cell r="G2658">
            <v>372</v>
          </cell>
          <cell r="H2658">
            <v>64</v>
          </cell>
          <cell r="I2658">
            <v>372</v>
          </cell>
          <cell r="J2658">
            <v>64</v>
          </cell>
          <cell r="K2658">
            <v>364</v>
          </cell>
          <cell r="L2658">
            <v>63</v>
          </cell>
          <cell r="M2658">
            <v>364</v>
          </cell>
          <cell r="N2658">
            <v>63</v>
          </cell>
          <cell r="O2658">
            <v>364</v>
          </cell>
          <cell r="P2658">
            <v>63</v>
          </cell>
          <cell r="Q2658">
            <v>364</v>
          </cell>
          <cell r="R2658">
            <v>63</v>
          </cell>
          <cell r="S2658">
            <v>364</v>
          </cell>
          <cell r="T2658">
            <v>63</v>
          </cell>
          <cell r="U2658">
            <v>364</v>
          </cell>
          <cell r="V2658">
            <v>63</v>
          </cell>
          <cell r="W2658">
            <v>364</v>
          </cell>
          <cell r="X2658">
            <v>63</v>
          </cell>
          <cell r="Y2658">
            <v>364</v>
          </cell>
          <cell r="Z2658">
            <v>63</v>
          </cell>
          <cell r="AD2658">
            <v>5.5E-2</v>
          </cell>
        </row>
        <row r="2659">
          <cell r="E2659" t="str">
            <v>支線30sq-7/2.3</v>
          </cell>
          <cell r="F2659" t="str">
            <v>ｍ</v>
          </cell>
          <cell r="G2659">
            <v>365</v>
          </cell>
          <cell r="H2659">
            <v>83</v>
          </cell>
          <cell r="I2659">
            <v>365</v>
          </cell>
          <cell r="J2659">
            <v>83</v>
          </cell>
          <cell r="K2659">
            <v>357</v>
          </cell>
          <cell r="L2659">
            <v>82</v>
          </cell>
          <cell r="M2659">
            <v>357</v>
          </cell>
          <cell r="N2659">
            <v>82</v>
          </cell>
          <cell r="O2659">
            <v>357</v>
          </cell>
          <cell r="P2659">
            <v>82</v>
          </cell>
          <cell r="Q2659">
            <v>357</v>
          </cell>
          <cell r="R2659">
            <v>82</v>
          </cell>
          <cell r="S2659">
            <v>357</v>
          </cell>
          <cell r="T2659">
            <v>82</v>
          </cell>
          <cell r="U2659">
            <v>357</v>
          </cell>
          <cell r="V2659">
            <v>82</v>
          </cell>
          <cell r="W2659">
            <v>357</v>
          </cell>
          <cell r="X2659">
            <v>82</v>
          </cell>
          <cell r="Y2659">
            <v>357</v>
          </cell>
          <cell r="Z2659">
            <v>82</v>
          </cell>
          <cell r="AD2659">
            <v>5.5E-2</v>
          </cell>
        </row>
        <row r="2660">
          <cell r="E2660" t="str">
            <v>支線38sq-7/2.6</v>
          </cell>
          <cell r="F2660" t="str">
            <v>ｍ</v>
          </cell>
          <cell r="G2660">
            <v>361</v>
          </cell>
          <cell r="H2660">
            <v>106</v>
          </cell>
          <cell r="I2660">
            <v>361</v>
          </cell>
          <cell r="J2660">
            <v>106</v>
          </cell>
          <cell r="K2660">
            <v>353</v>
          </cell>
          <cell r="L2660">
            <v>103</v>
          </cell>
          <cell r="M2660">
            <v>353</v>
          </cell>
          <cell r="N2660">
            <v>103</v>
          </cell>
          <cell r="O2660">
            <v>353</v>
          </cell>
          <cell r="P2660">
            <v>103</v>
          </cell>
          <cell r="Q2660">
            <v>353</v>
          </cell>
          <cell r="R2660">
            <v>103</v>
          </cell>
          <cell r="S2660">
            <v>353</v>
          </cell>
          <cell r="T2660">
            <v>103</v>
          </cell>
          <cell r="U2660">
            <v>353</v>
          </cell>
          <cell r="V2660">
            <v>103</v>
          </cell>
          <cell r="W2660">
            <v>353</v>
          </cell>
          <cell r="X2660">
            <v>103</v>
          </cell>
          <cell r="Y2660">
            <v>353</v>
          </cell>
          <cell r="Z2660">
            <v>103</v>
          </cell>
          <cell r="AD2660">
            <v>5.5E-2</v>
          </cell>
        </row>
        <row r="2661">
          <cell r="E2661" t="str">
            <v>支線45sq-7/2.9</v>
          </cell>
          <cell r="F2661" t="str">
            <v>ｍ</v>
          </cell>
          <cell r="G2661">
            <v>359</v>
          </cell>
          <cell r="H2661">
            <v>131</v>
          </cell>
          <cell r="I2661">
            <v>359</v>
          </cell>
          <cell r="J2661">
            <v>131</v>
          </cell>
          <cell r="K2661">
            <v>351</v>
          </cell>
          <cell r="L2661">
            <v>128</v>
          </cell>
          <cell r="M2661">
            <v>351</v>
          </cell>
          <cell r="N2661">
            <v>128</v>
          </cell>
          <cell r="O2661">
            <v>351</v>
          </cell>
          <cell r="P2661">
            <v>128</v>
          </cell>
          <cell r="Q2661">
            <v>351</v>
          </cell>
          <cell r="R2661">
            <v>128</v>
          </cell>
          <cell r="S2661">
            <v>351</v>
          </cell>
          <cell r="T2661">
            <v>128</v>
          </cell>
          <cell r="U2661">
            <v>351</v>
          </cell>
          <cell r="V2661">
            <v>128</v>
          </cell>
          <cell r="W2661">
            <v>351</v>
          </cell>
          <cell r="X2661">
            <v>128</v>
          </cell>
          <cell r="Y2661">
            <v>351</v>
          </cell>
          <cell r="Z2661">
            <v>128</v>
          </cell>
          <cell r="AD2661">
            <v>6.5000000000000002E-2</v>
          </cell>
        </row>
        <row r="2662">
          <cell r="E2662" t="str">
            <v>支線55sq-7/3.2</v>
          </cell>
          <cell r="F2662" t="str">
            <v>ｍ</v>
          </cell>
          <cell r="G2662">
            <v>356</v>
          </cell>
          <cell r="H2662">
            <v>158</v>
          </cell>
          <cell r="I2662">
            <v>356</v>
          </cell>
          <cell r="J2662">
            <v>158</v>
          </cell>
          <cell r="K2662">
            <v>348</v>
          </cell>
          <cell r="L2662">
            <v>155</v>
          </cell>
          <cell r="M2662">
            <v>348</v>
          </cell>
          <cell r="N2662">
            <v>155</v>
          </cell>
          <cell r="O2662">
            <v>348</v>
          </cell>
          <cell r="P2662">
            <v>155</v>
          </cell>
          <cell r="Q2662">
            <v>348</v>
          </cell>
          <cell r="R2662">
            <v>155</v>
          </cell>
          <cell r="S2662">
            <v>348</v>
          </cell>
          <cell r="T2662">
            <v>155</v>
          </cell>
          <cell r="U2662">
            <v>348</v>
          </cell>
          <cell r="V2662">
            <v>155</v>
          </cell>
          <cell r="W2662">
            <v>348</v>
          </cell>
          <cell r="X2662">
            <v>155</v>
          </cell>
          <cell r="Y2662">
            <v>348</v>
          </cell>
          <cell r="Z2662">
            <v>155</v>
          </cell>
          <cell r="AD2662">
            <v>6.5000000000000002E-2</v>
          </cell>
        </row>
        <row r="2663">
          <cell r="E2663" t="str">
            <v>支線70sq-7/3.5</v>
          </cell>
          <cell r="F2663" t="str">
            <v>ｍ</v>
          </cell>
          <cell r="G2663">
            <v>352</v>
          </cell>
          <cell r="H2663">
            <v>187</v>
          </cell>
          <cell r="I2663">
            <v>352</v>
          </cell>
          <cell r="J2663">
            <v>187</v>
          </cell>
          <cell r="K2663">
            <v>344</v>
          </cell>
          <cell r="L2663">
            <v>183</v>
          </cell>
          <cell r="M2663">
            <v>344</v>
          </cell>
          <cell r="N2663">
            <v>183</v>
          </cell>
          <cell r="O2663">
            <v>344</v>
          </cell>
          <cell r="P2663">
            <v>183</v>
          </cell>
          <cell r="Q2663">
            <v>344</v>
          </cell>
          <cell r="R2663">
            <v>183</v>
          </cell>
          <cell r="S2663">
            <v>344</v>
          </cell>
          <cell r="T2663">
            <v>183</v>
          </cell>
          <cell r="U2663">
            <v>344</v>
          </cell>
          <cell r="V2663">
            <v>183</v>
          </cell>
          <cell r="W2663">
            <v>344</v>
          </cell>
          <cell r="X2663">
            <v>183</v>
          </cell>
          <cell r="Y2663">
            <v>344</v>
          </cell>
          <cell r="Z2663">
            <v>183</v>
          </cell>
          <cell r="AD2663">
            <v>6.5000000000000002E-2</v>
          </cell>
        </row>
        <row r="2664">
          <cell r="E2664" t="str">
            <v>支線90sq-7/4.0</v>
          </cell>
          <cell r="F2664" t="str">
            <v>ｍ</v>
          </cell>
          <cell r="G2664">
            <v>354</v>
          </cell>
          <cell r="H2664">
            <v>246</v>
          </cell>
          <cell r="I2664">
            <v>354</v>
          </cell>
          <cell r="J2664">
            <v>246</v>
          </cell>
          <cell r="K2664">
            <v>346</v>
          </cell>
          <cell r="L2664">
            <v>241</v>
          </cell>
          <cell r="M2664">
            <v>346</v>
          </cell>
          <cell r="N2664">
            <v>241</v>
          </cell>
          <cell r="O2664">
            <v>346</v>
          </cell>
          <cell r="P2664">
            <v>241</v>
          </cell>
          <cell r="Q2664">
            <v>346</v>
          </cell>
          <cell r="R2664">
            <v>241</v>
          </cell>
          <cell r="S2664">
            <v>346</v>
          </cell>
          <cell r="T2664">
            <v>241</v>
          </cell>
          <cell r="U2664">
            <v>346</v>
          </cell>
          <cell r="V2664">
            <v>241</v>
          </cell>
          <cell r="W2664">
            <v>346</v>
          </cell>
          <cell r="X2664">
            <v>241</v>
          </cell>
          <cell r="Y2664">
            <v>346</v>
          </cell>
          <cell r="Z2664">
            <v>241</v>
          </cell>
          <cell r="AD2664">
            <v>6.5000000000000002E-2</v>
          </cell>
        </row>
        <row r="2665">
          <cell r="E2665" t="str">
            <v>支線110sq-7/4.5</v>
          </cell>
          <cell r="F2665" t="str">
            <v>ｍ</v>
          </cell>
          <cell r="G2665">
            <v>354</v>
          </cell>
          <cell r="H2665">
            <v>312</v>
          </cell>
          <cell r="I2665">
            <v>354</v>
          </cell>
          <cell r="J2665">
            <v>312</v>
          </cell>
          <cell r="K2665">
            <v>346</v>
          </cell>
          <cell r="L2665">
            <v>305</v>
          </cell>
          <cell r="M2665">
            <v>346</v>
          </cell>
          <cell r="N2665">
            <v>305</v>
          </cell>
          <cell r="O2665">
            <v>346</v>
          </cell>
          <cell r="P2665">
            <v>305</v>
          </cell>
          <cell r="Q2665">
            <v>346</v>
          </cell>
          <cell r="R2665">
            <v>305</v>
          </cell>
          <cell r="S2665">
            <v>346</v>
          </cell>
          <cell r="T2665">
            <v>305</v>
          </cell>
          <cell r="U2665">
            <v>346</v>
          </cell>
          <cell r="V2665">
            <v>305</v>
          </cell>
          <cell r="W2665">
            <v>346</v>
          </cell>
          <cell r="X2665">
            <v>305</v>
          </cell>
          <cell r="Y2665">
            <v>346</v>
          </cell>
          <cell r="Z2665">
            <v>305</v>
          </cell>
          <cell r="AD2665">
            <v>6.5000000000000002E-2</v>
          </cell>
        </row>
        <row r="2666">
          <cell r="E2666" t="str">
            <v>支線135sq-7/5.0</v>
          </cell>
          <cell r="F2666" t="str">
            <v>ｍ</v>
          </cell>
          <cell r="G2666">
            <v>362</v>
          </cell>
          <cell r="H2666">
            <v>394</v>
          </cell>
          <cell r="I2666">
            <v>362</v>
          </cell>
          <cell r="J2666">
            <v>394</v>
          </cell>
          <cell r="K2666">
            <v>354</v>
          </cell>
          <cell r="L2666">
            <v>385</v>
          </cell>
          <cell r="M2666">
            <v>354</v>
          </cell>
          <cell r="N2666">
            <v>385</v>
          </cell>
          <cell r="O2666">
            <v>354</v>
          </cell>
          <cell r="P2666">
            <v>385</v>
          </cell>
          <cell r="Q2666">
            <v>354</v>
          </cell>
          <cell r="R2666">
            <v>385</v>
          </cell>
          <cell r="S2666">
            <v>354</v>
          </cell>
          <cell r="T2666">
            <v>385</v>
          </cell>
          <cell r="U2666">
            <v>354</v>
          </cell>
          <cell r="V2666">
            <v>385</v>
          </cell>
          <cell r="W2666">
            <v>354</v>
          </cell>
          <cell r="X2666">
            <v>385</v>
          </cell>
          <cell r="Y2666">
            <v>354</v>
          </cell>
          <cell r="Z2666">
            <v>385</v>
          </cell>
          <cell r="AD2666">
            <v>6.5000000000000002E-2</v>
          </cell>
        </row>
        <row r="2667">
          <cell r="E2667" t="str">
            <v>ステンレス・ハンガー 3号</v>
          </cell>
          <cell r="F2667" t="str">
            <v>個</v>
          </cell>
          <cell r="H2667">
            <v>223</v>
          </cell>
          <cell r="J2667">
            <v>223</v>
          </cell>
          <cell r="L2667">
            <v>223</v>
          </cell>
          <cell r="N2667">
            <v>223</v>
          </cell>
          <cell r="P2667">
            <v>223</v>
          </cell>
          <cell r="R2667">
            <v>223</v>
          </cell>
          <cell r="T2667">
            <v>223</v>
          </cell>
          <cell r="V2667">
            <v>223</v>
          </cell>
          <cell r="X2667">
            <v>223</v>
          </cell>
          <cell r="Z2667">
            <v>223</v>
          </cell>
        </row>
        <row r="2668">
          <cell r="E2668" t="str">
            <v>装柱材料</v>
          </cell>
          <cell r="F2668" t="str">
            <v>箇所</v>
          </cell>
          <cell r="H2668">
            <v>25000</v>
          </cell>
          <cell r="J2668">
            <v>25000</v>
          </cell>
          <cell r="L2668">
            <v>25000</v>
          </cell>
          <cell r="N2668">
            <v>25000</v>
          </cell>
          <cell r="P2668">
            <v>25000</v>
          </cell>
          <cell r="R2668">
            <v>25000</v>
          </cell>
          <cell r="T2668">
            <v>25000</v>
          </cell>
          <cell r="V2668">
            <v>25000</v>
          </cell>
          <cell r="X2668">
            <v>25000</v>
          </cell>
          <cell r="Z2668">
            <v>25000</v>
          </cell>
          <cell r="AD2668">
            <v>1.8</v>
          </cell>
        </row>
        <row r="2669">
          <cell r="E2669" t="str">
            <v>KK 600×600×700</v>
          </cell>
          <cell r="F2669" t="str">
            <v>基</v>
          </cell>
          <cell r="H2669">
            <v>61200</v>
          </cell>
          <cell r="J2669">
            <v>61200</v>
          </cell>
          <cell r="L2669">
            <v>61200</v>
          </cell>
          <cell r="N2669">
            <v>61200</v>
          </cell>
          <cell r="P2669">
            <v>61200</v>
          </cell>
          <cell r="R2669">
            <v>61200</v>
          </cell>
          <cell r="T2669">
            <v>61200</v>
          </cell>
          <cell r="V2669">
            <v>61200</v>
          </cell>
          <cell r="X2669">
            <v>61200</v>
          </cell>
          <cell r="Z2669">
            <v>61200</v>
          </cell>
          <cell r="AD2669">
            <v>1.6600000000000001</v>
          </cell>
        </row>
        <row r="2670">
          <cell r="E2670" t="str">
            <v>KK 600×600×1200</v>
          </cell>
          <cell r="F2670" t="str">
            <v>基</v>
          </cell>
          <cell r="H2670">
            <v>75600</v>
          </cell>
          <cell r="J2670">
            <v>75600</v>
          </cell>
          <cell r="L2670">
            <v>75600</v>
          </cell>
          <cell r="N2670">
            <v>75600</v>
          </cell>
          <cell r="P2670">
            <v>75600</v>
          </cell>
          <cell r="R2670">
            <v>75600</v>
          </cell>
          <cell r="T2670">
            <v>75600</v>
          </cell>
          <cell r="V2670">
            <v>75600</v>
          </cell>
          <cell r="X2670">
            <v>75600</v>
          </cell>
          <cell r="Z2670">
            <v>75600</v>
          </cell>
          <cell r="AD2670">
            <v>2.16</v>
          </cell>
        </row>
        <row r="2671">
          <cell r="E2671" t="str">
            <v>KK 750×750×900</v>
          </cell>
          <cell r="F2671" t="str">
            <v>基</v>
          </cell>
          <cell r="H2671">
            <v>81200</v>
          </cell>
          <cell r="J2671">
            <v>81200</v>
          </cell>
          <cell r="L2671">
            <v>81200</v>
          </cell>
          <cell r="N2671">
            <v>81200</v>
          </cell>
          <cell r="P2671">
            <v>81200</v>
          </cell>
          <cell r="R2671">
            <v>81200</v>
          </cell>
          <cell r="T2671">
            <v>81200</v>
          </cell>
          <cell r="V2671">
            <v>81200</v>
          </cell>
          <cell r="X2671">
            <v>81200</v>
          </cell>
          <cell r="Z2671">
            <v>81200</v>
          </cell>
          <cell r="AD2671">
            <v>2.1</v>
          </cell>
        </row>
        <row r="2672">
          <cell r="E2672" t="str">
            <v>KK 750×750×1200</v>
          </cell>
          <cell r="F2672" t="str">
            <v>基</v>
          </cell>
          <cell r="H2672">
            <v>93200</v>
          </cell>
          <cell r="J2672">
            <v>93200</v>
          </cell>
          <cell r="L2672">
            <v>93200</v>
          </cell>
          <cell r="N2672">
            <v>93200</v>
          </cell>
          <cell r="P2672">
            <v>93200</v>
          </cell>
          <cell r="R2672">
            <v>93200</v>
          </cell>
          <cell r="T2672">
            <v>93200</v>
          </cell>
          <cell r="V2672">
            <v>93200</v>
          </cell>
          <cell r="X2672">
            <v>93200</v>
          </cell>
          <cell r="Z2672">
            <v>93200</v>
          </cell>
          <cell r="AD2672">
            <v>2.4</v>
          </cell>
        </row>
        <row r="2673">
          <cell r="E2673" t="str">
            <v>KK 750×750×1500</v>
          </cell>
          <cell r="F2673" t="str">
            <v>基</v>
          </cell>
          <cell r="H2673">
            <v>105000</v>
          </cell>
          <cell r="J2673">
            <v>105000</v>
          </cell>
          <cell r="L2673">
            <v>105000</v>
          </cell>
          <cell r="N2673">
            <v>105000</v>
          </cell>
          <cell r="P2673">
            <v>105000</v>
          </cell>
          <cell r="R2673">
            <v>105000</v>
          </cell>
          <cell r="T2673">
            <v>105000</v>
          </cell>
          <cell r="V2673">
            <v>105000</v>
          </cell>
          <cell r="X2673">
            <v>105000</v>
          </cell>
          <cell r="Z2673">
            <v>105000</v>
          </cell>
          <cell r="AD2673">
            <v>2.7</v>
          </cell>
        </row>
        <row r="2674">
          <cell r="E2674" t="str">
            <v>KK 800×800×900</v>
          </cell>
          <cell r="F2674" t="str">
            <v>基</v>
          </cell>
          <cell r="H2674">
            <v>85200</v>
          </cell>
          <cell r="J2674">
            <v>85200</v>
          </cell>
          <cell r="L2674">
            <v>85200</v>
          </cell>
          <cell r="N2674">
            <v>85200</v>
          </cell>
          <cell r="P2674">
            <v>85200</v>
          </cell>
          <cell r="R2674">
            <v>85200</v>
          </cell>
          <cell r="T2674">
            <v>85200</v>
          </cell>
          <cell r="V2674">
            <v>85200</v>
          </cell>
          <cell r="X2674">
            <v>85200</v>
          </cell>
          <cell r="Z2674">
            <v>85200</v>
          </cell>
          <cell r="AD2674">
            <v>2.1800000000000002</v>
          </cell>
        </row>
        <row r="2675">
          <cell r="E2675" t="str">
            <v>KK 800×800×1200</v>
          </cell>
          <cell r="F2675" t="str">
            <v>基</v>
          </cell>
          <cell r="H2675">
            <v>97200</v>
          </cell>
          <cell r="J2675">
            <v>97200</v>
          </cell>
          <cell r="L2675">
            <v>97200</v>
          </cell>
          <cell r="N2675">
            <v>97200</v>
          </cell>
          <cell r="P2675">
            <v>97200</v>
          </cell>
          <cell r="R2675">
            <v>97200</v>
          </cell>
          <cell r="T2675">
            <v>97200</v>
          </cell>
          <cell r="V2675">
            <v>97200</v>
          </cell>
          <cell r="X2675">
            <v>97200</v>
          </cell>
          <cell r="Z2675">
            <v>97200</v>
          </cell>
          <cell r="AD2675">
            <v>2.48</v>
          </cell>
        </row>
        <row r="2676">
          <cell r="E2676" t="str">
            <v>KK 800×800×1500</v>
          </cell>
          <cell r="F2676" t="str">
            <v>基</v>
          </cell>
          <cell r="H2676">
            <v>109000</v>
          </cell>
          <cell r="J2676">
            <v>109000</v>
          </cell>
          <cell r="L2676">
            <v>109000</v>
          </cell>
          <cell r="N2676">
            <v>109000</v>
          </cell>
          <cell r="P2676">
            <v>109000</v>
          </cell>
          <cell r="R2676">
            <v>109000</v>
          </cell>
          <cell r="T2676">
            <v>109000</v>
          </cell>
          <cell r="V2676">
            <v>109000</v>
          </cell>
          <cell r="X2676">
            <v>109000</v>
          </cell>
          <cell r="Z2676">
            <v>109000</v>
          </cell>
          <cell r="AD2676">
            <v>2.7800000000000002</v>
          </cell>
        </row>
        <row r="2677">
          <cell r="E2677" t="str">
            <v>KK 900×900×1200</v>
          </cell>
          <cell r="F2677" t="str">
            <v>基</v>
          </cell>
          <cell r="H2677">
            <v>106000</v>
          </cell>
          <cell r="J2677">
            <v>106000</v>
          </cell>
          <cell r="L2677">
            <v>106000</v>
          </cell>
          <cell r="N2677">
            <v>106000</v>
          </cell>
          <cell r="P2677">
            <v>106000</v>
          </cell>
          <cell r="R2677">
            <v>106000</v>
          </cell>
          <cell r="T2677">
            <v>106000</v>
          </cell>
          <cell r="V2677">
            <v>106000</v>
          </cell>
          <cell r="X2677">
            <v>106000</v>
          </cell>
          <cell r="Z2677">
            <v>106000</v>
          </cell>
          <cell r="AD2677">
            <v>2.6399999999999997</v>
          </cell>
        </row>
        <row r="2678">
          <cell r="E2678" t="str">
            <v>KK 900×900×1350</v>
          </cell>
          <cell r="F2678" t="str">
            <v>基</v>
          </cell>
          <cell r="H2678">
            <v>114000</v>
          </cell>
          <cell r="J2678">
            <v>114000</v>
          </cell>
          <cell r="L2678">
            <v>114000</v>
          </cell>
          <cell r="N2678">
            <v>114000</v>
          </cell>
          <cell r="P2678">
            <v>114000</v>
          </cell>
          <cell r="R2678">
            <v>114000</v>
          </cell>
          <cell r="T2678">
            <v>114000</v>
          </cell>
          <cell r="V2678">
            <v>114000</v>
          </cell>
          <cell r="X2678">
            <v>114000</v>
          </cell>
          <cell r="Z2678">
            <v>114000</v>
          </cell>
          <cell r="AD2678">
            <v>1.4535</v>
          </cell>
        </row>
        <row r="2679">
          <cell r="E2679" t="str">
            <v>KK 900×900×1500</v>
          </cell>
          <cell r="F2679" t="str">
            <v>基</v>
          </cell>
          <cell r="H2679">
            <v>119000</v>
          </cell>
          <cell r="J2679">
            <v>119000</v>
          </cell>
          <cell r="L2679">
            <v>119000</v>
          </cell>
          <cell r="N2679">
            <v>119000</v>
          </cell>
          <cell r="P2679">
            <v>119000</v>
          </cell>
          <cell r="R2679">
            <v>119000</v>
          </cell>
          <cell r="T2679">
            <v>119000</v>
          </cell>
          <cell r="V2679">
            <v>119000</v>
          </cell>
          <cell r="X2679">
            <v>119000</v>
          </cell>
          <cell r="Z2679">
            <v>119000</v>
          </cell>
          <cell r="AD2679">
            <v>2.94</v>
          </cell>
        </row>
        <row r="2680">
          <cell r="E2680" t="str">
            <v>KK 1000×1000×900</v>
          </cell>
          <cell r="F2680" t="str">
            <v>基</v>
          </cell>
          <cell r="H2680">
            <v>102000</v>
          </cell>
          <cell r="J2680">
            <v>102000</v>
          </cell>
          <cell r="L2680">
            <v>102000</v>
          </cell>
          <cell r="N2680">
            <v>102000</v>
          </cell>
          <cell r="P2680">
            <v>102000</v>
          </cell>
          <cell r="R2680">
            <v>102000</v>
          </cell>
          <cell r="T2680">
            <v>102000</v>
          </cell>
          <cell r="V2680">
            <v>102000</v>
          </cell>
          <cell r="X2680">
            <v>102000</v>
          </cell>
          <cell r="Z2680">
            <v>102000</v>
          </cell>
          <cell r="AD2680">
            <v>2.5</v>
          </cell>
        </row>
        <row r="2681">
          <cell r="E2681" t="str">
            <v>KK 1000×1000×1200</v>
          </cell>
          <cell r="F2681" t="str">
            <v>基</v>
          </cell>
          <cell r="H2681">
            <v>118000</v>
          </cell>
          <cell r="J2681">
            <v>118000</v>
          </cell>
          <cell r="L2681">
            <v>118000</v>
          </cell>
          <cell r="N2681">
            <v>118000</v>
          </cell>
          <cell r="P2681">
            <v>118000</v>
          </cell>
          <cell r="R2681">
            <v>118000</v>
          </cell>
          <cell r="T2681">
            <v>118000</v>
          </cell>
          <cell r="V2681">
            <v>118000</v>
          </cell>
          <cell r="X2681">
            <v>118000</v>
          </cell>
          <cell r="Z2681">
            <v>118000</v>
          </cell>
          <cell r="AD2681">
            <v>2.8</v>
          </cell>
        </row>
        <row r="2682">
          <cell r="E2682" t="str">
            <v>KK 1000×1000×1500</v>
          </cell>
          <cell r="F2682" t="str">
            <v>基</v>
          </cell>
          <cell r="H2682">
            <v>133000</v>
          </cell>
          <cell r="J2682">
            <v>133000</v>
          </cell>
          <cell r="L2682">
            <v>133000</v>
          </cell>
          <cell r="N2682">
            <v>133000</v>
          </cell>
          <cell r="P2682">
            <v>133000</v>
          </cell>
          <cell r="R2682">
            <v>133000</v>
          </cell>
          <cell r="T2682">
            <v>133000</v>
          </cell>
          <cell r="V2682">
            <v>133000</v>
          </cell>
          <cell r="X2682">
            <v>133000</v>
          </cell>
          <cell r="Z2682">
            <v>133000</v>
          </cell>
          <cell r="AD2682">
            <v>3.1</v>
          </cell>
        </row>
        <row r="2683">
          <cell r="E2683" t="str">
            <v>KK 1200×1200×900</v>
          </cell>
          <cell r="F2683" t="str">
            <v>基</v>
          </cell>
          <cell r="H2683">
            <v>122000</v>
          </cell>
          <cell r="J2683">
            <v>122000</v>
          </cell>
          <cell r="L2683">
            <v>122000</v>
          </cell>
          <cell r="N2683">
            <v>122000</v>
          </cell>
          <cell r="P2683">
            <v>122000</v>
          </cell>
          <cell r="R2683">
            <v>122000</v>
          </cell>
          <cell r="T2683">
            <v>122000</v>
          </cell>
          <cell r="V2683">
            <v>122000</v>
          </cell>
          <cell r="X2683">
            <v>122000</v>
          </cell>
          <cell r="Z2683">
            <v>122000</v>
          </cell>
          <cell r="AD2683">
            <v>2.82</v>
          </cell>
        </row>
        <row r="2684">
          <cell r="E2684" t="str">
            <v>KK 1200×1200×1200</v>
          </cell>
          <cell r="F2684" t="str">
            <v>基</v>
          </cell>
          <cell r="H2684">
            <v>140000</v>
          </cell>
          <cell r="J2684">
            <v>140000</v>
          </cell>
          <cell r="L2684">
            <v>140000</v>
          </cell>
          <cell r="N2684">
            <v>140000</v>
          </cell>
          <cell r="P2684">
            <v>140000</v>
          </cell>
          <cell r="R2684">
            <v>140000</v>
          </cell>
          <cell r="T2684">
            <v>140000</v>
          </cell>
          <cell r="V2684">
            <v>140000</v>
          </cell>
          <cell r="X2684">
            <v>140000</v>
          </cell>
          <cell r="Z2684">
            <v>140000</v>
          </cell>
          <cell r="AD2684">
            <v>3.12</v>
          </cell>
        </row>
        <row r="2685">
          <cell r="E2685" t="str">
            <v>KK 1200×1200×1500</v>
          </cell>
          <cell r="F2685" t="str">
            <v>基</v>
          </cell>
          <cell r="H2685">
            <v>158000</v>
          </cell>
          <cell r="J2685">
            <v>158000</v>
          </cell>
          <cell r="L2685">
            <v>158000</v>
          </cell>
          <cell r="N2685">
            <v>158000</v>
          </cell>
          <cell r="P2685">
            <v>158000</v>
          </cell>
          <cell r="R2685">
            <v>158000</v>
          </cell>
          <cell r="T2685">
            <v>158000</v>
          </cell>
          <cell r="V2685">
            <v>158000</v>
          </cell>
          <cell r="X2685">
            <v>158000</v>
          </cell>
          <cell r="Z2685">
            <v>158000</v>
          </cell>
          <cell r="AD2685">
            <v>3.42</v>
          </cell>
        </row>
        <row r="2686">
          <cell r="E2686" t="str">
            <v>KK 1500×1500×900</v>
          </cell>
          <cell r="F2686" t="str">
            <v>基</v>
          </cell>
          <cell r="H2686">
            <v>224000</v>
          </cell>
          <cell r="J2686">
            <v>224000</v>
          </cell>
          <cell r="L2686">
            <v>224000</v>
          </cell>
          <cell r="N2686">
            <v>224000</v>
          </cell>
          <cell r="P2686">
            <v>224000</v>
          </cell>
          <cell r="R2686">
            <v>224000</v>
          </cell>
          <cell r="T2686">
            <v>224000</v>
          </cell>
          <cell r="V2686">
            <v>224000</v>
          </cell>
          <cell r="X2686">
            <v>224000</v>
          </cell>
          <cell r="Z2686">
            <v>224000</v>
          </cell>
          <cell r="AD2686">
            <v>3.3</v>
          </cell>
        </row>
        <row r="2687">
          <cell r="E2687" t="str">
            <v>KK 1500×1500×1200</v>
          </cell>
          <cell r="F2687" t="str">
            <v>基</v>
          </cell>
          <cell r="H2687">
            <v>258000</v>
          </cell>
          <cell r="J2687">
            <v>258000</v>
          </cell>
          <cell r="L2687">
            <v>258000</v>
          </cell>
          <cell r="N2687">
            <v>258000</v>
          </cell>
          <cell r="P2687">
            <v>258000</v>
          </cell>
          <cell r="R2687">
            <v>258000</v>
          </cell>
          <cell r="T2687">
            <v>258000</v>
          </cell>
          <cell r="V2687">
            <v>258000</v>
          </cell>
          <cell r="X2687">
            <v>258000</v>
          </cell>
          <cell r="Z2687">
            <v>258000</v>
          </cell>
          <cell r="AD2687">
            <v>3.5999999999999996</v>
          </cell>
        </row>
        <row r="2688">
          <cell r="E2688" t="str">
            <v>KK 1500×1500×1500</v>
          </cell>
          <cell r="F2688" t="str">
            <v>基</v>
          </cell>
          <cell r="H2688">
            <v>291000</v>
          </cell>
          <cell r="J2688">
            <v>291000</v>
          </cell>
          <cell r="L2688">
            <v>291000</v>
          </cell>
          <cell r="N2688">
            <v>291000</v>
          </cell>
          <cell r="P2688">
            <v>291000</v>
          </cell>
          <cell r="R2688">
            <v>291000</v>
          </cell>
          <cell r="T2688">
            <v>291000</v>
          </cell>
          <cell r="V2688">
            <v>291000</v>
          </cell>
          <cell r="X2688">
            <v>291000</v>
          </cell>
          <cell r="Z2688">
            <v>291000</v>
          </cell>
          <cell r="AD2688">
            <v>3.9</v>
          </cell>
        </row>
        <row r="2689">
          <cell r="E2689" t="str">
            <v>KK 1800×1800×1500</v>
          </cell>
          <cell r="F2689" t="str">
            <v>基</v>
          </cell>
          <cell r="H2689">
            <v>487000</v>
          </cell>
          <cell r="J2689">
            <v>487000</v>
          </cell>
          <cell r="L2689">
            <v>487000</v>
          </cell>
          <cell r="N2689">
            <v>487000</v>
          </cell>
          <cell r="P2689">
            <v>487000</v>
          </cell>
          <cell r="R2689">
            <v>487000</v>
          </cell>
          <cell r="T2689">
            <v>487000</v>
          </cell>
          <cell r="V2689">
            <v>487000</v>
          </cell>
          <cell r="X2689">
            <v>487000</v>
          </cell>
          <cell r="Z2689">
            <v>487000</v>
          </cell>
          <cell r="AD2689">
            <v>4.38</v>
          </cell>
        </row>
        <row r="2690">
          <cell r="E2690" t="str">
            <v>KK 2000×2000×2100</v>
          </cell>
          <cell r="F2690" t="str">
            <v>基</v>
          </cell>
          <cell r="H2690">
            <v>756000</v>
          </cell>
          <cell r="J2690">
            <v>756000</v>
          </cell>
          <cell r="L2690">
            <v>756000</v>
          </cell>
          <cell r="N2690">
            <v>756000</v>
          </cell>
          <cell r="P2690">
            <v>756000</v>
          </cell>
          <cell r="R2690">
            <v>756000</v>
          </cell>
          <cell r="T2690">
            <v>756000</v>
          </cell>
          <cell r="V2690">
            <v>756000</v>
          </cell>
          <cell r="X2690">
            <v>756000</v>
          </cell>
          <cell r="Z2690">
            <v>756000</v>
          </cell>
          <cell r="AD2690">
            <v>5.3000000000000007</v>
          </cell>
        </row>
        <row r="2693">
          <cell r="E2693" t="str">
            <v>土工費(掘削)</v>
          </cell>
          <cell r="F2693" t="str">
            <v>ｍ</v>
          </cell>
          <cell r="H2693">
            <v>2500</v>
          </cell>
          <cell r="J2693">
            <v>2500</v>
          </cell>
          <cell r="L2693">
            <v>2500</v>
          </cell>
          <cell r="N2693">
            <v>2500</v>
          </cell>
          <cell r="P2693">
            <v>2500</v>
          </cell>
          <cell r="R2693">
            <v>2500</v>
          </cell>
          <cell r="T2693">
            <v>2500</v>
          </cell>
          <cell r="V2693">
            <v>2500</v>
          </cell>
          <cell r="X2693">
            <v>2500</v>
          </cell>
          <cell r="Z2693">
            <v>2500</v>
          </cell>
        </row>
        <row r="2694">
          <cell r="E2694" t="str">
            <v>支線工事</v>
          </cell>
          <cell r="F2694" t="str">
            <v>箇所</v>
          </cell>
          <cell r="H2694">
            <v>25000</v>
          </cell>
          <cell r="J2694">
            <v>25000</v>
          </cell>
          <cell r="L2694">
            <v>25000</v>
          </cell>
          <cell r="N2694">
            <v>25000</v>
          </cell>
          <cell r="P2694">
            <v>25000</v>
          </cell>
          <cell r="R2694">
            <v>25000</v>
          </cell>
          <cell r="T2694">
            <v>25000</v>
          </cell>
          <cell r="V2694">
            <v>25000</v>
          </cell>
          <cell r="X2694">
            <v>25000</v>
          </cell>
          <cell r="Z2694">
            <v>25000</v>
          </cell>
        </row>
        <row r="2695">
          <cell r="E2695" t="str">
            <v>05_Users</v>
          </cell>
        </row>
        <row r="2696">
          <cell r="E2696" t="str">
            <v>05_Users</v>
          </cell>
        </row>
        <row r="2697">
          <cell r="E2697" t="str">
            <v>05_Users</v>
          </cell>
        </row>
        <row r="2698">
          <cell r="E2698" t="str">
            <v>05_Users</v>
          </cell>
        </row>
        <row r="2699">
          <cell r="E2699" t="str">
            <v>05_Users</v>
          </cell>
        </row>
        <row r="2700">
          <cell r="E2700" t="str">
            <v>05_Users</v>
          </cell>
        </row>
        <row r="2701">
          <cell r="E2701" t="str">
            <v>05_Users</v>
          </cell>
        </row>
        <row r="2702">
          <cell r="E2702" t="str">
            <v>05_Users</v>
          </cell>
        </row>
        <row r="2703">
          <cell r="E2703" t="str">
            <v>05_Users</v>
          </cell>
        </row>
        <row r="2704">
          <cell r="E2704" t="str">
            <v>05_Users</v>
          </cell>
        </row>
        <row r="2705">
          <cell r="E2705" t="str">
            <v>05_Users</v>
          </cell>
        </row>
        <row r="2706">
          <cell r="E2706" t="str">
            <v>05_Users</v>
          </cell>
        </row>
        <row r="2707">
          <cell r="E2707" t="str">
            <v>05_Users</v>
          </cell>
        </row>
        <row r="2708">
          <cell r="E2708" t="str">
            <v>05_Users</v>
          </cell>
        </row>
        <row r="2709">
          <cell r="E2709" t="str">
            <v>05_Users</v>
          </cell>
        </row>
        <row r="2710">
          <cell r="E2710" t="str">
            <v>05_Users</v>
          </cell>
        </row>
        <row r="2711">
          <cell r="E2711" t="str">
            <v>05_Users</v>
          </cell>
        </row>
        <row r="2712">
          <cell r="E2712" t="str">
            <v>05_Users</v>
          </cell>
        </row>
        <row r="2713">
          <cell r="E2713" t="str">
            <v>05_Users</v>
          </cell>
        </row>
        <row r="2714">
          <cell r="E2714" t="str">
            <v>05_Users</v>
          </cell>
        </row>
        <row r="2715">
          <cell r="E2715" t="str">
            <v>05_Users</v>
          </cell>
        </row>
        <row r="2716">
          <cell r="E2716" t="str">
            <v>05_Users</v>
          </cell>
        </row>
        <row r="2717">
          <cell r="E2717" t="str">
            <v>05_Users</v>
          </cell>
        </row>
        <row r="2720">
          <cell r="E2720" t="str">
            <v>基本主装置(128ポート、電源部含む)</v>
          </cell>
          <cell r="H2720">
            <v>97500</v>
          </cell>
          <cell r="J2720">
            <v>97500</v>
          </cell>
          <cell r="L2720">
            <v>97500</v>
          </cell>
          <cell r="N2720">
            <v>97500</v>
          </cell>
          <cell r="P2720">
            <v>97500</v>
          </cell>
          <cell r="R2720">
            <v>97500</v>
          </cell>
          <cell r="T2720">
            <v>97500</v>
          </cell>
          <cell r="V2720">
            <v>97500</v>
          </cell>
          <cell r="X2720">
            <v>97500</v>
          </cell>
          <cell r="Z2720">
            <v>97500</v>
          </cell>
          <cell r="AD2720">
            <v>8.9499999999999993</v>
          </cell>
        </row>
        <row r="2721">
          <cell r="E2721" t="str">
            <v>基本主装置(96ポート、電源部含む)</v>
          </cell>
          <cell r="H2721">
            <v>97500</v>
          </cell>
          <cell r="J2721">
            <v>97500</v>
          </cell>
          <cell r="L2721">
            <v>97500</v>
          </cell>
          <cell r="N2721">
            <v>97500</v>
          </cell>
          <cell r="P2721">
            <v>97500</v>
          </cell>
          <cell r="R2721">
            <v>97500</v>
          </cell>
          <cell r="T2721">
            <v>97500</v>
          </cell>
          <cell r="V2721">
            <v>97500</v>
          </cell>
          <cell r="X2721">
            <v>97500</v>
          </cell>
          <cell r="Z2721">
            <v>97500</v>
          </cell>
          <cell r="AD2721">
            <v>6.55</v>
          </cell>
        </row>
        <row r="2722">
          <cell r="E2722" t="str">
            <v>制御ユニット</v>
          </cell>
          <cell r="H2722">
            <v>75000</v>
          </cell>
          <cell r="J2722">
            <v>75000</v>
          </cell>
          <cell r="L2722">
            <v>75000</v>
          </cell>
          <cell r="N2722">
            <v>75000</v>
          </cell>
          <cell r="P2722">
            <v>75000</v>
          </cell>
          <cell r="R2722">
            <v>75000</v>
          </cell>
          <cell r="T2722">
            <v>75000</v>
          </cell>
          <cell r="V2722">
            <v>75000</v>
          </cell>
          <cell r="X2722">
            <v>75000</v>
          </cell>
          <cell r="Z2722">
            <v>75000</v>
          </cell>
          <cell r="AD2722">
            <v>0.1</v>
          </cell>
        </row>
        <row r="2723">
          <cell r="E2723" t="str">
            <v>基本ソフトウェア</v>
          </cell>
          <cell r="H2723">
            <v>75000</v>
          </cell>
          <cell r="J2723">
            <v>75000</v>
          </cell>
          <cell r="L2723">
            <v>75000</v>
          </cell>
          <cell r="N2723">
            <v>75000</v>
          </cell>
          <cell r="P2723">
            <v>75000</v>
          </cell>
          <cell r="R2723">
            <v>75000</v>
          </cell>
          <cell r="T2723">
            <v>75000</v>
          </cell>
          <cell r="V2723">
            <v>75000</v>
          </cell>
          <cell r="X2723">
            <v>75000</v>
          </cell>
          <cell r="Z2723">
            <v>75000</v>
          </cell>
          <cell r="AD2723">
            <v>0.1</v>
          </cell>
        </row>
        <row r="2724">
          <cell r="E2724" t="str">
            <v>アナログ局線ユニット(8回線)</v>
          </cell>
          <cell r="H2724">
            <v>41200</v>
          </cell>
          <cell r="J2724">
            <v>41200</v>
          </cell>
          <cell r="L2724">
            <v>41200</v>
          </cell>
          <cell r="N2724">
            <v>41200</v>
          </cell>
          <cell r="P2724">
            <v>41200</v>
          </cell>
          <cell r="R2724">
            <v>41200</v>
          </cell>
          <cell r="T2724">
            <v>41200</v>
          </cell>
          <cell r="V2724">
            <v>41200</v>
          </cell>
          <cell r="X2724">
            <v>41200</v>
          </cell>
          <cell r="Z2724">
            <v>41200</v>
          </cell>
          <cell r="AD2724">
            <v>0.1</v>
          </cell>
        </row>
        <row r="2725">
          <cell r="E2725" t="str">
            <v>INS局線ユニット(4回線)</v>
          </cell>
          <cell r="H2725">
            <v>75000</v>
          </cell>
          <cell r="J2725">
            <v>75000</v>
          </cell>
          <cell r="L2725">
            <v>75000</v>
          </cell>
          <cell r="N2725">
            <v>75000</v>
          </cell>
          <cell r="P2725">
            <v>75000</v>
          </cell>
          <cell r="R2725">
            <v>75000</v>
          </cell>
          <cell r="T2725">
            <v>75000</v>
          </cell>
          <cell r="V2725">
            <v>75000</v>
          </cell>
          <cell r="X2725">
            <v>75000</v>
          </cell>
          <cell r="Z2725">
            <v>75000</v>
          </cell>
          <cell r="AD2725">
            <v>0.1</v>
          </cell>
        </row>
        <row r="2726">
          <cell r="E2726" t="str">
            <v>多機能内線ユニット(8回線)</v>
          </cell>
          <cell r="H2726">
            <v>22500</v>
          </cell>
          <cell r="J2726">
            <v>22500</v>
          </cell>
          <cell r="L2726">
            <v>22500</v>
          </cell>
          <cell r="N2726">
            <v>22500</v>
          </cell>
          <cell r="P2726">
            <v>22500</v>
          </cell>
          <cell r="R2726">
            <v>22500</v>
          </cell>
          <cell r="T2726">
            <v>22500</v>
          </cell>
          <cell r="V2726">
            <v>22500</v>
          </cell>
          <cell r="X2726">
            <v>22500</v>
          </cell>
          <cell r="Z2726">
            <v>22500</v>
          </cell>
          <cell r="AD2726">
            <v>0.1</v>
          </cell>
        </row>
        <row r="2727">
          <cell r="E2727" t="str">
            <v>単独内線ユニット(8回線)</v>
          </cell>
          <cell r="H2727">
            <v>45000</v>
          </cell>
          <cell r="J2727">
            <v>45000</v>
          </cell>
          <cell r="L2727">
            <v>45000</v>
          </cell>
          <cell r="N2727">
            <v>45000</v>
          </cell>
          <cell r="P2727">
            <v>45000</v>
          </cell>
          <cell r="R2727">
            <v>45000</v>
          </cell>
          <cell r="T2727">
            <v>45000</v>
          </cell>
          <cell r="V2727">
            <v>45000</v>
          </cell>
          <cell r="X2727">
            <v>45000</v>
          </cell>
          <cell r="Z2727">
            <v>45000</v>
          </cell>
          <cell r="AD2727">
            <v>0.1</v>
          </cell>
        </row>
        <row r="2728">
          <cell r="E2728" t="str">
            <v>外部装置インターフェースユニット</v>
          </cell>
          <cell r="H2728">
            <v>45000</v>
          </cell>
          <cell r="J2728">
            <v>45000</v>
          </cell>
          <cell r="L2728">
            <v>45000</v>
          </cell>
          <cell r="N2728">
            <v>45000</v>
          </cell>
          <cell r="P2728">
            <v>45000</v>
          </cell>
          <cell r="R2728">
            <v>45000</v>
          </cell>
          <cell r="T2728">
            <v>45000</v>
          </cell>
          <cell r="V2728">
            <v>45000</v>
          </cell>
          <cell r="X2728">
            <v>45000</v>
          </cell>
          <cell r="Z2728">
            <v>45000</v>
          </cell>
          <cell r="AD2728">
            <v>0.1</v>
          </cell>
        </row>
        <row r="2729">
          <cell r="E2729" t="str">
            <v>アナログ局線停電転送(8局線)</v>
          </cell>
          <cell r="H2729">
            <v>30000</v>
          </cell>
          <cell r="J2729">
            <v>30000</v>
          </cell>
          <cell r="L2729">
            <v>30000</v>
          </cell>
          <cell r="N2729">
            <v>30000</v>
          </cell>
          <cell r="P2729">
            <v>30000</v>
          </cell>
          <cell r="R2729">
            <v>30000</v>
          </cell>
          <cell r="T2729">
            <v>30000</v>
          </cell>
          <cell r="V2729">
            <v>30000</v>
          </cell>
          <cell r="X2729">
            <v>30000</v>
          </cell>
          <cell r="Z2729">
            <v>30000</v>
          </cell>
          <cell r="AD2729">
            <v>0.1</v>
          </cell>
        </row>
        <row r="2730">
          <cell r="E2730" t="str">
            <v>バッテリー(3分間)</v>
          </cell>
          <cell r="H2730">
            <v>11200</v>
          </cell>
          <cell r="J2730">
            <v>11200</v>
          </cell>
          <cell r="L2730">
            <v>11200</v>
          </cell>
          <cell r="N2730">
            <v>11200</v>
          </cell>
          <cell r="P2730">
            <v>11200</v>
          </cell>
          <cell r="R2730">
            <v>11200</v>
          </cell>
          <cell r="T2730">
            <v>11200</v>
          </cell>
          <cell r="V2730">
            <v>11200</v>
          </cell>
          <cell r="X2730">
            <v>11200</v>
          </cell>
          <cell r="Z2730">
            <v>11200</v>
          </cell>
          <cell r="AD2730">
            <v>0.1</v>
          </cell>
        </row>
        <row r="2731">
          <cell r="E2731" t="str">
            <v>表示付きボタン電話機(24局)</v>
          </cell>
          <cell r="H2731">
            <v>26200</v>
          </cell>
          <cell r="J2731">
            <v>26200</v>
          </cell>
          <cell r="L2731">
            <v>26200</v>
          </cell>
          <cell r="N2731">
            <v>26200</v>
          </cell>
          <cell r="P2731">
            <v>26200</v>
          </cell>
          <cell r="R2731">
            <v>26200</v>
          </cell>
          <cell r="T2731">
            <v>26200</v>
          </cell>
          <cell r="V2731">
            <v>26200</v>
          </cell>
          <cell r="X2731">
            <v>26200</v>
          </cell>
          <cell r="Z2731">
            <v>26200</v>
          </cell>
          <cell r="AD2731">
            <v>0.16800000000000001</v>
          </cell>
        </row>
        <row r="2732">
          <cell r="E2732" t="str">
            <v>デジタルドァホン</v>
          </cell>
          <cell r="H2732">
            <v>11200</v>
          </cell>
          <cell r="J2732">
            <v>11200</v>
          </cell>
          <cell r="L2732">
            <v>11200</v>
          </cell>
          <cell r="N2732">
            <v>11200</v>
          </cell>
          <cell r="P2732">
            <v>11200</v>
          </cell>
          <cell r="R2732">
            <v>11200</v>
          </cell>
          <cell r="T2732">
            <v>11200</v>
          </cell>
          <cell r="V2732">
            <v>11200</v>
          </cell>
          <cell r="X2732">
            <v>11200</v>
          </cell>
          <cell r="Z2732">
            <v>11200</v>
          </cell>
          <cell r="AD2732">
            <v>0.16800000000000001</v>
          </cell>
        </row>
        <row r="2774">
          <cell r="E2774" t="str">
            <v>60W-5局</v>
          </cell>
          <cell r="F2774" t="str">
            <v>台</v>
          </cell>
          <cell r="H2774">
            <v>45000</v>
          </cell>
          <cell r="J2774">
            <v>45000</v>
          </cell>
          <cell r="L2774">
            <v>45000</v>
          </cell>
          <cell r="N2774">
            <v>45000</v>
          </cell>
          <cell r="P2774">
            <v>45000</v>
          </cell>
          <cell r="R2774">
            <v>45000</v>
          </cell>
          <cell r="T2774">
            <v>45000</v>
          </cell>
          <cell r="V2774">
            <v>45000</v>
          </cell>
          <cell r="X2774">
            <v>45000</v>
          </cell>
          <cell r="Z2774">
            <v>45000</v>
          </cell>
          <cell r="AD2774">
            <v>1.51</v>
          </cell>
        </row>
        <row r="2775">
          <cell r="E2775" t="str">
            <v>120W-5局</v>
          </cell>
          <cell r="F2775" t="str">
            <v>台</v>
          </cell>
          <cell r="H2775">
            <v>60000</v>
          </cell>
          <cell r="J2775">
            <v>60000</v>
          </cell>
          <cell r="L2775">
            <v>60000</v>
          </cell>
          <cell r="N2775">
            <v>60000</v>
          </cell>
          <cell r="P2775">
            <v>60000</v>
          </cell>
          <cell r="R2775">
            <v>60000</v>
          </cell>
          <cell r="T2775">
            <v>60000</v>
          </cell>
          <cell r="V2775">
            <v>60000</v>
          </cell>
          <cell r="X2775">
            <v>60000</v>
          </cell>
          <cell r="Z2775">
            <v>60000</v>
          </cell>
          <cell r="AD2775">
            <v>4.03</v>
          </cell>
        </row>
        <row r="2776">
          <cell r="E2776" t="str">
            <v>30W(50～20000Hz)</v>
          </cell>
          <cell r="F2776" t="str">
            <v>台</v>
          </cell>
          <cell r="H2776">
            <v>84000</v>
          </cell>
          <cell r="J2776">
            <v>84000</v>
          </cell>
          <cell r="L2776">
            <v>84000</v>
          </cell>
          <cell r="N2776">
            <v>84000</v>
          </cell>
          <cell r="P2776">
            <v>84000</v>
          </cell>
          <cell r="R2776">
            <v>84000</v>
          </cell>
          <cell r="T2776">
            <v>84000</v>
          </cell>
          <cell r="V2776">
            <v>84000</v>
          </cell>
          <cell r="X2776">
            <v>84000</v>
          </cell>
          <cell r="Z2776">
            <v>84000</v>
          </cell>
          <cell r="AD2776">
            <v>0.96499999999999997</v>
          </cell>
        </row>
        <row r="2777">
          <cell r="E2777" t="str">
            <v>60W(50～20000Hz)</v>
          </cell>
          <cell r="F2777" t="str">
            <v>台</v>
          </cell>
          <cell r="H2777">
            <v>93000</v>
          </cell>
          <cell r="J2777">
            <v>93000</v>
          </cell>
          <cell r="L2777">
            <v>93000</v>
          </cell>
          <cell r="N2777">
            <v>93000</v>
          </cell>
          <cell r="P2777">
            <v>93000</v>
          </cell>
          <cell r="R2777">
            <v>93000</v>
          </cell>
          <cell r="T2777">
            <v>93000</v>
          </cell>
          <cell r="V2777">
            <v>93000</v>
          </cell>
          <cell r="X2777">
            <v>93000</v>
          </cell>
          <cell r="Z2777">
            <v>93000</v>
          </cell>
          <cell r="AD2777">
            <v>1.51</v>
          </cell>
        </row>
        <row r="2778">
          <cell r="E2778" t="str">
            <v>120W(50～20000Hz)</v>
          </cell>
          <cell r="F2778" t="str">
            <v>台</v>
          </cell>
          <cell r="H2778">
            <v>111000</v>
          </cell>
          <cell r="J2778">
            <v>111000</v>
          </cell>
          <cell r="L2778">
            <v>111000</v>
          </cell>
          <cell r="N2778">
            <v>111000</v>
          </cell>
          <cell r="P2778">
            <v>111000</v>
          </cell>
          <cell r="R2778">
            <v>111000</v>
          </cell>
          <cell r="T2778">
            <v>111000</v>
          </cell>
          <cell r="V2778">
            <v>111000</v>
          </cell>
          <cell r="X2778">
            <v>111000</v>
          </cell>
          <cell r="Z2778">
            <v>111000</v>
          </cell>
          <cell r="AD2778">
            <v>4.03</v>
          </cell>
        </row>
        <row r="2779">
          <cell r="E2779" t="str">
            <v>壁掛形-ABS-3W</v>
          </cell>
          <cell r="F2779" t="str">
            <v>個</v>
          </cell>
          <cell r="H2779">
            <v>2340</v>
          </cell>
          <cell r="J2779">
            <v>2340</v>
          </cell>
          <cell r="L2779">
            <v>2340</v>
          </cell>
          <cell r="N2779">
            <v>2340</v>
          </cell>
          <cell r="P2779">
            <v>2340</v>
          </cell>
          <cell r="R2779">
            <v>2340</v>
          </cell>
          <cell r="T2779">
            <v>2340</v>
          </cell>
          <cell r="V2779">
            <v>2340</v>
          </cell>
          <cell r="X2779">
            <v>2340</v>
          </cell>
          <cell r="Z2779">
            <v>2340</v>
          </cell>
          <cell r="AD2779">
            <v>9.7000000000000003E-2</v>
          </cell>
        </row>
        <row r="2780">
          <cell r="E2780" t="str">
            <v>壁掛形-ABS-3W-AT付</v>
          </cell>
          <cell r="F2780" t="str">
            <v>個</v>
          </cell>
          <cell r="H2780">
            <v>3310</v>
          </cell>
          <cell r="J2780">
            <v>3310</v>
          </cell>
          <cell r="L2780">
            <v>3310</v>
          </cell>
          <cell r="N2780">
            <v>3310</v>
          </cell>
          <cell r="P2780">
            <v>3310</v>
          </cell>
          <cell r="R2780">
            <v>3310</v>
          </cell>
          <cell r="T2780">
            <v>3310</v>
          </cell>
          <cell r="V2780">
            <v>3310</v>
          </cell>
          <cell r="X2780">
            <v>3310</v>
          </cell>
          <cell r="Z2780">
            <v>3310</v>
          </cell>
          <cell r="AD2780">
            <v>9.7000000000000003E-2</v>
          </cell>
        </row>
        <row r="2781">
          <cell r="E2781" t="str">
            <v>壁掛形-木製3W</v>
          </cell>
          <cell r="F2781" t="str">
            <v>個</v>
          </cell>
          <cell r="H2781">
            <v>3770</v>
          </cell>
          <cell r="J2781">
            <v>3770</v>
          </cell>
          <cell r="L2781">
            <v>3770</v>
          </cell>
          <cell r="N2781">
            <v>3770</v>
          </cell>
          <cell r="P2781">
            <v>3770</v>
          </cell>
          <cell r="R2781">
            <v>3770</v>
          </cell>
          <cell r="T2781">
            <v>3770</v>
          </cell>
          <cell r="V2781">
            <v>3770</v>
          </cell>
          <cell r="X2781">
            <v>3770</v>
          </cell>
          <cell r="Z2781">
            <v>3770</v>
          </cell>
          <cell r="AD2781">
            <v>9.7000000000000003E-2</v>
          </cell>
        </row>
        <row r="2782">
          <cell r="E2782" t="str">
            <v>壁掛形-木製3W-AT付</v>
          </cell>
          <cell r="F2782" t="str">
            <v>個</v>
          </cell>
          <cell r="H2782">
            <v>4870</v>
          </cell>
          <cell r="J2782">
            <v>4870</v>
          </cell>
          <cell r="L2782">
            <v>4870</v>
          </cell>
          <cell r="N2782">
            <v>4870</v>
          </cell>
          <cell r="P2782">
            <v>4870</v>
          </cell>
          <cell r="R2782">
            <v>4870</v>
          </cell>
          <cell r="T2782">
            <v>4870</v>
          </cell>
          <cell r="V2782">
            <v>4870</v>
          </cell>
          <cell r="X2782">
            <v>4870</v>
          </cell>
          <cell r="Z2782">
            <v>4870</v>
          </cell>
          <cell r="AD2782">
            <v>9.7000000000000003E-2</v>
          </cell>
        </row>
        <row r="2783">
          <cell r="E2783" t="str">
            <v>壁掛形-木製5W</v>
          </cell>
          <cell r="F2783" t="str">
            <v>個</v>
          </cell>
          <cell r="H2783">
            <v>5130</v>
          </cell>
          <cell r="J2783">
            <v>5130</v>
          </cell>
          <cell r="L2783">
            <v>5130</v>
          </cell>
          <cell r="N2783">
            <v>5130</v>
          </cell>
          <cell r="P2783">
            <v>5130</v>
          </cell>
          <cell r="R2783">
            <v>5130</v>
          </cell>
          <cell r="T2783">
            <v>5130</v>
          </cell>
          <cell r="V2783">
            <v>5130</v>
          </cell>
          <cell r="X2783">
            <v>5130</v>
          </cell>
          <cell r="Z2783">
            <v>5130</v>
          </cell>
          <cell r="AD2783">
            <v>9.7000000000000003E-2</v>
          </cell>
        </row>
        <row r="2784">
          <cell r="E2784" t="str">
            <v>壁掛形-木製5W-AT付</v>
          </cell>
          <cell r="F2784" t="str">
            <v>個</v>
          </cell>
          <cell r="H2784">
            <v>6240</v>
          </cell>
          <cell r="J2784">
            <v>6240</v>
          </cell>
          <cell r="L2784">
            <v>6240</v>
          </cell>
          <cell r="N2784">
            <v>6240</v>
          </cell>
          <cell r="P2784">
            <v>6240</v>
          </cell>
          <cell r="R2784">
            <v>6240</v>
          </cell>
          <cell r="T2784">
            <v>6240</v>
          </cell>
          <cell r="V2784">
            <v>6240</v>
          </cell>
          <cell r="X2784">
            <v>6240</v>
          </cell>
          <cell r="Z2784">
            <v>6240</v>
          </cell>
          <cell r="AD2784">
            <v>9.7000000000000003E-2</v>
          </cell>
        </row>
        <row r="2785">
          <cell r="E2785" t="str">
            <v>天井埋込形-ABS-3W</v>
          </cell>
          <cell r="F2785" t="str">
            <v>個</v>
          </cell>
          <cell r="H2785">
            <v>3770</v>
          </cell>
          <cell r="J2785">
            <v>3770</v>
          </cell>
          <cell r="L2785">
            <v>3770</v>
          </cell>
          <cell r="N2785">
            <v>3770</v>
          </cell>
          <cell r="P2785">
            <v>3770</v>
          </cell>
          <cell r="R2785">
            <v>3770</v>
          </cell>
          <cell r="T2785">
            <v>3770</v>
          </cell>
          <cell r="V2785">
            <v>3770</v>
          </cell>
          <cell r="X2785">
            <v>3770</v>
          </cell>
          <cell r="Z2785">
            <v>3770</v>
          </cell>
          <cell r="AD2785">
            <v>0.19500000000000001</v>
          </cell>
        </row>
        <row r="2786">
          <cell r="E2786" t="str">
            <v>天井埋込形-ABS-3W-AT付</v>
          </cell>
          <cell r="F2786" t="str">
            <v>個</v>
          </cell>
          <cell r="H2786">
            <v>4680</v>
          </cell>
          <cell r="J2786">
            <v>4680</v>
          </cell>
          <cell r="L2786">
            <v>4680</v>
          </cell>
          <cell r="N2786">
            <v>4680</v>
          </cell>
          <cell r="P2786">
            <v>4680</v>
          </cell>
          <cell r="R2786">
            <v>4680</v>
          </cell>
          <cell r="T2786">
            <v>4680</v>
          </cell>
          <cell r="V2786">
            <v>4680</v>
          </cell>
          <cell r="X2786">
            <v>4680</v>
          </cell>
          <cell r="Z2786">
            <v>4680</v>
          </cell>
          <cell r="AD2786">
            <v>0.19500000000000001</v>
          </cell>
        </row>
        <row r="2787">
          <cell r="E2787" t="str">
            <v>天井埋込形-ABS-6W</v>
          </cell>
          <cell r="F2787" t="str">
            <v>個</v>
          </cell>
          <cell r="H2787">
            <v>3770</v>
          </cell>
          <cell r="J2787">
            <v>3770</v>
          </cell>
          <cell r="L2787">
            <v>3770</v>
          </cell>
          <cell r="N2787">
            <v>3770</v>
          </cell>
          <cell r="P2787">
            <v>3770</v>
          </cell>
          <cell r="R2787">
            <v>3770</v>
          </cell>
          <cell r="T2787">
            <v>3770</v>
          </cell>
          <cell r="V2787">
            <v>3770</v>
          </cell>
          <cell r="X2787">
            <v>3770</v>
          </cell>
          <cell r="Z2787">
            <v>3770</v>
          </cell>
          <cell r="AD2787">
            <v>0.19500000000000001</v>
          </cell>
        </row>
        <row r="2788">
          <cell r="E2788" t="str">
            <v>天井埋込形-ABS-6W-AT付</v>
          </cell>
          <cell r="F2788" t="str">
            <v>個</v>
          </cell>
          <cell r="H2788">
            <v>4680</v>
          </cell>
          <cell r="J2788">
            <v>4680</v>
          </cell>
          <cell r="L2788">
            <v>4680</v>
          </cell>
          <cell r="N2788">
            <v>4680</v>
          </cell>
          <cell r="P2788">
            <v>4680</v>
          </cell>
          <cell r="R2788">
            <v>4680</v>
          </cell>
          <cell r="T2788">
            <v>4680</v>
          </cell>
          <cell r="V2788">
            <v>4680</v>
          </cell>
          <cell r="X2788">
            <v>4680</v>
          </cell>
          <cell r="Z2788">
            <v>4680</v>
          </cell>
          <cell r="AD2788">
            <v>0.19500000000000001</v>
          </cell>
        </row>
        <row r="2789">
          <cell r="E2789" t="str">
            <v>天井埋込形-ABS-3W布張り</v>
          </cell>
          <cell r="F2789" t="str">
            <v>個</v>
          </cell>
          <cell r="H2789">
            <v>4030</v>
          </cell>
          <cell r="J2789">
            <v>4030</v>
          </cell>
          <cell r="L2789">
            <v>4030</v>
          </cell>
          <cell r="N2789">
            <v>4030</v>
          </cell>
          <cell r="P2789">
            <v>4030</v>
          </cell>
          <cell r="R2789">
            <v>4030</v>
          </cell>
          <cell r="T2789">
            <v>4030</v>
          </cell>
          <cell r="V2789">
            <v>4030</v>
          </cell>
          <cell r="X2789">
            <v>4030</v>
          </cell>
          <cell r="Z2789">
            <v>4030</v>
          </cell>
          <cell r="AD2789">
            <v>0.19500000000000001</v>
          </cell>
        </row>
        <row r="2790">
          <cell r="E2790" t="str">
            <v>天井埋込形-ABS-3W-AT付布張り</v>
          </cell>
          <cell r="F2790" t="str">
            <v>個</v>
          </cell>
          <cell r="H2790">
            <v>5000</v>
          </cell>
          <cell r="J2790">
            <v>5000</v>
          </cell>
          <cell r="L2790">
            <v>5000</v>
          </cell>
          <cell r="N2790">
            <v>5000</v>
          </cell>
          <cell r="P2790">
            <v>5000</v>
          </cell>
          <cell r="R2790">
            <v>5000</v>
          </cell>
          <cell r="T2790">
            <v>5000</v>
          </cell>
          <cell r="V2790">
            <v>5000</v>
          </cell>
          <cell r="X2790">
            <v>5000</v>
          </cell>
          <cell r="Z2790">
            <v>5000</v>
          </cell>
          <cell r="AD2790">
            <v>0.19500000000000001</v>
          </cell>
        </row>
        <row r="2791">
          <cell r="E2791" t="str">
            <v>天井埋込形-ABS-6W布張り</v>
          </cell>
          <cell r="F2791" t="str">
            <v>個</v>
          </cell>
          <cell r="H2791">
            <v>4030</v>
          </cell>
          <cell r="J2791">
            <v>4030</v>
          </cell>
          <cell r="L2791">
            <v>4030</v>
          </cell>
          <cell r="N2791">
            <v>4030</v>
          </cell>
          <cell r="P2791">
            <v>4030</v>
          </cell>
          <cell r="R2791">
            <v>4030</v>
          </cell>
          <cell r="T2791">
            <v>4030</v>
          </cell>
          <cell r="V2791">
            <v>4030</v>
          </cell>
          <cell r="X2791">
            <v>4030</v>
          </cell>
          <cell r="Z2791">
            <v>4030</v>
          </cell>
          <cell r="AD2791">
            <v>0.19500000000000001</v>
          </cell>
        </row>
        <row r="2792">
          <cell r="E2792" t="str">
            <v>天井埋込形-ABS-6W-AT付布張り</v>
          </cell>
          <cell r="F2792" t="str">
            <v>個</v>
          </cell>
          <cell r="H2792">
            <v>5000</v>
          </cell>
          <cell r="J2792">
            <v>5000</v>
          </cell>
          <cell r="L2792">
            <v>5000</v>
          </cell>
          <cell r="N2792">
            <v>5000</v>
          </cell>
          <cell r="P2792">
            <v>5000</v>
          </cell>
          <cell r="R2792">
            <v>5000</v>
          </cell>
          <cell r="T2792">
            <v>5000</v>
          </cell>
          <cell r="V2792">
            <v>5000</v>
          </cell>
          <cell r="X2792">
            <v>5000</v>
          </cell>
          <cell r="Z2792">
            <v>5000</v>
          </cell>
          <cell r="AD2792">
            <v>0.19500000000000001</v>
          </cell>
        </row>
        <row r="2793">
          <cell r="E2793" t="str">
            <v>天井埋込形-金属-3W</v>
          </cell>
          <cell r="F2793" t="str">
            <v>個</v>
          </cell>
          <cell r="H2793">
            <v>5330</v>
          </cell>
          <cell r="J2793">
            <v>5330</v>
          </cell>
          <cell r="L2793">
            <v>5330</v>
          </cell>
          <cell r="N2793">
            <v>5330</v>
          </cell>
          <cell r="P2793">
            <v>5330</v>
          </cell>
          <cell r="R2793">
            <v>5330</v>
          </cell>
          <cell r="T2793">
            <v>5330</v>
          </cell>
          <cell r="V2793">
            <v>5330</v>
          </cell>
          <cell r="X2793">
            <v>5330</v>
          </cell>
          <cell r="Z2793">
            <v>5330</v>
          </cell>
          <cell r="AD2793">
            <v>0.19500000000000001</v>
          </cell>
        </row>
        <row r="2794">
          <cell r="E2794" t="str">
            <v>天井埋込形-金属-3W-AT付</v>
          </cell>
          <cell r="F2794" t="str">
            <v>個</v>
          </cell>
          <cell r="H2794">
            <v>6110</v>
          </cell>
          <cell r="J2794">
            <v>6110</v>
          </cell>
          <cell r="L2794">
            <v>6110</v>
          </cell>
          <cell r="N2794">
            <v>6110</v>
          </cell>
          <cell r="P2794">
            <v>6110</v>
          </cell>
          <cell r="R2794">
            <v>6110</v>
          </cell>
          <cell r="T2794">
            <v>6110</v>
          </cell>
          <cell r="V2794">
            <v>6110</v>
          </cell>
          <cell r="X2794">
            <v>6110</v>
          </cell>
          <cell r="Z2794">
            <v>6110</v>
          </cell>
          <cell r="AD2794">
            <v>0.19500000000000001</v>
          </cell>
        </row>
        <row r="2795">
          <cell r="E2795" t="str">
            <v>天井埋込形-金属-6W</v>
          </cell>
          <cell r="F2795" t="str">
            <v>個</v>
          </cell>
          <cell r="H2795">
            <v>5330</v>
          </cell>
          <cell r="J2795">
            <v>5330</v>
          </cell>
          <cell r="L2795">
            <v>5330</v>
          </cell>
          <cell r="N2795">
            <v>5330</v>
          </cell>
          <cell r="P2795">
            <v>5330</v>
          </cell>
          <cell r="R2795">
            <v>5330</v>
          </cell>
          <cell r="T2795">
            <v>5330</v>
          </cell>
          <cell r="V2795">
            <v>5330</v>
          </cell>
          <cell r="X2795">
            <v>5330</v>
          </cell>
          <cell r="Z2795">
            <v>5330</v>
          </cell>
          <cell r="AD2795">
            <v>0.19500000000000001</v>
          </cell>
        </row>
        <row r="2796">
          <cell r="E2796" t="str">
            <v>天井埋込形-金属-6W-AT付</v>
          </cell>
          <cell r="F2796" t="str">
            <v>個</v>
          </cell>
          <cell r="H2796">
            <v>6110</v>
          </cell>
          <cell r="J2796">
            <v>6110</v>
          </cell>
          <cell r="L2796">
            <v>6110</v>
          </cell>
          <cell r="N2796">
            <v>6110</v>
          </cell>
          <cell r="P2796">
            <v>6110</v>
          </cell>
          <cell r="R2796">
            <v>6110</v>
          </cell>
          <cell r="T2796">
            <v>6110</v>
          </cell>
          <cell r="V2796">
            <v>6110</v>
          </cell>
          <cell r="X2796">
            <v>6110</v>
          </cell>
          <cell r="Z2796">
            <v>6110</v>
          </cell>
          <cell r="AD2796">
            <v>0.19500000000000001</v>
          </cell>
        </row>
        <row r="2906">
          <cell r="E2906" t="str">
            <v>増幅器 35/110</v>
          </cell>
          <cell r="F2906" t="str">
            <v>台</v>
          </cell>
          <cell r="H2906">
            <v>108000</v>
          </cell>
          <cell r="J2906">
            <v>108000</v>
          </cell>
          <cell r="L2906">
            <v>108000</v>
          </cell>
          <cell r="N2906">
            <v>108000</v>
          </cell>
          <cell r="P2906">
            <v>108000</v>
          </cell>
          <cell r="R2906">
            <v>108000</v>
          </cell>
          <cell r="T2906">
            <v>108000</v>
          </cell>
          <cell r="V2906">
            <v>108000</v>
          </cell>
          <cell r="X2906">
            <v>108000</v>
          </cell>
          <cell r="Z2906">
            <v>108000</v>
          </cell>
          <cell r="AD2906">
            <v>1.1399999999999999</v>
          </cell>
        </row>
        <row r="2907">
          <cell r="E2907" t="str">
            <v>増幅器 40/115</v>
          </cell>
          <cell r="F2907" t="str">
            <v>台</v>
          </cell>
          <cell r="H2907">
            <v>144000</v>
          </cell>
          <cell r="J2907">
            <v>144000</v>
          </cell>
          <cell r="L2907">
            <v>144000</v>
          </cell>
          <cell r="N2907">
            <v>144000</v>
          </cell>
          <cell r="P2907">
            <v>144000</v>
          </cell>
          <cell r="R2907">
            <v>144000</v>
          </cell>
          <cell r="T2907">
            <v>144000</v>
          </cell>
          <cell r="V2907">
            <v>144000</v>
          </cell>
          <cell r="X2907">
            <v>144000</v>
          </cell>
          <cell r="Z2907">
            <v>144000</v>
          </cell>
          <cell r="AD2907">
            <v>1.1399999999999999</v>
          </cell>
        </row>
        <row r="2908">
          <cell r="E2908" t="str">
            <v>共聴アンテナ UHF</v>
          </cell>
          <cell r="F2908" t="str">
            <v>個</v>
          </cell>
          <cell r="H2908">
            <v>48100</v>
          </cell>
          <cell r="J2908">
            <v>48100</v>
          </cell>
          <cell r="L2908">
            <v>48100</v>
          </cell>
          <cell r="N2908">
            <v>48100</v>
          </cell>
          <cell r="P2908">
            <v>48100</v>
          </cell>
          <cell r="R2908">
            <v>48100</v>
          </cell>
          <cell r="T2908">
            <v>48100</v>
          </cell>
          <cell r="V2908">
            <v>48100</v>
          </cell>
          <cell r="X2908">
            <v>48100</v>
          </cell>
          <cell r="Z2908">
            <v>48100</v>
          </cell>
          <cell r="AD2908">
            <v>1.56</v>
          </cell>
        </row>
        <row r="2909">
          <cell r="E2909" t="str">
            <v>混合器 U-U</v>
          </cell>
          <cell r="F2909" t="str">
            <v>個</v>
          </cell>
          <cell r="H2909">
            <v>4680</v>
          </cell>
          <cell r="J2909">
            <v>4680</v>
          </cell>
          <cell r="L2909">
            <v>4680</v>
          </cell>
          <cell r="N2909">
            <v>4680</v>
          </cell>
          <cell r="P2909">
            <v>4680</v>
          </cell>
          <cell r="R2909">
            <v>4680</v>
          </cell>
          <cell r="T2909">
            <v>4680</v>
          </cell>
          <cell r="V2909">
            <v>4680</v>
          </cell>
          <cell r="X2909">
            <v>4680</v>
          </cell>
          <cell r="Z2909">
            <v>4680</v>
          </cell>
          <cell r="AD2909">
            <v>0.23</v>
          </cell>
        </row>
        <row r="2910">
          <cell r="E2910" t="str">
            <v>混合器 BS-CS</v>
          </cell>
          <cell r="F2910" t="str">
            <v>個</v>
          </cell>
          <cell r="H2910">
            <v>8580</v>
          </cell>
          <cell r="J2910">
            <v>8580</v>
          </cell>
          <cell r="L2910">
            <v>8580</v>
          </cell>
          <cell r="N2910">
            <v>8580</v>
          </cell>
          <cell r="P2910">
            <v>8580</v>
          </cell>
          <cell r="R2910">
            <v>8580</v>
          </cell>
          <cell r="T2910">
            <v>8580</v>
          </cell>
          <cell r="V2910">
            <v>8580</v>
          </cell>
          <cell r="X2910">
            <v>8580</v>
          </cell>
          <cell r="Z2910">
            <v>8580</v>
          </cell>
          <cell r="AD2910">
            <v>0.23</v>
          </cell>
        </row>
        <row r="2911">
          <cell r="E2911" t="str">
            <v>混合器 UV-BC</v>
          </cell>
          <cell r="F2911" t="str">
            <v>個</v>
          </cell>
          <cell r="H2911">
            <v>12600</v>
          </cell>
          <cell r="J2911">
            <v>12600</v>
          </cell>
          <cell r="L2911">
            <v>12600</v>
          </cell>
          <cell r="N2911">
            <v>12600</v>
          </cell>
          <cell r="P2911">
            <v>12600</v>
          </cell>
          <cell r="R2911">
            <v>12600</v>
          </cell>
          <cell r="T2911">
            <v>12600</v>
          </cell>
          <cell r="V2911">
            <v>12600</v>
          </cell>
          <cell r="X2911">
            <v>12600</v>
          </cell>
          <cell r="Z2911">
            <v>12600</v>
          </cell>
          <cell r="AD2911">
            <v>0.23</v>
          </cell>
        </row>
        <row r="2912">
          <cell r="E2912" t="str">
            <v>分配器 2D</v>
          </cell>
          <cell r="F2912" t="str">
            <v>個</v>
          </cell>
          <cell r="H2912">
            <v>2760</v>
          </cell>
          <cell r="J2912">
            <v>2760</v>
          </cell>
          <cell r="L2912">
            <v>2760</v>
          </cell>
          <cell r="N2912">
            <v>2760</v>
          </cell>
          <cell r="P2912">
            <v>2760</v>
          </cell>
          <cell r="R2912">
            <v>2760</v>
          </cell>
          <cell r="T2912">
            <v>2760</v>
          </cell>
          <cell r="V2912">
            <v>2760</v>
          </cell>
          <cell r="X2912">
            <v>2760</v>
          </cell>
          <cell r="Z2912">
            <v>2760</v>
          </cell>
          <cell r="AD2912">
            <v>0.186</v>
          </cell>
        </row>
        <row r="2913">
          <cell r="E2913" t="str">
            <v>分配器 4D</v>
          </cell>
          <cell r="F2913" t="str">
            <v>個</v>
          </cell>
          <cell r="H2913">
            <v>3780</v>
          </cell>
          <cell r="J2913">
            <v>3780</v>
          </cell>
          <cell r="L2913">
            <v>3780</v>
          </cell>
          <cell r="N2913">
            <v>3780</v>
          </cell>
          <cell r="P2913">
            <v>3780</v>
          </cell>
          <cell r="R2913">
            <v>3780</v>
          </cell>
          <cell r="T2913">
            <v>3780</v>
          </cell>
          <cell r="V2913">
            <v>3780</v>
          </cell>
          <cell r="X2913">
            <v>3780</v>
          </cell>
          <cell r="Z2913">
            <v>3780</v>
          </cell>
          <cell r="AD2913">
            <v>0.23899999999999999</v>
          </cell>
        </row>
        <row r="2914">
          <cell r="E2914" t="str">
            <v>分配器 6D</v>
          </cell>
          <cell r="F2914" t="str">
            <v>個</v>
          </cell>
          <cell r="H2914">
            <v>5700</v>
          </cell>
          <cell r="J2914">
            <v>5700</v>
          </cell>
          <cell r="L2914">
            <v>5700</v>
          </cell>
          <cell r="N2914">
            <v>5700</v>
          </cell>
          <cell r="P2914">
            <v>5700</v>
          </cell>
          <cell r="R2914">
            <v>5700</v>
          </cell>
          <cell r="T2914">
            <v>5700</v>
          </cell>
          <cell r="V2914">
            <v>5700</v>
          </cell>
          <cell r="X2914">
            <v>5700</v>
          </cell>
          <cell r="Z2914">
            <v>5700</v>
          </cell>
          <cell r="AD2914">
            <v>0.29199999999999998</v>
          </cell>
        </row>
        <row r="2915">
          <cell r="E2915" t="str">
            <v>分岐器 1C</v>
          </cell>
          <cell r="F2915" t="str">
            <v>個</v>
          </cell>
          <cell r="H2915">
            <v>3240</v>
          </cell>
          <cell r="J2915">
            <v>3240</v>
          </cell>
          <cell r="L2915">
            <v>3240</v>
          </cell>
          <cell r="N2915">
            <v>3240</v>
          </cell>
          <cell r="P2915">
            <v>3240</v>
          </cell>
          <cell r="R2915">
            <v>3240</v>
          </cell>
          <cell r="T2915">
            <v>3240</v>
          </cell>
          <cell r="V2915">
            <v>3240</v>
          </cell>
          <cell r="X2915">
            <v>3240</v>
          </cell>
          <cell r="Z2915">
            <v>3240</v>
          </cell>
          <cell r="AD2915">
            <v>0.21199999999999999</v>
          </cell>
        </row>
        <row r="2916">
          <cell r="E2916" t="str">
            <v>分岐器 2C</v>
          </cell>
          <cell r="F2916" t="str">
            <v>個</v>
          </cell>
          <cell r="H2916">
            <v>3600</v>
          </cell>
          <cell r="J2916">
            <v>3600</v>
          </cell>
          <cell r="L2916">
            <v>3600</v>
          </cell>
          <cell r="N2916">
            <v>3600</v>
          </cell>
          <cell r="P2916">
            <v>3600</v>
          </cell>
          <cell r="R2916">
            <v>3600</v>
          </cell>
          <cell r="T2916">
            <v>3600</v>
          </cell>
          <cell r="V2916">
            <v>3600</v>
          </cell>
          <cell r="X2916">
            <v>3600</v>
          </cell>
          <cell r="Z2916">
            <v>3600</v>
          </cell>
          <cell r="AD2916">
            <v>0.26500000000000001</v>
          </cell>
        </row>
        <row r="2917">
          <cell r="E2917" t="str">
            <v>分岐器 4C</v>
          </cell>
          <cell r="F2917" t="str">
            <v>個</v>
          </cell>
          <cell r="H2917">
            <v>4980</v>
          </cell>
          <cell r="J2917">
            <v>4980</v>
          </cell>
          <cell r="L2917">
            <v>4980</v>
          </cell>
          <cell r="N2917">
            <v>4980</v>
          </cell>
          <cell r="P2917">
            <v>4980</v>
          </cell>
          <cell r="R2917">
            <v>4980</v>
          </cell>
          <cell r="T2917">
            <v>4980</v>
          </cell>
          <cell r="V2917">
            <v>4980</v>
          </cell>
          <cell r="X2917">
            <v>4980</v>
          </cell>
          <cell r="Z2917">
            <v>4980</v>
          </cell>
          <cell r="AD2917">
            <v>0.318</v>
          </cell>
        </row>
        <row r="2918">
          <cell r="E2918" t="str">
            <v>直列Unit-中間1端子</v>
          </cell>
          <cell r="F2918" t="str">
            <v>個</v>
          </cell>
          <cell r="H2918">
            <v>4140</v>
          </cell>
          <cell r="J2918">
            <v>4140</v>
          </cell>
          <cell r="L2918">
            <v>4140</v>
          </cell>
          <cell r="N2918">
            <v>4140</v>
          </cell>
          <cell r="P2918">
            <v>4140</v>
          </cell>
          <cell r="R2918">
            <v>4140</v>
          </cell>
          <cell r="T2918">
            <v>4140</v>
          </cell>
          <cell r="V2918">
            <v>4140</v>
          </cell>
          <cell r="X2918">
            <v>4140</v>
          </cell>
          <cell r="Z2918">
            <v>4140</v>
          </cell>
          <cell r="AD2918">
            <v>0.15</v>
          </cell>
        </row>
        <row r="2919">
          <cell r="E2919" t="str">
            <v>直列Unit-終端1端子</v>
          </cell>
          <cell r="F2919" t="str">
            <v>個</v>
          </cell>
          <cell r="H2919">
            <v>3720</v>
          </cell>
          <cell r="J2919">
            <v>3720</v>
          </cell>
          <cell r="L2919">
            <v>3720</v>
          </cell>
          <cell r="N2919">
            <v>3720</v>
          </cell>
          <cell r="P2919">
            <v>3720</v>
          </cell>
          <cell r="R2919">
            <v>3720</v>
          </cell>
          <cell r="T2919">
            <v>3720</v>
          </cell>
          <cell r="V2919">
            <v>3720</v>
          </cell>
          <cell r="X2919">
            <v>3720</v>
          </cell>
          <cell r="Z2919">
            <v>3720</v>
          </cell>
          <cell r="AD2919">
            <v>0.13300000000000001</v>
          </cell>
        </row>
        <row r="2920">
          <cell r="E2920" t="str">
            <v>直列Unit-中間2端子</v>
          </cell>
          <cell r="F2920" t="str">
            <v>個</v>
          </cell>
          <cell r="H2920">
            <v>4980</v>
          </cell>
          <cell r="J2920">
            <v>4980</v>
          </cell>
          <cell r="L2920">
            <v>4980</v>
          </cell>
          <cell r="N2920">
            <v>4980</v>
          </cell>
          <cell r="P2920">
            <v>4980</v>
          </cell>
          <cell r="R2920">
            <v>4980</v>
          </cell>
          <cell r="T2920">
            <v>4980</v>
          </cell>
          <cell r="V2920">
            <v>4980</v>
          </cell>
          <cell r="X2920">
            <v>4980</v>
          </cell>
          <cell r="Z2920">
            <v>4980</v>
          </cell>
          <cell r="AD2920">
            <v>0.15</v>
          </cell>
        </row>
        <row r="2921">
          <cell r="E2921" t="str">
            <v>直列Unit-終端2端子</v>
          </cell>
          <cell r="F2921" t="str">
            <v>個</v>
          </cell>
          <cell r="H2921">
            <v>4440</v>
          </cell>
          <cell r="J2921">
            <v>4440</v>
          </cell>
          <cell r="L2921">
            <v>4440</v>
          </cell>
          <cell r="N2921">
            <v>4440</v>
          </cell>
          <cell r="P2921">
            <v>4440</v>
          </cell>
          <cell r="R2921">
            <v>4440</v>
          </cell>
          <cell r="T2921">
            <v>4440</v>
          </cell>
          <cell r="V2921">
            <v>4440</v>
          </cell>
          <cell r="X2921">
            <v>4440</v>
          </cell>
          <cell r="Z2921">
            <v>4440</v>
          </cell>
          <cell r="AD2921">
            <v>0.13300000000000001</v>
          </cell>
        </row>
        <row r="2924">
          <cell r="E2924" t="str">
            <v>アンテナポール SGP50A-3.5m</v>
          </cell>
          <cell r="F2924" t="str">
            <v>本</v>
          </cell>
          <cell r="H2924">
            <v>15000</v>
          </cell>
          <cell r="J2924">
            <v>15000</v>
          </cell>
          <cell r="L2924">
            <v>15000</v>
          </cell>
          <cell r="N2924">
            <v>15000</v>
          </cell>
          <cell r="P2924">
            <v>15000</v>
          </cell>
          <cell r="R2924">
            <v>15000</v>
          </cell>
          <cell r="T2924">
            <v>15000</v>
          </cell>
          <cell r="V2924">
            <v>15000</v>
          </cell>
          <cell r="X2924">
            <v>15000</v>
          </cell>
          <cell r="Z2924">
            <v>15000</v>
          </cell>
          <cell r="AD2924">
            <v>1.94</v>
          </cell>
        </row>
        <row r="2925">
          <cell r="E2925" t="str">
            <v>アンテナポール SGP50A-4.5m</v>
          </cell>
          <cell r="F2925" t="str">
            <v>本</v>
          </cell>
          <cell r="H2925">
            <v>17000</v>
          </cell>
          <cell r="J2925">
            <v>17000</v>
          </cell>
          <cell r="L2925">
            <v>17000</v>
          </cell>
          <cell r="N2925">
            <v>17000</v>
          </cell>
          <cell r="P2925">
            <v>17000</v>
          </cell>
          <cell r="R2925">
            <v>17000</v>
          </cell>
          <cell r="T2925">
            <v>17000</v>
          </cell>
          <cell r="V2925">
            <v>17000</v>
          </cell>
          <cell r="X2925">
            <v>17000</v>
          </cell>
          <cell r="Z2925">
            <v>17000</v>
          </cell>
          <cell r="AD2925">
            <v>1.94</v>
          </cell>
        </row>
        <row r="2926">
          <cell r="E2926" t="str">
            <v>アンテナポール SGP50A-5m</v>
          </cell>
          <cell r="F2926" t="str">
            <v>本</v>
          </cell>
          <cell r="H2926">
            <v>17500</v>
          </cell>
          <cell r="J2926">
            <v>17500</v>
          </cell>
          <cell r="L2926">
            <v>17500</v>
          </cell>
          <cell r="N2926">
            <v>17500</v>
          </cell>
          <cell r="P2926">
            <v>17500</v>
          </cell>
          <cell r="R2926">
            <v>17500</v>
          </cell>
          <cell r="T2926">
            <v>17500</v>
          </cell>
          <cell r="V2926">
            <v>17500</v>
          </cell>
          <cell r="X2926">
            <v>17500</v>
          </cell>
          <cell r="Z2926">
            <v>17500</v>
          </cell>
          <cell r="AD2926">
            <v>1.94</v>
          </cell>
        </row>
        <row r="2927">
          <cell r="E2927" t="str">
            <v>アンテナポール SGP50A-5.5m</v>
          </cell>
          <cell r="F2927" t="str">
            <v>本</v>
          </cell>
          <cell r="H2927">
            <v>18000</v>
          </cell>
          <cell r="J2927">
            <v>18000</v>
          </cell>
          <cell r="L2927">
            <v>18000</v>
          </cell>
          <cell r="N2927">
            <v>18000</v>
          </cell>
          <cell r="P2927">
            <v>18000</v>
          </cell>
          <cell r="R2927">
            <v>18000</v>
          </cell>
          <cell r="T2927">
            <v>18000</v>
          </cell>
          <cell r="V2927">
            <v>18000</v>
          </cell>
          <cell r="X2927">
            <v>18000</v>
          </cell>
          <cell r="Z2927">
            <v>18000</v>
          </cell>
          <cell r="AD2927">
            <v>1.94</v>
          </cell>
        </row>
        <row r="2928">
          <cell r="E2928" t="str">
            <v>アンテナポールBP付 SGP50A-3.5m</v>
          </cell>
          <cell r="F2928" t="str">
            <v>基</v>
          </cell>
          <cell r="H2928">
            <v>31000</v>
          </cell>
          <cell r="J2928">
            <v>31000</v>
          </cell>
          <cell r="L2928">
            <v>31000</v>
          </cell>
          <cell r="N2928">
            <v>31000</v>
          </cell>
          <cell r="P2928">
            <v>31000</v>
          </cell>
          <cell r="R2928">
            <v>31000</v>
          </cell>
          <cell r="T2928">
            <v>31000</v>
          </cell>
          <cell r="V2928">
            <v>31000</v>
          </cell>
          <cell r="X2928">
            <v>31000</v>
          </cell>
          <cell r="Z2928">
            <v>31000</v>
          </cell>
          <cell r="AD2928">
            <v>1.41</v>
          </cell>
        </row>
        <row r="2929">
          <cell r="E2929" t="str">
            <v>アンテナポールBP付 SGP50A-4.5m</v>
          </cell>
          <cell r="F2929" t="str">
            <v>基</v>
          </cell>
          <cell r="H2929">
            <v>33000</v>
          </cell>
          <cell r="J2929">
            <v>33000</v>
          </cell>
          <cell r="L2929">
            <v>33000</v>
          </cell>
          <cell r="N2929">
            <v>33000</v>
          </cell>
          <cell r="P2929">
            <v>33000</v>
          </cell>
          <cell r="R2929">
            <v>33000</v>
          </cell>
          <cell r="T2929">
            <v>33000</v>
          </cell>
          <cell r="V2929">
            <v>33000</v>
          </cell>
          <cell r="X2929">
            <v>33000</v>
          </cell>
          <cell r="Z2929">
            <v>33000</v>
          </cell>
          <cell r="AD2929">
            <v>1.41</v>
          </cell>
        </row>
        <row r="2930">
          <cell r="E2930" t="str">
            <v>アンテナポールBP付 SGP50A-5m</v>
          </cell>
          <cell r="F2930" t="str">
            <v>基</v>
          </cell>
          <cell r="H2930">
            <v>33500</v>
          </cell>
          <cell r="J2930">
            <v>33500</v>
          </cell>
          <cell r="L2930">
            <v>33500</v>
          </cell>
          <cell r="N2930">
            <v>33500</v>
          </cell>
          <cell r="P2930">
            <v>33500</v>
          </cell>
          <cell r="R2930">
            <v>33500</v>
          </cell>
          <cell r="T2930">
            <v>33500</v>
          </cell>
          <cell r="V2930">
            <v>33500</v>
          </cell>
          <cell r="X2930">
            <v>33500</v>
          </cell>
          <cell r="Z2930">
            <v>33500</v>
          </cell>
          <cell r="AD2930">
            <v>1.41</v>
          </cell>
        </row>
        <row r="2931">
          <cell r="E2931" t="str">
            <v>アンテナポールBP付 SGP50A-5.5m</v>
          </cell>
          <cell r="F2931" t="str">
            <v>基</v>
          </cell>
          <cell r="H2931">
            <v>34000</v>
          </cell>
          <cell r="J2931">
            <v>34000</v>
          </cell>
          <cell r="L2931">
            <v>34000</v>
          </cell>
          <cell r="N2931">
            <v>34000</v>
          </cell>
          <cell r="P2931">
            <v>34000</v>
          </cell>
          <cell r="R2931">
            <v>34000</v>
          </cell>
          <cell r="T2931">
            <v>34000</v>
          </cell>
          <cell r="V2931">
            <v>34000</v>
          </cell>
          <cell r="X2931">
            <v>34000</v>
          </cell>
          <cell r="Z2931">
            <v>34000</v>
          </cell>
          <cell r="AD2931">
            <v>1.41</v>
          </cell>
        </row>
        <row r="2932">
          <cell r="E2932" t="str">
            <v>CSアンテナポールBP付 SGP80A-1.5m</v>
          </cell>
          <cell r="F2932" t="str">
            <v>基</v>
          </cell>
          <cell r="H2932">
            <v>33000</v>
          </cell>
          <cell r="J2932">
            <v>33000</v>
          </cell>
          <cell r="L2932">
            <v>33000</v>
          </cell>
          <cell r="N2932">
            <v>33000</v>
          </cell>
          <cell r="P2932">
            <v>33000</v>
          </cell>
          <cell r="R2932">
            <v>33000</v>
          </cell>
          <cell r="T2932">
            <v>33000</v>
          </cell>
          <cell r="V2932">
            <v>33000</v>
          </cell>
          <cell r="X2932">
            <v>33000</v>
          </cell>
          <cell r="Z2932">
            <v>33000</v>
          </cell>
          <cell r="AD2932">
            <v>2.11</v>
          </cell>
        </row>
        <row r="2933">
          <cell r="E2933" t="str">
            <v>共聴アンテナ BS</v>
          </cell>
          <cell r="F2933" t="str">
            <v>個</v>
          </cell>
          <cell r="H2933">
            <v>58900</v>
          </cell>
          <cell r="J2933">
            <v>58900</v>
          </cell>
          <cell r="L2933">
            <v>58900</v>
          </cell>
          <cell r="N2933">
            <v>58900</v>
          </cell>
          <cell r="P2933">
            <v>58900</v>
          </cell>
          <cell r="R2933">
            <v>58900</v>
          </cell>
          <cell r="T2933">
            <v>58900</v>
          </cell>
          <cell r="V2933">
            <v>58900</v>
          </cell>
          <cell r="X2933">
            <v>58900</v>
          </cell>
          <cell r="Z2933">
            <v>58900</v>
          </cell>
          <cell r="AD2933">
            <v>1.56</v>
          </cell>
        </row>
        <row r="2934">
          <cell r="E2934" t="str">
            <v>共聴アンテナ CS</v>
          </cell>
          <cell r="F2934" t="str">
            <v>個</v>
          </cell>
          <cell r="H2934">
            <v>58900</v>
          </cell>
          <cell r="J2934">
            <v>58900</v>
          </cell>
          <cell r="L2934">
            <v>58900</v>
          </cell>
          <cell r="N2934">
            <v>58900</v>
          </cell>
          <cell r="P2934">
            <v>58900</v>
          </cell>
          <cell r="R2934">
            <v>58900</v>
          </cell>
          <cell r="T2934">
            <v>58900</v>
          </cell>
          <cell r="V2934">
            <v>58900</v>
          </cell>
          <cell r="X2934">
            <v>58900</v>
          </cell>
          <cell r="Z2934">
            <v>58900</v>
          </cell>
          <cell r="AD2934">
            <v>1.56</v>
          </cell>
        </row>
        <row r="3029">
          <cell r="E3029" t="str">
            <v>差動SP2種露</v>
          </cell>
          <cell r="F3029" t="str">
            <v>個</v>
          </cell>
          <cell r="H3029">
            <v>1290</v>
          </cell>
          <cell r="J3029">
            <v>1290</v>
          </cell>
          <cell r="L3029">
            <v>1290</v>
          </cell>
          <cell r="N3029">
            <v>1290</v>
          </cell>
          <cell r="P3029">
            <v>1290</v>
          </cell>
          <cell r="R3029">
            <v>1290</v>
          </cell>
          <cell r="T3029">
            <v>1290</v>
          </cell>
          <cell r="V3029">
            <v>1290</v>
          </cell>
          <cell r="X3029">
            <v>1290</v>
          </cell>
          <cell r="Z3029">
            <v>1290</v>
          </cell>
          <cell r="AD3029">
            <v>0.13300000000000001</v>
          </cell>
        </row>
        <row r="3030">
          <cell r="E3030" t="str">
            <v>差動SP2種埋</v>
          </cell>
          <cell r="F3030" t="str">
            <v>個</v>
          </cell>
          <cell r="H3030">
            <v>1990</v>
          </cell>
          <cell r="J3030">
            <v>1990</v>
          </cell>
          <cell r="L3030">
            <v>1990</v>
          </cell>
          <cell r="N3030">
            <v>1990</v>
          </cell>
          <cell r="P3030">
            <v>1990</v>
          </cell>
          <cell r="R3030">
            <v>1990</v>
          </cell>
          <cell r="T3030">
            <v>1990</v>
          </cell>
          <cell r="V3030">
            <v>1990</v>
          </cell>
          <cell r="X3030">
            <v>1990</v>
          </cell>
          <cell r="Z3030">
            <v>1990</v>
          </cell>
          <cell r="AD3030">
            <v>0.13300000000000001</v>
          </cell>
        </row>
        <row r="3031">
          <cell r="E3031" t="str">
            <v>定温SP1種WP</v>
          </cell>
          <cell r="F3031" t="str">
            <v>個</v>
          </cell>
          <cell r="H3031">
            <v>1190</v>
          </cell>
          <cell r="J3031">
            <v>1190</v>
          </cell>
          <cell r="L3031">
            <v>1190</v>
          </cell>
          <cell r="N3031">
            <v>1190</v>
          </cell>
          <cell r="P3031">
            <v>1190</v>
          </cell>
          <cell r="R3031">
            <v>1190</v>
          </cell>
          <cell r="T3031">
            <v>1190</v>
          </cell>
          <cell r="V3031">
            <v>1190</v>
          </cell>
          <cell r="X3031">
            <v>1190</v>
          </cell>
          <cell r="Z3031">
            <v>1190</v>
          </cell>
          <cell r="AD3031">
            <v>0.13300000000000001</v>
          </cell>
        </row>
        <row r="3032">
          <cell r="E3032" t="str">
            <v>定温SP1種Exp</v>
          </cell>
          <cell r="F3032" t="str">
            <v>個</v>
          </cell>
          <cell r="H3032">
            <v>7700</v>
          </cell>
          <cell r="J3032">
            <v>7700</v>
          </cell>
          <cell r="L3032">
            <v>7700</v>
          </cell>
          <cell r="N3032">
            <v>7700</v>
          </cell>
          <cell r="P3032">
            <v>7700</v>
          </cell>
          <cell r="R3032">
            <v>7700</v>
          </cell>
          <cell r="T3032">
            <v>7700</v>
          </cell>
          <cell r="V3032">
            <v>7700</v>
          </cell>
          <cell r="X3032">
            <v>7700</v>
          </cell>
          <cell r="Z3032">
            <v>7700</v>
          </cell>
          <cell r="AD3032">
            <v>0.13300000000000001</v>
          </cell>
        </row>
        <row r="3033">
          <cell r="E3033" t="str">
            <v>補償SP2種</v>
          </cell>
          <cell r="F3033" t="str">
            <v>個</v>
          </cell>
          <cell r="H3033">
            <v>2500</v>
          </cell>
          <cell r="J3033">
            <v>2500</v>
          </cell>
          <cell r="L3033">
            <v>2500</v>
          </cell>
          <cell r="N3033">
            <v>2500</v>
          </cell>
          <cell r="P3033">
            <v>2500</v>
          </cell>
          <cell r="R3033">
            <v>2500</v>
          </cell>
          <cell r="T3033">
            <v>2500</v>
          </cell>
          <cell r="V3033">
            <v>2500</v>
          </cell>
          <cell r="X3033">
            <v>2500</v>
          </cell>
          <cell r="Z3033">
            <v>2500</v>
          </cell>
          <cell r="AD3033">
            <v>0.13300000000000001</v>
          </cell>
        </row>
        <row r="3034">
          <cell r="E3034" t="str">
            <v>光電式煙2種露</v>
          </cell>
          <cell r="F3034" t="str">
            <v>個</v>
          </cell>
          <cell r="H3034">
            <v>7700</v>
          </cell>
          <cell r="J3034">
            <v>7700</v>
          </cell>
          <cell r="L3034">
            <v>7700</v>
          </cell>
          <cell r="N3034">
            <v>7700</v>
          </cell>
          <cell r="P3034">
            <v>7700</v>
          </cell>
          <cell r="R3034">
            <v>7700</v>
          </cell>
          <cell r="T3034">
            <v>7700</v>
          </cell>
          <cell r="V3034">
            <v>7700</v>
          </cell>
          <cell r="X3034">
            <v>7700</v>
          </cell>
          <cell r="Z3034">
            <v>7700</v>
          </cell>
          <cell r="AD3034">
            <v>0.159</v>
          </cell>
        </row>
        <row r="3035">
          <cell r="E3035" t="str">
            <v>光電式煙2種埋</v>
          </cell>
          <cell r="F3035" t="str">
            <v>個</v>
          </cell>
          <cell r="H3035">
            <v>8400</v>
          </cell>
          <cell r="J3035">
            <v>8400</v>
          </cell>
          <cell r="L3035">
            <v>8400</v>
          </cell>
          <cell r="N3035">
            <v>8400</v>
          </cell>
          <cell r="P3035">
            <v>8400</v>
          </cell>
          <cell r="R3035">
            <v>8400</v>
          </cell>
          <cell r="T3035">
            <v>8400</v>
          </cell>
          <cell r="V3035">
            <v>8400</v>
          </cell>
          <cell r="X3035">
            <v>8400</v>
          </cell>
          <cell r="Z3035">
            <v>8400</v>
          </cell>
          <cell r="AD3035">
            <v>0.159</v>
          </cell>
        </row>
        <row r="3036">
          <cell r="E3036" t="str">
            <v>光電式煙3種露</v>
          </cell>
          <cell r="F3036" t="str">
            <v>個</v>
          </cell>
          <cell r="H3036">
            <v>7000</v>
          </cell>
          <cell r="J3036">
            <v>7000</v>
          </cell>
          <cell r="L3036">
            <v>7000</v>
          </cell>
          <cell r="N3036">
            <v>7000</v>
          </cell>
          <cell r="P3036">
            <v>7000</v>
          </cell>
          <cell r="R3036">
            <v>7000</v>
          </cell>
          <cell r="T3036">
            <v>7000</v>
          </cell>
          <cell r="V3036">
            <v>7000</v>
          </cell>
          <cell r="X3036">
            <v>7000</v>
          </cell>
          <cell r="Z3036">
            <v>7000</v>
          </cell>
          <cell r="AD3036">
            <v>0.159</v>
          </cell>
        </row>
        <row r="3037">
          <cell r="E3037" t="str">
            <v>光電式煙3種埋</v>
          </cell>
          <cell r="F3037" t="str">
            <v>個</v>
          </cell>
          <cell r="H3037">
            <v>7700</v>
          </cell>
          <cell r="J3037">
            <v>7700</v>
          </cell>
          <cell r="L3037">
            <v>7700</v>
          </cell>
          <cell r="N3037">
            <v>7700</v>
          </cell>
          <cell r="P3037">
            <v>7700</v>
          </cell>
          <cell r="R3037">
            <v>7700</v>
          </cell>
          <cell r="T3037">
            <v>7700</v>
          </cell>
          <cell r="V3037">
            <v>7700</v>
          </cell>
          <cell r="X3037">
            <v>7700</v>
          </cell>
          <cell r="Z3037">
            <v>7700</v>
          </cell>
          <cell r="AD3037">
            <v>0.159</v>
          </cell>
        </row>
        <row r="3038">
          <cell r="E3038" t="str">
            <v>HP起動押ボタン</v>
          </cell>
          <cell r="F3038" t="str">
            <v>個</v>
          </cell>
          <cell r="H3038">
            <v>1500</v>
          </cell>
          <cell r="J3038">
            <v>1500</v>
          </cell>
          <cell r="L3038">
            <v>1500</v>
          </cell>
          <cell r="N3038">
            <v>1500</v>
          </cell>
          <cell r="P3038">
            <v>1500</v>
          </cell>
          <cell r="R3038">
            <v>1500</v>
          </cell>
          <cell r="T3038">
            <v>1500</v>
          </cell>
          <cell r="V3038">
            <v>1500</v>
          </cell>
          <cell r="X3038">
            <v>1500</v>
          </cell>
          <cell r="Z3038">
            <v>1500</v>
          </cell>
          <cell r="AD3038">
            <v>5.3999999999999999E-2</v>
          </cell>
        </row>
        <row r="3039">
          <cell r="E3039" t="str">
            <v>P1総合盤露出</v>
          </cell>
          <cell r="F3039" t="str">
            <v>個</v>
          </cell>
          <cell r="H3039">
            <v>10200</v>
          </cell>
          <cell r="J3039">
            <v>10200</v>
          </cell>
          <cell r="L3039">
            <v>10200</v>
          </cell>
          <cell r="N3039">
            <v>10200</v>
          </cell>
          <cell r="P3039">
            <v>10200</v>
          </cell>
          <cell r="R3039">
            <v>10200</v>
          </cell>
          <cell r="T3039">
            <v>10200</v>
          </cell>
          <cell r="V3039">
            <v>10200</v>
          </cell>
          <cell r="X3039">
            <v>10200</v>
          </cell>
          <cell r="Z3039">
            <v>10200</v>
          </cell>
          <cell r="AD3039">
            <v>0.61899999999999999</v>
          </cell>
        </row>
        <row r="3040">
          <cell r="E3040" t="str">
            <v>P1総合盤埋込</v>
          </cell>
          <cell r="F3040" t="str">
            <v>個</v>
          </cell>
          <cell r="H3040">
            <v>8890</v>
          </cell>
          <cell r="J3040">
            <v>8890</v>
          </cell>
          <cell r="L3040">
            <v>8890</v>
          </cell>
          <cell r="N3040">
            <v>8890</v>
          </cell>
          <cell r="P3040">
            <v>8890</v>
          </cell>
          <cell r="R3040">
            <v>8890</v>
          </cell>
          <cell r="T3040">
            <v>8890</v>
          </cell>
          <cell r="V3040">
            <v>8890</v>
          </cell>
          <cell r="X3040">
            <v>8890</v>
          </cell>
          <cell r="Z3040">
            <v>8890</v>
          </cell>
          <cell r="AD3040">
            <v>0.496</v>
          </cell>
        </row>
        <row r="3041">
          <cell r="E3041" t="str">
            <v>ﾗｯﾁ電磁レリーズ</v>
          </cell>
          <cell r="F3041" t="str">
            <v>個</v>
          </cell>
          <cell r="H3041">
            <v>7870</v>
          </cell>
          <cell r="J3041">
            <v>7870</v>
          </cell>
          <cell r="L3041">
            <v>7870</v>
          </cell>
          <cell r="N3041">
            <v>7870</v>
          </cell>
          <cell r="P3041">
            <v>7870</v>
          </cell>
          <cell r="R3041">
            <v>7870</v>
          </cell>
          <cell r="T3041">
            <v>7870</v>
          </cell>
          <cell r="V3041">
            <v>7870</v>
          </cell>
          <cell r="X3041">
            <v>7870</v>
          </cell>
          <cell r="Z3041">
            <v>7870</v>
          </cell>
          <cell r="AD3041">
            <v>0.33600000000000002</v>
          </cell>
        </row>
        <row r="3042">
          <cell r="E3042" t="str">
            <v>ｱｰﾑ電磁レリーズ</v>
          </cell>
          <cell r="F3042" t="str">
            <v>個</v>
          </cell>
          <cell r="H3042">
            <v>17500</v>
          </cell>
          <cell r="J3042">
            <v>17500</v>
          </cell>
          <cell r="L3042">
            <v>17500</v>
          </cell>
          <cell r="N3042">
            <v>17500</v>
          </cell>
          <cell r="P3042">
            <v>17500</v>
          </cell>
          <cell r="R3042">
            <v>17500</v>
          </cell>
          <cell r="T3042">
            <v>17500</v>
          </cell>
          <cell r="V3042">
            <v>17500</v>
          </cell>
          <cell r="X3042">
            <v>17500</v>
          </cell>
          <cell r="Z3042">
            <v>17500</v>
          </cell>
          <cell r="AD3042">
            <v>0.33600000000000002</v>
          </cell>
        </row>
        <row r="3043">
          <cell r="E3043" t="str">
            <v>P1受信機 5L壁</v>
          </cell>
          <cell r="F3043" t="str">
            <v>面</v>
          </cell>
          <cell r="H3043">
            <v>138000</v>
          </cell>
          <cell r="J3043">
            <v>138000</v>
          </cell>
          <cell r="L3043">
            <v>138000</v>
          </cell>
          <cell r="N3043">
            <v>138000</v>
          </cell>
          <cell r="P3043">
            <v>138000</v>
          </cell>
          <cell r="R3043">
            <v>138000</v>
          </cell>
          <cell r="T3043">
            <v>138000</v>
          </cell>
          <cell r="V3043">
            <v>138000</v>
          </cell>
          <cell r="X3043">
            <v>138000</v>
          </cell>
          <cell r="Z3043">
            <v>138000</v>
          </cell>
          <cell r="AD3043">
            <v>5.31</v>
          </cell>
        </row>
        <row r="3044">
          <cell r="E3044" t="str">
            <v>P1受信機 10L壁</v>
          </cell>
          <cell r="F3044" t="str">
            <v>面</v>
          </cell>
          <cell r="H3044">
            <v>161000</v>
          </cell>
          <cell r="J3044">
            <v>161000</v>
          </cell>
          <cell r="L3044">
            <v>161000</v>
          </cell>
          <cell r="N3044">
            <v>161000</v>
          </cell>
          <cell r="P3044">
            <v>161000</v>
          </cell>
          <cell r="R3044">
            <v>161000</v>
          </cell>
          <cell r="T3044">
            <v>161000</v>
          </cell>
          <cell r="V3044">
            <v>161000</v>
          </cell>
          <cell r="X3044">
            <v>161000</v>
          </cell>
          <cell r="Z3044">
            <v>161000</v>
          </cell>
          <cell r="AD3044">
            <v>6.64</v>
          </cell>
        </row>
        <row r="3045">
          <cell r="E3045" t="str">
            <v>P1受信機 15L壁</v>
          </cell>
          <cell r="F3045" t="str">
            <v>面</v>
          </cell>
          <cell r="H3045">
            <v>183000</v>
          </cell>
          <cell r="J3045">
            <v>183000</v>
          </cell>
          <cell r="L3045">
            <v>183000</v>
          </cell>
          <cell r="N3045">
            <v>183000</v>
          </cell>
          <cell r="P3045">
            <v>183000</v>
          </cell>
          <cell r="R3045">
            <v>183000</v>
          </cell>
          <cell r="T3045">
            <v>183000</v>
          </cell>
          <cell r="V3045">
            <v>183000</v>
          </cell>
          <cell r="X3045">
            <v>183000</v>
          </cell>
          <cell r="Z3045">
            <v>183000</v>
          </cell>
          <cell r="AD3045">
            <v>7.96</v>
          </cell>
        </row>
        <row r="3046">
          <cell r="E3046" t="str">
            <v>P1受信機 20L壁</v>
          </cell>
          <cell r="F3046" t="str">
            <v>面</v>
          </cell>
          <cell r="H3046">
            <v>205000</v>
          </cell>
          <cell r="J3046">
            <v>205000</v>
          </cell>
          <cell r="L3046">
            <v>205000</v>
          </cell>
          <cell r="N3046">
            <v>205000</v>
          </cell>
          <cell r="P3046">
            <v>205000</v>
          </cell>
          <cell r="R3046">
            <v>205000</v>
          </cell>
          <cell r="T3046">
            <v>205000</v>
          </cell>
          <cell r="V3046">
            <v>205000</v>
          </cell>
          <cell r="X3046">
            <v>205000</v>
          </cell>
          <cell r="Z3046">
            <v>205000</v>
          </cell>
          <cell r="AD3046">
            <v>9.2899999999999991</v>
          </cell>
        </row>
        <row r="3047">
          <cell r="E3047" t="str">
            <v>P1受信機 25L壁</v>
          </cell>
          <cell r="F3047" t="str">
            <v>面</v>
          </cell>
          <cell r="H3047">
            <v>227000</v>
          </cell>
          <cell r="J3047">
            <v>227000</v>
          </cell>
          <cell r="L3047">
            <v>227000</v>
          </cell>
          <cell r="N3047">
            <v>227000</v>
          </cell>
          <cell r="P3047">
            <v>227000</v>
          </cell>
          <cell r="R3047">
            <v>227000</v>
          </cell>
          <cell r="T3047">
            <v>227000</v>
          </cell>
          <cell r="V3047">
            <v>227000</v>
          </cell>
          <cell r="X3047">
            <v>227000</v>
          </cell>
          <cell r="Z3047">
            <v>227000</v>
          </cell>
          <cell r="AD3047">
            <v>10.6</v>
          </cell>
        </row>
        <row r="3048">
          <cell r="E3048" t="str">
            <v>P1受信機 30L壁</v>
          </cell>
          <cell r="F3048" t="str">
            <v>面</v>
          </cell>
          <cell r="H3048">
            <v>249000</v>
          </cell>
          <cell r="J3048">
            <v>249000</v>
          </cell>
          <cell r="L3048">
            <v>249000</v>
          </cell>
          <cell r="N3048">
            <v>249000</v>
          </cell>
          <cell r="P3048">
            <v>249000</v>
          </cell>
          <cell r="R3048">
            <v>249000</v>
          </cell>
          <cell r="T3048">
            <v>249000</v>
          </cell>
          <cell r="V3048">
            <v>249000</v>
          </cell>
          <cell r="X3048">
            <v>249000</v>
          </cell>
          <cell r="Z3048">
            <v>249000</v>
          </cell>
          <cell r="AD3048">
            <v>11.9</v>
          </cell>
        </row>
        <row r="3049">
          <cell r="E3049" t="str">
            <v>P1受信機 40L壁</v>
          </cell>
          <cell r="F3049" t="str">
            <v>面</v>
          </cell>
          <cell r="H3049">
            <v>294000</v>
          </cell>
          <cell r="J3049">
            <v>294000</v>
          </cell>
          <cell r="L3049">
            <v>294000</v>
          </cell>
          <cell r="N3049">
            <v>294000</v>
          </cell>
          <cell r="P3049">
            <v>294000</v>
          </cell>
          <cell r="R3049">
            <v>294000</v>
          </cell>
          <cell r="T3049">
            <v>294000</v>
          </cell>
          <cell r="V3049">
            <v>294000</v>
          </cell>
          <cell r="X3049">
            <v>294000</v>
          </cell>
          <cell r="Z3049">
            <v>294000</v>
          </cell>
          <cell r="AD3049">
            <v>14.6</v>
          </cell>
        </row>
        <row r="3050">
          <cell r="E3050" t="str">
            <v>P1受信機 40L自</v>
          </cell>
          <cell r="F3050" t="str">
            <v>面</v>
          </cell>
          <cell r="H3050">
            <v>508000</v>
          </cell>
          <cell r="J3050">
            <v>508000</v>
          </cell>
          <cell r="L3050">
            <v>508000</v>
          </cell>
          <cell r="N3050">
            <v>508000</v>
          </cell>
          <cell r="P3050">
            <v>508000</v>
          </cell>
          <cell r="R3050">
            <v>508000</v>
          </cell>
          <cell r="T3050">
            <v>508000</v>
          </cell>
          <cell r="V3050">
            <v>508000</v>
          </cell>
          <cell r="X3050">
            <v>508000</v>
          </cell>
          <cell r="Z3050">
            <v>508000</v>
          </cell>
          <cell r="AD3050">
            <v>14.6</v>
          </cell>
        </row>
        <row r="3051">
          <cell r="E3051" t="str">
            <v>P1受信機 50L自</v>
          </cell>
          <cell r="F3051" t="str">
            <v>面</v>
          </cell>
          <cell r="H3051">
            <v>562000</v>
          </cell>
          <cell r="J3051">
            <v>562000</v>
          </cell>
          <cell r="L3051">
            <v>562000</v>
          </cell>
          <cell r="N3051">
            <v>562000</v>
          </cell>
          <cell r="P3051">
            <v>562000</v>
          </cell>
          <cell r="R3051">
            <v>562000</v>
          </cell>
          <cell r="T3051">
            <v>562000</v>
          </cell>
          <cell r="V3051">
            <v>562000</v>
          </cell>
          <cell r="X3051">
            <v>562000</v>
          </cell>
          <cell r="Z3051">
            <v>562000</v>
          </cell>
          <cell r="AD3051">
            <v>17.3</v>
          </cell>
        </row>
        <row r="3052">
          <cell r="E3052" t="str">
            <v>P1受信機 60L自</v>
          </cell>
          <cell r="F3052" t="str">
            <v>面</v>
          </cell>
          <cell r="H3052">
            <v>616000</v>
          </cell>
          <cell r="J3052">
            <v>616000</v>
          </cell>
          <cell r="L3052">
            <v>616000</v>
          </cell>
          <cell r="N3052">
            <v>616000</v>
          </cell>
          <cell r="P3052">
            <v>616000</v>
          </cell>
          <cell r="R3052">
            <v>616000</v>
          </cell>
          <cell r="T3052">
            <v>616000</v>
          </cell>
          <cell r="V3052">
            <v>616000</v>
          </cell>
          <cell r="X3052">
            <v>616000</v>
          </cell>
          <cell r="Z3052">
            <v>616000</v>
          </cell>
          <cell r="AD3052">
            <v>20.000000000000004</v>
          </cell>
        </row>
        <row r="3053">
          <cell r="E3053" t="str">
            <v>P1受信機 70L自</v>
          </cell>
          <cell r="F3053" t="str">
            <v>面</v>
          </cell>
          <cell r="H3053">
            <v>669000</v>
          </cell>
          <cell r="J3053">
            <v>669000</v>
          </cell>
          <cell r="L3053">
            <v>669000</v>
          </cell>
          <cell r="N3053">
            <v>669000</v>
          </cell>
          <cell r="P3053">
            <v>669000</v>
          </cell>
          <cell r="R3053">
            <v>669000</v>
          </cell>
          <cell r="T3053">
            <v>669000</v>
          </cell>
          <cell r="V3053">
            <v>669000</v>
          </cell>
          <cell r="X3053">
            <v>669000</v>
          </cell>
          <cell r="Z3053">
            <v>669000</v>
          </cell>
          <cell r="AD3053">
            <v>22.700000000000003</v>
          </cell>
        </row>
        <row r="3054">
          <cell r="E3054" t="str">
            <v>P1受信機 80L自</v>
          </cell>
          <cell r="F3054" t="str">
            <v>面</v>
          </cell>
          <cell r="H3054">
            <v>723000</v>
          </cell>
          <cell r="J3054">
            <v>723000</v>
          </cell>
          <cell r="L3054">
            <v>723000</v>
          </cell>
          <cell r="N3054">
            <v>723000</v>
          </cell>
          <cell r="P3054">
            <v>723000</v>
          </cell>
          <cell r="R3054">
            <v>723000</v>
          </cell>
          <cell r="T3054">
            <v>723000</v>
          </cell>
          <cell r="V3054">
            <v>723000</v>
          </cell>
          <cell r="X3054">
            <v>723000</v>
          </cell>
          <cell r="Z3054">
            <v>723000</v>
          </cell>
          <cell r="AD3054">
            <v>25.400000000000002</v>
          </cell>
        </row>
        <row r="3055">
          <cell r="E3055" t="str">
            <v>P1受信機 90L自</v>
          </cell>
          <cell r="F3055" t="str">
            <v>面</v>
          </cell>
          <cell r="H3055">
            <v>777000</v>
          </cell>
          <cell r="J3055">
            <v>777000</v>
          </cell>
          <cell r="L3055">
            <v>777000</v>
          </cell>
          <cell r="N3055">
            <v>777000</v>
          </cell>
          <cell r="P3055">
            <v>777000</v>
          </cell>
          <cell r="R3055">
            <v>777000</v>
          </cell>
          <cell r="T3055">
            <v>777000</v>
          </cell>
          <cell r="V3055">
            <v>777000</v>
          </cell>
          <cell r="X3055">
            <v>777000</v>
          </cell>
          <cell r="Z3055">
            <v>777000</v>
          </cell>
          <cell r="AD3055">
            <v>28.1</v>
          </cell>
        </row>
        <row r="3056">
          <cell r="E3056" t="str">
            <v>P1受信機 100L自</v>
          </cell>
          <cell r="F3056" t="str">
            <v>面</v>
          </cell>
          <cell r="H3056">
            <v>831000</v>
          </cell>
          <cell r="J3056">
            <v>831000</v>
          </cell>
          <cell r="L3056">
            <v>831000</v>
          </cell>
          <cell r="N3056">
            <v>831000</v>
          </cell>
          <cell r="P3056">
            <v>831000</v>
          </cell>
          <cell r="R3056">
            <v>831000</v>
          </cell>
          <cell r="T3056">
            <v>831000</v>
          </cell>
          <cell r="V3056">
            <v>831000</v>
          </cell>
          <cell r="X3056">
            <v>831000</v>
          </cell>
          <cell r="Z3056">
            <v>831000</v>
          </cell>
          <cell r="AD3056">
            <v>30.8</v>
          </cell>
        </row>
        <row r="3057">
          <cell r="E3057" t="str">
            <v>P1受信機 110L自</v>
          </cell>
          <cell r="F3057" t="str">
            <v>面</v>
          </cell>
          <cell r="H3057">
            <v>966000</v>
          </cell>
          <cell r="J3057">
            <v>966000</v>
          </cell>
          <cell r="L3057">
            <v>966000</v>
          </cell>
          <cell r="N3057">
            <v>966000</v>
          </cell>
          <cell r="P3057">
            <v>966000</v>
          </cell>
          <cell r="R3057">
            <v>966000</v>
          </cell>
          <cell r="T3057">
            <v>966000</v>
          </cell>
          <cell r="V3057">
            <v>966000</v>
          </cell>
          <cell r="X3057">
            <v>966000</v>
          </cell>
          <cell r="Z3057">
            <v>966000</v>
          </cell>
          <cell r="AD3057">
            <v>33.5</v>
          </cell>
        </row>
        <row r="3058">
          <cell r="E3058" t="str">
            <v>P1受信機 120L自</v>
          </cell>
          <cell r="F3058" t="str">
            <v>面</v>
          </cell>
          <cell r="H3058">
            <v>1020000</v>
          </cell>
          <cell r="J3058">
            <v>1020000</v>
          </cell>
          <cell r="L3058">
            <v>1020000</v>
          </cell>
          <cell r="N3058">
            <v>1020000</v>
          </cell>
          <cell r="P3058">
            <v>1020000</v>
          </cell>
          <cell r="R3058">
            <v>1020000</v>
          </cell>
          <cell r="T3058">
            <v>1020000</v>
          </cell>
          <cell r="V3058">
            <v>1020000</v>
          </cell>
          <cell r="X3058">
            <v>1020000</v>
          </cell>
          <cell r="Z3058">
            <v>1020000</v>
          </cell>
          <cell r="AD3058">
            <v>36.200000000000003</v>
          </cell>
        </row>
        <row r="3059">
          <cell r="E3059" t="str">
            <v>P1受信機 150L自</v>
          </cell>
          <cell r="F3059" t="str">
            <v>面</v>
          </cell>
          <cell r="H3059">
            <v>1500000</v>
          </cell>
          <cell r="J3059">
            <v>1500000</v>
          </cell>
          <cell r="L3059">
            <v>1500000</v>
          </cell>
          <cell r="N3059">
            <v>1500000</v>
          </cell>
          <cell r="P3059">
            <v>1500000</v>
          </cell>
          <cell r="R3059">
            <v>1500000</v>
          </cell>
          <cell r="T3059">
            <v>1500000</v>
          </cell>
          <cell r="V3059">
            <v>1500000</v>
          </cell>
          <cell r="X3059">
            <v>1500000</v>
          </cell>
          <cell r="Z3059">
            <v>1500000</v>
          </cell>
          <cell r="AD3059">
            <v>46</v>
          </cell>
        </row>
        <row r="3060">
          <cell r="E3060" t="str">
            <v>P1受信機 200L自</v>
          </cell>
          <cell r="F3060" t="str">
            <v>面</v>
          </cell>
          <cell r="H3060">
            <v>2100000</v>
          </cell>
          <cell r="J3060">
            <v>2100000</v>
          </cell>
          <cell r="L3060">
            <v>2100000</v>
          </cell>
          <cell r="N3060">
            <v>2100000</v>
          </cell>
          <cell r="P3060">
            <v>2100000</v>
          </cell>
          <cell r="R3060">
            <v>2100000</v>
          </cell>
          <cell r="T3060">
            <v>2100000</v>
          </cell>
          <cell r="V3060">
            <v>2100000</v>
          </cell>
          <cell r="X3060">
            <v>2100000</v>
          </cell>
          <cell r="Z3060">
            <v>2100000</v>
          </cell>
          <cell r="AD3060">
            <v>61</v>
          </cell>
        </row>
        <row r="3061">
          <cell r="E3061" t="str">
            <v>連動操作盤 3L壁</v>
          </cell>
          <cell r="F3061" t="str">
            <v>面</v>
          </cell>
          <cell r="H3061">
            <v>103000</v>
          </cell>
          <cell r="J3061">
            <v>103000</v>
          </cell>
          <cell r="L3061">
            <v>103000</v>
          </cell>
          <cell r="N3061">
            <v>103000</v>
          </cell>
          <cell r="P3061">
            <v>103000</v>
          </cell>
          <cell r="R3061">
            <v>103000</v>
          </cell>
          <cell r="T3061">
            <v>103000</v>
          </cell>
          <cell r="V3061">
            <v>103000</v>
          </cell>
          <cell r="X3061">
            <v>103000</v>
          </cell>
          <cell r="Z3061">
            <v>103000</v>
          </cell>
          <cell r="AD3061">
            <v>5.04</v>
          </cell>
        </row>
        <row r="3062">
          <cell r="E3062" t="str">
            <v>連動操作盤 5L壁</v>
          </cell>
          <cell r="F3062" t="str">
            <v>面</v>
          </cell>
          <cell r="H3062">
            <v>113000</v>
          </cell>
          <cell r="J3062">
            <v>113000</v>
          </cell>
          <cell r="L3062">
            <v>113000</v>
          </cell>
          <cell r="N3062">
            <v>113000</v>
          </cell>
          <cell r="P3062">
            <v>113000</v>
          </cell>
          <cell r="R3062">
            <v>113000</v>
          </cell>
          <cell r="T3062">
            <v>113000</v>
          </cell>
          <cell r="V3062">
            <v>113000</v>
          </cell>
          <cell r="X3062">
            <v>113000</v>
          </cell>
          <cell r="Z3062">
            <v>113000</v>
          </cell>
          <cell r="AD3062">
            <v>5.31</v>
          </cell>
        </row>
        <row r="3063">
          <cell r="E3063" t="str">
            <v>連動操作盤 10L壁</v>
          </cell>
          <cell r="F3063" t="str">
            <v>面</v>
          </cell>
          <cell r="H3063">
            <v>173000</v>
          </cell>
          <cell r="J3063">
            <v>173000</v>
          </cell>
          <cell r="L3063">
            <v>173000</v>
          </cell>
          <cell r="N3063">
            <v>173000</v>
          </cell>
          <cell r="P3063">
            <v>173000</v>
          </cell>
          <cell r="R3063">
            <v>173000</v>
          </cell>
          <cell r="T3063">
            <v>173000</v>
          </cell>
          <cell r="V3063">
            <v>173000</v>
          </cell>
          <cell r="X3063">
            <v>173000</v>
          </cell>
          <cell r="Z3063">
            <v>173000</v>
          </cell>
          <cell r="AD3063">
            <v>6.64</v>
          </cell>
        </row>
        <row r="3064">
          <cell r="E3064" t="str">
            <v>連動操作盤 15L壁</v>
          </cell>
          <cell r="F3064" t="str">
            <v>面</v>
          </cell>
          <cell r="H3064">
            <v>202000</v>
          </cell>
          <cell r="J3064">
            <v>202000</v>
          </cell>
          <cell r="L3064">
            <v>202000</v>
          </cell>
          <cell r="N3064">
            <v>202000</v>
          </cell>
          <cell r="P3064">
            <v>202000</v>
          </cell>
          <cell r="R3064">
            <v>202000</v>
          </cell>
          <cell r="T3064">
            <v>202000</v>
          </cell>
          <cell r="V3064">
            <v>202000</v>
          </cell>
          <cell r="X3064">
            <v>202000</v>
          </cell>
          <cell r="Z3064">
            <v>202000</v>
          </cell>
          <cell r="AD3064">
            <v>7.96</v>
          </cell>
        </row>
        <row r="3065">
          <cell r="E3065" t="str">
            <v>連動操作盤 20L壁</v>
          </cell>
          <cell r="F3065" t="str">
            <v>面</v>
          </cell>
          <cell r="H3065">
            <v>230000</v>
          </cell>
          <cell r="J3065">
            <v>230000</v>
          </cell>
          <cell r="L3065">
            <v>230000</v>
          </cell>
          <cell r="N3065">
            <v>230000</v>
          </cell>
          <cell r="P3065">
            <v>230000</v>
          </cell>
          <cell r="R3065">
            <v>230000</v>
          </cell>
          <cell r="T3065">
            <v>230000</v>
          </cell>
          <cell r="V3065">
            <v>230000</v>
          </cell>
          <cell r="X3065">
            <v>230000</v>
          </cell>
          <cell r="Z3065">
            <v>230000</v>
          </cell>
          <cell r="AD3065">
            <v>9.2899999999999991</v>
          </cell>
        </row>
        <row r="3066">
          <cell r="E3066" t="str">
            <v>連動操作盤 25L壁</v>
          </cell>
          <cell r="F3066" t="str">
            <v>面</v>
          </cell>
          <cell r="H3066">
            <v>259000</v>
          </cell>
          <cell r="J3066">
            <v>259000</v>
          </cell>
          <cell r="L3066">
            <v>259000</v>
          </cell>
          <cell r="N3066">
            <v>259000</v>
          </cell>
          <cell r="P3066">
            <v>259000</v>
          </cell>
          <cell r="R3066">
            <v>259000</v>
          </cell>
          <cell r="T3066">
            <v>259000</v>
          </cell>
          <cell r="V3066">
            <v>259000</v>
          </cell>
          <cell r="X3066">
            <v>259000</v>
          </cell>
          <cell r="Z3066">
            <v>259000</v>
          </cell>
          <cell r="AD3066">
            <v>10.6</v>
          </cell>
        </row>
        <row r="3067">
          <cell r="E3067" t="str">
            <v>連動操作盤 30L壁</v>
          </cell>
          <cell r="F3067" t="str">
            <v>面</v>
          </cell>
          <cell r="H3067">
            <v>287000</v>
          </cell>
          <cell r="J3067">
            <v>287000</v>
          </cell>
          <cell r="L3067">
            <v>287000</v>
          </cell>
          <cell r="N3067">
            <v>287000</v>
          </cell>
          <cell r="P3067">
            <v>287000</v>
          </cell>
          <cell r="R3067">
            <v>287000</v>
          </cell>
          <cell r="T3067">
            <v>287000</v>
          </cell>
          <cell r="V3067">
            <v>287000</v>
          </cell>
          <cell r="X3067">
            <v>287000</v>
          </cell>
          <cell r="Z3067">
            <v>287000</v>
          </cell>
          <cell r="AD3067">
            <v>11.9</v>
          </cell>
        </row>
        <row r="3068">
          <cell r="E3068" t="str">
            <v>連動操作盤 35L壁</v>
          </cell>
          <cell r="F3068" t="str">
            <v>面</v>
          </cell>
          <cell r="H3068">
            <v>315000</v>
          </cell>
          <cell r="J3068">
            <v>315000</v>
          </cell>
          <cell r="L3068">
            <v>315000</v>
          </cell>
          <cell r="N3068">
            <v>315000</v>
          </cell>
          <cell r="P3068">
            <v>315000</v>
          </cell>
          <cell r="R3068">
            <v>315000</v>
          </cell>
          <cell r="T3068">
            <v>315000</v>
          </cell>
          <cell r="V3068">
            <v>315000</v>
          </cell>
          <cell r="X3068">
            <v>315000</v>
          </cell>
          <cell r="Z3068">
            <v>315000</v>
          </cell>
          <cell r="AD3068">
            <v>13.3</v>
          </cell>
        </row>
        <row r="3069">
          <cell r="E3069" t="str">
            <v>連動操作盤 40L壁</v>
          </cell>
          <cell r="F3069" t="str">
            <v>面</v>
          </cell>
          <cell r="H3069">
            <v>344000</v>
          </cell>
          <cell r="J3069">
            <v>344000</v>
          </cell>
          <cell r="L3069">
            <v>344000</v>
          </cell>
          <cell r="N3069">
            <v>344000</v>
          </cell>
          <cell r="P3069">
            <v>344000</v>
          </cell>
          <cell r="R3069">
            <v>344000</v>
          </cell>
          <cell r="T3069">
            <v>344000</v>
          </cell>
          <cell r="V3069">
            <v>344000</v>
          </cell>
          <cell r="X3069">
            <v>344000</v>
          </cell>
          <cell r="Z3069">
            <v>344000</v>
          </cell>
          <cell r="AD3069">
            <v>14.6</v>
          </cell>
        </row>
        <row r="3070">
          <cell r="E3070" t="str">
            <v>連動操作盤 40L自</v>
          </cell>
          <cell r="F3070" t="str">
            <v>面</v>
          </cell>
          <cell r="H3070">
            <v>612000</v>
          </cell>
          <cell r="J3070">
            <v>612000</v>
          </cell>
          <cell r="L3070">
            <v>612000</v>
          </cell>
          <cell r="N3070">
            <v>612000</v>
          </cell>
          <cell r="P3070">
            <v>612000</v>
          </cell>
          <cell r="R3070">
            <v>612000</v>
          </cell>
          <cell r="T3070">
            <v>612000</v>
          </cell>
          <cell r="V3070">
            <v>612000</v>
          </cell>
          <cell r="X3070">
            <v>612000</v>
          </cell>
          <cell r="Z3070">
            <v>612000</v>
          </cell>
          <cell r="AD3070">
            <v>14.6</v>
          </cell>
        </row>
        <row r="3071">
          <cell r="E3071" t="str">
            <v>連動操作盤 50L自</v>
          </cell>
          <cell r="F3071" t="str">
            <v>面</v>
          </cell>
          <cell r="H3071">
            <v>680000</v>
          </cell>
          <cell r="J3071">
            <v>680000</v>
          </cell>
          <cell r="L3071">
            <v>680000</v>
          </cell>
          <cell r="N3071">
            <v>680000</v>
          </cell>
          <cell r="P3071">
            <v>680000</v>
          </cell>
          <cell r="R3071">
            <v>680000</v>
          </cell>
          <cell r="T3071">
            <v>680000</v>
          </cell>
          <cell r="V3071">
            <v>680000</v>
          </cell>
          <cell r="X3071">
            <v>680000</v>
          </cell>
          <cell r="Z3071">
            <v>680000</v>
          </cell>
          <cell r="AD3071">
            <v>17.3</v>
          </cell>
        </row>
        <row r="3072">
          <cell r="E3072" t="str">
            <v>連動操作盤 60L自</v>
          </cell>
          <cell r="F3072" t="str">
            <v>面</v>
          </cell>
          <cell r="H3072">
            <v>748000</v>
          </cell>
          <cell r="J3072">
            <v>748000</v>
          </cell>
          <cell r="L3072">
            <v>748000</v>
          </cell>
          <cell r="N3072">
            <v>748000</v>
          </cell>
          <cell r="P3072">
            <v>748000</v>
          </cell>
          <cell r="R3072">
            <v>748000</v>
          </cell>
          <cell r="T3072">
            <v>748000</v>
          </cell>
          <cell r="V3072">
            <v>748000</v>
          </cell>
          <cell r="X3072">
            <v>748000</v>
          </cell>
          <cell r="Z3072">
            <v>748000</v>
          </cell>
          <cell r="AD3072">
            <v>20.000000000000004</v>
          </cell>
        </row>
        <row r="3073">
          <cell r="E3073" t="str">
            <v>連動操作盤 70L自</v>
          </cell>
          <cell r="F3073" t="str">
            <v>面</v>
          </cell>
          <cell r="H3073">
            <v>816000</v>
          </cell>
          <cell r="J3073">
            <v>816000</v>
          </cell>
          <cell r="L3073">
            <v>816000</v>
          </cell>
          <cell r="N3073">
            <v>816000</v>
          </cell>
          <cell r="P3073">
            <v>816000</v>
          </cell>
          <cell r="R3073">
            <v>816000</v>
          </cell>
          <cell r="T3073">
            <v>816000</v>
          </cell>
          <cell r="V3073">
            <v>816000</v>
          </cell>
          <cell r="X3073">
            <v>816000</v>
          </cell>
          <cell r="Z3073">
            <v>816000</v>
          </cell>
          <cell r="AD3073">
            <v>22.700000000000003</v>
          </cell>
        </row>
        <row r="3074">
          <cell r="E3074" t="str">
            <v>連動操作盤 80L自</v>
          </cell>
          <cell r="F3074" t="str">
            <v>面</v>
          </cell>
          <cell r="H3074">
            <v>884000</v>
          </cell>
          <cell r="J3074">
            <v>884000</v>
          </cell>
          <cell r="L3074">
            <v>884000</v>
          </cell>
          <cell r="N3074">
            <v>884000</v>
          </cell>
          <cell r="P3074">
            <v>884000</v>
          </cell>
          <cell r="R3074">
            <v>884000</v>
          </cell>
          <cell r="T3074">
            <v>884000</v>
          </cell>
          <cell r="V3074">
            <v>884000</v>
          </cell>
          <cell r="X3074">
            <v>884000</v>
          </cell>
          <cell r="Z3074">
            <v>884000</v>
          </cell>
          <cell r="AD3074">
            <v>25.400000000000002</v>
          </cell>
        </row>
        <row r="3075">
          <cell r="E3075" t="str">
            <v>連動操作盤 90L自</v>
          </cell>
          <cell r="F3075" t="str">
            <v>面</v>
          </cell>
          <cell r="H3075">
            <v>952000</v>
          </cell>
          <cell r="J3075">
            <v>952000</v>
          </cell>
          <cell r="L3075">
            <v>952000</v>
          </cell>
          <cell r="N3075">
            <v>952000</v>
          </cell>
          <cell r="P3075">
            <v>952000</v>
          </cell>
          <cell r="R3075">
            <v>952000</v>
          </cell>
          <cell r="T3075">
            <v>952000</v>
          </cell>
          <cell r="V3075">
            <v>952000</v>
          </cell>
          <cell r="X3075">
            <v>952000</v>
          </cell>
          <cell r="Z3075">
            <v>952000</v>
          </cell>
          <cell r="AD3075">
            <v>28.1</v>
          </cell>
        </row>
        <row r="3076">
          <cell r="E3076" t="str">
            <v>連動操作盤 100L自</v>
          </cell>
          <cell r="F3076" t="str">
            <v>面</v>
          </cell>
          <cell r="H3076">
            <v>1020000</v>
          </cell>
          <cell r="J3076">
            <v>1020000</v>
          </cell>
          <cell r="L3076">
            <v>1020000</v>
          </cell>
          <cell r="N3076">
            <v>1020000</v>
          </cell>
          <cell r="P3076">
            <v>1020000</v>
          </cell>
          <cell r="R3076">
            <v>1020000</v>
          </cell>
          <cell r="T3076">
            <v>1020000</v>
          </cell>
          <cell r="V3076">
            <v>1020000</v>
          </cell>
          <cell r="X3076">
            <v>1020000</v>
          </cell>
          <cell r="Z3076">
            <v>1020000</v>
          </cell>
          <cell r="AD3076">
            <v>30.8</v>
          </cell>
        </row>
        <row r="3077">
          <cell r="E3077" t="str">
            <v>連動操作盤 120L自</v>
          </cell>
          <cell r="F3077" t="str">
            <v>面</v>
          </cell>
          <cell r="H3077">
            <v>1156000</v>
          </cell>
          <cell r="J3077">
            <v>1156000</v>
          </cell>
          <cell r="L3077">
            <v>1156000</v>
          </cell>
          <cell r="N3077">
            <v>1156000</v>
          </cell>
          <cell r="P3077">
            <v>1156000</v>
          </cell>
          <cell r="R3077">
            <v>1156000</v>
          </cell>
          <cell r="T3077">
            <v>1156000</v>
          </cell>
          <cell r="V3077">
            <v>1156000</v>
          </cell>
          <cell r="X3077">
            <v>1156000</v>
          </cell>
          <cell r="Z3077">
            <v>1156000</v>
          </cell>
          <cell r="AD3077">
            <v>36.200000000000003</v>
          </cell>
        </row>
        <row r="3078">
          <cell r="E3078" t="str">
            <v>連動操作盤 140L自</v>
          </cell>
          <cell r="F3078" t="str">
            <v>面</v>
          </cell>
          <cell r="H3078">
            <v>1292000</v>
          </cell>
          <cell r="J3078">
            <v>1292000</v>
          </cell>
          <cell r="L3078">
            <v>1292000</v>
          </cell>
          <cell r="N3078">
            <v>1292000</v>
          </cell>
          <cell r="P3078">
            <v>1292000</v>
          </cell>
          <cell r="R3078">
            <v>1292000</v>
          </cell>
          <cell r="T3078">
            <v>1292000</v>
          </cell>
          <cell r="V3078">
            <v>1292000</v>
          </cell>
          <cell r="X3078">
            <v>1292000</v>
          </cell>
          <cell r="Z3078">
            <v>1292000</v>
          </cell>
          <cell r="AD3078">
            <v>41.6</v>
          </cell>
        </row>
        <row r="3079">
          <cell r="E3079" t="str">
            <v>連動操作盤 160L自</v>
          </cell>
          <cell r="F3079" t="str">
            <v>面</v>
          </cell>
          <cell r="H3079">
            <v>1428000</v>
          </cell>
          <cell r="J3079">
            <v>1428000</v>
          </cell>
          <cell r="L3079">
            <v>1428000</v>
          </cell>
          <cell r="N3079">
            <v>1428000</v>
          </cell>
          <cell r="P3079">
            <v>1428000</v>
          </cell>
          <cell r="R3079">
            <v>1428000</v>
          </cell>
          <cell r="T3079">
            <v>1428000</v>
          </cell>
          <cell r="V3079">
            <v>1428000</v>
          </cell>
          <cell r="X3079">
            <v>1428000</v>
          </cell>
          <cell r="Z3079">
            <v>1428000</v>
          </cell>
          <cell r="AD3079">
            <v>47</v>
          </cell>
        </row>
        <row r="3080">
          <cell r="E3080" t="str">
            <v>連動操作盤 180L自</v>
          </cell>
          <cell r="F3080" t="str">
            <v>面</v>
          </cell>
          <cell r="H3080">
            <v>1564000</v>
          </cell>
          <cell r="J3080">
            <v>1564000</v>
          </cell>
          <cell r="L3080">
            <v>1564000</v>
          </cell>
          <cell r="N3080">
            <v>1564000</v>
          </cell>
          <cell r="P3080">
            <v>1564000</v>
          </cell>
          <cell r="R3080">
            <v>1564000</v>
          </cell>
          <cell r="T3080">
            <v>1564000</v>
          </cell>
          <cell r="V3080">
            <v>1564000</v>
          </cell>
          <cell r="X3080">
            <v>1564000</v>
          </cell>
          <cell r="Z3080">
            <v>1564000</v>
          </cell>
          <cell r="AD3080">
            <v>52.4</v>
          </cell>
        </row>
        <row r="3081">
          <cell r="E3081" t="str">
            <v>P1複合型受信機 5L+5L壁</v>
          </cell>
          <cell r="F3081" t="str">
            <v>面</v>
          </cell>
          <cell r="H3081">
            <v>234000</v>
          </cell>
          <cell r="J3081">
            <v>234000</v>
          </cell>
          <cell r="L3081">
            <v>234000</v>
          </cell>
          <cell r="N3081">
            <v>234000</v>
          </cell>
          <cell r="P3081">
            <v>234000</v>
          </cell>
          <cell r="R3081">
            <v>234000</v>
          </cell>
          <cell r="T3081">
            <v>234000</v>
          </cell>
          <cell r="V3081">
            <v>234000</v>
          </cell>
          <cell r="X3081">
            <v>234000</v>
          </cell>
          <cell r="Z3081">
            <v>234000</v>
          </cell>
          <cell r="AD3081">
            <v>6.64</v>
          </cell>
        </row>
        <row r="3082">
          <cell r="E3082" t="str">
            <v>P1複合型受信機 10L+5L壁</v>
          </cell>
          <cell r="F3082" t="str">
            <v>面</v>
          </cell>
          <cell r="H3082">
            <v>255000</v>
          </cell>
          <cell r="J3082">
            <v>255000</v>
          </cell>
          <cell r="L3082">
            <v>255000</v>
          </cell>
          <cell r="N3082">
            <v>255000</v>
          </cell>
          <cell r="P3082">
            <v>255000</v>
          </cell>
          <cell r="R3082">
            <v>255000</v>
          </cell>
          <cell r="T3082">
            <v>255000</v>
          </cell>
          <cell r="V3082">
            <v>255000</v>
          </cell>
          <cell r="X3082">
            <v>255000</v>
          </cell>
          <cell r="Z3082">
            <v>255000</v>
          </cell>
          <cell r="AD3082">
            <v>7.96</v>
          </cell>
        </row>
        <row r="3083">
          <cell r="E3083" t="str">
            <v>P1複合型受信機 10L+10L壁</v>
          </cell>
          <cell r="F3083" t="str">
            <v>面</v>
          </cell>
          <cell r="H3083">
            <v>276000</v>
          </cell>
          <cell r="J3083">
            <v>276000</v>
          </cell>
          <cell r="L3083">
            <v>276000</v>
          </cell>
          <cell r="N3083">
            <v>276000</v>
          </cell>
          <cell r="P3083">
            <v>276000</v>
          </cell>
          <cell r="R3083">
            <v>276000</v>
          </cell>
          <cell r="T3083">
            <v>276000</v>
          </cell>
          <cell r="V3083">
            <v>276000</v>
          </cell>
          <cell r="X3083">
            <v>276000</v>
          </cell>
          <cell r="Z3083">
            <v>276000</v>
          </cell>
          <cell r="AD3083">
            <v>9.2899999999999991</v>
          </cell>
        </row>
        <row r="3084">
          <cell r="E3084" t="str">
            <v>P1複合型受信機 15L+10L壁</v>
          </cell>
          <cell r="F3084" t="str">
            <v>面</v>
          </cell>
          <cell r="H3084">
            <v>294000</v>
          </cell>
          <cell r="J3084">
            <v>294000</v>
          </cell>
          <cell r="L3084">
            <v>294000</v>
          </cell>
          <cell r="N3084">
            <v>294000</v>
          </cell>
          <cell r="P3084">
            <v>294000</v>
          </cell>
          <cell r="R3084">
            <v>294000</v>
          </cell>
          <cell r="T3084">
            <v>294000</v>
          </cell>
          <cell r="V3084">
            <v>294000</v>
          </cell>
          <cell r="X3084">
            <v>294000</v>
          </cell>
          <cell r="Z3084">
            <v>294000</v>
          </cell>
          <cell r="AD3084">
            <v>10.6</v>
          </cell>
        </row>
        <row r="3085">
          <cell r="E3085" t="str">
            <v>P1複合型受信機 15L+15L壁</v>
          </cell>
          <cell r="F3085" t="str">
            <v>面</v>
          </cell>
          <cell r="H3085">
            <v>322000</v>
          </cell>
          <cell r="J3085">
            <v>322000</v>
          </cell>
          <cell r="L3085">
            <v>322000</v>
          </cell>
          <cell r="N3085">
            <v>322000</v>
          </cell>
          <cell r="P3085">
            <v>322000</v>
          </cell>
          <cell r="R3085">
            <v>322000</v>
          </cell>
          <cell r="T3085">
            <v>322000</v>
          </cell>
          <cell r="V3085">
            <v>322000</v>
          </cell>
          <cell r="X3085">
            <v>322000</v>
          </cell>
          <cell r="Z3085">
            <v>322000</v>
          </cell>
          <cell r="AD3085">
            <v>11.9</v>
          </cell>
        </row>
        <row r="3086">
          <cell r="E3086" t="str">
            <v>P1複合型受信機 20L+15L壁</v>
          </cell>
          <cell r="F3086" t="str">
            <v>面</v>
          </cell>
          <cell r="H3086">
            <v>341000</v>
          </cell>
          <cell r="J3086">
            <v>341000</v>
          </cell>
          <cell r="L3086">
            <v>341000</v>
          </cell>
          <cell r="N3086">
            <v>341000</v>
          </cell>
          <cell r="P3086">
            <v>341000</v>
          </cell>
          <cell r="R3086">
            <v>341000</v>
          </cell>
          <cell r="T3086">
            <v>341000</v>
          </cell>
          <cell r="V3086">
            <v>341000</v>
          </cell>
          <cell r="X3086">
            <v>341000</v>
          </cell>
          <cell r="Z3086">
            <v>341000</v>
          </cell>
          <cell r="AD3086">
            <v>13.3</v>
          </cell>
        </row>
        <row r="3087">
          <cell r="E3087" t="str">
            <v>P1複合型受信機 20L+20L壁</v>
          </cell>
          <cell r="F3087" t="str">
            <v>面</v>
          </cell>
          <cell r="H3087">
            <v>372000</v>
          </cell>
          <cell r="J3087">
            <v>372000</v>
          </cell>
          <cell r="L3087">
            <v>372000</v>
          </cell>
          <cell r="N3087">
            <v>372000</v>
          </cell>
          <cell r="P3087">
            <v>372000</v>
          </cell>
          <cell r="R3087">
            <v>372000</v>
          </cell>
          <cell r="T3087">
            <v>372000</v>
          </cell>
          <cell r="V3087">
            <v>372000</v>
          </cell>
          <cell r="X3087">
            <v>372000</v>
          </cell>
          <cell r="Z3087">
            <v>372000</v>
          </cell>
          <cell r="AD3087">
            <v>14.6</v>
          </cell>
        </row>
        <row r="3088">
          <cell r="E3088" t="str">
            <v>P1複合型受信機 20L+20L自</v>
          </cell>
          <cell r="F3088" t="str">
            <v>面</v>
          </cell>
          <cell r="H3088">
            <v>609000</v>
          </cell>
          <cell r="J3088">
            <v>609000</v>
          </cell>
          <cell r="L3088">
            <v>609000</v>
          </cell>
          <cell r="N3088">
            <v>609000</v>
          </cell>
          <cell r="P3088">
            <v>609000</v>
          </cell>
          <cell r="R3088">
            <v>609000</v>
          </cell>
          <cell r="T3088">
            <v>609000</v>
          </cell>
          <cell r="V3088">
            <v>609000</v>
          </cell>
          <cell r="X3088">
            <v>609000</v>
          </cell>
          <cell r="Z3088">
            <v>609000</v>
          </cell>
          <cell r="AD3088">
            <v>14.6</v>
          </cell>
        </row>
        <row r="3089">
          <cell r="E3089" t="str">
            <v>P1複合型受信機 30L+20L自</v>
          </cell>
          <cell r="F3089" t="str">
            <v>面</v>
          </cell>
          <cell r="H3089">
            <v>665000</v>
          </cell>
          <cell r="J3089">
            <v>665000</v>
          </cell>
          <cell r="L3089">
            <v>665000</v>
          </cell>
          <cell r="N3089">
            <v>665000</v>
          </cell>
          <cell r="P3089">
            <v>665000</v>
          </cell>
          <cell r="R3089">
            <v>665000</v>
          </cell>
          <cell r="T3089">
            <v>665000</v>
          </cell>
          <cell r="V3089">
            <v>665000</v>
          </cell>
          <cell r="X3089">
            <v>665000</v>
          </cell>
          <cell r="Z3089">
            <v>665000</v>
          </cell>
          <cell r="AD3089">
            <v>17.3</v>
          </cell>
        </row>
        <row r="3090">
          <cell r="E3090" t="str">
            <v>P1複合型受信機 30L+30L自</v>
          </cell>
          <cell r="F3090" t="str">
            <v>面</v>
          </cell>
          <cell r="H3090">
            <v>721000</v>
          </cell>
          <cell r="J3090">
            <v>721000</v>
          </cell>
          <cell r="L3090">
            <v>721000</v>
          </cell>
          <cell r="N3090">
            <v>721000</v>
          </cell>
          <cell r="P3090">
            <v>721000</v>
          </cell>
          <cell r="R3090">
            <v>721000</v>
          </cell>
          <cell r="T3090">
            <v>721000</v>
          </cell>
          <cell r="V3090">
            <v>721000</v>
          </cell>
          <cell r="X3090">
            <v>721000</v>
          </cell>
          <cell r="Z3090">
            <v>721000</v>
          </cell>
          <cell r="AD3090">
            <v>20.000000000000004</v>
          </cell>
        </row>
        <row r="3091">
          <cell r="E3091" t="str">
            <v>P1複合型受信機 40L+30L自</v>
          </cell>
          <cell r="F3091" t="str">
            <v>面</v>
          </cell>
          <cell r="H3091">
            <v>777000</v>
          </cell>
          <cell r="J3091">
            <v>777000</v>
          </cell>
          <cell r="L3091">
            <v>777000</v>
          </cell>
          <cell r="N3091">
            <v>777000</v>
          </cell>
          <cell r="P3091">
            <v>777000</v>
          </cell>
          <cell r="R3091">
            <v>777000</v>
          </cell>
          <cell r="T3091">
            <v>777000</v>
          </cell>
          <cell r="V3091">
            <v>777000</v>
          </cell>
          <cell r="X3091">
            <v>777000</v>
          </cell>
          <cell r="Z3091">
            <v>777000</v>
          </cell>
          <cell r="AD3091">
            <v>22.700000000000003</v>
          </cell>
        </row>
        <row r="3092">
          <cell r="E3092" t="str">
            <v>P1複合型受信機 40L+40L自</v>
          </cell>
          <cell r="F3092" t="str">
            <v>面</v>
          </cell>
          <cell r="H3092">
            <v>831000</v>
          </cell>
          <cell r="J3092">
            <v>831000</v>
          </cell>
          <cell r="L3092">
            <v>831000</v>
          </cell>
          <cell r="N3092">
            <v>831000</v>
          </cell>
          <cell r="P3092">
            <v>831000</v>
          </cell>
          <cell r="R3092">
            <v>831000</v>
          </cell>
          <cell r="T3092">
            <v>831000</v>
          </cell>
          <cell r="V3092">
            <v>831000</v>
          </cell>
          <cell r="X3092">
            <v>831000</v>
          </cell>
          <cell r="Z3092">
            <v>831000</v>
          </cell>
          <cell r="AD3092">
            <v>25.400000000000002</v>
          </cell>
        </row>
        <row r="3093">
          <cell r="E3093" t="str">
            <v>P1複合型受信機 50L+40L自</v>
          </cell>
          <cell r="F3093" t="str">
            <v>面</v>
          </cell>
          <cell r="H3093">
            <v>899000</v>
          </cell>
          <cell r="J3093">
            <v>899000</v>
          </cell>
          <cell r="L3093">
            <v>899000</v>
          </cell>
          <cell r="N3093">
            <v>899000</v>
          </cell>
          <cell r="P3093">
            <v>899000</v>
          </cell>
          <cell r="R3093">
            <v>899000</v>
          </cell>
          <cell r="T3093">
            <v>899000</v>
          </cell>
          <cell r="V3093">
            <v>899000</v>
          </cell>
          <cell r="X3093">
            <v>899000</v>
          </cell>
          <cell r="Z3093">
            <v>899000</v>
          </cell>
          <cell r="AD3093">
            <v>28.1</v>
          </cell>
        </row>
        <row r="3094">
          <cell r="E3094" t="str">
            <v>P1複合型受信機 50L+50L自</v>
          </cell>
          <cell r="F3094" t="str">
            <v>面</v>
          </cell>
          <cell r="H3094">
            <v>955000</v>
          </cell>
          <cell r="J3094">
            <v>955000</v>
          </cell>
          <cell r="L3094">
            <v>955000</v>
          </cell>
          <cell r="N3094">
            <v>955000</v>
          </cell>
          <cell r="P3094">
            <v>955000</v>
          </cell>
          <cell r="R3094">
            <v>955000</v>
          </cell>
          <cell r="T3094">
            <v>955000</v>
          </cell>
          <cell r="V3094">
            <v>955000</v>
          </cell>
          <cell r="X3094">
            <v>955000</v>
          </cell>
          <cell r="Z3094">
            <v>955000</v>
          </cell>
          <cell r="AD3094">
            <v>30.8</v>
          </cell>
        </row>
        <row r="3095">
          <cell r="E3095" t="str">
            <v>P1副受信機 5L</v>
          </cell>
          <cell r="F3095" t="str">
            <v>面</v>
          </cell>
          <cell r="H3095">
            <v>19200</v>
          </cell>
          <cell r="J3095">
            <v>19200</v>
          </cell>
          <cell r="L3095">
            <v>19200</v>
          </cell>
          <cell r="N3095">
            <v>19200</v>
          </cell>
          <cell r="P3095">
            <v>19200</v>
          </cell>
          <cell r="R3095">
            <v>19200</v>
          </cell>
          <cell r="T3095">
            <v>19200</v>
          </cell>
          <cell r="V3095">
            <v>19200</v>
          </cell>
          <cell r="X3095">
            <v>19200</v>
          </cell>
          <cell r="Z3095">
            <v>19200</v>
          </cell>
          <cell r="AD3095">
            <v>0.42</v>
          </cell>
        </row>
        <row r="3096">
          <cell r="E3096" t="str">
            <v>P1副受信機 10L</v>
          </cell>
          <cell r="F3096" t="str">
            <v>面</v>
          </cell>
          <cell r="H3096">
            <v>22400</v>
          </cell>
          <cell r="J3096">
            <v>22400</v>
          </cell>
          <cell r="L3096">
            <v>22400</v>
          </cell>
          <cell r="N3096">
            <v>22400</v>
          </cell>
          <cell r="P3096">
            <v>22400</v>
          </cell>
          <cell r="R3096">
            <v>22400</v>
          </cell>
          <cell r="T3096">
            <v>22400</v>
          </cell>
          <cell r="V3096">
            <v>22400</v>
          </cell>
          <cell r="X3096">
            <v>22400</v>
          </cell>
          <cell r="Z3096">
            <v>22400</v>
          </cell>
          <cell r="AD3096">
            <v>0.86</v>
          </cell>
        </row>
        <row r="3097">
          <cell r="E3097" t="str">
            <v>P1副受信機 15L</v>
          </cell>
          <cell r="F3097" t="str">
            <v>面</v>
          </cell>
          <cell r="H3097">
            <v>25500</v>
          </cell>
          <cell r="J3097">
            <v>25500</v>
          </cell>
          <cell r="L3097">
            <v>25500</v>
          </cell>
          <cell r="N3097">
            <v>25500</v>
          </cell>
          <cell r="P3097">
            <v>25500</v>
          </cell>
          <cell r="R3097">
            <v>25500</v>
          </cell>
          <cell r="T3097">
            <v>25500</v>
          </cell>
          <cell r="V3097">
            <v>25500</v>
          </cell>
          <cell r="X3097">
            <v>25500</v>
          </cell>
          <cell r="Z3097">
            <v>25500</v>
          </cell>
          <cell r="AD3097">
            <v>1.3</v>
          </cell>
        </row>
        <row r="3098">
          <cell r="E3098" t="str">
            <v>P1副受信機 20L</v>
          </cell>
          <cell r="F3098" t="str">
            <v>面</v>
          </cell>
          <cell r="H3098">
            <v>28700</v>
          </cell>
          <cell r="J3098">
            <v>28700</v>
          </cell>
          <cell r="L3098">
            <v>28700</v>
          </cell>
          <cell r="N3098">
            <v>28700</v>
          </cell>
          <cell r="P3098">
            <v>28700</v>
          </cell>
          <cell r="R3098">
            <v>28700</v>
          </cell>
          <cell r="T3098">
            <v>28700</v>
          </cell>
          <cell r="V3098">
            <v>28700</v>
          </cell>
          <cell r="X3098">
            <v>28700</v>
          </cell>
          <cell r="Z3098">
            <v>28700</v>
          </cell>
          <cell r="AD3098">
            <v>1.75</v>
          </cell>
        </row>
        <row r="3099">
          <cell r="E3099" t="str">
            <v>P1副受信機 25L</v>
          </cell>
          <cell r="F3099" t="str">
            <v>面</v>
          </cell>
          <cell r="H3099">
            <v>31800</v>
          </cell>
          <cell r="J3099">
            <v>31800</v>
          </cell>
          <cell r="L3099">
            <v>31800</v>
          </cell>
          <cell r="N3099">
            <v>31800</v>
          </cell>
          <cell r="P3099">
            <v>31800</v>
          </cell>
          <cell r="R3099">
            <v>31800</v>
          </cell>
          <cell r="T3099">
            <v>31800</v>
          </cell>
          <cell r="V3099">
            <v>31800</v>
          </cell>
          <cell r="X3099">
            <v>31800</v>
          </cell>
          <cell r="Z3099">
            <v>31800</v>
          </cell>
          <cell r="AD3099">
            <v>2.15</v>
          </cell>
        </row>
        <row r="3100">
          <cell r="E3100" t="str">
            <v>P1副受信機 30L</v>
          </cell>
          <cell r="F3100" t="str">
            <v>面</v>
          </cell>
          <cell r="H3100">
            <v>35000</v>
          </cell>
          <cell r="J3100">
            <v>35000</v>
          </cell>
          <cell r="L3100">
            <v>35000</v>
          </cell>
          <cell r="N3100">
            <v>35000</v>
          </cell>
          <cell r="P3100">
            <v>35000</v>
          </cell>
          <cell r="R3100">
            <v>35000</v>
          </cell>
          <cell r="T3100">
            <v>35000</v>
          </cell>
          <cell r="V3100">
            <v>35000</v>
          </cell>
          <cell r="X3100">
            <v>35000</v>
          </cell>
          <cell r="Z3100">
            <v>35000</v>
          </cell>
          <cell r="AD3100">
            <v>2.5499999999999998</v>
          </cell>
        </row>
        <row r="3101">
          <cell r="E3101" t="str">
            <v>P1副受信機 40L</v>
          </cell>
          <cell r="F3101" t="str">
            <v>面</v>
          </cell>
          <cell r="H3101">
            <v>41300</v>
          </cell>
          <cell r="J3101">
            <v>41300</v>
          </cell>
          <cell r="L3101">
            <v>41300</v>
          </cell>
          <cell r="N3101">
            <v>41300</v>
          </cell>
          <cell r="P3101">
            <v>41300</v>
          </cell>
          <cell r="R3101">
            <v>41300</v>
          </cell>
          <cell r="T3101">
            <v>41300</v>
          </cell>
          <cell r="V3101">
            <v>41300</v>
          </cell>
          <cell r="X3101">
            <v>41300</v>
          </cell>
          <cell r="Z3101">
            <v>41300</v>
          </cell>
          <cell r="AD3101">
            <v>3.4</v>
          </cell>
        </row>
        <row r="3102">
          <cell r="E3102" t="str">
            <v>P1副受信機 50L</v>
          </cell>
          <cell r="F3102" t="str">
            <v>面</v>
          </cell>
          <cell r="H3102">
            <v>47600</v>
          </cell>
          <cell r="J3102">
            <v>47600</v>
          </cell>
          <cell r="L3102">
            <v>47600</v>
          </cell>
          <cell r="N3102">
            <v>47600</v>
          </cell>
          <cell r="P3102">
            <v>47600</v>
          </cell>
          <cell r="R3102">
            <v>47600</v>
          </cell>
          <cell r="T3102">
            <v>47600</v>
          </cell>
          <cell r="V3102">
            <v>47600</v>
          </cell>
          <cell r="X3102">
            <v>47600</v>
          </cell>
          <cell r="Z3102">
            <v>47600</v>
          </cell>
          <cell r="AD3102">
            <v>4.25</v>
          </cell>
        </row>
        <row r="3103">
          <cell r="E3103" t="str">
            <v>P1副受信機 60L</v>
          </cell>
          <cell r="F3103" t="str">
            <v>面</v>
          </cell>
          <cell r="H3103">
            <v>53900</v>
          </cell>
          <cell r="J3103">
            <v>53900</v>
          </cell>
          <cell r="L3103">
            <v>53900</v>
          </cell>
          <cell r="N3103">
            <v>53900</v>
          </cell>
          <cell r="P3103">
            <v>53900</v>
          </cell>
          <cell r="R3103">
            <v>53900</v>
          </cell>
          <cell r="T3103">
            <v>53900</v>
          </cell>
          <cell r="V3103">
            <v>53900</v>
          </cell>
          <cell r="X3103">
            <v>53900</v>
          </cell>
          <cell r="Z3103">
            <v>53900</v>
          </cell>
          <cell r="AD3103">
            <v>4.75</v>
          </cell>
        </row>
        <row r="3104">
          <cell r="E3104" t="str">
            <v>P1副受信機 70L</v>
          </cell>
          <cell r="F3104" t="str">
            <v>面</v>
          </cell>
          <cell r="H3104">
            <v>60200</v>
          </cell>
          <cell r="J3104">
            <v>60200</v>
          </cell>
          <cell r="L3104">
            <v>60200</v>
          </cell>
          <cell r="N3104">
            <v>60200</v>
          </cell>
          <cell r="P3104">
            <v>60200</v>
          </cell>
          <cell r="R3104">
            <v>60200</v>
          </cell>
          <cell r="T3104">
            <v>60200</v>
          </cell>
          <cell r="V3104">
            <v>60200</v>
          </cell>
          <cell r="X3104">
            <v>60200</v>
          </cell>
          <cell r="Z3104">
            <v>60200</v>
          </cell>
          <cell r="AD3104">
            <v>5.25</v>
          </cell>
        </row>
        <row r="3105">
          <cell r="E3105" t="str">
            <v>P1副受信機 80L</v>
          </cell>
          <cell r="F3105" t="str">
            <v>面</v>
          </cell>
          <cell r="H3105">
            <v>66500</v>
          </cell>
          <cell r="J3105">
            <v>66500</v>
          </cell>
          <cell r="L3105">
            <v>66500</v>
          </cell>
          <cell r="N3105">
            <v>66500</v>
          </cell>
          <cell r="P3105">
            <v>66500</v>
          </cell>
          <cell r="R3105">
            <v>66500</v>
          </cell>
          <cell r="T3105">
            <v>66500</v>
          </cell>
          <cell r="V3105">
            <v>66500</v>
          </cell>
          <cell r="X3105">
            <v>66500</v>
          </cell>
          <cell r="Z3105">
            <v>66500</v>
          </cell>
          <cell r="AD3105">
            <v>5.75</v>
          </cell>
        </row>
        <row r="3106">
          <cell r="E3106" t="str">
            <v>P1副受信機 90L</v>
          </cell>
          <cell r="F3106" t="str">
            <v>面</v>
          </cell>
          <cell r="H3106">
            <v>72800</v>
          </cell>
          <cell r="J3106">
            <v>72800</v>
          </cell>
          <cell r="L3106">
            <v>72800</v>
          </cell>
          <cell r="N3106">
            <v>72800</v>
          </cell>
          <cell r="P3106">
            <v>72800</v>
          </cell>
          <cell r="R3106">
            <v>72800</v>
          </cell>
          <cell r="T3106">
            <v>72800</v>
          </cell>
          <cell r="V3106">
            <v>72800</v>
          </cell>
          <cell r="X3106">
            <v>72800</v>
          </cell>
          <cell r="Z3106">
            <v>72800</v>
          </cell>
          <cell r="AD3106">
            <v>6.25</v>
          </cell>
        </row>
        <row r="3107">
          <cell r="E3107" t="str">
            <v>P1副受信機 100L</v>
          </cell>
          <cell r="F3107" t="str">
            <v>面</v>
          </cell>
          <cell r="H3107">
            <v>79100</v>
          </cell>
          <cell r="J3107">
            <v>79100</v>
          </cell>
          <cell r="L3107">
            <v>79100</v>
          </cell>
          <cell r="N3107">
            <v>79100</v>
          </cell>
          <cell r="P3107">
            <v>79100</v>
          </cell>
          <cell r="R3107">
            <v>79100</v>
          </cell>
          <cell r="T3107">
            <v>79100</v>
          </cell>
          <cell r="V3107">
            <v>79100</v>
          </cell>
          <cell r="X3107">
            <v>79100</v>
          </cell>
          <cell r="Z3107">
            <v>79100</v>
          </cell>
          <cell r="AD3107">
            <v>6.75</v>
          </cell>
        </row>
        <row r="3108">
          <cell r="E3108" t="str">
            <v>P1副受信機 110L</v>
          </cell>
          <cell r="F3108" t="str">
            <v>面</v>
          </cell>
          <cell r="H3108">
            <v>85400</v>
          </cell>
          <cell r="J3108">
            <v>85400</v>
          </cell>
          <cell r="L3108">
            <v>85400</v>
          </cell>
          <cell r="N3108">
            <v>85400</v>
          </cell>
          <cell r="P3108">
            <v>85400</v>
          </cell>
          <cell r="R3108">
            <v>85400</v>
          </cell>
          <cell r="T3108">
            <v>85400</v>
          </cell>
          <cell r="V3108">
            <v>85400</v>
          </cell>
          <cell r="X3108">
            <v>85400</v>
          </cell>
          <cell r="Z3108">
            <v>85400</v>
          </cell>
          <cell r="AD3108">
            <v>7.25</v>
          </cell>
        </row>
        <row r="3109">
          <cell r="E3109" t="str">
            <v>P1副受信機 120L</v>
          </cell>
          <cell r="F3109" t="str">
            <v>面</v>
          </cell>
          <cell r="H3109">
            <v>91700</v>
          </cell>
          <cell r="J3109">
            <v>91700</v>
          </cell>
          <cell r="L3109">
            <v>91700</v>
          </cell>
          <cell r="N3109">
            <v>91700</v>
          </cell>
          <cell r="P3109">
            <v>91700</v>
          </cell>
          <cell r="R3109">
            <v>91700</v>
          </cell>
          <cell r="T3109">
            <v>91700</v>
          </cell>
          <cell r="V3109">
            <v>91700</v>
          </cell>
          <cell r="X3109">
            <v>91700</v>
          </cell>
          <cell r="Z3109">
            <v>91700</v>
          </cell>
          <cell r="AD3109">
            <v>7.75</v>
          </cell>
        </row>
        <row r="3110">
          <cell r="E3110" t="str">
            <v>P1副受信機 150L</v>
          </cell>
          <cell r="F3110" t="str">
            <v>面</v>
          </cell>
          <cell r="H3110">
            <v>110600</v>
          </cell>
          <cell r="J3110">
            <v>110600</v>
          </cell>
          <cell r="L3110">
            <v>110600</v>
          </cell>
          <cell r="N3110">
            <v>110600</v>
          </cell>
          <cell r="P3110">
            <v>110600</v>
          </cell>
          <cell r="R3110">
            <v>110600</v>
          </cell>
          <cell r="T3110">
            <v>110600</v>
          </cell>
          <cell r="V3110">
            <v>110600</v>
          </cell>
          <cell r="X3110">
            <v>110600</v>
          </cell>
          <cell r="Z3110">
            <v>110600</v>
          </cell>
          <cell r="AD3110">
            <v>9.25</v>
          </cell>
        </row>
        <row r="3111">
          <cell r="E3111" t="str">
            <v>P1副受信機 200L</v>
          </cell>
          <cell r="F3111" t="str">
            <v>面</v>
          </cell>
          <cell r="H3111">
            <v>142100</v>
          </cell>
          <cell r="J3111">
            <v>142100</v>
          </cell>
          <cell r="L3111">
            <v>142100</v>
          </cell>
          <cell r="N3111">
            <v>142100</v>
          </cell>
          <cell r="P3111">
            <v>142100</v>
          </cell>
          <cell r="R3111">
            <v>142100</v>
          </cell>
          <cell r="T3111">
            <v>142100</v>
          </cell>
          <cell r="V3111">
            <v>142100</v>
          </cell>
          <cell r="X3111">
            <v>142100</v>
          </cell>
          <cell r="Z3111">
            <v>142100</v>
          </cell>
          <cell r="AD3111">
            <v>11.75</v>
          </cell>
        </row>
        <row r="3112">
          <cell r="E3112" t="str">
            <v>P1副受信機 300L</v>
          </cell>
          <cell r="F3112" t="str">
            <v>面</v>
          </cell>
          <cell r="H3112">
            <v>205100</v>
          </cell>
          <cell r="J3112">
            <v>205100</v>
          </cell>
          <cell r="L3112">
            <v>205100</v>
          </cell>
          <cell r="N3112">
            <v>205100</v>
          </cell>
          <cell r="P3112">
            <v>205100</v>
          </cell>
          <cell r="R3112">
            <v>205100</v>
          </cell>
          <cell r="T3112">
            <v>205100</v>
          </cell>
          <cell r="V3112">
            <v>205100</v>
          </cell>
          <cell r="X3112">
            <v>205100</v>
          </cell>
          <cell r="Z3112">
            <v>205100</v>
          </cell>
          <cell r="AD3112">
            <v>17.600000000000001</v>
          </cell>
        </row>
        <row r="3139">
          <cell r="E3139" t="str">
            <v>避雷導線 13/2.0</v>
          </cell>
          <cell r="F3139" t="str">
            <v>ｍ</v>
          </cell>
          <cell r="H3139">
            <v>430</v>
          </cell>
          <cell r="J3139">
            <v>430</v>
          </cell>
          <cell r="L3139">
            <v>430</v>
          </cell>
          <cell r="N3139">
            <v>430</v>
          </cell>
          <cell r="P3139">
            <v>430</v>
          </cell>
          <cell r="R3139">
            <v>430</v>
          </cell>
          <cell r="T3139">
            <v>430</v>
          </cell>
          <cell r="V3139">
            <v>430</v>
          </cell>
          <cell r="X3139">
            <v>430</v>
          </cell>
          <cell r="Z3139">
            <v>430</v>
          </cell>
          <cell r="AD3139">
            <v>0.122</v>
          </cell>
        </row>
        <row r="3140">
          <cell r="E3140" t="str">
            <v>避雷導線 19/2.0</v>
          </cell>
          <cell r="F3140" t="str">
            <v>ｍ</v>
          </cell>
          <cell r="H3140">
            <v>630</v>
          </cell>
          <cell r="J3140">
            <v>630</v>
          </cell>
          <cell r="L3140">
            <v>630</v>
          </cell>
          <cell r="N3140">
            <v>630</v>
          </cell>
          <cell r="P3140">
            <v>630</v>
          </cell>
          <cell r="R3140">
            <v>630</v>
          </cell>
          <cell r="T3140">
            <v>630</v>
          </cell>
          <cell r="V3140">
            <v>630</v>
          </cell>
          <cell r="X3140">
            <v>630</v>
          </cell>
          <cell r="Z3140">
            <v>630</v>
          </cell>
          <cell r="AD3140">
            <v>0.16</v>
          </cell>
        </row>
        <row r="3141">
          <cell r="E3141" t="str">
            <v>導体取付金物 露出 40mmsq</v>
          </cell>
          <cell r="F3141" t="str">
            <v>個</v>
          </cell>
          <cell r="H3141">
            <v>600</v>
          </cell>
          <cell r="J3141">
            <v>600</v>
          </cell>
          <cell r="L3141">
            <v>600</v>
          </cell>
          <cell r="N3141">
            <v>600</v>
          </cell>
          <cell r="P3141">
            <v>600</v>
          </cell>
          <cell r="R3141">
            <v>600</v>
          </cell>
          <cell r="T3141">
            <v>600</v>
          </cell>
          <cell r="V3141">
            <v>600</v>
          </cell>
          <cell r="X3141">
            <v>600</v>
          </cell>
          <cell r="Z3141">
            <v>600</v>
          </cell>
          <cell r="AD3141">
            <v>0.01</v>
          </cell>
        </row>
        <row r="3142">
          <cell r="E3142" t="str">
            <v>導体取付金物 露出 60mmsq</v>
          </cell>
          <cell r="F3142" t="str">
            <v>個</v>
          </cell>
          <cell r="H3142">
            <v>600</v>
          </cell>
          <cell r="J3142">
            <v>600</v>
          </cell>
          <cell r="L3142">
            <v>600</v>
          </cell>
          <cell r="N3142">
            <v>600</v>
          </cell>
          <cell r="P3142">
            <v>600</v>
          </cell>
          <cell r="R3142">
            <v>600</v>
          </cell>
          <cell r="T3142">
            <v>600</v>
          </cell>
          <cell r="V3142">
            <v>600</v>
          </cell>
          <cell r="X3142">
            <v>600</v>
          </cell>
          <cell r="Z3142">
            <v>600</v>
          </cell>
          <cell r="AD3142">
            <v>0.01</v>
          </cell>
        </row>
        <row r="3143">
          <cell r="E3143" t="str">
            <v>突針 JIS 中型</v>
          </cell>
          <cell r="F3143" t="str">
            <v>基</v>
          </cell>
          <cell r="H3143">
            <v>10400</v>
          </cell>
          <cell r="J3143">
            <v>10400</v>
          </cell>
          <cell r="L3143">
            <v>10400</v>
          </cell>
          <cell r="N3143">
            <v>10400</v>
          </cell>
          <cell r="P3143">
            <v>10400</v>
          </cell>
          <cell r="R3143">
            <v>10400</v>
          </cell>
          <cell r="T3143">
            <v>10400</v>
          </cell>
          <cell r="V3143">
            <v>10400</v>
          </cell>
          <cell r="X3143">
            <v>10400</v>
          </cell>
          <cell r="Z3143">
            <v>10400</v>
          </cell>
          <cell r="AD3143">
            <v>2.7</v>
          </cell>
        </row>
        <row r="3144">
          <cell r="E3144" t="str">
            <v>突針 JIS 大型</v>
          </cell>
          <cell r="F3144" t="str">
            <v>基</v>
          </cell>
          <cell r="H3144">
            <v>12400</v>
          </cell>
          <cell r="J3144">
            <v>12400</v>
          </cell>
          <cell r="L3144">
            <v>12400</v>
          </cell>
          <cell r="N3144">
            <v>12400</v>
          </cell>
          <cell r="P3144">
            <v>12400</v>
          </cell>
          <cell r="R3144">
            <v>12400</v>
          </cell>
          <cell r="T3144">
            <v>12400</v>
          </cell>
          <cell r="V3144">
            <v>12400</v>
          </cell>
          <cell r="X3144">
            <v>12400</v>
          </cell>
          <cell r="Z3144">
            <v>12400</v>
          </cell>
          <cell r="AD3144">
            <v>2.7</v>
          </cell>
        </row>
        <row r="3145">
          <cell r="E3145" t="str">
            <v>突針 国土交通省型</v>
          </cell>
          <cell r="F3145" t="str">
            <v>基</v>
          </cell>
          <cell r="H3145">
            <v>11600</v>
          </cell>
          <cell r="J3145">
            <v>11600</v>
          </cell>
          <cell r="L3145">
            <v>11600</v>
          </cell>
          <cell r="N3145">
            <v>11600</v>
          </cell>
          <cell r="P3145">
            <v>11600</v>
          </cell>
          <cell r="R3145">
            <v>11600</v>
          </cell>
          <cell r="T3145">
            <v>11600</v>
          </cell>
          <cell r="V3145">
            <v>11600</v>
          </cell>
          <cell r="X3145">
            <v>11600</v>
          </cell>
          <cell r="Z3145">
            <v>11600</v>
          </cell>
          <cell r="AD3145">
            <v>2.7</v>
          </cell>
        </row>
        <row r="3146">
          <cell r="E3146" t="str">
            <v>突針 都市再生機構型</v>
          </cell>
          <cell r="F3146" t="str">
            <v>基</v>
          </cell>
          <cell r="H3146">
            <v>11200</v>
          </cell>
          <cell r="J3146">
            <v>11200</v>
          </cell>
          <cell r="L3146">
            <v>11200</v>
          </cell>
          <cell r="N3146">
            <v>11200</v>
          </cell>
          <cell r="P3146">
            <v>11200</v>
          </cell>
          <cell r="R3146">
            <v>11200</v>
          </cell>
          <cell r="T3146">
            <v>11200</v>
          </cell>
          <cell r="V3146">
            <v>11200</v>
          </cell>
          <cell r="X3146">
            <v>11200</v>
          </cell>
          <cell r="Z3146">
            <v>11200</v>
          </cell>
          <cell r="AD3146">
            <v>2.7</v>
          </cell>
        </row>
        <row r="3147">
          <cell r="E3147" t="str">
            <v>突針 NTT型</v>
          </cell>
          <cell r="F3147" t="str">
            <v>基</v>
          </cell>
          <cell r="H3147">
            <v>11200</v>
          </cell>
          <cell r="J3147">
            <v>11200</v>
          </cell>
          <cell r="L3147">
            <v>11200</v>
          </cell>
          <cell r="N3147">
            <v>11200</v>
          </cell>
          <cell r="P3147">
            <v>11200</v>
          </cell>
          <cell r="R3147">
            <v>11200</v>
          </cell>
          <cell r="T3147">
            <v>11200</v>
          </cell>
          <cell r="V3147">
            <v>11200</v>
          </cell>
          <cell r="X3147">
            <v>11200</v>
          </cell>
          <cell r="Z3147">
            <v>11200</v>
          </cell>
          <cell r="AD3147">
            <v>2.7</v>
          </cell>
        </row>
        <row r="3148">
          <cell r="E3148" t="str">
            <v>側壁型 φ48.6 4m STK</v>
          </cell>
          <cell r="F3148" t="str">
            <v>本</v>
          </cell>
          <cell r="H3148">
            <v>17700</v>
          </cell>
          <cell r="J3148">
            <v>17700</v>
          </cell>
          <cell r="L3148">
            <v>17700</v>
          </cell>
          <cell r="N3148">
            <v>17700</v>
          </cell>
          <cell r="P3148">
            <v>17700</v>
          </cell>
          <cell r="R3148">
            <v>17700</v>
          </cell>
          <cell r="T3148">
            <v>17700</v>
          </cell>
          <cell r="V3148">
            <v>17700</v>
          </cell>
          <cell r="X3148">
            <v>17700</v>
          </cell>
          <cell r="Z3148">
            <v>17700</v>
          </cell>
          <cell r="AD3148">
            <v>0.7</v>
          </cell>
        </row>
        <row r="3149">
          <cell r="E3149" t="str">
            <v>側壁型 φ48.6 5m STK</v>
          </cell>
          <cell r="F3149" t="str">
            <v>本</v>
          </cell>
          <cell r="H3149">
            <v>19800</v>
          </cell>
          <cell r="J3149">
            <v>19800</v>
          </cell>
          <cell r="L3149">
            <v>19800</v>
          </cell>
          <cell r="N3149">
            <v>19800</v>
          </cell>
          <cell r="P3149">
            <v>19800</v>
          </cell>
          <cell r="R3149">
            <v>19800</v>
          </cell>
          <cell r="T3149">
            <v>19800</v>
          </cell>
          <cell r="V3149">
            <v>19800</v>
          </cell>
          <cell r="X3149">
            <v>19800</v>
          </cell>
          <cell r="Z3149">
            <v>19800</v>
          </cell>
          <cell r="AD3149">
            <v>0.8</v>
          </cell>
        </row>
        <row r="3150">
          <cell r="E3150" t="str">
            <v>側壁型 φ48.6～60.3 6m STK</v>
          </cell>
          <cell r="F3150" t="str">
            <v>本</v>
          </cell>
          <cell r="H3150">
            <v>28400</v>
          </cell>
          <cell r="J3150">
            <v>28400</v>
          </cell>
          <cell r="L3150">
            <v>28400</v>
          </cell>
          <cell r="N3150">
            <v>28400</v>
          </cell>
          <cell r="P3150">
            <v>28400</v>
          </cell>
          <cell r="R3150">
            <v>28400</v>
          </cell>
          <cell r="T3150">
            <v>28400</v>
          </cell>
          <cell r="V3150">
            <v>28400</v>
          </cell>
          <cell r="X3150">
            <v>28400</v>
          </cell>
          <cell r="Z3150">
            <v>28400</v>
          </cell>
          <cell r="AD3150">
            <v>0.9</v>
          </cell>
        </row>
        <row r="3151">
          <cell r="E3151" t="str">
            <v>側壁型 φ48.6～76.3 6m STK</v>
          </cell>
          <cell r="F3151" t="str">
            <v>本</v>
          </cell>
          <cell r="H3151">
            <v>41800</v>
          </cell>
          <cell r="J3151">
            <v>41800</v>
          </cell>
          <cell r="L3151">
            <v>41800</v>
          </cell>
          <cell r="N3151">
            <v>41800</v>
          </cell>
          <cell r="P3151">
            <v>41800</v>
          </cell>
          <cell r="R3151">
            <v>41800</v>
          </cell>
          <cell r="T3151">
            <v>41800</v>
          </cell>
          <cell r="V3151">
            <v>41800</v>
          </cell>
          <cell r="X3151">
            <v>41800</v>
          </cell>
          <cell r="Z3151">
            <v>41800</v>
          </cell>
          <cell r="AD3151">
            <v>0.9</v>
          </cell>
        </row>
        <row r="3152">
          <cell r="E3152" t="str">
            <v>側壁型 φ48.6～76.3 7m STK</v>
          </cell>
          <cell r="F3152" t="str">
            <v>本</v>
          </cell>
          <cell r="H3152">
            <v>44700</v>
          </cell>
          <cell r="J3152">
            <v>44700</v>
          </cell>
          <cell r="L3152">
            <v>44700</v>
          </cell>
          <cell r="N3152">
            <v>44700</v>
          </cell>
          <cell r="P3152">
            <v>44700</v>
          </cell>
          <cell r="R3152">
            <v>44700</v>
          </cell>
          <cell r="T3152">
            <v>44700</v>
          </cell>
          <cell r="V3152">
            <v>44700</v>
          </cell>
          <cell r="X3152">
            <v>44700</v>
          </cell>
          <cell r="Z3152">
            <v>44700</v>
          </cell>
          <cell r="AD3152">
            <v>1</v>
          </cell>
        </row>
        <row r="3153">
          <cell r="E3153" t="str">
            <v>側壁型 φ48.6～76.3 8m STK</v>
          </cell>
          <cell r="F3153" t="str">
            <v>本</v>
          </cell>
          <cell r="H3153">
            <v>48200</v>
          </cell>
          <cell r="J3153">
            <v>48200</v>
          </cell>
          <cell r="L3153">
            <v>48200</v>
          </cell>
          <cell r="N3153">
            <v>48200</v>
          </cell>
          <cell r="P3153">
            <v>48200</v>
          </cell>
          <cell r="R3153">
            <v>48200</v>
          </cell>
          <cell r="T3153">
            <v>48200</v>
          </cell>
          <cell r="V3153">
            <v>48200</v>
          </cell>
          <cell r="X3153">
            <v>48200</v>
          </cell>
          <cell r="Z3153">
            <v>48200</v>
          </cell>
          <cell r="AD3153">
            <v>1.1000000000000001</v>
          </cell>
        </row>
        <row r="3154">
          <cell r="E3154" t="str">
            <v>側壁型 φ60.5～89.1 7m STK</v>
          </cell>
          <cell r="F3154" t="str">
            <v>本</v>
          </cell>
          <cell r="H3154">
            <v>52500</v>
          </cell>
          <cell r="J3154">
            <v>52500</v>
          </cell>
          <cell r="L3154">
            <v>52500</v>
          </cell>
          <cell r="N3154">
            <v>52500</v>
          </cell>
          <cell r="P3154">
            <v>52500</v>
          </cell>
          <cell r="R3154">
            <v>52500</v>
          </cell>
          <cell r="T3154">
            <v>52500</v>
          </cell>
          <cell r="V3154">
            <v>52500</v>
          </cell>
          <cell r="X3154">
            <v>52500</v>
          </cell>
          <cell r="Z3154">
            <v>52500</v>
          </cell>
          <cell r="AD3154">
            <v>1</v>
          </cell>
        </row>
        <row r="3155">
          <cell r="E3155" t="str">
            <v>側壁型 φ60.5～89.1 8m STK</v>
          </cell>
          <cell r="F3155" t="str">
            <v>本</v>
          </cell>
          <cell r="H3155">
            <v>56000</v>
          </cell>
          <cell r="J3155">
            <v>56000</v>
          </cell>
          <cell r="L3155">
            <v>56000</v>
          </cell>
          <cell r="N3155">
            <v>56000</v>
          </cell>
          <cell r="P3155">
            <v>56000</v>
          </cell>
          <cell r="R3155">
            <v>56000</v>
          </cell>
          <cell r="T3155">
            <v>56000</v>
          </cell>
          <cell r="V3155">
            <v>56000</v>
          </cell>
          <cell r="X3155">
            <v>56000</v>
          </cell>
          <cell r="Z3155">
            <v>56000</v>
          </cell>
          <cell r="AD3155">
            <v>1.1000000000000001</v>
          </cell>
        </row>
        <row r="3156">
          <cell r="E3156" t="str">
            <v>側壁型 φ48.6 5m SUS</v>
          </cell>
          <cell r="F3156" t="str">
            <v>本</v>
          </cell>
          <cell r="H3156">
            <v>21600</v>
          </cell>
          <cell r="J3156">
            <v>21600</v>
          </cell>
          <cell r="L3156">
            <v>21600</v>
          </cell>
          <cell r="N3156">
            <v>21600</v>
          </cell>
          <cell r="P3156">
            <v>21600</v>
          </cell>
          <cell r="R3156">
            <v>21600</v>
          </cell>
          <cell r="T3156">
            <v>21600</v>
          </cell>
          <cell r="V3156">
            <v>21600</v>
          </cell>
          <cell r="X3156">
            <v>21600</v>
          </cell>
          <cell r="Z3156">
            <v>21600</v>
          </cell>
          <cell r="AD3156">
            <v>0.8</v>
          </cell>
        </row>
        <row r="3157">
          <cell r="E3157" t="str">
            <v>側壁型 φ48.6～60.5 5m STK</v>
          </cell>
          <cell r="F3157" t="str">
            <v>本</v>
          </cell>
          <cell r="H3157">
            <v>34400</v>
          </cell>
          <cell r="J3157">
            <v>34400</v>
          </cell>
          <cell r="L3157">
            <v>34400</v>
          </cell>
          <cell r="N3157">
            <v>34400</v>
          </cell>
          <cell r="P3157">
            <v>34400</v>
          </cell>
          <cell r="R3157">
            <v>34400</v>
          </cell>
          <cell r="T3157">
            <v>34400</v>
          </cell>
          <cell r="V3157">
            <v>34400</v>
          </cell>
          <cell r="X3157">
            <v>34400</v>
          </cell>
          <cell r="Z3157">
            <v>34400</v>
          </cell>
          <cell r="AD3157">
            <v>0.9</v>
          </cell>
        </row>
        <row r="3158">
          <cell r="E3158" t="str">
            <v>側壁型 φ48.6～60.5 6m STK</v>
          </cell>
          <cell r="F3158" t="str">
            <v>本</v>
          </cell>
          <cell r="H3158">
            <v>39200</v>
          </cell>
          <cell r="J3158">
            <v>39200</v>
          </cell>
          <cell r="L3158">
            <v>39200</v>
          </cell>
          <cell r="N3158">
            <v>39200</v>
          </cell>
          <cell r="P3158">
            <v>39200</v>
          </cell>
          <cell r="R3158">
            <v>39200</v>
          </cell>
          <cell r="T3158">
            <v>39200</v>
          </cell>
          <cell r="V3158">
            <v>39200</v>
          </cell>
          <cell r="X3158">
            <v>39200</v>
          </cell>
          <cell r="Z3158">
            <v>39200</v>
          </cell>
          <cell r="AD3158">
            <v>0.9</v>
          </cell>
        </row>
        <row r="3159">
          <cell r="E3159" t="str">
            <v>側壁型 φ48.6～76.3 6m STK</v>
          </cell>
          <cell r="F3159" t="str">
            <v>本</v>
          </cell>
          <cell r="H3159">
            <v>44000</v>
          </cell>
          <cell r="J3159">
            <v>44000</v>
          </cell>
          <cell r="L3159">
            <v>44000</v>
          </cell>
          <cell r="N3159">
            <v>44000</v>
          </cell>
          <cell r="P3159">
            <v>44000</v>
          </cell>
          <cell r="R3159">
            <v>44000</v>
          </cell>
          <cell r="T3159">
            <v>44000</v>
          </cell>
          <cell r="V3159">
            <v>44000</v>
          </cell>
          <cell r="X3159">
            <v>44000</v>
          </cell>
          <cell r="Z3159">
            <v>44000</v>
          </cell>
          <cell r="AD3159">
            <v>0.9</v>
          </cell>
        </row>
        <row r="3160">
          <cell r="E3160" t="str">
            <v>側壁型 φ48.6～76.3 7m STK</v>
          </cell>
          <cell r="F3160" t="str">
            <v>本</v>
          </cell>
          <cell r="H3160">
            <v>48800</v>
          </cell>
          <cell r="J3160">
            <v>48800</v>
          </cell>
          <cell r="L3160">
            <v>48800</v>
          </cell>
          <cell r="N3160">
            <v>48800</v>
          </cell>
          <cell r="P3160">
            <v>48800</v>
          </cell>
          <cell r="R3160">
            <v>48800</v>
          </cell>
          <cell r="T3160">
            <v>48800</v>
          </cell>
          <cell r="V3160">
            <v>48800</v>
          </cell>
          <cell r="X3160">
            <v>48800</v>
          </cell>
          <cell r="Z3160">
            <v>48800</v>
          </cell>
          <cell r="AD3160">
            <v>1</v>
          </cell>
        </row>
        <row r="3161">
          <cell r="E3161" t="str">
            <v>側壁型 φ48.6～89.1 7m STK</v>
          </cell>
          <cell r="F3161" t="str">
            <v>本</v>
          </cell>
          <cell r="H3161">
            <v>52800</v>
          </cell>
          <cell r="J3161">
            <v>52800</v>
          </cell>
          <cell r="L3161">
            <v>52800</v>
          </cell>
          <cell r="N3161">
            <v>52800</v>
          </cell>
          <cell r="P3161">
            <v>52800</v>
          </cell>
          <cell r="R3161">
            <v>52800</v>
          </cell>
          <cell r="T3161">
            <v>52800</v>
          </cell>
          <cell r="V3161">
            <v>52800</v>
          </cell>
          <cell r="X3161">
            <v>52800</v>
          </cell>
          <cell r="Z3161">
            <v>52800</v>
          </cell>
          <cell r="AD3161">
            <v>1</v>
          </cell>
        </row>
        <row r="3162">
          <cell r="E3162" t="str">
            <v>支持管 自立型 φ60.5 4m STK</v>
          </cell>
          <cell r="F3162" t="str">
            <v>本</v>
          </cell>
          <cell r="H3162">
            <v>21300</v>
          </cell>
          <cell r="J3162">
            <v>21300</v>
          </cell>
          <cell r="L3162">
            <v>21300</v>
          </cell>
          <cell r="N3162">
            <v>21300</v>
          </cell>
          <cell r="P3162">
            <v>21300</v>
          </cell>
          <cell r="R3162">
            <v>21300</v>
          </cell>
          <cell r="T3162">
            <v>21300</v>
          </cell>
          <cell r="V3162">
            <v>21300</v>
          </cell>
          <cell r="X3162">
            <v>21300</v>
          </cell>
          <cell r="Z3162">
            <v>21300</v>
          </cell>
          <cell r="AD3162">
            <v>0.7</v>
          </cell>
        </row>
        <row r="3163">
          <cell r="E3163" t="str">
            <v>支持管 自立型 φ60.5 5m STK</v>
          </cell>
          <cell r="F3163" t="str">
            <v>本</v>
          </cell>
          <cell r="H3163">
            <v>23400</v>
          </cell>
          <cell r="J3163">
            <v>23400</v>
          </cell>
          <cell r="L3163">
            <v>23400</v>
          </cell>
          <cell r="N3163">
            <v>23400</v>
          </cell>
          <cell r="P3163">
            <v>23400</v>
          </cell>
          <cell r="R3163">
            <v>23400</v>
          </cell>
          <cell r="T3163">
            <v>23400</v>
          </cell>
          <cell r="V3163">
            <v>23400</v>
          </cell>
          <cell r="X3163">
            <v>23400</v>
          </cell>
          <cell r="Z3163">
            <v>23400</v>
          </cell>
          <cell r="AD3163">
            <v>0.8</v>
          </cell>
        </row>
        <row r="3164">
          <cell r="E3164" t="str">
            <v>支持管 自立型 φ76.3 5m STK</v>
          </cell>
          <cell r="F3164" t="str">
            <v>本</v>
          </cell>
          <cell r="H3164">
            <v>36900</v>
          </cell>
          <cell r="J3164">
            <v>36900</v>
          </cell>
          <cell r="L3164">
            <v>36900</v>
          </cell>
          <cell r="N3164">
            <v>36900</v>
          </cell>
          <cell r="P3164">
            <v>36900</v>
          </cell>
          <cell r="R3164">
            <v>36900</v>
          </cell>
          <cell r="T3164">
            <v>36900</v>
          </cell>
          <cell r="V3164">
            <v>36900</v>
          </cell>
          <cell r="X3164">
            <v>36900</v>
          </cell>
          <cell r="Z3164">
            <v>36900</v>
          </cell>
          <cell r="AD3164">
            <v>0.8</v>
          </cell>
        </row>
        <row r="3165">
          <cell r="E3165" t="str">
            <v>支持管 自立型 φ48.6～76.3 6m STK</v>
          </cell>
          <cell r="F3165" t="str">
            <v>本</v>
          </cell>
          <cell r="H3165">
            <v>41800</v>
          </cell>
          <cell r="J3165">
            <v>41800</v>
          </cell>
          <cell r="L3165">
            <v>41800</v>
          </cell>
          <cell r="N3165">
            <v>41800</v>
          </cell>
          <cell r="P3165">
            <v>41800</v>
          </cell>
          <cell r="R3165">
            <v>41800</v>
          </cell>
          <cell r="T3165">
            <v>41800</v>
          </cell>
          <cell r="V3165">
            <v>41800</v>
          </cell>
          <cell r="X3165">
            <v>41800</v>
          </cell>
          <cell r="Z3165">
            <v>41800</v>
          </cell>
          <cell r="AD3165">
            <v>0.9</v>
          </cell>
        </row>
        <row r="3166">
          <cell r="E3166" t="str">
            <v>支持管 自立型 φ60.5～89.1 6m STK</v>
          </cell>
          <cell r="F3166" t="str">
            <v>本</v>
          </cell>
          <cell r="H3166">
            <v>48200</v>
          </cell>
          <cell r="J3166">
            <v>48200</v>
          </cell>
          <cell r="L3166">
            <v>48200</v>
          </cell>
          <cell r="N3166">
            <v>48200</v>
          </cell>
          <cell r="P3166">
            <v>48200</v>
          </cell>
          <cell r="R3166">
            <v>48200</v>
          </cell>
          <cell r="T3166">
            <v>48200</v>
          </cell>
          <cell r="V3166">
            <v>48200</v>
          </cell>
          <cell r="X3166">
            <v>48200</v>
          </cell>
          <cell r="Z3166">
            <v>48200</v>
          </cell>
          <cell r="AD3166">
            <v>0.9</v>
          </cell>
        </row>
        <row r="3167">
          <cell r="E3167" t="str">
            <v>支持管 自立型 φ60.5～89.1 7m STK</v>
          </cell>
          <cell r="F3167" t="str">
            <v>本</v>
          </cell>
          <cell r="H3167">
            <v>52500</v>
          </cell>
          <cell r="J3167">
            <v>52500</v>
          </cell>
          <cell r="L3167">
            <v>52500</v>
          </cell>
          <cell r="N3167">
            <v>52500</v>
          </cell>
          <cell r="P3167">
            <v>52500</v>
          </cell>
          <cell r="R3167">
            <v>52500</v>
          </cell>
          <cell r="T3167">
            <v>52500</v>
          </cell>
          <cell r="V3167">
            <v>52500</v>
          </cell>
          <cell r="X3167">
            <v>52500</v>
          </cell>
          <cell r="Z3167">
            <v>52500</v>
          </cell>
          <cell r="AD3167">
            <v>1</v>
          </cell>
        </row>
        <row r="3168">
          <cell r="E3168" t="str">
            <v>支持管 自立型 φ76.3～101.6 7m STK</v>
          </cell>
          <cell r="F3168" t="str">
            <v>本</v>
          </cell>
          <cell r="H3168">
            <v>64600</v>
          </cell>
          <cell r="J3168">
            <v>64600</v>
          </cell>
          <cell r="L3168">
            <v>64600</v>
          </cell>
          <cell r="N3168">
            <v>64600</v>
          </cell>
          <cell r="P3168">
            <v>64600</v>
          </cell>
          <cell r="R3168">
            <v>64600</v>
          </cell>
          <cell r="T3168">
            <v>64600</v>
          </cell>
          <cell r="V3168">
            <v>64600</v>
          </cell>
          <cell r="X3168">
            <v>64600</v>
          </cell>
          <cell r="Z3168">
            <v>64600</v>
          </cell>
          <cell r="AD3168">
            <v>1.1000000000000001</v>
          </cell>
        </row>
        <row r="3169">
          <cell r="E3169" t="str">
            <v>支持管 自立型 φ76.3～101.6 8m STK</v>
          </cell>
          <cell r="F3169" t="str">
            <v>本</v>
          </cell>
          <cell r="H3169">
            <v>71000</v>
          </cell>
          <cell r="J3169">
            <v>71000</v>
          </cell>
          <cell r="L3169">
            <v>71000</v>
          </cell>
          <cell r="N3169">
            <v>71000</v>
          </cell>
          <cell r="P3169">
            <v>71000</v>
          </cell>
          <cell r="R3169">
            <v>71000</v>
          </cell>
          <cell r="T3169">
            <v>71000</v>
          </cell>
          <cell r="V3169">
            <v>71000</v>
          </cell>
          <cell r="X3169">
            <v>71000</v>
          </cell>
          <cell r="Z3169">
            <v>71000</v>
          </cell>
          <cell r="AD3169">
            <v>1.1000000000000001</v>
          </cell>
        </row>
        <row r="3170">
          <cell r="E3170" t="str">
            <v>支持管 自立型 φ76.3～114.3 8m STK</v>
          </cell>
          <cell r="F3170" t="str">
            <v>本</v>
          </cell>
          <cell r="H3170">
            <v>78100</v>
          </cell>
          <cell r="J3170">
            <v>78100</v>
          </cell>
          <cell r="L3170">
            <v>78100</v>
          </cell>
          <cell r="N3170">
            <v>78100</v>
          </cell>
          <cell r="P3170">
            <v>78100</v>
          </cell>
          <cell r="R3170">
            <v>78100</v>
          </cell>
          <cell r="T3170">
            <v>78100</v>
          </cell>
          <cell r="V3170">
            <v>78100</v>
          </cell>
          <cell r="X3170">
            <v>78100</v>
          </cell>
          <cell r="Z3170">
            <v>78100</v>
          </cell>
          <cell r="AD3170">
            <v>1.1000000000000001</v>
          </cell>
        </row>
        <row r="3171">
          <cell r="E3171" t="str">
            <v>支持管 自立型 アルミテーパーポール 10m</v>
          </cell>
          <cell r="F3171" t="str">
            <v>本</v>
          </cell>
          <cell r="H3171">
            <v>316000</v>
          </cell>
          <cell r="J3171">
            <v>316000</v>
          </cell>
          <cell r="L3171">
            <v>316000</v>
          </cell>
          <cell r="N3171">
            <v>316000</v>
          </cell>
          <cell r="P3171">
            <v>316000</v>
          </cell>
          <cell r="R3171">
            <v>316000</v>
          </cell>
          <cell r="T3171">
            <v>316000</v>
          </cell>
          <cell r="V3171">
            <v>316000</v>
          </cell>
          <cell r="X3171">
            <v>316000</v>
          </cell>
          <cell r="Z3171">
            <v>316000</v>
          </cell>
          <cell r="AD3171">
            <v>1.3</v>
          </cell>
        </row>
        <row r="3172">
          <cell r="E3172" t="str">
            <v>支持管 自立型 アルミテーパーポール 12m</v>
          </cell>
          <cell r="F3172" t="str">
            <v>本</v>
          </cell>
          <cell r="H3172">
            <v>361000</v>
          </cell>
          <cell r="J3172">
            <v>361000</v>
          </cell>
          <cell r="L3172">
            <v>361000</v>
          </cell>
          <cell r="N3172">
            <v>361000</v>
          </cell>
          <cell r="P3172">
            <v>361000</v>
          </cell>
          <cell r="R3172">
            <v>361000</v>
          </cell>
          <cell r="T3172">
            <v>361000</v>
          </cell>
          <cell r="V3172">
            <v>361000</v>
          </cell>
          <cell r="X3172">
            <v>361000</v>
          </cell>
          <cell r="Z3172">
            <v>361000</v>
          </cell>
          <cell r="AD3172">
            <v>1.5</v>
          </cell>
        </row>
        <row r="3173">
          <cell r="E3173" t="str">
            <v>支持管取付台 φ48.6用</v>
          </cell>
          <cell r="F3173" t="str">
            <v>台</v>
          </cell>
          <cell r="H3173">
            <v>22000</v>
          </cell>
          <cell r="J3173">
            <v>22000</v>
          </cell>
          <cell r="L3173">
            <v>22000</v>
          </cell>
          <cell r="N3173">
            <v>22000</v>
          </cell>
          <cell r="P3173">
            <v>22000</v>
          </cell>
          <cell r="R3173">
            <v>22000</v>
          </cell>
          <cell r="T3173">
            <v>22000</v>
          </cell>
          <cell r="V3173">
            <v>22000</v>
          </cell>
          <cell r="X3173">
            <v>22000</v>
          </cell>
          <cell r="Z3173">
            <v>22000</v>
          </cell>
          <cell r="AD3173">
            <v>0.05</v>
          </cell>
        </row>
        <row r="3174">
          <cell r="E3174" t="str">
            <v>支持管取付台 φ60.5用</v>
          </cell>
          <cell r="F3174" t="str">
            <v>台</v>
          </cell>
          <cell r="H3174">
            <v>24400</v>
          </cell>
          <cell r="J3174">
            <v>24400</v>
          </cell>
          <cell r="L3174">
            <v>24400</v>
          </cell>
          <cell r="N3174">
            <v>24400</v>
          </cell>
          <cell r="P3174">
            <v>24400</v>
          </cell>
          <cell r="R3174">
            <v>24400</v>
          </cell>
          <cell r="T3174">
            <v>24400</v>
          </cell>
          <cell r="V3174">
            <v>24400</v>
          </cell>
          <cell r="X3174">
            <v>24400</v>
          </cell>
          <cell r="Z3174">
            <v>24400</v>
          </cell>
          <cell r="AD3174">
            <v>0.05</v>
          </cell>
        </row>
        <row r="3175">
          <cell r="E3175" t="str">
            <v>支持管取付台 φ76.3用</v>
          </cell>
          <cell r="F3175" t="str">
            <v>台</v>
          </cell>
          <cell r="H3175">
            <v>30300</v>
          </cell>
          <cell r="J3175">
            <v>30300</v>
          </cell>
          <cell r="L3175">
            <v>30300</v>
          </cell>
          <cell r="N3175">
            <v>30300</v>
          </cell>
          <cell r="P3175">
            <v>30300</v>
          </cell>
          <cell r="R3175">
            <v>30300</v>
          </cell>
          <cell r="T3175">
            <v>30300</v>
          </cell>
          <cell r="V3175">
            <v>30300</v>
          </cell>
          <cell r="X3175">
            <v>30300</v>
          </cell>
          <cell r="Z3175">
            <v>30300</v>
          </cell>
          <cell r="AD3175">
            <v>0.05</v>
          </cell>
        </row>
        <row r="3176">
          <cell r="E3176" t="str">
            <v>支持管取付台 φ89.1用</v>
          </cell>
          <cell r="F3176" t="str">
            <v>台</v>
          </cell>
          <cell r="H3176">
            <v>35400</v>
          </cell>
          <cell r="J3176">
            <v>35400</v>
          </cell>
          <cell r="L3176">
            <v>35400</v>
          </cell>
          <cell r="N3176">
            <v>35400</v>
          </cell>
          <cell r="P3176">
            <v>35400</v>
          </cell>
          <cell r="R3176">
            <v>35400</v>
          </cell>
          <cell r="T3176">
            <v>35400</v>
          </cell>
          <cell r="V3176">
            <v>35400</v>
          </cell>
          <cell r="X3176">
            <v>35400</v>
          </cell>
          <cell r="Z3176">
            <v>35400</v>
          </cell>
          <cell r="AD3176">
            <v>0.05</v>
          </cell>
        </row>
        <row r="3177">
          <cell r="E3177" t="str">
            <v>支持管取付台 φ101.6用</v>
          </cell>
          <cell r="F3177" t="str">
            <v>台</v>
          </cell>
          <cell r="H3177">
            <v>39600</v>
          </cell>
          <cell r="J3177">
            <v>39600</v>
          </cell>
          <cell r="L3177">
            <v>39600</v>
          </cell>
          <cell r="N3177">
            <v>39600</v>
          </cell>
          <cell r="P3177">
            <v>39600</v>
          </cell>
          <cell r="R3177">
            <v>39600</v>
          </cell>
          <cell r="T3177">
            <v>39600</v>
          </cell>
          <cell r="V3177">
            <v>39600</v>
          </cell>
          <cell r="X3177">
            <v>39600</v>
          </cell>
          <cell r="Z3177">
            <v>39600</v>
          </cell>
          <cell r="AD3177">
            <v>0.05</v>
          </cell>
        </row>
        <row r="3178">
          <cell r="E3178" t="str">
            <v>導線引出金物 鉄骨用 黄銅製端子</v>
          </cell>
          <cell r="F3178" t="str">
            <v>個</v>
          </cell>
          <cell r="H3178">
            <v>2880</v>
          </cell>
          <cell r="J3178">
            <v>2880</v>
          </cell>
          <cell r="L3178">
            <v>2880</v>
          </cell>
          <cell r="N3178">
            <v>2880</v>
          </cell>
          <cell r="P3178">
            <v>2880</v>
          </cell>
          <cell r="R3178">
            <v>2880</v>
          </cell>
          <cell r="T3178">
            <v>2880</v>
          </cell>
          <cell r="V3178">
            <v>2880</v>
          </cell>
          <cell r="X3178">
            <v>2880</v>
          </cell>
          <cell r="Z3178">
            <v>2880</v>
          </cell>
          <cell r="AD3178">
            <v>0.05</v>
          </cell>
        </row>
        <row r="3179">
          <cell r="E3179" t="str">
            <v>接続端子 直線型</v>
          </cell>
          <cell r="F3179" t="str">
            <v>個</v>
          </cell>
          <cell r="H3179">
            <v>2270</v>
          </cell>
          <cell r="J3179">
            <v>2270</v>
          </cell>
          <cell r="L3179">
            <v>2270</v>
          </cell>
          <cell r="N3179">
            <v>2270</v>
          </cell>
          <cell r="P3179">
            <v>2270</v>
          </cell>
          <cell r="R3179">
            <v>2270</v>
          </cell>
          <cell r="T3179">
            <v>2270</v>
          </cell>
          <cell r="V3179">
            <v>2270</v>
          </cell>
          <cell r="X3179">
            <v>2270</v>
          </cell>
          <cell r="Z3179">
            <v>2270</v>
          </cell>
          <cell r="AD3179">
            <v>0.05</v>
          </cell>
        </row>
        <row r="3180">
          <cell r="E3180" t="str">
            <v>接続端子 Ｔ型</v>
          </cell>
          <cell r="F3180" t="str">
            <v>個</v>
          </cell>
          <cell r="H3180">
            <v>5390</v>
          </cell>
          <cell r="J3180">
            <v>5390</v>
          </cell>
          <cell r="L3180">
            <v>5390</v>
          </cell>
          <cell r="N3180">
            <v>5390</v>
          </cell>
          <cell r="P3180">
            <v>5390</v>
          </cell>
          <cell r="R3180">
            <v>5390</v>
          </cell>
          <cell r="T3180">
            <v>5390</v>
          </cell>
          <cell r="V3180">
            <v>5390</v>
          </cell>
          <cell r="X3180">
            <v>5390</v>
          </cell>
          <cell r="Z3180">
            <v>5390</v>
          </cell>
          <cell r="AD3180">
            <v>0.05</v>
          </cell>
        </row>
        <row r="3181">
          <cell r="E3181" t="str">
            <v>接続端子 十字型</v>
          </cell>
          <cell r="F3181" t="str">
            <v>個</v>
          </cell>
          <cell r="H3181">
            <v>7620</v>
          </cell>
          <cell r="J3181">
            <v>7620</v>
          </cell>
          <cell r="L3181">
            <v>7620</v>
          </cell>
          <cell r="N3181">
            <v>7620</v>
          </cell>
          <cell r="P3181">
            <v>7620</v>
          </cell>
          <cell r="R3181">
            <v>7620</v>
          </cell>
          <cell r="T3181">
            <v>7620</v>
          </cell>
          <cell r="V3181">
            <v>7620</v>
          </cell>
          <cell r="X3181">
            <v>7620</v>
          </cell>
          <cell r="Z3181">
            <v>7620</v>
          </cell>
          <cell r="AD3181">
            <v>0.05</v>
          </cell>
        </row>
        <row r="3182">
          <cell r="E3182" t="str">
            <v>接続端子 伸縮型</v>
          </cell>
          <cell r="F3182" t="str">
            <v>個</v>
          </cell>
          <cell r="H3182">
            <v>4130</v>
          </cell>
          <cell r="J3182">
            <v>4130</v>
          </cell>
          <cell r="L3182">
            <v>4130</v>
          </cell>
          <cell r="N3182">
            <v>4130</v>
          </cell>
          <cell r="P3182">
            <v>4130</v>
          </cell>
          <cell r="R3182">
            <v>4130</v>
          </cell>
          <cell r="T3182">
            <v>4130</v>
          </cell>
          <cell r="V3182">
            <v>4130</v>
          </cell>
          <cell r="X3182">
            <v>4130</v>
          </cell>
          <cell r="Z3182">
            <v>4130</v>
          </cell>
          <cell r="AD3182">
            <v>0.05</v>
          </cell>
        </row>
        <row r="3183">
          <cell r="E3183" t="str">
            <v>接続端子 水切型 パラペット</v>
          </cell>
          <cell r="F3183" t="str">
            <v>個</v>
          </cell>
          <cell r="H3183">
            <v>4000</v>
          </cell>
          <cell r="J3183">
            <v>4000</v>
          </cell>
          <cell r="L3183">
            <v>4000</v>
          </cell>
          <cell r="N3183">
            <v>4000</v>
          </cell>
          <cell r="P3183">
            <v>4000</v>
          </cell>
          <cell r="R3183">
            <v>4000</v>
          </cell>
          <cell r="T3183">
            <v>4000</v>
          </cell>
          <cell r="V3183">
            <v>4000</v>
          </cell>
          <cell r="X3183">
            <v>4000</v>
          </cell>
          <cell r="Z3183">
            <v>4000</v>
          </cell>
          <cell r="AD3183">
            <v>0.05</v>
          </cell>
        </row>
        <row r="3184">
          <cell r="E3184" t="str">
            <v>接続端子 水切型 ツバ付</v>
          </cell>
          <cell r="F3184" t="str">
            <v>個</v>
          </cell>
          <cell r="H3184">
            <v>1570</v>
          </cell>
          <cell r="J3184">
            <v>1570</v>
          </cell>
          <cell r="L3184">
            <v>1570</v>
          </cell>
          <cell r="N3184">
            <v>1570</v>
          </cell>
          <cell r="P3184">
            <v>1570</v>
          </cell>
          <cell r="R3184">
            <v>1570</v>
          </cell>
          <cell r="T3184">
            <v>1570</v>
          </cell>
          <cell r="V3184">
            <v>1570</v>
          </cell>
          <cell r="X3184">
            <v>1570</v>
          </cell>
          <cell r="Z3184">
            <v>1570</v>
          </cell>
          <cell r="AD3184">
            <v>0.05</v>
          </cell>
        </row>
        <row r="3185">
          <cell r="E3185" t="str">
            <v>避雷接地用端子箱 TB-AF1 埋込形</v>
          </cell>
          <cell r="F3185" t="str">
            <v>面</v>
          </cell>
          <cell r="H3185">
            <v>30300</v>
          </cell>
          <cell r="J3185">
            <v>30300</v>
          </cell>
          <cell r="L3185">
            <v>30300</v>
          </cell>
          <cell r="N3185">
            <v>30300</v>
          </cell>
          <cell r="P3185">
            <v>30300</v>
          </cell>
          <cell r="R3185">
            <v>30300</v>
          </cell>
          <cell r="T3185">
            <v>30300</v>
          </cell>
          <cell r="V3185">
            <v>30300</v>
          </cell>
          <cell r="X3185">
            <v>30300</v>
          </cell>
          <cell r="Z3185">
            <v>30300</v>
          </cell>
          <cell r="AD3185">
            <v>0.25</v>
          </cell>
        </row>
        <row r="3186">
          <cell r="E3186" t="str">
            <v>避雷接地用端子箱 TB-AF1A 埋込形</v>
          </cell>
          <cell r="F3186" t="str">
            <v>面</v>
          </cell>
          <cell r="H3186">
            <v>40000</v>
          </cell>
          <cell r="J3186">
            <v>40000</v>
          </cell>
          <cell r="L3186">
            <v>40000</v>
          </cell>
          <cell r="N3186">
            <v>40000</v>
          </cell>
          <cell r="P3186">
            <v>40000</v>
          </cell>
          <cell r="R3186">
            <v>40000</v>
          </cell>
          <cell r="T3186">
            <v>40000</v>
          </cell>
          <cell r="V3186">
            <v>40000</v>
          </cell>
          <cell r="X3186">
            <v>40000</v>
          </cell>
          <cell r="Z3186">
            <v>40000</v>
          </cell>
          <cell r="AD3186">
            <v>0.44</v>
          </cell>
        </row>
        <row r="3187">
          <cell r="E3187" t="str">
            <v>避雷接地用端子箱 TB-AFY 埋込形</v>
          </cell>
          <cell r="F3187" t="str">
            <v>面</v>
          </cell>
          <cell r="H3187">
            <v>40800</v>
          </cell>
          <cell r="J3187">
            <v>40800</v>
          </cell>
          <cell r="L3187">
            <v>40800</v>
          </cell>
          <cell r="N3187">
            <v>40800</v>
          </cell>
          <cell r="P3187">
            <v>40800</v>
          </cell>
          <cell r="R3187">
            <v>40800</v>
          </cell>
          <cell r="T3187">
            <v>40800</v>
          </cell>
          <cell r="V3187">
            <v>40800</v>
          </cell>
          <cell r="X3187">
            <v>40800</v>
          </cell>
          <cell r="Z3187">
            <v>40800</v>
          </cell>
          <cell r="AD3187">
            <v>0.44</v>
          </cell>
        </row>
        <row r="3188">
          <cell r="E3188" t="str">
            <v>避雷接地用端子箱 TB-AF2 埋込形</v>
          </cell>
          <cell r="F3188" t="str">
            <v>面</v>
          </cell>
          <cell r="H3188">
            <v>42300</v>
          </cell>
          <cell r="J3188">
            <v>42300</v>
          </cell>
          <cell r="L3188">
            <v>42300</v>
          </cell>
          <cell r="N3188">
            <v>42300</v>
          </cell>
          <cell r="P3188">
            <v>42300</v>
          </cell>
          <cell r="R3188">
            <v>42300</v>
          </cell>
          <cell r="T3188">
            <v>42300</v>
          </cell>
          <cell r="V3188">
            <v>42300</v>
          </cell>
          <cell r="X3188">
            <v>42300</v>
          </cell>
          <cell r="Z3188">
            <v>42300</v>
          </cell>
          <cell r="AD3188">
            <v>0.6</v>
          </cell>
        </row>
        <row r="3189">
          <cell r="E3189" t="str">
            <v>避雷接地用端子箱 TB-AF2A 埋込形</v>
          </cell>
          <cell r="F3189" t="str">
            <v>面</v>
          </cell>
          <cell r="H3189">
            <v>50000</v>
          </cell>
          <cell r="J3189">
            <v>50000</v>
          </cell>
          <cell r="L3189">
            <v>50000</v>
          </cell>
          <cell r="N3189">
            <v>50000</v>
          </cell>
          <cell r="P3189">
            <v>50000</v>
          </cell>
          <cell r="R3189">
            <v>50000</v>
          </cell>
          <cell r="T3189">
            <v>50000</v>
          </cell>
          <cell r="V3189">
            <v>50000</v>
          </cell>
          <cell r="X3189">
            <v>50000</v>
          </cell>
          <cell r="Z3189">
            <v>50000</v>
          </cell>
          <cell r="AD3189">
            <v>0.6</v>
          </cell>
        </row>
        <row r="3190">
          <cell r="E3190" t="str">
            <v>避雷接地用端子箱 TB-AS1 露出形</v>
          </cell>
          <cell r="F3190" t="str">
            <v>面</v>
          </cell>
          <cell r="H3190">
            <v>30300</v>
          </cell>
          <cell r="J3190">
            <v>30300</v>
          </cell>
          <cell r="L3190">
            <v>30300</v>
          </cell>
          <cell r="N3190">
            <v>30300</v>
          </cell>
          <cell r="P3190">
            <v>30300</v>
          </cell>
          <cell r="R3190">
            <v>30300</v>
          </cell>
          <cell r="T3190">
            <v>30300</v>
          </cell>
          <cell r="V3190">
            <v>30300</v>
          </cell>
          <cell r="X3190">
            <v>30300</v>
          </cell>
          <cell r="Z3190">
            <v>30300</v>
          </cell>
          <cell r="AD3190">
            <v>0.25</v>
          </cell>
        </row>
        <row r="3191">
          <cell r="E3191" t="str">
            <v>避雷接地用端子箱 TB-AS1A 露出形</v>
          </cell>
          <cell r="F3191" t="str">
            <v>面</v>
          </cell>
          <cell r="H3191">
            <v>40000</v>
          </cell>
          <cell r="J3191">
            <v>40000</v>
          </cell>
          <cell r="L3191">
            <v>40000</v>
          </cell>
          <cell r="N3191">
            <v>40000</v>
          </cell>
          <cell r="P3191">
            <v>40000</v>
          </cell>
          <cell r="R3191">
            <v>40000</v>
          </cell>
          <cell r="T3191">
            <v>40000</v>
          </cell>
          <cell r="V3191">
            <v>40000</v>
          </cell>
          <cell r="X3191">
            <v>40000</v>
          </cell>
          <cell r="Z3191">
            <v>40000</v>
          </cell>
          <cell r="AD3191">
            <v>0.44</v>
          </cell>
        </row>
        <row r="3192">
          <cell r="E3192" t="str">
            <v>避雷接地用端子箱 TB-ASY 露出形</v>
          </cell>
          <cell r="F3192" t="str">
            <v>面</v>
          </cell>
          <cell r="H3192">
            <v>40800</v>
          </cell>
          <cell r="J3192">
            <v>40800</v>
          </cell>
          <cell r="L3192">
            <v>40800</v>
          </cell>
          <cell r="N3192">
            <v>40800</v>
          </cell>
          <cell r="P3192">
            <v>40800</v>
          </cell>
          <cell r="R3192">
            <v>40800</v>
          </cell>
          <cell r="T3192">
            <v>40800</v>
          </cell>
          <cell r="V3192">
            <v>40800</v>
          </cell>
          <cell r="X3192">
            <v>40800</v>
          </cell>
          <cell r="Z3192">
            <v>40800</v>
          </cell>
          <cell r="AD3192">
            <v>0.44</v>
          </cell>
        </row>
        <row r="3193">
          <cell r="E3193" t="str">
            <v>避雷接地用端子箱 TB-AS2 露出形</v>
          </cell>
          <cell r="F3193" t="str">
            <v>面</v>
          </cell>
          <cell r="H3193">
            <v>42300</v>
          </cell>
          <cell r="J3193">
            <v>42300</v>
          </cell>
          <cell r="L3193">
            <v>42300</v>
          </cell>
          <cell r="N3193">
            <v>42300</v>
          </cell>
          <cell r="P3193">
            <v>42300</v>
          </cell>
          <cell r="R3193">
            <v>42300</v>
          </cell>
          <cell r="T3193">
            <v>42300</v>
          </cell>
          <cell r="V3193">
            <v>42300</v>
          </cell>
          <cell r="X3193">
            <v>42300</v>
          </cell>
          <cell r="Z3193">
            <v>42300</v>
          </cell>
          <cell r="AD3193">
            <v>0.6</v>
          </cell>
        </row>
        <row r="3194">
          <cell r="E3194" t="str">
            <v>避雷接地用端子箱 TB-AS2A 露出形</v>
          </cell>
          <cell r="F3194" t="str">
            <v>面</v>
          </cell>
          <cell r="H3194">
            <v>50000</v>
          </cell>
          <cell r="J3194">
            <v>50000</v>
          </cell>
          <cell r="L3194">
            <v>50000</v>
          </cell>
          <cell r="N3194">
            <v>50000</v>
          </cell>
          <cell r="P3194">
            <v>50000</v>
          </cell>
          <cell r="R3194">
            <v>50000</v>
          </cell>
          <cell r="T3194">
            <v>50000</v>
          </cell>
          <cell r="V3194">
            <v>50000</v>
          </cell>
          <cell r="X3194">
            <v>50000</v>
          </cell>
          <cell r="Z3194">
            <v>50000</v>
          </cell>
          <cell r="AD3194">
            <v>0.6</v>
          </cell>
        </row>
        <row r="3195">
          <cell r="E3195" t="str">
            <v>避雷接地用端子箱 TB-SG1 埋込形</v>
          </cell>
          <cell r="F3195" t="str">
            <v>面</v>
          </cell>
          <cell r="H3195">
            <v>33100</v>
          </cell>
          <cell r="J3195">
            <v>33100</v>
          </cell>
          <cell r="L3195">
            <v>33100</v>
          </cell>
          <cell r="N3195">
            <v>33100</v>
          </cell>
          <cell r="P3195">
            <v>33100</v>
          </cell>
          <cell r="R3195">
            <v>33100</v>
          </cell>
          <cell r="T3195">
            <v>33100</v>
          </cell>
          <cell r="V3195">
            <v>33100</v>
          </cell>
          <cell r="X3195">
            <v>33100</v>
          </cell>
          <cell r="Z3195">
            <v>33100</v>
          </cell>
          <cell r="AD3195">
            <v>0.25</v>
          </cell>
        </row>
        <row r="3196">
          <cell r="E3196" t="str">
            <v>避雷接地用端子箱 TB-SG1A 埋込形</v>
          </cell>
          <cell r="F3196" t="str">
            <v>面</v>
          </cell>
          <cell r="H3196">
            <v>41500</v>
          </cell>
          <cell r="J3196">
            <v>41500</v>
          </cell>
          <cell r="L3196">
            <v>41500</v>
          </cell>
          <cell r="N3196">
            <v>41500</v>
          </cell>
          <cell r="P3196">
            <v>41500</v>
          </cell>
          <cell r="R3196">
            <v>41500</v>
          </cell>
          <cell r="T3196">
            <v>41500</v>
          </cell>
          <cell r="V3196">
            <v>41500</v>
          </cell>
          <cell r="X3196">
            <v>41500</v>
          </cell>
          <cell r="Z3196">
            <v>41500</v>
          </cell>
          <cell r="AD3196">
            <v>0.44</v>
          </cell>
        </row>
        <row r="3197">
          <cell r="E3197" t="str">
            <v>避雷接地用端子箱 TB-SGY 埋込形</v>
          </cell>
          <cell r="F3197" t="str">
            <v>面</v>
          </cell>
          <cell r="H3197">
            <v>42900</v>
          </cell>
          <cell r="J3197">
            <v>42900</v>
          </cell>
          <cell r="L3197">
            <v>42900</v>
          </cell>
          <cell r="N3197">
            <v>42900</v>
          </cell>
          <cell r="P3197">
            <v>42900</v>
          </cell>
          <cell r="R3197">
            <v>42900</v>
          </cell>
          <cell r="T3197">
            <v>42900</v>
          </cell>
          <cell r="V3197">
            <v>42900</v>
          </cell>
          <cell r="X3197">
            <v>42900</v>
          </cell>
          <cell r="Z3197">
            <v>42900</v>
          </cell>
          <cell r="AD3197">
            <v>0.44</v>
          </cell>
        </row>
        <row r="3198">
          <cell r="E3198" t="str">
            <v>避雷接地用端子箱 TB-SG2 埋込形</v>
          </cell>
          <cell r="F3198" t="str">
            <v>面</v>
          </cell>
          <cell r="H3198">
            <v>46200</v>
          </cell>
          <cell r="J3198">
            <v>46200</v>
          </cell>
          <cell r="L3198">
            <v>46200</v>
          </cell>
          <cell r="N3198">
            <v>46200</v>
          </cell>
          <cell r="P3198">
            <v>46200</v>
          </cell>
          <cell r="R3198">
            <v>46200</v>
          </cell>
          <cell r="T3198">
            <v>46200</v>
          </cell>
          <cell r="V3198">
            <v>46200</v>
          </cell>
          <cell r="X3198">
            <v>46200</v>
          </cell>
          <cell r="Z3198">
            <v>46200</v>
          </cell>
          <cell r="AD3198">
            <v>0.6</v>
          </cell>
        </row>
        <row r="3199">
          <cell r="E3199" t="str">
            <v>避雷接地用端子箱 TB-SG2A 埋込形</v>
          </cell>
          <cell r="F3199" t="str">
            <v>面</v>
          </cell>
          <cell r="H3199">
            <v>53200</v>
          </cell>
          <cell r="J3199">
            <v>53200</v>
          </cell>
          <cell r="L3199">
            <v>53200</v>
          </cell>
          <cell r="N3199">
            <v>53200</v>
          </cell>
          <cell r="P3199">
            <v>53200</v>
          </cell>
          <cell r="R3199">
            <v>53200</v>
          </cell>
          <cell r="T3199">
            <v>53200</v>
          </cell>
          <cell r="V3199">
            <v>53200</v>
          </cell>
          <cell r="X3199">
            <v>53200</v>
          </cell>
          <cell r="Z3199">
            <v>53200</v>
          </cell>
          <cell r="AD3199">
            <v>0.6</v>
          </cell>
        </row>
        <row r="3200">
          <cell r="E3200" t="str">
            <v>避雷接地用端子箱 TB-ST1 露出形</v>
          </cell>
          <cell r="F3200" t="str">
            <v>面</v>
          </cell>
          <cell r="H3200">
            <v>33100</v>
          </cell>
          <cell r="J3200">
            <v>33100</v>
          </cell>
          <cell r="L3200">
            <v>33100</v>
          </cell>
          <cell r="N3200">
            <v>33100</v>
          </cell>
          <cell r="P3200">
            <v>33100</v>
          </cell>
          <cell r="R3200">
            <v>33100</v>
          </cell>
          <cell r="T3200">
            <v>33100</v>
          </cell>
          <cell r="V3200">
            <v>33100</v>
          </cell>
          <cell r="X3200">
            <v>33100</v>
          </cell>
          <cell r="Z3200">
            <v>33100</v>
          </cell>
          <cell r="AD3200">
            <v>0.25</v>
          </cell>
        </row>
        <row r="3201">
          <cell r="E3201" t="str">
            <v>避雷接地用端子箱 TB-ST1A 露出形</v>
          </cell>
          <cell r="F3201" t="str">
            <v>面</v>
          </cell>
          <cell r="H3201">
            <v>41500</v>
          </cell>
          <cell r="J3201">
            <v>41500</v>
          </cell>
          <cell r="L3201">
            <v>41500</v>
          </cell>
          <cell r="N3201">
            <v>41500</v>
          </cell>
          <cell r="P3201">
            <v>41500</v>
          </cell>
          <cell r="R3201">
            <v>41500</v>
          </cell>
          <cell r="T3201">
            <v>41500</v>
          </cell>
          <cell r="V3201">
            <v>41500</v>
          </cell>
          <cell r="X3201">
            <v>41500</v>
          </cell>
          <cell r="Z3201">
            <v>41500</v>
          </cell>
          <cell r="AD3201">
            <v>0.44</v>
          </cell>
        </row>
        <row r="3202">
          <cell r="E3202" t="str">
            <v>避雷接地用端子箱 TB-STY 露出形</v>
          </cell>
          <cell r="F3202" t="str">
            <v>面</v>
          </cell>
          <cell r="H3202">
            <v>42900</v>
          </cell>
          <cell r="J3202">
            <v>42900</v>
          </cell>
          <cell r="L3202">
            <v>42900</v>
          </cell>
          <cell r="N3202">
            <v>42900</v>
          </cell>
          <cell r="P3202">
            <v>42900</v>
          </cell>
          <cell r="R3202">
            <v>42900</v>
          </cell>
          <cell r="T3202">
            <v>42900</v>
          </cell>
          <cell r="V3202">
            <v>42900</v>
          </cell>
          <cell r="X3202">
            <v>42900</v>
          </cell>
          <cell r="Z3202">
            <v>42900</v>
          </cell>
          <cell r="AD3202">
            <v>0.44</v>
          </cell>
        </row>
        <row r="3203">
          <cell r="E3203" t="str">
            <v>避雷接地用端子箱 TB-ST2 露出形</v>
          </cell>
          <cell r="F3203" t="str">
            <v>面</v>
          </cell>
          <cell r="H3203">
            <v>46200</v>
          </cell>
          <cell r="J3203">
            <v>46200</v>
          </cell>
          <cell r="L3203">
            <v>46200</v>
          </cell>
          <cell r="N3203">
            <v>46200</v>
          </cell>
          <cell r="P3203">
            <v>46200</v>
          </cell>
          <cell r="R3203">
            <v>46200</v>
          </cell>
          <cell r="T3203">
            <v>46200</v>
          </cell>
          <cell r="V3203">
            <v>46200</v>
          </cell>
          <cell r="X3203">
            <v>46200</v>
          </cell>
          <cell r="Z3203">
            <v>46200</v>
          </cell>
          <cell r="AD3203">
            <v>0.6</v>
          </cell>
        </row>
        <row r="3204">
          <cell r="E3204" t="str">
            <v>避雷接地用端子箱 TB-ST2A 露出形</v>
          </cell>
          <cell r="F3204" t="str">
            <v>面</v>
          </cell>
          <cell r="H3204">
            <v>53200</v>
          </cell>
          <cell r="J3204">
            <v>53200</v>
          </cell>
          <cell r="L3204">
            <v>53200</v>
          </cell>
          <cell r="N3204">
            <v>53200</v>
          </cell>
          <cell r="P3204">
            <v>53200</v>
          </cell>
          <cell r="R3204">
            <v>53200</v>
          </cell>
          <cell r="T3204">
            <v>53200</v>
          </cell>
          <cell r="V3204">
            <v>53200</v>
          </cell>
          <cell r="X3204">
            <v>53200</v>
          </cell>
          <cell r="Z3204">
            <v>53200</v>
          </cell>
          <cell r="AD3204">
            <v>0.6</v>
          </cell>
        </row>
        <row r="3205">
          <cell r="E3205" t="str">
            <v>接地極埋設標示板 国交省型 黄銅製</v>
          </cell>
          <cell r="F3205" t="str">
            <v>枚</v>
          </cell>
          <cell r="H3205">
            <v>900</v>
          </cell>
          <cell r="J3205">
            <v>900</v>
          </cell>
          <cell r="L3205">
            <v>900</v>
          </cell>
          <cell r="N3205">
            <v>900</v>
          </cell>
          <cell r="P3205">
            <v>900</v>
          </cell>
          <cell r="R3205">
            <v>900</v>
          </cell>
          <cell r="T3205">
            <v>900</v>
          </cell>
          <cell r="V3205">
            <v>900</v>
          </cell>
          <cell r="X3205">
            <v>900</v>
          </cell>
          <cell r="Z3205">
            <v>900</v>
          </cell>
          <cell r="AD3205">
            <v>0.4</v>
          </cell>
        </row>
        <row r="3206">
          <cell r="E3206" t="str">
            <v>接地極埋設標示板 国交省型 SUS製</v>
          </cell>
          <cell r="F3206" t="str">
            <v>枚</v>
          </cell>
          <cell r="H3206">
            <v>1100</v>
          </cell>
          <cell r="J3206">
            <v>1100</v>
          </cell>
          <cell r="L3206">
            <v>1100</v>
          </cell>
          <cell r="N3206">
            <v>1100</v>
          </cell>
          <cell r="P3206">
            <v>1100</v>
          </cell>
          <cell r="R3206">
            <v>1100</v>
          </cell>
          <cell r="T3206">
            <v>1100</v>
          </cell>
          <cell r="V3206">
            <v>1100</v>
          </cell>
          <cell r="X3206">
            <v>1100</v>
          </cell>
          <cell r="Z3206">
            <v>1100</v>
          </cell>
          <cell r="AD3206">
            <v>0.4</v>
          </cell>
        </row>
        <row r="3207">
          <cell r="E3207" t="str">
            <v>接地極埋設標示板 都再機構型 黄銅製</v>
          </cell>
          <cell r="F3207" t="str">
            <v>枚</v>
          </cell>
          <cell r="H3207">
            <v>910</v>
          </cell>
          <cell r="J3207">
            <v>910</v>
          </cell>
          <cell r="L3207">
            <v>910</v>
          </cell>
          <cell r="N3207">
            <v>910</v>
          </cell>
          <cell r="P3207">
            <v>910</v>
          </cell>
          <cell r="R3207">
            <v>910</v>
          </cell>
          <cell r="T3207">
            <v>910</v>
          </cell>
          <cell r="V3207">
            <v>910</v>
          </cell>
          <cell r="X3207">
            <v>910</v>
          </cell>
          <cell r="Z3207">
            <v>910</v>
          </cell>
          <cell r="AD3207">
            <v>0.4</v>
          </cell>
        </row>
        <row r="3208">
          <cell r="E3208" t="str">
            <v>接地極埋設標示板 NTT型 黄銅製</v>
          </cell>
          <cell r="F3208" t="str">
            <v>枚</v>
          </cell>
          <cell r="H3208">
            <v>1700</v>
          </cell>
          <cell r="J3208">
            <v>1700</v>
          </cell>
          <cell r="L3208">
            <v>1700</v>
          </cell>
          <cell r="N3208">
            <v>1700</v>
          </cell>
          <cell r="P3208">
            <v>1700</v>
          </cell>
          <cell r="R3208">
            <v>1700</v>
          </cell>
          <cell r="T3208">
            <v>1700</v>
          </cell>
          <cell r="V3208">
            <v>1700</v>
          </cell>
          <cell r="X3208">
            <v>1700</v>
          </cell>
          <cell r="Z3208">
            <v>1700</v>
          </cell>
          <cell r="AD3208">
            <v>0.4</v>
          </cell>
        </row>
        <row r="3209">
          <cell r="E3209" t="str">
            <v>接地極銅板 600角 黄銅ロウ付</v>
          </cell>
          <cell r="F3209" t="str">
            <v>枚</v>
          </cell>
          <cell r="H3209">
            <v>15400</v>
          </cell>
          <cell r="J3209">
            <v>15400</v>
          </cell>
          <cell r="L3209">
            <v>15400</v>
          </cell>
          <cell r="N3209">
            <v>15400</v>
          </cell>
          <cell r="P3209">
            <v>15400</v>
          </cell>
          <cell r="R3209">
            <v>15400</v>
          </cell>
          <cell r="T3209">
            <v>15400</v>
          </cell>
          <cell r="V3209">
            <v>15400</v>
          </cell>
          <cell r="X3209">
            <v>15400</v>
          </cell>
          <cell r="Z3209">
            <v>15400</v>
          </cell>
          <cell r="AD3209">
            <v>2.0259999999999998</v>
          </cell>
        </row>
        <row r="3210">
          <cell r="E3210" t="str">
            <v>接地極銅板 900角 黄銅ロウ付</v>
          </cell>
          <cell r="F3210" t="str">
            <v>枚</v>
          </cell>
          <cell r="H3210">
            <v>21000</v>
          </cell>
          <cell r="J3210">
            <v>21000</v>
          </cell>
          <cell r="L3210">
            <v>21000</v>
          </cell>
          <cell r="N3210">
            <v>21000</v>
          </cell>
          <cell r="P3210">
            <v>21000</v>
          </cell>
          <cell r="R3210">
            <v>21000</v>
          </cell>
          <cell r="T3210">
            <v>21000</v>
          </cell>
          <cell r="V3210">
            <v>21000</v>
          </cell>
          <cell r="X3210">
            <v>21000</v>
          </cell>
          <cell r="Z3210">
            <v>21000</v>
          </cell>
          <cell r="AD3210">
            <v>3.7330000000000001</v>
          </cell>
        </row>
        <row r="3211">
          <cell r="E3211" t="str">
            <v>接地極銅板 900角 テルミット２点溶接</v>
          </cell>
          <cell r="F3211" t="str">
            <v>枚</v>
          </cell>
          <cell r="H3211">
            <v>19000</v>
          </cell>
          <cell r="J3211">
            <v>19000</v>
          </cell>
          <cell r="L3211">
            <v>19000</v>
          </cell>
          <cell r="N3211">
            <v>19000</v>
          </cell>
          <cell r="P3211">
            <v>19000</v>
          </cell>
          <cell r="R3211">
            <v>19000</v>
          </cell>
          <cell r="T3211">
            <v>19000</v>
          </cell>
          <cell r="V3211">
            <v>19000</v>
          </cell>
          <cell r="X3211">
            <v>19000</v>
          </cell>
          <cell r="Z3211">
            <v>19000</v>
          </cell>
          <cell r="AD3211">
            <v>3.7330000000000001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別表"/>
      <sheetName val="提出"/>
      <sheetName val="原価"/>
      <sheetName val="引込"/>
      <sheetName val="受変"/>
      <sheetName val="発電"/>
      <sheetName val="S3"/>
      <sheetName val="S5"/>
      <sheetName val="Help"/>
    </sheetNames>
    <sheetDataSet>
      <sheetData sheetId="0">
        <row r="11">
          <cell r="DC11" t="str">
            <v>(1) イ</v>
          </cell>
        </row>
        <row r="54">
          <cell r="I54" t="str">
            <v>A</v>
          </cell>
        </row>
      </sheetData>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引込"/>
      <sheetName val="受変"/>
      <sheetName val="発電"/>
      <sheetName val="S3"/>
      <sheetName val="S5"/>
    </sheetNames>
    <sheetDataSet>
      <sheetData sheetId="0">
        <row r="5">
          <cell r="BD5" t="str">
            <v>X=3m</v>
          </cell>
        </row>
        <row r="7">
          <cell r="AJ7">
            <v>65</v>
          </cell>
          <cell r="AP7">
            <v>4</v>
          </cell>
          <cell r="AV7">
            <v>64.8</v>
          </cell>
          <cell r="BD7" t="str">
            <v>Y=3m</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低幹"/>
      <sheetName val="動配"/>
      <sheetName val="照差"/>
      <sheetName val="RECS-3"/>
    </sheetNames>
    <definedNames>
      <definedName name="階高" refersTo="='照差'!$CR$234:$DC$253"/>
    </definedNames>
    <sheetDataSet>
      <sheetData sheetId="0"/>
      <sheetData sheetId="1"/>
      <sheetData sheetId="2">
        <row r="234">
          <cell r="CR234" t="str">
            <v xml:space="preserve"> B2F</v>
          </cell>
          <cell r="CS234">
            <v>4.5</v>
          </cell>
          <cell r="CT234">
            <v>4.5</v>
          </cell>
          <cell r="CU234">
            <v>0</v>
          </cell>
          <cell r="CV234">
            <v>9</v>
          </cell>
          <cell r="CW234">
            <v>9</v>
          </cell>
          <cell r="CX234">
            <v>9</v>
          </cell>
          <cell r="CY234">
            <v>0</v>
          </cell>
          <cell r="CZ234">
            <v>0</v>
          </cell>
          <cell r="DA234">
            <v>36</v>
          </cell>
          <cell r="DB234">
            <v>18</v>
          </cell>
          <cell r="DC234" t="str">
            <v>⑦</v>
          </cell>
        </row>
        <row r="235">
          <cell r="CR235" t="str">
            <v xml:space="preserve"> B1F</v>
          </cell>
          <cell r="CS235">
            <v>4.5</v>
          </cell>
          <cell r="CT235">
            <v>9</v>
          </cell>
          <cell r="CU235">
            <v>0</v>
          </cell>
          <cell r="CV235">
            <v>4.5</v>
          </cell>
          <cell r="CW235">
            <v>13.5</v>
          </cell>
          <cell r="CX235">
            <v>4.5</v>
          </cell>
          <cell r="CY235">
            <v>0</v>
          </cell>
          <cell r="CZ235">
            <v>0</v>
          </cell>
          <cell r="DA235">
            <v>36</v>
          </cell>
          <cell r="DB235">
            <v>18</v>
          </cell>
          <cell r="DC235" t="str">
            <v>⑦</v>
          </cell>
        </row>
        <row r="236">
          <cell r="CR236" t="str">
            <v xml:space="preserve">  1F</v>
          </cell>
          <cell r="CS236">
            <v>4.95</v>
          </cell>
          <cell r="CT236">
            <v>13.95</v>
          </cell>
          <cell r="CU236">
            <v>0</v>
          </cell>
          <cell r="CV236">
            <v>0</v>
          </cell>
          <cell r="CW236">
            <v>0</v>
          </cell>
          <cell r="CX236">
            <v>0</v>
          </cell>
          <cell r="CY236">
            <v>1</v>
          </cell>
          <cell r="CZ236">
            <v>1</v>
          </cell>
          <cell r="DA236">
            <v>36</v>
          </cell>
          <cell r="DB236">
            <v>27</v>
          </cell>
          <cell r="DC236" t="str">
            <v>⑦</v>
          </cell>
        </row>
        <row r="237">
          <cell r="CR237" t="str">
            <v xml:space="preserve">  2F</v>
          </cell>
          <cell r="CS237">
            <v>4.2</v>
          </cell>
          <cell r="CT237">
            <v>18.149999999999999</v>
          </cell>
          <cell r="CU237">
            <v>4.2</v>
          </cell>
          <cell r="CV237">
            <v>0</v>
          </cell>
          <cell r="CW237">
            <v>0</v>
          </cell>
          <cell r="CX237">
            <v>4.2</v>
          </cell>
          <cell r="CY237">
            <v>1</v>
          </cell>
          <cell r="CZ237">
            <v>2</v>
          </cell>
          <cell r="DA237">
            <v>36</v>
          </cell>
          <cell r="DB237">
            <v>27</v>
          </cell>
          <cell r="DC237" t="str">
            <v>⑦</v>
          </cell>
        </row>
        <row r="238">
          <cell r="CR238" t="str">
            <v xml:space="preserve">  3F</v>
          </cell>
          <cell r="CS238">
            <v>4</v>
          </cell>
          <cell r="CT238">
            <v>22.15</v>
          </cell>
          <cell r="CU238">
            <v>4</v>
          </cell>
          <cell r="CV238">
            <v>0</v>
          </cell>
          <cell r="CW238">
            <v>0</v>
          </cell>
          <cell r="CX238">
            <v>8.1999999999999993</v>
          </cell>
          <cell r="CY238">
            <v>1</v>
          </cell>
          <cell r="CZ238">
            <v>3</v>
          </cell>
          <cell r="DA238">
            <v>24</v>
          </cell>
          <cell r="DB238">
            <v>12</v>
          </cell>
          <cell r="DC238" t="str">
            <v>⑦</v>
          </cell>
        </row>
        <row r="239">
          <cell r="CR239" t="str">
            <v xml:space="preserve">  4F</v>
          </cell>
          <cell r="CS239">
            <v>4</v>
          </cell>
          <cell r="CT239">
            <v>26.15</v>
          </cell>
          <cell r="CU239">
            <v>4</v>
          </cell>
          <cell r="CV239">
            <v>0</v>
          </cell>
          <cell r="CW239">
            <v>0</v>
          </cell>
          <cell r="CX239">
            <v>12.2</v>
          </cell>
          <cell r="CY239">
            <v>1</v>
          </cell>
          <cell r="CZ239">
            <v>4</v>
          </cell>
          <cell r="DA239">
            <v>24</v>
          </cell>
          <cell r="DB239">
            <v>12</v>
          </cell>
          <cell r="DC239" t="str">
            <v>⑦</v>
          </cell>
        </row>
        <row r="240">
          <cell r="CR240" t="str">
            <v xml:space="preserve">  5F</v>
          </cell>
          <cell r="CS240">
            <v>4</v>
          </cell>
          <cell r="CT240">
            <v>30.15</v>
          </cell>
          <cell r="CU240">
            <v>4</v>
          </cell>
          <cell r="CV240">
            <v>0</v>
          </cell>
          <cell r="CW240">
            <v>0</v>
          </cell>
          <cell r="CX240">
            <v>16.2</v>
          </cell>
          <cell r="CY240">
            <v>1</v>
          </cell>
          <cell r="CZ240">
            <v>5</v>
          </cell>
          <cell r="DA240">
            <v>24</v>
          </cell>
          <cell r="DB240">
            <v>12</v>
          </cell>
          <cell r="DC240" t="str">
            <v>⑦</v>
          </cell>
        </row>
        <row r="241">
          <cell r="CR241" t="str">
            <v xml:space="preserve">  6F</v>
          </cell>
          <cell r="CS241">
            <v>4</v>
          </cell>
          <cell r="CT241">
            <v>34.15</v>
          </cell>
          <cell r="CU241">
            <v>4</v>
          </cell>
          <cell r="CV241">
            <v>0</v>
          </cell>
          <cell r="CW241">
            <v>0</v>
          </cell>
          <cell r="CX241">
            <v>20.2</v>
          </cell>
          <cell r="CY241">
            <v>1</v>
          </cell>
          <cell r="CZ241">
            <v>6</v>
          </cell>
          <cell r="DA241">
            <v>24</v>
          </cell>
          <cell r="DB241">
            <v>12</v>
          </cell>
          <cell r="DC241" t="str">
            <v>⑦</v>
          </cell>
        </row>
        <row r="242">
          <cell r="CR242" t="str">
            <v xml:space="preserve">  7F</v>
          </cell>
          <cell r="CS242">
            <v>4</v>
          </cell>
          <cell r="CT242">
            <v>38.15</v>
          </cell>
          <cell r="CU242">
            <v>4</v>
          </cell>
          <cell r="CV242">
            <v>0</v>
          </cell>
          <cell r="CW242">
            <v>0</v>
          </cell>
          <cell r="CX242">
            <v>24.2</v>
          </cell>
          <cell r="CY242">
            <v>1</v>
          </cell>
          <cell r="CZ242">
            <v>7</v>
          </cell>
          <cell r="DA242">
            <v>24</v>
          </cell>
          <cell r="DB242">
            <v>12</v>
          </cell>
          <cell r="DC242" t="str">
            <v>⑦</v>
          </cell>
        </row>
        <row r="243">
          <cell r="CR243" t="str">
            <v xml:space="preserve">  8F</v>
          </cell>
          <cell r="CS243">
            <v>4</v>
          </cell>
          <cell r="CT243">
            <v>42.15</v>
          </cell>
          <cell r="CU243">
            <v>4</v>
          </cell>
          <cell r="CV243">
            <v>0</v>
          </cell>
          <cell r="CW243">
            <v>0</v>
          </cell>
          <cell r="CX243">
            <v>28.2</v>
          </cell>
          <cell r="CY243">
            <v>1</v>
          </cell>
          <cell r="CZ243">
            <v>8</v>
          </cell>
          <cell r="DA243">
            <v>24</v>
          </cell>
          <cell r="DB243">
            <v>12</v>
          </cell>
          <cell r="DC243" t="str">
            <v>⑦</v>
          </cell>
        </row>
        <row r="244">
          <cell r="CR244" t="str">
            <v xml:space="preserve">  9F</v>
          </cell>
          <cell r="CS244">
            <v>4</v>
          </cell>
          <cell r="CT244">
            <v>46.15</v>
          </cell>
          <cell r="CU244">
            <v>4</v>
          </cell>
          <cell r="CV244">
            <v>0</v>
          </cell>
          <cell r="CW244">
            <v>0</v>
          </cell>
          <cell r="CX244">
            <v>32.200000000000003</v>
          </cell>
          <cell r="CY244">
            <v>1</v>
          </cell>
          <cell r="CZ244">
            <v>9</v>
          </cell>
          <cell r="DA244">
            <v>24</v>
          </cell>
          <cell r="DB244">
            <v>12</v>
          </cell>
          <cell r="DC244" t="str">
            <v>⑦</v>
          </cell>
        </row>
        <row r="245">
          <cell r="CR245" t="str">
            <v xml:space="preserve"> 10F</v>
          </cell>
          <cell r="CS245">
            <v>4</v>
          </cell>
          <cell r="CT245">
            <v>50.15</v>
          </cell>
          <cell r="CU245">
            <v>4</v>
          </cell>
          <cell r="CV245">
            <v>0</v>
          </cell>
          <cell r="CW245">
            <v>0</v>
          </cell>
          <cell r="CX245">
            <v>36.200000000000003</v>
          </cell>
          <cell r="CY245">
            <v>1</v>
          </cell>
          <cell r="CZ245">
            <v>10</v>
          </cell>
          <cell r="DA245">
            <v>24</v>
          </cell>
          <cell r="DB245">
            <v>12</v>
          </cell>
          <cell r="DC245" t="str">
            <v>⑦</v>
          </cell>
        </row>
        <row r="246">
          <cell r="CR246" t="str">
            <v xml:space="preserve"> 11F</v>
          </cell>
          <cell r="CS246">
            <v>4</v>
          </cell>
          <cell r="CT246">
            <v>54.15</v>
          </cell>
          <cell r="CU246">
            <v>4</v>
          </cell>
          <cell r="CV246">
            <v>0</v>
          </cell>
          <cell r="CW246">
            <v>0</v>
          </cell>
          <cell r="CX246">
            <v>40.200000000000003</v>
          </cell>
          <cell r="CY246">
            <v>1</v>
          </cell>
          <cell r="CZ246">
            <v>11</v>
          </cell>
          <cell r="DA246">
            <v>24</v>
          </cell>
          <cell r="DB246">
            <v>12</v>
          </cell>
          <cell r="DC246" t="str">
            <v>⑦</v>
          </cell>
        </row>
        <row r="247">
          <cell r="CR247" t="str">
            <v xml:space="preserve"> 12F</v>
          </cell>
          <cell r="CS247">
            <v>4</v>
          </cell>
          <cell r="CT247">
            <v>58.15</v>
          </cell>
          <cell r="CU247">
            <v>4</v>
          </cell>
          <cell r="CV247">
            <v>0</v>
          </cell>
          <cell r="CW247">
            <v>0</v>
          </cell>
          <cell r="CX247">
            <v>44.2</v>
          </cell>
          <cell r="CY247">
            <v>1</v>
          </cell>
          <cell r="CZ247">
            <v>12</v>
          </cell>
          <cell r="DA247">
            <v>24</v>
          </cell>
          <cell r="DB247">
            <v>12</v>
          </cell>
          <cell r="DC247" t="str">
            <v>⑦</v>
          </cell>
        </row>
        <row r="248">
          <cell r="CR248" t="str">
            <v>PH1F</v>
          </cell>
          <cell r="CS248">
            <v>4.5</v>
          </cell>
          <cell r="CT248">
            <v>62.65</v>
          </cell>
          <cell r="CU248">
            <v>0</v>
          </cell>
          <cell r="CV248">
            <v>0</v>
          </cell>
          <cell r="CW248">
            <v>0</v>
          </cell>
          <cell r="CX248">
            <v>44.2</v>
          </cell>
          <cell r="CY248">
            <v>0</v>
          </cell>
          <cell r="CZ248">
            <v>12</v>
          </cell>
          <cell r="DA248">
            <v>6</v>
          </cell>
          <cell r="DB248">
            <v>12</v>
          </cell>
          <cell r="DC248" t="str">
            <v>⑦</v>
          </cell>
        </row>
        <row r="249">
          <cell r="CR249" t="str">
            <v>PH2F</v>
          </cell>
          <cell r="CS249">
            <v>4.5</v>
          </cell>
          <cell r="CT249">
            <v>67.150000000000006</v>
          </cell>
          <cell r="CU249">
            <v>0</v>
          </cell>
          <cell r="CV249">
            <v>0</v>
          </cell>
          <cell r="CW249">
            <v>0</v>
          </cell>
          <cell r="CX249">
            <v>44.2</v>
          </cell>
          <cell r="CY249">
            <v>0</v>
          </cell>
          <cell r="CZ249">
            <v>12</v>
          </cell>
          <cell r="DA249">
            <v>6</v>
          </cell>
          <cell r="DB249">
            <v>12</v>
          </cell>
          <cell r="DC249" t="str">
            <v>⑦</v>
          </cell>
        </row>
        <row r="250">
          <cell r="CR250" t="str">
            <v/>
          </cell>
          <cell r="CS250">
            <v>0</v>
          </cell>
          <cell r="CT250">
            <v>67.150000000000006</v>
          </cell>
          <cell r="CU250">
            <v>0</v>
          </cell>
          <cell r="CV250">
            <v>0</v>
          </cell>
          <cell r="CW250">
            <v>0</v>
          </cell>
          <cell r="CX250">
            <v>0</v>
          </cell>
          <cell r="CY250">
            <v>1</v>
          </cell>
          <cell r="CZ250">
            <v>13</v>
          </cell>
          <cell r="DA250">
            <v>0</v>
          </cell>
          <cell r="DB250">
            <v>0</v>
          </cell>
          <cell r="DC250" t="str">
            <v/>
          </cell>
        </row>
        <row r="251">
          <cell r="CR251" t="str">
            <v/>
          </cell>
          <cell r="CS251">
            <v>0</v>
          </cell>
          <cell r="CT251">
            <v>67.150000000000006</v>
          </cell>
          <cell r="CU251">
            <v>0</v>
          </cell>
          <cell r="CV251">
            <v>0</v>
          </cell>
          <cell r="CW251">
            <v>0</v>
          </cell>
          <cell r="CX251">
            <v>0</v>
          </cell>
          <cell r="CY251">
            <v>1</v>
          </cell>
          <cell r="CZ251">
            <v>14</v>
          </cell>
          <cell r="DA251">
            <v>0</v>
          </cell>
          <cell r="DB251">
            <v>0</v>
          </cell>
          <cell r="DC251" t="str">
            <v/>
          </cell>
        </row>
        <row r="252">
          <cell r="CR252" t="str">
            <v/>
          </cell>
          <cell r="CS252">
            <v>0</v>
          </cell>
          <cell r="CT252">
            <v>67.150000000000006</v>
          </cell>
          <cell r="CU252">
            <v>0</v>
          </cell>
          <cell r="CV252">
            <v>0</v>
          </cell>
          <cell r="CW252">
            <v>0</v>
          </cell>
          <cell r="CX252">
            <v>0</v>
          </cell>
          <cell r="CY252">
            <v>1</v>
          </cell>
          <cell r="CZ252">
            <v>15</v>
          </cell>
          <cell r="DA252">
            <v>0</v>
          </cell>
          <cell r="DB252">
            <v>0</v>
          </cell>
          <cell r="DC252" t="str">
            <v/>
          </cell>
        </row>
        <row r="253">
          <cell r="CR253" t="str">
            <v/>
          </cell>
          <cell r="CS253">
            <v>0</v>
          </cell>
          <cell r="CT253">
            <v>67.150000000000006</v>
          </cell>
          <cell r="CU253">
            <v>0</v>
          </cell>
          <cell r="CV253">
            <v>0</v>
          </cell>
          <cell r="CW253">
            <v>0</v>
          </cell>
          <cell r="CX253">
            <v>0</v>
          </cell>
          <cell r="CY253">
            <v>1</v>
          </cell>
          <cell r="CZ253">
            <v>16</v>
          </cell>
          <cell r="DA253">
            <v>0</v>
          </cell>
          <cell r="DB253">
            <v>0</v>
          </cell>
          <cell r="DC253" t="str">
            <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別表"/>
      <sheetName val="提出"/>
      <sheetName val="原価"/>
      <sheetName val="Help"/>
      <sheetName val="引込"/>
      <sheetName val="受変"/>
      <sheetName val="発電"/>
      <sheetName val="S3"/>
      <sheetName val="S5"/>
      <sheetName val="低幹"/>
      <sheetName val="動配"/>
      <sheetName val="照差"/>
    </sheetNames>
    <sheetDataSet>
      <sheetData sheetId="0" refreshError="1">
        <row r="15">
          <cell r="BH15" t="str">
            <v>近畿</v>
          </cell>
        </row>
        <row r="86">
          <cell r="AV86">
            <v>11</v>
          </cell>
          <cell r="BA86" t="str">
            <v xml:space="preserve"> 構内電話設備工事</v>
          </cell>
        </row>
        <row r="87">
          <cell r="AV87">
            <v>12</v>
          </cell>
          <cell r="BA87" t="str">
            <v xml:space="preserve"> 構内放送設備工事</v>
          </cell>
        </row>
        <row r="90">
          <cell r="AV90">
            <v>13</v>
          </cell>
          <cell r="BA90" t="str">
            <v xml:space="preserve"> テレビ共聴設備工事</v>
          </cell>
        </row>
        <row r="99">
          <cell r="G99">
            <v>8</v>
          </cell>
          <cell r="L99" t="str">
            <v xml:space="preserve"> 非常照明・誘導灯設備工事</v>
          </cell>
        </row>
        <row r="101">
          <cell r="G101">
            <v>9</v>
          </cell>
          <cell r="L101" t="str">
            <v xml:space="preserve"> 自火報防排煙設備工事</v>
          </cell>
        </row>
        <row r="102">
          <cell r="G102">
            <v>10</v>
          </cell>
          <cell r="L102" t="str">
            <v xml:space="preserve"> 雷保護設備工事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H7" t="str">
            <v>⑦</v>
          </cell>
        </row>
        <row r="126">
          <cell r="W126" t="str">
            <v>⑦</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別表"/>
      <sheetName val="提出"/>
      <sheetName val="原価"/>
      <sheetName val="Help"/>
    </sheetNames>
    <sheetDataSet>
      <sheetData sheetId="0">
        <row r="18">
          <cell r="AN18" t="str">
            <v>耐 火</v>
          </cell>
        </row>
        <row r="24">
          <cell r="BO24" t="str">
            <v>無窓</v>
          </cell>
        </row>
        <row r="26">
          <cell r="BO26" t="str">
            <v>無窓</v>
          </cell>
        </row>
        <row r="45">
          <cell r="AA45">
            <v>1152</v>
          </cell>
        </row>
        <row r="51">
          <cell r="BD51"/>
          <cell r="BL51"/>
        </row>
        <row r="72">
          <cell r="AK72" t="str">
            <v>要</v>
          </cell>
          <cell r="BB72" t="str">
            <v>要</v>
          </cell>
          <cell r="BD72" t="str">
            <v>要</v>
          </cell>
          <cell r="BF72" t="str">
            <v>－</v>
          </cell>
        </row>
        <row r="75">
          <cell r="CV75">
            <v>1</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低幹"/>
      <sheetName val="動配"/>
      <sheetName val="照差"/>
      <sheetName val="RECS-3"/>
    </sheetNames>
    <definedNames>
      <definedName name="階高" refersTo="='照差'!$CR$234:$DC$253"/>
    </definedNames>
    <sheetDataSet>
      <sheetData sheetId="0"/>
      <sheetData sheetId="1"/>
      <sheetData sheetId="2">
        <row r="7">
          <cell r="BH7" t="str">
            <v>⑦</v>
          </cell>
        </row>
        <row r="16">
          <cell r="I16" t="str">
            <v>( 15)</v>
          </cell>
          <cell r="M16" t="str">
            <v>前各項以外</v>
          </cell>
        </row>
        <row r="17">
          <cell r="K17">
            <v>0.72727272727272729</v>
          </cell>
          <cell r="W17" t="str">
            <v>⑦</v>
          </cell>
        </row>
        <row r="18">
          <cell r="C18" t="str">
            <v xml:space="preserve"> B2F</v>
          </cell>
          <cell r="G18">
            <v>5</v>
          </cell>
          <cell r="J18" t="str">
            <v>直天</v>
          </cell>
          <cell r="M18">
            <v>3168</v>
          </cell>
          <cell r="Q18">
            <v>2534.4</v>
          </cell>
          <cell r="U18">
            <v>633.59999999999991</v>
          </cell>
          <cell r="Y18">
            <v>34</v>
          </cell>
          <cell r="AB18">
            <v>32</v>
          </cell>
        </row>
        <row r="23">
          <cell r="I23" t="str">
            <v>(13)イ</v>
          </cell>
          <cell r="M23" t="str">
            <v>車庫等</v>
          </cell>
        </row>
        <row r="24">
          <cell r="K24">
            <v>0.72727272727272729</v>
          </cell>
        </row>
        <row r="25">
          <cell r="C25" t="str">
            <v xml:space="preserve"> B1F</v>
          </cell>
          <cell r="G25">
            <v>5</v>
          </cell>
          <cell r="J25">
            <v>3</v>
          </cell>
          <cell r="M25">
            <v>3168</v>
          </cell>
          <cell r="Q25">
            <v>2851.2</v>
          </cell>
          <cell r="U25">
            <v>316.80000000000018</v>
          </cell>
          <cell r="Y25">
            <v>6</v>
          </cell>
          <cell r="AB25">
            <v>16</v>
          </cell>
        </row>
        <row r="30">
          <cell r="I30" t="str">
            <v>( 4 )</v>
          </cell>
          <cell r="M30" t="str">
            <v>百貨店等</v>
          </cell>
        </row>
        <row r="31">
          <cell r="K31">
            <v>0.94339622641509435</v>
          </cell>
        </row>
        <row r="32">
          <cell r="J32">
            <v>3</v>
          </cell>
          <cell r="M32">
            <v>3816</v>
          </cell>
          <cell r="Q32">
            <v>2671.2</v>
          </cell>
          <cell r="U32">
            <v>1144.8000000000002</v>
          </cell>
          <cell r="Y32">
            <v>9</v>
          </cell>
          <cell r="AB32">
            <v>29</v>
          </cell>
        </row>
        <row r="37">
          <cell r="I37" t="str">
            <v>(3) イ</v>
          </cell>
          <cell r="M37" t="str">
            <v>料理店等</v>
          </cell>
        </row>
        <row r="38">
          <cell r="K38">
            <v>0.94339622641509435</v>
          </cell>
          <cell r="W38" t="str">
            <v>⑦</v>
          </cell>
        </row>
        <row r="39">
          <cell r="C39" t="str">
            <v xml:space="preserve">  2F</v>
          </cell>
          <cell r="G39">
            <v>4</v>
          </cell>
          <cell r="J39">
            <v>3</v>
          </cell>
          <cell r="M39">
            <v>3816</v>
          </cell>
          <cell r="Q39">
            <v>2289.6</v>
          </cell>
          <cell r="U39">
            <v>1526.4</v>
          </cell>
          <cell r="Y39">
            <v>16</v>
          </cell>
          <cell r="AB39">
            <v>39</v>
          </cell>
        </row>
        <row r="44">
          <cell r="I44" t="str">
            <v>( 4 )</v>
          </cell>
          <cell r="M44" t="str">
            <v>百貨店等</v>
          </cell>
        </row>
        <row r="45">
          <cell r="K45">
            <v>0.94339622641509435</v>
          </cell>
          <cell r="W45" t="str">
            <v>⑦</v>
          </cell>
        </row>
        <row r="46">
          <cell r="C46" t="str">
            <v xml:space="preserve">  3F</v>
          </cell>
          <cell r="G46">
            <v>4</v>
          </cell>
          <cell r="J46">
            <v>3</v>
          </cell>
          <cell r="M46">
            <v>3816</v>
          </cell>
          <cell r="Q46">
            <v>2671.2</v>
          </cell>
          <cell r="U46">
            <v>1144.8000000000002</v>
          </cell>
          <cell r="Y46">
            <v>9</v>
          </cell>
          <cell r="AB46">
            <v>29</v>
          </cell>
        </row>
        <row r="51">
          <cell r="I51" t="str">
            <v>( 4 )</v>
          </cell>
          <cell r="M51" t="str">
            <v>百貨店等</v>
          </cell>
        </row>
        <row r="52">
          <cell r="K52">
            <v>0.5</v>
          </cell>
          <cell r="W52" t="str">
            <v>⑦</v>
          </cell>
        </row>
        <row r="53">
          <cell r="C53" t="str">
            <v xml:space="preserve">  4F</v>
          </cell>
          <cell r="G53">
            <v>4</v>
          </cell>
          <cell r="J53">
            <v>3</v>
          </cell>
          <cell r="M53">
            <v>1152</v>
          </cell>
          <cell r="Q53">
            <v>806.4</v>
          </cell>
          <cell r="U53">
            <v>345.6</v>
          </cell>
          <cell r="Y53">
            <v>3</v>
          </cell>
          <cell r="AB53">
            <v>9</v>
          </cell>
        </row>
        <row r="58">
          <cell r="I58" t="str">
            <v>( 4 )</v>
          </cell>
          <cell r="M58" t="str">
            <v>百貨店等</v>
          </cell>
        </row>
        <row r="59">
          <cell r="K59">
            <v>0.5</v>
          </cell>
        </row>
        <row r="60">
          <cell r="C60" t="str">
            <v xml:space="preserve">  5F</v>
          </cell>
          <cell r="G60">
            <v>4</v>
          </cell>
          <cell r="J60">
            <v>3</v>
          </cell>
          <cell r="M60">
            <v>1152</v>
          </cell>
          <cell r="Q60">
            <v>806.4</v>
          </cell>
          <cell r="U60">
            <v>345.6</v>
          </cell>
          <cell r="Y60">
            <v>3</v>
          </cell>
          <cell r="AB60">
            <v>9</v>
          </cell>
        </row>
        <row r="65">
          <cell r="I65" t="str">
            <v>( 4 )</v>
          </cell>
          <cell r="M65" t="str">
            <v>百貨店等</v>
          </cell>
        </row>
        <row r="66">
          <cell r="K66">
            <v>0.5</v>
          </cell>
          <cell r="W66" t="str">
            <v>⑦</v>
          </cell>
        </row>
        <row r="67">
          <cell r="C67" t="str">
            <v xml:space="preserve">  6F</v>
          </cell>
          <cell r="G67">
            <v>4</v>
          </cell>
          <cell r="J67">
            <v>3</v>
          </cell>
          <cell r="M67">
            <v>1152</v>
          </cell>
          <cell r="Q67">
            <v>806.4</v>
          </cell>
          <cell r="U67">
            <v>345.6</v>
          </cell>
          <cell r="Y67">
            <v>3</v>
          </cell>
          <cell r="AB67">
            <v>9</v>
          </cell>
        </row>
        <row r="72">
          <cell r="I72" t="str">
            <v>( 4 )</v>
          </cell>
          <cell r="M72" t="str">
            <v>百貨店等</v>
          </cell>
        </row>
        <row r="73">
          <cell r="K73">
            <v>0.5</v>
          </cell>
          <cell r="W73" t="str">
            <v>⑦</v>
          </cell>
        </row>
        <row r="74">
          <cell r="C74" t="str">
            <v xml:space="preserve">  7F</v>
          </cell>
          <cell r="G74">
            <v>4</v>
          </cell>
          <cell r="J74">
            <v>3</v>
          </cell>
          <cell r="M74">
            <v>1152</v>
          </cell>
          <cell r="Q74">
            <v>806.4</v>
          </cell>
          <cell r="U74">
            <v>345.6</v>
          </cell>
          <cell r="Y74">
            <v>3</v>
          </cell>
          <cell r="AB74">
            <v>9</v>
          </cell>
        </row>
        <row r="83">
          <cell r="I83" t="str">
            <v>( 4 )</v>
          </cell>
          <cell r="M83" t="str">
            <v>百貨店等</v>
          </cell>
        </row>
        <row r="84">
          <cell r="K84">
            <v>0.5</v>
          </cell>
          <cell r="W84" t="str">
            <v>⑦</v>
          </cell>
        </row>
        <row r="85">
          <cell r="C85" t="str">
            <v xml:space="preserve">  8F</v>
          </cell>
          <cell r="G85">
            <v>4</v>
          </cell>
          <cell r="J85">
            <v>3</v>
          </cell>
          <cell r="M85">
            <v>1152</v>
          </cell>
          <cell r="Q85">
            <v>806.4</v>
          </cell>
          <cell r="U85">
            <v>345.6</v>
          </cell>
          <cell r="Y85">
            <v>3</v>
          </cell>
          <cell r="AB85">
            <v>9</v>
          </cell>
        </row>
        <row r="90">
          <cell r="I90" t="str">
            <v>( 4 )</v>
          </cell>
          <cell r="M90" t="str">
            <v>百貨店等</v>
          </cell>
        </row>
        <row r="91">
          <cell r="K91">
            <v>0.5</v>
          </cell>
          <cell r="W91" t="str">
            <v>⑦</v>
          </cell>
        </row>
        <row r="92">
          <cell r="C92" t="str">
            <v xml:space="preserve">  9F</v>
          </cell>
          <cell r="G92">
            <v>4</v>
          </cell>
          <cell r="J92">
            <v>3</v>
          </cell>
          <cell r="M92">
            <v>1152</v>
          </cell>
          <cell r="Q92">
            <v>806.4</v>
          </cell>
          <cell r="U92">
            <v>345.6</v>
          </cell>
          <cell r="Y92">
            <v>3</v>
          </cell>
          <cell r="AB92">
            <v>9</v>
          </cell>
        </row>
        <row r="97">
          <cell r="I97" t="str">
            <v>( 4 )</v>
          </cell>
          <cell r="M97" t="str">
            <v>百貨店等</v>
          </cell>
        </row>
        <row r="98">
          <cell r="K98">
            <v>0.5</v>
          </cell>
          <cell r="W98" t="str">
            <v>⑦</v>
          </cell>
        </row>
        <row r="99">
          <cell r="C99" t="str">
            <v xml:space="preserve"> 10F</v>
          </cell>
          <cell r="G99">
            <v>4</v>
          </cell>
          <cell r="J99">
            <v>3</v>
          </cell>
          <cell r="M99">
            <v>1152</v>
          </cell>
          <cell r="Q99">
            <v>806.4</v>
          </cell>
          <cell r="U99">
            <v>345.6</v>
          </cell>
          <cell r="Y99">
            <v>3</v>
          </cell>
          <cell r="AB99">
            <v>9</v>
          </cell>
        </row>
        <row r="104">
          <cell r="I104" t="str">
            <v>( 4 )</v>
          </cell>
          <cell r="M104" t="str">
            <v>百貨店等</v>
          </cell>
        </row>
        <row r="105">
          <cell r="K105">
            <v>0.5</v>
          </cell>
          <cell r="W105" t="str">
            <v>⑦</v>
          </cell>
        </row>
        <row r="106">
          <cell r="C106" t="str">
            <v xml:space="preserve"> 11F</v>
          </cell>
          <cell r="G106">
            <v>4</v>
          </cell>
          <cell r="J106">
            <v>3</v>
          </cell>
          <cell r="M106">
            <v>1152</v>
          </cell>
          <cell r="Q106">
            <v>806.4</v>
          </cell>
          <cell r="U106">
            <v>345.6</v>
          </cell>
          <cell r="Y106">
            <v>3</v>
          </cell>
          <cell r="AB106">
            <v>9</v>
          </cell>
        </row>
        <row r="111">
          <cell r="I111" t="str">
            <v>(3) イ</v>
          </cell>
          <cell r="M111" t="str">
            <v>料理店等</v>
          </cell>
        </row>
        <row r="112">
          <cell r="K112">
            <v>0.5</v>
          </cell>
          <cell r="W112" t="str">
            <v>⑦</v>
          </cell>
        </row>
        <row r="113">
          <cell r="C113" t="str">
            <v xml:space="preserve"> 12F</v>
          </cell>
          <cell r="G113">
            <v>4</v>
          </cell>
          <cell r="J113">
            <v>3</v>
          </cell>
          <cell r="M113">
            <v>1152</v>
          </cell>
          <cell r="Q113">
            <v>691.2</v>
          </cell>
          <cell r="U113">
            <v>460.79999999999995</v>
          </cell>
          <cell r="Y113">
            <v>5</v>
          </cell>
          <cell r="AB113">
            <v>12</v>
          </cell>
        </row>
        <row r="118">
          <cell r="I118" t="str">
            <v>( 15)</v>
          </cell>
          <cell r="M118" t="str">
            <v>前各項以外</v>
          </cell>
        </row>
        <row r="119">
          <cell r="K119">
            <v>0.7142857142857143</v>
          </cell>
          <cell r="W119" t="str">
            <v>⑦</v>
          </cell>
        </row>
        <row r="120">
          <cell r="C120" t="str">
            <v>PH1F</v>
          </cell>
          <cell r="G120">
            <v>4</v>
          </cell>
          <cell r="J120" t="str">
            <v>直天</v>
          </cell>
          <cell r="M120">
            <v>140</v>
          </cell>
          <cell r="Q120" t="str">
            <v/>
          </cell>
          <cell r="U120">
            <v>140</v>
          </cell>
          <cell r="Y120" t="str">
            <v/>
          </cell>
          <cell r="AB120">
            <v>8</v>
          </cell>
        </row>
        <row r="125">
          <cell r="I125" t="str">
            <v>( 15)</v>
          </cell>
          <cell r="M125" t="str">
            <v>前各項以外</v>
          </cell>
        </row>
        <row r="126">
          <cell r="K126">
            <v>0.7142857142857143</v>
          </cell>
        </row>
        <row r="127">
          <cell r="C127" t="str">
            <v>PH2F</v>
          </cell>
          <cell r="G127">
            <v>4</v>
          </cell>
          <cell r="J127" t="str">
            <v>直天</v>
          </cell>
          <cell r="M127">
            <v>140</v>
          </cell>
          <cell r="Q127" t="str">
            <v/>
          </cell>
          <cell r="U127">
            <v>140</v>
          </cell>
          <cell r="Y127" t="str">
            <v/>
          </cell>
          <cell r="AB127">
            <v>8</v>
          </cell>
        </row>
        <row r="132">
          <cell r="I132" t="str">
            <v/>
          </cell>
          <cell r="M132" t="str">
            <v/>
          </cell>
        </row>
        <row r="133">
          <cell r="K133" t="str">
            <v/>
          </cell>
          <cell r="W133" t="str">
            <v/>
          </cell>
        </row>
        <row r="134">
          <cell r="C134" t="str">
            <v/>
          </cell>
          <cell r="G134" t="str">
            <v/>
          </cell>
          <cell r="J134" t="str">
            <v/>
          </cell>
          <cell r="M134" t="str">
            <v/>
          </cell>
          <cell r="Q134" t="str">
            <v/>
          </cell>
          <cell r="U134" t="str">
            <v/>
          </cell>
          <cell r="Y134" t="str">
            <v/>
          </cell>
          <cell r="AB134" t="str">
            <v/>
          </cell>
        </row>
        <row r="139">
          <cell r="I139" t="str">
            <v/>
          </cell>
          <cell r="M139" t="str">
            <v/>
          </cell>
        </row>
        <row r="140">
          <cell r="K140" t="str">
            <v/>
          </cell>
          <cell r="W140" t="str">
            <v/>
          </cell>
        </row>
        <row r="141">
          <cell r="C141" t="str">
            <v/>
          </cell>
          <cell r="G141" t="str">
            <v/>
          </cell>
          <cell r="J141" t="str">
            <v/>
          </cell>
          <cell r="M141" t="str">
            <v/>
          </cell>
          <cell r="Q141" t="str">
            <v/>
          </cell>
          <cell r="U141" t="str">
            <v/>
          </cell>
          <cell r="Y141" t="str">
            <v/>
          </cell>
          <cell r="AB141" t="str">
            <v/>
          </cell>
        </row>
        <row r="146">
          <cell r="I146" t="str">
            <v/>
          </cell>
          <cell r="M146" t="str">
            <v/>
          </cell>
        </row>
        <row r="147">
          <cell r="K147" t="str">
            <v/>
          </cell>
          <cell r="W147" t="str">
            <v/>
          </cell>
        </row>
        <row r="148">
          <cell r="C148" t="str">
            <v/>
          </cell>
          <cell r="G148" t="str">
            <v/>
          </cell>
          <cell r="J148" t="str">
            <v/>
          </cell>
          <cell r="M148" t="str">
            <v/>
          </cell>
          <cell r="Q148" t="str">
            <v/>
          </cell>
          <cell r="U148" t="str">
            <v/>
          </cell>
          <cell r="Y148" t="str">
            <v/>
          </cell>
          <cell r="AB148" t="str">
            <v/>
          </cell>
        </row>
        <row r="157">
          <cell r="I157" t="str">
            <v/>
          </cell>
          <cell r="M157" t="str">
            <v/>
          </cell>
        </row>
        <row r="158">
          <cell r="K158" t="str">
            <v/>
          </cell>
          <cell r="W158" t="str">
            <v/>
          </cell>
        </row>
        <row r="159">
          <cell r="C159" t="str">
            <v/>
          </cell>
          <cell r="G159" t="str">
            <v/>
          </cell>
          <cell r="J159" t="str">
            <v/>
          </cell>
          <cell r="M159" t="str">
            <v/>
          </cell>
          <cell r="Q159" t="str">
            <v/>
          </cell>
          <cell r="U159" t="str">
            <v/>
          </cell>
          <cell r="Y159" t="str">
            <v/>
          </cell>
          <cell r="AB159" t="str">
            <v/>
          </cell>
        </row>
        <row r="234">
          <cell r="CR234" t="str">
            <v xml:space="preserve"> B2F</v>
          </cell>
          <cell r="CS234">
            <v>5</v>
          </cell>
          <cell r="CT234">
            <v>0</v>
          </cell>
          <cell r="CU234">
            <v>0</v>
          </cell>
          <cell r="CV234">
            <v>10</v>
          </cell>
          <cell r="CW234">
            <v>10</v>
          </cell>
          <cell r="CX234">
            <v>10</v>
          </cell>
          <cell r="CY234">
            <v>0</v>
          </cell>
          <cell r="CZ234">
            <v>0</v>
          </cell>
          <cell r="DA234">
            <v>24</v>
          </cell>
          <cell r="DB234">
            <v>33</v>
          </cell>
          <cell r="DC234" t="str">
            <v>⑦</v>
          </cell>
        </row>
        <row r="235">
          <cell r="CR235" t="str">
            <v xml:space="preserve"> B1F</v>
          </cell>
          <cell r="CS235">
            <v>5</v>
          </cell>
          <cell r="CT235">
            <v>10</v>
          </cell>
          <cell r="CU235">
            <v>0</v>
          </cell>
          <cell r="CV235">
            <v>5</v>
          </cell>
          <cell r="CW235">
            <v>15</v>
          </cell>
          <cell r="CX235">
            <v>5</v>
          </cell>
          <cell r="CY235">
            <v>0</v>
          </cell>
          <cell r="CZ235">
            <v>0</v>
          </cell>
          <cell r="DA235">
            <v>24</v>
          </cell>
          <cell r="DB235">
            <v>33</v>
          </cell>
          <cell r="DC235" t="str">
            <v>⑦</v>
          </cell>
        </row>
        <row r="236">
          <cell r="CR236" t="str">
            <v xml:space="preserve">  1F</v>
          </cell>
          <cell r="CS236">
            <v>5</v>
          </cell>
          <cell r="CT236">
            <v>15</v>
          </cell>
          <cell r="CU236">
            <v>0</v>
          </cell>
          <cell r="CV236">
            <v>0</v>
          </cell>
          <cell r="CW236">
            <v>0</v>
          </cell>
          <cell r="CX236">
            <v>0</v>
          </cell>
          <cell r="CY236">
            <v>1</v>
          </cell>
          <cell r="CZ236">
            <v>1</v>
          </cell>
          <cell r="DA236">
            <v>30</v>
          </cell>
          <cell r="DB236">
            <v>31.8</v>
          </cell>
          <cell r="DC236" t="str">
            <v>⑦</v>
          </cell>
        </row>
        <row r="237">
          <cell r="CR237" t="str">
            <v xml:space="preserve">  2F</v>
          </cell>
          <cell r="CS237">
            <v>4</v>
          </cell>
          <cell r="CT237">
            <v>19</v>
          </cell>
          <cell r="CU237">
            <v>4</v>
          </cell>
          <cell r="CV237">
            <v>0</v>
          </cell>
          <cell r="CW237">
            <v>0</v>
          </cell>
          <cell r="CX237">
            <v>4</v>
          </cell>
          <cell r="CY237">
            <v>1</v>
          </cell>
          <cell r="CZ237">
            <v>2</v>
          </cell>
          <cell r="DA237">
            <v>30</v>
          </cell>
          <cell r="DB237">
            <v>31.8</v>
          </cell>
          <cell r="DC237" t="str">
            <v>⑦</v>
          </cell>
        </row>
        <row r="238">
          <cell r="CR238" t="str">
            <v xml:space="preserve">  3F</v>
          </cell>
          <cell r="CS238">
            <v>4</v>
          </cell>
          <cell r="CT238">
            <v>23</v>
          </cell>
          <cell r="CU238">
            <v>4</v>
          </cell>
          <cell r="CV238">
            <v>0</v>
          </cell>
          <cell r="CW238">
            <v>0</v>
          </cell>
          <cell r="CX238">
            <v>8</v>
          </cell>
          <cell r="CY238">
            <v>1</v>
          </cell>
          <cell r="CZ238">
            <v>3</v>
          </cell>
          <cell r="DA238">
            <v>30</v>
          </cell>
          <cell r="DB238">
            <v>31.8</v>
          </cell>
          <cell r="DC238" t="str">
            <v>⑦</v>
          </cell>
        </row>
        <row r="239">
          <cell r="CR239" t="str">
            <v xml:space="preserve">  4F</v>
          </cell>
          <cell r="CS239">
            <v>4</v>
          </cell>
          <cell r="CT239">
            <v>27</v>
          </cell>
          <cell r="CU239">
            <v>4</v>
          </cell>
          <cell r="CV239">
            <v>0</v>
          </cell>
          <cell r="CW239">
            <v>0</v>
          </cell>
          <cell r="CX239">
            <v>12</v>
          </cell>
          <cell r="CY239">
            <v>1</v>
          </cell>
          <cell r="CZ239">
            <v>4</v>
          </cell>
          <cell r="DA239">
            <v>12</v>
          </cell>
          <cell r="DB239">
            <v>24</v>
          </cell>
          <cell r="DC239" t="str">
            <v>⑦</v>
          </cell>
        </row>
        <row r="240">
          <cell r="CR240" t="str">
            <v xml:space="preserve">  5F</v>
          </cell>
          <cell r="CS240">
            <v>4</v>
          </cell>
          <cell r="CT240">
            <v>31</v>
          </cell>
          <cell r="CU240">
            <v>4</v>
          </cell>
          <cell r="CV240">
            <v>0</v>
          </cell>
          <cell r="CW240">
            <v>0</v>
          </cell>
          <cell r="CX240">
            <v>16</v>
          </cell>
          <cell r="CY240">
            <v>1</v>
          </cell>
          <cell r="CZ240">
            <v>5</v>
          </cell>
          <cell r="DA240">
            <v>12</v>
          </cell>
          <cell r="DB240">
            <v>24</v>
          </cell>
          <cell r="DC240" t="str">
            <v>⑦</v>
          </cell>
        </row>
        <row r="241">
          <cell r="CR241" t="str">
            <v xml:space="preserve">  6F</v>
          </cell>
          <cell r="CS241">
            <v>4</v>
          </cell>
          <cell r="CT241">
            <v>35</v>
          </cell>
          <cell r="CU241">
            <v>4</v>
          </cell>
          <cell r="CV241">
            <v>0</v>
          </cell>
          <cell r="CW241">
            <v>0</v>
          </cell>
          <cell r="CX241">
            <v>20</v>
          </cell>
          <cell r="CY241">
            <v>1</v>
          </cell>
          <cell r="CZ241">
            <v>6</v>
          </cell>
          <cell r="DA241">
            <v>12</v>
          </cell>
          <cell r="DB241">
            <v>24</v>
          </cell>
          <cell r="DC241" t="str">
            <v>⑦</v>
          </cell>
        </row>
        <row r="242">
          <cell r="CR242" t="str">
            <v xml:space="preserve">  7F</v>
          </cell>
          <cell r="CS242">
            <v>4</v>
          </cell>
          <cell r="CT242">
            <v>39</v>
          </cell>
          <cell r="CU242">
            <v>4</v>
          </cell>
          <cell r="CV242">
            <v>0</v>
          </cell>
          <cell r="CW242">
            <v>0</v>
          </cell>
          <cell r="CX242">
            <v>24</v>
          </cell>
          <cell r="CY242">
            <v>1</v>
          </cell>
          <cell r="CZ242">
            <v>7</v>
          </cell>
          <cell r="DA242">
            <v>12</v>
          </cell>
          <cell r="DB242">
            <v>24</v>
          </cell>
          <cell r="DC242" t="str">
            <v>⑦</v>
          </cell>
        </row>
        <row r="243">
          <cell r="CR243" t="str">
            <v xml:space="preserve">  8F</v>
          </cell>
          <cell r="CS243">
            <v>4</v>
          </cell>
          <cell r="CT243">
            <v>43</v>
          </cell>
          <cell r="CU243">
            <v>4</v>
          </cell>
          <cell r="CV243">
            <v>0</v>
          </cell>
          <cell r="CW243">
            <v>0</v>
          </cell>
          <cell r="CX243">
            <v>28</v>
          </cell>
          <cell r="CY243">
            <v>1</v>
          </cell>
          <cell r="CZ243">
            <v>8</v>
          </cell>
          <cell r="DA243">
            <v>12</v>
          </cell>
          <cell r="DB243">
            <v>24</v>
          </cell>
          <cell r="DC243" t="str">
            <v>⑦</v>
          </cell>
        </row>
        <row r="244">
          <cell r="CR244" t="str">
            <v xml:space="preserve">  9F</v>
          </cell>
          <cell r="CS244">
            <v>4</v>
          </cell>
          <cell r="CT244">
            <v>47</v>
          </cell>
          <cell r="CU244">
            <v>4</v>
          </cell>
          <cell r="CV244">
            <v>0</v>
          </cell>
          <cell r="CW244">
            <v>0</v>
          </cell>
          <cell r="CX244">
            <v>32</v>
          </cell>
          <cell r="CY244">
            <v>1</v>
          </cell>
          <cell r="CZ244">
            <v>9</v>
          </cell>
          <cell r="DA244">
            <v>12</v>
          </cell>
          <cell r="DB244">
            <v>24</v>
          </cell>
          <cell r="DC244" t="str">
            <v>⑦</v>
          </cell>
        </row>
        <row r="245">
          <cell r="CR245" t="str">
            <v xml:space="preserve"> 10F</v>
          </cell>
          <cell r="CS245">
            <v>4</v>
          </cell>
          <cell r="CT245">
            <v>51</v>
          </cell>
          <cell r="CU245">
            <v>4</v>
          </cell>
          <cell r="CV245">
            <v>0</v>
          </cell>
          <cell r="CW245">
            <v>0</v>
          </cell>
          <cell r="CX245">
            <v>36</v>
          </cell>
          <cell r="CY245">
            <v>1</v>
          </cell>
          <cell r="CZ245">
            <v>10</v>
          </cell>
          <cell r="DA245">
            <v>12</v>
          </cell>
          <cell r="DB245">
            <v>24</v>
          </cell>
          <cell r="DC245" t="str">
            <v>⑦</v>
          </cell>
        </row>
        <row r="246">
          <cell r="CR246" t="str">
            <v xml:space="preserve"> 11F</v>
          </cell>
          <cell r="CS246">
            <v>4</v>
          </cell>
          <cell r="CT246">
            <v>55</v>
          </cell>
          <cell r="CU246">
            <v>4</v>
          </cell>
          <cell r="CV246">
            <v>0</v>
          </cell>
          <cell r="CW246">
            <v>0</v>
          </cell>
          <cell r="CX246">
            <v>40</v>
          </cell>
          <cell r="CY246">
            <v>1</v>
          </cell>
          <cell r="CZ246">
            <v>11</v>
          </cell>
          <cell r="DA246">
            <v>12</v>
          </cell>
          <cell r="DB246">
            <v>24</v>
          </cell>
          <cell r="DC246" t="str">
            <v>⑦</v>
          </cell>
        </row>
        <row r="247">
          <cell r="CR247" t="str">
            <v xml:space="preserve"> 12F</v>
          </cell>
          <cell r="CS247">
            <v>4</v>
          </cell>
          <cell r="CT247">
            <v>59</v>
          </cell>
          <cell r="CU247">
            <v>4</v>
          </cell>
          <cell r="CV247">
            <v>0</v>
          </cell>
          <cell r="CW247">
            <v>0</v>
          </cell>
          <cell r="CX247">
            <v>44</v>
          </cell>
          <cell r="CY247">
            <v>1</v>
          </cell>
          <cell r="CZ247">
            <v>12</v>
          </cell>
          <cell r="DA247">
            <v>12</v>
          </cell>
          <cell r="DB247">
            <v>24</v>
          </cell>
          <cell r="DC247" t="str">
            <v>⑦</v>
          </cell>
        </row>
        <row r="248">
          <cell r="CR248" t="str">
            <v>PH1F</v>
          </cell>
          <cell r="CS248">
            <v>4</v>
          </cell>
          <cell r="CT248">
            <v>63</v>
          </cell>
          <cell r="CU248">
            <v>0</v>
          </cell>
          <cell r="CV248">
            <v>0</v>
          </cell>
          <cell r="CW248">
            <v>0</v>
          </cell>
          <cell r="CX248">
            <v>44</v>
          </cell>
          <cell r="CY248">
            <v>0</v>
          </cell>
          <cell r="CZ248">
            <v>12</v>
          </cell>
          <cell r="DA248">
            <v>5</v>
          </cell>
          <cell r="DB248">
            <v>7</v>
          </cell>
          <cell r="DC248" t="str">
            <v>⑦</v>
          </cell>
        </row>
        <row r="249">
          <cell r="CR249" t="str">
            <v>PH2F</v>
          </cell>
          <cell r="CS249">
            <v>4</v>
          </cell>
          <cell r="CT249">
            <v>67</v>
          </cell>
          <cell r="CU249">
            <v>0</v>
          </cell>
          <cell r="CV249">
            <v>0</v>
          </cell>
          <cell r="CW249">
            <v>0</v>
          </cell>
          <cell r="CX249">
            <v>44</v>
          </cell>
          <cell r="CY249">
            <v>0</v>
          </cell>
          <cell r="CZ249">
            <v>12</v>
          </cell>
          <cell r="DA249">
            <v>5</v>
          </cell>
          <cell r="DB249">
            <v>7</v>
          </cell>
          <cell r="DC249" t="str">
            <v>⑦</v>
          </cell>
        </row>
        <row r="250">
          <cell r="CR250" t="str">
            <v/>
          </cell>
          <cell r="CS250">
            <v>0</v>
          </cell>
          <cell r="CT250">
            <v>67</v>
          </cell>
          <cell r="CU250">
            <v>0</v>
          </cell>
          <cell r="CV250">
            <v>0</v>
          </cell>
          <cell r="CW250">
            <v>0</v>
          </cell>
          <cell r="CX250">
            <v>0</v>
          </cell>
          <cell r="CY250">
            <v>1</v>
          </cell>
          <cell r="CZ250">
            <v>13</v>
          </cell>
          <cell r="DA250">
            <v>0</v>
          </cell>
          <cell r="DB250">
            <v>0</v>
          </cell>
          <cell r="DC250" t="str">
            <v/>
          </cell>
        </row>
        <row r="251">
          <cell r="CR251" t="str">
            <v/>
          </cell>
          <cell r="CS251">
            <v>0</v>
          </cell>
          <cell r="CT251">
            <v>67</v>
          </cell>
          <cell r="CU251">
            <v>0</v>
          </cell>
          <cell r="CV251">
            <v>0</v>
          </cell>
          <cell r="CW251">
            <v>0</v>
          </cell>
          <cell r="CX251">
            <v>0</v>
          </cell>
          <cell r="CY251">
            <v>1</v>
          </cell>
          <cell r="CZ251">
            <v>14</v>
          </cell>
          <cell r="DA251">
            <v>0</v>
          </cell>
          <cell r="DB251">
            <v>0</v>
          </cell>
          <cell r="DC251" t="str">
            <v/>
          </cell>
        </row>
        <row r="252">
          <cell r="CR252" t="str">
            <v/>
          </cell>
          <cell r="CS252">
            <v>0</v>
          </cell>
          <cell r="CT252">
            <v>67</v>
          </cell>
          <cell r="CU252">
            <v>0</v>
          </cell>
          <cell r="CV252">
            <v>0</v>
          </cell>
          <cell r="CW252">
            <v>0</v>
          </cell>
          <cell r="CX252">
            <v>0</v>
          </cell>
          <cell r="CY252">
            <v>1</v>
          </cell>
          <cell r="CZ252">
            <v>15</v>
          </cell>
          <cell r="DA252">
            <v>0</v>
          </cell>
          <cell r="DB252">
            <v>0</v>
          </cell>
          <cell r="DC252" t="str">
            <v/>
          </cell>
        </row>
        <row r="253">
          <cell r="CR253" t="str">
            <v/>
          </cell>
          <cell r="CS253">
            <v>0</v>
          </cell>
          <cell r="CT253">
            <v>67</v>
          </cell>
          <cell r="CU253">
            <v>0</v>
          </cell>
          <cell r="CV253">
            <v>0</v>
          </cell>
          <cell r="CW253">
            <v>0</v>
          </cell>
          <cell r="CX253">
            <v>0</v>
          </cell>
          <cell r="CY253">
            <v>1</v>
          </cell>
          <cell r="CZ253">
            <v>16</v>
          </cell>
          <cell r="DA253">
            <v>0</v>
          </cell>
          <cell r="DB253">
            <v>0</v>
          </cell>
          <cell r="DC253" t="str">
            <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別表"/>
      <sheetName val="提出"/>
      <sheetName val="原価"/>
      <sheetName val="引込"/>
      <sheetName val="受変"/>
      <sheetName val="発電"/>
      <sheetName val="S3"/>
      <sheetName val="S5"/>
      <sheetName val="Help"/>
    </sheetNames>
    <sheetDataSet>
      <sheetData sheetId="0">
        <row r="15">
          <cell r="BH15" t="str">
            <v>近畿</v>
          </cell>
        </row>
        <row r="16">
          <cell r="AS16" t="str">
            <v>(16)イ</v>
          </cell>
        </row>
        <row r="18">
          <cell r="AB18">
            <v>1.4</v>
          </cell>
        </row>
        <row r="24">
          <cell r="I24" t="str">
            <v>A</v>
          </cell>
        </row>
        <row r="26">
          <cell r="I26" t="str">
            <v>A</v>
          </cell>
        </row>
        <row r="28">
          <cell r="I28" t="str">
            <v>B1</v>
          </cell>
        </row>
        <row r="30">
          <cell r="I30" t="str">
            <v>B1</v>
          </cell>
        </row>
        <row r="32">
          <cell r="I32" t="str">
            <v>B1</v>
          </cell>
        </row>
        <row r="34">
          <cell r="I34" t="str">
            <v>A</v>
          </cell>
        </row>
        <row r="36">
          <cell r="I36" t="str">
            <v>A</v>
          </cell>
        </row>
        <row r="38">
          <cell r="I38" t="str">
            <v>A</v>
          </cell>
        </row>
        <row r="40">
          <cell r="I40" t="str">
            <v>A</v>
          </cell>
        </row>
        <row r="42">
          <cell r="I42" t="str">
            <v>A</v>
          </cell>
        </row>
        <row r="44">
          <cell r="I44" t="str">
            <v>A</v>
          </cell>
        </row>
        <row r="46">
          <cell r="I46" t="str">
            <v>A</v>
          </cell>
        </row>
        <row r="48">
          <cell r="I48" t="str">
            <v>A</v>
          </cell>
        </row>
        <row r="50">
          <cell r="I50" t="str">
            <v>A</v>
          </cell>
        </row>
        <row r="52">
          <cell r="I52" t="str">
            <v>A</v>
          </cell>
        </row>
        <row r="56">
          <cell r="I56" t="str">
            <v/>
          </cell>
        </row>
        <row r="58">
          <cell r="I58" t="str">
            <v/>
          </cell>
        </row>
        <row r="60">
          <cell r="I60" t="str">
            <v/>
          </cell>
        </row>
        <row r="62">
          <cell r="I62" t="str">
            <v/>
          </cell>
        </row>
        <row r="72">
          <cell r="O72" t="str">
            <v>要</v>
          </cell>
          <cell r="U72" t="str">
            <v/>
          </cell>
          <cell r="AA72" t="str">
            <v/>
          </cell>
          <cell r="AD72" t="str">
            <v/>
          </cell>
          <cell r="AF72" t="str">
            <v/>
          </cell>
          <cell r="BD72" t="str">
            <v>要</v>
          </cell>
        </row>
        <row r="73">
          <cell r="U73" t="str">
            <v>A</v>
          </cell>
          <cell r="AA73" t="str">
            <v>C</v>
          </cell>
          <cell r="AD73" t="str">
            <v>要</v>
          </cell>
          <cell r="AF73"/>
        </row>
        <row r="74">
          <cell r="O74" t="str">
            <v>要</v>
          </cell>
        </row>
        <row r="75">
          <cell r="U75" t="str">
            <v>A</v>
          </cell>
          <cell r="AA75" t="str">
            <v>C</v>
          </cell>
          <cell r="AD75" t="str">
            <v>要</v>
          </cell>
          <cell r="AF75"/>
        </row>
        <row r="76">
          <cell r="O76" t="str">
            <v>要</v>
          </cell>
        </row>
        <row r="77">
          <cell r="U77" t="str">
            <v>A</v>
          </cell>
          <cell r="AA77" t="str">
            <v>C</v>
          </cell>
          <cell r="AD77" t="str">
            <v>要</v>
          </cell>
          <cell r="AF77"/>
        </row>
        <row r="78">
          <cell r="O78" t="str">
            <v>要</v>
          </cell>
        </row>
        <row r="79">
          <cell r="U79" t="str">
            <v>A</v>
          </cell>
          <cell r="AA79" t="str">
            <v>C</v>
          </cell>
          <cell r="AD79" t="str">
            <v>要</v>
          </cell>
          <cell r="AF79"/>
        </row>
        <row r="80">
          <cell r="O80" t="str">
            <v>要</v>
          </cell>
        </row>
        <row r="81">
          <cell r="O81" t="str">
            <v>要</v>
          </cell>
          <cell r="U81" t="str">
            <v>A</v>
          </cell>
          <cell r="AA81" t="str">
            <v>C</v>
          </cell>
          <cell r="AD81" t="str">
            <v>要</v>
          </cell>
          <cell r="AF81" t="str">
            <v/>
          </cell>
        </row>
        <row r="109">
          <cell r="E109" t="str">
            <v xml:space="preserve"> B2F</v>
          </cell>
        </row>
        <row r="110">
          <cell r="E110" t="str">
            <v xml:space="preserve"> B1F</v>
          </cell>
        </row>
        <row r="111">
          <cell r="E111" t="str">
            <v xml:space="preserve">  1F</v>
          </cell>
        </row>
        <row r="112">
          <cell r="E112" t="str">
            <v xml:space="preserve">  2F</v>
          </cell>
        </row>
        <row r="113">
          <cell r="E113" t="str">
            <v xml:space="preserve">  3F</v>
          </cell>
        </row>
        <row r="114">
          <cell r="E114" t="str">
            <v xml:space="preserve">  4F</v>
          </cell>
        </row>
        <row r="115">
          <cell r="E115" t="str">
            <v xml:space="preserve">  5F</v>
          </cell>
        </row>
        <row r="116">
          <cell r="E116" t="str">
            <v xml:space="preserve">  6F</v>
          </cell>
        </row>
        <row r="117">
          <cell r="E117" t="str">
            <v xml:space="preserve">  7F</v>
          </cell>
        </row>
        <row r="118">
          <cell r="E118" t="str">
            <v xml:space="preserve">  8F</v>
          </cell>
        </row>
        <row r="119">
          <cell r="E119" t="str">
            <v xml:space="preserve">  9F</v>
          </cell>
        </row>
        <row r="120">
          <cell r="E120" t="str">
            <v xml:space="preserve"> 10F</v>
          </cell>
        </row>
        <row r="121">
          <cell r="E121" t="str">
            <v xml:space="preserve"> 11F</v>
          </cell>
        </row>
        <row r="122">
          <cell r="E122" t="str">
            <v xml:space="preserve"> 12F</v>
          </cell>
        </row>
        <row r="123">
          <cell r="E123" t="str">
            <v>PH1F</v>
          </cell>
        </row>
        <row r="124">
          <cell r="E124" t="str">
            <v>PH2F</v>
          </cell>
        </row>
        <row r="125">
          <cell r="E125" t="str">
            <v/>
          </cell>
        </row>
        <row r="126">
          <cell r="E126" t="str">
            <v/>
          </cell>
        </row>
        <row r="127">
          <cell r="E127" t="str">
            <v/>
          </cell>
        </row>
        <row r="128">
          <cell r="E128" t="str">
            <v/>
          </cell>
        </row>
        <row r="130">
          <cell r="Y130">
            <v>49.75</v>
          </cell>
          <cell r="AE130" t="str">
            <v xml:space="preserve"> 12F</v>
          </cell>
        </row>
        <row r="131">
          <cell r="Y131">
            <v>57.75</v>
          </cell>
          <cell r="AE131" t="str">
            <v>PH2F</v>
          </cell>
        </row>
      </sheetData>
      <sheetData sheetId="1"/>
      <sheetData sheetId="2"/>
      <sheetData sheetId="3">
        <row r="42">
          <cell r="AD42" t="str">
            <v>単価-1</v>
          </cell>
        </row>
        <row r="43">
          <cell r="AD43" t="str">
            <v>歩掛-1</v>
          </cell>
        </row>
        <row r="44">
          <cell r="AD44">
            <v>6000</v>
          </cell>
        </row>
      </sheetData>
      <sheetData sheetId="4">
        <row r="14">
          <cell r="BO14" t="str">
            <v>Ⓖ</v>
          </cell>
        </row>
      </sheetData>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物1802"/>
    </sheetNames>
    <sheetDataSet>
      <sheetData sheetId="0">
        <row r="5">
          <cell r="E5" t="str">
            <v>G-16mm</v>
          </cell>
          <cell r="F5" t="str">
            <v>ｍ</v>
          </cell>
          <cell r="G5">
            <v>795</v>
          </cell>
          <cell r="H5">
            <v>217</v>
          </cell>
          <cell r="I5">
            <v>785</v>
          </cell>
          <cell r="J5">
            <v>214</v>
          </cell>
          <cell r="K5">
            <v>785</v>
          </cell>
          <cell r="L5">
            <v>214</v>
          </cell>
          <cell r="M5">
            <v>785</v>
          </cell>
          <cell r="N5">
            <v>214</v>
          </cell>
          <cell r="O5">
            <v>785</v>
          </cell>
          <cell r="P5">
            <v>214</v>
          </cell>
          <cell r="Q5">
            <v>785</v>
          </cell>
          <cell r="R5">
            <v>214</v>
          </cell>
          <cell r="S5">
            <v>785</v>
          </cell>
          <cell r="T5">
            <v>214</v>
          </cell>
          <cell r="U5">
            <v>785</v>
          </cell>
          <cell r="V5">
            <v>214</v>
          </cell>
          <cell r="W5">
            <v>785</v>
          </cell>
          <cell r="X5">
            <v>214</v>
          </cell>
          <cell r="Y5">
            <v>795</v>
          </cell>
          <cell r="Z5">
            <v>217</v>
          </cell>
          <cell r="AA5"/>
          <cell r="AB5"/>
          <cell r="AC5"/>
          <cell r="AD5">
            <v>0.06</v>
          </cell>
          <cell r="AE5"/>
          <cell r="AF5"/>
          <cell r="AG5"/>
          <cell r="AH5"/>
          <cell r="AI5"/>
          <cell r="AJ5"/>
          <cell r="AK5"/>
          <cell r="AL5" t="str">
            <v>１本=3.66m</v>
          </cell>
        </row>
        <row r="6">
          <cell r="E6" t="str">
            <v>G-22mm</v>
          </cell>
          <cell r="F6" t="str">
            <v>ｍ</v>
          </cell>
          <cell r="G6">
            <v>1060</v>
          </cell>
          <cell r="H6">
            <v>289</v>
          </cell>
          <cell r="I6">
            <v>1040</v>
          </cell>
          <cell r="J6">
            <v>284</v>
          </cell>
          <cell r="K6">
            <v>1040</v>
          </cell>
          <cell r="L6">
            <v>284</v>
          </cell>
          <cell r="M6">
            <v>1040</v>
          </cell>
          <cell r="N6">
            <v>284</v>
          </cell>
          <cell r="O6">
            <v>1040</v>
          </cell>
          <cell r="P6">
            <v>284</v>
          </cell>
          <cell r="Q6">
            <v>1040</v>
          </cell>
          <cell r="R6">
            <v>284</v>
          </cell>
          <cell r="S6">
            <v>1040</v>
          </cell>
          <cell r="T6">
            <v>284</v>
          </cell>
          <cell r="U6">
            <v>1040</v>
          </cell>
          <cell r="V6">
            <v>284</v>
          </cell>
          <cell r="W6">
            <v>1040</v>
          </cell>
          <cell r="X6">
            <v>284</v>
          </cell>
          <cell r="Y6">
            <v>1060</v>
          </cell>
          <cell r="Z6">
            <v>289</v>
          </cell>
          <cell r="AA6"/>
          <cell r="AB6"/>
          <cell r="AC6"/>
          <cell r="AD6">
            <v>0.08</v>
          </cell>
          <cell r="AE6"/>
          <cell r="AF6"/>
          <cell r="AG6"/>
          <cell r="AH6"/>
          <cell r="AI6"/>
          <cell r="AJ6"/>
          <cell r="AK6"/>
          <cell r="AL6" t="str">
            <v xml:space="preserve">     ↓</v>
          </cell>
        </row>
        <row r="7">
          <cell r="E7" t="str">
            <v>G-28mm</v>
          </cell>
          <cell r="F7" t="str">
            <v>ｍ</v>
          </cell>
          <cell r="G7">
            <v>1420</v>
          </cell>
          <cell r="H7">
            <v>387</v>
          </cell>
          <cell r="I7">
            <v>1400</v>
          </cell>
          <cell r="J7">
            <v>382</v>
          </cell>
          <cell r="K7">
            <v>1400</v>
          </cell>
          <cell r="L7">
            <v>382</v>
          </cell>
          <cell r="M7">
            <v>1400</v>
          </cell>
          <cell r="N7">
            <v>382</v>
          </cell>
          <cell r="O7">
            <v>1400</v>
          </cell>
          <cell r="P7">
            <v>382</v>
          </cell>
          <cell r="Q7">
            <v>1400</v>
          </cell>
          <cell r="R7">
            <v>382</v>
          </cell>
          <cell r="S7">
            <v>1400</v>
          </cell>
          <cell r="T7">
            <v>382</v>
          </cell>
          <cell r="U7">
            <v>1400</v>
          </cell>
          <cell r="V7">
            <v>382</v>
          </cell>
          <cell r="W7">
            <v>1400</v>
          </cell>
          <cell r="X7">
            <v>382</v>
          </cell>
          <cell r="Y7">
            <v>1420</v>
          </cell>
          <cell r="Z7">
            <v>387</v>
          </cell>
          <cell r="AA7"/>
          <cell r="AB7"/>
          <cell r="AC7"/>
          <cell r="AD7">
            <v>0.10299999999999999</v>
          </cell>
          <cell r="AE7"/>
          <cell r="AF7"/>
          <cell r="AG7"/>
          <cell r="AH7"/>
          <cell r="AI7"/>
          <cell r="AJ7"/>
          <cell r="AK7"/>
          <cell r="AL7" t="str">
            <v xml:space="preserve">     ↓</v>
          </cell>
        </row>
        <row r="8">
          <cell r="E8" t="str">
            <v>G-36mm</v>
          </cell>
          <cell r="F8" t="str">
            <v>ｍ</v>
          </cell>
          <cell r="G8">
            <v>1820</v>
          </cell>
          <cell r="H8">
            <v>497</v>
          </cell>
          <cell r="I8">
            <v>1790</v>
          </cell>
          <cell r="J8">
            <v>489</v>
          </cell>
          <cell r="K8">
            <v>1790</v>
          </cell>
          <cell r="L8">
            <v>489</v>
          </cell>
          <cell r="M8">
            <v>1790</v>
          </cell>
          <cell r="N8">
            <v>489</v>
          </cell>
          <cell r="O8">
            <v>1790</v>
          </cell>
          <cell r="P8">
            <v>489</v>
          </cell>
          <cell r="Q8">
            <v>1790</v>
          </cell>
          <cell r="R8">
            <v>489</v>
          </cell>
          <cell r="S8">
            <v>1790</v>
          </cell>
          <cell r="T8">
            <v>489</v>
          </cell>
          <cell r="U8">
            <v>1780</v>
          </cell>
          <cell r="V8">
            <v>486</v>
          </cell>
          <cell r="W8">
            <v>1790</v>
          </cell>
          <cell r="X8">
            <v>489</v>
          </cell>
          <cell r="Y8">
            <v>1820</v>
          </cell>
          <cell r="Z8">
            <v>497</v>
          </cell>
          <cell r="AA8"/>
          <cell r="AB8"/>
          <cell r="AC8"/>
          <cell r="AD8">
            <v>0.124</v>
          </cell>
          <cell r="AE8"/>
          <cell r="AF8"/>
          <cell r="AG8"/>
          <cell r="AH8"/>
          <cell r="AI8"/>
          <cell r="AJ8"/>
          <cell r="AK8"/>
          <cell r="AL8" t="str">
            <v xml:space="preserve">     ↓</v>
          </cell>
        </row>
        <row r="9">
          <cell r="E9" t="str">
            <v>G-42mm</v>
          </cell>
          <cell r="F9" t="str">
            <v>ｍ</v>
          </cell>
          <cell r="G9">
            <v>2120</v>
          </cell>
          <cell r="H9">
            <v>579</v>
          </cell>
          <cell r="I9">
            <v>2090</v>
          </cell>
          <cell r="J9">
            <v>571</v>
          </cell>
          <cell r="K9">
            <v>2090</v>
          </cell>
          <cell r="L9">
            <v>571</v>
          </cell>
          <cell r="M9">
            <v>2090</v>
          </cell>
          <cell r="N9">
            <v>571</v>
          </cell>
          <cell r="O9">
            <v>2090</v>
          </cell>
          <cell r="P9">
            <v>571</v>
          </cell>
          <cell r="Q9">
            <v>2090</v>
          </cell>
          <cell r="R9">
            <v>571</v>
          </cell>
          <cell r="S9">
            <v>2090</v>
          </cell>
          <cell r="T9">
            <v>571</v>
          </cell>
          <cell r="U9">
            <v>2090</v>
          </cell>
          <cell r="V9">
            <v>571</v>
          </cell>
          <cell r="W9">
            <v>2090</v>
          </cell>
          <cell r="X9">
            <v>571</v>
          </cell>
          <cell r="Y9">
            <v>2120</v>
          </cell>
          <cell r="Z9">
            <v>579</v>
          </cell>
          <cell r="AA9"/>
          <cell r="AB9"/>
          <cell r="AC9"/>
          <cell r="AD9">
            <v>0.17</v>
          </cell>
          <cell r="AE9"/>
          <cell r="AF9"/>
          <cell r="AG9"/>
          <cell r="AH9"/>
          <cell r="AI9"/>
          <cell r="AJ9"/>
          <cell r="AK9"/>
          <cell r="AL9" t="str">
            <v xml:space="preserve">     ↓</v>
          </cell>
        </row>
        <row r="10">
          <cell r="E10" t="str">
            <v>G-54mm</v>
          </cell>
          <cell r="F10" t="str">
            <v>ｍ</v>
          </cell>
          <cell r="G10">
            <v>3030</v>
          </cell>
          <cell r="H10">
            <v>827</v>
          </cell>
          <cell r="I10">
            <v>2980</v>
          </cell>
          <cell r="J10">
            <v>814</v>
          </cell>
          <cell r="K10">
            <v>2980</v>
          </cell>
          <cell r="L10">
            <v>814</v>
          </cell>
          <cell r="M10">
            <v>2980</v>
          </cell>
          <cell r="N10">
            <v>814</v>
          </cell>
          <cell r="O10">
            <v>2980</v>
          </cell>
          <cell r="P10">
            <v>814</v>
          </cell>
          <cell r="Q10">
            <v>2980</v>
          </cell>
          <cell r="R10">
            <v>814</v>
          </cell>
          <cell r="S10">
            <v>2980</v>
          </cell>
          <cell r="T10">
            <v>814</v>
          </cell>
          <cell r="U10">
            <v>2980</v>
          </cell>
          <cell r="V10">
            <v>814</v>
          </cell>
          <cell r="W10">
            <v>2980</v>
          </cell>
          <cell r="X10">
            <v>814</v>
          </cell>
          <cell r="Y10">
            <v>3030</v>
          </cell>
          <cell r="Z10">
            <v>827</v>
          </cell>
          <cell r="AA10"/>
          <cell r="AB10"/>
          <cell r="AC10"/>
          <cell r="AD10">
            <v>0.22900000000000001</v>
          </cell>
          <cell r="AE10"/>
          <cell r="AF10"/>
          <cell r="AG10"/>
          <cell r="AH10"/>
          <cell r="AI10"/>
          <cell r="AJ10"/>
          <cell r="AK10"/>
          <cell r="AL10" t="str">
            <v xml:space="preserve">     ↓</v>
          </cell>
        </row>
        <row r="11">
          <cell r="E11" t="str">
            <v>G-70mm</v>
          </cell>
          <cell r="F11" t="str">
            <v>ｍ</v>
          </cell>
          <cell r="G11">
            <v>4340</v>
          </cell>
          <cell r="H11">
            <v>1185</v>
          </cell>
          <cell r="I11">
            <v>4280</v>
          </cell>
          <cell r="J11">
            <v>1169</v>
          </cell>
          <cell r="K11">
            <v>4280</v>
          </cell>
          <cell r="L11">
            <v>1169</v>
          </cell>
          <cell r="M11">
            <v>4280</v>
          </cell>
          <cell r="N11">
            <v>1169</v>
          </cell>
          <cell r="O11">
            <v>4280</v>
          </cell>
          <cell r="P11">
            <v>1169</v>
          </cell>
          <cell r="Q11">
            <v>4280</v>
          </cell>
          <cell r="R11">
            <v>1169</v>
          </cell>
          <cell r="S11">
            <v>4280</v>
          </cell>
          <cell r="T11">
            <v>1169</v>
          </cell>
          <cell r="U11">
            <v>4280</v>
          </cell>
          <cell r="V11">
            <v>1169</v>
          </cell>
          <cell r="W11">
            <v>4280</v>
          </cell>
          <cell r="X11">
            <v>1169</v>
          </cell>
          <cell r="Y11">
            <v>4340</v>
          </cell>
          <cell r="Z11">
            <v>1185</v>
          </cell>
          <cell r="AA11"/>
          <cell r="AB11"/>
          <cell r="AC11"/>
          <cell r="AD11">
            <v>0.26600000000000001</v>
          </cell>
          <cell r="AE11"/>
          <cell r="AF11"/>
          <cell r="AG11"/>
          <cell r="AH11"/>
          <cell r="AI11"/>
          <cell r="AJ11"/>
          <cell r="AK11"/>
          <cell r="AL11" t="str">
            <v xml:space="preserve">     ↓</v>
          </cell>
        </row>
        <row r="12">
          <cell r="E12" t="str">
            <v>G-82mm</v>
          </cell>
          <cell r="F12" t="str">
            <v>ｍ</v>
          </cell>
          <cell r="G12">
            <v>5260</v>
          </cell>
          <cell r="H12">
            <v>1437</v>
          </cell>
          <cell r="I12">
            <v>5180</v>
          </cell>
          <cell r="J12">
            <v>1415</v>
          </cell>
          <cell r="K12">
            <v>5180</v>
          </cell>
          <cell r="L12">
            <v>1415</v>
          </cell>
          <cell r="M12">
            <v>5180</v>
          </cell>
          <cell r="N12">
            <v>1415</v>
          </cell>
          <cell r="O12">
            <v>5180</v>
          </cell>
          <cell r="P12">
            <v>1415</v>
          </cell>
          <cell r="Q12">
            <v>5180</v>
          </cell>
          <cell r="R12">
            <v>1415</v>
          </cell>
          <cell r="S12">
            <v>5180</v>
          </cell>
          <cell r="T12">
            <v>1415</v>
          </cell>
          <cell r="U12">
            <v>5180</v>
          </cell>
          <cell r="V12">
            <v>1415</v>
          </cell>
          <cell r="W12">
            <v>5180</v>
          </cell>
          <cell r="X12">
            <v>1415</v>
          </cell>
          <cell r="Y12">
            <v>5260</v>
          </cell>
          <cell r="Z12">
            <v>1437</v>
          </cell>
          <cell r="AA12"/>
          <cell r="AB12"/>
          <cell r="AC12"/>
          <cell r="AD12">
            <v>0.32300000000000001</v>
          </cell>
          <cell r="AE12"/>
          <cell r="AF12"/>
          <cell r="AG12"/>
          <cell r="AH12"/>
          <cell r="AI12"/>
          <cell r="AJ12"/>
          <cell r="AK12"/>
          <cell r="AL12" t="str">
            <v xml:space="preserve">     ↓</v>
          </cell>
        </row>
        <row r="13">
          <cell r="E13" t="str">
            <v>G-92mm</v>
          </cell>
          <cell r="F13" t="str">
            <v>ｍ</v>
          </cell>
          <cell r="G13">
            <v>8520</v>
          </cell>
          <cell r="H13">
            <v>2327</v>
          </cell>
          <cell r="I13">
            <v>8340</v>
          </cell>
          <cell r="J13">
            <v>2278</v>
          </cell>
          <cell r="K13">
            <v>8340</v>
          </cell>
          <cell r="L13">
            <v>2278</v>
          </cell>
          <cell r="M13">
            <v>8340</v>
          </cell>
          <cell r="N13">
            <v>2278</v>
          </cell>
          <cell r="O13">
            <v>8340</v>
          </cell>
          <cell r="P13">
            <v>2278</v>
          </cell>
          <cell r="Q13">
            <v>8340</v>
          </cell>
          <cell r="R13">
            <v>2278</v>
          </cell>
          <cell r="S13">
            <v>8340</v>
          </cell>
          <cell r="T13">
            <v>2278</v>
          </cell>
          <cell r="U13">
            <v>8340</v>
          </cell>
          <cell r="V13">
            <v>2278</v>
          </cell>
          <cell r="W13">
            <v>8340</v>
          </cell>
          <cell r="X13">
            <v>2278</v>
          </cell>
          <cell r="Y13">
            <v>8520</v>
          </cell>
          <cell r="Z13">
            <v>2327</v>
          </cell>
          <cell r="AA13"/>
          <cell r="AB13"/>
          <cell r="AC13"/>
          <cell r="AD13">
            <v>0.36</v>
          </cell>
          <cell r="AE13"/>
          <cell r="AF13"/>
          <cell r="AG13"/>
          <cell r="AH13"/>
          <cell r="AI13"/>
          <cell r="AJ13"/>
          <cell r="AK13"/>
          <cell r="AL13" t="str">
            <v xml:space="preserve">     ↓</v>
          </cell>
        </row>
        <row r="14">
          <cell r="E14" t="str">
            <v>G-104mm</v>
          </cell>
          <cell r="F14" t="str">
            <v>ｍ</v>
          </cell>
          <cell r="G14">
            <v>9740</v>
          </cell>
          <cell r="H14">
            <v>2661</v>
          </cell>
          <cell r="I14">
            <v>9540</v>
          </cell>
          <cell r="J14">
            <v>2606</v>
          </cell>
          <cell r="K14">
            <v>9540</v>
          </cell>
          <cell r="L14">
            <v>2606</v>
          </cell>
          <cell r="M14">
            <v>9540</v>
          </cell>
          <cell r="N14">
            <v>2606</v>
          </cell>
          <cell r="O14">
            <v>9540</v>
          </cell>
          <cell r="P14">
            <v>2606</v>
          </cell>
          <cell r="Q14">
            <v>9540</v>
          </cell>
          <cell r="R14">
            <v>2606</v>
          </cell>
          <cell r="S14">
            <v>9540</v>
          </cell>
          <cell r="T14">
            <v>2606</v>
          </cell>
          <cell r="U14">
            <v>9540</v>
          </cell>
          <cell r="V14">
            <v>2606</v>
          </cell>
          <cell r="W14">
            <v>9540</v>
          </cell>
          <cell r="X14">
            <v>2606</v>
          </cell>
          <cell r="Y14">
            <v>9740</v>
          </cell>
          <cell r="Z14">
            <v>2661</v>
          </cell>
          <cell r="AA14"/>
          <cell r="AB14"/>
          <cell r="AC14"/>
          <cell r="AD14">
            <v>0.40200000000000002</v>
          </cell>
          <cell r="AE14"/>
          <cell r="AF14"/>
          <cell r="AG14"/>
          <cell r="AH14"/>
          <cell r="AI14"/>
          <cell r="AJ14"/>
          <cell r="AK14"/>
          <cell r="AL14" t="str">
            <v xml:space="preserve">     ↓</v>
          </cell>
        </row>
        <row r="15">
          <cell r="E15" t="str">
            <v>C-19mm</v>
          </cell>
          <cell r="F15" t="str">
            <v>ｍ</v>
          </cell>
          <cell r="G15">
            <v>506</v>
          </cell>
          <cell r="H15">
            <v>138</v>
          </cell>
          <cell r="I15">
            <v>495</v>
          </cell>
          <cell r="J15">
            <v>135</v>
          </cell>
          <cell r="K15">
            <v>495</v>
          </cell>
          <cell r="L15">
            <v>135</v>
          </cell>
          <cell r="M15">
            <v>495</v>
          </cell>
          <cell r="N15">
            <v>135</v>
          </cell>
          <cell r="O15">
            <v>495</v>
          </cell>
          <cell r="P15">
            <v>135</v>
          </cell>
          <cell r="Q15">
            <v>495</v>
          </cell>
          <cell r="R15">
            <v>135</v>
          </cell>
          <cell r="S15">
            <v>495</v>
          </cell>
          <cell r="T15">
            <v>135</v>
          </cell>
          <cell r="U15">
            <v>495</v>
          </cell>
          <cell r="V15">
            <v>135</v>
          </cell>
          <cell r="W15">
            <v>495</v>
          </cell>
          <cell r="X15">
            <v>135</v>
          </cell>
          <cell r="Y15">
            <v>505</v>
          </cell>
          <cell r="Z15">
            <v>137</v>
          </cell>
          <cell r="AA15"/>
          <cell r="AB15"/>
          <cell r="AC15"/>
          <cell r="AD15">
            <v>5.1999999999999998E-2</v>
          </cell>
          <cell r="AE15"/>
          <cell r="AF15"/>
          <cell r="AG15"/>
          <cell r="AH15"/>
          <cell r="AI15"/>
          <cell r="AJ15"/>
          <cell r="AK15"/>
          <cell r="AL15" t="str">
            <v>１本=3.66m</v>
          </cell>
        </row>
        <row r="16">
          <cell r="E16" t="str">
            <v>C-25mm</v>
          </cell>
          <cell r="F16" t="str">
            <v>ｍ</v>
          </cell>
          <cell r="G16">
            <v>705</v>
          </cell>
          <cell r="H16">
            <v>192</v>
          </cell>
          <cell r="I16">
            <v>695</v>
          </cell>
          <cell r="J16">
            <v>189</v>
          </cell>
          <cell r="K16">
            <v>695</v>
          </cell>
          <cell r="L16">
            <v>189</v>
          </cell>
          <cell r="M16">
            <v>695</v>
          </cell>
          <cell r="N16">
            <v>189</v>
          </cell>
          <cell r="O16">
            <v>695</v>
          </cell>
          <cell r="P16">
            <v>189</v>
          </cell>
          <cell r="Q16">
            <v>695</v>
          </cell>
          <cell r="R16">
            <v>189</v>
          </cell>
          <cell r="S16">
            <v>695</v>
          </cell>
          <cell r="T16">
            <v>189</v>
          </cell>
          <cell r="U16">
            <v>695</v>
          </cell>
          <cell r="V16">
            <v>189</v>
          </cell>
          <cell r="W16">
            <v>695</v>
          </cell>
          <cell r="X16">
            <v>189</v>
          </cell>
          <cell r="Y16">
            <v>705</v>
          </cell>
          <cell r="Z16">
            <v>192</v>
          </cell>
          <cell r="AA16"/>
          <cell r="AB16"/>
          <cell r="AC16"/>
          <cell r="AD16">
            <v>7.0000000000000007E-2</v>
          </cell>
          <cell r="AE16"/>
          <cell r="AF16"/>
          <cell r="AG16"/>
          <cell r="AH16"/>
          <cell r="AI16"/>
          <cell r="AJ16"/>
          <cell r="AK16"/>
          <cell r="AL16" t="str">
            <v xml:space="preserve">     ↓</v>
          </cell>
        </row>
        <row r="17">
          <cell r="E17" t="str">
            <v>C-31mm</v>
          </cell>
          <cell r="F17" t="str">
            <v>ｍ</v>
          </cell>
          <cell r="G17">
            <v>940</v>
          </cell>
          <cell r="H17">
            <v>256</v>
          </cell>
          <cell r="I17">
            <v>925</v>
          </cell>
          <cell r="J17">
            <v>252</v>
          </cell>
          <cell r="K17">
            <v>925</v>
          </cell>
          <cell r="L17">
            <v>252</v>
          </cell>
          <cell r="M17">
            <v>925</v>
          </cell>
          <cell r="N17">
            <v>252</v>
          </cell>
          <cell r="O17">
            <v>925</v>
          </cell>
          <cell r="P17">
            <v>252</v>
          </cell>
          <cell r="Q17">
            <v>925</v>
          </cell>
          <cell r="R17">
            <v>252</v>
          </cell>
          <cell r="S17">
            <v>925</v>
          </cell>
          <cell r="T17">
            <v>252</v>
          </cell>
          <cell r="U17">
            <v>925</v>
          </cell>
          <cell r="V17">
            <v>252</v>
          </cell>
          <cell r="W17">
            <v>925</v>
          </cell>
          <cell r="X17">
            <v>252</v>
          </cell>
          <cell r="Y17">
            <v>940</v>
          </cell>
          <cell r="Z17">
            <v>256</v>
          </cell>
          <cell r="AA17"/>
          <cell r="AB17"/>
          <cell r="AC17"/>
          <cell r="AD17">
            <v>8.8999999999999996E-2</v>
          </cell>
          <cell r="AE17"/>
          <cell r="AF17"/>
          <cell r="AG17"/>
          <cell r="AH17"/>
          <cell r="AI17"/>
          <cell r="AJ17"/>
          <cell r="AK17"/>
          <cell r="AL17" t="str">
            <v xml:space="preserve">     ↓</v>
          </cell>
        </row>
        <row r="18">
          <cell r="E18" t="str">
            <v>C-39mm</v>
          </cell>
          <cell r="F18" t="str">
            <v>ｍ</v>
          </cell>
          <cell r="G18">
            <v>1090</v>
          </cell>
          <cell r="H18">
            <v>297</v>
          </cell>
          <cell r="I18">
            <v>1070</v>
          </cell>
          <cell r="J18">
            <v>292</v>
          </cell>
          <cell r="K18">
            <v>1070</v>
          </cell>
          <cell r="L18">
            <v>292</v>
          </cell>
          <cell r="M18">
            <v>1070</v>
          </cell>
          <cell r="N18">
            <v>292</v>
          </cell>
          <cell r="O18">
            <v>1070</v>
          </cell>
          <cell r="P18">
            <v>292</v>
          </cell>
          <cell r="Q18">
            <v>1070</v>
          </cell>
          <cell r="R18">
            <v>292</v>
          </cell>
          <cell r="S18">
            <v>1070</v>
          </cell>
          <cell r="T18">
            <v>292</v>
          </cell>
          <cell r="U18">
            <v>1070</v>
          </cell>
          <cell r="V18">
            <v>292</v>
          </cell>
          <cell r="W18">
            <v>1070</v>
          </cell>
          <cell r="X18">
            <v>292</v>
          </cell>
          <cell r="Y18">
            <v>1090</v>
          </cell>
          <cell r="Z18">
            <v>297</v>
          </cell>
          <cell r="AA18"/>
          <cell r="AB18"/>
          <cell r="AC18"/>
          <cell r="AD18">
            <v>0.109</v>
          </cell>
          <cell r="AE18"/>
          <cell r="AF18"/>
          <cell r="AG18"/>
          <cell r="AH18"/>
          <cell r="AI18"/>
          <cell r="AJ18"/>
          <cell r="AK18"/>
          <cell r="AL18" t="str">
            <v xml:space="preserve">     ↓</v>
          </cell>
        </row>
        <row r="19">
          <cell r="E19" t="str">
            <v>C-51mm</v>
          </cell>
          <cell r="F19" t="str">
            <v>ｍ</v>
          </cell>
          <cell r="G19">
            <v>1600</v>
          </cell>
          <cell r="H19">
            <v>437</v>
          </cell>
          <cell r="I19">
            <v>1560</v>
          </cell>
          <cell r="J19">
            <v>426</v>
          </cell>
          <cell r="K19">
            <v>1580</v>
          </cell>
          <cell r="L19">
            <v>431</v>
          </cell>
          <cell r="M19">
            <v>1580</v>
          </cell>
          <cell r="N19">
            <v>431</v>
          </cell>
          <cell r="O19">
            <v>1580</v>
          </cell>
          <cell r="P19">
            <v>431</v>
          </cell>
          <cell r="Q19">
            <v>1580</v>
          </cell>
          <cell r="R19">
            <v>431</v>
          </cell>
          <cell r="S19">
            <v>1580</v>
          </cell>
          <cell r="T19">
            <v>431</v>
          </cell>
          <cell r="U19">
            <v>1580</v>
          </cell>
          <cell r="V19">
            <v>431</v>
          </cell>
          <cell r="W19">
            <v>1580</v>
          </cell>
          <cell r="X19">
            <v>431</v>
          </cell>
          <cell r="Y19">
            <v>1600</v>
          </cell>
          <cell r="Z19">
            <v>437</v>
          </cell>
          <cell r="AA19"/>
          <cell r="AB19"/>
          <cell r="AC19"/>
          <cell r="AD19">
            <v>0.14699999999999999</v>
          </cell>
          <cell r="AE19"/>
          <cell r="AF19"/>
          <cell r="AG19"/>
          <cell r="AH19"/>
          <cell r="AI19"/>
          <cell r="AJ19"/>
          <cell r="AK19"/>
          <cell r="AL19" t="str">
            <v xml:space="preserve">     ↓</v>
          </cell>
        </row>
        <row r="20">
          <cell r="E20" t="str">
            <v>C-63mm</v>
          </cell>
          <cell r="F20" t="str">
            <v>ｍ</v>
          </cell>
          <cell r="G20">
            <v>2430</v>
          </cell>
          <cell r="H20">
            <v>663</v>
          </cell>
          <cell r="I20">
            <v>2390</v>
          </cell>
          <cell r="J20">
            <v>653</v>
          </cell>
          <cell r="K20">
            <v>2390</v>
          </cell>
          <cell r="L20">
            <v>653</v>
          </cell>
          <cell r="M20">
            <v>2390</v>
          </cell>
          <cell r="N20">
            <v>653</v>
          </cell>
          <cell r="O20">
            <v>2390</v>
          </cell>
          <cell r="P20">
            <v>653</v>
          </cell>
          <cell r="Q20">
            <v>2390</v>
          </cell>
          <cell r="R20">
            <v>653</v>
          </cell>
          <cell r="S20">
            <v>2390</v>
          </cell>
          <cell r="T20">
            <v>653</v>
          </cell>
          <cell r="U20">
            <v>2390</v>
          </cell>
          <cell r="V20">
            <v>653</v>
          </cell>
          <cell r="W20">
            <v>2390</v>
          </cell>
          <cell r="X20">
            <v>653</v>
          </cell>
          <cell r="Y20">
            <v>2430</v>
          </cell>
          <cell r="Z20">
            <v>663</v>
          </cell>
          <cell r="AA20"/>
          <cell r="AB20"/>
          <cell r="AC20"/>
          <cell r="AD20">
            <v>0.19800000000000001</v>
          </cell>
          <cell r="AE20"/>
          <cell r="AF20"/>
          <cell r="AG20"/>
          <cell r="AH20"/>
          <cell r="AI20"/>
          <cell r="AJ20"/>
          <cell r="AK20"/>
          <cell r="AL20" t="str">
            <v xml:space="preserve">     ↓</v>
          </cell>
        </row>
        <row r="21">
          <cell r="E21" t="str">
            <v>C-75mm</v>
          </cell>
          <cell r="F21" t="str">
            <v>ｍ</v>
          </cell>
          <cell r="G21">
            <v>3030</v>
          </cell>
          <cell r="H21">
            <v>827</v>
          </cell>
          <cell r="I21">
            <v>2980</v>
          </cell>
          <cell r="J21">
            <v>814</v>
          </cell>
          <cell r="K21">
            <v>2980</v>
          </cell>
          <cell r="L21">
            <v>814</v>
          </cell>
          <cell r="M21">
            <v>2980</v>
          </cell>
          <cell r="N21">
            <v>814</v>
          </cell>
          <cell r="O21">
            <v>2980</v>
          </cell>
          <cell r="P21">
            <v>814</v>
          </cell>
          <cell r="Q21">
            <v>2980</v>
          </cell>
          <cell r="R21">
            <v>814</v>
          </cell>
          <cell r="S21">
            <v>2980</v>
          </cell>
          <cell r="T21">
            <v>814</v>
          </cell>
          <cell r="U21">
            <v>2980</v>
          </cell>
          <cell r="V21">
            <v>814</v>
          </cell>
          <cell r="W21">
            <v>2980</v>
          </cell>
          <cell r="X21">
            <v>814</v>
          </cell>
          <cell r="Y21">
            <v>3030</v>
          </cell>
          <cell r="Z21">
            <v>827</v>
          </cell>
          <cell r="AA21"/>
          <cell r="AB21"/>
          <cell r="AC21"/>
          <cell r="AD21">
            <v>0.23100000000000001</v>
          </cell>
          <cell r="AE21"/>
          <cell r="AF21"/>
          <cell r="AG21"/>
          <cell r="AH21"/>
          <cell r="AI21"/>
          <cell r="AJ21"/>
          <cell r="AK21"/>
          <cell r="AL21" t="str">
            <v xml:space="preserve">     ↓</v>
          </cell>
        </row>
        <row r="22">
          <cell r="E22" t="str">
            <v>E-19mm</v>
          </cell>
          <cell r="F22" t="str">
            <v>ｍ</v>
          </cell>
          <cell r="G22">
            <v>445</v>
          </cell>
          <cell r="H22">
            <v>121</v>
          </cell>
          <cell r="I22">
            <v>440</v>
          </cell>
          <cell r="J22">
            <v>120</v>
          </cell>
          <cell r="K22">
            <v>440</v>
          </cell>
          <cell r="L22">
            <v>120</v>
          </cell>
          <cell r="M22">
            <v>440</v>
          </cell>
          <cell r="N22">
            <v>120</v>
          </cell>
          <cell r="O22">
            <v>440</v>
          </cell>
          <cell r="P22">
            <v>120</v>
          </cell>
          <cell r="Q22">
            <v>440</v>
          </cell>
          <cell r="R22">
            <v>120</v>
          </cell>
          <cell r="S22">
            <v>440</v>
          </cell>
          <cell r="T22">
            <v>120</v>
          </cell>
          <cell r="U22">
            <v>440</v>
          </cell>
          <cell r="V22">
            <v>120</v>
          </cell>
          <cell r="W22">
            <v>440</v>
          </cell>
          <cell r="X22">
            <v>120</v>
          </cell>
          <cell r="Y22">
            <v>445</v>
          </cell>
          <cell r="Z22">
            <v>121</v>
          </cell>
          <cell r="AA22"/>
          <cell r="AB22"/>
          <cell r="AC22"/>
          <cell r="AD22">
            <v>4.2000000000000003E-2</v>
          </cell>
          <cell r="AE22"/>
          <cell r="AF22"/>
          <cell r="AG22"/>
          <cell r="AH22"/>
          <cell r="AI22"/>
          <cell r="AJ22"/>
          <cell r="AK22"/>
          <cell r="AL22" t="str">
            <v>１本=3.66m</v>
          </cell>
        </row>
        <row r="23">
          <cell r="E23" t="str">
            <v>E-25mm</v>
          </cell>
          <cell r="F23" t="str">
            <v>ｍ</v>
          </cell>
          <cell r="G23">
            <v>635</v>
          </cell>
          <cell r="H23">
            <v>173</v>
          </cell>
          <cell r="I23">
            <v>625</v>
          </cell>
          <cell r="J23">
            <v>170</v>
          </cell>
          <cell r="K23">
            <v>625</v>
          </cell>
          <cell r="L23">
            <v>170</v>
          </cell>
          <cell r="M23">
            <v>625</v>
          </cell>
          <cell r="N23">
            <v>170</v>
          </cell>
          <cell r="O23">
            <v>625</v>
          </cell>
          <cell r="P23">
            <v>170</v>
          </cell>
          <cell r="Q23">
            <v>625</v>
          </cell>
          <cell r="R23">
            <v>170</v>
          </cell>
          <cell r="S23">
            <v>625</v>
          </cell>
          <cell r="T23">
            <v>170</v>
          </cell>
          <cell r="U23">
            <v>625</v>
          </cell>
          <cell r="V23">
            <v>170</v>
          </cell>
          <cell r="W23">
            <v>625</v>
          </cell>
          <cell r="X23">
            <v>170</v>
          </cell>
          <cell r="Y23">
            <v>635</v>
          </cell>
          <cell r="Z23">
            <v>173</v>
          </cell>
          <cell r="AA23"/>
          <cell r="AB23"/>
          <cell r="AC23"/>
          <cell r="AD23">
            <v>5.6000000000000001E-2</v>
          </cell>
          <cell r="AE23"/>
          <cell r="AF23"/>
          <cell r="AG23"/>
          <cell r="AH23"/>
          <cell r="AI23"/>
          <cell r="AJ23"/>
          <cell r="AK23"/>
          <cell r="AL23" t="str">
            <v xml:space="preserve">     ↓</v>
          </cell>
        </row>
        <row r="24">
          <cell r="E24" t="str">
            <v>E-31mm</v>
          </cell>
          <cell r="F24" t="str">
            <v>ｍ</v>
          </cell>
          <cell r="G24">
            <v>880</v>
          </cell>
          <cell r="H24">
            <v>240</v>
          </cell>
          <cell r="I24">
            <v>870</v>
          </cell>
          <cell r="J24">
            <v>237</v>
          </cell>
          <cell r="K24">
            <v>870</v>
          </cell>
          <cell r="L24">
            <v>237</v>
          </cell>
          <cell r="M24">
            <v>870</v>
          </cell>
          <cell r="N24">
            <v>237</v>
          </cell>
          <cell r="O24">
            <v>870</v>
          </cell>
          <cell r="P24">
            <v>237</v>
          </cell>
          <cell r="Q24">
            <v>870</v>
          </cell>
          <cell r="R24">
            <v>237</v>
          </cell>
          <cell r="S24">
            <v>870</v>
          </cell>
          <cell r="T24">
            <v>237</v>
          </cell>
          <cell r="U24">
            <v>870</v>
          </cell>
          <cell r="V24">
            <v>237</v>
          </cell>
          <cell r="W24">
            <v>870</v>
          </cell>
          <cell r="X24">
            <v>237</v>
          </cell>
          <cell r="Y24">
            <v>880</v>
          </cell>
          <cell r="Z24">
            <v>240</v>
          </cell>
          <cell r="AA24"/>
          <cell r="AB24"/>
          <cell r="AC24"/>
          <cell r="AD24">
            <v>7.0999999999999994E-2</v>
          </cell>
          <cell r="AE24"/>
          <cell r="AF24"/>
          <cell r="AG24"/>
          <cell r="AH24"/>
          <cell r="AI24"/>
          <cell r="AJ24"/>
          <cell r="AK24"/>
          <cell r="AL24" t="str">
            <v xml:space="preserve">     ↓</v>
          </cell>
        </row>
        <row r="25">
          <cell r="E25" t="str">
            <v>E-39mm</v>
          </cell>
          <cell r="F25" t="str">
            <v>ｍ</v>
          </cell>
          <cell r="G25">
            <v>1060</v>
          </cell>
          <cell r="H25">
            <v>289</v>
          </cell>
          <cell r="I25">
            <v>1040</v>
          </cell>
          <cell r="J25">
            <v>284</v>
          </cell>
          <cell r="K25">
            <v>1040</v>
          </cell>
          <cell r="L25">
            <v>284</v>
          </cell>
          <cell r="M25">
            <v>1040</v>
          </cell>
          <cell r="N25">
            <v>284</v>
          </cell>
          <cell r="O25">
            <v>1040</v>
          </cell>
          <cell r="P25">
            <v>284</v>
          </cell>
          <cell r="Q25">
            <v>1040</v>
          </cell>
          <cell r="R25">
            <v>284</v>
          </cell>
          <cell r="S25">
            <v>1040</v>
          </cell>
          <cell r="T25">
            <v>284</v>
          </cell>
          <cell r="U25">
            <v>1040</v>
          </cell>
          <cell r="V25">
            <v>284</v>
          </cell>
          <cell r="W25">
            <v>1040</v>
          </cell>
          <cell r="X25">
            <v>284</v>
          </cell>
          <cell r="Y25">
            <v>1060</v>
          </cell>
          <cell r="Z25">
            <v>289</v>
          </cell>
          <cell r="AA25"/>
          <cell r="AB25"/>
          <cell r="AC25"/>
          <cell r="AD25">
            <v>8.6999999999999994E-2</v>
          </cell>
          <cell r="AE25"/>
          <cell r="AF25"/>
          <cell r="AG25"/>
          <cell r="AH25"/>
          <cell r="AI25"/>
          <cell r="AJ25"/>
          <cell r="AK25"/>
          <cell r="AL25" t="str">
            <v xml:space="preserve">     ↓</v>
          </cell>
        </row>
        <row r="26">
          <cell r="E26" t="str">
            <v>E-51mm</v>
          </cell>
          <cell r="F26" t="str">
            <v>ｍ</v>
          </cell>
          <cell r="G26">
            <v>1510</v>
          </cell>
          <cell r="H26">
            <v>412</v>
          </cell>
          <cell r="I26">
            <v>1480</v>
          </cell>
          <cell r="J26">
            <v>404</v>
          </cell>
          <cell r="K26">
            <v>1480</v>
          </cell>
          <cell r="L26">
            <v>404</v>
          </cell>
          <cell r="M26">
            <v>1480</v>
          </cell>
          <cell r="N26">
            <v>404</v>
          </cell>
          <cell r="O26">
            <v>1480</v>
          </cell>
          <cell r="P26">
            <v>404</v>
          </cell>
          <cell r="Q26">
            <v>1480</v>
          </cell>
          <cell r="R26">
            <v>404</v>
          </cell>
          <cell r="S26">
            <v>1480</v>
          </cell>
          <cell r="T26">
            <v>404</v>
          </cell>
          <cell r="U26">
            <v>1480</v>
          </cell>
          <cell r="V26">
            <v>404</v>
          </cell>
          <cell r="W26">
            <v>1480</v>
          </cell>
          <cell r="X26">
            <v>404</v>
          </cell>
          <cell r="Y26">
            <v>1510</v>
          </cell>
          <cell r="Z26">
            <v>412</v>
          </cell>
          <cell r="AA26"/>
          <cell r="AB26"/>
          <cell r="AC26"/>
          <cell r="AD26">
            <v>0.11799999999999999</v>
          </cell>
          <cell r="AE26"/>
          <cell r="AF26"/>
          <cell r="AG26"/>
          <cell r="AH26"/>
          <cell r="AI26"/>
          <cell r="AJ26"/>
          <cell r="AK26"/>
          <cell r="AL26" t="str">
            <v xml:space="preserve">     ↓</v>
          </cell>
        </row>
        <row r="27">
          <cell r="E27" t="str">
            <v>E-63mm</v>
          </cell>
          <cell r="F27" t="str">
            <v>ｍ</v>
          </cell>
          <cell r="G27">
            <v>2230</v>
          </cell>
          <cell r="H27">
            <v>609</v>
          </cell>
          <cell r="I27">
            <v>2200</v>
          </cell>
          <cell r="J27">
            <v>601</v>
          </cell>
          <cell r="K27">
            <v>2200</v>
          </cell>
          <cell r="L27">
            <v>601</v>
          </cell>
          <cell r="M27">
            <v>2200</v>
          </cell>
          <cell r="N27">
            <v>601</v>
          </cell>
          <cell r="O27">
            <v>2200</v>
          </cell>
          <cell r="P27">
            <v>601</v>
          </cell>
          <cell r="Q27">
            <v>2200</v>
          </cell>
          <cell r="R27">
            <v>601</v>
          </cell>
          <cell r="S27">
            <v>2200</v>
          </cell>
          <cell r="T27">
            <v>601</v>
          </cell>
          <cell r="U27">
            <v>2200</v>
          </cell>
          <cell r="V27">
            <v>601</v>
          </cell>
          <cell r="W27">
            <v>2200</v>
          </cell>
          <cell r="X27">
            <v>601</v>
          </cell>
          <cell r="Y27">
            <v>2230</v>
          </cell>
          <cell r="Z27">
            <v>609</v>
          </cell>
          <cell r="AA27"/>
          <cell r="AB27"/>
          <cell r="AC27"/>
          <cell r="AD27">
            <v>0.159</v>
          </cell>
          <cell r="AE27"/>
          <cell r="AF27"/>
          <cell r="AG27"/>
          <cell r="AH27"/>
          <cell r="AI27"/>
          <cell r="AJ27"/>
          <cell r="AK27"/>
          <cell r="AL27" t="str">
            <v xml:space="preserve">     ↓</v>
          </cell>
        </row>
        <row r="28">
          <cell r="E28" t="str">
            <v>E-75mm</v>
          </cell>
          <cell r="F28" t="str">
            <v>ｍ</v>
          </cell>
          <cell r="G28">
            <v>2910</v>
          </cell>
          <cell r="H28">
            <v>795</v>
          </cell>
          <cell r="I28">
            <v>2870</v>
          </cell>
          <cell r="J28">
            <v>784</v>
          </cell>
          <cell r="K28">
            <v>2870</v>
          </cell>
          <cell r="L28">
            <v>784</v>
          </cell>
          <cell r="M28">
            <v>2870</v>
          </cell>
          <cell r="N28">
            <v>784</v>
          </cell>
          <cell r="O28">
            <v>2870</v>
          </cell>
          <cell r="P28">
            <v>784</v>
          </cell>
          <cell r="Q28">
            <v>2870</v>
          </cell>
          <cell r="R28">
            <v>784</v>
          </cell>
          <cell r="S28">
            <v>2870</v>
          </cell>
          <cell r="T28">
            <v>784</v>
          </cell>
          <cell r="U28">
            <v>2870</v>
          </cell>
          <cell r="V28">
            <v>784</v>
          </cell>
          <cell r="W28">
            <v>2870</v>
          </cell>
          <cell r="X28">
            <v>784</v>
          </cell>
          <cell r="Y28">
            <v>2910</v>
          </cell>
          <cell r="Z28">
            <v>795</v>
          </cell>
          <cell r="AA28"/>
          <cell r="AB28"/>
          <cell r="AC28"/>
          <cell r="AD28">
            <v>0.185</v>
          </cell>
          <cell r="AE28"/>
          <cell r="AF28"/>
          <cell r="AG28"/>
          <cell r="AH28"/>
          <cell r="AI28"/>
          <cell r="AJ28"/>
          <cell r="AK28"/>
          <cell r="AL28" t="str">
            <v xml:space="preserve">     ↓</v>
          </cell>
        </row>
        <row r="29">
          <cell r="E29" t="str">
            <v>VE-14mm</v>
          </cell>
          <cell r="F29" t="str">
            <v>ｍ</v>
          </cell>
          <cell r="G29">
            <v>214</v>
          </cell>
          <cell r="H29">
            <v>53</v>
          </cell>
          <cell r="I29">
            <v>210</v>
          </cell>
          <cell r="J29">
            <v>52</v>
          </cell>
          <cell r="K29">
            <v>210</v>
          </cell>
          <cell r="L29">
            <v>52</v>
          </cell>
          <cell r="M29">
            <v>214</v>
          </cell>
          <cell r="N29">
            <v>53</v>
          </cell>
          <cell r="O29">
            <v>214</v>
          </cell>
          <cell r="P29">
            <v>53</v>
          </cell>
          <cell r="Q29">
            <v>214</v>
          </cell>
          <cell r="R29">
            <v>53</v>
          </cell>
          <cell r="S29">
            <v>214</v>
          </cell>
          <cell r="T29">
            <v>53</v>
          </cell>
          <cell r="U29">
            <v>214</v>
          </cell>
          <cell r="V29">
            <v>53</v>
          </cell>
          <cell r="W29">
            <v>214</v>
          </cell>
          <cell r="X29">
            <v>53</v>
          </cell>
          <cell r="Y29">
            <v>214</v>
          </cell>
          <cell r="Z29">
            <v>53</v>
          </cell>
          <cell r="AA29"/>
          <cell r="AB29"/>
          <cell r="AC29"/>
          <cell r="AD29">
            <v>4.3999999999999997E-2</v>
          </cell>
          <cell r="AE29"/>
          <cell r="AF29"/>
          <cell r="AG29"/>
          <cell r="AH29"/>
          <cell r="AI29"/>
          <cell r="AJ29"/>
          <cell r="AK29"/>
          <cell r="AL29" t="str">
            <v>１本=4.00m</v>
          </cell>
        </row>
        <row r="30">
          <cell r="E30" t="str">
            <v>VE-16mm</v>
          </cell>
          <cell r="F30" t="str">
            <v>ｍ</v>
          </cell>
          <cell r="G30">
            <v>262</v>
          </cell>
          <cell r="H30">
            <v>65</v>
          </cell>
          <cell r="I30">
            <v>256</v>
          </cell>
          <cell r="J30">
            <v>64</v>
          </cell>
          <cell r="K30">
            <v>256</v>
          </cell>
          <cell r="L30">
            <v>64</v>
          </cell>
          <cell r="M30">
            <v>262</v>
          </cell>
          <cell r="N30">
            <v>65</v>
          </cell>
          <cell r="O30">
            <v>262</v>
          </cell>
          <cell r="P30">
            <v>65</v>
          </cell>
          <cell r="Q30">
            <v>262</v>
          </cell>
          <cell r="R30">
            <v>65</v>
          </cell>
          <cell r="S30">
            <v>262</v>
          </cell>
          <cell r="T30">
            <v>65</v>
          </cell>
          <cell r="U30">
            <v>262</v>
          </cell>
          <cell r="V30">
            <v>65</v>
          </cell>
          <cell r="W30">
            <v>262</v>
          </cell>
          <cell r="X30">
            <v>65</v>
          </cell>
          <cell r="Y30">
            <v>262</v>
          </cell>
          <cell r="Z30">
            <v>65</v>
          </cell>
          <cell r="AA30"/>
          <cell r="AB30"/>
          <cell r="AC30"/>
          <cell r="AD30">
            <v>4.3999999999999997E-2</v>
          </cell>
          <cell r="AE30"/>
          <cell r="AF30"/>
          <cell r="AG30"/>
          <cell r="AH30"/>
          <cell r="AI30"/>
          <cell r="AJ30"/>
          <cell r="AK30"/>
          <cell r="AL30" t="str">
            <v xml:space="preserve">     ↓</v>
          </cell>
        </row>
        <row r="31">
          <cell r="E31" t="str">
            <v>VE-22mm</v>
          </cell>
          <cell r="F31" t="str">
            <v>ｍ</v>
          </cell>
          <cell r="G31">
            <v>308</v>
          </cell>
          <cell r="H31">
            <v>77</v>
          </cell>
          <cell r="I31">
            <v>302</v>
          </cell>
          <cell r="J31">
            <v>75</v>
          </cell>
          <cell r="K31">
            <v>302</v>
          </cell>
          <cell r="L31">
            <v>75</v>
          </cell>
          <cell r="M31">
            <v>308</v>
          </cell>
          <cell r="N31">
            <v>77</v>
          </cell>
          <cell r="O31">
            <v>308</v>
          </cell>
          <cell r="P31">
            <v>77</v>
          </cell>
          <cell r="Q31">
            <v>308</v>
          </cell>
          <cell r="R31">
            <v>77</v>
          </cell>
          <cell r="S31">
            <v>308</v>
          </cell>
          <cell r="T31">
            <v>77</v>
          </cell>
          <cell r="U31">
            <v>308</v>
          </cell>
          <cell r="V31">
            <v>77</v>
          </cell>
          <cell r="W31">
            <v>308</v>
          </cell>
          <cell r="X31">
            <v>77</v>
          </cell>
          <cell r="Y31">
            <v>308</v>
          </cell>
          <cell r="Z31">
            <v>77</v>
          </cell>
          <cell r="AA31"/>
          <cell r="AB31"/>
          <cell r="AC31"/>
          <cell r="AD31">
            <v>5.3999999999999999E-2</v>
          </cell>
          <cell r="AE31"/>
          <cell r="AF31"/>
          <cell r="AG31"/>
          <cell r="AH31"/>
          <cell r="AI31"/>
          <cell r="AJ31"/>
          <cell r="AK31"/>
          <cell r="AL31" t="str">
            <v xml:space="preserve">     ↓</v>
          </cell>
        </row>
        <row r="32">
          <cell r="E32" t="str">
            <v>VE-28mm</v>
          </cell>
          <cell r="F32" t="str">
            <v>ｍ</v>
          </cell>
          <cell r="G32">
            <v>599</v>
          </cell>
          <cell r="H32">
            <v>149</v>
          </cell>
          <cell r="I32">
            <v>587</v>
          </cell>
          <cell r="J32">
            <v>146</v>
          </cell>
          <cell r="K32">
            <v>587</v>
          </cell>
          <cell r="L32">
            <v>146</v>
          </cell>
          <cell r="M32">
            <v>599</v>
          </cell>
          <cell r="N32">
            <v>149</v>
          </cell>
          <cell r="O32">
            <v>599</v>
          </cell>
          <cell r="P32">
            <v>149</v>
          </cell>
          <cell r="Q32">
            <v>599</v>
          </cell>
          <cell r="R32">
            <v>149</v>
          </cell>
          <cell r="S32">
            <v>599</v>
          </cell>
          <cell r="T32">
            <v>149</v>
          </cell>
          <cell r="U32">
            <v>599</v>
          </cell>
          <cell r="V32">
            <v>149</v>
          </cell>
          <cell r="W32">
            <v>599</v>
          </cell>
          <cell r="X32">
            <v>149</v>
          </cell>
          <cell r="Y32">
            <v>599</v>
          </cell>
          <cell r="Z32">
            <v>149</v>
          </cell>
          <cell r="AA32"/>
          <cell r="AB32"/>
          <cell r="AC32"/>
          <cell r="AD32">
            <v>6.4000000000000001E-2</v>
          </cell>
          <cell r="AE32"/>
          <cell r="AF32"/>
          <cell r="AG32"/>
          <cell r="AH32"/>
          <cell r="AI32"/>
          <cell r="AJ32"/>
          <cell r="AK32"/>
          <cell r="AL32" t="str">
            <v xml:space="preserve">     ↓</v>
          </cell>
        </row>
        <row r="33">
          <cell r="E33" t="str">
            <v>VE-36mm</v>
          </cell>
          <cell r="F33" t="str">
            <v>ｍ</v>
          </cell>
          <cell r="G33">
            <v>859</v>
          </cell>
          <cell r="H33">
            <v>214</v>
          </cell>
          <cell r="I33">
            <v>842</v>
          </cell>
          <cell r="J33">
            <v>210</v>
          </cell>
          <cell r="K33">
            <v>842</v>
          </cell>
          <cell r="L33">
            <v>210</v>
          </cell>
          <cell r="M33">
            <v>859</v>
          </cell>
          <cell r="N33">
            <v>214</v>
          </cell>
          <cell r="O33">
            <v>859</v>
          </cell>
          <cell r="P33">
            <v>214</v>
          </cell>
          <cell r="Q33">
            <v>859</v>
          </cell>
          <cell r="R33">
            <v>214</v>
          </cell>
          <cell r="S33">
            <v>859</v>
          </cell>
          <cell r="T33">
            <v>214</v>
          </cell>
          <cell r="U33">
            <v>859</v>
          </cell>
          <cell r="V33">
            <v>214</v>
          </cell>
          <cell r="W33">
            <v>859</v>
          </cell>
          <cell r="X33">
            <v>214</v>
          </cell>
          <cell r="Y33">
            <v>859</v>
          </cell>
          <cell r="Z33">
            <v>214</v>
          </cell>
          <cell r="AA33"/>
          <cell r="AB33"/>
          <cell r="AC33"/>
          <cell r="AD33">
            <v>8.5999999999999993E-2</v>
          </cell>
          <cell r="AE33"/>
          <cell r="AF33"/>
          <cell r="AG33"/>
          <cell r="AH33"/>
          <cell r="AI33"/>
          <cell r="AJ33"/>
          <cell r="AK33"/>
          <cell r="AL33" t="str">
            <v xml:space="preserve">     ↓</v>
          </cell>
        </row>
        <row r="34">
          <cell r="E34" t="str">
            <v>VE-42mm</v>
          </cell>
          <cell r="F34" t="str">
            <v>ｍ</v>
          </cell>
          <cell r="G34">
            <v>1132</v>
          </cell>
          <cell r="H34">
            <v>283</v>
          </cell>
          <cell r="I34">
            <v>1110</v>
          </cell>
          <cell r="J34">
            <v>277</v>
          </cell>
          <cell r="K34">
            <v>1110</v>
          </cell>
          <cell r="L34">
            <v>277</v>
          </cell>
          <cell r="M34">
            <v>1132</v>
          </cell>
          <cell r="N34">
            <v>283</v>
          </cell>
          <cell r="O34">
            <v>1132</v>
          </cell>
          <cell r="P34">
            <v>283</v>
          </cell>
          <cell r="Q34">
            <v>1132</v>
          </cell>
          <cell r="R34">
            <v>283</v>
          </cell>
          <cell r="S34">
            <v>1132</v>
          </cell>
          <cell r="T34">
            <v>283</v>
          </cell>
          <cell r="U34">
            <v>1132</v>
          </cell>
          <cell r="V34">
            <v>283</v>
          </cell>
          <cell r="W34">
            <v>1132</v>
          </cell>
          <cell r="X34">
            <v>283</v>
          </cell>
          <cell r="Y34">
            <v>1132</v>
          </cell>
          <cell r="Z34">
            <v>283</v>
          </cell>
          <cell r="AA34"/>
          <cell r="AB34"/>
          <cell r="AC34"/>
          <cell r="AD34">
            <v>0.108</v>
          </cell>
          <cell r="AE34"/>
          <cell r="AF34"/>
          <cell r="AG34"/>
          <cell r="AH34"/>
          <cell r="AI34"/>
          <cell r="AJ34"/>
          <cell r="AK34"/>
          <cell r="AL34" t="str">
            <v xml:space="preserve">     ↓</v>
          </cell>
        </row>
        <row r="35">
          <cell r="E35" t="str">
            <v>VE-54mm</v>
          </cell>
          <cell r="F35" t="str">
            <v>ｍ</v>
          </cell>
          <cell r="G35">
            <v>1589</v>
          </cell>
          <cell r="H35">
            <v>397</v>
          </cell>
          <cell r="I35">
            <v>1558</v>
          </cell>
          <cell r="J35">
            <v>389</v>
          </cell>
          <cell r="K35">
            <v>1558</v>
          </cell>
          <cell r="L35">
            <v>389</v>
          </cell>
          <cell r="M35">
            <v>1589</v>
          </cell>
          <cell r="N35">
            <v>397</v>
          </cell>
          <cell r="O35">
            <v>1589</v>
          </cell>
          <cell r="P35">
            <v>397</v>
          </cell>
          <cell r="Q35">
            <v>1589</v>
          </cell>
          <cell r="R35">
            <v>397</v>
          </cell>
          <cell r="S35">
            <v>1589</v>
          </cell>
          <cell r="T35">
            <v>397</v>
          </cell>
          <cell r="U35">
            <v>1589</v>
          </cell>
          <cell r="V35">
            <v>397</v>
          </cell>
          <cell r="W35">
            <v>1589</v>
          </cell>
          <cell r="X35">
            <v>397</v>
          </cell>
          <cell r="Y35">
            <v>1589</v>
          </cell>
          <cell r="Z35">
            <v>397</v>
          </cell>
          <cell r="AA35"/>
          <cell r="AB35"/>
          <cell r="AC35"/>
          <cell r="AD35">
            <v>0.13</v>
          </cell>
          <cell r="AE35"/>
          <cell r="AF35"/>
          <cell r="AG35"/>
          <cell r="AH35"/>
          <cell r="AI35"/>
          <cell r="AJ35"/>
          <cell r="AK35"/>
          <cell r="AL35" t="str">
            <v xml:space="preserve">     ↓</v>
          </cell>
        </row>
        <row r="36">
          <cell r="E36" t="str">
            <v>VE-70mm</v>
          </cell>
          <cell r="F36" t="str">
            <v>ｍ</v>
          </cell>
          <cell r="G36">
            <v>2033</v>
          </cell>
          <cell r="H36">
            <v>508</v>
          </cell>
          <cell r="I36">
            <v>1993</v>
          </cell>
          <cell r="J36">
            <v>498</v>
          </cell>
          <cell r="K36">
            <v>1993</v>
          </cell>
          <cell r="L36">
            <v>498</v>
          </cell>
          <cell r="M36">
            <v>2033</v>
          </cell>
          <cell r="N36">
            <v>508</v>
          </cell>
          <cell r="O36">
            <v>2033</v>
          </cell>
          <cell r="P36">
            <v>508</v>
          </cell>
          <cell r="Q36">
            <v>2033</v>
          </cell>
          <cell r="R36">
            <v>508</v>
          </cell>
          <cell r="S36">
            <v>2033</v>
          </cell>
          <cell r="T36">
            <v>508</v>
          </cell>
          <cell r="U36">
            <v>2033</v>
          </cell>
          <cell r="V36">
            <v>508</v>
          </cell>
          <cell r="W36">
            <v>2033</v>
          </cell>
          <cell r="X36">
            <v>508</v>
          </cell>
          <cell r="Y36">
            <v>2033</v>
          </cell>
          <cell r="Z36">
            <v>508</v>
          </cell>
          <cell r="AA36"/>
          <cell r="AB36"/>
          <cell r="AC36"/>
          <cell r="AD36">
            <v>0.16200000000000001</v>
          </cell>
          <cell r="AE36"/>
          <cell r="AF36"/>
          <cell r="AG36"/>
          <cell r="AH36"/>
          <cell r="AI36"/>
          <cell r="AJ36"/>
          <cell r="AK36"/>
          <cell r="AL36" t="str">
            <v xml:space="preserve">     ↓</v>
          </cell>
        </row>
        <row r="37">
          <cell r="E37" t="str">
            <v>VE-82mm</v>
          </cell>
          <cell r="F37" t="str">
            <v>ｍ</v>
          </cell>
          <cell r="G37">
            <v>3111</v>
          </cell>
          <cell r="H37">
            <v>777</v>
          </cell>
          <cell r="I37">
            <v>3050</v>
          </cell>
          <cell r="J37">
            <v>762</v>
          </cell>
          <cell r="K37">
            <v>3050</v>
          </cell>
          <cell r="L37">
            <v>762</v>
          </cell>
          <cell r="M37">
            <v>3111</v>
          </cell>
          <cell r="N37">
            <v>777</v>
          </cell>
          <cell r="O37">
            <v>3111</v>
          </cell>
          <cell r="P37">
            <v>777</v>
          </cell>
          <cell r="Q37">
            <v>3111</v>
          </cell>
          <cell r="R37">
            <v>777</v>
          </cell>
          <cell r="S37">
            <v>3111</v>
          </cell>
          <cell r="T37">
            <v>777</v>
          </cell>
          <cell r="U37">
            <v>3111</v>
          </cell>
          <cell r="V37">
            <v>777</v>
          </cell>
          <cell r="W37">
            <v>3111</v>
          </cell>
          <cell r="X37">
            <v>777</v>
          </cell>
          <cell r="Y37">
            <v>3111</v>
          </cell>
          <cell r="Z37">
            <v>777</v>
          </cell>
          <cell r="AA37"/>
          <cell r="AB37"/>
          <cell r="AC37"/>
          <cell r="AD37">
            <v>0.19400000000000001</v>
          </cell>
          <cell r="AE37"/>
          <cell r="AF37"/>
          <cell r="AG37"/>
          <cell r="AH37"/>
          <cell r="AI37"/>
          <cell r="AJ37"/>
          <cell r="AK37"/>
          <cell r="AL37" t="str">
            <v xml:space="preserve">     ↓</v>
          </cell>
        </row>
        <row r="38">
          <cell r="E38" t="str">
            <v>HIVE-14mm</v>
          </cell>
          <cell r="F38" t="str">
            <v>ｍ</v>
          </cell>
          <cell r="G38">
            <v>291</v>
          </cell>
          <cell r="H38">
            <v>72</v>
          </cell>
          <cell r="I38">
            <v>285</v>
          </cell>
          <cell r="J38">
            <v>71</v>
          </cell>
          <cell r="K38">
            <v>285</v>
          </cell>
          <cell r="L38">
            <v>71</v>
          </cell>
          <cell r="M38">
            <v>291</v>
          </cell>
          <cell r="N38">
            <v>72</v>
          </cell>
          <cell r="O38">
            <v>291</v>
          </cell>
          <cell r="P38">
            <v>72</v>
          </cell>
          <cell r="Q38">
            <v>291</v>
          </cell>
          <cell r="R38">
            <v>72</v>
          </cell>
          <cell r="S38">
            <v>291</v>
          </cell>
          <cell r="T38">
            <v>72</v>
          </cell>
          <cell r="U38">
            <v>291</v>
          </cell>
          <cell r="V38">
            <v>72</v>
          </cell>
          <cell r="W38">
            <v>291</v>
          </cell>
          <cell r="X38">
            <v>72</v>
          </cell>
          <cell r="Y38">
            <v>291</v>
          </cell>
          <cell r="Z38">
            <v>72</v>
          </cell>
          <cell r="AA38"/>
          <cell r="AB38"/>
          <cell r="AC38"/>
          <cell r="AD38">
            <v>4.3999999999999997E-2</v>
          </cell>
          <cell r="AE38"/>
          <cell r="AF38"/>
          <cell r="AG38"/>
          <cell r="AH38"/>
          <cell r="AI38"/>
          <cell r="AJ38"/>
          <cell r="AK38"/>
          <cell r="AL38" t="str">
            <v>１本=4.00m</v>
          </cell>
        </row>
        <row r="39">
          <cell r="E39" t="str">
            <v>HIVE-16mm</v>
          </cell>
          <cell r="F39" t="str">
            <v>ｍ</v>
          </cell>
          <cell r="G39">
            <v>357</v>
          </cell>
          <cell r="H39">
            <v>89</v>
          </cell>
          <cell r="I39">
            <v>349</v>
          </cell>
          <cell r="J39">
            <v>87</v>
          </cell>
          <cell r="K39">
            <v>349</v>
          </cell>
          <cell r="L39">
            <v>87</v>
          </cell>
          <cell r="M39">
            <v>357</v>
          </cell>
          <cell r="N39">
            <v>89</v>
          </cell>
          <cell r="O39">
            <v>357</v>
          </cell>
          <cell r="P39">
            <v>89</v>
          </cell>
          <cell r="Q39">
            <v>357</v>
          </cell>
          <cell r="R39">
            <v>89</v>
          </cell>
          <cell r="S39">
            <v>357</v>
          </cell>
          <cell r="T39">
            <v>89</v>
          </cell>
          <cell r="U39">
            <v>357</v>
          </cell>
          <cell r="V39">
            <v>89</v>
          </cell>
          <cell r="W39">
            <v>357</v>
          </cell>
          <cell r="X39">
            <v>89</v>
          </cell>
          <cell r="Y39">
            <v>357</v>
          </cell>
          <cell r="Z39">
            <v>89</v>
          </cell>
          <cell r="AA39"/>
          <cell r="AB39"/>
          <cell r="AC39"/>
          <cell r="AD39">
            <v>4.3999999999999997E-2</v>
          </cell>
          <cell r="AE39"/>
          <cell r="AF39"/>
          <cell r="AG39"/>
          <cell r="AH39"/>
          <cell r="AI39"/>
          <cell r="AJ39"/>
          <cell r="AK39"/>
          <cell r="AL39" t="str">
            <v xml:space="preserve">     ↓</v>
          </cell>
        </row>
        <row r="40">
          <cell r="E40" t="str">
            <v>HIVE-22mm</v>
          </cell>
          <cell r="F40" t="str">
            <v>ｍ</v>
          </cell>
          <cell r="G40">
            <v>421</v>
          </cell>
          <cell r="H40">
            <v>105</v>
          </cell>
          <cell r="I40">
            <v>412</v>
          </cell>
          <cell r="J40">
            <v>103</v>
          </cell>
          <cell r="K40">
            <v>412</v>
          </cell>
          <cell r="L40">
            <v>103</v>
          </cell>
          <cell r="M40">
            <v>421</v>
          </cell>
          <cell r="N40">
            <v>105</v>
          </cell>
          <cell r="O40">
            <v>421</v>
          </cell>
          <cell r="P40">
            <v>105</v>
          </cell>
          <cell r="Q40">
            <v>421</v>
          </cell>
          <cell r="R40">
            <v>105</v>
          </cell>
          <cell r="S40">
            <v>421</v>
          </cell>
          <cell r="T40">
            <v>105</v>
          </cell>
          <cell r="U40">
            <v>421</v>
          </cell>
          <cell r="V40">
            <v>105</v>
          </cell>
          <cell r="W40">
            <v>421</v>
          </cell>
          <cell r="X40">
            <v>105</v>
          </cell>
          <cell r="Y40">
            <v>421</v>
          </cell>
          <cell r="Z40">
            <v>105</v>
          </cell>
          <cell r="AA40"/>
          <cell r="AB40"/>
          <cell r="AC40"/>
          <cell r="AD40">
            <v>5.3999999999999999E-2</v>
          </cell>
          <cell r="AE40"/>
          <cell r="AF40"/>
          <cell r="AG40"/>
          <cell r="AH40"/>
          <cell r="AI40"/>
          <cell r="AJ40"/>
          <cell r="AK40"/>
          <cell r="AL40" t="str">
            <v xml:space="preserve">     ↓</v>
          </cell>
        </row>
        <row r="41">
          <cell r="E41" t="str">
            <v>HIVE-28mm</v>
          </cell>
          <cell r="F41" t="str">
            <v>ｍ</v>
          </cell>
          <cell r="G41">
            <v>819</v>
          </cell>
          <cell r="H41">
            <v>204</v>
          </cell>
          <cell r="I41">
            <v>803</v>
          </cell>
          <cell r="J41">
            <v>200</v>
          </cell>
          <cell r="K41">
            <v>803</v>
          </cell>
          <cell r="L41">
            <v>200</v>
          </cell>
          <cell r="M41">
            <v>819</v>
          </cell>
          <cell r="N41">
            <v>204</v>
          </cell>
          <cell r="O41">
            <v>819</v>
          </cell>
          <cell r="P41">
            <v>204</v>
          </cell>
          <cell r="Q41">
            <v>819</v>
          </cell>
          <cell r="R41">
            <v>204</v>
          </cell>
          <cell r="S41">
            <v>819</v>
          </cell>
          <cell r="T41">
            <v>204</v>
          </cell>
          <cell r="U41">
            <v>819</v>
          </cell>
          <cell r="V41">
            <v>204</v>
          </cell>
          <cell r="W41">
            <v>819</v>
          </cell>
          <cell r="X41">
            <v>204</v>
          </cell>
          <cell r="Y41">
            <v>819</v>
          </cell>
          <cell r="Z41">
            <v>204</v>
          </cell>
          <cell r="AA41"/>
          <cell r="AB41"/>
          <cell r="AC41"/>
          <cell r="AD41">
            <v>6.4000000000000001E-2</v>
          </cell>
          <cell r="AE41"/>
          <cell r="AF41"/>
          <cell r="AG41"/>
          <cell r="AH41"/>
          <cell r="AI41"/>
          <cell r="AJ41"/>
          <cell r="AK41"/>
          <cell r="AL41" t="str">
            <v xml:space="preserve">     ↓</v>
          </cell>
        </row>
        <row r="42">
          <cell r="E42" t="str">
            <v>HIVE-36mm</v>
          </cell>
          <cell r="F42" t="str">
            <v>ｍ</v>
          </cell>
          <cell r="G42">
            <v>1177</v>
          </cell>
          <cell r="H42">
            <v>294</v>
          </cell>
          <cell r="I42">
            <v>1154</v>
          </cell>
          <cell r="J42">
            <v>288</v>
          </cell>
          <cell r="K42">
            <v>1154</v>
          </cell>
          <cell r="L42">
            <v>288</v>
          </cell>
          <cell r="M42">
            <v>1177</v>
          </cell>
          <cell r="N42">
            <v>294</v>
          </cell>
          <cell r="O42">
            <v>1177</v>
          </cell>
          <cell r="P42">
            <v>294</v>
          </cell>
          <cell r="Q42">
            <v>1177</v>
          </cell>
          <cell r="R42">
            <v>294</v>
          </cell>
          <cell r="S42">
            <v>1177</v>
          </cell>
          <cell r="T42">
            <v>294</v>
          </cell>
          <cell r="U42">
            <v>1177</v>
          </cell>
          <cell r="V42">
            <v>294</v>
          </cell>
          <cell r="W42">
            <v>1177</v>
          </cell>
          <cell r="X42">
            <v>294</v>
          </cell>
          <cell r="Y42">
            <v>1177</v>
          </cell>
          <cell r="Z42">
            <v>294</v>
          </cell>
          <cell r="AA42"/>
          <cell r="AB42"/>
          <cell r="AC42"/>
          <cell r="AD42">
            <v>8.5999999999999993E-2</v>
          </cell>
          <cell r="AE42"/>
          <cell r="AF42"/>
          <cell r="AG42"/>
          <cell r="AH42"/>
          <cell r="AI42"/>
          <cell r="AJ42"/>
          <cell r="AK42"/>
          <cell r="AL42" t="str">
            <v xml:space="preserve">     ↓</v>
          </cell>
        </row>
        <row r="43">
          <cell r="E43" t="str">
            <v>HIVE-42mm</v>
          </cell>
          <cell r="F43" t="str">
            <v>ｍ</v>
          </cell>
          <cell r="G43">
            <v>1567</v>
          </cell>
          <cell r="H43">
            <v>391</v>
          </cell>
          <cell r="I43">
            <v>1526</v>
          </cell>
          <cell r="J43">
            <v>381</v>
          </cell>
          <cell r="K43">
            <v>1526</v>
          </cell>
          <cell r="L43">
            <v>381</v>
          </cell>
          <cell r="M43">
            <v>1567</v>
          </cell>
          <cell r="N43">
            <v>391</v>
          </cell>
          <cell r="O43">
            <v>1567</v>
          </cell>
          <cell r="P43">
            <v>391</v>
          </cell>
          <cell r="Q43">
            <v>1567</v>
          </cell>
          <cell r="R43">
            <v>391</v>
          </cell>
          <cell r="S43">
            <v>1567</v>
          </cell>
          <cell r="T43">
            <v>391</v>
          </cell>
          <cell r="U43">
            <v>1567</v>
          </cell>
          <cell r="V43">
            <v>391</v>
          </cell>
          <cell r="W43">
            <v>1567</v>
          </cell>
          <cell r="X43">
            <v>391</v>
          </cell>
          <cell r="Y43">
            <v>1567</v>
          </cell>
          <cell r="Z43">
            <v>391</v>
          </cell>
          <cell r="AA43"/>
          <cell r="AB43"/>
          <cell r="AC43"/>
          <cell r="AD43">
            <v>0.108</v>
          </cell>
          <cell r="AE43"/>
          <cell r="AF43"/>
          <cell r="AG43"/>
          <cell r="AH43"/>
          <cell r="AI43"/>
          <cell r="AJ43"/>
          <cell r="AK43"/>
          <cell r="AL43" t="str">
            <v xml:space="preserve">     ↓</v>
          </cell>
        </row>
        <row r="44">
          <cell r="E44" t="str">
            <v>HIVE-54mm</v>
          </cell>
          <cell r="F44" t="str">
            <v>ｍ</v>
          </cell>
          <cell r="G44">
            <v>2193</v>
          </cell>
          <cell r="H44">
            <v>548</v>
          </cell>
          <cell r="I44">
            <v>2150</v>
          </cell>
          <cell r="J44">
            <v>537</v>
          </cell>
          <cell r="K44">
            <v>2150</v>
          </cell>
          <cell r="L44">
            <v>537</v>
          </cell>
          <cell r="M44">
            <v>2193</v>
          </cell>
          <cell r="N44">
            <v>548</v>
          </cell>
          <cell r="O44">
            <v>2193</v>
          </cell>
          <cell r="P44">
            <v>548</v>
          </cell>
          <cell r="Q44">
            <v>2193</v>
          </cell>
          <cell r="R44">
            <v>548</v>
          </cell>
          <cell r="S44">
            <v>2193</v>
          </cell>
          <cell r="T44">
            <v>548</v>
          </cell>
          <cell r="U44">
            <v>2193</v>
          </cell>
          <cell r="V44">
            <v>548</v>
          </cell>
          <cell r="W44">
            <v>2193</v>
          </cell>
          <cell r="X44">
            <v>548</v>
          </cell>
          <cell r="Y44">
            <v>2193</v>
          </cell>
          <cell r="Z44">
            <v>548</v>
          </cell>
          <cell r="AA44"/>
          <cell r="AB44"/>
          <cell r="AC44"/>
          <cell r="AD44">
            <v>0.13</v>
          </cell>
          <cell r="AE44"/>
          <cell r="AF44"/>
          <cell r="AG44"/>
          <cell r="AH44"/>
          <cell r="AI44"/>
          <cell r="AJ44"/>
          <cell r="AK44"/>
          <cell r="AL44" t="str">
            <v xml:space="preserve">     ↓</v>
          </cell>
        </row>
        <row r="45">
          <cell r="E45" t="str">
            <v>HIVE-70mm</v>
          </cell>
          <cell r="F45" t="str">
            <v>ｍ</v>
          </cell>
          <cell r="G45">
            <v>2791</v>
          </cell>
          <cell r="H45">
            <v>697</v>
          </cell>
          <cell r="I45">
            <v>2736</v>
          </cell>
          <cell r="J45">
            <v>684</v>
          </cell>
          <cell r="K45">
            <v>2736</v>
          </cell>
          <cell r="L45">
            <v>684</v>
          </cell>
          <cell r="M45">
            <v>2791</v>
          </cell>
          <cell r="N45">
            <v>697</v>
          </cell>
          <cell r="O45">
            <v>2791</v>
          </cell>
          <cell r="P45">
            <v>697</v>
          </cell>
          <cell r="Q45">
            <v>2791</v>
          </cell>
          <cell r="R45">
            <v>697</v>
          </cell>
          <cell r="S45">
            <v>2791</v>
          </cell>
          <cell r="T45">
            <v>697</v>
          </cell>
          <cell r="U45">
            <v>2791</v>
          </cell>
          <cell r="V45">
            <v>697</v>
          </cell>
          <cell r="W45">
            <v>2791</v>
          </cell>
          <cell r="X45">
            <v>697</v>
          </cell>
          <cell r="Y45">
            <v>2791</v>
          </cell>
          <cell r="Z45">
            <v>697</v>
          </cell>
          <cell r="AA45"/>
          <cell r="AB45"/>
          <cell r="AC45"/>
          <cell r="AD45">
            <v>0.16200000000000001</v>
          </cell>
          <cell r="AE45"/>
          <cell r="AF45"/>
          <cell r="AG45"/>
          <cell r="AH45"/>
          <cell r="AI45"/>
          <cell r="AJ45"/>
          <cell r="AK45"/>
          <cell r="AL45" t="str">
            <v xml:space="preserve">     ↓</v>
          </cell>
        </row>
        <row r="46">
          <cell r="E46" t="str">
            <v>HIVE-82mm</v>
          </cell>
          <cell r="F46" t="str">
            <v>ｍ</v>
          </cell>
          <cell r="G46">
            <v>4287</v>
          </cell>
          <cell r="H46">
            <v>1071</v>
          </cell>
          <cell r="I46">
            <v>4203</v>
          </cell>
          <cell r="J46">
            <v>1050</v>
          </cell>
          <cell r="K46">
            <v>4203</v>
          </cell>
          <cell r="L46">
            <v>1050</v>
          </cell>
          <cell r="M46">
            <v>4287</v>
          </cell>
          <cell r="N46">
            <v>1071</v>
          </cell>
          <cell r="O46">
            <v>4287</v>
          </cell>
          <cell r="P46">
            <v>1071</v>
          </cell>
          <cell r="Q46">
            <v>4287</v>
          </cell>
          <cell r="R46">
            <v>1071</v>
          </cell>
          <cell r="S46">
            <v>4287</v>
          </cell>
          <cell r="T46">
            <v>1071</v>
          </cell>
          <cell r="U46">
            <v>4287</v>
          </cell>
          <cell r="V46">
            <v>1071</v>
          </cell>
          <cell r="W46">
            <v>4287</v>
          </cell>
          <cell r="X46">
            <v>1071</v>
          </cell>
          <cell r="Y46">
            <v>4287</v>
          </cell>
          <cell r="Z46">
            <v>1071</v>
          </cell>
          <cell r="AA46"/>
          <cell r="AB46"/>
          <cell r="AC46"/>
          <cell r="AD46">
            <v>0.19400000000000001</v>
          </cell>
          <cell r="AE46"/>
          <cell r="AF46"/>
          <cell r="AG46"/>
          <cell r="AH46"/>
          <cell r="AI46"/>
          <cell r="AJ46"/>
          <cell r="AK46"/>
          <cell r="AL46" t="str">
            <v xml:space="preserve">     ↓</v>
          </cell>
        </row>
        <row r="47">
          <cell r="E47" t="str">
            <v>MCCP- 50A (伸縮継手付き)</v>
          </cell>
          <cell r="F47" t="str">
            <v>ｍ</v>
          </cell>
          <cell r="G47">
            <v>14700</v>
          </cell>
          <cell r="H47">
            <v>2672</v>
          </cell>
          <cell r="I47">
            <v>14700</v>
          </cell>
          <cell r="J47">
            <v>2672</v>
          </cell>
          <cell r="K47">
            <v>14700</v>
          </cell>
          <cell r="L47">
            <v>2672</v>
          </cell>
          <cell r="M47">
            <v>14700</v>
          </cell>
          <cell r="N47">
            <v>2672</v>
          </cell>
          <cell r="O47">
            <v>14700</v>
          </cell>
          <cell r="P47">
            <v>2672</v>
          </cell>
          <cell r="Q47">
            <v>14700</v>
          </cell>
          <cell r="R47">
            <v>2672</v>
          </cell>
          <cell r="S47">
            <v>14700</v>
          </cell>
          <cell r="T47">
            <v>2672</v>
          </cell>
          <cell r="U47">
            <v>14700</v>
          </cell>
          <cell r="V47">
            <v>2672</v>
          </cell>
          <cell r="W47">
            <v>14700</v>
          </cell>
          <cell r="X47">
            <v>2672</v>
          </cell>
          <cell r="Y47">
            <v>14700</v>
          </cell>
          <cell r="Z47">
            <v>2672</v>
          </cell>
          <cell r="AA47"/>
          <cell r="AB47"/>
          <cell r="AC47"/>
          <cell r="AD47">
            <v>0.161</v>
          </cell>
          <cell r="AE47"/>
          <cell r="AF47"/>
          <cell r="AG47"/>
          <cell r="AH47"/>
          <cell r="AI47"/>
          <cell r="AJ47"/>
          <cell r="AK47"/>
          <cell r="AL47" t="str">
            <v>１本=5.50m</v>
          </cell>
        </row>
        <row r="48">
          <cell r="E48" t="str">
            <v>MCCP- 80A (伸縮継手付き)</v>
          </cell>
          <cell r="F48" t="str">
            <v>ｍ</v>
          </cell>
          <cell r="G48">
            <v>19900</v>
          </cell>
          <cell r="H48">
            <v>3618</v>
          </cell>
          <cell r="I48">
            <v>19900</v>
          </cell>
          <cell r="J48">
            <v>3618</v>
          </cell>
          <cell r="K48">
            <v>19900</v>
          </cell>
          <cell r="L48">
            <v>3618</v>
          </cell>
          <cell r="M48">
            <v>19900</v>
          </cell>
          <cell r="N48">
            <v>3618</v>
          </cell>
          <cell r="O48">
            <v>19900</v>
          </cell>
          <cell r="P48">
            <v>3618</v>
          </cell>
          <cell r="Q48">
            <v>19900</v>
          </cell>
          <cell r="R48">
            <v>3618</v>
          </cell>
          <cell r="S48">
            <v>19900</v>
          </cell>
          <cell r="T48">
            <v>3618</v>
          </cell>
          <cell r="U48">
            <v>19900</v>
          </cell>
          <cell r="V48">
            <v>3618</v>
          </cell>
          <cell r="W48">
            <v>19900</v>
          </cell>
          <cell r="X48">
            <v>3618</v>
          </cell>
          <cell r="Y48">
            <v>19900</v>
          </cell>
          <cell r="Z48">
            <v>3618</v>
          </cell>
          <cell r="AA48"/>
          <cell r="AB48"/>
          <cell r="AC48"/>
          <cell r="AD48">
            <v>0.26100000000000001</v>
          </cell>
          <cell r="AE48"/>
          <cell r="AF48"/>
          <cell r="AG48"/>
          <cell r="AH48"/>
          <cell r="AI48"/>
          <cell r="AJ48"/>
          <cell r="AK48"/>
          <cell r="AL48" t="str">
            <v xml:space="preserve">     ↓</v>
          </cell>
        </row>
        <row r="49">
          <cell r="E49" t="str">
            <v>MCCP-100A (伸縮継手付き)</v>
          </cell>
          <cell r="F49" t="str">
            <v>ｍ</v>
          </cell>
          <cell r="G49">
            <v>31200</v>
          </cell>
          <cell r="H49">
            <v>5672</v>
          </cell>
          <cell r="I49">
            <v>31200</v>
          </cell>
          <cell r="J49">
            <v>5672</v>
          </cell>
          <cell r="K49">
            <v>31200</v>
          </cell>
          <cell r="L49">
            <v>5672</v>
          </cell>
          <cell r="M49">
            <v>31200</v>
          </cell>
          <cell r="N49">
            <v>5672</v>
          </cell>
          <cell r="O49">
            <v>31200</v>
          </cell>
          <cell r="P49">
            <v>5672</v>
          </cell>
          <cell r="Q49">
            <v>31200</v>
          </cell>
          <cell r="R49">
            <v>5672</v>
          </cell>
          <cell r="S49">
            <v>31200</v>
          </cell>
          <cell r="T49">
            <v>5672</v>
          </cell>
          <cell r="U49">
            <v>31200</v>
          </cell>
          <cell r="V49">
            <v>5672</v>
          </cell>
          <cell r="W49">
            <v>31200</v>
          </cell>
          <cell r="X49">
            <v>5672</v>
          </cell>
          <cell r="Y49">
            <v>31200</v>
          </cell>
          <cell r="Z49">
            <v>5672</v>
          </cell>
          <cell r="AA49"/>
          <cell r="AB49"/>
          <cell r="AC49"/>
          <cell r="AD49">
            <v>0.34699999999999998</v>
          </cell>
          <cell r="AE49"/>
          <cell r="AF49"/>
          <cell r="AG49"/>
          <cell r="AH49"/>
          <cell r="AI49"/>
          <cell r="AJ49"/>
          <cell r="AK49"/>
          <cell r="AL49" t="str">
            <v xml:space="preserve">     ↓</v>
          </cell>
        </row>
        <row r="50">
          <cell r="E50" t="str">
            <v>MCCP-125A (伸縮継手付き)</v>
          </cell>
          <cell r="F50" t="str">
            <v>ｍ</v>
          </cell>
          <cell r="G50">
            <v>32800</v>
          </cell>
          <cell r="H50">
            <v>5963</v>
          </cell>
          <cell r="I50">
            <v>32800</v>
          </cell>
          <cell r="J50">
            <v>5963</v>
          </cell>
          <cell r="K50">
            <v>32800</v>
          </cell>
          <cell r="L50">
            <v>5963</v>
          </cell>
          <cell r="M50">
            <v>32800</v>
          </cell>
          <cell r="N50">
            <v>5963</v>
          </cell>
          <cell r="O50">
            <v>32800</v>
          </cell>
          <cell r="P50">
            <v>5963</v>
          </cell>
          <cell r="Q50">
            <v>32800</v>
          </cell>
          <cell r="R50">
            <v>5963</v>
          </cell>
          <cell r="S50">
            <v>32800</v>
          </cell>
          <cell r="T50">
            <v>5963</v>
          </cell>
          <cell r="U50">
            <v>32800</v>
          </cell>
          <cell r="V50">
            <v>5963</v>
          </cell>
          <cell r="W50">
            <v>32800</v>
          </cell>
          <cell r="X50">
            <v>5963</v>
          </cell>
          <cell r="Y50">
            <v>32800</v>
          </cell>
          <cell r="Z50">
            <v>5963</v>
          </cell>
          <cell r="AA50"/>
          <cell r="AB50"/>
          <cell r="AC50"/>
          <cell r="AD50">
            <v>0.433</v>
          </cell>
          <cell r="AE50"/>
          <cell r="AF50"/>
          <cell r="AG50"/>
          <cell r="AH50"/>
          <cell r="AI50"/>
          <cell r="AJ50"/>
          <cell r="AK50"/>
          <cell r="AL50" t="str">
            <v xml:space="preserve">     ↓</v>
          </cell>
        </row>
        <row r="51">
          <cell r="E51" t="str">
            <v>MCCP- 50A固定</v>
          </cell>
          <cell r="F51" t="str">
            <v>ｍ</v>
          </cell>
          <cell r="G51">
            <v>14100</v>
          </cell>
          <cell r="H51">
            <v>2563</v>
          </cell>
          <cell r="I51">
            <v>14100</v>
          </cell>
          <cell r="J51">
            <v>2563</v>
          </cell>
          <cell r="K51">
            <v>14100</v>
          </cell>
          <cell r="L51">
            <v>2563</v>
          </cell>
          <cell r="M51">
            <v>14100</v>
          </cell>
          <cell r="N51">
            <v>2563</v>
          </cell>
          <cell r="O51">
            <v>14100</v>
          </cell>
          <cell r="P51">
            <v>2563</v>
          </cell>
          <cell r="Q51">
            <v>14100</v>
          </cell>
          <cell r="R51">
            <v>2563</v>
          </cell>
          <cell r="S51">
            <v>14100</v>
          </cell>
          <cell r="T51">
            <v>2563</v>
          </cell>
          <cell r="U51">
            <v>14100</v>
          </cell>
          <cell r="V51">
            <v>2563</v>
          </cell>
          <cell r="W51">
            <v>14100</v>
          </cell>
          <cell r="X51">
            <v>2563</v>
          </cell>
          <cell r="Y51">
            <v>14100</v>
          </cell>
          <cell r="Z51">
            <v>2563</v>
          </cell>
          <cell r="AA51"/>
          <cell r="AB51"/>
          <cell r="AC51"/>
          <cell r="AD51">
            <v>0.161</v>
          </cell>
          <cell r="AE51"/>
          <cell r="AF51"/>
          <cell r="AG51"/>
          <cell r="AH51"/>
          <cell r="AI51"/>
          <cell r="AJ51"/>
          <cell r="AK51"/>
          <cell r="AL51" t="str">
            <v xml:space="preserve">     ↓</v>
          </cell>
        </row>
        <row r="52">
          <cell r="E52" t="str">
            <v>FEP- 30mm</v>
          </cell>
          <cell r="F52" t="str">
            <v>ｍ</v>
          </cell>
          <cell r="G52"/>
          <cell r="H52">
            <v>224</v>
          </cell>
          <cell r="I52"/>
          <cell r="J52">
            <v>224</v>
          </cell>
          <cell r="K52"/>
          <cell r="L52">
            <v>219</v>
          </cell>
          <cell r="M52"/>
          <cell r="N52">
            <v>219</v>
          </cell>
          <cell r="O52"/>
          <cell r="P52">
            <v>219</v>
          </cell>
          <cell r="Q52"/>
          <cell r="R52">
            <v>224</v>
          </cell>
          <cell r="S52"/>
          <cell r="T52">
            <v>224</v>
          </cell>
          <cell r="U52"/>
          <cell r="V52">
            <v>219</v>
          </cell>
          <cell r="W52"/>
          <cell r="X52">
            <v>224</v>
          </cell>
          <cell r="Y52"/>
          <cell r="Z52">
            <v>239</v>
          </cell>
          <cell r="AA52"/>
          <cell r="AB52"/>
          <cell r="AC52"/>
          <cell r="AD52">
            <v>3.6999999999999998E-2</v>
          </cell>
          <cell r="AE52"/>
          <cell r="AF52"/>
          <cell r="AG52"/>
          <cell r="AH52"/>
          <cell r="AI52"/>
          <cell r="AJ52"/>
          <cell r="AK52"/>
          <cell r="AL52"/>
        </row>
        <row r="53">
          <cell r="E53" t="str">
            <v>FEP- 40mm</v>
          </cell>
          <cell r="F53" t="str">
            <v>ｍ</v>
          </cell>
          <cell r="G53"/>
          <cell r="H53">
            <v>246</v>
          </cell>
          <cell r="I53"/>
          <cell r="J53">
            <v>246</v>
          </cell>
          <cell r="K53"/>
          <cell r="L53">
            <v>240</v>
          </cell>
          <cell r="M53"/>
          <cell r="N53">
            <v>240</v>
          </cell>
          <cell r="O53"/>
          <cell r="P53">
            <v>240</v>
          </cell>
          <cell r="Q53"/>
          <cell r="R53">
            <v>246</v>
          </cell>
          <cell r="S53"/>
          <cell r="T53">
            <v>246</v>
          </cell>
          <cell r="U53"/>
          <cell r="V53">
            <v>240</v>
          </cell>
          <cell r="W53"/>
          <cell r="X53">
            <v>246</v>
          </cell>
          <cell r="Y53"/>
          <cell r="Z53">
            <v>263</v>
          </cell>
          <cell r="AA53"/>
          <cell r="AB53"/>
          <cell r="AC53"/>
          <cell r="AD53">
            <v>4.3999999999999997E-2</v>
          </cell>
          <cell r="AE53"/>
          <cell r="AF53"/>
          <cell r="AG53"/>
          <cell r="AH53"/>
          <cell r="AI53"/>
          <cell r="AJ53"/>
          <cell r="AK53"/>
          <cell r="AL53"/>
        </row>
        <row r="54">
          <cell r="E54" t="str">
            <v>FEP- 50mm</v>
          </cell>
          <cell r="F54" t="str">
            <v>ｍ</v>
          </cell>
          <cell r="G54"/>
          <cell r="H54">
            <v>290</v>
          </cell>
          <cell r="I54"/>
          <cell r="J54">
            <v>290</v>
          </cell>
          <cell r="K54"/>
          <cell r="L54">
            <v>283</v>
          </cell>
          <cell r="M54"/>
          <cell r="N54">
            <v>283</v>
          </cell>
          <cell r="O54"/>
          <cell r="P54">
            <v>283</v>
          </cell>
          <cell r="Q54"/>
          <cell r="R54">
            <v>290</v>
          </cell>
          <cell r="S54"/>
          <cell r="T54">
            <v>290</v>
          </cell>
          <cell r="U54"/>
          <cell r="V54">
            <v>283</v>
          </cell>
          <cell r="W54"/>
          <cell r="X54">
            <v>290</v>
          </cell>
          <cell r="Y54"/>
          <cell r="Z54">
            <v>310</v>
          </cell>
          <cell r="AA54"/>
          <cell r="AB54"/>
          <cell r="AC54"/>
          <cell r="AD54">
            <v>0.05</v>
          </cell>
          <cell r="AE54"/>
          <cell r="AF54"/>
          <cell r="AG54"/>
          <cell r="AH54"/>
          <cell r="AI54"/>
          <cell r="AJ54"/>
          <cell r="AK54"/>
          <cell r="AL54"/>
        </row>
        <row r="55">
          <cell r="E55" t="str">
            <v>FEP- 65mm</v>
          </cell>
          <cell r="F55" t="str">
            <v>ｍ</v>
          </cell>
          <cell r="G55"/>
          <cell r="H55">
            <v>356</v>
          </cell>
          <cell r="I55"/>
          <cell r="J55">
            <v>356</v>
          </cell>
          <cell r="K55"/>
          <cell r="L55">
            <v>348</v>
          </cell>
          <cell r="M55"/>
          <cell r="N55">
            <v>348</v>
          </cell>
          <cell r="O55"/>
          <cell r="P55">
            <v>348</v>
          </cell>
          <cell r="Q55"/>
          <cell r="R55">
            <v>356</v>
          </cell>
          <cell r="S55"/>
          <cell r="T55">
            <v>356</v>
          </cell>
          <cell r="U55"/>
          <cell r="V55">
            <v>348</v>
          </cell>
          <cell r="W55"/>
          <cell r="X55">
            <v>356</v>
          </cell>
          <cell r="Y55"/>
          <cell r="Z55">
            <v>380</v>
          </cell>
          <cell r="AA55"/>
          <cell r="AB55"/>
          <cell r="AC55"/>
          <cell r="AD55">
            <v>5.7000000000000002E-2</v>
          </cell>
          <cell r="AE55"/>
          <cell r="AF55"/>
          <cell r="AG55"/>
          <cell r="AH55"/>
          <cell r="AI55"/>
          <cell r="AJ55"/>
          <cell r="AK55"/>
          <cell r="AL55"/>
        </row>
        <row r="56">
          <cell r="E56" t="str">
            <v>FEP- 80mm</v>
          </cell>
          <cell r="F56" t="str">
            <v>ｍ</v>
          </cell>
          <cell r="G56"/>
          <cell r="H56">
            <v>466</v>
          </cell>
          <cell r="I56"/>
          <cell r="J56">
            <v>466</v>
          </cell>
          <cell r="K56"/>
          <cell r="L56">
            <v>455</v>
          </cell>
          <cell r="M56"/>
          <cell r="N56">
            <v>455</v>
          </cell>
          <cell r="O56"/>
          <cell r="P56">
            <v>455</v>
          </cell>
          <cell r="Q56"/>
          <cell r="R56">
            <v>466</v>
          </cell>
          <cell r="S56"/>
          <cell r="T56">
            <v>466</v>
          </cell>
          <cell r="U56"/>
          <cell r="V56">
            <v>455</v>
          </cell>
          <cell r="W56"/>
          <cell r="X56">
            <v>466</v>
          </cell>
          <cell r="Y56"/>
          <cell r="Z56">
            <v>498</v>
          </cell>
          <cell r="AA56"/>
          <cell r="AB56"/>
          <cell r="AC56"/>
          <cell r="AD56">
            <v>6.4000000000000001E-2</v>
          </cell>
          <cell r="AE56"/>
          <cell r="AF56"/>
          <cell r="AG56"/>
          <cell r="AH56"/>
          <cell r="AI56"/>
          <cell r="AJ56"/>
          <cell r="AK56"/>
          <cell r="AL56"/>
        </row>
        <row r="57">
          <cell r="E57" t="str">
            <v>FEP-100mm</v>
          </cell>
          <cell r="F57" t="str">
            <v>ｍ</v>
          </cell>
          <cell r="G57"/>
          <cell r="H57">
            <v>638</v>
          </cell>
          <cell r="I57"/>
          <cell r="J57">
            <v>638</v>
          </cell>
          <cell r="K57"/>
          <cell r="L57">
            <v>623</v>
          </cell>
          <cell r="M57"/>
          <cell r="N57">
            <v>623</v>
          </cell>
          <cell r="O57"/>
          <cell r="P57">
            <v>623</v>
          </cell>
          <cell r="Q57"/>
          <cell r="R57">
            <v>638</v>
          </cell>
          <cell r="S57"/>
          <cell r="T57">
            <v>638</v>
          </cell>
          <cell r="U57"/>
          <cell r="V57">
            <v>623</v>
          </cell>
          <cell r="W57"/>
          <cell r="X57">
            <v>638</v>
          </cell>
          <cell r="Y57"/>
          <cell r="Z57">
            <v>681</v>
          </cell>
          <cell r="AA57"/>
          <cell r="AB57"/>
          <cell r="AC57"/>
          <cell r="AD57">
            <v>8.5999999999999993E-2</v>
          </cell>
          <cell r="AE57"/>
          <cell r="AF57"/>
          <cell r="AG57"/>
          <cell r="AH57"/>
          <cell r="AI57"/>
          <cell r="AJ57"/>
          <cell r="AK57"/>
          <cell r="AL57"/>
        </row>
        <row r="58">
          <cell r="E58" t="str">
            <v>FEP-125mm</v>
          </cell>
          <cell r="F58" t="str">
            <v>ｍ</v>
          </cell>
          <cell r="G58"/>
          <cell r="H58">
            <v>853</v>
          </cell>
          <cell r="I58"/>
          <cell r="J58">
            <v>853</v>
          </cell>
          <cell r="K58"/>
          <cell r="L58">
            <v>834</v>
          </cell>
          <cell r="M58"/>
          <cell r="N58">
            <v>834</v>
          </cell>
          <cell r="O58"/>
          <cell r="P58">
            <v>834</v>
          </cell>
          <cell r="Q58"/>
          <cell r="R58">
            <v>853</v>
          </cell>
          <cell r="S58"/>
          <cell r="T58">
            <v>853</v>
          </cell>
          <cell r="U58"/>
          <cell r="V58">
            <v>834</v>
          </cell>
          <cell r="W58"/>
          <cell r="X58">
            <v>853</v>
          </cell>
          <cell r="Y58"/>
          <cell r="Z58">
            <v>911</v>
          </cell>
          <cell r="AA58"/>
          <cell r="AB58"/>
          <cell r="AC58"/>
          <cell r="AD58">
            <v>9.4E-2</v>
          </cell>
          <cell r="AE58"/>
          <cell r="AF58"/>
          <cell r="AG58"/>
          <cell r="AH58"/>
          <cell r="AI58"/>
          <cell r="AJ58"/>
          <cell r="AK58"/>
          <cell r="AL58"/>
        </row>
        <row r="59">
          <cell r="E59" t="str">
            <v>FEP-150mm</v>
          </cell>
          <cell r="F59" t="str">
            <v>ｍ</v>
          </cell>
          <cell r="G59"/>
          <cell r="H59">
            <v>1080</v>
          </cell>
          <cell r="I59"/>
          <cell r="J59">
            <v>1080</v>
          </cell>
          <cell r="K59"/>
          <cell r="L59">
            <v>1050</v>
          </cell>
          <cell r="M59"/>
          <cell r="N59">
            <v>1050</v>
          </cell>
          <cell r="O59"/>
          <cell r="P59">
            <v>1050</v>
          </cell>
          <cell r="Q59"/>
          <cell r="R59">
            <v>1080</v>
          </cell>
          <cell r="S59"/>
          <cell r="T59">
            <v>1080</v>
          </cell>
          <cell r="U59"/>
          <cell r="V59">
            <v>1050</v>
          </cell>
          <cell r="W59"/>
          <cell r="X59">
            <v>1080</v>
          </cell>
          <cell r="Y59"/>
          <cell r="Z59">
            <v>1150</v>
          </cell>
          <cell r="AA59"/>
          <cell r="AB59"/>
          <cell r="AC59"/>
          <cell r="AD59">
            <v>0.10299999999999999</v>
          </cell>
          <cell r="AE59"/>
          <cell r="AF59"/>
          <cell r="AG59"/>
          <cell r="AH59"/>
          <cell r="AI59"/>
          <cell r="AJ59"/>
          <cell r="AK59"/>
          <cell r="AL59"/>
        </row>
        <row r="60">
          <cell r="E60" t="str">
            <v>FEP-200mm</v>
          </cell>
          <cell r="F60" t="str">
            <v>ｍ</v>
          </cell>
          <cell r="G60"/>
          <cell r="H60">
            <v>1480</v>
          </cell>
          <cell r="I60"/>
          <cell r="J60">
            <v>1480</v>
          </cell>
          <cell r="K60"/>
          <cell r="L60">
            <v>1450</v>
          </cell>
          <cell r="M60"/>
          <cell r="N60">
            <v>1450</v>
          </cell>
          <cell r="O60"/>
          <cell r="P60">
            <v>1450</v>
          </cell>
          <cell r="Q60"/>
          <cell r="R60">
            <v>1480</v>
          </cell>
          <cell r="S60"/>
          <cell r="T60">
            <v>1480</v>
          </cell>
          <cell r="U60"/>
          <cell r="V60">
            <v>1450</v>
          </cell>
          <cell r="W60"/>
          <cell r="X60">
            <v>1480</v>
          </cell>
          <cell r="Y60"/>
          <cell r="Z60">
            <v>1580</v>
          </cell>
          <cell r="AA60"/>
          <cell r="AB60"/>
          <cell r="AC60"/>
          <cell r="AD60">
            <v>0.15</v>
          </cell>
          <cell r="AE60"/>
          <cell r="AF60"/>
          <cell r="AG60"/>
          <cell r="AH60"/>
          <cell r="AI60"/>
          <cell r="AJ60"/>
          <cell r="AK60"/>
          <cell r="AL60"/>
        </row>
        <row r="61">
          <cell r="E61" t="str">
            <v>F-FEP- 30mm</v>
          </cell>
          <cell r="F61" t="str">
            <v>ｍ</v>
          </cell>
          <cell r="G61"/>
          <cell r="H61">
            <v>408</v>
          </cell>
          <cell r="I61"/>
          <cell r="J61">
            <v>408</v>
          </cell>
          <cell r="K61"/>
          <cell r="L61">
            <v>402</v>
          </cell>
          <cell r="M61"/>
          <cell r="N61">
            <v>402</v>
          </cell>
          <cell r="O61"/>
          <cell r="P61">
            <v>402</v>
          </cell>
          <cell r="Q61"/>
          <cell r="R61">
            <v>408</v>
          </cell>
          <cell r="S61"/>
          <cell r="T61">
            <v>408</v>
          </cell>
          <cell r="U61"/>
          <cell r="V61">
            <v>402</v>
          </cell>
          <cell r="W61"/>
          <cell r="X61">
            <v>402</v>
          </cell>
          <cell r="Y61"/>
          <cell r="Z61">
            <v>427</v>
          </cell>
          <cell r="AA61"/>
          <cell r="AB61"/>
          <cell r="AC61"/>
          <cell r="AD61">
            <v>3.6999999999999998E-2</v>
          </cell>
          <cell r="AE61"/>
          <cell r="AF61"/>
          <cell r="AG61"/>
          <cell r="AH61"/>
          <cell r="AI61"/>
          <cell r="AJ61"/>
          <cell r="AK61"/>
          <cell r="AL61"/>
        </row>
        <row r="62">
          <cell r="E62" t="str">
            <v>F-FEP- 40mm</v>
          </cell>
          <cell r="F62" t="str">
            <v>ｍ</v>
          </cell>
          <cell r="G62"/>
          <cell r="H62">
            <v>448</v>
          </cell>
          <cell r="I62"/>
          <cell r="J62">
            <v>448</v>
          </cell>
          <cell r="K62"/>
          <cell r="L62">
            <v>442</v>
          </cell>
          <cell r="M62"/>
          <cell r="N62">
            <v>442</v>
          </cell>
          <cell r="O62"/>
          <cell r="P62">
            <v>442</v>
          </cell>
          <cell r="Q62"/>
          <cell r="R62">
            <v>448</v>
          </cell>
          <cell r="S62"/>
          <cell r="T62">
            <v>448</v>
          </cell>
          <cell r="U62"/>
          <cell r="V62">
            <v>442</v>
          </cell>
          <cell r="W62"/>
          <cell r="X62">
            <v>442</v>
          </cell>
          <cell r="Y62"/>
          <cell r="Z62">
            <v>469</v>
          </cell>
          <cell r="AA62"/>
          <cell r="AB62"/>
          <cell r="AC62"/>
          <cell r="AD62">
            <v>4.3999999999999997E-2</v>
          </cell>
          <cell r="AE62"/>
          <cell r="AF62"/>
          <cell r="AG62"/>
          <cell r="AH62"/>
          <cell r="AI62"/>
          <cell r="AJ62"/>
          <cell r="AK62"/>
          <cell r="AL62"/>
        </row>
        <row r="63">
          <cell r="E63" t="str">
            <v>F-FEP- 50mm</v>
          </cell>
          <cell r="F63" t="str">
            <v>ｍ</v>
          </cell>
          <cell r="G63"/>
          <cell r="H63">
            <v>529</v>
          </cell>
          <cell r="I63"/>
          <cell r="J63">
            <v>529</v>
          </cell>
          <cell r="K63"/>
          <cell r="L63">
            <v>521</v>
          </cell>
          <cell r="M63"/>
          <cell r="N63">
            <v>521</v>
          </cell>
          <cell r="O63"/>
          <cell r="P63">
            <v>521</v>
          </cell>
          <cell r="Q63"/>
          <cell r="R63">
            <v>529</v>
          </cell>
          <cell r="S63"/>
          <cell r="T63">
            <v>529</v>
          </cell>
          <cell r="U63"/>
          <cell r="V63">
            <v>521</v>
          </cell>
          <cell r="W63"/>
          <cell r="X63">
            <v>521</v>
          </cell>
          <cell r="Y63"/>
          <cell r="Z63">
            <v>553</v>
          </cell>
          <cell r="AA63"/>
          <cell r="AB63"/>
          <cell r="AC63"/>
          <cell r="AD63">
            <v>0.05</v>
          </cell>
          <cell r="AE63"/>
          <cell r="AF63"/>
          <cell r="AG63"/>
          <cell r="AH63"/>
          <cell r="AI63"/>
          <cell r="AJ63"/>
          <cell r="AK63"/>
          <cell r="AL63"/>
        </row>
        <row r="64">
          <cell r="E64" t="str">
            <v>F-FEP- 65mm</v>
          </cell>
          <cell r="F64" t="str">
            <v>ｍ</v>
          </cell>
          <cell r="G64"/>
          <cell r="H64">
            <v>649</v>
          </cell>
          <cell r="I64"/>
          <cell r="J64">
            <v>649</v>
          </cell>
          <cell r="K64"/>
          <cell r="L64">
            <v>640</v>
          </cell>
          <cell r="M64"/>
          <cell r="N64">
            <v>640</v>
          </cell>
          <cell r="O64"/>
          <cell r="P64">
            <v>640</v>
          </cell>
          <cell r="Q64"/>
          <cell r="R64">
            <v>649</v>
          </cell>
          <cell r="S64"/>
          <cell r="T64">
            <v>649</v>
          </cell>
          <cell r="U64"/>
          <cell r="V64">
            <v>640</v>
          </cell>
          <cell r="W64"/>
          <cell r="X64">
            <v>640</v>
          </cell>
          <cell r="Y64"/>
          <cell r="Z64">
            <v>679</v>
          </cell>
          <cell r="AA64"/>
          <cell r="AB64"/>
          <cell r="AC64"/>
          <cell r="AD64">
            <v>5.7000000000000002E-2</v>
          </cell>
          <cell r="AE64"/>
          <cell r="AF64"/>
          <cell r="AG64"/>
          <cell r="AH64"/>
          <cell r="AI64"/>
          <cell r="AJ64"/>
          <cell r="AK64"/>
          <cell r="AL64"/>
        </row>
        <row r="65">
          <cell r="E65" t="str">
            <v>F-FEP- 80mm</v>
          </cell>
          <cell r="F65" t="str">
            <v>ｍ</v>
          </cell>
          <cell r="G65"/>
          <cell r="H65">
            <v>850</v>
          </cell>
          <cell r="I65"/>
          <cell r="J65">
            <v>850</v>
          </cell>
          <cell r="K65"/>
          <cell r="L65">
            <v>838</v>
          </cell>
          <cell r="M65"/>
          <cell r="N65">
            <v>838</v>
          </cell>
          <cell r="O65"/>
          <cell r="P65">
            <v>838</v>
          </cell>
          <cell r="Q65"/>
          <cell r="R65">
            <v>850</v>
          </cell>
          <cell r="S65"/>
          <cell r="T65">
            <v>850</v>
          </cell>
          <cell r="U65"/>
          <cell r="V65">
            <v>838</v>
          </cell>
          <cell r="W65"/>
          <cell r="X65">
            <v>838</v>
          </cell>
          <cell r="Y65"/>
          <cell r="Z65">
            <v>889</v>
          </cell>
          <cell r="AA65"/>
          <cell r="AB65"/>
          <cell r="AC65"/>
          <cell r="AD65">
            <v>6.4000000000000001E-2</v>
          </cell>
          <cell r="AE65"/>
          <cell r="AF65"/>
          <cell r="AG65"/>
          <cell r="AH65"/>
          <cell r="AI65"/>
          <cell r="AJ65"/>
          <cell r="AK65"/>
          <cell r="AL65"/>
        </row>
        <row r="66">
          <cell r="E66" t="str">
            <v>F-FEP-100mm</v>
          </cell>
          <cell r="F66" t="str">
            <v>ｍ</v>
          </cell>
          <cell r="G66"/>
          <cell r="H66">
            <v>1160</v>
          </cell>
          <cell r="I66"/>
          <cell r="J66">
            <v>1160</v>
          </cell>
          <cell r="K66"/>
          <cell r="L66">
            <v>1140</v>
          </cell>
          <cell r="M66"/>
          <cell r="N66">
            <v>1140</v>
          </cell>
          <cell r="O66"/>
          <cell r="P66">
            <v>1140</v>
          </cell>
          <cell r="Q66"/>
          <cell r="R66">
            <v>1160</v>
          </cell>
          <cell r="S66"/>
          <cell r="T66">
            <v>1160</v>
          </cell>
          <cell r="U66"/>
          <cell r="V66">
            <v>1140</v>
          </cell>
          <cell r="W66"/>
          <cell r="X66">
            <v>1140</v>
          </cell>
          <cell r="Y66"/>
          <cell r="Z66">
            <v>1210</v>
          </cell>
          <cell r="AA66"/>
          <cell r="AB66"/>
          <cell r="AC66"/>
          <cell r="AD66">
            <v>8.5999999999999993E-2</v>
          </cell>
          <cell r="AE66"/>
          <cell r="AF66"/>
          <cell r="AG66"/>
          <cell r="AH66"/>
          <cell r="AI66"/>
          <cell r="AJ66"/>
          <cell r="AK66"/>
          <cell r="AL66"/>
        </row>
        <row r="67">
          <cell r="E67" t="str">
            <v>F-FEP-125mm</v>
          </cell>
          <cell r="F67" t="str">
            <v>ｍ</v>
          </cell>
          <cell r="G67"/>
          <cell r="H67">
            <v>1560</v>
          </cell>
          <cell r="I67"/>
          <cell r="J67">
            <v>1560</v>
          </cell>
          <cell r="K67"/>
          <cell r="L67">
            <v>1530</v>
          </cell>
          <cell r="M67"/>
          <cell r="N67">
            <v>1530</v>
          </cell>
          <cell r="O67"/>
          <cell r="P67">
            <v>1530</v>
          </cell>
          <cell r="Q67"/>
          <cell r="R67">
            <v>1560</v>
          </cell>
          <cell r="S67"/>
          <cell r="T67">
            <v>1560</v>
          </cell>
          <cell r="U67"/>
          <cell r="V67">
            <v>1530</v>
          </cell>
          <cell r="W67"/>
          <cell r="X67">
            <v>1530</v>
          </cell>
          <cell r="Y67"/>
          <cell r="Z67">
            <v>1630</v>
          </cell>
          <cell r="AA67"/>
          <cell r="AB67"/>
          <cell r="AC67"/>
          <cell r="AD67">
            <v>9.4E-2</v>
          </cell>
          <cell r="AE67"/>
          <cell r="AF67"/>
          <cell r="AG67"/>
          <cell r="AH67"/>
          <cell r="AI67"/>
          <cell r="AJ67"/>
          <cell r="AK67"/>
          <cell r="AL67"/>
        </row>
        <row r="68">
          <cell r="E68" t="str">
            <v>F-FEP-150mm</v>
          </cell>
          <cell r="F68" t="str">
            <v>ｍ</v>
          </cell>
          <cell r="G68"/>
          <cell r="H68">
            <v>1970</v>
          </cell>
          <cell r="I68"/>
          <cell r="J68">
            <v>1970</v>
          </cell>
          <cell r="K68"/>
          <cell r="L68">
            <v>1940</v>
          </cell>
          <cell r="M68"/>
          <cell r="N68">
            <v>1940</v>
          </cell>
          <cell r="O68"/>
          <cell r="P68">
            <v>1940</v>
          </cell>
          <cell r="Q68"/>
          <cell r="R68">
            <v>1970</v>
          </cell>
          <cell r="S68"/>
          <cell r="T68">
            <v>1970</v>
          </cell>
          <cell r="U68"/>
          <cell r="V68">
            <v>1940</v>
          </cell>
          <cell r="W68"/>
          <cell r="X68">
            <v>1940</v>
          </cell>
          <cell r="Y68"/>
          <cell r="Z68">
            <v>2060</v>
          </cell>
          <cell r="AA68"/>
          <cell r="AB68"/>
          <cell r="AC68"/>
          <cell r="AD68">
            <v>0.10299999999999999</v>
          </cell>
          <cell r="AE68"/>
          <cell r="AF68"/>
          <cell r="AG68"/>
          <cell r="AH68"/>
          <cell r="AI68"/>
          <cell r="AJ68"/>
          <cell r="AK68"/>
          <cell r="AL68"/>
        </row>
        <row r="69">
          <cell r="E69" t="str">
            <v>F-FEP-200mm</v>
          </cell>
          <cell r="F69" t="str">
            <v>ｍ</v>
          </cell>
          <cell r="G69"/>
          <cell r="H69">
            <v>2720</v>
          </cell>
          <cell r="I69"/>
          <cell r="J69">
            <v>2720</v>
          </cell>
          <cell r="K69"/>
          <cell r="L69">
            <v>2670</v>
          </cell>
          <cell r="M69"/>
          <cell r="N69">
            <v>2670</v>
          </cell>
          <cell r="O69"/>
          <cell r="P69">
            <v>2670</v>
          </cell>
          <cell r="Q69"/>
          <cell r="R69">
            <v>2720</v>
          </cell>
          <cell r="S69"/>
          <cell r="T69">
            <v>2720</v>
          </cell>
          <cell r="U69"/>
          <cell r="V69">
            <v>2670</v>
          </cell>
          <cell r="W69"/>
          <cell r="X69">
            <v>2670</v>
          </cell>
          <cell r="Y69"/>
          <cell r="Z69">
            <v>2840</v>
          </cell>
          <cell r="AA69"/>
          <cell r="AB69"/>
          <cell r="AC69"/>
          <cell r="AD69">
            <v>0.15</v>
          </cell>
          <cell r="AE69"/>
          <cell r="AF69"/>
          <cell r="AG69"/>
          <cell r="AH69"/>
          <cell r="AI69"/>
          <cell r="AJ69"/>
          <cell r="AK69"/>
          <cell r="AL69"/>
        </row>
        <row r="70">
          <cell r="E70" t="str">
            <v>SGP- 15A</v>
          </cell>
          <cell r="F70" t="str">
            <v>ｍ</v>
          </cell>
          <cell r="G70">
            <v>1170</v>
          </cell>
          <cell r="H70">
            <v>212</v>
          </cell>
          <cell r="I70">
            <v>1170</v>
          </cell>
          <cell r="J70">
            <v>212</v>
          </cell>
          <cell r="K70">
            <v>1230</v>
          </cell>
          <cell r="L70">
            <v>223</v>
          </cell>
          <cell r="M70">
            <v>1130</v>
          </cell>
          <cell r="N70">
            <v>205</v>
          </cell>
          <cell r="O70">
            <v>1230</v>
          </cell>
          <cell r="P70">
            <v>223</v>
          </cell>
          <cell r="Q70">
            <v>1170</v>
          </cell>
          <cell r="R70">
            <v>212</v>
          </cell>
          <cell r="S70">
            <v>1170</v>
          </cell>
          <cell r="T70">
            <v>212</v>
          </cell>
          <cell r="U70">
            <v>1170</v>
          </cell>
          <cell r="V70">
            <v>212</v>
          </cell>
          <cell r="W70">
            <v>1170</v>
          </cell>
          <cell r="X70">
            <v>212</v>
          </cell>
          <cell r="Y70">
            <v>1370</v>
          </cell>
          <cell r="Z70">
            <v>249</v>
          </cell>
          <cell r="AA70"/>
          <cell r="AB70"/>
          <cell r="AC70"/>
          <cell r="AD70">
            <v>0.05</v>
          </cell>
          <cell r="AE70"/>
          <cell r="AF70"/>
          <cell r="AG70"/>
          <cell r="AH70"/>
          <cell r="AI70"/>
          <cell r="AJ70"/>
          <cell r="AK70"/>
          <cell r="AL70" t="str">
            <v>１本=5.50m</v>
          </cell>
        </row>
        <row r="71">
          <cell r="E71" t="str">
            <v>SGP- 20A</v>
          </cell>
          <cell r="F71" t="str">
            <v>ｍ</v>
          </cell>
          <cell r="G71">
            <v>1430</v>
          </cell>
          <cell r="H71">
            <v>260</v>
          </cell>
          <cell r="I71">
            <v>1430</v>
          </cell>
          <cell r="J71">
            <v>260</v>
          </cell>
          <cell r="K71">
            <v>1500</v>
          </cell>
          <cell r="L71">
            <v>272</v>
          </cell>
          <cell r="M71">
            <v>1380</v>
          </cell>
          <cell r="N71">
            <v>250</v>
          </cell>
          <cell r="O71">
            <v>1500</v>
          </cell>
          <cell r="P71">
            <v>272</v>
          </cell>
          <cell r="Q71">
            <v>1430</v>
          </cell>
          <cell r="R71">
            <v>260</v>
          </cell>
          <cell r="S71">
            <v>1430</v>
          </cell>
          <cell r="T71">
            <v>260</v>
          </cell>
          <cell r="U71">
            <v>1430</v>
          </cell>
          <cell r="V71">
            <v>260</v>
          </cell>
          <cell r="W71">
            <v>1430</v>
          </cell>
          <cell r="X71">
            <v>260</v>
          </cell>
          <cell r="Y71">
            <v>1680</v>
          </cell>
          <cell r="Z71">
            <v>305</v>
          </cell>
          <cell r="AA71"/>
          <cell r="AB71"/>
          <cell r="AC71"/>
          <cell r="AD71">
            <v>6.7000000000000004E-2</v>
          </cell>
          <cell r="AE71"/>
          <cell r="AF71"/>
          <cell r="AG71"/>
          <cell r="AH71"/>
          <cell r="AI71"/>
          <cell r="AJ71"/>
          <cell r="AK71"/>
          <cell r="AL71" t="str">
            <v xml:space="preserve">     ↓</v>
          </cell>
        </row>
        <row r="72">
          <cell r="E72" t="str">
            <v>SGP- 25A</v>
          </cell>
          <cell r="F72" t="str">
            <v>ｍ</v>
          </cell>
          <cell r="G72">
            <v>2020</v>
          </cell>
          <cell r="H72">
            <v>367</v>
          </cell>
          <cell r="I72">
            <v>2020</v>
          </cell>
          <cell r="J72">
            <v>367</v>
          </cell>
          <cell r="K72">
            <v>2110</v>
          </cell>
          <cell r="L72">
            <v>383</v>
          </cell>
          <cell r="M72">
            <v>1950</v>
          </cell>
          <cell r="N72">
            <v>354</v>
          </cell>
          <cell r="O72">
            <v>2110</v>
          </cell>
          <cell r="P72">
            <v>383</v>
          </cell>
          <cell r="Q72">
            <v>2020</v>
          </cell>
          <cell r="R72">
            <v>367</v>
          </cell>
          <cell r="S72">
            <v>2020</v>
          </cell>
          <cell r="T72">
            <v>367</v>
          </cell>
          <cell r="U72">
            <v>2020</v>
          </cell>
          <cell r="V72">
            <v>367</v>
          </cell>
          <cell r="W72">
            <v>2020</v>
          </cell>
          <cell r="X72">
            <v>367</v>
          </cell>
          <cell r="Y72">
            <v>2370</v>
          </cell>
          <cell r="Z72">
            <v>430</v>
          </cell>
          <cell r="AA72"/>
          <cell r="AB72"/>
          <cell r="AC72"/>
          <cell r="AD72">
            <v>0.1</v>
          </cell>
          <cell r="AE72"/>
          <cell r="AF72"/>
          <cell r="AG72"/>
          <cell r="AH72"/>
          <cell r="AI72"/>
          <cell r="AJ72"/>
          <cell r="AK72"/>
          <cell r="AL72" t="str">
            <v xml:space="preserve">     ↓</v>
          </cell>
        </row>
        <row r="73">
          <cell r="E73" t="str">
            <v>SGP- 32A</v>
          </cell>
          <cell r="F73" t="str">
            <v>ｍ</v>
          </cell>
          <cell r="G73">
            <v>2660</v>
          </cell>
          <cell r="H73">
            <v>483</v>
          </cell>
          <cell r="I73">
            <v>2660</v>
          </cell>
          <cell r="J73">
            <v>483</v>
          </cell>
          <cell r="K73">
            <v>2810</v>
          </cell>
          <cell r="L73">
            <v>510</v>
          </cell>
          <cell r="M73">
            <v>2570</v>
          </cell>
          <cell r="N73">
            <v>467</v>
          </cell>
          <cell r="O73">
            <v>2810</v>
          </cell>
          <cell r="P73">
            <v>510</v>
          </cell>
          <cell r="Q73">
            <v>2660</v>
          </cell>
          <cell r="R73">
            <v>483</v>
          </cell>
          <cell r="S73">
            <v>2660</v>
          </cell>
          <cell r="T73">
            <v>483</v>
          </cell>
          <cell r="U73">
            <v>2660</v>
          </cell>
          <cell r="V73">
            <v>483</v>
          </cell>
          <cell r="W73">
            <v>2660</v>
          </cell>
          <cell r="X73">
            <v>483</v>
          </cell>
          <cell r="Y73">
            <v>3120</v>
          </cell>
          <cell r="Z73">
            <v>567</v>
          </cell>
          <cell r="AA73"/>
          <cell r="AB73"/>
          <cell r="AC73"/>
          <cell r="AD73">
            <v>0.124</v>
          </cell>
          <cell r="AE73"/>
          <cell r="AF73"/>
          <cell r="AG73"/>
          <cell r="AH73"/>
          <cell r="AI73"/>
          <cell r="AJ73"/>
          <cell r="AK73"/>
          <cell r="AL73" t="str">
            <v xml:space="preserve">     ↓</v>
          </cell>
        </row>
        <row r="74">
          <cell r="E74" t="str">
            <v>SGP- 40A</v>
          </cell>
          <cell r="F74" t="str">
            <v>ｍ</v>
          </cell>
          <cell r="G74">
            <v>3060</v>
          </cell>
          <cell r="H74">
            <v>556</v>
          </cell>
          <cell r="I74">
            <v>3060</v>
          </cell>
          <cell r="J74">
            <v>556</v>
          </cell>
          <cell r="K74">
            <v>3220</v>
          </cell>
          <cell r="L74">
            <v>585</v>
          </cell>
          <cell r="M74">
            <v>2950</v>
          </cell>
          <cell r="N74">
            <v>536</v>
          </cell>
          <cell r="O74">
            <v>3220</v>
          </cell>
          <cell r="P74">
            <v>585</v>
          </cell>
          <cell r="Q74">
            <v>3060</v>
          </cell>
          <cell r="R74">
            <v>556</v>
          </cell>
          <cell r="S74">
            <v>3060</v>
          </cell>
          <cell r="T74">
            <v>556</v>
          </cell>
          <cell r="U74">
            <v>3060</v>
          </cell>
          <cell r="V74">
            <v>556</v>
          </cell>
          <cell r="W74">
            <v>3060</v>
          </cell>
          <cell r="X74">
            <v>556</v>
          </cell>
          <cell r="Y74">
            <v>3590</v>
          </cell>
          <cell r="Z74">
            <v>652</v>
          </cell>
          <cell r="AA74"/>
          <cell r="AB74"/>
          <cell r="AC74"/>
          <cell r="AD74">
            <v>0.13700000000000001</v>
          </cell>
          <cell r="AE74"/>
          <cell r="AF74"/>
          <cell r="AG74"/>
          <cell r="AH74"/>
          <cell r="AI74"/>
          <cell r="AJ74"/>
          <cell r="AK74"/>
          <cell r="AL74" t="str">
            <v xml:space="preserve">     ↓</v>
          </cell>
        </row>
        <row r="75">
          <cell r="E75" t="str">
            <v>SGP- 50A</v>
          </cell>
          <cell r="F75" t="str">
            <v>ｍ</v>
          </cell>
          <cell r="G75">
            <v>4170</v>
          </cell>
          <cell r="H75">
            <v>758</v>
          </cell>
          <cell r="I75">
            <v>4170</v>
          </cell>
          <cell r="J75">
            <v>758</v>
          </cell>
          <cell r="K75">
            <v>4410</v>
          </cell>
          <cell r="L75">
            <v>801</v>
          </cell>
          <cell r="M75">
            <v>4030</v>
          </cell>
          <cell r="N75">
            <v>732</v>
          </cell>
          <cell r="O75">
            <v>4410</v>
          </cell>
          <cell r="P75">
            <v>801</v>
          </cell>
          <cell r="Q75">
            <v>4170</v>
          </cell>
          <cell r="R75">
            <v>758</v>
          </cell>
          <cell r="S75">
            <v>4170</v>
          </cell>
          <cell r="T75">
            <v>758</v>
          </cell>
          <cell r="U75">
            <v>4170</v>
          </cell>
          <cell r="V75">
            <v>758</v>
          </cell>
          <cell r="W75">
            <v>4170</v>
          </cell>
          <cell r="X75">
            <v>758</v>
          </cell>
          <cell r="Y75">
            <v>4890</v>
          </cell>
          <cell r="Z75">
            <v>889</v>
          </cell>
          <cell r="AA75"/>
          <cell r="AB75"/>
          <cell r="AC75"/>
          <cell r="AD75">
            <v>0.161</v>
          </cell>
          <cell r="AE75"/>
          <cell r="AF75"/>
          <cell r="AG75"/>
          <cell r="AH75"/>
          <cell r="AI75"/>
          <cell r="AJ75"/>
          <cell r="AK75"/>
          <cell r="AL75" t="str">
            <v xml:space="preserve">     ↓</v>
          </cell>
        </row>
        <row r="76">
          <cell r="E76" t="str">
            <v>SGP- 65A</v>
          </cell>
          <cell r="F76" t="str">
            <v>ｍ</v>
          </cell>
          <cell r="G76">
            <v>5860</v>
          </cell>
          <cell r="H76">
            <v>1065</v>
          </cell>
          <cell r="I76">
            <v>5860</v>
          </cell>
          <cell r="J76">
            <v>1065</v>
          </cell>
          <cell r="K76">
            <v>6310</v>
          </cell>
          <cell r="L76">
            <v>1147</v>
          </cell>
          <cell r="M76">
            <v>5660</v>
          </cell>
          <cell r="N76">
            <v>1029</v>
          </cell>
          <cell r="O76">
            <v>6310</v>
          </cell>
          <cell r="P76">
            <v>1147</v>
          </cell>
          <cell r="Q76">
            <v>5860</v>
          </cell>
          <cell r="R76">
            <v>1065</v>
          </cell>
          <cell r="S76">
            <v>5860</v>
          </cell>
          <cell r="T76">
            <v>1065</v>
          </cell>
          <cell r="U76">
            <v>5860</v>
          </cell>
          <cell r="V76">
            <v>1065</v>
          </cell>
          <cell r="W76">
            <v>5860</v>
          </cell>
          <cell r="X76">
            <v>1065</v>
          </cell>
          <cell r="Y76">
            <v>6880</v>
          </cell>
          <cell r="Z76">
            <v>1250</v>
          </cell>
          <cell r="AA76"/>
          <cell r="AB76"/>
          <cell r="AC76"/>
          <cell r="AD76">
            <v>0.19900000000000001</v>
          </cell>
          <cell r="AE76"/>
          <cell r="AF76"/>
          <cell r="AG76"/>
          <cell r="AH76"/>
          <cell r="AI76"/>
          <cell r="AJ76"/>
          <cell r="AK76"/>
          <cell r="AL76" t="str">
            <v xml:space="preserve">     ↓</v>
          </cell>
        </row>
        <row r="77">
          <cell r="E77" t="str">
            <v>SGP- 80A</v>
          </cell>
          <cell r="F77" t="str">
            <v>ｍ</v>
          </cell>
          <cell r="G77">
            <v>6900</v>
          </cell>
          <cell r="H77">
            <v>1254</v>
          </cell>
          <cell r="I77">
            <v>6900</v>
          </cell>
          <cell r="J77">
            <v>1254</v>
          </cell>
          <cell r="K77">
            <v>7560</v>
          </cell>
          <cell r="L77">
            <v>1374</v>
          </cell>
          <cell r="M77">
            <v>6660</v>
          </cell>
          <cell r="N77">
            <v>1210</v>
          </cell>
          <cell r="O77">
            <v>7560</v>
          </cell>
          <cell r="P77">
            <v>1374</v>
          </cell>
          <cell r="Q77">
            <v>6900</v>
          </cell>
          <cell r="R77">
            <v>1254</v>
          </cell>
          <cell r="S77">
            <v>6900</v>
          </cell>
          <cell r="T77">
            <v>1254</v>
          </cell>
          <cell r="U77">
            <v>6900</v>
          </cell>
          <cell r="V77">
            <v>1254</v>
          </cell>
          <cell r="W77">
            <v>6900</v>
          </cell>
          <cell r="X77">
            <v>1254</v>
          </cell>
          <cell r="Y77">
            <v>8090</v>
          </cell>
          <cell r="Z77">
            <v>1470</v>
          </cell>
          <cell r="AA77"/>
          <cell r="AB77"/>
          <cell r="AC77"/>
          <cell r="AD77">
            <v>0.26100000000000001</v>
          </cell>
          <cell r="AE77"/>
          <cell r="AF77"/>
          <cell r="AG77"/>
          <cell r="AH77"/>
          <cell r="AI77"/>
          <cell r="AJ77"/>
          <cell r="AK77"/>
          <cell r="AL77" t="str">
            <v xml:space="preserve">     ↓</v>
          </cell>
        </row>
        <row r="78">
          <cell r="E78" t="str">
            <v>SGP-100A</v>
          </cell>
          <cell r="F78" t="str">
            <v>ｍ</v>
          </cell>
          <cell r="G78">
            <v>9570</v>
          </cell>
          <cell r="H78">
            <v>1740</v>
          </cell>
          <cell r="I78">
            <v>9570</v>
          </cell>
          <cell r="J78">
            <v>1740</v>
          </cell>
          <cell r="K78">
            <v>10800</v>
          </cell>
          <cell r="L78">
            <v>1963</v>
          </cell>
          <cell r="M78">
            <v>9240</v>
          </cell>
          <cell r="N78">
            <v>1680</v>
          </cell>
          <cell r="O78">
            <v>10800</v>
          </cell>
          <cell r="P78">
            <v>1963</v>
          </cell>
          <cell r="Q78">
            <v>9570</v>
          </cell>
          <cell r="R78">
            <v>1740</v>
          </cell>
          <cell r="S78">
            <v>9570</v>
          </cell>
          <cell r="T78">
            <v>1740</v>
          </cell>
          <cell r="U78">
            <v>9570</v>
          </cell>
          <cell r="V78">
            <v>1740</v>
          </cell>
          <cell r="W78">
            <v>9570</v>
          </cell>
          <cell r="X78">
            <v>1740</v>
          </cell>
          <cell r="Y78">
            <v>11200</v>
          </cell>
          <cell r="Z78">
            <v>2036</v>
          </cell>
          <cell r="AA78"/>
          <cell r="AB78"/>
          <cell r="AC78"/>
          <cell r="AD78">
            <v>0.34699999999999998</v>
          </cell>
          <cell r="AE78"/>
          <cell r="AF78"/>
          <cell r="AG78"/>
          <cell r="AH78"/>
          <cell r="AI78"/>
          <cell r="AJ78"/>
          <cell r="AK78"/>
          <cell r="AL78" t="str">
            <v xml:space="preserve">     ↓</v>
          </cell>
        </row>
        <row r="79">
          <cell r="E79" t="str">
            <v>19_Users</v>
          </cell>
          <cell r="F79" t="str">
            <v>ｍ</v>
          </cell>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row>
        <row r="80">
          <cell r="E80" t="str">
            <v>19_Users</v>
          </cell>
          <cell r="F80" t="str">
            <v>ｍ</v>
          </cell>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row>
        <row r="81">
          <cell r="E81" t="str">
            <v>19_Users</v>
          </cell>
          <cell r="F81" t="str">
            <v>ｍ</v>
          </cell>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row>
        <row r="82">
          <cell r="E82" t="str">
            <v>19_Users</v>
          </cell>
          <cell r="F82" t="str">
            <v>ｍ</v>
          </cell>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row>
        <row r="83">
          <cell r="E83" t="str">
            <v>19_Users</v>
          </cell>
          <cell r="F83" t="str">
            <v>ｍ</v>
          </cell>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row>
        <row r="84">
          <cell r="E84" t="str">
            <v>19_Users</v>
          </cell>
          <cell r="F84" t="str">
            <v>ｍ</v>
          </cell>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row>
        <row r="85">
          <cell r="E85" t="str">
            <v>19_Users</v>
          </cell>
          <cell r="F85" t="str">
            <v>ｍ</v>
          </cell>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row>
        <row r="86">
          <cell r="E86" t="str">
            <v>19_Users</v>
          </cell>
          <cell r="F86" t="str">
            <v>ｍ</v>
          </cell>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row>
        <row r="87">
          <cell r="E87" t="str">
            <v>CD-14mm</v>
          </cell>
          <cell r="F87" t="str">
            <v>ｍ</v>
          </cell>
          <cell r="G87"/>
          <cell r="H87">
            <v>25</v>
          </cell>
          <cell r="I87"/>
          <cell r="J87">
            <v>25</v>
          </cell>
          <cell r="K87"/>
          <cell r="L87">
            <v>25</v>
          </cell>
          <cell r="M87"/>
          <cell r="N87">
            <v>25</v>
          </cell>
          <cell r="O87"/>
          <cell r="P87">
            <v>25</v>
          </cell>
          <cell r="Q87"/>
          <cell r="R87">
            <v>25</v>
          </cell>
          <cell r="S87"/>
          <cell r="T87">
            <v>25</v>
          </cell>
          <cell r="U87"/>
          <cell r="V87">
            <v>25</v>
          </cell>
          <cell r="W87"/>
          <cell r="X87">
            <v>25</v>
          </cell>
          <cell r="Y87"/>
          <cell r="Z87">
            <v>27</v>
          </cell>
          <cell r="AA87"/>
          <cell r="AB87"/>
          <cell r="AC87"/>
          <cell r="AD87">
            <v>2.9000000000000001E-2</v>
          </cell>
          <cell r="AE87"/>
          <cell r="AF87"/>
          <cell r="AG87"/>
          <cell r="AH87"/>
          <cell r="AI87"/>
          <cell r="AJ87"/>
          <cell r="AK87"/>
          <cell r="AL87"/>
        </row>
        <row r="88">
          <cell r="E88" t="str">
            <v>CD-16mm</v>
          </cell>
          <cell r="F88" t="str">
            <v>ｍ</v>
          </cell>
          <cell r="G88"/>
          <cell r="H88">
            <v>24</v>
          </cell>
          <cell r="I88"/>
          <cell r="J88">
            <v>24</v>
          </cell>
          <cell r="K88"/>
          <cell r="L88">
            <v>24</v>
          </cell>
          <cell r="M88"/>
          <cell r="N88">
            <v>24</v>
          </cell>
          <cell r="O88"/>
          <cell r="P88">
            <v>24</v>
          </cell>
          <cell r="Q88"/>
          <cell r="R88">
            <v>24</v>
          </cell>
          <cell r="S88"/>
          <cell r="T88">
            <v>24</v>
          </cell>
          <cell r="U88"/>
          <cell r="V88">
            <v>24</v>
          </cell>
          <cell r="W88"/>
          <cell r="X88">
            <v>24</v>
          </cell>
          <cell r="Y88"/>
          <cell r="Z88">
            <v>26</v>
          </cell>
          <cell r="AA88"/>
          <cell r="AB88"/>
          <cell r="AC88"/>
          <cell r="AD88">
            <v>3.1E-2</v>
          </cell>
          <cell r="AE88"/>
          <cell r="AF88"/>
          <cell r="AG88"/>
          <cell r="AH88"/>
          <cell r="AI88"/>
          <cell r="AJ88"/>
          <cell r="AK88"/>
          <cell r="AL88"/>
        </row>
        <row r="89">
          <cell r="E89" t="str">
            <v>CD-22mm</v>
          </cell>
          <cell r="F89" t="str">
            <v>ｍ</v>
          </cell>
          <cell r="G89"/>
          <cell r="H89">
            <v>37</v>
          </cell>
          <cell r="I89"/>
          <cell r="J89">
            <v>37</v>
          </cell>
          <cell r="K89"/>
          <cell r="L89">
            <v>37</v>
          </cell>
          <cell r="M89"/>
          <cell r="N89">
            <v>37</v>
          </cell>
          <cell r="O89"/>
          <cell r="P89">
            <v>37</v>
          </cell>
          <cell r="Q89"/>
          <cell r="R89">
            <v>37</v>
          </cell>
          <cell r="S89"/>
          <cell r="T89">
            <v>37</v>
          </cell>
          <cell r="U89"/>
          <cell r="V89">
            <v>37</v>
          </cell>
          <cell r="W89"/>
          <cell r="X89">
            <v>37</v>
          </cell>
          <cell r="Y89"/>
          <cell r="Z89">
            <v>41</v>
          </cell>
          <cell r="AA89"/>
          <cell r="AB89"/>
          <cell r="AC89"/>
          <cell r="AD89">
            <v>4.1000000000000002E-2</v>
          </cell>
          <cell r="AE89"/>
          <cell r="AF89"/>
          <cell r="AG89"/>
          <cell r="AH89"/>
          <cell r="AI89"/>
          <cell r="AJ89"/>
          <cell r="AK89"/>
          <cell r="AL89"/>
        </row>
        <row r="90">
          <cell r="E90" t="str">
            <v>CD-28mm</v>
          </cell>
          <cell r="F90" t="str">
            <v>ｍ</v>
          </cell>
          <cell r="G90"/>
          <cell r="H90">
            <v>53</v>
          </cell>
          <cell r="I90"/>
          <cell r="J90">
            <v>53</v>
          </cell>
          <cell r="K90"/>
          <cell r="L90">
            <v>53</v>
          </cell>
          <cell r="M90"/>
          <cell r="N90">
            <v>53</v>
          </cell>
          <cell r="O90"/>
          <cell r="P90">
            <v>53</v>
          </cell>
          <cell r="Q90"/>
          <cell r="R90">
            <v>53</v>
          </cell>
          <cell r="S90"/>
          <cell r="T90">
            <v>53</v>
          </cell>
          <cell r="U90"/>
          <cell r="V90">
            <v>53</v>
          </cell>
          <cell r="W90"/>
          <cell r="X90">
            <v>53</v>
          </cell>
          <cell r="Y90"/>
          <cell r="Z90">
            <v>58</v>
          </cell>
          <cell r="AA90"/>
          <cell r="AB90"/>
          <cell r="AC90"/>
          <cell r="AD90">
            <v>5.1999999999999998E-2</v>
          </cell>
          <cell r="AE90"/>
          <cell r="AF90"/>
          <cell r="AG90"/>
          <cell r="AH90"/>
          <cell r="AI90"/>
          <cell r="AJ90"/>
          <cell r="AK90"/>
          <cell r="AL90"/>
        </row>
        <row r="91">
          <cell r="E91" t="str">
            <v>CD-36mm</v>
          </cell>
          <cell r="F91" t="str">
            <v>ｍ</v>
          </cell>
          <cell r="G91"/>
          <cell r="H91">
            <v>68</v>
          </cell>
          <cell r="I91"/>
          <cell r="J91">
            <v>68</v>
          </cell>
          <cell r="K91"/>
          <cell r="L91">
            <v>68</v>
          </cell>
          <cell r="M91"/>
          <cell r="N91">
            <v>68</v>
          </cell>
          <cell r="O91"/>
          <cell r="P91">
            <v>68</v>
          </cell>
          <cell r="Q91"/>
          <cell r="R91">
            <v>68</v>
          </cell>
          <cell r="S91"/>
          <cell r="T91">
            <v>68</v>
          </cell>
          <cell r="U91"/>
          <cell r="V91">
            <v>68</v>
          </cell>
          <cell r="W91"/>
          <cell r="X91">
            <v>68</v>
          </cell>
          <cell r="Y91"/>
          <cell r="Z91">
            <v>68</v>
          </cell>
          <cell r="AA91"/>
          <cell r="AB91"/>
          <cell r="AC91"/>
          <cell r="AD91">
            <v>6.7000000000000004E-2</v>
          </cell>
          <cell r="AE91"/>
          <cell r="AF91"/>
          <cell r="AG91"/>
          <cell r="AH91"/>
          <cell r="AI91"/>
          <cell r="AJ91"/>
          <cell r="AK91"/>
          <cell r="AL91"/>
        </row>
        <row r="92">
          <cell r="E92" t="str">
            <v>CD-42mm</v>
          </cell>
          <cell r="F92" t="str">
            <v>ｍ</v>
          </cell>
          <cell r="G92"/>
          <cell r="H92">
            <v>79</v>
          </cell>
          <cell r="I92"/>
          <cell r="J92">
            <v>79</v>
          </cell>
          <cell r="K92"/>
          <cell r="L92">
            <v>79</v>
          </cell>
          <cell r="M92"/>
          <cell r="N92">
            <v>79</v>
          </cell>
          <cell r="O92"/>
          <cell r="P92">
            <v>79</v>
          </cell>
          <cell r="Q92"/>
          <cell r="R92">
            <v>79</v>
          </cell>
          <cell r="S92"/>
          <cell r="T92">
            <v>79</v>
          </cell>
          <cell r="U92"/>
          <cell r="V92">
            <v>79</v>
          </cell>
          <cell r="W92"/>
          <cell r="X92">
            <v>79</v>
          </cell>
          <cell r="Y92"/>
          <cell r="Z92">
            <v>79</v>
          </cell>
          <cell r="AA92"/>
          <cell r="AB92"/>
          <cell r="AC92"/>
          <cell r="AD92">
            <v>7.8E-2</v>
          </cell>
          <cell r="AE92"/>
          <cell r="AF92"/>
          <cell r="AG92"/>
          <cell r="AH92"/>
          <cell r="AI92"/>
          <cell r="AJ92"/>
          <cell r="AK92"/>
          <cell r="AL92"/>
        </row>
        <row r="93">
          <cell r="E93" t="str">
            <v>PF-S-14mm</v>
          </cell>
          <cell r="F93" t="str">
            <v>ｍ</v>
          </cell>
          <cell r="G93"/>
          <cell r="H93">
            <v>59</v>
          </cell>
          <cell r="I93"/>
          <cell r="J93">
            <v>59</v>
          </cell>
          <cell r="K93"/>
          <cell r="L93">
            <v>59</v>
          </cell>
          <cell r="M93"/>
          <cell r="N93">
            <v>59</v>
          </cell>
          <cell r="O93"/>
          <cell r="P93">
            <v>59</v>
          </cell>
          <cell r="Q93"/>
          <cell r="R93">
            <v>59</v>
          </cell>
          <cell r="S93"/>
          <cell r="T93">
            <v>59</v>
          </cell>
          <cell r="U93"/>
          <cell r="V93">
            <v>59</v>
          </cell>
          <cell r="W93"/>
          <cell r="X93">
            <v>59</v>
          </cell>
          <cell r="Y93"/>
          <cell r="Z93">
            <v>61</v>
          </cell>
          <cell r="AA93"/>
          <cell r="AB93"/>
          <cell r="AC93"/>
          <cell r="AD93">
            <v>2.9000000000000001E-2</v>
          </cell>
          <cell r="AE93"/>
          <cell r="AF93"/>
          <cell r="AG93"/>
          <cell r="AH93"/>
          <cell r="AI93"/>
          <cell r="AJ93"/>
          <cell r="AK93"/>
          <cell r="AL93"/>
        </row>
        <row r="94">
          <cell r="E94" t="str">
            <v>PF-S-16mm</v>
          </cell>
          <cell r="F94" t="str">
            <v>ｍ</v>
          </cell>
          <cell r="G94"/>
          <cell r="H94">
            <v>56</v>
          </cell>
          <cell r="I94"/>
          <cell r="J94">
            <v>56</v>
          </cell>
          <cell r="K94"/>
          <cell r="L94">
            <v>56</v>
          </cell>
          <cell r="M94"/>
          <cell r="N94">
            <v>56</v>
          </cell>
          <cell r="O94"/>
          <cell r="P94">
            <v>56</v>
          </cell>
          <cell r="Q94"/>
          <cell r="R94">
            <v>56</v>
          </cell>
          <cell r="S94"/>
          <cell r="T94">
            <v>56</v>
          </cell>
          <cell r="U94"/>
          <cell r="V94">
            <v>56</v>
          </cell>
          <cell r="W94"/>
          <cell r="X94">
            <v>56</v>
          </cell>
          <cell r="Y94"/>
          <cell r="Z94">
            <v>59</v>
          </cell>
          <cell r="AA94"/>
          <cell r="AB94"/>
          <cell r="AC94"/>
          <cell r="AD94">
            <v>3.1E-2</v>
          </cell>
          <cell r="AE94"/>
          <cell r="AF94"/>
          <cell r="AG94"/>
          <cell r="AH94"/>
          <cell r="AI94"/>
          <cell r="AJ94"/>
          <cell r="AK94"/>
          <cell r="AL94"/>
        </row>
        <row r="95">
          <cell r="E95" t="str">
            <v>PF-S-22mm</v>
          </cell>
          <cell r="F95" t="str">
            <v>ｍ</v>
          </cell>
          <cell r="G95"/>
          <cell r="H95">
            <v>81</v>
          </cell>
          <cell r="I95"/>
          <cell r="J95">
            <v>81</v>
          </cell>
          <cell r="K95"/>
          <cell r="L95">
            <v>81</v>
          </cell>
          <cell r="M95"/>
          <cell r="N95">
            <v>81</v>
          </cell>
          <cell r="O95"/>
          <cell r="P95">
            <v>81</v>
          </cell>
          <cell r="Q95"/>
          <cell r="R95">
            <v>81</v>
          </cell>
          <cell r="S95"/>
          <cell r="T95">
            <v>81</v>
          </cell>
          <cell r="U95"/>
          <cell r="V95">
            <v>81</v>
          </cell>
          <cell r="W95"/>
          <cell r="X95">
            <v>81</v>
          </cell>
          <cell r="Y95"/>
          <cell r="Z95">
            <v>85</v>
          </cell>
          <cell r="AA95"/>
          <cell r="AB95"/>
          <cell r="AC95"/>
          <cell r="AD95">
            <v>4.1000000000000002E-2</v>
          </cell>
          <cell r="AE95"/>
          <cell r="AF95"/>
          <cell r="AG95"/>
          <cell r="AH95"/>
          <cell r="AI95"/>
          <cell r="AJ95"/>
          <cell r="AK95"/>
          <cell r="AL95"/>
        </row>
        <row r="96">
          <cell r="E96" t="str">
            <v>PF-S-28mm</v>
          </cell>
          <cell r="F96" t="str">
            <v>ｍ</v>
          </cell>
          <cell r="G96"/>
          <cell r="H96">
            <v>109</v>
          </cell>
          <cell r="I96"/>
          <cell r="J96">
            <v>109</v>
          </cell>
          <cell r="K96"/>
          <cell r="L96">
            <v>109</v>
          </cell>
          <cell r="M96"/>
          <cell r="N96">
            <v>109</v>
          </cell>
          <cell r="O96"/>
          <cell r="P96">
            <v>109</v>
          </cell>
          <cell r="Q96"/>
          <cell r="R96">
            <v>109</v>
          </cell>
          <cell r="S96"/>
          <cell r="T96">
            <v>109</v>
          </cell>
          <cell r="U96"/>
          <cell r="V96">
            <v>109</v>
          </cell>
          <cell r="W96"/>
          <cell r="X96">
            <v>109</v>
          </cell>
          <cell r="Y96"/>
          <cell r="Z96">
            <v>114</v>
          </cell>
          <cell r="AA96"/>
          <cell r="AB96"/>
          <cell r="AC96"/>
          <cell r="AD96">
            <v>5.1999999999999998E-2</v>
          </cell>
          <cell r="AE96"/>
          <cell r="AF96"/>
          <cell r="AG96"/>
          <cell r="AH96"/>
          <cell r="AI96"/>
          <cell r="AJ96"/>
          <cell r="AK96"/>
          <cell r="AL96"/>
        </row>
        <row r="97">
          <cell r="E97" t="str">
            <v>PF-S-36mm</v>
          </cell>
          <cell r="F97" t="str">
            <v>ｍ</v>
          </cell>
          <cell r="G97"/>
          <cell r="H97">
            <v>198</v>
          </cell>
          <cell r="I97"/>
          <cell r="J97">
            <v>198</v>
          </cell>
          <cell r="K97"/>
          <cell r="L97">
            <v>198</v>
          </cell>
          <cell r="M97"/>
          <cell r="N97">
            <v>198</v>
          </cell>
          <cell r="O97"/>
          <cell r="P97">
            <v>198</v>
          </cell>
          <cell r="Q97"/>
          <cell r="R97">
            <v>198</v>
          </cell>
          <cell r="S97"/>
          <cell r="T97">
            <v>198</v>
          </cell>
          <cell r="U97"/>
          <cell r="V97">
            <v>198</v>
          </cell>
          <cell r="W97"/>
          <cell r="X97">
            <v>198</v>
          </cell>
          <cell r="Y97"/>
          <cell r="Z97">
            <v>198</v>
          </cell>
          <cell r="AA97"/>
          <cell r="AB97"/>
          <cell r="AC97"/>
          <cell r="AD97">
            <v>6.7000000000000004E-2</v>
          </cell>
          <cell r="AE97"/>
          <cell r="AF97"/>
          <cell r="AG97"/>
          <cell r="AH97"/>
          <cell r="AI97"/>
          <cell r="AJ97"/>
          <cell r="AK97"/>
          <cell r="AL97"/>
        </row>
        <row r="98">
          <cell r="E98" t="str">
            <v>PF-S-42mm</v>
          </cell>
          <cell r="F98" t="str">
            <v>ｍ</v>
          </cell>
          <cell r="G98"/>
          <cell r="H98">
            <v>231</v>
          </cell>
          <cell r="I98"/>
          <cell r="J98">
            <v>231</v>
          </cell>
          <cell r="K98"/>
          <cell r="L98">
            <v>231</v>
          </cell>
          <cell r="M98"/>
          <cell r="N98">
            <v>231</v>
          </cell>
          <cell r="O98"/>
          <cell r="P98">
            <v>231</v>
          </cell>
          <cell r="Q98"/>
          <cell r="R98">
            <v>231</v>
          </cell>
          <cell r="S98"/>
          <cell r="T98">
            <v>231</v>
          </cell>
          <cell r="U98"/>
          <cell r="V98">
            <v>231</v>
          </cell>
          <cell r="W98"/>
          <cell r="X98">
            <v>231</v>
          </cell>
          <cell r="Y98"/>
          <cell r="Z98">
            <v>231</v>
          </cell>
          <cell r="AA98"/>
          <cell r="AB98"/>
          <cell r="AC98"/>
          <cell r="AD98">
            <v>7.8E-2</v>
          </cell>
          <cell r="AE98"/>
          <cell r="AF98"/>
          <cell r="AG98"/>
          <cell r="AH98"/>
          <cell r="AI98"/>
          <cell r="AJ98"/>
          <cell r="AK98"/>
          <cell r="AL98"/>
        </row>
        <row r="99">
          <cell r="E99" t="str">
            <v>PF-D-14mm</v>
          </cell>
          <cell r="F99" t="str">
            <v>ｍ</v>
          </cell>
          <cell r="G99"/>
          <cell r="H99">
            <v>85</v>
          </cell>
          <cell r="I99"/>
          <cell r="J99">
            <v>85</v>
          </cell>
          <cell r="K99"/>
          <cell r="L99">
            <v>85</v>
          </cell>
          <cell r="M99"/>
          <cell r="N99">
            <v>85</v>
          </cell>
          <cell r="O99"/>
          <cell r="P99">
            <v>85</v>
          </cell>
          <cell r="Q99"/>
          <cell r="R99">
            <v>85</v>
          </cell>
          <cell r="S99"/>
          <cell r="T99">
            <v>85</v>
          </cell>
          <cell r="U99"/>
          <cell r="V99">
            <v>85</v>
          </cell>
          <cell r="W99"/>
          <cell r="X99">
            <v>85</v>
          </cell>
          <cell r="Y99"/>
          <cell r="Z99">
            <v>87</v>
          </cell>
          <cell r="AA99"/>
          <cell r="AB99"/>
          <cell r="AC99"/>
          <cell r="AD99">
            <v>2.9000000000000001E-2</v>
          </cell>
          <cell r="AE99"/>
          <cell r="AF99"/>
          <cell r="AG99"/>
          <cell r="AH99"/>
          <cell r="AI99"/>
          <cell r="AJ99"/>
          <cell r="AK99"/>
          <cell r="AL99"/>
        </row>
        <row r="100">
          <cell r="E100" t="str">
            <v>PF-D-16mm</v>
          </cell>
          <cell r="F100" t="str">
            <v>ｍ</v>
          </cell>
          <cell r="G100"/>
          <cell r="H100">
            <v>77</v>
          </cell>
          <cell r="I100"/>
          <cell r="J100">
            <v>77</v>
          </cell>
          <cell r="K100"/>
          <cell r="L100">
            <v>77</v>
          </cell>
          <cell r="M100"/>
          <cell r="N100">
            <v>77</v>
          </cell>
          <cell r="O100"/>
          <cell r="P100">
            <v>77</v>
          </cell>
          <cell r="Q100"/>
          <cell r="R100">
            <v>77</v>
          </cell>
          <cell r="S100"/>
          <cell r="T100">
            <v>77</v>
          </cell>
          <cell r="U100"/>
          <cell r="V100">
            <v>77</v>
          </cell>
          <cell r="W100"/>
          <cell r="X100">
            <v>77</v>
          </cell>
          <cell r="Y100"/>
          <cell r="Z100">
            <v>79</v>
          </cell>
          <cell r="AA100"/>
          <cell r="AB100"/>
          <cell r="AC100"/>
          <cell r="AD100">
            <v>3.1E-2</v>
          </cell>
          <cell r="AE100"/>
          <cell r="AF100"/>
          <cell r="AG100"/>
          <cell r="AH100"/>
          <cell r="AI100"/>
          <cell r="AJ100"/>
          <cell r="AK100"/>
          <cell r="AL100"/>
        </row>
        <row r="101">
          <cell r="E101" t="str">
            <v>PF-D-22mm</v>
          </cell>
          <cell r="F101" t="str">
            <v>ｍ</v>
          </cell>
          <cell r="G101"/>
          <cell r="H101">
            <v>116</v>
          </cell>
          <cell r="I101"/>
          <cell r="J101">
            <v>116</v>
          </cell>
          <cell r="K101"/>
          <cell r="L101">
            <v>116</v>
          </cell>
          <cell r="M101"/>
          <cell r="N101">
            <v>116</v>
          </cell>
          <cell r="O101"/>
          <cell r="P101">
            <v>116</v>
          </cell>
          <cell r="Q101"/>
          <cell r="R101">
            <v>116</v>
          </cell>
          <cell r="S101"/>
          <cell r="T101">
            <v>116</v>
          </cell>
          <cell r="U101"/>
          <cell r="V101">
            <v>116</v>
          </cell>
          <cell r="W101"/>
          <cell r="X101">
            <v>116</v>
          </cell>
          <cell r="Y101"/>
          <cell r="Z101">
            <v>119</v>
          </cell>
          <cell r="AA101"/>
          <cell r="AB101"/>
          <cell r="AC101"/>
          <cell r="AD101">
            <v>4.1000000000000002E-2</v>
          </cell>
          <cell r="AE101"/>
          <cell r="AF101"/>
          <cell r="AG101"/>
          <cell r="AH101"/>
          <cell r="AI101"/>
          <cell r="AJ101"/>
          <cell r="AK101"/>
          <cell r="AL101"/>
        </row>
        <row r="102">
          <cell r="E102" t="str">
            <v>PF-D-28mm</v>
          </cell>
          <cell r="F102" t="str">
            <v>ｍ</v>
          </cell>
          <cell r="G102"/>
          <cell r="H102">
            <v>155</v>
          </cell>
          <cell r="I102"/>
          <cell r="J102">
            <v>155</v>
          </cell>
          <cell r="K102"/>
          <cell r="L102">
            <v>155</v>
          </cell>
          <cell r="M102"/>
          <cell r="N102">
            <v>155</v>
          </cell>
          <cell r="O102"/>
          <cell r="P102">
            <v>155</v>
          </cell>
          <cell r="Q102"/>
          <cell r="R102">
            <v>155</v>
          </cell>
          <cell r="S102"/>
          <cell r="T102">
            <v>155</v>
          </cell>
          <cell r="U102"/>
          <cell r="V102">
            <v>155</v>
          </cell>
          <cell r="W102"/>
          <cell r="X102">
            <v>155</v>
          </cell>
          <cell r="Y102"/>
          <cell r="Z102">
            <v>159</v>
          </cell>
          <cell r="AA102"/>
          <cell r="AB102"/>
          <cell r="AC102"/>
          <cell r="AD102">
            <v>5.1999999999999998E-2</v>
          </cell>
          <cell r="AE102"/>
          <cell r="AF102"/>
          <cell r="AG102"/>
          <cell r="AH102"/>
          <cell r="AI102"/>
          <cell r="AJ102"/>
          <cell r="AK102"/>
          <cell r="AL102"/>
        </row>
        <row r="103">
          <cell r="E103" t="str">
            <v>PF-D-36mm</v>
          </cell>
          <cell r="F103" t="str">
            <v>ｍ</v>
          </cell>
          <cell r="G103"/>
          <cell r="H103">
            <v>198</v>
          </cell>
          <cell r="I103"/>
          <cell r="J103">
            <v>198</v>
          </cell>
          <cell r="K103"/>
          <cell r="L103">
            <v>198</v>
          </cell>
          <cell r="M103"/>
          <cell r="N103">
            <v>198</v>
          </cell>
          <cell r="O103"/>
          <cell r="P103">
            <v>198</v>
          </cell>
          <cell r="Q103"/>
          <cell r="R103">
            <v>198</v>
          </cell>
          <cell r="S103"/>
          <cell r="T103">
            <v>198</v>
          </cell>
          <cell r="U103"/>
          <cell r="V103">
            <v>198</v>
          </cell>
          <cell r="W103"/>
          <cell r="X103">
            <v>198</v>
          </cell>
          <cell r="Y103"/>
          <cell r="Z103">
            <v>198</v>
          </cell>
          <cell r="AA103"/>
          <cell r="AB103"/>
          <cell r="AC103"/>
          <cell r="AD103">
            <v>6.7000000000000004E-2</v>
          </cell>
          <cell r="AE103"/>
          <cell r="AF103"/>
          <cell r="AG103"/>
          <cell r="AH103"/>
          <cell r="AI103"/>
          <cell r="AJ103"/>
          <cell r="AK103"/>
          <cell r="AL103"/>
        </row>
        <row r="104">
          <cell r="E104" t="str">
            <v>PF-D-42mm</v>
          </cell>
          <cell r="F104" t="str">
            <v>ｍ</v>
          </cell>
          <cell r="G104"/>
          <cell r="H104">
            <v>231</v>
          </cell>
          <cell r="I104"/>
          <cell r="J104">
            <v>231</v>
          </cell>
          <cell r="K104"/>
          <cell r="L104">
            <v>231</v>
          </cell>
          <cell r="M104"/>
          <cell r="N104">
            <v>231</v>
          </cell>
          <cell r="O104"/>
          <cell r="P104">
            <v>231</v>
          </cell>
          <cell r="Q104"/>
          <cell r="R104">
            <v>231</v>
          </cell>
          <cell r="S104"/>
          <cell r="T104">
            <v>231</v>
          </cell>
          <cell r="U104"/>
          <cell r="V104">
            <v>231</v>
          </cell>
          <cell r="W104"/>
          <cell r="X104">
            <v>231</v>
          </cell>
          <cell r="Y104"/>
          <cell r="Z104">
            <v>231</v>
          </cell>
          <cell r="AA104"/>
          <cell r="AB104"/>
          <cell r="AC104"/>
          <cell r="AD104">
            <v>7.8E-2</v>
          </cell>
          <cell r="AE104"/>
          <cell r="AF104"/>
          <cell r="AG104"/>
          <cell r="AH104"/>
          <cell r="AI104"/>
          <cell r="AJ104"/>
          <cell r="AK104"/>
          <cell r="AL104"/>
        </row>
        <row r="105">
          <cell r="E105" t="str">
            <v>F2- 10mm</v>
          </cell>
          <cell r="F105" t="str">
            <v>ｍ</v>
          </cell>
          <cell r="G105"/>
          <cell r="H105">
            <v>199</v>
          </cell>
          <cell r="I105"/>
          <cell r="J105">
            <v>199</v>
          </cell>
          <cell r="K105"/>
          <cell r="L105">
            <v>199</v>
          </cell>
          <cell r="M105"/>
          <cell r="N105">
            <v>199</v>
          </cell>
          <cell r="O105"/>
          <cell r="P105">
            <v>199</v>
          </cell>
          <cell r="Q105"/>
          <cell r="R105">
            <v>199</v>
          </cell>
          <cell r="S105"/>
          <cell r="T105">
            <v>199</v>
          </cell>
          <cell r="U105"/>
          <cell r="V105">
            <v>199</v>
          </cell>
          <cell r="W105"/>
          <cell r="X105">
            <v>199</v>
          </cell>
          <cell r="Y105"/>
          <cell r="Z105">
            <v>199</v>
          </cell>
          <cell r="AA105"/>
          <cell r="AB105"/>
          <cell r="AC105"/>
          <cell r="AD105">
            <v>1.4999999999999999E-2</v>
          </cell>
          <cell r="AE105"/>
          <cell r="AF105"/>
          <cell r="AG105"/>
          <cell r="AH105"/>
          <cell r="AI105"/>
          <cell r="AJ105"/>
          <cell r="AK105"/>
          <cell r="AL105"/>
        </row>
        <row r="106">
          <cell r="E106" t="str">
            <v>F2- 12mm</v>
          </cell>
          <cell r="F106" t="str">
            <v>ｍ</v>
          </cell>
          <cell r="G106"/>
          <cell r="H106">
            <v>243</v>
          </cell>
          <cell r="I106"/>
          <cell r="J106">
            <v>243</v>
          </cell>
          <cell r="K106"/>
          <cell r="L106">
            <v>243</v>
          </cell>
          <cell r="M106"/>
          <cell r="N106">
            <v>243</v>
          </cell>
          <cell r="O106"/>
          <cell r="P106">
            <v>243</v>
          </cell>
          <cell r="Q106"/>
          <cell r="R106">
            <v>243</v>
          </cell>
          <cell r="S106"/>
          <cell r="T106">
            <v>243</v>
          </cell>
          <cell r="U106"/>
          <cell r="V106">
            <v>243</v>
          </cell>
          <cell r="W106"/>
          <cell r="X106">
            <v>243</v>
          </cell>
          <cell r="Y106"/>
          <cell r="Z106">
            <v>243</v>
          </cell>
          <cell r="AA106"/>
          <cell r="AB106"/>
          <cell r="AC106"/>
          <cell r="AD106">
            <v>1.7999999999999999E-2</v>
          </cell>
          <cell r="AE106"/>
          <cell r="AF106"/>
          <cell r="AG106"/>
          <cell r="AH106"/>
          <cell r="AI106"/>
          <cell r="AJ106"/>
          <cell r="AK106"/>
          <cell r="AL106"/>
        </row>
        <row r="107">
          <cell r="E107" t="str">
            <v>F2- 15mm</v>
          </cell>
          <cell r="F107" t="str">
            <v>ｍ</v>
          </cell>
          <cell r="G107"/>
          <cell r="H107">
            <v>253</v>
          </cell>
          <cell r="I107"/>
          <cell r="J107">
            <v>253</v>
          </cell>
          <cell r="K107"/>
          <cell r="L107">
            <v>253</v>
          </cell>
          <cell r="M107"/>
          <cell r="N107">
            <v>253</v>
          </cell>
          <cell r="O107"/>
          <cell r="P107">
            <v>253</v>
          </cell>
          <cell r="Q107"/>
          <cell r="R107">
            <v>253</v>
          </cell>
          <cell r="S107"/>
          <cell r="T107">
            <v>253</v>
          </cell>
          <cell r="U107"/>
          <cell r="V107">
            <v>253</v>
          </cell>
          <cell r="W107"/>
          <cell r="X107">
            <v>253</v>
          </cell>
          <cell r="Y107"/>
          <cell r="Z107">
            <v>253</v>
          </cell>
          <cell r="AA107"/>
          <cell r="AB107"/>
          <cell r="AC107"/>
          <cell r="AD107">
            <v>2.1999999999999999E-2</v>
          </cell>
          <cell r="AE107"/>
          <cell r="AF107"/>
          <cell r="AG107"/>
          <cell r="AH107"/>
          <cell r="AI107"/>
          <cell r="AJ107"/>
          <cell r="AK107"/>
          <cell r="AL107"/>
        </row>
        <row r="108">
          <cell r="E108" t="str">
            <v>F2- 17mm</v>
          </cell>
          <cell r="F108" t="str">
            <v>ｍ</v>
          </cell>
          <cell r="G108"/>
          <cell r="H108">
            <v>275</v>
          </cell>
          <cell r="I108"/>
          <cell r="J108">
            <v>275</v>
          </cell>
          <cell r="K108"/>
          <cell r="L108">
            <v>275</v>
          </cell>
          <cell r="M108"/>
          <cell r="N108">
            <v>275</v>
          </cell>
          <cell r="O108"/>
          <cell r="P108">
            <v>275</v>
          </cell>
          <cell r="Q108"/>
          <cell r="R108">
            <v>275</v>
          </cell>
          <cell r="S108"/>
          <cell r="T108">
            <v>275</v>
          </cell>
          <cell r="U108"/>
          <cell r="V108">
            <v>275</v>
          </cell>
          <cell r="W108"/>
          <cell r="X108">
            <v>275</v>
          </cell>
          <cell r="Y108"/>
          <cell r="Z108">
            <v>275</v>
          </cell>
          <cell r="AA108"/>
          <cell r="AB108"/>
          <cell r="AC108"/>
          <cell r="AD108">
            <v>2.5000000000000001E-2</v>
          </cell>
          <cell r="AE108"/>
          <cell r="AF108"/>
          <cell r="AG108"/>
          <cell r="AH108"/>
          <cell r="AI108"/>
          <cell r="AJ108"/>
          <cell r="AK108"/>
          <cell r="AL108"/>
        </row>
        <row r="109">
          <cell r="E109" t="str">
            <v>F2- 24mm</v>
          </cell>
          <cell r="F109" t="str">
            <v>ｍ</v>
          </cell>
          <cell r="G109"/>
          <cell r="H109">
            <v>367</v>
          </cell>
          <cell r="I109"/>
          <cell r="J109">
            <v>367</v>
          </cell>
          <cell r="K109"/>
          <cell r="L109">
            <v>367</v>
          </cell>
          <cell r="M109"/>
          <cell r="N109">
            <v>367</v>
          </cell>
          <cell r="O109"/>
          <cell r="P109">
            <v>367</v>
          </cell>
          <cell r="Q109"/>
          <cell r="R109">
            <v>367</v>
          </cell>
          <cell r="S109"/>
          <cell r="T109">
            <v>367</v>
          </cell>
          <cell r="U109"/>
          <cell r="V109">
            <v>367</v>
          </cell>
          <cell r="W109"/>
          <cell r="X109">
            <v>367</v>
          </cell>
          <cell r="Y109"/>
          <cell r="Z109">
            <v>367</v>
          </cell>
          <cell r="AA109"/>
          <cell r="AB109"/>
          <cell r="AC109"/>
          <cell r="AD109">
            <v>3.5999999999999997E-2</v>
          </cell>
          <cell r="AE109"/>
          <cell r="AF109"/>
          <cell r="AG109"/>
          <cell r="AH109"/>
          <cell r="AI109"/>
          <cell r="AJ109"/>
          <cell r="AK109"/>
          <cell r="AL109"/>
        </row>
        <row r="110">
          <cell r="E110" t="str">
            <v>F2- 30mm</v>
          </cell>
          <cell r="F110" t="str">
            <v>ｍ</v>
          </cell>
          <cell r="G110"/>
          <cell r="H110">
            <v>480</v>
          </cell>
          <cell r="I110"/>
          <cell r="J110">
            <v>480</v>
          </cell>
          <cell r="K110"/>
          <cell r="L110">
            <v>480</v>
          </cell>
          <cell r="M110"/>
          <cell r="N110">
            <v>480</v>
          </cell>
          <cell r="O110"/>
          <cell r="P110">
            <v>480</v>
          </cell>
          <cell r="Q110"/>
          <cell r="R110">
            <v>480</v>
          </cell>
          <cell r="S110"/>
          <cell r="T110">
            <v>480</v>
          </cell>
          <cell r="U110"/>
          <cell r="V110">
            <v>480</v>
          </cell>
          <cell r="W110"/>
          <cell r="X110">
            <v>480</v>
          </cell>
          <cell r="Y110"/>
          <cell r="Z110">
            <v>480</v>
          </cell>
          <cell r="AA110"/>
          <cell r="AB110"/>
          <cell r="AC110"/>
          <cell r="AD110">
            <v>4.4999999999999998E-2</v>
          </cell>
          <cell r="AE110"/>
          <cell r="AF110"/>
          <cell r="AG110"/>
          <cell r="AH110"/>
          <cell r="AI110"/>
          <cell r="AJ110"/>
          <cell r="AK110"/>
          <cell r="AL110"/>
        </row>
        <row r="111">
          <cell r="E111" t="str">
            <v>F2- 38mm</v>
          </cell>
          <cell r="F111" t="str">
            <v>ｍ</v>
          </cell>
          <cell r="G111"/>
          <cell r="H111">
            <v>583</v>
          </cell>
          <cell r="I111"/>
          <cell r="J111">
            <v>583</v>
          </cell>
          <cell r="K111"/>
          <cell r="L111">
            <v>583</v>
          </cell>
          <cell r="M111"/>
          <cell r="N111">
            <v>583</v>
          </cell>
          <cell r="O111"/>
          <cell r="P111">
            <v>583</v>
          </cell>
          <cell r="Q111"/>
          <cell r="R111">
            <v>583</v>
          </cell>
          <cell r="S111"/>
          <cell r="T111">
            <v>583</v>
          </cell>
          <cell r="U111"/>
          <cell r="V111">
            <v>583</v>
          </cell>
          <cell r="W111"/>
          <cell r="X111">
            <v>583</v>
          </cell>
          <cell r="Y111"/>
          <cell r="Z111">
            <v>583</v>
          </cell>
          <cell r="AA111"/>
          <cell r="AB111"/>
          <cell r="AC111"/>
          <cell r="AD111">
            <v>5.7000000000000002E-2</v>
          </cell>
          <cell r="AE111"/>
          <cell r="AF111"/>
          <cell r="AG111"/>
          <cell r="AH111"/>
          <cell r="AI111"/>
          <cell r="AJ111"/>
          <cell r="AK111"/>
          <cell r="AL111"/>
        </row>
        <row r="112">
          <cell r="E112" t="str">
            <v>F2- 50mm</v>
          </cell>
          <cell r="F112" t="str">
            <v>ｍ</v>
          </cell>
          <cell r="G112"/>
          <cell r="H112">
            <v>815</v>
          </cell>
          <cell r="I112"/>
          <cell r="J112">
            <v>815</v>
          </cell>
          <cell r="K112"/>
          <cell r="L112">
            <v>815</v>
          </cell>
          <cell r="M112"/>
          <cell r="N112">
            <v>815</v>
          </cell>
          <cell r="O112"/>
          <cell r="P112">
            <v>815</v>
          </cell>
          <cell r="Q112"/>
          <cell r="R112">
            <v>815</v>
          </cell>
          <cell r="S112"/>
          <cell r="T112">
            <v>815</v>
          </cell>
          <cell r="U112"/>
          <cell r="V112">
            <v>815</v>
          </cell>
          <cell r="W112"/>
          <cell r="X112">
            <v>815</v>
          </cell>
          <cell r="Y112"/>
          <cell r="Z112">
            <v>815</v>
          </cell>
          <cell r="AA112"/>
          <cell r="AB112"/>
          <cell r="AC112"/>
          <cell r="AD112">
            <v>7.4999999999999997E-2</v>
          </cell>
          <cell r="AE112"/>
          <cell r="AF112"/>
          <cell r="AG112"/>
          <cell r="AH112"/>
          <cell r="AI112"/>
          <cell r="AJ112"/>
          <cell r="AK112"/>
          <cell r="AL112"/>
        </row>
        <row r="113">
          <cell r="E113" t="str">
            <v>F2- 63mm</v>
          </cell>
          <cell r="F113" t="str">
            <v>ｍ</v>
          </cell>
          <cell r="G113"/>
          <cell r="H113">
            <v>1290</v>
          </cell>
          <cell r="I113"/>
          <cell r="J113">
            <v>1290</v>
          </cell>
          <cell r="K113"/>
          <cell r="L113">
            <v>1290</v>
          </cell>
          <cell r="M113"/>
          <cell r="N113">
            <v>1290</v>
          </cell>
          <cell r="O113"/>
          <cell r="P113">
            <v>1290</v>
          </cell>
          <cell r="Q113"/>
          <cell r="R113">
            <v>1290</v>
          </cell>
          <cell r="S113"/>
          <cell r="T113">
            <v>1290</v>
          </cell>
          <cell r="U113"/>
          <cell r="V113">
            <v>1290</v>
          </cell>
          <cell r="W113"/>
          <cell r="X113">
            <v>1290</v>
          </cell>
          <cell r="Y113"/>
          <cell r="Z113">
            <v>1290</v>
          </cell>
          <cell r="AA113"/>
          <cell r="AB113"/>
          <cell r="AC113"/>
          <cell r="AD113">
            <v>9.5000000000000001E-2</v>
          </cell>
          <cell r="AE113"/>
          <cell r="AF113"/>
          <cell r="AG113"/>
          <cell r="AH113"/>
          <cell r="AI113"/>
          <cell r="AJ113"/>
          <cell r="AK113"/>
          <cell r="AL113"/>
        </row>
        <row r="114">
          <cell r="E114" t="str">
            <v>F2- 76mm</v>
          </cell>
          <cell r="F114" t="str">
            <v>ｍ</v>
          </cell>
          <cell r="G114"/>
          <cell r="H114">
            <v>1720</v>
          </cell>
          <cell r="I114"/>
          <cell r="J114">
            <v>1720</v>
          </cell>
          <cell r="K114"/>
          <cell r="L114">
            <v>1720</v>
          </cell>
          <cell r="M114"/>
          <cell r="N114">
            <v>1720</v>
          </cell>
          <cell r="O114"/>
          <cell r="P114">
            <v>1720</v>
          </cell>
          <cell r="Q114"/>
          <cell r="R114">
            <v>1720</v>
          </cell>
          <cell r="S114"/>
          <cell r="T114">
            <v>1720</v>
          </cell>
          <cell r="U114"/>
          <cell r="V114">
            <v>1720</v>
          </cell>
          <cell r="W114"/>
          <cell r="X114">
            <v>1720</v>
          </cell>
          <cell r="Y114"/>
          <cell r="Z114">
            <v>1720</v>
          </cell>
          <cell r="AA114"/>
          <cell r="AB114"/>
          <cell r="AC114"/>
          <cell r="AD114">
            <v>0.115</v>
          </cell>
          <cell r="AE114"/>
          <cell r="AF114"/>
          <cell r="AG114"/>
          <cell r="AH114"/>
          <cell r="AI114"/>
          <cell r="AJ114"/>
          <cell r="AK114"/>
          <cell r="AL114"/>
        </row>
        <row r="115">
          <cell r="E115" t="str">
            <v>F2- 83mm</v>
          </cell>
          <cell r="F115" t="str">
            <v>ｍ</v>
          </cell>
          <cell r="G115"/>
          <cell r="H115">
            <v>2260</v>
          </cell>
          <cell r="I115"/>
          <cell r="J115">
            <v>2260</v>
          </cell>
          <cell r="K115"/>
          <cell r="L115">
            <v>2260</v>
          </cell>
          <cell r="M115"/>
          <cell r="N115">
            <v>2260</v>
          </cell>
          <cell r="O115"/>
          <cell r="P115">
            <v>2260</v>
          </cell>
          <cell r="Q115"/>
          <cell r="R115">
            <v>2260</v>
          </cell>
          <cell r="S115"/>
          <cell r="T115">
            <v>2260</v>
          </cell>
          <cell r="U115"/>
          <cell r="V115">
            <v>2260</v>
          </cell>
          <cell r="W115"/>
          <cell r="X115">
            <v>2260</v>
          </cell>
          <cell r="Y115"/>
          <cell r="Z115">
            <v>2260</v>
          </cell>
          <cell r="AA115"/>
          <cell r="AB115"/>
          <cell r="AC115"/>
          <cell r="AD115">
            <v>0.125</v>
          </cell>
          <cell r="AE115"/>
          <cell r="AF115"/>
          <cell r="AG115"/>
          <cell r="AH115"/>
          <cell r="AI115"/>
          <cell r="AJ115"/>
          <cell r="AK115"/>
          <cell r="AL115"/>
        </row>
        <row r="116">
          <cell r="E116" t="str">
            <v>F2-101mm</v>
          </cell>
          <cell r="F116" t="str">
            <v>ｍ</v>
          </cell>
          <cell r="G116"/>
          <cell r="H116">
            <v>3130</v>
          </cell>
          <cell r="I116"/>
          <cell r="J116">
            <v>3130</v>
          </cell>
          <cell r="K116"/>
          <cell r="L116">
            <v>3130</v>
          </cell>
          <cell r="M116"/>
          <cell r="N116">
            <v>3130</v>
          </cell>
          <cell r="O116"/>
          <cell r="P116">
            <v>3130</v>
          </cell>
          <cell r="Q116"/>
          <cell r="R116">
            <v>3130</v>
          </cell>
          <cell r="S116"/>
          <cell r="T116">
            <v>3130</v>
          </cell>
          <cell r="U116"/>
          <cell r="V116">
            <v>3130</v>
          </cell>
          <cell r="W116"/>
          <cell r="X116">
            <v>3130</v>
          </cell>
          <cell r="Y116"/>
          <cell r="Z116">
            <v>3130</v>
          </cell>
          <cell r="AA116"/>
          <cell r="AB116"/>
          <cell r="AC116"/>
          <cell r="AD116">
            <v>0.152</v>
          </cell>
          <cell r="AE116"/>
          <cell r="AF116"/>
          <cell r="AG116"/>
          <cell r="AH116"/>
          <cell r="AI116"/>
          <cell r="AJ116"/>
          <cell r="AK116"/>
          <cell r="AL116"/>
        </row>
        <row r="117">
          <cell r="E117" t="str">
            <v>F2-V- 10mm</v>
          </cell>
          <cell r="F117" t="str">
            <v>ｍ</v>
          </cell>
          <cell r="G117"/>
          <cell r="H117">
            <v>291</v>
          </cell>
          <cell r="I117"/>
          <cell r="J117">
            <v>291</v>
          </cell>
          <cell r="K117"/>
          <cell r="L117">
            <v>291</v>
          </cell>
          <cell r="M117"/>
          <cell r="N117">
            <v>291</v>
          </cell>
          <cell r="O117"/>
          <cell r="P117">
            <v>291</v>
          </cell>
          <cell r="Q117"/>
          <cell r="R117">
            <v>291</v>
          </cell>
          <cell r="S117"/>
          <cell r="T117">
            <v>291</v>
          </cell>
          <cell r="U117"/>
          <cell r="V117">
            <v>291</v>
          </cell>
          <cell r="W117"/>
          <cell r="X117">
            <v>291</v>
          </cell>
          <cell r="Y117"/>
          <cell r="Z117">
            <v>291</v>
          </cell>
          <cell r="AA117"/>
          <cell r="AB117"/>
          <cell r="AC117"/>
          <cell r="AD117">
            <v>1.4999999999999999E-2</v>
          </cell>
          <cell r="AE117"/>
          <cell r="AF117"/>
          <cell r="AG117"/>
          <cell r="AH117"/>
          <cell r="AI117"/>
          <cell r="AJ117"/>
          <cell r="AK117"/>
          <cell r="AL117"/>
        </row>
        <row r="118">
          <cell r="E118" t="str">
            <v>F2-V- 12mm</v>
          </cell>
          <cell r="F118" t="str">
            <v>ｍ</v>
          </cell>
          <cell r="G118"/>
          <cell r="H118">
            <v>334</v>
          </cell>
          <cell r="I118"/>
          <cell r="J118">
            <v>334</v>
          </cell>
          <cell r="K118"/>
          <cell r="L118">
            <v>334</v>
          </cell>
          <cell r="M118"/>
          <cell r="N118">
            <v>334</v>
          </cell>
          <cell r="O118"/>
          <cell r="P118">
            <v>334</v>
          </cell>
          <cell r="Q118"/>
          <cell r="R118">
            <v>334</v>
          </cell>
          <cell r="S118"/>
          <cell r="T118">
            <v>334</v>
          </cell>
          <cell r="U118"/>
          <cell r="V118">
            <v>334</v>
          </cell>
          <cell r="W118"/>
          <cell r="X118">
            <v>334</v>
          </cell>
          <cell r="Y118"/>
          <cell r="Z118">
            <v>334</v>
          </cell>
          <cell r="AA118"/>
          <cell r="AB118"/>
          <cell r="AC118"/>
          <cell r="AD118">
            <v>1.7999999999999999E-2</v>
          </cell>
          <cell r="AE118"/>
          <cell r="AF118"/>
          <cell r="AG118"/>
          <cell r="AH118"/>
          <cell r="AI118"/>
          <cell r="AJ118"/>
          <cell r="AK118"/>
          <cell r="AL118"/>
        </row>
        <row r="119">
          <cell r="E119" t="str">
            <v>F2-V- 15mm</v>
          </cell>
          <cell r="F119" t="str">
            <v>ｍ</v>
          </cell>
          <cell r="G119"/>
          <cell r="H119">
            <v>378</v>
          </cell>
          <cell r="I119"/>
          <cell r="J119">
            <v>378</v>
          </cell>
          <cell r="K119"/>
          <cell r="L119">
            <v>378</v>
          </cell>
          <cell r="M119"/>
          <cell r="N119">
            <v>378</v>
          </cell>
          <cell r="O119"/>
          <cell r="P119">
            <v>378</v>
          </cell>
          <cell r="Q119"/>
          <cell r="R119">
            <v>378</v>
          </cell>
          <cell r="S119"/>
          <cell r="T119">
            <v>378</v>
          </cell>
          <cell r="U119"/>
          <cell r="V119">
            <v>378</v>
          </cell>
          <cell r="W119"/>
          <cell r="X119">
            <v>378</v>
          </cell>
          <cell r="Y119"/>
          <cell r="Z119">
            <v>378</v>
          </cell>
          <cell r="AA119"/>
          <cell r="AB119"/>
          <cell r="AC119"/>
          <cell r="AD119">
            <v>2.1999999999999999E-2</v>
          </cell>
          <cell r="AE119"/>
          <cell r="AF119"/>
          <cell r="AG119"/>
          <cell r="AH119"/>
          <cell r="AI119"/>
          <cell r="AJ119"/>
          <cell r="AK119"/>
          <cell r="AL119"/>
        </row>
        <row r="120">
          <cell r="E120" t="str">
            <v>F2-V- 17mm</v>
          </cell>
          <cell r="F120" t="str">
            <v>ｍ</v>
          </cell>
          <cell r="G120"/>
          <cell r="H120">
            <v>421</v>
          </cell>
          <cell r="I120"/>
          <cell r="J120">
            <v>421</v>
          </cell>
          <cell r="K120"/>
          <cell r="L120">
            <v>421</v>
          </cell>
          <cell r="M120"/>
          <cell r="N120">
            <v>421</v>
          </cell>
          <cell r="O120"/>
          <cell r="P120">
            <v>421</v>
          </cell>
          <cell r="Q120"/>
          <cell r="R120">
            <v>421</v>
          </cell>
          <cell r="S120"/>
          <cell r="T120">
            <v>421</v>
          </cell>
          <cell r="U120"/>
          <cell r="V120">
            <v>421</v>
          </cell>
          <cell r="W120"/>
          <cell r="X120">
            <v>421</v>
          </cell>
          <cell r="Y120"/>
          <cell r="Z120">
            <v>421</v>
          </cell>
          <cell r="AA120"/>
          <cell r="AB120"/>
          <cell r="AC120"/>
          <cell r="AD120">
            <v>2.5000000000000001E-2</v>
          </cell>
          <cell r="AE120"/>
          <cell r="AF120"/>
          <cell r="AG120"/>
          <cell r="AH120"/>
          <cell r="AI120"/>
          <cell r="AJ120"/>
          <cell r="AK120"/>
          <cell r="AL120"/>
        </row>
        <row r="121">
          <cell r="E121" t="str">
            <v>F2-V- 24mm</v>
          </cell>
          <cell r="F121" t="str">
            <v>ｍ</v>
          </cell>
          <cell r="G121"/>
          <cell r="H121">
            <v>545</v>
          </cell>
          <cell r="I121"/>
          <cell r="J121">
            <v>545</v>
          </cell>
          <cell r="K121"/>
          <cell r="L121">
            <v>545</v>
          </cell>
          <cell r="M121"/>
          <cell r="N121">
            <v>545</v>
          </cell>
          <cell r="O121"/>
          <cell r="P121">
            <v>545</v>
          </cell>
          <cell r="Q121"/>
          <cell r="R121">
            <v>545</v>
          </cell>
          <cell r="S121"/>
          <cell r="T121">
            <v>545</v>
          </cell>
          <cell r="U121"/>
          <cell r="V121">
            <v>545</v>
          </cell>
          <cell r="W121"/>
          <cell r="X121">
            <v>545</v>
          </cell>
          <cell r="Y121"/>
          <cell r="Z121">
            <v>545</v>
          </cell>
          <cell r="AA121"/>
          <cell r="AB121"/>
          <cell r="AC121"/>
          <cell r="AD121">
            <v>3.5999999999999997E-2</v>
          </cell>
          <cell r="AE121"/>
          <cell r="AF121"/>
          <cell r="AG121"/>
          <cell r="AH121"/>
          <cell r="AI121"/>
          <cell r="AJ121"/>
          <cell r="AK121"/>
          <cell r="AL121"/>
        </row>
        <row r="122">
          <cell r="E122" t="str">
            <v>F2-V- 30mm</v>
          </cell>
          <cell r="F122" t="str">
            <v>ｍ</v>
          </cell>
          <cell r="G122"/>
          <cell r="H122">
            <v>691</v>
          </cell>
          <cell r="I122"/>
          <cell r="J122">
            <v>691</v>
          </cell>
          <cell r="K122"/>
          <cell r="L122">
            <v>691</v>
          </cell>
          <cell r="M122"/>
          <cell r="N122">
            <v>691</v>
          </cell>
          <cell r="O122"/>
          <cell r="P122">
            <v>691</v>
          </cell>
          <cell r="Q122"/>
          <cell r="R122">
            <v>691</v>
          </cell>
          <cell r="S122"/>
          <cell r="T122">
            <v>691</v>
          </cell>
          <cell r="U122"/>
          <cell r="V122">
            <v>691</v>
          </cell>
          <cell r="W122"/>
          <cell r="X122">
            <v>691</v>
          </cell>
          <cell r="Y122"/>
          <cell r="Z122">
            <v>691</v>
          </cell>
          <cell r="AA122"/>
          <cell r="AB122"/>
          <cell r="AC122"/>
          <cell r="AD122">
            <v>4.4999999999999998E-2</v>
          </cell>
          <cell r="AE122"/>
          <cell r="AF122"/>
          <cell r="AG122"/>
          <cell r="AH122"/>
          <cell r="AI122"/>
          <cell r="AJ122"/>
          <cell r="AK122"/>
          <cell r="AL122"/>
        </row>
        <row r="123">
          <cell r="E123" t="str">
            <v>F2-V- 38mm</v>
          </cell>
          <cell r="F123" t="str">
            <v>ｍ</v>
          </cell>
          <cell r="G123"/>
          <cell r="H123">
            <v>853</v>
          </cell>
          <cell r="I123"/>
          <cell r="J123">
            <v>853</v>
          </cell>
          <cell r="K123"/>
          <cell r="L123">
            <v>853</v>
          </cell>
          <cell r="M123"/>
          <cell r="N123">
            <v>853</v>
          </cell>
          <cell r="O123"/>
          <cell r="P123">
            <v>853</v>
          </cell>
          <cell r="Q123"/>
          <cell r="R123">
            <v>853</v>
          </cell>
          <cell r="S123"/>
          <cell r="T123">
            <v>853</v>
          </cell>
          <cell r="U123"/>
          <cell r="V123">
            <v>853</v>
          </cell>
          <cell r="W123"/>
          <cell r="X123">
            <v>853</v>
          </cell>
          <cell r="Y123"/>
          <cell r="Z123">
            <v>853</v>
          </cell>
          <cell r="AA123"/>
          <cell r="AB123"/>
          <cell r="AC123"/>
          <cell r="AD123">
            <v>5.7000000000000002E-2</v>
          </cell>
          <cell r="AE123"/>
          <cell r="AF123"/>
          <cell r="AG123"/>
          <cell r="AH123"/>
          <cell r="AI123"/>
          <cell r="AJ123"/>
          <cell r="AK123"/>
          <cell r="AL123"/>
        </row>
        <row r="124">
          <cell r="E124" t="str">
            <v>F2-V- 50mm</v>
          </cell>
          <cell r="F124" t="str">
            <v>ｍ</v>
          </cell>
          <cell r="G124"/>
          <cell r="H124">
            <v>1290</v>
          </cell>
          <cell r="I124"/>
          <cell r="J124">
            <v>1290</v>
          </cell>
          <cell r="K124"/>
          <cell r="L124">
            <v>1290</v>
          </cell>
          <cell r="M124"/>
          <cell r="N124">
            <v>1290</v>
          </cell>
          <cell r="O124"/>
          <cell r="P124">
            <v>1290</v>
          </cell>
          <cell r="Q124"/>
          <cell r="R124">
            <v>1290</v>
          </cell>
          <cell r="S124"/>
          <cell r="T124">
            <v>1290</v>
          </cell>
          <cell r="U124"/>
          <cell r="V124">
            <v>1290</v>
          </cell>
          <cell r="W124"/>
          <cell r="X124">
            <v>1290</v>
          </cell>
          <cell r="Y124"/>
          <cell r="Z124">
            <v>1290</v>
          </cell>
          <cell r="AA124"/>
          <cell r="AB124"/>
          <cell r="AC124"/>
          <cell r="AD124">
            <v>7.4999999999999997E-2</v>
          </cell>
          <cell r="AE124"/>
          <cell r="AF124"/>
          <cell r="AG124"/>
          <cell r="AH124"/>
          <cell r="AI124"/>
          <cell r="AJ124"/>
          <cell r="AK124"/>
          <cell r="AL124"/>
        </row>
        <row r="125">
          <cell r="E125" t="str">
            <v>F2-V- 63mm</v>
          </cell>
          <cell r="F125" t="str">
            <v>ｍ</v>
          </cell>
          <cell r="G125"/>
          <cell r="H125">
            <v>2160</v>
          </cell>
          <cell r="I125"/>
          <cell r="J125">
            <v>2160</v>
          </cell>
          <cell r="K125"/>
          <cell r="L125">
            <v>2160</v>
          </cell>
          <cell r="M125"/>
          <cell r="N125">
            <v>2160</v>
          </cell>
          <cell r="O125"/>
          <cell r="P125">
            <v>2160</v>
          </cell>
          <cell r="Q125"/>
          <cell r="R125">
            <v>2160</v>
          </cell>
          <cell r="S125"/>
          <cell r="T125">
            <v>2160</v>
          </cell>
          <cell r="U125"/>
          <cell r="V125">
            <v>2160</v>
          </cell>
          <cell r="W125"/>
          <cell r="X125">
            <v>2160</v>
          </cell>
          <cell r="Y125"/>
          <cell r="Z125">
            <v>2160</v>
          </cell>
          <cell r="AA125"/>
          <cell r="AB125"/>
          <cell r="AC125"/>
          <cell r="AD125">
            <v>9.5000000000000001E-2</v>
          </cell>
          <cell r="AE125"/>
          <cell r="AF125"/>
          <cell r="AG125"/>
          <cell r="AH125"/>
          <cell r="AI125"/>
          <cell r="AJ125"/>
          <cell r="AK125"/>
          <cell r="AL125"/>
        </row>
        <row r="126">
          <cell r="E126" t="str">
            <v>F2-V- 76mm</v>
          </cell>
          <cell r="F126" t="str">
            <v>ｍ</v>
          </cell>
          <cell r="G126"/>
          <cell r="H126">
            <v>2910</v>
          </cell>
          <cell r="I126"/>
          <cell r="J126">
            <v>2910</v>
          </cell>
          <cell r="K126"/>
          <cell r="L126">
            <v>2910</v>
          </cell>
          <cell r="M126"/>
          <cell r="N126">
            <v>2910</v>
          </cell>
          <cell r="O126"/>
          <cell r="P126">
            <v>2910</v>
          </cell>
          <cell r="Q126"/>
          <cell r="R126">
            <v>2910</v>
          </cell>
          <cell r="S126"/>
          <cell r="T126">
            <v>2910</v>
          </cell>
          <cell r="U126"/>
          <cell r="V126">
            <v>2910</v>
          </cell>
          <cell r="W126"/>
          <cell r="X126">
            <v>2910</v>
          </cell>
          <cell r="Y126"/>
          <cell r="Z126">
            <v>2910</v>
          </cell>
          <cell r="AA126"/>
          <cell r="AB126"/>
          <cell r="AC126"/>
          <cell r="AD126">
            <v>0.115</v>
          </cell>
          <cell r="AE126"/>
          <cell r="AF126"/>
          <cell r="AG126"/>
          <cell r="AH126"/>
          <cell r="AI126"/>
          <cell r="AJ126"/>
          <cell r="AK126"/>
          <cell r="AL126"/>
        </row>
        <row r="127">
          <cell r="E127" t="str">
            <v>F2-V- 83mm</v>
          </cell>
          <cell r="F127" t="str">
            <v>ｍ</v>
          </cell>
          <cell r="G127"/>
          <cell r="H127">
            <v>4530</v>
          </cell>
          <cell r="I127"/>
          <cell r="J127">
            <v>4530</v>
          </cell>
          <cell r="K127"/>
          <cell r="L127">
            <v>4530</v>
          </cell>
          <cell r="M127"/>
          <cell r="N127">
            <v>4530</v>
          </cell>
          <cell r="O127"/>
          <cell r="P127">
            <v>4530</v>
          </cell>
          <cell r="Q127"/>
          <cell r="R127">
            <v>4530</v>
          </cell>
          <cell r="S127"/>
          <cell r="T127">
            <v>4530</v>
          </cell>
          <cell r="U127"/>
          <cell r="V127">
            <v>4530</v>
          </cell>
          <cell r="W127"/>
          <cell r="X127">
            <v>4530</v>
          </cell>
          <cell r="Y127"/>
          <cell r="Z127">
            <v>4530</v>
          </cell>
          <cell r="AA127"/>
          <cell r="AB127"/>
          <cell r="AC127"/>
          <cell r="AD127">
            <v>0.125</v>
          </cell>
          <cell r="AE127"/>
          <cell r="AF127"/>
          <cell r="AG127"/>
          <cell r="AH127"/>
          <cell r="AI127"/>
          <cell r="AJ127"/>
          <cell r="AK127"/>
          <cell r="AL127"/>
        </row>
        <row r="128">
          <cell r="E128" t="str">
            <v>F2-V-101mm</v>
          </cell>
          <cell r="F128" t="str">
            <v>ｍ</v>
          </cell>
          <cell r="G128"/>
          <cell r="H128">
            <v>5400</v>
          </cell>
          <cell r="I128"/>
          <cell r="J128">
            <v>5400</v>
          </cell>
          <cell r="K128"/>
          <cell r="L128">
            <v>5400</v>
          </cell>
          <cell r="M128"/>
          <cell r="N128">
            <v>5400</v>
          </cell>
          <cell r="O128"/>
          <cell r="P128">
            <v>5400</v>
          </cell>
          <cell r="Q128"/>
          <cell r="R128">
            <v>5400</v>
          </cell>
          <cell r="S128"/>
          <cell r="T128">
            <v>5400</v>
          </cell>
          <cell r="U128"/>
          <cell r="V128">
            <v>5400</v>
          </cell>
          <cell r="W128"/>
          <cell r="X128">
            <v>5400</v>
          </cell>
          <cell r="Y128"/>
          <cell r="Z128">
            <v>5400</v>
          </cell>
          <cell r="AA128"/>
          <cell r="AB128"/>
          <cell r="AC128"/>
          <cell r="AD128">
            <v>0.152</v>
          </cell>
          <cell r="AE128"/>
          <cell r="AF128"/>
          <cell r="AG128"/>
          <cell r="AH128"/>
          <cell r="AI128"/>
          <cell r="AJ128"/>
          <cell r="AK128"/>
          <cell r="AL128"/>
        </row>
        <row r="129">
          <cell r="E129" t="str">
            <v>PE- 16mm</v>
          </cell>
          <cell r="F129" t="str">
            <v>ｍ</v>
          </cell>
          <cell r="G129">
            <v>1280</v>
          </cell>
          <cell r="H129">
            <v>349</v>
          </cell>
          <cell r="I129">
            <v>1280</v>
          </cell>
          <cell r="J129">
            <v>349</v>
          </cell>
          <cell r="K129">
            <v>1280</v>
          </cell>
          <cell r="L129">
            <v>349</v>
          </cell>
          <cell r="M129">
            <v>1280</v>
          </cell>
          <cell r="N129">
            <v>349</v>
          </cell>
          <cell r="O129">
            <v>1280</v>
          </cell>
          <cell r="P129">
            <v>349</v>
          </cell>
          <cell r="Q129">
            <v>1280</v>
          </cell>
          <cell r="R129">
            <v>349</v>
          </cell>
          <cell r="S129">
            <v>1280</v>
          </cell>
          <cell r="T129">
            <v>349</v>
          </cell>
          <cell r="U129">
            <v>1280</v>
          </cell>
          <cell r="V129">
            <v>349</v>
          </cell>
          <cell r="W129">
            <v>1280</v>
          </cell>
          <cell r="X129">
            <v>349</v>
          </cell>
          <cell r="Y129">
            <v>1280</v>
          </cell>
          <cell r="Z129">
            <v>349</v>
          </cell>
          <cell r="AA129"/>
          <cell r="AB129"/>
          <cell r="AC129"/>
          <cell r="AD129">
            <v>0.06</v>
          </cell>
          <cell r="AE129"/>
          <cell r="AF129"/>
          <cell r="AG129"/>
          <cell r="AH129"/>
          <cell r="AI129"/>
          <cell r="AJ129"/>
          <cell r="AK129"/>
          <cell r="AL129" t="str">
            <v>１本=3.66m</v>
          </cell>
        </row>
        <row r="130">
          <cell r="E130" t="str">
            <v>PE- 22mm</v>
          </cell>
          <cell r="F130" t="str">
            <v>ｍ</v>
          </cell>
          <cell r="G130">
            <v>1460</v>
          </cell>
          <cell r="H130">
            <v>398</v>
          </cell>
          <cell r="I130">
            <v>1460</v>
          </cell>
          <cell r="J130">
            <v>398</v>
          </cell>
          <cell r="K130">
            <v>1460</v>
          </cell>
          <cell r="L130">
            <v>398</v>
          </cell>
          <cell r="M130">
            <v>1460</v>
          </cell>
          <cell r="N130">
            <v>398</v>
          </cell>
          <cell r="O130">
            <v>1460</v>
          </cell>
          <cell r="P130">
            <v>398</v>
          </cell>
          <cell r="Q130">
            <v>1460</v>
          </cell>
          <cell r="R130">
            <v>398</v>
          </cell>
          <cell r="S130">
            <v>1460</v>
          </cell>
          <cell r="T130">
            <v>398</v>
          </cell>
          <cell r="U130">
            <v>1460</v>
          </cell>
          <cell r="V130">
            <v>398</v>
          </cell>
          <cell r="W130">
            <v>1460</v>
          </cell>
          <cell r="X130">
            <v>398</v>
          </cell>
          <cell r="Y130">
            <v>1460</v>
          </cell>
          <cell r="Z130">
            <v>398</v>
          </cell>
          <cell r="AA130"/>
          <cell r="AB130"/>
          <cell r="AC130"/>
          <cell r="AD130">
            <v>0.08</v>
          </cell>
          <cell r="AE130"/>
          <cell r="AF130"/>
          <cell r="AG130"/>
          <cell r="AH130"/>
          <cell r="AI130"/>
          <cell r="AJ130"/>
          <cell r="AK130"/>
          <cell r="AL130" t="str">
            <v xml:space="preserve">     ↓</v>
          </cell>
        </row>
        <row r="131">
          <cell r="E131" t="str">
            <v>PE- 28mm</v>
          </cell>
          <cell r="F131" t="str">
            <v>ｍ</v>
          </cell>
          <cell r="G131">
            <v>1880</v>
          </cell>
          <cell r="H131">
            <v>513</v>
          </cell>
          <cell r="I131">
            <v>1880</v>
          </cell>
          <cell r="J131">
            <v>513</v>
          </cell>
          <cell r="K131">
            <v>1880</v>
          </cell>
          <cell r="L131">
            <v>513</v>
          </cell>
          <cell r="M131">
            <v>1880</v>
          </cell>
          <cell r="N131">
            <v>513</v>
          </cell>
          <cell r="O131">
            <v>1880</v>
          </cell>
          <cell r="P131">
            <v>513</v>
          </cell>
          <cell r="Q131">
            <v>1880</v>
          </cell>
          <cell r="R131">
            <v>513</v>
          </cell>
          <cell r="S131">
            <v>1880</v>
          </cell>
          <cell r="T131">
            <v>513</v>
          </cell>
          <cell r="U131">
            <v>1880</v>
          </cell>
          <cell r="V131">
            <v>513</v>
          </cell>
          <cell r="W131">
            <v>1880</v>
          </cell>
          <cell r="X131">
            <v>513</v>
          </cell>
          <cell r="Y131">
            <v>1880</v>
          </cell>
          <cell r="Z131">
            <v>513</v>
          </cell>
          <cell r="AA131"/>
          <cell r="AB131"/>
          <cell r="AC131"/>
          <cell r="AD131">
            <v>0.10299999999999999</v>
          </cell>
          <cell r="AE131"/>
          <cell r="AF131"/>
          <cell r="AG131"/>
          <cell r="AH131"/>
          <cell r="AI131"/>
          <cell r="AJ131"/>
          <cell r="AK131"/>
          <cell r="AL131" t="str">
            <v xml:space="preserve">     ↓</v>
          </cell>
        </row>
        <row r="132">
          <cell r="E132" t="str">
            <v>PE- 36mm</v>
          </cell>
          <cell r="F132" t="str">
            <v>ｍ</v>
          </cell>
          <cell r="G132">
            <v>2410</v>
          </cell>
          <cell r="H132">
            <v>658</v>
          </cell>
          <cell r="I132">
            <v>2410</v>
          </cell>
          <cell r="J132">
            <v>658</v>
          </cell>
          <cell r="K132">
            <v>2410</v>
          </cell>
          <cell r="L132">
            <v>658</v>
          </cell>
          <cell r="M132">
            <v>2410</v>
          </cell>
          <cell r="N132">
            <v>658</v>
          </cell>
          <cell r="O132">
            <v>2410</v>
          </cell>
          <cell r="P132">
            <v>658</v>
          </cell>
          <cell r="Q132">
            <v>2410</v>
          </cell>
          <cell r="R132">
            <v>658</v>
          </cell>
          <cell r="S132">
            <v>2410</v>
          </cell>
          <cell r="T132">
            <v>658</v>
          </cell>
          <cell r="U132">
            <v>2410</v>
          </cell>
          <cell r="V132">
            <v>658</v>
          </cell>
          <cell r="W132">
            <v>2410</v>
          </cell>
          <cell r="X132">
            <v>658</v>
          </cell>
          <cell r="Y132">
            <v>2410</v>
          </cell>
          <cell r="Z132">
            <v>658</v>
          </cell>
          <cell r="AA132"/>
          <cell r="AB132"/>
          <cell r="AC132"/>
          <cell r="AD132">
            <v>0.124</v>
          </cell>
          <cell r="AE132"/>
          <cell r="AF132"/>
          <cell r="AG132"/>
          <cell r="AH132"/>
          <cell r="AI132"/>
          <cell r="AJ132"/>
          <cell r="AK132"/>
          <cell r="AL132" t="str">
            <v xml:space="preserve">     ↓</v>
          </cell>
        </row>
        <row r="133">
          <cell r="E133" t="str">
            <v>PE- 42mm</v>
          </cell>
          <cell r="F133" t="str">
            <v>ｍ</v>
          </cell>
          <cell r="G133">
            <v>2700</v>
          </cell>
          <cell r="H133">
            <v>737</v>
          </cell>
          <cell r="I133">
            <v>2700</v>
          </cell>
          <cell r="J133">
            <v>737</v>
          </cell>
          <cell r="K133">
            <v>2700</v>
          </cell>
          <cell r="L133">
            <v>737</v>
          </cell>
          <cell r="M133">
            <v>2700</v>
          </cell>
          <cell r="N133">
            <v>737</v>
          </cell>
          <cell r="O133">
            <v>2700</v>
          </cell>
          <cell r="P133">
            <v>737</v>
          </cell>
          <cell r="Q133">
            <v>2700</v>
          </cell>
          <cell r="R133">
            <v>737</v>
          </cell>
          <cell r="S133">
            <v>2700</v>
          </cell>
          <cell r="T133">
            <v>737</v>
          </cell>
          <cell r="U133">
            <v>2700</v>
          </cell>
          <cell r="V133">
            <v>737</v>
          </cell>
          <cell r="W133">
            <v>2700</v>
          </cell>
          <cell r="X133">
            <v>737</v>
          </cell>
          <cell r="Y133">
            <v>2700</v>
          </cell>
          <cell r="Z133">
            <v>737</v>
          </cell>
          <cell r="AA133"/>
          <cell r="AB133"/>
          <cell r="AC133"/>
          <cell r="AD133">
            <v>0.17</v>
          </cell>
          <cell r="AE133"/>
          <cell r="AF133"/>
          <cell r="AG133"/>
          <cell r="AH133"/>
          <cell r="AI133"/>
          <cell r="AJ133"/>
          <cell r="AK133"/>
          <cell r="AL133" t="str">
            <v xml:space="preserve">     ↓</v>
          </cell>
        </row>
        <row r="134">
          <cell r="E134" t="str">
            <v>PE- 54mm</v>
          </cell>
          <cell r="F134" t="str">
            <v>ｍ</v>
          </cell>
          <cell r="G134">
            <v>3760</v>
          </cell>
          <cell r="H134">
            <v>1027</v>
          </cell>
          <cell r="I134">
            <v>3760</v>
          </cell>
          <cell r="J134">
            <v>1027</v>
          </cell>
          <cell r="K134">
            <v>3760</v>
          </cell>
          <cell r="L134">
            <v>1027</v>
          </cell>
          <cell r="M134">
            <v>3760</v>
          </cell>
          <cell r="N134">
            <v>1027</v>
          </cell>
          <cell r="O134">
            <v>3760</v>
          </cell>
          <cell r="P134">
            <v>1027</v>
          </cell>
          <cell r="Q134">
            <v>3760</v>
          </cell>
          <cell r="R134">
            <v>1027</v>
          </cell>
          <cell r="S134">
            <v>3760</v>
          </cell>
          <cell r="T134">
            <v>1027</v>
          </cell>
          <cell r="U134">
            <v>3760</v>
          </cell>
          <cell r="V134">
            <v>1027</v>
          </cell>
          <cell r="W134">
            <v>3760</v>
          </cell>
          <cell r="X134">
            <v>1027</v>
          </cell>
          <cell r="Y134">
            <v>3760</v>
          </cell>
          <cell r="Z134">
            <v>1027</v>
          </cell>
          <cell r="AA134"/>
          <cell r="AB134"/>
          <cell r="AC134"/>
          <cell r="AD134">
            <v>0.22900000000000001</v>
          </cell>
          <cell r="AE134"/>
          <cell r="AF134"/>
          <cell r="AG134"/>
          <cell r="AH134"/>
          <cell r="AI134"/>
          <cell r="AJ134"/>
          <cell r="AK134"/>
          <cell r="AL134" t="str">
            <v xml:space="preserve">     ↓</v>
          </cell>
        </row>
        <row r="135">
          <cell r="E135" t="str">
            <v>PE- 70mm</v>
          </cell>
          <cell r="F135" t="str">
            <v>ｍ</v>
          </cell>
          <cell r="G135">
            <v>4890</v>
          </cell>
          <cell r="H135">
            <v>1336</v>
          </cell>
          <cell r="I135">
            <v>4890</v>
          </cell>
          <cell r="J135">
            <v>1336</v>
          </cell>
          <cell r="K135">
            <v>4890</v>
          </cell>
          <cell r="L135">
            <v>1336</v>
          </cell>
          <cell r="M135">
            <v>4890</v>
          </cell>
          <cell r="N135">
            <v>1336</v>
          </cell>
          <cell r="O135">
            <v>4890</v>
          </cell>
          <cell r="P135">
            <v>1336</v>
          </cell>
          <cell r="Q135">
            <v>4890</v>
          </cell>
          <cell r="R135">
            <v>1336</v>
          </cell>
          <cell r="S135">
            <v>4890</v>
          </cell>
          <cell r="T135">
            <v>1336</v>
          </cell>
          <cell r="U135">
            <v>4890</v>
          </cell>
          <cell r="V135">
            <v>1336</v>
          </cell>
          <cell r="W135">
            <v>4890</v>
          </cell>
          <cell r="X135">
            <v>1336</v>
          </cell>
          <cell r="Y135">
            <v>4890</v>
          </cell>
          <cell r="Z135">
            <v>1336</v>
          </cell>
          <cell r="AA135"/>
          <cell r="AB135"/>
          <cell r="AC135"/>
          <cell r="AD135">
            <v>0.26600000000000001</v>
          </cell>
          <cell r="AE135"/>
          <cell r="AF135"/>
          <cell r="AG135"/>
          <cell r="AH135"/>
          <cell r="AI135"/>
          <cell r="AJ135"/>
          <cell r="AK135"/>
          <cell r="AL135" t="str">
            <v xml:space="preserve">     ↓</v>
          </cell>
        </row>
        <row r="136">
          <cell r="E136" t="str">
            <v>PE- 82mm</v>
          </cell>
          <cell r="F136" t="str">
            <v>ｍ</v>
          </cell>
          <cell r="G136">
            <v>5640</v>
          </cell>
          <cell r="H136">
            <v>1540</v>
          </cell>
          <cell r="I136">
            <v>5640</v>
          </cell>
          <cell r="J136">
            <v>1540</v>
          </cell>
          <cell r="K136">
            <v>5640</v>
          </cell>
          <cell r="L136">
            <v>1540</v>
          </cell>
          <cell r="M136">
            <v>5640</v>
          </cell>
          <cell r="N136">
            <v>1540</v>
          </cell>
          <cell r="O136">
            <v>5640</v>
          </cell>
          <cell r="P136">
            <v>1540</v>
          </cell>
          <cell r="Q136">
            <v>5640</v>
          </cell>
          <cell r="R136">
            <v>1540</v>
          </cell>
          <cell r="S136">
            <v>5640</v>
          </cell>
          <cell r="T136">
            <v>1540</v>
          </cell>
          <cell r="U136">
            <v>5640</v>
          </cell>
          <cell r="V136">
            <v>1540</v>
          </cell>
          <cell r="W136">
            <v>5640</v>
          </cell>
          <cell r="X136">
            <v>1540</v>
          </cell>
          <cell r="Y136">
            <v>5640</v>
          </cell>
          <cell r="Z136">
            <v>1540</v>
          </cell>
          <cell r="AA136"/>
          <cell r="AB136"/>
          <cell r="AC136"/>
          <cell r="AD136">
            <v>0.32300000000000001</v>
          </cell>
          <cell r="AE136"/>
          <cell r="AF136"/>
          <cell r="AG136"/>
          <cell r="AH136"/>
          <cell r="AI136"/>
          <cell r="AJ136"/>
          <cell r="AK136"/>
          <cell r="AL136" t="str">
            <v xml:space="preserve">     ↓</v>
          </cell>
        </row>
        <row r="137">
          <cell r="E137" t="str">
            <v>PE- 92mm</v>
          </cell>
          <cell r="F137" t="str">
            <v>ｍ</v>
          </cell>
          <cell r="G137">
            <v>8510</v>
          </cell>
          <cell r="H137">
            <v>2325</v>
          </cell>
          <cell r="I137">
            <v>8510</v>
          </cell>
          <cell r="J137">
            <v>2325</v>
          </cell>
          <cell r="K137">
            <v>8510</v>
          </cell>
          <cell r="L137">
            <v>2325</v>
          </cell>
          <cell r="M137">
            <v>8510</v>
          </cell>
          <cell r="N137">
            <v>2325</v>
          </cell>
          <cell r="O137">
            <v>8510</v>
          </cell>
          <cell r="P137">
            <v>2325</v>
          </cell>
          <cell r="Q137">
            <v>8510</v>
          </cell>
          <cell r="R137">
            <v>2325</v>
          </cell>
          <cell r="S137">
            <v>8510</v>
          </cell>
          <cell r="T137">
            <v>2325</v>
          </cell>
          <cell r="U137">
            <v>8510</v>
          </cell>
          <cell r="V137">
            <v>2325</v>
          </cell>
          <cell r="W137">
            <v>8510</v>
          </cell>
          <cell r="X137">
            <v>2325</v>
          </cell>
          <cell r="Y137">
            <v>8510</v>
          </cell>
          <cell r="Z137">
            <v>2325</v>
          </cell>
          <cell r="AA137"/>
          <cell r="AB137"/>
          <cell r="AC137"/>
          <cell r="AD137">
            <v>0.36</v>
          </cell>
          <cell r="AE137"/>
          <cell r="AF137"/>
          <cell r="AG137"/>
          <cell r="AH137"/>
          <cell r="AI137"/>
          <cell r="AJ137"/>
          <cell r="AK137"/>
          <cell r="AL137" t="str">
            <v xml:space="preserve">     ↓</v>
          </cell>
        </row>
        <row r="138">
          <cell r="E138" t="str">
            <v>PE-104mm</v>
          </cell>
          <cell r="F138" t="str">
            <v>ｍ</v>
          </cell>
          <cell r="G138">
            <v>9630</v>
          </cell>
          <cell r="H138">
            <v>2631</v>
          </cell>
          <cell r="I138">
            <v>9630</v>
          </cell>
          <cell r="J138">
            <v>2631</v>
          </cell>
          <cell r="K138">
            <v>9630</v>
          </cell>
          <cell r="L138">
            <v>2631</v>
          </cell>
          <cell r="M138">
            <v>9630</v>
          </cell>
          <cell r="N138">
            <v>2631</v>
          </cell>
          <cell r="O138">
            <v>9630</v>
          </cell>
          <cell r="P138">
            <v>2631</v>
          </cell>
          <cell r="Q138">
            <v>9630</v>
          </cell>
          <cell r="R138">
            <v>2631</v>
          </cell>
          <cell r="S138">
            <v>9630</v>
          </cell>
          <cell r="T138">
            <v>2631</v>
          </cell>
          <cell r="U138">
            <v>9630</v>
          </cell>
          <cell r="V138">
            <v>2631</v>
          </cell>
          <cell r="W138">
            <v>9630</v>
          </cell>
          <cell r="X138">
            <v>2631</v>
          </cell>
          <cell r="Y138">
            <v>9630</v>
          </cell>
          <cell r="Z138">
            <v>2631</v>
          </cell>
          <cell r="AA138"/>
          <cell r="AB138"/>
          <cell r="AC138"/>
          <cell r="AD138">
            <v>0.40200000000000002</v>
          </cell>
          <cell r="AE138"/>
          <cell r="AF138"/>
          <cell r="AG138"/>
          <cell r="AH138"/>
          <cell r="AI138"/>
          <cell r="AJ138"/>
          <cell r="AK138"/>
          <cell r="AL138" t="str">
            <v xml:space="preserve">     ↓</v>
          </cell>
        </row>
        <row r="139">
          <cell r="E139" t="str">
            <v>F1-F-16mm</v>
          </cell>
          <cell r="F139" t="str">
            <v>ｍ</v>
          </cell>
          <cell r="G139"/>
          <cell r="H139">
            <v>230</v>
          </cell>
          <cell r="I139"/>
          <cell r="J139">
            <v>230</v>
          </cell>
          <cell r="K139"/>
          <cell r="L139">
            <v>230</v>
          </cell>
          <cell r="M139"/>
          <cell r="N139">
            <v>230</v>
          </cell>
          <cell r="O139"/>
          <cell r="P139">
            <v>230</v>
          </cell>
          <cell r="Q139"/>
          <cell r="R139">
            <v>230</v>
          </cell>
          <cell r="S139"/>
          <cell r="T139">
            <v>230</v>
          </cell>
          <cell r="U139"/>
          <cell r="V139">
            <v>230</v>
          </cell>
          <cell r="W139"/>
          <cell r="X139">
            <v>230</v>
          </cell>
          <cell r="Y139"/>
          <cell r="Z139">
            <v>230</v>
          </cell>
          <cell r="AA139"/>
          <cell r="AB139"/>
          <cell r="AC139"/>
          <cell r="AD139">
            <v>2.4E-2</v>
          </cell>
          <cell r="AE139"/>
          <cell r="AF139"/>
          <cell r="AG139"/>
          <cell r="AH139"/>
          <cell r="AI139"/>
          <cell r="AJ139"/>
          <cell r="AK139"/>
          <cell r="AL139"/>
        </row>
        <row r="140">
          <cell r="E140" t="str">
            <v>F1-F-19mm</v>
          </cell>
          <cell r="F140" t="str">
            <v>ｍ</v>
          </cell>
          <cell r="G140"/>
          <cell r="H140">
            <v>252</v>
          </cell>
          <cell r="I140"/>
          <cell r="J140">
            <v>252</v>
          </cell>
          <cell r="K140"/>
          <cell r="L140">
            <v>252</v>
          </cell>
          <cell r="M140"/>
          <cell r="N140">
            <v>252</v>
          </cell>
          <cell r="O140"/>
          <cell r="P140">
            <v>252</v>
          </cell>
          <cell r="Q140"/>
          <cell r="R140">
            <v>252</v>
          </cell>
          <cell r="S140"/>
          <cell r="T140">
            <v>252</v>
          </cell>
          <cell r="U140"/>
          <cell r="V140">
            <v>252</v>
          </cell>
          <cell r="W140"/>
          <cell r="X140">
            <v>252</v>
          </cell>
          <cell r="Y140"/>
          <cell r="Z140">
            <v>252</v>
          </cell>
          <cell r="AA140"/>
          <cell r="AB140"/>
          <cell r="AC140"/>
          <cell r="AD140">
            <v>2.9000000000000001E-2</v>
          </cell>
          <cell r="AE140"/>
          <cell r="AF140"/>
          <cell r="AG140"/>
          <cell r="AH140"/>
          <cell r="AI140"/>
          <cell r="AJ140"/>
          <cell r="AK140"/>
          <cell r="AL140"/>
        </row>
        <row r="141">
          <cell r="E141" t="str">
            <v>F1-F-25mm</v>
          </cell>
          <cell r="F141" t="str">
            <v>ｍ</v>
          </cell>
          <cell r="G141"/>
          <cell r="H141">
            <v>338</v>
          </cell>
          <cell r="I141"/>
          <cell r="J141">
            <v>338</v>
          </cell>
          <cell r="K141"/>
          <cell r="L141">
            <v>338</v>
          </cell>
          <cell r="M141"/>
          <cell r="N141">
            <v>338</v>
          </cell>
          <cell r="O141"/>
          <cell r="P141">
            <v>338</v>
          </cell>
          <cell r="Q141"/>
          <cell r="R141">
            <v>338</v>
          </cell>
          <cell r="S141"/>
          <cell r="T141">
            <v>338</v>
          </cell>
          <cell r="U141"/>
          <cell r="V141">
            <v>338</v>
          </cell>
          <cell r="W141"/>
          <cell r="X141">
            <v>338</v>
          </cell>
          <cell r="Y141"/>
          <cell r="Z141">
            <v>338</v>
          </cell>
          <cell r="AA141"/>
          <cell r="AB141"/>
          <cell r="AC141"/>
          <cell r="AD141">
            <v>3.7999999999999999E-2</v>
          </cell>
          <cell r="AE141"/>
          <cell r="AF141"/>
          <cell r="AG141"/>
          <cell r="AH141"/>
          <cell r="AI141"/>
          <cell r="AJ141"/>
          <cell r="AK141"/>
          <cell r="AL141"/>
        </row>
        <row r="142">
          <cell r="E142" t="str">
            <v>F1-F-32mm</v>
          </cell>
          <cell r="F142" t="str">
            <v>ｍ</v>
          </cell>
          <cell r="G142"/>
          <cell r="H142">
            <v>388</v>
          </cell>
          <cell r="I142"/>
          <cell r="J142">
            <v>388</v>
          </cell>
          <cell r="K142"/>
          <cell r="L142">
            <v>388</v>
          </cell>
          <cell r="M142"/>
          <cell r="N142">
            <v>388</v>
          </cell>
          <cell r="O142"/>
          <cell r="P142">
            <v>388</v>
          </cell>
          <cell r="Q142"/>
          <cell r="R142">
            <v>388</v>
          </cell>
          <cell r="S142"/>
          <cell r="T142">
            <v>388</v>
          </cell>
          <cell r="U142"/>
          <cell r="V142">
            <v>388</v>
          </cell>
          <cell r="W142"/>
          <cell r="X142">
            <v>388</v>
          </cell>
          <cell r="Y142"/>
          <cell r="Z142">
            <v>388</v>
          </cell>
          <cell r="AA142"/>
          <cell r="AB142"/>
          <cell r="AC142"/>
          <cell r="AD142">
            <v>4.8000000000000001E-2</v>
          </cell>
          <cell r="AE142"/>
          <cell r="AF142"/>
          <cell r="AG142"/>
          <cell r="AH142"/>
          <cell r="AI142"/>
          <cell r="AJ142"/>
          <cell r="AK142"/>
          <cell r="AL142"/>
        </row>
        <row r="143">
          <cell r="E143" t="str">
            <v>F1-F-38mm</v>
          </cell>
          <cell r="F143" t="str">
            <v>ｍ</v>
          </cell>
          <cell r="G143"/>
          <cell r="H143">
            <v>532</v>
          </cell>
          <cell r="I143"/>
          <cell r="J143">
            <v>532</v>
          </cell>
          <cell r="K143"/>
          <cell r="L143">
            <v>532</v>
          </cell>
          <cell r="M143"/>
          <cell r="N143">
            <v>532</v>
          </cell>
          <cell r="O143"/>
          <cell r="P143">
            <v>532</v>
          </cell>
          <cell r="Q143"/>
          <cell r="R143">
            <v>532</v>
          </cell>
          <cell r="S143"/>
          <cell r="T143">
            <v>532</v>
          </cell>
          <cell r="U143"/>
          <cell r="V143">
            <v>532</v>
          </cell>
          <cell r="W143"/>
          <cell r="X143">
            <v>532</v>
          </cell>
          <cell r="Y143"/>
          <cell r="Z143">
            <v>532</v>
          </cell>
          <cell r="AA143"/>
          <cell r="AB143"/>
          <cell r="AC143"/>
          <cell r="AD143">
            <v>5.7000000000000002E-2</v>
          </cell>
          <cell r="AE143"/>
          <cell r="AF143"/>
          <cell r="AG143"/>
          <cell r="AH143"/>
          <cell r="AI143"/>
          <cell r="AJ143"/>
          <cell r="AK143"/>
          <cell r="AL143"/>
        </row>
        <row r="144">
          <cell r="E144" t="str">
            <v>F1-F-42mm</v>
          </cell>
          <cell r="F144" t="str">
            <v>ｍ</v>
          </cell>
          <cell r="G144"/>
          <cell r="H144">
            <v>626</v>
          </cell>
          <cell r="I144"/>
          <cell r="J144">
            <v>626</v>
          </cell>
          <cell r="K144"/>
          <cell r="L144">
            <v>626</v>
          </cell>
          <cell r="M144"/>
          <cell r="N144">
            <v>626</v>
          </cell>
          <cell r="O144"/>
          <cell r="P144">
            <v>626</v>
          </cell>
          <cell r="Q144"/>
          <cell r="R144">
            <v>626</v>
          </cell>
          <cell r="S144"/>
          <cell r="T144">
            <v>626</v>
          </cell>
          <cell r="U144"/>
          <cell r="V144">
            <v>626</v>
          </cell>
          <cell r="W144"/>
          <cell r="X144">
            <v>626</v>
          </cell>
          <cell r="Y144"/>
          <cell r="Z144">
            <v>626</v>
          </cell>
          <cell r="AA144"/>
          <cell r="AB144"/>
          <cell r="AC144"/>
          <cell r="AD144">
            <v>6.4000000000000001E-2</v>
          </cell>
          <cell r="AE144"/>
          <cell r="AF144"/>
          <cell r="AG144"/>
          <cell r="AH144"/>
          <cell r="AI144"/>
          <cell r="AJ144"/>
          <cell r="AK144"/>
          <cell r="AL144"/>
        </row>
        <row r="145">
          <cell r="E145" t="str">
            <v>F1-F-50mm</v>
          </cell>
          <cell r="F145" t="str">
            <v>ｍ</v>
          </cell>
          <cell r="G145"/>
          <cell r="H145">
            <v>871</v>
          </cell>
          <cell r="I145"/>
          <cell r="J145">
            <v>871</v>
          </cell>
          <cell r="K145"/>
          <cell r="L145">
            <v>871</v>
          </cell>
          <cell r="M145"/>
          <cell r="N145">
            <v>871</v>
          </cell>
          <cell r="O145"/>
          <cell r="P145">
            <v>871</v>
          </cell>
          <cell r="Q145"/>
          <cell r="R145">
            <v>871</v>
          </cell>
          <cell r="S145"/>
          <cell r="T145">
            <v>871</v>
          </cell>
          <cell r="U145"/>
          <cell r="V145">
            <v>871</v>
          </cell>
          <cell r="W145"/>
          <cell r="X145">
            <v>871</v>
          </cell>
          <cell r="Y145"/>
          <cell r="Z145">
            <v>871</v>
          </cell>
          <cell r="AA145"/>
          <cell r="AB145"/>
          <cell r="AC145"/>
          <cell r="AD145">
            <v>7.5999999999999998E-2</v>
          </cell>
          <cell r="AE145"/>
          <cell r="AF145"/>
          <cell r="AG145"/>
          <cell r="AH145"/>
          <cell r="AI145"/>
          <cell r="AJ145"/>
          <cell r="AK145"/>
          <cell r="AL145"/>
        </row>
        <row r="146">
          <cell r="E146" t="str">
            <v>F1-F-63mm</v>
          </cell>
          <cell r="F146" t="str">
            <v>ｍ</v>
          </cell>
          <cell r="G146"/>
          <cell r="H146">
            <v>1100</v>
          </cell>
          <cell r="I146"/>
          <cell r="J146">
            <v>1100</v>
          </cell>
          <cell r="K146"/>
          <cell r="L146">
            <v>1100</v>
          </cell>
          <cell r="M146"/>
          <cell r="N146">
            <v>1100</v>
          </cell>
          <cell r="O146"/>
          <cell r="P146">
            <v>1100</v>
          </cell>
          <cell r="Q146"/>
          <cell r="R146">
            <v>1100</v>
          </cell>
          <cell r="S146"/>
          <cell r="T146">
            <v>1100</v>
          </cell>
          <cell r="U146"/>
          <cell r="V146">
            <v>1100</v>
          </cell>
          <cell r="W146"/>
          <cell r="X146">
            <v>1100</v>
          </cell>
          <cell r="Y146"/>
          <cell r="Z146">
            <v>1100</v>
          </cell>
          <cell r="AA146"/>
          <cell r="AB146"/>
          <cell r="AC146"/>
          <cell r="AD146">
            <v>9.5000000000000001E-2</v>
          </cell>
          <cell r="AE146"/>
          <cell r="AF146"/>
          <cell r="AG146"/>
          <cell r="AH146"/>
          <cell r="AI146"/>
          <cell r="AJ146"/>
          <cell r="AK146"/>
          <cell r="AL146"/>
        </row>
        <row r="147">
          <cell r="E147" t="str">
            <v>F1-F-75mm</v>
          </cell>
          <cell r="F147" t="str">
            <v>ｍ</v>
          </cell>
          <cell r="G147"/>
          <cell r="H147">
            <v>1290</v>
          </cell>
          <cell r="I147"/>
          <cell r="J147">
            <v>1290</v>
          </cell>
          <cell r="K147"/>
          <cell r="L147">
            <v>1290</v>
          </cell>
          <cell r="M147"/>
          <cell r="N147">
            <v>1290</v>
          </cell>
          <cell r="O147"/>
          <cell r="P147">
            <v>1290</v>
          </cell>
          <cell r="Q147"/>
          <cell r="R147">
            <v>1290</v>
          </cell>
          <cell r="S147"/>
          <cell r="T147">
            <v>1290</v>
          </cell>
          <cell r="U147"/>
          <cell r="V147">
            <v>1290</v>
          </cell>
          <cell r="W147"/>
          <cell r="X147">
            <v>1290</v>
          </cell>
          <cell r="Y147"/>
          <cell r="Z147">
            <v>1290</v>
          </cell>
          <cell r="AA147"/>
          <cell r="AB147"/>
          <cell r="AC147"/>
          <cell r="AD147">
            <v>0.113</v>
          </cell>
          <cell r="AE147"/>
          <cell r="AF147"/>
          <cell r="AG147"/>
          <cell r="AH147"/>
          <cell r="AI147"/>
          <cell r="AJ147"/>
          <cell r="AK147"/>
          <cell r="AL147"/>
        </row>
        <row r="148">
          <cell r="E148" t="str">
            <v>F1-PE-16mm</v>
          </cell>
          <cell r="F148" t="str">
            <v>ｍ</v>
          </cell>
          <cell r="G148"/>
          <cell r="H148">
            <v>360</v>
          </cell>
          <cell r="I148"/>
          <cell r="J148">
            <v>360</v>
          </cell>
          <cell r="K148"/>
          <cell r="L148">
            <v>360</v>
          </cell>
          <cell r="M148"/>
          <cell r="N148">
            <v>360</v>
          </cell>
          <cell r="O148"/>
          <cell r="P148">
            <v>360</v>
          </cell>
          <cell r="Q148"/>
          <cell r="R148">
            <v>360</v>
          </cell>
          <cell r="S148"/>
          <cell r="T148">
            <v>360</v>
          </cell>
          <cell r="U148"/>
          <cell r="V148">
            <v>360</v>
          </cell>
          <cell r="W148"/>
          <cell r="X148">
            <v>360</v>
          </cell>
          <cell r="Y148"/>
          <cell r="Z148">
            <v>360</v>
          </cell>
          <cell r="AA148"/>
          <cell r="AB148"/>
          <cell r="AC148"/>
          <cell r="AD148">
            <v>0.06</v>
          </cell>
          <cell r="AE148"/>
          <cell r="AF148"/>
          <cell r="AG148"/>
          <cell r="AH148"/>
          <cell r="AI148"/>
          <cell r="AJ148"/>
          <cell r="AK148"/>
          <cell r="AL148"/>
        </row>
        <row r="149">
          <cell r="E149" t="str">
            <v>F1-PE-19mm</v>
          </cell>
          <cell r="F149" t="str">
            <v>ｍ</v>
          </cell>
          <cell r="G149"/>
          <cell r="H149">
            <v>417</v>
          </cell>
          <cell r="I149"/>
          <cell r="J149">
            <v>417</v>
          </cell>
          <cell r="K149"/>
          <cell r="L149">
            <v>417</v>
          </cell>
          <cell r="M149"/>
          <cell r="N149">
            <v>417</v>
          </cell>
          <cell r="O149"/>
          <cell r="P149">
            <v>417</v>
          </cell>
          <cell r="Q149"/>
          <cell r="R149">
            <v>417</v>
          </cell>
          <cell r="S149"/>
          <cell r="T149">
            <v>417</v>
          </cell>
          <cell r="U149"/>
          <cell r="V149">
            <v>417</v>
          </cell>
          <cell r="W149"/>
          <cell r="X149">
            <v>417</v>
          </cell>
          <cell r="Y149"/>
          <cell r="Z149">
            <v>417</v>
          </cell>
          <cell r="AA149"/>
          <cell r="AB149"/>
          <cell r="AC149"/>
          <cell r="AD149">
            <v>0.08</v>
          </cell>
          <cell r="AE149"/>
          <cell r="AF149"/>
          <cell r="AG149"/>
          <cell r="AH149"/>
          <cell r="AI149"/>
          <cell r="AJ149"/>
          <cell r="AK149"/>
          <cell r="AL149"/>
        </row>
        <row r="150">
          <cell r="E150" t="str">
            <v>F1-PE-25mm</v>
          </cell>
          <cell r="F150" t="str">
            <v>ｍ</v>
          </cell>
          <cell r="G150"/>
          <cell r="H150">
            <v>511</v>
          </cell>
          <cell r="I150"/>
          <cell r="J150">
            <v>511</v>
          </cell>
          <cell r="K150"/>
          <cell r="L150">
            <v>511</v>
          </cell>
          <cell r="M150"/>
          <cell r="N150">
            <v>511</v>
          </cell>
          <cell r="O150"/>
          <cell r="P150">
            <v>511</v>
          </cell>
          <cell r="Q150"/>
          <cell r="R150">
            <v>511</v>
          </cell>
          <cell r="S150"/>
          <cell r="T150">
            <v>511</v>
          </cell>
          <cell r="U150"/>
          <cell r="V150">
            <v>511</v>
          </cell>
          <cell r="W150"/>
          <cell r="X150">
            <v>511</v>
          </cell>
          <cell r="Y150"/>
          <cell r="Z150">
            <v>511</v>
          </cell>
          <cell r="AA150"/>
          <cell r="AB150"/>
          <cell r="AC150"/>
          <cell r="AD150">
            <v>0.10299999999999999</v>
          </cell>
          <cell r="AE150"/>
          <cell r="AF150"/>
          <cell r="AG150"/>
          <cell r="AH150"/>
          <cell r="AI150"/>
          <cell r="AJ150"/>
          <cell r="AK150"/>
          <cell r="AL150"/>
        </row>
        <row r="151">
          <cell r="E151" t="str">
            <v>F1-PE-32mm</v>
          </cell>
          <cell r="F151" t="str">
            <v>ｍ</v>
          </cell>
          <cell r="G151"/>
          <cell r="H151">
            <v>633</v>
          </cell>
          <cell r="I151"/>
          <cell r="J151">
            <v>633</v>
          </cell>
          <cell r="K151"/>
          <cell r="L151">
            <v>633</v>
          </cell>
          <cell r="M151"/>
          <cell r="N151">
            <v>633</v>
          </cell>
          <cell r="O151"/>
          <cell r="P151">
            <v>633</v>
          </cell>
          <cell r="Q151"/>
          <cell r="R151">
            <v>633</v>
          </cell>
          <cell r="S151"/>
          <cell r="T151">
            <v>633</v>
          </cell>
          <cell r="U151"/>
          <cell r="V151">
            <v>633</v>
          </cell>
          <cell r="W151"/>
          <cell r="X151">
            <v>633</v>
          </cell>
          <cell r="Y151"/>
          <cell r="Z151">
            <v>633</v>
          </cell>
          <cell r="AA151"/>
          <cell r="AB151"/>
          <cell r="AC151"/>
          <cell r="AD151">
            <v>0.124</v>
          </cell>
          <cell r="AE151"/>
          <cell r="AF151"/>
          <cell r="AG151"/>
          <cell r="AH151"/>
          <cell r="AI151"/>
          <cell r="AJ151"/>
          <cell r="AK151"/>
          <cell r="AL151"/>
        </row>
        <row r="152">
          <cell r="E152" t="str">
            <v>F1-PE-38mm</v>
          </cell>
          <cell r="F152" t="str">
            <v>ｍ</v>
          </cell>
          <cell r="G152"/>
          <cell r="H152">
            <v>828</v>
          </cell>
          <cell r="I152"/>
          <cell r="J152">
            <v>828</v>
          </cell>
          <cell r="K152"/>
          <cell r="L152">
            <v>828</v>
          </cell>
          <cell r="M152"/>
          <cell r="N152">
            <v>828</v>
          </cell>
          <cell r="O152"/>
          <cell r="P152">
            <v>828</v>
          </cell>
          <cell r="Q152"/>
          <cell r="R152">
            <v>828</v>
          </cell>
          <cell r="S152"/>
          <cell r="T152">
            <v>828</v>
          </cell>
          <cell r="U152"/>
          <cell r="V152">
            <v>828</v>
          </cell>
          <cell r="W152"/>
          <cell r="X152">
            <v>828</v>
          </cell>
          <cell r="Y152"/>
          <cell r="Z152">
            <v>828</v>
          </cell>
          <cell r="AA152"/>
          <cell r="AB152"/>
          <cell r="AC152"/>
          <cell r="AD152">
            <v>0.17</v>
          </cell>
          <cell r="AE152"/>
          <cell r="AF152"/>
          <cell r="AG152"/>
          <cell r="AH152"/>
          <cell r="AI152"/>
          <cell r="AJ152"/>
          <cell r="AK152"/>
          <cell r="AL152"/>
        </row>
        <row r="153">
          <cell r="E153" t="str">
            <v>F1-PE-42mm</v>
          </cell>
          <cell r="F153" t="str">
            <v>ｍ</v>
          </cell>
          <cell r="G153"/>
          <cell r="H153">
            <v>1030</v>
          </cell>
          <cell r="I153"/>
          <cell r="J153">
            <v>1030</v>
          </cell>
          <cell r="K153"/>
          <cell r="L153">
            <v>1030</v>
          </cell>
          <cell r="M153"/>
          <cell r="N153">
            <v>1030</v>
          </cell>
          <cell r="O153"/>
          <cell r="P153">
            <v>1030</v>
          </cell>
          <cell r="Q153"/>
          <cell r="R153">
            <v>1030</v>
          </cell>
          <cell r="S153"/>
          <cell r="T153">
            <v>1030</v>
          </cell>
          <cell r="U153"/>
          <cell r="V153">
            <v>1030</v>
          </cell>
          <cell r="W153"/>
          <cell r="X153">
            <v>1030</v>
          </cell>
          <cell r="Y153"/>
          <cell r="Z153">
            <v>1030</v>
          </cell>
          <cell r="AA153"/>
          <cell r="AB153"/>
          <cell r="AC153"/>
          <cell r="AD153">
            <v>0.22900000000000001</v>
          </cell>
          <cell r="AE153"/>
          <cell r="AF153"/>
          <cell r="AG153"/>
          <cell r="AH153"/>
          <cell r="AI153"/>
          <cell r="AJ153"/>
          <cell r="AK153"/>
          <cell r="AL153"/>
        </row>
        <row r="154">
          <cell r="E154" t="str">
            <v>F1-PE-50mm</v>
          </cell>
          <cell r="F154" t="str">
            <v>ｍ</v>
          </cell>
          <cell r="G154"/>
          <cell r="H154">
            <v>1280</v>
          </cell>
          <cell r="I154"/>
          <cell r="J154">
            <v>1280</v>
          </cell>
          <cell r="K154"/>
          <cell r="L154">
            <v>1280</v>
          </cell>
          <cell r="M154"/>
          <cell r="N154">
            <v>1280</v>
          </cell>
          <cell r="O154"/>
          <cell r="P154">
            <v>1280</v>
          </cell>
          <cell r="Q154"/>
          <cell r="R154">
            <v>1280</v>
          </cell>
          <cell r="S154"/>
          <cell r="T154">
            <v>1280</v>
          </cell>
          <cell r="U154"/>
          <cell r="V154">
            <v>1280</v>
          </cell>
          <cell r="W154"/>
          <cell r="X154">
            <v>1280</v>
          </cell>
          <cell r="Y154"/>
          <cell r="Z154">
            <v>1280</v>
          </cell>
          <cell r="AA154"/>
          <cell r="AB154"/>
          <cell r="AC154"/>
          <cell r="AD154">
            <v>0.26600000000000001</v>
          </cell>
          <cell r="AE154"/>
          <cell r="AF154"/>
          <cell r="AG154"/>
          <cell r="AH154"/>
          <cell r="AI154"/>
          <cell r="AJ154"/>
          <cell r="AK154"/>
          <cell r="AL154"/>
        </row>
        <row r="155">
          <cell r="E155" t="str">
            <v>F1-PE-63mm</v>
          </cell>
          <cell r="F155" t="str">
            <v>ｍ</v>
          </cell>
          <cell r="G155"/>
          <cell r="H155">
            <v>1440</v>
          </cell>
          <cell r="I155"/>
          <cell r="J155">
            <v>1440</v>
          </cell>
          <cell r="K155"/>
          <cell r="L155">
            <v>1440</v>
          </cell>
          <cell r="M155"/>
          <cell r="N155">
            <v>1440</v>
          </cell>
          <cell r="O155"/>
          <cell r="P155">
            <v>1440</v>
          </cell>
          <cell r="Q155"/>
          <cell r="R155">
            <v>1440</v>
          </cell>
          <cell r="S155"/>
          <cell r="T155">
            <v>1440</v>
          </cell>
          <cell r="U155"/>
          <cell r="V155">
            <v>1440</v>
          </cell>
          <cell r="W155"/>
          <cell r="X155">
            <v>1440</v>
          </cell>
          <cell r="Y155"/>
          <cell r="Z155">
            <v>1440</v>
          </cell>
          <cell r="AA155"/>
          <cell r="AB155"/>
          <cell r="AC155"/>
          <cell r="AD155">
            <v>0.32300000000000001</v>
          </cell>
          <cell r="AE155"/>
          <cell r="AF155"/>
          <cell r="AG155"/>
          <cell r="AH155"/>
          <cell r="AI155"/>
          <cell r="AJ155"/>
          <cell r="AK155"/>
          <cell r="AL155"/>
        </row>
        <row r="156">
          <cell r="E156" t="str">
            <v>F1-PE-75mm</v>
          </cell>
          <cell r="F156" t="str">
            <v>ｍ</v>
          </cell>
          <cell r="G156"/>
          <cell r="H156">
            <v>1940</v>
          </cell>
          <cell r="I156"/>
          <cell r="J156">
            <v>1940</v>
          </cell>
          <cell r="K156"/>
          <cell r="L156">
            <v>1940</v>
          </cell>
          <cell r="M156"/>
          <cell r="N156">
            <v>1940</v>
          </cell>
          <cell r="O156"/>
          <cell r="P156">
            <v>1940</v>
          </cell>
          <cell r="Q156"/>
          <cell r="R156">
            <v>1940</v>
          </cell>
          <cell r="S156"/>
          <cell r="T156">
            <v>1940</v>
          </cell>
          <cell r="U156"/>
          <cell r="V156">
            <v>1940</v>
          </cell>
          <cell r="W156"/>
          <cell r="X156">
            <v>1940</v>
          </cell>
          <cell r="Y156"/>
          <cell r="Z156">
            <v>1940</v>
          </cell>
          <cell r="AA156"/>
          <cell r="AB156"/>
          <cell r="AC156"/>
          <cell r="AD156">
            <v>0.40200000000000002</v>
          </cell>
          <cell r="AE156"/>
          <cell r="AF156"/>
          <cell r="AG156"/>
          <cell r="AH156"/>
          <cell r="AI156"/>
          <cell r="AJ156"/>
          <cell r="AK156"/>
          <cell r="AL156"/>
        </row>
        <row r="157">
          <cell r="E157" t="str">
            <v>SUS-G- 16mm</v>
          </cell>
          <cell r="F157" t="str">
            <v>ｍ</v>
          </cell>
          <cell r="G157">
            <v>8160</v>
          </cell>
          <cell r="H157">
            <v>2229</v>
          </cell>
          <cell r="I157">
            <v>8160</v>
          </cell>
          <cell r="J157">
            <v>2229</v>
          </cell>
          <cell r="K157">
            <v>8160</v>
          </cell>
          <cell r="L157">
            <v>2229</v>
          </cell>
          <cell r="M157">
            <v>8160</v>
          </cell>
          <cell r="N157">
            <v>2229</v>
          </cell>
          <cell r="O157">
            <v>8160</v>
          </cell>
          <cell r="P157">
            <v>2229</v>
          </cell>
          <cell r="Q157">
            <v>8160</v>
          </cell>
          <cell r="R157">
            <v>2229</v>
          </cell>
          <cell r="S157">
            <v>8160</v>
          </cell>
          <cell r="T157">
            <v>2229</v>
          </cell>
          <cell r="U157">
            <v>8160</v>
          </cell>
          <cell r="V157">
            <v>2229</v>
          </cell>
          <cell r="W157">
            <v>8160</v>
          </cell>
          <cell r="X157">
            <v>2229</v>
          </cell>
          <cell r="Y157">
            <v>8160</v>
          </cell>
          <cell r="Z157">
            <v>2229</v>
          </cell>
          <cell r="AA157"/>
          <cell r="AB157"/>
          <cell r="AC157"/>
          <cell r="AD157">
            <v>0.06</v>
          </cell>
          <cell r="AE157"/>
          <cell r="AF157"/>
          <cell r="AG157"/>
          <cell r="AH157"/>
          <cell r="AI157"/>
          <cell r="AJ157"/>
          <cell r="AK157"/>
          <cell r="AL157" t="str">
            <v>１本=3.66m</v>
          </cell>
        </row>
        <row r="158">
          <cell r="E158" t="str">
            <v>SUS-G- 22mm</v>
          </cell>
          <cell r="F158" t="str">
            <v>ｍ</v>
          </cell>
          <cell r="G158">
            <v>10300</v>
          </cell>
          <cell r="H158">
            <v>2814</v>
          </cell>
          <cell r="I158">
            <v>10300</v>
          </cell>
          <cell r="J158">
            <v>2814</v>
          </cell>
          <cell r="K158">
            <v>10300</v>
          </cell>
          <cell r="L158">
            <v>2814</v>
          </cell>
          <cell r="M158">
            <v>10300</v>
          </cell>
          <cell r="N158">
            <v>2814</v>
          </cell>
          <cell r="O158">
            <v>10300</v>
          </cell>
          <cell r="P158">
            <v>2814</v>
          </cell>
          <cell r="Q158">
            <v>10300</v>
          </cell>
          <cell r="R158">
            <v>2814</v>
          </cell>
          <cell r="S158">
            <v>10300</v>
          </cell>
          <cell r="T158">
            <v>2814</v>
          </cell>
          <cell r="U158">
            <v>10300</v>
          </cell>
          <cell r="V158">
            <v>2814</v>
          </cell>
          <cell r="W158">
            <v>10300</v>
          </cell>
          <cell r="X158">
            <v>2814</v>
          </cell>
          <cell r="Y158">
            <v>10300</v>
          </cell>
          <cell r="Z158">
            <v>2814</v>
          </cell>
          <cell r="AA158"/>
          <cell r="AB158"/>
          <cell r="AC158"/>
          <cell r="AD158">
            <v>0.08</v>
          </cell>
          <cell r="AE158"/>
          <cell r="AF158"/>
          <cell r="AG158"/>
          <cell r="AH158"/>
          <cell r="AI158"/>
          <cell r="AJ158"/>
          <cell r="AK158"/>
          <cell r="AL158" t="str">
            <v xml:space="preserve">     ↓</v>
          </cell>
        </row>
        <row r="159">
          <cell r="E159" t="str">
            <v>SUS-G- 28mm</v>
          </cell>
          <cell r="F159" t="str">
            <v>ｍ</v>
          </cell>
          <cell r="G159">
            <v>12900</v>
          </cell>
          <cell r="H159">
            <v>3524</v>
          </cell>
          <cell r="I159">
            <v>12900</v>
          </cell>
          <cell r="J159">
            <v>3524</v>
          </cell>
          <cell r="K159">
            <v>12900</v>
          </cell>
          <cell r="L159">
            <v>3524</v>
          </cell>
          <cell r="M159">
            <v>12900</v>
          </cell>
          <cell r="N159">
            <v>3524</v>
          </cell>
          <cell r="O159">
            <v>12900</v>
          </cell>
          <cell r="P159">
            <v>3524</v>
          </cell>
          <cell r="Q159">
            <v>12900</v>
          </cell>
          <cell r="R159">
            <v>3524</v>
          </cell>
          <cell r="S159">
            <v>12900</v>
          </cell>
          <cell r="T159">
            <v>3524</v>
          </cell>
          <cell r="U159">
            <v>12900</v>
          </cell>
          <cell r="V159">
            <v>3524</v>
          </cell>
          <cell r="W159">
            <v>12900</v>
          </cell>
          <cell r="X159">
            <v>3524</v>
          </cell>
          <cell r="Y159">
            <v>12900</v>
          </cell>
          <cell r="Z159">
            <v>3524</v>
          </cell>
          <cell r="AA159"/>
          <cell r="AB159"/>
          <cell r="AC159"/>
          <cell r="AD159">
            <v>0.10299999999999999</v>
          </cell>
          <cell r="AE159"/>
          <cell r="AF159"/>
          <cell r="AG159"/>
          <cell r="AH159"/>
          <cell r="AI159"/>
          <cell r="AJ159"/>
          <cell r="AK159"/>
          <cell r="AL159" t="str">
            <v xml:space="preserve">     ↓</v>
          </cell>
        </row>
        <row r="160">
          <cell r="E160" t="str">
            <v>SUS-G- 36mm</v>
          </cell>
          <cell r="F160" t="str">
            <v>ｍ</v>
          </cell>
          <cell r="G160">
            <v>16600</v>
          </cell>
          <cell r="H160">
            <v>4535</v>
          </cell>
          <cell r="I160">
            <v>16600</v>
          </cell>
          <cell r="J160">
            <v>4535</v>
          </cell>
          <cell r="K160">
            <v>16600</v>
          </cell>
          <cell r="L160">
            <v>4535</v>
          </cell>
          <cell r="M160">
            <v>16600</v>
          </cell>
          <cell r="N160">
            <v>4535</v>
          </cell>
          <cell r="O160">
            <v>16600</v>
          </cell>
          <cell r="P160">
            <v>4535</v>
          </cell>
          <cell r="Q160">
            <v>16600</v>
          </cell>
          <cell r="R160">
            <v>4535</v>
          </cell>
          <cell r="S160">
            <v>16600</v>
          </cell>
          <cell r="T160">
            <v>4535</v>
          </cell>
          <cell r="U160">
            <v>16600</v>
          </cell>
          <cell r="V160">
            <v>4535</v>
          </cell>
          <cell r="W160">
            <v>16600</v>
          </cell>
          <cell r="X160">
            <v>4535</v>
          </cell>
          <cell r="Y160">
            <v>16600</v>
          </cell>
          <cell r="Z160">
            <v>4535</v>
          </cell>
          <cell r="AA160"/>
          <cell r="AB160"/>
          <cell r="AC160"/>
          <cell r="AD160">
            <v>0.124</v>
          </cell>
          <cell r="AE160"/>
          <cell r="AF160"/>
          <cell r="AG160"/>
          <cell r="AH160"/>
          <cell r="AI160"/>
          <cell r="AJ160"/>
          <cell r="AK160"/>
          <cell r="AL160" t="str">
            <v xml:space="preserve">     ↓</v>
          </cell>
        </row>
        <row r="161">
          <cell r="E161" t="str">
            <v>SUS-G- 42mm</v>
          </cell>
          <cell r="F161" t="str">
            <v>ｍ</v>
          </cell>
          <cell r="G161">
            <v>19100</v>
          </cell>
          <cell r="H161">
            <v>5218</v>
          </cell>
          <cell r="I161">
            <v>19100</v>
          </cell>
          <cell r="J161">
            <v>5218</v>
          </cell>
          <cell r="K161">
            <v>19100</v>
          </cell>
          <cell r="L161">
            <v>5218</v>
          </cell>
          <cell r="M161">
            <v>19100</v>
          </cell>
          <cell r="N161">
            <v>5218</v>
          </cell>
          <cell r="O161">
            <v>19100</v>
          </cell>
          <cell r="P161">
            <v>5218</v>
          </cell>
          <cell r="Q161">
            <v>19100</v>
          </cell>
          <cell r="R161">
            <v>5218</v>
          </cell>
          <cell r="S161">
            <v>19100</v>
          </cell>
          <cell r="T161">
            <v>5218</v>
          </cell>
          <cell r="U161">
            <v>19100</v>
          </cell>
          <cell r="V161">
            <v>5218</v>
          </cell>
          <cell r="W161">
            <v>19100</v>
          </cell>
          <cell r="X161">
            <v>5218</v>
          </cell>
          <cell r="Y161">
            <v>19100</v>
          </cell>
          <cell r="Z161">
            <v>5218</v>
          </cell>
          <cell r="AA161"/>
          <cell r="AB161"/>
          <cell r="AC161"/>
          <cell r="AD161">
            <v>0.17</v>
          </cell>
          <cell r="AE161"/>
          <cell r="AF161"/>
          <cell r="AG161"/>
          <cell r="AH161"/>
          <cell r="AI161"/>
          <cell r="AJ161"/>
          <cell r="AK161"/>
          <cell r="AL161" t="str">
            <v xml:space="preserve">     ↓</v>
          </cell>
        </row>
        <row r="162">
          <cell r="E162" t="str">
            <v>SUS-G- 54mm</v>
          </cell>
          <cell r="F162" t="str">
            <v>ｍ</v>
          </cell>
          <cell r="G162">
            <v>23900</v>
          </cell>
          <cell r="H162">
            <v>6530</v>
          </cell>
          <cell r="I162">
            <v>23900</v>
          </cell>
          <cell r="J162">
            <v>6530</v>
          </cell>
          <cell r="K162">
            <v>23900</v>
          </cell>
          <cell r="L162">
            <v>6530</v>
          </cell>
          <cell r="M162">
            <v>23900</v>
          </cell>
          <cell r="N162">
            <v>6530</v>
          </cell>
          <cell r="O162">
            <v>23900</v>
          </cell>
          <cell r="P162">
            <v>6530</v>
          </cell>
          <cell r="Q162">
            <v>23900</v>
          </cell>
          <cell r="R162">
            <v>6530</v>
          </cell>
          <cell r="S162">
            <v>23900</v>
          </cell>
          <cell r="T162">
            <v>6530</v>
          </cell>
          <cell r="U162">
            <v>23900</v>
          </cell>
          <cell r="V162">
            <v>6530</v>
          </cell>
          <cell r="W162">
            <v>23900</v>
          </cell>
          <cell r="X162">
            <v>6530</v>
          </cell>
          <cell r="Y162">
            <v>23900</v>
          </cell>
          <cell r="Z162">
            <v>6530</v>
          </cell>
          <cell r="AA162"/>
          <cell r="AB162"/>
          <cell r="AC162"/>
          <cell r="AD162">
            <v>0.22900000000000001</v>
          </cell>
          <cell r="AE162"/>
          <cell r="AF162"/>
          <cell r="AG162"/>
          <cell r="AH162"/>
          <cell r="AI162"/>
          <cell r="AJ162"/>
          <cell r="AK162"/>
          <cell r="AL162" t="str">
            <v xml:space="preserve">     ↓</v>
          </cell>
        </row>
        <row r="163">
          <cell r="E163" t="str">
            <v>SUS-G- 70mm</v>
          </cell>
          <cell r="F163" t="str">
            <v>ｍ</v>
          </cell>
          <cell r="G163">
            <v>30600</v>
          </cell>
          <cell r="H163">
            <v>8360</v>
          </cell>
          <cell r="I163">
            <v>30600</v>
          </cell>
          <cell r="J163">
            <v>8360</v>
          </cell>
          <cell r="K163">
            <v>30600</v>
          </cell>
          <cell r="L163">
            <v>8360</v>
          </cell>
          <cell r="M163">
            <v>30600</v>
          </cell>
          <cell r="N163">
            <v>8360</v>
          </cell>
          <cell r="O163">
            <v>30600</v>
          </cell>
          <cell r="P163">
            <v>8360</v>
          </cell>
          <cell r="Q163">
            <v>30600</v>
          </cell>
          <cell r="R163">
            <v>8360</v>
          </cell>
          <cell r="S163">
            <v>30600</v>
          </cell>
          <cell r="T163">
            <v>8360</v>
          </cell>
          <cell r="U163">
            <v>30600</v>
          </cell>
          <cell r="V163">
            <v>8360</v>
          </cell>
          <cell r="W163">
            <v>30600</v>
          </cell>
          <cell r="X163">
            <v>8360</v>
          </cell>
          <cell r="Y163">
            <v>30600</v>
          </cell>
          <cell r="Z163">
            <v>8360</v>
          </cell>
          <cell r="AA163"/>
          <cell r="AB163"/>
          <cell r="AC163"/>
          <cell r="AD163">
            <v>0.26600000000000001</v>
          </cell>
          <cell r="AE163"/>
          <cell r="AF163"/>
          <cell r="AG163"/>
          <cell r="AH163"/>
          <cell r="AI163"/>
          <cell r="AJ163"/>
          <cell r="AK163"/>
          <cell r="AL163" t="str">
            <v xml:space="preserve">     ↓</v>
          </cell>
        </row>
        <row r="164">
          <cell r="E164" t="str">
            <v>SUS-G- 82mm</v>
          </cell>
          <cell r="F164" t="str">
            <v>ｍ</v>
          </cell>
          <cell r="G164">
            <v>42000</v>
          </cell>
          <cell r="H164">
            <v>11475</v>
          </cell>
          <cell r="I164">
            <v>42000</v>
          </cell>
          <cell r="J164">
            <v>11475</v>
          </cell>
          <cell r="K164">
            <v>42000</v>
          </cell>
          <cell r="L164">
            <v>11475</v>
          </cell>
          <cell r="M164">
            <v>42000</v>
          </cell>
          <cell r="N164">
            <v>11475</v>
          </cell>
          <cell r="O164">
            <v>42000</v>
          </cell>
          <cell r="P164">
            <v>11475</v>
          </cell>
          <cell r="Q164">
            <v>42000</v>
          </cell>
          <cell r="R164">
            <v>11475</v>
          </cell>
          <cell r="S164">
            <v>42000</v>
          </cell>
          <cell r="T164">
            <v>11475</v>
          </cell>
          <cell r="U164">
            <v>42000</v>
          </cell>
          <cell r="V164">
            <v>11475</v>
          </cell>
          <cell r="W164">
            <v>42000</v>
          </cell>
          <cell r="X164">
            <v>11475</v>
          </cell>
          <cell r="Y164">
            <v>42000</v>
          </cell>
          <cell r="Z164">
            <v>11475</v>
          </cell>
          <cell r="AA164"/>
          <cell r="AB164"/>
          <cell r="AC164"/>
          <cell r="AD164">
            <v>0.32300000000000001</v>
          </cell>
          <cell r="AE164"/>
          <cell r="AF164"/>
          <cell r="AG164"/>
          <cell r="AH164"/>
          <cell r="AI164"/>
          <cell r="AJ164"/>
          <cell r="AK164"/>
          <cell r="AL164" t="str">
            <v xml:space="preserve">     ↓</v>
          </cell>
        </row>
        <row r="165">
          <cell r="E165" t="str">
            <v>SUS-G-104mm</v>
          </cell>
          <cell r="F165" t="str">
            <v>ｍ</v>
          </cell>
          <cell r="G165">
            <v>54600</v>
          </cell>
          <cell r="H165">
            <v>14918</v>
          </cell>
          <cell r="I165">
            <v>54600</v>
          </cell>
          <cell r="J165">
            <v>14918</v>
          </cell>
          <cell r="K165">
            <v>54600</v>
          </cell>
          <cell r="L165">
            <v>14918</v>
          </cell>
          <cell r="M165">
            <v>54600</v>
          </cell>
          <cell r="N165">
            <v>14918</v>
          </cell>
          <cell r="O165">
            <v>54600</v>
          </cell>
          <cell r="P165">
            <v>14918</v>
          </cell>
          <cell r="Q165">
            <v>54600</v>
          </cell>
          <cell r="R165">
            <v>14918</v>
          </cell>
          <cell r="S165">
            <v>54600</v>
          </cell>
          <cell r="T165">
            <v>14918</v>
          </cell>
          <cell r="U165">
            <v>54600</v>
          </cell>
          <cell r="V165">
            <v>14918</v>
          </cell>
          <cell r="W165">
            <v>54600</v>
          </cell>
          <cell r="X165">
            <v>14918</v>
          </cell>
          <cell r="Y165">
            <v>54600</v>
          </cell>
          <cell r="Z165">
            <v>14918</v>
          </cell>
          <cell r="AA165"/>
          <cell r="AB165"/>
          <cell r="AC165"/>
          <cell r="AD165">
            <v>0.40200000000000002</v>
          </cell>
          <cell r="AE165"/>
          <cell r="AF165"/>
          <cell r="AG165"/>
          <cell r="AH165"/>
          <cell r="AI165"/>
          <cell r="AJ165"/>
          <cell r="AK165"/>
          <cell r="AL165" t="str">
            <v xml:space="preserve">     ↓</v>
          </cell>
        </row>
        <row r="166">
          <cell r="E166" t="str">
            <v>SUS-C- 19mm</v>
          </cell>
          <cell r="F166" t="str">
            <v>ｍ</v>
          </cell>
          <cell r="G166">
            <v>5250</v>
          </cell>
          <cell r="H166">
            <v>1434</v>
          </cell>
          <cell r="I166">
            <v>5250</v>
          </cell>
          <cell r="J166">
            <v>1434</v>
          </cell>
          <cell r="K166">
            <v>5250</v>
          </cell>
          <cell r="L166">
            <v>1434</v>
          </cell>
          <cell r="M166">
            <v>5250</v>
          </cell>
          <cell r="N166">
            <v>1434</v>
          </cell>
          <cell r="O166">
            <v>5250</v>
          </cell>
          <cell r="P166">
            <v>1434</v>
          </cell>
          <cell r="Q166">
            <v>5250</v>
          </cell>
          <cell r="R166">
            <v>1434</v>
          </cell>
          <cell r="S166">
            <v>5250</v>
          </cell>
          <cell r="T166">
            <v>1434</v>
          </cell>
          <cell r="U166">
            <v>5250</v>
          </cell>
          <cell r="V166">
            <v>1434</v>
          </cell>
          <cell r="W166">
            <v>5250</v>
          </cell>
          <cell r="X166">
            <v>1434</v>
          </cell>
          <cell r="Y166">
            <v>5250</v>
          </cell>
          <cell r="Z166">
            <v>1434</v>
          </cell>
          <cell r="AA166"/>
          <cell r="AB166"/>
          <cell r="AC166"/>
          <cell r="AD166">
            <v>5.1999999999999998E-2</v>
          </cell>
          <cell r="AE166"/>
          <cell r="AF166"/>
          <cell r="AG166"/>
          <cell r="AH166"/>
          <cell r="AI166"/>
          <cell r="AJ166"/>
          <cell r="AK166"/>
          <cell r="AL166" t="str">
            <v>１本=3.66m</v>
          </cell>
        </row>
        <row r="167">
          <cell r="E167" t="str">
            <v>SUS-C- 25mm</v>
          </cell>
          <cell r="F167" t="str">
            <v>ｍ</v>
          </cell>
          <cell r="G167">
            <v>6060</v>
          </cell>
          <cell r="H167">
            <v>1655</v>
          </cell>
          <cell r="I167">
            <v>6060</v>
          </cell>
          <cell r="J167">
            <v>1655</v>
          </cell>
          <cell r="K167">
            <v>6060</v>
          </cell>
          <cell r="L167">
            <v>1655</v>
          </cell>
          <cell r="M167">
            <v>6060</v>
          </cell>
          <cell r="N167">
            <v>1655</v>
          </cell>
          <cell r="O167">
            <v>6060</v>
          </cell>
          <cell r="P167">
            <v>1655</v>
          </cell>
          <cell r="Q167">
            <v>6060</v>
          </cell>
          <cell r="R167">
            <v>1655</v>
          </cell>
          <cell r="S167">
            <v>6060</v>
          </cell>
          <cell r="T167">
            <v>1655</v>
          </cell>
          <cell r="U167">
            <v>6060</v>
          </cell>
          <cell r="V167">
            <v>1655</v>
          </cell>
          <cell r="W167">
            <v>6060</v>
          </cell>
          <cell r="X167">
            <v>1655</v>
          </cell>
          <cell r="Y167">
            <v>6060</v>
          </cell>
          <cell r="Z167">
            <v>1655</v>
          </cell>
          <cell r="AA167"/>
          <cell r="AB167"/>
          <cell r="AC167"/>
          <cell r="AD167">
            <v>7.0000000000000007E-2</v>
          </cell>
          <cell r="AE167"/>
          <cell r="AF167"/>
          <cell r="AG167"/>
          <cell r="AH167"/>
          <cell r="AI167"/>
          <cell r="AJ167"/>
          <cell r="AK167"/>
          <cell r="AL167" t="str">
            <v xml:space="preserve">     ↓</v>
          </cell>
        </row>
        <row r="168">
          <cell r="E168" t="str">
            <v>SUS-C- 31mm</v>
          </cell>
          <cell r="F168" t="str">
            <v>ｍ</v>
          </cell>
          <cell r="G168">
            <v>7810</v>
          </cell>
          <cell r="H168">
            <v>2133</v>
          </cell>
          <cell r="I168">
            <v>7810</v>
          </cell>
          <cell r="J168">
            <v>2133</v>
          </cell>
          <cell r="K168">
            <v>7810</v>
          </cell>
          <cell r="L168">
            <v>2133</v>
          </cell>
          <cell r="M168">
            <v>7810</v>
          </cell>
          <cell r="N168">
            <v>2133</v>
          </cell>
          <cell r="O168">
            <v>7810</v>
          </cell>
          <cell r="P168">
            <v>2133</v>
          </cell>
          <cell r="Q168">
            <v>7810</v>
          </cell>
          <cell r="R168">
            <v>2133</v>
          </cell>
          <cell r="S168">
            <v>7810</v>
          </cell>
          <cell r="T168">
            <v>2133</v>
          </cell>
          <cell r="U168">
            <v>7810</v>
          </cell>
          <cell r="V168">
            <v>2133</v>
          </cell>
          <cell r="W168">
            <v>7810</v>
          </cell>
          <cell r="X168">
            <v>2133</v>
          </cell>
          <cell r="Y168">
            <v>7810</v>
          </cell>
          <cell r="Z168">
            <v>2133</v>
          </cell>
          <cell r="AA168"/>
          <cell r="AB168"/>
          <cell r="AC168"/>
          <cell r="AD168">
            <v>8.8999999999999996E-2</v>
          </cell>
          <cell r="AE168"/>
          <cell r="AF168"/>
          <cell r="AG168"/>
          <cell r="AH168"/>
          <cell r="AI168"/>
          <cell r="AJ168"/>
          <cell r="AK168"/>
          <cell r="AL168" t="str">
            <v xml:space="preserve">     ↓</v>
          </cell>
        </row>
        <row r="169">
          <cell r="E169" t="str">
            <v>SUS-C- 39mm</v>
          </cell>
          <cell r="F169" t="str">
            <v>ｍ</v>
          </cell>
          <cell r="G169">
            <v>9330</v>
          </cell>
          <cell r="H169">
            <v>2549</v>
          </cell>
          <cell r="I169">
            <v>9330</v>
          </cell>
          <cell r="J169">
            <v>2549</v>
          </cell>
          <cell r="K169">
            <v>9330</v>
          </cell>
          <cell r="L169">
            <v>2549</v>
          </cell>
          <cell r="M169">
            <v>9330</v>
          </cell>
          <cell r="N169">
            <v>2549</v>
          </cell>
          <cell r="O169">
            <v>9330</v>
          </cell>
          <cell r="P169">
            <v>2549</v>
          </cell>
          <cell r="Q169">
            <v>9330</v>
          </cell>
          <cell r="R169">
            <v>2549</v>
          </cell>
          <cell r="S169">
            <v>9330</v>
          </cell>
          <cell r="T169">
            <v>2549</v>
          </cell>
          <cell r="U169">
            <v>9330</v>
          </cell>
          <cell r="V169">
            <v>2549</v>
          </cell>
          <cell r="W169">
            <v>9330</v>
          </cell>
          <cell r="X169">
            <v>2549</v>
          </cell>
          <cell r="Y169">
            <v>9330</v>
          </cell>
          <cell r="Z169">
            <v>2549</v>
          </cell>
          <cell r="AA169"/>
          <cell r="AB169"/>
          <cell r="AC169"/>
          <cell r="AD169">
            <v>0.109</v>
          </cell>
          <cell r="AE169"/>
          <cell r="AF169"/>
          <cell r="AG169"/>
          <cell r="AH169"/>
          <cell r="AI169"/>
          <cell r="AJ169"/>
          <cell r="AK169"/>
          <cell r="AL169" t="str">
            <v xml:space="preserve">     ↓</v>
          </cell>
        </row>
        <row r="170">
          <cell r="E170" t="str">
            <v>SUS-C- 51mm</v>
          </cell>
          <cell r="F170" t="str">
            <v>ｍ</v>
          </cell>
          <cell r="G170">
            <v>12200</v>
          </cell>
          <cell r="H170">
            <v>3333</v>
          </cell>
          <cell r="I170">
            <v>12200</v>
          </cell>
          <cell r="J170">
            <v>3333</v>
          </cell>
          <cell r="K170">
            <v>12200</v>
          </cell>
          <cell r="L170">
            <v>3333</v>
          </cell>
          <cell r="M170">
            <v>12200</v>
          </cell>
          <cell r="N170">
            <v>3333</v>
          </cell>
          <cell r="O170">
            <v>12200</v>
          </cell>
          <cell r="P170">
            <v>3333</v>
          </cell>
          <cell r="Q170">
            <v>12200</v>
          </cell>
          <cell r="R170">
            <v>3333</v>
          </cell>
          <cell r="S170">
            <v>12200</v>
          </cell>
          <cell r="T170">
            <v>3333</v>
          </cell>
          <cell r="U170">
            <v>12200</v>
          </cell>
          <cell r="V170">
            <v>3333</v>
          </cell>
          <cell r="W170">
            <v>12200</v>
          </cell>
          <cell r="X170">
            <v>3333</v>
          </cell>
          <cell r="Y170">
            <v>12200</v>
          </cell>
          <cell r="Z170">
            <v>3333</v>
          </cell>
          <cell r="AA170"/>
          <cell r="AB170"/>
          <cell r="AC170"/>
          <cell r="AD170">
            <v>0.14699999999999999</v>
          </cell>
          <cell r="AE170"/>
          <cell r="AF170"/>
          <cell r="AG170"/>
          <cell r="AH170"/>
          <cell r="AI170"/>
          <cell r="AJ170"/>
          <cell r="AK170"/>
          <cell r="AL170" t="str">
            <v xml:space="preserve">     ↓</v>
          </cell>
        </row>
        <row r="171">
          <cell r="E171" t="str">
            <v>SUS-C- 63mm</v>
          </cell>
          <cell r="F171" t="str">
            <v>ｍ</v>
          </cell>
          <cell r="G171">
            <v>18350</v>
          </cell>
          <cell r="H171">
            <v>5013</v>
          </cell>
          <cell r="I171">
            <v>18350</v>
          </cell>
          <cell r="J171">
            <v>5013</v>
          </cell>
          <cell r="K171">
            <v>18350</v>
          </cell>
          <cell r="L171">
            <v>5013</v>
          </cell>
          <cell r="M171">
            <v>18350</v>
          </cell>
          <cell r="N171">
            <v>5013</v>
          </cell>
          <cell r="O171">
            <v>18350</v>
          </cell>
          <cell r="P171">
            <v>5013</v>
          </cell>
          <cell r="Q171">
            <v>18350</v>
          </cell>
          <cell r="R171">
            <v>5013</v>
          </cell>
          <cell r="S171">
            <v>18350</v>
          </cell>
          <cell r="T171">
            <v>5013</v>
          </cell>
          <cell r="U171">
            <v>18350</v>
          </cell>
          <cell r="V171">
            <v>5013</v>
          </cell>
          <cell r="W171">
            <v>18350</v>
          </cell>
          <cell r="X171">
            <v>5013</v>
          </cell>
          <cell r="Y171">
            <v>18350</v>
          </cell>
          <cell r="Z171">
            <v>5013</v>
          </cell>
          <cell r="AA171"/>
          <cell r="AB171"/>
          <cell r="AC171"/>
          <cell r="AD171">
            <v>0.19800000000000001</v>
          </cell>
          <cell r="AE171"/>
          <cell r="AF171"/>
          <cell r="AG171"/>
          <cell r="AH171"/>
          <cell r="AI171"/>
          <cell r="AJ171"/>
          <cell r="AK171"/>
          <cell r="AL171" t="str">
            <v xml:space="preserve">     ↓</v>
          </cell>
        </row>
        <row r="172">
          <cell r="E172" t="str">
            <v>SUS-C- 75mm</v>
          </cell>
          <cell r="F172" t="str">
            <v>ｍ</v>
          </cell>
          <cell r="G172">
            <v>24500</v>
          </cell>
          <cell r="H172">
            <v>6693</v>
          </cell>
          <cell r="I172">
            <v>24500</v>
          </cell>
          <cell r="J172">
            <v>6693</v>
          </cell>
          <cell r="K172">
            <v>24500</v>
          </cell>
          <cell r="L172">
            <v>6693</v>
          </cell>
          <cell r="M172">
            <v>24500</v>
          </cell>
          <cell r="N172">
            <v>6693</v>
          </cell>
          <cell r="O172">
            <v>24500</v>
          </cell>
          <cell r="P172">
            <v>6693</v>
          </cell>
          <cell r="Q172">
            <v>24500</v>
          </cell>
          <cell r="R172">
            <v>6693</v>
          </cell>
          <cell r="S172">
            <v>24500</v>
          </cell>
          <cell r="T172">
            <v>6693</v>
          </cell>
          <cell r="U172">
            <v>24500</v>
          </cell>
          <cell r="V172">
            <v>6693</v>
          </cell>
          <cell r="W172">
            <v>24500</v>
          </cell>
          <cell r="X172">
            <v>6693</v>
          </cell>
          <cell r="Y172">
            <v>24500</v>
          </cell>
          <cell r="Z172">
            <v>6693</v>
          </cell>
          <cell r="AA172"/>
          <cell r="AB172"/>
          <cell r="AC172"/>
          <cell r="AD172">
            <v>0.23100000000000001</v>
          </cell>
          <cell r="AE172"/>
          <cell r="AF172"/>
          <cell r="AG172"/>
          <cell r="AH172"/>
          <cell r="AI172"/>
          <cell r="AJ172"/>
          <cell r="AK172"/>
          <cell r="AL172" t="str">
            <v xml:space="preserve">     ↓</v>
          </cell>
        </row>
        <row r="173">
          <cell r="E173" t="str">
            <v>SUS-E- 19mm</v>
          </cell>
          <cell r="F173" t="str">
            <v>ｍ</v>
          </cell>
          <cell r="G173">
            <v>4660</v>
          </cell>
          <cell r="H173">
            <v>1273</v>
          </cell>
          <cell r="I173">
            <v>4660</v>
          </cell>
          <cell r="J173">
            <v>1273</v>
          </cell>
          <cell r="K173">
            <v>4660</v>
          </cell>
          <cell r="L173">
            <v>1273</v>
          </cell>
          <cell r="M173">
            <v>4660</v>
          </cell>
          <cell r="N173">
            <v>1273</v>
          </cell>
          <cell r="O173">
            <v>4660</v>
          </cell>
          <cell r="P173">
            <v>1273</v>
          </cell>
          <cell r="Q173">
            <v>4660</v>
          </cell>
          <cell r="R173">
            <v>1273</v>
          </cell>
          <cell r="S173">
            <v>4660</v>
          </cell>
          <cell r="T173">
            <v>1273</v>
          </cell>
          <cell r="U173">
            <v>4660</v>
          </cell>
          <cell r="V173">
            <v>1273</v>
          </cell>
          <cell r="W173">
            <v>4660</v>
          </cell>
          <cell r="X173">
            <v>1273</v>
          </cell>
          <cell r="Y173">
            <v>4660</v>
          </cell>
          <cell r="Z173">
            <v>1273</v>
          </cell>
          <cell r="AA173"/>
          <cell r="AB173"/>
          <cell r="AC173"/>
          <cell r="AD173">
            <v>4.2000000000000003E-2</v>
          </cell>
          <cell r="AE173"/>
          <cell r="AF173"/>
          <cell r="AG173"/>
          <cell r="AH173"/>
          <cell r="AI173"/>
          <cell r="AJ173"/>
          <cell r="AK173"/>
          <cell r="AL173" t="str">
            <v>１本=3.66m</v>
          </cell>
        </row>
        <row r="174">
          <cell r="E174" t="str">
            <v>SUS-E- 25mm</v>
          </cell>
          <cell r="F174" t="str">
            <v>ｍ</v>
          </cell>
          <cell r="G174">
            <v>5600</v>
          </cell>
          <cell r="H174">
            <v>1530</v>
          </cell>
          <cell r="I174">
            <v>5600</v>
          </cell>
          <cell r="J174">
            <v>1530</v>
          </cell>
          <cell r="K174">
            <v>5600</v>
          </cell>
          <cell r="L174">
            <v>1530</v>
          </cell>
          <cell r="M174">
            <v>5600</v>
          </cell>
          <cell r="N174">
            <v>1530</v>
          </cell>
          <cell r="O174">
            <v>5600</v>
          </cell>
          <cell r="P174">
            <v>1530</v>
          </cell>
          <cell r="Q174">
            <v>5600</v>
          </cell>
          <cell r="R174">
            <v>1530</v>
          </cell>
          <cell r="S174">
            <v>5600</v>
          </cell>
          <cell r="T174">
            <v>1530</v>
          </cell>
          <cell r="U174">
            <v>5600</v>
          </cell>
          <cell r="V174">
            <v>1530</v>
          </cell>
          <cell r="W174">
            <v>5600</v>
          </cell>
          <cell r="X174">
            <v>1530</v>
          </cell>
          <cell r="Y174">
            <v>5600</v>
          </cell>
          <cell r="Z174">
            <v>1530</v>
          </cell>
          <cell r="AA174"/>
          <cell r="AB174"/>
          <cell r="AC174"/>
          <cell r="AD174">
            <v>5.6000000000000001E-2</v>
          </cell>
          <cell r="AE174"/>
          <cell r="AF174"/>
          <cell r="AG174"/>
          <cell r="AH174"/>
          <cell r="AI174"/>
          <cell r="AJ174"/>
          <cell r="AK174"/>
          <cell r="AL174" t="str">
            <v xml:space="preserve">     ↓</v>
          </cell>
        </row>
        <row r="175">
          <cell r="E175" t="str">
            <v>SUS-E- 31mm</v>
          </cell>
          <cell r="F175" t="str">
            <v>ｍ</v>
          </cell>
          <cell r="G175">
            <v>7350</v>
          </cell>
          <cell r="H175">
            <v>2008</v>
          </cell>
          <cell r="I175">
            <v>7350</v>
          </cell>
          <cell r="J175">
            <v>2008</v>
          </cell>
          <cell r="K175">
            <v>7350</v>
          </cell>
          <cell r="L175">
            <v>2008</v>
          </cell>
          <cell r="M175">
            <v>7350</v>
          </cell>
          <cell r="N175">
            <v>2008</v>
          </cell>
          <cell r="O175">
            <v>7350</v>
          </cell>
          <cell r="P175">
            <v>2008</v>
          </cell>
          <cell r="Q175">
            <v>7350</v>
          </cell>
          <cell r="R175">
            <v>2008</v>
          </cell>
          <cell r="S175">
            <v>7350</v>
          </cell>
          <cell r="T175">
            <v>2008</v>
          </cell>
          <cell r="U175">
            <v>7350</v>
          </cell>
          <cell r="V175">
            <v>2008</v>
          </cell>
          <cell r="W175">
            <v>7350</v>
          </cell>
          <cell r="X175">
            <v>2008</v>
          </cell>
          <cell r="Y175">
            <v>7350</v>
          </cell>
          <cell r="Z175">
            <v>2008</v>
          </cell>
          <cell r="AA175"/>
          <cell r="AB175"/>
          <cell r="AC175"/>
          <cell r="AD175">
            <v>7.0999999999999994E-2</v>
          </cell>
          <cell r="AE175"/>
          <cell r="AF175"/>
          <cell r="AG175"/>
          <cell r="AH175"/>
          <cell r="AI175"/>
          <cell r="AJ175"/>
          <cell r="AK175"/>
          <cell r="AL175" t="str">
            <v xml:space="preserve">     ↓</v>
          </cell>
        </row>
        <row r="176">
          <cell r="E176" t="str">
            <v>SUS-E- 39mm</v>
          </cell>
          <cell r="F176" t="str">
            <v>ｍ</v>
          </cell>
          <cell r="G176">
            <v>8750</v>
          </cell>
          <cell r="H176">
            <v>2390</v>
          </cell>
          <cell r="I176">
            <v>8750</v>
          </cell>
          <cell r="J176">
            <v>2390</v>
          </cell>
          <cell r="K176">
            <v>8750</v>
          </cell>
          <cell r="L176">
            <v>2390</v>
          </cell>
          <cell r="M176">
            <v>8750</v>
          </cell>
          <cell r="N176">
            <v>2390</v>
          </cell>
          <cell r="O176">
            <v>8750</v>
          </cell>
          <cell r="P176">
            <v>2390</v>
          </cell>
          <cell r="Q176">
            <v>8750</v>
          </cell>
          <cell r="R176">
            <v>2390</v>
          </cell>
          <cell r="S176">
            <v>8750</v>
          </cell>
          <cell r="T176">
            <v>2390</v>
          </cell>
          <cell r="U176">
            <v>8750</v>
          </cell>
          <cell r="V176">
            <v>2390</v>
          </cell>
          <cell r="W176">
            <v>8750</v>
          </cell>
          <cell r="X176">
            <v>2390</v>
          </cell>
          <cell r="Y176">
            <v>8750</v>
          </cell>
          <cell r="Z176">
            <v>2390</v>
          </cell>
          <cell r="AA176"/>
          <cell r="AB176"/>
          <cell r="AC176"/>
          <cell r="AD176">
            <v>8.6999999999999994E-2</v>
          </cell>
          <cell r="AE176"/>
          <cell r="AF176"/>
          <cell r="AG176"/>
          <cell r="AH176"/>
          <cell r="AI176"/>
          <cell r="AJ176"/>
          <cell r="AK176"/>
          <cell r="AL176" t="str">
            <v xml:space="preserve">     ↓</v>
          </cell>
        </row>
        <row r="177">
          <cell r="E177" t="str">
            <v>SUS-E- 51mm</v>
          </cell>
          <cell r="F177" t="str">
            <v>ｍ</v>
          </cell>
          <cell r="G177">
            <v>11600</v>
          </cell>
          <cell r="H177">
            <v>3169</v>
          </cell>
          <cell r="I177">
            <v>11600</v>
          </cell>
          <cell r="J177">
            <v>3169</v>
          </cell>
          <cell r="K177">
            <v>11600</v>
          </cell>
          <cell r="L177">
            <v>3169</v>
          </cell>
          <cell r="M177">
            <v>11600</v>
          </cell>
          <cell r="N177">
            <v>3169</v>
          </cell>
          <cell r="O177">
            <v>11600</v>
          </cell>
          <cell r="P177">
            <v>3169</v>
          </cell>
          <cell r="Q177">
            <v>11600</v>
          </cell>
          <cell r="R177">
            <v>3169</v>
          </cell>
          <cell r="S177">
            <v>11600</v>
          </cell>
          <cell r="T177">
            <v>3169</v>
          </cell>
          <cell r="U177">
            <v>11600</v>
          </cell>
          <cell r="V177">
            <v>3169</v>
          </cell>
          <cell r="W177">
            <v>11600</v>
          </cell>
          <cell r="X177">
            <v>3169</v>
          </cell>
          <cell r="Y177">
            <v>11600</v>
          </cell>
          <cell r="Z177">
            <v>3169</v>
          </cell>
          <cell r="AA177"/>
          <cell r="AB177"/>
          <cell r="AC177"/>
          <cell r="AD177">
            <v>0.11799999999999999</v>
          </cell>
          <cell r="AE177"/>
          <cell r="AF177"/>
          <cell r="AG177"/>
          <cell r="AH177"/>
          <cell r="AI177"/>
          <cell r="AJ177"/>
          <cell r="AK177"/>
          <cell r="AL177" t="str">
            <v xml:space="preserve">     ↓</v>
          </cell>
        </row>
        <row r="178">
          <cell r="E178" t="str">
            <v>SUS-E- 63mm</v>
          </cell>
          <cell r="F178" t="str">
            <v>ｍ</v>
          </cell>
          <cell r="G178">
            <v>17350</v>
          </cell>
          <cell r="H178">
            <v>4740</v>
          </cell>
          <cell r="I178">
            <v>17350</v>
          </cell>
          <cell r="J178">
            <v>4740</v>
          </cell>
          <cell r="K178">
            <v>17350</v>
          </cell>
          <cell r="L178">
            <v>4740</v>
          </cell>
          <cell r="M178">
            <v>17350</v>
          </cell>
          <cell r="N178">
            <v>4740</v>
          </cell>
          <cell r="O178">
            <v>17350</v>
          </cell>
          <cell r="P178">
            <v>4740</v>
          </cell>
          <cell r="Q178">
            <v>17350</v>
          </cell>
          <cell r="R178">
            <v>4740</v>
          </cell>
          <cell r="S178">
            <v>17350</v>
          </cell>
          <cell r="T178">
            <v>4740</v>
          </cell>
          <cell r="U178">
            <v>17350</v>
          </cell>
          <cell r="V178">
            <v>4740</v>
          </cell>
          <cell r="W178">
            <v>17350</v>
          </cell>
          <cell r="X178">
            <v>4740</v>
          </cell>
          <cell r="Y178">
            <v>17350</v>
          </cell>
          <cell r="Z178">
            <v>4740</v>
          </cell>
          <cell r="AA178"/>
          <cell r="AB178"/>
          <cell r="AC178"/>
          <cell r="AD178">
            <v>0.159</v>
          </cell>
          <cell r="AE178"/>
          <cell r="AF178"/>
          <cell r="AG178"/>
          <cell r="AH178"/>
          <cell r="AI178"/>
          <cell r="AJ178"/>
          <cell r="AK178"/>
          <cell r="AL178" t="str">
            <v xml:space="preserve">     ↓</v>
          </cell>
        </row>
        <row r="179">
          <cell r="E179" t="str">
            <v>SUS-E- 75mm</v>
          </cell>
          <cell r="F179" t="str">
            <v>ｍ</v>
          </cell>
          <cell r="G179">
            <v>23100</v>
          </cell>
          <cell r="H179">
            <v>6311</v>
          </cell>
          <cell r="I179">
            <v>23100</v>
          </cell>
          <cell r="J179">
            <v>6311</v>
          </cell>
          <cell r="K179">
            <v>23100</v>
          </cell>
          <cell r="L179">
            <v>6311</v>
          </cell>
          <cell r="M179">
            <v>23100</v>
          </cell>
          <cell r="N179">
            <v>6311</v>
          </cell>
          <cell r="O179">
            <v>23100</v>
          </cell>
          <cell r="P179">
            <v>6311</v>
          </cell>
          <cell r="Q179">
            <v>23100</v>
          </cell>
          <cell r="R179">
            <v>6311</v>
          </cell>
          <cell r="S179">
            <v>23100</v>
          </cell>
          <cell r="T179">
            <v>6311</v>
          </cell>
          <cell r="U179">
            <v>23100</v>
          </cell>
          <cell r="V179">
            <v>6311</v>
          </cell>
          <cell r="W179">
            <v>23100</v>
          </cell>
          <cell r="X179">
            <v>6311</v>
          </cell>
          <cell r="Y179">
            <v>23100</v>
          </cell>
          <cell r="Z179">
            <v>6311</v>
          </cell>
          <cell r="AA179"/>
          <cell r="AB179"/>
          <cell r="AC179"/>
          <cell r="AD179">
            <v>0.185</v>
          </cell>
          <cell r="AE179"/>
          <cell r="AF179"/>
          <cell r="AG179"/>
          <cell r="AH179"/>
          <cell r="AI179"/>
          <cell r="AJ179"/>
          <cell r="AK179"/>
          <cell r="AL179" t="str">
            <v xml:space="preserve">     ↓</v>
          </cell>
        </row>
        <row r="180">
          <cell r="E180" t="str">
            <v>導入線 0.9mmφ</v>
          </cell>
          <cell r="F180" t="str">
            <v>ｍ</v>
          </cell>
          <cell r="G180">
            <v>436</v>
          </cell>
          <cell r="H180">
            <v>1.1854268624252311</v>
          </cell>
          <cell r="I180">
            <v>431</v>
          </cell>
          <cell r="J180">
            <v>1.1718325176726481</v>
          </cell>
          <cell r="K180">
            <v>431</v>
          </cell>
          <cell r="L180">
            <v>1.1718325176726481</v>
          </cell>
          <cell r="M180">
            <v>431</v>
          </cell>
          <cell r="N180">
            <v>1.1718325176726481</v>
          </cell>
          <cell r="O180">
            <v>431</v>
          </cell>
          <cell r="P180">
            <v>1.1718325176726481</v>
          </cell>
          <cell r="Q180">
            <v>431</v>
          </cell>
          <cell r="R180">
            <v>1.1718325176726481</v>
          </cell>
          <cell r="S180">
            <v>431</v>
          </cell>
          <cell r="T180">
            <v>1.1718325176726481</v>
          </cell>
          <cell r="U180">
            <v>431</v>
          </cell>
          <cell r="V180">
            <v>1.1718325176726481</v>
          </cell>
          <cell r="W180">
            <v>436</v>
          </cell>
          <cell r="X180">
            <v>1.1854268624252311</v>
          </cell>
          <cell r="Y180">
            <v>436</v>
          </cell>
          <cell r="Z180">
            <v>1.1854268624252311</v>
          </cell>
          <cell r="AA180"/>
          <cell r="AB180"/>
          <cell r="AC180"/>
          <cell r="AD180">
            <v>5.0000000000000001E-3</v>
          </cell>
          <cell r="AE180"/>
          <cell r="AF180"/>
          <cell r="AG180"/>
          <cell r="AH180"/>
          <cell r="AI180"/>
          <cell r="AJ180"/>
          <cell r="AK180"/>
          <cell r="AL180"/>
        </row>
        <row r="181">
          <cell r="E181" t="str">
            <v>導入線 1.2mmφ</v>
          </cell>
          <cell r="F181" t="str">
            <v>ｍ</v>
          </cell>
          <cell r="G181">
            <v>417</v>
          </cell>
          <cell r="H181">
            <v>1.6971916971916974</v>
          </cell>
          <cell r="I181">
            <v>412</v>
          </cell>
          <cell r="J181">
            <v>1.676841676841677</v>
          </cell>
          <cell r="K181">
            <v>412</v>
          </cell>
          <cell r="L181">
            <v>1.676841676841677</v>
          </cell>
          <cell r="M181">
            <v>412</v>
          </cell>
          <cell r="N181">
            <v>1.676841676841677</v>
          </cell>
          <cell r="O181">
            <v>412</v>
          </cell>
          <cell r="P181">
            <v>1.676841676841677</v>
          </cell>
          <cell r="Q181">
            <v>412</v>
          </cell>
          <cell r="R181">
            <v>1.676841676841677</v>
          </cell>
          <cell r="S181">
            <v>412</v>
          </cell>
          <cell r="T181">
            <v>1.676841676841677</v>
          </cell>
          <cell r="U181">
            <v>412</v>
          </cell>
          <cell r="V181">
            <v>1.676841676841677</v>
          </cell>
          <cell r="W181">
            <v>417</v>
          </cell>
          <cell r="X181">
            <v>1.6971916971916974</v>
          </cell>
          <cell r="Y181">
            <v>417</v>
          </cell>
          <cell r="Z181">
            <v>1.6971916971916974</v>
          </cell>
          <cell r="AA181"/>
          <cell r="AB181"/>
          <cell r="AC181"/>
          <cell r="AD181">
            <v>5.0000000000000001E-3</v>
          </cell>
          <cell r="AE181"/>
          <cell r="AF181"/>
          <cell r="AG181"/>
          <cell r="AH181"/>
          <cell r="AI181"/>
          <cell r="AJ181"/>
          <cell r="AK181"/>
          <cell r="AL181"/>
        </row>
        <row r="182">
          <cell r="E182" t="str">
            <v>導入線 1.6mmφ</v>
          </cell>
          <cell r="F182" t="str">
            <v>ｍ</v>
          </cell>
          <cell r="G182">
            <v>398</v>
          </cell>
          <cell r="H182">
            <v>3.1363278171788807</v>
          </cell>
          <cell r="I182">
            <v>393</v>
          </cell>
          <cell r="J182">
            <v>3.0969267139479904</v>
          </cell>
          <cell r="K182">
            <v>393</v>
          </cell>
          <cell r="L182">
            <v>3.0969267139479904</v>
          </cell>
          <cell r="M182">
            <v>393</v>
          </cell>
          <cell r="N182">
            <v>3.0969267139479904</v>
          </cell>
          <cell r="O182">
            <v>393</v>
          </cell>
          <cell r="P182">
            <v>3.0969267139479904</v>
          </cell>
          <cell r="Q182">
            <v>393</v>
          </cell>
          <cell r="R182">
            <v>3.0969267139479904</v>
          </cell>
          <cell r="S182">
            <v>393</v>
          </cell>
          <cell r="T182">
            <v>3.0969267139479904</v>
          </cell>
          <cell r="U182">
            <v>393</v>
          </cell>
          <cell r="V182">
            <v>3.0969267139479904</v>
          </cell>
          <cell r="W182">
            <v>398</v>
          </cell>
          <cell r="X182">
            <v>3.1363278171788807</v>
          </cell>
          <cell r="Y182">
            <v>398</v>
          </cell>
          <cell r="Z182">
            <v>3.1363278171788807</v>
          </cell>
          <cell r="AA182"/>
          <cell r="AB182"/>
          <cell r="AC182"/>
          <cell r="AD182">
            <v>5.0000000000000001E-3</v>
          </cell>
          <cell r="AE182"/>
          <cell r="AF182"/>
          <cell r="AG182"/>
          <cell r="AH182"/>
          <cell r="AI182"/>
          <cell r="AJ182"/>
          <cell r="AK182"/>
          <cell r="AL182"/>
        </row>
        <row r="183">
          <cell r="E183" t="str">
            <v>導入線 2.0mmφ</v>
          </cell>
          <cell r="F183" t="str">
            <v>ｍ</v>
          </cell>
          <cell r="G183">
            <v>374</v>
          </cell>
          <cell r="H183">
            <v>5.3658536585365848</v>
          </cell>
          <cell r="I183">
            <v>369</v>
          </cell>
          <cell r="J183">
            <v>5.2941176470588234</v>
          </cell>
          <cell r="K183">
            <v>369</v>
          </cell>
          <cell r="L183">
            <v>5.2941176470588234</v>
          </cell>
          <cell r="M183">
            <v>369</v>
          </cell>
          <cell r="N183">
            <v>5.2941176470588234</v>
          </cell>
          <cell r="O183">
            <v>369</v>
          </cell>
          <cell r="P183">
            <v>5.2941176470588234</v>
          </cell>
          <cell r="Q183">
            <v>369</v>
          </cell>
          <cell r="R183">
            <v>5.2941176470588234</v>
          </cell>
          <cell r="S183">
            <v>369</v>
          </cell>
          <cell r="T183">
            <v>5.2941176470588234</v>
          </cell>
          <cell r="U183">
            <v>369</v>
          </cell>
          <cell r="V183">
            <v>5.2941176470588234</v>
          </cell>
          <cell r="W183">
            <v>374</v>
          </cell>
          <cell r="X183">
            <v>5.3658536585365848</v>
          </cell>
          <cell r="Y183">
            <v>374</v>
          </cell>
          <cell r="Z183">
            <v>5.3658536585365848</v>
          </cell>
          <cell r="AA183"/>
          <cell r="AB183"/>
          <cell r="AC183"/>
          <cell r="AD183">
            <v>5.0000000000000001E-3</v>
          </cell>
          <cell r="AE183"/>
          <cell r="AF183"/>
          <cell r="AG183"/>
          <cell r="AH183"/>
          <cell r="AI183"/>
          <cell r="AJ183"/>
          <cell r="AK183"/>
          <cell r="AL183"/>
        </row>
        <row r="184">
          <cell r="E184" t="str">
            <v>導入線 2.6mmφ</v>
          </cell>
          <cell r="F184" t="str">
            <v>ｍ</v>
          </cell>
          <cell r="G184"/>
          <cell r="H184"/>
          <cell r="I184"/>
          <cell r="J184"/>
          <cell r="K184"/>
          <cell r="L184"/>
          <cell r="M184"/>
          <cell r="N184"/>
          <cell r="O184"/>
          <cell r="P184"/>
          <cell r="Q184"/>
          <cell r="R184"/>
          <cell r="S184"/>
          <cell r="T184"/>
          <cell r="U184"/>
          <cell r="V184"/>
          <cell r="W184"/>
          <cell r="X184"/>
          <cell r="Y184"/>
          <cell r="Z184"/>
          <cell r="AA184"/>
          <cell r="AB184"/>
          <cell r="AC184"/>
          <cell r="AD184">
            <v>7.0000000000000001E-3</v>
          </cell>
          <cell r="AE184"/>
          <cell r="AF184"/>
          <cell r="AG184"/>
          <cell r="AH184"/>
          <cell r="AI184"/>
          <cell r="AJ184"/>
          <cell r="AK184"/>
          <cell r="AL184"/>
        </row>
        <row r="185">
          <cell r="E185" t="str">
            <v>導入線 3.2mmφ</v>
          </cell>
          <cell r="F185" t="str">
            <v>ｍ</v>
          </cell>
          <cell r="G185"/>
          <cell r="H185"/>
          <cell r="I185"/>
          <cell r="J185"/>
          <cell r="K185"/>
          <cell r="L185"/>
          <cell r="M185"/>
          <cell r="N185"/>
          <cell r="O185"/>
          <cell r="P185"/>
          <cell r="Q185"/>
          <cell r="R185"/>
          <cell r="S185"/>
          <cell r="T185"/>
          <cell r="U185"/>
          <cell r="V185"/>
          <cell r="W185"/>
          <cell r="X185"/>
          <cell r="Y185"/>
          <cell r="Z185"/>
          <cell r="AA185"/>
          <cell r="AB185"/>
          <cell r="AC185"/>
          <cell r="AD185">
            <v>7.0000000000000001E-3</v>
          </cell>
          <cell r="AE185"/>
          <cell r="AF185"/>
          <cell r="AG185"/>
          <cell r="AH185"/>
          <cell r="AI185"/>
          <cell r="AJ185"/>
          <cell r="AK185"/>
          <cell r="AL185"/>
        </row>
        <row r="186">
          <cell r="E186" t="str">
            <v>導入線 4.0mmφ</v>
          </cell>
          <cell r="F186" t="str">
            <v>ｍ</v>
          </cell>
          <cell r="G186"/>
          <cell r="H186"/>
          <cell r="I186"/>
          <cell r="J186"/>
          <cell r="K186"/>
          <cell r="L186"/>
          <cell r="M186"/>
          <cell r="N186"/>
          <cell r="O186"/>
          <cell r="P186"/>
          <cell r="Q186"/>
          <cell r="R186"/>
          <cell r="S186"/>
          <cell r="T186"/>
          <cell r="U186"/>
          <cell r="V186"/>
          <cell r="W186"/>
          <cell r="X186"/>
          <cell r="Y186"/>
          <cell r="Z186"/>
          <cell r="AA186"/>
          <cell r="AB186"/>
          <cell r="AC186"/>
          <cell r="AD186">
            <v>8.9999999999999993E-3</v>
          </cell>
          <cell r="AE186"/>
          <cell r="AF186"/>
          <cell r="AG186"/>
          <cell r="AH186"/>
          <cell r="AI186"/>
          <cell r="AJ186"/>
          <cell r="AK186"/>
          <cell r="AL186"/>
        </row>
        <row r="187">
          <cell r="E187" t="str">
            <v>導入線 5.0mmφ</v>
          </cell>
          <cell r="F187" t="str">
            <v>ｍ</v>
          </cell>
          <cell r="G187"/>
          <cell r="H187"/>
          <cell r="I187"/>
          <cell r="J187"/>
          <cell r="K187"/>
          <cell r="L187"/>
          <cell r="M187"/>
          <cell r="N187"/>
          <cell r="O187"/>
          <cell r="P187"/>
          <cell r="Q187"/>
          <cell r="R187"/>
          <cell r="S187"/>
          <cell r="T187"/>
          <cell r="U187"/>
          <cell r="V187"/>
          <cell r="W187"/>
          <cell r="X187"/>
          <cell r="Y187"/>
          <cell r="Z187"/>
          <cell r="AA187"/>
          <cell r="AB187"/>
          <cell r="AC187"/>
          <cell r="AD187">
            <v>0.01</v>
          </cell>
          <cell r="AE187"/>
          <cell r="AF187"/>
          <cell r="AG187"/>
          <cell r="AH187"/>
          <cell r="AI187"/>
          <cell r="AJ187"/>
          <cell r="AK187"/>
          <cell r="AL187"/>
        </row>
        <row r="188">
          <cell r="E188" t="str">
            <v>19_Users</v>
          </cell>
          <cell r="F188" t="str">
            <v>ｍ</v>
          </cell>
          <cell r="G188"/>
          <cell r="H188"/>
          <cell r="I188"/>
          <cell r="J188"/>
          <cell r="K188"/>
          <cell r="L188"/>
          <cell r="M188"/>
          <cell r="N188"/>
          <cell r="O188"/>
          <cell r="P188"/>
          <cell r="Q188"/>
          <cell r="R188"/>
          <cell r="S188"/>
          <cell r="T188"/>
          <cell r="U188"/>
          <cell r="V188"/>
          <cell r="W188"/>
          <cell r="X188"/>
          <cell r="Y188"/>
          <cell r="Z188"/>
          <cell r="AA188"/>
          <cell r="AB188"/>
          <cell r="AC188"/>
          <cell r="AD188"/>
          <cell r="AE188"/>
          <cell r="AF188"/>
          <cell r="AG188"/>
          <cell r="AH188"/>
          <cell r="AI188"/>
          <cell r="AJ188"/>
          <cell r="AK188"/>
          <cell r="AL188"/>
        </row>
        <row r="189">
          <cell r="E189" t="str">
            <v>19_Users</v>
          </cell>
          <cell r="F189" t="str">
            <v>ｍ</v>
          </cell>
          <cell r="G189"/>
          <cell r="H189"/>
          <cell r="I189"/>
          <cell r="J189"/>
          <cell r="K189"/>
          <cell r="L189"/>
          <cell r="M189"/>
          <cell r="N189"/>
          <cell r="O189"/>
          <cell r="P189"/>
          <cell r="Q189"/>
          <cell r="R189"/>
          <cell r="S189"/>
          <cell r="T189"/>
          <cell r="U189"/>
          <cell r="V189"/>
          <cell r="W189"/>
          <cell r="X189"/>
          <cell r="Y189"/>
          <cell r="Z189"/>
          <cell r="AA189"/>
          <cell r="AB189"/>
          <cell r="AC189"/>
          <cell r="AD189"/>
          <cell r="AE189"/>
          <cell r="AF189"/>
          <cell r="AG189"/>
          <cell r="AH189"/>
          <cell r="AI189"/>
          <cell r="AJ189"/>
          <cell r="AK189"/>
          <cell r="AL189"/>
        </row>
        <row r="190">
          <cell r="E190" t="str">
            <v>19_Users</v>
          </cell>
          <cell r="F190" t="str">
            <v>ｍ</v>
          </cell>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cell r="AF190"/>
          <cell r="AG190"/>
          <cell r="AH190"/>
          <cell r="AI190"/>
          <cell r="AJ190"/>
          <cell r="AK190"/>
          <cell r="AL190"/>
        </row>
        <row r="191">
          <cell r="E191" t="str">
            <v>19_Users</v>
          </cell>
          <cell r="F191" t="str">
            <v>ｍ</v>
          </cell>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cell r="AF191"/>
          <cell r="AG191"/>
          <cell r="AH191"/>
          <cell r="AI191"/>
          <cell r="AJ191"/>
          <cell r="AK191"/>
          <cell r="AL191"/>
        </row>
        <row r="192">
          <cell r="E192" t="str">
            <v>19_Users</v>
          </cell>
          <cell r="F192" t="str">
            <v>ｍ</v>
          </cell>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cell r="AF192"/>
          <cell r="AG192"/>
          <cell r="AH192"/>
          <cell r="AI192"/>
          <cell r="AJ192"/>
          <cell r="AK192"/>
          <cell r="AL192"/>
        </row>
        <row r="193">
          <cell r="E193" t="str">
            <v>19_Users</v>
          </cell>
          <cell r="F193" t="str">
            <v>ｍ</v>
          </cell>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cell r="AF193"/>
          <cell r="AG193"/>
          <cell r="AH193"/>
          <cell r="AI193"/>
          <cell r="AJ193"/>
          <cell r="AK193"/>
          <cell r="AL193"/>
        </row>
        <row r="194">
          <cell r="E194" t="str">
            <v>19_Users</v>
          </cell>
          <cell r="F194" t="str">
            <v>ｍ</v>
          </cell>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cell r="AF194"/>
          <cell r="AG194"/>
          <cell r="AH194"/>
          <cell r="AI194"/>
          <cell r="AJ194"/>
          <cell r="AK194"/>
          <cell r="AL194"/>
        </row>
        <row r="195">
          <cell r="E195" t="str">
            <v>19_Users</v>
          </cell>
          <cell r="F195" t="str">
            <v>ｍ</v>
          </cell>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cell r="AF195"/>
          <cell r="AG195"/>
          <cell r="AH195"/>
          <cell r="AI195"/>
          <cell r="AJ195"/>
          <cell r="AK195"/>
          <cell r="AL195"/>
        </row>
        <row r="196">
          <cell r="E196" t="str">
            <v>19_Users</v>
          </cell>
          <cell r="F196" t="str">
            <v>ｍ</v>
          </cell>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cell r="AF196"/>
          <cell r="AG196"/>
          <cell r="AH196"/>
          <cell r="AI196"/>
          <cell r="AJ196"/>
          <cell r="AK196"/>
          <cell r="AL196"/>
        </row>
        <row r="197">
          <cell r="E197" t="str">
            <v>19_Users</v>
          </cell>
          <cell r="F197" t="str">
            <v>ｍ</v>
          </cell>
          <cell r="G197"/>
          <cell r="H197"/>
          <cell r="I197"/>
          <cell r="J197"/>
          <cell r="K197"/>
          <cell r="L197"/>
          <cell r="M197"/>
          <cell r="N197"/>
          <cell r="O197"/>
          <cell r="P197"/>
          <cell r="Q197"/>
          <cell r="R197"/>
          <cell r="S197"/>
          <cell r="T197"/>
          <cell r="U197"/>
          <cell r="V197"/>
          <cell r="W197"/>
          <cell r="X197"/>
          <cell r="Y197"/>
          <cell r="Z197"/>
          <cell r="AA197"/>
          <cell r="AB197"/>
          <cell r="AC197"/>
          <cell r="AD197"/>
          <cell r="AE197"/>
          <cell r="AF197"/>
          <cell r="AG197"/>
          <cell r="AH197"/>
          <cell r="AI197"/>
          <cell r="AJ197"/>
          <cell r="AK197"/>
          <cell r="AL197"/>
        </row>
        <row r="198">
          <cell r="E198" t="str">
            <v>19_Users</v>
          </cell>
          <cell r="F198" t="str">
            <v>ｍ</v>
          </cell>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cell r="AF198"/>
          <cell r="AG198"/>
          <cell r="AH198"/>
          <cell r="AI198"/>
          <cell r="AJ198"/>
          <cell r="AK198"/>
          <cell r="AL198"/>
        </row>
        <row r="199">
          <cell r="E199" t="str">
            <v>19_Users</v>
          </cell>
          <cell r="F199" t="str">
            <v>ｍ</v>
          </cell>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cell r="AF199"/>
          <cell r="AG199"/>
          <cell r="AH199"/>
          <cell r="AI199"/>
          <cell r="AJ199"/>
          <cell r="AK199"/>
          <cell r="AL199"/>
        </row>
        <row r="200">
          <cell r="E200" t="str">
            <v>19_Users</v>
          </cell>
          <cell r="F200" t="str">
            <v>ｍ</v>
          </cell>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cell r="AF200"/>
          <cell r="AG200"/>
          <cell r="AH200"/>
          <cell r="AI200"/>
          <cell r="AJ200"/>
          <cell r="AK200"/>
          <cell r="AL200"/>
        </row>
        <row r="201">
          <cell r="E201" t="str">
            <v>19_Users</v>
          </cell>
          <cell r="F201" t="str">
            <v>ｍ</v>
          </cell>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row>
        <row r="202">
          <cell r="E202" t="str">
            <v>19_Users</v>
          </cell>
          <cell r="F202" t="str">
            <v>ｍ</v>
          </cell>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cell r="AF202"/>
          <cell r="AG202"/>
          <cell r="AH202"/>
          <cell r="AI202"/>
          <cell r="AJ202"/>
          <cell r="AK202"/>
          <cell r="AL202"/>
        </row>
        <row r="203">
          <cell r="E203" t="str">
            <v>19_Users</v>
          </cell>
          <cell r="F203" t="str">
            <v>ｍ</v>
          </cell>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cell r="AF203"/>
          <cell r="AG203"/>
          <cell r="AH203"/>
          <cell r="AI203"/>
          <cell r="AJ203"/>
          <cell r="AK203"/>
          <cell r="AL203"/>
        </row>
        <row r="204">
          <cell r="E204"/>
          <cell r="F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cell r="AF204"/>
          <cell r="AG204"/>
          <cell r="AH204"/>
          <cell r="AI204"/>
          <cell r="AJ204"/>
          <cell r="AK204"/>
          <cell r="AL204"/>
        </row>
        <row r="205">
          <cell r="E205"/>
          <cell r="F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cell r="AF205"/>
          <cell r="AG205"/>
          <cell r="AH205"/>
          <cell r="AI205"/>
          <cell r="AJ205"/>
          <cell r="AK205"/>
          <cell r="AL205"/>
        </row>
        <row r="206">
          <cell r="E206" t="str">
            <v>C-SWBox1個用</v>
          </cell>
          <cell r="F206" t="str">
            <v>個</v>
          </cell>
          <cell r="G206"/>
          <cell r="H206">
            <v>159</v>
          </cell>
          <cell r="I206"/>
          <cell r="J206">
            <v>159</v>
          </cell>
          <cell r="K206"/>
          <cell r="L206">
            <v>159</v>
          </cell>
          <cell r="M206"/>
          <cell r="N206">
            <v>159</v>
          </cell>
          <cell r="O206"/>
          <cell r="P206">
            <v>159</v>
          </cell>
          <cell r="Q206"/>
          <cell r="R206">
            <v>159</v>
          </cell>
          <cell r="S206"/>
          <cell r="T206">
            <v>159</v>
          </cell>
          <cell r="U206"/>
          <cell r="V206">
            <v>159</v>
          </cell>
          <cell r="W206"/>
          <cell r="X206">
            <v>159</v>
          </cell>
          <cell r="Y206"/>
          <cell r="Z206">
            <v>159</v>
          </cell>
          <cell r="AA206"/>
          <cell r="AB206"/>
          <cell r="AC206"/>
          <cell r="AD206">
            <v>0.1</v>
          </cell>
          <cell r="AE206"/>
          <cell r="AF206"/>
          <cell r="AG206"/>
          <cell r="AH206"/>
          <cell r="AI206"/>
          <cell r="AJ206"/>
          <cell r="AK206"/>
          <cell r="AL206"/>
        </row>
        <row r="207">
          <cell r="E207" t="str">
            <v>C-SWBox2個用</v>
          </cell>
          <cell r="F207" t="str">
            <v>個</v>
          </cell>
          <cell r="G207"/>
          <cell r="H207">
            <v>346</v>
          </cell>
          <cell r="I207"/>
          <cell r="J207">
            <v>346</v>
          </cell>
          <cell r="K207"/>
          <cell r="L207">
            <v>346</v>
          </cell>
          <cell r="M207"/>
          <cell r="N207">
            <v>346</v>
          </cell>
          <cell r="O207"/>
          <cell r="P207">
            <v>346</v>
          </cell>
          <cell r="Q207"/>
          <cell r="R207">
            <v>346</v>
          </cell>
          <cell r="S207"/>
          <cell r="T207">
            <v>346</v>
          </cell>
          <cell r="U207"/>
          <cell r="V207">
            <v>346</v>
          </cell>
          <cell r="W207"/>
          <cell r="X207">
            <v>346</v>
          </cell>
          <cell r="Y207"/>
          <cell r="Z207">
            <v>346</v>
          </cell>
          <cell r="AA207"/>
          <cell r="AB207"/>
          <cell r="AC207"/>
          <cell r="AD207">
            <v>0.1</v>
          </cell>
          <cell r="AE207"/>
          <cell r="AF207"/>
          <cell r="AG207"/>
          <cell r="AH207"/>
          <cell r="AI207"/>
          <cell r="AJ207"/>
          <cell r="AK207"/>
          <cell r="AL207"/>
        </row>
        <row r="208">
          <cell r="E208" t="str">
            <v>C-SWBox3個用</v>
          </cell>
          <cell r="F208" t="str">
            <v>個</v>
          </cell>
          <cell r="G208"/>
          <cell r="H208">
            <v>423</v>
          </cell>
          <cell r="I208"/>
          <cell r="J208">
            <v>423</v>
          </cell>
          <cell r="K208"/>
          <cell r="L208">
            <v>423</v>
          </cell>
          <cell r="M208"/>
          <cell r="N208">
            <v>423</v>
          </cell>
          <cell r="O208"/>
          <cell r="P208">
            <v>423</v>
          </cell>
          <cell r="Q208"/>
          <cell r="R208">
            <v>423</v>
          </cell>
          <cell r="S208"/>
          <cell r="T208">
            <v>423</v>
          </cell>
          <cell r="U208"/>
          <cell r="V208">
            <v>423</v>
          </cell>
          <cell r="W208"/>
          <cell r="X208">
            <v>423</v>
          </cell>
          <cell r="Y208"/>
          <cell r="Z208">
            <v>423</v>
          </cell>
          <cell r="AA208"/>
          <cell r="AB208"/>
          <cell r="AC208"/>
          <cell r="AD208">
            <v>0.1</v>
          </cell>
          <cell r="AE208"/>
          <cell r="AF208"/>
          <cell r="AG208"/>
          <cell r="AH208"/>
          <cell r="AI208"/>
          <cell r="AJ208"/>
          <cell r="AK208"/>
          <cell r="AL208"/>
        </row>
        <row r="209">
          <cell r="E209" t="str">
            <v>C-SWBox4個用</v>
          </cell>
          <cell r="F209" t="str">
            <v>個</v>
          </cell>
          <cell r="G209"/>
          <cell r="H209">
            <v>627</v>
          </cell>
          <cell r="I209"/>
          <cell r="J209">
            <v>627</v>
          </cell>
          <cell r="K209"/>
          <cell r="L209">
            <v>627</v>
          </cell>
          <cell r="M209"/>
          <cell r="N209">
            <v>627</v>
          </cell>
          <cell r="O209"/>
          <cell r="P209">
            <v>627</v>
          </cell>
          <cell r="Q209"/>
          <cell r="R209">
            <v>627</v>
          </cell>
          <cell r="S209"/>
          <cell r="T209">
            <v>627</v>
          </cell>
          <cell r="U209"/>
          <cell r="V209">
            <v>627</v>
          </cell>
          <cell r="W209"/>
          <cell r="X209">
            <v>627</v>
          </cell>
          <cell r="Y209"/>
          <cell r="Z209">
            <v>627</v>
          </cell>
          <cell r="AA209"/>
          <cell r="AB209"/>
          <cell r="AC209"/>
          <cell r="AD209">
            <v>0.1</v>
          </cell>
          <cell r="AE209"/>
          <cell r="AF209"/>
          <cell r="AG209"/>
          <cell r="AH209"/>
          <cell r="AI209"/>
          <cell r="AJ209"/>
          <cell r="AK209"/>
          <cell r="AL209"/>
        </row>
        <row r="210">
          <cell r="E210" t="str">
            <v>C-SWBox5個用</v>
          </cell>
          <cell r="F210" t="str">
            <v>個</v>
          </cell>
          <cell r="G210"/>
          <cell r="H210">
            <v>819</v>
          </cell>
          <cell r="I210"/>
          <cell r="J210">
            <v>819</v>
          </cell>
          <cell r="K210"/>
          <cell r="L210">
            <v>819</v>
          </cell>
          <cell r="M210"/>
          <cell r="N210">
            <v>819</v>
          </cell>
          <cell r="O210"/>
          <cell r="P210">
            <v>819</v>
          </cell>
          <cell r="Q210"/>
          <cell r="R210">
            <v>819</v>
          </cell>
          <cell r="S210"/>
          <cell r="T210">
            <v>819</v>
          </cell>
          <cell r="U210"/>
          <cell r="V210">
            <v>819</v>
          </cell>
          <cell r="W210"/>
          <cell r="X210">
            <v>819</v>
          </cell>
          <cell r="Y210"/>
          <cell r="Z210">
            <v>819</v>
          </cell>
          <cell r="AA210"/>
          <cell r="AB210"/>
          <cell r="AC210"/>
          <cell r="AD210">
            <v>0.1</v>
          </cell>
          <cell r="AE210"/>
          <cell r="AF210"/>
          <cell r="AG210"/>
          <cell r="AH210"/>
          <cell r="AI210"/>
          <cell r="AJ210"/>
          <cell r="AK210"/>
          <cell r="AL210"/>
        </row>
        <row r="211">
          <cell r="E211" t="str">
            <v>C-OBox4角中浅</v>
          </cell>
          <cell r="F211" t="str">
            <v>個</v>
          </cell>
          <cell r="G211"/>
          <cell r="H211">
            <v>100</v>
          </cell>
          <cell r="I211"/>
          <cell r="J211">
            <v>100</v>
          </cell>
          <cell r="K211"/>
          <cell r="L211">
            <v>100</v>
          </cell>
          <cell r="M211"/>
          <cell r="N211">
            <v>100</v>
          </cell>
          <cell r="O211"/>
          <cell r="P211">
            <v>100</v>
          </cell>
          <cell r="Q211"/>
          <cell r="R211">
            <v>100</v>
          </cell>
          <cell r="S211"/>
          <cell r="T211">
            <v>100</v>
          </cell>
          <cell r="U211"/>
          <cell r="V211">
            <v>100</v>
          </cell>
          <cell r="W211"/>
          <cell r="X211">
            <v>100</v>
          </cell>
          <cell r="Y211"/>
          <cell r="Z211">
            <v>100</v>
          </cell>
          <cell r="AA211"/>
          <cell r="AB211"/>
          <cell r="AC211"/>
          <cell r="AD211">
            <v>0.1</v>
          </cell>
          <cell r="AE211"/>
          <cell r="AF211"/>
          <cell r="AG211"/>
          <cell r="AH211"/>
          <cell r="AI211"/>
          <cell r="AJ211"/>
          <cell r="AK211"/>
          <cell r="AL211"/>
        </row>
        <row r="212">
          <cell r="E212" t="str">
            <v>C-OBox4角中深</v>
          </cell>
          <cell r="F212" t="str">
            <v>個</v>
          </cell>
          <cell r="G212"/>
          <cell r="H212">
            <v>155</v>
          </cell>
          <cell r="I212"/>
          <cell r="J212">
            <v>155</v>
          </cell>
          <cell r="K212"/>
          <cell r="L212">
            <v>155</v>
          </cell>
          <cell r="M212"/>
          <cell r="N212">
            <v>155</v>
          </cell>
          <cell r="O212"/>
          <cell r="P212">
            <v>155</v>
          </cell>
          <cell r="Q212"/>
          <cell r="R212">
            <v>155</v>
          </cell>
          <cell r="S212"/>
          <cell r="T212">
            <v>155</v>
          </cell>
          <cell r="U212"/>
          <cell r="V212">
            <v>155</v>
          </cell>
          <cell r="W212"/>
          <cell r="X212">
            <v>155</v>
          </cell>
          <cell r="Y212"/>
          <cell r="Z212">
            <v>155</v>
          </cell>
          <cell r="AA212"/>
          <cell r="AB212"/>
          <cell r="AC212"/>
          <cell r="AD212">
            <v>0.1</v>
          </cell>
          <cell r="AE212"/>
          <cell r="AF212"/>
          <cell r="AG212"/>
          <cell r="AH212"/>
          <cell r="AI212"/>
          <cell r="AJ212"/>
          <cell r="AK212"/>
          <cell r="AL212"/>
        </row>
        <row r="213">
          <cell r="E213" t="str">
            <v>C-OBox4角大浅</v>
          </cell>
          <cell r="F213" t="str">
            <v>個</v>
          </cell>
          <cell r="G213"/>
          <cell r="H213">
            <v>232</v>
          </cell>
          <cell r="I213"/>
          <cell r="J213">
            <v>232</v>
          </cell>
          <cell r="K213"/>
          <cell r="L213">
            <v>232</v>
          </cell>
          <cell r="M213"/>
          <cell r="N213">
            <v>232</v>
          </cell>
          <cell r="O213"/>
          <cell r="P213">
            <v>232</v>
          </cell>
          <cell r="Q213"/>
          <cell r="R213">
            <v>232</v>
          </cell>
          <cell r="S213"/>
          <cell r="T213">
            <v>232</v>
          </cell>
          <cell r="U213"/>
          <cell r="V213">
            <v>232</v>
          </cell>
          <cell r="W213"/>
          <cell r="X213">
            <v>232</v>
          </cell>
          <cell r="Y213"/>
          <cell r="Z213">
            <v>232</v>
          </cell>
          <cell r="AA213"/>
          <cell r="AB213"/>
          <cell r="AC213"/>
          <cell r="AD213">
            <v>0.1</v>
          </cell>
          <cell r="AE213"/>
          <cell r="AF213"/>
          <cell r="AG213"/>
          <cell r="AH213"/>
          <cell r="AI213"/>
          <cell r="AJ213"/>
          <cell r="AK213"/>
          <cell r="AL213"/>
        </row>
        <row r="214">
          <cell r="E214" t="str">
            <v>C-OBox4角大深</v>
          </cell>
          <cell r="F214" t="str">
            <v>個</v>
          </cell>
          <cell r="G214"/>
          <cell r="H214">
            <v>260</v>
          </cell>
          <cell r="I214"/>
          <cell r="J214">
            <v>260</v>
          </cell>
          <cell r="K214"/>
          <cell r="L214">
            <v>260</v>
          </cell>
          <cell r="M214"/>
          <cell r="N214">
            <v>260</v>
          </cell>
          <cell r="O214"/>
          <cell r="P214">
            <v>260</v>
          </cell>
          <cell r="Q214"/>
          <cell r="R214">
            <v>260</v>
          </cell>
          <cell r="S214"/>
          <cell r="T214">
            <v>260</v>
          </cell>
          <cell r="U214"/>
          <cell r="V214">
            <v>260</v>
          </cell>
          <cell r="W214"/>
          <cell r="X214">
            <v>260</v>
          </cell>
          <cell r="Y214"/>
          <cell r="Z214">
            <v>260</v>
          </cell>
          <cell r="AA214"/>
          <cell r="AB214"/>
          <cell r="AC214"/>
          <cell r="AD214">
            <v>0.1</v>
          </cell>
          <cell r="AE214"/>
          <cell r="AF214"/>
          <cell r="AG214"/>
          <cell r="AH214"/>
          <cell r="AI214"/>
          <cell r="AJ214"/>
          <cell r="AK214"/>
          <cell r="AL214"/>
        </row>
        <row r="215">
          <cell r="E215" t="str">
            <v>C-CBox4角中44mm</v>
          </cell>
          <cell r="F215" t="str">
            <v>個</v>
          </cell>
          <cell r="G215"/>
          <cell r="H215">
            <v>242</v>
          </cell>
          <cell r="I215"/>
          <cell r="J215">
            <v>242</v>
          </cell>
          <cell r="K215"/>
          <cell r="L215">
            <v>242</v>
          </cell>
          <cell r="M215"/>
          <cell r="N215">
            <v>242</v>
          </cell>
          <cell r="O215"/>
          <cell r="P215">
            <v>242</v>
          </cell>
          <cell r="Q215"/>
          <cell r="R215">
            <v>242</v>
          </cell>
          <cell r="S215"/>
          <cell r="T215">
            <v>242</v>
          </cell>
          <cell r="U215"/>
          <cell r="V215">
            <v>242</v>
          </cell>
          <cell r="W215"/>
          <cell r="X215">
            <v>242</v>
          </cell>
          <cell r="Y215"/>
          <cell r="Z215">
            <v>242</v>
          </cell>
          <cell r="AA215"/>
          <cell r="AB215"/>
          <cell r="AC215"/>
          <cell r="AD215">
            <v>0.1</v>
          </cell>
          <cell r="AE215"/>
          <cell r="AF215"/>
          <cell r="AG215"/>
          <cell r="AH215"/>
          <cell r="AI215"/>
          <cell r="AJ215"/>
          <cell r="AK215"/>
          <cell r="AL215"/>
        </row>
        <row r="216">
          <cell r="E216" t="str">
            <v>C-CBox4角中54mm</v>
          </cell>
          <cell r="F216" t="str">
            <v>個</v>
          </cell>
          <cell r="G216"/>
          <cell r="H216">
            <v>275</v>
          </cell>
          <cell r="I216"/>
          <cell r="J216">
            <v>275</v>
          </cell>
          <cell r="K216"/>
          <cell r="L216">
            <v>275</v>
          </cell>
          <cell r="M216"/>
          <cell r="N216">
            <v>275</v>
          </cell>
          <cell r="O216"/>
          <cell r="P216">
            <v>275</v>
          </cell>
          <cell r="Q216"/>
          <cell r="R216">
            <v>275</v>
          </cell>
          <cell r="S216"/>
          <cell r="T216">
            <v>275</v>
          </cell>
          <cell r="U216"/>
          <cell r="V216">
            <v>275</v>
          </cell>
          <cell r="W216"/>
          <cell r="X216">
            <v>275</v>
          </cell>
          <cell r="Y216"/>
          <cell r="Z216">
            <v>275</v>
          </cell>
          <cell r="AA216"/>
          <cell r="AB216"/>
          <cell r="AC216"/>
          <cell r="AD216">
            <v>0.1</v>
          </cell>
          <cell r="AE216"/>
          <cell r="AF216"/>
          <cell r="AG216"/>
          <cell r="AH216"/>
          <cell r="AI216"/>
          <cell r="AJ216"/>
          <cell r="AK216"/>
          <cell r="AL216"/>
        </row>
        <row r="217">
          <cell r="E217" t="str">
            <v>C-CBox4角中75mm</v>
          </cell>
          <cell r="F217" t="str">
            <v>個</v>
          </cell>
          <cell r="G217"/>
          <cell r="H217">
            <v>319</v>
          </cell>
          <cell r="I217"/>
          <cell r="J217">
            <v>319</v>
          </cell>
          <cell r="K217"/>
          <cell r="L217">
            <v>319</v>
          </cell>
          <cell r="M217"/>
          <cell r="N217">
            <v>319</v>
          </cell>
          <cell r="O217"/>
          <cell r="P217">
            <v>319</v>
          </cell>
          <cell r="Q217"/>
          <cell r="R217">
            <v>319</v>
          </cell>
          <cell r="S217"/>
          <cell r="T217">
            <v>319</v>
          </cell>
          <cell r="U217"/>
          <cell r="V217">
            <v>319</v>
          </cell>
          <cell r="W217"/>
          <cell r="X217">
            <v>319</v>
          </cell>
          <cell r="Y217"/>
          <cell r="Z217">
            <v>319</v>
          </cell>
          <cell r="AA217"/>
          <cell r="AB217"/>
          <cell r="AC217"/>
          <cell r="AD217">
            <v>0.1</v>
          </cell>
          <cell r="AE217"/>
          <cell r="AF217"/>
          <cell r="AG217"/>
          <cell r="AH217"/>
          <cell r="AI217"/>
          <cell r="AJ217"/>
          <cell r="AK217"/>
          <cell r="AL217"/>
        </row>
        <row r="218">
          <cell r="E218" t="str">
            <v>C-CBox4角中90mm</v>
          </cell>
          <cell r="F218" t="str">
            <v>個</v>
          </cell>
          <cell r="G218"/>
          <cell r="H218">
            <v>412</v>
          </cell>
          <cell r="I218"/>
          <cell r="J218">
            <v>412</v>
          </cell>
          <cell r="K218"/>
          <cell r="L218">
            <v>412</v>
          </cell>
          <cell r="M218"/>
          <cell r="N218">
            <v>412</v>
          </cell>
          <cell r="O218"/>
          <cell r="P218">
            <v>412</v>
          </cell>
          <cell r="Q218"/>
          <cell r="R218">
            <v>412</v>
          </cell>
          <cell r="S218"/>
          <cell r="T218">
            <v>412</v>
          </cell>
          <cell r="U218"/>
          <cell r="V218">
            <v>412</v>
          </cell>
          <cell r="W218"/>
          <cell r="X218">
            <v>412</v>
          </cell>
          <cell r="Y218"/>
          <cell r="Z218">
            <v>412</v>
          </cell>
          <cell r="AA218"/>
          <cell r="AB218"/>
          <cell r="AC218"/>
          <cell r="AD218">
            <v>0.1</v>
          </cell>
          <cell r="AE218"/>
          <cell r="AF218"/>
          <cell r="AG218"/>
          <cell r="AH218"/>
          <cell r="AI218"/>
          <cell r="AJ218"/>
          <cell r="AK218"/>
          <cell r="AL218"/>
        </row>
        <row r="219">
          <cell r="E219" t="str">
            <v>C-CBox4角中100mm</v>
          </cell>
          <cell r="F219" t="str">
            <v>個</v>
          </cell>
          <cell r="G219"/>
          <cell r="H219">
            <v>484</v>
          </cell>
          <cell r="I219"/>
          <cell r="J219">
            <v>484</v>
          </cell>
          <cell r="K219"/>
          <cell r="L219">
            <v>484</v>
          </cell>
          <cell r="M219"/>
          <cell r="N219">
            <v>484</v>
          </cell>
          <cell r="O219"/>
          <cell r="P219">
            <v>484</v>
          </cell>
          <cell r="Q219"/>
          <cell r="R219">
            <v>484</v>
          </cell>
          <cell r="S219"/>
          <cell r="T219">
            <v>484</v>
          </cell>
          <cell r="U219"/>
          <cell r="V219">
            <v>484</v>
          </cell>
          <cell r="W219"/>
          <cell r="X219">
            <v>484</v>
          </cell>
          <cell r="Y219"/>
          <cell r="Z219">
            <v>484</v>
          </cell>
          <cell r="AA219"/>
          <cell r="AB219"/>
          <cell r="AC219"/>
          <cell r="AD219">
            <v>0.1</v>
          </cell>
          <cell r="AE219"/>
          <cell r="AF219"/>
          <cell r="AG219"/>
          <cell r="AH219"/>
          <cell r="AI219"/>
          <cell r="AJ219"/>
          <cell r="AK219"/>
          <cell r="AL219"/>
        </row>
        <row r="220">
          <cell r="E220" t="str">
            <v>C-CBox4角大44mm</v>
          </cell>
          <cell r="F220" t="str">
            <v>個</v>
          </cell>
          <cell r="G220"/>
          <cell r="H220">
            <v>396</v>
          </cell>
          <cell r="I220"/>
          <cell r="J220">
            <v>396</v>
          </cell>
          <cell r="K220"/>
          <cell r="L220">
            <v>396</v>
          </cell>
          <cell r="M220"/>
          <cell r="N220">
            <v>396</v>
          </cell>
          <cell r="O220"/>
          <cell r="P220">
            <v>396</v>
          </cell>
          <cell r="Q220"/>
          <cell r="R220">
            <v>396</v>
          </cell>
          <cell r="S220"/>
          <cell r="T220">
            <v>396</v>
          </cell>
          <cell r="U220"/>
          <cell r="V220">
            <v>396</v>
          </cell>
          <cell r="W220"/>
          <cell r="X220">
            <v>396</v>
          </cell>
          <cell r="Y220"/>
          <cell r="Z220">
            <v>396</v>
          </cell>
          <cell r="AA220"/>
          <cell r="AB220"/>
          <cell r="AC220"/>
          <cell r="AD220">
            <v>0.1</v>
          </cell>
          <cell r="AE220"/>
          <cell r="AF220"/>
          <cell r="AG220"/>
          <cell r="AH220"/>
          <cell r="AI220"/>
          <cell r="AJ220"/>
          <cell r="AK220"/>
          <cell r="AL220"/>
        </row>
        <row r="221">
          <cell r="E221" t="str">
            <v>C-CBox4角大54mm</v>
          </cell>
          <cell r="F221" t="str">
            <v>個</v>
          </cell>
          <cell r="G221"/>
          <cell r="H221">
            <v>412</v>
          </cell>
          <cell r="I221"/>
          <cell r="J221">
            <v>412</v>
          </cell>
          <cell r="K221"/>
          <cell r="L221">
            <v>412</v>
          </cell>
          <cell r="M221"/>
          <cell r="N221">
            <v>412</v>
          </cell>
          <cell r="O221"/>
          <cell r="P221">
            <v>412</v>
          </cell>
          <cell r="Q221"/>
          <cell r="R221">
            <v>412</v>
          </cell>
          <cell r="S221"/>
          <cell r="T221">
            <v>412</v>
          </cell>
          <cell r="U221"/>
          <cell r="V221">
            <v>412</v>
          </cell>
          <cell r="W221"/>
          <cell r="X221">
            <v>412</v>
          </cell>
          <cell r="Y221"/>
          <cell r="Z221">
            <v>412</v>
          </cell>
          <cell r="AA221"/>
          <cell r="AB221"/>
          <cell r="AC221"/>
          <cell r="AD221">
            <v>0.1</v>
          </cell>
          <cell r="AE221"/>
          <cell r="AF221"/>
          <cell r="AG221"/>
          <cell r="AH221"/>
          <cell r="AI221"/>
          <cell r="AJ221"/>
          <cell r="AK221"/>
          <cell r="AL221"/>
        </row>
        <row r="222">
          <cell r="E222" t="str">
            <v>C-CBox4角大75mm</v>
          </cell>
          <cell r="F222" t="str">
            <v>個</v>
          </cell>
          <cell r="G222"/>
          <cell r="H222">
            <v>445</v>
          </cell>
          <cell r="I222"/>
          <cell r="J222">
            <v>445</v>
          </cell>
          <cell r="K222"/>
          <cell r="L222">
            <v>445</v>
          </cell>
          <cell r="M222"/>
          <cell r="N222">
            <v>445</v>
          </cell>
          <cell r="O222"/>
          <cell r="P222">
            <v>445</v>
          </cell>
          <cell r="Q222"/>
          <cell r="R222">
            <v>445</v>
          </cell>
          <cell r="S222"/>
          <cell r="T222">
            <v>445</v>
          </cell>
          <cell r="U222"/>
          <cell r="V222">
            <v>445</v>
          </cell>
          <cell r="W222"/>
          <cell r="X222">
            <v>445</v>
          </cell>
          <cell r="Y222"/>
          <cell r="Z222">
            <v>445</v>
          </cell>
          <cell r="AA222"/>
          <cell r="AB222"/>
          <cell r="AC222"/>
          <cell r="AD222">
            <v>0.1</v>
          </cell>
          <cell r="AE222"/>
          <cell r="AF222"/>
          <cell r="AG222"/>
          <cell r="AH222"/>
          <cell r="AI222"/>
          <cell r="AJ222"/>
          <cell r="AK222"/>
          <cell r="AL222"/>
        </row>
        <row r="223">
          <cell r="E223" t="str">
            <v>C-CBox4角大90mm</v>
          </cell>
          <cell r="F223" t="str">
            <v>個</v>
          </cell>
          <cell r="G223"/>
          <cell r="H223">
            <v>539</v>
          </cell>
          <cell r="I223"/>
          <cell r="J223">
            <v>539</v>
          </cell>
          <cell r="K223"/>
          <cell r="L223">
            <v>539</v>
          </cell>
          <cell r="M223"/>
          <cell r="N223">
            <v>539</v>
          </cell>
          <cell r="O223"/>
          <cell r="P223">
            <v>539</v>
          </cell>
          <cell r="Q223"/>
          <cell r="R223">
            <v>539</v>
          </cell>
          <cell r="S223"/>
          <cell r="T223">
            <v>539</v>
          </cell>
          <cell r="U223"/>
          <cell r="V223">
            <v>539</v>
          </cell>
          <cell r="W223"/>
          <cell r="X223">
            <v>539</v>
          </cell>
          <cell r="Y223"/>
          <cell r="Z223">
            <v>539</v>
          </cell>
          <cell r="AA223"/>
          <cell r="AB223"/>
          <cell r="AC223"/>
          <cell r="AD223">
            <v>0.1</v>
          </cell>
          <cell r="AE223"/>
          <cell r="AF223"/>
          <cell r="AG223"/>
          <cell r="AH223"/>
          <cell r="AI223"/>
          <cell r="AJ223"/>
          <cell r="AK223"/>
          <cell r="AL223"/>
        </row>
        <row r="224">
          <cell r="E224" t="str">
            <v>C-CBox4角大100mm</v>
          </cell>
          <cell r="F224" t="str">
            <v>個</v>
          </cell>
          <cell r="G224"/>
          <cell r="H224">
            <v>577</v>
          </cell>
          <cell r="I224"/>
          <cell r="J224">
            <v>577</v>
          </cell>
          <cell r="K224"/>
          <cell r="L224">
            <v>577</v>
          </cell>
          <cell r="M224"/>
          <cell r="N224">
            <v>577</v>
          </cell>
          <cell r="O224"/>
          <cell r="P224">
            <v>577</v>
          </cell>
          <cell r="Q224"/>
          <cell r="R224">
            <v>577</v>
          </cell>
          <cell r="S224"/>
          <cell r="T224">
            <v>577</v>
          </cell>
          <cell r="U224"/>
          <cell r="V224">
            <v>577</v>
          </cell>
          <cell r="W224"/>
          <cell r="X224">
            <v>577</v>
          </cell>
          <cell r="Y224"/>
          <cell r="Z224">
            <v>577</v>
          </cell>
          <cell r="AA224"/>
          <cell r="AB224"/>
          <cell r="AC224"/>
          <cell r="AD224">
            <v>0.1</v>
          </cell>
          <cell r="AE224"/>
          <cell r="AF224"/>
          <cell r="AG224"/>
          <cell r="AH224"/>
          <cell r="AI224"/>
          <cell r="AJ224"/>
          <cell r="AK224"/>
          <cell r="AL224"/>
        </row>
        <row r="225">
          <cell r="E225" t="str">
            <v>C-CBox8角44mm</v>
          </cell>
          <cell r="F225" t="str">
            <v>個</v>
          </cell>
          <cell r="G225"/>
          <cell r="H225">
            <v>220</v>
          </cell>
          <cell r="I225"/>
          <cell r="J225">
            <v>220</v>
          </cell>
          <cell r="K225"/>
          <cell r="L225">
            <v>220</v>
          </cell>
          <cell r="M225"/>
          <cell r="N225">
            <v>220</v>
          </cell>
          <cell r="O225"/>
          <cell r="P225">
            <v>220</v>
          </cell>
          <cell r="Q225"/>
          <cell r="R225">
            <v>220</v>
          </cell>
          <cell r="S225"/>
          <cell r="T225">
            <v>220</v>
          </cell>
          <cell r="U225"/>
          <cell r="V225">
            <v>220</v>
          </cell>
          <cell r="W225"/>
          <cell r="X225">
            <v>220</v>
          </cell>
          <cell r="Y225"/>
          <cell r="Z225">
            <v>220</v>
          </cell>
          <cell r="AA225"/>
          <cell r="AB225"/>
          <cell r="AC225"/>
          <cell r="AD225">
            <v>0.1</v>
          </cell>
          <cell r="AE225"/>
          <cell r="AF225"/>
          <cell r="AG225"/>
          <cell r="AH225"/>
          <cell r="AI225"/>
          <cell r="AJ225"/>
          <cell r="AK225"/>
          <cell r="AL225"/>
        </row>
        <row r="226">
          <cell r="E226" t="str">
            <v>C-CBox8角54mm</v>
          </cell>
          <cell r="F226" t="str">
            <v>個</v>
          </cell>
          <cell r="G226"/>
          <cell r="H226">
            <v>242</v>
          </cell>
          <cell r="I226"/>
          <cell r="J226">
            <v>242</v>
          </cell>
          <cell r="K226"/>
          <cell r="L226">
            <v>242</v>
          </cell>
          <cell r="M226"/>
          <cell r="N226">
            <v>242</v>
          </cell>
          <cell r="O226"/>
          <cell r="P226">
            <v>242</v>
          </cell>
          <cell r="Q226"/>
          <cell r="R226">
            <v>242</v>
          </cell>
          <cell r="S226"/>
          <cell r="T226">
            <v>242</v>
          </cell>
          <cell r="U226"/>
          <cell r="V226">
            <v>242</v>
          </cell>
          <cell r="W226"/>
          <cell r="X226">
            <v>242</v>
          </cell>
          <cell r="Y226"/>
          <cell r="Z226">
            <v>242</v>
          </cell>
          <cell r="AA226"/>
          <cell r="AB226"/>
          <cell r="AC226"/>
          <cell r="AD226">
            <v>0.1</v>
          </cell>
          <cell r="AE226"/>
          <cell r="AF226"/>
          <cell r="AG226"/>
          <cell r="AH226"/>
          <cell r="AI226"/>
          <cell r="AJ226"/>
          <cell r="AK226"/>
          <cell r="AL226"/>
        </row>
        <row r="227">
          <cell r="E227" t="str">
            <v>C-CBox8角75mm</v>
          </cell>
          <cell r="F227" t="str">
            <v>個</v>
          </cell>
          <cell r="G227"/>
          <cell r="H227">
            <v>275</v>
          </cell>
          <cell r="I227"/>
          <cell r="J227">
            <v>275</v>
          </cell>
          <cell r="K227"/>
          <cell r="L227">
            <v>275</v>
          </cell>
          <cell r="M227"/>
          <cell r="N227">
            <v>275</v>
          </cell>
          <cell r="O227"/>
          <cell r="P227">
            <v>275</v>
          </cell>
          <cell r="Q227"/>
          <cell r="R227">
            <v>275</v>
          </cell>
          <cell r="S227"/>
          <cell r="T227">
            <v>275</v>
          </cell>
          <cell r="U227"/>
          <cell r="V227">
            <v>275</v>
          </cell>
          <cell r="W227"/>
          <cell r="X227">
            <v>275</v>
          </cell>
          <cell r="Y227"/>
          <cell r="Z227">
            <v>275</v>
          </cell>
          <cell r="AA227"/>
          <cell r="AB227"/>
          <cell r="AC227"/>
          <cell r="AD227">
            <v>0.1</v>
          </cell>
          <cell r="AE227"/>
          <cell r="AF227"/>
          <cell r="AG227"/>
          <cell r="AH227"/>
          <cell r="AI227"/>
          <cell r="AJ227"/>
          <cell r="AK227"/>
          <cell r="AL227"/>
        </row>
        <row r="228">
          <cell r="E228" t="str">
            <v>C-CBox8角90mm</v>
          </cell>
          <cell r="F228" t="str">
            <v>個</v>
          </cell>
          <cell r="G228"/>
          <cell r="H228">
            <v>363</v>
          </cell>
          <cell r="I228"/>
          <cell r="J228">
            <v>363</v>
          </cell>
          <cell r="K228"/>
          <cell r="L228">
            <v>363</v>
          </cell>
          <cell r="M228"/>
          <cell r="N228">
            <v>363</v>
          </cell>
          <cell r="O228"/>
          <cell r="P228">
            <v>363</v>
          </cell>
          <cell r="Q228"/>
          <cell r="R228">
            <v>363</v>
          </cell>
          <cell r="S228"/>
          <cell r="T228">
            <v>363</v>
          </cell>
          <cell r="U228"/>
          <cell r="V228">
            <v>363</v>
          </cell>
          <cell r="W228"/>
          <cell r="X228">
            <v>363</v>
          </cell>
          <cell r="Y228"/>
          <cell r="Z228">
            <v>363</v>
          </cell>
          <cell r="AA228"/>
          <cell r="AB228"/>
          <cell r="AC228"/>
          <cell r="AD228">
            <v>0.1</v>
          </cell>
          <cell r="AE228"/>
          <cell r="AF228"/>
          <cell r="AG228"/>
          <cell r="AH228"/>
          <cell r="AI228"/>
          <cell r="AJ228"/>
          <cell r="AK228"/>
          <cell r="AL228"/>
        </row>
        <row r="229">
          <cell r="E229" t="str">
            <v>C-CBox8角100mm</v>
          </cell>
          <cell r="F229" t="str">
            <v>個</v>
          </cell>
          <cell r="G229"/>
          <cell r="H229">
            <v>440</v>
          </cell>
          <cell r="I229"/>
          <cell r="J229">
            <v>440</v>
          </cell>
          <cell r="K229"/>
          <cell r="L229">
            <v>440</v>
          </cell>
          <cell r="M229"/>
          <cell r="N229">
            <v>440</v>
          </cell>
          <cell r="O229"/>
          <cell r="P229">
            <v>440</v>
          </cell>
          <cell r="Q229"/>
          <cell r="R229">
            <v>440</v>
          </cell>
          <cell r="S229"/>
          <cell r="T229">
            <v>440</v>
          </cell>
          <cell r="U229"/>
          <cell r="V229">
            <v>440</v>
          </cell>
          <cell r="W229"/>
          <cell r="X229">
            <v>440</v>
          </cell>
          <cell r="Y229"/>
          <cell r="Z229">
            <v>440</v>
          </cell>
          <cell r="AA229"/>
          <cell r="AB229"/>
          <cell r="AC229"/>
          <cell r="AD229">
            <v>0.1</v>
          </cell>
          <cell r="AE229"/>
          <cell r="AF229"/>
          <cell r="AG229"/>
          <cell r="AH229"/>
          <cell r="AI229"/>
          <cell r="AJ229"/>
          <cell r="AK229"/>
          <cell r="AL229"/>
        </row>
        <row r="230">
          <cell r="E230" t="str">
            <v>C-丸Box1方出19mm</v>
          </cell>
          <cell r="F230" t="str">
            <v>個</v>
          </cell>
          <cell r="G230"/>
          <cell r="H230">
            <v>338</v>
          </cell>
          <cell r="I230"/>
          <cell r="J230">
            <v>338</v>
          </cell>
          <cell r="K230"/>
          <cell r="L230">
            <v>338</v>
          </cell>
          <cell r="M230"/>
          <cell r="N230">
            <v>338</v>
          </cell>
          <cell r="O230"/>
          <cell r="P230">
            <v>338</v>
          </cell>
          <cell r="Q230"/>
          <cell r="R230">
            <v>338</v>
          </cell>
          <cell r="S230"/>
          <cell r="T230">
            <v>338</v>
          </cell>
          <cell r="U230"/>
          <cell r="V230">
            <v>338</v>
          </cell>
          <cell r="W230"/>
          <cell r="X230">
            <v>338</v>
          </cell>
          <cell r="Y230"/>
          <cell r="Z230">
            <v>338</v>
          </cell>
          <cell r="AA230"/>
          <cell r="AB230"/>
          <cell r="AC230"/>
          <cell r="AD230">
            <v>0.1</v>
          </cell>
          <cell r="AE230"/>
          <cell r="AF230"/>
          <cell r="AG230"/>
          <cell r="AH230"/>
          <cell r="AI230"/>
          <cell r="AJ230"/>
          <cell r="AK230"/>
          <cell r="AL230"/>
        </row>
        <row r="231">
          <cell r="E231" t="str">
            <v>C-丸Box2方出19mm</v>
          </cell>
          <cell r="F231" t="str">
            <v>個</v>
          </cell>
          <cell r="G231"/>
          <cell r="H231">
            <v>377</v>
          </cell>
          <cell r="I231"/>
          <cell r="J231">
            <v>377</v>
          </cell>
          <cell r="K231"/>
          <cell r="L231">
            <v>377</v>
          </cell>
          <cell r="M231"/>
          <cell r="N231">
            <v>377</v>
          </cell>
          <cell r="O231"/>
          <cell r="P231">
            <v>377</v>
          </cell>
          <cell r="Q231"/>
          <cell r="R231">
            <v>377</v>
          </cell>
          <cell r="S231"/>
          <cell r="T231">
            <v>377</v>
          </cell>
          <cell r="U231"/>
          <cell r="V231">
            <v>377</v>
          </cell>
          <cell r="W231"/>
          <cell r="X231">
            <v>377</v>
          </cell>
          <cell r="Y231"/>
          <cell r="Z231">
            <v>377</v>
          </cell>
          <cell r="AA231"/>
          <cell r="AB231"/>
          <cell r="AC231"/>
          <cell r="AD231">
            <v>0.1</v>
          </cell>
          <cell r="AE231"/>
          <cell r="AF231"/>
          <cell r="AG231"/>
          <cell r="AH231"/>
          <cell r="AI231"/>
          <cell r="AJ231"/>
          <cell r="AK231"/>
          <cell r="AL231"/>
        </row>
        <row r="232">
          <cell r="E232" t="str">
            <v>C-丸Box3方出19mm</v>
          </cell>
          <cell r="F232" t="str">
            <v>個</v>
          </cell>
          <cell r="G232"/>
          <cell r="H232">
            <v>392</v>
          </cell>
          <cell r="I232"/>
          <cell r="J232">
            <v>392</v>
          </cell>
          <cell r="K232"/>
          <cell r="L232">
            <v>392</v>
          </cell>
          <cell r="M232"/>
          <cell r="N232">
            <v>392</v>
          </cell>
          <cell r="O232"/>
          <cell r="P232">
            <v>392</v>
          </cell>
          <cell r="Q232"/>
          <cell r="R232">
            <v>392</v>
          </cell>
          <cell r="S232"/>
          <cell r="T232">
            <v>392</v>
          </cell>
          <cell r="U232"/>
          <cell r="V232">
            <v>392</v>
          </cell>
          <cell r="W232"/>
          <cell r="X232">
            <v>392</v>
          </cell>
          <cell r="Y232"/>
          <cell r="Z232">
            <v>392</v>
          </cell>
          <cell r="AA232"/>
          <cell r="AB232"/>
          <cell r="AC232"/>
          <cell r="AD232">
            <v>0.1</v>
          </cell>
          <cell r="AE232"/>
          <cell r="AF232"/>
          <cell r="AG232"/>
          <cell r="AH232"/>
          <cell r="AI232"/>
          <cell r="AJ232"/>
          <cell r="AK232"/>
          <cell r="AL232"/>
        </row>
        <row r="233">
          <cell r="E233" t="str">
            <v>C-丸Box4方出19mm</v>
          </cell>
          <cell r="F233" t="str">
            <v>個</v>
          </cell>
          <cell r="G233"/>
          <cell r="H233">
            <v>453</v>
          </cell>
          <cell r="I233"/>
          <cell r="J233">
            <v>453</v>
          </cell>
          <cell r="K233"/>
          <cell r="L233">
            <v>453</v>
          </cell>
          <cell r="M233"/>
          <cell r="N233">
            <v>453</v>
          </cell>
          <cell r="O233"/>
          <cell r="P233">
            <v>453</v>
          </cell>
          <cell r="Q233"/>
          <cell r="R233">
            <v>453</v>
          </cell>
          <cell r="S233"/>
          <cell r="T233">
            <v>453</v>
          </cell>
          <cell r="U233"/>
          <cell r="V233">
            <v>453</v>
          </cell>
          <cell r="W233"/>
          <cell r="X233">
            <v>453</v>
          </cell>
          <cell r="Y233"/>
          <cell r="Z233">
            <v>453</v>
          </cell>
          <cell r="AA233"/>
          <cell r="AB233"/>
          <cell r="AC233"/>
          <cell r="AD233">
            <v>0.1</v>
          </cell>
          <cell r="AE233"/>
          <cell r="AF233"/>
          <cell r="AG233"/>
          <cell r="AH233"/>
          <cell r="AI233"/>
          <cell r="AJ233"/>
          <cell r="AK233"/>
          <cell r="AL233"/>
        </row>
        <row r="234">
          <cell r="E234" t="str">
            <v>C-丸Box1方出25mm</v>
          </cell>
          <cell r="F234" t="str">
            <v>個</v>
          </cell>
          <cell r="G234"/>
          <cell r="H234">
            <v>404</v>
          </cell>
          <cell r="I234"/>
          <cell r="J234">
            <v>404</v>
          </cell>
          <cell r="K234"/>
          <cell r="L234">
            <v>404</v>
          </cell>
          <cell r="M234"/>
          <cell r="N234">
            <v>404</v>
          </cell>
          <cell r="O234"/>
          <cell r="P234">
            <v>404</v>
          </cell>
          <cell r="Q234"/>
          <cell r="R234">
            <v>404</v>
          </cell>
          <cell r="S234"/>
          <cell r="T234">
            <v>404</v>
          </cell>
          <cell r="U234"/>
          <cell r="V234">
            <v>404</v>
          </cell>
          <cell r="W234"/>
          <cell r="X234">
            <v>404</v>
          </cell>
          <cell r="Y234"/>
          <cell r="Z234">
            <v>404</v>
          </cell>
          <cell r="AA234"/>
          <cell r="AB234"/>
          <cell r="AC234"/>
          <cell r="AD234">
            <v>0.1</v>
          </cell>
          <cell r="AE234"/>
          <cell r="AF234"/>
          <cell r="AG234"/>
          <cell r="AH234"/>
          <cell r="AI234"/>
          <cell r="AJ234"/>
          <cell r="AK234"/>
          <cell r="AL234"/>
        </row>
        <row r="235">
          <cell r="E235" t="str">
            <v>C-丸Box2方出25mm</v>
          </cell>
          <cell r="F235" t="str">
            <v>個</v>
          </cell>
          <cell r="G235"/>
          <cell r="H235">
            <v>453</v>
          </cell>
          <cell r="I235"/>
          <cell r="J235">
            <v>453</v>
          </cell>
          <cell r="K235"/>
          <cell r="L235">
            <v>453</v>
          </cell>
          <cell r="M235"/>
          <cell r="N235">
            <v>453</v>
          </cell>
          <cell r="O235"/>
          <cell r="P235">
            <v>453</v>
          </cell>
          <cell r="Q235"/>
          <cell r="R235">
            <v>453</v>
          </cell>
          <cell r="S235"/>
          <cell r="T235">
            <v>453</v>
          </cell>
          <cell r="U235"/>
          <cell r="V235">
            <v>453</v>
          </cell>
          <cell r="W235"/>
          <cell r="X235">
            <v>453</v>
          </cell>
          <cell r="Y235"/>
          <cell r="Z235">
            <v>453</v>
          </cell>
          <cell r="AA235"/>
          <cell r="AB235"/>
          <cell r="AC235"/>
          <cell r="AD235">
            <v>0.1</v>
          </cell>
          <cell r="AE235"/>
          <cell r="AF235"/>
          <cell r="AG235"/>
          <cell r="AH235"/>
          <cell r="AI235"/>
          <cell r="AJ235"/>
          <cell r="AK235"/>
          <cell r="AL235"/>
        </row>
        <row r="236">
          <cell r="E236" t="str">
            <v>C-丸Box3方出25mm</v>
          </cell>
          <cell r="F236" t="str">
            <v>個</v>
          </cell>
          <cell r="G236"/>
          <cell r="H236">
            <v>494</v>
          </cell>
          <cell r="I236"/>
          <cell r="J236">
            <v>494</v>
          </cell>
          <cell r="K236"/>
          <cell r="L236">
            <v>494</v>
          </cell>
          <cell r="M236"/>
          <cell r="N236">
            <v>494</v>
          </cell>
          <cell r="O236"/>
          <cell r="P236">
            <v>494</v>
          </cell>
          <cell r="Q236"/>
          <cell r="R236">
            <v>494</v>
          </cell>
          <cell r="S236"/>
          <cell r="T236">
            <v>494</v>
          </cell>
          <cell r="U236"/>
          <cell r="V236">
            <v>494</v>
          </cell>
          <cell r="W236"/>
          <cell r="X236">
            <v>494</v>
          </cell>
          <cell r="Y236"/>
          <cell r="Z236">
            <v>494</v>
          </cell>
          <cell r="AA236"/>
          <cell r="AB236"/>
          <cell r="AC236"/>
          <cell r="AD236">
            <v>0.1</v>
          </cell>
          <cell r="AE236"/>
          <cell r="AF236"/>
          <cell r="AG236"/>
          <cell r="AH236"/>
          <cell r="AI236"/>
          <cell r="AJ236"/>
          <cell r="AK236"/>
          <cell r="AL236"/>
        </row>
        <row r="237">
          <cell r="E237" t="str">
            <v>C-丸Box4方出25mm</v>
          </cell>
          <cell r="F237" t="str">
            <v>個</v>
          </cell>
          <cell r="G237"/>
          <cell r="H237">
            <v>573</v>
          </cell>
          <cell r="I237"/>
          <cell r="J237">
            <v>573</v>
          </cell>
          <cell r="K237"/>
          <cell r="L237">
            <v>573</v>
          </cell>
          <cell r="M237"/>
          <cell r="N237">
            <v>573</v>
          </cell>
          <cell r="O237"/>
          <cell r="P237">
            <v>573</v>
          </cell>
          <cell r="Q237"/>
          <cell r="R237">
            <v>573</v>
          </cell>
          <cell r="S237"/>
          <cell r="T237">
            <v>573</v>
          </cell>
          <cell r="U237"/>
          <cell r="V237">
            <v>573</v>
          </cell>
          <cell r="W237"/>
          <cell r="X237">
            <v>573</v>
          </cell>
          <cell r="Y237"/>
          <cell r="Z237">
            <v>573</v>
          </cell>
          <cell r="AA237"/>
          <cell r="AB237"/>
          <cell r="AC237"/>
          <cell r="AD237">
            <v>0.1</v>
          </cell>
          <cell r="AE237"/>
          <cell r="AF237"/>
          <cell r="AG237"/>
          <cell r="AH237"/>
          <cell r="AI237"/>
          <cell r="AJ237"/>
          <cell r="AK237"/>
          <cell r="AL237"/>
        </row>
        <row r="238">
          <cell r="E238" t="str">
            <v>C-丸Box1方出31mm</v>
          </cell>
          <cell r="F238" t="str">
            <v>個</v>
          </cell>
          <cell r="G238"/>
          <cell r="H238">
            <v>568</v>
          </cell>
          <cell r="I238"/>
          <cell r="J238">
            <v>568</v>
          </cell>
          <cell r="K238"/>
          <cell r="L238">
            <v>568</v>
          </cell>
          <cell r="M238"/>
          <cell r="N238">
            <v>568</v>
          </cell>
          <cell r="O238"/>
          <cell r="P238">
            <v>568</v>
          </cell>
          <cell r="Q238"/>
          <cell r="R238">
            <v>568</v>
          </cell>
          <cell r="S238"/>
          <cell r="T238">
            <v>568</v>
          </cell>
          <cell r="U238"/>
          <cell r="V238">
            <v>568</v>
          </cell>
          <cell r="W238"/>
          <cell r="X238">
            <v>568</v>
          </cell>
          <cell r="Y238"/>
          <cell r="Z238">
            <v>568</v>
          </cell>
          <cell r="AA238"/>
          <cell r="AB238"/>
          <cell r="AC238"/>
          <cell r="AD238">
            <v>0.1</v>
          </cell>
          <cell r="AE238"/>
          <cell r="AF238"/>
          <cell r="AG238"/>
          <cell r="AH238"/>
          <cell r="AI238"/>
          <cell r="AJ238"/>
          <cell r="AK238"/>
          <cell r="AL238"/>
        </row>
        <row r="239">
          <cell r="E239" t="str">
            <v>C-丸Box2方出31mm</v>
          </cell>
          <cell r="F239" t="str">
            <v>個</v>
          </cell>
          <cell r="G239"/>
          <cell r="H239">
            <v>661</v>
          </cell>
          <cell r="I239"/>
          <cell r="J239">
            <v>661</v>
          </cell>
          <cell r="K239"/>
          <cell r="L239">
            <v>661</v>
          </cell>
          <cell r="M239"/>
          <cell r="N239">
            <v>661</v>
          </cell>
          <cell r="O239"/>
          <cell r="P239">
            <v>661</v>
          </cell>
          <cell r="Q239"/>
          <cell r="R239">
            <v>661</v>
          </cell>
          <cell r="S239"/>
          <cell r="T239">
            <v>661</v>
          </cell>
          <cell r="U239"/>
          <cell r="V239">
            <v>661</v>
          </cell>
          <cell r="W239"/>
          <cell r="X239">
            <v>661</v>
          </cell>
          <cell r="Y239"/>
          <cell r="Z239">
            <v>661</v>
          </cell>
          <cell r="AA239"/>
          <cell r="AB239"/>
          <cell r="AC239"/>
          <cell r="AD239">
            <v>0.1</v>
          </cell>
          <cell r="AE239"/>
          <cell r="AF239"/>
          <cell r="AG239"/>
          <cell r="AH239"/>
          <cell r="AI239"/>
          <cell r="AJ239"/>
          <cell r="AK239"/>
          <cell r="AL239"/>
        </row>
        <row r="240">
          <cell r="E240" t="str">
            <v>C-丸Box3方出31mm</v>
          </cell>
          <cell r="F240" t="str">
            <v>個</v>
          </cell>
          <cell r="G240"/>
          <cell r="H240">
            <v>720</v>
          </cell>
          <cell r="I240"/>
          <cell r="J240">
            <v>720</v>
          </cell>
          <cell r="K240"/>
          <cell r="L240">
            <v>720</v>
          </cell>
          <cell r="M240"/>
          <cell r="N240">
            <v>720</v>
          </cell>
          <cell r="O240"/>
          <cell r="P240">
            <v>720</v>
          </cell>
          <cell r="Q240"/>
          <cell r="R240">
            <v>720</v>
          </cell>
          <cell r="S240"/>
          <cell r="T240">
            <v>720</v>
          </cell>
          <cell r="U240"/>
          <cell r="V240">
            <v>720</v>
          </cell>
          <cell r="W240"/>
          <cell r="X240">
            <v>720</v>
          </cell>
          <cell r="Y240"/>
          <cell r="Z240">
            <v>720</v>
          </cell>
          <cell r="AA240"/>
          <cell r="AB240"/>
          <cell r="AC240"/>
          <cell r="AD240">
            <v>0.1</v>
          </cell>
          <cell r="AE240"/>
          <cell r="AF240"/>
          <cell r="AG240"/>
          <cell r="AH240"/>
          <cell r="AI240"/>
          <cell r="AJ240"/>
          <cell r="AK240"/>
          <cell r="AL240"/>
        </row>
        <row r="241">
          <cell r="E241" t="str">
            <v>C-丸Box4方出31mm</v>
          </cell>
          <cell r="F241" t="str">
            <v>個</v>
          </cell>
          <cell r="G241"/>
          <cell r="H241">
            <v>818</v>
          </cell>
          <cell r="I241"/>
          <cell r="J241">
            <v>818</v>
          </cell>
          <cell r="K241"/>
          <cell r="L241">
            <v>818</v>
          </cell>
          <cell r="M241"/>
          <cell r="N241">
            <v>818</v>
          </cell>
          <cell r="O241"/>
          <cell r="P241">
            <v>818</v>
          </cell>
          <cell r="Q241"/>
          <cell r="R241">
            <v>818</v>
          </cell>
          <cell r="S241"/>
          <cell r="T241">
            <v>818</v>
          </cell>
          <cell r="U241"/>
          <cell r="V241">
            <v>818</v>
          </cell>
          <cell r="W241"/>
          <cell r="X241">
            <v>818</v>
          </cell>
          <cell r="Y241"/>
          <cell r="Z241">
            <v>818</v>
          </cell>
          <cell r="AA241"/>
          <cell r="AB241"/>
          <cell r="AC241"/>
          <cell r="AD241">
            <v>0.1</v>
          </cell>
          <cell r="AE241"/>
          <cell r="AF241"/>
          <cell r="AG241"/>
          <cell r="AH241"/>
          <cell r="AI241"/>
          <cell r="AJ241"/>
          <cell r="AK241"/>
          <cell r="AL241"/>
        </row>
        <row r="242">
          <cell r="E242" t="str">
            <v>C-丸Box1方出39mm</v>
          </cell>
          <cell r="F242" t="str">
            <v>個</v>
          </cell>
          <cell r="G242"/>
          <cell r="H242">
            <v>1080</v>
          </cell>
          <cell r="I242"/>
          <cell r="J242">
            <v>1080</v>
          </cell>
          <cell r="K242"/>
          <cell r="L242">
            <v>1080</v>
          </cell>
          <cell r="M242"/>
          <cell r="N242">
            <v>1080</v>
          </cell>
          <cell r="O242"/>
          <cell r="P242">
            <v>1080</v>
          </cell>
          <cell r="Q242"/>
          <cell r="R242">
            <v>1080</v>
          </cell>
          <cell r="S242"/>
          <cell r="T242">
            <v>1080</v>
          </cell>
          <cell r="U242"/>
          <cell r="V242">
            <v>1080</v>
          </cell>
          <cell r="W242"/>
          <cell r="X242">
            <v>1080</v>
          </cell>
          <cell r="Y242"/>
          <cell r="Z242">
            <v>1080</v>
          </cell>
          <cell r="AA242"/>
          <cell r="AB242"/>
          <cell r="AC242"/>
          <cell r="AD242">
            <v>0.1</v>
          </cell>
          <cell r="AE242"/>
          <cell r="AF242"/>
          <cell r="AG242"/>
          <cell r="AH242"/>
          <cell r="AI242"/>
          <cell r="AJ242"/>
          <cell r="AK242"/>
          <cell r="AL242"/>
        </row>
        <row r="243">
          <cell r="E243" t="str">
            <v>C-丸Box2方出39mm</v>
          </cell>
          <cell r="F243" t="str">
            <v>個</v>
          </cell>
          <cell r="G243"/>
          <cell r="H243">
            <v>1180</v>
          </cell>
          <cell r="I243"/>
          <cell r="J243">
            <v>1180</v>
          </cell>
          <cell r="K243"/>
          <cell r="L243">
            <v>1180</v>
          </cell>
          <cell r="M243"/>
          <cell r="N243">
            <v>1180</v>
          </cell>
          <cell r="O243"/>
          <cell r="P243">
            <v>1180</v>
          </cell>
          <cell r="Q243"/>
          <cell r="R243">
            <v>1180</v>
          </cell>
          <cell r="S243"/>
          <cell r="T243">
            <v>1180</v>
          </cell>
          <cell r="U243"/>
          <cell r="V243">
            <v>1180</v>
          </cell>
          <cell r="W243"/>
          <cell r="X243">
            <v>1180</v>
          </cell>
          <cell r="Y243"/>
          <cell r="Z243">
            <v>1180</v>
          </cell>
          <cell r="AA243"/>
          <cell r="AB243"/>
          <cell r="AC243"/>
          <cell r="AD243">
            <v>0.1</v>
          </cell>
          <cell r="AE243"/>
          <cell r="AF243"/>
          <cell r="AG243"/>
          <cell r="AH243"/>
          <cell r="AI243"/>
          <cell r="AJ243"/>
          <cell r="AK243"/>
          <cell r="AL243"/>
        </row>
        <row r="244">
          <cell r="E244" t="str">
            <v>C-丸Box3方出39mm</v>
          </cell>
          <cell r="F244" t="str">
            <v>個</v>
          </cell>
          <cell r="G244"/>
          <cell r="H244">
            <v>1260</v>
          </cell>
          <cell r="I244"/>
          <cell r="J244">
            <v>1260</v>
          </cell>
          <cell r="K244"/>
          <cell r="L244">
            <v>1260</v>
          </cell>
          <cell r="M244"/>
          <cell r="N244">
            <v>1260</v>
          </cell>
          <cell r="O244"/>
          <cell r="P244">
            <v>1260</v>
          </cell>
          <cell r="Q244"/>
          <cell r="R244">
            <v>1260</v>
          </cell>
          <cell r="S244"/>
          <cell r="T244">
            <v>1260</v>
          </cell>
          <cell r="U244"/>
          <cell r="V244">
            <v>1260</v>
          </cell>
          <cell r="W244"/>
          <cell r="X244">
            <v>1260</v>
          </cell>
          <cell r="Y244"/>
          <cell r="Z244">
            <v>1260</v>
          </cell>
          <cell r="AA244"/>
          <cell r="AB244"/>
          <cell r="AC244"/>
          <cell r="AD244">
            <v>0.1</v>
          </cell>
          <cell r="AE244"/>
          <cell r="AF244"/>
          <cell r="AG244"/>
          <cell r="AH244"/>
          <cell r="AI244"/>
          <cell r="AJ244"/>
          <cell r="AK244"/>
          <cell r="AL244"/>
        </row>
        <row r="245">
          <cell r="E245" t="str">
            <v>C-丸Box4方出39mm</v>
          </cell>
          <cell r="F245" t="str">
            <v>個</v>
          </cell>
          <cell r="G245"/>
          <cell r="H245">
            <v>1450</v>
          </cell>
          <cell r="I245"/>
          <cell r="J245">
            <v>1450</v>
          </cell>
          <cell r="K245"/>
          <cell r="L245">
            <v>1450</v>
          </cell>
          <cell r="M245"/>
          <cell r="N245">
            <v>1450</v>
          </cell>
          <cell r="O245"/>
          <cell r="P245">
            <v>1450</v>
          </cell>
          <cell r="Q245"/>
          <cell r="R245">
            <v>1450</v>
          </cell>
          <cell r="S245"/>
          <cell r="T245">
            <v>1450</v>
          </cell>
          <cell r="U245"/>
          <cell r="V245">
            <v>1450</v>
          </cell>
          <cell r="W245"/>
          <cell r="X245">
            <v>1450</v>
          </cell>
          <cell r="Y245"/>
          <cell r="Z245">
            <v>1450</v>
          </cell>
          <cell r="AA245"/>
          <cell r="AB245"/>
          <cell r="AC245"/>
          <cell r="AD245">
            <v>0.1</v>
          </cell>
          <cell r="AE245"/>
          <cell r="AF245"/>
          <cell r="AG245"/>
          <cell r="AH245"/>
          <cell r="AI245"/>
          <cell r="AJ245"/>
          <cell r="AK245"/>
          <cell r="AL245"/>
        </row>
        <row r="246">
          <cell r="E246" t="str">
            <v>C-SWBox1-1方出19mm</v>
          </cell>
          <cell r="F246" t="str">
            <v>個</v>
          </cell>
          <cell r="G246"/>
          <cell r="H246">
            <v>441</v>
          </cell>
          <cell r="I246"/>
          <cell r="J246">
            <v>441</v>
          </cell>
          <cell r="K246"/>
          <cell r="L246">
            <v>441</v>
          </cell>
          <cell r="M246"/>
          <cell r="N246">
            <v>441</v>
          </cell>
          <cell r="O246"/>
          <cell r="P246">
            <v>441</v>
          </cell>
          <cell r="Q246"/>
          <cell r="R246">
            <v>441</v>
          </cell>
          <cell r="S246"/>
          <cell r="T246">
            <v>441</v>
          </cell>
          <cell r="U246"/>
          <cell r="V246">
            <v>441</v>
          </cell>
          <cell r="W246"/>
          <cell r="X246">
            <v>441</v>
          </cell>
          <cell r="Y246"/>
          <cell r="Z246">
            <v>441</v>
          </cell>
          <cell r="AA246"/>
          <cell r="AB246"/>
          <cell r="AC246"/>
          <cell r="AD246">
            <v>0.1</v>
          </cell>
          <cell r="AE246"/>
          <cell r="AF246"/>
          <cell r="AG246"/>
          <cell r="AH246"/>
          <cell r="AI246"/>
          <cell r="AJ246"/>
          <cell r="AK246"/>
          <cell r="AL246"/>
        </row>
        <row r="247">
          <cell r="E247" t="str">
            <v>C-SWBox1-2方出19mm</v>
          </cell>
          <cell r="F247" t="str">
            <v>個</v>
          </cell>
          <cell r="G247"/>
          <cell r="H247">
            <v>477</v>
          </cell>
          <cell r="I247"/>
          <cell r="J247">
            <v>477</v>
          </cell>
          <cell r="K247"/>
          <cell r="L247">
            <v>477</v>
          </cell>
          <cell r="M247"/>
          <cell r="N247">
            <v>477</v>
          </cell>
          <cell r="O247"/>
          <cell r="P247">
            <v>477</v>
          </cell>
          <cell r="Q247"/>
          <cell r="R247">
            <v>477</v>
          </cell>
          <cell r="S247"/>
          <cell r="T247">
            <v>477</v>
          </cell>
          <cell r="U247"/>
          <cell r="V247">
            <v>477</v>
          </cell>
          <cell r="W247"/>
          <cell r="X247">
            <v>477</v>
          </cell>
          <cell r="Y247"/>
          <cell r="Z247">
            <v>477</v>
          </cell>
          <cell r="AA247"/>
          <cell r="AB247"/>
          <cell r="AC247"/>
          <cell r="AD247">
            <v>0.1</v>
          </cell>
          <cell r="AE247"/>
          <cell r="AF247"/>
          <cell r="AG247"/>
          <cell r="AH247"/>
          <cell r="AI247"/>
          <cell r="AJ247"/>
          <cell r="AK247"/>
          <cell r="AL247"/>
        </row>
        <row r="248">
          <cell r="E248" t="str">
            <v>C-SWBox2-1方出19mm</v>
          </cell>
          <cell r="F248" t="str">
            <v>個</v>
          </cell>
          <cell r="G248"/>
          <cell r="H248">
            <v>816</v>
          </cell>
          <cell r="I248"/>
          <cell r="J248">
            <v>816</v>
          </cell>
          <cell r="K248"/>
          <cell r="L248">
            <v>816</v>
          </cell>
          <cell r="M248"/>
          <cell r="N248">
            <v>816</v>
          </cell>
          <cell r="O248"/>
          <cell r="P248">
            <v>816</v>
          </cell>
          <cell r="Q248"/>
          <cell r="R248">
            <v>816</v>
          </cell>
          <cell r="S248"/>
          <cell r="T248">
            <v>816</v>
          </cell>
          <cell r="U248"/>
          <cell r="V248">
            <v>816</v>
          </cell>
          <cell r="W248"/>
          <cell r="X248">
            <v>816</v>
          </cell>
          <cell r="Y248"/>
          <cell r="Z248">
            <v>816</v>
          </cell>
          <cell r="AA248"/>
          <cell r="AB248"/>
          <cell r="AC248"/>
          <cell r="AD248">
            <v>0.1</v>
          </cell>
          <cell r="AE248"/>
          <cell r="AF248"/>
          <cell r="AG248"/>
          <cell r="AH248"/>
          <cell r="AI248"/>
          <cell r="AJ248"/>
          <cell r="AK248"/>
          <cell r="AL248"/>
        </row>
        <row r="249">
          <cell r="E249" t="str">
            <v>C-SWBox3-1方出19mm</v>
          </cell>
          <cell r="F249" t="str">
            <v>個</v>
          </cell>
          <cell r="G249"/>
          <cell r="H249">
            <v>1410</v>
          </cell>
          <cell r="I249"/>
          <cell r="J249">
            <v>1410</v>
          </cell>
          <cell r="K249"/>
          <cell r="L249">
            <v>1410</v>
          </cell>
          <cell r="M249"/>
          <cell r="N249">
            <v>1410</v>
          </cell>
          <cell r="O249"/>
          <cell r="P249">
            <v>1410</v>
          </cell>
          <cell r="Q249"/>
          <cell r="R249">
            <v>1410</v>
          </cell>
          <cell r="S249"/>
          <cell r="T249">
            <v>1410</v>
          </cell>
          <cell r="U249"/>
          <cell r="V249">
            <v>1410</v>
          </cell>
          <cell r="W249"/>
          <cell r="X249">
            <v>1410</v>
          </cell>
          <cell r="Y249"/>
          <cell r="Z249">
            <v>1410</v>
          </cell>
          <cell r="AA249"/>
          <cell r="AB249"/>
          <cell r="AC249"/>
          <cell r="AD249">
            <v>0.1</v>
          </cell>
          <cell r="AE249"/>
          <cell r="AF249"/>
          <cell r="AG249"/>
          <cell r="AH249"/>
          <cell r="AI249"/>
          <cell r="AJ249"/>
          <cell r="AK249"/>
          <cell r="AL249"/>
        </row>
        <row r="250">
          <cell r="E250" t="str">
            <v>C-SWBox1-1方出25mm</v>
          </cell>
          <cell r="F250" t="str">
            <v>個</v>
          </cell>
          <cell r="G250"/>
          <cell r="H250">
            <v>555</v>
          </cell>
          <cell r="I250"/>
          <cell r="J250">
            <v>555</v>
          </cell>
          <cell r="K250"/>
          <cell r="L250">
            <v>555</v>
          </cell>
          <cell r="M250"/>
          <cell r="N250">
            <v>555</v>
          </cell>
          <cell r="O250"/>
          <cell r="P250">
            <v>555</v>
          </cell>
          <cell r="Q250"/>
          <cell r="R250">
            <v>555</v>
          </cell>
          <cell r="S250"/>
          <cell r="T250">
            <v>555</v>
          </cell>
          <cell r="U250"/>
          <cell r="V250">
            <v>555</v>
          </cell>
          <cell r="W250"/>
          <cell r="X250">
            <v>555</v>
          </cell>
          <cell r="Y250"/>
          <cell r="Z250">
            <v>555</v>
          </cell>
          <cell r="AA250"/>
          <cell r="AB250"/>
          <cell r="AC250"/>
          <cell r="AD250">
            <v>0.1</v>
          </cell>
          <cell r="AE250"/>
          <cell r="AF250"/>
          <cell r="AG250"/>
          <cell r="AH250"/>
          <cell r="AI250"/>
          <cell r="AJ250"/>
          <cell r="AK250"/>
          <cell r="AL250"/>
        </row>
        <row r="251">
          <cell r="E251" t="str">
            <v>C-SWBox1-2方出25mm</v>
          </cell>
          <cell r="F251" t="str">
            <v>個</v>
          </cell>
          <cell r="G251"/>
          <cell r="H251">
            <v>684</v>
          </cell>
          <cell r="I251"/>
          <cell r="J251">
            <v>684</v>
          </cell>
          <cell r="K251"/>
          <cell r="L251">
            <v>684</v>
          </cell>
          <cell r="M251"/>
          <cell r="N251">
            <v>684</v>
          </cell>
          <cell r="O251"/>
          <cell r="P251">
            <v>684</v>
          </cell>
          <cell r="Q251"/>
          <cell r="R251">
            <v>684</v>
          </cell>
          <cell r="S251"/>
          <cell r="T251">
            <v>684</v>
          </cell>
          <cell r="U251"/>
          <cell r="V251">
            <v>684</v>
          </cell>
          <cell r="W251"/>
          <cell r="X251">
            <v>684</v>
          </cell>
          <cell r="Y251"/>
          <cell r="Z251">
            <v>684</v>
          </cell>
          <cell r="AA251"/>
          <cell r="AB251"/>
          <cell r="AC251"/>
          <cell r="AD251">
            <v>0.1</v>
          </cell>
          <cell r="AE251"/>
          <cell r="AF251"/>
          <cell r="AG251"/>
          <cell r="AH251"/>
          <cell r="AI251"/>
          <cell r="AJ251"/>
          <cell r="AK251"/>
          <cell r="AL251"/>
        </row>
        <row r="252">
          <cell r="E252" t="str">
            <v>C-SWBox2-1方出25mm</v>
          </cell>
          <cell r="F252" t="str">
            <v>個</v>
          </cell>
          <cell r="G252"/>
          <cell r="H252">
            <v>1020</v>
          </cell>
          <cell r="I252"/>
          <cell r="J252">
            <v>1020</v>
          </cell>
          <cell r="K252"/>
          <cell r="L252">
            <v>1020</v>
          </cell>
          <cell r="M252"/>
          <cell r="N252">
            <v>1020</v>
          </cell>
          <cell r="O252"/>
          <cell r="P252">
            <v>1020</v>
          </cell>
          <cell r="Q252"/>
          <cell r="R252">
            <v>1020</v>
          </cell>
          <cell r="S252"/>
          <cell r="T252">
            <v>1020</v>
          </cell>
          <cell r="U252"/>
          <cell r="V252">
            <v>1020</v>
          </cell>
          <cell r="W252"/>
          <cell r="X252">
            <v>1020</v>
          </cell>
          <cell r="Y252"/>
          <cell r="Z252">
            <v>1020</v>
          </cell>
          <cell r="AA252"/>
          <cell r="AB252"/>
          <cell r="AC252"/>
          <cell r="AD252">
            <v>0.1</v>
          </cell>
          <cell r="AE252"/>
          <cell r="AF252"/>
          <cell r="AG252"/>
          <cell r="AH252"/>
          <cell r="AI252"/>
          <cell r="AJ252"/>
          <cell r="AK252"/>
          <cell r="AL252"/>
        </row>
        <row r="253">
          <cell r="E253" t="str">
            <v>C-SWBox3-1方出25mm</v>
          </cell>
          <cell r="F253" t="str">
            <v>個</v>
          </cell>
          <cell r="G253"/>
          <cell r="H253">
            <v>1610</v>
          </cell>
          <cell r="I253"/>
          <cell r="J253">
            <v>1610</v>
          </cell>
          <cell r="K253"/>
          <cell r="L253">
            <v>1610</v>
          </cell>
          <cell r="M253"/>
          <cell r="N253">
            <v>1610</v>
          </cell>
          <cell r="O253"/>
          <cell r="P253">
            <v>1610</v>
          </cell>
          <cell r="Q253"/>
          <cell r="R253">
            <v>1610</v>
          </cell>
          <cell r="S253"/>
          <cell r="T253">
            <v>1610</v>
          </cell>
          <cell r="U253"/>
          <cell r="V253">
            <v>1610</v>
          </cell>
          <cell r="W253"/>
          <cell r="X253">
            <v>1610</v>
          </cell>
          <cell r="Y253"/>
          <cell r="Z253">
            <v>1610</v>
          </cell>
          <cell r="AA253"/>
          <cell r="AB253"/>
          <cell r="AC253"/>
          <cell r="AD253">
            <v>0.1</v>
          </cell>
          <cell r="AE253"/>
          <cell r="AF253"/>
          <cell r="AG253"/>
          <cell r="AH253"/>
          <cell r="AI253"/>
          <cell r="AJ253"/>
          <cell r="AK253"/>
          <cell r="AL253"/>
        </row>
        <row r="254">
          <cell r="E254" t="str">
            <v>C-SWBox1-1方出31mm</v>
          </cell>
          <cell r="F254" t="str">
            <v>個</v>
          </cell>
          <cell r="G254"/>
          <cell r="H254">
            <v>792</v>
          </cell>
          <cell r="I254"/>
          <cell r="J254">
            <v>792</v>
          </cell>
          <cell r="K254"/>
          <cell r="L254">
            <v>792</v>
          </cell>
          <cell r="M254"/>
          <cell r="N254">
            <v>792</v>
          </cell>
          <cell r="O254"/>
          <cell r="P254">
            <v>792</v>
          </cell>
          <cell r="Q254"/>
          <cell r="R254">
            <v>792</v>
          </cell>
          <cell r="S254"/>
          <cell r="T254">
            <v>792</v>
          </cell>
          <cell r="U254"/>
          <cell r="V254">
            <v>792</v>
          </cell>
          <cell r="W254"/>
          <cell r="X254">
            <v>792</v>
          </cell>
          <cell r="Y254"/>
          <cell r="Z254">
            <v>792</v>
          </cell>
          <cell r="AA254"/>
          <cell r="AB254"/>
          <cell r="AC254"/>
          <cell r="AD254">
            <v>0.1</v>
          </cell>
          <cell r="AE254"/>
          <cell r="AF254"/>
          <cell r="AG254"/>
          <cell r="AH254"/>
          <cell r="AI254"/>
          <cell r="AJ254"/>
          <cell r="AK254"/>
          <cell r="AL254"/>
        </row>
        <row r="255">
          <cell r="E255" t="str">
            <v>C-SWBox1-2方出31mm</v>
          </cell>
          <cell r="F255" t="str">
            <v>個</v>
          </cell>
          <cell r="G255"/>
          <cell r="H255">
            <v>990</v>
          </cell>
          <cell r="I255"/>
          <cell r="J255">
            <v>990</v>
          </cell>
          <cell r="K255"/>
          <cell r="L255">
            <v>990</v>
          </cell>
          <cell r="M255"/>
          <cell r="N255">
            <v>990</v>
          </cell>
          <cell r="O255"/>
          <cell r="P255">
            <v>990</v>
          </cell>
          <cell r="Q255"/>
          <cell r="R255">
            <v>990</v>
          </cell>
          <cell r="S255"/>
          <cell r="T255">
            <v>990</v>
          </cell>
          <cell r="U255"/>
          <cell r="V255">
            <v>990</v>
          </cell>
          <cell r="W255"/>
          <cell r="X255">
            <v>990</v>
          </cell>
          <cell r="Y255"/>
          <cell r="Z255">
            <v>990</v>
          </cell>
          <cell r="AA255"/>
          <cell r="AB255"/>
          <cell r="AC255"/>
          <cell r="AD255">
            <v>0.1</v>
          </cell>
          <cell r="AE255"/>
          <cell r="AF255"/>
          <cell r="AG255"/>
          <cell r="AH255"/>
          <cell r="AI255"/>
          <cell r="AJ255"/>
          <cell r="AK255"/>
          <cell r="AL255"/>
        </row>
        <row r="256">
          <cell r="E256" t="str">
            <v>C-SWBox2-1方出31mm</v>
          </cell>
          <cell r="F256" t="str">
            <v>個</v>
          </cell>
          <cell r="G256"/>
          <cell r="H256">
            <v>1680</v>
          </cell>
          <cell r="I256"/>
          <cell r="J256">
            <v>1680</v>
          </cell>
          <cell r="K256"/>
          <cell r="L256">
            <v>1680</v>
          </cell>
          <cell r="M256"/>
          <cell r="N256">
            <v>1680</v>
          </cell>
          <cell r="O256"/>
          <cell r="P256">
            <v>1680</v>
          </cell>
          <cell r="Q256"/>
          <cell r="R256">
            <v>1680</v>
          </cell>
          <cell r="S256"/>
          <cell r="T256">
            <v>1680</v>
          </cell>
          <cell r="U256"/>
          <cell r="V256">
            <v>1680</v>
          </cell>
          <cell r="W256"/>
          <cell r="X256">
            <v>1680</v>
          </cell>
          <cell r="Y256"/>
          <cell r="Z256">
            <v>1680</v>
          </cell>
          <cell r="AA256"/>
          <cell r="AB256"/>
          <cell r="AC256"/>
          <cell r="AD256">
            <v>0.1</v>
          </cell>
          <cell r="AE256"/>
          <cell r="AF256"/>
          <cell r="AG256"/>
          <cell r="AH256"/>
          <cell r="AI256"/>
          <cell r="AJ256"/>
          <cell r="AK256"/>
          <cell r="AL256"/>
        </row>
        <row r="257">
          <cell r="E257" t="str">
            <v>C-SWBox3-1方出31mm</v>
          </cell>
          <cell r="F257" t="str">
            <v>個</v>
          </cell>
          <cell r="G257"/>
          <cell r="H257">
            <v>1810</v>
          </cell>
          <cell r="I257"/>
          <cell r="J257">
            <v>1810</v>
          </cell>
          <cell r="K257"/>
          <cell r="L257">
            <v>1810</v>
          </cell>
          <cell r="M257"/>
          <cell r="N257">
            <v>1810</v>
          </cell>
          <cell r="O257"/>
          <cell r="P257">
            <v>1810</v>
          </cell>
          <cell r="Q257"/>
          <cell r="R257">
            <v>1810</v>
          </cell>
          <cell r="S257"/>
          <cell r="T257">
            <v>1810</v>
          </cell>
          <cell r="U257"/>
          <cell r="V257">
            <v>1810</v>
          </cell>
          <cell r="W257"/>
          <cell r="X257">
            <v>1810</v>
          </cell>
          <cell r="Y257"/>
          <cell r="Z257">
            <v>1810</v>
          </cell>
          <cell r="AA257"/>
          <cell r="AB257"/>
          <cell r="AC257"/>
          <cell r="AD257">
            <v>0.1</v>
          </cell>
          <cell r="AE257"/>
          <cell r="AF257"/>
          <cell r="AG257"/>
          <cell r="AH257"/>
          <cell r="AI257"/>
          <cell r="AJ257"/>
          <cell r="AK257"/>
          <cell r="AL257"/>
        </row>
        <row r="258">
          <cell r="E258" t="str">
            <v>E-丸Box1方出19mm</v>
          </cell>
          <cell r="F258" t="str">
            <v>個</v>
          </cell>
          <cell r="G258"/>
          <cell r="H258">
            <v>393</v>
          </cell>
          <cell r="I258"/>
          <cell r="J258">
            <v>393</v>
          </cell>
          <cell r="K258"/>
          <cell r="L258">
            <v>393</v>
          </cell>
          <cell r="M258"/>
          <cell r="N258">
            <v>393</v>
          </cell>
          <cell r="O258"/>
          <cell r="P258">
            <v>393</v>
          </cell>
          <cell r="Q258"/>
          <cell r="R258">
            <v>393</v>
          </cell>
          <cell r="S258"/>
          <cell r="T258">
            <v>393</v>
          </cell>
          <cell r="U258"/>
          <cell r="V258">
            <v>393</v>
          </cell>
          <cell r="W258"/>
          <cell r="X258">
            <v>393</v>
          </cell>
          <cell r="Y258"/>
          <cell r="Z258">
            <v>393</v>
          </cell>
          <cell r="AA258"/>
          <cell r="AB258"/>
          <cell r="AC258"/>
          <cell r="AD258">
            <v>0.1</v>
          </cell>
          <cell r="AE258"/>
          <cell r="AF258"/>
          <cell r="AG258"/>
          <cell r="AH258"/>
          <cell r="AI258"/>
          <cell r="AJ258"/>
          <cell r="AK258"/>
          <cell r="AL258"/>
        </row>
        <row r="259">
          <cell r="E259" t="str">
            <v>E-丸Box2方出19mm</v>
          </cell>
          <cell r="F259" t="str">
            <v>個</v>
          </cell>
          <cell r="G259"/>
          <cell r="H259">
            <v>441</v>
          </cell>
          <cell r="I259"/>
          <cell r="J259">
            <v>441</v>
          </cell>
          <cell r="K259"/>
          <cell r="L259">
            <v>441</v>
          </cell>
          <cell r="M259"/>
          <cell r="N259">
            <v>441</v>
          </cell>
          <cell r="O259"/>
          <cell r="P259">
            <v>441</v>
          </cell>
          <cell r="Q259"/>
          <cell r="R259">
            <v>441</v>
          </cell>
          <cell r="S259"/>
          <cell r="T259">
            <v>441</v>
          </cell>
          <cell r="U259"/>
          <cell r="V259">
            <v>441</v>
          </cell>
          <cell r="W259"/>
          <cell r="X259">
            <v>441</v>
          </cell>
          <cell r="Y259"/>
          <cell r="Z259">
            <v>441</v>
          </cell>
          <cell r="AA259"/>
          <cell r="AB259"/>
          <cell r="AC259"/>
          <cell r="AD259">
            <v>0.1</v>
          </cell>
          <cell r="AE259"/>
          <cell r="AF259"/>
          <cell r="AG259"/>
          <cell r="AH259"/>
          <cell r="AI259"/>
          <cell r="AJ259"/>
          <cell r="AK259"/>
          <cell r="AL259"/>
        </row>
        <row r="260">
          <cell r="E260" t="str">
            <v>E-丸Box3方出19mm</v>
          </cell>
          <cell r="F260" t="str">
            <v>個</v>
          </cell>
          <cell r="G260"/>
          <cell r="H260">
            <v>462</v>
          </cell>
          <cell r="I260"/>
          <cell r="J260">
            <v>462</v>
          </cell>
          <cell r="K260"/>
          <cell r="L260">
            <v>462</v>
          </cell>
          <cell r="M260"/>
          <cell r="N260">
            <v>462</v>
          </cell>
          <cell r="O260"/>
          <cell r="P260">
            <v>462</v>
          </cell>
          <cell r="Q260"/>
          <cell r="R260">
            <v>462</v>
          </cell>
          <cell r="S260"/>
          <cell r="T260">
            <v>462</v>
          </cell>
          <cell r="U260"/>
          <cell r="V260">
            <v>462</v>
          </cell>
          <cell r="W260"/>
          <cell r="X260">
            <v>462</v>
          </cell>
          <cell r="Y260"/>
          <cell r="Z260">
            <v>462</v>
          </cell>
          <cell r="AA260"/>
          <cell r="AB260"/>
          <cell r="AC260"/>
          <cell r="AD260">
            <v>0.1</v>
          </cell>
          <cell r="AE260"/>
          <cell r="AF260"/>
          <cell r="AG260"/>
          <cell r="AH260"/>
          <cell r="AI260"/>
          <cell r="AJ260"/>
          <cell r="AK260"/>
          <cell r="AL260"/>
        </row>
        <row r="261">
          <cell r="E261" t="str">
            <v>E-丸Box4方出19mm</v>
          </cell>
          <cell r="F261" t="str">
            <v>個</v>
          </cell>
          <cell r="G261"/>
          <cell r="H261">
            <v>555</v>
          </cell>
          <cell r="I261"/>
          <cell r="J261">
            <v>555</v>
          </cell>
          <cell r="K261"/>
          <cell r="L261">
            <v>555</v>
          </cell>
          <cell r="M261"/>
          <cell r="N261">
            <v>555</v>
          </cell>
          <cell r="O261"/>
          <cell r="P261">
            <v>555</v>
          </cell>
          <cell r="Q261"/>
          <cell r="R261">
            <v>555</v>
          </cell>
          <cell r="S261"/>
          <cell r="T261">
            <v>555</v>
          </cell>
          <cell r="U261"/>
          <cell r="V261">
            <v>555</v>
          </cell>
          <cell r="W261"/>
          <cell r="X261">
            <v>555</v>
          </cell>
          <cell r="Y261"/>
          <cell r="Z261">
            <v>555</v>
          </cell>
          <cell r="AA261"/>
          <cell r="AB261"/>
          <cell r="AC261"/>
          <cell r="AD261">
            <v>0.1</v>
          </cell>
          <cell r="AE261"/>
          <cell r="AF261"/>
          <cell r="AG261"/>
          <cell r="AH261"/>
          <cell r="AI261"/>
          <cell r="AJ261"/>
          <cell r="AK261"/>
          <cell r="AL261"/>
        </row>
        <row r="262">
          <cell r="E262" t="str">
            <v>E-丸Box1方出25mm</v>
          </cell>
          <cell r="F262" t="str">
            <v>個</v>
          </cell>
          <cell r="G262"/>
          <cell r="H262">
            <v>492</v>
          </cell>
          <cell r="I262"/>
          <cell r="J262">
            <v>492</v>
          </cell>
          <cell r="K262"/>
          <cell r="L262">
            <v>492</v>
          </cell>
          <cell r="M262"/>
          <cell r="N262">
            <v>492</v>
          </cell>
          <cell r="O262"/>
          <cell r="P262">
            <v>492</v>
          </cell>
          <cell r="Q262"/>
          <cell r="R262">
            <v>492</v>
          </cell>
          <cell r="S262"/>
          <cell r="T262">
            <v>492</v>
          </cell>
          <cell r="U262"/>
          <cell r="V262">
            <v>492</v>
          </cell>
          <cell r="W262"/>
          <cell r="X262">
            <v>492</v>
          </cell>
          <cell r="Y262"/>
          <cell r="Z262">
            <v>492</v>
          </cell>
          <cell r="AA262"/>
          <cell r="AB262"/>
          <cell r="AC262"/>
          <cell r="AD262">
            <v>0.1</v>
          </cell>
          <cell r="AE262"/>
          <cell r="AF262"/>
          <cell r="AG262"/>
          <cell r="AH262"/>
          <cell r="AI262"/>
          <cell r="AJ262"/>
          <cell r="AK262"/>
          <cell r="AL262"/>
        </row>
        <row r="263">
          <cell r="E263" t="str">
            <v>E-丸Box2方出25mm</v>
          </cell>
          <cell r="F263" t="str">
            <v>個</v>
          </cell>
          <cell r="G263"/>
          <cell r="H263">
            <v>555</v>
          </cell>
          <cell r="I263"/>
          <cell r="J263">
            <v>555</v>
          </cell>
          <cell r="K263"/>
          <cell r="L263">
            <v>555</v>
          </cell>
          <cell r="M263"/>
          <cell r="N263">
            <v>555</v>
          </cell>
          <cell r="O263"/>
          <cell r="P263">
            <v>555</v>
          </cell>
          <cell r="Q263"/>
          <cell r="R263">
            <v>555</v>
          </cell>
          <cell r="S263"/>
          <cell r="T263">
            <v>555</v>
          </cell>
          <cell r="U263"/>
          <cell r="V263">
            <v>555</v>
          </cell>
          <cell r="W263"/>
          <cell r="X263">
            <v>555</v>
          </cell>
          <cell r="Y263"/>
          <cell r="Z263">
            <v>555</v>
          </cell>
          <cell r="AA263"/>
          <cell r="AB263"/>
          <cell r="AC263"/>
          <cell r="AD263">
            <v>0.1</v>
          </cell>
          <cell r="AE263"/>
          <cell r="AF263"/>
          <cell r="AG263"/>
          <cell r="AH263"/>
          <cell r="AI263"/>
          <cell r="AJ263"/>
          <cell r="AK263"/>
          <cell r="AL263"/>
        </row>
        <row r="264">
          <cell r="E264" t="str">
            <v>E-丸Box3方出25mm</v>
          </cell>
          <cell r="F264" t="str">
            <v>個</v>
          </cell>
          <cell r="G264"/>
          <cell r="H264">
            <v>600</v>
          </cell>
          <cell r="I264"/>
          <cell r="J264">
            <v>600</v>
          </cell>
          <cell r="K264"/>
          <cell r="L264">
            <v>600</v>
          </cell>
          <cell r="M264"/>
          <cell r="N264">
            <v>600</v>
          </cell>
          <cell r="O264"/>
          <cell r="P264">
            <v>600</v>
          </cell>
          <cell r="Q264"/>
          <cell r="R264">
            <v>600</v>
          </cell>
          <cell r="S264"/>
          <cell r="T264">
            <v>600</v>
          </cell>
          <cell r="U264"/>
          <cell r="V264">
            <v>600</v>
          </cell>
          <cell r="W264"/>
          <cell r="X264">
            <v>600</v>
          </cell>
          <cell r="Y264"/>
          <cell r="Z264">
            <v>600</v>
          </cell>
          <cell r="AA264"/>
          <cell r="AB264"/>
          <cell r="AC264"/>
          <cell r="AD264">
            <v>0.1</v>
          </cell>
          <cell r="AE264"/>
          <cell r="AF264"/>
          <cell r="AG264"/>
          <cell r="AH264"/>
          <cell r="AI264"/>
          <cell r="AJ264"/>
          <cell r="AK264"/>
          <cell r="AL264"/>
        </row>
        <row r="265">
          <cell r="E265" t="str">
            <v>E-丸Box4方出25mm</v>
          </cell>
          <cell r="F265" t="str">
            <v>個</v>
          </cell>
          <cell r="G265"/>
          <cell r="H265">
            <v>690</v>
          </cell>
          <cell r="I265"/>
          <cell r="J265">
            <v>690</v>
          </cell>
          <cell r="K265"/>
          <cell r="L265">
            <v>690</v>
          </cell>
          <cell r="M265"/>
          <cell r="N265">
            <v>690</v>
          </cell>
          <cell r="O265"/>
          <cell r="P265">
            <v>690</v>
          </cell>
          <cell r="Q265"/>
          <cell r="R265">
            <v>690</v>
          </cell>
          <cell r="S265"/>
          <cell r="T265">
            <v>690</v>
          </cell>
          <cell r="U265"/>
          <cell r="V265">
            <v>690</v>
          </cell>
          <cell r="W265"/>
          <cell r="X265">
            <v>690</v>
          </cell>
          <cell r="Y265"/>
          <cell r="Z265">
            <v>690</v>
          </cell>
          <cell r="AA265"/>
          <cell r="AB265"/>
          <cell r="AC265"/>
          <cell r="AD265">
            <v>0.1</v>
          </cell>
          <cell r="AE265"/>
          <cell r="AF265"/>
          <cell r="AG265"/>
          <cell r="AH265"/>
          <cell r="AI265"/>
          <cell r="AJ265"/>
          <cell r="AK265"/>
          <cell r="AL265"/>
        </row>
        <row r="266">
          <cell r="E266" t="str">
            <v>E-丸Box1方出31mm</v>
          </cell>
          <cell r="F266" t="str">
            <v>個</v>
          </cell>
          <cell r="G266"/>
          <cell r="H266">
            <v>690</v>
          </cell>
          <cell r="I266"/>
          <cell r="J266">
            <v>690</v>
          </cell>
          <cell r="K266"/>
          <cell r="L266">
            <v>690</v>
          </cell>
          <cell r="M266"/>
          <cell r="N266">
            <v>690</v>
          </cell>
          <cell r="O266"/>
          <cell r="P266">
            <v>690</v>
          </cell>
          <cell r="Q266"/>
          <cell r="R266">
            <v>690</v>
          </cell>
          <cell r="S266"/>
          <cell r="T266">
            <v>690</v>
          </cell>
          <cell r="U266"/>
          <cell r="V266">
            <v>690</v>
          </cell>
          <cell r="W266"/>
          <cell r="X266">
            <v>690</v>
          </cell>
          <cell r="Y266"/>
          <cell r="Z266">
            <v>690</v>
          </cell>
          <cell r="AA266"/>
          <cell r="AB266"/>
          <cell r="AC266"/>
          <cell r="AD266">
            <v>0.1</v>
          </cell>
          <cell r="AE266"/>
          <cell r="AF266"/>
          <cell r="AG266"/>
          <cell r="AH266"/>
          <cell r="AI266"/>
          <cell r="AJ266"/>
          <cell r="AK266"/>
          <cell r="AL266"/>
        </row>
        <row r="267">
          <cell r="E267" t="str">
            <v>E-丸Box2方出31mm</v>
          </cell>
          <cell r="F267" t="str">
            <v>個</v>
          </cell>
          <cell r="G267"/>
          <cell r="H267">
            <v>774</v>
          </cell>
          <cell r="I267"/>
          <cell r="J267">
            <v>774</v>
          </cell>
          <cell r="K267"/>
          <cell r="L267">
            <v>774</v>
          </cell>
          <cell r="M267"/>
          <cell r="N267">
            <v>774</v>
          </cell>
          <cell r="O267"/>
          <cell r="P267">
            <v>774</v>
          </cell>
          <cell r="Q267"/>
          <cell r="R267">
            <v>774</v>
          </cell>
          <cell r="S267"/>
          <cell r="T267">
            <v>774</v>
          </cell>
          <cell r="U267"/>
          <cell r="V267">
            <v>774</v>
          </cell>
          <cell r="W267"/>
          <cell r="X267">
            <v>774</v>
          </cell>
          <cell r="Y267"/>
          <cell r="Z267">
            <v>774</v>
          </cell>
          <cell r="AA267"/>
          <cell r="AB267"/>
          <cell r="AC267"/>
          <cell r="AD267">
            <v>0.1</v>
          </cell>
          <cell r="AE267"/>
          <cell r="AF267"/>
          <cell r="AG267"/>
          <cell r="AH267"/>
          <cell r="AI267"/>
          <cell r="AJ267"/>
          <cell r="AK267"/>
          <cell r="AL267"/>
        </row>
        <row r="268">
          <cell r="E268" t="str">
            <v>E-丸Box3方出31mm</v>
          </cell>
          <cell r="F268" t="str">
            <v>個</v>
          </cell>
          <cell r="G268"/>
          <cell r="H268">
            <v>852</v>
          </cell>
          <cell r="I268"/>
          <cell r="J268">
            <v>852</v>
          </cell>
          <cell r="K268"/>
          <cell r="L268">
            <v>852</v>
          </cell>
          <cell r="M268"/>
          <cell r="N268">
            <v>852</v>
          </cell>
          <cell r="O268"/>
          <cell r="P268">
            <v>852</v>
          </cell>
          <cell r="Q268"/>
          <cell r="R268">
            <v>852</v>
          </cell>
          <cell r="S268"/>
          <cell r="T268">
            <v>852</v>
          </cell>
          <cell r="U268"/>
          <cell r="V268">
            <v>852</v>
          </cell>
          <cell r="W268"/>
          <cell r="X268">
            <v>852</v>
          </cell>
          <cell r="Y268"/>
          <cell r="Z268">
            <v>852</v>
          </cell>
          <cell r="AA268"/>
          <cell r="AB268"/>
          <cell r="AC268"/>
          <cell r="AD268">
            <v>0.1</v>
          </cell>
          <cell r="AE268"/>
          <cell r="AF268"/>
          <cell r="AG268"/>
          <cell r="AH268"/>
          <cell r="AI268"/>
          <cell r="AJ268"/>
          <cell r="AK268"/>
          <cell r="AL268"/>
        </row>
        <row r="269">
          <cell r="E269" t="str">
            <v>E-丸Box4方出31mm</v>
          </cell>
          <cell r="F269" t="str">
            <v>個</v>
          </cell>
          <cell r="G269"/>
          <cell r="H269">
            <v>984</v>
          </cell>
          <cell r="I269"/>
          <cell r="J269">
            <v>984</v>
          </cell>
          <cell r="K269"/>
          <cell r="L269">
            <v>984</v>
          </cell>
          <cell r="M269"/>
          <cell r="N269">
            <v>984</v>
          </cell>
          <cell r="O269"/>
          <cell r="P269">
            <v>984</v>
          </cell>
          <cell r="Q269"/>
          <cell r="R269">
            <v>984</v>
          </cell>
          <cell r="S269"/>
          <cell r="T269">
            <v>984</v>
          </cell>
          <cell r="U269"/>
          <cell r="V269">
            <v>984</v>
          </cell>
          <cell r="W269"/>
          <cell r="X269">
            <v>984</v>
          </cell>
          <cell r="Y269"/>
          <cell r="Z269">
            <v>984</v>
          </cell>
          <cell r="AA269"/>
          <cell r="AB269"/>
          <cell r="AC269"/>
          <cell r="AD269">
            <v>0.1</v>
          </cell>
          <cell r="AE269"/>
          <cell r="AF269"/>
          <cell r="AG269"/>
          <cell r="AH269"/>
          <cell r="AI269"/>
          <cell r="AJ269"/>
          <cell r="AK269"/>
          <cell r="AL269"/>
        </row>
        <row r="270">
          <cell r="E270" t="str">
            <v>E-丸Box1方出39mm</v>
          </cell>
          <cell r="F270" t="str">
            <v>個</v>
          </cell>
          <cell r="G270"/>
          <cell r="H270">
            <v>1050</v>
          </cell>
          <cell r="I270"/>
          <cell r="J270">
            <v>1050</v>
          </cell>
          <cell r="K270"/>
          <cell r="L270">
            <v>1050</v>
          </cell>
          <cell r="M270"/>
          <cell r="N270">
            <v>1050</v>
          </cell>
          <cell r="O270"/>
          <cell r="P270">
            <v>1050</v>
          </cell>
          <cell r="Q270"/>
          <cell r="R270">
            <v>1050</v>
          </cell>
          <cell r="S270"/>
          <cell r="T270">
            <v>1050</v>
          </cell>
          <cell r="U270"/>
          <cell r="V270">
            <v>1050</v>
          </cell>
          <cell r="W270"/>
          <cell r="X270">
            <v>1050</v>
          </cell>
          <cell r="Y270"/>
          <cell r="Z270">
            <v>1050</v>
          </cell>
          <cell r="AA270"/>
          <cell r="AB270"/>
          <cell r="AC270"/>
          <cell r="AD270">
            <v>0.1</v>
          </cell>
          <cell r="AE270"/>
          <cell r="AF270"/>
          <cell r="AG270"/>
          <cell r="AH270"/>
          <cell r="AI270"/>
          <cell r="AJ270"/>
          <cell r="AK270"/>
          <cell r="AL270"/>
        </row>
        <row r="271">
          <cell r="E271" t="str">
            <v>E-丸Box2方出39mm</v>
          </cell>
          <cell r="F271" t="str">
            <v>個</v>
          </cell>
          <cell r="G271"/>
          <cell r="H271">
            <v>1240</v>
          </cell>
          <cell r="I271"/>
          <cell r="J271">
            <v>1240</v>
          </cell>
          <cell r="K271"/>
          <cell r="L271">
            <v>1240</v>
          </cell>
          <cell r="M271"/>
          <cell r="N271">
            <v>1240</v>
          </cell>
          <cell r="O271"/>
          <cell r="P271">
            <v>1240</v>
          </cell>
          <cell r="Q271"/>
          <cell r="R271">
            <v>1240</v>
          </cell>
          <cell r="S271"/>
          <cell r="T271">
            <v>1240</v>
          </cell>
          <cell r="U271"/>
          <cell r="V271">
            <v>1240</v>
          </cell>
          <cell r="W271"/>
          <cell r="X271">
            <v>1240</v>
          </cell>
          <cell r="Y271"/>
          <cell r="Z271">
            <v>1240</v>
          </cell>
          <cell r="AA271"/>
          <cell r="AB271"/>
          <cell r="AC271"/>
          <cell r="AD271">
            <v>0.1</v>
          </cell>
          <cell r="AE271"/>
          <cell r="AF271"/>
          <cell r="AG271"/>
          <cell r="AH271"/>
          <cell r="AI271"/>
          <cell r="AJ271"/>
          <cell r="AK271"/>
          <cell r="AL271"/>
        </row>
        <row r="272">
          <cell r="E272" t="str">
            <v>E-丸Box3方出39mm</v>
          </cell>
          <cell r="F272" t="str">
            <v>個</v>
          </cell>
          <cell r="G272"/>
          <cell r="H272">
            <v>1410</v>
          </cell>
          <cell r="I272"/>
          <cell r="J272">
            <v>1410</v>
          </cell>
          <cell r="K272"/>
          <cell r="L272">
            <v>1410</v>
          </cell>
          <cell r="M272"/>
          <cell r="N272">
            <v>1410</v>
          </cell>
          <cell r="O272"/>
          <cell r="P272">
            <v>1410</v>
          </cell>
          <cell r="Q272"/>
          <cell r="R272">
            <v>1410</v>
          </cell>
          <cell r="S272"/>
          <cell r="T272">
            <v>1410</v>
          </cell>
          <cell r="U272"/>
          <cell r="V272">
            <v>1410</v>
          </cell>
          <cell r="W272"/>
          <cell r="X272">
            <v>1410</v>
          </cell>
          <cell r="Y272"/>
          <cell r="Z272">
            <v>1410</v>
          </cell>
          <cell r="AA272"/>
          <cell r="AB272"/>
          <cell r="AC272"/>
          <cell r="AD272">
            <v>0.1</v>
          </cell>
          <cell r="AE272"/>
          <cell r="AF272"/>
          <cell r="AG272"/>
          <cell r="AH272"/>
          <cell r="AI272"/>
          <cell r="AJ272"/>
          <cell r="AK272"/>
          <cell r="AL272"/>
        </row>
        <row r="273">
          <cell r="E273" t="str">
            <v>E-丸Box4方出39mm</v>
          </cell>
          <cell r="F273" t="str">
            <v>個</v>
          </cell>
          <cell r="G273"/>
          <cell r="H273">
            <v>1580</v>
          </cell>
          <cell r="I273"/>
          <cell r="J273">
            <v>1580</v>
          </cell>
          <cell r="K273"/>
          <cell r="L273">
            <v>1580</v>
          </cell>
          <cell r="M273"/>
          <cell r="N273">
            <v>1580</v>
          </cell>
          <cell r="O273"/>
          <cell r="P273">
            <v>1580</v>
          </cell>
          <cell r="Q273"/>
          <cell r="R273">
            <v>1580</v>
          </cell>
          <cell r="S273"/>
          <cell r="T273">
            <v>1580</v>
          </cell>
          <cell r="U273"/>
          <cell r="V273">
            <v>1580</v>
          </cell>
          <cell r="W273"/>
          <cell r="X273">
            <v>1580</v>
          </cell>
          <cell r="Y273"/>
          <cell r="Z273">
            <v>1580</v>
          </cell>
          <cell r="AA273"/>
          <cell r="AB273"/>
          <cell r="AC273"/>
          <cell r="AD273">
            <v>0.1</v>
          </cell>
          <cell r="AE273"/>
          <cell r="AF273"/>
          <cell r="AG273"/>
          <cell r="AH273"/>
          <cell r="AI273"/>
          <cell r="AJ273"/>
          <cell r="AK273"/>
          <cell r="AL273"/>
        </row>
        <row r="274">
          <cell r="E274" t="str">
            <v>E-丸Box1方出51mm</v>
          </cell>
          <cell r="F274" t="str">
            <v>個</v>
          </cell>
          <cell r="G274"/>
          <cell r="H274">
            <v>1550</v>
          </cell>
          <cell r="I274"/>
          <cell r="J274">
            <v>1550</v>
          </cell>
          <cell r="K274"/>
          <cell r="L274">
            <v>1550</v>
          </cell>
          <cell r="M274"/>
          <cell r="N274">
            <v>1550</v>
          </cell>
          <cell r="O274"/>
          <cell r="P274">
            <v>1550</v>
          </cell>
          <cell r="Q274"/>
          <cell r="R274">
            <v>1550</v>
          </cell>
          <cell r="S274"/>
          <cell r="T274">
            <v>1550</v>
          </cell>
          <cell r="U274"/>
          <cell r="V274">
            <v>1550</v>
          </cell>
          <cell r="W274"/>
          <cell r="X274">
            <v>1550</v>
          </cell>
          <cell r="Y274"/>
          <cell r="Z274">
            <v>1550</v>
          </cell>
          <cell r="AA274"/>
          <cell r="AB274"/>
          <cell r="AC274"/>
          <cell r="AD274">
            <v>0.1</v>
          </cell>
          <cell r="AE274"/>
          <cell r="AF274"/>
          <cell r="AG274"/>
          <cell r="AH274"/>
          <cell r="AI274"/>
          <cell r="AJ274"/>
          <cell r="AK274"/>
          <cell r="AL274"/>
        </row>
        <row r="275">
          <cell r="E275" t="str">
            <v>E-丸Box2方出51mm</v>
          </cell>
          <cell r="F275" t="str">
            <v>個</v>
          </cell>
          <cell r="G275"/>
          <cell r="H275">
            <v>1800</v>
          </cell>
          <cell r="I275"/>
          <cell r="J275">
            <v>1800</v>
          </cell>
          <cell r="K275"/>
          <cell r="L275">
            <v>1800</v>
          </cell>
          <cell r="M275"/>
          <cell r="N275">
            <v>1800</v>
          </cell>
          <cell r="O275"/>
          <cell r="P275">
            <v>1800</v>
          </cell>
          <cell r="Q275"/>
          <cell r="R275">
            <v>1800</v>
          </cell>
          <cell r="S275"/>
          <cell r="T275">
            <v>1800</v>
          </cell>
          <cell r="U275"/>
          <cell r="V275">
            <v>1800</v>
          </cell>
          <cell r="W275"/>
          <cell r="X275">
            <v>1800</v>
          </cell>
          <cell r="Y275"/>
          <cell r="Z275">
            <v>1800</v>
          </cell>
          <cell r="AA275"/>
          <cell r="AB275"/>
          <cell r="AC275"/>
          <cell r="AD275">
            <v>0.1</v>
          </cell>
          <cell r="AE275"/>
          <cell r="AF275"/>
          <cell r="AG275"/>
          <cell r="AH275"/>
          <cell r="AI275"/>
          <cell r="AJ275"/>
          <cell r="AK275"/>
          <cell r="AL275"/>
        </row>
        <row r="276">
          <cell r="E276" t="str">
            <v>E-丸Box3方出51mm</v>
          </cell>
          <cell r="F276" t="str">
            <v>個</v>
          </cell>
          <cell r="G276"/>
          <cell r="H276">
            <v>1890</v>
          </cell>
          <cell r="I276"/>
          <cell r="J276">
            <v>1890</v>
          </cell>
          <cell r="K276"/>
          <cell r="L276">
            <v>1890</v>
          </cell>
          <cell r="M276"/>
          <cell r="N276">
            <v>1890</v>
          </cell>
          <cell r="O276"/>
          <cell r="P276">
            <v>1890</v>
          </cell>
          <cell r="Q276"/>
          <cell r="R276">
            <v>1890</v>
          </cell>
          <cell r="S276"/>
          <cell r="T276">
            <v>1890</v>
          </cell>
          <cell r="U276"/>
          <cell r="V276">
            <v>1890</v>
          </cell>
          <cell r="W276"/>
          <cell r="X276">
            <v>1890</v>
          </cell>
          <cell r="Y276"/>
          <cell r="Z276">
            <v>1890</v>
          </cell>
          <cell r="AA276"/>
          <cell r="AB276"/>
          <cell r="AC276"/>
          <cell r="AD276">
            <v>0.1</v>
          </cell>
          <cell r="AE276"/>
          <cell r="AF276"/>
          <cell r="AG276"/>
          <cell r="AH276"/>
          <cell r="AI276"/>
          <cell r="AJ276"/>
          <cell r="AK276"/>
          <cell r="AL276"/>
        </row>
        <row r="277">
          <cell r="E277" t="str">
            <v>E-丸Box4方出51mm</v>
          </cell>
          <cell r="F277" t="str">
            <v>個</v>
          </cell>
          <cell r="G277"/>
          <cell r="H277">
            <v>2050</v>
          </cell>
          <cell r="I277"/>
          <cell r="J277">
            <v>2050</v>
          </cell>
          <cell r="K277"/>
          <cell r="L277">
            <v>2050</v>
          </cell>
          <cell r="M277"/>
          <cell r="N277">
            <v>2050</v>
          </cell>
          <cell r="O277"/>
          <cell r="P277">
            <v>2050</v>
          </cell>
          <cell r="Q277"/>
          <cell r="R277">
            <v>2050</v>
          </cell>
          <cell r="S277"/>
          <cell r="T277">
            <v>2050</v>
          </cell>
          <cell r="U277"/>
          <cell r="V277">
            <v>2050</v>
          </cell>
          <cell r="W277"/>
          <cell r="X277">
            <v>2050</v>
          </cell>
          <cell r="Y277"/>
          <cell r="Z277">
            <v>2050</v>
          </cell>
          <cell r="AA277"/>
          <cell r="AB277"/>
          <cell r="AC277"/>
          <cell r="AD277">
            <v>0.1</v>
          </cell>
          <cell r="AE277"/>
          <cell r="AF277"/>
          <cell r="AG277"/>
          <cell r="AH277"/>
          <cell r="AI277"/>
          <cell r="AJ277"/>
          <cell r="AK277"/>
          <cell r="AL277"/>
        </row>
        <row r="278">
          <cell r="E278" t="str">
            <v>E-SWBox1-1方出19mm</v>
          </cell>
          <cell r="F278" t="str">
            <v>個</v>
          </cell>
          <cell r="G278"/>
          <cell r="H278">
            <v>441</v>
          </cell>
          <cell r="I278"/>
          <cell r="J278">
            <v>441</v>
          </cell>
          <cell r="K278"/>
          <cell r="L278">
            <v>441</v>
          </cell>
          <cell r="M278"/>
          <cell r="N278">
            <v>441</v>
          </cell>
          <cell r="O278"/>
          <cell r="P278">
            <v>441</v>
          </cell>
          <cell r="Q278"/>
          <cell r="R278">
            <v>441</v>
          </cell>
          <cell r="S278"/>
          <cell r="T278">
            <v>441</v>
          </cell>
          <cell r="U278"/>
          <cell r="V278">
            <v>441</v>
          </cell>
          <cell r="W278"/>
          <cell r="X278">
            <v>441</v>
          </cell>
          <cell r="Y278"/>
          <cell r="Z278">
            <v>441</v>
          </cell>
          <cell r="AA278"/>
          <cell r="AB278"/>
          <cell r="AC278"/>
          <cell r="AD278">
            <v>0.1</v>
          </cell>
          <cell r="AE278"/>
          <cell r="AF278"/>
          <cell r="AG278"/>
          <cell r="AH278"/>
          <cell r="AI278"/>
          <cell r="AJ278"/>
          <cell r="AK278"/>
          <cell r="AL278"/>
        </row>
        <row r="279">
          <cell r="E279" t="str">
            <v>E-SWBox1-2方出19mm</v>
          </cell>
          <cell r="F279" t="str">
            <v>個</v>
          </cell>
          <cell r="G279"/>
          <cell r="H279">
            <v>477</v>
          </cell>
          <cell r="I279"/>
          <cell r="J279">
            <v>477</v>
          </cell>
          <cell r="K279"/>
          <cell r="L279">
            <v>477</v>
          </cell>
          <cell r="M279"/>
          <cell r="N279">
            <v>477</v>
          </cell>
          <cell r="O279"/>
          <cell r="P279">
            <v>477</v>
          </cell>
          <cell r="Q279"/>
          <cell r="R279">
            <v>477</v>
          </cell>
          <cell r="S279"/>
          <cell r="T279">
            <v>477</v>
          </cell>
          <cell r="U279"/>
          <cell r="V279">
            <v>477</v>
          </cell>
          <cell r="W279"/>
          <cell r="X279">
            <v>477</v>
          </cell>
          <cell r="Y279"/>
          <cell r="Z279">
            <v>477</v>
          </cell>
          <cell r="AA279"/>
          <cell r="AB279"/>
          <cell r="AC279"/>
          <cell r="AD279">
            <v>0.1</v>
          </cell>
          <cell r="AE279"/>
          <cell r="AF279"/>
          <cell r="AG279"/>
          <cell r="AH279"/>
          <cell r="AI279"/>
          <cell r="AJ279"/>
          <cell r="AK279"/>
          <cell r="AL279"/>
        </row>
        <row r="280">
          <cell r="E280" t="str">
            <v>E-SWBox2-1方出19mm</v>
          </cell>
          <cell r="F280" t="str">
            <v>個</v>
          </cell>
          <cell r="G280"/>
          <cell r="H280">
            <v>816</v>
          </cell>
          <cell r="I280"/>
          <cell r="J280">
            <v>816</v>
          </cell>
          <cell r="K280"/>
          <cell r="L280">
            <v>816</v>
          </cell>
          <cell r="M280"/>
          <cell r="N280">
            <v>816</v>
          </cell>
          <cell r="O280"/>
          <cell r="P280">
            <v>816</v>
          </cell>
          <cell r="Q280"/>
          <cell r="R280">
            <v>816</v>
          </cell>
          <cell r="S280"/>
          <cell r="T280">
            <v>816</v>
          </cell>
          <cell r="U280"/>
          <cell r="V280">
            <v>816</v>
          </cell>
          <cell r="W280"/>
          <cell r="X280">
            <v>816</v>
          </cell>
          <cell r="Y280"/>
          <cell r="Z280">
            <v>816</v>
          </cell>
          <cell r="AA280"/>
          <cell r="AB280"/>
          <cell r="AC280"/>
          <cell r="AD280">
            <v>0.1</v>
          </cell>
          <cell r="AE280"/>
          <cell r="AF280"/>
          <cell r="AG280"/>
          <cell r="AH280"/>
          <cell r="AI280"/>
          <cell r="AJ280"/>
          <cell r="AK280"/>
          <cell r="AL280"/>
        </row>
        <row r="281">
          <cell r="E281" t="str">
            <v>E-SWBox3-1方出19mm</v>
          </cell>
          <cell r="F281" t="str">
            <v>個</v>
          </cell>
          <cell r="G281"/>
          <cell r="H281">
            <v>1410</v>
          </cell>
          <cell r="I281"/>
          <cell r="J281">
            <v>1410</v>
          </cell>
          <cell r="K281"/>
          <cell r="L281">
            <v>1410</v>
          </cell>
          <cell r="M281"/>
          <cell r="N281">
            <v>1410</v>
          </cell>
          <cell r="O281"/>
          <cell r="P281">
            <v>1410</v>
          </cell>
          <cell r="Q281"/>
          <cell r="R281">
            <v>1410</v>
          </cell>
          <cell r="S281"/>
          <cell r="T281">
            <v>1410</v>
          </cell>
          <cell r="U281"/>
          <cell r="V281">
            <v>1410</v>
          </cell>
          <cell r="W281"/>
          <cell r="X281">
            <v>1410</v>
          </cell>
          <cell r="Y281"/>
          <cell r="Z281">
            <v>1410</v>
          </cell>
          <cell r="AA281"/>
          <cell r="AB281"/>
          <cell r="AC281"/>
          <cell r="AD281">
            <v>0.1</v>
          </cell>
          <cell r="AE281"/>
          <cell r="AF281"/>
          <cell r="AG281"/>
          <cell r="AH281"/>
          <cell r="AI281"/>
          <cell r="AJ281"/>
          <cell r="AK281"/>
          <cell r="AL281"/>
        </row>
        <row r="282">
          <cell r="E282" t="str">
            <v>E-SWBox1-1方出25mm</v>
          </cell>
          <cell r="F282" t="str">
            <v>個</v>
          </cell>
          <cell r="G282"/>
          <cell r="H282">
            <v>555</v>
          </cell>
          <cell r="I282"/>
          <cell r="J282">
            <v>555</v>
          </cell>
          <cell r="K282"/>
          <cell r="L282">
            <v>555</v>
          </cell>
          <cell r="M282"/>
          <cell r="N282">
            <v>555</v>
          </cell>
          <cell r="O282"/>
          <cell r="P282">
            <v>555</v>
          </cell>
          <cell r="Q282"/>
          <cell r="R282">
            <v>555</v>
          </cell>
          <cell r="S282"/>
          <cell r="T282">
            <v>555</v>
          </cell>
          <cell r="U282"/>
          <cell r="V282">
            <v>555</v>
          </cell>
          <cell r="W282"/>
          <cell r="X282">
            <v>555</v>
          </cell>
          <cell r="Y282"/>
          <cell r="Z282">
            <v>555</v>
          </cell>
          <cell r="AA282"/>
          <cell r="AB282"/>
          <cell r="AC282"/>
          <cell r="AD282">
            <v>0.1</v>
          </cell>
          <cell r="AE282"/>
          <cell r="AF282"/>
          <cell r="AG282"/>
          <cell r="AH282"/>
          <cell r="AI282"/>
          <cell r="AJ282"/>
          <cell r="AK282"/>
          <cell r="AL282"/>
        </row>
        <row r="283">
          <cell r="E283" t="str">
            <v>E-SWBox1-2方出25mm</v>
          </cell>
          <cell r="F283" t="str">
            <v>個</v>
          </cell>
          <cell r="G283"/>
          <cell r="H283">
            <v>684</v>
          </cell>
          <cell r="I283"/>
          <cell r="J283">
            <v>684</v>
          </cell>
          <cell r="K283"/>
          <cell r="L283">
            <v>684</v>
          </cell>
          <cell r="M283"/>
          <cell r="N283">
            <v>684</v>
          </cell>
          <cell r="O283"/>
          <cell r="P283">
            <v>684</v>
          </cell>
          <cell r="Q283"/>
          <cell r="R283">
            <v>684</v>
          </cell>
          <cell r="S283"/>
          <cell r="T283">
            <v>684</v>
          </cell>
          <cell r="U283"/>
          <cell r="V283">
            <v>684</v>
          </cell>
          <cell r="W283"/>
          <cell r="X283">
            <v>684</v>
          </cell>
          <cell r="Y283"/>
          <cell r="Z283">
            <v>684</v>
          </cell>
          <cell r="AA283"/>
          <cell r="AB283"/>
          <cell r="AC283"/>
          <cell r="AD283">
            <v>0.1</v>
          </cell>
          <cell r="AE283"/>
          <cell r="AF283"/>
          <cell r="AG283"/>
          <cell r="AH283"/>
          <cell r="AI283"/>
          <cell r="AJ283"/>
          <cell r="AK283"/>
          <cell r="AL283"/>
        </row>
        <row r="284">
          <cell r="E284" t="str">
            <v>E-SWBox2-1方出25mm</v>
          </cell>
          <cell r="F284" t="str">
            <v>個</v>
          </cell>
          <cell r="G284"/>
          <cell r="H284">
            <v>1020</v>
          </cell>
          <cell r="I284"/>
          <cell r="J284">
            <v>1020</v>
          </cell>
          <cell r="K284"/>
          <cell r="L284">
            <v>1020</v>
          </cell>
          <cell r="M284"/>
          <cell r="N284">
            <v>1020</v>
          </cell>
          <cell r="O284"/>
          <cell r="P284">
            <v>1020</v>
          </cell>
          <cell r="Q284"/>
          <cell r="R284">
            <v>1020</v>
          </cell>
          <cell r="S284"/>
          <cell r="T284">
            <v>1020</v>
          </cell>
          <cell r="U284"/>
          <cell r="V284">
            <v>1020</v>
          </cell>
          <cell r="W284"/>
          <cell r="X284">
            <v>1020</v>
          </cell>
          <cell r="Y284"/>
          <cell r="Z284">
            <v>1020</v>
          </cell>
          <cell r="AA284"/>
          <cell r="AB284"/>
          <cell r="AC284"/>
          <cell r="AD284">
            <v>0.1</v>
          </cell>
          <cell r="AE284"/>
          <cell r="AF284"/>
          <cell r="AG284"/>
          <cell r="AH284"/>
          <cell r="AI284"/>
          <cell r="AJ284"/>
          <cell r="AK284"/>
          <cell r="AL284"/>
        </row>
        <row r="285">
          <cell r="E285" t="str">
            <v>E-SWBox3-1方出25mm</v>
          </cell>
          <cell r="F285" t="str">
            <v>個</v>
          </cell>
          <cell r="G285"/>
          <cell r="H285">
            <v>1610</v>
          </cell>
          <cell r="I285"/>
          <cell r="J285">
            <v>1610</v>
          </cell>
          <cell r="K285"/>
          <cell r="L285">
            <v>1610</v>
          </cell>
          <cell r="M285"/>
          <cell r="N285">
            <v>1610</v>
          </cell>
          <cell r="O285"/>
          <cell r="P285">
            <v>1610</v>
          </cell>
          <cell r="Q285"/>
          <cell r="R285">
            <v>1610</v>
          </cell>
          <cell r="S285"/>
          <cell r="T285">
            <v>1610</v>
          </cell>
          <cell r="U285"/>
          <cell r="V285">
            <v>1610</v>
          </cell>
          <cell r="W285"/>
          <cell r="X285">
            <v>1610</v>
          </cell>
          <cell r="Y285"/>
          <cell r="Z285">
            <v>1610</v>
          </cell>
          <cell r="AA285"/>
          <cell r="AB285"/>
          <cell r="AC285"/>
          <cell r="AD285">
            <v>0.1</v>
          </cell>
          <cell r="AE285"/>
          <cell r="AF285"/>
          <cell r="AG285"/>
          <cell r="AH285"/>
          <cell r="AI285"/>
          <cell r="AJ285"/>
          <cell r="AK285"/>
          <cell r="AL285"/>
        </row>
        <row r="286">
          <cell r="E286" t="str">
            <v>E-SWBox1-1方出31mm</v>
          </cell>
          <cell r="F286" t="str">
            <v>個</v>
          </cell>
          <cell r="G286"/>
          <cell r="H286">
            <v>792</v>
          </cell>
          <cell r="I286"/>
          <cell r="J286">
            <v>792</v>
          </cell>
          <cell r="K286"/>
          <cell r="L286">
            <v>792</v>
          </cell>
          <cell r="M286"/>
          <cell r="N286">
            <v>792</v>
          </cell>
          <cell r="O286"/>
          <cell r="P286">
            <v>792</v>
          </cell>
          <cell r="Q286"/>
          <cell r="R286">
            <v>792</v>
          </cell>
          <cell r="S286"/>
          <cell r="T286">
            <v>792</v>
          </cell>
          <cell r="U286"/>
          <cell r="V286">
            <v>792</v>
          </cell>
          <cell r="W286"/>
          <cell r="X286">
            <v>792</v>
          </cell>
          <cell r="Y286"/>
          <cell r="Z286">
            <v>792</v>
          </cell>
          <cell r="AA286"/>
          <cell r="AB286"/>
          <cell r="AC286"/>
          <cell r="AD286">
            <v>0.1</v>
          </cell>
          <cell r="AE286"/>
          <cell r="AF286"/>
          <cell r="AG286"/>
          <cell r="AH286"/>
          <cell r="AI286"/>
          <cell r="AJ286"/>
          <cell r="AK286"/>
          <cell r="AL286"/>
        </row>
        <row r="287">
          <cell r="E287" t="str">
            <v>E-SWBox1-2方出31mm</v>
          </cell>
          <cell r="F287" t="str">
            <v>個</v>
          </cell>
          <cell r="G287"/>
          <cell r="H287">
            <v>990</v>
          </cell>
          <cell r="I287"/>
          <cell r="J287">
            <v>990</v>
          </cell>
          <cell r="K287"/>
          <cell r="L287">
            <v>990</v>
          </cell>
          <cell r="M287"/>
          <cell r="N287">
            <v>990</v>
          </cell>
          <cell r="O287"/>
          <cell r="P287">
            <v>990</v>
          </cell>
          <cell r="Q287"/>
          <cell r="R287">
            <v>990</v>
          </cell>
          <cell r="S287"/>
          <cell r="T287">
            <v>990</v>
          </cell>
          <cell r="U287"/>
          <cell r="V287">
            <v>990</v>
          </cell>
          <cell r="W287"/>
          <cell r="X287">
            <v>990</v>
          </cell>
          <cell r="Y287"/>
          <cell r="Z287">
            <v>990</v>
          </cell>
          <cell r="AA287"/>
          <cell r="AB287"/>
          <cell r="AC287"/>
          <cell r="AD287">
            <v>0.1</v>
          </cell>
          <cell r="AE287"/>
          <cell r="AF287"/>
          <cell r="AG287"/>
          <cell r="AH287"/>
          <cell r="AI287"/>
          <cell r="AJ287"/>
          <cell r="AK287"/>
          <cell r="AL287"/>
        </row>
        <row r="288">
          <cell r="E288" t="str">
            <v>E-SWBox2-1方出31mm</v>
          </cell>
          <cell r="F288" t="str">
            <v>個</v>
          </cell>
          <cell r="G288"/>
          <cell r="H288">
            <v>1680</v>
          </cell>
          <cell r="I288"/>
          <cell r="J288">
            <v>1680</v>
          </cell>
          <cell r="K288"/>
          <cell r="L288">
            <v>1680</v>
          </cell>
          <cell r="M288"/>
          <cell r="N288">
            <v>1680</v>
          </cell>
          <cell r="O288"/>
          <cell r="P288">
            <v>1680</v>
          </cell>
          <cell r="Q288"/>
          <cell r="R288">
            <v>1680</v>
          </cell>
          <cell r="S288"/>
          <cell r="T288">
            <v>1680</v>
          </cell>
          <cell r="U288"/>
          <cell r="V288">
            <v>1680</v>
          </cell>
          <cell r="W288"/>
          <cell r="X288">
            <v>1680</v>
          </cell>
          <cell r="Y288"/>
          <cell r="Z288">
            <v>1680</v>
          </cell>
          <cell r="AA288"/>
          <cell r="AB288"/>
          <cell r="AC288"/>
          <cell r="AD288">
            <v>0.1</v>
          </cell>
          <cell r="AE288"/>
          <cell r="AF288"/>
          <cell r="AG288"/>
          <cell r="AH288"/>
          <cell r="AI288"/>
          <cell r="AJ288"/>
          <cell r="AK288"/>
          <cell r="AL288"/>
        </row>
        <row r="289">
          <cell r="E289" t="str">
            <v>E-SWBox3-1方出31mm</v>
          </cell>
          <cell r="F289" t="str">
            <v>個</v>
          </cell>
          <cell r="G289"/>
          <cell r="H289">
            <v>1810</v>
          </cell>
          <cell r="I289"/>
          <cell r="J289">
            <v>1810</v>
          </cell>
          <cell r="K289"/>
          <cell r="L289">
            <v>1810</v>
          </cell>
          <cell r="M289"/>
          <cell r="N289">
            <v>1810</v>
          </cell>
          <cell r="O289"/>
          <cell r="P289">
            <v>1810</v>
          </cell>
          <cell r="Q289"/>
          <cell r="R289">
            <v>1810</v>
          </cell>
          <cell r="S289"/>
          <cell r="T289">
            <v>1810</v>
          </cell>
          <cell r="U289"/>
          <cell r="V289">
            <v>1810</v>
          </cell>
          <cell r="W289"/>
          <cell r="X289">
            <v>1810</v>
          </cell>
          <cell r="Y289"/>
          <cell r="Z289">
            <v>1810</v>
          </cell>
          <cell r="AA289"/>
          <cell r="AB289"/>
          <cell r="AC289"/>
          <cell r="AD289">
            <v>0.1</v>
          </cell>
          <cell r="AE289"/>
          <cell r="AF289"/>
          <cell r="AG289"/>
          <cell r="AH289"/>
          <cell r="AI289"/>
          <cell r="AJ289"/>
          <cell r="AK289"/>
          <cell r="AL289"/>
        </row>
        <row r="290">
          <cell r="E290" t="str">
            <v>G-丸Box1方出16mm</v>
          </cell>
          <cell r="F290" t="str">
            <v>個</v>
          </cell>
          <cell r="G290"/>
          <cell r="H290">
            <v>338</v>
          </cell>
          <cell r="I290"/>
          <cell r="J290">
            <v>338</v>
          </cell>
          <cell r="K290"/>
          <cell r="L290">
            <v>338</v>
          </cell>
          <cell r="M290"/>
          <cell r="N290">
            <v>338</v>
          </cell>
          <cell r="O290"/>
          <cell r="P290">
            <v>338</v>
          </cell>
          <cell r="Q290"/>
          <cell r="R290">
            <v>338</v>
          </cell>
          <cell r="S290"/>
          <cell r="T290">
            <v>338</v>
          </cell>
          <cell r="U290"/>
          <cell r="V290">
            <v>338</v>
          </cell>
          <cell r="W290"/>
          <cell r="X290">
            <v>338</v>
          </cell>
          <cell r="Y290"/>
          <cell r="Z290">
            <v>338</v>
          </cell>
          <cell r="AA290"/>
          <cell r="AB290"/>
          <cell r="AC290"/>
          <cell r="AD290">
            <v>0.1</v>
          </cell>
          <cell r="AE290"/>
          <cell r="AF290"/>
          <cell r="AG290"/>
          <cell r="AH290"/>
          <cell r="AI290"/>
          <cell r="AJ290"/>
          <cell r="AK290"/>
          <cell r="AL290"/>
        </row>
        <row r="291">
          <cell r="E291" t="str">
            <v>G-丸Box2方出16mm</v>
          </cell>
          <cell r="F291" t="str">
            <v>個</v>
          </cell>
          <cell r="G291"/>
          <cell r="H291">
            <v>377</v>
          </cell>
          <cell r="I291"/>
          <cell r="J291">
            <v>377</v>
          </cell>
          <cell r="K291"/>
          <cell r="L291">
            <v>377</v>
          </cell>
          <cell r="M291"/>
          <cell r="N291">
            <v>377</v>
          </cell>
          <cell r="O291"/>
          <cell r="P291">
            <v>377</v>
          </cell>
          <cell r="Q291"/>
          <cell r="R291">
            <v>377</v>
          </cell>
          <cell r="S291"/>
          <cell r="T291">
            <v>377</v>
          </cell>
          <cell r="U291"/>
          <cell r="V291">
            <v>377</v>
          </cell>
          <cell r="W291"/>
          <cell r="X291">
            <v>377</v>
          </cell>
          <cell r="Y291"/>
          <cell r="Z291">
            <v>377</v>
          </cell>
          <cell r="AA291"/>
          <cell r="AB291"/>
          <cell r="AC291"/>
          <cell r="AD291">
            <v>0.1</v>
          </cell>
          <cell r="AE291"/>
          <cell r="AF291"/>
          <cell r="AG291"/>
          <cell r="AH291"/>
          <cell r="AI291"/>
          <cell r="AJ291"/>
          <cell r="AK291"/>
          <cell r="AL291"/>
        </row>
        <row r="292">
          <cell r="E292" t="str">
            <v>G丸Box3方出16mm</v>
          </cell>
          <cell r="F292" t="str">
            <v>個</v>
          </cell>
          <cell r="G292"/>
          <cell r="H292">
            <v>392</v>
          </cell>
          <cell r="I292"/>
          <cell r="J292">
            <v>392</v>
          </cell>
          <cell r="K292"/>
          <cell r="L292">
            <v>392</v>
          </cell>
          <cell r="M292"/>
          <cell r="N292">
            <v>392</v>
          </cell>
          <cell r="O292"/>
          <cell r="P292">
            <v>392</v>
          </cell>
          <cell r="Q292"/>
          <cell r="R292">
            <v>392</v>
          </cell>
          <cell r="S292"/>
          <cell r="T292">
            <v>392</v>
          </cell>
          <cell r="U292"/>
          <cell r="V292">
            <v>392</v>
          </cell>
          <cell r="W292"/>
          <cell r="X292">
            <v>392</v>
          </cell>
          <cell r="Y292"/>
          <cell r="Z292">
            <v>392</v>
          </cell>
          <cell r="AA292"/>
          <cell r="AB292"/>
          <cell r="AC292"/>
          <cell r="AD292">
            <v>0.1</v>
          </cell>
          <cell r="AE292"/>
          <cell r="AF292"/>
          <cell r="AG292"/>
          <cell r="AH292"/>
          <cell r="AI292"/>
          <cell r="AJ292"/>
          <cell r="AK292"/>
          <cell r="AL292"/>
        </row>
        <row r="293">
          <cell r="E293" t="str">
            <v>G-丸Box4方出16mm</v>
          </cell>
          <cell r="F293" t="str">
            <v>個</v>
          </cell>
          <cell r="G293"/>
          <cell r="H293">
            <v>453</v>
          </cell>
          <cell r="I293"/>
          <cell r="J293">
            <v>453</v>
          </cell>
          <cell r="K293"/>
          <cell r="L293">
            <v>453</v>
          </cell>
          <cell r="M293"/>
          <cell r="N293">
            <v>453</v>
          </cell>
          <cell r="O293"/>
          <cell r="P293">
            <v>453</v>
          </cell>
          <cell r="Q293"/>
          <cell r="R293">
            <v>453</v>
          </cell>
          <cell r="S293"/>
          <cell r="T293">
            <v>453</v>
          </cell>
          <cell r="U293"/>
          <cell r="V293">
            <v>453</v>
          </cell>
          <cell r="W293"/>
          <cell r="X293">
            <v>453</v>
          </cell>
          <cell r="Y293"/>
          <cell r="Z293">
            <v>453</v>
          </cell>
          <cell r="AA293"/>
          <cell r="AB293"/>
          <cell r="AC293"/>
          <cell r="AD293">
            <v>0.1</v>
          </cell>
          <cell r="AE293"/>
          <cell r="AF293"/>
          <cell r="AG293"/>
          <cell r="AH293"/>
          <cell r="AI293"/>
          <cell r="AJ293"/>
          <cell r="AK293"/>
          <cell r="AL293"/>
        </row>
        <row r="294">
          <cell r="E294" t="str">
            <v>G-丸Box1方出22mm</v>
          </cell>
          <cell r="F294" t="str">
            <v>個</v>
          </cell>
          <cell r="G294"/>
          <cell r="H294">
            <v>404</v>
          </cell>
          <cell r="I294"/>
          <cell r="J294">
            <v>404</v>
          </cell>
          <cell r="K294"/>
          <cell r="L294">
            <v>404</v>
          </cell>
          <cell r="M294"/>
          <cell r="N294">
            <v>404</v>
          </cell>
          <cell r="O294"/>
          <cell r="P294">
            <v>404</v>
          </cell>
          <cell r="Q294"/>
          <cell r="R294">
            <v>404</v>
          </cell>
          <cell r="S294"/>
          <cell r="T294">
            <v>404</v>
          </cell>
          <cell r="U294"/>
          <cell r="V294">
            <v>404</v>
          </cell>
          <cell r="W294"/>
          <cell r="X294">
            <v>404</v>
          </cell>
          <cell r="Y294"/>
          <cell r="Z294">
            <v>404</v>
          </cell>
          <cell r="AA294"/>
          <cell r="AB294"/>
          <cell r="AC294"/>
          <cell r="AD294">
            <v>0.1</v>
          </cell>
          <cell r="AE294"/>
          <cell r="AF294"/>
          <cell r="AG294"/>
          <cell r="AH294"/>
          <cell r="AI294"/>
          <cell r="AJ294"/>
          <cell r="AK294"/>
          <cell r="AL294"/>
        </row>
        <row r="295">
          <cell r="E295" t="str">
            <v>G-丸Box2方出22mm</v>
          </cell>
          <cell r="F295" t="str">
            <v>個</v>
          </cell>
          <cell r="G295"/>
          <cell r="H295">
            <v>453</v>
          </cell>
          <cell r="I295"/>
          <cell r="J295">
            <v>453</v>
          </cell>
          <cell r="K295"/>
          <cell r="L295">
            <v>453</v>
          </cell>
          <cell r="M295"/>
          <cell r="N295">
            <v>453</v>
          </cell>
          <cell r="O295"/>
          <cell r="P295">
            <v>453</v>
          </cell>
          <cell r="Q295"/>
          <cell r="R295">
            <v>453</v>
          </cell>
          <cell r="S295"/>
          <cell r="T295">
            <v>453</v>
          </cell>
          <cell r="U295"/>
          <cell r="V295">
            <v>453</v>
          </cell>
          <cell r="W295"/>
          <cell r="X295">
            <v>453</v>
          </cell>
          <cell r="Y295"/>
          <cell r="Z295">
            <v>453</v>
          </cell>
          <cell r="AA295"/>
          <cell r="AB295"/>
          <cell r="AC295"/>
          <cell r="AD295">
            <v>0.1</v>
          </cell>
          <cell r="AE295"/>
          <cell r="AF295"/>
          <cell r="AG295"/>
          <cell r="AH295"/>
          <cell r="AI295"/>
          <cell r="AJ295"/>
          <cell r="AK295"/>
          <cell r="AL295"/>
        </row>
        <row r="296">
          <cell r="E296" t="str">
            <v>G-丸Box3方出22mm</v>
          </cell>
          <cell r="F296" t="str">
            <v>個</v>
          </cell>
          <cell r="G296"/>
          <cell r="H296">
            <v>494</v>
          </cell>
          <cell r="I296"/>
          <cell r="J296">
            <v>494</v>
          </cell>
          <cell r="K296"/>
          <cell r="L296">
            <v>494</v>
          </cell>
          <cell r="M296"/>
          <cell r="N296">
            <v>494</v>
          </cell>
          <cell r="O296"/>
          <cell r="P296">
            <v>494</v>
          </cell>
          <cell r="Q296"/>
          <cell r="R296">
            <v>494</v>
          </cell>
          <cell r="S296"/>
          <cell r="T296">
            <v>494</v>
          </cell>
          <cell r="U296"/>
          <cell r="V296">
            <v>494</v>
          </cell>
          <cell r="W296"/>
          <cell r="X296">
            <v>494</v>
          </cell>
          <cell r="Y296"/>
          <cell r="Z296">
            <v>494</v>
          </cell>
          <cell r="AA296"/>
          <cell r="AB296"/>
          <cell r="AC296"/>
          <cell r="AD296">
            <v>0.1</v>
          </cell>
          <cell r="AE296"/>
          <cell r="AF296"/>
          <cell r="AG296"/>
          <cell r="AH296"/>
          <cell r="AI296"/>
          <cell r="AJ296"/>
          <cell r="AK296"/>
          <cell r="AL296"/>
        </row>
        <row r="297">
          <cell r="E297" t="str">
            <v>G-丸Box4方出22mm</v>
          </cell>
          <cell r="F297" t="str">
            <v>個</v>
          </cell>
          <cell r="G297"/>
          <cell r="H297">
            <v>573</v>
          </cell>
          <cell r="I297"/>
          <cell r="J297">
            <v>573</v>
          </cell>
          <cell r="K297"/>
          <cell r="L297">
            <v>573</v>
          </cell>
          <cell r="M297"/>
          <cell r="N297">
            <v>573</v>
          </cell>
          <cell r="O297"/>
          <cell r="P297">
            <v>573</v>
          </cell>
          <cell r="Q297"/>
          <cell r="R297">
            <v>573</v>
          </cell>
          <cell r="S297"/>
          <cell r="T297">
            <v>573</v>
          </cell>
          <cell r="U297"/>
          <cell r="V297">
            <v>573</v>
          </cell>
          <cell r="W297"/>
          <cell r="X297">
            <v>573</v>
          </cell>
          <cell r="Y297"/>
          <cell r="Z297">
            <v>573</v>
          </cell>
          <cell r="AA297"/>
          <cell r="AB297"/>
          <cell r="AC297"/>
          <cell r="AD297">
            <v>0.1</v>
          </cell>
          <cell r="AE297"/>
          <cell r="AF297"/>
          <cell r="AG297"/>
          <cell r="AH297"/>
          <cell r="AI297"/>
          <cell r="AJ297"/>
          <cell r="AK297"/>
          <cell r="AL297"/>
        </row>
        <row r="298">
          <cell r="E298" t="str">
            <v>G-丸Box1方出28mm</v>
          </cell>
          <cell r="F298" t="str">
            <v>個</v>
          </cell>
          <cell r="G298"/>
          <cell r="H298">
            <v>568</v>
          </cell>
          <cell r="I298"/>
          <cell r="J298">
            <v>568</v>
          </cell>
          <cell r="K298"/>
          <cell r="L298">
            <v>568</v>
          </cell>
          <cell r="M298"/>
          <cell r="N298">
            <v>568</v>
          </cell>
          <cell r="O298"/>
          <cell r="P298">
            <v>568</v>
          </cell>
          <cell r="Q298"/>
          <cell r="R298">
            <v>568</v>
          </cell>
          <cell r="S298"/>
          <cell r="T298">
            <v>568</v>
          </cell>
          <cell r="U298"/>
          <cell r="V298">
            <v>568</v>
          </cell>
          <cell r="W298"/>
          <cell r="X298">
            <v>568</v>
          </cell>
          <cell r="Y298"/>
          <cell r="Z298">
            <v>568</v>
          </cell>
          <cell r="AA298"/>
          <cell r="AB298"/>
          <cell r="AC298"/>
          <cell r="AD298">
            <v>0.1</v>
          </cell>
          <cell r="AE298"/>
          <cell r="AF298"/>
          <cell r="AG298"/>
          <cell r="AH298"/>
          <cell r="AI298"/>
          <cell r="AJ298"/>
          <cell r="AK298"/>
          <cell r="AL298"/>
        </row>
        <row r="299">
          <cell r="E299" t="str">
            <v>G-丸Box2方出28mm</v>
          </cell>
          <cell r="F299" t="str">
            <v>個</v>
          </cell>
          <cell r="G299"/>
          <cell r="H299">
            <v>661</v>
          </cell>
          <cell r="I299"/>
          <cell r="J299">
            <v>661</v>
          </cell>
          <cell r="K299"/>
          <cell r="L299">
            <v>661</v>
          </cell>
          <cell r="M299"/>
          <cell r="N299">
            <v>661</v>
          </cell>
          <cell r="O299"/>
          <cell r="P299">
            <v>661</v>
          </cell>
          <cell r="Q299"/>
          <cell r="R299">
            <v>661</v>
          </cell>
          <cell r="S299"/>
          <cell r="T299">
            <v>661</v>
          </cell>
          <cell r="U299"/>
          <cell r="V299">
            <v>661</v>
          </cell>
          <cell r="W299"/>
          <cell r="X299">
            <v>661</v>
          </cell>
          <cell r="Y299"/>
          <cell r="Z299">
            <v>661</v>
          </cell>
          <cell r="AA299"/>
          <cell r="AB299"/>
          <cell r="AC299"/>
          <cell r="AD299">
            <v>0.1</v>
          </cell>
          <cell r="AE299"/>
          <cell r="AF299"/>
          <cell r="AG299"/>
          <cell r="AH299"/>
          <cell r="AI299"/>
          <cell r="AJ299"/>
          <cell r="AK299"/>
          <cell r="AL299"/>
        </row>
        <row r="300">
          <cell r="E300" t="str">
            <v>G-丸Box3方出28mm</v>
          </cell>
          <cell r="F300" t="str">
            <v>個</v>
          </cell>
          <cell r="G300"/>
          <cell r="H300">
            <v>720</v>
          </cell>
          <cell r="I300"/>
          <cell r="J300">
            <v>720</v>
          </cell>
          <cell r="K300"/>
          <cell r="L300">
            <v>720</v>
          </cell>
          <cell r="M300"/>
          <cell r="N300">
            <v>720</v>
          </cell>
          <cell r="O300"/>
          <cell r="P300">
            <v>720</v>
          </cell>
          <cell r="Q300"/>
          <cell r="R300">
            <v>720</v>
          </cell>
          <cell r="S300"/>
          <cell r="T300">
            <v>720</v>
          </cell>
          <cell r="U300"/>
          <cell r="V300">
            <v>720</v>
          </cell>
          <cell r="W300"/>
          <cell r="X300">
            <v>720</v>
          </cell>
          <cell r="Y300"/>
          <cell r="Z300">
            <v>720</v>
          </cell>
          <cell r="AA300"/>
          <cell r="AB300"/>
          <cell r="AC300"/>
          <cell r="AD300">
            <v>0.1</v>
          </cell>
          <cell r="AE300"/>
          <cell r="AF300"/>
          <cell r="AG300"/>
          <cell r="AH300"/>
          <cell r="AI300"/>
          <cell r="AJ300"/>
          <cell r="AK300"/>
          <cell r="AL300"/>
        </row>
        <row r="301">
          <cell r="E301" t="str">
            <v>G-丸Box4方出28mm</v>
          </cell>
          <cell r="F301" t="str">
            <v>個</v>
          </cell>
          <cell r="G301"/>
          <cell r="H301">
            <v>818</v>
          </cell>
          <cell r="I301"/>
          <cell r="J301">
            <v>818</v>
          </cell>
          <cell r="K301"/>
          <cell r="L301">
            <v>818</v>
          </cell>
          <cell r="M301"/>
          <cell r="N301">
            <v>818</v>
          </cell>
          <cell r="O301"/>
          <cell r="P301">
            <v>818</v>
          </cell>
          <cell r="Q301"/>
          <cell r="R301">
            <v>818</v>
          </cell>
          <cell r="S301"/>
          <cell r="T301">
            <v>818</v>
          </cell>
          <cell r="U301"/>
          <cell r="V301">
            <v>818</v>
          </cell>
          <cell r="W301"/>
          <cell r="X301">
            <v>818</v>
          </cell>
          <cell r="Y301"/>
          <cell r="Z301">
            <v>818</v>
          </cell>
          <cell r="AA301"/>
          <cell r="AB301"/>
          <cell r="AC301"/>
          <cell r="AD301">
            <v>0.1</v>
          </cell>
          <cell r="AE301"/>
          <cell r="AF301"/>
          <cell r="AG301"/>
          <cell r="AH301"/>
          <cell r="AI301"/>
          <cell r="AJ301"/>
          <cell r="AK301"/>
          <cell r="AL301"/>
        </row>
        <row r="302">
          <cell r="E302" t="str">
            <v>G-丸Box1方出36mm</v>
          </cell>
          <cell r="F302" t="str">
            <v>個</v>
          </cell>
          <cell r="G302"/>
          <cell r="H302">
            <v>1130</v>
          </cell>
          <cell r="I302"/>
          <cell r="J302">
            <v>1130</v>
          </cell>
          <cell r="K302"/>
          <cell r="L302">
            <v>1130</v>
          </cell>
          <cell r="M302"/>
          <cell r="N302">
            <v>1130</v>
          </cell>
          <cell r="O302"/>
          <cell r="P302">
            <v>1130</v>
          </cell>
          <cell r="Q302"/>
          <cell r="R302">
            <v>1130</v>
          </cell>
          <cell r="S302"/>
          <cell r="T302">
            <v>1130</v>
          </cell>
          <cell r="U302"/>
          <cell r="V302">
            <v>1130</v>
          </cell>
          <cell r="W302"/>
          <cell r="X302">
            <v>1130</v>
          </cell>
          <cell r="Y302"/>
          <cell r="Z302">
            <v>1130</v>
          </cell>
          <cell r="AA302"/>
          <cell r="AB302"/>
          <cell r="AC302"/>
          <cell r="AD302">
            <v>0.1</v>
          </cell>
          <cell r="AE302"/>
          <cell r="AF302"/>
          <cell r="AG302"/>
          <cell r="AH302"/>
          <cell r="AI302"/>
          <cell r="AJ302"/>
          <cell r="AK302"/>
          <cell r="AL302"/>
        </row>
        <row r="303">
          <cell r="E303" t="str">
            <v>G-丸Box2方出36mm</v>
          </cell>
          <cell r="F303" t="str">
            <v>個</v>
          </cell>
          <cell r="G303"/>
          <cell r="H303">
            <v>1230</v>
          </cell>
          <cell r="I303"/>
          <cell r="J303">
            <v>1230</v>
          </cell>
          <cell r="K303"/>
          <cell r="L303">
            <v>1230</v>
          </cell>
          <cell r="M303"/>
          <cell r="N303">
            <v>1230</v>
          </cell>
          <cell r="O303"/>
          <cell r="P303">
            <v>1230</v>
          </cell>
          <cell r="Q303"/>
          <cell r="R303">
            <v>1230</v>
          </cell>
          <cell r="S303"/>
          <cell r="T303">
            <v>1230</v>
          </cell>
          <cell r="U303"/>
          <cell r="V303">
            <v>1230</v>
          </cell>
          <cell r="W303"/>
          <cell r="X303">
            <v>1230</v>
          </cell>
          <cell r="Y303"/>
          <cell r="Z303">
            <v>1230</v>
          </cell>
          <cell r="AA303"/>
          <cell r="AB303"/>
          <cell r="AC303"/>
          <cell r="AD303">
            <v>0.1</v>
          </cell>
          <cell r="AE303"/>
          <cell r="AF303"/>
          <cell r="AG303"/>
          <cell r="AH303"/>
          <cell r="AI303"/>
          <cell r="AJ303"/>
          <cell r="AK303"/>
          <cell r="AL303"/>
        </row>
        <row r="304">
          <cell r="E304" t="str">
            <v>G-丸Box3方出36mm</v>
          </cell>
          <cell r="F304" t="str">
            <v>個</v>
          </cell>
          <cell r="G304"/>
          <cell r="H304">
            <v>1330</v>
          </cell>
          <cell r="I304"/>
          <cell r="J304">
            <v>1330</v>
          </cell>
          <cell r="K304"/>
          <cell r="L304">
            <v>1330</v>
          </cell>
          <cell r="M304"/>
          <cell r="N304">
            <v>1330</v>
          </cell>
          <cell r="O304"/>
          <cell r="P304">
            <v>1330</v>
          </cell>
          <cell r="Q304"/>
          <cell r="R304">
            <v>1330</v>
          </cell>
          <cell r="S304"/>
          <cell r="T304">
            <v>1330</v>
          </cell>
          <cell r="U304"/>
          <cell r="V304">
            <v>1330</v>
          </cell>
          <cell r="W304"/>
          <cell r="X304">
            <v>1330</v>
          </cell>
          <cell r="Y304"/>
          <cell r="Z304">
            <v>1330</v>
          </cell>
          <cell r="AA304"/>
          <cell r="AB304"/>
          <cell r="AC304"/>
          <cell r="AD304">
            <v>0.1</v>
          </cell>
          <cell r="AE304"/>
          <cell r="AF304"/>
          <cell r="AG304"/>
          <cell r="AH304"/>
          <cell r="AI304"/>
          <cell r="AJ304"/>
          <cell r="AK304"/>
          <cell r="AL304"/>
        </row>
        <row r="305">
          <cell r="E305" t="str">
            <v>G-丸Box4方出36mm</v>
          </cell>
          <cell r="F305" t="str">
            <v>個</v>
          </cell>
          <cell r="G305"/>
          <cell r="H305">
            <v>1510</v>
          </cell>
          <cell r="I305"/>
          <cell r="J305">
            <v>1510</v>
          </cell>
          <cell r="K305"/>
          <cell r="L305">
            <v>1510</v>
          </cell>
          <cell r="M305"/>
          <cell r="N305">
            <v>1510</v>
          </cell>
          <cell r="O305"/>
          <cell r="P305">
            <v>1510</v>
          </cell>
          <cell r="Q305"/>
          <cell r="R305">
            <v>1510</v>
          </cell>
          <cell r="S305"/>
          <cell r="T305">
            <v>1510</v>
          </cell>
          <cell r="U305"/>
          <cell r="V305">
            <v>1510</v>
          </cell>
          <cell r="W305"/>
          <cell r="X305">
            <v>1510</v>
          </cell>
          <cell r="Y305"/>
          <cell r="Z305">
            <v>1510</v>
          </cell>
          <cell r="AA305"/>
          <cell r="AB305"/>
          <cell r="AC305"/>
          <cell r="AD305">
            <v>0.1</v>
          </cell>
          <cell r="AE305"/>
          <cell r="AF305"/>
          <cell r="AG305"/>
          <cell r="AH305"/>
          <cell r="AI305"/>
          <cell r="AJ305"/>
          <cell r="AK305"/>
          <cell r="AL305"/>
        </row>
        <row r="306">
          <cell r="E306" t="str">
            <v>G-丸Box1方出42mm</v>
          </cell>
          <cell r="F306" t="str">
            <v>個</v>
          </cell>
          <cell r="G306"/>
          <cell r="H306">
            <v>1480</v>
          </cell>
          <cell r="I306"/>
          <cell r="J306">
            <v>1480</v>
          </cell>
          <cell r="K306"/>
          <cell r="L306">
            <v>1480</v>
          </cell>
          <cell r="M306"/>
          <cell r="N306">
            <v>1480</v>
          </cell>
          <cell r="O306"/>
          <cell r="P306">
            <v>1480</v>
          </cell>
          <cell r="Q306"/>
          <cell r="R306">
            <v>1480</v>
          </cell>
          <cell r="S306"/>
          <cell r="T306">
            <v>1480</v>
          </cell>
          <cell r="U306"/>
          <cell r="V306">
            <v>1480</v>
          </cell>
          <cell r="W306"/>
          <cell r="X306">
            <v>1480</v>
          </cell>
          <cell r="Y306"/>
          <cell r="Z306">
            <v>1480</v>
          </cell>
          <cell r="AA306"/>
          <cell r="AB306"/>
          <cell r="AC306"/>
          <cell r="AD306">
            <v>0.1</v>
          </cell>
          <cell r="AE306"/>
          <cell r="AF306"/>
          <cell r="AG306"/>
          <cell r="AH306"/>
          <cell r="AI306"/>
          <cell r="AJ306"/>
          <cell r="AK306"/>
          <cell r="AL306"/>
        </row>
        <row r="307">
          <cell r="E307" t="str">
            <v>G-丸Box2方出42mm</v>
          </cell>
          <cell r="F307" t="str">
            <v>個</v>
          </cell>
          <cell r="G307"/>
          <cell r="H307">
            <v>1670</v>
          </cell>
          <cell r="I307"/>
          <cell r="J307">
            <v>1670</v>
          </cell>
          <cell r="K307"/>
          <cell r="L307">
            <v>1670</v>
          </cell>
          <cell r="M307"/>
          <cell r="N307">
            <v>1670</v>
          </cell>
          <cell r="O307"/>
          <cell r="P307">
            <v>1670</v>
          </cell>
          <cell r="Q307"/>
          <cell r="R307">
            <v>1670</v>
          </cell>
          <cell r="S307"/>
          <cell r="T307">
            <v>1670</v>
          </cell>
          <cell r="U307"/>
          <cell r="V307">
            <v>1670</v>
          </cell>
          <cell r="W307"/>
          <cell r="X307">
            <v>1670</v>
          </cell>
          <cell r="Y307"/>
          <cell r="Z307">
            <v>1670</v>
          </cell>
          <cell r="AA307"/>
          <cell r="AB307"/>
          <cell r="AC307"/>
          <cell r="AD307">
            <v>0.1</v>
          </cell>
          <cell r="AE307"/>
          <cell r="AF307"/>
          <cell r="AG307"/>
          <cell r="AH307"/>
          <cell r="AI307"/>
          <cell r="AJ307"/>
          <cell r="AK307"/>
          <cell r="AL307"/>
        </row>
        <row r="308">
          <cell r="E308" t="str">
            <v>G-丸Box3方出42mm</v>
          </cell>
          <cell r="F308" t="str">
            <v>個</v>
          </cell>
          <cell r="G308"/>
          <cell r="H308">
            <v>2000</v>
          </cell>
          <cell r="I308"/>
          <cell r="J308">
            <v>2000</v>
          </cell>
          <cell r="K308"/>
          <cell r="L308">
            <v>2000</v>
          </cell>
          <cell r="M308"/>
          <cell r="N308">
            <v>2000</v>
          </cell>
          <cell r="O308"/>
          <cell r="P308">
            <v>2000</v>
          </cell>
          <cell r="Q308"/>
          <cell r="R308">
            <v>2000</v>
          </cell>
          <cell r="S308"/>
          <cell r="T308">
            <v>2000</v>
          </cell>
          <cell r="U308"/>
          <cell r="V308">
            <v>2000</v>
          </cell>
          <cell r="W308"/>
          <cell r="X308">
            <v>2000</v>
          </cell>
          <cell r="Y308"/>
          <cell r="Z308">
            <v>2000</v>
          </cell>
          <cell r="AA308"/>
          <cell r="AB308"/>
          <cell r="AC308"/>
          <cell r="AD308">
            <v>0.1</v>
          </cell>
          <cell r="AE308"/>
          <cell r="AF308"/>
          <cell r="AG308"/>
          <cell r="AH308"/>
          <cell r="AI308"/>
          <cell r="AJ308"/>
          <cell r="AK308"/>
          <cell r="AL308"/>
        </row>
        <row r="309">
          <cell r="E309" t="str">
            <v>G-丸Box4方出42mm</v>
          </cell>
          <cell r="F309" t="str">
            <v>個</v>
          </cell>
          <cell r="G309"/>
          <cell r="H309">
            <v>2190</v>
          </cell>
          <cell r="I309"/>
          <cell r="J309">
            <v>2190</v>
          </cell>
          <cell r="K309"/>
          <cell r="L309">
            <v>2190</v>
          </cell>
          <cell r="M309"/>
          <cell r="N309">
            <v>2190</v>
          </cell>
          <cell r="O309"/>
          <cell r="P309">
            <v>2190</v>
          </cell>
          <cell r="Q309"/>
          <cell r="R309">
            <v>2190</v>
          </cell>
          <cell r="S309"/>
          <cell r="T309">
            <v>2190</v>
          </cell>
          <cell r="U309"/>
          <cell r="V309">
            <v>2190</v>
          </cell>
          <cell r="W309"/>
          <cell r="X309">
            <v>2190</v>
          </cell>
          <cell r="Y309"/>
          <cell r="Z309">
            <v>2190</v>
          </cell>
          <cell r="AA309"/>
          <cell r="AB309"/>
          <cell r="AC309"/>
          <cell r="AD309">
            <v>0.1</v>
          </cell>
          <cell r="AE309"/>
          <cell r="AF309"/>
          <cell r="AG309"/>
          <cell r="AH309"/>
          <cell r="AI309"/>
          <cell r="AJ309"/>
          <cell r="AK309"/>
          <cell r="AL309"/>
        </row>
        <row r="310">
          <cell r="E310" t="str">
            <v>G-SWBox1-1方出16mm</v>
          </cell>
          <cell r="F310" t="str">
            <v>個</v>
          </cell>
          <cell r="G310"/>
          <cell r="H310">
            <v>372</v>
          </cell>
          <cell r="I310"/>
          <cell r="J310">
            <v>372</v>
          </cell>
          <cell r="K310"/>
          <cell r="L310">
            <v>372</v>
          </cell>
          <cell r="M310"/>
          <cell r="N310">
            <v>372</v>
          </cell>
          <cell r="O310"/>
          <cell r="P310">
            <v>372</v>
          </cell>
          <cell r="Q310"/>
          <cell r="R310">
            <v>372</v>
          </cell>
          <cell r="S310"/>
          <cell r="T310">
            <v>372</v>
          </cell>
          <cell r="U310"/>
          <cell r="V310">
            <v>372</v>
          </cell>
          <cell r="W310"/>
          <cell r="X310">
            <v>372</v>
          </cell>
          <cell r="Y310"/>
          <cell r="Z310">
            <v>372</v>
          </cell>
          <cell r="AA310"/>
          <cell r="AB310"/>
          <cell r="AC310"/>
          <cell r="AD310">
            <v>0.1</v>
          </cell>
          <cell r="AE310"/>
          <cell r="AF310"/>
          <cell r="AG310"/>
          <cell r="AH310"/>
          <cell r="AI310"/>
          <cell r="AJ310"/>
          <cell r="AK310"/>
          <cell r="AL310"/>
        </row>
        <row r="311">
          <cell r="E311" t="str">
            <v>G-SWBox1-2方出16mm</v>
          </cell>
          <cell r="F311" t="str">
            <v>個</v>
          </cell>
          <cell r="G311"/>
          <cell r="H311">
            <v>448</v>
          </cell>
          <cell r="I311"/>
          <cell r="J311">
            <v>448</v>
          </cell>
          <cell r="K311"/>
          <cell r="L311">
            <v>448</v>
          </cell>
          <cell r="M311"/>
          <cell r="N311">
            <v>448</v>
          </cell>
          <cell r="O311"/>
          <cell r="P311">
            <v>448</v>
          </cell>
          <cell r="Q311"/>
          <cell r="R311">
            <v>448</v>
          </cell>
          <cell r="S311"/>
          <cell r="T311">
            <v>448</v>
          </cell>
          <cell r="U311"/>
          <cell r="V311">
            <v>448</v>
          </cell>
          <cell r="W311"/>
          <cell r="X311">
            <v>448</v>
          </cell>
          <cell r="Y311"/>
          <cell r="Z311">
            <v>448</v>
          </cell>
          <cell r="AA311"/>
          <cell r="AB311"/>
          <cell r="AC311"/>
          <cell r="AD311">
            <v>0.1</v>
          </cell>
          <cell r="AE311"/>
          <cell r="AF311"/>
          <cell r="AG311"/>
          <cell r="AH311"/>
          <cell r="AI311"/>
          <cell r="AJ311"/>
          <cell r="AK311"/>
          <cell r="AL311"/>
        </row>
        <row r="312">
          <cell r="E312" t="str">
            <v>G-SWBox2-1方出16mm</v>
          </cell>
          <cell r="F312" t="str">
            <v>個</v>
          </cell>
          <cell r="G312"/>
          <cell r="H312">
            <v>730</v>
          </cell>
          <cell r="I312"/>
          <cell r="J312">
            <v>730</v>
          </cell>
          <cell r="K312"/>
          <cell r="L312">
            <v>730</v>
          </cell>
          <cell r="M312"/>
          <cell r="N312">
            <v>730</v>
          </cell>
          <cell r="O312"/>
          <cell r="P312">
            <v>730</v>
          </cell>
          <cell r="Q312"/>
          <cell r="R312">
            <v>730</v>
          </cell>
          <cell r="S312"/>
          <cell r="T312">
            <v>730</v>
          </cell>
          <cell r="U312"/>
          <cell r="V312">
            <v>730</v>
          </cell>
          <cell r="W312"/>
          <cell r="X312">
            <v>730</v>
          </cell>
          <cell r="Y312"/>
          <cell r="Z312">
            <v>730</v>
          </cell>
          <cell r="AA312"/>
          <cell r="AB312"/>
          <cell r="AC312"/>
          <cell r="AD312">
            <v>0.1</v>
          </cell>
          <cell r="AE312"/>
          <cell r="AF312"/>
          <cell r="AG312"/>
          <cell r="AH312"/>
          <cell r="AI312"/>
          <cell r="AJ312"/>
          <cell r="AK312"/>
          <cell r="AL312"/>
        </row>
        <row r="313">
          <cell r="E313" t="str">
            <v>G-SWBox3-1方出16mm</v>
          </cell>
          <cell r="F313" t="str">
            <v>個</v>
          </cell>
          <cell r="G313"/>
          <cell r="H313">
            <v>1410</v>
          </cell>
          <cell r="I313"/>
          <cell r="J313">
            <v>1410</v>
          </cell>
          <cell r="K313"/>
          <cell r="L313">
            <v>1410</v>
          </cell>
          <cell r="M313"/>
          <cell r="N313">
            <v>1410</v>
          </cell>
          <cell r="O313"/>
          <cell r="P313">
            <v>1410</v>
          </cell>
          <cell r="Q313"/>
          <cell r="R313">
            <v>1410</v>
          </cell>
          <cell r="S313"/>
          <cell r="T313">
            <v>1410</v>
          </cell>
          <cell r="U313"/>
          <cell r="V313">
            <v>1410</v>
          </cell>
          <cell r="W313"/>
          <cell r="X313">
            <v>1410</v>
          </cell>
          <cell r="Y313"/>
          <cell r="Z313">
            <v>1410</v>
          </cell>
          <cell r="AA313"/>
          <cell r="AB313"/>
          <cell r="AC313"/>
          <cell r="AD313">
            <v>0.1</v>
          </cell>
          <cell r="AE313"/>
          <cell r="AF313"/>
          <cell r="AG313"/>
          <cell r="AH313"/>
          <cell r="AI313"/>
          <cell r="AJ313"/>
          <cell r="AK313"/>
          <cell r="AL313"/>
        </row>
        <row r="314">
          <cell r="E314" t="str">
            <v>G-SWBox1-1方出22mm</v>
          </cell>
          <cell r="F314" t="str">
            <v>個</v>
          </cell>
          <cell r="G314"/>
          <cell r="H314">
            <v>460</v>
          </cell>
          <cell r="I314"/>
          <cell r="J314">
            <v>460</v>
          </cell>
          <cell r="K314"/>
          <cell r="L314">
            <v>460</v>
          </cell>
          <cell r="M314"/>
          <cell r="N314">
            <v>460</v>
          </cell>
          <cell r="O314"/>
          <cell r="P314">
            <v>460</v>
          </cell>
          <cell r="Q314"/>
          <cell r="R314">
            <v>460</v>
          </cell>
          <cell r="S314"/>
          <cell r="T314">
            <v>460</v>
          </cell>
          <cell r="U314"/>
          <cell r="V314">
            <v>460</v>
          </cell>
          <cell r="W314"/>
          <cell r="X314">
            <v>460</v>
          </cell>
          <cell r="Y314"/>
          <cell r="Z314">
            <v>460</v>
          </cell>
          <cell r="AA314"/>
          <cell r="AB314"/>
          <cell r="AC314"/>
          <cell r="AD314">
            <v>0.1</v>
          </cell>
          <cell r="AE314"/>
          <cell r="AF314"/>
          <cell r="AG314"/>
          <cell r="AH314"/>
          <cell r="AI314"/>
          <cell r="AJ314"/>
          <cell r="AK314"/>
          <cell r="AL314"/>
        </row>
        <row r="315">
          <cell r="E315" t="str">
            <v>G-SWBox1-2方出22mm</v>
          </cell>
          <cell r="F315" t="str">
            <v>個</v>
          </cell>
          <cell r="G315"/>
          <cell r="H315">
            <v>568</v>
          </cell>
          <cell r="I315"/>
          <cell r="J315">
            <v>568</v>
          </cell>
          <cell r="K315"/>
          <cell r="L315">
            <v>568</v>
          </cell>
          <cell r="M315"/>
          <cell r="N315">
            <v>568</v>
          </cell>
          <cell r="O315"/>
          <cell r="P315">
            <v>568</v>
          </cell>
          <cell r="Q315"/>
          <cell r="R315">
            <v>568</v>
          </cell>
          <cell r="S315"/>
          <cell r="T315">
            <v>568</v>
          </cell>
          <cell r="U315"/>
          <cell r="V315">
            <v>568</v>
          </cell>
          <cell r="W315"/>
          <cell r="X315">
            <v>568</v>
          </cell>
          <cell r="Y315"/>
          <cell r="Z315">
            <v>568</v>
          </cell>
          <cell r="AA315"/>
          <cell r="AB315"/>
          <cell r="AC315"/>
          <cell r="AD315">
            <v>0.1</v>
          </cell>
          <cell r="AE315"/>
          <cell r="AF315"/>
          <cell r="AG315"/>
          <cell r="AH315"/>
          <cell r="AI315"/>
          <cell r="AJ315"/>
          <cell r="AK315"/>
          <cell r="AL315"/>
        </row>
        <row r="316">
          <cell r="E316" t="str">
            <v>G-SWBox2-1方出22mm</v>
          </cell>
          <cell r="F316" t="str">
            <v>個</v>
          </cell>
          <cell r="G316"/>
          <cell r="H316">
            <v>921</v>
          </cell>
          <cell r="I316"/>
          <cell r="J316">
            <v>921</v>
          </cell>
          <cell r="K316"/>
          <cell r="L316">
            <v>921</v>
          </cell>
          <cell r="M316"/>
          <cell r="N316">
            <v>921</v>
          </cell>
          <cell r="O316"/>
          <cell r="P316">
            <v>921</v>
          </cell>
          <cell r="Q316"/>
          <cell r="R316">
            <v>921</v>
          </cell>
          <cell r="S316"/>
          <cell r="T316">
            <v>921</v>
          </cell>
          <cell r="U316"/>
          <cell r="V316">
            <v>921</v>
          </cell>
          <cell r="W316"/>
          <cell r="X316">
            <v>921</v>
          </cell>
          <cell r="Y316"/>
          <cell r="Z316">
            <v>921</v>
          </cell>
          <cell r="AA316"/>
          <cell r="AB316"/>
          <cell r="AC316"/>
          <cell r="AD316">
            <v>0.1</v>
          </cell>
          <cell r="AE316"/>
          <cell r="AF316"/>
          <cell r="AG316"/>
          <cell r="AH316"/>
          <cell r="AI316"/>
          <cell r="AJ316"/>
          <cell r="AK316"/>
          <cell r="AL316"/>
        </row>
        <row r="317">
          <cell r="E317" t="str">
            <v>G-SWBox3-1方出22mm</v>
          </cell>
          <cell r="F317" t="str">
            <v>個</v>
          </cell>
          <cell r="G317"/>
          <cell r="H317">
            <v>1570</v>
          </cell>
          <cell r="I317"/>
          <cell r="J317">
            <v>1570</v>
          </cell>
          <cell r="K317"/>
          <cell r="L317">
            <v>1570</v>
          </cell>
          <cell r="M317"/>
          <cell r="N317">
            <v>1570</v>
          </cell>
          <cell r="O317"/>
          <cell r="P317">
            <v>1570</v>
          </cell>
          <cell r="Q317"/>
          <cell r="R317">
            <v>1570</v>
          </cell>
          <cell r="S317"/>
          <cell r="T317">
            <v>1570</v>
          </cell>
          <cell r="U317"/>
          <cell r="V317">
            <v>1570</v>
          </cell>
          <cell r="W317"/>
          <cell r="X317">
            <v>1570</v>
          </cell>
          <cell r="Y317"/>
          <cell r="Z317">
            <v>1570</v>
          </cell>
          <cell r="AA317"/>
          <cell r="AB317"/>
          <cell r="AC317"/>
          <cell r="AD317">
            <v>0.1</v>
          </cell>
          <cell r="AE317"/>
          <cell r="AF317"/>
          <cell r="AG317"/>
          <cell r="AH317"/>
          <cell r="AI317"/>
          <cell r="AJ317"/>
          <cell r="AK317"/>
          <cell r="AL317"/>
        </row>
        <row r="318">
          <cell r="E318" t="str">
            <v>G-SWBox1-1方出28mm</v>
          </cell>
          <cell r="F318" t="str">
            <v>個</v>
          </cell>
          <cell r="G318"/>
          <cell r="H318">
            <v>842</v>
          </cell>
          <cell r="I318"/>
          <cell r="J318">
            <v>842</v>
          </cell>
          <cell r="K318"/>
          <cell r="L318">
            <v>842</v>
          </cell>
          <cell r="M318"/>
          <cell r="N318">
            <v>842</v>
          </cell>
          <cell r="O318"/>
          <cell r="P318">
            <v>842</v>
          </cell>
          <cell r="Q318"/>
          <cell r="R318">
            <v>842</v>
          </cell>
          <cell r="S318"/>
          <cell r="T318">
            <v>842</v>
          </cell>
          <cell r="U318"/>
          <cell r="V318">
            <v>842</v>
          </cell>
          <cell r="W318"/>
          <cell r="X318">
            <v>842</v>
          </cell>
          <cell r="Y318"/>
          <cell r="Z318">
            <v>842</v>
          </cell>
          <cell r="AA318"/>
          <cell r="AB318"/>
          <cell r="AC318"/>
          <cell r="AD318">
            <v>0.1</v>
          </cell>
          <cell r="AE318"/>
          <cell r="AF318"/>
          <cell r="AG318"/>
          <cell r="AH318"/>
          <cell r="AI318"/>
          <cell r="AJ318"/>
          <cell r="AK318"/>
          <cell r="AL318"/>
        </row>
        <row r="319">
          <cell r="E319" t="str">
            <v>G-SWBox1-2方出28mm</v>
          </cell>
          <cell r="F319" t="str">
            <v>個</v>
          </cell>
          <cell r="G319"/>
          <cell r="H319">
            <v>1150</v>
          </cell>
          <cell r="I319"/>
          <cell r="J319">
            <v>1150</v>
          </cell>
          <cell r="K319"/>
          <cell r="L319">
            <v>1150</v>
          </cell>
          <cell r="M319"/>
          <cell r="N319">
            <v>1150</v>
          </cell>
          <cell r="O319"/>
          <cell r="P319">
            <v>1150</v>
          </cell>
          <cell r="Q319"/>
          <cell r="R319">
            <v>1150</v>
          </cell>
          <cell r="S319"/>
          <cell r="T319">
            <v>1150</v>
          </cell>
          <cell r="U319"/>
          <cell r="V319">
            <v>1150</v>
          </cell>
          <cell r="W319"/>
          <cell r="X319">
            <v>1150</v>
          </cell>
          <cell r="Y319"/>
          <cell r="Z319">
            <v>1150</v>
          </cell>
          <cell r="AA319"/>
          <cell r="AB319"/>
          <cell r="AC319"/>
          <cell r="AD319">
            <v>0.1</v>
          </cell>
          <cell r="AE319"/>
          <cell r="AF319"/>
          <cell r="AG319"/>
          <cell r="AH319"/>
          <cell r="AI319"/>
          <cell r="AJ319"/>
          <cell r="AK319"/>
          <cell r="AL319"/>
        </row>
        <row r="320">
          <cell r="E320" t="str">
            <v>G-SWBox2-1方出28mm</v>
          </cell>
          <cell r="F320" t="str">
            <v>個</v>
          </cell>
          <cell r="G320"/>
          <cell r="H320">
            <v>1580</v>
          </cell>
          <cell r="I320"/>
          <cell r="J320">
            <v>1580</v>
          </cell>
          <cell r="K320"/>
          <cell r="L320">
            <v>1580</v>
          </cell>
          <cell r="M320"/>
          <cell r="N320">
            <v>1580</v>
          </cell>
          <cell r="O320"/>
          <cell r="P320">
            <v>1580</v>
          </cell>
          <cell r="Q320"/>
          <cell r="R320">
            <v>1580</v>
          </cell>
          <cell r="S320"/>
          <cell r="T320">
            <v>1580</v>
          </cell>
          <cell r="U320"/>
          <cell r="V320">
            <v>1580</v>
          </cell>
          <cell r="W320"/>
          <cell r="X320">
            <v>1580</v>
          </cell>
          <cell r="Y320"/>
          <cell r="Z320">
            <v>1580</v>
          </cell>
          <cell r="AA320"/>
          <cell r="AB320"/>
          <cell r="AC320"/>
          <cell r="AD320">
            <v>0.1</v>
          </cell>
          <cell r="AE320"/>
          <cell r="AF320"/>
          <cell r="AG320"/>
          <cell r="AH320"/>
          <cell r="AI320"/>
          <cell r="AJ320"/>
          <cell r="AK320"/>
          <cell r="AL320"/>
        </row>
        <row r="321">
          <cell r="E321" t="str">
            <v>G-SWBox3-1方出28mm</v>
          </cell>
          <cell r="F321" t="str">
            <v>個</v>
          </cell>
          <cell r="G321"/>
          <cell r="H321">
            <v>1970</v>
          </cell>
          <cell r="I321"/>
          <cell r="J321">
            <v>1970</v>
          </cell>
          <cell r="K321"/>
          <cell r="L321">
            <v>1970</v>
          </cell>
          <cell r="M321"/>
          <cell r="N321">
            <v>1970</v>
          </cell>
          <cell r="O321"/>
          <cell r="P321">
            <v>1970</v>
          </cell>
          <cell r="Q321"/>
          <cell r="R321">
            <v>1970</v>
          </cell>
          <cell r="S321"/>
          <cell r="T321">
            <v>1970</v>
          </cell>
          <cell r="U321"/>
          <cell r="V321">
            <v>1970</v>
          </cell>
          <cell r="W321"/>
          <cell r="X321">
            <v>1970</v>
          </cell>
          <cell r="Y321"/>
          <cell r="Z321">
            <v>1970</v>
          </cell>
          <cell r="AA321"/>
          <cell r="AB321"/>
          <cell r="AC321"/>
          <cell r="AD321">
            <v>0.1</v>
          </cell>
          <cell r="AE321"/>
          <cell r="AF321"/>
          <cell r="AG321"/>
          <cell r="AH321"/>
          <cell r="AI321"/>
          <cell r="AJ321"/>
          <cell r="AK321"/>
          <cell r="AL321"/>
        </row>
        <row r="322">
          <cell r="E322" t="str">
            <v>VE-SBox1個用</v>
          </cell>
          <cell r="F322" t="str">
            <v>個</v>
          </cell>
          <cell r="G322"/>
          <cell r="H322">
            <v>170</v>
          </cell>
          <cell r="I322"/>
          <cell r="J322">
            <v>170</v>
          </cell>
          <cell r="K322"/>
          <cell r="L322">
            <v>170</v>
          </cell>
          <cell r="M322"/>
          <cell r="N322">
            <v>170</v>
          </cell>
          <cell r="O322"/>
          <cell r="P322">
            <v>170</v>
          </cell>
          <cell r="Q322"/>
          <cell r="R322">
            <v>170</v>
          </cell>
          <cell r="S322"/>
          <cell r="T322">
            <v>170</v>
          </cell>
          <cell r="U322"/>
          <cell r="V322">
            <v>170</v>
          </cell>
          <cell r="W322"/>
          <cell r="X322">
            <v>170</v>
          </cell>
          <cell r="Y322"/>
          <cell r="Z322">
            <v>170</v>
          </cell>
          <cell r="AA322"/>
          <cell r="AB322"/>
          <cell r="AC322"/>
          <cell r="AD322">
            <v>0.1</v>
          </cell>
          <cell r="AE322"/>
          <cell r="AF322"/>
          <cell r="AG322"/>
          <cell r="AH322"/>
          <cell r="AI322"/>
          <cell r="AJ322"/>
          <cell r="AK322"/>
          <cell r="AL322"/>
        </row>
        <row r="323">
          <cell r="E323" t="str">
            <v>VE-SBox2個用</v>
          </cell>
          <cell r="F323" t="str">
            <v>個</v>
          </cell>
          <cell r="G323"/>
          <cell r="H323">
            <v>352</v>
          </cell>
          <cell r="I323"/>
          <cell r="J323">
            <v>352</v>
          </cell>
          <cell r="K323"/>
          <cell r="L323">
            <v>352</v>
          </cell>
          <cell r="M323"/>
          <cell r="N323">
            <v>352</v>
          </cell>
          <cell r="O323"/>
          <cell r="P323">
            <v>352</v>
          </cell>
          <cell r="Q323"/>
          <cell r="R323">
            <v>352</v>
          </cell>
          <cell r="S323"/>
          <cell r="T323">
            <v>352</v>
          </cell>
          <cell r="U323"/>
          <cell r="V323">
            <v>352</v>
          </cell>
          <cell r="W323"/>
          <cell r="X323">
            <v>352</v>
          </cell>
          <cell r="Y323"/>
          <cell r="Z323">
            <v>352</v>
          </cell>
          <cell r="AA323"/>
          <cell r="AB323"/>
          <cell r="AC323"/>
          <cell r="AD323">
            <v>0.1</v>
          </cell>
          <cell r="AE323"/>
          <cell r="AF323"/>
          <cell r="AG323"/>
          <cell r="AH323"/>
          <cell r="AI323"/>
          <cell r="AJ323"/>
          <cell r="AK323"/>
          <cell r="AL323"/>
        </row>
        <row r="324">
          <cell r="E324" t="str">
            <v>VE-SBox3個用</v>
          </cell>
          <cell r="F324" t="str">
            <v>個</v>
          </cell>
          <cell r="G324"/>
          <cell r="H324">
            <v>832</v>
          </cell>
          <cell r="I324"/>
          <cell r="J324">
            <v>832</v>
          </cell>
          <cell r="K324"/>
          <cell r="L324">
            <v>832</v>
          </cell>
          <cell r="M324"/>
          <cell r="N324">
            <v>832</v>
          </cell>
          <cell r="O324"/>
          <cell r="P324">
            <v>832</v>
          </cell>
          <cell r="Q324"/>
          <cell r="R324">
            <v>832</v>
          </cell>
          <cell r="S324"/>
          <cell r="T324">
            <v>832</v>
          </cell>
          <cell r="U324"/>
          <cell r="V324">
            <v>832</v>
          </cell>
          <cell r="W324"/>
          <cell r="X324">
            <v>832</v>
          </cell>
          <cell r="Y324"/>
          <cell r="Z324">
            <v>832</v>
          </cell>
          <cell r="AA324"/>
          <cell r="AB324"/>
          <cell r="AC324"/>
          <cell r="AD324">
            <v>0.1</v>
          </cell>
          <cell r="AE324"/>
          <cell r="AF324"/>
          <cell r="AG324"/>
          <cell r="AH324"/>
          <cell r="AI324"/>
          <cell r="AJ324"/>
          <cell r="AK324"/>
          <cell r="AL324"/>
        </row>
        <row r="325">
          <cell r="E325" t="str">
            <v>VE-SBox4個用</v>
          </cell>
          <cell r="F325" t="str">
            <v>個</v>
          </cell>
          <cell r="G325"/>
          <cell r="H325">
            <v>1230</v>
          </cell>
          <cell r="I325"/>
          <cell r="J325">
            <v>1230</v>
          </cell>
          <cell r="K325"/>
          <cell r="L325">
            <v>1230</v>
          </cell>
          <cell r="M325"/>
          <cell r="N325">
            <v>1230</v>
          </cell>
          <cell r="O325"/>
          <cell r="P325">
            <v>1230</v>
          </cell>
          <cell r="Q325"/>
          <cell r="R325">
            <v>1230</v>
          </cell>
          <cell r="S325"/>
          <cell r="T325">
            <v>1230</v>
          </cell>
          <cell r="U325"/>
          <cell r="V325">
            <v>1230</v>
          </cell>
          <cell r="W325"/>
          <cell r="X325">
            <v>1230</v>
          </cell>
          <cell r="Y325"/>
          <cell r="Z325">
            <v>1230</v>
          </cell>
          <cell r="AA325"/>
          <cell r="AB325"/>
          <cell r="AC325"/>
          <cell r="AD325">
            <v>0.1</v>
          </cell>
          <cell r="AE325"/>
          <cell r="AF325"/>
          <cell r="AG325"/>
          <cell r="AH325"/>
          <cell r="AI325"/>
          <cell r="AJ325"/>
          <cell r="AK325"/>
          <cell r="AL325"/>
        </row>
        <row r="326">
          <cell r="E326" t="str">
            <v>VE-SBox5個用</v>
          </cell>
          <cell r="F326" t="str">
            <v>個</v>
          </cell>
          <cell r="G326"/>
          <cell r="H326">
            <v>1390</v>
          </cell>
          <cell r="I326"/>
          <cell r="J326">
            <v>1390</v>
          </cell>
          <cell r="K326"/>
          <cell r="L326">
            <v>1390</v>
          </cell>
          <cell r="M326"/>
          <cell r="N326">
            <v>1390</v>
          </cell>
          <cell r="O326"/>
          <cell r="P326">
            <v>1390</v>
          </cell>
          <cell r="Q326"/>
          <cell r="R326">
            <v>1390</v>
          </cell>
          <cell r="S326"/>
          <cell r="T326">
            <v>1390</v>
          </cell>
          <cell r="U326"/>
          <cell r="V326">
            <v>1390</v>
          </cell>
          <cell r="W326"/>
          <cell r="X326">
            <v>1390</v>
          </cell>
          <cell r="Y326"/>
          <cell r="Z326">
            <v>1390</v>
          </cell>
          <cell r="AA326"/>
          <cell r="AB326"/>
          <cell r="AC326"/>
          <cell r="AD326">
            <v>0.1</v>
          </cell>
          <cell r="AE326"/>
          <cell r="AF326"/>
          <cell r="AG326"/>
          <cell r="AH326"/>
          <cell r="AI326"/>
          <cell r="AJ326"/>
          <cell r="AK326"/>
          <cell r="AL326"/>
        </row>
        <row r="327">
          <cell r="E327" t="str">
            <v>VE-OBox4角中44mm</v>
          </cell>
          <cell r="F327" t="str">
            <v>個</v>
          </cell>
          <cell r="G327"/>
          <cell r="H327">
            <v>167</v>
          </cell>
          <cell r="I327"/>
          <cell r="J327">
            <v>167</v>
          </cell>
          <cell r="K327"/>
          <cell r="L327">
            <v>167</v>
          </cell>
          <cell r="M327"/>
          <cell r="N327">
            <v>167</v>
          </cell>
          <cell r="O327"/>
          <cell r="P327">
            <v>167</v>
          </cell>
          <cell r="Q327"/>
          <cell r="R327">
            <v>167</v>
          </cell>
          <cell r="S327"/>
          <cell r="T327">
            <v>167</v>
          </cell>
          <cell r="U327"/>
          <cell r="V327">
            <v>167</v>
          </cell>
          <cell r="W327"/>
          <cell r="X327">
            <v>167</v>
          </cell>
          <cell r="Y327"/>
          <cell r="Z327">
            <v>167</v>
          </cell>
          <cell r="AA327"/>
          <cell r="AB327"/>
          <cell r="AC327"/>
          <cell r="AD327">
            <v>0.1</v>
          </cell>
          <cell r="AE327"/>
          <cell r="AF327"/>
          <cell r="AG327"/>
          <cell r="AH327"/>
          <cell r="AI327"/>
          <cell r="AJ327"/>
          <cell r="AK327"/>
          <cell r="AL327"/>
        </row>
        <row r="328">
          <cell r="E328" t="str">
            <v>VE-OBox4角中54mm</v>
          </cell>
          <cell r="F328" t="str">
            <v>個</v>
          </cell>
          <cell r="G328"/>
          <cell r="H328">
            <v>192</v>
          </cell>
          <cell r="I328"/>
          <cell r="J328">
            <v>192</v>
          </cell>
          <cell r="K328"/>
          <cell r="L328">
            <v>192</v>
          </cell>
          <cell r="M328"/>
          <cell r="N328">
            <v>192</v>
          </cell>
          <cell r="O328"/>
          <cell r="P328">
            <v>192</v>
          </cell>
          <cell r="Q328"/>
          <cell r="R328">
            <v>192</v>
          </cell>
          <cell r="S328"/>
          <cell r="T328">
            <v>192</v>
          </cell>
          <cell r="U328"/>
          <cell r="V328">
            <v>192</v>
          </cell>
          <cell r="W328"/>
          <cell r="X328">
            <v>192</v>
          </cell>
          <cell r="Y328"/>
          <cell r="Z328">
            <v>192</v>
          </cell>
          <cell r="AA328"/>
          <cell r="AB328"/>
          <cell r="AC328"/>
          <cell r="AD328">
            <v>0.1</v>
          </cell>
          <cell r="AE328"/>
          <cell r="AF328"/>
          <cell r="AG328"/>
          <cell r="AH328"/>
          <cell r="AI328"/>
          <cell r="AJ328"/>
          <cell r="AK328"/>
          <cell r="AL328"/>
        </row>
        <row r="329">
          <cell r="E329" t="str">
            <v>VE-OBox4角大44mm</v>
          </cell>
          <cell r="F329" t="str">
            <v>個</v>
          </cell>
          <cell r="G329"/>
          <cell r="H329">
            <v>313</v>
          </cell>
          <cell r="I329"/>
          <cell r="J329">
            <v>313</v>
          </cell>
          <cell r="K329"/>
          <cell r="L329">
            <v>313</v>
          </cell>
          <cell r="M329"/>
          <cell r="N329">
            <v>313</v>
          </cell>
          <cell r="O329"/>
          <cell r="P329">
            <v>313</v>
          </cell>
          <cell r="Q329"/>
          <cell r="R329">
            <v>313</v>
          </cell>
          <cell r="S329"/>
          <cell r="T329">
            <v>313</v>
          </cell>
          <cell r="U329"/>
          <cell r="V329">
            <v>313</v>
          </cell>
          <cell r="W329"/>
          <cell r="X329">
            <v>313</v>
          </cell>
          <cell r="Y329"/>
          <cell r="Z329">
            <v>313</v>
          </cell>
          <cell r="AA329"/>
          <cell r="AB329"/>
          <cell r="AC329"/>
          <cell r="AD329">
            <v>0.1</v>
          </cell>
          <cell r="AE329"/>
          <cell r="AF329"/>
          <cell r="AG329"/>
          <cell r="AH329"/>
          <cell r="AI329"/>
          <cell r="AJ329"/>
          <cell r="AK329"/>
          <cell r="AL329"/>
        </row>
        <row r="330">
          <cell r="E330" t="str">
            <v>VE-OBox4角大54mm</v>
          </cell>
          <cell r="F330" t="str">
            <v>個</v>
          </cell>
          <cell r="G330"/>
          <cell r="H330">
            <v>352</v>
          </cell>
          <cell r="I330"/>
          <cell r="J330">
            <v>352</v>
          </cell>
          <cell r="K330"/>
          <cell r="L330">
            <v>352</v>
          </cell>
          <cell r="M330"/>
          <cell r="N330">
            <v>352</v>
          </cell>
          <cell r="O330"/>
          <cell r="P330">
            <v>352</v>
          </cell>
          <cell r="Q330"/>
          <cell r="R330">
            <v>352</v>
          </cell>
          <cell r="S330"/>
          <cell r="T330">
            <v>352</v>
          </cell>
          <cell r="U330"/>
          <cell r="V330">
            <v>352</v>
          </cell>
          <cell r="W330"/>
          <cell r="X330">
            <v>352</v>
          </cell>
          <cell r="Y330"/>
          <cell r="Z330">
            <v>352</v>
          </cell>
          <cell r="AA330"/>
          <cell r="AB330"/>
          <cell r="AC330"/>
          <cell r="AD330">
            <v>0.1</v>
          </cell>
          <cell r="AE330"/>
          <cell r="AF330"/>
          <cell r="AG330"/>
          <cell r="AH330"/>
          <cell r="AI330"/>
          <cell r="AJ330"/>
          <cell r="AK330"/>
          <cell r="AL330"/>
        </row>
        <row r="331">
          <cell r="E331" t="str">
            <v>VE-OBox4角中50mm</v>
          </cell>
          <cell r="F331" t="str">
            <v>個</v>
          </cell>
          <cell r="G331"/>
          <cell r="H331">
            <v>319</v>
          </cell>
          <cell r="I331"/>
          <cell r="J331">
            <v>319</v>
          </cell>
          <cell r="K331"/>
          <cell r="L331">
            <v>319</v>
          </cell>
          <cell r="M331"/>
          <cell r="N331">
            <v>319</v>
          </cell>
          <cell r="O331"/>
          <cell r="P331">
            <v>319</v>
          </cell>
          <cell r="Q331"/>
          <cell r="R331">
            <v>319</v>
          </cell>
          <cell r="S331"/>
          <cell r="T331">
            <v>319</v>
          </cell>
          <cell r="U331"/>
          <cell r="V331">
            <v>319</v>
          </cell>
          <cell r="W331"/>
          <cell r="X331">
            <v>319</v>
          </cell>
          <cell r="Y331"/>
          <cell r="Z331">
            <v>319</v>
          </cell>
          <cell r="AA331"/>
          <cell r="AB331"/>
          <cell r="AC331"/>
          <cell r="AD331">
            <v>0.1</v>
          </cell>
          <cell r="AE331"/>
          <cell r="AF331"/>
          <cell r="AG331"/>
          <cell r="AH331"/>
          <cell r="AI331"/>
          <cell r="AJ331"/>
          <cell r="AK331"/>
          <cell r="AL331"/>
        </row>
        <row r="332">
          <cell r="E332" t="str">
            <v>VE-OBox4角中60mm</v>
          </cell>
          <cell r="F332" t="str">
            <v>個</v>
          </cell>
          <cell r="G332"/>
          <cell r="H332">
            <v>363</v>
          </cell>
          <cell r="I332"/>
          <cell r="J332">
            <v>363</v>
          </cell>
          <cell r="K332"/>
          <cell r="L332">
            <v>363</v>
          </cell>
          <cell r="M332"/>
          <cell r="N332">
            <v>363</v>
          </cell>
          <cell r="O332"/>
          <cell r="P332">
            <v>363</v>
          </cell>
          <cell r="Q332"/>
          <cell r="R332">
            <v>363</v>
          </cell>
          <cell r="S332"/>
          <cell r="T332">
            <v>363</v>
          </cell>
          <cell r="U332"/>
          <cell r="V332">
            <v>363</v>
          </cell>
          <cell r="W332"/>
          <cell r="X332">
            <v>363</v>
          </cell>
          <cell r="Y332"/>
          <cell r="Z332">
            <v>363</v>
          </cell>
          <cell r="AA332"/>
          <cell r="AB332"/>
          <cell r="AC332"/>
          <cell r="AD332">
            <v>0.1</v>
          </cell>
          <cell r="AE332"/>
          <cell r="AF332"/>
          <cell r="AG332"/>
          <cell r="AH332"/>
          <cell r="AI332"/>
          <cell r="AJ332"/>
          <cell r="AK332"/>
          <cell r="AL332"/>
        </row>
        <row r="333">
          <cell r="E333" t="str">
            <v>VE-CBox4角中44mm</v>
          </cell>
          <cell r="F333" t="str">
            <v>個</v>
          </cell>
          <cell r="G333"/>
          <cell r="H333">
            <v>302</v>
          </cell>
          <cell r="I333"/>
          <cell r="J333">
            <v>302</v>
          </cell>
          <cell r="K333"/>
          <cell r="L333">
            <v>302</v>
          </cell>
          <cell r="M333"/>
          <cell r="N333">
            <v>302</v>
          </cell>
          <cell r="O333"/>
          <cell r="P333">
            <v>302</v>
          </cell>
          <cell r="Q333"/>
          <cell r="R333">
            <v>302</v>
          </cell>
          <cell r="S333"/>
          <cell r="T333">
            <v>302</v>
          </cell>
          <cell r="U333"/>
          <cell r="V333">
            <v>302</v>
          </cell>
          <cell r="W333"/>
          <cell r="X333">
            <v>302</v>
          </cell>
          <cell r="Y333"/>
          <cell r="Z333">
            <v>302</v>
          </cell>
          <cell r="AA333"/>
          <cell r="AB333"/>
          <cell r="AC333"/>
          <cell r="AD333">
            <v>0.1</v>
          </cell>
          <cell r="AE333"/>
          <cell r="AF333"/>
          <cell r="AG333"/>
          <cell r="AH333"/>
          <cell r="AI333"/>
          <cell r="AJ333"/>
          <cell r="AK333"/>
          <cell r="AL333"/>
        </row>
        <row r="334">
          <cell r="E334" t="str">
            <v>VE-CBox4角中54mm</v>
          </cell>
          <cell r="F334" t="str">
            <v>個</v>
          </cell>
          <cell r="G334"/>
          <cell r="H334">
            <v>324</v>
          </cell>
          <cell r="I334"/>
          <cell r="J334">
            <v>324</v>
          </cell>
          <cell r="K334"/>
          <cell r="L334">
            <v>324</v>
          </cell>
          <cell r="M334"/>
          <cell r="N334">
            <v>324</v>
          </cell>
          <cell r="O334"/>
          <cell r="P334">
            <v>324</v>
          </cell>
          <cell r="Q334"/>
          <cell r="R334">
            <v>324</v>
          </cell>
          <cell r="S334"/>
          <cell r="T334">
            <v>324</v>
          </cell>
          <cell r="U334"/>
          <cell r="V334">
            <v>324</v>
          </cell>
          <cell r="W334"/>
          <cell r="X334">
            <v>324</v>
          </cell>
          <cell r="Y334"/>
          <cell r="Z334">
            <v>324</v>
          </cell>
          <cell r="AA334"/>
          <cell r="AB334"/>
          <cell r="AC334"/>
          <cell r="AD334">
            <v>0.1</v>
          </cell>
          <cell r="AE334"/>
          <cell r="AF334"/>
          <cell r="AG334"/>
          <cell r="AH334"/>
          <cell r="AI334"/>
          <cell r="AJ334"/>
          <cell r="AK334"/>
          <cell r="AL334"/>
        </row>
        <row r="335">
          <cell r="E335" t="str">
            <v>VE-CBox4角中75mm</v>
          </cell>
          <cell r="F335" t="str">
            <v>個</v>
          </cell>
          <cell r="G335"/>
          <cell r="H335">
            <v>357</v>
          </cell>
          <cell r="I335"/>
          <cell r="J335">
            <v>357</v>
          </cell>
          <cell r="K335"/>
          <cell r="L335">
            <v>357</v>
          </cell>
          <cell r="M335"/>
          <cell r="N335">
            <v>357</v>
          </cell>
          <cell r="O335"/>
          <cell r="P335">
            <v>357</v>
          </cell>
          <cell r="Q335"/>
          <cell r="R335">
            <v>357</v>
          </cell>
          <cell r="S335"/>
          <cell r="T335">
            <v>357</v>
          </cell>
          <cell r="U335"/>
          <cell r="V335">
            <v>357</v>
          </cell>
          <cell r="W335"/>
          <cell r="X335">
            <v>357</v>
          </cell>
          <cell r="Y335"/>
          <cell r="Z335">
            <v>357</v>
          </cell>
          <cell r="AA335"/>
          <cell r="AB335"/>
          <cell r="AC335"/>
          <cell r="AD335">
            <v>0.1</v>
          </cell>
          <cell r="AE335"/>
          <cell r="AF335"/>
          <cell r="AG335"/>
          <cell r="AH335"/>
          <cell r="AI335"/>
          <cell r="AJ335"/>
          <cell r="AK335"/>
          <cell r="AL335"/>
        </row>
        <row r="336">
          <cell r="E336" t="str">
            <v>VE-CBox4角大44mm</v>
          </cell>
          <cell r="F336" t="str">
            <v>個</v>
          </cell>
          <cell r="G336"/>
          <cell r="H336">
            <v>522</v>
          </cell>
          <cell r="I336"/>
          <cell r="J336">
            <v>522</v>
          </cell>
          <cell r="K336"/>
          <cell r="L336">
            <v>522</v>
          </cell>
          <cell r="M336"/>
          <cell r="N336">
            <v>522</v>
          </cell>
          <cell r="O336"/>
          <cell r="P336">
            <v>522</v>
          </cell>
          <cell r="Q336"/>
          <cell r="R336">
            <v>522</v>
          </cell>
          <cell r="S336"/>
          <cell r="T336">
            <v>522</v>
          </cell>
          <cell r="U336"/>
          <cell r="V336">
            <v>522</v>
          </cell>
          <cell r="W336"/>
          <cell r="X336">
            <v>522</v>
          </cell>
          <cell r="Y336"/>
          <cell r="Z336">
            <v>522</v>
          </cell>
          <cell r="AA336"/>
          <cell r="AB336"/>
          <cell r="AC336"/>
          <cell r="AD336">
            <v>0.1</v>
          </cell>
          <cell r="AE336"/>
          <cell r="AF336"/>
          <cell r="AG336"/>
          <cell r="AH336"/>
          <cell r="AI336"/>
          <cell r="AJ336"/>
          <cell r="AK336"/>
          <cell r="AL336"/>
        </row>
        <row r="337">
          <cell r="E337" t="str">
            <v>VE-CBox4角大54mm</v>
          </cell>
          <cell r="F337" t="str">
            <v>個</v>
          </cell>
          <cell r="G337"/>
          <cell r="H337">
            <v>577</v>
          </cell>
          <cell r="I337"/>
          <cell r="J337">
            <v>577</v>
          </cell>
          <cell r="K337"/>
          <cell r="L337">
            <v>577</v>
          </cell>
          <cell r="M337"/>
          <cell r="N337">
            <v>577</v>
          </cell>
          <cell r="O337"/>
          <cell r="P337">
            <v>577</v>
          </cell>
          <cell r="Q337"/>
          <cell r="R337">
            <v>577</v>
          </cell>
          <cell r="S337"/>
          <cell r="T337">
            <v>577</v>
          </cell>
          <cell r="U337"/>
          <cell r="V337">
            <v>577</v>
          </cell>
          <cell r="W337"/>
          <cell r="X337">
            <v>577</v>
          </cell>
          <cell r="Y337"/>
          <cell r="Z337">
            <v>577</v>
          </cell>
          <cell r="AA337"/>
          <cell r="AB337"/>
          <cell r="AC337"/>
          <cell r="AD337">
            <v>0.1</v>
          </cell>
          <cell r="AE337"/>
          <cell r="AF337"/>
          <cell r="AG337"/>
          <cell r="AH337"/>
          <cell r="AI337"/>
          <cell r="AJ337"/>
          <cell r="AK337"/>
          <cell r="AL337"/>
        </row>
        <row r="338">
          <cell r="E338" t="str">
            <v>VE-CBox8角54mm</v>
          </cell>
          <cell r="F338" t="str">
            <v>個</v>
          </cell>
          <cell r="G338"/>
          <cell r="H338">
            <v>302</v>
          </cell>
          <cell r="I338"/>
          <cell r="J338">
            <v>302</v>
          </cell>
          <cell r="K338"/>
          <cell r="L338">
            <v>302</v>
          </cell>
          <cell r="M338"/>
          <cell r="N338">
            <v>302</v>
          </cell>
          <cell r="O338"/>
          <cell r="P338">
            <v>302</v>
          </cell>
          <cell r="Q338"/>
          <cell r="R338">
            <v>302</v>
          </cell>
          <cell r="S338"/>
          <cell r="T338">
            <v>302</v>
          </cell>
          <cell r="U338"/>
          <cell r="V338">
            <v>302</v>
          </cell>
          <cell r="W338"/>
          <cell r="X338">
            <v>302</v>
          </cell>
          <cell r="Y338"/>
          <cell r="Z338">
            <v>302</v>
          </cell>
          <cell r="AA338"/>
          <cell r="AB338"/>
          <cell r="AC338"/>
          <cell r="AD338">
            <v>0.1</v>
          </cell>
          <cell r="AE338"/>
          <cell r="AF338"/>
          <cell r="AG338"/>
          <cell r="AH338"/>
          <cell r="AI338"/>
          <cell r="AJ338"/>
          <cell r="AK338"/>
          <cell r="AL338"/>
        </row>
        <row r="339">
          <cell r="E339" t="str">
            <v>VE-CBox8角75mm</v>
          </cell>
          <cell r="F339" t="str">
            <v>個</v>
          </cell>
          <cell r="G339"/>
          <cell r="H339">
            <v>324</v>
          </cell>
          <cell r="I339"/>
          <cell r="J339">
            <v>324</v>
          </cell>
          <cell r="K339"/>
          <cell r="L339">
            <v>324</v>
          </cell>
          <cell r="M339"/>
          <cell r="N339">
            <v>324</v>
          </cell>
          <cell r="O339"/>
          <cell r="P339">
            <v>324</v>
          </cell>
          <cell r="Q339"/>
          <cell r="R339">
            <v>324</v>
          </cell>
          <cell r="S339"/>
          <cell r="T339">
            <v>324</v>
          </cell>
          <cell r="U339"/>
          <cell r="V339">
            <v>324</v>
          </cell>
          <cell r="W339"/>
          <cell r="X339">
            <v>324</v>
          </cell>
          <cell r="Y339"/>
          <cell r="Z339">
            <v>324</v>
          </cell>
          <cell r="AA339"/>
          <cell r="AB339"/>
          <cell r="AC339"/>
          <cell r="AD339">
            <v>0.1</v>
          </cell>
          <cell r="AE339"/>
          <cell r="AF339"/>
          <cell r="AG339"/>
          <cell r="AH339"/>
          <cell r="AI339"/>
          <cell r="AJ339"/>
          <cell r="AK339"/>
          <cell r="AL339"/>
        </row>
        <row r="340">
          <cell r="E340" t="str">
            <v>VE丸Box1方出14mm</v>
          </cell>
          <cell r="F340" t="str">
            <v>個</v>
          </cell>
          <cell r="G340"/>
          <cell r="H340">
            <v>172</v>
          </cell>
          <cell r="I340"/>
          <cell r="J340">
            <v>172</v>
          </cell>
          <cell r="K340"/>
          <cell r="L340">
            <v>172</v>
          </cell>
          <cell r="M340"/>
          <cell r="N340">
            <v>172</v>
          </cell>
          <cell r="O340"/>
          <cell r="P340">
            <v>172</v>
          </cell>
          <cell r="Q340"/>
          <cell r="R340">
            <v>172</v>
          </cell>
          <cell r="S340"/>
          <cell r="T340">
            <v>172</v>
          </cell>
          <cell r="U340"/>
          <cell r="V340">
            <v>172</v>
          </cell>
          <cell r="W340"/>
          <cell r="X340">
            <v>172</v>
          </cell>
          <cell r="Y340"/>
          <cell r="Z340">
            <v>172</v>
          </cell>
          <cell r="AA340"/>
          <cell r="AB340"/>
          <cell r="AC340"/>
          <cell r="AD340">
            <v>0.1</v>
          </cell>
          <cell r="AE340"/>
          <cell r="AF340"/>
          <cell r="AG340"/>
          <cell r="AH340"/>
          <cell r="AI340"/>
          <cell r="AJ340"/>
          <cell r="AK340"/>
          <cell r="AL340"/>
        </row>
        <row r="341">
          <cell r="E341" t="str">
            <v>VE丸Box2方出14mm</v>
          </cell>
          <cell r="F341" t="str">
            <v>個</v>
          </cell>
          <cell r="G341"/>
          <cell r="H341">
            <v>172</v>
          </cell>
          <cell r="I341"/>
          <cell r="J341">
            <v>172</v>
          </cell>
          <cell r="K341"/>
          <cell r="L341">
            <v>172</v>
          </cell>
          <cell r="M341"/>
          <cell r="N341">
            <v>172</v>
          </cell>
          <cell r="O341"/>
          <cell r="P341">
            <v>172</v>
          </cell>
          <cell r="Q341"/>
          <cell r="R341">
            <v>172</v>
          </cell>
          <cell r="S341"/>
          <cell r="T341">
            <v>172</v>
          </cell>
          <cell r="U341"/>
          <cell r="V341">
            <v>172</v>
          </cell>
          <cell r="W341"/>
          <cell r="X341">
            <v>172</v>
          </cell>
          <cell r="Y341"/>
          <cell r="Z341">
            <v>172</v>
          </cell>
          <cell r="AA341"/>
          <cell r="AB341"/>
          <cell r="AC341"/>
          <cell r="AD341">
            <v>0.1</v>
          </cell>
          <cell r="AE341"/>
          <cell r="AF341"/>
          <cell r="AG341"/>
          <cell r="AH341"/>
          <cell r="AI341"/>
          <cell r="AJ341"/>
          <cell r="AK341"/>
          <cell r="AL341"/>
        </row>
        <row r="342">
          <cell r="E342" t="str">
            <v>VE丸Box3方出14mm</v>
          </cell>
          <cell r="F342" t="str">
            <v>個</v>
          </cell>
          <cell r="G342"/>
          <cell r="H342">
            <v>172</v>
          </cell>
          <cell r="I342"/>
          <cell r="J342">
            <v>172</v>
          </cell>
          <cell r="K342"/>
          <cell r="L342">
            <v>172</v>
          </cell>
          <cell r="M342"/>
          <cell r="N342">
            <v>172</v>
          </cell>
          <cell r="O342"/>
          <cell r="P342">
            <v>172</v>
          </cell>
          <cell r="Q342"/>
          <cell r="R342">
            <v>172</v>
          </cell>
          <cell r="S342"/>
          <cell r="T342">
            <v>172</v>
          </cell>
          <cell r="U342"/>
          <cell r="V342">
            <v>172</v>
          </cell>
          <cell r="W342"/>
          <cell r="X342">
            <v>172</v>
          </cell>
          <cell r="Y342"/>
          <cell r="Z342">
            <v>172</v>
          </cell>
          <cell r="AA342"/>
          <cell r="AB342"/>
          <cell r="AC342"/>
          <cell r="AD342">
            <v>0.1</v>
          </cell>
          <cell r="AE342"/>
          <cell r="AF342"/>
          <cell r="AG342"/>
          <cell r="AH342"/>
          <cell r="AI342"/>
          <cell r="AJ342"/>
          <cell r="AK342"/>
          <cell r="AL342"/>
        </row>
        <row r="343">
          <cell r="E343" t="str">
            <v>VE丸Box4方出14mm</v>
          </cell>
          <cell r="F343" t="str">
            <v>個</v>
          </cell>
          <cell r="G343"/>
          <cell r="H343">
            <v>172</v>
          </cell>
          <cell r="I343"/>
          <cell r="J343">
            <v>172</v>
          </cell>
          <cell r="K343"/>
          <cell r="L343">
            <v>172</v>
          </cell>
          <cell r="M343"/>
          <cell r="N343">
            <v>172</v>
          </cell>
          <cell r="O343"/>
          <cell r="P343">
            <v>172</v>
          </cell>
          <cell r="Q343"/>
          <cell r="R343">
            <v>172</v>
          </cell>
          <cell r="S343"/>
          <cell r="T343">
            <v>172</v>
          </cell>
          <cell r="U343"/>
          <cell r="V343">
            <v>172</v>
          </cell>
          <cell r="W343"/>
          <cell r="X343">
            <v>172</v>
          </cell>
          <cell r="Y343"/>
          <cell r="Z343">
            <v>172</v>
          </cell>
          <cell r="AA343"/>
          <cell r="AB343"/>
          <cell r="AC343"/>
          <cell r="AD343">
            <v>0.1</v>
          </cell>
          <cell r="AE343"/>
          <cell r="AF343"/>
          <cell r="AG343"/>
          <cell r="AH343"/>
          <cell r="AI343"/>
          <cell r="AJ343"/>
          <cell r="AK343"/>
          <cell r="AL343"/>
        </row>
        <row r="344">
          <cell r="E344" t="str">
            <v>VE丸Box1方出16mm</v>
          </cell>
          <cell r="F344" t="str">
            <v>個</v>
          </cell>
          <cell r="G344"/>
          <cell r="H344">
            <v>176</v>
          </cell>
          <cell r="I344"/>
          <cell r="J344">
            <v>176</v>
          </cell>
          <cell r="K344"/>
          <cell r="L344">
            <v>176</v>
          </cell>
          <cell r="M344"/>
          <cell r="N344">
            <v>176</v>
          </cell>
          <cell r="O344"/>
          <cell r="P344">
            <v>176</v>
          </cell>
          <cell r="Q344"/>
          <cell r="R344">
            <v>176</v>
          </cell>
          <cell r="S344"/>
          <cell r="T344">
            <v>176</v>
          </cell>
          <cell r="U344"/>
          <cell r="V344">
            <v>176</v>
          </cell>
          <cell r="W344"/>
          <cell r="X344">
            <v>176</v>
          </cell>
          <cell r="Y344"/>
          <cell r="Z344">
            <v>176</v>
          </cell>
          <cell r="AA344"/>
          <cell r="AB344"/>
          <cell r="AC344"/>
          <cell r="AD344">
            <v>0.1</v>
          </cell>
          <cell r="AE344"/>
          <cell r="AF344"/>
          <cell r="AG344"/>
          <cell r="AH344"/>
          <cell r="AI344"/>
          <cell r="AJ344"/>
          <cell r="AK344"/>
          <cell r="AL344"/>
        </row>
        <row r="345">
          <cell r="E345" t="str">
            <v>VE丸Box2方出16mm</v>
          </cell>
          <cell r="F345" t="str">
            <v>個</v>
          </cell>
          <cell r="G345"/>
          <cell r="H345">
            <v>176</v>
          </cell>
          <cell r="I345"/>
          <cell r="J345">
            <v>176</v>
          </cell>
          <cell r="K345"/>
          <cell r="L345">
            <v>176</v>
          </cell>
          <cell r="M345"/>
          <cell r="N345">
            <v>176</v>
          </cell>
          <cell r="O345"/>
          <cell r="P345">
            <v>176</v>
          </cell>
          <cell r="Q345"/>
          <cell r="R345">
            <v>176</v>
          </cell>
          <cell r="S345"/>
          <cell r="T345">
            <v>176</v>
          </cell>
          <cell r="U345"/>
          <cell r="V345">
            <v>176</v>
          </cell>
          <cell r="W345"/>
          <cell r="X345">
            <v>176</v>
          </cell>
          <cell r="Y345"/>
          <cell r="Z345">
            <v>176</v>
          </cell>
          <cell r="AA345"/>
          <cell r="AB345"/>
          <cell r="AC345"/>
          <cell r="AD345">
            <v>0.1</v>
          </cell>
          <cell r="AE345"/>
          <cell r="AF345"/>
          <cell r="AG345"/>
          <cell r="AH345"/>
          <cell r="AI345"/>
          <cell r="AJ345"/>
          <cell r="AK345"/>
          <cell r="AL345"/>
        </row>
        <row r="346">
          <cell r="E346" t="str">
            <v>VE丸Box3方出16mm</v>
          </cell>
          <cell r="F346" t="str">
            <v>個</v>
          </cell>
          <cell r="G346"/>
          <cell r="H346">
            <v>176</v>
          </cell>
          <cell r="I346"/>
          <cell r="J346">
            <v>176</v>
          </cell>
          <cell r="K346"/>
          <cell r="L346">
            <v>176</v>
          </cell>
          <cell r="M346"/>
          <cell r="N346">
            <v>176</v>
          </cell>
          <cell r="O346"/>
          <cell r="P346">
            <v>176</v>
          </cell>
          <cell r="Q346"/>
          <cell r="R346">
            <v>176</v>
          </cell>
          <cell r="S346"/>
          <cell r="T346">
            <v>176</v>
          </cell>
          <cell r="U346"/>
          <cell r="V346">
            <v>176</v>
          </cell>
          <cell r="W346"/>
          <cell r="X346">
            <v>176</v>
          </cell>
          <cell r="Y346"/>
          <cell r="Z346">
            <v>176</v>
          </cell>
          <cell r="AA346"/>
          <cell r="AB346"/>
          <cell r="AC346"/>
          <cell r="AD346">
            <v>0.1</v>
          </cell>
          <cell r="AE346"/>
          <cell r="AF346"/>
          <cell r="AG346"/>
          <cell r="AH346"/>
          <cell r="AI346"/>
          <cell r="AJ346"/>
          <cell r="AK346"/>
          <cell r="AL346"/>
        </row>
        <row r="347">
          <cell r="E347" t="str">
            <v>VE丸Box4方出16mm</v>
          </cell>
          <cell r="F347" t="str">
            <v>個</v>
          </cell>
          <cell r="G347"/>
          <cell r="H347">
            <v>176</v>
          </cell>
          <cell r="I347"/>
          <cell r="J347">
            <v>176</v>
          </cell>
          <cell r="K347"/>
          <cell r="L347">
            <v>176</v>
          </cell>
          <cell r="M347"/>
          <cell r="N347">
            <v>176</v>
          </cell>
          <cell r="O347"/>
          <cell r="P347">
            <v>176</v>
          </cell>
          <cell r="Q347"/>
          <cell r="R347">
            <v>176</v>
          </cell>
          <cell r="S347"/>
          <cell r="T347">
            <v>176</v>
          </cell>
          <cell r="U347"/>
          <cell r="V347">
            <v>176</v>
          </cell>
          <cell r="W347"/>
          <cell r="X347">
            <v>176</v>
          </cell>
          <cell r="Y347"/>
          <cell r="Z347">
            <v>176</v>
          </cell>
          <cell r="AA347"/>
          <cell r="AB347"/>
          <cell r="AC347"/>
          <cell r="AD347">
            <v>0.1</v>
          </cell>
          <cell r="AE347"/>
          <cell r="AF347"/>
          <cell r="AG347"/>
          <cell r="AH347"/>
          <cell r="AI347"/>
          <cell r="AJ347"/>
          <cell r="AK347"/>
          <cell r="AL347"/>
        </row>
        <row r="348">
          <cell r="E348" t="str">
            <v>VE丸Box1方出22mm</v>
          </cell>
          <cell r="F348" t="str">
            <v>個</v>
          </cell>
          <cell r="G348"/>
          <cell r="H348">
            <v>193</v>
          </cell>
          <cell r="I348"/>
          <cell r="J348">
            <v>193</v>
          </cell>
          <cell r="K348"/>
          <cell r="L348">
            <v>193</v>
          </cell>
          <cell r="M348"/>
          <cell r="N348">
            <v>193</v>
          </cell>
          <cell r="O348"/>
          <cell r="P348">
            <v>193</v>
          </cell>
          <cell r="Q348"/>
          <cell r="R348">
            <v>193</v>
          </cell>
          <cell r="S348"/>
          <cell r="T348">
            <v>193</v>
          </cell>
          <cell r="U348"/>
          <cell r="V348">
            <v>193</v>
          </cell>
          <cell r="W348"/>
          <cell r="X348">
            <v>193</v>
          </cell>
          <cell r="Y348"/>
          <cell r="Z348">
            <v>193</v>
          </cell>
          <cell r="AA348"/>
          <cell r="AB348"/>
          <cell r="AC348"/>
          <cell r="AD348">
            <v>0.1</v>
          </cell>
          <cell r="AE348"/>
          <cell r="AF348"/>
          <cell r="AG348"/>
          <cell r="AH348"/>
          <cell r="AI348"/>
          <cell r="AJ348"/>
          <cell r="AK348"/>
          <cell r="AL348"/>
        </row>
        <row r="349">
          <cell r="E349" t="str">
            <v>VE丸Box2方出22mm</v>
          </cell>
          <cell r="F349" t="str">
            <v>個</v>
          </cell>
          <cell r="G349"/>
          <cell r="H349">
            <v>193</v>
          </cell>
          <cell r="I349"/>
          <cell r="J349">
            <v>193</v>
          </cell>
          <cell r="K349"/>
          <cell r="L349">
            <v>193</v>
          </cell>
          <cell r="M349"/>
          <cell r="N349">
            <v>193</v>
          </cell>
          <cell r="O349"/>
          <cell r="P349">
            <v>193</v>
          </cell>
          <cell r="Q349"/>
          <cell r="R349">
            <v>193</v>
          </cell>
          <cell r="S349"/>
          <cell r="T349">
            <v>193</v>
          </cell>
          <cell r="U349"/>
          <cell r="V349">
            <v>193</v>
          </cell>
          <cell r="W349"/>
          <cell r="X349">
            <v>193</v>
          </cell>
          <cell r="Y349"/>
          <cell r="Z349">
            <v>193</v>
          </cell>
          <cell r="AA349"/>
          <cell r="AB349"/>
          <cell r="AC349"/>
          <cell r="AD349">
            <v>0.1</v>
          </cell>
          <cell r="AE349"/>
          <cell r="AF349"/>
          <cell r="AG349"/>
          <cell r="AH349"/>
          <cell r="AI349"/>
          <cell r="AJ349"/>
          <cell r="AK349"/>
          <cell r="AL349"/>
        </row>
        <row r="350">
          <cell r="E350" t="str">
            <v>VE丸Box3方出22mm</v>
          </cell>
          <cell r="F350" t="str">
            <v>個</v>
          </cell>
          <cell r="G350"/>
          <cell r="H350">
            <v>193</v>
          </cell>
          <cell r="I350"/>
          <cell r="J350">
            <v>193</v>
          </cell>
          <cell r="K350"/>
          <cell r="L350">
            <v>193</v>
          </cell>
          <cell r="M350"/>
          <cell r="N350">
            <v>193</v>
          </cell>
          <cell r="O350"/>
          <cell r="P350">
            <v>193</v>
          </cell>
          <cell r="Q350"/>
          <cell r="R350">
            <v>193</v>
          </cell>
          <cell r="S350"/>
          <cell r="T350">
            <v>193</v>
          </cell>
          <cell r="U350"/>
          <cell r="V350">
            <v>193</v>
          </cell>
          <cell r="W350"/>
          <cell r="X350">
            <v>193</v>
          </cell>
          <cell r="Y350"/>
          <cell r="Z350">
            <v>193</v>
          </cell>
          <cell r="AA350"/>
          <cell r="AB350"/>
          <cell r="AC350"/>
          <cell r="AD350">
            <v>0.1</v>
          </cell>
          <cell r="AE350"/>
          <cell r="AF350"/>
          <cell r="AG350"/>
          <cell r="AH350"/>
          <cell r="AI350"/>
          <cell r="AJ350"/>
          <cell r="AK350"/>
          <cell r="AL350"/>
        </row>
        <row r="351">
          <cell r="E351" t="str">
            <v>VE丸Box4方出22mm</v>
          </cell>
          <cell r="F351" t="str">
            <v>個</v>
          </cell>
          <cell r="G351"/>
          <cell r="H351">
            <v>193</v>
          </cell>
          <cell r="I351"/>
          <cell r="J351">
            <v>193</v>
          </cell>
          <cell r="K351"/>
          <cell r="L351">
            <v>193</v>
          </cell>
          <cell r="M351"/>
          <cell r="N351">
            <v>193</v>
          </cell>
          <cell r="O351"/>
          <cell r="P351">
            <v>193</v>
          </cell>
          <cell r="Q351"/>
          <cell r="R351">
            <v>193</v>
          </cell>
          <cell r="S351"/>
          <cell r="T351">
            <v>193</v>
          </cell>
          <cell r="U351"/>
          <cell r="V351">
            <v>193</v>
          </cell>
          <cell r="W351"/>
          <cell r="X351">
            <v>193</v>
          </cell>
          <cell r="Y351"/>
          <cell r="Z351">
            <v>193</v>
          </cell>
          <cell r="AA351"/>
          <cell r="AB351"/>
          <cell r="AC351"/>
          <cell r="AD351">
            <v>0.1</v>
          </cell>
          <cell r="AE351"/>
          <cell r="AF351"/>
          <cell r="AG351"/>
          <cell r="AH351"/>
          <cell r="AI351"/>
          <cell r="AJ351"/>
          <cell r="AK351"/>
          <cell r="AL351"/>
        </row>
        <row r="352">
          <cell r="E352" t="str">
            <v>VE丸Box1方出28mm</v>
          </cell>
          <cell r="F352" t="str">
            <v>個</v>
          </cell>
          <cell r="G352"/>
          <cell r="H352">
            <v>361</v>
          </cell>
          <cell r="I352"/>
          <cell r="J352">
            <v>361</v>
          </cell>
          <cell r="K352"/>
          <cell r="L352">
            <v>361</v>
          </cell>
          <cell r="M352"/>
          <cell r="N352">
            <v>361</v>
          </cell>
          <cell r="O352"/>
          <cell r="P352">
            <v>361</v>
          </cell>
          <cell r="Q352"/>
          <cell r="R352">
            <v>361</v>
          </cell>
          <cell r="S352"/>
          <cell r="T352">
            <v>361</v>
          </cell>
          <cell r="U352"/>
          <cell r="V352">
            <v>361</v>
          </cell>
          <cell r="W352"/>
          <cell r="X352">
            <v>361</v>
          </cell>
          <cell r="Y352"/>
          <cell r="Z352">
            <v>361</v>
          </cell>
          <cell r="AA352"/>
          <cell r="AB352"/>
          <cell r="AC352"/>
          <cell r="AD352">
            <v>0.1</v>
          </cell>
          <cell r="AE352"/>
          <cell r="AF352"/>
          <cell r="AG352"/>
          <cell r="AH352"/>
          <cell r="AI352"/>
          <cell r="AJ352"/>
          <cell r="AK352"/>
          <cell r="AL352"/>
        </row>
        <row r="353">
          <cell r="E353" t="str">
            <v>VE丸Box2方出28mm</v>
          </cell>
          <cell r="F353" t="str">
            <v>個</v>
          </cell>
          <cell r="G353"/>
          <cell r="H353">
            <v>361</v>
          </cell>
          <cell r="I353"/>
          <cell r="J353">
            <v>361</v>
          </cell>
          <cell r="K353"/>
          <cell r="L353">
            <v>361</v>
          </cell>
          <cell r="M353"/>
          <cell r="N353">
            <v>361</v>
          </cell>
          <cell r="O353"/>
          <cell r="P353">
            <v>361</v>
          </cell>
          <cell r="Q353"/>
          <cell r="R353">
            <v>361</v>
          </cell>
          <cell r="S353"/>
          <cell r="T353">
            <v>361</v>
          </cell>
          <cell r="U353"/>
          <cell r="V353">
            <v>361</v>
          </cell>
          <cell r="W353"/>
          <cell r="X353">
            <v>361</v>
          </cell>
          <cell r="Y353"/>
          <cell r="Z353">
            <v>361</v>
          </cell>
          <cell r="AA353"/>
          <cell r="AB353"/>
          <cell r="AC353"/>
          <cell r="AD353">
            <v>0.1</v>
          </cell>
          <cell r="AE353"/>
          <cell r="AF353"/>
          <cell r="AG353"/>
          <cell r="AH353"/>
          <cell r="AI353"/>
          <cell r="AJ353"/>
          <cell r="AK353"/>
          <cell r="AL353"/>
        </row>
        <row r="354">
          <cell r="E354" t="str">
            <v>VE丸Box3方出28mm</v>
          </cell>
          <cell r="F354" t="str">
            <v>個</v>
          </cell>
          <cell r="G354"/>
          <cell r="H354">
            <v>361</v>
          </cell>
          <cell r="I354"/>
          <cell r="J354">
            <v>361</v>
          </cell>
          <cell r="K354"/>
          <cell r="L354">
            <v>361</v>
          </cell>
          <cell r="M354"/>
          <cell r="N354">
            <v>361</v>
          </cell>
          <cell r="O354"/>
          <cell r="P354">
            <v>361</v>
          </cell>
          <cell r="Q354"/>
          <cell r="R354">
            <v>361</v>
          </cell>
          <cell r="S354"/>
          <cell r="T354">
            <v>361</v>
          </cell>
          <cell r="U354"/>
          <cell r="V354">
            <v>361</v>
          </cell>
          <cell r="W354"/>
          <cell r="X354">
            <v>361</v>
          </cell>
          <cell r="Y354"/>
          <cell r="Z354">
            <v>361</v>
          </cell>
          <cell r="AA354"/>
          <cell r="AB354"/>
          <cell r="AC354"/>
          <cell r="AD354">
            <v>0.1</v>
          </cell>
          <cell r="AE354"/>
          <cell r="AF354"/>
          <cell r="AG354"/>
          <cell r="AH354"/>
          <cell r="AI354"/>
          <cell r="AJ354"/>
          <cell r="AK354"/>
          <cell r="AL354"/>
        </row>
        <row r="355">
          <cell r="E355" t="str">
            <v>VE丸Box4方出28mm</v>
          </cell>
          <cell r="F355" t="str">
            <v>個</v>
          </cell>
          <cell r="G355"/>
          <cell r="H355">
            <v>361</v>
          </cell>
          <cell r="I355"/>
          <cell r="J355">
            <v>361</v>
          </cell>
          <cell r="K355"/>
          <cell r="L355">
            <v>361</v>
          </cell>
          <cell r="M355"/>
          <cell r="N355">
            <v>361</v>
          </cell>
          <cell r="O355"/>
          <cell r="P355">
            <v>361</v>
          </cell>
          <cell r="Q355"/>
          <cell r="R355">
            <v>361</v>
          </cell>
          <cell r="S355"/>
          <cell r="T355">
            <v>361</v>
          </cell>
          <cell r="U355"/>
          <cell r="V355">
            <v>361</v>
          </cell>
          <cell r="W355"/>
          <cell r="X355">
            <v>361</v>
          </cell>
          <cell r="Y355"/>
          <cell r="Z355">
            <v>361</v>
          </cell>
          <cell r="AA355"/>
          <cell r="AB355"/>
          <cell r="AC355"/>
          <cell r="AD355">
            <v>0.1</v>
          </cell>
          <cell r="AE355"/>
          <cell r="AF355"/>
          <cell r="AG355"/>
          <cell r="AH355"/>
          <cell r="AI355"/>
          <cell r="AJ355"/>
          <cell r="AK355"/>
          <cell r="AL355"/>
        </row>
        <row r="356">
          <cell r="E356" t="str">
            <v>VE丸Box1方出36mm</v>
          </cell>
          <cell r="F356" t="str">
            <v>個</v>
          </cell>
          <cell r="G356"/>
          <cell r="H356">
            <v>533</v>
          </cell>
          <cell r="I356"/>
          <cell r="J356">
            <v>533</v>
          </cell>
          <cell r="K356"/>
          <cell r="L356">
            <v>533</v>
          </cell>
          <cell r="M356"/>
          <cell r="N356">
            <v>533</v>
          </cell>
          <cell r="O356"/>
          <cell r="P356">
            <v>533</v>
          </cell>
          <cell r="Q356"/>
          <cell r="R356">
            <v>533</v>
          </cell>
          <cell r="S356"/>
          <cell r="T356">
            <v>533</v>
          </cell>
          <cell r="U356"/>
          <cell r="V356">
            <v>533</v>
          </cell>
          <cell r="W356"/>
          <cell r="X356">
            <v>533</v>
          </cell>
          <cell r="Y356"/>
          <cell r="Z356">
            <v>533</v>
          </cell>
          <cell r="AA356"/>
          <cell r="AB356"/>
          <cell r="AC356"/>
          <cell r="AD356">
            <v>0.1</v>
          </cell>
          <cell r="AE356"/>
          <cell r="AF356"/>
          <cell r="AG356"/>
          <cell r="AH356"/>
          <cell r="AI356"/>
          <cell r="AJ356"/>
          <cell r="AK356"/>
          <cell r="AL356"/>
        </row>
        <row r="357">
          <cell r="E357" t="str">
            <v>VE丸Box2方出36mm</v>
          </cell>
          <cell r="F357" t="str">
            <v>個</v>
          </cell>
          <cell r="G357"/>
          <cell r="H357">
            <v>533</v>
          </cell>
          <cell r="I357"/>
          <cell r="J357">
            <v>533</v>
          </cell>
          <cell r="K357"/>
          <cell r="L357">
            <v>533</v>
          </cell>
          <cell r="M357"/>
          <cell r="N357">
            <v>533</v>
          </cell>
          <cell r="O357"/>
          <cell r="P357">
            <v>533</v>
          </cell>
          <cell r="Q357"/>
          <cell r="R357">
            <v>533</v>
          </cell>
          <cell r="S357"/>
          <cell r="T357">
            <v>533</v>
          </cell>
          <cell r="U357"/>
          <cell r="V357">
            <v>533</v>
          </cell>
          <cell r="W357"/>
          <cell r="X357">
            <v>533</v>
          </cell>
          <cell r="Y357"/>
          <cell r="Z357">
            <v>533</v>
          </cell>
          <cell r="AA357"/>
          <cell r="AB357"/>
          <cell r="AC357"/>
          <cell r="AD357">
            <v>0.1</v>
          </cell>
          <cell r="AE357"/>
          <cell r="AF357"/>
          <cell r="AG357"/>
          <cell r="AH357"/>
          <cell r="AI357"/>
          <cell r="AJ357"/>
          <cell r="AK357"/>
          <cell r="AL357"/>
        </row>
        <row r="358">
          <cell r="E358" t="str">
            <v>VE丸Box3方出36mm</v>
          </cell>
          <cell r="F358" t="str">
            <v>個</v>
          </cell>
          <cell r="G358"/>
          <cell r="H358">
            <v>533</v>
          </cell>
          <cell r="I358"/>
          <cell r="J358">
            <v>533</v>
          </cell>
          <cell r="K358"/>
          <cell r="L358">
            <v>533</v>
          </cell>
          <cell r="M358"/>
          <cell r="N358">
            <v>533</v>
          </cell>
          <cell r="O358"/>
          <cell r="P358">
            <v>533</v>
          </cell>
          <cell r="Q358"/>
          <cell r="R358">
            <v>533</v>
          </cell>
          <cell r="S358"/>
          <cell r="T358">
            <v>533</v>
          </cell>
          <cell r="U358"/>
          <cell r="V358">
            <v>533</v>
          </cell>
          <cell r="W358"/>
          <cell r="X358">
            <v>533</v>
          </cell>
          <cell r="Y358"/>
          <cell r="Z358">
            <v>533</v>
          </cell>
          <cell r="AA358"/>
          <cell r="AB358"/>
          <cell r="AC358"/>
          <cell r="AD358">
            <v>0.1</v>
          </cell>
          <cell r="AE358"/>
          <cell r="AF358"/>
          <cell r="AG358"/>
          <cell r="AH358"/>
          <cell r="AI358"/>
          <cell r="AJ358"/>
          <cell r="AK358"/>
          <cell r="AL358"/>
        </row>
        <row r="359">
          <cell r="E359" t="str">
            <v>VE丸Box4方出36mm</v>
          </cell>
          <cell r="F359" t="str">
            <v>個</v>
          </cell>
          <cell r="G359"/>
          <cell r="H359">
            <v>533</v>
          </cell>
          <cell r="I359"/>
          <cell r="J359">
            <v>533</v>
          </cell>
          <cell r="K359"/>
          <cell r="L359">
            <v>533</v>
          </cell>
          <cell r="M359"/>
          <cell r="N359">
            <v>533</v>
          </cell>
          <cell r="O359"/>
          <cell r="P359">
            <v>533</v>
          </cell>
          <cell r="Q359"/>
          <cell r="R359">
            <v>533</v>
          </cell>
          <cell r="S359"/>
          <cell r="T359">
            <v>533</v>
          </cell>
          <cell r="U359"/>
          <cell r="V359">
            <v>533</v>
          </cell>
          <cell r="W359"/>
          <cell r="X359">
            <v>533</v>
          </cell>
          <cell r="Y359"/>
          <cell r="Z359">
            <v>533</v>
          </cell>
          <cell r="AA359"/>
          <cell r="AB359"/>
          <cell r="AC359"/>
          <cell r="AD359">
            <v>0.1</v>
          </cell>
          <cell r="AE359"/>
          <cell r="AF359"/>
          <cell r="AG359"/>
          <cell r="AH359"/>
          <cell r="AI359"/>
          <cell r="AJ359"/>
          <cell r="AK359"/>
          <cell r="AL359"/>
        </row>
        <row r="360">
          <cell r="E360" t="str">
            <v>VE-SBox1-1方出14mm</v>
          </cell>
          <cell r="F360" t="str">
            <v>個</v>
          </cell>
          <cell r="G360"/>
          <cell r="H360">
            <v>189</v>
          </cell>
          <cell r="I360"/>
          <cell r="J360">
            <v>189</v>
          </cell>
          <cell r="K360"/>
          <cell r="L360">
            <v>189</v>
          </cell>
          <cell r="M360"/>
          <cell r="N360">
            <v>189</v>
          </cell>
          <cell r="O360"/>
          <cell r="P360">
            <v>189</v>
          </cell>
          <cell r="Q360"/>
          <cell r="R360">
            <v>189</v>
          </cell>
          <cell r="S360"/>
          <cell r="T360">
            <v>189</v>
          </cell>
          <cell r="U360"/>
          <cell r="V360">
            <v>189</v>
          </cell>
          <cell r="W360"/>
          <cell r="X360">
            <v>189</v>
          </cell>
          <cell r="Y360"/>
          <cell r="Z360">
            <v>189</v>
          </cell>
          <cell r="AA360"/>
          <cell r="AB360"/>
          <cell r="AC360"/>
          <cell r="AD360">
            <v>0.1</v>
          </cell>
          <cell r="AE360"/>
          <cell r="AF360"/>
          <cell r="AG360"/>
          <cell r="AH360"/>
          <cell r="AI360"/>
          <cell r="AJ360"/>
          <cell r="AK360"/>
          <cell r="AL360"/>
        </row>
        <row r="361">
          <cell r="E361" t="str">
            <v>VE-SBox1-2方出14mm</v>
          </cell>
          <cell r="F361" t="str">
            <v>個</v>
          </cell>
          <cell r="G361"/>
          <cell r="H361">
            <v>189</v>
          </cell>
          <cell r="I361"/>
          <cell r="J361">
            <v>189</v>
          </cell>
          <cell r="K361"/>
          <cell r="L361">
            <v>189</v>
          </cell>
          <cell r="M361"/>
          <cell r="N361">
            <v>189</v>
          </cell>
          <cell r="O361"/>
          <cell r="P361">
            <v>189</v>
          </cell>
          <cell r="Q361"/>
          <cell r="R361">
            <v>189</v>
          </cell>
          <cell r="S361"/>
          <cell r="T361">
            <v>189</v>
          </cell>
          <cell r="U361"/>
          <cell r="V361">
            <v>189</v>
          </cell>
          <cell r="W361"/>
          <cell r="X361">
            <v>189</v>
          </cell>
          <cell r="Y361"/>
          <cell r="Z361">
            <v>189</v>
          </cell>
          <cell r="AA361"/>
          <cell r="AB361"/>
          <cell r="AC361"/>
          <cell r="AD361">
            <v>0.1</v>
          </cell>
          <cell r="AE361"/>
          <cell r="AF361"/>
          <cell r="AG361"/>
          <cell r="AH361"/>
          <cell r="AI361"/>
          <cell r="AJ361"/>
          <cell r="AK361"/>
          <cell r="AL361"/>
        </row>
        <row r="362">
          <cell r="E362" t="str">
            <v>VE-SBox2-1方出14mm</v>
          </cell>
          <cell r="F362" t="str">
            <v>個</v>
          </cell>
          <cell r="G362"/>
          <cell r="H362">
            <v>279</v>
          </cell>
          <cell r="I362"/>
          <cell r="J362">
            <v>279</v>
          </cell>
          <cell r="K362"/>
          <cell r="L362">
            <v>279</v>
          </cell>
          <cell r="M362"/>
          <cell r="N362">
            <v>279</v>
          </cell>
          <cell r="O362"/>
          <cell r="P362">
            <v>279</v>
          </cell>
          <cell r="Q362"/>
          <cell r="R362">
            <v>279</v>
          </cell>
          <cell r="S362"/>
          <cell r="T362">
            <v>279</v>
          </cell>
          <cell r="U362"/>
          <cell r="V362">
            <v>279</v>
          </cell>
          <cell r="W362"/>
          <cell r="X362">
            <v>279</v>
          </cell>
          <cell r="Y362"/>
          <cell r="Z362">
            <v>279</v>
          </cell>
          <cell r="AA362"/>
          <cell r="AB362"/>
          <cell r="AC362"/>
          <cell r="AD362">
            <v>0.1</v>
          </cell>
          <cell r="AE362"/>
          <cell r="AF362"/>
          <cell r="AG362"/>
          <cell r="AH362"/>
          <cell r="AI362"/>
          <cell r="AJ362"/>
          <cell r="AK362"/>
          <cell r="AL362"/>
        </row>
        <row r="363">
          <cell r="E363" t="str">
            <v>VE-SBox3-1方出14mm</v>
          </cell>
          <cell r="F363" t="str">
            <v>個</v>
          </cell>
          <cell r="G363"/>
          <cell r="H363">
            <v>1370</v>
          </cell>
          <cell r="I363"/>
          <cell r="J363">
            <v>1370</v>
          </cell>
          <cell r="K363"/>
          <cell r="L363">
            <v>1370</v>
          </cell>
          <cell r="M363"/>
          <cell r="N363">
            <v>1370</v>
          </cell>
          <cell r="O363"/>
          <cell r="P363">
            <v>1370</v>
          </cell>
          <cell r="Q363"/>
          <cell r="R363">
            <v>1370</v>
          </cell>
          <cell r="S363"/>
          <cell r="T363">
            <v>1370</v>
          </cell>
          <cell r="U363"/>
          <cell r="V363">
            <v>1370</v>
          </cell>
          <cell r="W363"/>
          <cell r="X363">
            <v>1370</v>
          </cell>
          <cell r="Y363"/>
          <cell r="Z363">
            <v>1370</v>
          </cell>
          <cell r="AA363"/>
          <cell r="AB363"/>
          <cell r="AC363"/>
          <cell r="AD363">
            <v>0.1</v>
          </cell>
          <cell r="AE363"/>
          <cell r="AF363"/>
          <cell r="AG363"/>
          <cell r="AH363"/>
          <cell r="AI363"/>
          <cell r="AJ363"/>
          <cell r="AK363"/>
          <cell r="AL363"/>
        </row>
        <row r="364">
          <cell r="E364" t="str">
            <v>VE-SBox1-1方出16mm</v>
          </cell>
          <cell r="F364" t="str">
            <v>個</v>
          </cell>
          <cell r="G364"/>
          <cell r="H364">
            <v>193</v>
          </cell>
          <cell r="I364"/>
          <cell r="J364">
            <v>193</v>
          </cell>
          <cell r="K364"/>
          <cell r="L364">
            <v>193</v>
          </cell>
          <cell r="M364"/>
          <cell r="N364">
            <v>193</v>
          </cell>
          <cell r="O364"/>
          <cell r="P364">
            <v>193</v>
          </cell>
          <cell r="Q364"/>
          <cell r="R364">
            <v>193</v>
          </cell>
          <cell r="S364"/>
          <cell r="T364">
            <v>193</v>
          </cell>
          <cell r="U364"/>
          <cell r="V364">
            <v>193</v>
          </cell>
          <cell r="W364"/>
          <cell r="X364">
            <v>193</v>
          </cell>
          <cell r="Y364"/>
          <cell r="Z364">
            <v>193</v>
          </cell>
          <cell r="AA364"/>
          <cell r="AB364"/>
          <cell r="AC364"/>
          <cell r="AD364">
            <v>0.1</v>
          </cell>
          <cell r="AE364"/>
          <cell r="AF364"/>
          <cell r="AG364"/>
          <cell r="AH364"/>
          <cell r="AI364"/>
          <cell r="AJ364"/>
          <cell r="AK364"/>
          <cell r="AL364"/>
        </row>
        <row r="365">
          <cell r="E365" t="str">
            <v>VE-SBox1-2方出16mm</v>
          </cell>
          <cell r="F365" t="str">
            <v>個</v>
          </cell>
          <cell r="G365"/>
          <cell r="H365">
            <v>193</v>
          </cell>
          <cell r="I365"/>
          <cell r="J365">
            <v>193</v>
          </cell>
          <cell r="K365"/>
          <cell r="L365">
            <v>193</v>
          </cell>
          <cell r="M365"/>
          <cell r="N365">
            <v>193</v>
          </cell>
          <cell r="O365"/>
          <cell r="P365">
            <v>193</v>
          </cell>
          <cell r="Q365"/>
          <cell r="R365">
            <v>193</v>
          </cell>
          <cell r="S365"/>
          <cell r="T365">
            <v>193</v>
          </cell>
          <cell r="U365"/>
          <cell r="V365">
            <v>193</v>
          </cell>
          <cell r="W365"/>
          <cell r="X365">
            <v>193</v>
          </cell>
          <cell r="Y365"/>
          <cell r="Z365">
            <v>193</v>
          </cell>
          <cell r="AA365"/>
          <cell r="AB365"/>
          <cell r="AC365"/>
          <cell r="AD365">
            <v>0.1</v>
          </cell>
          <cell r="AE365"/>
          <cell r="AF365"/>
          <cell r="AG365"/>
          <cell r="AH365"/>
          <cell r="AI365"/>
          <cell r="AJ365"/>
          <cell r="AK365"/>
          <cell r="AL365"/>
        </row>
        <row r="366">
          <cell r="E366" t="str">
            <v>VE-SBox2-1方出16mm</v>
          </cell>
          <cell r="F366" t="str">
            <v>個</v>
          </cell>
          <cell r="G366"/>
          <cell r="H366">
            <v>326</v>
          </cell>
          <cell r="I366"/>
          <cell r="J366">
            <v>326</v>
          </cell>
          <cell r="K366"/>
          <cell r="L366">
            <v>326</v>
          </cell>
          <cell r="M366"/>
          <cell r="N366">
            <v>326</v>
          </cell>
          <cell r="O366"/>
          <cell r="P366">
            <v>326</v>
          </cell>
          <cell r="Q366"/>
          <cell r="R366">
            <v>326</v>
          </cell>
          <cell r="S366"/>
          <cell r="T366">
            <v>326</v>
          </cell>
          <cell r="U366"/>
          <cell r="V366">
            <v>326</v>
          </cell>
          <cell r="W366"/>
          <cell r="X366">
            <v>326</v>
          </cell>
          <cell r="Y366"/>
          <cell r="Z366">
            <v>326</v>
          </cell>
          <cell r="AA366"/>
          <cell r="AB366"/>
          <cell r="AC366"/>
          <cell r="AD366">
            <v>0.1</v>
          </cell>
          <cell r="AE366"/>
          <cell r="AF366"/>
          <cell r="AG366"/>
          <cell r="AH366"/>
          <cell r="AI366"/>
          <cell r="AJ366"/>
          <cell r="AK366"/>
          <cell r="AL366"/>
        </row>
        <row r="367">
          <cell r="E367" t="str">
            <v>VE-SBox3-1方出16mm</v>
          </cell>
          <cell r="F367" t="str">
            <v>個</v>
          </cell>
          <cell r="G367"/>
          <cell r="H367">
            <v>1410</v>
          </cell>
          <cell r="I367"/>
          <cell r="J367">
            <v>1410</v>
          </cell>
          <cell r="K367"/>
          <cell r="L367">
            <v>1410</v>
          </cell>
          <cell r="M367"/>
          <cell r="N367">
            <v>1410</v>
          </cell>
          <cell r="O367"/>
          <cell r="P367">
            <v>1410</v>
          </cell>
          <cell r="Q367"/>
          <cell r="R367">
            <v>1410</v>
          </cell>
          <cell r="S367"/>
          <cell r="T367">
            <v>1410</v>
          </cell>
          <cell r="U367"/>
          <cell r="V367">
            <v>1410</v>
          </cell>
          <cell r="W367"/>
          <cell r="X367">
            <v>1410</v>
          </cell>
          <cell r="Y367"/>
          <cell r="Z367">
            <v>1410</v>
          </cell>
          <cell r="AA367"/>
          <cell r="AB367"/>
          <cell r="AC367"/>
          <cell r="AD367">
            <v>0.1</v>
          </cell>
          <cell r="AE367"/>
          <cell r="AF367"/>
          <cell r="AG367"/>
          <cell r="AH367"/>
          <cell r="AI367"/>
          <cell r="AJ367"/>
          <cell r="AK367"/>
          <cell r="AL367"/>
        </row>
        <row r="368">
          <cell r="E368" t="str">
            <v>VE-SBox1-1方出22mm</v>
          </cell>
          <cell r="F368" t="str">
            <v>個</v>
          </cell>
          <cell r="G368"/>
          <cell r="H368">
            <v>266</v>
          </cell>
          <cell r="I368"/>
          <cell r="J368">
            <v>266</v>
          </cell>
          <cell r="K368"/>
          <cell r="L368">
            <v>266</v>
          </cell>
          <cell r="M368"/>
          <cell r="N368">
            <v>266</v>
          </cell>
          <cell r="O368"/>
          <cell r="P368">
            <v>266</v>
          </cell>
          <cell r="Q368"/>
          <cell r="R368">
            <v>266</v>
          </cell>
          <cell r="S368"/>
          <cell r="T368">
            <v>266</v>
          </cell>
          <cell r="U368"/>
          <cell r="V368">
            <v>266</v>
          </cell>
          <cell r="W368"/>
          <cell r="X368">
            <v>266</v>
          </cell>
          <cell r="Y368"/>
          <cell r="Z368">
            <v>266</v>
          </cell>
          <cell r="AA368"/>
          <cell r="AB368"/>
          <cell r="AC368"/>
          <cell r="AD368">
            <v>0.1</v>
          </cell>
          <cell r="AE368"/>
          <cell r="AF368"/>
          <cell r="AG368"/>
          <cell r="AH368"/>
          <cell r="AI368"/>
          <cell r="AJ368"/>
          <cell r="AK368"/>
          <cell r="AL368"/>
        </row>
        <row r="369">
          <cell r="E369" t="str">
            <v>VE-SBox1-2方出22mm</v>
          </cell>
          <cell r="F369" t="str">
            <v>個</v>
          </cell>
          <cell r="G369"/>
          <cell r="H369">
            <v>266</v>
          </cell>
          <cell r="I369"/>
          <cell r="J369">
            <v>266</v>
          </cell>
          <cell r="K369"/>
          <cell r="L369">
            <v>266</v>
          </cell>
          <cell r="M369"/>
          <cell r="N369">
            <v>266</v>
          </cell>
          <cell r="O369"/>
          <cell r="P369">
            <v>266</v>
          </cell>
          <cell r="Q369"/>
          <cell r="R369">
            <v>266</v>
          </cell>
          <cell r="S369"/>
          <cell r="T369">
            <v>266</v>
          </cell>
          <cell r="U369"/>
          <cell r="V369">
            <v>266</v>
          </cell>
          <cell r="W369"/>
          <cell r="X369">
            <v>266</v>
          </cell>
          <cell r="Y369"/>
          <cell r="Z369">
            <v>266</v>
          </cell>
          <cell r="AA369"/>
          <cell r="AB369"/>
          <cell r="AC369"/>
          <cell r="AD369">
            <v>0.1</v>
          </cell>
          <cell r="AE369"/>
          <cell r="AF369"/>
          <cell r="AG369"/>
          <cell r="AH369"/>
          <cell r="AI369"/>
          <cell r="AJ369"/>
          <cell r="AK369"/>
          <cell r="AL369"/>
        </row>
        <row r="370">
          <cell r="E370" t="str">
            <v>VE-SBox2-1方出22mm</v>
          </cell>
          <cell r="F370" t="str">
            <v>個</v>
          </cell>
          <cell r="G370"/>
          <cell r="H370">
            <v>434</v>
          </cell>
          <cell r="I370"/>
          <cell r="J370">
            <v>434</v>
          </cell>
          <cell r="K370"/>
          <cell r="L370">
            <v>434</v>
          </cell>
          <cell r="M370"/>
          <cell r="N370">
            <v>434</v>
          </cell>
          <cell r="O370"/>
          <cell r="P370">
            <v>434</v>
          </cell>
          <cell r="Q370"/>
          <cell r="R370">
            <v>434</v>
          </cell>
          <cell r="S370"/>
          <cell r="T370">
            <v>434</v>
          </cell>
          <cell r="U370"/>
          <cell r="V370">
            <v>434</v>
          </cell>
          <cell r="W370"/>
          <cell r="X370">
            <v>434</v>
          </cell>
          <cell r="Y370"/>
          <cell r="Z370">
            <v>434</v>
          </cell>
          <cell r="AA370"/>
          <cell r="AB370"/>
          <cell r="AC370"/>
          <cell r="AD370">
            <v>0.1</v>
          </cell>
          <cell r="AE370"/>
          <cell r="AF370"/>
          <cell r="AG370"/>
          <cell r="AH370"/>
          <cell r="AI370"/>
          <cell r="AJ370"/>
          <cell r="AK370"/>
          <cell r="AL370"/>
        </row>
        <row r="371">
          <cell r="E371" t="str">
            <v>VE-SBox3-1方出22mm</v>
          </cell>
          <cell r="F371" t="str">
            <v>個</v>
          </cell>
          <cell r="G371"/>
          <cell r="H371">
            <v>1460</v>
          </cell>
          <cell r="I371"/>
          <cell r="J371">
            <v>1460</v>
          </cell>
          <cell r="K371"/>
          <cell r="L371">
            <v>1460</v>
          </cell>
          <cell r="M371"/>
          <cell r="N371">
            <v>1460</v>
          </cell>
          <cell r="O371"/>
          <cell r="P371">
            <v>1460</v>
          </cell>
          <cell r="Q371"/>
          <cell r="R371">
            <v>1460</v>
          </cell>
          <cell r="S371"/>
          <cell r="T371">
            <v>1460</v>
          </cell>
          <cell r="U371"/>
          <cell r="V371">
            <v>1460</v>
          </cell>
          <cell r="W371"/>
          <cell r="X371">
            <v>1460</v>
          </cell>
          <cell r="Y371"/>
          <cell r="Z371">
            <v>1460</v>
          </cell>
          <cell r="AA371"/>
          <cell r="AB371"/>
          <cell r="AC371"/>
          <cell r="AD371">
            <v>0.1</v>
          </cell>
          <cell r="AE371"/>
          <cell r="AF371"/>
          <cell r="AG371"/>
          <cell r="AH371"/>
          <cell r="AI371"/>
          <cell r="AJ371"/>
          <cell r="AK371"/>
          <cell r="AL371"/>
        </row>
        <row r="372">
          <cell r="E372" t="str">
            <v>VE-SBox1-1方出28mm</v>
          </cell>
          <cell r="F372" t="str">
            <v>個</v>
          </cell>
          <cell r="G372"/>
          <cell r="H372">
            <v>318</v>
          </cell>
          <cell r="I372"/>
          <cell r="J372">
            <v>318</v>
          </cell>
          <cell r="K372"/>
          <cell r="L372">
            <v>318</v>
          </cell>
          <cell r="M372"/>
          <cell r="N372">
            <v>318</v>
          </cell>
          <cell r="O372"/>
          <cell r="P372">
            <v>318</v>
          </cell>
          <cell r="Q372"/>
          <cell r="R372">
            <v>318</v>
          </cell>
          <cell r="S372"/>
          <cell r="T372">
            <v>318</v>
          </cell>
          <cell r="U372"/>
          <cell r="V372">
            <v>318</v>
          </cell>
          <cell r="W372"/>
          <cell r="X372">
            <v>318</v>
          </cell>
          <cell r="Y372"/>
          <cell r="Z372">
            <v>318</v>
          </cell>
          <cell r="AA372"/>
          <cell r="AB372"/>
          <cell r="AC372"/>
          <cell r="AD372">
            <v>0.1</v>
          </cell>
          <cell r="AE372"/>
          <cell r="AF372"/>
          <cell r="AG372"/>
          <cell r="AH372"/>
          <cell r="AI372"/>
          <cell r="AJ372"/>
          <cell r="AK372"/>
          <cell r="AL372"/>
        </row>
        <row r="373">
          <cell r="E373" t="str">
            <v>VE-SBox1-2方出28mm</v>
          </cell>
          <cell r="F373" t="str">
            <v>個</v>
          </cell>
          <cell r="G373"/>
          <cell r="H373">
            <v>318</v>
          </cell>
          <cell r="I373"/>
          <cell r="J373">
            <v>318</v>
          </cell>
          <cell r="K373"/>
          <cell r="L373">
            <v>318</v>
          </cell>
          <cell r="M373"/>
          <cell r="N373">
            <v>318</v>
          </cell>
          <cell r="O373"/>
          <cell r="P373">
            <v>318</v>
          </cell>
          <cell r="Q373"/>
          <cell r="R373">
            <v>318</v>
          </cell>
          <cell r="S373"/>
          <cell r="T373">
            <v>318</v>
          </cell>
          <cell r="U373"/>
          <cell r="V373">
            <v>318</v>
          </cell>
          <cell r="W373"/>
          <cell r="X373">
            <v>318</v>
          </cell>
          <cell r="Y373"/>
          <cell r="Z373">
            <v>318</v>
          </cell>
          <cell r="AA373"/>
          <cell r="AB373"/>
          <cell r="AC373"/>
          <cell r="AD373">
            <v>0.1</v>
          </cell>
          <cell r="AE373"/>
          <cell r="AF373"/>
          <cell r="AG373"/>
          <cell r="AH373"/>
          <cell r="AI373"/>
          <cell r="AJ373"/>
          <cell r="AK373"/>
          <cell r="AL373"/>
        </row>
        <row r="374">
          <cell r="E374" t="str">
            <v>VE-SBox2-1方出28mm</v>
          </cell>
          <cell r="F374" t="str">
            <v>個</v>
          </cell>
          <cell r="G374"/>
          <cell r="H374">
            <v>516</v>
          </cell>
          <cell r="I374"/>
          <cell r="J374">
            <v>516</v>
          </cell>
          <cell r="K374"/>
          <cell r="L374">
            <v>516</v>
          </cell>
          <cell r="M374"/>
          <cell r="N374">
            <v>516</v>
          </cell>
          <cell r="O374"/>
          <cell r="P374">
            <v>516</v>
          </cell>
          <cell r="Q374"/>
          <cell r="R374">
            <v>516</v>
          </cell>
          <cell r="S374"/>
          <cell r="T374">
            <v>516</v>
          </cell>
          <cell r="U374"/>
          <cell r="V374">
            <v>516</v>
          </cell>
          <cell r="W374"/>
          <cell r="X374">
            <v>516</v>
          </cell>
          <cell r="Y374"/>
          <cell r="Z374">
            <v>516</v>
          </cell>
          <cell r="AA374"/>
          <cell r="AB374"/>
          <cell r="AC374"/>
          <cell r="AD374">
            <v>0.1</v>
          </cell>
          <cell r="AE374"/>
          <cell r="AF374"/>
          <cell r="AG374"/>
          <cell r="AH374"/>
          <cell r="AI374"/>
          <cell r="AJ374"/>
          <cell r="AK374"/>
          <cell r="AL374"/>
        </row>
        <row r="375">
          <cell r="E375" t="str">
            <v>VE-SBox3-1方出28mm</v>
          </cell>
          <cell r="F375" t="str">
            <v>個</v>
          </cell>
          <cell r="G375"/>
          <cell r="H375">
            <v>1500</v>
          </cell>
          <cell r="I375"/>
          <cell r="J375">
            <v>1500</v>
          </cell>
          <cell r="K375"/>
          <cell r="L375">
            <v>1500</v>
          </cell>
          <cell r="M375"/>
          <cell r="N375">
            <v>1500</v>
          </cell>
          <cell r="O375"/>
          <cell r="P375">
            <v>1500</v>
          </cell>
          <cell r="Q375"/>
          <cell r="R375">
            <v>1500</v>
          </cell>
          <cell r="S375"/>
          <cell r="T375">
            <v>1500</v>
          </cell>
          <cell r="U375"/>
          <cell r="V375">
            <v>1500</v>
          </cell>
          <cell r="W375"/>
          <cell r="X375">
            <v>1500</v>
          </cell>
          <cell r="Y375"/>
          <cell r="Z375">
            <v>1500</v>
          </cell>
          <cell r="AA375"/>
          <cell r="AB375"/>
          <cell r="AC375"/>
          <cell r="AD375">
            <v>0.1</v>
          </cell>
          <cell r="AE375"/>
          <cell r="AF375"/>
          <cell r="AG375"/>
          <cell r="AH375"/>
          <cell r="AI375"/>
          <cell r="AJ375"/>
          <cell r="AK375"/>
          <cell r="AL375"/>
        </row>
        <row r="376">
          <cell r="E376"/>
          <cell r="F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cell r="AF376"/>
          <cell r="AG376"/>
          <cell r="AH376"/>
          <cell r="AI376"/>
          <cell r="AJ376"/>
          <cell r="AK376"/>
          <cell r="AL376"/>
        </row>
        <row r="377">
          <cell r="E377" t="str">
            <v>PB-300×300×200</v>
          </cell>
          <cell r="F377" t="str">
            <v>個</v>
          </cell>
          <cell r="G377"/>
          <cell r="H377">
            <v>3230</v>
          </cell>
          <cell r="I377"/>
          <cell r="J377">
            <v>3230</v>
          </cell>
          <cell r="K377"/>
          <cell r="L377">
            <v>3230</v>
          </cell>
          <cell r="M377"/>
          <cell r="N377">
            <v>3230</v>
          </cell>
          <cell r="O377"/>
          <cell r="P377">
            <v>3230</v>
          </cell>
          <cell r="Q377"/>
          <cell r="R377">
            <v>3230</v>
          </cell>
          <cell r="S377"/>
          <cell r="T377">
            <v>3230</v>
          </cell>
          <cell r="U377"/>
          <cell r="V377">
            <v>3230</v>
          </cell>
          <cell r="W377"/>
          <cell r="X377">
            <v>3230</v>
          </cell>
          <cell r="Y377"/>
          <cell r="Z377">
            <v>3230</v>
          </cell>
          <cell r="AA377"/>
          <cell r="AB377"/>
          <cell r="AC377"/>
          <cell r="AD377">
            <v>0.4</v>
          </cell>
          <cell r="AE377"/>
          <cell r="AF377"/>
          <cell r="AG377"/>
          <cell r="AH377"/>
          <cell r="AI377"/>
          <cell r="AJ377"/>
          <cell r="AK377"/>
          <cell r="AL377"/>
        </row>
        <row r="378">
          <cell r="E378" t="str">
            <v>PB-400×400×200</v>
          </cell>
          <cell r="F378" t="str">
            <v>個</v>
          </cell>
          <cell r="G378"/>
          <cell r="H378">
            <v>4660</v>
          </cell>
          <cell r="I378"/>
          <cell r="J378">
            <v>4660</v>
          </cell>
          <cell r="K378"/>
          <cell r="L378">
            <v>4660</v>
          </cell>
          <cell r="M378"/>
          <cell r="N378">
            <v>4660</v>
          </cell>
          <cell r="O378"/>
          <cell r="P378">
            <v>4660</v>
          </cell>
          <cell r="Q378"/>
          <cell r="R378">
            <v>4660</v>
          </cell>
          <cell r="S378"/>
          <cell r="T378">
            <v>4660</v>
          </cell>
          <cell r="U378"/>
          <cell r="V378">
            <v>4660</v>
          </cell>
          <cell r="W378"/>
          <cell r="X378">
            <v>4660</v>
          </cell>
          <cell r="Y378"/>
          <cell r="Z378">
            <v>4660</v>
          </cell>
          <cell r="AA378"/>
          <cell r="AB378"/>
          <cell r="AC378"/>
          <cell r="AD378">
            <v>0.5</v>
          </cell>
          <cell r="AE378"/>
          <cell r="AF378"/>
          <cell r="AG378"/>
          <cell r="AH378"/>
          <cell r="AI378"/>
          <cell r="AJ378"/>
          <cell r="AK378"/>
          <cell r="AL378"/>
        </row>
        <row r="379">
          <cell r="E379" t="str">
            <v>PB-500×500×300</v>
          </cell>
          <cell r="F379" t="str">
            <v>個</v>
          </cell>
          <cell r="G379"/>
          <cell r="H379">
            <v>7650</v>
          </cell>
          <cell r="I379"/>
          <cell r="J379">
            <v>7650</v>
          </cell>
          <cell r="K379"/>
          <cell r="L379">
            <v>7650</v>
          </cell>
          <cell r="M379"/>
          <cell r="N379">
            <v>7650</v>
          </cell>
          <cell r="O379"/>
          <cell r="P379">
            <v>7650</v>
          </cell>
          <cell r="Q379"/>
          <cell r="R379">
            <v>7650</v>
          </cell>
          <cell r="S379"/>
          <cell r="T379">
            <v>7650</v>
          </cell>
          <cell r="U379"/>
          <cell r="V379">
            <v>7650</v>
          </cell>
          <cell r="W379"/>
          <cell r="X379">
            <v>7650</v>
          </cell>
          <cell r="Y379"/>
          <cell r="Z379">
            <v>7650</v>
          </cell>
          <cell r="AA379"/>
          <cell r="AB379"/>
          <cell r="AC379"/>
          <cell r="AD379">
            <v>0.65</v>
          </cell>
          <cell r="AE379"/>
          <cell r="AF379"/>
          <cell r="AG379"/>
          <cell r="AH379"/>
          <cell r="AI379"/>
          <cell r="AJ379"/>
          <cell r="AK379"/>
          <cell r="AL379"/>
        </row>
        <row r="380">
          <cell r="E380" t="str">
            <v>PB-600×600×300</v>
          </cell>
          <cell r="F380" t="str">
            <v>個</v>
          </cell>
          <cell r="G380"/>
          <cell r="H380">
            <v>9860</v>
          </cell>
          <cell r="I380"/>
          <cell r="J380">
            <v>9860</v>
          </cell>
          <cell r="K380"/>
          <cell r="L380">
            <v>9860</v>
          </cell>
          <cell r="M380"/>
          <cell r="N380">
            <v>9860</v>
          </cell>
          <cell r="O380"/>
          <cell r="P380">
            <v>9860</v>
          </cell>
          <cell r="Q380"/>
          <cell r="R380">
            <v>9860</v>
          </cell>
          <cell r="S380"/>
          <cell r="T380">
            <v>9860</v>
          </cell>
          <cell r="U380"/>
          <cell r="V380">
            <v>9860</v>
          </cell>
          <cell r="W380"/>
          <cell r="X380">
            <v>9860</v>
          </cell>
          <cell r="Y380"/>
          <cell r="Z380">
            <v>9860</v>
          </cell>
          <cell r="AA380"/>
          <cell r="AB380"/>
          <cell r="AC380"/>
          <cell r="AD380">
            <v>0.75</v>
          </cell>
          <cell r="AE380"/>
          <cell r="AF380"/>
          <cell r="AG380"/>
          <cell r="AH380"/>
          <cell r="AI380"/>
          <cell r="AJ380"/>
          <cell r="AK380"/>
          <cell r="AL380"/>
        </row>
        <row r="381">
          <cell r="E381" t="str">
            <v>PB-700×700×400</v>
          </cell>
          <cell r="F381" t="str">
            <v>個</v>
          </cell>
          <cell r="G381"/>
          <cell r="H381">
            <v>14100</v>
          </cell>
          <cell r="I381"/>
          <cell r="J381">
            <v>14100</v>
          </cell>
          <cell r="K381"/>
          <cell r="L381">
            <v>14100</v>
          </cell>
          <cell r="M381"/>
          <cell r="N381">
            <v>14100</v>
          </cell>
          <cell r="O381"/>
          <cell r="P381">
            <v>14100</v>
          </cell>
          <cell r="Q381"/>
          <cell r="R381">
            <v>14100</v>
          </cell>
          <cell r="S381"/>
          <cell r="T381">
            <v>14100</v>
          </cell>
          <cell r="U381"/>
          <cell r="V381">
            <v>14100</v>
          </cell>
          <cell r="W381"/>
          <cell r="X381">
            <v>14100</v>
          </cell>
          <cell r="Y381"/>
          <cell r="Z381">
            <v>14100</v>
          </cell>
          <cell r="AA381"/>
          <cell r="AB381"/>
          <cell r="AC381"/>
          <cell r="AD381">
            <v>0.9</v>
          </cell>
          <cell r="AE381"/>
          <cell r="AF381"/>
          <cell r="AG381"/>
          <cell r="AH381"/>
          <cell r="AI381"/>
          <cell r="AJ381"/>
          <cell r="AK381"/>
          <cell r="AL381"/>
        </row>
        <row r="382">
          <cell r="E382" t="str">
            <v>PB-800×800×300</v>
          </cell>
          <cell r="F382" t="str">
            <v>個</v>
          </cell>
          <cell r="G382"/>
          <cell r="H382">
            <v>20800</v>
          </cell>
          <cell r="I382"/>
          <cell r="J382">
            <v>20800</v>
          </cell>
          <cell r="K382"/>
          <cell r="L382">
            <v>20800</v>
          </cell>
          <cell r="M382"/>
          <cell r="N382">
            <v>20800</v>
          </cell>
          <cell r="O382"/>
          <cell r="P382">
            <v>20800</v>
          </cell>
          <cell r="Q382"/>
          <cell r="R382">
            <v>20800</v>
          </cell>
          <cell r="S382"/>
          <cell r="T382">
            <v>20800</v>
          </cell>
          <cell r="U382"/>
          <cell r="V382">
            <v>20800</v>
          </cell>
          <cell r="W382"/>
          <cell r="X382">
            <v>20800</v>
          </cell>
          <cell r="Y382"/>
          <cell r="Z382">
            <v>20800</v>
          </cell>
          <cell r="AA382"/>
          <cell r="AB382"/>
          <cell r="AC382"/>
          <cell r="AD382">
            <v>0.95</v>
          </cell>
          <cell r="AE382"/>
          <cell r="AF382"/>
          <cell r="AG382"/>
          <cell r="AH382"/>
          <cell r="AI382"/>
          <cell r="AJ382"/>
          <cell r="AK382"/>
          <cell r="AL382"/>
        </row>
        <row r="383">
          <cell r="E383" t="str">
            <v>PB-1000×1000×500</v>
          </cell>
          <cell r="F383" t="str">
            <v>個</v>
          </cell>
          <cell r="G383"/>
          <cell r="H383">
            <v>36900</v>
          </cell>
          <cell r="I383"/>
          <cell r="J383">
            <v>36900</v>
          </cell>
          <cell r="K383"/>
          <cell r="L383">
            <v>36900</v>
          </cell>
          <cell r="M383"/>
          <cell r="N383">
            <v>36900</v>
          </cell>
          <cell r="O383"/>
          <cell r="P383">
            <v>36900</v>
          </cell>
          <cell r="Q383"/>
          <cell r="R383">
            <v>36900</v>
          </cell>
          <cell r="S383"/>
          <cell r="T383">
            <v>36900</v>
          </cell>
          <cell r="U383"/>
          <cell r="V383">
            <v>36900</v>
          </cell>
          <cell r="W383"/>
          <cell r="X383">
            <v>36900</v>
          </cell>
          <cell r="Y383"/>
          <cell r="Z383">
            <v>36900</v>
          </cell>
          <cell r="AA383"/>
          <cell r="AB383"/>
          <cell r="AC383"/>
          <cell r="AD383">
            <v>1.25</v>
          </cell>
          <cell r="AE383"/>
          <cell r="AF383"/>
          <cell r="AG383"/>
          <cell r="AH383"/>
          <cell r="AI383"/>
          <cell r="AJ383"/>
          <cell r="AK383"/>
          <cell r="AL383"/>
        </row>
        <row r="384">
          <cell r="E384"/>
          <cell r="F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cell r="AF384"/>
          <cell r="AG384"/>
          <cell r="AH384"/>
          <cell r="AI384"/>
          <cell r="AJ384"/>
          <cell r="AK384"/>
          <cell r="AL384"/>
        </row>
        <row r="385">
          <cell r="E385"/>
          <cell r="F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cell r="AF385"/>
          <cell r="AG385"/>
          <cell r="AH385"/>
          <cell r="AI385"/>
          <cell r="AJ385"/>
          <cell r="AK385"/>
          <cell r="AL385"/>
        </row>
        <row r="386">
          <cell r="E386"/>
          <cell r="F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cell r="AF386"/>
          <cell r="AG386"/>
          <cell r="AH386"/>
          <cell r="AI386"/>
          <cell r="AJ386"/>
          <cell r="AK386"/>
          <cell r="AL386"/>
        </row>
        <row r="387">
          <cell r="E387"/>
          <cell r="F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cell r="AF387"/>
          <cell r="AG387"/>
          <cell r="AH387"/>
          <cell r="AI387"/>
          <cell r="AJ387"/>
          <cell r="AK387"/>
          <cell r="AL387"/>
        </row>
        <row r="388">
          <cell r="E388"/>
          <cell r="F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cell r="AF388"/>
          <cell r="AG388"/>
          <cell r="AH388"/>
          <cell r="AI388"/>
          <cell r="AJ388"/>
          <cell r="AK388"/>
          <cell r="AL388"/>
        </row>
        <row r="389">
          <cell r="E389"/>
          <cell r="F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cell r="AF389"/>
          <cell r="AG389"/>
          <cell r="AH389"/>
          <cell r="AI389"/>
          <cell r="AJ389"/>
          <cell r="AK389"/>
          <cell r="AL389"/>
        </row>
        <row r="390">
          <cell r="E390"/>
          <cell r="F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cell r="AF390"/>
          <cell r="AG390"/>
          <cell r="AH390"/>
          <cell r="AI390"/>
          <cell r="AJ390"/>
          <cell r="AK390"/>
          <cell r="AL390"/>
        </row>
        <row r="391">
          <cell r="E391"/>
          <cell r="F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cell r="AF391"/>
          <cell r="AG391"/>
          <cell r="AH391"/>
          <cell r="AI391"/>
          <cell r="AJ391"/>
          <cell r="AK391"/>
          <cell r="AL391"/>
        </row>
        <row r="392">
          <cell r="E392"/>
          <cell r="F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cell r="AF392"/>
          <cell r="AG392"/>
          <cell r="AH392"/>
          <cell r="AI392"/>
          <cell r="AJ392"/>
          <cell r="AK392"/>
          <cell r="AL392"/>
        </row>
        <row r="393">
          <cell r="E393"/>
          <cell r="F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cell r="AF393"/>
          <cell r="AG393"/>
          <cell r="AH393"/>
          <cell r="AI393"/>
          <cell r="AJ393"/>
          <cell r="AK393"/>
          <cell r="AL393"/>
        </row>
        <row r="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row>
        <row r="395">
          <cell r="E395"/>
          <cell r="F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cell r="AF395"/>
          <cell r="AG395"/>
          <cell r="AH395"/>
          <cell r="AI395"/>
          <cell r="AJ395"/>
          <cell r="AK395"/>
          <cell r="AL395"/>
        </row>
        <row r="396">
          <cell r="E396"/>
          <cell r="F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cell r="AF396"/>
          <cell r="AG396"/>
          <cell r="AH396"/>
          <cell r="AI396"/>
          <cell r="AJ396"/>
          <cell r="AK396"/>
          <cell r="AL396"/>
        </row>
        <row r="397">
          <cell r="E397"/>
          <cell r="F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cell r="AL397"/>
        </row>
        <row r="398">
          <cell r="E398"/>
          <cell r="F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cell r="AF398"/>
          <cell r="AG398"/>
          <cell r="AH398"/>
          <cell r="AI398"/>
          <cell r="AJ398"/>
          <cell r="AK398"/>
          <cell r="AL398"/>
        </row>
        <row r="399">
          <cell r="E399"/>
          <cell r="F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cell r="AF399"/>
          <cell r="AG399"/>
          <cell r="AH399"/>
          <cell r="AI399"/>
          <cell r="AJ399"/>
          <cell r="AK399"/>
          <cell r="AL399"/>
        </row>
        <row r="400">
          <cell r="E400"/>
          <cell r="F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cell r="AF400"/>
          <cell r="AG400"/>
          <cell r="AH400"/>
          <cell r="AI400"/>
          <cell r="AJ400"/>
          <cell r="AK400"/>
          <cell r="AL400"/>
        </row>
        <row r="401">
          <cell r="E401"/>
          <cell r="F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cell r="AF401"/>
          <cell r="AG401"/>
          <cell r="AH401"/>
          <cell r="AI401"/>
          <cell r="AJ401"/>
          <cell r="AK401"/>
          <cell r="AL401"/>
        </row>
        <row r="402">
          <cell r="E402"/>
          <cell r="F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cell r="AG402"/>
          <cell r="AH402"/>
          <cell r="AI402"/>
          <cell r="AJ402"/>
          <cell r="AK402"/>
          <cell r="AL402"/>
        </row>
        <row r="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cell r="AL403"/>
        </row>
        <row r="404">
          <cell r="E404"/>
          <cell r="F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cell r="AG404"/>
          <cell r="AH404"/>
          <cell r="AI404"/>
          <cell r="AJ404"/>
          <cell r="AK404"/>
          <cell r="AL404"/>
        </row>
        <row r="405">
          <cell r="E405"/>
          <cell r="F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cell r="AF405"/>
          <cell r="AG405"/>
          <cell r="AH405"/>
          <cell r="AI405"/>
          <cell r="AJ405"/>
          <cell r="AK405"/>
          <cell r="AL405"/>
        </row>
        <row r="406">
          <cell r="E406"/>
          <cell r="F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cell r="AF406"/>
          <cell r="AG406"/>
          <cell r="AH406"/>
          <cell r="AI406"/>
          <cell r="AJ406"/>
          <cell r="AK406"/>
          <cell r="AL406"/>
        </row>
        <row r="407">
          <cell r="E407"/>
          <cell r="F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cell r="AF407"/>
          <cell r="AG407"/>
          <cell r="AH407"/>
          <cell r="AI407"/>
          <cell r="AJ407"/>
          <cell r="AK407"/>
          <cell r="AL407"/>
        </row>
        <row r="408">
          <cell r="E408"/>
          <cell r="F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cell r="AJ408"/>
          <cell r="AK408"/>
          <cell r="AL408"/>
        </row>
        <row r="409">
          <cell r="E409"/>
          <cell r="F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cell r="AL409"/>
        </row>
        <row r="410">
          <cell r="E410"/>
          <cell r="F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cell r="AJ410"/>
          <cell r="AK410"/>
          <cell r="AL410"/>
        </row>
        <row r="411">
          <cell r="E411"/>
          <cell r="F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cell r="AF411"/>
          <cell r="AG411"/>
          <cell r="AH411"/>
          <cell r="AI411"/>
          <cell r="AJ411"/>
          <cell r="AK411"/>
          <cell r="AL411"/>
        </row>
        <row r="412">
          <cell r="E412"/>
          <cell r="F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cell r="AF412"/>
          <cell r="AG412"/>
          <cell r="AH412"/>
          <cell r="AI412"/>
          <cell r="AJ412"/>
          <cell r="AK412"/>
          <cell r="AL412"/>
        </row>
        <row r="413">
          <cell r="E413"/>
          <cell r="F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cell r="AF413"/>
          <cell r="AG413"/>
          <cell r="AH413"/>
          <cell r="AI413"/>
          <cell r="AJ413"/>
          <cell r="AK413"/>
          <cell r="AL413"/>
        </row>
        <row r="414">
          <cell r="E414"/>
          <cell r="F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cell r="AF414"/>
          <cell r="AG414"/>
          <cell r="AH414"/>
          <cell r="AI414"/>
          <cell r="AJ414"/>
          <cell r="AK414"/>
          <cell r="AL414"/>
        </row>
        <row r="415">
          <cell r="E415"/>
          <cell r="F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cell r="AF415"/>
          <cell r="AG415"/>
          <cell r="AH415"/>
          <cell r="AI415"/>
          <cell r="AJ415"/>
          <cell r="AK415"/>
          <cell r="AL415"/>
        </row>
        <row r="416">
          <cell r="E416"/>
          <cell r="F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cell r="AG416"/>
          <cell r="AH416"/>
          <cell r="AI416"/>
          <cell r="AJ416"/>
          <cell r="AK416"/>
          <cell r="AL416"/>
        </row>
        <row r="417">
          <cell r="E417"/>
          <cell r="F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cell r="AF417"/>
          <cell r="AG417"/>
          <cell r="AH417"/>
          <cell r="AI417"/>
          <cell r="AJ417"/>
          <cell r="AK417"/>
          <cell r="AL417"/>
        </row>
        <row r="418">
          <cell r="E418"/>
          <cell r="F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cell r="AF418"/>
          <cell r="AG418"/>
          <cell r="AH418"/>
          <cell r="AI418"/>
          <cell r="AJ418"/>
          <cell r="AK418"/>
          <cell r="AL418"/>
        </row>
        <row r="419">
          <cell r="E419"/>
          <cell r="F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cell r="AF419"/>
          <cell r="AG419"/>
          <cell r="AH419"/>
          <cell r="AI419"/>
          <cell r="AJ419"/>
          <cell r="AK419"/>
          <cell r="AL419"/>
        </row>
        <row r="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cell r="AF420"/>
          <cell r="AG420"/>
          <cell r="AH420"/>
          <cell r="AI420"/>
          <cell r="AJ420"/>
          <cell r="AK420"/>
          <cell r="AL420"/>
        </row>
        <row r="421">
          <cell r="E421"/>
          <cell r="F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cell r="AF421"/>
          <cell r="AG421"/>
          <cell r="AH421"/>
          <cell r="AI421"/>
          <cell r="AJ421"/>
          <cell r="AK421"/>
          <cell r="AL421"/>
        </row>
        <row r="422">
          <cell r="E422"/>
          <cell r="F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cell r="AF422"/>
          <cell r="AG422"/>
          <cell r="AH422"/>
          <cell r="AI422"/>
          <cell r="AJ422"/>
          <cell r="AK422"/>
          <cell r="AL422"/>
        </row>
        <row r="423">
          <cell r="E423"/>
          <cell r="F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cell r="AF423"/>
          <cell r="AG423"/>
          <cell r="AH423"/>
          <cell r="AI423"/>
          <cell r="AJ423"/>
          <cell r="AK423"/>
          <cell r="AL423"/>
        </row>
        <row r="424">
          <cell r="E424"/>
          <cell r="F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cell r="AF424"/>
          <cell r="AG424"/>
          <cell r="AH424"/>
          <cell r="AI424"/>
          <cell r="AJ424"/>
          <cell r="AK424"/>
          <cell r="AL424"/>
        </row>
        <row r="425">
          <cell r="E425"/>
          <cell r="F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cell r="AL425"/>
        </row>
        <row r="426">
          <cell r="E426"/>
          <cell r="F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cell r="AF426"/>
          <cell r="AG426"/>
          <cell r="AH426"/>
          <cell r="AI426"/>
          <cell r="AJ426"/>
          <cell r="AK426"/>
          <cell r="AL426"/>
        </row>
        <row r="427">
          <cell r="E427"/>
          <cell r="F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cell r="AF427"/>
          <cell r="AG427"/>
          <cell r="AH427"/>
          <cell r="AI427"/>
          <cell r="AJ427"/>
          <cell r="AK427"/>
          <cell r="AL427"/>
        </row>
        <row r="428">
          <cell r="E428"/>
          <cell r="F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cell r="AF428"/>
          <cell r="AG428"/>
          <cell r="AH428"/>
          <cell r="AI428"/>
          <cell r="AJ428"/>
          <cell r="AK428"/>
          <cell r="AL428"/>
        </row>
        <row r="429">
          <cell r="E429"/>
          <cell r="F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cell r="AF429"/>
          <cell r="AG429"/>
          <cell r="AH429"/>
          <cell r="AI429"/>
          <cell r="AJ429"/>
          <cell r="AK429"/>
          <cell r="AL429"/>
        </row>
        <row r="430">
          <cell r="E430" t="str">
            <v>トラフ- 70-500L</v>
          </cell>
          <cell r="F430" t="str">
            <v>ｍ</v>
          </cell>
          <cell r="G430"/>
          <cell r="H430">
            <v>900</v>
          </cell>
          <cell r="I430"/>
          <cell r="J430">
            <v>750</v>
          </cell>
          <cell r="K430"/>
          <cell r="L430">
            <v>735</v>
          </cell>
          <cell r="M430"/>
          <cell r="N430">
            <v>750</v>
          </cell>
          <cell r="O430"/>
          <cell r="P430">
            <v>730</v>
          </cell>
          <cell r="Q430"/>
          <cell r="R430">
            <v>730</v>
          </cell>
          <cell r="S430"/>
          <cell r="T430">
            <v>770</v>
          </cell>
          <cell r="U430"/>
          <cell r="V430">
            <v>820</v>
          </cell>
          <cell r="W430"/>
          <cell r="X430">
            <v>730</v>
          </cell>
          <cell r="Y430"/>
          <cell r="Z430">
            <v>900</v>
          </cell>
          <cell r="AA430"/>
          <cell r="AB430"/>
          <cell r="AC430"/>
          <cell r="AD430"/>
          <cell r="AE430"/>
          <cell r="AF430"/>
          <cell r="AG430"/>
          <cell r="AH430"/>
          <cell r="AI430"/>
          <cell r="AJ430"/>
          <cell r="AK430"/>
          <cell r="AL430"/>
        </row>
        <row r="431">
          <cell r="E431" t="str">
            <v>トラフ-120-500L</v>
          </cell>
          <cell r="F431" t="str">
            <v>ｍ</v>
          </cell>
          <cell r="G431"/>
          <cell r="H431">
            <v>1190</v>
          </cell>
          <cell r="I431"/>
          <cell r="J431">
            <v>1050</v>
          </cell>
          <cell r="K431"/>
          <cell r="L431">
            <v>1170</v>
          </cell>
          <cell r="M431"/>
          <cell r="N431">
            <v>1100</v>
          </cell>
          <cell r="O431"/>
          <cell r="P431">
            <v>1070</v>
          </cell>
          <cell r="Q431"/>
          <cell r="R431">
            <v>1100</v>
          </cell>
          <cell r="S431"/>
          <cell r="T431">
            <v>1130</v>
          </cell>
          <cell r="U431"/>
          <cell r="V431">
            <v>1120</v>
          </cell>
          <cell r="W431"/>
          <cell r="X431">
            <v>1070</v>
          </cell>
          <cell r="Y431"/>
          <cell r="Z431">
            <v>1190</v>
          </cell>
          <cell r="AA431"/>
          <cell r="AB431"/>
          <cell r="AC431"/>
          <cell r="AD431"/>
          <cell r="AE431"/>
          <cell r="AF431"/>
          <cell r="AG431"/>
          <cell r="AH431"/>
          <cell r="AI431"/>
          <cell r="AJ431"/>
          <cell r="AK431"/>
          <cell r="AL431"/>
        </row>
        <row r="432">
          <cell r="E432" t="str">
            <v>トラフ-150A-500L</v>
          </cell>
          <cell r="F432" t="str">
            <v>ｍ</v>
          </cell>
          <cell r="G432"/>
          <cell r="H432">
            <v>1450</v>
          </cell>
          <cell r="I432"/>
          <cell r="J432">
            <v>1300</v>
          </cell>
          <cell r="K432"/>
          <cell r="L432">
            <v>1460</v>
          </cell>
          <cell r="M432"/>
          <cell r="N432">
            <v>1450</v>
          </cell>
          <cell r="O432"/>
          <cell r="P432">
            <v>1400</v>
          </cell>
          <cell r="Q432"/>
          <cell r="R432">
            <v>1450</v>
          </cell>
          <cell r="S432"/>
          <cell r="T432">
            <v>1490</v>
          </cell>
          <cell r="U432"/>
          <cell r="V432">
            <v>1440</v>
          </cell>
          <cell r="W432"/>
          <cell r="X432">
            <v>1480</v>
          </cell>
          <cell r="Y432"/>
          <cell r="Z432">
            <v>1450</v>
          </cell>
          <cell r="AA432"/>
          <cell r="AB432"/>
          <cell r="AC432"/>
          <cell r="AD432"/>
          <cell r="AE432"/>
          <cell r="AF432"/>
          <cell r="AG432"/>
          <cell r="AH432"/>
          <cell r="AI432"/>
          <cell r="AJ432"/>
          <cell r="AK432"/>
          <cell r="AL432"/>
        </row>
        <row r="433">
          <cell r="E433" t="str">
            <v>トラフ-150B-500L</v>
          </cell>
          <cell r="F433" t="str">
            <v>ｍ</v>
          </cell>
          <cell r="G433"/>
          <cell r="H433">
            <v>1580</v>
          </cell>
          <cell r="I433"/>
          <cell r="J433">
            <v>1440</v>
          </cell>
          <cell r="K433"/>
          <cell r="L433">
            <v>1620</v>
          </cell>
          <cell r="M433"/>
          <cell r="N433">
            <v>1510</v>
          </cell>
          <cell r="O433"/>
          <cell r="P433">
            <v>1470</v>
          </cell>
          <cell r="Q433"/>
          <cell r="R433">
            <v>1510</v>
          </cell>
          <cell r="S433"/>
          <cell r="T433">
            <v>1550</v>
          </cell>
          <cell r="U433"/>
          <cell r="V433">
            <v>1530</v>
          </cell>
          <cell r="W433"/>
          <cell r="X433">
            <v>1520</v>
          </cell>
          <cell r="Y433"/>
          <cell r="Z433">
            <v>1580</v>
          </cell>
          <cell r="AA433"/>
          <cell r="AB433"/>
          <cell r="AC433"/>
          <cell r="AD433"/>
          <cell r="AE433"/>
          <cell r="AF433"/>
          <cell r="AG433"/>
          <cell r="AH433"/>
          <cell r="AI433"/>
          <cell r="AJ433"/>
          <cell r="AK433"/>
          <cell r="AL433"/>
        </row>
        <row r="434">
          <cell r="E434" t="str">
            <v>トラフ-200A-500L</v>
          </cell>
          <cell r="F434" t="str">
            <v>ｍ</v>
          </cell>
          <cell r="G434"/>
          <cell r="H434">
            <v>1950</v>
          </cell>
          <cell r="I434"/>
          <cell r="J434">
            <v>1690</v>
          </cell>
          <cell r="K434"/>
          <cell r="L434">
            <v>1990</v>
          </cell>
          <cell r="M434"/>
          <cell r="N434">
            <v>1870</v>
          </cell>
          <cell r="O434"/>
          <cell r="P434">
            <v>1810</v>
          </cell>
          <cell r="Q434"/>
          <cell r="R434">
            <v>1870</v>
          </cell>
          <cell r="S434"/>
          <cell r="T434">
            <v>1910</v>
          </cell>
          <cell r="U434"/>
          <cell r="V434">
            <v>2010</v>
          </cell>
          <cell r="W434"/>
          <cell r="X434">
            <v>1810</v>
          </cell>
          <cell r="Y434"/>
          <cell r="Z434">
            <v>1950</v>
          </cell>
          <cell r="AA434"/>
          <cell r="AB434"/>
          <cell r="AC434"/>
          <cell r="AD434"/>
          <cell r="AE434"/>
          <cell r="AF434"/>
          <cell r="AG434"/>
          <cell r="AH434"/>
          <cell r="AI434"/>
          <cell r="AJ434"/>
          <cell r="AK434"/>
          <cell r="AL434"/>
        </row>
        <row r="435">
          <cell r="E435" t="str">
            <v>トラフ-200B-500L</v>
          </cell>
          <cell r="F435" t="str">
            <v>ｍ</v>
          </cell>
          <cell r="G435"/>
          <cell r="H435">
            <v>2170</v>
          </cell>
          <cell r="I435"/>
          <cell r="J435">
            <v>1890</v>
          </cell>
          <cell r="K435"/>
          <cell r="L435">
            <v>2340</v>
          </cell>
          <cell r="M435"/>
          <cell r="N435">
            <v>2190</v>
          </cell>
          <cell r="O435"/>
          <cell r="P435">
            <v>2100</v>
          </cell>
          <cell r="Q435"/>
          <cell r="R435">
            <v>2190</v>
          </cell>
          <cell r="S435"/>
          <cell r="T435">
            <v>2220</v>
          </cell>
          <cell r="U435"/>
          <cell r="V435">
            <v>2110</v>
          </cell>
          <cell r="W435"/>
          <cell r="X435">
            <v>2110</v>
          </cell>
          <cell r="Y435"/>
          <cell r="Z435">
            <v>2170</v>
          </cell>
          <cell r="AA435"/>
          <cell r="AB435"/>
          <cell r="AC435"/>
          <cell r="AD435"/>
          <cell r="AE435"/>
          <cell r="AF435"/>
          <cell r="AG435"/>
          <cell r="AH435"/>
          <cell r="AI435"/>
          <cell r="AJ435"/>
          <cell r="AK435"/>
          <cell r="AL435"/>
        </row>
        <row r="436">
          <cell r="E436" t="str">
            <v>トラフ-250-500L</v>
          </cell>
          <cell r="F436" t="str">
            <v>ｍ</v>
          </cell>
          <cell r="G436"/>
          <cell r="H436">
            <v>2800</v>
          </cell>
          <cell r="I436"/>
          <cell r="J436">
            <v>2340</v>
          </cell>
          <cell r="K436"/>
          <cell r="L436">
            <v>2620</v>
          </cell>
          <cell r="M436"/>
          <cell r="N436">
            <v>2570</v>
          </cell>
          <cell r="O436"/>
          <cell r="P436">
            <v>2470</v>
          </cell>
          <cell r="Q436"/>
          <cell r="R436">
            <v>2570</v>
          </cell>
          <cell r="S436"/>
          <cell r="T436">
            <v>2620</v>
          </cell>
          <cell r="U436"/>
          <cell r="V436">
            <v>2530</v>
          </cell>
          <cell r="W436"/>
          <cell r="X436">
            <v>2520</v>
          </cell>
          <cell r="Y436"/>
          <cell r="Z436">
            <v>2800</v>
          </cell>
          <cell r="AA436"/>
          <cell r="AB436"/>
          <cell r="AC436"/>
          <cell r="AD436"/>
          <cell r="AE436"/>
          <cell r="AF436"/>
          <cell r="AG436"/>
          <cell r="AH436"/>
          <cell r="AI436"/>
          <cell r="AJ436"/>
          <cell r="AK436"/>
          <cell r="AL436"/>
        </row>
        <row r="437">
          <cell r="E437" t="str">
            <v>トラフ-300-500L</v>
          </cell>
          <cell r="F437" t="str">
            <v>ｍ</v>
          </cell>
          <cell r="G437"/>
          <cell r="H437">
            <v>3100</v>
          </cell>
          <cell r="I437"/>
          <cell r="J437">
            <v>2950</v>
          </cell>
          <cell r="K437"/>
          <cell r="L437">
            <v>3130</v>
          </cell>
          <cell r="M437"/>
          <cell r="N437">
            <v>3070</v>
          </cell>
          <cell r="O437"/>
          <cell r="P437">
            <v>2950</v>
          </cell>
          <cell r="Q437"/>
          <cell r="R437">
            <v>3070</v>
          </cell>
          <cell r="S437"/>
          <cell r="T437">
            <v>3130</v>
          </cell>
          <cell r="U437"/>
          <cell r="V437">
            <v>3070</v>
          </cell>
          <cell r="W437"/>
          <cell r="X437">
            <v>3010</v>
          </cell>
          <cell r="Y437"/>
          <cell r="Z437">
            <v>3100</v>
          </cell>
          <cell r="AA437"/>
          <cell r="AB437"/>
          <cell r="AC437"/>
          <cell r="AD437"/>
          <cell r="AE437"/>
          <cell r="AF437"/>
          <cell r="AG437"/>
          <cell r="AH437"/>
          <cell r="AI437"/>
          <cell r="AJ437"/>
          <cell r="AK437"/>
          <cell r="AL437"/>
        </row>
        <row r="438">
          <cell r="E438" t="str">
            <v>トラフ-400-500L</v>
          </cell>
          <cell r="F438" t="str">
            <v>ｍ</v>
          </cell>
          <cell r="G438"/>
          <cell r="H438">
            <v>4400</v>
          </cell>
          <cell r="I438"/>
          <cell r="J438">
            <v>4090</v>
          </cell>
          <cell r="K438"/>
          <cell r="L438">
            <v>4540</v>
          </cell>
          <cell r="M438"/>
          <cell r="N438">
            <v>4460</v>
          </cell>
          <cell r="O438"/>
          <cell r="P438">
            <v>4270</v>
          </cell>
          <cell r="Q438"/>
          <cell r="R438">
            <v>4460</v>
          </cell>
          <cell r="S438"/>
          <cell r="T438">
            <v>4540</v>
          </cell>
          <cell r="U438"/>
          <cell r="V438">
            <v>4600</v>
          </cell>
          <cell r="W438"/>
          <cell r="X438">
            <v>4450</v>
          </cell>
          <cell r="Y438"/>
          <cell r="Z438">
            <v>4400</v>
          </cell>
          <cell r="AA438"/>
          <cell r="AB438"/>
          <cell r="AC438"/>
          <cell r="AD438"/>
          <cell r="AE438"/>
          <cell r="AF438"/>
          <cell r="AG438"/>
          <cell r="AH438"/>
          <cell r="AI438"/>
          <cell r="AJ438"/>
          <cell r="AK438"/>
          <cell r="AL438"/>
        </row>
        <row r="439">
          <cell r="E439" t="str">
            <v>トラフ- K100-500L</v>
          </cell>
          <cell r="F439" t="str">
            <v>ｍ</v>
          </cell>
          <cell r="G439"/>
          <cell r="H439">
            <v>980</v>
          </cell>
          <cell r="I439"/>
          <cell r="J439">
            <v>980</v>
          </cell>
          <cell r="K439"/>
          <cell r="L439">
            <v>980</v>
          </cell>
          <cell r="M439"/>
          <cell r="N439">
            <v>980</v>
          </cell>
          <cell r="O439"/>
          <cell r="P439">
            <v>980</v>
          </cell>
          <cell r="Q439"/>
          <cell r="R439">
            <v>980</v>
          </cell>
          <cell r="S439"/>
          <cell r="T439">
            <v>1180</v>
          </cell>
          <cell r="U439"/>
          <cell r="V439">
            <v>980</v>
          </cell>
          <cell r="W439"/>
          <cell r="X439">
            <v>1140</v>
          </cell>
          <cell r="Y439"/>
          <cell r="Z439">
            <v>980</v>
          </cell>
          <cell r="AA439"/>
          <cell r="AB439"/>
          <cell r="AC439"/>
          <cell r="AD439"/>
          <cell r="AE439"/>
          <cell r="AF439"/>
          <cell r="AG439"/>
          <cell r="AH439"/>
          <cell r="AI439"/>
          <cell r="AJ439"/>
          <cell r="AK439"/>
          <cell r="AL439"/>
        </row>
        <row r="440">
          <cell r="E440" t="str">
            <v>トラフ- K130-500L</v>
          </cell>
          <cell r="F440" t="str">
            <v>ｍ</v>
          </cell>
          <cell r="G440"/>
          <cell r="H440">
            <v>1050</v>
          </cell>
          <cell r="I440"/>
          <cell r="J440">
            <v>1050</v>
          </cell>
          <cell r="K440"/>
          <cell r="L440">
            <v>1050</v>
          </cell>
          <cell r="M440"/>
          <cell r="N440">
            <v>1050</v>
          </cell>
          <cell r="O440"/>
          <cell r="P440">
            <v>1050</v>
          </cell>
          <cell r="Q440"/>
          <cell r="R440">
            <v>1050</v>
          </cell>
          <cell r="S440"/>
          <cell r="T440">
            <v>1290</v>
          </cell>
          <cell r="U440"/>
          <cell r="V440">
            <v>1050</v>
          </cell>
          <cell r="W440"/>
          <cell r="X440">
            <v>1230</v>
          </cell>
          <cell r="Y440"/>
          <cell r="Z440">
            <v>1050</v>
          </cell>
          <cell r="AA440"/>
          <cell r="AB440"/>
          <cell r="AC440"/>
          <cell r="AD440"/>
          <cell r="AE440"/>
          <cell r="AF440"/>
          <cell r="AG440"/>
          <cell r="AH440"/>
          <cell r="AI440"/>
          <cell r="AJ440"/>
          <cell r="AK440"/>
          <cell r="AL440"/>
        </row>
        <row r="441">
          <cell r="E441" t="str">
            <v>トラフ- K164-500L</v>
          </cell>
          <cell r="F441" t="str">
            <v>ｍ</v>
          </cell>
          <cell r="G441"/>
          <cell r="H441">
            <v>1450</v>
          </cell>
          <cell r="I441"/>
          <cell r="J441">
            <v>1450</v>
          </cell>
          <cell r="K441"/>
          <cell r="L441">
            <v>1450</v>
          </cell>
          <cell r="M441"/>
          <cell r="N441">
            <v>1450</v>
          </cell>
          <cell r="O441"/>
          <cell r="P441">
            <v>1450</v>
          </cell>
          <cell r="Q441"/>
          <cell r="R441">
            <v>1450</v>
          </cell>
          <cell r="S441"/>
          <cell r="T441">
            <v>1830</v>
          </cell>
          <cell r="U441"/>
          <cell r="V441">
            <v>1450</v>
          </cell>
          <cell r="W441"/>
          <cell r="X441">
            <v>1740</v>
          </cell>
          <cell r="Y441"/>
          <cell r="Z441">
            <v>1450</v>
          </cell>
          <cell r="AA441"/>
          <cell r="AB441"/>
          <cell r="AC441"/>
          <cell r="AD441"/>
          <cell r="AE441"/>
          <cell r="AF441"/>
          <cell r="AG441"/>
          <cell r="AH441"/>
          <cell r="AI441"/>
          <cell r="AJ441"/>
          <cell r="AK441"/>
          <cell r="AL441"/>
        </row>
        <row r="442">
          <cell r="E442" t="str">
            <v>トラフ- K164C-500L</v>
          </cell>
          <cell r="F442" t="str">
            <v>ｍ</v>
          </cell>
          <cell r="G442"/>
          <cell r="H442">
            <v>2160</v>
          </cell>
          <cell r="I442"/>
          <cell r="J442">
            <v>2160</v>
          </cell>
          <cell r="K442"/>
          <cell r="L442">
            <v>2160</v>
          </cell>
          <cell r="M442"/>
          <cell r="N442">
            <v>2160</v>
          </cell>
          <cell r="O442"/>
          <cell r="P442">
            <v>2160</v>
          </cell>
          <cell r="Q442"/>
          <cell r="R442">
            <v>2160</v>
          </cell>
          <cell r="S442"/>
          <cell r="T442">
            <v>2160</v>
          </cell>
          <cell r="U442"/>
          <cell r="V442">
            <v>2160</v>
          </cell>
          <cell r="W442"/>
          <cell r="X442">
            <v>2160</v>
          </cell>
          <cell r="Y442"/>
          <cell r="Z442">
            <v>2160</v>
          </cell>
          <cell r="AA442"/>
          <cell r="AB442"/>
          <cell r="AC442"/>
          <cell r="AD442"/>
          <cell r="AE442"/>
          <cell r="AF442"/>
          <cell r="AG442"/>
          <cell r="AH442"/>
          <cell r="AI442"/>
          <cell r="AJ442"/>
          <cell r="AK442"/>
          <cell r="AL442"/>
        </row>
        <row r="443">
          <cell r="E443" t="str">
            <v>トラフ- K220-500L</v>
          </cell>
          <cell r="F443" t="str">
            <v>ｍ</v>
          </cell>
          <cell r="G443"/>
          <cell r="H443">
            <v>2180</v>
          </cell>
          <cell r="I443"/>
          <cell r="J443">
            <v>2180</v>
          </cell>
          <cell r="K443"/>
          <cell r="L443">
            <v>2180</v>
          </cell>
          <cell r="M443"/>
          <cell r="N443">
            <v>2180</v>
          </cell>
          <cell r="O443"/>
          <cell r="P443">
            <v>2180</v>
          </cell>
          <cell r="Q443"/>
          <cell r="R443">
            <v>2180</v>
          </cell>
          <cell r="S443"/>
          <cell r="T443">
            <v>2510</v>
          </cell>
          <cell r="U443"/>
          <cell r="V443">
            <v>2180</v>
          </cell>
          <cell r="W443"/>
          <cell r="X443">
            <v>2370</v>
          </cell>
          <cell r="Y443"/>
          <cell r="Z443">
            <v>2180</v>
          </cell>
          <cell r="AA443"/>
          <cell r="AB443"/>
          <cell r="AC443"/>
          <cell r="AD443"/>
          <cell r="AE443"/>
          <cell r="AF443"/>
          <cell r="AG443"/>
          <cell r="AH443"/>
          <cell r="AI443"/>
          <cell r="AJ443"/>
          <cell r="AK443"/>
          <cell r="AL443"/>
        </row>
        <row r="444">
          <cell r="E444" t="str">
            <v>トラフ- K220C-500L</v>
          </cell>
          <cell r="F444" t="str">
            <v>ｍ</v>
          </cell>
          <cell r="G444"/>
          <cell r="H444">
            <v>2840</v>
          </cell>
          <cell r="I444"/>
          <cell r="J444">
            <v>2840</v>
          </cell>
          <cell r="K444"/>
          <cell r="L444">
            <v>2840</v>
          </cell>
          <cell r="M444"/>
          <cell r="N444">
            <v>2840</v>
          </cell>
          <cell r="O444"/>
          <cell r="P444">
            <v>2840</v>
          </cell>
          <cell r="Q444"/>
          <cell r="R444">
            <v>2840</v>
          </cell>
          <cell r="S444"/>
          <cell r="T444">
            <v>2840</v>
          </cell>
          <cell r="U444"/>
          <cell r="V444">
            <v>2840</v>
          </cell>
          <cell r="W444"/>
          <cell r="X444">
            <v>2840</v>
          </cell>
          <cell r="Y444"/>
          <cell r="Z444">
            <v>2840</v>
          </cell>
          <cell r="AA444"/>
          <cell r="AB444"/>
          <cell r="AC444"/>
          <cell r="AD444"/>
          <cell r="AE444"/>
          <cell r="AF444"/>
          <cell r="AG444"/>
          <cell r="AH444"/>
          <cell r="AI444"/>
          <cell r="AJ444"/>
          <cell r="AK444"/>
          <cell r="AL444"/>
        </row>
        <row r="445">
          <cell r="E445" t="str">
            <v>トラフ- 280-500L</v>
          </cell>
          <cell r="F445" t="str">
            <v>ｍ</v>
          </cell>
          <cell r="G445"/>
          <cell r="H445">
            <v>2780</v>
          </cell>
          <cell r="I445"/>
          <cell r="J445">
            <v>2780</v>
          </cell>
          <cell r="K445"/>
          <cell r="L445">
            <v>2780</v>
          </cell>
          <cell r="M445"/>
          <cell r="N445">
            <v>2780</v>
          </cell>
          <cell r="O445"/>
          <cell r="P445">
            <v>2780</v>
          </cell>
          <cell r="Q445"/>
          <cell r="R445">
            <v>2780</v>
          </cell>
          <cell r="S445"/>
          <cell r="T445">
            <v>2920</v>
          </cell>
          <cell r="U445"/>
          <cell r="V445">
            <v>2780</v>
          </cell>
          <cell r="W445"/>
          <cell r="X445">
            <v>2760</v>
          </cell>
          <cell r="Y445"/>
          <cell r="Z445">
            <v>2780</v>
          </cell>
          <cell r="AA445"/>
          <cell r="AB445"/>
          <cell r="AC445"/>
          <cell r="AD445"/>
          <cell r="AE445"/>
          <cell r="AF445"/>
          <cell r="AG445"/>
          <cell r="AH445"/>
          <cell r="AI445"/>
          <cell r="AJ445"/>
          <cell r="AK445"/>
          <cell r="AL445"/>
        </row>
        <row r="446">
          <cell r="E446" t="str">
            <v>トラフ- 280C-500L</v>
          </cell>
          <cell r="F446" t="str">
            <v>ｍ</v>
          </cell>
          <cell r="G446"/>
          <cell r="H446">
            <v>3240</v>
          </cell>
          <cell r="I446"/>
          <cell r="J446">
            <v>3240</v>
          </cell>
          <cell r="K446"/>
          <cell r="L446">
            <v>3240</v>
          </cell>
          <cell r="M446"/>
          <cell r="N446">
            <v>3240</v>
          </cell>
          <cell r="O446"/>
          <cell r="P446">
            <v>3240</v>
          </cell>
          <cell r="Q446"/>
          <cell r="R446">
            <v>3240</v>
          </cell>
          <cell r="S446"/>
          <cell r="T446">
            <v>3240</v>
          </cell>
          <cell r="U446"/>
          <cell r="V446">
            <v>3240</v>
          </cell>
          <cell r="W446"/>
          <cell r="X446">
            <v>3240</v>
          </cell>
          <cell r="Y446"/>
          <cell r="Z446">
            <v>3240</v>
          </cell>
          <cell r="AA446"/>
          <cell r="AB446"/>
          <cell r="AC446"/>
          <cell r="AD446"/>
          <cell r="AE446"/>
          <cell r="AF446"/>
          <cell r="AG446"/>
          <cell r="AH446"/>
          <cell r="AI446"/>
          <cell r="AJ446"/>
          <cell r="AK446"/>
          <cell r="AL446"/>
        </row>
        <row r="447">
          <cell r="E447" t="str">
            <v>トラフ- 330-500L</v>
          </cell>
          <cell r="F447" t="str">
            <v>ｍ</v>
          </cell>
          <cell r="G447"/>
          <cell r="H447">
            <v>3100</v>
          </cell>
          <cell r="I447"/>
          <cell r="J447">
            <v>3100</v>
          </cell>
          <cell r="K447"/>
          <cell r="L447">
            <v>3100</v>
          </cell>
          <cell r="M447"/>
          <cell r="N447">
            <v>3100</v>
          </cell>
          <cell r="O447"/>
          <cell r="P447">
            <v>3100</v>
          </cell>
          <cell r="Q447"/>
          <cell r="R447">
            <v>3100</v>
          </cell>
          <cell r="S447"/>
          <cell r="T447">
            <v>3600</v>
          </cell>
          <cell r="U447"/>
          <cell r="V447">
            <v>3100</v>
          </cell>
          <cell r="W447"/>
          <cell r="X447">
            <v>3400</v>
          </cell>
          <cell r="Y447"/>
          <cell r="Z447">
            <v>3100</v>
          </cell>
          <cell r="AA447"/>
          <cell r="AB447"/>
          <cell r="AC447"/>
          <cell r="AD447"/>
          <cell r="AE447"/>
          <cell r="AF447"/>
          <cell r="AG447"/>
          <cell r="AH447"/>
          <cell r="AI447"/>
          <cell r="AJ447"/>
          <cell r="AK447"/>
          <cell r="AL447"/>
        </row>
        <row r="448">
          <cell r="E448" t="str">
            <v>トラフ- 330C-500L</v>
          </cell>
          <cell r="F448" t="str">
            <v>ｍ</v>
          </cell>
          <cell r="G448"/>
          <cell r="H448">
            <v>3840</v>
          </cell>
          <cell r="I448"/>
          <cell r="J448">
            <v>3840</v>
          </cell>
          <cell r="K448"/>
          <cell r="L448">
            <v>3840</v>
          </cell>
          <cell r="M448"/>
          <cell r="N448">
            <v>3840</v>
          </cell>
          <cell r="O448"/>
          <cell r="P448">
            <v>3840</v>
          </cell>
          <cell r="Q448"/>
          <cell r="R448">
            <v>3840</v>
          </cell>
          <cell r="S448"/>
          <cell r="T448">
            <v>3840</v>
          </cell>
          <cell r="U448"/>
          <cell r="V448">
            <v>3840</v>
          </cell>
          <cell r="W448"/>
          <cell r="X448">
            <v>3840</v>
          </cell>
          <cell r="Y448"/>
          <cell r="Z448">
            <v>3840</v>
          </cell>
          <cell r="AA448"/>
          <cell r="AB448"/>
          <cell r="AC448"/>
          <cell r="AD448"/>
          <cell r="AE448"/>
          <cell r="AF448"/>
          <cell r="AG448"/>
          <cell r="AH448"/>
          <cell r="AI448"/>
          <cell r="AJ448"/>
          <cell r="AK448"/>
          <cell r="AL448"/>
        </row>
        <row r="449">
          <cell r="E449" t="str">
            <v>トラフ- 450-500L</v>
          </cell>
          <cell r="F449" t="str">
            <v>ｍ</v>
          </cell>
          <cell r="G449"/>
          <cell r="H449">
            <v>4400</v>
          </cell>
          <cell r="I449"/>
          <cell r="J449">
            <v>4400</v>
          </cell>
          <cell r="K449"/>
          <cell r="L449">
            <v>4400</v>
          </cell>
          <cell r="M449"/>
          <cell r="N449">
            <v>4400</v>
          </cell>
          <cell r="O449"/>
          <cell r="P449">
            <v>4400</v>
          </cell>
          <cell r="Q449"/>
          <cell r="R449">
            <v>4400</v>
          </cell>
          <cell r="S449"/>
          <cell r="T449">
            <v>4750</v>
          </cell>
          <cell r="U449"/>
          <cell r="V449">
            <v>4400</v>
          </cell>
          <cell r="W449"/>
          <cell r="X449">
            <v>4490</v>
          </cell>
          <cell r="Y449"/>
          <cell r="Z449">
            <v>4400</v>
          </cell>
          <cell r="AA449"/>
          <cell r="AB449"/>
          <cell r="AC449"/>
          <cell r="AD449"/>
          <cell r="AE449"/>
          <cell r="AF449"/>
          <cell r="AG449"/>
          <cell r="AH449"/>
          <cell r="AI449"/>
          <cell r="AJ449"/>
          <cell r="AK449"/>
          <cell r="AL449"/>
        </row>
        <row r="450">
          <cell r="E450" t="str">
            <v>トラフ- 470C-500L</v>
          </cell>
          <cell r="F450" t="str">
            <v>ｍ</v>
          </cell>
          <cell r="G450"/>
          <cell r="H450">
            <v>5710</v>
          </cell>
          <cell r="I450"/>
          <cell r="J450">
            <v>5710</v>
          </cell>
          <cell r="K450"/>
          <cell r="L450">
            <v>5710</v>
          </cell>
          <cell r="M450"/>
          <cell r="N450">
            <v>5710</v>
          </cell>
          <cell r="O450"/>
          <cell r="P450">
            <v>5710</v>
          </cell>
          <cell r="Q450"/>
          <cell r="R450">
            <v>5710</v>
          </cell>
          <cell r="S450"/>
          <cell r="T450">
            <v>5710</v>
          </cell>
          <cell r="U450"/>
          <cell r="V450">
            <v>5710</v>
          </cell>
          <cell r="W450"/>
          <cell r="X450">
            <v>5710</v>
          </cell>
          <cell r="Y450"/>
          <cell r="Z450">
            <v>5710</v>
          </cell>
          <cell r="AA450"/>
          <cell r="AB450"/>
          <cell r="AC450"/>
          <cell r="AD450"/>
          <cell r="AE450"/>
          <cell r="AF450"/>
          <cell r="AG450"/>
          <cell r="AH450"/>
          <cell r="AI450"/>
          <cell r="AJ450"/>
          <cell r="AK450"/>
          <cell r="AL450"/>
        </row>
        <row r="451">
          <cell r="E451" t="str">
            <v>メラミンCR-200mm</v>
          </cell>
          <cell r="F451" t="str">
            <v>ｍ</v>
          </cell>
          <cell r="G451">
            <v>6460</v>
          </cell>
          <cell r="H451">
            <v>2153</v>
          </cell>
          <cell r="I451">
            <v>6460</v>
          </cell>
          <cell r="J451">
            <v>2153</v>
          </cell>
          <cell r="K451">
            <v>6460</v>
          </cell>
          <cell r="L451">
            <v>2153</v>
          </cell>
          <cell r="M451">
            <v>6460</v>
          </cell>
          <cell r="N451">
            <v>2153</v>
          </cell>
          <cell r="O451">
            <v>6460</v>
          </cell>
          <cell r="P451">
            <v>2153</v>
          </cell>
          <cell r="Q451">
            <v>6460</v>
          </cell>
          <cell r="R451">
            <v>2153</v>
          </cell>
          <cell r="S451">
            <v>6460</v>
          </cell>
          <cell r="T451">
            <v>2153</v>
          </cell>
          <cell r="U451">
            <v>6460</v>
          </cell>
          <cell r="V451">
            <v>2153</v>
          </cell>
          <cell r="W451">
            <v>6460</v>
          </cell>
          <cell r="X451">
            <v>2153</v>
          </cell>
          <cell r="Y451">
            <v>6460</v>
          </cell>
          <cell r="Z451">
            <v>2153</v>
          </cell>
          <cell r="AA451"/>
          <cell r="AB451"/>
          <cell r="AC451"/>
          <cell r="AD451">
            <v>0.183</v>
          </cell>
          <cell r="AE451"/>
          <cell r="AF451"/>
          <cell r="AG451"/>
          <cell r="AH451"/>
          <cell r="AI451"/>
          <cell r="AJ451"/>
          <cell r="AK451"/>
          <cell r="AL451" t="str">
            <v>定尺=3.00m</v>
          </cell>
        </row>
        <row r="452">
          <cell r="E452" t="str">
            <v>メラミンCR-300mm</v>
          </cell>
          <cell r="F452" t="str">
            <v>ｍ</v>
          </cell>
          <cell r="G452">
            <v>6880</v>
          </cell>
          <cell r="H452">
            <v>2293</v>
          </cell>
          <cell r="I452">
            <v>6880</v>
          </cell>
          <cell r="J452">
            <v>2293</v>
          </cell>
          <cell r="K452">
            <v>6880</v>
          </cell>
          <cell r="L452">
            <v>2293</v>
          </cell>
          <cell r="M452">
            <v>6880</v>
          </cell>
          <cell r="N452">
            <v>2293</v>
          </cell>
          <cell r="O452">
            <v>6880</v>
          </cell>
          <cell r="P452">
            <v>2293</v>
          </cell>
          <cell r="Q452">
            <v>6880</v>
          </cell>
          <cell r="R452">
            <v>2293</v>
          </cell>
          <cell r="S452">
            <v>6880</v>
          </cell>
          <cell r="T452">
            <v>2293</v>
          </cell>
          <cell r="U452">
            <v>6880</v>
          </cell>
          <cell r="V452">
            <v>2293</v>
          </cell>
          <cell r="W452">
            <v>6880</v>
          </cell>
          <cell r="X452">
            <v>2293</v>
          </cell>
          <cell r="Y452">
            <v>6880</v>
          </cell>
          <cell r="Z452">
            <v>2293</v>
          </cell>
          <cell r="AA452"/>
          <cell r="AB452"/>
          <cell r="AC452"/>
          <cell r="AD452">
            <v>0.24299999999999999</v>
          </cell>
          <cell r="AE452"/>
          <cell r="AF452"/>
          <cell r="AG452"/>
          <cell r="AH452"/>
          <cell r="AI452"/>
          <cell r="AJ452"/>
          <cell r="AK452"/>
          <cell r="AL452" t="str">
            <v xml:space="preserve">     ↓</v>
          </cell>
        </row>
        <row r="453">
          <cell r="E453" t="str">
            <v>メラミンCR-400mm</v>
          </cell>
          <cell r="F453" t="str">
            <v>ｍ</v>
          </cell>
          <cell r="G453">
            <v>7380</v>
          </cell>
          <cell r="H453">
            <v>2460</v>
          </cell>
          <cell r="I453">
            <v>7380</v>
          </cell>
          <cell r="J453">
            <v>2460</v>
          </cell>
          <cell r="K453">
            <v>7380</v>
          </cell>
          <cell r="L453">
            <v>2460</v>
          </cell>
          <cell r="M453">
            <v>7380</v>
          </cell>
          <cell r="N453">
            <v>2460</v>
          </cell>
          <cell r="O453">
            <v>7380</v>
          </cell>
          <cell r="P453">
            <v>2460</v>
          </cell>
          <cell r="Q453">
            <v>7380</v>
          </cell>
          <cell r="R453">
            <v>2460</v>
          </cell>
          <cell r="S453">
            <v>7380</v>
          </cell>
          <cell r="T453">
            <v>2460</v>
          </cell>
          <cell r="U453">
            <v>7380</v>
          </cell>
          <cell r="V453">
            <v>2460</v>
          </cell>
          <cell r="W453">
            <v>7380</v>
          </cell>
          <cell r="X453">
            <v>2460</v>
          </cell>
          <cell r="Y453">
            <v>7380</v>
          </cell>
          <cell r="Z453">
            <v>2460</v>
          </cell>
          <cell r="AA453"/>
          <cell r="AB453"/>
          <cell r="AC453"/>
          <cell r="AD453">
            <v>0.29599999999999999</v>
          </cell>
          <cell r="AE453"/>
          <cell r="AF453"/>
          <cell r="AG453"/>
          <cell r="AH453"/>
          <cell r="AI453"/>
          <cell r="AJ453"/>
          <cell r="AK453"/>
          <cell r="AL453" t="str">
            <v xml:space="preserve">     ↓</v>
          </cell>
        </row>
        <row r="454">
          <cell r="E454" t="str">
            <v>メラミンCR-500mm</v>
          </cell>
          <cell r="F454" t="str">
            <v>ｍ</v>
          </cell>
          <cell r="G454">
            <v>7880</v>
          </cell>
          <cell r="H454">
            <v>2626</v>
          </cell>
          <cell r="I454">
            <v>7880</v>
          </cell>
          <cell r="J454">
            <v>2626</v>
          </cell>
          <cell r="K454">
            <v>7880</v>
          </cell>
          <cell r="L454">
            <v>2626</v>
          </cell>
          <cell r="M454">
            <v>7880</v>
          </cell>
          <cell r="N454">
            <v>2626</v>
          </cell>
          <cell r="O454">
            <v>7880</v>
          </cell>
          <cell r="P454">
            <v>2626</v>
          </cell>
          <cell r="Q454">
            <v>7880</v>
          </cell>
          <cell r="R454">
            <v>2626</v>
          </cell>
          <cell r="S454">
            <v>7880</v>
          </cell>
          <cell r="T454">
            <v>2626</v>
          </cell>
          <cell r="U454">
            <v>7880</v>
          </cell>
          <cell r="V454">
            <v>2626</v>
          </cell>
          <cell r="W454">
            <v>7880</v>
          </cell>
          <cell r="X454">
            <v>2626</v>
          </cell>
          <cell r="Y454">
            <v>7880</v>
          </cell>
          <cell r="Z454">
            <v>2626</v>
          </cell>
          <cell r="AA454"/>
          <cell r="AB454"/>
          <cell r="AC454"/>
          <cell r="AD454">
            <v>0.33900000000000002</v>
          </cell>
          <cell r="AE454"/>
          <cell r="AF454"/>
          <cell r="AG454"/>
          <cell r="AH454"/>
          <cell r="AI454"/>
          <cell r="AJ454"/>
          <cell r="AK454"/>
          <cell r="AL454" t="str">
            <v xml:space="preserve">     ↓</v>
          </cell>
        </row>
        <row r="455">
          <cell r="E455" t="str">
            <v>メラミンCR-600mm</v>
          </cell>
          <cell r="F455" t="str">
            <v>ｍ</v>
          </cell>
          <cell r="G455">
            <v>8520</v>
          </cell>
          <cell r="H455">
            <v>2840</v>
          </cell>
          <cell r="I455">
            <v>8520</v>
          </cell>
          <cell r="J455">
            <v>2840</v>
          </cell>
          <cell r="K455">
            <v>8520</v>
          </cell>
          <cell r="L455">
            <v>2840</v>
          </cell>
          <cell r="M455">
            <v>8520</v>
          </cell>
          <cell r="N455">
            <v>2840</v>
          </cell>
          <cell r="O455">
            <v>8520</v>
          </cell>
          <cell r="P455">
            <v>2840</v>
          </cell>
          <cell r="Q455">
            <v>8520</v>
          </cell>
          <cell r="R455">
            <v>2840</v>
          </cell>
          <cell r="S455">
            <v>8520</v>
          </cell>
          <cell r="T455">
            <v>2840</v>
          </cell>
          <cell r="U455">
            <v>8520</v>
          </cell>
          <cell r="V455">
            <v>2840</v>
          </cell>
          <cell r="W455">
            <v>8520</v>
          </cell>
          <cell r="X455">
            <v>2840</v>
          </cell>
          <cell r="Y455">
            <v>8520</v>
          </cell>
          <cell r="Z455">
            <v>2840</v>
          </cell>
          <cell r="AA455"/>
          <cell r="AB455"/>
          <cell r="AC455"/>
          <cell r="AD455">
            <v>0.36499999999999999</v>
          </cell>
          <cell r="AE455"/>
          <cell r="AF455"/>
          <cell r="AG455"/>
          <cell r="AH455"/>
          <cell r="AI455"/>
          <cell r="AJ455"/>
          <cell r="AK455"/>
          <cell r="AL455" t="str">
            <v xml:space="preserve">     ↓</v>
          </cell>
        </row>
        <row r="456">
          <cell r="E456" t="str">
            <v>メラミンCR-700mm</v>
          </cell>
          <cell r="F456" t="str">
            <v>ｍ</v>
          </cell>
          <cell r="G456">
            <v>9230</v>
          </cell>
          <cell r="H456">
            <v>3076</v>
          </cell>
          <cell r="I456">
            <v>9230</v>
          </cell>
          <cell r="J456">
            <v>3076</v>
          </cell>
          <cell r="K456">
            <v>9230</v>
          </cell>
          <cell r="L456">
            <v>3076</v>
          </cell>
          <cell r="M456">
            <v>9230</v>
          </cell>
          <cell r="N456">
            <v>3076</v>
          </cell>
          <cell r="O456">
            <v>9230</v>
          </cell>
          <cell r="P456">
            <v>3076</v>
          </cell>
          <cell r="Q456">
            <v>9230</v>
          </cell>
          <cell r="R456">
            <v>3076</v>
          </cell>
          <cell r="S456">
            <v>9230</v>
          </cell>
          <cell r="T456">
            <v>3076</v>
          </cell>
          <cell r="U456">
            <v>9230</v>
          </cell>
          <cell r="V456">
            <v>3076</v>
          </cell>
          <cell r="W456">
            <v>9230</v>
          </cell>
          <cell r="X456">
            <v>3076</v>
          </cell>
          <cell r="Y456">
            <v>9230</v>
          </cell>
          <cell r="Z456">
            <v>3076</v>
          </cell>
          <cell r="AA456"/>
          <cell r="AB456"/>
          <cell r="AC456"/>
          <cell r="AD456">
            <v>0.42699999999999999</v>
          </cell>
          <cell r="AE456"/>
          <cell r="AF456"/>
          <cell r="AG456"/>
          <cell r="AH456"/>
          <cell r="AI456"/>
          <cell r="AJ456"/>
          <cell r="AK456"/>
          <cell r="AL456" t="str">
            <v xml:space="preserve">     ↓</v>
          </cell>
        </row>
        <row r="457">
          <cell r="E457" t="str">
            <v>メラミンCR-800mm</v>
          </cell>
          <cell r="F457" t="str">
            <v>ｍ</v>
          </cell>
          <cell r="G457">
            <v>9940</v>
          </cell>
          <cell r="H457">
            <v>3313</v>
          </cell>
          <cell r="I457">
            <v>9940</v>
          </cell>
          <cell r="J457">
            <v>3313</v>
          </cell>
          <cell r="K457">
            <v>9940</v>
          </cell>
          <cell r="L457">
            <v>3313</v>
          </cell>
          <cell r="M457">
            <v>9940</v>
          </cell>
          <cell r="N457">
            <v>3313</v>
          </cell>
          <cell r="O457">
            <v>9940</v>
          </cell>
          <cell r="P457">
            <v>3313</v>
          </cell>
          <cell r="Q457">
            <v>9940</v>
          </cell>
          <cell r="R457">
            <v>3313</v>
          </cell>
          <cell r="S457">
            <v>9940</v>
          </cell>
          <cell r="T457">
            <v>3313</v>
          </cell>
          <cell r="U457">
            <v>9940</v>
          </cell>
          <cell r="V457">
            <v>3313</v>
          </cell>
          <cell r="W457">
            <v>9940</v>
          </cell>
          <cell r="X457">
            <v>3313</v>
          </cell>
          <cell r="Y457">
            <v>9940</v>
          </cell>
          <cell r="Z457">
            <v>3313</v>
          </cell>
          <cell r="AA457"/>
          <cell r="AB457"/>
          <cell r="AC457"/>
          <cell r="AD457">
            <v>0.496</v>
          </cell>
          <cell r="AE457"/>
          <cell r="AF457"/>
          <cell r="AG457"/>
          <cell r="AH457"/>
          <cell r="AI457"/>
          <cell r="AJ457"/>
          <cell r="AK457"/>
          <cell r="AL457" t="str">
            <v xml:space="preserve">     ↓</v>
          </cell>
        </row>
        <row r="458">
          <cell r="E458" t="str">
            <v>メラミンCR-900mm</v>
          </cell>
          <cell r="F458" t="str">
            <v>ｍ</v>
          </cell>
          <cell r="G458">
            <v>10500</v>
          </cell>
          <cell r="H458">
            <v>3500</v>
          </cell>
          <cell r="I458">
            <v>10500</v>
          </cell>
          <cell r="J458">
            <v>3500</v>
          </cell>
          <cell r="K458">
            <v>10500</v>
          </cell>
          <cell r="L458">
            <v>3500</v>
          </cell>
          <cell r="M458">
            <v>10500</v>
          </cell>
          <cell r="N458">
            <v>3500</v>
          </cell>
          <cell r="O458">
            <v>10500</v>
          </cell>
          <cell r="P458">
            <v>3500</v>
          </cell>
          <cell r="Q458">
            <v>10500</v>
          </cell>
          <cell r="R458">
            <v>3500</v>
          </cell>
          <cell r="S458">
            <v>10500</v>
          </cell>
          <cell r="T458">
            <v>3500</v>
          </cell>
          <cell r="U458">
            <v>10500</v>
          </cell>
          <cell r="V458">
            <v>3500</v>
          </cell>
          <cell r="W458">
            <v>10500</v>
          </cell>
          <cell r="X458">
            <v>3500</v>
          </cell>
          <cell r="Y458">
            <v>10500</v>
          </cell>
          <cell r="Z458">
            <v>3500</v>
          </cell>
          <cell r="AA458"/>
          <cell r="AB458"/>
          <cell r="AC458"/>
          <cell r="AD458">
            <v>0.55400000000000005</v>
          </cell>
          <cell r="AE458"/>
          <cell r="AF458"/>
          <cell r="AG458"/>
          <cell r="AH458"/>
          <cell r="AI458"/>
          <cell r="AJ458"/>
          <cell r="AK458"/>
          <cell r="AL458" t="str">
            <v xml:space="preserve">     ↓</v>
          </cell>
        </row>
        <row r="459">
          <cell r="E459" t="str">
            <v>メラミンCR-1000mm</v>
          </cell>
          <cell r="F459" t="str">
            <v>ｍ</v>
          </cell>
          <cell r="G459">
            <v>11200</v>
          </cell>
          <cell r="H459">
            <v>3733</v>
          </cell>
          <cell r="I459">
            <v>11200</v>
          </cell>
          <cell r="J459">
            <v>3733</v>
          </cell>
          <cell r="K459">
            <v>11200</v>
          </cell>
          <cell r="L459">
            <v>3733</v>
          </cell>
          <cell r="M459">
            <v>11200</v>
          </cell>
          <cell r="N459">
            <v>3733</v>
          </cell>
          <cell r="O459">
            <v>11200</v>
          </cell>
          <cell r="P459">
            <v>3733</v>
          </cell>
          <cell r="Q459">
            <v>11200</v>
          </cell>
          <cell r="R459">
            <v>3733</v>
          </cell>
          <cell r="S459">
            <v>11200</v>
          </cell>
          <cell r="T459">
            <v>3733</v>
          </cell>
          <cell r="U459">
            <v>11200</v>
          </cell>
          <cell r="V459">
            <v>3733</v>
          </cell>
          <cell r="W459">
            <v>11200</v>
          </cell>
          <cell r="X459">
            <v>3733</v>
          </cell>
          <cell r="Y459">
            <v>11200</v>
          </cell>
          <cell r="Z459">
            <v>3733</v>
          </cell>
          <cell r="AA459"/>
          <cell r="AB459"/>
          <cell r="AC459"/>
          <cell r="AD459">
            <v>0.61699999999999999</v>
          </cell>
          <cell r="AE459"/>
          <cell r="AF459"/>
          <cell r="AG459"/>
          <cell r="AH459"/>
          <cell r="AI459"/>
          <cell r="AJ459"/>
          <cell r="AK459"/>
          <cell r="AL459" t="str">
            <v xml:space="preserve">     ↓</v>
          </cell>
        </row>
        <row r="460">
          <cell r="E460" t="str">
            <v>メラミンCR-1200mm</v>
          </cell>
          <cell r="F460" t="str">
            <v>ｍ</v>
          </cell>
          <cell r="G460">
            <v>15600</v>
          </cell>
          <cell r="H460">
            <v>5200</v>
          </cell>
          <cell r="I460">
            <v>15600</v>
          </cell>
          <cell r="J460">
            <v>5200</v>
          </cell>
          <cell r="K460">
            <v>15600</v>
          </cell>
          <cell r="L460">
            <v>5200</v>
          </cell>
          <cell r="M460">
            <v>15600</v>
          </cell>
          <cell r="N460">
            <v>5200</v>
          </cell>
          <cell r="O460">
            <v>15600</v>
          </cell>
          <cell r="P460">
            <v>5200</v>
          </cell>
          <cell r="Q460">
            <v>15600</v>
          </cell>
          <cell r="R460">
            <v>5200</v>
          </cell>
          <cell r="S460">
            <v>15600</v>
          </cell>
          <cell r="T460">
            <v>5200</v>
          </cell>
          <cell r="U460">
            <v>15600</v>
          </cell>
          <cell r="V460">
            <v>5200</v>
          </cell>
          <cell r="W460">
            <v>15600</v>
          </cell>
          <cell r="X460">
            <v>5200</v>
          </cell>
          <cell r="Y460">
            <v>15600</v>
          </cell>
          <cell r="Z460">
            <v>5200</v>
          </cell>
          <cell r="AA460"/>
          <cell r="AB460"/>
          <cell r="AC460"/>
          <cell r="AD460">
            <v>0.74</v>
          </cell>
          <cell r="AE460"/>
          <cell r="AF460"/>
          <cell r="AG460"/>
          <cell r="AH460"/>
          <cell r="AI460"/>
          <cell r="AJ460"/>
          <cell r="AK460"/>
          <cell r="AL460" t="str">
            <v xml:space="preserve">     ↓</v>
          </cell>
        </row>
        <row r="461">
          <cell r="E461" t="str">
            <v>エポキシCR-200mm</v>
          </cell>
          <cell r="F461" t="str">
            <v>ｍ</v>
          </cell>
          <cell r="G461">
            <v>6630</v>
          </cell>
          <cell r="H461">
            <v>2210</v>
          </cell>
          <cell r="I461">
            <v>6630</v>
          </cell>
          <cell r="J461">
            <v>2210</v>
          </cell>
          <cell r="K461">
            <v>6630</v>
          </cell>
          <cell r="L461">
            <v>2210</v>
          </cell>
          <cell r="M461">
            <v>6630</v>
          </cell>
          <cell r="N461">
            <v>2210</v>
          </cell>
          <cell r="O461">
            <v>6630</v>
          </cell>
          <cell r="P461">
            <v>2210</v>
          </cell>
          <cell r="Q461">
            <v>6630</v>
          </cell>
          <cell r="R461">
            <v>2210</v>
          </cell>
          <cell r="S461">
            <v>6630</v>
          </cell>
          <cell r="T461">
            <v>2210</v>
          </cell>
          <cell r="U461">
            <v>6630</v>
          </cell>
          <cell r="V461">
            <v>2210</v>
          </cell>
          <cell r="W461">
            <v>6630</v>
          </cell>
          <cell r="X461">
            <v>2210</v>
          </cell>
          <cell r="Y461">
            <v>6630</v>
          </cell>
          <cell r="Z461">
            <v>2210</v>
          </cell>
          <cell r="AA461"/>
          <cell r="AB461"/>
          <cell r="AC461"/>
          <cell r="AD461">
            <v>0.183</v>
          </cell>
          <cell r="AE461"/>
          <cell r="AF461"/>
          <cell r="AG461"/>
          <cell r="AH461"/>
          <cell r="AI461"/>
          <cell r="AJ461"/>
          <cell r="AK461"/>
          <cell r="AL461" t="str">
            <v>定尺=3.00m</v>
          </cell>
        </row>
        <row r="462">
          <cell r="E462" t="str">
            <v>エポキシCR-300mm</v>
          </cell>
          <cell r="F462" t="str">
            <v>ｍ</v>
          </cell>
          <cell r="G462">
            <v>7100</v>
          </cell>
          <cell r="H462">
            <v>2366</v>
          </cell>
          <cell r="I462">
            <v>7100</v>
          </cell>
          <cell r="J462">
            <v>2366</v>
          </cell>
          <cell r="K462">
            <v>7100</v>
          </cell>
          <cell r="L462">
            <v>2366</v>
          </cell>
          <cell r="M462">
            <v>7100</v>
          </cell>
          <cell r="N462">
            <v>2366</v>
          </cell>
          <cell r="O462">
            <v>7100</v>
          </cell>
          <cell r="P462">
            <v>2366</v>
          </cell>
          <cell r="Q462">
            <v>7100</v>
          </cell>
          <cell r="R462">
            <v>2366</v>
          </cell>
          <cell r="S462">
            <v>7100</v>
          </cell>
          <cell r="T462">
            <v>2366</v>
          </cell>
          <cell r="U462">
            <v>7100</v>
          </cell>
          <cell r="V462">
            <v>2366</v>
          </cell>
          <cell r="W462">
            <v>7100</v>
          </cell>
          <cell r="X462">
            <v>2366</v>
          </cell>
          <cell r="Y462">
            <v>7100</v>
          </cell>
          <cell r="Z462">
            <v>2366</v>
          </cell>
          <cell r="AA462"/>
          <cell r="AB462"/>
          <cell r="AC462"/>
          <cell r="AD462">
            <v>0.24299999999999999</v>
          </cell>
          <cell r="AE462"/>
          <cell r="AF462"/>
          <cell r="AG462"/>
          <cell r="AH462"/>
          <cell r="AI462"/>
          <cell r="AJ462"/>
          <cell r="AK462"/>
          <cell r="AL462" t="str">
            <v xml:space="preserve">     ↓</v>
          </cell>
        </row>
        <row r="463">
          <cell r="E463" t="str">
            <v>エポキシCR-400mm</v>
          </cell>
          <cell r="F463" t="str">
            <v>ｍ</v>
          </cell>
          <cell r="G463">
            <v>7590</v>
          </cell>
          <cell r="H463">
            <v>2530</v>
          </cell>
          <cell r="I463">
            <v>7590</v>
          </cell>
          <cell r="J463">
            <v>2530</v>
          </cell>
          <cell r="K463">
            <v>7590</v>
          </cell>
          <cell r="L463">
            <v>2530</v>
          </cell>
          <cell r="M463">
            <v>7590</v>
          </cell>
          <cell r="N463">
            <v>2530</v>
          </cell>
          <cell r="O463">
            <v>7590</v>
          </cell>
          <cell r="P463">
            <v>2530</v>
          </cell>
          <cell r="Q463">
            <v>7590</v>
          </cell>
          <cell r="R463">
            <v>2530</v>
          </cell>
          <cell r="S463">
            <v>7590</v>
          </cell>
          <cell r="T463">
            <v>2530</v>
          </cell>
          <cell r="U463">
            <v>7590</v>
          </cell>
          <cell r="V463">
            <v>2530</v>
          </cell>
          <cell r="W463">
            <v>7590</v>
          </cell>
          <cell r="X463">
            <v>2530</v>
          </cell>
          <cell r="Y463">
            <v>7590</v>
          </cell>
          <cell r="Z463">
            <v>2530</v>
          </cell>
          <cell r="AA463"/>
          <cell r="AB463"/>
          <cell r="AC463"/>
          <cell r="AD463">
            <v>0.29599999999999999</v>
          </cell>
          <cell r="AE463"/>
          <cell r="AF463"/>
          <cell r="AG463"/>
          <cell r="AH463"/>
          <cell r="AI463"/>
          <cell r="AJ463"/>
          <cell r="AK463"/>
          <cell r="AL463" t="str">
            <v xml:space="preserve">     ↓</v>
          </cell>
        </row>
        <row r="464">
          <cell r="E464" t="str">
            <v>エポキシCR-500mm</v>
          </cell>
          <cell r="F464" t="str">
            <v>ｍ</v>
          </cell>
          <cell r="G464">
            <v>8020</v>
          </cell>
          <cell r="H464">
            <v>2673</v>
          </cell>
          <cell r="I464">
            <v>8020</v>
          </cell>
          <cell r="J464">
            <v>2673</v>
          </cell>
          <cell r="K464">
            <v>8020</v>
          </cell>
          <cell r="L464">
            <v>2673</v>
          </cell>
          <cell r="M464">
            <v>8020</v>
          </cell>
          <cell r="N464">
            <v>2673</v>
          </cell>
          <cell r="O464">
            <v>8020</v>
          </cell>
          <cell r="P464">
            <v>2673</v>
          </cell>
          <cell r="Q464">
            <v>8020</v>
          </cell>
          <cell r="R464">
            <v>2673</v>
          </cell>
          <cell r="S464">
            <v>8020</v>
          </cell>
          <cell r="T464">
            <v>2673</v>
          </cell>
          <cell r="U464">
            <v>8020</v>
          </cell>
          <cell r="V464">
            <v>2673</v>
          </cell>
          <cell r="W464">
            <v>8020</v>
          </cell>
          <cell r="X464">
            <v>2673</v>
          </cell>
          <cell r="Y464">
            <v>8020</v>
          </cell>
          <cell r="Z464">
            <v>2673</v>
          </cell>
          <cell r="AA464"/>
          <cell r="AB464"/>
          <cell r="AC464"/>
          <cell r="AD464">
            <v>0.33900000000000002</v>
          </cell>
          <cell r="AE464"/>
          <cell r="AF464"/>
          <cell r="AG464"/>
          <cell r="AH464"/>
          <cell r="AI464"/>
          <cell r="AJ464"/>
          <cell r="AK464"/>
          <cell r="AL464" t="str">
            <v xml:space="preserve">     ↓</v>
          </cell>
        </row>
        <row r="465">
          <cell r="E465" t="str">
            <v>エポキシCR-600mm</v>
          </cell>
          <cell r="F465" t="str">
            <v>ｍ</v>
          </cell>
          <cell r="G465">
            <v>8660</v>
          </cell>
          <cell r="H465">
            <v>2886</v>
          </cell>
          <cell r="I465">
            <v>8660</v>
          </cell>
          <cell r="J465">
            <v>2886</v>
          </cell>
          <cell r="K465">
            <v>8660</v>
          </cell>
          <cell r="L465">
            <v>2886</v>
          </cell>
          <cell r="M465">
            <v>8660</v>
          </cell>
          <cell r="N465">
            <v>2886</v>
          </cell>
          <cell r="O465">
            <v>8660</v>
          </cell>
          <cell r="P465">
            <v>2886</v>
          </cell>
          <cell r="Q465">
            <v>8660</v>
          </cell>
          <cell r="R465">
            <v>2886</v>
          </cell>
          <cell r="S465">
            <v>8660</v>
          </cell>
          <cell r="T465">
            <v>2886</v>
          </cell>
          <cell r="U465">
            <v>8660</v>
          </cell>
          <cell r="V465">
            <v>2886</v>
          </cell>
          <cell r="W465">
            <v>8660</v>
          </cell>
          <cell r="X465">
            <v>2886</v>
          </cell>
          <cell r="Y465">
            <v>8660</v>
          </cell>
          <cell r="Z465">
            <v>2886</v>
          </cell>
          <cell r="AA465"/>
          <cell r="AB465"/>
          <cell r="AC465"/>
          <cell r="AD465">
            <v>0.36499999999999999</v>
          </cell>
          <cell r="AE465"/>
          <cell r="AF465"/>
          <cell r="AG465"/>
          <cell r="AH465"/>
          <cell r="AI465"/>
          <cell r="AJ465"/>
          <cell r="AK465"/>
          <cell r="AL465" t="str">
            <v xml:space="preserve">     ↓</v>
          </cell>
        </row>
        <row r="466">
          <cell r="E466" t="str">
            <v>エポキシCR-700mm</v>
          </cell>
          <cell r="F466" t="str">
            <v>ｍ</v>
          </cell>
          <cell r="G466">
            <v>9300</v>
          </cell>
          <cell r="H466">
            <v>3100</v>
          </cell>
          <cell r="I466">
            <v>9300</v>
          </cell>
          <cell r="J466">
            <v>3100</v>
          </cell>
          <cell r="K466">
            <v>9300</v>
          </cell>
          <cell r="L466">
            <v>3100</v>
          </cell>
          <cell r="M466">
            <v>9300</v>
          </cell>
          <cell r="N466">
            <v>3100</v>
          </cell>
          <cell r="O466">
            <v>9300</v>
          </cell>
          <cell r="P466">
            <v>3100</v>
          </cell>
          <cell r="Q466">
            <v>9300</v>
          </cell>
          <cell r="R466">
            <v>3100</v>
          </cell>
          <cell r="S466">
            <v>9300</v>
          </cell>
          <cell r="T466">
            <v>3100</v>
          </cell>
          <cell r="U466">
            <v>9300</v>
          </cell>
          <cell r="V466">
            <v>3100</v>
          </cell>
          <cell r="W466">
            <v>9300</v>
          </cell>
          <cell r="X466">
            <v>3100</v>
          </cell>
          <cell r="Y466">
            <v>9300</v>
          </cell>
          <cell r="Z466">
            <v>3100</v>
          </cell>
          <cell r="AA466"/>
          <cell r="AB466"/>
          <cell r="AC466"/>
          <cell r="AD466">
            <v>0.42699999999999999</v>
          </cell>
          <cell r="AE466"/>
          <cell r="AF466"/>
          <cell r="AG466"/>
          <cell r="AH466"/>
          <cell r="AI466"/>
          <cell r="AJ466"/>
          <cell r="AK466"/>
          <cell r="AL466" t="str">
            <v xml:space="preserve">     ↓</v>
          </cell>
        </row>
        <row r="467">
          <cell r="E467" t="str">
            <v>エポキシCR-800mm</v>
          </cell>
          <cell r="F467" t="str">
            <v>ｍ</v>
          </cell>
          <cell r="G467">
            <v>9940</v>
          </cell>
          <cell r="H467">
            <v>3313</v>
          </cell>
          <cell r="I467">
            <v>9940</v>
          </cell>
          <cell r="J467">
            <v>3313</v>
          </cell>
          <cell r="K467">
            <v>9940</v>
          </cell>
          <cell r="L467">
            <v>3313</v>
          </cell>
          <cell r="M467">
            <v>9940</v>
          </cell>
          <cell r="N467">
            <v>3313</v>
          </cell>
          <cell r="O467">
            <v>9940</v>
          </cell>
          <cell r="P467">
            <v>3313</v>
          </cell>
          <cell r="Q467">
            <v>9940</v>
          </cell>
          <cell r="R467">
            <v>3313</v>
          </cell>
          <cell r="S467">
            <v>9940</v>
          </cell>
          <cell r="T467">
            <v>3313</v>
          </cell>
          <cell r="U467">
            <v>9940</v>
          </cell>
          <cell r="V467">
            <v>3313</v>
          </cell>
          <cell r="W467">
            <v>9940</v>
          </cell>
          <cell r="X467">
            <v>3313</v>
          </cell>
          <cell r="Y467">
            <v>9940</v>
          </cell>
          <cell r="Z467">
            <v>3313</v>
          </cell>
          <cell r="AA467"/>
          <cell r="AB467"/>
          <cell r="AC467"/>
          <cell r="AD467">
            <v>0.496</v>
          </cell>
          <cell r="AE467"/>
          <cell r="AF467"/>
          <cell r="AG467"/>
          <cell r="AH467"/>
          <cell r="AI467"/>
          <cell r="AJ467"/>
          <cell r="AK467"/>
          <cell r="AL467" t="str">
            <v xml:space="preserve">     ↓</v>
          </cell>
        </row>
        <row r="468">
          <cell r="E468" t="str">
            <v>エポキシCR-900mm</v>
          </cell>
          <cell r="F468" t="str">
            <v>ｍ</v>
          </cell>
          <cell r="G468">
            <v>10600</v>
          </cell>
          <cell r="H468">
            <v>3533</v>
          </cell>
          <cell r="I468">
            <v>10600</v>
          </cell>
          <cell r="J468">
            <v>3533</v>
          </cell>
          <cell r="K468">
            <v>10600</v>
          </cell>
          <cell r="L468">
            <v>3533</v>
          </cell>
          <cell r="M468">
            <v>10600</v>
          </cell>
          <cell r="N468">
            <v>3533</v>
          </cell>
          <cell r="O468">
            <v>10600</v>
          </cell>
          <cell r="P468">
            <v>3533</v>
          </cell>
          <cell r="Q468">
            <v>10600</v>
          </cell>
          <cell r="R468">
            <v>3533</v>
          </cell>
          <cell r="S468">
            <v>10600</v>
          </cell>
          <cell r="T468">
            <v>3533</v>
          </cell>
          <cell r="U468">
            <v>10600</v>
          </cell>
          <cell r="V468">
            <v>3533</v>
          </cell>
          <cell r="W468">
            <v>10600</v>
          </cell>
          <cell r="X468">
            <v>3533</v>
          </cell>
          <cell r="Y468">
            <v>10600</v>
          </cell>
          <cell r="Z468">
            <v>3533</v>
          </cell>
          <cell r="AA468"/>
          <cell r="AB468"/>
          <cell r="AC468"/>
          <cell r="AD468">
            <v>0.55400000000000005</v>
          </cell>
          <cell r="AE468"/>
          <cell r="AF468"/>
          <cell r="AG468"/>
          <cell r="AH468"/>
          <cell r="AI468"/>
          <cell r="AJ468"/>
          <cell r="AK468"/>
          <cell r="AL468" t="str">
            <v xml:space="preserve">     ↓</v>
          </cell>
        </row>
        <row r="469">
          <cell r="E469" t="str">
            <v>エポキシCR-1000mm</v>
          </cell>
          <cell r="F469" t="str">
            <v>ｍ</v>
          </cell>
          <cell r="G469">
            <v>11200</v>
          </cell>
          <cell r="H469">
            <v>3733</v>
          </cell>
          <cell r="I469">
            <v>11200</v>
          </cell>
          <cell r="J469">
            <v>3733</v>
          </cell>
          <cell r="K469">
            <v>11200</v>
          </cell>
          <cell r="L469">
            <v>3733</v>
          </cell>
          <cell r="M469">
            <v>11200</v>
          </cell>
          <cell r="N469">
            <v>3733</v>
          </cell>
          <cell r="O469">
            <v>11200</v>
          </cell>
          <cell r="P469">
            <v>3733</v>
          </cell>
          <cell r="Q469">
            <v>11200</v>
          </cell>
          <cell r="R469">
            <v>3733</v>
          </cell>
          <cell r="S469">
            <v>11200</v>
          </cell>
          <cell r="T469">
            <v>3733</v>
          </cell>
          <cell r="U469">
            <v>11200</v>
          </cell>
          <cell r="V469">
            <v>3733</v>
          </cell>
          <cell r="W469">
            <v>11200</v>
          </cell>
          <cell r="X469">
            <v>3733</v>
          </cell>
          <cell r="Y469">
            <v>11200</v>
          </cell>
          <cell r="Z469">
            <v>3733</v>
          </cell>
          <cell r="AA469"/>
          <cell r="AB469"/>
          <cell r="AC469"/>
          <cell r="AD469">
            <v>0.61699999999999999</v>
          </cell>
          <cell r="AE469"/>
          <cell r="AF469"/>
          <cell r="AG469"/>
          <cell r="AH469"/>
          <cell r="AI469"/>
          <cell r="AJ469"/>
          <cell r="AK469"/>
          <cell r="AL469" t="str">
            <v xml:space="preserve">     ↓</v>
          </cell>
        </row>
        <row r="470">
          <cell r="E470" t="str">
            <v>エポキシCR-1200mm</v>
          </cell>
          <cell r="F470" t="str">
            <v>ｍ</v>
          </cell>
          <cell r="G470">
            <v>15600</v>
          </cell>
          <cell r="H470">
            <v>5200</v>
          </cell>
          <cell r="I470">
            <v>15600</v>
          </cell>
          <cell r="J470">
            <v>5200</v>
          </cell>
          <cell r="K470">
            <v>15600</v>
          </cell>
          <cell r="L470">
            <v>5200</v>
          </cell>
          <cell r="M470">
            <v>15600</v>
          </cell>
          <cell r="N470">
            <v>5200</v>
          </cell>
          <cell r="O470">
            <v>15600</v>
          </cell>
          <cell r="P470">
            <v>5200</v>
          </cell>
          <cell r="Q470">
            <v>15600</v>
          </cell>
          <cell r="R470">
            <v>5200</v>
          </cell>
          <cell r="S470">
            <v>15600</v>
          </cell>
          <cell r="T470">
            <v>5200</v>
          </cell>
          <cell r="U470">
            <v>15600</v>
          </cell>
          <cell r="V470">
            <v>5200</v>
          </cell>
          <cell r="W470">
            <v>15600</v>
          </cell>
          <cell r="X470">
            <v>5200</v>
          </cell>
          <cell r="Y470">
            <v>15600</v>
          </cell>
          <cell r="Z470">
            <v>5200</v>
          </cell>
          <cell r="AA470"/>
          <cell r="AB470"/>
          <cell r="AC470"/>
          <cell r="AD470">
            <v>0.74</v>
          </cell>
          <cell r="AE470"/>
          <cell r="AF470"/>
          <cell r="AG470"/>
          <cell r="AH470"/>
          <cell r="AI470"/>
          <cell r="AJ470"/>
          <cell r="AK470"/>
          <cell r="AL470" t="str">
            <v xml:space="preserve">     ↓</v>
          </cell>
        </row>
        <row r="471">
          <cell r="E471" t="str">
            <v>溶融亜鉛CR-200mm</v>
          </cell>
          <cell r="F471" t="str">
            <v>ｍ</v>
          </cell>
          <cell r="G471">
            <v>8460</v>
          </cell>
          <cell r="H471">
            <v>2820</v>
          </cell>
          <cell r="I471">
            <v>8460</v>
          </cell>
          <cell r="J471">
            <v>2820</v>
          </cell>
          <cell r="K471">
            <v>8460</v>
          </cell>
          <cell r="L471">
            <v>2820</v>
          </cell>
          <cell r="M471">
            <v>8460</v>
          </cell>
          <cell r="N471">
            <v>2820</v>
          </cell>
          <cell r="O471">
            <v>8460</v>
          </cell>
          <cell r="P471">
            <v>2820</v>
          </cell>
          <cell r="Q471">
            <v>8460</v>
          </cell>
          <cell r="R471">
            <v>2820</v>
          </cell>
          <cell r="S471">
            <v>8460</v>
          </cell>
          <cell r="T471">
            <v>2820</v>
          </cell>
          <cell r="U471">
            <v>8460</v>
          </cell>
          <cell r="V471">
            <v>2820</v>
          </cell>
          <cell r="W471">
            <v>8460</v>
          </cell>
          <cell r="X471">
            <v>2820</v>
          </cell>
          <cell r="Y471">
            <v>8460</v>
          </cell>
          <cell r="Z471">
            <v>2820</v>
          </cell>
          <cell r="AA471"/>
          <cell r="AB471"/>
          <cell r="AC471"/>
          <cell r="AD471">
            <v>0.183</v>
          </cell>
          <cell r="AE471"/>
          <cell r="AF471"/>
          <cell r="AG471"/>
          <cell r="AH471"/>
          <cell r="AI471"/>
          <cell r="AJ471"/>
          <cell r="AK471"/>
          <cell r="AL471" t="str">
            <v>定尺=3.00m</v>
          </cell>
        </row>
        <row r="472">
          <cell r="E472" t="str">
            <v>溶融亜鉛CR-300mm</v>
          </cell>
          <cell r="F472" t="str">
            <v>ｍ</v>
          </cell>
          <cell r="G472">
            <v>8970</v>
          </cell>
          <cell r="H472">
            <v>2990</v>
          </cell>
          <cell r="I472">
            <v>8970</v>
          </cell>
          <cell r="J472">
            <v>2990</v>
          </cell>
          <cell r="K472">
            <v>8970</v>
          </cell>
          <cell r="L472">
            <v>2990</v>
          </cell>
          <cell r="M472">
            <v>8970</v>
          </cell>
          <cell r="N472">
            <v>2990</v>
          </cell>
          <cell r="O472">
            <v>8970</v>
          </cell>
          <cell r="P472">
            <v>2990</v>
          </cell>
          <cell r="Q472">
            <v>8970</v>
          </cell>
          <cell r="R472">
            <v>2990</v>
          </cell>
          <cell r="S472">
            <v>8970</v>
          </cell>
          <cell r="T472">
            <v>2990</v>
          </cell>
          <cell r="U472">
            <v>8970</v>
          </cell>
          <cell r="V472">
            <v>2990</v>
          </cell>
          <cell r="W472">
            <v>8970</v>
          </cell>
          <cell r="X472">
            <v>2990</v>
          </cell>
          <cell r="Y472">
            <v>8970</v>
          </cell>
          <cell r="Z472">
            <v>2990</v>
          </cell>
          <cell r="AA472"/>
          <cell r="AB472"/>
          <cell r="AC472"/>
          <cell r="AD472">
            <v>0.24299999999999999</v>
          </cell>
          <cell r="AE472"/>
          <cell r="AF472"/>
          <cell r="AG472"/>
          <cell r="AH472"/>
          <cell r="AI472"/>
          <cell r="AJ472"/>
          <cell r="AK472"/>
          <cell r="AL472" t="str">
            <v xml:space="preserve">     ↓</v>
          </cell>
        </row>
        <row r="473">
          <cell r="E473" t="str">
            <v>溶融亜鉛CR-400mm</v>
          </cell>
          <cell r="F473" t="str">
            <v>ｍ</v>
          </cell>
          <cell r="G473">
            <v>9490</v>
          </cell>
          <cell r="H473">
            <v>3163</v>
          </cell>
          <cell r="I473">
            <v>9490</v>
          </cell>
          <cell r="J473">
            <v>3163</v>
          </cell>
          <cell r="K473">
            <v>9490</v>
          </cell>
          <cell r="L473">
            <v>3163</v>
          </cell>
          <cell r="M473">
            <v>9490</v>
          </cell>
          <cell r="N473">
            <v>3163</v>
          </cell>
          <cell r="O473">
            <v>9490</v>
          </cell>
          <cell r="P473">
            <v>3163</v>
          </cell>
          <cell r="Q473">
            <v>9490</v>
          </cell>
          <cell r="R473">
            <v>3163</v>
          </cell>
          <cell r="S473">
            <v>9490</v>
          </cell>
          <cell r="T473">
            <v>3163</v>
          </cell>
          <cell r="U473">
            <v>9490</v>
          </cell>
          <cell r="V473">
            <v>3163</v>
          </cell>
          <cell r="W473">
            <v>9490</v>
          </cell>
          <cell r="X473">
            <v>3163</v>
          </cell>
          <cell r="Y473">
            <v>9490</v>
          </cell>
          <cell r="Z473">
            <v>3163</v>
          </cell>
          <cell r="AA473"/>
          <cell r="AB473"/>
          <cell r="AC473"/>
          <cell r="AD473">
            <v>0.29599999999999999</v>
          </cell>
          <cell r="AE473"/>
          <cell r="AF473"/>
          <cell r="AG473"/>
          <cell r="AH473"/>
          <cell r="AI473"/>
          <cell r="AJ473"/>
          <cell r="AK473"/>
          <cell r="AL473" t="str">
            <v xml:space="preserve">     ↓</v>
          </cell>
        </row>
        <row r="474">
          <cell r="E474" t="str">
            <v>溶融亜鉛CR-500mm</v>
          </cell>
          <cell r="F474" t="str">
            <v>ｍ</v>
          </cell>
          <cell r="G474">
            <v>10200</v>
          </cell>
          <cell r="H474">
            <v>3400</v>
          </cell>
          <cell r="I474">
            <v>10200</v>
          </cell>
          <cell r="J474">
            <v>3400</v>
          </cell>
          <cell r="K474">
            <v>10200</v>
          </cell>
          <cell r="L474">
            <v>3400</v>
          </cell>
          <cell r="M474">
            <v>10200</v>
          </cell>
          <cell r="N474">
            <v>3400</v>
          </cell>
          <cell r="O474">
            <v>10200</v>
          </cell>
          <cell r="P474">
            <v>3400</v>
          </cell>
          <cell r="Q474">
            <v>10200</v>
          </cell>
          <cell r="R474">
            <v>3400</v>
          </cell>
          <cell r="S474">
            <v>10200</v>
          </cell>
          <cell r="T474">
            <v>3400</v>
          </cell>
          <cell r="U474">
            <v>10200</v>
          </cell>
          <cell r="V474">
            <v>3400</v>
          </cell>
          <cell r="W474">
            <v>10200</v>
          </cell>
          <cell r="X474">
            <v>3400</v>
          </cell>
          <cell r="Y474">
            <v>10200</v>
          </cell>
          <cell r="Z474">
            <v>3400</v>
          </cell>
          <cell r="AA474"/>
          <cell r="AB474"/>
          <cell r="AC474"/>
          <cell r="AD474">
            <v>0.33900000000000002</v>
          </cell>
          <cell r="AE474"/>
          <cell r="AF474"/>
          <cell r="AG474"/>
          <cell r="AH474"/>
          <cell r="AI474"/>
          <cell r="AJ474"/>
          <cell r="AK474"/>
          <cell r="AL474" t="str">
            <v xml:space="preserve">     ↓</v>
          </cell>
        </row>
        <row r="475">
          <cell r="E475" t="str">
            <v>溶融亜鉛CR-600mm</v>
          </cell>
          <cell r="F475" t="str">
            <v>ｍ</v>
          </cell>
          <cell r="G475">
            <v>10800</v>
          </cell>
          <cell r="H475">
            <v>3600</v>
          </cell>
          <cell r="I475">
            <v>10800</v>
          </cell>
          <cell r="J475">
            <v>3600</v>
          </cell>
          <cell r="K475">
            <v>10800</v>
          </cell>
          <cell r="L475">
            <v>3600</v>
          </cell>
          <cell r="M475">
            <v>10800</v>
          </cell>
          <cell r="N475">
            <v>3600</v>
          </cell>
          <cell r="O475">
            <v>10800</v>
          </cell>
          <cell r="P475">
            <v>3600</v>
          </cell>
          <cell r="Q475">
            <v>10800</v>
          </cell>
          <cell r="R475">
            <v>3600</v>
          </cell>
          <cell r="S475">
            <v>10800</v>
          </cell>
          <cell r="T475">
            <v>3600</v>
          </cell>
          <cell r="U475">
            <v>10800</v>
          </cell>
          <cell r="V475">
            <v>3600</v>
          </cell>
          <cell r="W475">
            <v>10800</v>
          </cell>
          <cell r="X475">
            <v>3600</v>
          </cell>
          <cell r="Y475">
            <v>10800</v>
          </cell>
          <cell r="Z475">
            <v>3600</v>
          </cell>
          <cell r="AA475"/>
          <cell r="AB475"/>
          <cell r="AC475"/>
          <cell r="AD475">
            <v>0.36499999999999999</v>
          </cell>
          <cell r="AE475"/>
          <cell r="AF475"/>
          <cell r="AG475"/>
          <cell r="AH475"/>
          <cell r="AI475"/>
          <cell r="AJ475"/>
          <cell r="AK475"/>
          <cell r="AL475" t="str">
            <v xml:space="preserve">     ↓</v>
          </cell>
        </row>
        <row r="476">
          <cell r="E476" t="str">
            <v>溶融亜鉛CR-700mm</v>
          </cell>
          <cell r="F476" t="str">
            <v>ｍ</v>
          </cell>
          <cell r="G476">
            <v>11600</v>
          </cell>
          <cell r="H476">
            <v>3866</v>
          </cell>
          <cell r="I476">
            <v>11600</v>
          </cell>
          <cell r="J476">
            <v>3866</v>
          </cell>
          <cell r="K476">
            <v>11600</v>
          </cell>
          <cell r="L476">
            <v>3866</v>
          </cell>
          <cell r="M476">
            <v>11600</v>
          </cell>
          <cell r="N476">
            <v>3866</v>
          </cell>
          <cell r="O476">
            <v>11600</v>
          </cell>
          <cell r="P476">
            <v>3866</v>
          </cell>
          <cell r="Q476">
            <v>11600</v>
          </cell>
          <cell r="R476">
            <v>3866</v>
          </cell>
          <cell r="S476">
            <v>11600</v>
          </cell>
          <cell r="T476">
            <v>3866</v>
          </cell>
          <cell r="U476">
            <v>11600</v>
          </cell>
          <cell r="V476">
            <v>3866</v>
          </cell>
          <cell r="W476">
            <v>11600</v>
          </cell>
          <cell r="X476">
            <v>3866</v>
          </cell>
          <cell r="Y476">
            <v>11600</v>
          </cell>
          <cell r="Z476">
            <v>3866</v>
          </cell>
          <cell r="AA476"/>
          <cell r="AB476"/>
          <cell r="AC476"/>
          <cell r="AD476">
            <v>0.42699999999999999</v>
          </cell>
          <cell r="AE476"/>
          <cell r="AF476"/>
          <cell r="AG476"/>
          <cell r="AH476"/>
          <cell r="AI476"/>
          <cell r="AJ476"/>
          <cell r="AK476"/>
          <cell r="AL476" t="str">
            <v xml:space="preserve">     ↓</v>
          </cell>
        </row>
        <row r="477">
          <cell r="E477" t="str">
            <v>溶融亜鉛CR-800mm</v>
          </cell>
          <cell r="F477" t="str">
            <v>ｍ</v>
          </cell>
          <cell r="G477">
            <v>12300</v>
          </cell>
          <cell r="H477">
            <v>4100</v>
          </cell>
          <cell r="I477">
            <v>12300</v>
          </cell>
          <cell r="J477">
            <v>4100</v>
          </cell>
          <cell r="K477">
            <v>12300</v>
          </cell>
          <cell r="L477">
            <v>4100</v>
          </cell>
          <cell r="M477">
            <v>12300</v>
          </cell>
          <cell r="N477">
            <v>4100</v>
          </cell>
          <cell r="O477">
            <v>12300</v>
          </cell>
          <cell r="P477">
            <v>4100</v>
          </cell>
          <cell r="Q477">
            <v>12300</v>
          </cell>
          <cell r="R477">
            <v>4100</v>
          </cell>
          <cell r="S477">
            <v>12300</v>
          </cell>
          <cell r="T477">
            <v>4100</v>
          </cell>
          <cell r="U477">
            <v>12300</v>
          </cell>
          <cell r="V477">
            <v>4100</v>
          </cell>
          <cell r="W477">
            <v>12300</v>
          </cell>
          <cell r="X477">
            <v>4100</v>
          </cell>
          <cell r="Y477">
            <v>12300</v>
          </cell>
          <cell r="Z477">
            <v>4100</v>
          </cell>
          <cell r="AA477"/>
          <cell r="AB477"/>
          <cell r="AC477"/>
          <cell r="AD477">
            <v>0.496</v>
          </cell>
          <cell r="AE477"/>
          <cell r="AF477"/>
          <cell r="AG477"/>
          <cell r="AH477"/>
          <cell r="AI477"/>
          <cell r="AJ477"/>
          <cell r="AK477"/>
          <cell r="AL477" t="str">
            <v xml:space="preserve">     ↓</v>
          </cell>
        </row>
        <row r="478">
          <cell r="E478" t="str">
            <v>溶融亜鉛CR-900mm</v>
          </cell>
          <cell r="F478" t="str">
            <v>ｍ</v>
          </cell>
          <cell r="G478">
            <v>13000</v>
          </cell>
          <cell r="H478">
            <v>4333</v>
          </cell>
          <cell r="I478">
            <v>13000</v>
          </cell>
          <cell r="J478">
            <v>4333</v>
          </cell>
          <cell r="K478">
            <v>13000</v>
          </cell>
          <cell r="L478">
            <v>4333</v>
          </cell>
          <cell r="M478">
            <v>13000</v>
          </cell>
          <cell r="N478">
            <v>4333</v>
          </cell>
          <cell r="O478">
            <v>13000</v>
          </cell>
          <cell r="P478">
            <v>4333</v>
          </cell>
          <cell r="Q478">
            <v>13000</v>
          </cell>
          <cell r="R478">
            <v>4333</v>
          </cell>
          <cell r="S478">
            <v>13000</v>
          </cell>
          <cell r="T478">
            <v>4333</v>
          </cell>
          <cell r="U478">
            <v>13000</v>
          </cell>
          <cell r="V478">
            <v>4333</v>
          </cell>
          <cell r="W478">
            <v>13000</v>
          </cell>
          <cell r="X478">
            <v>4333</v>
          </cell>
          <cell r="Y478">
            <v>13000</v>
          </cell>
          <cell r="Z478">
            <v>4333</v>
          </cell>
          <cell r="AA478"/>
          <cell r="AB478"/>
          <cell r="AC478"/>
          <cell r="AD478">
            <v>0.55400000000000005</v>
          </cell>
          <cell r="AE478"/>
          <cell r="AF478"/>
          <cell r="AG478"/>
          <cell r="AH478"/>
          <cell r="AI478"/>
          <cell r="AJ478"/>
          <cell r="AK478"/>
          <cell r="AL478" t="str">
            <v xml:space="preserve">     ↓</v>
          </cell>
        </row>
        <row r="479">
          <cell r="E479" t="str">
            <v>溶融亜鉛CR-1000mm</v>
          </cell>
          <cell r="F479" t="str">
            <v>ｍ</v>
          </cell>
          <cell r="G479">
            <v>13700</v>
          </cell>
          <cell r="H479">
            <v>4566</v>
          </cell>
          <cell r="I479">
            <v>13700</v>
          </cell>
          <cell r="J479">
            <v>4566</v>
          </cell>
          <cell r="K479">
            <v>13700</v>
          </cell>
          <cell r="L479">
            <v>4566</v>
          </cell>
          <cell r="M479">
            <v>13700</v>
          </cell>
          <cell r="N479">
            <v>4566</v>
          </cell>
          <cell r="O479">
            <v>13700</v>
          </cell>
          <cell r="P479">
            <v>4566</v>
          </cell>
          <cell r="Q479">
            <v>13700</v>
          </cell>
          <cell r="R479">
            <v>4566</v>
          </cell>
          <cell r="S479">
            <v>13700</v>
          </cell>
          <cell r="T479">
            <v>4566</v>
          </cell>
          <cell r="U479">
            <v>13700</v>
          </cell>
          <cell r="V479">
            <v>4566</v>
          </cell>
          <cell r="W479">
            <v>13700</v>
          </cell>
          <cell r="X479">
            <v>4566</v>
          </cell>
          <cell r="Y479">
            <v>13700</v>
          </cell>
          <cell r="Z479">
            <v>4566</v>
          </cell>
          <cell r="AA479"/>
          <cell r="AB479"/>
          <cell r="AC479"/>
          <cell r="AD479">
            <v>0.61699999999999999</v>
          </cell>
          <cell r="AE479"/>
          <cell r="AF479"/>
          <cell r="AG479"/>
          <cell r="AH479"/>
          <cell r="AI479"/>
          <cell r="AJ479"/>
          <cell r="AK479"/>
          <cell r="AL479" t="str">
            <v xml:space="preserve">     ↓</v>
          </cell>
        </row>
        <row r="480">
          <cell r="E480" t="str">
            <v>溶融亜鉛CR-1200mm</v>
          </cell>
          <cell r="F480" t="str">
            <v>ｍ</v>
          </cell>
          <cell r="G480">
            <v>19700</v>
          </cell>
          <cell r="H480">
            <v>6566</v>
          </cell>
          <cell r="I480">
            <v>19700</v>
          </cell>
          <cell r="J480">
            <v>6566</v>
          </cell>
          <cell r="K480">
            <v>19700</v>
          </cell>
          <cell r="L480">
            <v>6566</v>
          </cell>
          <cell r="M480">
            <v>19700</v>
          </cell>
          <cell r="N480">
            <v>6566</v>
          </cell>
          <cell r="O480">
            <v>19700</v>
          </cell>
          <cell r="P480">
            <v>6566</v>
          </cell>
          <cell r="Q480">
            <v>19700</v>
          </cell>
          <cell r="R480">
            <v>6566</v>
          </cell>
          <cell r="S480">
            <v>19700</v>
          </cell>
          <cell r="T480">
            <v>6566</v>
          </cell>
          <cell r="U480">
            <v>19700</v>
          </cell>
          <cell r="V480">
            <v>6566</v>
          </cell>
          <cell r="W480">
            <v>19700</v>
          </cell>
          <cell r="X480">
            <v>6566</v>
          </cell>
          <cell r="Y480">
            <v>19700</v>
          </cell>
          <cell r="Z480">
            <v>6566</v>
          </cell>
          <cell r="AA480"/>
          <cell r="AB480"/>
          <cell r="AC480"/>
          <cell r="AD480">
            <v>0.74</v>
          </cell>
          <cell r="AE480"/>
          <cell r="AF480"/>
          <cell r="AG480"/>
          <cell r="AH480"/>
          <cell r="AI480"/>
          <cell r="AJ480"/>
          <cell r="AK480"/>
          <cell r="AL480" t="str">
            <v xml:space="preserve">     ↓</v>
          </cell>
        </row>
        <row r="481">
          <cell r="E481" t="str">
            <v>ZAM製CR-200mm</v>
          </cell>
          <cell r="F481" t="str">
            <v>ｍ</v>
          </cell>
          <cell r="G481">
            <v>6950</v>
          </cell>
          <cell r="H481">
            <v>2316</v>
          </cell>
          <cell r="I481">
            <v>6950</v>
          </cell>
          <cell r="J481">
            <v>2316</v>
          </cell>
          <cell r="K481">
            <v>6950</v>
          </cell>
          <cell r="L481">
            <v>2316</v>
          </cell>
          <cell r="M481">
            <v>6950</v>
          </cell>
          <cell r="N481">
            <v>2316</v>
          </cell>
          <cell r="O481">
            <v>6950</v>
          </cell>
          <cell r="P481">
            <v>2316</v>
          </cell>
          <cell r="Q481">
            <v>6950</v>
          </cell>
          <cell r="R481">
            <v>2316</v>
          </cell>
          <cell r="S481">
            <v>6950</v>
          </cell>
          <cell r="T481">
            <v>2316</v>
          </cell>
          <cell r="U481">
            <v>6950</v>
          </cell>
          <cell r="V481">
            <v>2316</v>
          </cell>
          <cell r="W481">
            <v>6950</v>
          </cell>
          <cell r="X481">
            <v>2316</v>
          </cell>
          <cell r="Y481">
            <v>6950</v>
          </cell>
          <cell r="Z481">
            <v>2316</v>
          </cell>
          <cell r="AA481"/>
          <cell r="AB481"/>
          <cell r="AC481"/>
          <cell r="AD481">
            <v>0.183</v>
          </cell>
          <cell r="AE481"/>
          <cell r="AF481"/>
          <cell r="AG481"/>
          <cell r="AH481"/>
          <cell r="AI481"/>
          <cell r="AJ481"/>
          <cell r="AK481"/>
          <cell r="AL481" t="str">
            <v>定尺=3.00m</v>
          </cell>
        </row>
        <row r="482">
          <cell r="E482" t="str">
            <v>ZAM製CR-300mm</v>
          </cell>
          <cell r="F482" t="str">
            <v>ｍ</v>
          </cell>
          <cell r="G482">
            <v>7590</v>
          </cell>
          <cell r="H482">
            <v>2530</v>
          </cell>
          <cell r="I482">
            <v>7590</v>
          </cell>
          <cell r="J482">
            <v>2530</v>
          </cell>
          <cell r="K482">
            <v>7590</v>
          </cell>
          <cell r="L482">
            <v>2530</v>
          </cell>
          <cell r="M482">
            <v>7590</v>
          </cell>
          <cell r="N482">
            <v>2530</v>
          </cell>
          <cell r="O482">
            <v>7590</v>
          </cell>
          <cell r="P482">
            <v>2530</v>
          </cell>
          <cell r="Q482">
            <v>7590</v>
          </cell>
          <cell r="R482">
            <v>2530</v>
          </cell>
          <cell r="S482">
            <v>7590</v>
          </cell>
          <cell r="T482">
            <v>2530</v>
          </cell>
          <cell r="U482">
            <v>7590</v>
          </cell>
          <cell r="V482">
            <v>2530</v>
          </cell>
          <cell r="W482">
            <v>7590</v>
          </cell>
          <cell r="X482">
            <v>2530</v>
          </cell>
          <cell r="Y482">
            <v>7590</v>
          </cell>
          <cell r="Z482">
            <v>2530</v>
          </cell>
          <cell r="AA482"/>
          <cell r="AB482"/>
          <cell r="AC482"/>
          <cell r="AD482">
            <v>0.24299999999999999</v>
          </cell>
          <cell r="AE482"/>
          <cell r="AF482"/>
          <cell r="AG482"/>
          <cell r="AH482"/>
          <cell r="AI482"/>
          <cell r="AJ482"/>
          <cell r="AK482"/>
          <cell r="AL482" t="str">
            <v xml:space="preserve">     ↓</v>
          </cell>
        </row>
        <row r="483">
          <cell r="E483" t="str">
            <v>ZAM製CR-400mm</v>
          </cell>
          <cell r="F483" t="str">
            <v>ｍ</v>
          </cell>
          <cell r="G483">
            <v>8240</v>
          </cell>
          <cell r="H483">
            <v>2746</v>
          </cell>
          <cell r="I483">
            <v>8240</v>
          </cell>
          <cell r="J483">
            <v>2746</v>
          </cell>
          <cell r="K483">
            <v>8240</v>
          </cell>
          <cell r="L483">
            <v>2746</v>
          </cell>
          <cell r="M483">
            <v>8240</v>
          </cell>
          <cell r="N483">
            <v>2746</v>
          </cell>
          <cell r="O483">
            <v>8240</v>
          </cell>
          <cell r="P483">
            <v>2746</v>
          </cell>
          <cell r="Q483">
            <v>8240</v>
          </cell>
          <cell r="R483">
            <v>2746</v>
          </cell>
          <cell r="S483">
            <v>8240</v>
          </cell>
          <cell r="T483">
            <v>2746</v>
          </cell>
          <cell r="U483">
            <v>8240</v>
          </cell>
          <cell r="V483">
            <v>2746</v>
          </cell>
          <cell r="W483">
            <v>8240</v>
          </cell>
          <cell r="X483">
            <v>2746</v>
          </cell>
          <cell r="Y483">
            <v>8240</v>
          </cell>
          <cell r="Z483">
            <v>2746</v>
          </cell>
          <cell r="AA483"/>
          <cell r="AB483"/>
          <cell r="AC483"/>
          <cell r="AD483">
            <v>0.29599999999999999</v>
          </cell>
          <cell r="AE483"/>
          <cell r="AF483"/>
          <cell r="AG483"/>
          <cell r="AH483"/>
          <cell r="AI483"/>
          <cell r="AJ483"/>
          <cell r="AK483"/>
          <cell r="AL483" t="str">
            <v xml:space="preserve">     ↓</v>
          </cell>
        </row>
        <row r="484">
          <cell r="E484" t="str">
            <v>ZAM製CR-500mm</v>
          </cell>
          <cell r="F484" t="str">
            <v>ｍ</v>
          </cell>
          <cell r="G484">
            <v>8900</v>
          </cell>
          <cell r="H484">
            <v>2966</v>
          </cell>
          <cell r="I484">
            <v>8900</v>
          </cell>
          <cell r="J484">
            <v>2966</v>
          </cell>
          <cell r="K484">
            <v>8900</v>
          </cell>
          <cell r="L484">
            <v>2966</v>
          </cell>
          <cell r="M484">
            <v>8900</v>
          </cell>
          <cell r="N484">
            <v>2966</v>
          </cell>
          <cell r="O484">
            <v>8900</v>
          </cell>
          <cell r="P484">
            <v>2966</v>
          </cell>
          <cell r="Q484">
            <v>8900</v>
          </cell>
          <cell r="R484">
            <v>2966</v>
          </cell>
          <cell r="S484">
            <v>8900</v>
          </cell>
          <cell r="T484">
            <v>2966</v>
          </cell>
          <cell r="U484">
            <v>8900</v>
          </cell>
          <cell r="V484">
            <v>2966</v>
          </cell>
          <cell r="W484">
            <v>8900</v>
          </cell>
          <cell r="X484">
            <v>2966</v>
          </cell>
          <cell r="Y484">
            <v>8900</v>
          </cell>
          <cell r="Z484">
            <v>2966</v>
          </cell>
          <cell r="AA484"/>
          <cell r="AB484"/>
          <cell r="AC484"/>
          <cell r="AD484">
            <v>0.33900000000000002</v>
          </cell>
          <cell r="AE484"/>
          <cell r="AF484"/>
          <cell r="AG484"/>
          <cell r="AH484"/>
          <cell r="AI484"/>
          <cell r="AJ484"/>
          <cell r="AK484"/>
          <cell r="AL484" t="str">
            <v xml:space="preserve">     ↓</v>
          </cell>
        </row>
        <row r="485">
          <cell r="E485" t="str">
            <v>ZAM製CR-600mm</v>
          </cell>
          <cell r="F485" t="str">
            <v>ｍ</v>
          </cell>
          <cell r="G485">
            <v>9560</v>
          </cell>
          <cell r="H485">
            <v>3186</v>
          </cell>
          <cell r="I485">
            <v>9560</v>
          </cell>
          <cell r="J485">
            <v>3186</v>
          </cell>
          <cell r="K485">
            <v>9560</v>
          </cell>
          <cell r="L485">
            <v>3186</v>
          </cell>
          <cell r="M485">
            <v>9560</v>
          </cell>
          <cell r="N485">
            <v>3186</v>
          </cell>
          <cell r="O485">
            <v>9560</v>
          </cell>
          <cell r="P485">
            <v>3186</v>
          </cell>
          <cell r="Q485">
            <v>9560</v>
          </cell>
          <cell r="R485">
            <v>3186</v>
          </cell>
          <cell r="S485">
            <v>9560</v>
          </cell>
          <cell r="T485">
            <v>3186</v>
          </cell>
          <cell r="U485">
            <v>9560</v>
          </cell>
          <cell r="V485">
            <v>3186</v>
          </cell>
          <cell r="W485">
            <v>9560</v>
          </cell>
          <cell r="X485">
            <v>3186</v>
          </cell>
          <cell r="Y485">
            <v>9560</v>
          </cell>
          <cell r="Z485">
            <v>3186</v>
          </cell>
          <cell r="AA485"/>
          <cell r="AB485"/>
          <cell r="AC485"/>
          <cell r="AD485">
            <v>0.36499999999999999</v>
          </cell>
          <cell r="AE485"/>
          <cell r="AF485"/>
          <cell r="AG485"/>
          <cell r="AH485"/>
          <cell r="AI485"/>
          <cell r="AJ485"/>
          <cell r="AK485"/>
          <cell r="AL485" t="str">
            <v xml:space="preserve">     ↓</v>
          </cell>
        </row>
        <row r="486">
          <cell r="E486" t="str">
            <v>ZAM製CR-700mm</v>
          </cell>
          <cell r="F486" t="str">
            <v>ｍ</v>
          </cell>
          <cell r="G486">
            <v>10200</v>
          </cell>
          <cell r="H486">
            <v>3400</v>
          </cell>
          <cell r="I486">
            <v>10200</v>
          </cell>
          <cell r="J486">
            <v>3400</v>
          </cell>
          <cell r="K486">
            <v>10200</v>
          </cell>
          <cell r="L486">
            <v>3400</v>
          </cell>
          <cell r="M486">
            <v>10200</v>
          </cell>
          <cell r="N486">
            <v>3400</v>
          </cell>
          <cell r="O486">
            <v>10200</v>
          </cell>
          <cell r="P486">
            <v>3400</v>
          </cell>
          <cell r="Q486">
            <v>10200</v>
          </cell>
          <cell r="R486">
            <v>3400</v>
          </cell>
          <cell r="S486">
            <v>10200</v>
          </cell>
          <cell r="T486">
            <v>3400</v>
          </cell>
          <cell r="U486">
            <v>10200</v>
          </cell>
          <cell r="V486">
            <v>3400</v>
          </cell>
          <cell r="W486">
            <v>10200</v>
          </cell>
          <cell r="X486">
            <v>3400</v>
          </cell>
          <cell r="Y486">
            <v>10200</v>
          </cell>
          <cell r="Z486">
            <v>3400</v>
          </cell>
          <cell r="AA486"/>
          <cell r="AB486"/>
          <cell r="AC486"/>
          <cell r="AD486">
            <v>0.42699999999999999</v>
          </cell>
          <cell r="AE486"/>
          <cell r="AF486"/>
          <cell r="AG486"/>
          <cell r="AH486"/>
          <cell r="AI486"/>
          <cell r="AJ486"/>
          <cell r="AK486"/>
          <cell r="AL486" t="str">
            <v xml:space="preserve">     ↓</v>
          </cell>
        </row>
        <row r="487">
          <cell r="E487" t="str">
            <v>ZAM製CR-800mm</v>
          </cell>
          <cell r="F487" t="str">
            <v>ｍ</v>
          </cell>
          <cell r="G487">
            <v>10900</v>
          </cell>
          <cell r="H487">
            <v>3633</v>
          </cell>
          <cell r="I487">
            <v>10900</v>
          </cell>
          <cell r="J487">
            <v>3633</v>
          </cell>
          <cell r="K487">
            <v>10900</v>
          </cell>
          <cell r="L487">
            <v>3633</v>
          </cell>
          <cell r="M487">
            <v>10900</v>
          </cell>
          <cell r="N487">
            <v>3633</v>
          </cell>
          <cell r="O487">
            <v>10900</v>
          </cell>
          <cell r="P487">
            <v>3633</v>
          </cell>
          <cell r="Q487">
            <v>10900</v>
          </cell>
          <cell r="R487">
            <v>3633</v>
          </cell>
          <cell r="S487">
            <v>10900</v>
          </cell>
          <cell r="T487">
            <v>3633</v>
          </cell>
          <cell r="U487">
            <v>10900</v>
          </cell>
          <cell r="V487">
            <v>3633</v>
          </cell>
          <cell r="W487">
            <v>10900</v>
          </cell>
          <cell r="X487">
            <v>3633</v>
          </cell>
          <cell r="Y487">
            <v>10900</v>
          </cell>
          <cell r="Z487">
            <v>3633</v>
          </cell>
          <cell r="AA487"/>
          <cell r="AB487"/>
          <cell r="AC487"/>
          <cell r="AD487">
            <v>0.496</v>
          </cell>
          <cell r="AE487"/>
          <cell r="AF487"/>
          <cell r="AG487"/>
          <cell r="AH487"/>
          <cell r="AI487"/>
          <cell r="AJ487"/>
          <cell r="AK487"/>
          <cell r="AL487" t="str">
            <v xml:space="preserve">     ↓</v>
          </cell>
        </row>
        <row r="488">
          <cell r="E488" t="str">
            <v>ZAM製CR-900mm</v>
          </cell>
          <cell r="F488" t="str">
            <v>ｍ</v>
          </cell>
          <cell r="G488">
            <v>11600</v>
          </cell>
          <cell r="H488">
            <v>3866</v>
          </cell>
          <cell r="I488">
            <v>11600</v>
          </cell>
          <cell r="J488">
            <v>3866</v>
          </cell>
          <cell r="K488">
            <v>11600</v>
          </cell>
          <cell r="L488">
            <v>3866</v>
          </cell>
          <cell r="M488">
            <v>11600</v>
          </cell>
          <cell r="N488">
            <v>3866</v>
          </cell>
          <cell r="O488">
            <v>11600</v>
          </cell>
          <cell r="P488">
            <v>3866</v>
          </cell>
          <cell r="Q488">
            <v>11600</v>
          </cell>
          <cell r="R488">
            <v>3866</v>
          </cell>
          <cell r="S488">
            <v>11600</v>
          </cell>
          <cell r="T488">
            <v>3866</v>
          </cell>
          <cell r="U488">
            <v>11600</v>
          </cell>
          <cell r="V488">
            <v>3866</v>
          </cell>
          <cell r="W488">
            <v>11600</v>
          </cell>
          <cell r="X488">
            <v>3866</v>
          </cell>
          <cell r="Y488">
            <v>11600</v>
          </cell>
          <cell r="Z488">
            <v>3866</v>
          </cell>
          <cell r="AA488"/>
          <cell r="AB488"/>
          <cell r="AC488"/>
          <cell r="AD488">
            <v>0.55400000000000005</v>
          </cell>
          <cell r="AE488"/>
          <cell r="AF488"/>
          <cell r="AG488"/>
          <cell r="AH488"/>
          <cell r="AI488"/>
          <cell r="AJ488"/>
          <cell r="AK488"/>
          <cell r="AL488" t="str">
            <v xml:space="preserve">     ↓</v>
          </cell>
        </row>
        <row r="489">
          <cell r="E489" t="str">
            <v>ZAM製CR-1000mm</v>
          </cell>
          <cell r="F489" t="str">
            <v>ｍ</v>
          </cell>
          <cell r="G489">
            <v>12500</v>
          </cell>
          <cell r="H489">
            <v>4166</v>
          </cell>
          <cell r="I489">
            <v>12500</v>
          </cell>
          <cell r="J489">
            <v>4166</v>
          </cell>
          <cell r="K489">
            <v>12500</v>
          </cell>
          <cell r="L489">
            <v>4166</v>
          </cell>
          <cell r="M489">
            <v>12500</v>
          </cell>
          <cell r="N489">
            <v>4166</v>
          </cell>
          <cell r="O489">
            <v>12500</v>
          </cell>
          <cell r="P489">
            <v>4166</v>
          </cell>
          <cell r="Q489">
            <v>12500</v>
          </cell>
          <cell r="R489">
            <v>4166</v>
          </cell>
          <cell r="S489">
            <v>12500</v>
          </cell>
          <cell r="T489">
            <v>4166</v>
          </cell>
          <cell r="U489">
            <v>12500</v>
          </cell>
          <cell r="V489">
            <v>4166</v>
          </cell>
          <cell r="W489">
            <v>12500</v>
          </cell>
          <cell r="X489">
            <v>4166</v>
          </cell>
          <cell r="Y489">
            <v>12500</v>
          </cell>
          <cell r="Z489">
            <v>4166</v>
          </cell>
          <cell r="AA489"/>
          <cell r="AB489"/>
          <cell r="AC489"/>
          <cell r="AD489">
            <v>0.61699999999999999</v>
          </cell>
          <cell r="AE489"/>
          <cell r="AF489"/>
          <cell r="AG489"/>
          <cell r="AH489"/>
          <cell r="AI489"/>
          <cell r="AJ489"/>
          <cell r="AK489"/>
          <cell r="AL489" t="str">
            <v xml:space="preserve">     ↓</v>
          </cell>
        </row>
        <row r="490">
          <cell r="E490" t="str">
            <v>ZAM製CR-1200mm</v>
          </cell>
          <cell r="F490" t="str">
            <v>ｍ</v>
          </cell>
          <cell r="G490">
            <v>16700</v>
          </cell>
          <cell r="H490">
            <v>5566</v>
          </cell>
          <cell r="I490">
            <v>16700</v>
          </cell>
          <cell r="J490">
            <v>5566</v>
          </cell>
          <cell r="K490">
            <v>16700</v>
          </cell>
          <cell r="L490">
            <v>5566</v>
          </cell>
          <cell r="M490">
            <v>16700</v>
          </cell>
          <cell r="N490">
            <v>5566</v>
          </cell>
          <cell r="O490">
            <v>16700</v>
          </cell>
          <cell r="P490">
            <v>5566</v>
          </cell>
          <cell r="Q490">
            <v>16700</v>
          </cell>
          <cell r="R490">
            <v>5566</v>
          </cell>
          <cell r="S490">
            <v>16700</v>
          </cell>
          <cell r="T490">
            <v>5566</v>
          </cell>
          <cell r="U490">
            <v>16700</v>
          </cell>
          <cell r="V490">
            <v>5566</v>
          </cell>
          <cell r="W490">
            <v>16700</v>
          </cell>
          <cell r="X490">
            <v>5566</v>
          </cell>
          <cell r="Y490">
            <v>16700</v>
          </cell>
          <cell r="Z490">
            <v>5566</v>
          </cell>
          <cell r="AA490"/>
          <cell r="AB490"/>
          <cell r="AC490"/>
          <cell r="AD490">
            <v>0.74</v>
          </cell>
          <cell r="AE490"/>
          <cell r="AF490"/>
          <cell r="AG490"/>
          <cell r="AH490"/>
          <cell r="AI490"/>
          <cell r="AJ490"/>
          <cell r="AK490"/>
          <cell r="AL490" t="str">
            <v xml:space="preserve">     ↓</v>
          </cell>
        </row>
        <row r="491">
          <cell r="E491" t="str">
            <v>G鋼板製CR-200mm</v>
          </cell>
          <cell r="F491" t="str">
            <v>ｍ</v>
          </cell>
          <cell r="G491">
            <v>7150</v>
          </cell>
          <cell r="H491">
            <v>2383</v>
          </cell>
          <cell r="I491">
            <v>7150</v>
          </cell>
          <cell r="J491">
            <v>2383</v>
          </cell>
          <cell r="K491">
            <v>7150</v>
          </cell>
          <cell r="L491">
            <v>2383</v>
          </cell>
          <cell r="M491">
            <v>7150</v>
          </cell>
          <cell r="N491">
            <v>2383</v>
          </cell>
          <cell r="O491">
            <v>7150</v>
          </cell>
          <cell r="P491">
            <v>2383</v>
          </cell>
          <cell r="Q491">
            <v>7150</v>
          </cell>
          <cell r="R491">
            <v>2383</v>
          </cell>
          <cell r="S491">
            <v>7150</v>
          </cell>
          <cell r="T491">
            <v>2383</v>
          </cell>
          <cell r="U491">
            <v>7150</v>
          </cell>
          <cell r="V491">
            <v>2383</v>
          </cell>
          <cell r="W491">
            <v>7150</v>
          </cell>
          <cell r="X491">
            <v>2383</v>
          </cell>
          <cell r="Y491">
            <v>7150</v>
          </cell>
          <cell r="Z491">
            <v>2383</v>
          </cell>
          <cell r="AA491"/>
          <cell r="AB491"/>
          <cell r="AC491"/>
          <cell r="AD491">
            <v>0.183</v>
          </cell>
          <cell r="AE491"/>
          <cell r="AF491"/>
          <cell r="AG491"/>
          <cell r="AH491"/>
          <cell r="AI491"/>
          <cell r="AJ491"/>
          <cell r="AK491"/>
          <cell r="AL491" t="str">
            <v>定尺=3.00m</v>
          </cell>
        </row>
        <row r="492">
          <cell r="E492" t="str">
            <v>G鋼板製CR-300mm</v>
          </cell>
          <cell r="F492" t="str">
            <v>ｍ</v>
          </cell>
          <cell r="G492">
            <v>7950</v>
          </cell>
          <cell r="H492">
            <v>2650</v>
          </cell>
          <cell r="I492">
            <v>7950</v>
          </cell>
          <cell r="J492">
            <v>2650</v>
          </cell>
          <cell r="K492">
            <v>7950</v>
          </cell>
          <cell r="L492">
            <v>2650</v>
          </cell>
          <cell r="M492">
            <v>7950</v>
          </cell>
          <cell r="N492">
            <v>2650</v>
          </cell>
          <cell r="O492">
            <v>7950</v>
          </cell>
          <cell r="P492">
            <v>2650</v>
          </cell>
          <cell r="Q492">
            <v>7950</v>
          </cell>
          <cell r="R492">
            <v>2650</v>
          </cell>
          <cell r="S492">
            <v>7950</v>
          </cell>
          <cell r="T492">
            <v>2650</v>
          </cell>
          <cell r="U492">
            <v>7950</v>
          </cell>
          <cell r="V492">
            <v>2650</v>
          </cell>
          <cell r="W492">
            <v>7950</v>
          </cell>
          <cell r="X492">
            <v>2650</v>
          </cell>
          <cell r="Y492">
            <v>7950</v>
          </cell>
          <cell r="Z492">
            <v>2650</v>
          </cell>
          <cell r="AA492"/>
          <cell r="AB492"/>
          <cell r="AC492"/>
          <cell r="AD492">
            <v>0.24299999999999999</v>
          </cell>
          <cell r="AE492"/>
          <cell r="AF492"/>
          <cell r="AG492"/>
          <cell r="AH492"/>
          <cell r="AI492"/>
          <cell r="AJ492"/>
          <cell r="AK492"/>
          <cell r="AL492" t="str">
            <v xml:space="preserve">     ↓</v>
          </cell>
        </row>
        <row r="493">
          <cell r="E493" t="str">
            <v>G鋼板製CR-400mm</v>
          </cell>
          <cell r="F493" t="str">
            <v>ｍ</v>
          </cell>
          <cell r="G493">
            <v>8440</v>
          </cell>
          <cell r="H493">
            <v>2813</v>
          </cell>
          <cell r="I493">
            <v>8440</v>
          </cell>
          <cell r="J493">
            <v>2813</v>
          </cell>
          <cell r="K493">
            <v>8440</v>
          </cell>
          <cell r="L493">
            <v>2813</v>
          </cell>
          <cell r="M493">
            <v>8440</v>
          </cell>
          <cell r="N493">
            <v>2813</v>
          </cell>
          <cell r="O493">
            <v>8440</v>
          </cell>
          <cell r="P493">
            <v>2813</v>
          </cell>
          <cell r="Q493">
            <v>8440</v>
          </cell>
          <cell r="R493">
            <v>2813</v>
          </cell>
          <cell r="S493">
            <v>8440</v>
          </cell>
          <cell r="T493">
            <v>2813</v>
          </cell>
          <cell r="U493">
            <v>8440</v>
          </cell>
          <cell r="V493">
            <v>2813</v>
          </cell>
          <cell r="W493">
            <v>8440</v>
          </cell>
          <cell r="X493">
            <v>2813</v>
          </cell>
          <cell r="Y493">
            <v>8440</v>
          </cell>
          <cell r="Z493">
            <v>2813</v>
          </cell>
          <cell r="AA493"/>
          <cell r="AB493"/>
          <cell r="AC493"/>
          <cell r="AD493">
            <v>0.29599999999999999</v>
          </cell>
          <cell r="AE493"/>
          <cell r="AF493"/>
          <cell r="AG493"/>
          <cell r="AH493"/>
          <cell r="AI493"/>
          <cell r="AJ493"/>
          <cell r="AK493"/>
          <cell r="AL493" t="str">
            <v xml:space="preserve">     ↓</v>
          </cell>
        </row>
        <row r="494">
          <cell r="E494" t="str">
            <v>G鋼板製CR-500mm</v>
          </cell>
          <cell r="F494" t="str">
            <v>ｍ</v>
          </cell>
          <cell r="G494">
            <v>8870</v>
          </cell>
          <cell r="H494">
            <v>2956</v>
          </cell>
          <cell r="I494">
            <v>8870</v>
          </cell>
          <cell r="J494">
            <v>2956</v>
          </cell>
          <cell r="K494">
            <v>8870</v>
          </cell>
          <cell r="L494">
            <v>2956</v>
          </cell>
          <cell r="M494">
            <v>8870</v>
          </cell>
          <cell r="N494">
            <v>2956</v>
          </cell>
          <cell r="O494">
            <v>8870</v>
          </cell>
          <cell r="P494">
            <v>2956</v>
          </cell>
          <cell r="Q494">
            <v>8870</v>
          </cell>
          <cell r="R494">
            <v>2956</v>
          </cell>
          <cell r="S494">
            <v>8870</v>
          </cell>
          <cell r="T494">
            <v>2956</v>
          </cell>
          <cell r="U494">
            <v>8870</v>
          </cell>
          <cell r="V494">
            <v>2956</v>
          </cell>
          <cell r="W494">
            <v>8870</v>
          </cell>
          <cell r="X494">
            <v>2956</v>
          </cell>
          <cell r="Y494">
            <v>8870</v>
          </cell>
          <cell r="Z494">
            <v>2956</v>
          </cell>
          <cell r="AA494"/>
          <cell r="AB494"/>
          <cell r="AC494"/>
          <cell r="AD494">
            <v>0.33900000000000002</v>
          </cell>
          <cell r="AE494"/>
          <cell r="AF494"/>
          <cell r="AG494"/>
          <cell r="AH494"/>
          <cell r="AI494"/>
          <cell r="AJ494"/>
          <cell r="AK494"/>
          <cell r="AL494" t="str">
            <v xml:space="preserve">     ↓</v>
          </cell>
        </row>
        <row r="495">
          <cell r="E495" t="str">
            <v>G鋼板製CR-600mm</v>
          </cell>
          <cell r="F495" t="str">
            <v>ｍ</v>
          </cell>
          <cell r="G495">
            <v>9320</v>
          </cell>
          <cell r="H495">
            <v>3106</v>
          </cell>
          <cell r="I495">
            <v>9320</v>
          </cell>
          <cell r="J495">
            <v>3106</v>
          </cell>
          <cell r="K495">
            <v>9320</v>
          </cell>
          <cell r="L495">
            <v>3106</v>
          </cell>
          <cell r="M495">
            <v>9320</v>
          </cell>
          <cell r="N495">
            <v>3106</v>
          </cell>
          <cell r="O495">
            <v>9320</v>
          </cell>
          <cell r="P495">
            <v>3106</v>
          </cell>
          <cell r="Q495">
            <v>9320</v>
          </cell>
          <cell r="R495">
            <v>3106</v>
          </cell>
          <cell r="S495">
            <v>9320</v>
          </cell>
          <cell r="T495">
            <v>3106</v>
          </cell>
          <cell r="U495">
            <v>9320</v>
          </cell>
          <cell r="V495">
            <v>3106</v>
          </cell>
          <cell r="W495">
            <v>9320</v>
          </cell>
          <cell r="X495">
            <v>3106</v>
          </cell>
          <cell r="Y495">
            <v>9320</v>
          </cell>
          <cell r="Z495">
            <v>3106</v>
          </cell>
          <cell r="AA495"/>
          <cell r="AB495"/>
          <cell r="AC495"/>
          <cell r="AD495">
            <v>0.36499999999999999</v>
          </cell>
          <cell r="AE495"/>
          <cell r="AF495"/>
          <cell r="AG495"/>
          <cell r="AH495"/>
          <cell r="AI495"/>
          <cell r="AJ495"/>
          <cell r="AK495"/>
          <cell r="AL495" t="str">
            <v xml:space="preserve">     ↓</v>
          </cell>
        </row>
        <row r="496">
          <cell r="E496" t="str">
            <v>G鋼板製CR-700mm</v>
          </cell>
          <cell r="F496" t="str">
            <v>ｍ</v>
          </cell>
          <cell r="G496">
            <v>9960</v>
          </cell>
          <cell r="H496">
            <v>3320</v>
          </cell>
          <cell r="I496">
            <v>9960</v>
          </cell>
          <cell r="J496">
            <v>3320</v>
          </cell>
          <cell r="K496">
            <v>9960</v>
          </cell>
          <cell r="L496">
            <v>3320</v>
          </cell>
          <cell r="M496">
            <v>9960</v>
          </cell>
          <cell r="N496">
            <v>3320</v>
          </cell>
          <cell r="O496">
            <v>9960</v>
          </cell>
          <cell r="P496">
            <v>3320</v>
          </cell>
          <cell r="Q496">
            <v>9960</v>
          </cell>
          <cell r="R496">
            <v>3320</v>
          </cell>
          <cell r="S496">
            <v>9960</v>
          </cell>
          <cell r="T496">
            <v>3320</v>
          </cell>
          <cell r="U496">
            <v>9960</v>
          </cell>
          <cell r="V496">
            <v>3320</v>
          </cell>
          <cell r="W496">
            <v>9960</v>
          </cell>
          <cell r="X496">
            <v>3320</v>
          </cell>
          <cell r="Y496">
            <v>9960</v>
          </cell>
          <cell r="Z496">
            <v>3320</v>
          </cell>
          <cell r="AA496"/>
          <cell r="AB496"/>
          <cell r="AC496"/>
          <cell r="AD496">
            <v>0.42699999999999999</v>
          </cell>
          <cell r="AE496"/>
          <cell r="AF496"/>
          <cell r="AG496"/>
          <cell r="AH496"/>
          <cell r="AI496"/>
          <cell r="AJ496"/>
          <cell r="AK496"/>
          <cell r="AL496" t="str">
            <v xml:space="preserve">     ↓</v>
          </cell>
        </row>
        <row r="497">
          <cell r="E497" t="str">
            <v>G鋼板製CR-800mm</v>
          </cell>
          <cell r="F497" t="str">
            <v>ｍ</v>
          </cell>
          <cell r="G497">
            <v>10600</v>
          </cell>
          <cell r="H497">
            <v>3533</v>
          </cell>
          <cell r="I497">
            <v>10600</v>
          </cell>
          <cell r="J497">
            <v>3533</v>
          </cell>
          <cell r="K497">
            <v>10600</v>
          </cell>
          <cell r="L497">
            <v>3533</v>
          </cell>
          <cell r="M497">
            <v>10600</v>
          </cell>
          <cell r="N497">
            <v>3533</v>
          </cell>
          <cell r="O497">
            <v>10600</v>
          </cell>
          <cell r="P497">
            <v>3533</v>
          </cell>
          <cell r="Q497">
            <v>10600</v>
          </cell>
          <cell r="R497">
            <v>3533</v>
          </cell>
          <cell r="S497">
            <v>10600</v>
          </cell>
          <cell r="T497">
            <v>3533</v>
          </cell>
          <cell r="U497">
            <v>10600</v>
          </cell>
          <cell r="V497">
            <v>3533</v>
          </cell>
          <cell r="W497">
            <v>10600</v>
          </cell>
          <cell r="X497">
            <v>3533</v>
          </cell>
          <cell r="Y497">
            <v>10600</v>
          </cell>
          <cell r="Z497">
            <v>3533</v>
          </cell>
          <cell r="AA497"/>
          <cell r="AB497"/>
          <cell r="AC497"/>
          <cell r="AD497">
            <v>0.496</v>
          </cell>
          <cell r="AE497"/>
          <cell r="AF497"/>
          <cell r="AG497"/>
          <cell r="AH497"/>
          <cell r="AI497"/>
          <cell r="AJ497"/>
          <cell r="AK497"/>
          <cell r="AL497" t="str">
            <v xml:space="preserve">     ↓</v>
          </cell>
        </row>
        <row r="498">
          <cell r="E498" t="str">
            <v>G鋼板製CR-1000mm</v>
          </cell>
          <cell r="F498" t="str">
            <v>ｍ</v>
          </cell>
          <cell r="G498">
            <v>12100</v>
          </cell>
          <cell r="H498">
            <v>4033</v>
          </cell>
          <cell r="I498">
            <v>12100</v>
          </cell>
          <cell r="J498">
            <v>4033</v>
          </cell>
          <cell r="K498">
            <v>12100</v>
          </cell>
          <cell r="L498">
            <v>4033</v>
          </cell>
          <cell r="M498">
            <v>12100</v>
          </cell>
          <cell r="N498">
            <v>4033</v>
          </cell>
          <cell r="O498">
            <v>12100</v>
          </cell>
          <cell r="P498">
            <v>4033</v>
          </cell>
          <cell r="Q498">
            <v>12100</v>
          </cell>
          <cell r="R498">
            <v>4033</v>
          </cell>
          <cell r="S498">
            <v>12100</v>
          </cell>
          <cell r="T498">
            <v>4033</v>
          </cell>
          <cell r="U498">
            <v>12100</v>
          </cell>
          <cell r="V498">
            <v>4033</v>
          </cell>
          <cell r="W498">
            <v>12100</v>
          </cell>
          <cell r="X498">
            <v>4033</v>
          </cell>
          <cell r="Y498">
            <v>12100</v>
          </cell>
          <cell r="Z498">
            <v>4033</v>
          </cell>
          <cell r="AA498"/>
          <cell r="AB498"/>
          <cell r="AC498"/>
          <cell r="AD498">
            <v>0.61699999999999999</v>
          </cell>
          <cell r="AE498"/>
          <cell r="AF498"/>
          <cell r="AG498"/>
          <cell r="AH498"/>
          <cell r="AI498"/>
          <cell r="AJ498"/>
          <cell r="AK498"/>
          <cell r="AL498" t="str">
            <v xml:space="preserve">     ↓</v>
          </cell>
        </row>
        <row r="499">
          <cell r="E499" t="str">
            <v>G鋼板製CR-1200mm</v>
          </cell>
          <cell r="F499" t="str">
            <v>ｍ</v>
          </cell>
          <cell r="G499">
            <v>17400</v>
          </cell>
          <cell r="H499">
            <v>5800</v>
          </cell>
          <cell r="I499">
            <v>17400</v>
          </cell>
          <cell r="J499">
            <v>5800</v>
          </cell>
          <cell r="K499">
            <v>17400</v>
          </cell>
          <cell r="L499">
            <v>5800</v>
          </cell>
          <cell r="M499">
            <v>17400</v>
          </cell>
          <cell r="N499">
            <v>5800</v>
          </cell>
          <cell r="O499">
            <v>17400</v>
          </cell>
          <cell r="P499">
            <v>5800</v>
          </cell>
          <cell r="Q499">
            <v>17400</v>
          </cell>
          <cell r="R499">
            <v>5800</v>
          </cell>
          <cell r="S499">
            <v>17400</v>
          </cell>
          <cell r="T499">
            <v>5800</v>
          </cell>
          <cell r="U499">
            <v>17400</v>
          </cell>
          <cell r="V499">
            <v>5800</v>
          </cell>
          <cell r="W499">
            <v>17400</v>
          </cell>
          <cell r="X499">
            <v>5800</v>
          </cell>
          <cell r="Y499">
            <v>17400</v>
          </cell>
          <cell r="Z499">
            <v>5800</v>
          </cell>
          <cell r="AA499"/>
          <cell r="AB499"/>
          <cell r="AC499"/>
          <cell r="AD499">
            <v>0.74</v>
          </cell>
          <cell r="AE499"/>
          <cell r="AF499"/>
          <cell r="AG499"/>
          <cell r="AH499"/>
          <cell r="AI499"/>
          <cell r="AJ499"/>
          <cell r="AK499"/>
          <cell r="AL499" t="str">
            <v xml:space="preserve">     ↓</v>
          </cell>
        </row>
        <row r="500">
          <cell r="E500" t="str">
            <v>SD製CR-200mm</v>
          </cell>
          <cell r="F500" t="str">
            <v>ｍ</v>
          </cell>
          <cell r="G500">
            <v>7300</v>
          </cell>
          <cell r="H500">
            <v>2433</v>
          </cell>
          <cell r="I500">
            <v>7300</v>
          </cell>
          <cell r="J500">
            <v>2433</v>
          </cell>
          <cell r="K500">
            <v>7300</v>
          </cell>
          <cell r="L500">
            <v>2433</v>
          </cell>
          <cell r="M500">
            <v>7300</v>
          </cell>
          <cell r="N500">
            <v>2433</v>
          </cell>
          <cell r="O500">
            <v>7300</v>
          </cell>
          <cell r="P500">
            <v>2433</v>
          </cell>
          <cell r="Q500">
            <v>7300</v>
          </cell>
          <cell r="R500">
            <v>2433</v>
          </cell>
          <cell r="S500">
            <v>7300</v>
          </cell>
          <cell r="T500">
            <v>2433</v>
          </cell>
          <cell r="U500">
            <v>7300</v>
          </cell>
          <cell r="V500">
            <v>2433</v>
          </cell>
          <cell r="W500">
            <v>7300</v>
          </cell>
          <cell r="X500">
            <v>2433</v>
          </cell>
          <cell r="Y500">
            <v>7300</v>
          </cell>
          <cell r="Z500">
            <v>2433</v>
          </cell>
          <cell r="AA500"/>
          <cell r="AB500"/>
          <cell r="AC500"/>
          <cell r="AD500">
            <v>0.183</v>
          </cell>
          <cell r="AE500"/>
          <cell r="AF500"/>
          <cell r="AG500"/>
          <cell r="AH500"/>
          <cell r="AI500"/>
          <cell r="AJ500"/>
          <cell r="AK500"/>
          <cell r="AL500" t="str">
            <v>定尺=3.00m</v>
          </cell>
        </row>
        <row r="501">
          <cell r="E501" t="str">
            <v>SD製CR-300mm</v>
          </cell>
          <cell r="F501" t="str">
            <v>ｍ</v>
          </cell>
          <cell r="G501">
            <v>8030</v>
          </cell>
          <cell r="H501">
            <v>2676</v>
          </cell>
          <cell r="I501">
            <v>8030</v>
          </cell>
          <cell r="J501">
            <v>2676</v>
          </cell>
          <cell r="K501">
            <v>8030</v>
          </cell>
          <cell r="L501">
            <v>2676</v>
          </cell>
          <cell r="M501">
            <v>8030</v>
          </cell>
          <cell r="N501">
            <v>2676</v>
          </cell>
          <cell r="O501">
            <v>8030</v>
          </cell>
          <cell r="P501">
            <v>2676</v>
          </cell>
          <cell r="Q501">
            <v>8030</v>
          </cell>
          <cell r="R501">
            <v>2676</v>
          </cell>
          <cell r="S501">
            <v>8030</v>
          </cell>
          <cell r="T501">
            <v>2676</v>
          </cell>
          <cell r="U501">
            <v>8030</v>
          </cell>
          <cell r="V501">
            <v>2676</v>
          </cell>
          <cell r="W501">
            <v>8030</v>
          </cell>
          <cell r="X501">
            <v>2676</v>
          </cell>
          <cell r="Y501">
            <v>8030</v>
          </cell>
          <cell r="Z501">
            <v>2676</v>
          </cell>
          <cell r="AA501"/>
          <cell r="AB501"/>
          <cell r="AC501"/>
          <cell r="AD501">
            <v>0.24299999999999999</v>
          </cell>
          <cell r="AE501"/>
          <cell r="AF501"/>
          <cell r="AG501"/>
          <cell r="AH501"/>
          <cell r="AI501"/>
          <cell r="AJ501"/>
          <cell r="AK501"/>
          <cell r="AL501" t="str">
            <v xml:space="preserve">     ↓</v>
          </cell>
        </row>
        <row r="502">
          <cell r="E502" t="str">
            <v>SD製CR-400mm</v>
          </cell>
          <cell r="F502" t="str">
            <v>ｍ</v>
          </cell>
          <cell r="G502">
            <v>8610</v>
          </cell>
          <cell r="H502">
            <v>2870</v>
          </cell>
          <cell r="I502">
            <v>8610</v>
          </cell>
          <cell r="J502">
            <v>2870</v>
          </cell>
          <cell r="K502">
            <v>8610</v>
          </cell>
          <cell r="L502">
            <v>2870</v>
          </cell>
          <cell r="M502">
            <v>8610</v>
          </cell>
          <cell r="N502">
            <v>2870</v>
          </cell>
          <cell r="O502">
            <v>8610</v>
          </cell>
          <cell r="P502">
            <v>2870</v>
          </cell>
          <cell r="Q502">
            <v>8610</v>
          </cell>
          <cell r="R502">
            <v>2870</v>
          </cell>
          <cell r="S502">
            <v>8610</v>
          </cell>
          <cell r="T502">
            <v>2870</v>
          </cell>
          <cell r="U502">
            <v>8610</v>
          </cell>
          <cell r="V502">
            <v>2870</v>
          </cell>
          <cell r="W502">
            <v>8610</v>
          </cell>
          <cell r="X502">
            <v>2870</v>
          </cell>
          <cell r="Y502">
            <v>8610</v>
          </cell>
          <cell r="Z502">
            <v>2870</v>
          </cell>
          <cell r="AA502"/>
          <cell r="AB502"/>
          <cell r="AC502"/>
          <cell r="AD502">
            <v>0.29599999999999999</v>
          </cell>
          <cell r="AE502"/>
          <cell r="AF502"/>
          <cell r="AG502"/>
          <cell r="AH502"/>
          <cell r="AI502"/>
          <cell r="AJ502"/>
          <cell r="AK502"/>
          <cell r="AL502" t="str">
            <v xml:space="preserve">     ↓</v>
          </cell>
        </row>
        <row r="503">
          <cell r="E503" t="str">
            <v>SD製CR-500mm</v>
          </cell>
          <cell r="F503" t="str">
            <v>ｍ</v>
          </cell>
          <cell r="G503">
            <v>9050</v>
          </cell>
          <cell r="H503">
            <v>3016</v>
          </cell>
          <cell r="I503">
            <v>9050</v>
          </cell>
          <cell r="J503">
            <v>3016</v>
          </cell>
          <cell r="K503">
            <v>9050</v>
          </cell>
          <cell r="L503">
            <v>3016</v>
          </cell>
          <cell r="M503">
            <v>9050</v>
          </cell>
          <cell r="N503">
            <v>3016</v>
          </cell>
          <cell r="O503">
            <v>9050</v>
          </cell>
          <cell r="P503">
            <v>3016</v>
          </cell>
          <cell r="Q503">
            <v>9050</v>
          </cell>
          <cell r="R503">
            <v>3016</v>
          </cell>
          <cell r="S503">
            <v>9050</v>
          </cell>
          <cell r="T503">
            <v>3016</v>
          </cell>
          <cell r="U503">
            <v>9050</v>
          </cell>
          <cell r="V503">
            <v>3016</v>
          </cell>
          <cell r="W503">
            <v>9050</v>
          </cell>
          <cell r="X503">
            <v>3016</v>
          </cell>
          <cell r="Y503">
            <v>9050</v>
          </cell>
          <cell r="Z503">
            <v>3016</v>
          </cell>
          <cell r="AA503"/>
          <cell r="AB503"/>
          <cell r="AC503"/>
          <cell r="AD503">
            <v>0.33900000000000002</v>
          </cell>
          <cell r="AE503"/>
          <cell r="AF503"/>
          <cell r="AG503"/>
          <cell r="AH503"/>
          <cell r="AI503"/>
          <cell r="AJ503"/>
          <cell r="AK503"/>
          <cell r="AL503" t="str">
            <v xml:space="preserve">     ↓</v>
          </cell>
        </row>
        <row r="504">
          <cell r="E504" t="str">
            <v>SD製CR-600mm</v>
          </cell>
          <cell r="F504" t="str">
            <v>ｍ</v>
          </cell>
          <cell r="G504">
            <v>9490</v>
          </cell>
          <cell r="H504">
            <v>3163</v>
          </cell>
          <cell r="I504">
            <v>9490</v>
          </cell>
          <cell r="J504">
            <v>3163</v>
          </cell>
          <cell r="K504">
            <v>9490</v>
          </cell>
          <cell r="L504">
            <v>3163</v>
          </cell>
          <cell r="M504">
            <v>9490</v>
          </cell>
          <cell r="N504">
            <v>3163</v>
          </cell>
          <cell r="O504">
            <v>9490</v>
          </cell>
          <cell r="P504">
            <v>3163</v>
          </cell>
          <cell r="Q504">
            <v>9490</v>
          </cell>
          <cell r="R504">
            <v>3163</v>
          </cell>
          <cell r="S504">
            <v>9490</v>
          </cell>
          <cell r="T504">
            <v>3163</v>
          </cell>
          <cell r="U504">
            <v>9490</v>
          </cell>
          <cell r="V504">
            <v>3163</v>
          </cell>
          <cell r="W504">
            <v>9490</v>
          </cell>
          <cell r="X504">
            <v>3163</v>
          </cell>
          <cell r="Y504">
            <v>9490</v>
          </cell>
          <cell r="Z504">
            <v>3163</v>
          </cell>
          <cell r="AA504"/>
          <cell r="AB504"/>
          <cell r="AC504"/>
          <cell r="AD504">
            <v>0.36499999999999999</v>
          </cell>
          <cell r="AE504"/>
          <cell r="AF504"/>
          <cell r="AG504"/>
          <cell r="AH504"/>
          <cell r="AI504"/>
          <cell r="AJ504"/>
          <cell r="AK504"/>
          <cell r="AL504" t="str">
            <v xml:space="preserve">     ↓</v>
          </cell>
        </row>
        <row r="505">
          <cell r="E505" t="str">
            <v>SD製CR-700mm</v>
          </cell>
          <cell r="F505" t="str">
            <v>ｍ</v>
          </cell>
          <cell r="G505">
            <v>10000</v>
          </cell>
          <cell r="H505">
            <v>3333</v>
          </cell>
          <cell r="I505">
            <v>10000</v>
          </cell>
          <cell r="J505">
            <v>3333</v>
          </cell>
          <cell r="K505">
            <v>10000</v>
          </cell>
          <cell r="L505">
            <v>3333</v>
          </cell>
          <cell r="M505">
            <v>10000</v>
          </cell>
          <cell r="N505">
            <v>3333</v>
          </cell>
          <cell r="O505">
            <v>10000</v>
          </cell>
          <cell r="P505">
            <v>3333</v>
          </cell>
          <cell r="Q505">
            <v>10000</v>
          </cell>
          <cell r="R505">
            <v>3333</v>
          </cell>
          <cell r="S505">
            <v>10000</v>
          </cell>
          <cell r="T505">
            <v>3333</v>
          </cell>
          <cell r="U505">
            <v>10000</v>
          </cell>
          <cell r="V505">
            <v>3333</v>
          </cell>
          <cell r="W505">
            <v>10000</v>
          </cell>
          <cell r="X505">
            <v>3333</v>
          </cell>
          <cell r="Y505">
            <v>10000</v>
          </cell>
          <cell r="Z505">
            <v>3333</v>
          </cell>
          <cell r="AA505"/>
          <cell r="AB505"/>
          <cell r="AC505"/>
          <cell r="AD505">
            <v>0.42699999999999999</v>
          </cell>
          <cell r="AE505"/>
          <cell r="AF505"/>
          <cell r="AG505"/>
          <cell r="AH505"/>
          <cell r="AI505"/>
          <cell r="AJ505"/>
          <cell r="AK505"/>
          <cell r="AL505" t="str">
            <v xml:space="preserve">     ↓</v>
          </cell>
        </row>
        <row r="506">
          <cell r="E506" t="str">
            <v>SD製CR-800mm</v>
          </cell>
          <cell r="F506" t="str">
            <v>ｍ</v>
          </cell>
          <cell r="G506">
            <v>10600</v>
          </cell>
          <cell r="H506">
            <v>3533</v>
          </cell>
          <cell r="I506">
            <v>10600</v>
          </cell>
          <cell r="J506">
            <v>3533</v>
          </cell>
          <cell r="K506">
            <v>10600</v>
          </cell>
          <cell r="L506">
            <v>3533</v>
          </cell>
          <cell r="M506">
            <v>10600</v>
          </cell>
          <cell r="N506">
            <v>3533</v>
          </cell>
          <cell r="O506">
            <v>10600</v>
          </cell>
          <cell r="P506">
            <v>3533</v>
          </cell>
          <cell r="Q506">
            <v>10600</v>
          </cell>
          <cell r="R506">
            <v>3533</v>
          </cell>
          <cell r="S506">
            <v>10600</v>
          </cell>
          <cell r="T506">
            <v>3533</v>
          </cell>
          <cell r="U506">
            <v>10600</v>
          </cell>
          <cell r="V506">
            <v>3533</v>
          </cell>
          <cell r="W506">
            <v>10600</v>
          </cell>
          <cell r="X506">
            <v>3533</v>
          </cell>
          <cell r="Y506">
            <v>10600</v>
          </cell>
          <cell r="Z506">
            <v>3533</v>
          </cell>
          <cell r="AA506"/>
          <cell r="AB506"/>
          <cell r="AC506"/>
          <cell r="AD506">
            <v>0.496</v>
          </cell>
          <cell r="AE506"/>
          <cell r="AF506"/>
          <cell r="AG506"/>
          <cell r="AH506"/>
          <cell r="AI506"/>
          <cell r="AJ506"/>
          <cell r="AK506"/>
          <cell r="AL506" t="str">
            <v xml:space="preserve">     ↓</v>
          </cell>
        </row>
        <row r="507">
          <cell r="E507" t="str">
            <v>SD製CR-900mm</v>
          </cell>
          <cell r="F507" t="str">
            <v>ｍ</v>
          </cell>
          <cell r="G507">
            <v>11200</v>
          </cell>
          <cell r="H507">
            <v>3733</v>
          </cell>
          <cell r="I507">
            <v>11200</v>
          </cell>
          <cell r="J507">
            <v>3733</v>
          </cell>
          <cell r="K507">
            <v>11200</v>
          </cell>
          <cell r="L507">
            <v>3733</v>
          </cell>
          <cell r="M507">
            <v>11200</v>
          </cell>
          <cell r="N507">
            <v>3733</v>
          </cell>
          <cell r="O507">
            <v>11200</v>
          </cell>
          <cell r="P507">
            <v>3733</v>
          </cell>
          <cell r="Q507">
            <v>11200</v>
          </cell>
          <cell r="R507">
            <v>3733</v>
          </cell>
          <cell r="S507">
            <v>11200</v>
          </cell>
          <cell r="T507">
            <v>3733</v>
          </cell>
          <cell r="U507">
            <v>11200</v>
          </cell>
          <cell r="V507">
            <v>3733</v>
          </cell>
          <cell r="W507">
            <v>11200</v>
          </cell>
          <cell r="X507">
            <v>3733</v>
          </cell>
          <cell r="Y507">
            <v>11200</v>
          </cell>
          <cell r="Z507">
            <v>3733</v>
          </cell>
          <cell r="AA507"/>
          <cell r="AB507"/>
          <cell r="AC507"/>
          <cell r="AD507">
            <v>0.55400000000000005</v>
          </cell>
          <cell r="AE507"/>
          <cell r="AF507"/>
          <cell r="AG507"/>
          <cell r="AH507"/>
          <cell r="AI507"/>
          <cell r="AJ507"/>
          <cell r="AK507"/>
          <cell r="AL507" t="str">
            <v xml:space="preserve">     ↓</v>
          </cell>
        </row>
        <row r="508">
          <cell r="E508" t="str">
            <v>SD製CR-1000mm</v>
          </cell>
          <cell r="F508" t="str">
            <v>ｍ</v>
          </cell>
          <cell r="G508">
            <v>11700</v>
          </cell>
          <cell r="H508">
            <v>3900</v>
          </cell>
          <cell r="I508">
            <v>11700</v>
          </cell>
          <cell r="J508">
            <v>3900</v>
          </cell>
          <cell r="K508">
            <v>11700</v>
          </cell>
          <cell r="L508">
            <v>3900</v>
          </cell>
          <cell r="M508">
            <v>11700</v>
          </cell>
          <cell r="N508">
            <v>3900</v>
          </cell>
          <cell r="O508">
            <v>11700</v>
          </cell>
          <cell r="P508">
            <v>3900</v>
          </cell>
          <cell r="Q508">
            <v>11700</v>
          </cell>
          <cell r="R508">
            <v>3900</v>
          </cell>
          <cell r="S508">
            <v>11700</v>
          </cell>
          <cell r="T508">
            <v>3900</v>
          </cell>
          <cell r="U508">
            <v>11700</v>
          </cell>
          <cell r="V508">
            <v>3900</v>
          </cell>
          <cell r="W508">
            <v>11700</v>
          </cell>
          <cell r="X508">
            <v>3900</v>
          </cell>
          <cell r="Y508">
            <v>11700</v>
          </cell>
          <cell r="Z508">
            <v>3900</v>
          </cell>
          <cell r="AA508"/>
          <cell r="AB508"/>
          <cell r="AC508"/>
          <cell r="AD508">
            <v>0.61699999999999999</v>
          </cell>
          <cell r="AE508"/>
          <cell r="AF508"/>
          <cell r="AG508"/>
          <cell r="AH508"/>
          <cell r="AI508"/>
          <cell r="AJ508"/>
          <cell r="AK508"/>
          <cell r="AL508" t="str">
            <v xml:space="preserve">     ↓</v>
          </cell>
        </row>
        <row r="509">
          <cell r="E509" t="str">
            <v>SD製CR-1200mm</v>
          </cell>
          <cell r="F509" t="str">
            <v>ｍ</v>
          </cell>
          <cell r="G509">
            <v>18900</v>
          </cell>
          <cell r="H509">
            <v>6300</v>
          </cell>
          <cell r="I509">
            <v>18900</v>
          </cell>
          <cell r="J509">
            <v>6300</v>
          </cell>
          <cell r="K509">
            <v>18900</v>
          </cell>
          <cell r="L509">
            <v>6300</v>
          </cell>
          <cell r="M509">
            <v>18900</v>
          </cell>
          <cell r="N509">
            <v>6300</v>
          </cell>
          <cell r="O509">
            <v>18900</v>
          </cell>
          <cell r="P509">
            <v>6300</v>
          </cell>
          <cell r="Q509">
            <v>18900</v>
          </cell>
          <cell r="R509">
            <v>6300</v>
          </cell>
          <cell r="S509">
            <v>18900</v>
          </cell>
          <cell r="T509">
            <v>6300</v>
          </cell>
          <cell r="U509">
            <v>18900</v>
          </cell>
          <cell r="V509">
            <v>6300</v>
          </cell>
          <cell r="W509">
            <v>18900</v>
          </cell>
          <cell r="X509">
            <v>6300</v>
          </cell>
          <cell r="Y509">
            <v>18900</v>
          </cell>
          <cell r="Z509">
            <v>6300</v>
          </cell>
          <cell r="AA509"/>
          <cell r="AB509"/>
          <cell r="AC509"/>
          <cell r="AD509">
            <v>0.74</v>
          </cell>
          <cell r="AE509"/>
          <cell r="AF509"/>
          <cell r="AG509"/>
          <cell r="AH509"/>
          <cell r="AI509"/>
          <cell r="AJ509"/>
          <cell r="AK509"/>
          <cell r="AL509" t="str">
            <v xml:space="preserve">     ↓</v>
          </cell>
        </row>
        <row r="510">
          <cell r="E510" t="str">
            <v>SUS製CR-200mm</v>
          </cell>
          <cell r="F510" t="str">
            <v>ｍ</v>
          </cell>
          <cell r="G510">
            <v>18200</v>
          </cell>
          <cell r="H510">
            <v>6066</v>
          </cell>
          <cell r="I510">
            <v>18200</v>
          </cell>
          <cell r="J510">
            <v>6066</v>
          </cell>
          <cell r="K510">
            <v>18200</v>
          </cell>
          <cell r="L510">
            <v>6066</v>
          </cell>
          <cell r="M510">
            <v>18200</v>
          </cell>
          <cell r="N510">
            <v>6066</v>
          </cell>
          <cell r="O510">
            <v>18200</v>
          </cell>
          <cell r="P510">
            <v>6066</v>
          </cell>
          <cell r="Q510">
            <v>18200</v>
          </cell>
          <cell r="R510">
            <v>6066</v>
          </cell>
          <cell r="S510">
            <v>18200</v>
          </cell>
          <cell r="T510">
            <v>6066</v>
          </cell>
          <cell r="U510">
            <v>18200</v>
          </cell>
          <cell r="V510">
            <v>6066</v>
          </cell>
          <cell r="W510">
            <v>18200</v>
          </cell>
          <cell r="X510">
            <v>6066</v>
          </cell>
          <cell r="Y510">
            <v>18200</v>
          </cell>
          <cell r="Z510">
            <v>6066</v>
          </cell>
          <cell r="AA510"/>
          <cell r="AB510"/>
          <cell r="AC510"/>
          <cell r="AD510">
            <v>0.183</v>
          </cell>
          <cell r="AE510"/>
          <cell r="AF510"/>
          <cell r="AG510"/>
          <cell r="AH510"/>
          <cell r="AI510"/>
          <cell r="AJ510"/>
          <cell r="AK510"/>
          <cell r="AL510" t="str">
            <v>定尺=3.00m</v>
          </cell>
        </row>
        <row r="511">
          <cell r="E511" t="str">
            <v>SUS製CR-300mm</v>
          </cell>
          <cell r="F511" t="str">
            <v>ｍ</v>
          </cell>
          <cell r="G511">
            <v>18900</v>
          </cell>
          <cell r="H511">
            <v>6300</v>
          </cell>
          <cell r="I511">
            <v>18900</v>
          </cell>
          <cell r="J511">
            <v>6300</v>
          </cell>
          <cell r="K511">
            <v>18900</v>
          </cell>
          <cell r="L511">
            <v>6300</v>
          </cell>
          <cell r="M511">
            <v>18900</v>
          </cell>
          <cell r="N511">
            <v>6300</v>
          </cell>
          <cell r="O511">
            <v>18900</v>
          </cell>
          <cell r="P511">
            <v>6300</v>
          </cell>
          <cell r="Q511">
            <v>18900</v>
          </cell>
          <cell r="R511">
            <v>6300</v>
          </cell>
          <cell r="S511">
            <v>18900</v>
          </cell>
          <cell r="T511">
            <v>6300</v>
          </cell>
          <cell r="U511">
            <v>18900</v>
          </cell>
          <cell r="V511">
            <v>6300</v>
          </cell>
          <cell r="W511">
            <v>18900</v>
          </cell>
          <cell r="X511">
            <v>6300</v>
          </cell>
          <cell r="Y511">
            <v>18900</v>
          </cell>
          <cell r="Z511">
            <v>6300</v>
          </cell>
          <cell r="AA511"/>
          <cell r="AB511"/>
          <cell r="AC511"/>
          <cell r="AD511">
            <v>0.24299999999999999</v>
          </cell>
          <cell r="AE511"/>
          <cell r="AF511"/>
          <cell r="AG511"/>
          <cell r="AH511"/>
          <cell r="AI511"/>
          <cell r="AJ511"/>
          <cell r="AK511"/>
          <cell r="AL511" t="str">
            <v xml:space="preserve">     ↓</v>
          </cell>
        </row>
        <row r="512">
          <cell r="E512" t="str">
            <v>SUS製CR-400mm</v>
          </cell>
          <cell r="F512" t="str">
            <v>ｍ</v>
          </cell>
          <cell r="G512">
            <v>19700</v>
          </cell>
          <cell r="H512">
            <v>6566</v>
          </cell>
          <cell r="I512">
            <v>19700</v>
          </cell>
          <cell r="J512">
            <v>6566</v>
          </cell>
          <cell r="K512">
            <v>19700</v>
          </cell>
          <cell r="L512">
            <v>6566</v>
          </cell>
          <cell r="M512">
            <v>19700</v>
          </cell>
          <cell r="N512">
            <v>6566</v>
          </cell>
          <cell r="O512">
            <v>19700</v>
          </cell>
          <cell r="P512">
            <v>6566</v>
          </cell>
          <cell r="Q512">
            <v>19700</v>
          </cell>
          <cell r="R512">
            <v>6566</v>
          </cell>
          <cell r="S512">
            <v>19700</v>
          </cell>
          <cell r="T512">
            <v>6566</v>
          </cell>
          <cell r="U512">
            <v>19700</v>
          </cell>
          <cell r="V512">
            <v>6566</v>
          </cell>
          <cell r="W512">
            <v>19700</v>
          </cell>
          <cell r="X512">
            <v>6566</v>
          </cell>
          <cell r="Y512">
            <v>19700</v>
          </cell>
          <cell r="Z512">
            <v>6566</v>
          </cell>
          <cell r="AA512"/>
          <cell r="AB512"/>
          <cell r="AC512"/>
          <cell r="AD512">
            <v>0.29599999999999999</v>
          </cell>
          <cell r="AE512"/>
          <cell r="AF512"/>
          <cell r="AG512"/>
          <cell r="AH512"/>
          <cell r="AI512"/>
          <cell r="AJ512"/>
          <cell r="AK512"/>
          <cell r="AL512" t="str">
            <v xml:space="preserve">     ↓</v>
          </cell>
        </row>
        <row r="513">
          <cell r="E513" t="str">
            <v>SUS製CR-500mm</v>
          </cell>
          <cell r="F513" t="str">
            <v>ｍ</v>
          </cell>
          <cell r="G513">
            <v>20300</v>
          </cell>
          <cell r="H513">
            <v>6766</v>
          </cell>
          <cell r="I513">
            <v>20300</v>
          </cell>
          <cell r="J513">
            <v>6766</v>
          </cell>
          <cell r="K513">
            <v>20300</v>
          </cell>
          <cell r="L513">
            <v>6766</v>
          </cell>
          <cell r="M513">
            <v>20300</v>
          </cell>
          <cell r="N513">
            <v>6766</v>
          </cell>
          <cell r="O513">
            <v>20300</v>
          </cell>
          <cell r="P513">
            <v>6766</v>
          </cell>
          <cell r="Q513">
            <v>20300</v>
          </cell>
          <cell r="R513">
            <v>6766</v>
          </cell>
          <cell r="S513">
            <v>20300</v>
          </cell>
          <cell r="T513">
            <v>6766</v>
          </cell>
          <cell r="U513">
            <v>20300</v>
          </cell>
          <cell r="V513">
            <v>6766</v>
          </cell>
          <cell r="W513">
            <v>20300</v>
          </cell>
          <cell r="X513">
            <v>6766</v>
          </cell>
          <cell r="Y513">
            <v>20300</v>
          </cell>
          <cell r="Z513">
            <v>6766</v>
          </cell>
          <cell r="AA513"/>
          <cell r="AB513"/>
          <cell r="AC513"/>
          <cell r="AD513">
            <v>0.33900000000000002</v>
          </cell>
          <cell r="AE513"/>
          <cell r="AF513"/>
          <cell r="AG513"/>
          <cell r="AH513"/>
          <cell r="AI513"/>
          <cell r="AJ513"/>
          <cell r="AK513"/>
          <cell r="AL513" t="str">
            <v xml:space="preserve">     ↓</v>
          </cell>
        </row>
        <row r="514">
          <cell r="E514" t="str">
            <v>SUS製CR-600mm</v>
          </cell>
          <cell r="F514" t="str">
            <v>ｍ</v>
          </cell>
          <cell r="G514">
            <v>21400</v>
          </cell>
          <cell r="H514">
            <v>7133</v>
          </cell>
          <cell r="I514">
            <v>21400</v>
          </cell>
          <cell r="J514">
            <v>7133</v>
          </cell>
          <cell r="K514">
            <v>21400</v>
          </cell>
          <cell r="L514">
            <v>7133</v>
          </cell>
          <cell r="M514">
            <v>21400</v>
          </cell>
          <cell r="N514">
            <v>7133</v>
          </cell>
          <cell r="O514">
            <v>21400</v>
          </cell>
          <cell r="P514">
            <v>7133</v>
          </cell>
          <cell r="Q514">
            <v>21400</v>
          </cell>
          <cell r="R514">
            <v>7133</v>
          </cell>
          <cell r="S514">
            <v>21400</v>
          </cell>
          <cell r="T514">
            <v>7133</v>
          </cell>
          <cell r="U514">
            <v>21400</v>
          </cell>
          <cell r="V514">
            <v>7133</v>
          </cell>
          <cell r="W514">
            <v>21400</v>
          </cell>
          <cell r="X514">
            <v>7133</v>
          </cell>
          <cell r="Y514">
            <v>21400</v>
          </cell>
          <cell r="Z514">
            <v>7133</v>
          </cell>
          <cell r="AA514"/>
          <cell r="AB514"/>
          <cell r="AC514"/>
          <cell r="AD514">
            <v>0.36499999999999999</v>
          </cell>
          <cell r="AE514"/>
          <cell r="AF514"/>
          <cell r="AG514"/>
          <cell r="AH514"/>
          <cell r="AI514"/>
          <cell r="AJ514"/>
          <cell r="AK514"/>
          <cell r="AL514" t="str">
            <v xml:space="preserve">     ↓</v>
          </cell>
        </row>
        <row r="515">
          <cell r="E515" t="str">
            <v>SUS製CR-700mm</v>
          </cell>
          <cell r="F515" t="str">
            <v>ｍ</v>
          </cell>
          <cell r="G515">
            <v>22600</v>
          </cell>
          <cell r="H515">
            <v>7533</v>
          </cell>
          <cell r="I515">
            <v>22600</v>
          </cell>
          <cell r="J515">
            <v>7533</v>
          </cell>
          <cell r="K515">
            <v>22600</v>
          </cell>
          <cell r="L515">
            <v>7533</v>
          </cell>
          <cell r="M515">
            <v>22600</v>
          </cell>
          <cell r="N515">
            <v>7533</v>
          </cell>
          <cell r="O515">
            <v>22600</v>
          </cell>
          <cell r="P515">
            <v>7533</v>
          </cell>
          <cell r="Q515">
            <v>22600</v>
          </cell>
          <cell r="R515">
            <v>7533</v>
          </cell>
          <cell r="S515">
            <v>22600</v>
          </cell>
          <cell r="T515">
            <v>7533</v>
          </cell>
          <cell r="U515">
            <v>22600</v>
          </cell>
          <cell r="V515">
            <v>7533</v>
          </cell>
          <cell r="W515">
            <v>22600</v>
          </cell>
          <cell r="X515">
            <v>7533</v>
          </cell>
          <cell r="Y515">
            <v>22600</v>
          </cell>
          <cell r="Z515">
            <v>7533</v>
          </cell>
          <cell r="AA515"/>
          <cell r="AB515"/>
          <cell r="AC515"/>
          <cell r="AD515">
            <v>0.42699999999999999</v>
          </cell>
          <cell r="AE515"/>
          <cell r="AF515"/>
          <cell r="AG515"/>
          <cell r="AH515"/>
          <cell r="AI515"/>
          <cell r="AJ515"/>
          <cell r="AK515"/>
          <cell r="AL515" t="str">
            <v xml:space="preserve">     ↓</v>
          </cell>
        </row>
        <row r="516">
          <cell r="E516" t="str">
            <v>SUS製CR-800mm</v>
          </cell>
          <cell r="F516" t="str">
            <v>ｍ</v>
          </cell>
          <cell r="G516">
            <v>26200</v>
          </cell>
          <cell r="H516">
            <v>8733</v>
          </cell>
          <cell r="I516">
            <v>26200</v>
          </cell>
          <cell r="J516">
            <v>8733</v>
          </cell>
          <cell r="K516">
            <v>26200</v>
          </cell>
          <cell r="L516">
            <v>8733</v>
          </cell>
          <cell r="M516">
            <v>26200</v>
          </cell>
          <cell r="N516">
            <v>8733</v>
          </cell>
          <cell r="O516">
            <v>26200</v>
          </cell>
          <cell r="P516">
            <v>8733</v>
          </cell>
          <cell r="Q516">
            <v>26200</v>
          </cell>
          <cell r="R516">
            <v>8733</v>
          </cell>
          <cell r="S516">
            <v>26200</v>
          </cell>
          <cell r="T516">
            <v>8733</v>
          </cell>
          <cell r="U516">
            <v>26200</v>
          </cell>
          <cell r="V516">
            <v>8733</v>
          </cell>
          <cell r="W516">
            <v>26200</v>
          </cell>
          <cell r="X516">
            <v>8733</v>
          </cell>
          <cell r="Y516">
            <v>26200</v>
          </cell>
          <cell r="Z516">
            <v>8733</v>
          </cell>
          <cell r="AA516"/>
          <cell r="AB516"/>
          <cell r="AC516"/>
          <cell r="AD516">
            <v>0.496</v>
          </cell>
          <cell r="AE516"/>
          <cell r="AF516"/>
          <cell r="AG516"/>
          <cell r="AH516"/>
          <cell r="AI516"/>
          <cell r="AJ516"/>
          <cell r="AK516"/>
          <cell r="AL516" t="str">
            <v xml:space="preserve">     ↓</v>
          </cell>
        </row>
        <row r="517">
          <cell r="E517" t="str">
            <v>SUS製CR-900mm</v>
          </cell>
          <cell r="F517" t="str">
            <v>ｍ</v>
          </cell>
          <cell r="G517">
            <v>27700</v>
          </cell>
          <cell r="H517">
            <v>9233</v>
          </cell>
          <cell r="I517">
            <v>27700</v>
          </cell>
          <cell r="J517">
            <v>9233</v>
          </cell>
          <cell r="K517">
            <v>27700</v>
          </cell>
          <cell r="L517">
            <v>9233</v>
          </cell>
          <cell r="M517">
            <v>27700</v>
          </cell>
          <cell r="N517">
            <v>9233</v>
          </cell>
          <cell r="O517">
            <v>27700</v>
          </cell>
          <cell r="P517">
            <v>9233</v>
          </cell>
          <cell r="Q517">
            <v>27700</v>
          </cell>
          <cell r="R517">
            <v>9233</v>
          </cell>
          <cell r="S517">
            <v>27700</v>
          </cell>
          <cell r="T517">
            <v>9233</v>
          </cell>
          <cell r="U517">
            <v>27700</v>
          </cell>
          <cell r="V517">
            <v>9233</v>
          </cell>
          <cell r="W517">
            <v>27700</v>
          </cell>
          <cell r="X517">
            <v>9233</v>
          </cell>
          <cell r="Y517">
            <v>27700</v>
          </cell>
          <cell r="Z517">
            <v>9233</v>
          </cell>
          <cell r="AA517"/>
          <cell r="AB517"/>
          <cell r="AC517"/>
          <cell r="AD517">
            <v>0.55400000000000005</v>
          </cell>
          <cell r="AE517"/>
          <cell r="AF517"/>
          <cell r="AG517"/>
          <cell r="AH517"/>
          <cell r="AI517"/>
          <cell r="AJ517"/>
          <cell r="AK517"/>
          <cell r="AL517" t="str">
            <v xml:space="preserve">     ↓</v>
          </cell>
        </row>
        <row r="518">
          <cell r="E518" t="str">
            <v>SUS製CR-1000mm</v>
          </cell>
          <cell r="F518" t="str">
            <v>ｍ</v>
          </cell>
          <cell r="G518">
            <v>29200</v>
          </cell>
          <cell r="H518">
            <v>9733</v>
          </cell>
          <cell r="I518">
            <v>29200</v>
          </cell>
          <cell r="J518">
            <v>9733</v>
          </cell>
          <cell r="K518">
            <v>29200</v>
          </cell>
          <cell r="L518">
            <v>9733</v>
          </cell>
          <cell r="M518">
            <v>29200</v>
          </cell>
          <cell r="N518">
            <v>9733</v>
          </cell>
          <cell r="O518">
            <v>29200</v>
          </cell>
          <cell r="P518">
            <v>9733</v>
          </cell>
          <cell r="Q518">
            <v>29200</v>
          </cell>
          <cell r="R518">
            <v>9733</v>
          </cell>
          <cell r="S518">
            <v>29200</v>
          </cell>
          <cell r="T518">
            <v>9733</v>
          </cell>
          <cell r="U518">
            <v>29200</v>
          </cell>
          <cell r="V518">
            <v>9733</v>
          </cell>
          <cell r="W518">
            <v>29200</v>
          </cell>
          <cell r="X518">
            <v>9733</v>
          </cell>
          <cell r="Y518">
            <v>29200</v>
          </cell>
          <cell r="Z518">
            <v>9733</v>
          </cell>
          <cell r="AA518"/>
          <cell r="AB518"/>
          <cell r="AC518"/>
          <cell r="AD518">
            <v>0.61699999999999999</v>
          </cell>
          <cell r="AE518"/>
          <cell r="AF518"/>
          <cell r="AG518"/>
          <cell r="AH518"/>
          <cell r="AI518"/>
          <cell r="AJ518"/>
          <cell r="AK518"/>
          <cell r="AL518" t="str">
            <v xml:space="preserve">     ↓</v>
          </cell>
        </row>
        <row r="519">
          <cell r="E519" t="str">
            <v>SUS製CR-1200mm</v>
          </cell>
          <cell r="F519" t="str">
            <v>ｍ</v>
          </cell>
          <cell r="G519">
            <v>32800</v>
          </cell>
          <cell r="H519">
            <v>10933</v>
          </cell>
          <cell r="I519">
            <v>32800</v>
          </cell>
          <cell r="J519">
            <v>10933</v>
          </cell>
          <cell r="K519">
            <v>32800</v>
          </cell>
          <cell r="L519">
            <v>10933</v>
          </cell>
          <cell r="M519">
            <v>32800</v>
          </cell>
          <cell r="N519">
            <v>10933</v>
          </cell>
          <cell r="O519">
            <v>32800</v>
          </cell>
          <cell r="P519">
            <v>10933</v>
          </cell>
          <cell r="Q519">
            <v>32800</v>
          </cell>
          <cell r="R519">
            <v>10933</v>
          </cell>
          <cell r="S519">
            <v>32800</v>
          </cell>
          <cell r="T519">
            <v>10933</v>
          </cell>
          <cell r="U519">
            <v>32800</v>
          </cell>
          <cell r="V519">
            <v>10933</v>
          </cell>
          <cell r="W519">
            <v>32800</v>
          </cell>
          <cell r="X519">
            <v>10933</v>
          </cell>
          <cell r="Y519">
            <v>32800</v>
          </cell>
          <cell r="Z519">
            <v>10933</v>
          </cell>
          <cell r="AA519"/>
          <cell r="AB519"/>
          <cell r="AC519"/>
          <cell r="AD519">
            <v>0.74</v>
          </cell>
          <cell r="AE519"/>
          <cell r="AF519"/>
          <cell r="AG519"/>
          <cell r="AH519"/>
          <cell r="AI519"/>
          <cell r="AJ519"/>
          <cell r="AK519"/>
          <cell r="AL519" t="str">
            <v xml:space="preserve">     ↓</v>
          </cell>
        </row>
        <row r="520">
          <cell r="E520" t="str">
            <v>アルミ製CR-200mm-H70</v>
          </cell>
          <cell r="F520" t="str">
            <v>ｍ</v>
          </cell>
          <cell r="G520">
            <v>7590</v>
          </cell>
          <cell r="H520">
            <v>2530</v>
          </cell>
          <cell r="I520">
            <v>7590</v>
          </cell>
          <cell r="J520">
            <v>2530</v>
          </cell>
          <cell r="K520">
            <v>7590</v>
          </cell>
          <cell r="L520">
            <v>2530</v>
          </cell>
          <cell r="M520">
            <v>7590</v>
          </cell>
          <cell r="N520">
            <v>2530</v>
          </cell>
          <cell r="O520">
            <v>7590</v>
          </cell>
          <cell r="P520">
            <v>2530</v>
          </cell>
          <cell r="Q520">
            <v>7590</v>
          </cell>
          <cell r="R520">
            <v>2530</v>
          </cell>
          <cell r="S520">
            <v>7590</v>
          </cell>
          <cell r="T520">
            <v>2530</v>
          </cell>
          <cell r="U520">
            <v>7590</v>
          </cell>
          <cell r="V520">
            <v>2530</v>
          </cell>
          <cell r="W520">
            <v>7590</v>
          </cell>
          <cell r="X520">
            <v>2530</v>
          </cell>
          <cell r="Y520">
            <v>7590</v>
          </cell>
          <cell r="Z520">
            <v>2530</v>
          </cell>
          <cell r="AA520"/>
          <cell r="AB520"/>
          <cell r="AC520"/>
          <cell r="AD520">
            <v>0.183</v>
          </cell>
          <cell r="AE520"/>
          <cell r="AF520"/>
          <cell r="AG520"/>
          <cell r="AH520"/>
          <cell r="AI520"/>
          <cell r="AJ520"/>
          <cell r="AK520"/>
          <cell r="AL520" t="str">
            <v>定尺=3.00m</v>
          </cell>
        </row>
        <row r="521">
          <cell r="E521" t="str">
            <v>アルミ製CR-300mm-H70</v>
          </cell>
          <cell r="F521" t="str">
            <v>ｍ</v>
          </cell>
          <cell r="G521">
            <v>8240</v>
          </cell>
          <cell r="H521">
            <v>2746</v>
          </cell>
          <cell r="I521">
            <v>8240</v>
          </cell>
          <cell r="J521">
            <v>2746</v>
          </cell>
          <cell r="K521">
            <v>8240</v>
          </cell>
          <cell r="L521">
            <v>2746</v>
          </cell>
          <cell r="M521">
            <v>8240</v>
          </cell>
          <cell r="N521">
            <v>2746</v>
          </cell>
          <cell r="O521">
            <v>8240</v>
          </cell>
          <cell r="P521">
            <v>2746</v>
          </cell>
          <cell r="Q521">
            <v>8240</v>
          </cell>
          <cell r="R521">
            <v>2746</v>
          </cell>
          <cell r="S521">
            <v>8240</v>
          </cell>
          <cell r="T521">
            <v>2746</v>
          </cell>
          <cell r="U521">
            <v>8240</v>
          </cell>
          <cell r="V521">
            <v>2746</v>
          </cell>
          <cell r="W521">
            <v>8240</v>
          </cell>
          <cell r="X521">
            <v>2746</v>
          </cell>
          <cell r="Y521">
            <v>8240</v>
          </cell>
          <cell r="Z521">
            <v>2746</v>
          </cell>
          <cell r="AA521"/>
          <cell r="AB521"/>
          <cell r="AC521"/>
          <cell r="AD521">
            <v>0.24299999999999999</v>
          </cell>
          <cell r="AE521"/>
          <cell r="AF521"/>
          <cell r="AG521"/>
          <cell r="AH521"/>
          <cell r="AI521"/>
          <cell r="AJ521"/>
          <cell r="AK521"/>
          <cell r="AL521" t="str">
            <v xml:space="preserve">     ↓</v>
          </cell>
        </row>
        <row r="522">
          <cell r="E522" t="str">
            <v>アルミ製CR-400mm-H70</v>
          </cell>
          <cell r="F522" t="str">
            <v>ｍ</v>
          </cell>
          <cell r="G522">
            <v>8830</v>
          </cell>
          <cell r="H522">
            <v>2943</v>
          </cell>
          <cell r="I522">
            <v>8830</v>
          </cell>
          <cell r="J522">
            <v>2943</v>
          </cell>
          <cell r="K522">
            <v>8830</v>
          </cell>
          <cell r="L522">
            <v>2943</v>
          </cell>
          <cell r="M522">
            <v>8830</v>
          </cell>
          <cell r="N522">
            <v>2943</v>
          </cell>
          <cell r="O522">
            <v>8830</v>
          </cell>
          <cell r="P522">
            <v>2943</v>
          </cell>
          <cell r="Q522">
            <v>8830</v>
          </cell>
          <cell r="R522">
            <v>2943</v>
          </cell>
          <cell r="S522">
            <v>8830</v>
          </cell>
          <cell r="T522">
            <v>2943</v>
          </cell>
          <cell r="U522">
            <v>8830</v>
          </cell>
          <cell r="V522">
            <v>2943</v>
          </cell>
          <cell r="W522">
            <v>8830</v>
          </cell>
          <cell r="X522">
            <v>2943</v>
          </cell>
          <cell r="Y522">
            <v>8830</v>
          </cell>
          <cell r="Z522">
            <v>2943</v>
          </cell>
          <cell r="AA522"/>
          <cell r="AB522"/>
          <cell r="AC522"/>
          <cell r="AD522">
            <v>0.29599999999999999</v>
          </cell>
          <cell r="AE522"/>
          <cell r="AF522"/>
          <cell r="AG522"/>
          <cell r="AH522"/>
          <cell r="AI522"/>
          <cell r="AJ522"/>
          <cell r="AK522"/>
          <cell r="AL522" t="str">
            <v xml:space="preserve">     ↓</v>
          </cell>
        </row>
        <row r="523">
          <cell r="E523" t="str">
            <v>アルミ製CR-500mm-H70</v>
          </cell>
          <cell r="F523" t="str">
            <v>ｍ</v>
          </cell>
          <cell r="G523">
            <v>9560</v>
          </cell>
          <cell r="H523">
            <v>3186</v>
          </cell>
          <cell r="I523">
            <v>9560</v>
          </cell>
          <cell r="J523">
            <v>3186</v>
          </cell>
          <cell r="K523">
            <v>9560</v>
          </cell>
          <cell r="L523">
            <v>3186</v>
          </cell>
          <cell r="M523">
            <v>9560</v>
          </cell>
          <cell r="N523">
            <v>3186</v>
          </cell>
          <cell r="O523">
            <v>9560</v>
          </cell>
          <cell r="P523">
            <v>3186</v>
          </cell>
          <cell r="Q523">
            <v>9560</v>
          </cell>
          <cell r="R523">
            <v>3186</v>
          </cell>
          <cell r="S523">
            <v>9560</v>
          </cell>
          <cell r="T523">
            <v>3186</v>
          </cell>
          <cell r="U523">
            <v>9560</v>
          </cell>
          <cell r="V523">
            <v>3186</v>
          </cell>
          <cell r="W523">
            <v>9560</v>
          </cell>
          <cell r="X523">
            <v>3186</v>
          </cell>
          <cell r="Y523">
            <v>9560</v>
          </cell>
          <cell r="Z523">
            <v>3186</v>
          </cell>
          <cell r="AA523"/>
          <cell r="AB523"/>
          <cell r="AC523"/>
          <cell r="AD523">
            <v>0.33900000000000002</v>
          </cell>
          <cell r="AE523"/>
          <cell r="AF523"/>
          <cell r="AG523"/>
          <cell r="AH523"/>
          <cell r="AI523"/>
          <cell r="AJ523"/>
          <cell r="AK523"/>
          <cell r="AL523" t="str">
            <v xml:space="preserve">     ↓</v>
          </cell>
        </row>
        <row r="524">
          <cell r="E524" t="str">
            <v>アルミ製CR-600mm-H70</v>
          </cell>
          <cell r="F524" t="str">
            <v>ｍ</v>
          </cell>
          <cell r="G524">
            <v>10200</v>
          </cell>
          <cell r="H524">
            <v>3400</v>
          </cell>
          <cell r="I524">
            <v>10200</v>
          </cell>
          <cell r="J524">
            <v>3400</v>
          </cell>
          <cell r="K524">
            <v>10200</v>
          </cell>
          <cell r="L524">
            <v>3400</v>
          </cell>
          <cell r="M524">
            <v>10200</v>
          </cell>
          <cell r="N524">
            <v>3400</v>
          </cell>
          <cell r="O524">
            <v>10200</v>
          </cell>
          <cell r="P524">
            <v>3400</v>
          </cell>
          <cell r="Q524">
            <v>10200</v>
          </cell>
          <cell r="R524">
            <v>3400</v>
          </cell>
          <cell r="S524">
            <v>10200</v>
          </cell>
          <cell r="T524">
            <v>3400</v>
          </cell>
          <cell r="U524">
            <v>10200</v>
          </cell>
          <cell r="V524">
            <v>3400</v>
          </cell>
          <cell r="W524">
            <v>10200</v>
          </cell>
          <cell r="X524">
            <v>3400</v>
          </cell>
          <cell r="Y524">
            <v>10200</v>
          </cell>
          <cell r="Z524">
            <v>3400</v>
          </cell>
          <cell r="AA524"/>
          <cell r="AB524"/>
          <cell r="AC524"/>
          <cell r="AD524">
            <v>0.36499999999999999</v>
          </cell>
          <cell r="AE524"/>
          <cell r="AF524"/>
          <cell r="AG524"/>
          <cell r="AH524"/>
          <cell r="AI524"/>
          <cell r="AJ524"/>
          <cell r="AK524"/>
          <cell r="AL524" t="str">
            <v xml:space="preserve">     ↓</v>
          </cell>
        </row>
        <row r="525">
          <cell r="E525" t="str">
            <v>アルミ製CR-800mm-H70</v>
          </cell>
          <cell r="F525" t="str">
            <v>ｍ</v>
          </cell>
          <cell r="G525">
            <v>11700</v>
          </cell>
          <cell r="H525">
            <v>3900</v>
          </cell>
          <cell r="I525">
            <v>11700</v>
          </cell>
          <cell r="J525">
            <v>3900</v>
          </cell>
          <cell r="K525">
            <v>11700</v>
          </cell>
          <cell r="L525">
            <v>3900</v>
          </cell>
          <cell r="M525">
            <v>11700</v>
          </cell>
          <cell r="N525">
            <v>3900</v>
          </cell>
          <cell r="O525">
            <v>11700</v>
          </cell>
          <cell r="P525">
            <v>3900</v>
          </cell>
          <cell r="Q525">
            <v>11700</v>
          </cell>
          <cell r="R525">
            <v>3900</v>
          </cell>
          <cell r="S525">
            <v>11700</v>
          </cell>
          <cell r="T525">
            <v>3900</v>
          </cell>
          <cell r="U525">
            <v>11700</v>
          </cell>
          <cell r="V525">
            <v>3900</v>
          </cell>
          <cell r="W525">
            <v>11700</v>
          </cell>
          <cell r="X525">
            <v>3900</v>
          </cell>
          <cell r="Y525">
            <v>11700</v>
          </cell>
          <cell r="Z525">
            <v>3900</v>
          </cell>
          <cell r="AA525"/>
          <cell r="AB525"/>
          <cell r="AC525"/>
          <cell r="AD525">
            <v>0.496</v>
          </cell>
          <cell r="AE525"/>
          <cell r="AF525"/>
          <cell r="AG525"/>
          <cell r="AH525"/>
          <cell r="AI525"/>
          <cell r="AJ525"/>
          <cell r="AK525"/>
          <cell r="AL525" t="str">
            <v xml:space="preserve">     ↓</v>
          </cell>
        </row>
        <row r="526">
          <cell r="E526" t="str">
            <v>アルミ製CR-1000mm-H70</v>
          </cell>
          <cell r="F526" t="str">
            <v>ｍ</v>
          </cell>
          <cell r="G526">
            <v>13200</v>
          </cell>
          <cell r="H526">
            <v>4400</v>
          </cell>
          <cell r="I526">
            <v>13200</v>
          </cell>
          <cell r="J526">
            <v>4400</v>
          </cell>
          <cell r="K526">
            <v>13200</v>
          </cell>
          <cell r="L526">
            <v>4400</v>
          </cell>
          <cell r="M526">
            <v>13200</v>
          </cell>
          <cell r="N526">
            <v>4400</v>
          </cell>
          <cell r="O526">
            <v>13200</v>
          </cell>
          <cell r="P526">
            <v>4400</v>
          </cell>
          <cell r="Q526">
            <v>13200</v>
          </cell>
          <cell r="R526">
            <v>4400</v>
          </cell>
          <cell r="S526">
            <v>13200</v>
          </cell>
          <cell r="T526">
            <v>4400</v>
          </cell>
          <cell r="U526">
            <v>13200</v>
          </cell>
          <cell r="V526">
            <v>4400</v>
          </cell>
          <cell r="W526">
            <v>13200</v>
          </cell>
          <cell r="X526">
            <v>4400</v>
          </cell>
          <cell r="Y526">
            <v>13200</v>
          </cell>
          <cell r="Z526">
            <v>4400</v>
          </cell>
          <cell r="AA526"/>
          <cell r="AB526"/>
          <cell r="AC526"/>
          <cell r="AD526">
            <v>0.61699999999999999</v>
          </cell>
          <cell r="AE526"/>
          <cell r="AF526"/>
          <cell r="AG526"/>
          <cell r="AH526"/>
          <cell r="AI526"/>
          <cell r="AJ526"/>
          <cell r="AK526"/>
          <cell r="AL526" t="str">
            <v xml:space="preserve">     ↓</v>
          </cell>
        </row>
        <row r="527">
          <cell r="E527" t="str">
            <v>アルミ製CR-200mm-H80</v>
          </cell>
          <cell r="F527" t="str">
            <v>ｍ</v>
          </cell>
          <cell r="G527">
            <v>7730</v>
          </cell>
          <cell r="H527">
            <v>2576</v>
          </cell>
          <cell r="I527">
            <v>7730</v>
          </cell>
          <cell r="J527">
            <v>2576</v>
          </cell>
          <cell r="K527">
            <v>7730</v>
          </cell>
          <cell r="L527">
            <v>2576</v>
          </cell>
          <cell r="M527">
            <v>7730</v>
          </cell>
          <cell r="N527">
            <v>2576</v>
          </cell>
          <cell r="O527">
            <v>7730</v>
          </cell>
          <cell r="P527">
            <v>2576</v>
          </cell>
          <cell r="Q527">
            <v>7730</v>
          </cell>
          <cell r="R527">
            <v>2576</v>
          </cell>
          <cell r="S527">
            <v>7730</v>
          </cell>
          <cell r="T527">
            <v>2576</v>
          </cell>
          <cell r="U527">
            <v>7730</v>
          </cell>
          <cell r="V527">
            <v>2576</v>
          </cell>
          <cell r="W527">
            <v>7730</v>
          </cell>
          <cell r="X527">
            <v>2576</v>
          </cell>
          <cell r="Y527">
            <v>7730</v>
          </cell>
          <cell r="Z527">
            <v>2576</v>
          </cell>
          <cell r="AA527"/>
          <cell r="AB527"/>
          <cell r="AC527"/>
          <cell r="AD527">
            <v>0.183</v>
          </cell>
          <cell r="AE527"/>
          <cell r="AF527"/>
          <cell r="AG527"/>
          <cell r="AH527"/>
          <cell r="AI527"/>
          <cell r="AJ527"/>
          <cell r="AK527"/>
          <cell r="AL527" t="str">
            <v>定尺=3.00m</v>
          </cell>
        </row>
        <row r="528">
          <cell r="E528" t="str">
            <v>アルミ製CR-300mm-H80</v>
          </cell>
          <cell r="F528" t="str">
            <v>ｍ</v>
          </cell>
          <cell r="G528">
            <v>8460</v>
          </cell>
          <cell r="H528">
            <v>2820</v>
          </cell>
          <cell r="I528">
            <v>8460</v>
          </cell>
          <cell r="J528">
            <v>2820</v>
          </cell>
          <cell r="K528">
            <v>8460</v>
          </cell>
          <cell r="L528">
            <v>2820</v>
          </cell>
          <cell r="M528">
            <v>8460</v>
          </cell>
          <cell r="N528">
            <v>2820</v>
          </cell>
          <cell r="O528">
            <v>8460</v>
          </cell>
          <cell r="P528">
            <v>2820</v>
          </cell>
          <cell r="Q528">
            <v>8460</v>
          </cell>
          <cell r="R528">
            <v>2820</v>
          </cell>
          <cell r="S528">
            <v>8460</v>
          </cell>
          <cell r="T528">
            <v>2820</v>
          </cell>
          <cell r="U528">
            <v>8460</v>
          </cell>
          <cell r="V528">
            <v>2820</v>
          </cell>
          <cell r="W528">
            <v>8460</v>
          </cell>
          <cell r="X528">
            <v>2820</v>
          </cell>
          <cell r="Y528">
            <v>8460</v>
          </cell>
          <cell r="Z528">
            <v>2820</v>
          </cell>
          <cell r="AA528"/>
          <cell r="AB528"/>
          <cell r="AC528"/>
          <cell r="AD528">
            <v>0.24299999999999999</v>
          </cell>
          <cell r="AE528"/>
          <cell r="AF528"/>
          <cell r="AG528"/>
          <cell r="AH528"/>
          <cell r="AI528"/>
          <cell r="AJ528"/>
          <cell r="AK528"/>
          <cell r="AL528" t="str">
            <v xml:space="preserve">     ↓</v>
          </cell>
        </row>
        <row r="529">
          <cell r="E529" t="str">
            <v>アルミ製CR-400mm-H80</v>
          </cell>
          <cell r="F529" t="str">
            <v>ｍ</v>
          </cell>
          <cell r="G529">
            <v>9050</v>
          </cell>
          <cell r="H529">
            <v>3016</v>
          </cell>
          <cell r="I529">
            <v>9050</v>
          </cell>
          <cell r="J529">
            <v>3016</v>
          </cell>
          <cell r="K529">
            <v>9050</v>
          </cell>
          <cell r="L529">
            <v>3016</v>
          </cell>
          <cell r="M529">
            <v>9050</v>
          </cell>
          <cell r="N529">
            <v>3016</v>
          </cell>
          <cell r="O529">
            <v>9050</v>
          </cell>
          <cell r="P529">
            <v>3016</v>
          </cell>
          <cell r="Q529">
            <v>9050</v>
          </cell>
          <cell r="R529">
            <v>3016</v>
          </cell>
          <cell r="S529">
            <v>9050</v>
          </cell>
          <cell r="T529">
            <v>3016</v>
          </cell>
          <cell r="U529">
            <v>9050</v>
          </cell>
          <cell r="V529">
            <v>3016</v>
          </cell>
          <cell r="W529">
            <v>9050</v>
          </cell>
          <cell r="X529">
            <v>3016</v>
          </cell>
          <cell r="Y529">
            <v>9050</v>
          </cell>
          <cell r="Z529">
            <v>3016</v>
          </cell>
          <cell r="AA529"/>
          <cell r="AB529"/>
          <cell r="AC529"/>
          <cell r="AD529">
            <v>0.29599999999999999</v>
          </cell>
          <cell r="AE529"/>
          <cell r="AF529"/>
          <cell r="AG529"/>
          <cell r="AH529"/>
          <cell r="AI529"/>
          <cell r="AJ529"/>
          <cell r="AK529"/>
          <cell r="AL529" t="str">
            <v xml:space="preserve">     ↓</v>
          </cell>
        </row>
        <row r="530">
          <cell r="E530" t="str">
            <v>アルミ製CR-500mm-H80</v>
          </cell>
          <cell r="F530" t="str">
            <v>ｍ</v>
          </cell>
          <cell r="G530">
            <v>9780</v>
          </cell>
          <cell r="H530">
            <v>3260</v>
          </cell>
          <cell r="I530">
            <v>9780</v>
          </cell>
          <cell r="J530">
            <v>3260</v>
          </cell>
          <cell r="K530">
            <v>9780</v>
          </cell>
          <cell r="L530">
            <v>3260</v>
          </cell>
          <cell r="M530">
            <v>9780</v>
          </cell>
          <cell r="N530">
            <v>3260</v>
          </cell>
          <cell r="O530">
            <v>9780</v>
          </cell>
          <cell r="P530">
            <v>3260</v>
          </cell>
          <cell r="Q530">
            <v>9780</v>
          </cell>
          <cell r="R530">
            <v>3260</v>
          </cell>
          <cell r="S530">
            <v>9780</v>
          </cell>
          <cell r="T530">
            <v>3260</v>
          </cell>
          <cell r="U530">
            <v>9780</v>
          </cell>
          <cell r="V530">
            <v>3260</v>
          </cell>
          <cell r="W530">
            <v>9780</v>
          </cell>
          <cell r="X530">
            <v>3260</v>
          </cell>
          <cell r="Y530">
            <v>9780</v>
          </cell>
          <cell r="Z530">
            <v>3260</v>
          </cell>
          <cell r="AA530"/>
          <cell r="AB530"/>
          <cell r="AC530"/>
          <cell r="AD530">
            <v>0.33900000000000002</v>
          </cell>
          <cell r="AE530"/>
          <cell r="AF530"/>
          <cell r="AG530"/>
          <cell r="AH530"/>
          <cell r="AI530"/>
          <cell r="AJ530"/>
          <cell r="AK530"/>
          <cell r="AL530" t="str">
            <v xml:space="preserve">     ↓</v>
          </cell>
        </row>
        <row r="531">
          <cell r="E531" t="str">
            <v>アルミ製CR-600mm-H80</v>
          </cell>
          <cell r="F531" t="str">
            <v>ｍ</v>
          </cell>
          <cell r="G531">
            <v>10300</v>
          </cell>
          <cell r="H531">
            <v>3433</v>
          </cell>
          <cell r="I531">
            <v>10300</v>
          </cell>
          <cell r="J531">
            <v>3433</v>
          </cell>
          <cell r="K531">
            <v>10300</v>
          </cell>
          <cell r="L531">
            <v>3433</v>
          </cell>
          <cell r="M531">
            <v>10300</v>
          </cell>
          <cell r="N531">
            <v>3433</v>
          </cell>
          <cell r="O531">
            <v>10300</v>
          </cell>
          <cell r="P531">
            <v>3433</v>
          </cell>
          <cell r="Q531">
            <v>10300</v>
          </cell>
          <cell r="R531">
            <v>3433</v>
          </cell>
          <cell r="S531">
            <v>10300</v>
          </cell>
          <cell r="T531">
            <v>3433</v>
          </cell>
          <cell r="U531">
            <v>10300</v>
          </cell>
          <cell r="V531">
            <v>3433</v>
          </cell>
          <cell r="W531">
            <v>10300</v>
          </cell>
          <cell r="X531">
            <v>3433</v>
          </cell>
          <cell r="Y531">
            <v>10300</v>
          </cell>
          <cell r="Z531">
            <v>3433</v>
          </cell>
          <cell r="AA531"/>
          <cell r="AB531"/>
          <cell r="AC531"/>
          <cell r="AD531">
            <v>0.36499999999999999</v>
          </cell>
          <cell r="AE531"/>
          <cell r="AF531"/>
          <cell r="AG531"/>
          <cell r="AH531"/>
          <cell r="AI531"/>
          <cell r="AJ531"/>
          <cell r="AK531"/>
          <cell r="AL531" t="str">
            <v xml:space="preserve">     ↓</v>
          </cell>
        </row>
        <row r="532">
          <cell r="E532" t="str">
            <v>アルミ製CR-800mm-H80</v>
          </cell>
          <cell r="F532" t="str">
            <v>ｍ</v>
          </cell>
          <cell r="G532">
            <v>12000</v>
          </cell>
          <cell r="H532">
            <v>4000</v>
          </cell>
          <cell r="I532">
            <v>12000</v>
          </cell>
          <cell r="J532">
            <v>4000</v>
          </cell>
          <cell r="K532">
            <v>12000</v>
          </cell>
          <cell r="L532">
            <v>4000</v>
          </cell>
          <cell r="M532">
            <v>12000</v>
          </cell>
          <cell r="N532">
            <v>4000</v>
          </cell>
          <cell r="O532">
            <v>12000</v>
          </cell>
          <cell r="P532">
            <v>4000</v>
          </cell>
          <cell r="Q532">
            <v>12000</v>
          </cell>
          <cell r="R532">
            <v>4000</v>
          </cell>
          <cell r="S532">
            <v>12000</v>
          </cell>
          <cell r="T532">
            <v>4000</v>
          </cell>
          <cell r="U532">
            <v>12000</v>
          </cell>
          <cell r="V532">
            <v>4000</v>
          </cell>
          <cell r="W532">
            <v>12000</v>
          </cell>
          <cell r="X532">
            <v>4000</v>
          </cell>
          <cell r="Y532">
            <v>12000</v>
          </cell>
          <cell r="Z532">
            <v>4000</v>
          </cell>
          <cell r="AA532"/>
          <cell r="AB532"/>
          <cell r="AC532"/>
          <cell r="AD532">
            <v>0.496</v>
          </cell>
          <cell r="AE532"/>
          <cell r="AF532"/>
          <cell r="AG532"/>
          <cell r="AH532"/>
          <cell r="AI532"/>
          <cell r="AJ532"/>
          <cell r="AK532"/>
          <cell r="AL532" t="str">
            <v xml:space="preserve">     ↓</v>
          </cell>
        </row>
        <row r="533">
          <cell r="E533" t="str">
            <v>アルミ製CR-1000mm-H80</v>
          </cell>
          <cell r="F533" t="str">
            <v>ｍ</v>
          </cell>
          <cell r="G533">
            <v>13500</v>
          </cell>
          <cell r="H533">
            <v>4500</v>
          </cell>
          <cell r="I533">
            <v>13500</v>
          </cell>
          <cell r="J533">
            <v>4500</v>
          </cell>
          <cell r="K533">
            <v>13500</v>
          </cell>
          <cell r="L533">
            <v>4500</v>
          </cell>
          <cell r="M533">
            <v>13500</v>
          </cell>
          <cell r="N533">
            <v>4500</v>
          </cell>
          <cell r="O533">
            <v>13500</v>
          </cell>
          <cell r="P533">
            <v>4500</v>
          </cell>
          <cell r="Q533">
            <v>13500</v>
          </cell>
          <cell r="R533">
            <v>4500</v>
          </cell>
          <cell r="S533">
            <v>13500</v>
          </cell>
          <cell r="T533">
            <v>4500</v>
          </cell>
          <cell r="U533">
            <v>13500</v>
          </cell>
          <cell r="V533">
            <v>4500</v>
          </cell>
          <cell r="W533">
            <v>13500</v>
          </cell>
          <cell r="X533">
            <v>4500</v>
          </cell>
          <cell r="Y533">
            <v>13500</v>
          </cell>
          <cell r="Z533">
            <v>4500</v>
          </cell>
          <cell r="AA533"/>
          <cell r="AB533"/>
          <cell r="AC533"/>
          <cell r="AD533">
            <v>0.61699999999999999</v>
          </cell>
          <cell r="AE533"/>
          <cell r="AF533"/>
          <cell r="AG533"/>
          <cell r="AH533"/>
          <cell r="AI533"/>
          <cell r="AJ533"/>
          <cell r="AK533"/>
          <cell r="AL533" t="str">
            <v xml:space="preserve">     ↓</v>
          </cell>
        </row>
        <row r="534">
          <cell r="E534" t="str">
            <v>アルミ製CR-200mm</v>
          </cell>
          <cell r="F534" t="str">
            <v>ｍ</v>
          </cell>
          <cell r="G534">
            <v>8760</v>
          </cell>
          <cell r="H534">
            <v>2920</v>
          </cell>
          <cell r="I534">
            <v>8760</v>
          </cell>
          <cell r="J534">
            <v>2920</v>
          </cell>
          <cell r="K534">
            <v>8760</v>
          </cell>
          <cell r="L534">
            <v>2920</v>
          </cell>
          <cell r="M534">
            <v>8760</v>
          </cell>
          <cell r="N534">
            <v>2920</v>
          </cell>
          <cell r="O534">
            <v>8760</v>
          </cell>
          <cell r="P534">
            <v>2920</v>
          </cell>
          <cell r="Q534">
            <v>8760</v>
          </cell>
          <cell r="R534">
            <v>2920</v>
          </cell>
          <cell r="S534">
            <v>8760</v>
          </cell>
          <cell r="T534">
            <v>2920</v>
          </cell>
          <cell r="U534">
            <v>8760</v>
          </cell>
          <cell r="V534">
            <v>2920</v>
          </cell>
          <cell r="W534">
            <v>8760</v>
          </cell>
          <cell r="X534">
            <v>2920</v>
          </cell>
          <cell r="Y534">
            <v>8760</v>
          </cell>
          <cell r="Z534">
            <v>2920</v>
          </cell>
          <cell r="AA534"/>
          <cell r="AB534"/>
          <cell r="AC534"/>
          <cell r="AD534">
            <v>0.183</v>
          </cell>
          <cell r="AE534"/>
          <cell r="AF534"/>
          <cell r="AG534"/>
          <cell r="AH534"/>
          <cell r="AI534"/>
          <cell r="AJ534"/>
          <cell r="AK534"/>
          <cell r="AL534" t="str">
            <v>定尺=3.00m</v>
          </cell>
        </row>
        <row r="535">
          <cell r="E535" t="str">
            <v>アルミ製CR-300mm</v>
          </cell>
          <cell r="F535" t="str">
            <v>ｍ</v>
          </cell>
          <cell r="G535">
            <v>9490</v>
          </cell>
          <cell r="H535">
            <v>3163</v>
          </cell>
          <cell r="I535">
            <v>9490</v>
          </cell>
          <cell r="J535">
            <v>3163</v>
          </cell>
          <cell r="K535">
            <v>9490</v>
          </cell>
          <cell r="L535">
            <v>3163</v>
          </cell>
          <cell r="M535">
            <v>9490</v>
          </cell>
          <cell r="N535">
            <v>3163</v>
          </cell>
          <cell r="O535">
            <v>9490</v>
          </cell>
          <cell r="P535">
            <v>3163</v>
          </cell>
          <cell r="Q535">
            <v>9490</v>
          </cell>
          <cell r="R535">
            <v>3163</v>
          </cell>
          <cell r="S535">
            <v>9490</v>
          </cell>
          <cell r="T535">
            <v>3163</v>
          </cell>
          <cell r="U535">
            <v>9490</v>
          </cell>
          <cell r="V535">
            <v>3163</v>
          </cell>
          <cell r="W535">
            <v>9490</v>
          </cell>
          <cell r="X535">
            <v>3163</v>
          </cell>
          <cell r="Y535">
            <v>9490</v>
          </cell>
          <cell r="Z535">
            <v>3163</v>
          </cell>
          <cell r="AA535"/>
          <cell r="AB535"/>
          <cell r="AC535"/>
          <cell r="AD535">
            <v>0.24299999999999999</v>
          </cell>
          <cell r="AE535"/>
          <cell r="AF535"/>
          <cell r="AG535"/>
          <cell r="AH535"/>
          <cell r="AI535"/>
          <cell r="AJ535"/>
          <cell r="AK535"/>
          <cell r="AL535" t="str">
            <v xml:space="preserve">     ↓</v>
          </cell>
        </row>
        <row r="536">
          <cell r="E536" t="str">
            <v>アルミ製CR-400mm</v>
          </cell>
          <cell r="F536" t="str">
            <v>ｍ</v>
          </cell>
          <cell r="G536">
            <v>10000</v>
          </cell>
          <cell r="H536">
            <v>3333</v>
          </cell>
          <cell r="I536">
            <v>10000</v>
          </cell>
          <cell r="J536">
            <v>3333</v>
          </cell>
          <cell r="K536">
            <v>10000</v>
          </cell>
          <cell r="L536">
            <v>3333</v>
          </cell>
          <cell r="M536">
            <v>10000</v>
          </cell>
          <cell r="N536">
            <v>3333</v>
          </cell>
          <cell r="O536">
            <v>10000</v>
          </cell>
          <cell r="P536">
            <v>3333</v>
          </cell>
          <cell r="Q536">
            <v>10000</v>
          </cell>
          <cell r="R536">
            <v>3333</v>
          </cell>
          <cell r="S536">
            <v>10000</v>
          </cell>
          <cell r="T536">
            <v>3333</v>
          </cell>
          <cell r="U536">
            <v>10000</v>
          </cell>
          <cell r="V536">
            <v>3333</v>
          </cell>
          <cell r="W536">
            <v>10000</v>
          </cell>
          <cell r="X536">
            <v>3333</v>
          </cell>
          <cell r="Y536">
            <v>10000</v>
          </cell>
          <cell r="Z536">
            <v>3333</v>
          </cell>
          <cell r="AA536"/>
          <cell r="AB536"/>
          <cell r="AC536"/>
          <cell r="AD536">
            <v>0.29599999999999999</v>
          </cell>
          <cell r="AE536"/>
          <cell r="AF536"/>
          <cell r="AG536"/>
          <cell r="AH536"/>
          <cell r="AI536"/>
          <cell r="AJ536"/>
          <cell r="AK536"/>
          <cell r="AL536" t="str">
            <v xml:space="preserve">     ↓</v>
          </cell>
        </row>
        <row r="537">
          <cell r="E537" t="str">
            <v>アルミ製CR-500mm</v>
          </cell>
          <cell r="F537" t="str">
            <v>ｍ</v>
          </cell>
          <cell r="G537">
            <v>10700</v>
          </cell>
          <cell r="H537">
            <v>3566</v>
          </cell>
          <cell r="I537">
            <v>10700</v>
          </cell>
          <cell r="J537">
            <v>3566</v>
          </cell>
          <cell r="K537">
            <v>10700</v>
          </cell>
          <cell r="L537">
            <v>3566</v>
          </cell>
          <cell r="M537">
            <v>10700</v>
          </cell>
          <cell r="N537">
            <v>3566</v>
          </cell>
          <cell r="O537">
            <v>10700</v>
          </cell>
          <cell r="P537">
            <v>3566</v>
          </cell>
          <cell r="Q537">
            <v>10700</v>
          </cell>
          <cell r="R537">
            <v>3566</v>
          </cell>
          <cell r="S537">
            <v>10700</v>
          </cell>
          <cell r="T537">
            <v>3566</v>
          </cell>
          <cell r="U537">
            <v>10700</v>
          </cell>
          <cell r="V537">
            <v>3566</v>
          </cell>
          <cell r="W537">
            <v>10700</v>
          </cell>
          <cell r="X537">
            <v>3566</v>
          </cell>
          <cell r="Y537">
            <v>10700</v>
          </cell>
          <cell r="Z537">
            <v>3566</v>
          </cell>
          <cell r="AA537"/>
          <cell r="AB537"/>
          <cell r="AC537"/>
          <cell r="AD537">
            <v>0.33900000000000002</v>
          </cell>
          <cell r="AE537"/>
          <cell r="AF537"/>
          <cell r="AG537"/>
          <cell r="AH537"/>
          <cell r="AI537"/>
          <cell r="AJ537"/>
          <cell r="AK537"/>
          <cell r="AL537" t="str">
            <v xml:space="preserve">     ↓</v>
          </cell>
        </row>
        <row r="538">
          <cell r="E538" t="str">
            <v>アルミ製CR-600mm</v>
          </cell>
          <cell r="F538" t="str">
            <v>ｍ</v>
          </cell>
          <cell r="G538">
            <v>11300</v>
          </cell>
          <cell r="H538">
            <v>3766</v>
          </cell>
          <cell r="I538">
            <v>11300</v>
          </cell>
          <cell r="J538">
            <v>3766</v>
          </cell>
          <cell r="K538">
            <v>11300</v>
          </cell>
          <cell r="L538">
            <v>3766</v>
          </cell>
          <cell r="M538">
            <v>11300</v>
          </cell>
          <cell r="N538">
            <v>3766</v>
          </cell>
          <cell r="O538">
            <v>11300</v>
          </cell>
          <cell r="P538">
            <v>3766</v>
          </cell>
          <cell r="Q538">
            <v>11300</v>
          </cell>
          <cell r="R538">
            <v>3766</v>
          </cell>
          <cell r="S538">
            <v>11300</v>
          </cell>
          <cell r="T538">
            <v>3766</v>
          </cell>
          <cell r="U538">
            <v>11300</v>
          </cell>
          <cell r="V538">
            <v>3766</v>
          </cell>
          <cell r="W538">
            <v>11300</v>
          </cell>
          <cell r="X538">
            <v>3766</v>
          </cell>
          <cell r="Y538">
            <v>11300</v>
          </cell>
          <cell r="Z538">
            <v>3766</v>
          </cell>
          <cell r="AA538"/>
          <cell r="AB538"/>
          <cell r="AC538"/>
          <cell r="AD538">
            <v>0.36499999999999999</v>
          </cell>
          <cell r="AE538"/>
          <cell r="AF538"/>
          <cell r="AG538"/>
          <cell r="AH538"/>
          <cell r="AI538"/>
          <cell r="AJ538"/>
          <cell r="AK538"/>
          <cell r="AL538" t="str">
            <v xml:space="preserve">     ↓</v>
          </cell>
        </row>
        <row r="539">
          <cell r="E539" t="str">
            <v>アルミ製CR-800mm</v>
          </cell>
          <cell r="F539" t="str">
            <v>ｍ</v>
          </cell>
          <cell r="G539">
            <v>14000</v>
          </cell>
          <cell r="H539">
            <v>4666</v>
          </cell>
          <cell r="I539">
            <v>14000</v>
          </cell>
          <cell r="J539">
            <v>4666</v>
          </cell>
          <cell r="K539">
            <v>14000</v>
          </cell>
          <cell r="L539">
            <v>4666</v>
          </cell>
          <cell r="M539">
            <v>14000</v>
          </cell>
          <cell r="N539">
            <v>4666</v>
          </cell>
          <cell r="O539">
            <v>14000</v>
          </cell>
          <cell r="P539">
            <v>4666</v>
          </cell>
          <cell r="Q539">
            <v>14000</v>
          </cell>
          <cell r="R539">
            <v>4666</v>
          </cell>
          <cell r="S539">
            <v>14000</v>
          </cell>
          <cell r="T539">
            <v>4666</v>
          </cell>
          <cell r="U539">
            <v>14000</v>
          </cell>
          <cell r="V539">
            <v>4666</v>
          </cell>
          <cell r="W539">
            <v>14000</v>
          </cell>
          <cell r="X539">
            <v>4666</v>
          </cell>
          <cell r="Y539">
            <v>14000</v>
          </cell>
          <cell r="Z539">
            <v>4666</v>
          </cell>
          <cell r="AA539"/>
          <cell r="AB539"/>
          <cell r="AC539"/>
          <cell r="AD539">
            <v>0.496</v>
          </cell>
          <cell r="AE539"/>
          <cell r="AF539"/>
          <cell r="AG539"/>
          <cell r="AH539"/>
          <cell r="AI539"/>
          <cell r="AJ539"/>
          <cell r="AK539"/>
          <cell r="AL539" t="str">
            <v xml:space="preserve">     ↓</v>
          </cell>
        </row>
        <row r="540">
          <cell r="E540" t="str">
            <v>アルミ製CR-1000mm</v>
          </cell>
          <cell r="F540" t="str">
            <v>ｍ</v>
          </cell>
          <cell r="G540">
            <v>15600</v>
          </cell>
          <cell r="H540">
            <v>5200</v>
          </cell>
          <cell r="I540">
            <v>15600</v>
          </cell>
          <cell r="J540">
            <v>5200</v>
          </cell>
          <cell r="K540">
            <v>15600</v>
          </cell>
          <cell r="L540">
            <v>5200</v>
          </cell>
          <cell r="M540">
            <v>15600</v>
          </cell>
          <cell r="N540">
            <v>5200</v>
          </cell>
          <cell r="O540">
            <v>15600</v>
          </cell>
          <cell r="P540">
            <v>5200</v>
          </cell>
          <cell r="Q540">
            <v>15600</v>
          </cell>
          <cell r="R540">
            <v>5200</v>
          </cell>
          <cell r="S540">
            <v>15600</v>
          </cell>
          <cell r="T540">
            <v>5200</v>
          </cell>
          <cell r="U540">
            <v>15600</v>
          </cell>
          <cell r="V540">
            <v>5200</v>
          </cell>
          <cell r="W540">
            <v>15600</v>
          </cell>
          <cell r="X540">
            <v>5200</v>
          </cell>
          <cell r="Y540">
            <v>15600</v>
          </cell>
          <cell r="Z540">
            <v>5200</v>
          </cell>
          <cell r="AA540"/>
          <cell r="AB540"/>
          <cell r="AC540"/>
          <cell r="AD540">
            <v>0.61699999999999999</v>
          </cell>
          <cell r="AE540"/>
          <cell r="AF540"/>
          <cell r="AG540"/>
          <cell r="AH540"/>
          <cell r="AI540"/>
          <cell r="AJ540"/>
          <cell r="AK540"/>
          <cell r="AL540" t="str">
            <v xml:space="preserve">     ↓</v>
          </cell>
        </row>
        <row r="541">
          <cell r="E541"/>
          <cell r="F541"/>
          <cell r="G541"/>
          <cell r="H541"/>
          <cell r="I541"/>
          <cell r="J541"/>
          <cell r="K541"/>
          <cell r="L541"/>
          <cell r="M541"/>
          <cell r="N541"/>
          <cell r="O541"/>
          <cell r="P541"/>
          <cell r="Q541"/>
          <cell r="R541"/>
          <cell r="S541"/>
          <cell r="T541"/>
          <cell r="U541"/>
          <cell r="V541"/>
          <cell r="W541"/>
          <cell r="X541"/>
          <cell r="Y541"/>
          <cell r="Z541"/>
          <cell r="AA541"/>
          <cell r="AB541"/>
          <cell r="AC541"/>
          <cell r="AD541"/>
          <cell r="AE541"/>
          <cell r="AF541"/>
          <cell r="AG541"/>
          <cell r="AH541"/>
          <cell r="AI541"/>
          <cell r="AJ541"/>
          <cell r="AK541"/>
          <cell r="AL541"/>
        </row>
        <row r="542">
          <cell r="E542"/>
          <cell r="F542"/>
          <cell r="G542"/>
          <cell r="H542"/>
          <cell r="I542"/>
          <cell r="J542"/>
          <cell r="K542"/>
          <cell r="L542"/>
          <cell r="M542"/>
          <cell r="N542"/>
          <cell r="O542"/>
          <cell r="P542"/>
          <cell r="Q542"/>
          <cell r="R542"/>
          <cell r="S542"/>
          <cell r="T542"/>
          <cell r="U542"/>
          <cell r="V542"/>
          <cell r="W542"/>
          <cell r="X542"/>
          <cell r="Y542"/>
          <cell r="Z542"/>
          <cell r="AA542"/>
          <cell r="AB542"/>
          <cell r="AC542"/>
          <cell r="AD542"/>
          <cell r="AE542"/>
          <cell r="AF542"/>
          <cell r="AG542"/>
          <cell r="AH542"/>
          <cell r="AI542"/>
          <cell r="AJ542"/>
          <cell r="AK542"/>
          <cell r="AL542"/>
        </row>
        <row r="543">
          <cell r="E543"/>
          <cell r="F543"/>
          <cell r="G543"/>
          <cell r="H543"/>
          <cell r="I543"/>
          <cell r="J543"/>
          <cell r="K543"/>
          <cell r="L543"/>
          <cell r="M543"/>
          <cell r="N543"/>
          <cell r="O543"/>
          <cell r="P543"/>
          <cell r="Q543"/>
          <cell r="R543"/>
          <cell r="S543"/>
          <cell r="T543"/>
          <cell r="U543"/>
          <cell r="V543"/>
          <cell r="W543"/>
          <cell r="X543"/>
          <cell r="Y543"/>
          <cell r="Z543"/>
          <cell r="AA543"/>
          <cell r="AB543"/>
          <cell r="AC543"/>
          <cell r="AD543"/>
          <cell r="AE543"/>
          <cell r="AF543"/>
          <cell r="AG543"/>
          <cell r="AH543"/>
          <cell r="AI543"/>
          <cell r="AJ543"/>
          <cell r="AK543"/>
          <cell r="AL543"/>
        </row>
        <row r="544">
          <cell r="E544"/>
          <cell r="F544"/>
          <cell r="G544"/>
          <cell r="H544"/>
          <cell r="I544"/>
          <cell r="J544"/>
          <cell r="K544"/>
          <cell r="L544"/>
          <cell r="M544"/>
          <cell r="N544"/>
          <cell r="O544"/>
          <cell r="P544"/>
          <cell r="Q544"/>
          <cell r="R544"/>
          <cell r="S544"/>
          <cell r="T544"/>
          <cell r="U544"/>
          <cell r="V544"/>
          <cell r="W544"/>
          <cell r="X544"/>
          <cell r="Y544"/>
          <cell r="Z544"/>
          <cell r="AA544"/>
          <cell r="AB544"/>
          <cell r="AC544"/>
          <cell r="AD544"/>
          <cell r="AE544"/>
          <cell r="AF544"/>
          <cell r="AG544"/>
          <cell r="AH544"/>
          <cell r="AI544"/>
          <cell r="AJ544"/>
          <cell r="AK544"/>
          <cell r="AL544"/>
        </row>
        <row r="545">
          <cell r="E545"/>
          <cell r="F545"/>
          <cell r="G545"/>
          <cell r="H545"/>
          <cell r="I545"/>
          <cell r="J545"/>
          <cell r="K545"/>
          <cell r="L545"/>
          <cell r="M545"/>
          <cell r="N545"/>
          <cell r="O545"/>
          <cell r="P545"/>
          <cell r="Q545"/>
          <cell r="R545"/>
          <cell r="S545"/>
          <cell r="T545"/>
          <cell r="U545"/>
          <cell r="V545"/>
          <cell r="W545"/>
          <cell r="X545"/>
          <cell r="Y545"/>
          <cell r="Z545"/>
          <cell r="AA545"/>
          <cell r="AB545"/>
          <cell r="AC545"/>
          <cell r="AD545"/>
          <cell r="AE545"/>
          <cell r="AF545"/>
          <cell r="AG545"/>
          <cell r="AH545"/>
          <cell r="AI545"/>
          <cell r="AJ545"/>
          <cell r="AK545"/>
          <cell r="AL545"/>
        </row>
        <row r="546">
          <cell r="E546"/>
          <cell r="F546"/>
          <cell r="G546"/>
          <cell r="H546"/>
          <cell r="I546"/>
          <cell r="J546"/>
          <cell r="K546"/>
          <cell r="L546"/>
          <cell r="M546"/>
          <cell r="N546"/>
          <cell r="O546"/>
          <cell r="P546"/>
          <cell r="Q546"/>
          <cell r="R546"/>
          <cell r="S546"/>
          <cell r="T546"/>
          <cell r="U546"/>
          <cell r="V546"/>
          <cell r="W546"/>
          <cell r="X546"/>
          <cell r="Y546"/>
          <cell r="Z546"/>
          <cell r="AA546"/>
          <cell r="AB546"/>
          <cell r="AC546"/>
          <cell r="AD546"/>
          <cell r="AE546"/>
          <cell r="AF546"/>
          <cell r="AG546"/>
          <cell r="AH546"/>
          <cell r="AI546"/>
          <cell r="AJ546"/>
          <cell r="AK546"/>
          <cell r="AL546"/>
        </row>
        <row r="547">
          <cell r="E547"/>
          <cell r="F547"/>
          <cell r="G547"/>
          <cell r="H547"/>
          <cell r="I547"/>
          <cell r="J547"/>
          <cell r="K547"/>
          <cell r="L547"/>
          <cell r="M547"/>
          <cell r="N547"/>
          <cell r="O547"/>
          <cell r="P547"/>
          <cell r="Q547"/>
          <cell r="R547"/>
          <cell r="S547"/>
          <cell r="T547"/>
          <cell r="U547"/>
          <cell r="V547"/>
          <cell r="W547"/>
          <cell r="X547"/>
          <cell r="Y547"/>
          <cell r="Z547"/>
          <cell r="AA547"/>
          <cell r="AB547"/>
          <cell r="AC547"/>
          <cell r="AD547"/>
          <cell r="AE547"/>
          <cell r="AF547"/>
          <cell r="AG547"/>
          <cell r="AH547"/>
          <cell r="AI547"/>
          <cell r="AJ547"/>
          <cell r="AK547"/>
          <cell r="AL547"/>
        </row>
        <row r="548">
          <cell r="E548"/>
          <cell r="F548"/>
          <cell r="G548"/>
          <cell r="H548"/>
          <cell r="I548"/>
          <cell r="J548"/>
          <cell r="K548"/>
          <cell r="L548"/>
          <cell r="M548"/>
          <cell r="N548"/>
          <cell r="O548"/>
          <cell r="P548"/>
          <cell r="Q548"/>
          <cell r="R548"/>
          <cell r="S548"/>
          <cell r="T548"/>
          <cell r="U548"/>
          <cell r="V548"/>
          <cell r="W548"/>
          <cell r="X548"/>
          <cell r="Y548"/>
          <cell r="Z548"/>
          <cell r="AA548"/>
          <cell r="AB548"/>
          <cell r="AC548"/>
          <cell r="AD548"/>
          <cell r="AE548"/>
          <cell r="AF548"/>
          <cell r="AG548"/>
          <cell r="AH548"/>
          <cell r="AI548"/>
          <cell r="AJ548"/>
          <cell r="AK548"/>
          <cell r="AL548"/>
        </row>
        <row r="549">
          <cell r="E549"/>
          <cell r="F549"/>
          <cell r="G549"/>
          <cell r="H549"/>
          <cell r="I549"/>
          <cell r="J549"/>
          <cell r="K549"/>
          <cell r="L549"/>
          <cell r="M549"/>
          <cell r="N549"/>
          <cell r="O549"/>
          <cell r="P549"/>
          <cell r="Q549"/>
          <cell r="R549"/>
          <cell r="S549"/>
          <cell r="T549"/>
          <cell r="U549"/>
          <cell r="V549"/>
          <cell r="W549"/>
          <cell r="X549"/>
          <cell r="Y549"/>
          <cell r="Z549"/>
          <cell r="AA549"/>
          <cell r="AB549"/>
          <cell r="AC549"/>
          <cell r="AD549"/>
          <cell r="AE549"/>
          <cell r="AF549"/>
          <cell r="AG549"/>
          <cell r="AH549"/>
          <cell r="AI549"/>
          <cell r="AJ549"/>
          <cell r="AK549"/>
          <cell r="AL549"/>
        </row>
        <row r="550">
          <cell r="E550"/>
          <cell r="F550"/>
          <cell r="G550"/>
          <cell r="H550"/>
          <cell r="I550"/>
          <cell r="J550"/>
          <cell r="K550"/>
          <cell r="L550"/>
          <cell r="M550"/>
          <cell r="N550"/>
          <cell r="O550"/>
          <cell r="P550"/>
          <cell r="Q550"/>
          <cell r="R550"/>
          <cell r="S550"/>
          <cell r="T550"/>
          <cell r="U550"/>
          <cell r="V550"/>
          <cell r="W550"/>
          <cell r="X550"/>
          <cell r="Y550"/>
          <cell r="Z550"/>
          <cell r="AA550"/>
          <cell r="AB550"/>
          <cell r="AC550"/>
          <cell r="AD550"/>
          <cell r="AE550"/>
          <cell r="AF550"/>
          <cell r="AG550"/>
          <cell r="AH550"/>
          <cell r="AI550"/>
          <cell r="AJ550"/>
          <cell r="AK550"/>
          <cell r="AL550"/>
        </row>
        <row r="551">
          <cell r="E551"/>
          <cell r="F551"/>
          <cell r="G551"/>
          <cell r="H551"/>
          <cell r="I551"/>
          <cell r="J551"/>
          <cell r="K551"/>
          <cell r="L551"/>
          <cell r="M551"/>
          <cell r="N551"/>
          <cell r="O551"/>
          <cell r="P551"/>
          <cell r="Q551"/>
          <cell r="R551"/>
          <cell r="S551"/>
          <cell r="T551"/>
          <cell r="U551"/>
          <cell r="V551"/>
          <cell r="W551"/>
          <cell r="X551"/>
          <cell r="Y551"/>
          <cell r="Z551"/>
          <cell r="AA551"/>
          <cell r="AB551"/>
          <cell r="AC551"/>
          <cell r="AD551"/>
          <cell r="AE551"/>
          <cell r="AF551"/>
          <cell r="AG551"/>
          <cell r="AH551"/>
          <cell r="AI551"/>
          <cell r="AJ551"/>
          <cell r="AK551"/>
          <cell r="AL551"/>
        </row>
        <row r="552">
          <cell r="E552"/>
          <cell r="F552"/>
          <cell r="G552"/>
          <cell r="H552"/>
          <cell r="I552"/>
          <cell r="J552"/>
          <cell r="K552"/>
          <cell r="L552"/>
          <cell r="M552"/>
          <cell r="N552"/>
          <cell r="O552"/>
          <cell r="P552"/>
          <cell r="Q552"/>
          <cell r="R552"/>
          <cell r="S552"/>
          <cell r="T552"/>
          <cell r="U552"/>
          <cell r="V552"/>
          <cell r="W552"/>
          <cell r="X552"/>
          <cell r="Y552"/>
          <cell r="Z552"/>
          <cell r="AA552"/>
          <cell r="AB552"/>
          <cell r="AC552"/>
          <cell r="AD552"/>
          <cell r="AE552"/>
          <cell r="AF552"/>
          <cell r="AG552"/>
          <cell r="AH552"/>
          <cell r="AI552"/>
          <cell r="AJ552"/>
          <cell r="AK552"/>
          <cell r="AL552"/>
        </row>
        <row r="553">
          <cell r="E553"/>
          <cell r="F553"/>
          <cell r="G553"/>
          <cell r="H553"/>
          <cell r="I553"/>
          <cell r="J553"/>
          <cell r="K553"/>
          <cell r="L553"/>
          <cell r="M553"/>
          <cell r="N553"/>
          <cell r="O553"/>
          <cell r="P553"/>
          <cell r="Q553"/>
          <cell r="R553"/>
          <cell r="S553"/>
          <cell r="T553"/>
          <cell r="U553"/>
          <cell r="V553"/>
          <cell r="W553"/>
          <cell r="X553"/>
          <cell r="Y553"/>
          <cell r="Z553"/>
          <cell r="AA553"/>
          <cell r="AB553"/>
          <cell r="AC553"/>
          <cell r="AD553"/>
          <cell r="AE553"/>
          <cell r="AF553"/>
          <cell r="AG553"/>
          <cell r="AH553"/>
          <cell r="AI553"/>
          <cell r="AJ553"/>
          <cell r="AK553"/>
          <cell r="AL553"/>
        </row>
        <row r="554">
          <cell r="E554"/>
          <cell r="F554"/>
          <cell r="G554"/>
          <cell r="H554"/>
          <cell r="I554"/>
          <cell r="J554"/>
          <cell r="K554"/>
          <cell r="L554"/>
          <cell r="M554"/>
          <cell r="N554"/>
          <cell r="O554"/>
          <cell r="P554"/>
          <cell r="Q554"/>
          <cell r="R554"/>
          <cell r="S554"/>
          <cell r="T554"/>
          <cell r="U554"/>
          <cell r="V554"/>
          <cell r="W554"/>
          <cell r="X554"/>
          <cell r="Y554"/>
          <cell r="Z554"/>
          <cell r="AA554"/>
          <cell r="AB554"/>
          <cell r="AC554"/>
          <cell r="AD554"/>
          <cell r="AE554"/>
          <cell r="AF554"/>
          <cell r="AG554"/>
          <cell r="AH554"/>
          <cell r="AI554"/>
          <cell r="AJ554"/>
          <cell r="AK554"/>
          <cell r="AL554"/>
        </row>
        <row r="555">
          <cell r="E555"/>
          <cell r="F555"/>
          <cell r="G555"/>
          <cell r="H555"/>
          <cell r="I555"/>
          <cell r="J555"/>
          <cell r="K555"/>
          <cell r="L555"/>
          <cell r="M555"/>
          <cell r="N555"/>
          <cell r="O555"/>
          <cell r="P555"/>
          <cell r="Q555"/>
          <cell r="R555"/>
          <cell r="S555"/>
          <cell r="T555"/>
          <cell r="U555"/>
          <cell r="V555"/>
          <cell r="W555"/>
          <cell r="X555"/>
          <cell r="Y555"/>
          <cell r="Z555"/>
          <cell r="AA555"/>
          <cell r="AB555"/>
          <cell r="AC555"/>
          <cell r="AD555"/>
          <cell r="AE555"/>
          <cell r="AF555"/>
          <cell r="AG555"/>
          <cell r="AH555"/>
          <cell r="AI555"/>
          <cell r="AJ555"/>
          <cell r="AK555"/>
          <cell r="AL555"/>
        </row>
        <row r="556">
          <cell r="E556"/>
          <cell r="F556"/>
          <cell r="G556"/>
          <cell r="H556"/>
          <cell r="I556"/>
          <cell r="J556"/>
          <cell r="K556"/>
          <cell r="L556"/>
          <cell r="M556"/>
          <cell r="N556"/>
          <cell r="O556"/>
          <cell r="P556"/>
          <cell r="Q556"/>
          <cell r="R556"/>
          <cell r="S556"/>
          <cell r="T556"/>
          <cell r="U556"/>
          <cell r="V556"/>
          <cell r="W556"/>
          <cell r="X556"/>
          <cell r="Y556"/>
          <cell r="Z556"/>
          <cell r="AA556"/>
          <cell r="AB556"/>
          <cell r="AC556"/>
          <cell r="AD556"/>
          <cell r="AE556"/>
          <cell r="AF556"/>
          <cell r="AG556"/>
          <cell r="AH556"/>
          <cell r="AI556"/>
          <cell r="AJ556"/>
          <cell r="AK556"/>
          <cell r="AL556"/>
        </row>
        <row r="557">
          <cell r="E557"/>
          <cell r="F557"/>
          <cell r="G557"/>
          <cell r="H557"/>
          <cell r="I557"/>
          <cell r="J557"/>
          <cell r="K557"/>
          <cell r="L557"/>
          <cell r="M557"/>
          <cell r="N557"/>
          <cell r="O557"/>
          <cell r="P557"/>
          <cell r="Q557"/>
          <cell r="R557"/>
          <cell r="S557"/>
          <cell r="T557"/>
          <cell r="U557"/>
          <cell r="V557"/>
          <cell r="W557"/>
          <cell r="X557"/>
          <cell r="Y557"/>
          <cell r="Z557"/>
          <cell r="AA557"/>
          <cell r="AB557"/>
          <cell r="AC557"/>
          <cell r="AD557"/>
          <cell r="AE557"/>
          <cell r="AF557"/>
          <cell r="AG557"/>
          <cell r="AH557"/>
          <cell r="AI557"/>
          <cell r="AJ557"/>
          <cell r="AK557"/>
          <cell r="AL557"/>
        </row>
        <row r="558">
          <cell r="E558"/>
          <cell r="F558"/>
          <cell r="G558"/>
          <cell r="H558"/>
          <cell r="I558"/>
          <cell r="J558"/>
          <cell r="K558"/>
          <cell r="L558"/>
          <cell r="M558"/>
          <cell r="N558"/>
          <cell r="O558"/>
          <cell r="P558"/>
          <cell r="Q558"/>
          <cell r="R558"/>
          <cell r="S558"/>
          <cell r="T558"/>
          <cell r="U558"/>
          <cell r="V558"/>
          <cell r="W558"/>
          <cell r="X558"/>
          <cell r="Y558"/>
          <cell r="Z558"/>
          <cell r="AA558"/>
          <cell r="AB558"/>
          <cell r="AC558"/>
          <cell r="AD558"/>
          <cell r="AE558"/>
          <cell r="AF558"/>
          <cell r="AG558"/>
          <cell r="AH558"/>
          <cell r="AI558"/>
          <cell r="AJ558"/>
          <cell r="AK558"/>
          <cell r="AL558"/>
        </row>
        <row r="559">
          <cell r="E559"/>
          <cell r="F559"/>
          <cell r="G559"/>
          <cell r="H559"/>
          <cell r="I559"/>
          <cell r="J559"/>
          <cell r="K559"/>
          <cell r="L559"/>
          <cell r="M559"/>
          <cell r="N559"/>
          <cell r="O559"/>
          <cell r="P559"/>
          <cell r="Q559"/>
          <cell r="R559"/>
          <cell r="S559"/>
          <cell r="T559"/>
          <cell r="U559"/>
          <cell r="V559"/>
          <cell r="W559"/>
          <cell r="X559"/>
          <cell r="Y559"/>
          <cell r="Z559"/>
          <cell r="AA559"/>
          <cell r="AB559"/>
          <cell r="AC559"/>
          <cell r="AD559"/>
          <cell r="AE559"/>
          <cell r="AF559"/>
          <cell r="AG559"/>
          <cell r="AH559"/>
          <cell r="AI559"/>
          <cell r="AJ559"/>
          <cell r="AK559"/>
          <cell r="AL559"/>
        </row>
        <row r="560">
          <cell r="E560"/>
          <cell r="F560"/>
          <cell r="G560"/>
          <cell r="H560"/>
          <cell r="I560"/>
          <cell r="J560"/>
          <cell r="K560"/>
          <cell r="L560"/>
          <cell r="M560"/>
          <cell r="N560"/>
          <cell r="O560"/>
          <cell r="P560"/>
          <cell r="Q560"/>
          <cell r="R560"/>
          <cell r="S560"/>
          <cell r="T560"/>
          <cell r="U560"/>
          <cell r="V560"/>
          <cell r="W560"/>
          <cell r="X560"/>
          <cell r="Y560"/>
          <cell r="Z560"/>
          <cell r="AA560"/>
          <cell r="AB560"/>
          <cell r="AC560"/>
          <cell r="AD560"/>
          <cell r="AE560"/>
          <cell r="AF560"/>
          <cell r="AG560"/>
          <cell r="AH560"/>
          <cell r="AI560"/>
          <cell r="AJ560"/>
          <cell r="AK560"/>
          <cell r="AL560"/>
        </row>
        <row r="561">
          <cell r="E561"/>
          <cell r="F561"/>
          <cell r="G561"/>
          <cell r="H561"/>
          <cell r="I561"/>
          <cell r="J561"/>
          <cell r="K561"/>
          <cell r="L561"/>
          <cell r="M561"/>
          <cell r="N561"/>
          <cell r="O561"/>
          <cell r="P561"/>
          <cell r="Q561"/>
          <cell r="R561"/>
          <cell r="S561"/>
          <cell r="T561"/>
          <cell r="U561"/>
          <cell r="V561"/>
          <cell r="W561"/>
          <cell r="X561"/>
          <cell r="Y561"/>
          <cell r="Z561"/>
          <cell r="AA561"/>
          <cell r="AB561"/>
          <cell r="AC561"/>
          <cell r="AD561"/>
          <cell r="AE561"/>
          <cell r="AF561"/>
          <cell r="AG561"/>
          <cell r="AH561"/>
          <cell r="AI561"/>
          <cell r="AJ561"/>
          <cell r="AK561"/>
          <cell r="AL561"/>
        </row>
        <row r="562">
          <cell r="E562"/>
          <cell r="F562"/>
          <cell r="G562"/>
          <cell r="H562"/>
          <cell r="I562"/>
          <cell r="J562"/>
          <cell r="K562"/>
          <cell r="L562"/>
          <cell r="M562"/>
          <cell r="N562"/>
          <cell r="O562"/>
          <cell r="P562"/>
          <cell r="Q562"/>
          <cell r="R562"/>
          <cell r="S562"/>
          <cell r="T562"/>
          <cell r="U562"/>
          <cell r="V562"/>
          <cell r="W562"/>
          <cell r="X562"/>
          <cell r="Y562"/>
          <cell r="Z562"/>
          <cell r="AA562"/>
          <cell r="AB562"/>
          <cell r="AC562"/>
          <cell r="AD562"/>
          <cell r="AE562"/>
          <cell r="AF562"/>
          <cell r="AG562"/>
          <cell r="AH562"/>
          <cell r="AI562"/>
          <cell r="AJ562"/>
          <cell r="AK562"/>
          <cell r="AL562"/>
        </row>
        <row r="563">
          <cell r="E563"/>
          <cell r="F563"/>
          <cell r="G563"/>
          <cell r="H563"/>
          <cell r="I563"/>
          <cell r="J563"/>
          <cell r="K563"/>
          <cell r="L563"/>
          <cell r="M563"/>
          <cell r="N563"/>
          <cell r="O563"/>
          <cell r="P563"/>
          <cell r="Q563"/>
          <cell r="R563"/>
          <cell r="S563"/>
          <cell r="T563"/>
          <cell r="U563"/>
          <cell r="V563"/>
          <cell r="W563"/>
          <cell r="X563"/>
          <cell r="Y563"/>
          <cell r="Z563"/>
          <cell r="AA563"/>
          <cell r="AB563"/>
          <cell r="AC563"/>
          <cell r="AD563"/>
          <cell r="AE563"/>
          <cell r="AF563"/>
          <cell r="AG563"/>
          <cell r="AH563"/>
          <cell r="AI563"/>
          <cell r="AJ563"/>
          <cell r="AK563"/>
          <cell r="AL563"/>
        </row>
        <row r="564">
          <cell r="E564"/>
          <cell r="F564"/>
          <cell r="G564"/>
          <cell r="H564"/>
          <cell r="I564"/>
          <cell r="J564"/>
          <cell r="K564"/>
          <cell r="L564"/>
          <cell r="M564"/>
          <cell r="N564"/>
          <cell r="O564"/>
          <cell r="P564"/>
          <cell r="Q564"/>
          <cell r="R564"/>
          <cell r="S564"/>
          <cell r="T564"/>
          <cell r="U564"/>
          <cell r="V564"/>
          <cell r="W564"/>
          <cell r="X564"/>
          <cell r="Y564"/>
          <cell r="Z564"/>
          <cell r="AA564"/>
          <cell r="AB564"/>
          <cell r="AC564"/>
          <cell r="AD564"/>
          <cell r="AE564"/>
          <cell r="AF564"/>
          <cell r="AG564"/>
          <cell r="AH564"/>
          <cell r="AI564"/>
          <cell r="AJ564"/>
          <cell r="AK564"/>
          <cell r="AL564"/>
        </row>
        <row r="565">
          <cell r="E565"/>
          <cell r="F565"/>
          <cell r="G565"/>
          <cell r="H565"/>
          <cell r="I565"/>
          <cell r="J565"/>
          <cell r="K565"/>
          <cell r="L565"/>
          <cell r="M565"/>
          <cell r="N565"/>
          <cell r="O565"/>
          <cell r="P565"/>
          <cell r="Q565"/>
          <cell r="R565"/>
          <cell r="S565"/>
          <cell r="T565"/>
          <cell r="U565"/>
          <cell r="V565"/>
          <cell r="W565"/>
          <cell r="X565"/>
          <cell r="Y565"/>
          <cell r="Z565"/>
          <cell r="AA565"/>
          <cell r="AB565"/>
          <cell r="AC565"/>
          <cell r="AD565"/>
          <cell r="AE565"/>
          <cell r="AF565"/>
          <cell r="AG565"/>
          <cell r="AH565"/>
          <cell r="AI565"/>
          <cell r="AJ565"/>
          <cell r="AK565"/>
          <cell r="AL565"/>
        </row>
        <row r="566">
          <cell r="E566"/>
          <cell r="F566"/>
          <cell r="G566"/>
          <cell r="H566"/>
          <cell r="I566"/>
          <cell r="J566"/>
          <cell r="K566"/>
          <cell r="L566"/>
          <cell r="M566"/>
          <cell r="N566"/>
          <cell r="O566"/>
          <cell r="P566"/>
          <cell r="Q566"/>
          <cell r="R566"/>
          <cell r="S566"/>
          <cell r="T566"/>
          <cell r="U566"/>
          <cell r="V566"/>
          <cell r="W566"/>
          <cell r="X566"/>
          <cell r="Y566"/>
          <cell r="Z566"/>
          <cell r="AA566"/>
          <cell r="AB566"/>
          <cell r="AC566"/>
          <cell r="AD566"/>
          <cell r="AE566"/>
          <cell r="AF566"/>
          <cell r="AG566"/>
          <cell r="AH566"/>
          <cell r="AI566"/>
          <cell r="AJ566"/>
          <cell r="AK566"/>
          <cell r="AL566"/>
        </row>
        <row r="567">
          <cell r="E567"/>
          <cell r="F567"/>
          <cell r="G567"/>
          <cell r="H567"/>
          <cell r="I567"/>
          <cell r="J567"/>
          <cell r="K567"/>
          <cell r="L567"/>
          <cell r="M567"/>
          <cell r="N567"/>
          <cell r="O567"/>
          <cell r="P567"/>
          <cell r="Q567"/>
          <cell r="R567"/>
          <cell r="S567"/>
          <cell r="T567"/>
          <cell r="U567"/>
          <cell r="V567"/>
          <cell r="W567"/>
          <cell r="X567"/>
          <cell r="Y567"/>
          <cell r="Z567"/>
          <cell r="AA567"/>
          <cell r="AB567"/>
          <cell r="AC567"/>
          <cell r="AD567"/>
          <cell r="AE567"/>
          <cell r="AF567"/>
          <cell r="AG567"/>
          <cell r="AH567"/>
          <cell r="AI567"/>
          <cell r="AJ567"/>
          <cell r="AK567"/>
          <cell r="AL567"/>
        </row>
        <row r="568">
          <cell r="E568"/>
          <cell r="F568"/>
          <cell r="G568"/>
          <cell r="H568"/>
          <cell r="I568"/>
          <cell r="J568"/>
          <cell r="K568"/>
          <cell r="L568"/>
          <cell r="M568"/>
          <cell r="N568"/>
          <cell r="O568"/>
          <cell r="P568"/>
          <cell r="Q568"/>
          <cell r="R568"/>
          <cell r="S568"/>
          <cell r="T568"/>
          <cell r="U568"/>
          <cell r="V568"/>
          <cell r="W568"/>
          <cell r="X568"/>
          <cell r="Y568"/>
          <cell r="Z568"/>
          <cell r="AA568"/>
          <cell r="AB568"/>
          <cell r="AC568"/>
          <cell r="AD568"/>
          <cell r="AE568"/>
          <cell r="AF568"/>
          <cell r="AG568"/>
          <cell r="AH568"/>
          <cell r="AI568"/>
          <cell r="AJ568"/>
          <cell r="AK568"/>
          <cell r="AL568"/>
        </row>
        <row r="569">
          <cell r="E569"/>
          <cell r="F569"/>
          <cell r="G569"/>
          <cell r="H569"/>
          <cell r="I569"/>
          <cell r="J569"/>
          <cell r="K569"/>
          <cell r="L569"/>
          <cell r="M569"/>
          <cell r="N569"/>
          <cell r="O569"/>
          <cell r="P569"/>
          <cell r="Q569"/>
          <cell r="R569"/>
          <cell r="S569"/>
          <cell r="T569"/>
          <cell r="U569"/>
          <cell r="V569"/>
          <cell r="W569"/>
          <cell r="X569"/>
          <cell r="Y569"/>
          <cell r="Z569"/>
          <cell r="AA569"/>
          <cell r="AB569"/>
          <cell r="AC569"/>
          <cell r="AD569"/>
          <cell r="AE569"/>
          <cell r="AF569"/>
          <cell r="AG569"/>
          <cell r="AH569"/>
          <cell r="AI569"/>
          <cell r="AJ569"/>
          <cell r="AK569"/>
          <cell r="AL569"/>
        </row>
        <row r="570">
          <cell r="E570"/>
          <cell r="F570"/>
          <cell r="G570"/>
          <cell r="H570"/>
          <cell r="I570"/>
          <cell r="J570"/>
          <cell r="K570"/>
          <cell r="L570"/>
          <cell r="M570"/>
          <cell r="N570"/>
          <cell r="O570"/>
          <cell r="P570"/>
          <cell r="Q570"/>
          <cell r="R570"/>
          <cell r="S570"/>
          <cell r="T570"/>
          <cell r="U570"/>
          <cell r="V570"/>
          <cell r="W570"/>
          <cell r="X570"/>
          <cell r="Y570"/>
          <cell r="Z570"/>
          <cell r="AA570"/>
          <cell r="AB570"/>
          <cell r="AC570"/>
          <cell r="AD570"/>
          <cell r="AE570"/>
          <cell r="AF570"/>
          <cell r="AG570"/>
          <cell r="AH570"/>
          <cell r="AI570"/>
          <cell r="AJ570"/>
          <cell r="AK570"/>
          <cell r="AL570"/>
        </row>
        <row r="571">
          <cell r="E571"/>
          <cell r="F571"/>
          <cell r="G571"/>
          <cell r="H571"/>
          <cell r="I571"/>
          <cell r="J571"/>
          <cell r="K571"/>
          <cell r="L571"/>
          <cell r="M571"/>
          <cell r="N571"/>
          <cell r="O571"/>
          <cell r="P571"/>
          <cell r="Q571"/>
          <cell r="R571"/>
          <cell r="S571"/>
          <cell r="T571"/>
          <cell r="U571"/>
          <cell r="V571"/>
          <cell r="W571"/>
          <cell r="X571"/>
          <cell r="Y571"/>
          <cell r="Z571"/>
          <cell r="AA571"/>
          <cell r="AB571"/>
          <cell r="AC571"/>
          <cell r="AD571"/>
          <cell r="AE571"/>
          <cell r="AF571"/>
          <cell r="AG571"/>
          <cell r="AH571"/>
          <cell r="AI571"/>
          <cell r="AJ571"/>
          <cell r="AK571"/>
          <cell r="AL571"/>
        </row>
        <row r="572">
          <cell r="E572"/>
          <cell r="F572"/>
          <cell r="G572"/>
          <cell r="H572"/>
          <cell r="I572"/>
          <cell r="J572"/>
          <cell r="K572"/>
          <cell r="L572"/>
          <cell r="M572"/>
          <cell r="N572"/>
          <cell r="O572"/>
          <cell r="P572"/>
          <cell r="Q572"/>
          <cell r="R572"/>
          <cell r="S572"/>
          <cell r="T572"/>
          <cell r="U572"/>
          <cell r="V572"/>
          <cell r="W572"/>
          <cell r="X572"/>
          <cell r="Y572"/>
          <cell r="Z572"/>
          <cell r="AA572"/>
          <cell r="AB572"/>
          <cell r="AC572"/>
          <cell r="AD572"/>
          <cell r="AE572"/>
          <cell r="AF572"/>
          <cell r="AG572"/>
          <cell r="AH572"/>
          <cell r="AI572"/>
          <cell r="AJ572"/>
          <cell r="AK572"/>
          <cell r="AL572"/>
        </row>
        <row r="573">
          <cell r="E573"/>
          <cell r="F573"/>
          <cell r="G573"/>
          <cell r="H573"/>
          <cell r="I573"/>
          <cell r="J573"/>
          <cell r="K573"/>
          <cell r="L573"/>
          <cell r="M573"/>
          <cell r="N573"/>
          <cell r="O573"/>
          <cell r="P573"/>
          <cell r="Q573"/>
          <cell r="R573"/>
          <cell r="S573"/>
          <cell r="T573"/>
          <cell r="U573"/>
          <cell r="V573"/>
          <cell r="W573"/>
          <cell r="X573"/>
          <cell r="Y573"/>
          <cell r="Z573"/>
          <cell r="AA573"/>
          <cell r="AB573"/>
          <cell r="AC573"/>
          <cell r="AD573"/>
          <cell r="AE573"/>
          <cell r="AF573"/>
          <cell r="AG573"/>
          <cell r="AH573"/>
          <cell r="AI573"/>
          <cell r="AJ573"/>
          <cell r="AK573"/>
          <cell r="AL573"/>
        </row>
        <row r="574">
          <cell r="E574"/>
          <cell r="F574"/>
          <cell r="G574"/>
          <cell r="H574"/>
          <cell r="I574"/>
          <cell r="J574"/>
          <cell r="K574"/>
          <cell r="L574"/>
          <cell r="M574"/>
          <cell r="N574"/>
          <cell r="O574"/>
          <cell r="P574"/>
          <cell r="Q574"/>
          <cell r="R574"/>
          <cell r="S574"/>
          <cell r="T574"/>
          <cell r="U574"/>
          <cell r="V574"/>
          <cell r="W574"/>
          <cell r="X574"/>
          <cell r="Y574"/>
          <cell r="Z574"/>
          <cell r="AA574"/>
          <cell r="AB574"/>
          <cell r="AC574"/>
          <cell r="AD574"/>
          <cell r="AE574"/>
          <cell r="AF574"/>
          <cell r="AG574"/>
          <cell r="AH574"/>
          <cell r="AI574"/>
          <cell r="AJ574"/>
          <cell r="AK574"/>
          <cell r="AL574"/>
        </row>
        <row r="575">
          <cell r="E575"/>
          <cell r="F575"/>
          <cell r="G575"/>
          <cell r="H575"/>
          <cell r="I575"/>
          <cell r="J575"/>
          <cell r="K575"/>
          <cell r="L575"/>
          <cell r="M575"/>
          <cell r="N575"/>
          <cell r="O575"/>
          <cell r="P575"/>
          <cell r="Q575"/>
          <cell r="R575"/>
          <cell r="S575"/>
          <cell r="T575"/>
          <cell r="U575"/>
          <cell r="V575"/>
          <cell r="W575"/>
          <cell r="X575"/>
          <cell r="Y575"/>
          <cell r="Z575"/>
          <cell r="AA575"/>
          <cell r="AB575"/>
          <cell r="AC575"/>
          <cell r="AD575"/>
          <cell r="AE575"/>
          <cell r="AF575"/>
          <cell r="AG575"/>
          <cell r="AH575"/>
          <cell r="AI575"/>
          <cell r="AJ575"/>
          <cell r="AK575"/>
          <cell r="AL575"/>
        </row>
        <row r="576">
          <cell r="E576"/>
          <cell r="F576"/>
          <cell r="G576"/>
          <cell r="H576"/>
          <cell r="I576"/>
          <cell r="J576"/>
          <cell r="K576"/>
          <cell r="L576"/>
          <cell r="M576"/>
          <cell r="N576"/>
          <cell r="O576"/>
          <cell r="P576"/>
          <cell r="Q576"/>
          <cell r="R576"/>
          <cell r="S576"/>
          <cell r="T576"/>
          <cell r="U576"/>
          <cell r="V576"/>
          <cell r="W576"/>
          <cell r="X576"/>
          <cell r="Y576"/>
          <cell r="Z576"/>
          <cell r="AA576"/>
          <cell r="AB576"/>
          <cell r="AC576"/>
          <cell r="AD576"/>
          <cell r="AE576"/>
          <cell r="AF576"/>
          <cell r="AG576"/>
          <cell r="AH576"/>
          <cell r="AI576"/>
          <cell r="AJ576"/>
          <cell r="AK576"/>
          <cell r="AL576"/>
        </row>
        <row r="577">
          <cell r="E577"/>
          <cell r="F577"/>
          <cell r="G577"/>
          <cell r="H577"/>
          <cell r="I577"/>
          <cell r="J577"/>
          <cell r="K577"/>
          <cell r="L577"/>
          <cell r="M577"/>
          <cell r="N577"/>
          <cell r="O577"/>
          <cell r="P577"/>
          <cell r="Q577"/>
          <cell r="R577"/>
          <cell r="S577"/>
          <cell r="T577"/>
          <cell r="U577"/>
          <cell r="V577"/>
          <cell r="W577"/>
          <cell r="X577"/>
          <cell r="Y577"/>
          <cell r="Z577"/>
          <cell r="AA577"/>
          <cell r="AB577"/>
          <cell r="AC577"/>
          <cell r="AD577"/>
          <cell r="AE577"/>
          <cell r="AF577"/>
          <cell r="AG577"/>
          <cell r="AH577"/>
          <cell r="AI577"/>
          <cell r="AJ577"/>
          <cell r="AK577"/>
          <cell r="AL577"/>
        </row>
        <row r="578">
          <cell r="E578"/>
          <cell r="F578"/>
          <cell r="G578"/>
          <cell r="H578"/>
          <cell r="I578"/>
          <cell r="J578"/>
          <cell r="K578"/>
          <cell r="L578"/>
          <cell r="M578"/>
          <cell r="N578"/>
          <cell r="O578"/>
          <cell r="P578"/>
          <cell r="Q578"/>
          <cell r="R578"/>
          <cell r="S578"/>
          <cell r="T578"/>
          <cell r="U578"/>
          <cell r="V578"/>
          <cell r="W578"/>
          <cell r="X578"/>
          <cell r="Y578"/>
          <cell r="Z578"/>
          <cell r="AA578"/>
          <cell r="AB578"/>
          <cell r="AC578"/>
          <cell r="AD578"/>
          <cell r="AE578"/>
          <cell r="AF578"/>
          <cell r="AG578"/>
          <cell r="AH578"/>
          <cell r="AI578"/>
          <cell r="AJ578"/>
          <cell r="AK578"/>
          <cell r="AL578"/>
        </row>
        <row r="579">
          <cell r="E579"/>
          <cell r="F579"/>
          <cell r="G579"/>
          <cell r="H579"/>
          <cell r="I579"/>
          <cell r="J579"/>
          <cell r="K579"/>
          <cell r="L579"/>
          <cell r="M579"/>
          <cell r="N579"/>
          <cell r="O579"/>
          <cell r="P579"/>
          <cell r="Q579"/>
          <cell r="R579"/>
          <cell r="S579"/>
          <cell r="T579"/>
          <cell r="U579"/>
          <cell r="V579"/>
          <cell r="W579"/>
          <cell r="X579"/>
          <cell r="Y579"/>
          <cell r="Z579"/>
          <cell r="AA579"/>
          <cell r="AB579"/>
          <cell r="AC579"/>
          <cell r="AD579"/>
          <cell r="AE579"/>
          <cell r="AF579"/>
          <cell r="AG579"/>
          <cell r="AH579"/>
          <cell r="AI579"/>
          <cell r="AJ579"/>
          <cell r="AK579"/>
          <cell r="AL579"/>
        </row>
        <row r="580">
          <cell r="E580"/>
          <cell r="F580"/>
          <cell r="G580"/>
          <cell r="H580"/>
          <cell r="I580"/>
          <cell r="J580"/>
          <cell r="K580"/>
          <cell r="L580"/>
          <cell r="M580"/>
          <cell r="N580"/>
          <cell r="O580"/>
          <cell r="P580"/>
          <cell r="Q580"/>
          <cell r="R580"/>
          <cell r="S580"/>
          <cell r="T580"/>
          <cell r="U580"/>
          <cell r="V580"/>
          <cell r="W580"/>
          <cell r="X580"/>
          <cell r="Y580"/>
          <cell r="Z580"/>
          <cell r="AA580"/>
          <cell r="AB580"/>
          <cell r="AC580"/>
          <cell r="AD580"/>
          <cell r="AE580"/>
          <cell r="AF580"/>
          <cell r="AG580"/>
          <cell r="AH580"/>
          <cell r="AI580"/>
          <cell r="AJ580"/>
          <cell r="AK580"/>
          <cell r="AL580"/>
        </row>
        <row r="581">
          <cell r="E581"/>
          <cell r="F581"/>
          <cell r="G581"/>
          <cell r="H581"/>
          <cell r="I581"/>
          <cell r="J581"/>
          <cell r="K581"/>
          <cell r="L581"/>
          <cell r="M581"/>
          <cell r="N581"/>
          <cell r="O581"/>
          <cell r="P581"/>
          <cell r="Q581"/>
          <cell r="R581"/>
          <cell r="S581"/>
          <cell r="T581"/>
          <cell r="U581"/>
          <cell r="V581"/>
          <cell r="W581"/>
          <cell r="X581"/>
          <cell r="Y581"/>
          <cell r="Z581"/>
          <cell r="AA581"/>
          <cell r="AB581"/>
          <cell r="AC581"/>
          <cell r="AD581"/>
          <cell r="AE581"/>
          <cell r="AF581"/>
          <cell r="AG581"/>
          <cell r="AH581"/>
          <cell r="AI581"/>
          <cell r="AJ581"/>
          <cell r="AK581"/>
          <cell r="AL581"/>
        </row>
        <row r="582">
          <cell r="E582"/>
          <cell r="F582"/>
          <cell r="G582"/>
          <cell r="H582"/>
          <cell r="I582"/>
          <cell r="J582"/>
          <cell r="K582"/>
          <cell r="L582"/>
          <cell r="M582"/>
          <cell r="N582"/>
          <cell r="O582"/>
          <cell r="P582"/>
          <cell r="Q582"/>
          <cell r="R582"/>
          <cell r="S582"/>
          <cell r="T582"/>
          <cell r="U582"/>
          <cell r="V582"/>
          <cell r="W582"/>
          <cell r="X582"/>
          <cell r="Y582"/>
          <cell r="Z582"/>
          <cell r="AA582"/>
          <cell r="AB582"/>
          <cell r="AC582"/>
          <cell r="AD582"/>
          <cell r="AE582"/>
          <cell r="AF582"/>
          <cell r="AG582"/>
          <cell r="AH582"/>
          <cell r="AI582"/>
          <cell r="AJ582"/>
          <cell r="AK582"/>
          <cell r="AL582"/>
        </row>
        <row r="583">
          <cell r="E583"/>
          <cell r="F583"/>
          <cell r="G583"/>
          <cell r="H583"/>
          <cell r="I583"/>
          <cell r="J583"/>
          <cell r="K583"/>
          <cell r="L583"/>
          <cell r="M583"/>
          <cell r="N583"/>
          <cell r="O583"/>
          <cell r="P583"/>
          <cell r="Q583"/>
          <cell r="R583"/>
          <cell r="S583"/>
          <cell r="T583"/>
          <cell r="U583"/>
          <cell r="V583"/>
          <cell r="W583"/>
          <cell r="X583"/>
          <cell r="Y583"/>
          <cell r="Z583"/>
          <cell r="AA583"/>
          <cell r="AB583"/>
          <cell r="AC583"/>
          <cell r="AD583"/>
          <cell r="AE583"/>
          <cell r="AF583"/>
          <cell r="AG583"/>
          <cell r="AH583"/>
          <cell r="AI583"/>
          <cell r="AJ583"/>
          <cell r="AK583"/>
          <cell r="AL583"/>
        </row>
        <row r="584">
          <cell r="E584" t="str">
            <v>IV-1.0mm</v>
          </cell>
          <cell r="F584" t="str">
            <v>ｍ</v>
          </cell>
          <cell r="G584"/>
          <cell r="H584">
            <v>11.4</v>
          </cell>
          <cell r="I584"/>
          <cell r="J584">
            <v>11.4</v>
          </cell>
          <cell r="K584"/>
          <cell r="L584">
            <v>12.3</v>
          </cell>
          <cell r="M584"/>
          <cell r="N584">
            <v>11.7</v>
          </cell>
          <cell r="O584"/>
          <cell r="P584">
            <v>11.5</v>
          </cell>
          <cell r="Q584"/>
          <cell r="R584">
            <v>11.2</v>
          </cell>
          <cell r="S584"/>
          <cell r="T584">
            <v>10.9</v>
          </cell>
          <cell r="U584"/>
          <cell r="V584">
            <v>11.2</v>
          </cell>
          <cell r="W584"/>
          <cell r="X584">
            <v>11.9</v>
          </cell>
          <cell r="Y584"/>
          <cell r="Z584">
            <v>11.4</v>
          </cell>
          <cell r="AA584"/>
          <cell r="AB584"/>
          <cell r="AC584"/>
          <cell r="AD584">
            <v>8.9999999999999993E-3</v>
          </cell>
          <cell r="AE584"/>
          <cell r="AF584"/>
          <cell r="AG584"/>
          <cell r="AH584"/>
          <cell r="AI584"/>
          <cell r="AJ584"/>
          <cell r="AK584"/>
          <cell r="AL584"/>
        </row>
        <row r="585">
          <cell r="E585" t="str">
            <v>IV-1.2mm</v>
          </cell>
          <cell r="F585" t="str">
            <v>ｍ</v>
          </cell>
          <cell r="G585"/>
          <cell r="H585">
            <v>15.3</v>
          </cell>
          <cell r="I585"/>
          <cell r="J585">
            <v>15.3</v>
          </cell>
          <cell r="K585"/>
          <cell r="L585">
            <v>16.5</v>
          </cell>
          <cell r="M585"/>
          <cell r="N585">
            <v>15.7</v>
          </cell>
          <cell r="O585"/>
          <cell r="P585">
            <v>15.4</v>
          </cell>
          <cell r="Q585"/>
          <cell r="R585">
            <v>15</v>
          </cell>
          <cell r="S585"/>
          <cell r="T585">
            <v>14.6</v>
          </cell>
          <cell r="U585"/>
          <cell r="V585">
            <v>15</v>
          </cell>
          <cell r="W585"/>
          <cell r="X585">
            <v>14.6</v>
          </cell>
          <cell r="Y585"/>
          <cell r="Z585">
            <v>15.3</v>
          </cell>
          <cell r="AA585"/>
          <cell r="AB585"/>
          <cell r="AC585"/>
          <cell r="AD585">
            <v>0.01</v>
          </cell>
          <cell r="AE585"/>
          <cell r="AF585"/>
          <cell r="AG585"/>
          <cell r="AH585"/>
          <cell r="AI585"/>
          <cell r="AJ585"/>
          <cell r="AK585"/>
          <cell r="AL585"/>
        </row>
        <row r="586">
          <cell r="E586" t="str">
            <v>IV-1.6mm</v>
          </cell>
          <cell r="F586" t="str">
            <v>ｍ</v>
          </cell>
          <cell r="G586"/>
          <cell r="H586">
            <v>25.2</v>
          </cell>
          <cell r="I586"/>
          <cell r="J586">
            <v>25.2</v>
          </cell>
          <cell r="K586"/>
          <cell r="L586">
            <v>27.1</v>
          </cell>
          <cell r="M586"/>
          <cell r="N586">
            <v>25.9</v>
          </cell>
          <cell r="O586"/>
          <cell r="P586">
            <v>25.3</v>
          </cell>
          <cell r="Q586"/>
          <cell r="R586">
            <v>24.8</v>
          </cell>
          <cell r="S586"/>
          <cell r="T586">
            <v>24</v>
          </cell>
          <cell r="U586"/>
          <cell r="V586">
            <v>24.8</v>
          </cell>
          <cell r="W586"/>
          <cell r="X586">
            <v>24</v>
          </cell>
          <cell r="Y586"/>
          <cell r="Z586">
            <v>25.2</v>
          </cell>
          <cell r="AA586"/>
          <cell r="AB586"/>
          <cell r="AC586"/>
          <cell r="AD586">
            <v>0.01</v>
          </cell>
          <cell r="AE586"/>
          <cell r="AF586"/>
          <cell r="AG586"/>
          <cell r="AH586"/>
          <cell r="AI586"/>
          <cell r="AJ586"/>
          <cell r="AK586"/>
          <cell r="AL586"/>
        </row>
        <row r="587">
          <cell r="E587" t="str">
            <v>IV-2.0mm</v>
          </cell>
          <cell r="F587" t="str">
            <v>ｍ</v>
          </cell>
          <cell r="G587"/>
          <cell r="H587">
            <v>37.4</v>
          </cell>
          <cell r="I587"/>
          <cell r="J587">
            <v>37.4</v>
          </cell>
          <cell r="K587"/>
          <cell r="L587">
            <v>40.299999999999997</v>
          </cell>
          <cell r="M587"/>
          <cell r="N587">
            <v>38.6</v>
          </cell>
          <cell r="O587"/>
          <cell r="P587">
            <v>37.700000000000003</v>
          </cell>
          <cell r="Q587"/>
          <cell r="R587">
            <v>36.9</v>
          </cell>
          <cell r="S587"/>
          <cell r="T587">
            <v>35.700000000000003</v>
          </cell>
          <cell r="U587"/>
          <cell r="V587">
            <v>36.9</v>
          </cell>
          <cell r="W587"/>
          <cell r="X587">
            <v>35.700000000000003</v>
          </cell>
          <cell r="Y587"/>
          <cell r="Z587">
            <v>37.4</v>
          </cell>
          <cell r="AA587"/>
          <cell r="AB587"/>
          <cell r="AC587"/>
          <cell r="AD587">
            <v>1.0999999999999999E-2</v>
          </cell>
          <cell r="AE587"/>
          <cell r="AF587"/>
          <cell r="AG587"/>
          <cell r="AH587"/>
          <cell r="AI587"/>
          <cell r="AJ587"/>
          <cell r="AK587"/>
          <cell r="AL587"/>
        </row>
        <row r="588">
          <cell r="E588" t="str">
            <v>IV-2.6mm</v>
          </cell>
          <cell r="F588" t="str">
            <v>ｍ</v>
          </cell>
          <cell r="G588"/>
          <cell r="H588">
            <v>59.6</v>
          </cell>
          <cell r="I588"/>
          <cell r="J588">
            <v>59.6</v>
          </cell>
          <cell r="K588"/>
          <cell r="L588">
            <v>64.2</v>
          </cell>
          <cell r="M588"/>
          <cell r="N588">
            <v>61.4</v>
          </cell>
          <cell r="O588"/>
          <cell r="P588">
            <v>60.1</v>
          </cell>
          <cell r="Q588"/>
          <cell r="R588">
            <v>58.7</v>
          </cell>
          <cell r="S588"/>
          <cell r="T588">
            <v>56.9</v>
          </cell>
          <cell r="U588"/>
          <cell r="V588">
            <v>58.7</v>
          </cell>
          <cell r="W588"/>
          <cell r="X588">
            <v>56.9</v>
          </cell>
          <cell r="Y588"/>
          <cell r="Z588">
            <v>59.6</v>
          </cell>
          <cell r="AA588"/>
          <cell r="AB588"/>
          <cell r="AC588"/>
          <cell r="AD588">
            <v>1.4E-2</v>
          </cell>
          <cell r="AE588"/>
          <cell r="AF588"/>
          <cell r="AG588"/>
          <cell r="AH588"/>
          <cell r="AI588"/>
          <cell r="AJ588"/>
          <cell r="AK588"/>
          <cell r="AL588"/>
        </row>
        <row r="589">
          <cell r="E589" t="str">
            <v>IV-3.2mm</v>
          </cell>
          <cell r="F589" t="str">
            <v>ｍ</v>
          </cell>
          <cell r="G589"/>
          <cell r="H589">
            <v>88.4</v>
          </cell>
          <cell r="I589"/>
          <cell r="J589">
            <v>88.4</v>
          </cell>
          <cell r="K589"/>
          <cell r="L589">
            <v>95.2</v>
          </cell>
          <cell r="M589"/>
          <cell r="N589">
            <v>91.1</v>
          </cell>
          <cell r="O589"/>
          <cell r="P589">
            <v>89.1</v>
          </cell>
          <cell r="Q589"/>
          <cell r="R589">
            <v>87</v>
          </cell>
          <cell r="S589"/>
          <cell r="T589">
            <v>84.3</v>
          </cell>
          <cell r="U589"/>
          <cell r="V589">
            <v>87</v>
          </cell>
          <cell r="W589"/>
          <cell r="X589">
            <v>84.3</v>
          </cell>
          <cell r="Y589"/>
          <cell r="Z589">
            <v>88.4</v>
          </cell>
          <cell r="AA589"/>
          <cell r="AB589"/>
          <cell r="AC589"/>
          <cell r="AD589">
            <v>1.6E-2</v>
          </cell>
          <cell r="AE589"/>
          <cell r="AF589"/>
          <cell r="AG589"/>
          <cell r="AH589"/>
          <cell r="AI589"/>
          <cell r="AJ589"/>
          <cell r="AK589"/>
          <cell r="AL589"/>
        </row>
        <row r="590">
          <cell r="E590" t="str">
            <v>IV-4.0mm</v>
          </cell>
          <cell r="F590" t="str">
            <v>ｍ</v>
          </cell>
          <cell r="G590"/>
          <cell r="H590">
            <v>137</v>
          </cell>
          <cell r="I590"/>
          <cell r="J590">
            <v>137</v>
          </cell>
          <cell r="K590"/>
          <cell r="L590">
            <v>148</v>
          </cell>
          <cell r="M590"/>
          <cell r="N590">
            <v>141</v>
          </cell>
          <cell r="O590"/>
          <cell r="P590">
            <v>138</v>
          </cell>
          <cell r="Q590"/>
          <cell r="R590">
            <v>135</v>
          </cell>
          <cell r="S590"/>
          <cell r="T590">
            <v>131</v>
          </cell>
          <cell r="U590"/>
          <cell r="V590">
            <v>135</v>
          </cell>
          <cell r="W590"/>
          <cell r="X590">
            <v>131</v>
          </cell>
          <cell r="Y590"/>
          <cell r="Z590">
            <v>137</v>
          </cell>
          <cell r="AA590"/>
          <cell r="AB590"/>
          <cell r="AC590"/>
          <cell r="AD590">
            <v>0.02</v>
          </cell>
          <cell r="AE590"/>
          <cell r="AF590"/>
          <cell r="AG590"/>
          <cell r="AH590"/>
          <cell r="AI590"/>
          <cell r="AJ590"/>
          <cell r="AK590"/>
          <cell r="AL590"/>
        </row>
        <row r="591">
          <cell r="E591" t="str">
            <v>IV-5.0mm</v>
          </cell>
          <cell r="F591" t="str">
            <v>ｍ</v>
          </cell>
          <cell r="G591"/>
          <cell r="H591">
            <v>211</v>
          </cell>
          <cell r="I591"/>
          <cell r="J591">
            <v>211</v>
          </cell>
          <cell r="K591"/>
          <cell r="L591">
            <v>228</v>
          </cell>
          <cell r="M591"/>
          <cell r="N591">
            <v>218</v>
          </cell>
          <cell r="O591"/>
          <cell r="P591">
            <v>213</v>
          </cell>
          <cell r="Q591"/>
          <cell r="R591">
            <v>208</v>
          </cell>
          <cell r="S591"/>
          <cell r="T591">
            <v>202</v>
          </cell>
          <cell r="U591"/>
          <cell r="V591">
            <v>208</v>
          </cell>
          <cell r="W591"/>
          <cell r="X591">
            <v>202</v>
          </cell>
          <cell r="Y591"/>
          <cell r="Z591">
            <v>211</v>
          </cell>
          <cell r="AA591"/>
          <cell r="AB591"/>
          <cell r="AC591"/>
          <cell r="AD591">
            <v>2.4E-2</v>
          </cell>
          <cell r="AE591"/>
          <cell r="AF591"/>
          <cell r="AG591"/>
          <cell r="AH591"/>
          <cell r="AI591"/>
          <cell r="AJ591"/>
          <cell r="AK591"/>
          <cell r="AL591"/>
        </row>
        <row r="592">
          <cell r="E592" t="str">
            <v>IV-0.9sq</v>
          </cell>
          <cell r="F592" t="str">
            <v>ｍ</v>
          </cell>
          <cell r="G592"/>
          <cell r="H592">
            <v>15.1</v>
          </cell>
          <cell r="I592"/>
          <cell r="J592">
            <v>15.1</v>
          </cell>
          <cell r="K592"/>
          <cell r="L592">
            <v>16.2</v>
          </cell>
          <cell r="M592"/>
          <cell r="N592">
            <v>15.5</v>
          </cell>
          <cell r="O592"/>
          <cell r="P592">
            <v>15.2</v>
          </cell>
          <cell r="Q592"/>
          <cell r="R592">
            <v>14.8</v>
          </cell>
          <cell r="S592"/>
          <cell r="T592">
            <v>14.4</v>
          </cell>
          <cell r="U592"/>
          <cell r="V592">
            <v>14.8</v>
          </cell>
          <cell r="W592"/>
          <cell r="X592">
            <v>14.4</v>
          </cell>
          <cell r="Y592"/>
          <cell r="Z592">
            <v>15.1</v>
          </cell>
          <cell r="AA592"/>
          <cell r="AB592"/>
          <cell r="AC592"/>
          <cell r="AD592">
            <v>8.9999999999999993E-3</v>
          </cell>
          <cell r="AE592"/>
          <cell r="AF592"/>
          <cell r="AG592"/>
          <cell r="AH592"/>
          <cell r="AI592"/>
          <cell r="AJ592"/>
          <cell r="AK592"/>
          <cell r="AL592"/>
        </row>
        <row r="593">
          <cell r="E593" t="str">
            <v>IV-1.25sq</v>
          </cell>
          <cell r="F593" t="str">
            <v>ｍ</v>
          </cell>
          <cell r="G593"/>
          <cell r="H593">
            <v>18.100000000000001</v>
          </cell>
          <cell r="I593"/>
          <cell r="J593">
            <v>18.100000000000001</v>
          </cell>
          <cell r="K593"/>
          <cell r="L593">
            <v>19.5</v>
          </cell>
          <cell r="M593"/>
          <cell r="N593">
            <v>18.600000000000001</v>
          </cell>
          <cell r="O593"/>
          <cell r="P593">
            <v>18.2</v>
          </cell>
          <cell r="Q593"/>
          <cell r="R593">
            <v>17.8</v>
          </cell>
          <cell r="S593"/>
          <cell r="T593">
            <v>17.2</v>
          </cell>
          <cell r="U593"/>
          <cell r="V593">
            <v>17.8</v>
          </cell>
          <cell r="W593"/>
          <cell r="X593">
            <v>17.2</v>
          </cell>
          <cell r="Y593"/>
          <cell r="Z593">
            <v>18.100000000000001</v>
          </cell>
          <cell r="AA593"/>
          <cell r="AB593"/>
          <cell r="AC593"/>
          <cell r="AD593">
            <v>8.9999999999999993E-3</v>
          </cell>
          <cell r="AE593"/>
          <cell r="AF593"/>
          <cell r="AG593"/>
          <cell r="AH593"/>
          <cell r="AI593"/>
          <cell r="AJ593"/>
          <cell r="AK593"/>
          <cell r="AL593"/>
        </row>
        <row r="594">
          <cell r="E594" t="str">
            <v>IV-2.0sq</v>
          </cell>
          <cell r="F594" t="str">
            <v>ｍ</v>
          </cell>
          <cell r="G594"/>
          <cell r="H594">
            <v>27.6</v>
          </cell>
          <cell r="I594"/>
          <cell r="J594">
            <v>27.6</v>
          </cell>
          <cell r="K594"/>
          <cell r="L594">
            <v>29.7</v>
          </cell>
          <cell r="M594"/>
          <cell r="N594">
            <v>28.4</v>
          </cell>
          <cell r="O594"/>
          <cell r="P594">
            <v>27.8</v>
          </cell>
          <cell r="Q594"/>
          <cell r="R594">
            <v>27.1</v>
          </cell>
          <cell r="S594"/>
          <cell r="T594">
            <v>26.3</v>
          </cell>
          <cell r="U594"/>
          <cell r="V594">
            <v>27.1</v>
          </cell>
          <cell r="W594"/>
          <cell r="X594">
            <v>26.3</v>
          </cell>
          <cell r="Y594"/>
          <cell r="Z594">
            <v>27.6</v>
          </cell>
          <cell r="AA594"/>
          <cell r="AB594"/>
          <cell r="AC594"/>
          <cell r="AD594">
            <v>0.01</v>
          </cell>
          <cell r="AE594"/>
          <cell r="AF594"/>
          <cell r="AG594"/>
          <cell r="AH594"/>
          <cell r="AI594"/>
          <cell r="AJ594"/>
          <cell r="AK594"/>
          <cell r="AL594"/>
        </row>
        <row r="595">
          <cell r="E595" t="str">
            <v>IV-3.5sq</v>
          </cell>
          <cell r="F595" t="str">
            <v>ｍ</v>
          </cell>
          <cell r="G595"/>
          <cell r="H595">
            <v>44.5</v>
          </cell>
          <cell r="I595"/>
          <cell r="J595">
            <v>44.5</v>
          </cell>
          <cell r="K595"/>
          <cell r="L595">
            <v>48</v>
          </cell>
          <cell r="M595"/>
          <cell r="N595">
            <v>45.9</v>
          </cell>
          <cell r="O595"/>
          <cell r="P595">
            <v>44.9</v>
          </cell>
          <cell r="Q595"/>
          <cell r="R595">
            <v>43.8</v>
          </cell>
          <cell r="S595"/>
          <cell r="T595">
            <v>42.5</v>
          </cell>
          <cell r="U595"/>
          <cell r="V595">
            <v>43.8</v>
          </cell>
          <cell r="W595"/>
          <cell r="X595">
            <v>42.5</v>
          </cell>
          <cell r="Y595"/>
          <cell r="Z595">
            <v>44.5</v>
          </cell>
          <cell r="AA595"/>
          <cell r="AB595"/>
          <cell r="AC595"/>
          <cell r="AD595">
            <v>1.0999999999999999E-2</v>
          </cell>
          <cell r="AE595"/>
          <cell r="AF595"/>
          <cell r="AG595"/>
          <cell r="AH595"/>
          <cell r="AI595"/>
          <cell r="AJ595"/>
          <cell r="AK595"/>
          <cell r="AL595"/>
        </row>
        <row r="596">
          <cell r="E596" t="str">
            <v>IV-5.5sq</v>
          </cell>
          <cell r="F596" t="str">
            <v>ｍ</v>
          </cell>
          <cell r="G596"/>
          <cell r="H596">
            <v>68.3</v>
          </cell>
          <cell r="I596"/>
          <cell r="J596">
            <v>68.3</v>
          </cell>
          <cell r="K596"/>
          <cell r="L596">
            <v>73.5</v>
          </cell>
          <cell r="M596"/>
          <cell r="N596">
            <v>70.400000000000006</v>
          </cell>
          <cell r="O596"/>
          <cell r="P596">
            <v>68.8</v>
          </cell>
          <cell r="Q596"/>
          <cell r="R596">
            <v>67.2</v>
          </cell>
          <cell r="S596"/>
          <cell r="T596">
            <v>65.099999999999994</v>
          </cell>
          <cell r="U596"/>
          <cell r="V596">
            <v>67.2</v>
          </cell>
          <cell r="W596"/>
          <cell r="X596">
            <v>65.099999999999994</v>
          </cell>
          <cell r="Y596"/>
          <cell r="Z596">
            <v>68.3</v>
          </cell>
          <cell r="AA596"/>
          <cell r="AB596"/>
          <cell r="AC596"/>
          <cell r="AD596">
            <v>1.4E-2</v>
          </cell>
          <cell r="AE596"/>
          <cell r="AF596"/>
          <cell r="AG596"/>
          <cell r="AH596"/>
          <cell r="AI596"/>
          <cell r="AJ596"/>
          <cell r="AK596"/>
          <cell r="AL596"/>
        </row>
        <row r="597">
          <cell r="E597" t="str">
            <v>IV-8sq</v>
          </cell>
          <cell r="F597" t="str">
            <v>ｍ</v>
          </cell>
          <cell r="G597"/>
          <cell r="H597">
            <v>96.9</v>
          </cell>
          <cell r="I597"/>
          <cell r="J597">
            <v>96.9</v>
          </cell>
          <cell r="K597"/>
          <cell r="L597">
            <v>104</v>
          </cell>
          <cell r="M597"/>
          <cell r="N597">
            <v>99.8</v>
          </cell>
          <cell r="O597"/>
          <cell r="P597">
            <v>97.6</v>
          </cell>
          <cell r="Q597"/>
          <cell r="R597">
            <v>95.4</v>
          </cell>
          <cell r="S597"/>
          <cell r="T597">
            <v>92.4</v>
          </cell>
          <cell r="U597"/>
          <cell r="V597">
            <v>95.4</v>
          </cell>
          <cell r="W597"/>
          <cell r="X597">
            <v>92.4</v>
          </cell>
          <cell r="Y597"/>
          <cell r="Z597">
            <v>96.9</v>
          </cell>
          <cell r="AA597"/>
          <cell r="AB597"/>
          <cell r="AC597"/>
          <cell r="AD597">
            <v>1.6E-2</v>
          </cell>
          <cell r="AE597"/>
          <cell r="AF597"/>
          <cell r="AG597"/>
          <cell r="AH597"/>
          <cell r="AI597"/>
          <cell r="AJ597"/>
          <cell r="AK597"/>
          <cell r="AL597"/>
        </row>
        <row r="598">
          <cell r="E598" t="str">
            <v>IV-14sq</v>
          </cell>
          <cell r="F598" t="str">
            <v>ｍ</v>
          </cell>
          <cell r="G598"/>
          <cell r="H598">
            <v>170</v>
          </cell>
          <cell r="I598"/>
          <cell r="J598">
            <v>170</v>
          </cell>
          <cell r="K598"/>
          <cell r="L598">
            <v>183</v>
          </cell>
          <cell r="M598"/>
          <cell r="N598">
            <v>175</v>
          </cell>
          <cell r="O598"/>
          <cell r="P598">
            <v>171</v>
          </cell>
          <cell r="Q598"/>
          <cell r="R598">
            <v>167</v>
          </cell>
          <cell r="S598"/>
          <cell r="T598">
            <v>162</v>
          </cell>
          <cell r="U598"/>
          <cell r="V598">
            <v>167</v>
          </cell>
          <cell r="W598"/>
          <cell r="X598">
            <v>162</v>
          </cell>
          <cell r="Y598"/>
          <cell r="Z598">
            <v>170</v>
          </cell>
          <cell r="AA598"/>
          <cell r="AB598"/>
          <cell r="AC598"/>
          <cell r="AD598">
            <v>0.02</v>
          </cell>
          <cell r="AE598"/>
          <cell r="AF598"/>
          <cell r="AG598"/>
          <cell r="AH598"/>
          <cell r="AI598"/>
          <cell r="AJ598"/>
          <cell r="AK598"/>
          <cell r="AL598"/>
        </row>
        <row r="599">
          <cell r="E599" t="str">
            <v>IV-22sq</v>
          </cell>
          <cell r="F599" t="str">
            <v>ｍ</v>
          </cell>
          <cell r="G599"/>
          <cell r="H599">
            <v>259</v>
          </cell>
          <cell r="I599"/>
          <cell r="J599">
            <v>259</v>
          </cell>
          <cell r="K599"/>
          <cell r="L599">
            <v>279</v>
          </cell>
          <cell r="M599"/>
          <cell r="N599">
            <v>267</v>
          </cell>
          <cell r="O599"/>
          <cell r="P599">
            <v>261</v>
          </cell>
          <cell r="Q599"/>
          <cell r="R599">
            <v>255</v>
          </cell>
          <cell r="S599"/>
          <cell r="T599">
            <v>247</v>
          </cell>
          <cell r="U599"/>
          <cell r="V599">
            <v>255</v>
          </cell>
          <cell r="W599"/>
          <cell r="X599">
            <v>247</v>
          </cell>
          <cell r="Y599"/>
          <cell r="Z599">
            <v>259</v>
          </cell>
          <cell r="AA599"/>
          <cell r="AB599"/>
          <cell r="AC599"/>
          <cell r="AD599">
            <v>2.4E-2</v>
          </cell>
          <cell r="AE599"/>
          <cell r="AF599"/>
          <cell r="AG599"/>
          <cell r="AH599"/>
          <cell r="AI599"/>
          <cell r="AJ599"/>
          <cell r="AK599"/>
          <cell r="AL599"/>
        </row>
        <row r="600">
          <cell r="E600" t="str">
            <v>IV-38sq</v>
          </cell>
          <cell r="F600" t="str">
            <v>ｍ</v>
          </cell>
          <cell r="G600"/>
          <cell r="H600">
            <v>430</v>
          </cell>
          <cell r="I600"/>
          <cell r="J600">
            <v>430</v>
          </cell>
          <cell r="K600"/>
          <cell r="L600">
            <v>463</v>
          </cell>
          <cell r="M600"/>
          <cell r="N600">
            <v>443</v>
          </cell>
          <cell r="O600"/>
          <cell r="P600">
            <v>433</v>
          </cell>
          <cell r="Q600"/>
          <cell r="R600">
            <v>423</v>
          </cell>
          <cell r="S600"/>
          <cell r="T600">
            <v>410</v>
          </cell>
          <cell r="U600"/>
          <cell r="V600">
            <v>423</v>
          </cell>
          <cell r="W600"/>
          <cell r="X600">
            <v>410</v>
          </cell>
          <cell r="Y600"/>
          <cell r="Z600">
            <v>430</v>
          </cell>
          <cell r="AA600"/>
          <cell r="AB600"/>
          <cell r="AC600"/>
          <cell r="AD600">
            <v>3.2000000000000001E-2</v>
          </cell>
          <cell r="AE600"/>
          <cell r="AF600"/>
          <cell r="AG600"/>
          <cell r="AH600"/>
          <cell r="AI600"/>
          <cell r="AJ600"/>
          <cell r="AK600"/>
          <cell r="AL600"/>
        </row>
        <row r="601">
          <cell r="E601" t="str">
            <v>IV-60sq</v>
          </cell>
          <cell r="F601" t="str">
            <v>ｍ</v>
          </cell>
          <cell r="G601"/>
          <cell r="H601">
            <v>675</v>
          </cell>
          <cell r="I601"/>
          <cell r="J601">
            <v>675</v>
          </cell>
          <cell r="K601"/>
          <cell r="L601">
            <v>727</v>
          </cell>
          <cell r="M601"/>
          <cell r="N601">
            <v>695</v>
          </cell>
          <cell r="O601"/>
          <cell r="P601">
            <v>680</v>
          </cell>
          <cell r="Q601"/>
          <cell r="R601">
            <v>664</v>
          </cell>
          <cell r="S601"/>
          <cell r="T601">
            <v>644</v>
          </cell>
          <cell r="U601"/>
          <cell r="V601">
            <v>664</v>
          </cell>
          <cell r="W601"/>
          <cell r="X601">
            <v>644</v>
          </cell>
          <cell r="Y601"/>
          <cell r="Z601">
            <v>675</v>
          </cell>
          <cell r="AA601"/>
          <cell r="AB601"/>
          <cell r="AC601"/>
          <cell r="AD601">
            <v>4.2000000000000003E-2</v>
          </cell>
          <cell r="AE601"/>
          <cell r="AF601"/>
          <cell r="AG601"/>
          <cell r="AH601"/>
          <cell r="AI601"/>
          <cell r="AJ601"/>
          <cell r="AK601"/>
          <cell r="AL601"/>
        </row>
        <row r="602">
          <cell r="E602" t="str">
            <v>IV-100sq</v>
          </cell>
          <cell r="F602" t="str">
            <v>ｍ</v>
          </cell>
          <cell r="G602"/>
          <cell r="H602">
            <v>1123</v>
          </cell>
          <cell r="I602"/>
          <cell r="J602">
            <v>1123</v>
          </cell>
          <cell r="K602"/>
          <cell r="L602">
            <v>1210</v>
          </cell>
          <cell r="M602"/>
          <cell r="N602">
            <v>1158</v>
          </cell>
          <cell r="O602"/>
          <cell r="P602">
            <v>1132</v>
          </cell>
          <cell r="Q602"/>
          <cell r="R602">
            <v>1106</v>
          </cell>
          <cell r="S602"/>
          <cell r="T602">
            <v>1071</v>
          </cell>
          <cell r="U602"/>
          <cell r="V602">
            <v>1106</v>
          </cell>
          <cell r="W602"/>
          <cell r="X602">
            <v>1071</v>
          </cell>
          <cell r="Y602"/>
          <cell r="Z602">
            <v>1123</v>
          </cell>
          <cell r="AA602"/>
          <cell r="AB602"/>
          <cell r="AC602"/>
          <cell r="AD602">
            <v>5.6000000000000001E-2</v>
          </cell>
          <cell r="AE602"/>
          <cell r="AF602"/>
          <cell r="AG602"/>
          <cell r="AH602"/>
          <cell r="AI602"/>
          <cell r="AJ602"/>
          <cell r="AK602"/>
          <cell r="AL602"/>
        </row>
        <row r="603">
          <cell r="E603" t="str">
            <v>IV-150sq</v>
          </cell>
          <cell r="F603" t="str">
            <v>ｍ</v>
          </cell>
          <cell r="G603"/>
          <cell r="H603">
            <v>1698</v>
          </cell>
          <cell r="I603"/>
          <cell r="J603">
            <v>1698</v>
          </cell>
          <cell r="K603"/>
          <cell r="L603">
            <v>1829</v>
          </cell>
          <cell r="M603"/>
          <cell r="N603">
            <v>1751</v>
          </cell>
          <cell r="O603"/>
          <cell r="P603">
            <v>1712</v>
          </cell>
          <cell r="Q603"/>
          <cell r="R603">
            <v>1672</v>
          </cell>
          <cell r="S603"/>
          <cell r="T603">
            <v>1620</v>
          </cell>
          <cell r="U603"/>
          <cell r="V603">
            <v>1672</v>
          </cell>
          <cell r="W603"/>
          <cell r="X603">
            <v>1620</v>
          </cell>
          <cell r="Y603"/>
          <cell r="Z603">
            <v>1698</v>
          </cell>
          <cell r="AA603"/>
          <cell r="AB603"/>
          <cell r="AC603"/>
          <cell r="AD603">
            <v>7.2999999999999995E-2</v>
          </cell>
          <cell r="AE603"/>
          <cell r="AF603"/>
          <cell r="AG603"/>
          <cell r="AH603"/>
          <cell r="AI603"/>
          <cell r="AJ603"/>
          <cell r="AK603"/>
          <cell r="AL603"/>
        </row>
        <row r="604">
          <cell r="E604" t="str">
            <v>IV-200sq</v>
          </cell>
          <cell r="F604" t="str">
            <v>ｍ</v>
          </cell>
          <cell r="G604"/>
          <cell r="H604">
            <v>2160</v>
          </cell>
          <cell r="I604"/>
          <cell r="J604">
            <v>2160</v>
          </cell>
          <cell r="K604"/>
          <cell r="L604">
            <v>2326</v>
          </cell>
          <cell r="M604"/>
          <cell r="N604">
            <v>2226</v>
          </cell>
          <cell r="O604"/>
          <cell r="P604">
            <v>2177</v>
          </cell>
          <cell r="Q604"/>
          <cell r="R604">
            <v>127</v>
          </cell>
          <cell r="S604"/>
          <cell r="T604">
            <v>2060</v>
          </cell>
          <cell r="U604"/>
          <cell r="V604">
            <v>127</v>
          </cell>
          <cell r="W604"/>
          <cell r="X604">
            <v>2060</v>
          </cell>
          <cell r="Y604"/>
          <cell r="Z604">
            <v>2160</v>
          </cell>
          <cell r="AA604"/>
          <cell r="AB604"/>
          <cell r="AC604"/>
          <cell r="AD604">
            <v>8.3000000000000004E-2</v>
          </cell>
          <cell r="AE604"/>
          <cell r="AF604"/>
          <cell r="AG604"/>
          <cell r="AH604"/>
          <cell r="AI604"/>
          <cell r="AJ604"/>
          <cell r="AK604"/>
          <cell r="AL604"/>
        </row>
        <row r="605">
          <cell r="E605" t="str">
            <v>IV-250sq</v>
          </cell>
          <cell r="F605" t="str">
            <v>ｍ</v>
          </cell>
          <cell r="G605"/>
          <cell r="H605">
            <v>2809</v>
          </cell>
          <cell r="I605"/>
          <cell r="J605">
            <v>2809</v>
          </cell>
          <cell r="K605"/>
          <cell r="L605">
            <v>3025</v>
          </cell>
          <cell r="M605"/>
          <cell r="N605">
            <v>2896</v>
          </cell>
          <cell r="O605"/>
          <cell r="P605">
            <v>2831</v>
          </cell>
          <cell r="Q605"/>
          <cell r="R605">
            <v>2766</v>
          </cell>
          <cell r="S605"/>
          <cell r="T605">
            <v>2680</v>
          </cell>
          <cell r="U605"/>
          <cell r="V605">
            <v>2766</v>
          </cell>
          <cell r="W605"/>
          <cell r="X605">
            <v>2680</v>
          </cell>
          <cell r="Y605"/>
          <cell r="Z605">
            <v>2809</v>
          </cell>
          <cell r="AA605"/>
          <cell r="AB605"/>
          <cell r="AC605"/>
          <cell r="AD605">
            <v>9.8000000000000004E-2</v>
          </cell>
          <cell r="AE605"/>
          <cell r="AF605"/>
          <cell r="AG605"/>
          <cell r="AH605"/>
          <cell r="AI605"/>
          <cell r="AJ605"/>
          <cell r="AK605"/>
          <cell r="AL605"/>
        </row>
        <row r="606">
          <cell r="E606" t="str">
            <v>IV-325sq</v>
          </cell>
          <cell r="F606" t="str">
            <v>ｍ</v>
          </cell>
          <cell r="G606"/>
          <cell r="H606">
            <v>3581</v>
          </cell>
          <cell r="I606"/>
          <cell r="J606">
            <v>3581</v>
          </cell>
          <cell r="K606"/>
          <cell r="L606">
            <v>3856</v>
          </cell>
          <cell r="M606"/>
          <cell r="N606">
            <v>3691</v>
          </cell>
          <cell r="O606"/>
          <cell r="P606">
            <v>3608</v>
          </cell>
          <cell r="Q606"/>
          <cell r="R606">
            <v>3526</v>
          </cell>
          <cell r="S606"/>
          <cell r="T606">
            <v>3416</v>
          </cell>
          <cell r="U606"/>
          <cell r="V606">
            <v>3526</v>
          </cell>
          <cell r="W606"/>
          <cell r="X606">
            <v>3416</v>
          </cell>
          <cell r="Y606"/>
          <cell r="Z606">
            <v>3581</v>
          </cell>
          <cell r="AA606"/>
          <cell r="AB606"/>
          <cell r="AC606"/>
          <cell r="AD606">
            <v>0.11700000000000001</v>
          </cell>
          <cell r="AE606"/>
          <cell r="AF606"/>
          <cell r="AG606"/>
          <cell r="AH606"/>
          <cell r="AI606"/>
          <cell r="AJ606"/>
          <cell r="AK606"/>
          <cell r="AL606"/>
        </row>
        <row r="607">
          <cell r="E607" t="str">
            <v>IE-1.0mm</v>
          </cell>
          <cell r="F607" t="str">
            <v>ｍ</v>
          </cell>
          <cell r="G607"/>
          <cell r="H607">
            <v>19.399999999999999</v>
          </cell>
          <cell r="I607"/>
          <cell r="J607">
            <v>19.399999999999999</v>
          </cell>
          <cell r="K607"/>
          <cell r="L607">
            <v>19.399999999999999</v>
          </cell>
          <cell r="M607"/>
          <cell r="N607">
            <v>18.8</v>
          </cell>
          <cell r="O607"/>
          <cell r="P607">
            <v>18.3</v>
          </cell>
          <cell r="Q607"/>
          <cell r="R607">
            <v>19.100000000000001</v>
          </cell>
          <cell r="S607"/>
          <cell r="T607">
            <v>18.5</v>
          </cell>
          <cell r="U607"/>
          <cell r="V607">
            <v>19.100000000000001</v>
          </cell>
          <cell r="W607"/>
          <cell r="X607">
            <v>18.5</v>
          </cell>
          <cell r="Y607"/>
          <cell r="Z607">
            <v>19.399999999999999</v>
          </cell>
          <cell r="AA607"/>
          <cell r="AB607"/>
          <cell r="AC607"/>
          <cell r="AD607">
            <v>8.9999999999999993E-3</v>
          </cell>
          <cell r="AE607"/>
          <cell r="AF607"/>
          <cell r="AG607"/>
          <cell r="AH607"/>
          <cell r="AI607"/>
          <cell r="AJ607"/>
          <cell r="AK607"/>
          <cell r="AL607"/>
        </row>
        <row r="608">
          <cell r="E608" t="str">
            <v>IE-1.2mm</v>
          </cell>
          <cell r="F608" t="str">
            <v>ｍ</v>
          </cell>
          <cell r="G608"/>
          <cell r="H608">
            <v>22.8</v>
          </cell>
          <cell r="I608"/>
          <cell r="J608">
            <v>22.8</v>
          </cell>
          <cell r="K608"/>
          <cell r="L608">
            <v>22.8</v>
          </cell>
          <cell r="M608"/>
          <cell r="N608">
            <v>22.1</v>
          </cell>
          <cell r="O608"/>
          <cell r="P608">
            <v>21.5</v>
          </cell>
          <cell r="Q608"/>
          <cell r="R608">
            <v>22.4</v>
          </cell>
          <cell r="S608"/>
          <cell r="T608">
            <v>21.7</v>
          </cell>
          <cell r="U608"/>
          <cell r="V608">
            <v>22.4</v>
          </cell>
          <cell r="W608"/>
          <cell r="X608">
            <v>21.7</v>
          </cell>
          <cell r="Y608"/>
          <cell r="Z608">
            <v>22.8</v>
          </cell>
          <cell r="AA608"/>
          <cell r="AB608"/>
          <cell r="AC608"/>
          <cell r="AD608">
            <v>0.01</v>
          </cell>
          <cell r="AE608"/>
          <cell r="AF608"/>
          <cell r="AG608"/>
          <cell r="AH608"/>
          <cell r="AI608"/>
          <cell r="AJ608"/>
          <cell r="AK608"/>
          <cell r="AL608"/>
        </row>
        <row r="609">
          <cell r="E609" t="str">
            <v>IE-1.6mm</v>
          </cell>
          <cell r="F609" t="str">
            <v>ｍ</v>
          </cell>
          <cell r="G609"/>
          <cell r="H609">
            <v>33.200000000000003</v>
          </cell>
          <cell r="I609"/>
          <cell r="J609">
            <v>33.200000000000003</v>
          </cell>
          <cell r="K609"/>
          <cell r="L609">
            <v>33.200000000000003</v>
          </cell>
          <cell r="M609"/>
          <cell r="N609">
            <v>32.1</v>
          </cell>
          <cell r="O609"/>
          <cell r="P609">
            <v>31.4</v>
          </cell>
          <cell r="Q609"/>
          <cell r="R609">
            <v>32.6</v>
          </cell>
          <cell r="S609"/>
          <cell r="T609">
            <v>31.6</v>
          </cell>
          <cell r="U609"/>
          <cell r="V609">
            <v>32.6</v>
          </cell>
          <cell r="W609"/>
          <cell r="X609">
            <v>31.6</v>
          </cell>
          <cell r="Y609"/>
          <cell r="Z609">
            <v>33.200000000000003</v>
          </cell>
          <cell r="AA609"/>
          <cell r="AB609"/>
          <cell r="AC609"/>
          <cell r="AD609">
            <v>0.01</v>
          </cell>
          <cell r="AE609"/>
          <cell r="AF609"/>
          <cell r="AG609"/>
          <cell r="AH609"/>
          <cell r="AI609"/>
          <cell r="AJ609"/>
          <cell r="AK609"/>
          <cell r="AL609"/>
        </row>
        <row r="610">
          <cell r="E610" t="str">
            <v>IE-2.0mm</v>
          </cell>
          <cell r="F610" t="str">
            <v>ｍ</v>
          </cell>
          <cell r="G610"/>
          <cell r="H610">
            <v>48.2</v>
          </cell>
          <cell r="I610"/>
          <cell r="J610">
            <v>48.2</v>
          </cell>
          <cell r="K610"/>
          <cell r="L610">
            <v>48.2</v>
          </cell>
          <cell r="M610"/>
          <cell r="N610">
            <v>46.7</v>
          </cell>
          <cell r="O610"/>
          <cell r="P610">
            <v>45.6</v>
          </cell>
          <cell r="Q610"/>
          <cell r="R610">
            <v>47.4</v>
          </cell>
          <cell r="S610"/>
          <cell r="T610">
            <v>45.9</v>
          </cell>
          <cell r="U610"/>
          <cell r="V610">
            <v>47.4</v>
          </cell>
          <cell r="W610"/>
          <cell r="X610">
            <v>45.9</v>
          </cell>
          <cell r="Y610"/>
          <cell r="Z610">
            <v>48.2</v>
          </cell>
          <cell r="AA610"/>
          <cell r="AB610"/>
          <cell r="AC610"/>
          <cell r="AD610">
            <v>1.0999999999999999E-2</v>
          </cell>
          <cell r="AE610"/>
          <cell r="AF610"/>
          <cell r="AG610"/>
          <cell r="AH610"/>
          <cell r="AI610"/>
          <cell r="AJ610"/>
          <cell r="AK610"/>
          <cell r="AL610"/>
        </row>
        <row r="611">
          <cell r="E611" t="str">
            <v>IE-2.6mm</v>
          </cell>
          <cell r="F611" t="str">
            <v>ｍ</v>
          </cell>
          <cell r="G611"/>
          <cell r="H611">
            <v>75.599999999999994</v>
          </cell>
          <cell r="I611"/>
          <cell r="J611">
            <v>75.599999999999994</v>
          </cell>
          <cell r="K611"/>
          <cell r="L611">
            <v>75.599999999999994</v>
          </cell>
          <cell r="M611"/>
          <cell r="N611">
            <v>73.3</v>
          </cell>
          <cell r="O611"/>
          <cell r="P611">
            <v>71.5</v>
          </cell>
          <cell r="Q611"/>
          <cell r="R611">
            <v>74.400000000000006</v>
          </cell>
          <cell r="S611"/>
          <cell r="T611">
            <v>72.099999999999994</v>
          </cell>
          <cell r="U611"/>
          <cell r="V611">
            <v>74.400000000000006</v>
          </cell>
          <cell r="W611"/>
          <cell r="X611">
            <v>72.099999999999994</v>
          </cell>
          <cell r="Y611"/>
          <cell r="Z611">
            <v>75.599999999999994</v>
          </cell>
          <cell r="AA611"/>
          <cell r="AB611"/>
          <cell r="AC611"/>
          <cell r="AD611">
            <v>1.4E-2</v>
          </cell>
          <cell r="AE611"/>
          <cell r="AF611"/>
          <cell r="AG611"/>
          <cell r="AH611"/>
          <cell r="AI611"/>
          <cell r="AJ611"/>
          <cell r="AK611"/>
          <cell r="AL611"/>
        </row>
        <row r="612">
          <cell r="E612" t="str">
            <v>IE-0.9sq</v>
          </cell>
          <cell r="F612" t="str">
            <v>ｍ</v>
          </cell>
          <cell r="G612"/>
          <cell r="H612">
            <v>23.4</v>
          </cell>
          <cell r="I612"/>
          <cell r="J612">
            <v>23.4</v>
          </cell>
          <cell r="K612"/>
          <cell r="L612">
            <v>23.4</v>
          </cell>
          <cell r="M612"/>
          <cell r="N612">
            <v>22.7</v>
          </cell>
          <cell r="O612"/>
          <cell r="P612">
            <v>22.1</v>
          </cell>
          <cell r="Q612"/>
          <cell r="R612">
            <v>23</v>
          </cell>
          <cell r="S612"/>
          <cell r="T612">
            <v>22.3</v>
          </cell>
          <cell r="U612"/>
          <cell r="V612">
            <v>23</v>
          </cell>
          <cell r="W612"/>
          <cell r="X612">
            <v>22.3</v>
          </cell>
          <cell r="Y612"/>
          <cell r="Z612">
            <v>23.4</v>
          </cell>
          <cell r="AA612"/>
          <cell r="AB612"/>
          <cell r="AC612"/>
          <cell r="AD612">
            <v>8.9999999999999993E-3</v>
          </cell>
          <cell r="AE612"/>
          <cell r="AF612"/>
          <cell r="AG612"/>
          <cell r="AH612"/>
          <cell r="AI612"/>
          <cell r="AJ612"/>
          <cell r="AK612"/>
          <cell r="AL612"/>
        </row>
        <row r="613">
          <cell r="E613" t="str">
            <v>IE-1.25sq</v>
          </cell>
          <cell r="F613" t="str">
            <v>ｍ</v>
          </cell>
          <cell r="G613"/>
          <cell r="H613">
            <v>26.7</v>
          </cell>
          <cell r="I613"/>
          <cell r="J613">
            <v>26.7</v>
          </cell>
          <cell r="K613"/>
          <cell r="L613">
            <v>26.7</v>
          </cell>
          <cell r="M613"/>
          <cell r="N613">
            <v>25.9</v>
          </cell>
          <cell r="O613"/>
          <cell r="P613">
            <v>25.3</v>
          </cell>
          <cell r="Q613"/>
          <cell r="R613">
            <v>26.3</v>
          </cell>
          <cell r="S613"/>
          <cell r="T613">
            <v>25.5</v>
          </cell>
          <cell r="U613"/>
          <cell r="V613">
            <v>26.3</v>
          </cell>
          <cell r="W613"/>
          <cell r="X613">
            <v>25.5</v>
          </cell>
          <cell r="Y613"/>
          <cell r="Z613">
            <v>26.7</v>
          </cell>
          <cell r="AA613"/>
          <cell r="AB613"/>
          <cell r="AC613"/>
          <cell r="AD613">
            <v>8.9999999999999993E-3</v>
          </cell>
          <cell r="AE613"/>
          <cell r="AF613"/>
          <cell r="AG613"/>
          <cell r="AH613"/>
          <cell r="AI613"/>
          <cell r="AJ613"/>
          <cell r="AK613"/>
          <cell r="AL613"/>
        </row>
        <row r="614">
          <cell r="E614" t="str">
            <v>IE-2.0sq</v>
          </cell>
          <cell r="F614" t="str">
            <v>ｍ</v>
          </cell>
          <cell r="G614"/>
          <cell r="H614">
            <v>36.5</v>
          </cell>
          <cell r="I614"/>
          <cell r="J614">
            <v>36.5</v>
          </cell>
          <cell r="K614"/>
          <cell r="L614">
            <v>36.5</v>
          </cell>
          <cell r="M614"/>
          <cell r="N614">
            <v>35.4</v>
          </cell>
          <cell r="O614"/>
          <cell r="P614">
            <v>34.6</v>
          </cell>
          <cell r="Q614"/>
          <cell r="R614">
            <v>36</v>
          </cell>
          <cell r="S614"/>
          <cell r="T614">
            <v>34.799999999999997</v>
          </cell>
          <cell r="U614"/>
          <cell r="V614">
            <v>36</v>
          </cell>
          <cell r="W614"/>
          <cell r="X614">
            <v>34.799999999999997</v>
          </cell>
          <cell r="Y614"/>
          <cell r="Z614">
            <v>36.5</v>
          </cell>
          <cell r="AA614"/>
          <cell r="AB614"/>
          <cell r="AC614"/>
          <cell r="AD614">
            <v>0.01</v>
          </cell>
          <cell r="AE614"/>
          <cell r="AF614"/>
          <cell r="AG614"/>
          <cell r="AH614"/>
          <cell r="AI614"/>
          <cell r="AJ614"/>
          <cell r="AK614"/>
          <cell r="AL614"/>
        </row>
        <row r="615">
          <cell r="E615" t="str">
            <v>IE-3.5sq</v>
          </cell>
          <cell r="F615" t="str">
            <v>ｍ</v>
          </cell>
          <cell r="G615"/>
          <cell r="H615">
            <v>56.3</v>
          </cell>
          <cell r="I615"/>
          <cell r="J615">
            <v>56.3</v>
          </cell>
          <cell r="K615"/>
          <cell r="L615">
            <v>56.3</v>
          </cell>
          <cell r="M615"/>
          <cell r="N615">
            <v>54.6</v>
          </cell>
          <cell r="O615"/>
          <cell r="P615">
            <v>53.3</v>
          </cell>
          <cell r="Q615"/>
          <cell r="R615">
            <v>55.4</v>
          </cell>
          <cell r="S615"/>
          <cell r="T615">
            <v>53.7</v>
          </cell>
          <cell r="U615"/>
          <cell r="V615">
            <v>55.4</v>
          </cell>
          <cell r="W615"/>
          <cell r="X615">
            <v>53.7</v>
          </cell>
          <cell r="Y615"/>
          <cell r="Z615">
            <v>56.3</v>
          </cell>
          <cell r="AA615"/>
          <cell r="AB615"/>
          <cell r="AC615"/>
          <cell r="AD615">
            <v>1.0999999999999999E-2</v>
          </cell>
          <cell r="AE615"/>
          <cell r="AF615"/>
          <cell r="AG615"/>
          <cell r="AH615"/>
          <cell r="AI615"/>
          <cell r="AJ615"/>
          <cell r="AK615"/>
          <cell r="AL615"/>
        </row>
        <row r="616">
          <cell r="E616" t="str">
            <v>IE-5.5sq</v>
          </cell>
          <cell r="F616" t="str">
            <v>ｍ</v>
          </cell>
          <cell r="G616"/>
          <cell r="H616">
            <v>85.2</v>
          </cell>
          <cell r="I616"/>
          <cell r="J616">
            <v>85.2</v>
          </cell>
          <cell r="K616"/>
          <cell r="L616">
            <v>85.2</v>
          </cell>
          <cell r="M616"/>
          <cell r="N616">
            <v>82.5</v>
          </cell>
          <cell r="O616"/>
          <cell r="P616">
            <v>80.599999999999994</v>
          </cell>
          <cell r="Q616"/>
          <cell r="R616">
            <v>83.8</v>
          </cell>
          <cell r="S616"/>
          <cell r="T616">
            <v>81.2</v>
          </cell>
          <cell r="U616"/>
          <cell r="V616">
            <v>83.8</v>
          </cell>
          <cell r="W616"/>
          <cell r="X616">
            <v>81.2</v>
          </cell>
          <cell r="Y616"/>
          <cell r="Z616">
            <v>85.2</v>
          </cell>
          <cell r="AA616"/>
          <cell r="AB616"/>
          <cell r="AC616"/>
          <cell r="AD616">
            <v>1.4E-2</v>
          </cell>
          <cell r="AE616"/>
          <cell r="AF616"/>
          <cell r="AG616"/>
          <cell r="AH616"/>
          <cell r="AI616"/>
          <cell r="AJ616"/>
          <cell r="AK616"/>
          <cell r="AL616"/>
        </row>
        <row r="617">
          <cell r="E617" t="str">
            <v>IE-8sq</v>
          </cell>
          <cell r="F617" t="str">
            <v>ｍ</v>
          </cell>
          <cell r="G617"/>
          <cell r="H617">
            <v>116</v>
          </cell>
          <cell r="I617"/>
          <cell r="J617">
            <v>116</v>
          </cell>
          <cell r="K617"/>
          <cell r="L617">
            <v>116</v>
          </cell>
          <cell r="M617"/>
          <cell r="N617">
            <v>113</v>
          </cell>
          <cell r="O617"/>
          <cell r="P617">
            <v>110</v>
          </cell>
          <cell r="Q617"/>
          <cell r="R617">
            <v>115</v>
          </cell>
          <cell r="S617"/>
          <cell r="T617">
            <v>111</v>
          </cell>
          <cell r="U617"/>
          <cell r="V617">
            <v>115</v>
          </cell>
          <cell r="W617"/>
          <cell r="X617">
            <v>111</v>
          </cell>
          <cell r="Y617"/>
          <cell r="Z617">
            <v>116</v>
          </cell>
          <cell r="AA617"/>
          <cell r="AB617"/>
          <cell r="AC617"/>
          <cell r="AD617">
            <v>1.6E-2</v>
          </cell>
          <cell r="AE617"/>
          <cell r="AF617"/>
          <cell r="AG617"/>
          <cell r="AH617"/>
          <cell r="AI617"/>
          <cell r="AJ617"/>
          <cell r="AK617"/>
          <cell r="AL617"/>
        </row>
        <row r="618">
          <cell r="E618" t="str">
            <v>IE-14sq</v>
          </cell>
          <cell r="F618" t="str">
            <v>ｍ</v>
          </cell>
          <cell r="G618"/>
          <cell r="H618">
            <v>199</v>
          </cell>
          <cell r="I618"/>
          <cell r="J618">
            <v>199</v>
          </cell>
          <cell r="K618"/>
          <cell r="L618">
            <v>199</v>
          </cell>
          <cell r="M618"/>
          <cell r="N618">
            <v>193</v>
          </cell>
          <cell r="O618"/>
          <cell r="P618">
            <v>188</v>
          </cell>
          <cell r="Q618"/>
          <cell r="R618">
            <v>196</v>
          </cell>
          <cell r="S618"/>
          <cell r="T618">
            <v>190</v>
          </cell>
          <cell r="U618"/>
          <cell r="V618">
            <v>196</v>
          </cell>
          <cell r="W618"/>
          <cell r="X618">
            <v>190</v>
          </cell>
          <cell r="Y618"/>
          <cell r="Z618">
            <v>199</v>
          </cell>
          <cell r="AA618"/>
          <cell r="AB618"/>
          <cell r="AC618"/>
          <cell r="AD618">
            <v>0.02</v>
          </cell>
          <cell r="AE618"/>
          <cell r="AF618"/>
          <cell r="AG618"/>
          <cell r="AH618"/>
          <cell r="AI618"/>
          <cell r="AJ618"/>
          <cell r="AK618"/>
          <cell r="AL618"/>
        </row>
        <row r="619">
          <cell r="E619" t="str">
            <v>IE-22sq</v>
          </cell>
          <cell r="F619" t="str">
            <v>ｍ</v>
          </cell>
          <cell r="G619"/>
          <cell r="H619">
            <v>294</v>
          </cell>
          <cell r="I619"/>
          <cell r="J619">
            <v>294</v>
          </cell>
          <cell r="K619"/>
          <cell r="L619">
            <v>294</v>
          </cell>
          <cell r="M619"/>
          <cell r="N619">
            <v>285</v>
          </cell>
          <cell r="O619"/>
          <cell r="P619">
            <v>279</v>
          </cell>
          <cell r="Q619"/>
          <cell r="R619">
            <v>290</v>
          </cell>
          <cell r="S619"/>
          <cell r="T619">
            <v>281</v>
          </cell>
          <cell r="U619"/>
          <cell r="V619">
            <v>290</v>
          </cell>
          <cell r="W619"/>
          <cell r="X619">
            <v>281</v>
          </cell>
          <cell r="Y619"/>
          <cell r="Z619">
            <v>294</v>
          </cell>
          <cell r="AA619"/>
          <cell r="AB619"/>
          <cell r="AC619"/>
          <cell r="AD619">
            <v>2.4E-2</v>
          </cell>
          <cell r="AE619"/>
          <cell r="AF619"/>
          <cell r="AG619"/>
          <cell r="AH619"/>
          <cell r="AI619"/>
          <cell r="AJ619"/>
          <cell r="AK619"/>
          <cell r="AL619"/>
        </row>
        <row r="620">
          <cell r="E620" t="str">
            <v>IE-38sq</v>
          </cell>
          <cell r="F620" t="str">
            <v>ｍ</v>
          </cell>
          <cell r="G620"/>
          <cell r="H620">
            <v>480</v>
          </cell>
          <cell r="I620"/>
          <cell r="J620">
            <v>480</v>
          </cell>
          <cell r="K620"/>
          <cell r="L620">
            <v>480</v>
          </cell>
          <cell r="M620"/>
          <cell r="N620">
            <v>466</v>
          </cell>
          <cell r="O620"/>
          <cell r="P620">
            <v>454</v>
          </cell>
          <cell r="Q620"/>
          <cell r="R620">
            <v>473</v>
          </cell>
          <cell r="S620"/>
          <cell r="T620">
            <v>458</v>
          </cell>
          <cell r="U620"/>
          <cell r="V620">
            <v>473</v>
          </cell>
          <cell r="W620"/>
          <cell r="X620">
            <v>458</v>
          </cell>
          <cell r="Y620"/>
          <cell r="Z620">
            <v>480</v>
          </cell>
          <cell r="AA620"/>
          <cell r="AB620"/>
          <cell r="AC620"/>
          <cell r="AD620">
            <v>3.2000000000000001E-2</v>
          </cell>
          <cell r="AE620"/>
          <cell r="AF620"/>
          <cell r="AG620"/>
          <cell r="AH620"/>
          <cell r="AI620"/>
          <cell r="AJ620"/>
          <cell r="AK620"/>
          <cell r="AL620"/>
        </row>
        <row r="621">
          <cell r="E621" t="str">
            <v>IE-60sq</v>
          </cell>
          <cell r="F621" t="str">
            <v>ｍ</v>
          </cell>
          <cell r="G621"/>
          <cell r="H621">
            <v>740</v>
          </cell>
          <cell r="I621"/>
          <cell r="J621">
            <v>740</v>
          </cell>
          <cell r="K621"/>
          <cell r="L621">
            <v>740</v>
          </cell>
          <cell r="M621"/>
          <cell r="N621">
            <v>717</v>
          </cell>
          <cell r="O621"/>
          <cell r="P621">
            <v>700</v>
          </cell>
          <cell r="Q621"/>
          <cell r="R621">
            <v>728</v>
          </cell>
          <cell r="S621"/>
          <cell r="T621">
            <v>706</v>
          </cell>
          <cell r="U621"/>
          <cell r="V621">
            <v>728</v>
          </cell>
          <cell r="W621"/>
          <cell r="X621">
            <v>706</v>
          </cell>
          <cell r="Y621"/>
          <cell r="Z621">
            <v>740</v>
          </cell>
          <cell r="AA621"/>
          <cell r="AB621"/>
          <cell r="AC621"/>
          <cell r="AD621">
            <v>4.2000000000000003E-2</v>
          </cell>
          <cell r="AE621"/>
          <cell r="AF621"/>
          <cell r="AG621"/>
          <cell r="AH621"/>
          <cell r="AI621"/>
          <cell r="AJ621"/>
          <cell r="AK621"/>
          <cell r="AL621"/>
        </row>
        <row r="622">
          <cell r="E622" t="str">
            <v>IE-100sq</v>
          </cell>
          <cell r="F622" t="str">
            <v>ｍ</v>
          </cell>
          <cell r="G622"/>
          <cell r="H622">
            <v>1210</v>
          </cell>
          <cell r="I622"/>
          <cell r="J622">
            <v>1210</v>
          </cell>
          <cell r="K622"/>
          <cell r="L622">
            <v>1210</v>
          </cell>
          <cell r="M622"/>
          <cell r="N622">
            <v>1172</v>
          </cell>
          <cell r="O622"/>
          <cell r="P622">
            <v>1145</v>
          </cell>
          <cell r="Q622"/>
          <cell r="R622">
            <v>1191</v>
          </cell>
          <cell r="S622"/>
          <cell r="T622">
            <v>1154</v>
          </cell>
          <cell r="U622"/>
          <cell r="V622">
            <v>1191</v>
          </cell>
          <cell r="W622"/>
          <cell r="X622">
            <v>1154</v>
          </cell>
          <cell r="Y622"/>
          <cell r="Z622">
            <v>1210</v>
          </cell>
          <cell r="AA622"/>
          <cell r="AB622"/>
          <cell r="AC622"/>
          <cell r="AD622">
            <v>5.6000000000000001E-2</v>
          </cell>
          <cell r="AE622"/>
          <cell r="AF622"/>
          <cell r="AG622"/>
          <cell r="AH622"/>
          <cell r="AI622"/>
          <cell r="AJ622"/>
          <cell r="AK622"/>
          <cell r="AL622"/>
        </row>
        <row r="623">
          <cell r="E623" t="str">
            <v>IE-150sq</v>
          </cell>
          <cell r="F623" t="str">
            <v>ｍ</v>
          </cell>
          <cell r="G623"/>
          <cell r="H623">
            <v>1819</v>
          </cell>
          <cell r="I623"/>
          <cell r="J623">
            <v>1819</v>
          </cell>
          <cell r="K623"/>
          <cell r="L623">
            <v>1819</v>
          </cell>
          <cell r="M623"/>
          <cell r="N623">
            <v>1763</v>
          </cell>
          <cell r="O623"/>
          <cell r="P623">
            <v>1721</v>
          </cell>
          <cell r="Q623"/>
          <cell r="R623">
            <v>1791</v>
          </cell>
          <cell r="S623"/>
          <cell r="T623">
            <v>1735</v>
          </cell>
          <cell r="U623"/>
          <cell r="V623">
            <v>1791</v>
          </cell>
          <cell r="W623"/>
          <cell r="X623">
            <v>1735</v>
          </cell>
          <cell r="Y623"/>
          <cell r="Z623">
            <v>1819</v>
          </cell>
          <cell r="AA623"/>
          <cell r="AB623"/>
          <cell r="AC623"/>
          <cell r="AD623">
            <v>7.2999999999999995E-2</v>
          </cell>
          <cell r="AE623"/>
          <cell r="AF623"/>
          <cell r="AG623"/>
          <cell r="AH623"/>
          <cell r="AI623"/>
          <cell r="AJ623"/>
          <cell r="AK623"/>
          <cell r="AL623"/>
        </row>
        <row r="624">
          <cell r="E624" t="str">
            <v>IE-200sq</v>
          </cell>
          <cell r="F624" t="str">
            <v>ｍ</v>
          </cell>
          <cell r="G624"/>
          <cell r="H624">
            <v>2307</v>
          </cell>
          <cell r="I624"/>
          <cell r="J624">
            <v>2307</v>
          </cell>
          <cell r="K624"/>
          <cell r="L624">
            <v>2307</v>
          </cell>
          <cell r="M624"/>
          <cell r="N624">
            <v>2236</v>
          </cell>
          <cell r="O624"/>
          <cell r="P624">
            <v>2183</v>
          </cell>
          <cell r="Q624"/>
          <cell r="R624">
            <v>2271</v>
          </cell>
          <cell r="S624"/>
          <cell r="T624">
            <v>2200</v>
          </cell>
          <cell r="U624"/>
          <cell r="V624">
            <v>2271</v>
          </cell>
          <cell r="W624"/>
          <cell r="X624">
            <v>2200</v>
          </cell>
          <cell r="Y624"/>
          <cell r="Z624">
            <v>2307</v>
          </cell>
          <cell r="AA624"/>
          <cell r="AB624"/>
          <cell r="AC624"/>
          <cell r="AD624">
            <v>8.3000000000000004E-2</v>
          </cell>
          <cell r="AE624"/>
          <cell r="AF624"/>
          <cell r="AG624"/>
          <cell r="AH624"/>
          <cell r="AI624"/>
          <cell r="AJ624"/>
          <cell r="AK624"/>
          <cell r="AL624"/>
        </row>
        <row r="625">
          <cell r="E625" t="str">
            <v>IE-250sq</v>
          </cell>
          <cell r="F625" t="str">
            <v>ｍ</v>
          </cell>
          <cell r="G625"/>
          <cell r="H625">
            <v>2978</v>
          </cell>
          <cell r="I625"/>
          <cell r="J625">
            <v>2978</v>
          </cell>
          <cell r="K625"/>
          <cell r="L625">
            <v>2978</v>
          </cell>
          <cell r="M625"/>
          <cell r="N625">
            <v>2886</v>
          </cell>
          <cell r="O625"/>
          <cell r="P625">
            <v>2817</v>
          </cell>
          <cell r="Q625"/>
          <cell r="R625">
            <v>2932</v>
          </cell>
          <cell r="S625"/>
          <cell r="T625">
            <v>2840</v>
          </cell>
          <cell r="U625"/>
          <cell r="V625">
            <v>2932</v>
          </cell>
          <cell r="W625"/>
          <cell r="X625">
            <v>2840</v>
          </cell>
          <cell r="Y625"/>
          <cell r="Z625">
            <v>2978</v>
          </cell>
          <cell r="AA625"/>
          <cell r="AB625"/>
          <cell r="AC625"/>
          <cell r="AD625">
            <v>9.8000000000000004E-2</v>
          </cell>
          <cell r="AE625"/>
          <cell r="AF625"/>
          <cell r="AG625"/>
          <cell r="AH625"/>
          <cell r="AI625"/>
          <cell r="AJ625"/>
          <cell r="AK625"/>
          <cell r="AL625"/>
        </row>
        <row r="626">
          <cell r="E626" t="str">
            <v>IE-325sq</v>
          </cell>
          <cell r="F626" t="str">
            <v>ｍ</v>
          </cell>
          <cell r="G626"/>
          <cell r="H626">
            <v>3784</v>
          </cell>
          <cell r="I626"/>
          <cell r="J626">
            <v>3784</v>
          </cell>
          <cell r="K626"/>
          <cell r="L626">
            <v>3784</v>
          </cell>
          <cell r="M626"/>
          <cell r="N626">
            <v>3668</v>
          </cell>
          <cell r="O626"/>
          <cell r="P626">
            <v>3581</v>
          </cell>
          <cell r="Q626"/>
          <cell r="R626">
            <v>3726</v>
          </cell>
          <cell r="S626"/>
          <cell r="T626">
            <v>3610</v>
          </cell>
          <cell r="U626"/>
          <cell r="V626">
            <v>3726</v>
          </cell>
          <cell r="W626"/>
          <cell r="X626">
            <v>3610</v>
          </cell>
          <cell r="Y626"/>
          <cell r="Z626">
            <v>3784</v>
          </cell>
          <cell r="AA626"/>
          <cell r="AB626"/>
          <cell r="AC626"/>
          <cell r="AD626">
            <v>0.11700000000000001</v>
          </cell>
          <cell r="AE626"/>
          <cell r="AF626"/>
          <cell r="AG626"/>
          <cell r="AH626"/>
          <cell r="AI626"/>
          <cell r="AJ626"/>
          <cell r="AK626"/>
          <cell r="AL626"/>
        </row>
        <row r="627">
          <cell r="E627" t="str">
            <v>14_Users</v>
          </cell>
          <cell r="F627" t="str">
            <v>ｍ</v>
          </cell>
          <cell r="G627"/>
          <cell r="H627"/>
          <cell r="I627"/>
          <cell r="J627"/>
          <cell r="K627"/>
          <cell r="L627"/>
          <cell r="M627"/>
          <cell r="N627"/>
          <cell r="O627"/>
          <cell r="P627"/>
          <cell r="Q627"/>
          <cell r="R627"/>
          <cell r="S627"/>
          <cell r="T627"/>
          <cell r="U627"/>
          <cell r="V627"/>
          <cell r="W627"/>
          <cell r="X627"/>
          <cell r="Y627"/>
          <cell r="Z627"/>
          <cell r="AA627"/>
          <cell r="AB627"/>
          <cell r="AC627"/>
          <cell r="AD627"/>
          <cell r="AE627"/>
          <cell r="AF627"/>
          <cell r="AG627"/>
          <cell r="AH627"/>
          <cell r="AI627"/>
          <cell r="AJ627"/>
          <cell r="AK627"/>
          <cell r="AL627"/>
        </row>
        <row r="628">
          <cell r="E628" t="str">
            <v>14_Users</v>
          </cell>
          <cell r="F628" t="str">
            <v>ｍ</v>
          </cell>
          <cell r="G628"/>
          <cell r="H628"/>
          <cell r="I628"/>
          <cell r="J628"/>
          <cell r="K628"/>
          <cell r="L628"/>
          <cell r="M628"/>
          <cell r="N628"/>
          <cell r="O628"/>
          <cell r="P628"/>
          <cell r="Q628"/>
          <cell r="R628"/>
          <cell r="S628"/>
          <cell r="T628"/>
          <cell r="U628"/>
          <cell r="V628"/>
          <cell r="W628"/>
          <cell r="X628"/>
          <cell r="Y628"/>
          <cell r="Z628"/>
          <cell r="AA628"/>
          <cell r="AB628"/>
          <cell r="AC628"/>
          <cell r="AD628"/>
          <cell r="AE628"/>
          <cell r="AF628"/>
          <cell r="AG628"/>
          <cell r="AH628"/>
          <cell r="AI628"/>
          <cell r="AJ628"/>
          <cell r="AK628"/>
          <cell r="AL628"/>
        </row>
        <row r="629">
          <cell r="E629" t="str">
            <v>14_Users</v>
          </cell>
          <cell r="F629" t="str">
            <v>ｍ</v>
          </cell>
          <cell r="G629"/>
          <cell r="H629"/>
          <cell r="I629"/>
          <cell r="J629"/>
          <cell r="K629"/>
          <cell r="L629"/>
          <cell r="M629"/>
          <cell r="N629"/>
          <cell r="O629"/>
          <cell r="P629"/>
          <cell r="Q629"/>
          <cell r="R629"/>
          <cell r="S629"/>
          <cell r="T629"/>
          <cell r="U629"/>
          <cell r="V629"/>
          <cell r="W629"/>
          <cell r="X629"/>
          <cell r="Y629"/>
          <cell r="Z629"/>
          <cell r="AA629"/>
          <cell r="AB629"/>
          <cell r="AC629"/>
          <cell r="AD629"/>
          <cell r="AE629"/>
          <cell r="AF629"/>
          <cell r="AG629"/>
          <cell r="AH629"/>
          <cell r="AI629"/>
          <cell r="AJ629"/>
          <cell r="AK629"/>
          <cell r="AL629"/>
        </row>
        <row r="630">
          <cell r="E630" t="str">
            <v>14_Users</v>
          </cell>
          <cell r="F630" t="str">
            <v>ｍ</v>
          </cell>
          <cell r="G630"/>
          <cell r="H630"/>
          <cell r="I630"/>
          <cell r="J630"/>
          <cell r="K630"/>
          <cell r="L630"/>
          <cell r="M630"/>
          <cell r="N630"/>
          <cell r="O630"/>
          <cell r="P630"/>
          <cell r="Q630"/>
          <cell r="R630"/>
          <cell r="S630"/>
          <cell r="T630"/>
          <cell r="U630"/>
          <cell r="V630"/>
          <cell r="W630"/>
          <cell r="X630"/>
          <cell r="Y630"/>
          <cell r="Z630"/>
          <cell r="AA630"/>
          <cell r="AB630"/>
          <cell r="AC630"/>
          <cell r="AD630"/>
          <cell r="AE630"/>
          <cell r="AF630"/>
          <cell r="AG630"/>
          <cell r="AH630"/>
          <cell r="AI630"/>
          <cell r="AJ630"/>
          <cell r="AK630"/>
          <cell r="AL630"/>
        </row>
        <row r="631">
          <cell r="E631" t="str">
            <v>14_Users</v>
          </cell>
          <cell r="F631" t="str">
            <v>ｍ</v>
          </cell>
          <cell r="G631"/>
          <cell r="H631"/>
          <cell r="I631"/>
          <cell r="J631"/>
          <cell r="K631"/>
          <cell r="L631"/>
          <cell r="M631"/>
          <cell r="N631"/>
          <cell r="O631"/>
          <cell r="P631"/>
          <cell r="Q631"/>
          <cell r="R631"/>
          <cell r="S631"/>
          <cell r="T631"/>
          <cell r="U631"/>
          <cell r="V631"/>
          <cell r="W631"/>
          <cell r="X631"/>
          <cell r="Y631"/>
          <cell r="Z631"/>
          <cell r="AA631"/>
          <cell r="AB631"/>
          <cell r="AC631"/>
          <cell r="AD631"/>
          <cell r="AE631"/>
          <cell r="AF631"/>
          <cell r="AG631"/>
          <cell r="AH631"/>
          <cell r="AI631"/>
          <cell r="AJ631"/>
          <cell r="AK631"/>
          <cell r="AL631"/>
        </row>
        <row r="632">
          <cell r="E632" t="str">
            <v>14_Users</v>
          </cell>
          <cell r="F632" t="str">
            <v>ｍ</v>
          </cell>
          <cell r="G632"/>
          <cell r="H632"/>
          <cell r="I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cell r="AK632"/>
          <cell r="AL632"/>
        </row>
        <row r="633">
          <cell r="E633" t="str">
            <v>14_Users</v>
          </cell>
          <cell r="F633" t="str">
            <v>ｍ</v>
          </cell>
          <cell r="G633"/>
          <cell r="H633"/>
          <cell r="I633"/>
          <cell r="J633"/>
          <cell r="K633"/>
          <cell r="L633"/>
          <cell r="M633"/>
          <cell r="N633"/>
          <cell r="O633"/>
          <cell r="P633"/>
          <cell r="Q633"/>
          <cell r="R633"/>
          <cell r="S633"/>
          <cell r="T633"/>
          <cell r="U633"/>
          <cell r="V633"/>
          <cell r="W633"/>
          <cell r="X633"/>
          <cell r="Y633"/>
          <cell r="Z633"/>
          <cell r="AA633"/>
          <cell r="AB633"/>
          <cell r="AC633"/>
          <cell r="AD633"/>
          <cell r="AE633"/>
          <cell r="AF633"/>
          <cell r="AG633"/>
          <cell r="AH633"/>
          <cell r="AI633"/>
          <cell r="AJ633"/>
          <cell r="AK633"/>
          <cell r="AL633"/>
        </row>
        <row r="634">
          <cell r="E634" t="str">
            <v>14_Users</v>
          </cell>
          <cell r="F634" t="str">
            <v>ｍ</v>
          </cell>
          <cell r="G634"/>
          <cell r="H634"/>
          <cell r="I634"/>
          <cell r="J634"/>
          <cell r="K634"/>
          <cell r="L634"/>
          <cell r="M634"/>
          <cell r="N634"/>
          <cell r="O634"/>
          <cell r="P634"/>
          <cell r="Q634"/>
          <cell r="R634"/>
          <cell r="S634"/>
          <cell r="T634"/>
          <cell r="U634"/>
          <cell r="V634"/>
          <cell r="W634"/>
          <cell r="X634"/>
          <cell r="Y634"/>
          <cell r="Z634"/>
          <cell r="AA634"/>
          <cell r="AB634"/>
          <cell r="AC634"/>
          <cell r="AD634"/>
          <cell r="AE634"/>
          <cell r="AF634"/>
          <cell r="AG634"/>
          <cell r="AH634"/>
          <cell r="AI634"/>
          <cell r="AJ634"/>
          <cell r="AK634"/>
          <cell r="AL634"/>
        </row>
        <row r="635">
          <cell r="E635" t="str">
            <v>HIV-1.2mm</v>
          </cell>
          <cell r="F635" t="str">
            <v>ｍ</v>
          </cell>
          <cell r="G635"/>
          <cell r="H635">
            <v>21</v>
          </cell>
          <cell r="I635"/>
          <cell r="J635">
            <v>21</v>
          </cell>
          <cell r="K635"/>
          <cell r="L635">
            <v>21</v>
          </cell>
          <cell r="M635"/>
          <cell r="N635">
            <v>20.3</v>
          </cell>
          <cell r="O635"/>
          <cell r="P635">
            <v>19.899999999999999</v>
          </cell>
          <cell r="Q635"/>
          <cell r="R635">
            <v>20.7</v>
          </cell>
          <cell r="S635"/>
          <cell r="T635">
            <v>20</v>
          </cell>
          <cell r="U635"/>
          <cell r="V635">
            <v>20.7</v>
          </cell>
          <cell r="W635"/>
          <cell r="X635">
            <v>20</v>
          </cell>
          <cell r="Y635"/>
          <cell r="Z635">
            <v>21</v>
          </cell>
          <cell r="AA635"/>
          <cell r="AB635"/>
          <cell r="AC635"/>
          <cell r="AD635">
            <v>0.01</v>
          </cell>
          <cell r="AE635"/>
          <cell r="AF635"/>
          <cell r="AG635"/>
          <cell r="AH635"/>
          <cell r="AI635"/>
          <cell r="AJ635"/>
          <cell r="AK635"/>
          <cell r="AL635"/>
        </row>
        <row r="636">
          <cell r="E636" t="str">
            <v>HIV-1.6mm</v>
          </cell>
          <cell r="F636" t="str">
            <v>ｍ</v>
          </cell>
          <cell r="G636"/>
          <cell r="H636">
            <v>32.799999999999997</v>
          </cell>
          <cell r="I636"/>
          <cell r="J636">
            <v>32.799999999999997</v>
          </cell>
          <cell r="K636"/>
          <cell r="L636">
            <v>32.799999999999997</v>
          </cell>
          <cell r="M636"/>
          <cell r="N636">
            <v>31.8</v>
          </cell>
          <cell r="O636"/>
          <cell r="P636">
            <v>31</v>
          </cell>
          <cell r="Q636"/>
          <cell r="R636">
            <v>32.299999999999997</v>
          </cell>
          <cell r="S636"/>
          <cell r="T636">
            <v>31.2</v>
          </cell>
          <cell r="U636"/>
          <cell r="V636">
            <v>32.299999999999997</v>
          </cell>
          <cell r="W636"/>
          <cell r="X636">
            <v>31.2</v>
          </cell>
          <cell r="Y636"/>
          <cell r="Z636">
            <v>32.799999999999997</v>
          </cell>
          <cell r="AA636"/>
          <cell r="AB636"/>
          <cell r="AC636"/>
          <cell r="AD636">
            <v>0.01</v>
          </cell>
          <cell r="AE636"/>
          <cell r="AF636"/>
          <cell r="AG636"/>
          <cell r="AH636"/>
          <cell r="AI636"/>
          <cell r="AJ636"/>
          <cell r="AK636"/>
          <cell r="AL636"/>
        </row>
        <row r="637">
          <cell r="E637" t="str">
            <v>HIV-2.0mm</v>
          </cell>
          <cell r="F637" t="str">
            <v>ｍ</v>
          </cell>
          <cell r="G637"/>
          <cell r="H637">
            <v>46.1</v>
          </cell>
          <cell r="I637"/>
          <cell r="J637">
            <v>46.1</v>
          </cell>
          <cell r="K637"/>
          <cell r="L637">
            <v>46.1</v>
          </cell>
          <cell r="M637"/>
          <cell r="N637">
            <v>44.7</v>
          </cell>
          <cell r="O637"/>
          <cell r="P637">
            <v>43.6</v>
          </cell>
          <cell r="Q637"/>
          <cell r="R637">
            <v>45.4</v>
          </cell>
          <cell r="S637"/>
          <cell r="T637">
            <v>44</v>
          </cell>
          <cell r="U637"/>
          <cell r="V637">
            <v>45.4</v>
          </cell>
          <cell r="W637"/>
          <cell r="X637">
            <v>44</v>
          </cell>
          <cell r="Y637"/>
          <cell r="Z637">
            <v>46.1</v>
          </cell>
          <cell r="AA637"/>
          <cell r="AB637"/>
          <cell r="AC637"/>
          <cell r="AD637">
            <v>1.0999999999999999E-2</v>
          </cell>
          <cell r="AE637"/>
          <cell r="AF637"/>
          <cell r="AG637"/>
          <cell r="AH637"/>
          <cell r="AI637"/>
          <cell r="AJ637"/>
          <cell r="AK637"/>
          <cell r="AL637"/>
        </row>
        <row r="638">
          <cell r="E638" t="str">
            <v>HIV-2.6mm</v>
          </cell>
          <cell r="F638" t="str">
            <v>ｍ</v>
          </cell>
          <cell r="G638"/>
          <cell r="H638">
            <v>72.2</v>
          </cell>
          <cell r="I638"/>
          <cell r="J638">
            <v>72.2</v>
          </cell>
          <cell r="K638"/>
          <cell r="L638">
            <v>72.2</v>
          </cell>
          <cell r="M638"/>
          <cell r="N638">
            <v>69.900000000000006</v>
          </cell>
          <cell r="O638"/>
          <cell r="P638">
            <v>68.3</v>
          </cell>
          <cell r="Q638"/>
          <cell r="R638">
            <v>71</v>
          </cell>
          <cell r="S638"/>
          <cell r="T638">
            <v>68.8</v>
          </cell>
          <cell r="U638"/>
          <cell r="V638">
            <v>71</v>
          </cell>
          <cell r="W638"/>
          <cell r="X638">
            <v>68.8</v>
          </cell>
          <cell r="Y638"/>
          <cell r="Z638">
            <v>72.2</v>
          </cell>
          <cell r="AA638"/>
          <cell r="AB638"/>
          <cell r="AC638"/>
          <cell r="AD638">
            <v>1.4E-2</v>
          </cell>
          <cell r="AE638"/>
          <cell r="AF638"/>
          <cell r="AG638"/>
          <cell r="AH638"/>
          <cell r="AI638"/>
          <cell r="AJ638"/>
          <cell r="AK638"/>
          <cell r="AL638"/>
        </row>
        <row r="639">
          <cell r="E639" t="str">
            <v>HIV-0.9sq</v>
          </cell>
          <cell r="F639" t="str">
            <v>ｍ</v>
          </cell>
          <cell r="G639"/>
          <cell r="H639">
            <v>24.6</v>
          </cell>
          <cell r="I639"/>
          <cell r="J639">
            <v>24.6</v>
          </cell>
          <cell r="K639"/>
          <cell r="L639">
            <v>24.6</v>
          </cell>
          <cell r="M639"/>
          <cell r="N639">
            <v>23.9</v>
          </cell>
          <cell r="O639"/>
          <cell r="P639">
            <v>23.3</v>
          </cell>
          <cell r="Q639"/>
          <cell r="R639">
            <v>24.3</v>
          </cell>
          <cell r="S639"/>
          <cell r="T639">
            <v>23.5</v>
          </cell>
          <cell r="U639"/>
          <cell r="V639">
            <v>24.3</v>
          </cell>
          <cell r="W639"/>
          <cell r="X639">
            <v>23.5</v>
          </cell>
          <cell r="Y639"/>
          <cell r="Z639">
            <v>24.6</v>
          </cell>
          <cell r="AA639"/>
          <cell r="AB639"/>
          <cell r="AC639"/>
          <cell r="AD639">
            <v>8.9999999999999993E-3</v>
          </cell>
          <cell r="AE639"/>
          <cell r="AF639"/>
          <cell r="AG639"/>
          <cell r="AH639"/>
          <cell r="AI639"/>
          <cell r="AJ639"/>
          <cell r="AK639"/>
          <cell r="AL639"/>
        </row>
        <row r="640">
          <cell r="E640" t="str">
            <v>HIV-1.25sq</v>
          </cell>
          <cell r="F640" t="str">
            <v>ｍ</v>
          </cell>
          <cell r="G640"/>
          <cell r="H640">
            <v>24.7</v>
          </cell>
          <cell r="I640"/>
          <cell r="J640">
            <v>24.7</v>
          </cell>
          <cell r="K640"/>
          <cell r="L640">
            <v>24.7</v>
          </cell>
          <cell r="M640"/>
          <cell r="N640">
            <v>23.9</v>
          </cell>
          <cell r="O640"/>
          <cell r="P640">
            <v>23.4</v>
          </cell>
          <cell r="Q640"/>
          <cell r="R640">
            <v>24.3</v>
          </cell>
          <cell r="S640"/>
          <cell r="T640">
            <v>23.6</v>
          </cell>
          <cell r="U640"/>
          <cell r="V640">
            <v>24.3</v>
          </cell>
          <cell r="W640"/>
          <cell r="X640">
            <v>23.6</v>
          </cell>
          <cell r="Y640"/>
          <cell r="Z640">
            <v>24.7</v>
          </cell>
          <cell r="AA640"/>
          <cell r="AB640"/>
          <cell r="AC640"/>
          <cell r="AD640">
            <v>8.9999999999999993E-3</v>
          </cell>
          <cell r="AE640"/>
          <cell r="AF640"/>
          <cell r="AG640"/>
          <cell r="AH640"/>
          <cell r="AI640"/>
          <cell r="AJ640"/>
          <cell r="AK640"/>
          <cell r="AL640"/>
        </row>
        <row r="641">
          <cell r="E641" t="str">
            <v>HIV-2.0sq</v>
          </cell>
          <cell r="F641" t="str">
            <v>ｍ</v>
          </cell>
          <cell r="G641"/>
          <cell r="H641">
            <v>36.1</v>
          </cell>
          <cell r="I641"/>
          <cell r="J641">
            <v>36.1</v>
          </cell>
          <cell r="K641"/>
          <cell r="L641">
            <v>36.1</v>
          </cell>
          <cell r="M641"/>
          <cell r="N641">
            <v>35</v>
          </cell>
          <cell r="O641"/>
          <cell r="P641">
            <v>34.1</v>
          </cell>
          <cell r="Q641"/>
          <cell r="R641">
            <v>35.5</v>
          </cell>
          <cell r="S641"/>
          <cell r="T641">
            <v>34.4</v>
          </cell>
          <cell r="U641"/>
          <cell r="V641">
            <v>35.5</v>
          </cell>
          <cell r="W641"/>
          <cell r="X641">
            <v>34.4</v>
          </cell>
          <cell r="Y641"/>
          <cell r="Z641">
            <v>36.1</v>
          </cell>
          <cell r="AA641"/>
          <cell r="AB641"/>
          <cell r="AC641"/>
          <cell r="AD641">
            <v>0.01</v>
          </cell>
          <cell r="AE641"/>
          <cell r="AF641"/>
          <cell r="AG641"/>
          <cell r="AH641"/>
          <cell r="AI641"/>
          <cell r="AJ641"/>
          <cell r="AK641"/>
          <cell r="AL641"/>
        </row>
        <row r="642">
          <cell r="E642" t="str">
            <v>HIV-3.5sq</v>
          </cell>
          <cell r="F642" t="str">
            <v>ｍ</v>
          </cell>
          <cell r="G642"/>
          <cell r="H642">
            <v>53.2</v>
          </cell>
          <cell r="I642"/>
          <cell r="J642">
            <v>53.2</v>
          </cell>
          <cell r="K642"/>
          <cell r="L642">
            <v>53.2</v>
          </cell>
          <cell r="M642"/>
          <cell r="N642">
            <v>51.5</v>
          </cell>
          <cell r="O642"/>
          <cell r="P642">
            <v>50.3</v>
          </cell>
          <cell r="Q642"/>
          <cell r="R642">
            <v>52.4</v>
          </cell>
          <cell r="S642"/>
          <cell r="T642">
            <v>50.7</v>
          </cell>
          <cell r="U642"/>
          <cell r="V642">
            <v>52.4</v>
          </cell>
          <cell r="W642"/>
          <cell r="X642">
            <v>50.7</v>
          </cell>
          <cell r="Y642"/>
          <cell r="Z642">
            <v>53.2</v>
          </cell>
          <cell r="AA642"/>
          <cell r="AB642"/>
          <cell r="AC642"/>
          <cell r="AD642">
            <v>1.0999999999999999E-2</v>
          </cell>
          <cell r="AE642"/>
          <cell r="AF642"/>
          <cell r="AG642"/>
          <cell r="AH642"/>
          <cell r="AI642"/>
          <cell r="AJ642"/>
          <cell r="AK642"/>
          <cell r="AL642"/>
        </row>
        <row r="643">
          <cell r="E643" t="str">
            <v>HIV-5.5sq</v>
          </cell>
          <cell r="F643" t="str">
            <v>ｍ</v>
          </cell>
          <cell r="G643"/>
          <cell r="H643">
            <v>77.400000000000006</v>
          </cell>
          <cell r="I643"/>
          <cell r="J643">
            <v>77.400000000000006</v>
          </cell>
          <cell r="K643"/>
          <cell r="L643">
            <v>77.400000000000006</v>
          </cell>
          <cell r="M643"/>
          <cell r="N643">
            <v>75</v>
          </cell>
          <cell r="O643"/>
          <cell r="P643">
            <v>73.2</v>
          </cell>
          <cell r="Q643"/>
          <cell r="R643">
            <v>76.2</v>
          </cell>
          <cell r="S643"/>
          <cell r="T643">
            <v>73.8</v>
          </cell>
          <cell r="U643"/>
          <cell r="V643">
            <v>76.2</v>
          </cell>
          <cell r="W643"/>
          <cell r="X643">
            <v>73.8</v>
          </cell>
          <cell r="Y643"/>
          <cell r="Z643">
            <v>77.400000000000006</v>
          </cell>
          <cell r="AA643"/>
          <cell r="AB643"/>
          <cell r="AC643"/>
          <cell r="AD643">
            <v>1.4E-2</v>
          </cell>
          <cell r="AE643"/>
          <cell r="AF643"/>
          <cell r="AG643"/>
          <cell r="AH643"/>
          <cell r="AI643"/>
          <cell r="AJ643"/>
          <cell r="AK643"/>
          <cell r="AL643"/>
        </row>
        <row r="644">
          <cell r="E644" t="str">
            <v>HIV-8sq</v>
          </cell>
          <cell r="F644" t="str">
            <v>ｍ</v>
          </cell>
          <cell r="G644"/>
          <cell r="H644">
            <v>108</v>
          </cell>
          <cell r="I644"/>
          <cell r="J644">
            <v>108</v>
          </cell>
          <cell r="K644"/>
          <cell r="L644">
            <v>108</v>
          </cell>
          <cell r="M644"/>
          <cell r="N644">
            <v>105</v>
          </cell>
          <cell r="O644"/>
          <cell r="P644">
            <v>102</v>
          </cell>
          <cell r="Q644"/>
          <cell r="R644">
            <v>106</v>
          </cell>
          <cell r="S644"/>
          <cell r="T644">
            <v>103</v>
          </cell>
          <cell r="U644"/>
          <cell r="V644">
            <v>106</v>
          </cell>
          <cell r="W644"/>
          <cell r="X644">
            <v>103</v>
          </cell>
          <cell r="Y644"/>
          <cell r="Z644">
            <v>108</v>
          </cell>
          <cell r="AA644"/>
          <cell r="AB644"/>
          <cell r="AC644"/>
          <cell r="AD644">
            <v>1.6E-2</v>
          </cell>
          <cell r="AE644"/>
          <cell r="AF644"/>
          <cell r="AG644"/>
          <cell r="AH644"/>
          <cell r="AI644"/>
          <cell r="AJ644"/>
          <cell r="AK644"/>
          <cell r="AL644"/>
        </row>
        <row r="645">
          <cell r="E645" t="str">
            <v>HIV-14sq</v>
          </cell>
          <cell r="F645" t="str">
            <v>ｍ</v>
          </cell>
          <cell r="G645"/>
          <cell r="H645">
            <v>184</v>
          </cell>
          <cell r="I645"/>
          <cell r="J645">
            <v>184</v>
          </cell>
          <cell r="K645"/>
          <cell r="L645">
            <v>184</v>
          </cell>
          <cell r="M645"/>
          <cell r="N645">
            <v>178</v>
          </cell>
          <cell r="O645"/>
          <cell r="P645">
            <v>174</v>
          </cell>
          <cell r="Q645"/>
          <cell r="R645">
            <v>181</v>
          </cell>
          <cell r="S645"/>
          <cell r="T645">
            <v>175</v>
          </cell>
          <cell r="U645"/>
          <cell r="V645">
            <v>181</v>
          </cell>
          <cell r="W645"/>
          <cell r="X645">
            <v>175</v>
          </cell>
          <cell r="Y645"/>
          <cell r="Z645">
            <v>184</v>
          </cell>
          <cell r="AA645"/>
          <cell r="AB645"/>
          <cell r="AC645"/>
          <cell r="AD645">
            <v>0.02</v>
          </cell>
          <cell r="AE645"/>
          <cell r="AF645"/>
          <cell r="AG645"/>
          <cell r="AH645"/>
          <cell r="AI645"/>
          <cell r="AJ645"/>
          <cell r="AK645"/>
          <cell r="AL645"/>
        </row>
        <row r="646">
          <cell r="E646" t="str">
            <v>HIV-22sq</v>
          </cell>
          <cell r="F646" t="str">
            <v>ｍ</v>
          </cell>
          <cell r="G646"/>
          <cell r="H646">
            <v>281</v>
          </cell>
          <cell r="I646"/>
          <cell r="J646">
            <v>281</v>
          </cell>
          <cell r="K646"/>
          <cell r="L646">
            <v>281</v>
          </cell>
          <cell r="M646"/>
          <cell r="N646">
            <v>272</v>
          </cell>
          <cell r="O646"/>
          <cell r="P646">
            <v>266</v>
          </cell>
          <cell r="Q646"/>
          <cell r="R646">
            <v>276</v>
          </cell>
          <cell r="S646"/>
          <cell r="T646">
            <v>268</v>
          </cell>
          <cell r="U646"/>
          <cell r="V646">
            <v>276</v>
          </cell>
          <cell r="W646"/>
          <cell r="X646">
            <v>268</v>
          </cell>
          <cell r="Y646"/>
          <cell r="Z646">
            <v>281</v>
          </cell>
          <cell r="AA646"/>
          <cell r="AB646"/>
          <cell r="AC646"/>
          <cell r="AD646">
            <v>2.4E-2</v>
          </cell>
          <cell r="AE646"/>
          <cell r="AF646"/>
          <cell r="AG646"/>
          <cell r="AH646"/>
          <cell r="AI646"/>
          <cell r="AJ646"/>
          <cell r="AK646"/>
          <cell r="AL646"/>
        </row>
        <row r="647">
          <cell r="E647" t="str">
            <v>HIV-38sq</v>
          </cell>
          <cell r="F647" t="str">
            <v>ｍ</v>
          </cell>
          <cell r="G647"/>
          <cell r="H647">
            <v>458</v>
          </cell>
          <cell r="I647"/>
          <cell r="J647">
            <v>458</v>
          </cell>
          <cell r="K647"/>
          <cell r="L647">
            <v>458</v>
          </cell>
          <cell r="M647"/>
          <cell r="N647">
            <v>444</v>
          </cell>
          <cell r="O647"/>
          <cell r="P647">
            <v>433</v>
          </cell>
          <cell r="Q647"/>
          <cell r="R647">
            <v>451</v>
          </cell>
          <cell r="S647"/>
          <cell r="T647">
            <v>436</v>
          </cell>
          <cell r="U647"/>
          <cell r="V647">
            <v>451</v>
          </cell>
          <cell r="W647"/>
          <cell r="X647">
            <v>436</v>
          </cell>
          <cell r="Y647"/>
          <cell r="Z647">
            <v>458</v>
          </cell>
          <cell r="AA647"/>
          <cell r="AB647"/>
          <cell r="AC647"/>
          <cell r="AD647">
            <v>3.2000000000000001E-2</v>
          </cell>
          <cell r="AE647"/>
          <cell r="AF647"/>
          <cell r="AG647"/>
          <cell r="AH647"/>
          <cell r="AI647"/>
          <cell r="AJ647"/>
          <cell r="AK647"/>
          <cell r="AL647"/>
        </row>
        <row r="648">
          <cell r="E648" t="str">
            <v>HIV-60sq</v>
          </cell>
          <cell r="F648" t="str">
            <v>ｍ</v>
          </cell>
          <cell r="G648"/>
          <cell r="H648">
            <v>711</v>
          </cell>
          <cell r="I648"/>
          <cell r="J648">
            <v>711</v>
          </cell>
          <cell r="K648"/>
          <cell r="L648">
            <v>711</v>
          </cell>
          <cell r="M648"/>
          <cell r="N648">
            <v>689</v>
          </cell>
          <cell r="O648"/>
          <cell r="P648">
            <v>673</v>
          </cell>
          <cell r="Q648"/>
          <cell r="R648">
            <v>700</v>
          </cell>
          <cell r="S648"/>
          <cell r="T648">
            <v>678</v>
          </cell>
          <cell r="U648"/>
          <cell r="V648">
            <v>700</v>
          </cell>
          <cell r="W648"/>
          <cell r="X648">
            <v>678</v>
          </cell>
          <cell r="Y648"/>
          <cell r="Z648">
            <v>711</v>
          </cell>
          <cell r="AA648"/>
          <cell r="AB648"/>
          <cell r="AC648"/>
          <cell r="AD648">
            <v>4.2000000000000003E-2</v>
          </cell>
          <cell r="AE648"/>
          <cell r="AF648"/>
          <cell r="AG648"/>
          <cell r="AH648"/>
          <cell r="AI648"/>
          <cell r="AJ648"/>
          <cell r="AK648"/>
          <cell r="AL648"/>
        </row>
        <row r="649">
          <cell r="E649" t="str">
            <v>HIV-100sq</v>
          </cell>
          <cell r="F649" t="str">
            <v>ｍ</v>
          </cell>
          <cell r="G649"/>
          <cell r="H649">
            <v>1201</v>
          </cell>
          <cell r="I649"/>
          <cell r="J649">
            <v>1201</v>
          </cell>
          <cell r="K649"/>
          <cell r="L649">
            <v>1201</v>
          </cell>
          <cell r="M649"/>
          <cell r="N649">
            <v>1164</v>
          </cell>
          <cell r="O649"/>
          <cell r="P649">
            <v>1137</v>
          </cell>
          <cell r="Q649"/>
          <cell r="R649">
            <v>1183</v>
          </cell>
          <cell r="S649"/>
          <cell r="T649">
            <v>1146</v>
          </cell>
          <cell r="U649"/>
          <cell r="V649">
            <v>1183</v>
          </cell>
          <cell r="W649"/>
          <cell r="X649">
            <v>1146</v>
          </cell>
          <cell r="Y649"/>
          <cell r="Z649">
            <v>1201</v>
          </cell>
          <cell r="AA649"/>
          <cell r="AB649"/>
          <cell r="AC649"/>
          <cell r="AD649">
            <v>5.6000000000000001E-2</v>
          </cell>
          <cell r="AE649"/>
          <cell r="AF649"/>
          <cell r="AG649"/>
          <cell r="AH649"/>
          <cell r="AI649"/>
          <cell r="AJ649"/>
          <cell r="AK649"/>
          <cell r="AL649"/>
        </row>
        <row r="650">
          <cell r="E650" t="str">
            <v>HIV-150sq</v>
          </cell>
          <cell r="F650" t="str">
            <v>ｍ</v>
          </cell>
          <cell r="G650"/>
          <cell r="H650">
            <v>1766</v>
          </cell>
          <cell r="I650"/>
          <cell r="J650">
            <v>1766</v>
          </cell>
          <cell r="K650"/>
          <cell r="L650">
            <v>1766</v>
          </cell>
          <cell r="M650"/>
          <cell r="N650">
            <v>1712</v>
          </cell>
          <cell r="O650"/>
          <cell r="P650">
            <v>1671</v>
          </cell>
          <cell r="Q650"/>
          <cell r="R650">
            <v>1739</v>
          </cell>
          <cell r="S650"/>
          <cell r="T650">
            <v>1685</v>
          </cell>
          <cell r="U650"/>
          <cell r="V650">
            <v>1739</v>
          </cell>
          <cell r="W650"/>
          <cell r="X650">
            <v>1685</v>
          </cell>
          <cell r="Y650"/>
          <cell r="Z650">
            <v>1766</v>
          </cell>
          <cell r="AA650"/>
          <cell r="AB650"/>
          <cell r="AC650"/>
          <cell r="AD650">
            <v>7.2999999999999995E-2</v>
          </cell>
          <cell r="AE650"/>
          <cell r="AF650"/>
          <cell r="AG650"/>
          <cell r="AH650"/>
          <cell r="AI650"/>
          <cell r="AJ650"/>
          <cell r="AK650"/>
          <cell r="AL650"/>
        </row>
        <row r="651">
          <cell r="E651" t="str">
            <v>HIV-200sq</v>
          </cell>
          <cell r="F651" t="str">
            <v>ｍ</v>
          </cell>
          <cell r="G651"/>
          <cell r="H651">
            <v>2284</v>
          </cell>
          <cell r="I651"/>
          <cell r="J651">
            <v>2284</v>
          </cell>
          <cell r="K651"/>
          <cell r="L651">
            <v>2284</v>
          </cell>
          <cell r="M651"/>
          <cell r="N651">
            <v>2214</v>
          </cell>
          <cell r="O651"/>
          <cell r="P651">
            <v>2161</v>
          </cell>
          <cell r="Q651"/>
          <cell r="R651">
            <v>2249</v>
          </cell>
          <cell r="S651"/>
          <cell r="T651">
            <v>2179</v>
          </cell>
          <cell r="U651"/>
          <cell r="V651">
            <v>2249</v>
          </cell>
          <cell r="W651"/>
          <cell r="X651">
            <v>2179</v>
          </cell>
          <cell r="Y651"/>
          <cell r="Z651">
            <v>2284</v>
          </cell>
          <cell r="AA651"/>
          <cell r="AB651"/>
          <cell r="AC651"/>
          <cell r="AD651">
            <v>8.3000000000000004E-2</v>
          </cell>
          <cell r="AE651"/>
          <cell r="AF651"/>
          <cell r="AG651"/>
          <cell r="AH651"/>
          <cell r="AI651"/>
          <cell r="AJ651"/>
          <cell r="AK651"/>
          <cell r="AL651"/>
        </row>
        <row r="652">
          <cell r="E652" t="str">
            <v>HIV-250sq</v>
          </cell>
          <cell r="F652" t="str">
            <v>ｍ</v>
          </cell>
          <cell r="G652"/>
          <cell r="H652">
            <v>2915</v>
          </cell>
          <cell r="I652"/>
          <cell r="J652">
            <v>2915</v>
          </cell>
          <cell r="K652"/>
          <cell r="L652">
            <v>2915</v>
          </cell>
          <cell r="M652"/>
          <cell r="N652">
            <v>2826</v>
          </cell>
          <cell r="O652"/>
          <cell r="P652">
            <v>2758</v>
          </cell>
          <cell r="Q652"/>
          <cell r="R652">
            <v>2870</v>
          </cell>
          <cell r="S652"/>
          <cell r="T652">
            <v>2781</v>
          </cell>
          <cell r="U652"/>
          <cell r="V652">
            <v>2870</v>
          </cell>
          <cell r="W652"/>
          <cell r="X652">
            <v>2781</v>
          </cell>
          <cell r="Y652"/>
          <cell r="Z652">
            <v>2915</v>
          </cell>
          <cell r="AA652"/>
          <cell r="AB652"/>
          <cell r="AC652"/>
          <cell r="AD652">
            <v>9.8000000000000004E-2</v>
          </cell>
          <cell r="AE652"/>
          <cell r="AF652"/>
          <cell r="AG652"/>
          <cell r="AH652"/>
          <cell r="AI652"/>
          <cell r="AJ652"/>
          <cell r="AK652"/>
          <cell r="AL652"/>
        </row>
        <row r="653">
          <cell r="E653" t="str">
            <v>HIV-325sq</v>
          </cell>
          <cell r="F653" t="str">
            <v>ｍ</v>
          </cell>
          <cell r="G653"/>
          <cell r="H653">
            <v>3704</v>
          </cell>
          <cell r="I653"/>
          <cell r="J653">
            <v>3704</v>
          </cell>
          <cell r="K653"/>
          <cell r="L653">
            <v>3704</v>
          </cell>
          <cell r="M653"/>
          <cell r="N653">
            <v>3590</v>
          </cell>
          <cell r="O653"/>
          <cell r="P653">
            <v>3505</v>
          </cell>
          <cell r="Q653"/>
          <cell r="R653">
            <v>3647</v>
          </cell>
          <cell r="S653"/>
          <cell r="T653">
            <v>3533</v>
          </cell>
          <cell r="U653"/>
          <cell r="V653">
            <v>3647</v>
          </cell>
          <cell r="W653"/>
          <cell r="X653">
            <v>3533</v>
          </cell>
          <cell r="Y653"/>
          <cell r="Z653">
            <v>3704</v>
          </cell>
          <cell r="AA653"/>
          <cell r="AB653"/>
          <cell r="AC653"/>
          <cell r="AD653">
            <v>0.11700000000000001</v>
          </cell>
          <cell r="AE653"/>
          <cell r="AF653"/>
          <cell r="AG653"/>
          <cell r="AH653"/>
          <cell r="AI653"/>
          <cell r="AJ653"/>
          <cell r="AK653"/>
          <cell r="AL653"/>
        </row>
        <row r="654">
          <cell r="E654" t="str">
            <v>VV-F 1.6mm-2C</v>
          </cell>
          <cell r="F654" t="str">
            <v>ｍ</v>
          </cell>
          <cell r="G654"/>
          <cell r="H654">
            <v>40.5</v>
          </cell>
          <cell r="I654"/>
          <cell r="J654">
            <v>40</v>
          </cell>
          <cell r="K654"/>
          <cell r="L654">
            <v>40</v>
          </cell>
          <cell r="M654"/>
          <cell r="N654">
            <v>39.5</v>
          </cell>
          <cell r="O654"/>
          <cell r="P654">
            <v>39</v>
          </cell>
          <cell r="Q654"/>
          <cell r="R654">
            <v>40</v>
          </cell>
          <cell r="S654"/>
          <cell r="T654">
            <v>41</v>
          </cell>
          <cell r="U654"/>
          <cell r="V654">
            <v>41.5</v>
          </cell>
          <cell r="W654"/>
          <cell r="X654">
            <v>40</v>
          </cell>
          <cell r="Y654"/>
          <cell r="Z654">
            <v>42</v>
          </cell>
          <cell r="AA654"/>
          <cell r="AB654"/>
          <cell r="AC654"/>
          <cell r="AD654">
            <v>1.2999999999999999E-2</v>
          </cell>
          <cell r="AE654"/>
          <cell r="AF654"/>
          <cell r="AG654"/>
          <cell r="AH654"/>
          <cell r="AI654"/>
          <cell r="AJ654"/>
          <cell r="AK654"/>
          <cell r="AL654"/>
        </row>
        <row r="655">
          <cell r="E655" t="str">
            <v>VV-F 2.0mm-2C</v>
          </cell>
          <cell r="F655" t="str">
            <v>ｍ</v>
          </cell>
          <cell r="G655"/>
          <cell r="H655">
            <v>73</v>
          </cell>
          <cell r="I655"/>
          <cell r="J655">
            <v>72</v>
          </cell>
          <cell r="K655"/>
          <cell r="L655">
            <v>72</v>
          </cell>
          <cell r="M655"/>
          <cell r="N655">
            <v>71</v>
          </cell>
          <cell r="O655"/>
          <cell r="P655">
            <v>70</v>
          </cell>
          <cell r="Q655"/>
          <cell r="R655">
            <v>72</v>
          </cell>
          <cell r="S655"/>
          <cell r="T655">
            <v>74</v>
          </cell>
          <cell r="U655"/>
          <cell r="V655">
            <v>74.5</v>
          </cell>
          <cell r="W655"/>
          <cell r="X655">
            <v>72</v>
          </cell>
          <cell r="Y655"/>
          <cell r="Z655">
            <v>75.5</v>
          </cell>
          <cell r="AA655"/>
          <cell r="AB655"/>
          <cell r="AC655"/>
          <cell r="AD655">
            <v>1.7000000000000001E-2</v>
          </cell>
          <cell r="AE655"/>
          <cell r="AF655"/>
          <cell r="AG655"/>
          <cell r="AH655"/>
          <cell r="AI655"/>
          <cell r="AJ655"/>
          <cell r="AK655"/>
          <cell r="AL655"/>
        </row>
        <row r="656">
          <cell r="E656" t="str">
            <v>VV-F 2.6mm-2C</v>
          </cell>
          <cell r="F656" t="str">
            <v>ｍ</v>
          </cell>
          <cell r="G656"/>
          <cell r="H656">
            <v>134</v>
          </cell>
          <cell r="I656"/>
          <cell r="J656">
            <v>132</v>
          </cell>
          <cell r="K656"/>
          <cell r="L656">
            <v>132</v>
          </cell>
          <cell r="M656"/>
          <cell r="N656">
            <v>131</v>
          </cell>
          <cell r="O656"/>
          <cell r="P656">
            <v>129</v>
          </cell>
          <cell r="Q656"/>
          <cell r="R656">
            <v>132</v>
          </cell>
          <cell r="S656"/>
          <cell r="T656">
            <v>136</v>
          </cell>
          <cell r="U656"/>
          <cell r="V656">
            <v>137</v>
          </cell>
          <cell r="W656"/>
          <cell r="X656">
            <v>132</v>
          </cell>
          <cell r="Y656"/>
          <cell r="Z656">
            <v>139</v>
          </cell>
          <cell r="AA656"/>
          <cell r="AB656"/>
          <cell r="AC656"/>
          <cell r="AD656">
            <v>2.1000000000000001E-2</v>
          </cell>
          <cell r="AE656"/>
          <cell r="AF656"/>
          <cell r="AG656"/>
          <cell r="AH656"/>
          <cell r="AI656"/>
          <cell r="AJ656"/>
          <cell r="AK656"/>
          <cell r="AL656"/>
        </row>
        <row r="657">
          <cell r="E657" t="str">
            <v>VV-F 1.6mm-3C</v>
          </cell>
          <cell r="F657" t="str">
            <v>ｍ</v>
          </cell>
          <cell r="G657"/>
          <cell r="H657">
            <v>76</v>
          </cell>
          <cell r="I657"/>
          <cell r="J657">
            <v>75</v>
          </cell>
          <cell r="K657"/>
          <cell r="L657">
            <v>75</v>
          </cell>
          <cell r="M657"/>
          <cell r="N657">
            <v>74.5</v>
          </cell>
          <cell r="O657"/>
          <cell r="P657">
            <v>73.5</v>
          </cell>
          <cell r="Q657"/>
          <cell r="R657">
            <v>75</v>
          </cell>
          <cell r="S657"/>
          <cell r="T657">
            <v>77</v>
          </cell>
          <cell r="U657"/>
          <cell r="V657">
            <v>78</v>
          </cell>
          <cell r="W657"/>
          <cell r="X657">
            <v>75</v>
          </cell>
          <cell r="Y657"/>
          <cell r="Z657">
            <v>79</v>
          </cell>
          <cell r="AA657"/>
          <cell r="AB657"/>
          <cell r="AC657"/>
          <cell r="AD657">
            <v>1.7000000000000001E-2</v>
          </cell>
          <cell r="AE657"/>
          <cell r="AF657"/>
          <cell r="AG657"/>
          <cell r="AH657"/>
          <cell r="AI657"/>
          <cell r="AJ657"/>
          <cell r="AK657"/>
          <cell r="AL657"/>
        </row>
        <row r="658">
          <cell r="E658" t="str">
            <v>VV-F 2.0mm-3C</v>
          </cell>
          <cell r="F658" t="str">
            <v>ｍ</v>
          </cell>
          <cell r="G658"/>
          <cell r="H658">
            <v>121</v>
          </cell>
          <cell r="I658"/>
          <cell r="J658">
            <v>120</v>
          </cell>
          <cell r="K658"/>
          <cell r="L658">
            <v>120</v>
          </cell>
          <cell r="M658"/>
          <cell r="N658">
            <v>118</v>
          </cell>
          <cell r="O658"/>
          <cell r="P658">
            <v>117</v>
          </cell>
          <cell r="Q658"/>
          <cell r="R658">
            <v>120</v>
          </cell>
          <cell r="S658"/>
          <cell r="T658">
            <v>123</v>
          </cell>
          <cell r="U658"/>
          <cell r="V658">
            <v>124</v>
          </cell>
          <cell r="W658"/>
          <cell r="X658">
            <v>120</v>
          </cell>
          <cell r="Y658"/>
          <cell r="Z658">
            <v>128</v>
          </cell>
          <cell r="AA658"/>
          <cell r="AB658"/>
          <cell r="AC658"/>
          <cell r="AD658">
            <v>2.1000000000000001E-2</v>
          </cell>
          <cell r="AE658"/>
          <cell r="AF658"/>
          <cell r="AG658"/>
          <cell r="AH658"/>
          <cell r="AI658"/>
          <cell r="AJ658"/>
          <cell r="AK658"/>
          <cell r="AL658"/>
        </row>
        <row r="659">
          <cell r="E659" t="str">
            <v>VV-F 2.6mm-3C</v>
          </cell>
          <cell r="F659" t="str">
            <v>ｍ</v>
          </cell>
          <cell r="G659"/>
          <cell r="H659">
            <v>175</v>
          </cell>
          <cell r="I659"/>
          <cell r="J659">
            <v>173</v>
          </cell>
          <cell r="K659"/>
          <cell r="L659">
            <v>173</v>
          </cell>
          <cell r="M659"/>
          <cell r="N659">
            <v>171</v>
          </cell>
          <cell r="O659"/>
          <cell r="P659">
            <v>168</v>
          </cell>
          <cell r="Q659"/>
          <cell r="R659">
            <v>173</v>
          </cell>
          <cell r="S659"/>
          <cell r="T659">
            <v>177</v>
          </cell>
          <cell r="U659"/>
          <cell r="V659">
            <v>179</v>
          </cell>
          <cell r="W659"/>
          <cell r="X659">
            <v>173</v>
          </cell>
          <cell r="Y659"/>
          <cell r="Z659">
            <v>181</v>
          </cell>
          <cell r="AA659"/>
          <cell r="AB659"/>
          <cell r="AC659"/>
          <cell r="AD659">
            <v>2.5999999999999999E-2</v>
          </cell>
          <cell r="AE659"/>
          <cell r="AF659"/>
          <cell r="AG659"/>
          <cell r="AH659"/>
          <cell r="AI659"/>
          <cell r="AJ659"/>
          <cell r="AK659"/>
          <cell r="AL659"/>
        </row>
        <row r="660">
          <cell r="E660" t="str">
            <v>VV-F 1.6mm-4C</v>
          </cell>
          <cell r="F660" t="str">
            <v>ｍ</v>
          </cell>
          <cell r="G660"/>
          <cell r="H660">
            <v>123</v>
          </cell>
          <cell r="I660"/>
          <cell r="J660">
            <v>122</v>
          </cell>
          <cell r="K660"/>
          <cell r="L660">
            <v>122</v>
          </cell>
          <cell r="M660"/>
          <cell r="N660">
            <v>120</v>
          </cell>
          <cell r="O660"/>
          <cell r="P660">
            <v>119</v>
          </cell>
          <cell r="Q660"/>
          <cell r="R660">
            <v>122</v>
          </cell>
          <cell r="S660"/>
          <cell r="T660">
            <v>125</v>
          </cell>
          <cell r="U660"/>
          <cell r="V660">
            <v>126</v>
          </cell>
          <cell r="W660"/>
          <cell r="X660">
            <v>122</v>
          </cell>
          <cell r="Y660"/>
          <cell r="Z660">
            <v>123</v>
          </cell>
          <cell r="AA660"/>
          <cell r="AB660"/>
          <cell r="AC660"/>
          <cell r="AD660">
            <v>0.02</v>
          </cell>
          <cell r="AE660"/>
          <cell r="AF660"/>
          <cell r="AG660"/>
          <cell r="AH660"/>
          <cell r="AI660"/>
          <cell r="AJ660"/>
          <cell r="AK660"/>
          <cell r="AL660"/>
        </row>
        <row r="661">
          <cell r="E661" t="str">
            <v>VV-F 2.0mm-4C</v>
          </cell>
          <cell r="F661" t="str">
            <v>ｍ</v>
          </cell>
          <cell r="G661"/>
          <cell r="H661">
            <v>168</v>
          </cell>
          <cell r="I661"/>
          <cell r="J661">
            <v>166</v>
          </cell>
          <cell r="K661"/>
          <cell r="L661">
            <v>166</v>
          </cell>
          <cell r="M661"/>
          <cell r="N661">
            <v>164</v>
          </cell>
          <cell r="O661"/>
          <cell r="P661">
            <v>162</v>
          </cell>
          <cell r="Q661"/>
          <cell r="R661">
            <v>166</v>
          </cell>
          <cell r="S661"/>
          <cell r="T661">
            <v>171</v>
          </cell>
          <cell r="U661"/>
          <cell r="V661">
            <v>173</v>
          </cell>
          <cell r="W661"/>
          <cell r="X661">
            <v>166</v>
          </cell>
          <cell r="Y661"/>
          <cell r="Z661">
            <v>168</v>
          </cell>
          <cell r="AA661"/>
          <cell r="AB661"/>
          <cell r="AC661"/>
          <cell r="AD661">
            <v>2.4E-2</v>
          </cell>
          <cell r="AE661"/>
          <cell r="AF661"/>
          <cell r="AG661"/>
          <cell r="AH661"/>
          <cell r="AI661"/>
          <cell r="AJ661"/>
          <cell r="AK661"/>
          <cell r="AL661"/>
        </row>
        <row r="662">
          <cell r="E662" t="str">
            <v>EE-F 1.6mm-2C</v>
          </cell>
          <cell r="F662" t="str">
            <v>ｍ</v>
          </cell>
          <cell r="G662"/>
          <cell r="H662">
            <v>84.5</v>
          </cell>
          <cell r="I662"/>
          <cell r="J662">
            <v>84</v>
          </cell>
          <cell r="K662"/>
          <cell r="L662">
            <v>84</v>
          </cell>
          <cell r="M662"/>
          <cell r="N662">
            <v>85</v>
          </cell>
          <cell r="O662"/>
          <cell r="P662">
            <v>83</v>
          </cell>
          <cell r="Q662"/>
          <cell r="R662">
            <v>84</v>
          </cell>
          <cell r="S662"/>
          <cell r="T662">
            <v>85</v>
          </cell>
          <cell r="U662"/>
          <cell r="V662">
            <v>85.5</v>
          </cell>
          <cell r="W662"/>
          <cell r="X662">
            <v>84</v>
          </cell>
          <cell r="Y662"/>
          <cell r="Z662">
            <v>86</v>
          </cell>
          <cell r="AA662"/>
          <cell r="AB662"/>
          <cell r="AC662"/>
          <cell r="AD662">
            <v>1.2999999999999999E-2</v>
          </cell>
          <cell r="AE662"/>
          <cell r="AF662"/>
          <cell r="AG662"/>
          <cell r="AH662"/>
          <cell r="AI662"/>
          <cell r="AJ662"/>
          <cell r="AK662"/>
          <cell r="AL662"/>
        </row>
        <row r="663">
          <cell r="E663" t="str">
            <v>EE-F 2.0mm-2C</v>
          </cell>
          <cell r="F663" t="str">
            <v>ｍ</v>
          </cell>
          <cell r="G663"/>
          <cell r="H663">
            <v>117</v>
          </cell>
          <cell r="I663"/>
          <cell r="J663">
            <v>116</v>
          </cell>
          <cell r="K663"/>
          <cell r="L663">
            <v>116</v>
          </cell>
          <cell r="M663"/>
          <cell r="N663">
            <v>118</v>
          </cell>
          <cell r="O663"/>
          <cell r="P663">
            <v>114</v>
          </cell>
          <cell r="Q663"/>
          <cell r="R663">
            <v>116</v>
          </cell>
          <cell r="S663"/>
          <cell r="T663">
            <v>118</v>
          </cell>
          <cell r="U663"/>
          <cell r="V663">
            <v>119</v>
          </cell>
          <cell r="W663"/>
          <cell r="X663">
            <v>116</v>
          </cell>
          <cell r="Y663"/>
          <cell r="Z663">
            <v>120</v>
          </cell>
          <cell r="AA663"/>
          <cell r="AB663"/>
          <cell r="AC663"/>
          <cell r="AD663">
            <v>1.7000000000000001E-2</v>
          </cell>
          <cell r="AE663"/>
          <cell r="AF663"/>
          <cell r="AG663"/>
          <cell r="AH663"/>
          <cell r="AI663"/>
          <cell r="AJ663"/>
          <cell r="AK663"/>
          <cell r="AL663"/>
        </row>
        <row r="664">
          <cell r="E664" t="str">
            <v>EE-F 2.6mm-2C</v>
          </cell>
          <cell r="F664" t="str">
            <v>ｍ</v>
          </cell>
          <cell r="G664"/>
          <cell r="H664">
            <v>180</v>
          </cell>
          <cell r="I664"/>
          <cell r="J664">
            <v>178</v>
          </cell>
          <cell r="K664"/>
          <cell r="L664">
            <v>178</v>
          </cell>
          <cell r="M664"/>
          <cell r="N664">
            <v>182</v>
          </cell>
          <cell r="O664"/>
          <cell r="P664">
            <v>175</v>
          </cell>
          <cell r="Q664"/>
          <cell r="R664">
            <v>178</v>
          </cell>
          <cell r="S664"/>
          <cell r="T664">
            <v>182</v>
          </cell>
          <cell r="U664"/>
          <cell r="V664">
            <v>193</v>
          </cell>
          <cell r="W664"/>
          <cell r="X664">
            <v>178</v>
          </cell>
          <cell r="Y664"/>
          <cell r="Z664">
            <v>185</v>
          </cell>
          <cell r="AA664"/>
          <cell r="AB664"/>
          <cell r="AC664"/>
          <cell r="AD664">
            <v>2.1000000000000001E-2</v>
          </cell>
          <cell r="AE664"/>
          <cell r="AF664"/>
          <cell r="AG664"/>
          <cell r="AH664"/>
          <cell r="AI664"/>
          <cell r="AJ664"/>
          <cell r="AK664"/>
          <cell r="AL664"/>
        </row>
        <row r="665">
          <cell r="E665" t="str">
            <v>EE-F 1.6mm-3C</v>
          </cell>
          <cell r="F665" t="str">
            <v>ｍ</v>
          </cell>
          <cell r="G665"/>
          <cell r="H665">
            <v>124</v>
          </cell>
          <cell r="I665"/>
          <cell r="J665">
            <v>123</v>
          </cell>
          <cell r="K665"/>
          <cell r="L665">
            <v>123</v>
          </cell>
          <cell r="M665"/>
          <cell r="N665">
            <v>125</v>
          </cell>
          <cell r="O665"/>
          <cell r="P665">
            <v>122</v>
          </cell>
          <cell r="Q665"/>
          <cell r="R665">
            <v>123</v>
          </cell>
          <cell r="S665"/>
          <cell r="T665">
            <v>125</v>
          </cell>
          <cell r="U665"/>
          <cell r="V665">
            <v>126</v>
          </cell>
          <cell r="W665"/>
          <cell r="X665">
            <v>123</v>
          </cell>
          <cell r="Y665"/>
          <cell r="Z665">
            <v>127</v>
          </cell>
          <cell r="AA665"/>
          <cell r="AB665"/>
          <cell r="AC665"/>
          <cell r="AD665">
            <v>1.7000000000000001E-2</v>
          </cell>
          <cell r="AE665"/>
          <cell r="AF665"/>
          <cell r="AG665"/>
          <cell r="AH665"/>
          <cell r="AI665"/>
          <cell r="AJ665"/>
          <cell r="AK665"/>
          <cell r="AL665"/>
        </row>
        <row r="666">
          <cell r="E666" t="str">
            <v>EE-F 2.0mm-3C</v>
          </cell>
          <cell r="F666" t="str">
            <v>ｍ</v>
          </cell>
          <cell r="G666"/>
          <cell r="H666">
            <v>169</v>
          </cell>
          <cell r="I666"/>
          <cell r="J666">
            <v>168</v>
          </cell>
          <cell r="K666"/>
          <cell r="L666">
            <v>168</v>
          </cell>
          <cell r="M666"/>
          <cell r="N666">
            <v>171</v>
          </cell>
          <cell r="O666"/>
          <cell r="P666">
            <v>165</v>
          </cell>
          <cell r="Q666"/>
          <cell r="R666">
            <v>168</v>
          </cell>
          <cell r="S666"/>
          <cell r="T666">
            <v>171</v>
          </cell>
          <cell r="U666"/>
          <cell r="V666">
            <v>172</v>
          </cell>
          <cell r="W666"/>
          <cell r="X666">
            <v>168</v>
          </cell>
          <cell r="Y666"/>
          <cell r="Z666">
            <v>174</v>
          </cell>
          <cell r="AA666"/>
          <cell r="AB666"/>
          <cell r="AC666"/>
          <cell r="AD666">
            <v>2.1000000000000001E-2</v>
          </cell>
          <cell r="AE666"/>
          <cell r="AF666"/>
          <cell r="AG666"/>
          <cell r="AH666"/>
          <cell r="AI666"/>
          <cell r="AJ666"/>
          <cell r="AK666"/>
          <cell r="AL666"/>
        </row>
        <row r="667">
          <cell r="E667" t="str">
            <v>EE-F 2.6mm-3C</v>
          </cell>
          <cell r="F667" t="str">
            <v>ｍ</v>
          </cell>
          <cell r="G667"/>
          <cell r="H667">
            <v>240</v>
          </cell>
          <cell r="I667"/>
          <cell r="J667">
            <v>238</v>
          </cell>
          <cell r="K667"/>
          <cell r="L667">
            <v>238</v>
          </cell>
          <cell r="M667"/>
          <cell r="N667">
            <v>242</v>
          </cell>
          <cell r="O667"/>
          <cell r="P667">
            <v>233</v>
          </cell>
          <cell r="Q667"/>
          <cell r="R667">
            <v>238</v>
          </cell>
          <cell r="S667"/>
          <cell r="T667">
            <v>242</v>
          </cell>
          <cell r="U667"/>
          <cell r="V667">
            <v>244</v>
          </cell>
          <cell r="W667"/>
          <cell r="X667">
            <v>238</v>
          </cell>
          <cell r="Y667"/>
          <cell r="Z667">
            <v>246</v>
          </cell>
          <cell r="AA667"/>
          <cell r="AB667"/>
          <cell r="AC667"/>
          <cell r="AD667">
            <v>2.5999999999999999E-2</v>
          </cell>
          <cell r="AE667"/>
          <cell r="AF667"/>
          <cell r="AG667"/>
          <cell r="AH667"/>
          <cell r="AI667"/>
          <cell r="AJ667"/>
          <cell r="AK667"/>
          <cell r="AL667"/>
        </row>
        <row r="668">
          <cell r="E668" t="str">
            <v>VV-R 1.6mm-2C</v>
          </cell>
          <cell r="F668" t="str">
            <v>ｍ</v>
          </cell>
          <cell r="G668"/>
          <cell r="H668">
            <v>94.1</v>
          </cell>
          <cell r="I668"/>
          <cell r="J668">
            <v>93.3</v>
          </cell>
          <cell r="K668"/>
          <cell r="L668">
            <v>91.6</v>
          </cell>
          <cell r="M668"/>
          <cell r="N668">
            <v>91.6</v>
          </cell>
          <cell r="O668"/>
          <cell r="P668">
            <v>90</v>
          </cell>
          <cell r="Q668"/>
          <cell r="R668">
            <v>93.3</v>
          </cell>
          <cell r="S668"/>
          <cell r="T668">
            <v>93.3</v>
          </cell>
          <cell r="U668"/>
          <cell r="V668">
            <v>94.1</v>
          </cell>
          <cell r="W668"/>
          <cell r="X668">
            <v>91.6</v>
          </cell>
          <cell r="Y668"/>
          <cell r="Z668">
            <v>96.7</v>
          </cell>
          <cell r="AA668"/>
          <cell r="AB668"/>
          <cell r="AC668"/>
          <cell r="AD668">
            <v>1.2999999999999999E-2</v>
          </cell>
          <cell r="AE668"/>
          <cell r="AF668"/>
          <cell r="AG668"/>
          <cell r="AH668"/>
          <cell r="AI668"/>
          <cell r="AJ668"/>
          <cell r="AK668"/>
          <cell r="AL668"/>
        </row>
        <row r="669">
          <cell r="E669" t="str">
            <v>VV-R 2.0mm-2C</v>
          </cell>
          <cell r="F669" t="str">
            <v>ｍ</v>
          </cell>
          <cell r="G669"/>
          <cell r="H669">
            <v>116</v>
          </cell>
          <cell r="I669"/>
          <cell r="J669">
            <v>115</v>
          </cell>
          <cell r="K669"/>
          <cell r="L669">
            <v>113</v>
          </cell>
          <cell r="M669"/>
          <cell r="N669">
            <v>113</v>
          </cell>
          <cell r="O669"/>
          <cell r="P669">
            <v>111</v>
          </cell>
          <cell r="Q669"/>
          <cell r="R669">
            <v>115</v>
          </cell>
          <cell r="S669"/>
          <cell r="T669">
            <v>115</v>
          </cell>
          <cell r="U669"/>
          <cell r="V669">
            <v>116</v>
          </cell>
          <cell r="W669"/>
          <cell r="X669">
            <v>113</v>
          </cell>
          <cell r="Y669"/>
          <cell r="Z669">
            <v>118</v>
          </cell>
          <cell r="AA669"/>
          <cell r="AB669"/>
          <cell r="AC669"/>
          <cell r="AD669">
            <v>1.7000000000000001E-2</v>
          </cell>
          <cell r="AE669"/>
          <cell r="AF669"/>
          <cell r="AG669"/>
          <cell r="AH669"/>
          <cell r="AI669"/>
          <cell r="AJ669"/>
          <cell r="AK669"/>
          <cell r="AL669"/>
        </row>
        <row r="670">
          <cell r="E670" t="str">
            <v>VV-R 2.6mm-2C</v>
          </cell>
          <cell r="F670" t="str">
            <v>ｍ</v>
          </cell>
          <cell r="G670"/>
          <cell r="H670">
            <v>169</v>
          </cell>
          <cell r="I670"/>
          <cell r="J670">
            <v>167</v>
          </cell>
          <cell r="K670"/>
          <cell r="L670">
            <v>164</v>
          </cell>
          <cell r="M670"/>
          <cell r="N670">
            <v>164</v>
          </cell>
          <cell r="O670"/>
          <cell r="P670">
            <v>161</v>
          </cell>
          <cell r="Q670"/>
          <cell r="R670">
            <v>167</v>
          </cell>
          <cell r="S670"/>
          <cell r="T670">
            <v>167</v>
          </cell>
          <cell r="U670"/>
          <cell r="V670">
            <v>169</v>
          </cell>
          <cell r="W670"/>
          <cell r="X670">
            <v>164</v>
          </cell>
          <cell r="Y670"/>
          <cell r="Z670">
            <v>171</v>
          </cell>
          <cell r="AA670"/>
          <cell r="AB670"/>
          <cell r="AC670"/>
          <cell r="AD670">
            <v>2.1000000000000001E-2</v>
          </cell>
          <cell r="AE670"/>
          <cell r="AF670"/>
          <cell r="AG670"/>
          <cell r="AH670"/>
          <cell r="AI670"/>
          <cell r="AJ670"/>
          <cell r="AK670"/>
          <cell r="AL670"/>
        </row>
        <row r="671">
          <cell r="E671" t="str">
            <v>VV-R 5.5sq-2C</v>
          </cell>
          <cell r="F671" t="str">
            <v>ｍ</v>
          </cell>
          <cell r="G671"/>
          <cell r="H671">
            <v>175</v>
          </cell>
          <cell r="I671"/>
          <cell r="J671">
            <v>174</v>
          </cell>
          <cell r="K671"/>
          <cell r="L671">
            <v>171</v>
          </cell>
          <cell r="M671"/>
          <cell r="N671">
            <v>171</v>
          </cell>
          <cell r="O671"/>
          <cell r="P671">
            <v>168</v>
          </cell>
          <cell r="Q671"/>
          <cell r="R671">
            <v>174</v>
          </cell>
          <cell r="S671"/>
          <cell r="T671">
            <v>174</v>
          </cell>
          <cell r="U671"/>
          <cell r="V671">
            <v>175</v>
          </cell>
          <cell r="W671"/>
          <cell r="X671">
            <v>171</v>
          </cell>
          <cell r="Y671"/>
          <cell r="Z671">
            <v>179</v>
          </cell>
          <cell r="AA671"/>
          <cell r="AB671"/>
          <cell r="AC671"/>
          <cell r="AD671">
            <v>2.1000000000000001E-2</v>
          </cell>
          <cell r="AE671"/>
          <cell r="AF671"/>
          <cell r="AG671"/>
          <cell r="AH671"/>
          <cell r="AI671"/>
          <cell r="AJ671"/>
          <cell r="AK671"/>
          <cell r="AL671"/>
        </row>
        <row r="672">
          <cell r="E672" t="str">
            <v>VV-R 8sq-2C</v>
          </cell>
          <cell r="F672" t="str">
            <v>ｍ</v>
          </cell>
          <cell r="G672"/>
          <cell r="H672">
            <v>227</v>
          </cell>
          <cell r="I672"/>
          <cell r="J672">
            <v>225</v>
          </cell>
          <cell r="K672"/>
          <cell r="L672">
            <v>221</v>
          </cell>
          <cell r="M672"/>
          <cell r="N672">
            <v>221</v>
          </cell>
          <cell r="O672"/>
          <cell r="P672">
            <v>217</v>
          </cell>
          <cell r="Q672"/>
          <cell r="R672">
            <v>225</v>
          </cell>
          <cell r="S672"/>
          <cell r="T672">
            <v>225</v>
          </cell>
          <cell r="U672"/>
          <cell r="V672">
            <v>227</v>
          </cell>
          <cell r="W672"/>
          <cell r="X672">
            <v>221</v>
          </cell>
          <cell r="Y672"/>
          <cell r="Z672">
            <v>231</v>
          </cell>
          <cell r="AA672"/>
          <cell r="AB672"/>
          <cell r="AC672"/>
          <cell r="AD672">
            <v>2.3E-2</v>
          </cell>
          <cell r="AE672"/>
          <cell r="AF672"/>
          <cell r="AG672"/>
          <cell r="AH672"/>
          <cell r="AI672"/>
          <cell r="AJ672"/>
          <cell r="AK672"/>
          <cell r="AL672"/>
        </row>
        <row r="673">
          <cell r="E673" t="str">
            <v>VV-R 14sq-2C</v>
          </cell>
          <cell r="F673" t="str">
            <v>ｍ</v>
          </cell>
          <cell r="G673"/>
          <cell r="H673">
            <v>364</v>
          </cell>
          <cell r="I673"/>
          <cell r="J673">
            <v>361</v>
          </cell>
          <cell r="K673"/>
          <cell r="L673">
            <v>355</v>
          </cell>
          <cell r="M673"/>
          <cell r="N673">
            <v>355</v>
          </cell>
          <cell r="O673"/>
          <cell r="P673">
            <v>348</v>
          </cell>
          <cell r="Q673"/>
          <cell r="R673">
            <v>361</v>
          </cell>
          <cell r="S673"/>
          <cell r="T673">
            <v>361</v>
          </cell>
          <cell r="U673"/>
          <cell r="V673">
            <v>364</v>
          </cell>
          <cell r="W673"/>
          <cell r="X673">
            <v>355</v>
          </cell>
          <cell r="Y673"/>
          <cell r="Z673">
            <v>370</v>
          </cell>
          <cell r="AA673"/>
          <cell r="AB673"/>
          <cell r="AC673"/>
          <cell r="AD673">
            <v>2.9000000000000001E-2</v>
          </cell>
          <cell r="AE673"/>
          <cell r="AF673"/>
          <cell r="AG673"/>
          <cell r="AH673"/>
          <cell r="AI673"/>
          <cell r="AJ673"/>
          <cell r="AK673"/>
          <cell r="AL673"/>
        </row>
        <row r="674">
          <cell r="E674" t="str">
            <v>VV-R 22sq-2C</v>
          </cell>
          <cell r="F674" t="str">
            <v>ｍ</v>
          </cell>
          <cell r="G674"/>
          <cell r="H674">
            <v>545</v>
          </cell>
          <cell r="I674"/>
          <cell r="J674">
            <v>540</v>
          </cell>
          <cell r="K674"/>
          <cell r="L674">
            <v>530</v>
          </cell>
          <cell r="M674"/>
          <cell r="N674">
            <v>530</v>
          </cell>
          <cell r="O674"/>
          <cell r="P674">
            <v>521</v>
          </cell>
          <cell r="Q674"/>
          <cell r="R674">
            <v>540</v>
          </cell>
          <cell r="S674"/>
          <cell r="T674">
            <v>540</v>
          </cell>
          <cell r="U674"/>
          <cell r="V674">
            <v>545</v>
          </cell>
          <cell r="W674"/>
          <cell r="X674">
            <v>530</v>
          </cell>
          <cell r="Y674"/>
          <cell r="Z674">
            <v>554</v>
          </cell>
          <cell r="AA674"/>
          <cell r="AB674"/>
          <cell r="AC674"/>
          <cell r="AD674">
            <v>3.6999999999999998E-2</v>
          </cell>
          <cell r="AE674"/>
          <cell r="AF674"/>
          <cell r="AG674"/>
          <cell r="AH674"/>
          <cell r="AI674"/>
          <cell r="AJ674"/>
          <cell r="AK674"/>
          <cell r="AL674"/>
        </row>
        <row r="675">
          <cell r="E675" t="str">
            <v>VV-R 38sq-2C</v>
          </cell>
          <cell r="F675" t="str">
            <v>ｍ</v>
          </cell>
          <cell r="G675"/>
          <cell r="H675">
            <v>953</v>
          </cell>
          <cell r="I675"/>
          <cell r="J675">
            <v>944</v>
          </cell>
          <cell r="K675"/>
          <cell r="L675">
            <v>928</v>
          </cell>
          <cell r="M675"/>
          <cell r="N675">
            <v>928</v>
          </cell>
          <cell r="O675"/>
          <cell r="P675">
            <v>910</v>
          </cell>
          <cell r="Q675"/>
          <cell r="R675">
            <v>944</v>
          </cell>
          <cell r="S675"/>
          <cell r="T675">
            <v>944</v>
          </cell>
          <cell r="U675"/>
          <cell r="V675">
            <v>953</v>
          </cell>
          <cell r="W675"/>
          <cell r="X675">
            <v>928</v>
          </cell>
          <cell r="Y675"/>
          <cell r="Z675">
            <v>969</v>
          </cell>
          <cell r="AA675"/>
          <cell r="AB675"/>
          <cell r="AC675"/>
          <cell r="AD675">
            <v>0.05</v>
          </cell>
          <cell r="AE675"/>
          <cell r="AF675"/>
          <cell r="AG675"/>
          <cell r="AH675"/>
          <cell r="AI675"/>
          <cell r="AJ675"/>
          <cell r="AK675"/>
          <cell r="AL675"/>
        </row>
        <row r="676">
          <cell r="E676" t="str">
            <v>VV-R 60sq-2C</v>
          </cell>
          <cell r="F676" t="str">
            <v>ｍ</v>
          </cell>
          <cell r="G676"/>
          <cell r="H676">
            <v>1502</v>
          </cell>
          <cell r="I676"/>
          <cell r="J676">
            <v>1488</v>
          </cell>
          <cell r="K676"/>
          <cell r="L676">
            <v>1462</v>
          </cell>
          <cell r="M676"/>
          <cell r="N676">
            <v>1462</v>
          </cell>
          <cell r="O676"/>
          <cell r="P676">
            <v>1436</v>
          </cell>
          <cell r="Q676"/>
          <cell r="R676">
            <v>1488</v>
          </cell>
          <cell r="S676"/>
          <cell r="T676">
            <v>1488</v>
          </cell>
          <cell r="U676"/>
          <cell r="V676">
            <v>1502</v>
          </cell>
          <cell r="W676"/>
          <cell r="X676">
            <v>1462</v>
          </cell>
          <cell r="Y676"/>
          <cell r="Z676">
            <v>1527</v>
          </cell>
          <cell r="AA676"/>
          <cell r="AB676"/>
          <cell r="AC676"/>
          <cell r="AD676">
            <v>6.5000000000000002E-2</v>
          </cell>
          <cell r="AE676"/>
          <cell r="AF676"/>
          <cell r="AG676"/>
          <cell r="AH676"/>
          <cell r="AI676"/>
          <cell r="AJ676"/>
          <cell r="AK676"/>
          <cell r="AL676"/>
        </row>
        <row r="677">
          <cell r="E677" t="str">
            <v>VV-R 100sq-2C</v>
          </cell>
          <cell r="F677" t="str">
            <v>ｍ</v>
          </cell>
          <cell r="G677"/>
          <cell r="H677">
            <v>2567</v>
          </cell>
          <cell r="I677"/>
          <cell r="J677">
            <v>2545</v>
          </cell>
          <cell r="K677"/>
          <cell r="L677">
            <v>2500</v>
          </cell>
          <cell r="M677"/>
          <cell r="N677">
            <v>2500</v>
          </cell>
          <cell r="O677"/>
          <cell r="P677">
            <v>2455</v>
          </cell>
          <cell r="Q677"/>
          <cell r="R677">
            <v>2545</v>
          </cell>
          <cell r="S677"/>
          <cell r="T677">
            <v>2545</v>
          </cell>
          <cell r="U677"/>
          <cell r="V677">
            <v>2567</v>
          </cell>
          <cell r="W677"/>
          <cell r="X677">
            <v>2500</v>
          </cell>
          <cell r="Y677"/>
          <cell r="Z677">
            <v>2612</v>
          </cell>
          <cell r="AA677"/>
          <cell r="AB677"/>
          <cell r="AC677"/>
          <cell r="AD677">
            <v>0.09</v>
          </cell>
          <cell r="AE677"/>
          <cell r="AF677"/>
          <cell r="AG677"/>
          <cell r="AH677"/>
          <cell r="AI677"/>
          <cell r="AJ677"/>
          <cell r="AK677"/>
          <cell r="AL677"/>
        </row>
        <row r="678">
          <cell r="E678" t="str">
            <v>VV-R 150sq-2C</v>
          </cell>
          <cell r="F678" t="str">
            <v>ｍ</v>
          </cell>
          <cell r="G678"/>
          <cell r="H678">
            <v>3896</v>
          </cell>
          <cell r="I678"/>
          <cell r="J678">
            <v>3861</v>
          </cell>
          <cell r="K678"/>
          <cell r="L678">
            <v>3794</v>
          </cell>
          <cell r="M678"/>
          <cell r="N678">
            <v>3794</v>
          </cell>
          <cell r="O678"/>
          <cell r="P678">
            <v>3726</v>
          </cell>
          <cell r="Q678"/>
          <cell r="R678">
            <v>3861</v>
          </cell>
          <cell r="S678"/>
          <cell r="T678">
            <v>3861</v>
          </cell>
          <cell r="U678"/>
          <cell r="V678">
            <v>3896</v>
          </cell>
          <cell r="W678"/>
          <cell r="X678">
            <v>3794</v>
          </cell>
          <cell r="Y678"/>
          <cell r="Z678">
            <v>3963</v>
          </cell>
          <cell r="AA678"/>
          <cell r="AB678"/>
          <cell r="AC678"/>
          <cell r="AD678">
            <v>0.11</v>
          </cell>
          <cell r="AE678"/>
          <cell r="AF678"/>
          <cell r="AG678"/>
          <cell r="AH678"/>
          <cell r="AI678"/>
          <cell r="AJ678"/>
          <cell r="AK678"/>
          <cell r="AL678"/>
        </row>
        <row r="679">
          <cell r="E679" t="str">
            <v>VV-R 200sq-2C</v>
          </cell>
          <cell r="F679" t="str">
            <v>ｍ</v>
          </cell>
          <cell r="G679"/>
          <cell r="H679">
            <v>5194</v>
          </cell>
          <cell r="I679"/>
          <cell r="J679">
            <v>5149</v>
          </cell>
          <cell r="K679"/>
          <cell r="L679">
            <v>5059</v>
          </cell>
          <cell r="M679"/>
          <cell r="N679">
            <v>5059</v>
          </cell>
          <cell r="O679"/>
          <cell r="P679">
            <v>4968</v>
          </cell>
          <cell r="Q679"/>
          <cell r="R679">
            <v>5149</v>
          </cell>
          <cell r="S679"/>
          <cell r="T679">
            <v>5149</v>
          </cell>
          <cell r="U679"/>
          <cell r="V679">
            <v>5194</v>
          </cell>
          <cell r="W679"/>
          <cell r="X679">
            <v>5059</v>
          </cell>
          <cell r="Y679"/>
          <cell r="Z679">
            <v>5285</v>
          </cell>
          <cell r="AA679"/>
          <cell r="AB679"/>
          <cell r="AC679"/>
          <cell r="AD679">
            <v>0.13600000000000001</v>
          </cell>
          <cell r="AE679"/>
          <cell r="AF679"/>
          <cell r="AG679"/>
          <cell r="AH679"/>
          <cell r="AI679"/>
          <cell r="AJ679"/>
          <cell r="AK679"/>
          <cell r="AL679"/>
        </row>
        <row r="680">
          <cell r="E680" t="str">
            <v>VV-R 250sq-2C</v>
          </cell>
          <cell r="F680" t="str">
            <v>ｍ</v>
          </cell>
          <cell r="G680"/>
          <cell r="H680">
            <v>6817</v>
          </cell>
          <cell r="I680"/>
          <cell r="J680">
            <v>6757</v>
          </cell>
          <cell r="K680"/>
          <cell r="L680">
            <v>6638</v>
          </cell>
          <cell r="M680"/>
          <cell r="N680">
            <v>6638</v>
          </cell>
          <cell r="O680"/>
          <cell r="P680">
            <v>6521</v>
          </cell>
          <cell r="Q680"/>
          <cell r="R680">
            <v>6757</v>
          </cell>
          <cell r="S680"/>
          <cell r="T680">
            <v>6757</v>
          </cell>
          <cell r="U680"/>
          <cell r="V680">
            <v>6817</v>
          </cell>
          <cell r="W680"/>
          <cell r="X680">
            <v>6638</v>
          </cell>
          <cell r="Y680"/>
          <cell r="Z680">
            <v>6935</v>
          </cell>
          <cell r="AA680"/>
          <cell r="AB680"/>
          <cell r="AC680"/>
          <cell r="AD680">
            <v>0.157</v>
          </cell>
          <cell r="AE680"/>
          <cell r="AF680"/>
          <cell r="AG680"/>
          <cell r="AH680"/>
          <cell r="AI680"/>
          <cell r="AJ680"/>
          <cell r="AK680"/>
          <cell r="AL680"/>
        </row>
        <row r="681">
          <cell r="E681" t="str">
            <v>VV-R 325sq-2C</v>
          </cell>
          <cell r="F681" t="str">
            <v>ｍ</v>
          </cell>
          <cell r="G681"/>
          <cell r="H681">
            <v>9856</v>
          </cell>
          <cell r="I681"/>
          <cell r="J681">
            <v>9771</v>
          </cell>
          <cell r="K681"/>
          <cell r="L681">
            <v>9599</v>
          </cell>
          <cell r="M681"/>
          <cell r="N681">
            <v>9599</v>
          </cell>
          <cell r="O681"/>
          <cell r="P681">
            <v>9428</v>
          </cell>
          <cell r="Q681"/>
          <cell r="R681">
            <v>9771</v>
          </cell>
          <cell r="S681"/>
          <cell r="T681">
            <v>9771</v>
          </cell>
          <cell r="U681"/>
          <cell r="V681">
            <v>9856</v>
          </cell>
          <cell r="W681"/>
          <cell r="X681">
            <v>9599</v>
          </cell>
          <cell r="Y681"/>
          <cell r="Z681">
            <v>10028</v>
          </cell>
          <cell r="AA681"/>
          <cell r="AB681"/>
          <cell r="AC681"/>
          <cell r="AD681">
            <v>0.19800000000000001</v>
          </cell>
          <cell r="AE681"/>
          <cell r="AF681"/>
          <cell r="AG681"/>
          <cell r="AH681"/>
          <cell r="AI681"/>
          <cell r="AJ681"/>
          <cell r="AK681"/>
          <cell r="AL681"/>
        </row>
        <row r="682">
          <cell r="E682" t="str">
            <v>VV-R 1.6mm-3C</v>
          </cell>
          <cell r="F682" t="str">
            <v>ｍ</v>
          </cell>
          <cell r="G682"/>
          <cell r="H682">
            <v>116</v>
          </cell>
          <cell r="I682"/>
          <cell r="J682">
            <v>115</v>
          </cell>
          <cell r="K682"/>
          <cell r="L682">
            <v>113</v>
          </cell>
          <cell r="M682"/>
          <cell r="N682">
            <v>113</v>
          </cell>
          <cell r="O682"/>
          <cell r="P682">
            <v>111</v>
          </cell>
          <cell r="Q682"/>
          <cell r="R682">
            <v>115</v>
          </cell>
          <cell r="S682"/>
          <cell r="T682">
            <v>115</v>
          </cell>
          <cell r="U682"/>
          <cell r="V682">
            <v>116</v>
          </cell>
          <cell r="W682"/>
          <cell r="X682">
            <v>113</v>
          </cell>
          <cell r="Y682"/>
          <cell r="Z682">
            <v>118</v>
          </cell>
          <cell r="AA682"/>
          <cell r="AB682"/>
          <cell r="AC682"/>
          <cell r="AD682">
            <v>1.7000000000000001E-2</v>
          </cell>
          <cell r="AE682"/>
          <cell r="AF682"/>
          <cell r="AG682"/>
          <cell r="AH682"/>
          <cell r="AI682"/>
          <cell r="AJ682"/>
          <cell r="AK682"/>
          <cell r="AL682"/>
        </row>
        <row r="683">
          <cell r="E683" t="str">
            <v>VV-R 2.0mm-3C</v>
          </cell>
          <cell r="F683" t="str">
            <v>ｍ</v>
          </cell>
          <cell r="G683"/>
          <cell r="H683">
            <v>151</v>
          </cell>
          <cell r="I683"/>
          <cell r="J683">
            <v>150</v>
          </cell>
          <cell r="K683"/>
          <cell r="L683">
            <v>147</v>
          </cell>
          <cell r="M683"/>
          <cell r="N683">
            <v>147</v>
          </cell>
          <cell r="O683"/>
          <cell r="P683">
            <v>145</v>
          </cell>
          <cell r="Q683"/>
          <cell r="R683">
            <v>150</v>
          </cell>
          <cell r="S683"/>
          <cell r="T683">
            <v>150</v>
          </cell>
          <cell r="U683"/>
          <cell r="V683">
            <v>151</v>
          </cell>
          <cell r="W683"/>
          <cell r="X683">
            <v>147</v>
          </cell>
          <cell r="Y683"/>
          <cell r="Z683">
            <v>154</v>
          </cell>
          <cell r="AA683"/>
          <cell r="AB683"/>
          <cell r="AC683"/>
          <cell r="AD683">
            <v>2.1000000000000001E-2</v>
          </cell>
          <cell r="AE683"/>
          <cell r="AF683"/>
          <cell r="AG683"/>
          <cell r="AH683"/>
          <cell r="AI683"/>
          <cell r="AJ683"/>
          <cell r="AK683"/>
          <cell r="AL683"/>
        </row>
        <row r="684">
          <cell r="E684" t="str">
            <v>VV-R 2.6mm-3C</v>
          </cell>
          <cell r="F684" t="str">
            <v>ｍ</v>
          </cell>
          <cell r="G684"/>
          <cell r="H684">
            <v>229</v>
          </cell>
          <cell r="I684"/>
          <cell r="J684">
            <v>227</v>
          </cell>
          <cell r="K684"/>
          <cell r="L684">
            <v>223</v>
          </cell>
          <cell r="M684"/>
          <cell r="N684">
            <v>223</v>
          </cell>
          <cell r="O684"/>
          <cell r="P684">
            <v>219</v>
          </cell>
          <cell r="Q684"/>
          <cell r="R684">
            <v>227</v>
          </cell>
          <cell r="S684"/>
          <cell r="T684">
            <v>227</v>
          </cell>
          <cell r="U684"/>
          <cell r="V684">
            <v>229</v>
          </cell>
          <cell r="W684"/>
          <cell r="X684">
            <v>223</v>
          </cell>
          <cell r="Y684"/>
          <cell r="Z684">
            <v>233</v>
          </cell>
          <cell r="AA684"/>
          <cell r="AB684"/>
          <cell r="AC684"/>
          <cell r="AD684">
            <v>2.5999999999999999E-2</v>
          </cell>
          <cell r="AE684"/>
          <cell r="AF684"/>
          <cell r="AG684"/>
          <cell r="AH684"/>
          <cell r="AI684"/>
          <cell r="AJ684"/>
          <cell r="AK684"/>
          <cell r="AL684"/>
        </row>
        <row r="685">
          <cell r="E685" t="str">
            <v>VV-R 5.5sq-3C</v>
          </cell>
          <cell r="F685" t="str">
            <v>ｍ</v>
          </cell>
          <cell r="G685"/>
          <cell r="H685">
            <v>242</v>
          </cell>
          <cell r="I685"/>
          <cell r="J685">
            <v>240</v>
          </cell>
          <cell r="K685"/>
          <cell r="L685">
            <v>236</v>
          </cell>
          <cell r="M685"/>
          <cell r="N685">
            <v>236</v>
          </cell>
          <cell r="O685"/>
          <cell r="P685">
            <v>232</v>
          </cell>
          <cell r="Q685"/>
          <cell r="R685">
            <v>240</v>
          </cell>
          <cell r="S685"/>
          <cell r="T685">
            <v>240</v>
          </cell>
          <cell r="U685"/>
          <cell r="V685">
            <v>242</v>
          </cell>
          <cell r="W685"/>
          <cell r="X685">
            <v>236</v>
          </cell>
          <cell r="Y685"/>
          <cell r="Z685">
            <v>246</v>
          </cell>
          <cell r="AA685"/>
          <cell r="AB685"/>
          <cell r="AC685"/>
          <cell r="AD685">
            <v>2.5999999999999999E-2</v>
          </cell>
          <cell r="AE685"/>
          <cell r="AF685"/>
          <cell r="AG685"/>
          <cell r="AH685"/>
          <cell r="AI685"/>
          <cell r="AJ685"/>
          <cell r="AK685"/>
          <cell r="AL685"/>
        </row>
        <row r="686">
          <cell r="E686" t="str">
            <v>VV-R 8sq-3C</v>
          </cell>
          <cell r="F686" t="str">
            <v>ｍ</v>
          </cell>
          <cell r="G686"/>
          <cell r="H686">
            <v>320</v>
          </cell>
          <cell r="I686"/>
          <cell r="J686">
            <v>318</v>
          </cell>
          <cell r="K686"/>
          <cell r="L686">
            <v>312</v>
          </cell>
          <cell r="M686"/>
          <cell r="N686">
            <v>312</v>
          </cell>
          <cell r="O686"/>
          <cell r="P686">
            <v>306</v>
          </cell>
          <cell r="Q686"/>
          <cell r="R686">
            <v>318</v>
          </cell>
          <cell r="S686"/>
          <cell r="T686">
            <v>318</v>
          </cell>
          <cell r="U686"/>
          <cell r="V686">
            <v>320</v>
          </cell>
          <cell r="W686"/>
          <cell r="X686">
            <v>312</v>
          </cell>
          <cell r="Y686"/>
          <cell r="Z686">
            <v>326</v>
          </cell>
          <cell r="AA686"/>
          <cell r="AB686"/>
          <cell r="AC686"/>
          <cell r="AD686">
            <v>2.9000000000000001E-2</v>
          </cell>
          <cell r="AE686"/>
          <cell r="AF686"/>
          <cell r="AG686"/>
          <cell r="AH686"/>
          <cell r="AI686"/>
          <cell r="AJ686"/>
          <cell r="AK686"/>
          <cell r="AL686"/>
        </row>
        <row r="687">
          <cell r="E687" t="str">
            <v>VV-R 14sq-3C</v>
          </cell>
          <cell r="F687" t="str">
            <v>ｍ</v>
          </cell>
          <cell r="G687"/>
          <cell r="H687">
            <v>514</v>
          </cell>
          <cell r="I687"/>
          <cell r="J687">
            <v>509</v>
          </cell>
          <cell r="K687"/>
          <cell r="L687">
            <v>500</v>
          </cell>
          <cell r="M687"/>
          <cell r="N687">
            <v>500</v>
          </cell>
          <cell r="O687"/>
          <cell r="P687">
            <v>491</v>
          </cell>
          <cell r="Q687"/>
          <cell r="R687">
            <v>509</v>
          </cell>
          <cell r="S687"/>
          <cell r="T687">
            <v>509</v>
          </cell>
          <cell r="U687"/>
          <cell r="V687">
            <v>514</v>
          </cell>
          <cell r="W687"/>
          <cell r="X687">
            <v>500</v>
          </cell>
          <cell r="Y687"/>
          <cell r="Z687">
            <v>522</v>
          </cell>
          <cell r="AA687"/>
          <cell r="AB687"/>
          <cell r="AC687"/>
          <cell r="AD687">
            <v>3.6999999999999998E-2</v>
          </cell>
          <cell r="AE687"/>
          <cell r="AF687"/>
          <cell r="AG687"/>
          <cell r="AH687"/>
          <cell r="AI687"/>
          <cell r="AJ687"/>
          <cell r="AK687"/>
          <cell r="AL687"/>
        </row>
        <row r="688">
          <cell r="E688" t="str">
            <v>VV-R 22sq-3C</v>
          </cell>
          <cell r="F688" t="str">
            <v>ｍ</v>
          </cell>
          <cell r="G688"/>
          <cell r="H688">
            <v>789</v>
          </cell>
          <cell r="I688"/>
          <cell r="J688">
            <v>762</v>
          </cell>
          <cell r="K688"/>
          <cell r="L688">
            <v>749</v>
          </cell>
          <cell r="M688"/>
          <cell r="N688">
            <v>749</v>
          </cell>
          <cell r="O688"/>
          <cell r="P688">
            <v>735</v>
          </cell>
          <cell r="Q688"/>
          <cell r="R688">
            <v>762</v>
          </cell>
          <cell r="S688"/>
          <cell r="T688">
            <v>762</v>
          </cell>
          <cell r="U688"/>
          <cell r="V688">
            <v>789</v>
          </cell>
          <cell r="W688"/>
          <cell r="X688">
            <v>749</v>
          </cell>
          <cell r="Y688"/>
          <cell r="Z688">
            <v>782</v>
          </cell>
          <cell r="AA688"/>
          <cell r="AB688"/>
          <cell r="AC688"/>
          <cell r="AD688">
            <v>4.7E-2</v>
          </cell>
          <cell r="AE688"/>
          <cell r="AF688"/>
          <cell r="AG688"/>
          <cell r="AH688"/>
          <cell r="AI688"/>
          <cell r="AJ688"/>
          <cell r="AK688"/>
          <cell r="AL688"/>
        </row>
        <row r="689">
          <cell r="E689" t="str">
            <v>VV-R 38sq-3C</v>
          </cell>
          <cell r="F689" t="str">
            <v>ｍ</v>
          </cell>
          <cell r="G689"/>
          <cell r="H689">
            <v>1371</v>
          </cell>
          <cell r="I689"/>
          <cell r="J689">
            <v>1359</v>
          </cell>
          <cell r="K689"/>
          <cell r="L689">
            <v>1335</v>
          </cell>
          <cell r="M689"/>
          <cell r="N689">
            <v>1335</v>
          </cell>
          <cell r="O689"/>
          <cell r="P689">
            <v>1311</v>
          </cell>
          <cell r="Q689"/>
          <cell r="R689">
            <v>1359</v>
          </cell>
          <cell r="S689"/>
          <cell r="T689">
            <v>1359</v>
          </cell>
          <cell r="U689"/>
          <cell r="V689">
            <v>1371</v>
          </cell>
          <cell r="W689"/>
          <cell r="X689">
            <v>1335</v>
          </cell>
          <cell r="Y689"/>
          <cell r="Z689">
            <v>1394</v>
          </cell>
          <cell r="AA689"/>
          <cell r="AB689"/>
          <cell r="AC689"/>
          <cell r="AD689">
            <v>6.2E-2</v>
          </cell>
          <cell r="AE689"/>
          <cell r="AF689"/>
          <cell r="AG689"/>
          <cell r="AH689"/>
          <cell r="AI689"/>
          <cell r="AJ689"/>
          <cell r="AK689"/>
          <cell r="AL689"/>
        </row>
        <row r="690">
          <cell r="E690" t="str">
            <v>VV-R 60sq-3C</v>
          </cell>
          <cell r="F690" t="str">
            <v>ｍ</v>
          </cell>
          <cell r="G690"/>
          <cell r="H690">
            <v>2170</v>
          </cell>
          <cell r="I690"/>
          <cell r="J690">
            <v>2152</v>
          </cell>
          <cell r="K690"/>
          <cell r="L690">
            <v>2113</v>
          </cell>
          <cell r="M690"/>
          <cell r="N690">
            <v>2113</v>
          </cell>
          <cell r="O690"/>
          <cell r="P690">
            <v>2076</v>
          </cell>
          <cell r="Q690"/>
          <cell r="R690">
            <v>2152</v>
          </cell>
          <cell r="S690"/>
          <cell r="T690">
            <v>2152</v>
          </cell>
          <cell r="U690"/>
          <cell r="V690">
            <v>2170</v>
          </cell>
          <cell r="W690"/>
          <cell r="X690">
            <v>2113</v>
          </cell>
          <cell r="Y690"/>
          <cell r="Z690">
            <v>2208</v>
          </cell>
          <cell r="AA690"/>
          <cell r="AB690"/>
          <cell r="AC690"/>
          <cell r="AD690">
            <v>8.2000000000000003E-2</v>
          </cell>
          <cell r="AE690"/>
          <cell r="AF690"/>
          <cell r="AG690"/>
          <cell r="AH690"/>
          <cell r="AI690"/>
          <cell r="AJ690"/>
          <cell r="AK690"/>
          <cell r="AL690"/>
        </row>
        <row r="691">
          <cell r="E691" t="str">
            <v>VV-R 100sq-3C</v>
          </cell>
          <cell r="F691" t="str">
            <v>ｍ</v>
          </cell>
          <cell r="G691"/>
          <cell r="H691">
            <v>3589</v>
          </cell>
          <cell r="I691"/>
          <cell r="J691">
            <v>3567</v>
          </cell>
          <cell r="K691"/>
          <cell r="L691">
            <v>3504</v>
          </cell>
          <cell r="M691"/>
          <cell r="N691">
            <v>3504</v>
          </cell>
          <cell r="O691"/>
          <cell r="P691">
            <v>3442</v>
          </cell>
          <cell r="Q691"/>
          <cell r="R691">
            <v>3567</v>
          </cell>
          <cell r="S691"/>
          <cell r="T691">
            <v>3567</v>
          </cell>
          <cell r="U691"/>
          <cell r="V691">
            <v>3589</v>
          </cell>
          <cell r="W691"/>
          <cell r="X691">
            <v>3504</v>
          </cell>
          <cell r="Y691"/>
          <cell r="Z691">
            <v>3660</v>
          </cell>
          <cell r="AA691"/>
          <cell r="AB691"/>
          <cell r="AC691"/>
          <cell r="AD691">
            <v>0.112</v>
          </cell>
          <cell r="AE691"/>
          <cell r="AF691"/>
          <cell r="AG691"/>
          <cell r="AH691"/>
          <cell r="AI691"/>
          <cell r="AJ691"/>
          <cell r="AK691"/>
          <cell r="AL691"/>
        </row>
        <row r="692">
          <cell r="E692" t="str">
            <v>VV-R 150sq-3C</v>
          </cell>
          <cell r="F692" t="str">
            <v>ｍ</v>
          </cell>
          <cell r="G692"/>
          <cell r="H692">
            <v>5530</v>
          </cell>
          <cell r="I692"/>
          <cell r="J692">
            <v>5482</v>
          </cell>
          <cell r="K692"/>
          <cell r="L692">
            <v>5387</v>
          </cell>
          <cell r="M692"/>
          <cell r="N692">
            <v>5387</v>
          </cell>
          <cell r="O692"/>
          <cell r="P692">
            <v>5290</v>
          </cell>
          <cell r="Q692"/>
          <cell r="R692">
            <v>5482</v>
          </cell>
          <cell r="S692"/>
          <cell r="T692">
            <v>5482</v>
          </cell>
          <cell r="U692"/>
          <cell r="V692">
            <v>5530</v>
          </cell>
          <cell r="W692"/>
          <cell r="X692">
            <v>5387</v>
          </cell>
          <cell r="Y692"/>
          <cell r="Z692">
            <v>5627</v>
          </cell>
          <cell r="AA692"/>
          <cell r="AB692"/>
          <cell r="AC692"/>
          <cell r="AD692">
            <v>0.13700000000000001</v>
          </cell>
          <cell r="AE692"/>
          <cell r="AF692"/>
          <cell r="AG692"/>
          <cell r="AH692"/>
          <cell r="AI692"/>
          <cell r="AJ692"/>
          <cell r="AK692"/>
          <cell r="AL692"/>
        </row>
        <row r="693">
          <cell r="E693" t="str">
            <v>VV-R 200sq-3C</v>
          </cell>
          <cell r="F693" t="str">
            <v>ｍ</v>
          </cell>
          <cell r="G693"/>
          <cell r="H693">
            <v>7228</v>
          </cell>
          <cell r="I693"/>
          <cell r="J693">
            <v>7165</v>
          </cell>
          <cell r="K693"/>
          <cell r="L693">
            <v>7040</v>
          </cell>
          <cell r="M693"/>
          <cell r="N693">
            <v>7040</v>
          </cell>
          <cell r="O693"/>
          <cell r="P693">
            <v>6914</v>
          </cell>
          <cell r="Q693"/>
          <cell r="R693">
            <v>7165</v>
          </cell>
          <cell r="S693"/>
          <cell r="T693">
            <v>7165</v>
          </cell>
          <cell r="U693"/>
          <cell r="V693">
            <v>7228</v>
          </cell>
          <cell r="W693"/>
          <cell r="X693">
            <v>7040</v>
          </cell>
          <cell r="Y693"/>
          <cell r="Z693">
            <v>7354</v>
          </cell>
          <cell r="AA693"/>
          <cell r="AB693"/>
          <cell r="AC693"/>
          <cell r="AD693">
            <v>0.17</v>
          </cell>
          <cell r="AE693"/>
          <cell r="AF693"/>
          <cell r="AG693"/>
          <cell r="AH693"/>
          <cell r="AI693"/>
          <cell r="AJ693"/>
          <cell r="AK693"/>
          <cell r="AL693"/>
        </row>
        <row r="694">
          <cell r="E694" t="str">
            <v>VV-R 250sq-3C</v>
          </cell>
          <cell r="F694" t="str">
            <v>ｍ</v>
          </cell>
          <cell r="G694"/>
          <cell r="H694">
            <v>9574</v>
          </cell>
          <cell r="I694"/>
          <cell r="J694">
            <v>9491</v>
          </cell>
          <cell r="K694"/>
          <cell r="L694">
            <v>9324</v>
          </cell>
          <cell r="M694"/>
          <cell r="N694">
            <v>9324</v>
          </cell>
          <cell r="O694"/>
          <cell r="P694">
            <v>9157</v>
          </cell>
          <cell r="Q694"/>
          <cell r="R694">
            <v>9491</v>
          </cell>
          <cell r="S694"/>
          <cell r="T694">
            <v>9491</v>
          </cell>
          <cell r="U694"/>
          <cell r="V694">
            <v>9574</v>
          </cell>
          <cell r="W694"/>
          <cell r="X694">
            <v>9324</v>
          </cell>
          <cell r="Y694"/>
          <cell r="Z694">
            <v>9740</v>
          </cell>
          <cell r="AA694"/>
          <cell r="AB694"/>
          <cell r="AC694"/>
          <cell r="AD694">
            <v>0.19600000000000001</v>
          </cell>
          <cell r="AE694"/>
          <cell r="AF694"/>
          <cell r="AG694"/>
          <cell r="AH694"/>
          <cell r="AI694"/>
          <cell r="AJ694"/>
          <cell r="AK694"/>
          <cell r="AL694"/>
        </row>
        <row r="695">
          <cell r="E695" t="str">
            <v>VV-R 325sq-3C</v>
          </cell>
          <cell r="F695" t="str">
            <v>ｍ</v>
          </cell>
          <cell r="G695"/>
          <cell r="H695">
            <v>13823</v>
          </cell>
          <cell r="I695"/>
          <cell r="J695">
            <v>13703</v>
          </cell>
          <cell r="K695"/>
          <cell r="L695">
            <v>13463</v>
          </cell>
          <cell r="M695"/>
          <cell r="N695">
            <v>13463</v>
          </cell>
          <cell r="O695"/>
          <cell r="P695">
            <v>13222</v>
          </cell>
          <cell r="Q695"/>
          <cell r="R695">
            <v>13703</v>
          </cell>
          <cell r="S695"/>
          <cell r="T695">
            <v>13703</v>
          </cell>
          <cell r="U695"/>
          <cell r="V695">
            <v>13823</v>
          </cell>
          <cell r="W695"/>
          <cell r="X695">
            <v>13463</v>
          </cell>
          <cell r="Y695"/>
          <cell r="Z695">
            <v>14063</v>
          </cell>
          <cell r="AA695"/>
          <cell r="AB695"/>
          <cell r="AC695"/>
          <cell r="AD695">
            <v>0.248</v>
          </cell>
          <cell r="AE695"/>
          <cell r="AF695"/>
          <cell r="AG695"/>
          <cell r="AH695"/>
          <cell r="AI695"/>
          <cell r="AJ695"/>
          <cell r="AK695"/>
          <cell r="AL695"/>
        </row>
        <row r="696">
          <cell r="E696" t="str">
            <v>CV 2sq-1C</v>
          </cell>
          <cell r="F696" t="str">
            <v>ｍ</v>
          </cell>
          <cell r="G696"/>
          <cell r="H696">
            <v>38.5</v>
          </cell>
          <cell r="I696"/>
          <cell r="J696">
            <v>39.1</v>
          </cell>
          <cell r="K696"/>
          <cell r="L696">
            <v>39.1</v>
          </cell>
          <cell r="M696"/>
          <cell r="N696">
            <v>37.9</v>
          </cell>
          <cell r="O696"/>
          <cell r="P696">
            <v>37</v>
          </cell>
          <cell r="Q696"/>
          <cell r="R696">
            <v>38.5</v>
          </cell>
          <cell r="S696"/>
          <cell r="T696">
            <v>38.5</v>
          </cell>
          <cell r="U696"/>
          <cell r="V696">
            <v>39.1</v>
          </cell>
          <cell r="W696"/>
          <cell r="X696">
            <v>39.700000000000003</v>
          </cell>
          <cell r="Y696"/>
          <cell r="Z696">
            <v>39.1</v>
          </cell>
          <cell r="AA696"/>
          <cell r="AB696"/>
          <cell r="AC696"/>
          <cell r="AD696">
            <v>0.01</v>
          </cell>
          <cell r="AE696"/>
          <cell r="AF696"/>
          <cell r="AG696"/>
          <cell r="AH696"/>
          <cell r="AI696"/>
          <cell r="AJ696"/>
          <cell r="AK696"/>
          <cell r="AL696"/>
        </row>
        <row r="697">
          <cell r="E697" t="str">
            <v>CV 3.5sq-1C</v>
          </cell>
          <cell r="F697" t="str">
            <v>ｍ</v>
          </cell>
          <cell r="G697"/>
          <cell r="H697">
            <v>56.8</v>
          </cell>
          <cell r="I697"/>
          <cell r="J697">
            <v>56.7</v>
          </cell>
          <cell r="K697"/>
          <cell r="L697">
            <v>56.7</v>
          </cell>
          <cell r="M697"/>
          <cell r="N697">
            <v>54.9</v>
          </cell>
          <cell r="O697"/>
          <cell r="P697">
            <v>53.6</v>
          </cell>
          <cell r="Q697"/>
          <cell r="R697">
            <v>56.8</v>
          </cell>
          <cell r="S697"/>
          <cell r="T697">
            <v>56.8</v>
          </cell>
          <cell r="U697"/>
          <cell r="V697">
            <v>56.7</v>
          </cell>
          <cell r="W697"/>
          <cell r="X697">
            <v>54.9</v>
          </cell>
          <cell r="Y697"/>
          <cell r="Z697">
            <v>56.7</v>
          </cell>
          <cell r="AA697"/>
          <cell r="AB697"/>
          <cell r="AC697"/>
          <cell r="AD697">
            <v>1.2E-2</v>
          </cell>
          <cell r="AE697"/>
          <cell r="AF697"/>
          <cell r="AG697"/>
          <cell r="AH697"/>
          <cell r="AI697"/>
          <cell r="AJ697"/>
          <cell r="AK697"/>
          <cell r="AL697"/>
        </row>
        <row r="698">
          <cell r="E698" t="str">
            <v>CV 5.5sq-1C</v>
          </cell>
          <cell r="F698" t="str">
            <v>ｍ</v>
          </cell>
          <cell r="G698"/>
          <cell r="H698">
            <v>76.8</v>
          </cell>
          <cell r="I698"/>
          <cell r="J698">
            <v>78</v>
          </cell>
          <cell r="K698"/>
          <cell r="L698">
            <v>78</v>
          </cell>
          <cell r="M698"/>
          <cell r="N698">
            <v>75.599999999999994</v>
          </cell>
          <cell r="O698"/>
          <cell r="P698">
            <v>73.8</v>
          </cell>
          <cell r="Q698"/>
          <cell r="R698">
            <v>76.8</v>
          </cell>
          <cell r="S698"/>
          <cell r="T698">
            <v>76.8</v>
          </cell>
          <cell r="U698"/>
          <cell r="V698">
            <v>78</v>
          </cell>
          <cell r="W698"/>
          <cell r="X698">
            <v>75.599999999999994</v>
          </cell>
          <cell r="Y698"/>
          <cell r="Z698">
            <v>78</v>
          </cell>
          <cell r="AA698"/>
          <cell r="AB698"/>
          <cell r="AC698"/>
          <cell r="AD698">
            <v>1.6E-2</v>
          </cell>
          <cell r="AE698"/>
          <cell r="AF698"/>
          <cell r="AG698"/>
          <cell r="AH698"/>
          <cell r="AI698"/>
          <cell r="AJ698"/>
          <cell r="AK698"/>
          <cell r="AL698"/>
        </row>
        <row r="699">
          <cell r="E699" t="str">
            <v>CV 8sq-1C</v>
          </cell>
          <cell r="F699" t="str">
            <v>ｍ</v>
          </cell>
          <cell r="G699"/>
          <cell r="H699">
            <v>104</v>
          </cell>
          <cell r="I699"/>
          <cell r="J699">
            <v>106</v>
          </cell>
          <cell r="K699"/>
          <cell r="L699">
            <v>106</v>
          </cell>
          <cell r="M699"/>
          <cell r="N699">
            <v>103</v>
          </cell>
          <cell r="O699"/>
          <cell r="P699">
            <v>100</v>
          </cell>
          <cell r="Q699"/>
          <cell r="R699">
            <v>104</v>
          </cell>
          <cell r="S699"/>
          <cell r="T699">
            <v>104</v>
          </cell>
          <cell r="U699"/>
          <cell r="V699">
            <v>106</v>
          </cell>
          <cell r="W699"/>
          <cell r="X699">
            <v>103</v>
          </cell>
          <cell r="Y699"/>
          <cell r="Z699">
            <v>106</v>
          </cell>
          <cell r="AA699"/>
          <cell r="AB699"/>
          <cell r="AC699"/>
          <cell r="AD699">
            <v>1.7000000000000001E-2</v>
          </cell>
          <cell r="AE699"/>
          <cell r="AF699"/>
          <cell r="AG699"/>
          <cell r="AH699"/>
          <cell r="AI699"/>
          <cell r="AJ699"/>
          <cell r="AK699"/>
          <cell r="AL699"/>
        </row>
        <row r="700">
          <cell r="E700" t="str">
            <v>CV 14sq-1C</v>
          </cell>
          <cell r="F700" t="str">
            <v>ｍ</v>
          </cell>
          <cell r="G700"/>
          <cell r="H700">
            <v>163</v>
          </cell>
          <cell r="I700"/>
          <cell r="J700">
            <v>165</v>
          </cell>
          <cell r="K700"/>
          <cell r="L700">
            <v>165</v>
          </cell>
          <cell r="M700"/>
          <cell r="N700">
            <v>160</v>
          </cell>
          <cell r="O700"/>
          <cell r="P700">
            <v>156</v>
          </cell>
          <cell r="Q700"/>
          <cell r="R700">
            <v>163</v>
          </cell>
          <cell r="S700"/>
          <cell r="T700">
            <v>163</v>
          </cell>
          <cell r="U700"/>
          <cell r="V700">
            <v>165</v>
          </cell>
          <cell r="W700"/>
          <cell r="X700">
            <v>160</v>
          </cell>
          <cell r="Y700"/>
          <cell r="Z700">
            <v>165</v>
          </cell>
          <cell r="AA700"/>
          <cell r="AB700"/>
          <cell r="AC700"/>
          <cell r="AD700">
            <v>2.1999999999999999E-2</v>
          </cell>
          <cell r="AE700"/>
          <cell r="AF700"/>
          <cell r="AG700"/>
          <cell r="AH700"/>
          <cell r="AI700"/>
          <cell r="AJ700"/>
          <cell r="AK700"/>
          <cell r="AL700"/>
        </row>
        <row r="701">
          <cell r="E701" t="str">
            <v>CV 22sq-1C</v>
          </cell>
          <cell r="F701" t="str">
            <v>ｍ</v>
          </cell>
          <cell r="G701"/>
          <cell r="H701">
            <v>247</v>
          </cell>
          <cell r="I701"/>
          <cell r="J701">
            <v>251</v>
          </cell>
          <cell r="K701"/>
          <cell r="L701">
            <v>251</v>
          </cell>
          <cell r="M701"/>
          <cell r="N701">
            <v>243</v>
          </cell>
          <cell r="O701"/>
          <cell r="P701">
            <v>237</v>
          </cell>
          <cell r="Q701"/>
          <cell r="R701">
            <v>247</v>
          </cell>
          <cell r="S701"/>
          <cell r="T701">
            <v>247</v>
          </cell>
          <cell r="U701"/>
          <cell r="V701">
            <v>251</v>
          </cell>
          <cell r="W701"/>
          <cell r="X701">
            <v>243</v>
          </cell>
          <cell r="Y701"/>
          <cell r="Z701">
            <v>251</v>
          </cell>
          <cell r="AA701"/>
          <cell r="AB701"/>
          <cell r="AC701"/>
          <cell r="AD701">
            <v>2.9000000000000001E-2</v>
          </cell>
          <cell r="AE701"/>
          <cell r="AF701"/>
          <cell r="AG701"/>
          <cell r="AH701"/>
          <cell r="AI701"/>
          <cell r="AJ701"/>
          <cell r="AK701"/>
          <cell r="AL701"/>
        </row>
        <row r="702">
          <cell r="E702" t="str">
            <v>CV 38sq-1C</v>
          </cell>
          <cell r="F702" t="str">
            <v>ｍ</v>
          </cell>
          <cell r="G702"/>
          <cell r="H702">
            <v>406</v>
          </cell>
          <cell r="I702"/>
          <cell r="J702">
            <v>413</v>
          </cell>
          <cell r="K702"/>
          <cell r="L702">
            <v>413</v>
          </cell>
          <cell r="M702"/>
          <cell r="N702">
            <v>400</v>
          </cell>
          <cell r="O702"/>
          <cell r="P702">
            <v>391</v>
          </cell>
          <cell r="Q702"/>
          <cell r="R702">
            <v>406</v>
          </cell>
          <cell r="S702"/>
          <cell r="T702">
            <v>406</v>
          </cell>
          <cell r="U702"/>
          <cell r="V702">
            <v>413</v>
          </cell>
          <cell r="W702"/>
          <cell r="X702">
            <v>400</v>
          </cell>
          <cell r="Y702"/>
          <cell r="Z702">
            <v>413</v>
          </cell>
          <cell r="AA702"/>
          <cell r="AB702"/>
          <cell r="AC702"/>
          <cell r="AD702">
            <v>3.6999999999999998E-2</v>
          </cell>
          <cell r="AE702"/>
          <cell r="AF702"/>
          <cell r="AG702"/>
          <cell r="AH702"/>
          <cell r="AI702"/>
          <cell r="AJ702"/>
          <cell r="AK702"/>
          <cell r="AL702"/>
        </row>
        <row r="703">
          <cell r="E703" t="str">
            <v>CV 60sq-1C</v>
          </cell>
          <cell r="F703" t="str">
            <v>ｍ</v>
          </cell>
          <cell r="G703"/>
          <cell r="H703">
            <v>627</v>
          </cell>
          <cell r="I703"/>
          <cell r="J703">
            <v>636</v>
          </cell>
          <cell r="K703"/>
          <cell r="L703">
            <v>636</v>
          </cell>
          <cell r="M703"/>
          <cell r="N703">
            <v>617</v>
          </cell>
          <cell r="O703"/>
          <cell r="P703">
            <v>602</v>
          </cell>
          <cell r="Q703"/>
          <cell r="R703">
            <v>627</v>
          </cell>
          <cell r="S703"/>
          <cell r="T703">
            <v>627</v>
          </cell>
          <cell r="U703"/>
          <cell r="V703">
            <v>636</v>
          </cell>
          <cell r="W703"/>
          <cell r="X703">
            <v>617</v>
          </cell>
          <cell r="Y703"/>
          <cell r="Z703">
            <v>636</v>
          </cell>
          <cell r="AA703"/>
          <cell r="AB703"/>
          <cell r="AC703"/>
          <cell r="AD703">
            <v>4.9000000000000002E-2</v>
          </cell>
          <cell r="AE703"/>
          <cell r="AF703"/>
          <cell r="AG703"/>
          <cell r="AH703"/>
          <cell r="AI703"/>
          <cell r="AJ703"/>
          <cell r="AK703"/>
          <cell r="AL703"/>
        </row>
        <row r="704">
          <cell r="E704" t="str">
            <v>CV 100sq-1C</v>
          </cell>
          <cell r="F704" t="str">
            <v>ｍ</v>
          </cell>
          <cell r="G704"/>
          <cell r="H704">
            <v>1048</v>
          </cell>
          <cell r="I704"/>
          <cell r="J704">
            <v>1065</v>
          </cell>
          <cell r="K704"/>
          <cell r="L704">
            <v>1065</v>
          </cell>
          <cell r="M704"/>
          <cell r="N704">
            <v>1032</v>
          </cell>
          <cell r="O704"/>
          <cell r="P704">
            <v>1007</v>
          </cell>
          <cell r="Q704"/>
          <cell r="R704">
            <v>1048</v>
          </cell>
          <cell r="S704"/>
          <cell r="T704">
            <v>48</v>
          </cell>
          <cell r="U704"/>
          <cell r="V704">
            <v>1065</v>
          </cell>
          <cell r="W704"/>
          <cell r="X704">
            <v>1032</v>
          </cell>
          <cell r="Y704"/>
          <cell r="Z704">
            <v>1065</v>
          </cell>
          <cell r="AA704"/>
          <cell r="AB704"/>
          <cell r="AC704"/>
          <cell r="AD704">
            <v>6.7000000000000004E-2</v>
          </cell>
          <cell r="AE704"/>
          <cell r="AF704"/>
          <cell r="AG704"/>
          <cell r="AH704"/>
          <cell r="AI704"/>
          <cell r="AJ704"/>
          <cell r="AK704"/>
          <cell r="AL704"/>
        </row>
        <row r="705">
          <cell r="E705" t="str">
            <v>CV 150sq-1C</v>
          </cell>
          <cell r="F705" t="str">
            <v>ｍ</v>
          </cell>
          <cell r="G705"/>
          <cell r="H705">
            <v>1558</v>
          </cell>
          <cell r="I705"/>
          <cell r="J705">
            <v>1582</v>
          </cell>
          <cell r="K705"/>
          <cell r="L705">
            <v>1582</v>
          </cell>
          <cell r="M705"/>
          <cell r="N705">
            <v>1533</v>
          </cell>
          <cell r="O705"/>
          <cell r="P705">
            <v>1497</v>
          </cell>
          <cell r="Q705"/>
          <cell r="R705">
            <v>1558</v>
          </cell>
          <cell r="S705"/>
          <cell r="T705">
            <v>1558</v>
          </cell>
          <cell r="U705"/>
          <cell r="V705">
            <v>1582</v>
          </cell>
          <cell r="W705"/>
          <cell r="X705">
            <v>1533</v>
          </cell>
          <cell r="Y705"/>
          <cell r="Z705">
            <v>1582</v>
          </cell>
          <cell r="AA705"/>
          <cell r="AB705"/>
          <cell r="AC705"/>
          <cell r="AD705">
            <v>8.3000000000000004E-2</v>
          </cell>
          <cell r="AE705"/>
          <cell r="AF705"/>
          <cell r="AG705"/>
          <cell r="AH705"/>
          <cell r="AI705"/>
          <cell r="AJ705"/>
          <cell r="AK705"/>
          <cell r="AL705"/>
        </row>
        <row r="706">
          <cell r="E706" t="str">
            <v>CV 200sq-1C</v>
          </cell>
          <cell r="F706" t="str">
            <v>ｍ</v>
          </cell>
          <cell r="G706"/>
          <cell r="H706">
            <v>2068</v>
          </cell>
          <cell r="I706"/>
          <cell r="J706">
            <v>2101</v>
          </cell>
          <cell r="K706"/>
          <cell r="L706">
            <v>2101</v>
          </cell>
          <cell r="M706"/>
          <cell r="N706">
            <v>2036</v>
          </cell>
          <cell r="O706"/>
          <cell r="P706">
            <v>1988</v>
          </cell>
          <cell r="Q706"/>
          <cell r="R706">
            <v>2068</v>
          </cell>
          <cell r="S706"/>
          <cell r="T706">
            <v>2068</v>
          </cell>
          <cell r="U706"/>
          <cell r="V706">
            <v>2101</v>
          </cell>
          <cell r="W706"/>
          <cell r="X706">
            <v>2036</v>
          </cell>
          <cell r="Y706"/>
          <cell r="Z706">
            <v>2101</v>
          </cell>
          <cell r="AA706"/>
          <cell r="AB706"/>
          <cell r="AC706"/>
          <cell r="AD706">
            <v>0.10199999999999999</v>
          </cell>
          <cell r="AE706"/>
          <cell r="AF706"/>
          <cell r="AG706"/>
          <cell r="AH706"/>
          <cell r="AI706"/>
          <cell r="AJ706"/>
          <cell r="AK706"/>
          <cell r="AL706"/>
        </row>
        <row r="707">
          <cell r="E707" t="str">
            <v>CV 250sq-1C</v>
          </cell>
          <cell r="F707" t="str">
            <v>ｍ</v>
          </cell>
          <cell r="G707"/>
          <cell r="H707">
            <v>2602</v>
          </cell>
          <cell r="I707"/>
          <cell r="J707">
            <v>2643</v>
          </cell>
          <cell r="K707"/>
          <cell r="L707">
            <v>2643</v>
          </cell>
          <cell r="M707"/>
          <cell r="N707">
            <v>2562</v>
          </cell>
          <cell r="O707"/>
          <cell r="P707">
            <v>2501</v>
          </cell>
          <cell r="Q707"/>
          <cell r="R707">
            <v>2602</v>
          </cell>
          <cell r="S707"/>
          <cell r="T707">
            <v>2602</v>
          </cell>
          <cell r="U707"/>
          <cell r="V707">
            <v>2643</v>
          </cell>
          <cell r="W707"/>
          <cell r="X707">
            <v>2562</v>
          </cell>
          <cell r="Y707"/>
          <cell r="Z707">
            <v>2643</v>
          </cell>
          <cell r="AA707"/>
          <cell r="AB707"/>
          <cell r="AC707"/>
          <cell r="AD707">
            <v>0.11700000000000001</v>
          </cell>
          <cell r="AE707"/>
          <cell r="AF707"/>
          <cell r="AG707"/>
          <cell r="AH707"/>
          <cell r="AI707"/>
          <cell r="AJ707"/>
          <cell r="AK707"/>
          <cell r="AL707"/>
        </row>
        <row r="708">
          <cell r="E708" t="str">
            <v>CV 325sq-1C</v>
          </cell>
          <cell r="F708" t="str">
            <v>ｍ</v>
          </cell>
          <cell r="G708"/>
          <cell r="H708">
            <v>3364</v>
          </cell>
          <cell r="I708"/>
          <cell r="J708">
            <v>3416</v>
          </cell>
          <cell r="K708"/>
          <cell r="L708">
            <v>3416</v>
          </cell>
          <cell r="M708"/>
          <cell r="N708">
            <v>3311</v>
          </cell>
          <cell r="O708"/>
          <cell r="P708">
            <v>3232</v>
          </cell>
          <cell r="Q708"/>
          <cell r="R708">
            <v>3364</v>
          </cell>
          <cell r="S708"/>
          <cell r="T708">
            <v>3364</v>
          </cell>
          <cell r="U708"/>
          <cell r="V708">
            <v>3416</v>
          </cell>
          <cell r="W708"/>
          <cell r="X708">
            <v>3311</v>
          </cell>
          <cell r="Y708"/>
          <cell r="Z708">
            <v>3416</v>
          </cell>
          <cell r="AA708"/>
          <cell r="AB708"/>
          <cell r="AC708"/>
          <cell r="AD708">
            <v>0.14899999999999999</v>
          </cell>
          <cell r="AE708"/>
          <cell r="AF708"/>
          <cell r="AG708"/>
          <cell r="AH708"/>
          <cell r="AI708"/>
          <cell r="AJ708"/>
          <cell r="AK708"/>
          <cell r="AL708"/>
        </row>
        <row r="709">
          <cell r="E709" t="str">
            <v>CV 2sq-2C</v>
          </cell>
          <cell r="F709" t="str">
            <v>ｍ</v>
          </cell>
          <cell r="G709"/>
          <cell r="H709">
            <v>90.2</v>
          </cell>
          <cell r="I709"/>
          <cell r="J709">
            <v>91.7</v>
          </cell>
          <cell r="K709"/>
          <cell r="L709">
            <v>91.7</v>
          </cell>
          <cell r="M709"/>
          <cell r="N709">
            <v>88.8</v>
          </cell>
          <cell r="O709"/>
          <cell r="P709">
            <v>86.7</v>
          </cell>
          <cell r="Q709"/>
          <cell r="R709">
            <v>90.2</v>
          </cell>
          <cell r="S709"/>
          <cell r="T709">
            <v>90.2</v>
          </cell>
          <cell r="U709"/>
          <cell r="V709">
            <v>91.7</v>
          </cell>
          <cell r="W709"/>
          <cell r="X709">
            <v>88.8</v>
          </cell>
          <cell r="Y709"/>
          <cell r="Z709">
            <v>91.7</v>
          </cell>
          <cell r="AA709"/>
          <cell r="AB709"/>
          <cell r="AC709"/>
          <cell r="AD709">
            <v>1.2999999999999999E-2</v>
          </cell>
          <cell r="AE709"/>
          <cell r="AF709"/>
          <cell r="AG709"/>
          <cell r="AH709"/>
          <cell r="AI709"/>
          <cell r="AJ709"/>
          <cell r="AK709"/>
          <cell r="AL709"/>
        </row>
        <row r="710">
          <cell r="E710" t="str">
            <v>CV 3.5sq-2C</v>
          </cell>
          <cell r="F710" t="str">
            <v>ｍ</v>
          </cell>
          <cell r="G710"/>
          <cell r="H710">
            <v>128</v>
          </cell>
          <cell r="I710"/>
          <cell r="J710">
            <v>130</v>
          </cell>
          <cell r="K710"/>
          <cell r="L710">
            <v>130</v>
          </cell>
          <cell r="M710"/>
          <cell r="N710">
            <v>126</v>
          </cell>
          <cell r="O710"/>
          <cell r="P710">
            <v>123</v>
          </cell>
          <cell r="Q710"/>
          <cell r="R710">
            <v>128</v>
          </cell>
          <cell r="S710"/>
          <cell r="T710">
            <v>128</v>
          </cell>
          <cell r="U710"/>
          <cell r="V710">
            <v>130</v>
          </cell>
          <cell r="W710"/>
          <cell r="X710">
            <v>126</v>
          </cell>
          <cell r="Y710"/>
          <cell r="Z710">
            <v>130</v>
          </cell>
          <cell r="AA710"/>
          <cell r="AB710"/>
          <cell r="AC710"/>
          <cell r="AD710">
            <v>1.7000000000000001E-2</v>
          </cell>
          <cell r="AE710"/>
          <cell r="AF710"/>
          <cell r="AG710"/>
          <cell r="AH710"/>
          <cell r="AI710"/>
          <cell r="AJ710"/>
          <cell r="AK710"/>
          <cell r="AL710"/>
        </row>
        <row r="711">
          <cell r="E711" t="str">
            <v>CV 5.5sq-2C</v>
          </cell>
          <cell r="F711" t="str">
            <v>ｍ</v>
          </cell>
          <cell r="G711"/>
          <cell r="H711">
            <v>175</v>
          </cell>
          <cell r="I711"/>
          <cell r="J711">
            <v>178</v>
          </cell>
          <cell r="K711"/>
          <cell r="L711">
            <v>178</v>
          </cell>
          <cell r="M711"/>
          <cell r="N711">
            <v>173</v>
          </cell>
          <cell r="O711"/>
          <cell r="P711">
            <v>169</v>
          </cell>
          <cell r="Q711"/>
          <cell r="R711">
            <v>175</v>
          </cell>
          <cell r="S711"/>
          <cell r="T711">
            <v>175</v>
          </cell>
          <cell r="U711"/>
          <cell r="V711">
            <v>178</v>
          </cell>
          <cell r="W711"/>
          <cell r="X711">
            <v>173</v>
          </cell>
          <cell r="Y711"/>
          <cell r="Z711">
            <v>178</v>
          </cell>
          <cell r="AA711"/>
          <cell r="AB711"/>
          <cell r="AC711"/>
          <cell r="AD711">
            <v>2.1000000000000001E-2</v>
          </cell>
          <cell r="AE711"/>
          <cell r="AF711"/>
          <cell r="AG711"/>
          <cell r="AH711"/>
          <cell r="AI711"/>
          <cell r="AJ711"/>
          <cell r="AK711"/>
          <cell r="AL711"/>
        </row>
        <row r="712">
          <cell r="E712" t="str">
            <v>CV 8sq-2C</v>
          </cell>
          <cell r="F712" t="str">
            <v>ｍ</v>
          </cell>
          <cell r="G712"/>
          <cell r="H712">
            <v>232</v>
          </cell>
          <cell r="I712"/>
          <cell r="J712">
            <v>235</v>
          </cell>
          <cell r="K712"/>
          <cell r="L712">
            <v>235</v>
          </cell>
          <cell r="M712"/>
          <cell r="N712">
            <v>228</v>
          </cell>
          <cell r="O712"/>
          <cell r="P712">
            <v>223</v>
          </cell>
          <cell r="Q712"/>
          <cell r="R712">
            <v>232</v>
          </cell>
          <cell r="S712"/>
          <cell r="T712">
            <v>232</v>
          </cell>
          <cell r="U712"/>
          <cell r="V712">
            <v>235</v>
          </cell>
          <cell r="W712"/>
          <cell r="X712">
            <v>228</v>
          </cell>
          <cell r="Y712"/>
          <cell r="Z712">
            <v>235</v>
          </cell>
          <cell r="AA712"/>
          <cell r="AB712"/>
          <cell r="AC712"/>
          <cell r="AD712">
            <v>2.3E-2</v>
          </cell>
          <cell r="AE712"/>
          <cell r="AF712"/>
          <cell r="AG712"/>
          <cell r="AH712"/>
          <cell r="AI712"/>
          <cell r="AJ712"/>
          <cell r="AK712"/>
          <cell r="AL712"/>
        </row>
        <row r="713">
          <cell r="E713" t="str">
            <v>CV 14sq-2C</v>
          </cell>
          <cell r="F713" t="str">
            <v>ｍ</v>
          </cell>
          <cell r="G713"/>
          <cell r="H713">
            <v>355</v>
          </cell>
          <cell r="I713"/>
          <cell r="J713">
            <v>360</v>
          </cell>
          <cell r="K713"/>
          <cell r="L713">
            <v>360</v>
          </cell>
          <cell r="M713"/>
          <cell r="N713">
            <v>349</v>
          </cell>
          <cell r="O713"/>
          <cell r="P713">
            <v>341</v>
          </cell>
          <cell r="Q713"/>
          <cell r="R713">
            <v>355</v>
          </cell>
          <cell r="S713"/>
          <cell r="T713">
            <v>355</v>
          </cell>
          <cell r="U713"/>
          <cell r="V713">
            <v>360</v>
          </cell>
          <cell r="W713"/>
          <cell r="X713">
            <v>349</v>
          </cell>
          <cell r="Y713"/>
          <cell r="Z713">
            <v>360</v>
          </cell>
          <cell r="AA713"/>
          <cell r="AB713"/>
          <cell r="AC713"/>
          <cell r="AD713">
            <v>2.9000000000000001E-2</v>
          </cell>
          <cell r="AE713"/>
          <cell r="AF713"/>
          <cell r="AG713"/>
          <cell r="AH713"/>
          <cell r="AI713"/>
          <cell r="AJ713"/>
          <cell r="AK713"/>
          <cell r="AL713"/>
        </row>
        <row r="714">
          <cell r="E714" t="str">
            <v>CV 22sq-2C</v>
          </cell>
          <cell r="F714" t="str">
            <v>ｍ</v>
          </cell>
          <cell r="G714"/>
          <cell r="H714">
            <v>529</v>
          </cell>
          <cell r="I714"/>
          <cell r="J714">
            <v>538</v>
          </cell>
          <cell r="K714"/>
          <cell r="L714">
            <v>538</v>
          </cell>
          <cell r="M714"/>
          <cell r="N714">
            <v>521</v>
          </cell>
          <cell r="O714"/>
          <cell r="P714">
            <v>509</v>
          </cell>
          <cell r="Q714"/>
          <cell r="R714">
            <v>529</v>
          </cell>
          <cell r="S714"/>
          <cell r="T714">
            <v>529</v>
          </cell>
          <cell r="U714"/>
          <cell r="V714">
            <v>538</v>
          </cell>
          <cell r="W714"/>
          <cell r="X714">
            <v>521</v>
          </cell>
          <cell r="Y714"/>
          <cell r="Z714">
            <v>538</v>
          </cell>
          <cell r="AA714"/>
          <cell r="AB714"/>
          <cell r="AC714"/>
          <cell r="AD714">
            <v>3.6999999999999998E-2</v>
          </cell>
          <cell r="AE714"/>
          <cell r="AF714"/>
          <cell r="AG714"/>
          <cell r="AH714"/>
          <cell r="AI714"/>
          <cell r="AJ714"/>
          <cell r="AK714"/>
          <cell r="AL714"/>
        </row>
        <row r="715">
          <cell r="E715" t="str">
            <v>CV 38sq-2C</v>
          </cell>
          <cell r="F715" t="str">
            <v>ｍ</v>
          </cell>
          <cell r="G715"/>
          <cell r="H715">
            <v>857</v>
          </cell>
          <cell r="I715"/>
          <cell r="J715">
            <v>870</v>
          </cell>
          <cell r="K715"/>
          <cell r="L715">
            <v>870</v>
          </cell>
          <cell r="M715"/>
          <cell r="N715">
            <v>944</v>
          </cell>
          <cell r="O715"/>
          <cell r="P715">
            <v>823</v>
          </cell>
          <cell r="Q715"/>
          <cell r="R715">
            <v>857</v>
          </cell>
          <cell r="S715"/>
          <cell r="T715">
            <v>857</v>
          </cell>
          <cell r="U715"/>
          <cell r="V715">
            <v>870</v>
          </cell>
          <cell r="W715"/>
          <cell r="X715">
            <v>844</v>
          </cell>
          <cell r="Y715"/>
          <cell r="Z715">
            <v>870</v>
          </cell>
          <cell r="AA715"/>
          <cell r="AB715"/>
          <cell r="AC715"/>
          <cell r="AD715">
            <v>0.05</v>
          </cell>
          <cell r="AE715"/>
          <cell r="AF715"/>
          <cell r="AG715"/>
          <cell r="AH715"/>
          <cell r="AI715"/>
          <cell r="AJ715"/>
          <cell r="AK715"/>
          <cell r="AL715"/>
        </row>
        <row r="716">
          <cell r="E716" t="str">
            <v>CV 60sq-2C</v>
          </cell>
          <cell r="F716" t="str">
            <v>ｍ</v>
          </cell>
          <cell r="G716"/>
          <cell r="H716">
            <v>1338</v>
          </cell>
          <cell r="I716"/>
          <cell r="J716">
            <v>1359</v>
          </cell>
          <cell r="K716"/>
          <cell r="L716">
            <v>1359</v>
          </cell>
          <cell r="M716"/>
          <cell r="N716">
            <v>1317</v>
          </cell>
          <cell r="O716"/>
          <cell r="P716">
            <v>1285</v>
          </cell>
          <cell r="Q716"/>
          <cell r="R716">
            <v>1338</v>
          </cell>
          <cell r="S716"/>
          <cell r="T716">
            <v>1338</v>
          </cell>
          <cell r="U716"/>
          <cell r="V716">
            <v>1359</v>
          </cell>
          <cell r="W716"/>
          <cell r="X716">
            <v>1317</v>
          </cell>
          <cell r="Y716"/>
          <cell r="Z716">
            <v>1359</v>
          </cell>
          <cell r="AA716"/>
          <cell r="AB716"/>
          <cell r="AC716"/>
          <cell r="AD716">
            <v>6.5000000000000002E-2</v>
          </cell>
          <cell r="AE716"/>
          <cell r="AF716"/>
          <cell r="AG716"/>
          <cell r="AH716"/>
          <cell r="AI716"/>
          <cell r="AJ716"/>
          <cell r="AK716"/>
          <cell r="AL716"/>
        </row>
        <row r="717">
          <cell r="E717" t="str">
            <v>CV 100sq-2C</v>
          </cell>
          <cell r="F717" t="str">
            <v>ｍ</v>
          </cell>
          <cell r="G717"/>
          <cell r="H717">
            <v>2208</v>
          </cell>
          <cell r="I717"/>
          <cell r="J717">
            <v>2243</v>
          </cell>
          <cell r="K717"/>
          <cell r="L717">
            <v>2243</v>
          </cell>
          <cell r="M717"/>
          <cell r="N717">
            <v>2174</v>
          </cell>
          <cell r="O717"/>
          <cell r="P717">
            <v>2122</v>
          </cell>
          <cell r="Q717"/>
          <cell r="R717">
            <v>2208</v>
          </cell>
          <cell r="S717"/>
          <cell r="T717">
            <v>2208</v>
          </cell>
          <cell r="U717"/>
          <cell r="V717">
            <v>2243</v>
          </cell>
          <cell r="W717"/>
          <cell r="X717">
            <v>2174</v>
          </cell>
          <cell r="Y717"/>
          <cell r="Z717">
            <v>2243</v>
          </cell>
          <cell r="AA717"/>
          <cell r="AB717"/>
          <cell r="AC717"/>
          <cell r="AD717">
            <v>0.09</v>
          </cell>
          <cell r="AE717"/>
          <cell r="AF717"/>
          <cell r="AG717"/>
          <cell r="AH717"/>
          <cell r="AI717"/>
          <cell r="AJ717"/>
          <cell r="AK717"/>
          <cell r="AL717"/>
        </row>
        <row r="718">
          <cell r="E718" t="str">
            <v>CV 150sq-2C</v>
          </cell>
          <cell r="F718" t="str">
            <v>ｍ</v>
          </cell>
          <cell r="G718"/>
          <cell r="H718">
            <v>3294</v>
          </cell>
          <cell r="I718"/>
          <cell r="J718">
            <v>3346</v>
          </cell>
          <cell r="K718"/>
          <cell r="L718">
            <v>3346</v>
          </cell>
          <cell r="M718"/>
          <cell r="N718">
            <v>3243</v>
          </cell>
          <cell r="O718"/>
          <cell r="P718">
            <v>3165</v>
          </cell>
          <cell r="Q718"/>
          <cell r="R718">
            <v>3294</v>
          </cell>
          <cell r="S718"/>
          <cell r="T718">
            <v>3294</v>
          </cell>
          <cell r="U718"/>
          <cell r="V718">
            <v>3346</v>
          </cell>
          <cell r="W718"/>
          <cell r="X718">
            <v>3243</v>
          </cell>
          <cell r="Y718"/>
          <cell r="Z718">
            <v>3346</v>
          </cell>
          <cell r="AA718"/>
          <cell r="AB718"/>
          <cell r="AC718"/>
          <cell r="AD718">
            <v>0.11</v>
          </cell>
          <cell r="AE718"/>
          <cell r="AF718"/>
          <cell r="AG718"/>
          <cell r="AH718"/>
          <cell r="AI718"/>
          <cell r="AJ718"/>
          <cell r="AK718"/>
          <cell r="AL718"/>
        </row>
        <row r="719">
          <cell r="E719" t="str">
            <v>CV 200sq-2C</v>
          </cell>
          <cell r="F719" t="str">
            <v>ｍ</v>
          </cell>
          <cell r="G719"/>
          <cell r="H719">
            <v>4428</v>
          </cell>
          <cell r="I719"/>
          <cell r="J719">
            <v>4497</v>
          </cell>
          <cell r="K719"/>
          <cell r="L719">
            <v>4497</v>
          </cell>
          <cell r="M719"/>
          <cell r="N719">
            <v>4358</v>
          </cell>
          <cell r="O719"/>
          <cell r="P719">
            <v>4255</v>
          </cell>
          <cell r="Q719"/>
          <cell r="R719">
            <v>4428</v>
          </cell>
          <cell r="S719"/>
          <cell r="T719">
            <v>4428</v>
          </cell>
          <cell r="U719"/>
          <cell r="V719">
            <v>4497</v>
          </cell>
          <cell r="W719"/>
          <cell r="X719">
            <v>4358</v>
          </cell>
          <cell r="Y719"/>
          <cell r="Z719">
            <v>4497</v>
          </cell>
          <cell r="AA719"/>
          <cell r="AB719"/>
          <cell r="AC719"/>
          <cell r="AD719">
            <v>0.13600000000000001</v>
          </cell>
          <cell r="AE719"/>
          <cell r="AF719"/>
          <cell r="AG719"/>
          <cell r="AH719"/>
          <cell r="AI719"/>
          <cell r="AJ719"/>
          <cell r="AK719"/>
          <cell r="AL719"/>
        </row>
        <row r="720">
          <cell r="E720" t="str">
            <v>CV 250sq-2C</v>
          </cell>
          <cell r="F720" t="str">
            <v>ｍ</v>
          </cell>
          <cell r="G720"/>
          <cell r="H720">
            <v>6132</v>
          </cell>
          <cell r="I720"/>
          <cell r="J720">
            <v>6228</v>
          </cell>
          <cell r="K720"/>
          <cell r="L720">
            <v>6228</v>
          </cell>
          <cell r="M720"/>
          <cell r="N720">
            <v>6036</v>
          </cell>
          <cell r="O720"/>
          <cell r="P720">
            <v>5892</v>
          </cell>
          <cell r="Q720"/>
          <cell r="R720">
            <v>6132</v>
          </cell>
          <cell r="S720"/>
          <cell r="T720">
            <v>6132</v>
          </cell>
          <cell r="U720"/>
          <cell r="V720">
            <v>6228</v>
          </cell>
          <cell r="W720"/>
          <cell r="X720">
            <v>6036</v>
          </cell>
          <cell r="Y720"/>
          <cell r="Z720">
            <v>6228</v>
          </cell>
          <cell r="AA720"/>
          <cell r="AB720"/>
          <cell r="AC720"/>
          <cell r="AD720">
            <v>0.157</v>
          </cell>
          <cell r="AE720"/>
          <cell r="AF720"/>
          <cell r="AG720"/>
          <cell r="AH720"/>
          <cell r="AI720"/>
          <cell r="AJ720"/>
          <cell r="AK720"/>
          <cell r="AL720"/>
        </row>
        <row r="721">
          <cell r="E721" t="str">
            <v>CV 325sq-2C</v>
          </cell>
          <cell r="F721" t="str">
            <v>ｍ</v>
          </cell>
          <cell r="G721"/>
          <cell r="H721">
            <v>7827</v>
          </cell>
          <cell r="I721"/>
          <cell r="J721">
            <v>7949</v>
          </cell>
          <cell r="K721"/>
          <cell r="L721">
            <v>7949</v>
          </cell>
          <cell r="M721"/>
          <cell r="N721">
            <v>7704</v>
          </cell>
          <cell r="O721"/>
          <cell r="P721">
            <v>7521</v>
          </cell>
          <cell r="Q721"/>
          <cell r="R721">
            <v>7827</v>
          </cell>
          <cell r="S721"/>
          <cell r="T721">
            <v>7827</v>
          </cell>
          <cell r="U721"/>
          <cell r="V721">
            <v>7949</v>
          </cell>
          <cell r="W721"/>
          <cell r="X721">
            <v>7704</v>
          </cell>
          <cell r="Y721"/>
          <cell r="Z721">
            <v>7949</v>
          </cell>
          <cell r="AA721"/>
          <cell r="AB721"/>
          <cell r="AC721"/>
          <cell r="AD721">
            <v>0.19800000000000001</v>
          </cell>
          <cell r="AE721"/>
          <cell r="AF721"/>
          <cell r="AG721"/>
          <cell r="AH721"/>
          <cell r="AI721"/>
          <cell r="AJ721"/>
          <cell r="AK721"/>
          <cell r="AL721"/>
        </row>
        <row r="722">
          <cell r="E722" t="str">
            <v>CV  2sq-3C</v>
          </cell>
          <cell r="F722" t="str">
            <v>ｍ</v>
          </cell>
          <cell r="G722"/>
          <cell r="H722">
            <v>116</v>
          </cell>
          <cell r="I722"/>
          <cell r="J722">
            <v>118</v>
          </cell>
          <cell r="K722"/>
          <cell r="L722">
            <v>118</v>
          </cell>
          <cell r="M722"/>
          <cell r="N722">
            <v>115</v>
          </cell>
          <cell r="O722"/>
          <cell r="P722">
            <v>112</v>
          </cell>
          <cell r="Q722"/>
          <cell r="R722">
            <v>116</v>
          </cell>
          <cell r="S722"/>
          <cell r="T722">
            <v>116</v>
          </cell>
          <cell r="U722"/>
          <cell r="V722">
            <v>118</v>
          </cell>
          <cell r="W722"/>
          <cell r="X722">
            <v>115</v>
          </cell>
          <cell r="Y722"/>
          <cell r="Z722">
            <v>118</v>
          </cell>
          <cell r="AA722"/>
          <cell r="AB722"/>
          <cell r="AC722"/>
          <cell r="AD722">
            <v>1.7000000000000001E-2</v>
          </cell>
          <cell r="AE722"/>
          <cell r="AF722"/>
          <cell r="AG722"/>
          <cell r="AH722"/>
          <cell r="AI722"/>
          <cell r="AJ722"/>
          <cell r="AK722"/>
          <cell r="AL722"/>
        </row>
        <row r="723">
          <cell r="E723" t="str">
            <v>CV3.5sq-3C</v>
          </cell>
          <cell r="F723" t="str">
            <v>ｍ</v>
          </cell>
          <cell r="G723"/>
          <cell r="H723">
            <v>170</v>
          </cell>
          <cell r="I723"/>
          <cell r="J723">
            <v>173</v>
          </cell>
          <cell r="K723"/>
          <cell r="L723">
            <v>173</v>
          </cell>
          <cell r="M723"/>
          <cell r="N723">
            <v>168</v>
          </cell>
          <cell r="O723"/>
          <cell r="P723">
            <v>164</v>
          </cell>
          <cell r="Q723"/>
          <cell r="R723">
            <v>170</v>
          </cell>
          <cell r="S723"/>
          <cell r="T723">
            <v>170</v>
          </cell>
          <cell r="U723"/>
          <cell r="V723">
            <v>173</v>
          </cell>
          <cell r="W723"/>
          <cell r="X723">
            <v>168</v>
          </cell>
          <cell r="Y723"/>
          <cell r="Z723">
            <v>173</v>
          </cell>
          <cell r="AA723"/>
          <cell r="AB723"/>
          <cell r="AC723"/>
          <cell r="AD723">
            <v>2.1000000000000001E-2</v>
          </cell>
          <cell r="AE723"/>
          <cell r="AF723"/>
          <cell r="AG723"/>
          <cell r="AH723"/>
          <cell r="AI723"/>
          <cell r="AJ723"/>
          <cell r="AK723"/>
          <cell r="AL723"/>
        </row>
        <row r="724">
          <cell r="E724" t="str">
            <v>CV5.5sq-3C</v>
          </cell>
          <cell r="F724" t="str">
            <v>ｍ</v>
          </cell>
          <cell r="G724"/>
          <cell r="H724">
            <v>239</v>
          </cell>
          <cell r="I724"/>
          <cell r="J724">
            <v>243</v>
          </cell>
          <cell r="K724"/>
          <cell r="L724">
            <v>243</v>
          </cell>
          <cell r="M724"/>
          <cell r="N724">
            <v>236</v>
          </cell>
          <cell r="O724"/>
          <cell r="P724">
            <v>230</v>
          </cell>
          <cell r="Q724"/>
          <cell r="R724">
            <v>239</v>
          </cell>
          <cell r="S724"/>
          <cell r="T724">
            <v>239</v>
          </cell>
          <cell r="U724"/>
          <cell r="V724">
            <v>243</v>
          </cell>
          <cell r="W724"/>
          <cell r="X724">
            <v>236</v>
          </cell>
          <cell r="Y724"/>
          <cell r="Z724">
            <v>243</v>
          </cell>
          <cell r="AA724"/>
          <cell r="AB724"/>
          <cell r="AC724"/>
          <cell r="AD724">
            <v>2.5999999999999999E-2</v>
          </cell>
          <cell r="AE724"/>
          <cell r="AF724"/>
          <cell r="AG724"/>
          <cell r="AH724"/>
          <cell r="AI724"/>
          <cell r="AJ724"/>
          <cell r="AK724"/>
          <cell r="AL724"/>
        </row>
        <row r="725">
          <cell r="E725" t="str">
            <v>CV  8sq-3C</v>
          </cell>
          <cell r="F725" t="str">
            <v>ｍ</v>
          </cell>
          <cell r="G725"/>
          <cell r="H725">
            <v>319</v>
          </cell>
          <cell r="I725"/>
          <cell r="J725">
            <v>324</v>
          </cell>
          <cell r="K725"/>
          <cell r="L725">
            <v>324</v>
          </cell>
          <cell r="M725"/>
          <cell r="N725">
            <v>314</v>
          </cell>
          <cell r="O725"/>
          <cell r="P725">
            <v>307</v>
          </cell>
          <cell r="Q725"/>
          <cell r="R725">
            <v>319</v>
          </cell>
          <cell r="S725"/>
          <cell r="T725">
            <v>319</v>
          </cell>
          <cell r="U725"/>
          <cell r="V725">
            <v>324</v>
          </cell>
          <cell r="W725"/>
          <cell r="X725">
            <v>314</v>
          </cell>
          <cell r="Y725"/>
          <cell r="Z725">
            <v>324</v>
          </cell>
          <cell r="AA725"/>
          <cell r="AB725"/>
          <cell r="AC725"/>
          <cell r="AD725">
            <v>2.9000000000000001E-2</v>
          </cell>
          <cell r="AE725"/>
          <cell r="AF725"/>
          <cell r="AG725"/>
          <cell r="AH725"/>
          <cell r="AI725"/>
          <cell r="AJ725"/>
          <cell r="AK725"/>
          <cell r="AL725"/>
        </row>
        <row r="726">
          <cell r="E726" t="str">
            <v>CV 14sq-3C</v>
          </cell>
          <cell r="F726" t="str">
            <v>ｍ</v>
          </cell>
          <cell r="G726"/>
          <cell r="H726">
            <v>500</v>
          </cell>
          <cell r="I726"/>
          <cell r="J726">
            <v>508</v>
          </cell>
          <cell r="K726"/>
          <cell r="L726">
            <v>508</v>
          </cell>
          <cell r="M726"/>
          <cell r="N726">
            <v>492</v>
          </cell>
          <cell r="O726"/>
          <cell r="P726">
            <v>480</v>
          </cell>
          <cell r="Q726"/>
          <cell r="R726">
            <v>500</v>
          </cell>
          <cell r="S726"/>
          <cell r="T726">
            <v>500</v>
          </cell>
          <cell r="U726"/>
          <cell r="V726">
            <v>508</v>
          </cell>
          <cell r="W726"/>
          <cell r="X726">
            <v>492</v>
          </cell>
          <cell r="Y726"/>
          <cell r="Z726">
            <v>508</v>
          </cell>
          <cell r="AA726"/>
          <cell r="AB726"/>
          <cell r="AC726"/>
          <cell r="AD726">
            <v>3.6999999999999998E-2</v>
          </cell>
          <cell r="AE726"/>
          <cell r="AF726"/>
          <cell r="AG726"/>
          <cell r="AH726"/>
          <cell r="AI726"/>
          <cell r="AJ726"/>
          <cell r="AK726"/>
          <cell r="AL726"/>
        </row>
        <row r="727">
          <cell r="E727" t="str">
            <v>CV 22sq-3C</v>
          </cell>
          <cell r="F727" t="str">
            <v>ｍ</v>
          </cell>
          <cell r="G727"/>
          <cell r="H727">
            <v>754</v>
          </cell>
          <cell r="I727"/>
          <cell r="J727">
            <v>766</v>
          </cell>
          <cell r="K727"/>
          <cell r="L727">
            <v>766</v>
          </cell>
          <cell r="M727"/>
          <cell r="N727">
            <v>742</v>
          </cell>
          <cell r="O727"/>
          <cell r="P727">
            <v>724</v>
          </cell>
          <cell r="Q727"/>
          <cell r="R727">
            <v>754</v>
          </cell>
          <cell r="S727"/>
          <cell r="T727">
            <v>754</v>
          </cell>
          <cell r="U727"/>
          <cell r="V727">
            <v>766</v>
          </cell>
          <cell r="W727"/>
          <cell r="X727">
            <v>742</v>
          </cell>
          <cell r="Y727"/>
          <cell r="Z727">
            <v>766</v>
          </cell>
          <cell r="AA727"/>
          <cell r="AB727"/>
          <cell r="AC727"/>
          <cell r="AD727">
            <v>4.7E-2</v>
          </cell>
          <cell r="AE727"/>
          <cell r="AF727"/>
          <cell r="AG727"/>
          <cell r="AH727"/>
          <cell r="AI727"/>
          <cell r="AJ727"/>
          <cell r="AK727"/>
          <cell r="AL727"/>
        </row>
        <row r="728">
          <cell r="E728" t="str">
            <v>CV 38sq-3C</v>
          </cell>
          <cell r="F728" t="str">
            <v>ｍ</v>
          </cell>
          <cell r="G728"/>
          <cell r="H728">
            <v>1246</v>
          </cell>
          <cell r="I728"/>
          <cell r="J728">
            <v>1266</v>
          </cell>
          <cell r="K728"/>
          <cell r="L728">
            <v>1266</v>
          </cell>
          <cell r="M728"/>
          <cell r="N728">
            <v>1227</v>
          </cell>
          <cell r="O728"/>
          <cell r="P728">
            <v>1197</v>
          </cell>
          <cell r="Q728"/>
          <cell r="R728">
            <v>1246</v>
          </cell>
          <cell r="S728"/>
          <cell r="T728">
            <v>1246</v>
          </cell>
          <cell r="U728"/>
          <cell r="V728">
            <v>1266</v>
          </cell>
          <cell r="W728"/>
          <cell r="X728">
            <v>1227</v>
          </cell>
          <cell r="Y728"/>
          <cell r="Z728">
            <v>1266</v>
          </cell>
          <cell r="AA728"/>
          <cell r="AB728"/>
          <cell r="AC728"/>
          <cell r="AD728">
            <v>6.2E-2</v>
          </cell>
          <cell r="AE728"/>
          <cell r="AF728"/>
          <cell r="AG728"/>
          <cell r="AH728"/>
          <cell r="AI728"/>
          <cell r="AJ728"/>
          <cell r="AK728"/>
          <cell r="AL728"/>
        </row>
        <row r="729">
          <cell r="E729" t="str">
            <v>CV 60sq-3C</v>
          </cell>
          <cell r="F729" t="str">
            <v>ｍ</v>
          </cell>
          <cell r="G729"/>
          <cell r="H729">
            <v>1932</v>
          </cell>
          <cell r="I729"/>
          <cell r="J729">
            <v>1962</v>
          </cell>
          <cell r="K729"/>
          <cell r="L729">
            <v>1962</v>
          </cell>
          <cell r="M729"/>
          <cell r="N729">
            <v>1902</v>
          </cell>
          <cell r="O729"/>
          <cell r="P729">
            <v>1857</v>
          </cell>
          <cell r="Q729"/>
          <cell r="R729">
            <v>1932</v>
          </cell>
          <cell r="S729"/>
          <cell r="T729">
            <v>1932</v>
          </cell>
          <cell r="U729"/>
          <cell r="V729">
            <v>1962</v>
          </cell>
          <cell r="W729"/>
          <cell r="X729">
            <v>1902</v>
          </cell>
          <cell r="Y729"/>
          <cell r="Z729">
            <v>1962</v>
          </cell>
          <cell r="AA729"/>
          <cell r="AB729"/>
          <cell r="AC729"/>
          <cell r="AD729">
            <v>8.2000000000000003E-2</v>
          </cell>
          <cell r="AE729"/>
          <cell r="AF729"/>
          <cell r="AG729"/>
          <cell r="AH729"/>
          <cell r="AI729"/>
          <cell r="AJ729"/>
          <cell r="AK729"/>
          <cell r="AL729"/>
        </row>
        <row r="730">
          <cell r="E730" t="str">
            <v>CV100sq-3C</v>
          </cell>
          <cell r="F730" t="str">
            <v>ｍ</v>
          </cell>
          <cell r="G730"/>
          <cell r="H730">
            <v>3239</v>
          </cell>
          <cell r="I730"/>
          <cell r="J730">
            <v>3290</v>
          </cell>
          <cell r="K730"/>
          <cell r="L730">
            <v>3290</v>
          </cell>
          <cell r="M730"/>
          <cell r="N730">
            <v>3188</v>
          </cell>
          <cell r="O730"/>
          <cell r="P730">
            <v>3113</v>
          </cell>
          <cell r="Q730"/>
          <cell r="R730">
            <v>3239</v>
          </cell>
          <cell r="S730"/>
          <cell r="T730">
            <v>3239</v>
          </cell>
          <cell r="U730"/>
          <cell r="V730">
            <v>3290</v>
          </cell>
          <cell r="W730"/>
          <cell r="X730">
            <v>3188</v>
          </cell>
          <cell r="Y730"/>
          <cell r="Z730">
            <v>3290</v>
          </cell>
          <cell r="AA730"/>
          <cell r="AB730"/>
          <cell r="AC730"/>
          <cell r="AD730">
            <v>0.112</v>
          </cell>
          <cell r="AE730"/>
          <cell r="AF730"/>
          <cell r="AG730"/>
          <cell r="AH730"/>
          <cell r="AI730"/>
          <cell r="AJ730"/>
          <cell r="AK730"/>
          <cell r="AL730"/>
        </row>
        <row r="731">
          <cell r="E731" t="str">
            <v>CV150sq-3C</v>
          </cell>
          <cell r="F731" t="str">
            <v>ｍ</v>
          </cell>
          <cell r="G731"/>
          <cell r="H731">
            <v>4794</v>
          </cell>
          <cell r="I731"/>
          <cell r="J731">
            <v>4869</v>
          </cell>
          <cell r="K731"/>
          <cell r="L731">
            <v>4869</v>
          </cell>
          <cell r="M731"/>
          <cell r="N731">
            <v>4719</v>
          </cell>
          <cell r="O731"/>
          <cell r="P731">
            <v>4606</v>
          </cell>
          <cell r="Q731"/>
          <cell r="R731">
            <v>4794</v>
          </cell>
          <cell r="S731"/>
          <cell r="T731">
            <v>4794</v>
          </cell>
          <cell r="U731"/>
          <cell r="V731">
            <v>4869</v>
          </cell>
          <cell r="W731"/>
          <cell r="X731">
            <v>4719</v>
          </cell>
          <cell r="Y731"/>
          <cell r="Z731">
            <v>4869</v>
          </cell>
          <cell r="AA731"/>
          <cell r="AB731"/>
          <cell r="AC731"/>
          <cell r="AD731">
            <v>0.13700000000000001</v>
          </cell>
          <cell r="AE731"/>
          <cell r="AF731"/>
          <cell r="AG731"/>
          <cell r="AH731"/>
          <cell r="AI731"/>
          <cell r="AJ731"/>
          <cell r="AK731"/>
          <cell r="AL731"/>
        </row>
        <row r="732">
          <cell r="E732" t="str">
            <v>CV200sq-3C</v>
          </cell>
          <cell r="F732" t="str">
            <v>ｍ</v>
          </cell>
          <cell r="G732"/>
          <cell r="H732">
            <v>6427</v>
          </cell>
          <cell r="I732"/>
          <cell r="J732">
            <v>6527</v>
          </cell>
          <cell r="K732"/>
          <cell r="L732">
            <v>6527</v>
          </cell>
          <cell r="M732"/>
          <cell r="N732">
            <v>6326</v>
          </cell>
          <cell r="O732"/>
          <cell r="P732">
            <v>6176</v>
          </cell>
          <cell r="Q732"/>
          <cell r="R732">
            <v>6427</v>
          </cell>
          <cell r="S732"/>
          <cell r="T732">
            <v>6427</v>
          </cell>
          <cell r="U732"/>
          <cell r="V732">
            <v>6527</v>
          </cell>
          <cell r="W732"/>
          <cell r="X732">
            <v>6326</v>
          </cell>
          <cell r="Y732"/>
          <cell r="Z732">
            <v>6527</v>
          </cell>
          <cell r="AA732"/>
          <cell r="AB732"/>
          <cell r="AC732"/>
          <cell r="AD732">
            <v>0.17</v>
          </cell>
          <cell r="AE732"/>
          <cell r="AF732"/>
          <cell r="AG732"/>
          <cell r="AH732"/>
          <cell r="AI732"/>
          <cell r="AJ732"/>
          <cell r="AK732"/>
          <cell r="AL732"/>
        </row>
        <row r="733">
          <cell r="E733" t="str">
            <v>CV250sq-3C</v>
          </cell>
          <cell r="F733" t="str">
            <v>ｍ</v>
          </cell>
          <cell r="G733"/>
          <cell r="H733">
            <v>8076</v>
          </cell>
          <cell r="I733"/>
          <cell r="J733">
            <v>8202</v>
          </cell>
          <cell r="K733"/>
          <cell r="L733">
            <v>8202</v>
          </cell>
          <cell r="M733"/>
          <cell r="N733">
            <v>7950</v>
          </cell>
          <cell r="O733"/>
          <cell r="P733">
            <v>7761</v>
          </cell>
          <cell r="Q733"/>
          <cell r="R733">
            <v>8076</v>
          </cell>
          <cell r="S733"/>
          <cell r="T733">
            <v>8076</v>
          </cell>
          <cell r="U733"/>
          <cell r="V733">
            <v>8202</v>
          </cell>
          <cell r="W733"/>
          <cell r="X733">
            <v>7950</v>
          </cell>
          <cell r="Y733"/>
          <cell r="Z733">
            <v>8202</v>
          </cell>
          <cell r="AA733"/>
          <cell r="AB733"/>
          <cell r="AC733"/>
          <cell r="AD733">
            <v>0.19600000000000001</v>
          </cell>
          <cell r="AE733"/>
          <cell r="AF733"/>
          <cell r="AG733"/>
          <cell r="AH733"/>
          <cell r="AI733"/>
          <cell r="AJ733"/>
          <cell r="AK733"/>
          <cell r="AL733"/>
        </row>
        <row r="734">
          <cell r="E734" t="str">
            <v>CV325sq-3C</v>
          </cell>
          <cell r="F734" t="str">
            <v>ｍ</v>
          </cell>
          <cell r="G734"/>
          <cell r="H734">
            <v>11469</v>
          </cell>
          <cell r="I734"/>
          <cell r="J734">
            <v>11648</v>
          </cell>
          <cell r="K734"/>
          <cell r="L734">
            <v>11648</v>
          </cell>
          <cell r="M734"/>
          <cell r="N734">
            <v>11290</v>
          </cell>
          <cell r="O734"/>
          <cell r="P734">
            <v>11021</v>
          </cell>
          <cell r="Q734"/>
          <cell r="R734">
            <v>11469</v>
          </cell>
          <cell r="S734"/>
          <cell r="T734">
            <v>11469</v>
          </cell>
          <cell r="U734"/>
          <cell r="V734">
            <v>11648</v>
          </cell>
          <cell r="W734"/>
          <cell r="X734">
            <v>11290</v>
          </cell>
          <cell r="Y734"/>
          <cell r="Z734">
            <v>11648</v>
          </cell>
          <cell r="AA734"/>
          <cell r="AB734"/>
          <cell r="AC734"/>
          <cell r="AD734">
            <v>0.248</v>
          </cell>
          <cell r="AE734"/>
          <cell r="AF734"/>
          <cell r="AG734"/>
          <cell r="AH734"/>
          <cell r="AI734"/>
          <cell r="AJ734"/>
          <cell r="AK734"/>
          <cell r="AL734"/>
        </row>
        <row r="735">
          <cell r="E735" t="str">
            <v>CV 2sq-4C</v>
          </cell>
          <cell r="F735" t="str">
            <v>ｍ</v>
          </cell>
          <cell r="G735"/>
          <cell r="H735">
            <v>142</v>
          </cell>
          <cell r="I735"/>
          <cell r="J735">
            <v>144</v>
          </cell>
          <cell r="K735"/>
          <cell r="L735">
            <v>144</v>
          </cell>
          <cell r="M735"/>
          <cell r="N735">
            <v>142</v>
          </cell>
          <cell r="O735"/>
          <cell r="P735">
            <v>137</v>
          </cell>
          <cell r="Q735"/>
          <cell r="R735">
            <v>142</v>
          </cell>
          <cell r="S735"/>
          <cell r="T735">
            <v>142</v>
          </cell>
          <cell r="U735"/>
          <cell r="V735">
            <v>144</v>
          </cell>
          <cell r="W735"/>
          <cell r="X735">
            <v>140</v>
          </cell>
          <cell r="Y735"/>
          <cell r="Z735">
            <v>144</v>
          </cell>
          <cell r="AA735"/>
          <cell r="AB735"/>
          <cell r="AC735"/>
          <cell r="AD735">
            <v>0.02</v>
          </cell>
          <cell r="AE735"/>
          <cell r="AF735"/>
          <cell r="AG735"/>
          <cell r="AH735"/>
          <cell r="AI735"/>
          <cell r="AJ735"/>
          <cell r="AK735"/>
          <cell r="AL735"/>
        </row>
        <row r="736">
          <cell r="E736" t="str">
            <v>CV 3.5sq-4C</v>
          </cell>
          <cell r="F736" t="str">
            <v>ｍ</v>
          </cell>
          <cell r="G736"/>
          <cell r="H736">
            <v>217</v>
          </cell>
          <cell r="I736"/>
          <cell r="J736">
            <v>220</v>
          </cell>
          <cell r="K736"/>
          <cell r="L736">
            <v>220</v>
          </cell>
          <cell r="M736"/>
          <cell r="N736">
            <v>217</v>
          </cell>
          <cell r="O736"/>
          <cell r="P736">
            <v>208</v>
          </cell>
          <cell r="Q736"/>
          <cell r="R736">
            <v>217</v>
          </cell>
          <cell r="S736"/>
          <cell r="T736">
            <v>217</v>
          </cell>
          <cell r="U736"/>
          <cell r="V736">
            <v>220</v>
          </cell>
          <cell r="W736"/>
          <cell r="X736">
            <v>214</v>
          </cell>
          <cell r="Y736"/>
          <cell r="Z736">
            <v>220</v>
          </cell>
          <cell r="AA736"/>
          <cell r="AB736"/>
          <cell r="AC736"/>
          <cell r="AD736">
            <v>2.4E-2</v>
          </cell>
          <cell r="AE736"/>
          <cell r="AF736"/>
          <cell r="AG736"/>
          <cell r="AH736"/>
          <cell r="AI736"/>
          <cell r="AJ736"/>
          <cell r="AK736"/>
          <cell r="AL736"/>
        </row>
        <row r="737">
          <cell r="E737" t="str">
            <v>CV 5.5sq-4C</v>
          </cell>
          <cell r="F737" t="str">
            <v>ｍ</v>
          </cell>
          <cell r="G737"/>
          <cell r="H737">
            <v>308</v>
          </cell>
          <cell r="I737"/>
          <cell r="J737">
            <v>313</v>
          </cell>
          <cell r="K737"/>
          <cell r="L737">
            <v>313</v>
          </cell>
          <cell r="M737"/>
          <cell r="N737">
            <v>308</v>
          </cell>
          <cell r="O737"/>
          <cell r="P737">
            <v>296</v>
          </cell>
          <cell r="Q737"/>
          <cell r="R737">
            <v>308</v>
          </cell>
          <cell r="S737"/>
          <cell r="T737">
            <v>308</v>
          </cell>
          <cell r="U737"/>
          <cell r="V737">
            <v>313</v>
          </cell>
          <cell r="W737"/>
          <cell r="X737">
            <v>304</v>
          </cell>
          <cell r="Y737"/>
          <cell r="Z737">
            <v>313</v>
          </cell>
          <cell r="AA737"/>
          <cell r="AB737"/>
          <cell r="AC737"/>
          <cell r="AD737">
            <v>0.03</v>
          </cell>
          <cell r="AE737"/>
          <cell r="AF737"/>
          <cell r="AG737"/>
          <cell r="AH737"/>
          <cell r="AI737"/>
          <cell r="AJ737"/>
          <cell r="AK737"/>
          <cell r="AL737"/>
        </row>
        <row r="738">
          <cell r="E738" t="str">
            <v>CV 8sq-4C</v>
          </cell>
          <cell r="F738" t="str">
            <v>ｍ</v>
          </cell>
          <cell r="G738"/>
          <cell r="H738">
            <v>421</v>
          </cell>
          <cell r="I738"/>
          <cell r="J738">
            <v>428</v>
          </cell>
          <cell r="K738"/>
          <cell r="L738">
            <v>428</v>
          </cell>
          <cell r="M738"/>
          <cell r="N738">
            <v>421</v>
          </cell>
          <cell r="O738"/>
          <cell r="P738">
            <v>405</v>
          </cell>
          <cell r="Q738"/>
          <cell r="R738">
            <v>421</v>
          </cell>
          <cell r="S738"/>
          <cell r="T738">
            <v>421</v>
          </cell>
          <cell r="U738"/>
          <cell r="V738">
            <v>428</v>
          </cell>
          <cell r="W738"/>
          <cell r="X738">
            <v>415</v>
          </cell>
          <cell r="Y738"/>
          <cell r="Z738">
            <v>428</v>
          </cell>
          <cell r="AA738"/>
          <cell r="AB738"/>
          <cell r="AC738"/>
          <cell r="AD738">
            <v>3.5000000000000003E-2</v>
          </cell>
          <cell r="AE738"/>
          <cell r="AF738"/>
          <cell r="AG738"/>
          <cell r="AH738"/>
          <cell r="AI738"/>
          <cell r="AJ738"/>
          <cell r="AK738"/>
          <cell r="AL738"/>
        </row>
        <row r="739">
          <cell r="E739" t="str">
            <v>CV 14sq-4C</v>
          </cell>
          <cell r="F739" t="str">
            <v>ｍ</v>
          </cell>
          <cell r="G739"/>
          <cell r="H739">
            <v>657</v>
          </cell>
          <cell r="I739"/>
          <cell r="J739">
            <v>668</v>
          </cell>
          <cell r="K739"/>
          <cell r="L739">
            <v>668</v>
          </cell>
          <cell r="M739"/>
          <cell r="N739">
            <v>657</v>
          </cell>
          <cell r="O739"/>
          <cell r="P739">
            <v>632</v>
          </cell>
          <cell r="Q739"/>
          <cell r="R739">
            <v>657</v>
          </cell>
          <cell r="S739"/>
          <cell r="T739">
            <v>657</v>
          </cell>
          <cell r="U739"/>
          <cell r="V739">
            <v>668</v>
          </cell>
          <cell r="W739"/>
          <cell r="X739">
            <v>647</v>
          </cell>
          <cell r="Y739"/>
          <cell r="Z739">
            <v>668</v>
          </cell>
          <cell r="AA739"/>
          <cell r="AB739"/>
          <cell r="AC739"/>
          <cell r="AD739">
            <v>4.2999999999999997E-2</v>
          </cell>
          <cell r="AE739"/>
          <cell r="AF739"/>
          <cell r="AG739"/>
          <cell r="AH739"/>
          <cell r="AI739"/>
          <cell r="AJ739"/>
          <cell r="AK739"/>
          <cell r="AL739"/>
        </row>
        <row r="740">
          <cell r="E740" t="str">
            <v>CV 22sq-4C</v>
          </cell>
          <cell r="F740" t="str">
            <v>ｍ</v>
          </cell>
          <cell r="G740"/>
          <cell r="H740">
            <v>1007</v>
          </cell>
          <cell r="I740"/>
          <cell r="J740">
            <v>1022</v>
          </cell>
          <cell r="K740"/>
          <cell r="L740">
            <v>1022</v>
          </cell>
          <cell r="M740"/>
          <cell r="N740">
            <v>1007</v>
          </cell>
          <cell r="O740"/>
          <cell r="P740">
            <v>967</v>
          </cell>
          <cell r="Q740"/>
          <cell r="R740">
            <v>1007</v>
          </cell>
          <cell r="S740"/>
          <cell r="T740">
            <v>1007</v>
          </cell>
          <cell r="U740"/>
          <cell r="V740">
            <v>1022</v>
          </cell>
          <cell r="W740"/>
          <cell r="X740">
            <v>961</v>
          </cell>
          <cell r="Y740"/>
          <cell r="Z740">
            <v>1022</v>
          </cell>
          <cell r="AA740"/>
          <cell r="AB740"/>
          <cell r="AC740"/>
          <cell r="AD740">
            <v>5.6000000000000001E-2</v>
          </cell>
          <cell r="AE740"/>
          <cell r="AF740"/>
          <cell r="AG740"/>
          <cell r="AH740"/>
          <cell r="AI740"/>
          <cell r="AJ740"/>
          <cell r="AK740"/>
          <cell r="AL740"/>
        </row>
        <row r="741">
          <cell r="E741" t="str">
            <v>CV 38sq-4C</v>
          </cell>
          <cell r="F741" t="str">
            <v>ｍ</v>
          </cell>
          <cell r="G741"/>
          <cell r="H741">
            <v>1659</v>
          </cell>
          <cell r="I741"/>
          <cell r="J741">
            <v>1685</v>
          </cell>
          <cell r="K741"/>
          <cell r="L741">
            <v>1685</v>
          </cell>
          <cell r="M741"/>
          <cell r="N741">
            <v>1659</v>
          </cell>
          <cell r="O741"/>
          <cell r="P741">
            <v>1594</v>
          </cell>
          <cell r="Q741"/>
          <cell r="R741">
            <v>1659</v>
          </cell>
          <cell r="S741"/>
          <cell r="T741">
            <v>1659</v>
          </cell>
          <cell r="U741"/>
          <cell r="V741">
            <v>1685</v>
          </cell>
          <cell r="W741"/>
          <cell r="X741">
            <v>1633</v>
          </cell>
          <cell r="Y741"/>
          <cell r="Z741">
            <v>1685</v>
          </cell>
          <cell r="AA741"/>
          <cell r="AB741"/>
          <cell r="AC741"/>
          <cell r="AD741">
            <v>7.3999999999999996E-2</v>
          </cell>
          <cell r="AE741"/>
          <cell r="AF741"/>
          <cell r="AG741"/>
          <cell r="AH741"/>
          <cell r="AI741"/>
          <cell r="AJ741"/>
          <cell r="AK741"/>
          <cell r="AL741"/>
        </row>
        <row r="742">
          <cell r="E742" t="str">
            <v>CV 60sq-4C</v>
          </cell>
          <cell r="F742" t="str">
            <v>ｍ</v>
          </cell>
          <cell r="G742"/>
          <cell r="H742">
            <v>2604</v>
          </cell>
          <cell r="I742"/>
          <cell r="J742">
            <v>2645</v>
          </cell>
          <cell r="K742"/>
          <cell r="L742">
            <v>2645</v>
          </cell>
          <cell r="M742"/>
          <cell r="N742">
            <v>2604</v>
          </cell>
          <cell r="O742"/>
          <cell r="P742">
            <v>2502</v>
          </cell>
          <cell r="Q742"/>
          <cell r="R742">
            <v>2604</v>
          </cell>
          <cell r="S742"/>
          <cell r="T742">
            <v>2604</v>
          </cell>
          <cell r="U742"/>
          <cell r="V742">
            <v>2645</v>
          </cell>
          <cell r="W742"/>
          <cell r="X742">
            <v>2563</v>
          </cell>
          <cell r="Y742"/>
          <cell r="Z742">
            <v>2645</v>
          </cell>
          <cell r="AA742"/>
          <cell r="AB742"/>
          <cell r="AC742"/>
          <cell r="AD742">
            <v>9.8000000000000004E-2</v>
          </cell>
          <cell r="AE742"/>
          <cell r="AF742"/>
          <cell r="AG742"/>
          <cell r="AH742"/>
          <cell r="AI742"/>
          <cell r="AJ742"/>
          <cell r="AK742"/>
          <cell r="AL742"/>
        </row>
        <row r="743">
          <cell r="E743" t="str">
            <v>CV 100sq-4C</v>
          </cell>
          <cell r="F743" t="str">
            <v>ｍ</v>
          </cell>
          <cell r="G743"/>
          <cell r="H743">
            <v>4330</v>
          </cell>
          <cell r="I743"/>
          <cell r="J743">
            <v>4398</v>
          </cell>
          <cell r="K743"/>
          <cell r="L743">
            <v>4398</v>
          </cell>
          <cell r="M743"/>
          <cell r="N743">
            <v>4330</v>
          </cell>
          <cell r="O743"/>
          <cell r="P743">
            <v>4161</v>
          </cell>
          <cell r="Q743"/>
          <cell r="R743">
            <v>4330</v>
          </cell>
          <cell r="S743"/>
          <cell r="T743">
            <v>4330</v>
          </cell>
          <cell r="U743"/>
          <cell r="V743">
            <v>4398</v>
          </cell>
          <cell r="W743"/>
          <cell r="X743">
            <v>4263</v>
          </cell>
          <cell r="Y743"/>
          <cell r="Z743">
            <v>4398</v>
          </cell>
          <cell r="AA743"/>
          <cell r="AB743"/>
          <cell r="AC743"/>
          <cell r="AD743">
            <v>0.13400000000000001</v>
          </cell>
          <cell r="AE743"/>
          <cell r="AF743"/>
          <cell r="AG743"/>
          <cell r="AH743"/>
          <cell r="AI743"/>
          <cell r="AJ743"/>
          <cell r="AK743"/>
          <cell r="AL743"/>
        </row>
        <row r="744">
          <cell r="E744" t="str">
            <v>CV 150sq-4C</v>
          </cell>
          <cell r="F744" t="str">
            <v>ｍ</v>
          </cell>
          <cell r="G744"/>
          <cell r="H744">
            <v>6401</v>
          </cell>
          <cell r="I744"/>
          <cell r="J744">
            <v>6501</v>
          </cell>
          <cell r="K744"/>
          <cell r="L744">
            <v>6501</v>
          </cell>
          <cell r="M744"/>
          <cell r="N744">
            <v>6401</v>
          </cell>
          <cell r="O744"/>
          <cell r="P744">
            <v>6151</v>
          </cell>
          <cell r="Q744"/>
          <cell r="R744">
            <v>6401</v>
          </cell>
          <cell r="S744"/>
          <cell r="T744">
            <v>6401</v>
          </cell>
          <cell r="U744"/>
          <cell r="V744">
            <v>6501</v>
          </cell>
          <cell r="W744"/>
          <cell r="X744">
            <v>6301</v>
          </cell>
          <cell r="Y744"/>
          <cell r="Z744">
            <v>6501</v>
          </cell>
          <cell r="AA744"/>
          <cell r="AB744"/>
          <cell r="AC744"/>
          <cell r="AD744">
            <v>0.16500000000000001</v>
          </cell>
          <cell r="AE744"/>
          <cell r="AF744"/>
          <cell r="AG744"/>
          <cell r="AH744"/>
          <cell r="AI744"/>
          <cell r="AJ744"/>
          <cell r="AK744"/>
          <cell r="AL744"/>
        </row>
        <row r="745">
          <cell r="E745" t="str">
            <v>CV 200sq-4C</v>
          </cell>
          <cell r="F745" t="str">
            <v>ｍ</v>
          </cell>
          <cell r="G745"/>
          <cell r="H745">
            <v>9081</v>
          </cell>
          <cell r="I745"/>
          <cell r="J745">
            <v>9223</v>
          </cell>
          <cell r="K745"/>
          <cell r="L745">
            <v>9223</v>
          </cell>
          <cell r="M745"/>
          <cell r="N745">
            <v>9081</v>
          </cell>
          <cell r="O745"/>
          <cell r="P745">
            <v>6726</v>
          </cell>
          <cell r="Q745"/>
          <cell r="R745">
            <v>9081</v>
          </cell>
          <cell r="S745"/>
          <cell r="T745">
            <v>9081</v>
          </cell>
          <cell r="U745"/>
          <cell r="V745">
            <v>9223</v>
          </cell>
          <cell r="W745"/>
          <cell r="X745">
            <v>8939</v>
          </cell>
          <cell r="Y745"/>
          <cell r="Z745">
            <v>9223</v>
          </cell>
          <cell r="AA745"/>
          <cell r="AB745"/>
          <cell r="AC745"/>
          <cell r="AD745">
            <v>0.20399999999999999</v>
          </cell>
          <cell r="AE745"/>
          <cell r="AF745"/>
          <cell r="AG745"/>
          <cell r="AH745"/>
          <cell r="AI745"/>
          <cell r="AJ745"/>
          <cell r="AK745"/>
          <cell r="AL745"/>
        </row>
        <row r="746">
          <cell r="E746" t="str">
            <v>CV 250sq-4C</v>
          </cell>
          <cell r="F746" t="str">
            <v>ｍ</v>
          </cell>
          <cell r="G746"/>
          <cell r="H746">
            <v>11537</v>
          </cell>
          <cell r="I746"/>
          <cell r="J746">
            <v>11717</v>
          </cell>
          <cell r="K746"/>
          <cell r="L746">
            <v>11717</v>
          </cell>
          <cell r="M746"/>
          <cell r="N746">
            <v>11537</v>
          </cell>
          <cell r="O746"/>
          <cell r="P746">
            <v>11066</v>
          </cell>
          <cell r="Q746"/>
          <cell r="R746">
            <v>11537</v>
          </cell>
          <cell r="S746"/>
          <cell r="T746">
            <v>11537</v>
          </cell>
          <cell r="U746"/>
          <cell r="V746">
            <v>11717</v>
          </cell>
          <cell r="W746"/>
          <cell r="X746">
            <v>11356</v>
          </cell>
          <cell r="Y746"/>
          <cell r="Z746">
            <v>11717</v>
          </cell>
          <cell r="AA746"/>
          <cell r="AB746"/>
          <cell r="AC746"/>
          <cell r="AD746">
            <v>0.23499999999999999</v>
          </cell>
          <cell r="AE746"/>
          <cell r="AF746"/>
          <cell r="AG746"/>
          <cell r="AH746"/>
          <cell r="AI746"/>
          <cell r="AJ746"/>
          <cell r="AK746"/>
          <cell r="AL746"/>
        </row>
        <row r="747">
          <cell r="E747" t="str">
            <v>CV 325sq-4C</v>
          </cell>
          <cell r="F747" t="str">
            <v>ｍ</v>
          </cell>
          <cell r="G747"/>
          <cell r="H747">
            <v>14927</v>
          </cell>
          <cell r="I747"/>
          <cell r="J747">
            <v>15160</v>
          </cell>
          <cell r="K747"/>
          <cell r="L747">
            <v>15160</v>
          </cell>
          <cell r="M747"/>
          <cell r="N747">
            <v>14927</v>
          </cell>
          <cell r="O747"/>
          <cell r="P747">
            <v>14344</v>
          </cell>
          <cell r="Q747"/>
          <cell r="R747">
            <v>14927</v>
          </cell>
          <cell r="S747"/>
          <cell r="T747">
            <v>14927</v>
          </cell>
          <cell r="U747"/>
          <cell r="V747">
            <v>15160</v>
          </cell>
          <cell r="W747"/>
          <cell r="X747">
            <v>14693</v>
          </cell>
          <cell r="Y747"/>
          <cell r="Z747">
            <v>15160</v>
          </cell>
          <cell r="AA747"/>
          <cell r="AB747"/>
          <cell r="AC747"/>
          <cell r="AD747">
            <v>0.29699999999999999</v>
          </cell>
          <cell r="AE747"/>
          <cell r="AF747"/>
          <cell r="AG747"/>
          <cell r="AH747"/>
          <cell r="AI747"/>
          <cell r="AJ747"/>
          <cell r="AK747"/>
          <cell r="AL747"/>
        </row>
        <row r="748">
          <cell r="E748" t="str">
            <v>CE 2sq-1C</v>
          </cell>
          <cell r="F748" t="str">
            <v>ｍ</v>
          </cell>
          <cell r="G748"/>
          <cell r="H748">
            <v>61.8</v>
          </cell>
          <cell r="I748"/>
          <cell r="J748">
            <v>62.7</v>
          </cell>
          <cell r="K748"/>
          <cell r="L748">
            <v>62.7</v>
          </cell>
          <cell r="M748"/>
          <cell r="N748">
            <v>60.8</v>
          </cell>
          <cell r="O748"/>
          <cell r="P748">
            <v>59.3</v>
          </cell>
          <cell r="Q748"/>
          <cell r="R748">
            <v>61.8</v>
          </cell>
          <cell r="S748"/>
          <cell r="T748">
            <v>61.8</v>
          </cell>
          <cell r="U748"/>
          <cell r="V748">
            <v>62.7</v>
          </cell>
          <cell r="W748"/>
          <cell r="X748">
            <v>60.8</v>
          </cell>
          <cell r="Y748"/>
          <cell r="Z748">
            <v>62.7</v>
          </cell>
          <cell r="AA748"/>
          <cell r="AB748"/>
          <cell r="AC748"/>
          <cell r="AD748">
            <v>0.01</v>
          </cell>
          <cell r="AE748"/>
          <cell r="AF748"/>
          <cell r="AG748"/>
          <cell r="AH748"/>
          <cell r="AI748"/>
          <cell r="AJ748"/>
          <cell r="AK748"/>
          <cell r="AL748"/>
        </row>
        <row r="749">
          <cell r="E749" t="str">
            <v>CE 3.5sq-1C</v>
          </cell>
          <cell r="F749" t="str">
            <v>ｍ</v>
          </cell>
          <cell r="G749"/>
          <cell r="H749">
            <v>85.1</v>
          </cell>
          <cell r="I749"/>
          <cell r="J749">
            <v>86.5</v>
          </cell>
          <cell r="K749"/>
          <cell r="L749">
            <v>86.5</v>
          </cell>
          <cell r="M749"/>
          <cell r="N749">
            <v>83.8</v>
          </cell>
          <cell r="O749"/>
          <cell r="P749">
            <v>81.8</v>
          </cell>
          <cell r="Q749"/>
          <cell r="R749">
            <v>85.1</v>
          </cell>
          <cell r="S749"/>
          <cell r="T749">
            <v>85.1</v>
          </cell>
          <cell r="U749"/>
          <cell r="V749">
            <v>86.5</v>
          </cell>
          <cell r="W749"/>
          <cell r="X749">
            <v>83.8</v>
          </cell>
          <cell r="Y749"/>
          <cell r="Z749">
            <v>86.5</v>
          </cell>
          <cell r="AA749"/>
          <cell r="AB749"/>
          <cell r="AC749"/>
          <cell r="AD749">
            <v>1.2E-2</v>
          </cell>
          <cell r="AE749"/>
          <cell r="AF749"/>
          <cell r="AG749"/>
          <cell r="AH749"/>
          <cell r="AI749"/>
          <cell r="AJ749"/>
          <cell r="AK749"/>
          <cell r="AL749"/>
        </row>
        <row r="750">
          <cell r="E750" t="str">
            <v>CE 5.5sq-1C</v>
          </cell>
          <cell r="F750" t="str">
            <v>ｍ</v>
          </cell>
          <cell r="G750"/>
          <cell r="H750">
            <v>106</v>
          </cell>
          <cell r="I750"/>
          <cell r="J750">
            <v>107</v>
          </cell>
          <cell r="K750"/>
          <cell r="L750">
            <v>107</v>
          </cell>
          <cell r="M750"/>
          <cell r="N750">
            <v>104</v>
          </cell>
          <cell r="O750"/>
          <cell r="P750">
            <v>101</v>
          </cell>
          <cell r="Q750"/>
          <cell r="R750">
            <v>106</v>
          </cell>
          <cell r="S750"/>
          <cell r="T750">
            <v>106</v>
          </cell>
          <cell r="U750"/>
          <cell r="V750">
            <v>107</v>
          </cell>
          <cell r="W750"/>
          <cell r="X750">
            <v>104</v>
          </cell>
          <cell r="Y750"/>
          <cell r="Z750">
            <v>107</v>
          </cell>
          <cell r="AA750"/>
          <cell r="AB750"/>
          <cell r="AC750"/>
          <cell r="AD750">
            <v>1.6E-2</v>
          </cell>
          <cell r="AE750"/>
          <cell r="AF750"/>
          <cell r="AG750"/>
          <cell r="AH750"/>
          <cell r="AI750"/>
          <cell r="AJ750"/>
          <cell r="AK750"/>
          <cell r="AL750"/>
        </row>
        <row r="751">
          <cell r="E751" t="str">
            <v>CE 8sq-1C</v>
          </cell>
          <cell r="F751" t="str">
            <v>ｍ</v>
          </cell>
          <cell r="G751"/>
          <cell r="H751">
            <v>133</v>
          </cell>
          <cell r="I751"/>
          <cell r="J751">
            <v>135</v>
          </cell>
          <cell r="K751"/>
          <cell r="L751">
            <v>135</v>
          </cell>
          <cell r="M751"/>
          <cell r="N751">
            <v>131</v>
          </cell>
          <cell r="O751"/>
          <cell r="P751">
            <v>128</v>
          </cell>
          <cell r="Q751"/>
          <cell r="R751">
            <v>133</v>
          </cell>
          <cell r="S751"/>
          <cell r="T751">
            <v>133</v>
          </cell>
          <cell r="U751"/>
          <cell r="V751">
            <v>135</v>
          </cell>
          <cell r="W751"/>
          <cell r="X751">
            <v>131</v>
          </cell>
          <cell r="Y751"/>
          <cell r="Z751">
            <v>135</v>
          </cell>
          <cell r="AA751"/>
          <cell r="AB751"/>
          <cell r="AC751"/>
          <cell r="AD751">
            <v>1.7000000000000001E-2</v>
          </cell>
          <cell r="AE751"/>
          <cell r="AF751"/>
          <cell r="AG751"/>
          <cell r="AH751"/>
          <cell r="AI751"/>
          <cell r="AJ751"/>
          <cell r="AK751"/>
          <cell r="AL751"/>
        </row>
        <row r="752">
          <cell r="E752" t="str">
            <v>CE14sq-1C</v>
          </cell>
          <cell r="F752" t="str">
            <v>ｍ</v>
          </cell>
          <cell r="G752"/>
          <cell r="H752">
            <v>198</v>
          </cell>
          <cell r="I752"/>
          <cell r="J752">
            <v>202</v>
          </cell>
          <cell r="K752"/>
          <cell r="L752">
            <v>202</v>
          </cell>
          <cell r="M752"/>
          <cell r="N752">
            <v>195</v>
          </cell>
          <cell r="O752"/>
          <cell r="P752">
            <v>191</v>
          </cell>
          <cell r="Q752"/>
          <cell r="R752">
            <v>198</v>
          </cell>
          <cell r="S752"/>
          <cell r="T752">
            <v>198</v>
          </cell>
          <cell r="U752"/>
          <cell r="V752">
            <v>202</v>
          </cell>
          <cell r="W752"/>
          <cell r="X752">
            <v>195</v>
          </cell>
          <cell r="Y752"/>
          <cell r="Z752">
            <v>202</v>
          </cell>
          <cell r="AA752"/>
          <cell r="AB752"/>
          <cell r="AC752"/>
          <cell r="AD752">
            <v>2.1999999999999999E-2</v>
          </cell>
          <cell r="AE752"/>
          <cell r="AF752"/>
          <cell r="AG752"/>
          <cell r="AH752"/>
          <cell r="AI752"/>
          <cell r="AJ752"/>
          <cell r="AK752"/>
          <cell r="AL752"/>
        </row>
        <row r="753">
          <cell r="E753" t="str">
            <v>CE22sq-1C</v>
          </cell>
          <cell r="F753" t="str">
            <v>ｍ</v>
          </cell>
          <cell r="G753"/>
          <cell r="H753">
            <v>289</v>
          </cell>
          <cell r="I753"/>
          <cell r="J753">
            <v>293</v>
          </cell>
          <cell r="K753"/>
          <cell r="L753">
            <v>293</v>
          </cell>
          <cell r="M753"/>
          <cell r="N753">
            <v>284</v>
          </cell>
          <cell r="O753"/>
          <cell r="P753">
            <v>277</v>
          </cell>
          <cell r="Q753"/>
          <cell r="R753">
            <v>289</v>
          </cell>
          <cell r="S753"/>
          <cell r="T753">
            <v>289</v>
          </cell>
          <cell r="U753"/>
          <cell r="V753">
            <v>293</v>
          </cell>
          <cell r="W753"/>
          <cell r="X753">
            <v>284</v>
          </cell>
          <cell r="Y753"/>
          <cell r="Z753">
            <v>293</v>
          </cell>
          <cell r="AA753"/>
          <cell r="AB753"/>
          <cell r="AC753"/>
          <cell r="AD753">
            <v>2.9000000000000001E-2</v>
          </cell>
          <cell r="AE753"/>
          <cell r="AF753"/>
          <cell r="AG753"/>
          <cell r="AH753"/>
          <cell r="AI753"/>
          <cell r="AJ753"/>
          <cell r="AK753"/>
          <cell r="AL753"/>
        </row>
        <row r="754">
          <cell r="E754" t="str">
            <v>CE38sq-1C</v>
          </cell>
          <cell r="F754" t="str">
            <v>ｍ</v>
          </cell>
          <cell r="G754"/>
          <cell r="H754">
            <v>459</v>
          </cell>
          <cell r="I754"/>
          <cell r="J754">
            <v>466</v>
          </cell>
          <cell r="K754"/>
          <cell r="L754">
            <v>466</v>
          </cell>
          <cell r="M754"/>
          <cell r="N754">
            <v>452</v>
          </cell>
          <cell r="O754"/>
          <cell r="P754">
            <v>441</v>
          </cell>
          <cell r="Q754"/>
          <cell r="R754">
            <v>459</v>
          </cell>
          <cell r="S754"/>
          <cell r="T754">
            <v>459</v>
          </cell>
          <cell r="U754"/>
          <cell r="V754">
            <v>466</v>
          </cell>
          <cell r="W754"/>
          <cell r="X754">
            <v>452</v>
          </cell>
          <cell r="Y754"/>
          <cell r="Z754">
            <v>466</v>
          </cell>
          <cell r="AA754"/>
          <cell r="AB754"/>
          <cell r="AC754"/>
          <cell r="AD754">
            <v>3.6999999999999998E-2</v>
          </cell>
          <cell r="AE754"/>
          <cell r="AF754"/>
          <cell r="AG754"/>
          <cell r="AH754"/>
          <cell r="AI754"/>
          <cell r="AJ754"/>
          <cell r="AK754"/>
          <cell r="AL754"/>
        </row>
        <row r="755">
          <cell r="E755" t="str">
            <v>CE60sq-1C</v>
          </cell>
          <cell r="F755" t="str">
            <v>ｍ</v>
          </cell>
          <cell r="G755"/>
          <cell r="H755">
            <v>693</v>
          </cell>
          <cell r="I755"/>
          <cell r="J755">
            <v>704</v>
          </cell>
          <cell r="K755"/>
          <cell r="L755">
            <v>704</v>
          </cell>
          <cell r="M755"/>
          <cell r="N755">
            <v>682</v>
          </cell>
          <cell r="O755"/>
          <cell r="P755">
            <v>666</v>
          </cell>
          <cell r="Q755"/>
          <cell r="R755">
            <v>693</v>
          </cell>
          <cell r="S755"/>
          <cell r="T755">
            <v>693</v>
          </cell>
          <cell r="U755"/>
          <cell r="V755">
            <v>704</v>
          </cell>
          <cell r="W755"/>
          <cell r="X755">
            <v>682</v>
          </cell>
          <cell r="Y755"/>
          <cell r="Z755">
            <v>704</v>
          </cell>
          <cell r="AA755"/>
          <cell r="AB755"/>
          <cell r="AC755"/>
          <cell r="AD755">
            <v>4.9000000000000002E-2</v>
          </cell>
          <cell r="AE755"/>
          <cell r="AF755"/>
          <cell r="AG755"/>
          <cell r="AH755"/>
          <cell r="AI755"/>
          <cell r="AJ755"/>
          <cell r="AK755"/>
          <cell r="AL755"/>
        </row>
        <row r="756">
          <cell r="E756" t="str">
            <v>CE100sq-1C</v>
          </cell>
          <cell r="F756" t="str">
            <v>ｍ</v>
          </cell>
          <cell r="G756"/>
          <cell r="H756">
            <v>1148</v>
          </cell>
          <cell r="I756"/>
          <cell r="J756">
            <v>1166</v>
          </cell>
          <cell r="K756"/>
          <cell r="L756">
            <v>1166</v>
          </cell>
          <cell r="M756"/>
          <cell r="N756">
            <v>1130</v>
          </cell>
          <cell r="O756"/>
          <cell r="P756">
            <v>1103</v>
          </cell>
          <cell r="Q756"/>
          <cell r="R756">
            <v>1148</v>
          </cell>
          <cell r="S756"/>
          <cell r="T756">
            <v>1148</v>
          </cell>
          <cell r="U756"/>
          <cell r="V756">
            <v>1166</v>
          </cell>
          <cell r="W756"/>
          <cell r="X756">
            <v>1130</v>
          </cell>
          <cell r="Y756"/>
          <cell r="Z756">
            <v>1166</v>
          </cell>
          <cell r="AA756"/>
          <cell r="AB756"/>
          <cell r="AC756"/>
          <cell r="AD756">
            <v>6.7000000000000004E-2</v>
          </cell>
          <cell r="AE756"/>
          <cell r="AF756"/>
          <cell r="AG756"/>
          <cell r="AH756"/>
          <cell r="AI756"/>
          <cell r="AJ756"/>
          <cell r="AK756"/>
          <cell r="AL756"/>
        </row>
        <row r="757">
          <cell r="E757" t="str">
            <v>CE150sq-1C</v>
          </cell>
          <cell r="F757" t="str">
            <v>ｍ</v>
          </cell>
          <cell r="G757"/>
          <cell r="H757">
            <v>1688</v>
          </cell>
          <cell r="I757"/>
          <cell r="J757">
            <v>1714</v>
          </cell>
          <cell r="K757"/>
          <cell r="L757">
            <v>1714</v>
          </cell>
          <cell r="M757"/>
          <cell r="N757">
            <v>1661</v>
          </cell>
          <cell r="O757"/>
          <cell r="P757">
            <v>1622</v>
          </cell>
          <cell r="Q757"/>
          <cell r="R757">
            <v>1688</v>
          </cell>
          <cell r="S757"/>
          <cell r="T757">
            <v>1688</v>
          </cell>
          <cell r="U757"/>
          <cell r="V757">
            <v>1714</v>
          </cell>
          <cell r="W757"/>
          <cell r="X757">
            <v>1661</v>
          </cell>
          <cell r="Y757"/>
          <cell r="Z757">
            <v>1714</v>
          </cell>
          <cell r="AA757"/>
          <cell r="AB757"/>
          <cell r="AC757"/>
          <cell r="AD757">
            <v>8.3000000000000004E-2</v>
          </cell>
          <cell r="AE757"/>
          <cell r="AF757"/>
          <cell r="AG757"/>
          <cell r="AH757"/>
          <cell r="AI757"/>
          <cell r="AJ757"/>
          <cell r="AK757"/>
          <cell r="AL757"/>
        </row>
        <row r="758">
          <cell r="E758" t="str">
            <v>CE200sq-1C</v>
          </cell>
          <cell r="F758" t="str">
            <v>ｍ</v>
          </cell>
          <cell r="G758"/>
          <cell r="H758">
            <v>2234</v>
          </cell>
          <cell r="I758"/>
          <cell r="J758">
            <v>2269</v>
          </cell>
          <cell r="K758"/>
          <cell r="L758">
            <v>2269</v>
          </cell>
          <cell r="M758"/>
          <cell r="N758">
            <v>2199</v>
          </cell>
          <cell r="O758"/>
          <cell r="P758">
            <v>2146</v>
          </cell>
          <cell r="Q758"/>
          <cell r="R758">
            <v>2234</v>
          </cell>
          <cell r="S758"/>
          <cell r="T758">
            <v>2234</v>
          </cell>
          <cell r="U758"/>
          <cell r="V758">
            <v>2269</v>
          </cell>
          <cell r="W758"/>
          <cell r="X758">
            <v>2199</v>
          </cell>
          <cell r="Y758"/>
          <cell r="Z758">
            <v>2269</v>
          </cell>
          <cell r="AA758"/>
          <cell r="AB758"/>
          <cell r="AC758"/>
          <cell r="AD758">
            <v>0.10199999999999999</v>
          </cell>
          <cell r="AE758"/>
          <cell r="AF758"/>
          <cell r="AG758"/>
          <cell r="AH758"/>
          <cell r="AI758"/>
          <cell r="AJ758"/>
          <cell r="AK758"/>
          <cell r="AL758"/>
        </row>
        <row r="759">
          <cell r="E759" t="str">
            <v>CE250sq-1C</v>
          </cell>
          <cell r="F759" t="str">
            <v>ｍ</v>
          </cell>
          <cell r="G759"/>
          <cell r="H759">
            <v>2794</v>
          </cell>
          <cell r="I759"/>
          <cell r="J759">
            <v>2837</v>
          </cell>
          <cell r="K759"/>
          <cell r="L759">
            <v>2837</v>
          </cell>
          <cell r="M759"/>
          <cell r="N759">
            <v>2750</v>
          </cell>
          <cell r="O759"/>
          <cell r="P759">
            <v>2684</v>
          </cell>
          <cell r="Q759"/>
          <cell r="R759">
            <v>2794</v>
          </cell>
          <cell r="S759"/>
          <cell r="T759">
            <v>2794</v>
          </cell>
          <cell r="U759"/>
          <cell r="V759">
            <v>2837</v>
          </cell>
          <cell r="W759"/>
          <cell r="X759">
            <v>2750</v>
          </cell>
          <cell r="Y759"/>
          <cell r="Z759">
            <v>2837</v>
          </cell>
          <cell r="AA759"/>
          <cell r="AB759"/>
          <cell r="AC759"/>
          <cell r="AD759">
            <v>0.11700000000000001</v>
          </cell>
          <cell r="AE759"/>
          <cell r="AF759"/>
          <cell r="AG759"/>
          <cell r="AH759"/>
          <cell r="AI759"/>
          <cell r="AJ759"/>
          <cell r="AK759"/>
          <cell r="AL759"/>
        </row>
        <row r="760">
          <cell r="E760" t="str">
            <v>CE325sq-1C</v>
          </cell>
          <cell r="F760" t="str">
            <v>ｍ</v>
          </cell>
          <cell r="G760"/>
          <cell r="H760">
            <v>3592</v>
          </cell>
          <cell r="I760"/>
          <cell r="J760">
            <v>3648</v>
          </cell>
          <cell r="K760"/>
          <cell r="L760">
            <v>3648</v>
          </cell>
          <cell r="M760"/>
          <cell r="N760">
            <v>3536</v>
          </cell>
          <cell r="O760"/>
          <cell r="P760">
            <v>3452</v>
          </cell>
          <cell r="Q760"/>
          <cell r="R760">
            <v>3592</v>
          </cell>
          <cell r="S760"/>
          <cell r="T760">
            <v>3592</v>
          </cell>
          <cell r="U760"/>
          <cell r="V760">
            <v>3648</v>
          </cell>
          <cell r="W760"/>
          <cell r="X760">
            <v>3536</v>
          </cell>
          <cell r="Y760"/>
          <cell r="Z760">
            <v>3648</v>
          </cell>
          <cell r="AA760"/>
          <cell r="AB760"/>
          <cell r="AC760"/>
          <cell r="AD760">
            <v>0.14899999999999999</v>
          </cell>
          <cell r="AE760"/>
          <cell r="AF760"/>
          <cell r="AG760"/>
          <cell r="AH760"/>
          <cell r="AI760"/>
          <cell r="AJ760"/>
          <cell r="AK760"/>
          <cell r="AL760"/>
        </row>
        <row r="761">
          <cell r="E761" t="str">
            <v>CE 2sq-2C</v>
          </cell>
          <cell r="F761" t="str">
            <v>ｍ</v>
          </cell>
          <cell r="G761"/>
          <cell r="H761">
            <v>131</v>
          </cell>
          <cell r="I761"/>
          <cell r="J761">
            <v>133</v>
          </cell>
          <cell r="K761"/>
          <cell r="L761">
            <v>133</v>
          </cell>
          <cell r="M761"/>
          <cell r="N761">
            <v>129</v>
          </cell>
          <cell r="O761"/>
          <cell r="P761">
            <v>126</v>
          </cell>
          <cell r="Q761"/>
          <cell r="R761">
            <v>131</v>
          </cell>
          <cell r="S761"/>
          <cell r="T761">
            <v>131</v>
          </cell>
          <cell r="U761"/>
          <cell r="V761">
            <v>133</v>
          </cell>
          <cell r="W761"/>
          <cell r="X761">
            <v>129</v>
          </cell>
          <cell r="Y761"/>
          <cell r="Z761">
            <v>133</v>
          </cell>
          <cell r="AA761"/>
          <cell r="AB761"/>
          <cell r="AC761"/>
          <cell r="AD761">
            <v>1.2999999999999999E-2</v>
          </cell>
          <cell r="AE761"/>
          <cell r="AF761"/>
          <cell r="AG761"/>
          <cell r="AH761"/>
          <cell r="AI761"/>
          <cell r="AJ761"/>
          <cell r="AK761"/>
          <cell r="AL761"/>
        </row>
        <row r="762">
          <cell r="E762" t="str">
            <v>CE 3.5sq-2C</v>
          </cell>
          <cell r="F762" t="str">
            <v>ｍ</v>
          </cell>
          <cell r="G762"/>
          <cell r="H762">
            <v>175</v>
          </cell>
          <cell r="I762"/>
          <cell r="J762">
            <v>178</v>
          </cell>
          <cell r="K762"/>
          <cell r="L762">
            <v>178</v>
          </cell>
          <cell r="M762"/>
          <cell r="N762">
            <v>173</v>
          </cell>
          <cell r="O762"/>
          <cell r="P762">
            <v>169</v>
          </cell>
          <cell r="Q762"/>
          <cell r="R762">
            <v>175</v>
          </cell>
          <cell r="S762"/>
          <cell r="T762">
            <v>175</v>
          </cell>
          <cell r="U762"/>
          <cell r="V762">
            <v>178</v>
          </cell>
          <cell r="W762"/>
          <cell r="X762">
            <v>173</v>
          </cell>
          <cell r="Y762"/>
          <cell r="Z762">
            <v>178</v>
          </cell>
          <cell r="AA762"/>
          <cell r="AB762"/>
          <cell r="AC762"/>
          <cell r="AD762">
            <v>1.7000000000000001E-2</v>
          </cell>
          <cell r="AE762"/>
          <cell r="AF762"/>
          <cell r="AG762"/>
          <cell r="AH762"/>
          <cell r="AI762"/>
          <cell r="AJ762"/>
          <cell r="AK762"/>
          <cell r="AL762"/>
        </row>
        <row r="763">
          <cell r="E763" t="str">
            <v>CE 5.5sq-2C</v>
          </cell>
          <cell r="F763" t="str">
            <v>ｍ</v>
          </cell>
          <cell r="G763"/>
          <cell r="H763">
            <v>237</v>
          </cell>
          <cell r="I763"/>
          <cell r="J763">
            <v>241</v>
          </cell>
          <cell r="K763"/>
          <cell r="L763">
            <v>241</v>
          </cell>
          <cell r="M763"/>
          <cell r="N763">
            <v>233</v>
          </cell>
          <cell r="O763"/>
          <cell r="P763">
            <v>228</v>
          </cell>
          <cell r="Q763"/>
          <cell r="R763">
            <v>237</v>
          </cell>
          <cell r="S763"/>
          <cell r="T763">
            <v>237</v>
          </cell>
          <cell r="U763"/>
          <cell r="V763">
            <v>241</v>
          </cell>
          <cell r="W763"/>
          <cell r="X763">
            <v>233</v>
          </cell>
          <cell r="Y763"/>
          <cell r="Z763">
            <v>241</v>
          </cell>
          <cell r="AA763"/>
          <cell r="AB763"/>
          <cell r="AC763"/>
          <cell r="AD763">
            <v>2.1000000000000001E-2</v>
          </cell>
          <cell r="AE763"/>
          <cell r="AF763"/>
          <cell r="AG763"/>
          <cell r="AH763"/>
          <cell r="AI763"/>
          <cell r="AJ763"/>
          <cell r="AK763"/>
          <cell r="AL763"/>
        </row>
        <row r="764">
          <cell r="E764" t="str">
            <v>CE 8sq-2C</v>
          </cell>
          <cell r="F764" t="str">
            <v>ｍ</v>
          </cell>
          <cell r="G764"/>
          <cell r="H764">
            <v>297</v>
          </cell>
          <cell r="I764"/>
          <cell r="J764">
            <v>302</v>
          </cell>
          <cell r="K764"/>
          <cell r="L764">
            <v>302</v>
          </cell>
          <cell r="M764"/>
          <cell r="N764">
            <v>292</v>
          </cell>
          <cell r="O764"/>
          <cell r="P764">
            <v>285</v>
          </cell>
          <cell r="Q764"/>
          <cell r="R764">
            <v>297</v>
          </cell>
          <cell r="S764"/>
          <cell r="T764">
            <v>297</v>
          </cell>
          <cell r="U764"/>
          <cell r="V764">
            <v>302</v>
          </cell>
          <cell r="W764"/>
          <cell r="X764">
            <v>292</v>
          </cell>
          <cell r="Y764"/>
          <cell r="Z764">
            <v>302</v>
          </cell>
          <cell r="AA764"/>
          <cell r="AB764"/>
          <cell r="AC764"/>
          <cell r="AD764">
            <v>2.3E-2</v>
          </cell>
          <cell r="AE764"/>
          <cell r="AF764"/>
          <cell r="AG764"/>
          <cell r="AH764"/>
          <cell r="AI764"/>
          <cell r="AJ764"/>
          <cell r="AK764"/>
          <cell r="AL764"/>
        </row>
        <row r="765">
          <cell r="E765" t="str">
            <v>CE 14sq-2C</v>
          </cell>
          <cell r="F765" t="str">
            <v>ｍ</v>
          </cell>
          <cell r="G765"/>
          <cell r="H765">
            <v>433</v>
          </cell>
          <cell r="I765"/>
          <cell r="J765">
            <v>440</v>
          </cell>
          <cell r="K765"/>
          <cell r="L765">
            <v>440</v>
          </cell>
          <cell r="M765"/>
          <cell r="N765">
            <v>427</v>
          </cell>
          <cell r="O765"/>
          <cell r="P765">
            <v>416</v>
          </cell>
          <cell r="Q765"/>
          <cell r="R765">
            <v>433</v>
          </cell>
          <cell r="S765"/>
          <cell r="T765">
            <v>433</v>
          </cell>
          <cell r="U765"/>
          <cell r="V765">
            <v>440</v>
          </cell>
          <cell r="W765"/>
          <cell r="X765">
            <v>427</v>
          </cell>
          <cell r="Y765"/>
          <cell r="Z765">
            <v>440</v>
          </cell>
          <cell r="AA765"/>
          <cell r="AB765"/>
          <cell r="AC765"/>
          <cell r="AD765">
            <v>2.9000000000000001E-2</v>
          </cell>
          <cell r="AE765"/>
          <cell r="AF765"/>
          <cell r="AG765"/>
          <cell r="AH765"/>
          <cell r="AI765"/>
          <cell r="AJ765"/>
          <cell r="AK765"/>
          <cell r="AL765"/>
        </row>
        <row r="766">
          <cell r="E766" t="str">
            <v>CE 22sq-2C</v>
          </cell>
          <cell r="F766" t="str">
            <v>ｍ</v>
          </cell>
          <cell r="G766"/>
          <cell r="H766">
            <v>637</v>
          </cell>
          <cell r="I766"/>
          <cell r="J766">
            <v>647</v>
          </cell>
          <cell r="K766"/>
          <cell r="L766">
            <v>647</v>
          </cell>
          <cell r="M766"/>
          <cell r="N766">
            <v>627</v>
          </cell>
          <cell r="O766"/>
          <cell r="P766">
            <v>612</v>
          </cell>
          <cell r="Q766"/>
          <cell r="R766">
            <v>637</v>
          </cell>
          <cell r="S766"/>
          <cell r="T766">
            <v>637</v>
          </cell>
          <cell r="U766"/>
          <cell r="V766">
            <v>647</v>
          </cell>
          <cell r="W766"/>
          <cell r="X766">
            <v>627</v>
          </cell>
          <cell r="Y766"/>
          <cell r="Z766">
            <v>647</v>
          </cell>
          <cell r="AA766"/>
          <cell r="AB766"/>
          <cell r="AC766"/>
          <cell r="AD766">
            <v>3.6999999999999998E-2</v>
          </cell>
          <cell r="AE766"/>
          <cell r="AF766"/>
          <cell r="AG766"/>
          <cell r="AH766"/>
          <cell r="AI766"/>
          <cell r="AJ766"/>
          <cell r="AK766"/>
          <cell r="AL766"/>
        </row>
        <row r="767">
          <cell r="E767" t="str">
            <v>CE 38sq-2C</v>
          </cell>
          <cell r="F767" t="str">
            <v>ｍ</v>
          </cell>
          <cell r="G767"/>
          <cell r="H767">
            <v>998</v>
          </cell>
          <cell r="I767"/>
          <cell r="J767">
            <v>1014</v>
          </cell>
          <cell r="K767"/>
          <cell r="L767">
            <v>1014</v>
          </cell>
          <cell r="M767"/>
          <cell r="N767">
            <v>983</v>
          </cell>
          <cell r="O767"/>
          <cell r="P767">
            <v>959</v>
          </cell>
          <cell r="Q767"/>
          <cell r="R767">
            <v>998</v>
          </cell>
          <cell r="S767"/>
          <cell r="T767">
            <v>998</v>
          </cell>
          <cell r="U767"/>
          <cell r="V767">
            <v>1014</v>
          </cell>
          <cell r="W767"/>
          <cell r="X767">
            <v>983</v>
          </cell>
          <cell r="Y767"/>
          <cell r="Z767">
            <v>1014</v>
          </cell>
          <cell r="AA767"/>
          <cell r="AB767"/>
          <cell r="AC767"/>
          <cell r="AD767">
            <v>0.05</v>
          </cell>
          <cell r="AE767"/>
          <cell r="AF767"/>
          <cell r="AG767"/>
          <cell r="AH767"/>
          <cell r="AI767"/>
          <cell r="AJ767"/>
          <cell r="AK767"/>
          <cell r="AL767"/>
        </row>
        <row r="768">
          <cell r="E768" t="str">
            <v>CE 60sq-2C</v>
          </cell>
          <cell r="F768" t="str">
            <v>ｍ</v>
          </cell>
          <cell r="G768"/>
          <cell r="H768">
            <v>1536</v>
          </cell>
          <cell r="I768"/>
          <cell r="J768">
            <v>1562</v>
          </cell>
          <cell r="K768"/>
          <cell r="L768">
            <v>1562</v>
          </cell>
          <cell r="M768"/>
          <cell r="N768">
            <v>1514</v>
          </cell>
          <cell r="O768"/>
          <cell r="P768">
            <v>1478</v>
          </cell>
          <cell r="Q768"/>
          <cell r="R768">
            <v>1536</v>
          </cell>
          <cell r="S768"/>
          <cell r="T768">
            <v>1536</v>
          </cell>
          <cell r="U768"/>
          <cell r="V768">
            <v>1562</v>
          </cell>
          <cell r="W768"/>
          <cell r="X768">
            <v>1514</v>
          </cell>
          <cell r="Y768"/>
          <cell r="Z768">
            <v>1562</v>
          </cell>
          <cell r="AA768"/>
          <cell r="AB768"/>
          <cell r="AC768"/>
          <cell r="AD768">
            <v>6.5000000000000002E-2</v>
          </cell>
          <cell r="AE768"/>
          <cell r="AF768"/>
          <cell r="AG768"/>
          <cell r="AH768"/>
          <cell r="AI768"/>
          <cell r="AJ768"/>
          <cell r="AK768"/>
          <cell r="AL768"/>
        </row>
        <row r="769">
          <cell r="E769" t="str">
            <v>CE 100sq-2C</v>
          </cell>
          <cell r="F769" t="str">
            <v>ｍ</v>
          </cell>
          <cell r="G769"/>
          <cell r="H769">
            <v>2516</v>
          </cell>
          <cell r="I769"/>
          <cell r="J769">
            <v>2555</v>
          </cell>
          <cell r="K769"/>
          <cell r="L769">
            <v>2555</v>
          </cell>
          <cell r="M769"/>
          <cell r="N769">
            <v>2477</v>
          </cell>
          <cell r="O769"/>
          <cell r="P769">
            <v>2416</v>
          </cell>
          <cell r="Q769"/>
          <cell r="R769">
            <v>2516</v>
          </cell>
          <cell r="S769"/>
          <cell r="T769">
            <v>2516</v>
          </cell>
          <cell r="U769"/>
          <cell r="V769">
            <v>2555</v>
          </cell>
          <cell r="W769"/>
          <cell r="X769">
            <v>2477</v>
          </cell>
          <cell r="Y769"/>
          <cell r="Z769">
            <v>2555</v>
          </cell>
          <cell r="AA769"/>
          <cell r="AB769"/>
          <cell r="AC769"/>
          <cell r="AD769">
            <v>0.09</v>
          </cell>
          <cell r="AE769"/>
          <cell r="AF769"/>
          <cell r="AG769"/>
          <cell r="AH769"/>
          <cell r="AI769"/>
          <cell r="AJ769"/>
          <cell r="AK769"/>
          <cell r="AL769"/>
        </row>
        <row r="770">
          <cell r="E770" t="str">
            <v>CE 150sq-2C</v>
          </cell>
          <cell r="F770" t="str">
            <v>ｍ</v>
          </cell>
          <cell r="G770"/>
          <cell r="H770">
            <v>4099</v>
          </cell>
          <cell r="I770"/>
          <cell r="J770">
            <v>4163</v>
          </cell>
          <cell r="K770"/>
          <cell r="L770">
            <v>4163</v>
          </cell>
          <cell r="M770"/>
          <cell r="N770">
            <v>4035</v>
          </cell>
          <cell r="O770"/>
          <cell r="P770">
            <v>3939</v>
          </cell>
          <cell r="Q770"/>
          <cell r="R770">
            <v>4099</v>
          </cell>
          <cell r="S770"/>
          <cell r="T770">
            <v>4099</v>
          </cell>
          <cell r="U770"/>
          <cell r="V770">
            <v>4163</v>
          </cell>
          <cell r="W770"/>
          <cell r="X770">
            <v>4035</v>
          </cell>
          <cell r="Y770"/>
          <cell r="Z770">
            <v>4163</v>
          </cell>
          <cell r="AA770"/>
          <cell r="AB770"/>
          <cell r="AC770"/>
          <cell r="AD770">
            <v>0.11</v>
          </cell>
          <cell r="AE770"/>
          <cell r="AF770"/>
          <cell r="AG770"/>
          <cell r="AH770"/>
          <cell r="AI770"/>
          <cell r="AJ770"/>
          <cell r="AK770"/>
          <cell r="AL770"/>
        </row>
        <row r="771">
          <cell r="E771" t="str">
            <v>CE 200sq-2C</v>
          </cell>
          <cell r="F771" t="str">
            <v>ｍ</v>
          </cell>
          <cell r="G771"/>
          <cell r="H771">
            <v>5429</v>
          </cell>
          <cell r="I771"/>
          <cell r="J771">
            <v>5514</v>
          </cell>
          <cell r="K771"/>
          <cell r="L771">
            <v>5514</v>
          </cell>
          <cell r="M771"/>
          <cell r="N771">
            <v>4344</v>
          </cell>
          <cell r="O771"/>
          <cell r="P771">
            <v>5217</v>
          </cell>
          <cell r="Q771"/>
          <cell r="R771">
            <v>5429</v>
          </cell>
          <cell r="S771"/>
          <cell r="T771">
            <v>5429</v>
          </cell>
          <cell r="U771"/>
          <cell r="V771">
            <v>5514</v>
          </cell>
          <cell r="W771"/>
          <cell r="X771">
            <v>4344</v>
          </cell>
          <cell r="Y771"/>
          <cell r="Z771">
            <v>5514</v>
          </cell>
          <cell r="AA771"/>
          <cell r="AB771"/>
          <cell r="AC771"/>
          <cell r="AD771">
            <v>0.13600000000000001</v>
          </cell>
          <cell r="AE771"/>
          <cell r="AF771"/>
          <cell r="AG771"/>
          <cell r="AH771"/>
          <cell r="AI771"/>
          <cell r="AJ771"/>
          <cell r="AK771"/>
          <cell r="AL771"/>
        </row>
        <row r="772">
          <cell r="E772" t="str">
            <v>CE 250sq-2C</v>
          </cell>
          <cell r="F772" t="str">
            <v>ｍ</v>
          </cell>
          <cell r="G772"/>
          <cell r="H772">
            <v>6779</v>
          </cell>
          <cell r="I772"/>
          <cell r="J772">
            <v>6885</v>
          </cell>
          <cell r="K772"/>
          <cell r="L772">
            <v>6885</v>
          </cell>
          <cell r="M772"/>
          <cell r="N772">
            <v>6673</v>
          </cell>
          <cell r="O772"/>
          <cell r="P772">
            <v>6514</v>
          </cell>
          <cell r="Q772"/>
          <cell r="R772">
            <v>6779</v>
          </cell>
          <cell r="S772"/>
          <cell r="T772">
            <v>6779</v>
          </cell>
          <cell r="U772"/>
          <cell r="V772">
            <v>6885</v>
          </cell>
          <cell r="W772"/>
          <cell r="X772">
            <v>6673</v>
          </cell>
          <cell r="Y772"/>
          <cell r="Z772">
            <v>6885</v>
          </cell>
          <cell r="AA772"/>
          <cell r="AB772"/>
          <cell r="AC772"/>
          <cell r="AD772">
            <v>0.157</v>
          </cell>
          <cell r="AE772"/>
          <cell r="AF772"/>
          <cell r="AG772"/>
          <cell r="AH772"/>
          <cell r="AI772"/>
          <cell r="AJ772"/>
          <cell r="AK772"/>
          <cell r="AL772"/>
        </row>
        <row r="773">
          <cell r="E773" t="str">
            <v>CE 325sq-2C</v>
          </cell>
          <cell r="F773" t="str">
            <v>ｍ</v>
          </cell>
          <cell r="G773"/>
          <cell r="H773">
            <v>8605</v>
          </cell>
          <cell r="I773"/>
          <cell r="J773">
            <v>8739</v>
          </cell>
          <cell r="K773"/>
          <cell r="L773">
            <v>8739</v>
          </cell>
          <cell r="M773"/>
          <cell r="N773">
            <v>8470</v>
          </cell>
          <cell r="O773"/>
          <cell r="P773">
            <v>8269</v>
          </cell>
          <cell r="Q773"/>
          <cell r="R773">
            <v>8605</v>
          </cell>
          <cell r="S773"/>
          <cell r="T773">
            <v>8605</v>
          </cell>
          <cell r="U773"/>
          <cell r="V773">
            <v>8739</v>
          </cell>
          <cell r="W773"/>
          <cell r="X773">
            <v>8470</v>
          </cell>
          <cell r="Y773"/>
          <cell r="Z773">
            <v>8739</v>
          </cell>
          <cell r="AA773"/>
          <cell r="AB773"/>
          <cell r="AC773"/>
          <cell r="AD773">
            <v>0.19800000000000001</v>
          </cell>
          <cell r="AE773"/>
          <cell r="AF773"/>
          <cell r="AG773"/>
          <cell r="AH773"/>
          <cell r="AI773"/>
          <cell r="AJ773"/>
          <cell r="AK773"/>
          <cell r="AL773"/>
        </row>
        <row r="774">
          <cell r="E774" t="str">
            <v>CE  2sq-3C</v>
          </cell>
          <cell r="F774" t="str">
            <v>ｍ</v>
          </cell>
          <cell r="G774"/>
          <cell r="H774">
            <v>160</v>
          </cell>
          <cell r="I774"/>
          <cell r="J774">
            <v>163</v>
          </cell>
          <cell r="K774"/>
          <cell r="L774">
            <v>163</v>
          </cell>
          <cell r="M774"/>
          <cell r="N774">
            <v>158</v>
          </cell>
          <cell r="O774"/>
          <cell r="P774">
            <v>154</v>
          </cell>
          <cell r="Q774"/>
          <cell r="R774">
            <v>160</v>
          </cell>
          <cell r="S774"/>
          <cell r="T774">
            <v>160</v>
          </cell>
          <cell r="U774"/>
          <cell r="V774">
            <v>163</v>
          </cell>
          <cell r="W774"/>
          <cell r="X774">
            <v>158</v>
          </cell>
          <cell r="Y774"/>
          <cell r="Z774">
            <v>163</v>
          </cell>
          <cell r="AA774"/>
          <cell r="AB774"/>
          <cell r="AC774"/>
          <cell r="AD774">
            <v>1.7000000000000001E-2</v>
          </cell>
          <cell r="AE774"/>
          <cell r="AF774"/>
          <cell r="AG774"/>
          <cell r="AH774"/>
          <cell r="AI774"/>
          <cell r="AJ774"/>
          <cell r="AK774"/>
          <cell r="AL774"/>
        </row>
        <row r="775">
          <cell r="E775" t="str">
            <v>CE3.5sq-3C</v>
          </cell>
          <cell r="F775" t="str">
            <v>ｍ</v>
          </cell>
          <cell r="G775"/>
          <cell r="H775">
            <v>222</v>
          </cell>
          <cell r="I775"/>
          <cell r="J775">
            <v>226</v>
          </cell>
          <cell r="K775"/>
          <cell r="L775">
            <v>226</v>
          </cell>
          <cell r="M775"/>
          <cell r="N775">
            <v>219</v>
          </cell>
          <cell r="O775"/>
          <cell r="P775">
            <v>213</v>
          </cell>
          <cell r="Q775"/>
          <cell r="R775">
            <v>222</v>
          </cell>
          <cell r="S775"/>
          <cell r="T775">
            <v>222</v>
          </cell>
          <cell r="U775"/>
          <cell r="V775">
            <v>226</v>
          </cell>
          <cell r="W775"/>
          <cell r="X775">
            <v>219</v>
          </cell>
          <cell r="Y775"/>
          <cell r="Z775">
            <v>226</v>
          </cell>
          <cell r="AA775"/>
          <cell r="AB775"/>
          <cell r="AC775"/>
          <cell r="AD775">
            <v>2.1000000000000001E-2</v>
          </cell>
          <cell r="AE775"/>
          <cell r="AF775"/>
          <cell r="AG775"/>
          <cell r="AH775"/>
          <cell r="AI775"/>
          <cell r="AJ775"/>
          <cell r="AK775"/>
          <cell r="AL775"/>
        </row>
        <row r="776">
          <cell r="E776" t="str">
            <v>CE5.5sq-3C</v>
          </cell>
          <cell r="F776" t="str">
            <v>ｍ</v>
          </cell>
          <cell r="G776"/>
          <cell r="H776">
            <v>306</v>
          </cell>
          <cell r="I776"/>
          <cell r="J776">
            <v>311</v>
          </cell>
          <cell r="K776"/>
          <cell r="L776">
            <v>311</v>
          </cell>
          <cell r="M776"/>
          <cell r="N776">
            <v>301</v>
          </cell>
          <cell r="O776"/>
          <cell r="P776">
            <v>294</v>
          </cell>
          <cell r="Q776"/>
          <cell r="R776">
            <v>306</v>
          </cell>
          <cell r="S776"/>
          <cell r="T776">
            <v>306</v>
          </cell>
          <cell r="U776"/>
          <cell r="V776">
            <v>311</v>
          </cell>
          <cell r="W776"/>
          <cell r="X776">
            <v>301</v>
          </cell>
          <cell r="Y776"/>
          <cell r="Z776">
            <v>311</v>
          </cell>
          <cell r="AA776"/>
          <cell r="AB776"/>
          <cell r="AC776"/>
          <cell r="AD776">
            <v>2.5999999999999999E-2</v>
          </cell>
          <cell r="AE776"/>
          <cell r="AF776"/>
          <cell r="AG776"/>
          <cell r="AH776"/>
          <cell r="AI776"/>
          <cell r="AJ776"/>
          <cell r="AK776"/>
          <cell r="AL776"/>
        </row>
        <row r="777">
          <cell r="E777" t="str">
            <v>CE  8sq-3C</v>
          </cell>
          <cell r="F777" t="str">
            <v>ｍ</v>
          </cell>
          <cell r="G777"/>
          <cell r="H777">
            <v>392</v>
          </cell>
          <cell r="I777"/>
          <cell r="J777">
            <v>398</v>
          </cell>
          <cell r="K777"/>
          <cell r="L777">
            <v>398</v>
          </cell>
          <cell r="M777"/>
          <cell r="N777">
            <v>386</v>
          </cell>
          <cell r="O777"/>
          <cell r="P777">
            <v>377</v>
          </cell>
          <cell r="Q777"/>
          <cell r="R777">
            <v>392</v>
          </cell>
          <cell r="S777"/>
          <cell r="T777">
            <v>392</v>
          </cell>
          <cell r="U777"/>
          <cell r="V777">
            <v>398</v>
          </cell>
          <cell r="W777"/>
          <cell r="X777">
            <v>386</v>
          </cell>
          <cell r="Y777"/>
          <cell r="Z777">
            <v>398</v>
          </cell>
          <cell r="AA777"/>
          <cell r="AB777"/>
          <cell r="AC777"/>
          <cell r="AD777">
            <v>2.9000000000000001E-2</v>
          </cell>
          <cell r="AE777"/>
          <cell r="AF777"/>
          <cell r="AG777"/>
          <cell r="AH777"/>
          <cell r="AI777"/>
          <cell r="AJ777"/>
          <cell r="AK777"/>
          <cell r="AL777"/>
        </row>
        <row r="778">
          <cell r="E778" t="str">
            <v>CE 14sq-3C</v>
          </cell>
          <cell r="F778" t="str">
            <v>ｍ</v>
          </cell>
          <cell r="G778"/>
          <cell r="H778">
            <v>585</v>
          </cell>
          <cell r="I778"/>
          <cell r="J778">
            <v>594</v>
          </cell>
          <cell r="K778"/>
          <cell r="L778">
            <v>594</v>
          </cell>
          <cell r="M778"/>
          <cell r="N778">
            <v>576</v>
          </cell>
          <cell r="O778"/>
          <cell r="P778">
            <v>562</v>
          </cell>
          <cell r="Q778"/>
          <cell r="R778">
            <v>585</v>
          </cell>
          <cell r="S778"/>
          <cell r="T778">
            <v>585</v>
          </cell>
          <cell r="U778"/>
          <cell r="V778">
            <v>594</v>
          </cell>
          <cell r="W778"/>
          <cell r="X778">
            <v>576</v>
          </cell>
          <cell r="Y778"/>
          <cell r="Z778">
            <v>594</v>
          </cell>
          <cell r="AA778"/>
          <cell r="AB778"/>
          <cell r="AC778"/>
          <cell r="AD778">
            <v>3.6999999999999998E-2</v>
          </cell>
          <cell r="AE778"/>
          <cell r="AF778"/>
          <cell r="AG778"/>
          <cell r="AH778"/>
          <cell r="AI778"/>
          <cell r="AJ778"/>
          <cell r="AK778"/>
          <cell r="AL778"/>
        </row>
        <row r="779">
          <cell r="E779" t="str">
            <v>CE 22sq-3C</v>
          </cell>
          <cell r="F779" t="str">
            <v>ｍ</v>
          </cell>
          <cell r="G779"/>
          <cell r="H779">
            <v>872</v>
          </cell>
          <cell r="I779"/>
          <cell r="J779">
            <v>885</v>
          </cell>
          <cell r="K779"/>
          <cell r="L779">
            <v>885</v>
          </cell>
          <cell r="M779"/>
          <cell r="N779">
            <v>858</v>
          </cell>
          <cell r="O779"/>
          <cell r="P779">
            <v>838</v>
          </cell>
          <cell r="Q779"/>
          <cell r="R779">
            <v>872</v>
          </cell>
          <cell r="S779"/>
          <cell r="T779">
            <v>872</v>
          </cell>
          <cell r="U779"/>
          <cell r="V779">
            <v>885</v>
          </cell>
          <cell r="W779"/>
          <cell r="X779">
            <v>858</v>
          </cell>
          <cell r="Y779"/>
          <cell r="Z779">
            <v>885</v>
          </cell>
          <cell r="AA779"/>
          <cell r="AB779"/>
          <cell r="AC779"/>
          <cell r="AD779">
            <v>4.7E-2</v>
          </cell>
          <cell r="AE779"/>
          <cell r="AF779"/>
          <cell r="AG779"/>
          <cell r="AH779"/>
          <cell r="AI779"/>
          <cell r="AJ779"/>
          <cell r="AK779"/>
          <cell r="AL779"/>
        </row>
        <row r="780">
          <cell r="E780" t="str">
            <v>CE 38sq-3C</v>
          </cell>
          <cell r="F780" t="str">
            <v>ｍ</v>
          </cell>
          <cell r="G780"/>
          <cell r="H780">
            <v>1399</v>
          </cell>
          <cell r="I780"/>
          <cell r="J780">
            <v>1421</v>
          </cell>
          <cell r="K780"/>
          <cell r="L780">
            <v>1421</v>
          </cell>
          <cell r="M780"/>
          <cell r="N780">
            <v>1377</v>
          </cell>
          <cell r="O780"/>
          <cell r="P780">
            <v>1344</v>
          </cell>
          <cell r="Q780"/>
          <cell r="R780">
            <v>1399</v>
          </cell>
          <cell r="S780"/>
          <cell r="T780">
            <v>1399</v>
          </cell>
          <cell r="U780"/>
          <cell r="V780">
            <v>1421</v>
          </cell>
          <cell r="W780"/>
          <cell r="X780">
            <v>1377</v>
          </cell>
          <cell r="Y780"/>
          <cell r="Z780">
            <v>1421</v>
          </cell>
          <cell r="AA780"/>
          <cell r="AB780"/>
          <cell r="AC780"/>
          <cell r="AD780">
            <v>6.2E-2</v>
          </cell>
          <cell r="AE780"/>
          <cell r="AF780"/>
          <cell r="AG780"/>
          <cell r="AH780"/>
          <cell r="AI780"/>
          <cell r="AJ780"/>
          <cell r="AK780"/>
          <cell r="AL780"/>
        </row>
        <row r="781">
          <cell r="E781" t="str">
            <v>CE 60sq-3C</v>
          </cell>
          <cell r="F781" t="str">
            <v>ｍ</v>
          </cell>
          <cell r="G781"/>
          <cell r="H781">
            <v>2154</v>
          </cell>
          <cell r="I781"/>
          <cell r="J781">
            <v>2188</v>
          </cell>
          <cell r="K781"/>
          <cell r="L781">
            <v>2188</v>
          </cell>
          <cell r="M781"/>
          <cell r="N781">
            <v>2121</v>
          </cell>
          <cell r="O781"/>
          <cell r="P781">
            <v>2070</v>
          </cell>
          <cell r="Q781"/>
          <cell r="R781">
            <v>2154</v>
          </cell>
          <cell r="S781"/>
          <cell r="T781">
            <v>2154</v>
          </cell>
          <cell r="U781"/>
          <cell r="V781">
            <v>2188</v>
          </cell>
          <cell r="W781"/>
          <cell r="X781">
            <v>2121</v>
          </cell>
          <cell r="Y781"/>
          <cell r="Z781">
            <v>2188</v>
          </cell>
          <cell r="AA781"/>
          <cell r="AB781"/>
          <cell r="AC781"/>
          <cell r="AD781">
            <v>8.2000000000000003E-2</v>
          </cell>
          <cell r="AE781"/>
          <cell r="AF781"/>
          <cell r="AG781"/>
          <cell r="AH781"/>
          <cell r="AI781"/>
          <cell r="AJ781"/>
          <cell r="AK781"/>
          <cell r="AL781"/>
        </row>
        <row r="782">
          <cell r="E782" t="str">
            <v>CE100sq-3C</v>
          </cell>
          <cell r="F782" t="str">
            <v>ｍ</v>
          </cell>
          <cell r="G782"/>
          <cell r="H782">
            <v>3592</v>
          </cell>
          <cell r="I782"/>
          <cell r="J782">
            <v>3648</v>
          </cell>
          <cell r="K782"/>
          <cell r="L782">
            <v>3648</v>
          </cell>
          <cell r="M782"/>
          <cell r="N782">
            <v>3536</v>
          </cell>
          <cell r="O782"/>
          <cell r="P782">
            <v>3452</v>
          </cell>
          <cell r="Q782"/>
          <cell r="R782">
            <v>3592</v>
          </cell>
          <cell r="S782"/>
          <cell r="T782">
            <v>3592</v>
          </cell>
          <cell r="U782"/>
          <cell r="V782">
            <v>3648</v>
          </cell>
          <cell r="W782"/>
          <cell r="X782">
            <v>3536</v>
          </cell>
          <cell r="Y782"/>
          <cell r="Z782">
            <v>3648</v>
          </cell>
          <cell r="AA782"/>
          <cell r="AB782"/>
          <cell r="AC782"/>
          <cell r="AD782">
            <v>0.112</v>
          </cell>
          <cell r="AE782"/>
          <cell r="AF782"/>
          <cell r="AG782"/>
          <cell r="AH782"/>
          <cell r="AI782"/>
          <cell r="AJ782"/>
          <cell r="AK782"/>
          <cell r="AL782"/>
        </row>
        <row r="783">
          <cell r="E783" t="str">
            <v>CE150sq-3C</v>
          </cell>
          <cell r="F783" t="str">
            <v>ｍ</v>
          </cell>
          <cell r="G783"/>
          <cell r="H783">
            <v>5814</v>
          </cell>
          <cell r="I783"/>
          <cell r="J783">
            <v>3905</v>
          </cell>
          <cell r="K783"/>
          <cell r="L783">
            <v>3905</v>
          </cell>
          <cell r="M783"/>
          <cell r="N783">
            <v>5724</v>
          </cell>
          <cell r="O783"/>
          <cell r="P783">
            <v>5587</v>
          </cell>
          <cell r="Q783"/>
          <cell r="R783">
            <v>5814</v>
          </cell>
          <cell r="S783"/>
          <cell r="T783">
            <v>5814</v>
          </cell>
          <cell r="U783"/>
          <cell r="V783">
            <v>3905</v>
          </cell>
          <cell r="W783"/>
          <cell r="X783">
            <v>5724</v>
          </cell>
          <cell r="Y783"/>
          <cell r="Z783">
            <v>3905</v>
          </cell>
          <cell r="AA783"/>
          <cell r="AB783"/>
          <cell r="AC783"/>
          <cell r="AD783">
            <v>0.13700000000000001</v>
          </cell>
          <cell r="AE783"/>
          <cell r="AF783"/>
          <cell r="AG783"/>
          <cell r="AH783"/>
          <cell r="AI783"/>
          <cell r="AJ783"/>
          <cell r="AK783"/>
          <cell r="AL783"/>
        </row>
        <row r="784">
          <cell r="E784" t="str">
            <v>CE200sq-3C</v>
          </cell>
          <cell r="F784" t="str">
            <v>ｍ</v>
          </cell>
          <cell r="G784"/>
          <cell r="H784">
            <v>7734</v>
          </cell>
          <cell r="I784"/>
          <cell r="J784">
            <v>7855</v>
          </cell>
          <cell r="K784"/>
          <cell r="L784">
            <v>7855</v>
          </cell>
          <cell r="M784"/>
          <cell r="N784">
            <v>7614</v>
          </cell>
          <cell r="O784"/>
          <cell r="P784">
            <v>7432</v>
          </cell>
          <cell r="Q784"/>
          <cell r="R784">
            <v>7734</v>
          </cell>
          <cell r="S784"/>
          <cell r="T784">
            <v>7734</v>
          </cell>
          <cell r="U784"/>
          <cell r="V784">
            <v>7855</v>
          </cell>
          <cell r="W784"/>
          <cell r="X784">
            <v>7614</v>
          </cell>
          <cell r="Y784"/>
          <cell r="Z784">
            <v>7855</v>
          </cell>
          <cell r="AA784"/>
          <cell r="AB784"/>
          <cell r="AC784"/>
          <cell r="AD784">
            <v>0.17</v>
          </cell>
          <cell r="AE784"/>
          <cell r="AF784"/>
          <cell r="AG784"/>
          <cell r="AH784"/>
          <cell r="AI784"/>
          <cell r="AJ784"/>
          <cell r="AK784"/>
          <cell r="AL784"/>
        </row>
        <row r="785">
          <cell r="E785" t="str">
            <v>CE250sq-3C</v>
          </cell>
          <cell r="F785" t="str">
            <v>ｍ</v>
          </cell>
          <cell r="G785"/>
          <cell r="H785">
            <v>9704</v>
          </cell>
          <cell r="I785"/>
          <cell r="J785">
            <v>9855</v>
          </cell>
          <cell r="K785"/>
          <cell r="L785">
            <v>9855</v>
          </cell>
          <cell r="M785"/>
          <cell r="N785">
            <v>9552</v>
          </cell>
          <cell r="O785"/>
          <cell r="P785">
            <v>9325</v>
          </cell>
          <cell r="Q785"/>
          <cell r="R785">
            <v>9704</v>
          </cell>
          <cell r="S785"/>
          <cell r="T785">
            <v>9704</v>
          </cell>
          <cell r="U785"/>
          <cell r="V785">
            <v>9855</v>
          </cell>
          <cell r="W785"/>
          <cell r="X785">
            <v>9552</v>
          </cell>
          <cell r="Y785"/>
          <cell r="Z785">
            <v>9855</v>
          </cell>
          <cell r="AA785"/>
          <cell r="AB785"/>
          <cell r="AC785"/>
          <cell r="AD785">
            <v>0.19600000000000001</v>
          </cell>
          <cell r="AE785"/>
          <cell r="AF785"/>
          <cell r="AG785"/>
          <cell r="AH785"/>
          <cell r="AI785"/>
          <cell r="AJ785"/>
          <cell r="AK785"/>
          <cell r="AL785"/>
        </row>
        <row r="786">
          <cell r="E786" t="str">
            <v>CE325sq-3C</v>
          </cell>
          <cell r="F786" t="str">
            <v>ｍ</v>
          </cell>
          <cell r="G786"/>
          <cell r="H786">
            <v>12384</v>
          </cell>
          <cell r="I786"/>
          <cell r="J786">
            <v>12578</v>
          </cell>
          <cell r="K786"/>
          <cell r="L786">
            <v>12578</v>
          </cell>
          <cell r="M786"/>
          <cell r="N786">
            <v>12191</v>
          </cell>
          <cell r="O786"/>
          <cell r="P786">
            <v>11900</v>
          </cell>
          <cell r="Q786"/>
          <cell r="R786">
            <v>12384</v>
          </cell>
          <cell r="S786"/>
          <cell r="T786">
            <v>12384</v>
          </cell>
          <cell r="U786"/>
          <cell r="V786">
            <v>12578</v>
          </cell>
          <cell r="W786"/>
          <cell r="X786">
            <v>12191</v>
          </cell>
          <cell r="Y786"/>
          <cell r="Z786">
            <v>12578</v>
          </cell>
          <cell r="AA786"/>
          <cell r="AB786"/>
          <cell r="AC786"/>
          <cell r="AD786">
            <v>0.248</v>
          </cell>
          <cell r="AE786"/>
          <cell r="AF786"/>
          <cell r="AG786"/>
          <cell r="AH786"/>
          <cell r="AI786"/>
          <cell r="AJ786"/>
          <cell r="AK786"/>
          <cell r="AL786"/>
        </row>
        <row r="787">
          <cell r="E787" t="str">
            <v>CE 2sq-4C</v>
          </cell>
          <cell r="F787" t="str">
            <v>ｍ</v>
          </cell>
          <cell r="G787"/>
          <cell r="H787">
            <v>191</v>
          </cell>
          <cell r="I787"/>
          <cell r="J787">
            <v>194</v>
          </cell>
          <cell r="K787"/>
          <cell r="L787">
            <v>194</v>
          </cell>
          <cell r="M787"/>
          <cell r="N787">
            <v>188</v>
          </cell>
          <cell r="O787"/>
          <cell r="P787">
            <v>184</v>
          </cell>
          <cell r="Q787"/>
          <cell r="R787">
            <v>191</v>
          </cell>
          <cell r="S787"/>
          <cell r="T787">
            <v>191</v>
          </cell>
          <cell r="U787"/>
          <cell r="V787">
            <v>194</v>
          </cell>
          <cell r="W787"/>
          <cell r="X787">
            <v>188</v>
          </cell>
          <cell r="Y787"/>
          <cell r="Z787">
            <v>194</v>
          </cell>
          <cell r="AA787"/>
          <cell r="AB787"/>
          <cell r="AC787"/>
          <cell r="AD787">
            <v>0.02</v>
          </cell>
          <cell r="AE787"/>
          <cell r="AF787"/>
          <cell r="AG787"/>
          <cell r="AH787"/>
          <cell r="AI787"/>
          <cell r="AJ787"/>
          <cell r="AK787"/>
          <cell r="AL787"/>
        </row>
        <row r="788">
          <cell r="E788" t="str">
            <v>CE 3.5sq-4C</v>
          </cell>
          <cell r="F788" t="str">
            <v>ｍ</v>
          </cell>
          <cell r="G788"/>
          <cell r="H788">
            <v>278</v>
          </cell>
          <cell r="I788"/>
          <cell r="J788">
            <v>283</v>
          </cell>
          <cell r="K788"/>
          <cell r="L788">
            <v>283</v>
          </cell>
          <cell r="M788"/>
          <cell r="N788">
            <v>274</v>
          </cell>
          <cell r="O788"/>
          <cell r="P788">
            <v>268</v>
          </cell>
          <cell r="Q788"/>
          <cell r="R788">
            <v>278</v>
          </cell>
          <cell r="S788"/>
          <cell r="T788">
            <v>278</v>
          </cell>
          <cell r="U788"/>
          <cell r="V788">
            <v>283</v>
          </cell>
          <cell r="W788"/>
          <cell r="X788">
            <v>274</v>
          </cell>
          <cell r="Y788"/>
          <cell r="Z788">
            <v>283</v>
          </cell>
          <cell r="AA788"/>
          <cell r="AB788"/>
          <cell r="AC788"/>
          <cell r="AD788">
            <v>2.4E-2</v>
          </cell>
          <cell r="AE788"/>
          <cell r="AF788"/>
          <cell r="AG788"/>
          <cell r="AH788"/>
          <cell r="AI788"/>
          <cell r="AJ788"/>
          <cell r="AK788"/>
          <cell r="AL788"/>
        </row>
        <row r="789">
          <cell r="E789" t="str">
            <v>CE 5.5sq-4C</v>
          </cell>
          <cell r="F789" t="str">
            <v>ｍ</v>
          </cell>
          <cell r="G789"/>
          <cell r="H789">
            <v>383</v>
          </cell>
          <cell r="I789"/>
          <cell r="J789">
            <v>389</v>
          </cell>
          <cell r="K789"/>
          <cell r="L789">
            <v>389</v>
          </cell>
          <cell r="M789"/>
          <cell r="N789">
            <v>377</v>
          </cell>
          <cell r="O789"/>
          <cell r="P789">
            <v>368</v>
          </cell>
          <cell r="Q789"/>
          <cell r="R789">
            <v>383</v>
          </cell>
          <cell r="S789"/>
          <cell r="T789">
            <v>383</v>
          </cell>
          <cell r="U789"/>
          <cell r="V789">
            <v>389</v>
          </cell>
          <cell r="W789"/>
          <cell r="X789">
            <v>377</v>
          </cell>
          <cell r="Y789"/>
          <cell r="Z789">
            <v>389</v>
          </cell>
          <cell r="AA789"/>
          <cell r="AB789"/>
          <cell r="AC789"/>
          <cell r="AD789">
            <v>0.03</v>
          </cell>
          <cell r="AE789"/>
          <cell r="AF789"/>
          <cell r="AG789"/>
          <cell r="AH789"/>
          <cell r="AI789"/>
          <cell r="AJ789"/>
          <cell r="AK789"/>
          <cell r="AL789"/>
        </row>
        <row r="790">
          <cell r="E790" t="str">
            <v>CE 8sq-4C</v>
          </cell>
          <cell r="F790" t="str">
            <v>ｍ</v>
          </cell>
          <cell r="G790"/>
          <cell r="H790">
            <v>504</v>
          </cell>
          <cell r="I790"/>
          <cell r="J790">
            <v>512</v>
          </cell>
          <cell r="K790"/>
          <cell r="L790">
            <v>512</v>
          </cell>
          <cell r="M790"/>
          <cell r="N790">
            <v>496</v>
          </cell>
          <cell r="O790"/>
          <cell r="P790">
            <v>484</v>
          </cell>
          <cell r="Q790"/>
          <cell r="R790">
            <v>504</v>
          </cell>
          <cell r="S790"/>
          <cell r="T790">
            <v>504</v>
          </cell>
          <cell r="U790"/>
          <cell r="V790">
            <v>512</v>
          </cell>
          <cell r="W790"/>
          <cell r="X790">
            <v>496</v>
          </cell>
          <cell r="Y790"/>
          <cell r="Z790">
            <v>512</v>
          </cell>
          <cell r="AA790"/>
          <cell r="AB790"/>
          <cell r="AC790"/>
          <cell r="AD790">
            <v>3.5000000000000003E-2</v>
          </cell>
          <cell r="AE790"/>
          <cell r="AF790"/>
          <cell r="AG790"/>
          <cell r="AH790"/>
          <cell r="AI790"/>
          <cell r="AJ790"/>
          <cell r="AK790"/>
          <cell r="AL790"/>
        </row>
        <row r="791">
          <cell r="E791" t="str">
            <v>CE 14sq-4C</v>
          </cell>
          <cell r="F791" t="str">
            <v>ｍ</v>
          </cell>
          <cell r="G791"/>
          <cell r="H791">
            <v>769</v>
          </cell>
          <cell r="I791"/>
          <cell r="J791">
            <v>781</v>
          </cell>
          <cell r="K791"/>
          <cell r="L791">
            <v>781</v>
          </cell>
          <cell r="M791"/>
          <cell r="N791">
            <v>757</v>
          </cell>
          <cell r="O791"/>
          <cell r="P791">
            <v>739</v>
          </cell>
          <cell r="Q791"/>
          <cell r="R791">
            <v>769</v>
          </cell>
          <cell r="S791"/>
          <cell r="T791">
            <v>769</v>
          </cell>
          <cell r="U791"/>
          <cell r="V791">
            <v>781</v>
          </cell>
          <cell r="W791"/>
          <cell r="X791">
            <v>757</v>
          </cell>
          <cell r="Y791"/>
          <cell r="Z791">
            <v>781</v>
          </cell>
          <cell r="AA791"/>
          <cell r="AB791"/>
          <cell r="AC791"/>
          <cell r="AD791">
            <v>4.2999999999999997E-2</v>
          </cell>
          <cell r="AE791"/>
          <cell r="AF791"/>
          <cell r="AG791"/>
          <cell r="AH791"/>
          <cell r="AI791"/>
          <cell r="AJ791"/>
          <cell r="AK791"/>
          <cell r="AL791"/>
        </row>
        <row r="792">
          <cell r="E792" t="str">
            <v>CE 22sq-4C</v>
          </cell>
          <cell r="F792" t="str">
            <v>ｍ</v>
          </cell>
          <cell r="G792"/>
          <cell r="H792">
            <v>1157</v>
          </cell>
          <cell r="I792"/>
          <cell r="J792">
            <v>1175</v>
          </cell>
          <cell r="K792"/>
          <cell r="L792">
            <v>1175</v>
          </cell>
          <cell r="M792"/>
          <cell r="N792">
            <v>1139</v>
          </cell>
          <cell r="O792"/>
          <cell r="P792">
            <v>1112</v>
          </cell>
          <cell r="Q792"/>
          <cell r="R792">
            <v>1157</v>
          </cell>
          <cell r="S792"/>
          <cell r="T792">
            <v>1157</v>
          </cell>
          <cell r="U792"/>
          <cell r="V792">
            <v>1175</v>
          </cell>
          <cell r="W792"/>
          <cell r="X792">
            <v>1139</v>
          </cell>
          <cell r="Y792"/>
          <cell r="Z792">
            <v>1175</v>
          </cell>
          <cell r="AA792"/>
          <cell r="AB792"/>
          <cell r="AC792"/>
          <cell r="AD792">
            <v>5.6000000000000001E-2</v>
          </cell>
          <cell r="AE792"/>
          <cell r="AF792"/>
          <cell r="AG792"/>
          <cell r="AH792"/>
          <cell r="AI792"/>
          <cell r="AJ792"/>
          <cell r="AK792"/>
          <cell r="AL792"/>
        </row>
        <row r="793">
          <cell r="E793" t="str">
            <v>CE 38sq-4C</v>
          </cell>
          <cell r="F793" t="str">
            <v>ｍ</v>
          </cell>
          <cell r="G793"/>
          <cell r="H793">
            <v>1853</v>
          </cell>
          <cell r="I793"/>
          <cell r="J793">
            <v>1882</v>
          </cell>
          <cell r="K793"/>
          <cell r="L793">
            <v>1882</v>
          </cell>
          <cell r="M793"/>
          <cell r="N793">
            <v>1824</v>
          </cell>
          <cell r="O793"/>
          <cell r="P793">
            <v>1781</v>
          </cell>
          <cell r="Q793"/>
          <cell r="R793">
            <v>1853</v>
          </cell>
          <cell r="S793"/>
          <cell r="T793">
            <v>1853</v>
          </cell>
          <cell r="U793"/>
          <cell r="V793">
            <v>1882</v>
          </cell>
          <cell r="W793"/>
          <cell r="X793">
            <v>1824</v>
          </cell>
          <cell r="Y793"/>
          <cell r="Z793">
            <v>1882</v>
          </cell>
          <cell r="AA793"/>
          <cell r="AB793"/>
          <cell r="AC793"/>
          <cell r="AD793">
            <v>7.3999999999999996E-2</v>
          </cell>
          <cell r="AE793"/>
          <cell r="AF793"/>
          <cell r="AG793"/>
          <cell r="AH793"/>
          <cell r="AI793"/>
          <cell r="AJ793"/>
          <cell r="AK793"/>
          <cell r="AL793"/>
        </row>
        <row r="794">
          <cell r="E794" t="str">
            <v>CE 60sq-4C</v>
          </cell>
          <cell r="F794" t="str">
            <v>ｍ</v>
          </cell>
          <cell r="G794"/>
          <cell r="H794">
            <v>3202</v>
          </cell>
          <cell r="I794"/>
          <cell r="J794">
            <v>3252</v>
          </cell>
          <cell r="K794"/>
          <cell r="L794">
            <v>3252</v>
          </cell>
          <cell r="M794"/>
          <cell r="N794">
            <v>3152</v>
          </cell>
          <cell r="O794"/>
          <cell r="P794">
            <v>3077</v>
          </cell>
          <cell r="Q794"/>
          <cell r="R794">
            <v>3202</v>
          </cell>
          <cell r="S794"/>
          <cell r="T794">
            <v>3202</v>
          </cell>
          <cell r="U794"/>
          <cell r="V794">
            <v>3252</v>
          </cell>
          <cell r="W794"/>
          <cell r="X794">
            <v>3152</v>
          </cell>
          <cell r="Y794"/>
          <cell r="Z794">
            <v>3252</v>
          </cell>
          <cell r="AA794"/>
          <cell r="AB794"/>
          <cell r="AC794"/>
          <cell r="AD794">
            <v>9.8000000000000004E-2</v>
          </cell>
          <cell r="AE794"/>
          <cell r="AF794"/>
          <cell r="AG794"/>
          <cell r="AH794"/>
          <cell r="AI794"/>
          <cell r="AJ794"/>
          <cell r="AK794"/>
          <cell r="AL794"/>
        </row>
        <row r="795">
          <cell r="E795" t="str">
            <v>CE 100sq-4C</v>
          </cell>
          <cell r="F795" t="str">
            <v>ｍ</v>
          </cell>
          <cell r="G795"/>
          <cell r="H795">
            <v>5240</v>
          </cell>
          <cell r="I795"/>
          <cell r="J795">
            <v>5322</v>
          </cell>
          <cell r="K795"/>
          <cell r="L795">
            <v>5322</v>
          </cell>
          <cell r="M795"/>
          <cell r="N795">
            <v>5158</v>
          </cell>
          <cell r="O795"/>
          <cell r="P795">
            <v>5035</v>
          </cell>
          <cell r="Q795"/>
          <cell r="R795">
            <v>5240</v>
          </cell>
          <cell r="S795"/>
          <cell r="T795">
            <v>5240</v>
          </cell>
          <cell r="U795"/>
          <cell r="V795">
            <v>5322</v>
          </cell>
          <cell r="W795"/>
          <cell r="X795">
            <v>5158</v>
          </cell>
          <cell r="Y795"/>
          <cell r="Z795">
            <v>5322</v>
          </cell>
          <cell r="AA795"/>
          <cell r="AB795"/>
          <cell r="AC795"/>
          <cell r="AD795">
            <v>0.13400000000000001</v>
          </cell>
          <cell r="AE795"/>
          <cell r="AF795"/>
          <cell r="AG795"/>
          <cell r="AH795"/>
          <cell r="AI795"/>
          <cell r="AJ795"/>
          <cell r="AK795"/>
          <cell r="AL795"/>
        </row>
        <row r="796">
          <cell r="E796" t="str">
            <v>CE 150sq-4C</v>
          </cell>
          <cell r="F796" t="str">
            <v>ｍ</v>
          </cell>
          <cell r="G796"/>
          <cell r="H796">
            <v>7651</v>
          </cell>
          <cell r="I796"/>
          <cell r="J796">
            <v>7771</v>
          </cell>
          <cell r="K796"/>
          <cell r="L796">
            <v>7771</v>
          </cell>
          <cell r="M796"/>
          <cell r="N796">
            <v>7532</v>
          </cell>
          <cell r="O796"/>
          <cell r="P796">
            <v>7352</v>
          </cell>
          <cell r="Q796"/>
          <cell r="R796">
            <v>7651</v>
          </cell>
          <cell r="S796"/>
          <cell r="T796">
            <v>7651</v>
          </cell>
          <cell r="U796"/>
          <cell r="V796">
            <v>7771</v>
          </cell>
          <cell r="W796"/>
          <cell r="X796">
            <v>7532</v>
          </cell>
          <cell r="Y796"/>
          <cell r="Z796">
            <v>7771</v>
          </cell>
          <cell r="AA796"/>
          <cell r="AB796"/>
          <cell r="AC796"/>
          <cell r="AD796">
            <v>0.16500000000000001</v>
          </cell>
          <cell r="AE796"/>
          <cell r="AF796"/>
          <cell r="AG796"/>
          <cell r="AH796"/>
          <cell r="AI796"/>
          <cell r="AJ796"/>
          <cell r="AK796"/>
          <cell r="AL796"/>
        </row>
        <row r="797">
          <cell r="E797" t="str">
            <v>CE 200sq-4C</v>
          </cell>
          <cell r="F797" t="str">
            <v>ｍ</v>
          </cell>
          <cell r="G797"/>
          <cell r="H797">
            <v>9822</v>
          </cell>
          <cell r="I797"/>
          <cell r="J797">
            <v>9976</v>
          </cell>
          <cell r="K797"/>
          <cell r="L797">
            <v>9976</v>
          </cell>
          <cell r="M797"/>
          <cell r="N797">
            <v>9669</v>
          </cell>
          <cell r="O797"/>
          <cell r="P797">
            <v>9438</v>
          </cell>
          <cell r="Q797"/>
          <cell r="R797">
            <v>9822</v>
          </cell>
          <cell r="S797"/>
          <cell r="T797">
            <v>9822</v>
          </cell>
          <cell r="U797"/>
          <cell r="V797">
            <v>9976</v>
          </cell>
          <cell r="W797"/>
          <cell r="X797">
            <v>9669</v>
          </cell>
          <cell r="Y797"/>
          <cell r="Z797">
            <v>9976</v>
          </cell>
          <cell r="AA797"/>
          <cell r="AB797"/>
          <cell r="AC797"/>
          <cell r="AD797">
            <v>0.20399999999999999</v>
          </cell>
          <cell r="AE797"/>
          <cell r="AF797"/>
          <cell r="AG797"/>
          <cell r="AH797"/>
          <cell r="AI797"/>
          <cell r="AJ797"/>
          <cell r="AK797"/>
          <cell r="AL797"/>
        </row>
        <row r="798">
          <cell r="E798" t="str">
            <v>CE 250sq-4C</v>
          </cell>
          <cell r="F798" t="str">
            <v>ｍ</v>
          </cell>
          <cell r="G798"/>
          <cell r="H798">
            <v>12472</v>
          </cell>
          <cell r="I798"/>
          <cell r="J798">
            <v>12667</v>
          </cell>
          <cell r="K798"/>
          <cell r="L798">
            <v>12667</v>
          </cell>
          <cell r="M798"/>
          <cell r="N798">
            <v>12277</v>
          </cell>
          <cell r="O798"/>
          <cell r="P798">
            <v>11985</v>
          </cell>
          <cell r="Q798"/>
          <cell r="R798">
            <v>12472</v>
          </cell>
          <cell r="S798"/>
          <cell r="T798">
            <v>12472</v>
          </cell>
          <cell r="U798"/>
          <cell r="V798">
            <v>12667</v>
          </cell>
          <cell r="W798"/>
          <cell r="X798">
            <v>12277</v>
          </cell>
          <cell r="Y798"/>
          <cell r="Z798">
            <v>12667</v>
          </cell>
          <cell r="AA798"/>
          <cell r="AB798"/>
          <cell r="AC798"/>
          <cell r="AD798">
            <v>0.23499999999999999</v>
          </cell>
          <cell r="AE798"/>
          <cell r="AF798"/>
          <cell r="AG798"/>
          <cell r="AH798"/>
          <cell r="AI798"/>
          <cell r="AJ798"/>
          <cell r="AK798"/>
          <cell r="AL798"/>
        </row>
        <row r="799">
          <cell r="E799" t="str">
            <v>CE 325sq-4C</v>
          </cell>
          <cell r="F799" t="str">
            <v>ｍ</v>
          </cell>
          <cell r="G799"/>
          <cell r="H799">
            <v>16079</v>
          </cell>
          <cell r="I799"/>
          <cell r="J799">
            <v>16330</v>
          </cell>
          <cell r="K799"/>
          <cell r="L799">
            <v>16330</v>
          </cell>
          <cell r="M799"/>
          <cell r="N799">
            <v>15827</v>
          </cell>
          <cell r="O799"/>
          <cell r="P799">
            <v>15451</v>
          </cell>
          <cell r="Q799"/>
          <cell r="R799">
            <v>16079</v>
          </cell>
          <cell r="S799"/>
          <cell r="T799">
            <v>16079</v>
          </cell>
          <cell r="U799"/>
          <cell r="V799">
            <v>16330</v>
          </cell>
          <cell r="W799"/>
          <cell r="X799">
            <v>15827</v>
          </cell>
          <cell r="Y799"/>
          <cell r="Z799">
            <v>16330</v>
          </cell>
          <cell r="AA799"/>
          <cell r="AB799"/>
          <cell r="AC799"/>
          <cell r="AD799">
            <v>0.29699999999999999</v>
          </cell>
          <cell r="AE799"/>
          <cell r="AF799"/>
          <cell r="AG799"/>
          <cell r="AH799"/>
          <cell r="AI799"/>
          <cell r="AJ799"/>
          <cell r="AK799"/>
          <cell r="AL799"/>
        </row>
        <row r="800">
          <cell r="E800" t="str">
            <v>CVD 14sq</v>
          </cell>
          <cell r="F800" t="str">
            <v>ｍ</v>
          </cell>
          <cell r="G800"/>
          <cell r="H800">
            <v>353</v>
          </cell>
          <cell r="I800"/>
          <cell r="J800">
            <v>359</v>
          </cell>
          <cell r="K800"/>
          <cell r="L800">
            <v>359</v>
          </cell>
          <cell r="M800"/>
          <cell r="N800">
            <v>348</v>
          </cell>
          <cell r="O800"/>
          <cell r="P800">
            <v>339</v>
          </cell>
          <cell r="Q800"/>
          <cell r="R800">
            <v>353</v>
          </cell>
          <cell r="S800"/>
          <cell r="T800">
            <v>353</v>
          </cell>
          <cell r="U800"/>
          <cell r="V800">
            <v>359</v>
          </cell>
          <cell r="W800"/>
          <cell r="X800">
            <v>348</v>
          </cell>
          <cell r="Y800"/>
          <cell r="Z800">
            <v>359</v>
          </cell>
          <cell r="AA800"/>
          <cell r="AB800"/>
          <cell r="AC800"/>
          <cell r="AD800">
            <v>2.9000000000000001E-2</v>
          </cell>
          <cell r="AE800"/>
          <cell r="AF800"/>
          <cell r="AG800"/>
          <cell r="AH800"/>
          <cell r="AI800"/>
          <cell r="AJ800"/>
          <cell r="AK800"/>
          <cell r="AL800"/>
        </row>
        <row r="801">
          <cell r="E801" t="str">
            <v>CVD 22sq</v>
          </cell>
          <cell r="F801" t="str">
            <v>ｍ</v>
          </cell>
          <cell r="G801"/>
          <cell r="H801">
            <v>526</v>
          </cell>
          <cell r="I801"/>
          <cell r="J801">
            <v>534</v>
          </cell>
          <cell r="K801"/>
          <cell r="L801">
            <v>534</v>
          </cell>
          <cell r="M801"/>
          <cell r="N801">
            <v>518</v>
          </cell>
          <cell r="O801"/>
          <cell r="P801">
            <v>506</v>
          </cell>
          <cell r="Q801"/>
          <cell r="R801">
            <v>526</v>
          </cell>
          <cell r="S801"/>
          <cell r="T801">
            <v>526</v>
          </cell>
          <cell r="U801"/>
          <cell r="V801">
            <v>534</v>
          </cell>
          <cell r="W801"/>
          <cell r="X801">
            <v>518</v>
          </cell>
          <cell r="Y801"/>
          <cell r="Z801">
            <v>534</v>
          </cell>
          <cell r="AA801"/>
          <cell r="AB801"/>
          <cell r="AC801"/>
          <cell r="AD801">
            <v>3.6999999999999998E-2</v>
          </cell>
          <cell r="AE801"/>
          <cell r="AF801"/>
          <cell r="AG801"/>
          <cell r="AH801"/>
          <cell r="AI801"/>
          <cell r="AJ801"/>
          <cell r="AK801"/>
          <cell r="AL801"/>
        </row>
        <row r="802">
          <cell r="E802" t="str">
            <v>CVD 38sq</v>
          </cell>
          <cell r="F802" t="str">
            <v>ｍ</v>
          </cell>
          <cell r="G802"/>
          <cell r="H802">
            <v>856</v>
          </cell>
          <cell r="I802"/>
          <cell r="J802">
            <v>870</v>
          </cell>
          <cell r="K802"/>
          <cell r="L802">
            <v>870</v>
          </cell>
          <cell r="M802"/>
          <cell r="N802">
            <v>843</v>
          </cell>
          <cell r="O802"/>
          <cell r="P802">
            <v>823</v>
          </cell>
          <cell r="Q802"/>
          <cell r="R802">
            <v>856</v>
          </cell>
          <cell r="S802"/>
          <cell r="T802">
            <v>856</v>
          </cell>
          <cell r="U802"/>
          <cell r="V802">
            <v>870</v>
          </cell>
          <cell r="W802"/>
          <cell r="X802">
            <v>843</v>
          </cell>
          <cell r="Y802"/>
          <cell r="Z802">
            <v>870</v>
          </cell>
          <cell r="AA802"/>
          <cell r="AB802"/>
          <cell r="AC802"/>
          <cell r="AD802">
            <v>0.05</v>
          </cell>
          <cell r="AE802"/>
          <cell r="AF802"/>
          <cell r="AG802"/>
          <cell r="AH802"/>
          <cell r="AI802"/>
          <cell r="AJ802"/>
          <cell r="AK802"/>
          <cell r="AL802"/>
        </row>
        <row r="803">
          <cell r="E803" t="str">
            <v>CVD 60sq</v>
          </cell>
          <cell r="F803" t="str">
            <v>ｍ</v>
          </cell>
          <cell r="G803"/>
          <cell r="H803">
            <v>1309</v>
          </cell>
          <cell r="I803"/>
          <cell r="J803">
            <v>1330</v>
          </cell>
          <cell r="K803"/>
          <cell r="L803">
            <v>1330</v>
          </cell>
          <cell r="M803"/>
          <cell r="N803">
            <v>1289</v>
          </cell>
          <cell r="O803"/>
          <cell r="P803">
            <v>1258</v>
          </cell>
          <cell r="Q803"/>
          <cell r="R803">
            <v>1309</v>
          </cell>
          <cell r="S803"/>
          <cell r="T803">
            <v>1309</v>
          </cell>
          <cell r="U803"/>
          <cell r="V803">
            <v>1330</v>
          </cell>
          <cell r="W803"/>
          <cell r="X803">
            <v>1289</v>
          </cell>
          <cell r="Y803"/>
          <cell r="Z803">
            <v>1330</v>
          </cell>
          <cell r="AA803"/>
          <cell r="AB803"/>
          <cell r="AC803"/>
          <cell r="AD803">
            <v>6.5000000000000002E-2</v>
          </cell>
          <cell r="AE803"/>
          <cell r="AF803"/>
          <cell r="AG803"/>
          <cell r="AH803"/>
          <cell r="AI803"/>
          <cell r="AJ803"/>
          <cell r="AK803"/>
          <cell r="AL803"/>
        </row>
        <row r="804">
          <cell r="E804" t="str">
            <v>CVD 100sq</v>
          </cell>
          <cell r="F804" t="str">
            <v>ｍ</v>
          </cell>
          <cell r="G804"/>
          <cell r="H804">
            <v>2193</v>
          </cell>
          <cell r="I804"/>
          <cell r="J804">
            <v>2228</v>
          </cell>
          <cell r="K804"/>
          <cell r="L804">
            <v>2228</v>
          </cell>
          <cell r="M804"/>
          <cell r="N804">
            <v>2159</v>
          </cell>
          <cell r="O804"/>
          <cell r="P804">
            <v>2108</v>
          </cell>
          <cell r="Q804"/>
          <cell r="R804">
            <v>2193</v>
          </cell>
          <cell r="S804"/>
          <cell r="T804">
            <v>2193</v>
          </cell>
          <cell r="U804"/>
          <cell r="V804">
            <v>2228</v>
          </cell>
          <cell r="W804"/>
          <cell r="X804">
            <v>2159</v>
          </cell>
          <cell r="Y804"/>
          <cell r="Z804">
            <v>2228</v>
          </cell>
          <cell r="AA804"/>
          <cell r="AB804"/>
          <cell r="AC804"/>
          <cell r="AD804">
            <v>0.09</v>
          </cell>
          <cell r="AE804"/>
          <cell r="AF804"/>
          <cell r="AG804"/>
          <cell r="AH804"/>
          <cell r="AI804"/>
          <cell r="AJ804"/>
          <cell r="AK804"/>
          <cell r="AL804"/>
        </row>
        <row r="805">
          <cell r="E805" t="str">
            <v>CVD 150sq</v>
          </cell>
          <cell r="F805" t="str">
            <v>ｍ</v>
          </cell>
          <cell r="G805"/>
          <cell r="H805">
            <v>3250</v>
          </cell>
          <cell r="I805"/>
          <cell r="J805">
            <v>3301</v>
          </cell>
          <cell r="K805"/>
          <cell r="L805">
            <v>3301</v>
          </cell>
          <cell r="M805"/>
          <cell r="N805">
            <v>3199</v>
          </cell>
          <cell r="O805"/>
          <cell r="P805">
            <v>3123</v>
          </cell>
          <cell r="Q805"/>
          <cell r="R805">
            <v>3250</v>
          </cell>
          <cell r="S805"/>
          <cell r="T805">
            <v>3250</v>
          </cell>
          <cell r="U805"/>
          <cell r="V805">
            <v>3301</v>
          </cell>
          <cell r="W805"/>
          <cell r="X805">
            <v>3199</v>
          </cell>
          <cell r="Y805"/>
          <cell r="Z805">
            <v>3301</v>
          </cell>
          <cell r="AA805"/>
          <cell r="AB805"/>
          <cell r="AC805"/>
          <cell r="AD805">
            <v>0.11</v>
          </cell>
          <cell r="AE805"/>
          <cell r="AF805"/>
          <cell r="AG805"/>
          <cell r="AH805"/>
          <cell r="AI805"/>
          <cell r="AJ805"/>
          <cell r="AK805"/>
          <cell r="AL805"/>
        </row>
        <row r="806">
          <cell r="E806" t="str">
            <v>CVD 200sq</v>
          </cell>
          <cell r="F806" t="str">
            <v>ｍ</v>
          </cell>
          <cell r="G806"/>
          <cell r="H806">
            <v>4335</v>
          </cell>
          <cell r="I806"/>
          <cell r="J806">
            <v>4402</v>
          </cell>
          <cell r="K806"/>
          <cell r="L806">
            <v>4402</v>
          </cell>
          <cell r="M806"/>
          <cell r="N806">
            <v>4267</v>
          </cell>
          <cell r="O806"/>
          <cell r="P806">
            <v>4165</v>
          </cell>
          <cell r="Q806"/>
          <cell r="R806">
            <v>4335</v>
          </cell>
          <cell r="S806"/>
          <cell r="T806">
            <v>4335</v>
          </cell>
          <cell r="U806"/>
          <cell r="V806">
            <v>4402</v>
          </cell>
          <cell r="W806"/>
          <cell r="X806">
            <v>4267</v>
          </cell>
          <cell r="Y806"/>
          <cell r="Z806">
            <v>4402</v>
          </cell>
          <cell r="AA806"/>
          <cell r="AB806"/>
          <cell r="AC806"/>
          <cell r="AD806">
            <v>0.13600000000000001</v>
          </cell>
          <cell r="AE806"/>
          <cell r="AF806"/>
          <cell r="AG806"/>
          <cell r="AH806"/>
          <cell r="AI806"/>
          <cell r="AJ806"/>
          <cell r="AK806"/>
          <cell r="AL806"/>
        </row>
        <row r="807">
          <cell r="E807" t="str">
            <v>CVD 250sq</v>
          </cell>
          <cell r="F807" t="str">
            <v>ｍ</v>
          </cell>
          <cell r="G807"/>
          <cell r="H807">
            <v>5449</v>
          </cell>
          <cell r="I807"/>
          <cell r="J807">
            <v>5534</v>
          </cell>
          <cell r="K807"/>
          <cell r="L807">
            <v>5534</v>
          </cell>
          <cell r="M807"/>
          <cell r="N807">
            <v>5364</v>
          </cell>
          <cell r="O807"/>
          <cell r="P807">
            <v>5236</v>
          </cell>
          <cell r="Q807"/>
          <cell r="R807">
            <v>5449</v>
          </cell>
          <cell r="S807"/>
          <cell r="T807">
            <v>5449</v>
          </cell>
          <cell r="U807"/>
          <cell r="V807">
            <v>5534</v>
          </cell>
          <cell r="W807"/>
          <cell r="X807">
            <v>5364</v>
          </cell>
          <cell r="Y807"/>
          <cell r="Z807">
            <v>5534</v>
          </cell>
          <cell r="AA807"/>
          <cell r="AB807"/>
          <cell r="AC807"/>
          <cell r="AD807">
            <v>0.157</v>
          </cell>
          <cell r="AE807"/>
          <cell r="AF807"/>
          <cell r="AG807"/>
          <cell r="AH807"/>
          <cell r="AI807"/>
          <cell r="AJ807"/>
          <cell r="AK807"/>
          <cell r="AL807"/>
        </row>
        <row r="808">
          <cell r="E808" t="str">
            <v>CVT 14sq</v>
          </cell>
          <cell r="F808" t="str">
            <v>ｍ</v>
          </cell>
          <cell r="G808"/>
          <cell r="H808">
            <v>508</v>
          </cell>
          <cell r="I808"/>
          <cell r="J808">
            <v>516</v>
          </cell>
          <cell r="K808"/>
          <cell r="L808">
            <v>516</v>
          </cell>
          <cell r="M808"/>
          <cell r="N808">
            <v>500</v>
          </cell>
          <cell r="O808"/>
          <cell r="P808">
            <v>488</v>
          </cell>
          <cell r="Q808"/>
          <cell r="R808">
            <v>508</v>
          </cell>
          <cell r="S808"/>
          <cell r="T808">
            <v>508</v>
          </cell>
          <cell r="U808"/>
          <cell r="V808">
            <v>516</v>
          </cell>
          <cell r="W808"/>
          <cell r="X808">
            <v>500</v>
          </cell>
          <cell r="Y808"/>
          <cell r="Z808">
            <v>516</v>
          </cell>
          <cell r="AA808"/>
          <cell r="AB808"/>
          <cell r="AC808"/>
          <cell r="AD808">
            <v>3.6999999999999998E-2</v>
          </cell>
          <cell r="AE808"/>
          <cell r="AF808"/>
          <cell r="AG808"/>
          <cell r="AH808"/>
          <cell r="AI808"/>
          <cell r="AJ808"/>
          <cell r="AK808"/>
          <cell r="AL808"/>
        </row>
        <row r="809">
          <cell r="E809" t="str">
            <v>CVT 22sq</v>
          </cell>
          <cell r="F809" t="str">
            <v>ｍ</v>
          </cell>
          <cell r="G809"/>
          <cell r="H809">
            <v>763</v>
          </cell>
          <cell r="I809"/>
          <cell r="J809">
            <v>775</v>
          </cell>
          <cell r="K809"/>
          <cell r="L809">
            <v>775</v>
          </cell>
          <cell r="M809"/>
          <cell r="N809">
            <v>751</v>
          </cell>
          <cell r="O809"/>
          <cell r="P809">
            <v>733</v>
          </cell>
          <cell r="Q809"/>
          <cell r="R809">
            <v>763</v>
          </cell>
          <cell r="S809"/>
          <cell r="T809">
            <v>763</v>
          </cell>
          <cell r="U809"/>
          <cell r="V809">
            <v>775</v>
          </cell>
          <cell r="W809"/>
          <cell r="X809">
            <v>751</v>
          </cell>
          <cell r="Y809"/>
          <cell r="Z809">
            <v>775</v>
          </cell>
          <cell r="AA809"/>
          <cell r="AB809"/>
          <cell r="AC809"/>
          <cell r="AD809">
            <v>4.7E-2</v>
          </cell>
          <cell r="AE809"/>
          <cell r="AF809"/>
          <cell r="AG809"/>
          <cell r="AH809"/>
          <cell r="AI809"/>
          <cell r="AJ809"/>
          <cell r="AK809"/>
          <cell r="AL809"/>
        </row>
        <row r="810">
          <cell r="E810" t="str">
            <v>CVT 38sq</v>
          </cell>
          <cell r="F810" t="str">
            <v>ｍ</v>
          </cell>
          <cell r="G810"/>
          <cell r="H810">
            <v>1256</v>
          </cell>
          <cell r="I810"/>
          <cell r="J810">
            <v>1276</v>
          </cell>
          <cell r="K810"/>
          <cell r="L810">
            <v>1276</v>
          </cell>
          <cell r="M810"/>
          <cell r="N810">
            <v>1237</v>
          </cell>
          <cell r="O810"/>
          <cell r="P810">
            <v>1207</v>
          </cell>
          <cell r="Q810"/>
          <cell r="R810">
            <v>1256</v>
          </cell>
          <cell r="S810"/>
          <cell r="T810">
            <v>1256</v>
          </cell>
          <cell r="U810"/>
          <cell r="V810">
            <v>1276</v>
          </cell>
          <cell r="W810"/>
          <cell r="X810">
            <v>1237</v>
          </cell>
          <cell r="Y810"/>
          <cell r="Z810">
            <v>1276</v>
          </cell>
          <cell r="AA810"/>
          <cell r="AB810"/>
          <cell r="AC810"/>
          <cell r="AD810">
            <v>6.2E-2</v>
          </cell>
          <cell r="AE810"/>
          <cell r="AF810"/>
          <cell r="AG810"/>
          <cell r="AH810"/>
          <cell r="AI810"/>
          <cell r="AJ810"/>
          <cell r="AK810"/>
          <cell r="AL810"/>
        </row>
        <row r="811">
          <cell r="E811" t="str">
            <v>CVT 60sq</v>
          </cell>
          <cell r="F811" t="str">
            <v>ｍ</v>
          </cell>
          <cell r="G811"/>
          <cell r="H811">
            <v>1920</v>
          </cell>
          <cell r="I811"/>
          <cell r="J811">
            <v>1950</v>
          </cell>
          <cell r="K811"/>
          <cell r="L811">
            <v>1950</v>
          </cell>
          <cell r="M811"/>
          <cell r="N811">
            <v>1890</v>
          </cell>
          <cell r="O811"/>
          <cell r="P811">
            <v>1845</v>
          </cell>
          <cell r="Q811"/>
          <cell r="R811">
            <v>1920</v>
          </cell>
          <cell r="S811"/>
          <cell r="T811">
            <v>1920</v>
          </cell>
          <cell r="U811"/>
          <cell r="V811">
            <v>1950</v>
          </cell>
          <cell r="W811"/>
          <cell r="X811">
            <v>1890</v>
          </cell>
          <cell r="Y811"/>
          <cell r="Z811">
            <v>1950</v>
          </cell>
          <cell r="AA811"/>
          <cell r="AB811"/>
          <cell r="AC811"/>
          <cell r="AD811">
            <v>8.2000000000000003E-2</v>
          </cell>
          <cell r="AE811"/>
          <cell r="AF811"/>
          <cell r="AG811"/>
          <cell r="AH811"/>
          <cell r="AI811"/>
          <cell r="AJ811"/>
          <cell r="AK811"/>
          <cell r="AL811"/>
        </row>
        <row r="812">
          <cell r="E812" t="str">
            <v>CVT100sq</v>
          </cell>
          <cell r="F812" t="str">
            <v>ｍ</v>
          </cell>
          <cell r="G812"/>
          <cell r="H812">
            <v>3233</v>
          </cell>
          <cell r="I812"/>
          <cell r="J812">
            <v>3283</v>
          </cell>
          <cell r="K812"/>
          <cell r="L812">
            <v>3283</v>
          </cell>
          <cell r="M812"/>
          <cell r="N812">
            <v>3182</v>
          </cell>
          <cell r="O812"/>
          <cell r="P812">
            <v>3106</v>
          </cell>
          <cell r="Q812"/>
          <cell r="R812">
            <v>3233</v>
          </cell>
          <cell r="S812"/>
          <cell r="T812">
            <v>3233</v>
          </cell>
          <cell r="U812"/>
          <cell r="V812">
            <v>3283</v>
          </cell>
          <cell r="W812"/>
          <cell r="X812">
            <v>3182</v>
          </cell>
          <cell r="Y812"/>
          <cell r="Z812">
            <v>3283</v>
          </cell>
          <cell r="AA812"/>
          <cell r="AB812"/>
          <cell r="AC812"/>
          <cell r="AD812">
            <v>0.112</v>
          </cell>
          <cell r="AE812"/>
          <cell r="AF812"/>
          <cell r="AG812"/>
          <cell r="AH812"/>
          <cell r="AI812"/>
          <cell r="AJ812"/>
          <cell r="AK812"/>
          <cell r="AL812"/>
        </row>
        <row r="813">
          <cell r="E813" t="str">
            <v>CVT150sq</v>
          </cell>
          <cell r="F813" t="str">
            <v>ｍ</v>
          </cell>
          <cell r="G813"/>
          <cell r="H813">
            <v>4799</v>
          </cell>
          <cell r="I813"/>
          <cell r="J813">
            <v>4874</v>
          </cell>
          <cell r="K813"/>
          <cell r="L813">
            <v>4874</v>
          </cell>
          <cell r="M813"/>
          <cell r="N813">
            <v>4724</v>
          </cell>
          <cell r="O813"/>
          <cell r="P813">
            <v>4612</v>
          </cell>
          <cell r="Q813"/>
          <cell r="R813">
            <v>4799</v>
          </cell>
          <cell r="S813"/>
          <cell r="T813">
            <v>4799</v>
          </cell>
          <cell r="U813"/>
          <cell r="V813">
            <v>4874</v>
          </cell>
          <cell r="W813"/>
          <cell r="X813">
            <v>4724</v>
          </cell>
          <cell r="Y813"/>
          <cell r="Z813">
            <v>4874</v>
          </cell>
          <cell r="AA813"/>
          <cell r="AB813"/>
          <cell r="AC813"/>
          <cell r="AD813">
            <v>0.13700000000000001</v>
          </cell>
          <cell r="AE813"/>
          <cell r="AF813"/>
          <cell r="AG813"/>
          <cell r="AH813"/>
          <cell r="AI813"/>
          <cell r="AJ813"/>
          <cell r="AK813"/>
          <cell r="AL813"/>
        </row>
        <row r="814">
          <cell r="E814" t="str">
            <v>CVT200sq</v>
          </cell>
          <cell r="F814" t="str">
            <v>ｍ</v>
          </cell>
          <cell r="G814"/>
          <cell r="H814">
            <v>6369</v>
          </cell>
          <cell r="I814"/>
          <cell r="J814">
            <v>6469</v>
          </cell>
          <cell r="K814"/>
          <cell r="L814">
            <v>6469</v>
          </cell>
          <cell r="M814"/>
          <cell r="N814">
            <v>6270</v>
          </cell>
          <cell r="O814"/>
          <cell r="P814">
            <v>6120</v>
          </cell>
          <cell r="Q814"/>
          <cell r="R814">
            <v>6369</v>
          </cell>
          <cell r="S814"/>
          <cell r="T814">
            <v>6369</v>
          </cell>
          <cell r="U814"/>
          <cell r="V814">
            <v>6469</v>
          </cell>
          <cell r="W814"/>
          <cell r="X814">
            <v>6270</v>
          </cell>
          <cell r="Y814"/>
          <cell r="Z814">
            <v>6469</v>
          </cell>
          <cell r="AA814"/>
          <cell r="AB814"/>
          <cell r="AC814"/>
          <cell r="AD814">
            <v>0.17</v>
          </cell>
          <cell r="AE814"/>
          <cell r="AF814"/>
          <cell r="AG814"/>
          <cell r="AH814"/>
          <cell r="AI814"/>
          <cell r="AJ814"/>
          <cell r="AK814"/>
          <cell r="AL814"/>
        </row>
        <row r="815">
          <cell r="E815" t="str">
            <v>CVT250sq</v>
          </cell>
          <cell r="F815" t="str">
            <v>ｍ</v>
          </cell>
          <cell r="G815"/>
          <cell r="H815">
            <v>8013</v>
          </cell>
          <cell r="I815"/>
          <cell r="J815">
            <v>8138</v>
          </cell>
          <cell r="K815"/>
          <cell r="L815">
            <v>8138</v>
          </cell>
          <cell r="M815"/>
          <cell r="N815">
            <v>7888</v>
          </cell>
          <cell r="O815"/>
          <cell r="P815">
            <v>7700</v>
          </cell>
          <cell r="Q815"/>
          <cell r="R815">
            <v>8013</v>
          </cell>
          <cell r="S815"/>
          <cell r="T815">
            <v>8013</v>
          </cell>
          <cell r="U815"/>
          <cell r="V815">
            <v>8138</v>
          </cell>
          <cell r="W815"/>
          <cell r="X815">
            <v>7888</v>
          </cell>
          <cell r="Y815"/>
          <cell r="Z815">
            <v>8138</v>
          </cell>
          <cell r="AA815"/>
          <cell r="AB815"/>
          <cell r="AC815"/>
          <cell r="AD815">
            <v>0.19600000000000001</v>
          </cell>
          <cell r="AE815"/>
          <cell r="AF815"/>
          <cell r="AG815"/>
          <cell r="AH815"/>
          <cell r="AI815"/>
          <cell r="AJ815"/>
          <cell r="AK815"/>
          <cell r="AL815"/>
        </row>
        <row r="816">
          <cell r="E816" t="str">
            <v>CVT325sq</v>
          </cell>
          <cell r="F816" t="str">
            <v>ｍ</v>
          </cell>
          <cell r="G816"/>
          <cell r="H816">
            <v>10349</v>
          </cell>
          <cell r="I816"/>
          <cell r="J816">
            <v>10511</v>
          </cell>
          <cell r="K816"/>
          <cell r="L816">
            <v>10511</v>
          </cell>
          <cell r="M816"/>
          <cell r="N816">
            <v>10188</v>
          </cell>
          <cell r="O816"/>
          <cell r="P816">
            <v>9945</v>
          </cell>
          <cell r="Q816"/>
          <cell r="R816">
            <v>10349</v>
          </cell>
          <cell r="S816"/>
          <cell r="T816">
            <v>10349</v>
          </cell>
          <cell r="U816"/>
          <cell r="V816">
            <v>10511</v>
          </cell>
          <cell r="W816"/>
          <cell r="X816">
            <v>10188</v>
          </cell>
          <cell r="Y816"/>
          <cell r="Z816">
            <v>10511</v>
          </cell>
          <cell r="AA816"/>
          <cell r="AB816"/>
          <cell r="AC816"/>
          <cell r="AD816">
            <v>0.248</v>
          </cell>
          <cell r="AE816"/>
          <cell r="AF816"/>
          <cell r="AG816"/>
          <cell r="AH816"/>
          <cell r="AI816"/>
          <cell r="AJ816"/>
          <cell r="AK816"/>
          <cell r="AL816"/>
        </row>
        <row r="817">
          <cell r="E817" t="str">
            <v>CVQ 14sq</v>
          </cell>
          <cell r="F817" t="str">
            <v>ｍ</v>
          </cell>
          <cell r="G817"/>
          <cell r="H817">
            <v>673</v>
          </cell>
          <cell r="I817"/>
          <cell r="J817">
            <v>683</v>
          </cell>
          <cell r="K817"/>
          <cell r="L817">
            <v>683</v>
          </cell>
          <cell r="M817"/>
          <cell r="N817">
            <v>662</v>
          </cell>
          <cell r="O817"/>
          <cell r="P817">
            <v>646</v>
          </cell>
          <cell r="Q817"/>
          <cell r="R817">
            <v>673</v>
          </cell>
          <cell r="S817"/>
          <cell r="T817">
            <v>673</v>
          </cell>
          <cell r="U817"/>
          <cell r="V817">
            <v>683</v>
          </cell>
          <cell r="W817"/>
          <cell r="X817">
            <v>662</v>
          </cell>
          <cell r="Y817"/>
          <cell r="Z817">
            <v>683</v>
          </cell>
          <cell r="AA817"/>
          <cell r="AB817"/>
          <cell r="AC817"/>
          <cell r="AD817">
            <v>4.2999999999999997E-2</v>
          </cell>
          <cell r="AE817"/>
          <cell r="AF817"/>
          <cell r="AG817"/>
          <cell r="AH817"/>
          <cell r="AI817"/>
          <cell r="AJ817"/>
          <cell r="AK817"/>
          <cell r="AL817"/>
        </row>
        <row r="818">
          <cell r="E818" t="str">
            <v>CVQ 22sq</v>
          </cell>
          <cell r="F818" t="str">
            <v>ｍ</v>
          </cell>
          <cell r="G818"/>
          <cell r="H818">
            <v>1010</v>
          </cell>
          <cell r="I818"/>
          <cell r="J818">
            <v>1026</v>
          </cell>
          <cell r="K818"/>
          <cell r="L818">
            <v>1026</v>
          </cell>
          <cell r="M818"/>
          <cell r="N818">
            <v>994</v>
          </cell>
          <cell r="O818"/>
          <cell r="P818">
            <v>970</v>
          </cell>
          <cell r="Q818"/>
          <cell r="R818">
            <v>1010</v>
          </cell>
          <cell r="S818"/>
          <cell r="T818">
            <v>1010</v>
          </cell>
          <cell r="U818"/>
          <cell r="V818">
            <v>1026</v>
          </cell>
          <cell r="W818"/>
          <cell r="X818">
            <v>994</v>
          </cell>
          <cell r="Y818"/>
          <cell r="Z818">
            <v>1026</v>
          </cell>
          <cell r="AA818"/>
          <cell r="AB818"/>
          <cell r="AC818"/>
          <cell r="AD818">
            <v>5.6000000000000001E-2</v>
          </cell>
          <cell r="AE818"/>
          <cell r="AF818"/>
          <cell r="AG818"/>
          <cell r="AH818"/>
          <cell r="AI818"/>
          <cell r="AJ818"/>
          <cell r="AK818"/>
          <cell r="AL818"/>
        </row>
        <row r="819">
          <cell r="E819" t="str">
            <v>CVQ 38sq</v>
          </cell>
          <cell r="F819" t="str">
            <v>ｍ</v>
          </cell>
          <cell r="G819"/>
          <cell r="H819">
            <v>1667</v>
          </cell>
          <cell r="I819"/>
          <cell r="J819">
            <v>1693</v>
          </cell>
          <cell r="K819"/>
          <cell r="L819">
            <v>1693</v>
          </cell>
          <cell r="M819"/>
          <cell r="N819">
            <v>1641</v>
          </cell>
          <cell r="O819"/>
          <cell r="P819">
            <v>1602</v>
          </cell>
          <cell r="Q819"/>
          <cell r="R819">
            <v>1667</v>
          </cell>
          <cell r="S819"/>
          <cell r="T819">
            <v>1667</v>
          </cell>
          <cell r="U819"/>
          <cell r="V819">
            <v>1693</v>
          </cell>
          <cell r="W819"/>
          <cell r="X819">
            <v>1641</v>
          </cell>
          <cell r="Y819"/>
          <cell r="Z819">
            <v>1693</v>
          </cell>
          <cell r="AA819"/>
          <cell r="AB819"/>
          <cell r="AC819"/>
          <cell r="AD819">
            <v>7.3999999999999996E-2</v>
          </cell>
          <cell r="AE819"/>
          <cell r="AF819"/>
          <cell r="AG819"/>
          <cell r="AH819"/>
          <cell r="AI819"/>
          <cell r="AJ819"/>
          <cell r="AK819"/>
          <cell r="AL819"/>
        </row>
        <row r="820">
          <cell r="E820" t="str">
            <v>CVQ 60sq</v>
          </cell>
          <cell r="F820" t="str">
            <v>ｍ</v>
          </cell>
          <cell r="G820"/>
          <cell r="H820">
            <v>2566</v>
          </cell>
          <cell r="I820"/>
          <cell r="J820">
            <v>2607</v>
          </cell>
          <cell r="K820"/>
          <cell r="L820">
            <v>2607</v>
          </cell>
          <cell r="M820"/>
          <cell r="N820">
            <v>2526</v>
          </cell>
          <cell r="O820"/>
          <cell r="P820">
            <v>2466</v>
          </cell>
          <cell r="Q820"/>
          <cell r="R820">
            <v>2566</v>
          </cell>
          <cell r="S820"/>
          <cell r="T820">
            <v>2566</v>
          </cell>
          <cell r="U820"/>
          <cell r="V820">
            <v>2607</v>
          </cell>
          <cell r="W820"/>
          <cell r="X820">
            <v>2526</v>
          </cell>
          <cell r="Y820"/>
          <cell r="Z820">
            <v>2607</v>
          </cell>
          <cell r="AA820"/>
          <cell r="AB820"/>
          <cell r="AC820"/>
          <cell r="AD820">
            <v>9.8000000000000004E-2</v>
          </cell>
          <cell r="AE820"/>
          <cell r="AF820"/>
          <cell r="AG820"/>
          <cell r="AH820"/>
          <cell r="AI820"/>
          <cell r="AJ820"/>
          <cell r="AK820"/>
          <cell r="AL820"/>
        </row>
        <row r="821">
          <cell r="E821" t="str">
            <v>CVQ 100sq</v>
          </cell>
          <cell r="F821" t="str">
            <v>ｍ</v>
          </cell>
          <cell r="G821"/>
          <cell r="H821">
            <v>4292</v>
          </cell>
          <cell r="I821"/>
          <cell r="J821">
            <v>4360</v>
          </cell>
          <cell r="K821"/>
          <cell r="L821">
            <v>4360</v>
          </cell>
          <cell r="M821"/>
          <cell r="N821">
            <v>4225</v>
          </cell>
          <cell r="O821"/>
          <cell r="P821">
            <v>4125</v>
          </cell>
          <cell r="Q821"/>
          <cell r="R821">
            <v>4292</v>
          </cell>
          <cell r="S821"/>
          <cell r="T821">
            <v>4292</v>
          </cell>
          <cell r="U821"/>
          <cell r="V821">
            <v>4360</v>
          </cell>
          <cell r="W821"/>
          <cell r="X821">
            <v>4225</v>
          </cell>
          <cell r="Y821"/>
          <cell r="Z821">
            <v>4360</v>
          </cell>
          <cell r="AA821"/>
          <cell r="AB821"/>
          <cell r="AC821"/>
          <cell r="AD821">
            <v>0.13400000000000001</v>
          </cell>
          <cell r="AE821"/>
          <cell r="AF821"/>
          <cell r="AG821"/>
          <cell r="AH821"/>
          <cell r="AI821"/>
          <cell r="AJ821"/>
          <cell r="AK821"/>
          <cell r="AL821"/>
        </row>
        <row r="822">
          <cell r="E822" t="str">
            <v>CVQ 150sq</v>
          </cell>
          <cell r="F822" t="str">
            <v>ｍ</v>
          </cell>
          <cell r="G822"/>
          <cell r="H822">
            <v>6376</v>
          </cell>
          <cell r="I822"/>
          <cell r="J822">
            <v>6475</v>
          </cell>
          <cell r="K822"/>
          <cell r="L822">
            <v>6475</v>
          </cell>
          <cell r="M822"/>
          <cell r="N822">
            <v>6276</v>
          </cell>
          <cell r="O822"/>
          <cell r="P822">
            <v>6127</v>
          </cell>
          <cell r="Q822"/>
          <cell r="R822">
            <v>6376</v>
          </cell>
          <cell r="S822"/>
          <cell r="T822">
            <v>6376</v>
          </cell>
          <cell r="U822"/>
          <cell r="V822">
            <v>6475</v>
          </cell>
          <cell r="W822"/>
          <cell r="X822">
            <v>6276</v>
          </cell>
          <cell r="Y822"/>
          <cell r="Z822">
            <v>6475</v>
          </cell>
          <cell r="AA822"/>
          <cell r="AB822"/>
          <cell r="AC822"/>
          <cell r="AD822">
            <v>0.16500000000000001</v>
          </cell>
          <cell r="AE822"/>
          <cell r="AF822"/>
          <cell r="AG822"/>
          <cell r="AH822"/>
          <cell r="AI822"/>
          <cell r="AJ822"/>
          <cell r="AK822"/>
          <cell r="AL822"/>
        </row>
        <row r="823">
          <cell r="E823" t="str">
            <v>CVQ 200sq</v>
          </cell>
          <cell r="F823" t="str">
            <v>ｍ</v>
          </cell>
          <cell r="G823"/>
          <cell r="H823">
            <v>8467</v>
          </cell>
          <cell r="I823"/>
          <cell r="J823">
            <v>8599</v>
          </cell>
          <cell r="K823"/>
          <cell r="L823">
            <v>8599</v>
          </cell>
          <cell r="M823"/>
          <cell r="N823">
            <v>8334</v>
          </cell>
          <cell r="O823"/>
          <cell r="P823">
            <v>8136</v>
          </cell>
          <cell r="Q823"/>
          <cell r="R823">
            <v>8467</v>
          </cell>
          <cell r="S823"/>
          <cell r="T823">
            <v>8467</v>
          </cell>
          <cell r="U823"/>
          <cell r="V823">
            <v>8599</v>
          </cell>
          <cell r="W823"/>
          <cell r="X823">
            <v>8334</v>
          </cell>
          <cell r="Y823"/>
          <cell r="Z823">
            <v>8599</v>
          </cell>
          <cell r="AA823"/>
          <cell r="AB823"/>
          <cell r="AC823"/>
          <cell r="AD823">
            <v>0.20399999999999999</v>
          </cell>
          <cell r="AE823"/>
          <cell r="AF823"/>
          <cell r="AG823"/>
          <cell r="AH823"/>
          <cell r="AI823"/>
          <cell r="AJ823"/>
          <cell r="AK823"/>
          <cell r="AL823"/>
        </row>
        <row r="824">
          <cell r="E824" t="str">
            <v>CVQ 250sq</v>
          </cell>
          <cell r="F824" t="str">
            <v>ｍ</v>
          </cell>
          <cell r="G824"/>
          <cell r="H824">
            <v>10652</v>
          </cell>
          <cell r="I824"/>
          <cell r="J824">
            <v>10818</v>
          </cell>
          <cell r="K824"/>
          <cell r="L824">
            <v>10818</v>
          </cell>
          <cell r="M824"/>
          <cell r="N824">
            <v>10485</v>
          </cell>
          <cell r="O824"/>
          <cell r="P824">
            <v>10235</v>
          </cell>
          <cell r="Q824"/>
          <cell r="R824">
            <v>10652</v>
          </cell>
          <cell r="S824"/>
          <cell r="T824">
            <v>10652</v>
          </cell>
          <cell r="U824"/>
          <cell r="V824">
            <v>10818</v>
          </cell>
          <cell r="W824"/>
          <cell r="X824">
            <v>10485</v>
          </cell>
          <cell r="Y824"/>
          <cell r="Z824">
            <v>10818</v>
          </cell>
          <cell r="AA824"/>
          <cell r="AB824"/>
          <cell r="AC824"/>
          <cell r="AD824">
            <v>0.23499999999999999</v>
          </cell>
          <cell r="AE824"/>
          <cell r="AF824"/>
          <cell r="AG824"/>
          <cell r="AH824"/>
          <cell r="AI824"/>
          <cell r="AJ824"/>
          <cell r="AK824"/>
          <cell r="AL824"/>
        </row>
        <row r="825">
          <cell r="E825" t="str">
            <v>CET 14sq</v>
          </cell>
          <cell r="F825" t="str">
            <v>ｍ</v>
          </cell>
          <cell r="G825"/>
          <cell r="H825">
            <v>618</v>
          </cell>
          <cell r="I825"/>
          <cell r="J825">
            <v>628</v>
          </cell>
          <cell r="K825"/>
          <cell r="L825">
            <v>628</v>
          </cell>
          <cell r="M825"/>
          <cell r="N825">
            <v>609</v>
          </cell>
          <cell r="O825"/>
          <cell r="P825">
            <v>594</v>
          </cell>
          <cell r="Q825"/>
          <cell r="R825">
            <v>618</v>
          </cell>
          <cell r="S825"/>
          <cell r="T825">
            <v>618</v>
          </cell>
          <cell r="U825"/>
          <cell r="V825">
            <v>628</v>
          </cell>
          <cell r="W825"/>
          <cell r="X825">
            <v>609</v>
          </cell>
          <cell r="Y825"/>
          <cell r="Z825">
            <v>628</v>
          </cell>
          <cell r="AA825"/>
          <cell r="AB825"/>
          <cell r="AC825"/>
          <cell r="AD825">
            <v>3.6999999999999998E-2</v>
          </cell>
          <cell r="AE825"/>
          <cell r="AF825"/>
          <cell r="AG825"/>
          <cell r="AH825"/>
          <cell r="AI825"/>
          <cell r="AJ825"/>
          <cell r="AK825"/>
          <cell r="AL825"/>
        </row>
        <row r="826">
          <cell r="E826" t="str">
            <v>CET 22sq</v>
          </cell>
          <cell r="F826" t="str">
            <v>ｍ</v>
          </cell>
          <cell r="G826"/>
          <cell r="H826">
            <v>891</v>
          </cell>
          <cell r="I826"/>
          <cell r="J826">
            <v>905</v>
          </cell>
          <cell r="K826"/>
          <cell r="L826">
            <v>905</v>
          </cell>
          <cell r="M826"/>
          <cell r="N826">
            <v>877</v>
          </cell>
          <cell r="O826"/>
          <cell r="P826">
            <v>856</v>
          </cell>
          <cell r="Q826"/>
          <cell r="R826">
            <v>891</v>
          </cell>
          <cell r="S826"/>
          <cell r="T826">
            <v>891</v>
          </cell>
          <cell r="U826"/>
          <cell r="V826">
            <v>905</v>
          </cell>
          <cell r="W826"/>
          <cell r="X826">
            <v>877</v>
          </cell>
          <cell r="Y826"/>
          <cell r="Z826">
            <v>905</v>
          </cell>
          <cell r="AA826"/>
          <cell r="AB826"/>
          <cell r="AC826"/>
          <cell r="AD826">
            <v>4.7E-2</v>
          </cell>
          <cell r="AE826"/>
          <cell r="AF826"/>
          <cell r="AG826"/>
          <cell r="AH826"/>
          <cell r="AI826"/>
          <cell r="AJ826"/>
          <cell r="AK826"/>
          <cell r="AL826"/>
        </row>
        <row r="827">
          <cell r="E827" t="str">
            <v>CET 38sq</v>
          </cell>
          <cell r="F827" t="str">
            <v>ｍ</v>
          </cell>
          <cell r="G827"/>
          <cell r="H827">
            <v>1418</v>
          </cell>
          <cell r="I827"/>
          <cell r="J827">
            <v>1440</v>
          </cell>
          <cell r="K827"/>
          <cell r="L827">
            <v>1440</v>
          </cell>
          <cell r="M827"/>
          <cell r="N827">
            <v>1396</v>
          </cell>
          <cell r="O827"/>
          <cell r="P827">
            <v>1363</v>
          </cell>
          <cell r="Q827"/>
          <cell r="R827">
            <v>1418</v>
          </cell>
          <cell r="S827"/>
          <cell r="T827">
            <v>1418</v>
          </cell>
          <cell r="U827"/>
          <cell r="V827">
            <v>1440</v>
          </cell>
          <cell r="W827"/>
          <cell r="X827">
            <v>1396</v>
          </cell>
          <cell r="Y827"/>
          <cell r="Z827">
            <v>1440</v>
          </cell>
          <cell r="AA827"/>
          <cell r="AB827"/>
          <cell r="AC827"/>
          <cell r="AD827">
            <v>6.2E-2</v>
          </cell>
          <cell r="AE827"/>
          <cell r="AF827"/>
          <cell r="AG827"/>
          <cell r="AH827"/>
          <cell r="AI827"/>
          <cell r="AJ827"/>
          <cell r="AK827"/>
          <cell r="AL827"/>
        </row>
        <row r="828">
          <cell r="E828" t="str">
            <v>CET 60sq</v>
          </cell>
          <cell r="F828" t="str">
            <v>ｍ</v>
          </cell>
          <cell r="G828"/>
          <cell r="H828">
            <v>2121</v>
          </cell>
          <cell r="I828"/>
          <cell r="J828">
            <v>2154</v>
          </cell>
          <cell r="K828"/>
          <cell r="L828">
            <v>2154</v>
          </cell>
          <cell r="M828"/>
          <cell r="N828">
            <v>2088</v>
          </cell>
          <cell r="O828"/>
          <cell r="P828">
            <v>2038</v>
          </cell>
          <cell r="Q828"/>
          <cell r="R828">
            <v>2121</v>
          </cell>
          <cell r="S828"/>
          <cell r="T828">
            <v>2121</v>
          </cell>
          <cell r="U828"/>
          <cell r="V828">
            <v>2154</v>
          </cell>
          <cell r="W828"/>
          <cell r="X828">
            <v>2088</v>
          </cell>
          <cell r="Y828"/>
          <cell r="Z828">
            <v>2154</v>
          </cell>
          <cell r="AA828"/>
          <cell r="AB828"/>
          <cell r="AC828"/>
          <cell r="AD828">
            <v>8.2000000000000003E-2</v>
          </cell>
          <cell r="AE828"/>
          <cell r="AF828"/>
          <cell r="AG828"/>
          <cell r="AH828"/>
          <cell r="AI828"/>
          <cell r="AJ828"/>
          <cell r="AK828"/>
          <cell r="AL828"/>
        </row>
        <row r="829">
          <cell r="E829" t="str">
            <v>CET100sq</v>
          </cell>
          <cell r="F829" t="str">
            <v>ｍ</v>
          </cell>
          <cell r="G829"/>
          <cell r="H829">
            <v>3538</v>
          </cell>
          <cell r="I829"/>
          <cell r="J829">
            <v>3593</v>
          </cell>
          <cell r="K829"/>
          <cell r="L829">
            <v>3593</v>
          </cell>
          <cell r="M829"/>
          <cell r="N829">
            <v>3483</v>
          </cell>
          <cell r="O829"/>
          <cell r="P829">
            <v>3400</v>
          </cell>
          <cell r="Q829"/>
          <cell r="R829">
            <v>3538</v>
          </cell>
          <cell r="S829"/>
          <cell r="T829">
            <v>3538</v>
          </cell>
          <cell r="U829"/>
          <cell r="V829">
            <v>3593</v>
          </cell>
          <cell r="W829"/>
          <cell r="X829">
            <v>3483</v>
          </cell>
          <cell r="Y829"/>
          <cell r="Z829">
            <v>3593</v>
          </cell>
          <cell r="AA829"/>
          <cell r="AB829"/>
          <cell r="AC829"/>
          <cell r="AD829">
            <v>0.112</v>
          </cell>
          <cell r="AE829"/>
          <cell r="AF829"/>
          <cell r="AG829"/>
          <cell r="AH829"/>
          <cell r="AI829"/>
          <cell r="AJ829"/>
          <cell r="AK829"/>
          <cell r="AL829"/>
        </row>
        <row r="830">
          <cell r="E830" t="str">
            <v>CET150sq</v>
          </cell>
          <cell r="F830" t="str">
            <v>ｍ</v>
          </cell>
          <cell r="G830"/>
          <cell r="H830">
            <v>5199</v>
          </cell>
          <cell r="I830"/>
          <cell r="J830">
            <v>5280</v>
          </cell>
          <cell r="K830"/>
          <cell r="L830">
            <v>5280</v>
          </cell>
          <cell r="M830"/>
          <cell r="N830">
            <v>5117</v>
          </cell>
          <cell r="O830"/>
          <cell r="P830">
            <v>4996</v>
          </cell>
          <cell r="Q830"/>
          <cell r="R830">
            <v>5199</v>
          </cell>
          <cell r="S830"/>
          <cell r="T830">
            <v>5199</v>
          </cell>
          <cell r="U830"/>
          <cell r="V830">
            <v>5280</v>
          </cell>
          <cell r="W830"/>
          <cell r="X830">
            <v>5117</v>
          </cell>
          <cell r="Y830"/>
          <cell r="Z830">
            <v>5280</v>
          </cell>
          <cell r="AA830"/>
          <cell r="AB830"/>
          <cell r="AC830"/>
          <cell r="AD830">
            <v>0.13700000000000001</v>
          </cell>
          <cell r="AE830"/>
          <cell r="AF830"/>
          <cell r="AG830"/>
          <cell r="AH830"/>
          <cell r="AI830"/>
          <cell r="AJ830"/>
          <cell r="AK830"/>
          <cell r="AL830"/>
        </row>
        <row r="831">
          <cell r="E831" t="str">
            <v>CET200sq</v>
          </cell>
          <cell r="F831" t="str">
            <v>ｍ</v>
          </cell>
          <cell r="G831"/>
          <cell r="H831">
            <v>6880</v>
          </cell>
          <cell r="I831"/>
          <cell r="J831">
            <v>6988</v>
          </cell>
          <cell r="K831"/>
          <cell r="L831">
            <v>6988</v>
          </cell>
          <cell r="M831"/>
          <cell r="N831">
            <v>6773</v>
          </cell>
          <cell r="O831"/>
          <cell r="P831">
            <v>6611</v>
          </cell>
          <cell r="Q831"/>
          <cell r="R831">
            <v>6880</v>
          </cell>
          <cell r="S831"/>
          <cell r="T831">
            <v>6880</v>
          </cell>
          <cell r="U831"/>
          <cell r="V831">
            <v>6988</v>
          </cell>
          <cell r="W831"/>
          <cell r="X831">
            <v>6773</v>
          </cell>
          <cell r="Y831"/>
          <cell r="Z831">
            <v>6988</v>
          </cell>
          <cell r="AA831"/>
          <cell r="AB831"/>
          <cell r="AC831"/>
          <cell r="AD831">
            <v>0.17</v>
          </cell>
          <cell r="AE831"/>
          <cell r="AF831"/>
          <cell r="AG831"/>
          <cell r="AH831"/>
          <cell r="AI831"/>
          <cell r="AJ831"/>
          <cell r="AK831"/>
          <cell r="AL831"/>
        </row>
        <row r="832">
          <cell r="E832" t="str">
            <v>CET250sq</v>
          </cell>
          <cell r="F832" t="str">
            <v>ｍ</v>
          </cell>
          <cell r="G832"/>
          <cell r="H832">
            <v>8603</v>
          </cell>
          <cell r="I832"/>
          <cell r="J832">
            <v>8737</v>
          </cell>
          <cell r="K832"/>
          <cell r="L832">
            <v>8737</v>
          </cell>
          <cell r="M832"/>
          <cell r="N832">
            <v>8468</v>
          </cell>
          <cell r="O832"/>
          <cell r="P832">
            <v>8267</v>
          </cell>
          <cell r="Q832"/>
          <cell r="R832">
            <v>8603</v>
          </cell>
          <cell r="S832"/>
          <cell r="T832">
            <v>8603</v>
          </cell>
          <cell r="U832"/>
          <cell r="V832">
            <v>8737</v>
          </cell>
          <cell r="W832"/>
          <cell r="X832">
            <v>8468</v>
          </cell>
          <cell r="Y832"/>
          <cell r="Z832">
            <v>8737</v>
          </cell>
          <cell r="AA832"/>
          <cell r="AB832"/>
          <cell r="AC832"/>
          <cell r="AD832">
            <v>0.19600000000000001</v>
          </cell>
          <cell r="AE832"/>
          <cell r="AF832"/>
          <cell r="AG832"/>
          <cell r="AH832"/>
          <cell r="AI832"/>
          <cell r="AJ832"/>
          <cell r="AK832"/>
          <cell r="AL832"/>
        </row>
        <row r="833">
          <cell r="E833" t="str">
            <v>CET325sq</v>
          </cell>
          <cell r="F833" t="str">
            <v>ｍ</v>
          </cell>
          <cell r="G833"/>
          <cell r="H833">
            <v>11051</v>
          </cell>
          <cell r="I833"/>
          <cell r="J833">
            <v>11224</v>
          </cell>
          <cell r="K833"/>
          <cell r="L833">
            <v>11224</v>
          </cell>
          <cell r="M833"/>
          <cell r="N833">
            <v>10878</v>
          </cell>
          <cell r="O833"/>
          <cell r="P833">
            <v>10619</v>
          </cell>
          <cell r="Q833"/>
          <cell r="R833">
            <v>11051</v>
          </cell>
          <cell r="S833"/>
          <cell r="T833">
            <v>11051</v>
          </cell>
          <cell r="U833"/>
          <cell r="V833">
            <v>11224</v>
          </cell>
          <cell r="W833"/>
          <cell r="X833">
            <v>10878</v>
          </cell>
          <cell r="Y833"/>
          <cell r="Z833">
            <v>11224</v>
          </cell>
          <cell r="AA833"/>
          <cell r="AB833"/>
          <cell r="AC833"/>
          <cell r="AD833">
            <v>0.248</v>
          </cell>
          <cell r="AE833"/>
          <cell r="AF833"/>
          <cell r="AG833"/>
          <cell r="AH833"/>
          <cell r="AI833"/>
          <cell r="AJ833"/>
          <cell r="AK833"/>
          <cell r="AL833"/>
        </row>
        <row r="834">
          <cell r="E834" t="str">
            <v>FP 1.2mm-1C</v>
          </cell>
          <cell r="F834" t="str">
            <v>ｍ</v>
          </cell>
          <cell r="G834"/>
          <cell r="H834">
            <v>94.9</v>
          </cell>
          <cell r="I834"/>
          <cell r="J834">
            <v>94.9</v>
          </cell>
          <cell r="K834"/>
          <cell r="L834">
            <v>94.9</v>
          </cell>
          <cell r="M834"/>
          <cell r="N834">
            <v>94.9</v>
          </cell>
          <cell r="O834"/>
          <cell r="P834">
            <v>94.9</v>
          </cell>
          <cell r="Q834"/>
          <cell r="R834">
            <v>94.9</v>
          </cell>
          <cell r="S834"/>
          <cell r="T834">
            <v>94.9</v>
          </cell>
          <cell r="U834"/>
          <cell r="V834">
            <v>94.9</v>
          </cell>
          <cell r="W834"/>
          <cell r="X834">
            <v>94.9</v>
          </cell>
          <cell r="Y834"/>
          <cell r="Z834">
            <v>94.9</v>
          </cell>
          <cell r="AA834"/>
          <cell r="AB834"/>
          <cell r="AC834"/>
          <cell r="AD834">
            <v>1.2E-2</v>
          </cell>
          <cell r="AE834"/>
          <cell r="AF834"/>
          <cell r="AG834"/>
          <cell r="AH834"/>
          <cell r="AI834"/>
          <cell r="AJ834"/>
          <cell r="AK834"/>
          <cell r="AL834"/>
        </row>
        <row r="835">
          <cell r="E835" t="str">
            <v>FP 1.6mm-1C</v>
          </cell>
          <cell r="F835" t="str">
            <v>ｍ</v>
          </cell>
          <cell r="G835"/>
          <cell r="H835">
            <v>105</v>
          </cell>
          <cell r="I835"/>
          <cell r="J835">
            <v>105</v>
          </cell>
          <cell r="K835"/>
          <cell r="L835">
            <v>105</v>
          </cell>
          <cell r="M835"/>
          <cell r="N835">
            <v>105</v>
          </cell>
          <cell r="O835"/>
          <cell r="P835">
            <v>105</v>
          </cell>
          <cell r="Q835"/>
          <cell r="R835">
            <v>105</v>
          </cell>
          <cell r="S835"/>
          <cell r="T835">
            <v>105</v>
          </cell>
          <cell r="U835"/>
          <cell r="V835">
            <v>105</v>
          </cell>
          <cell r="W835"/>
          <cell r="X835">
            <v>105</v>
          </cell>
          <cell r="Y835"/>
          <cell r="Z835">
            <v>105</v>
          </cell>
          <cell r="AA835"/>
          <cell r="AB835"/>
          <cell r="AC835"/>
          <cell r="AD835">
            <v>1.2999999999999999E-2</v>
          </cell>
          <cell r="AE835"/>
          <cell r="AF835"/>
          <cell r="AG835"/>
          <cell r="AH835"/>
          <cell r="AI835"/>
          <cell r="AJ835"/>
          <cell r="AK835"/>
          <cell r="AL835"/>
        </row>
        <row r="836">
          <cell r="E836" t="str">
            <v>FP 2.0mm-1C</v>
          </cell>
          <cell r="F836" t="str">
            <v>ｍ</v>
          </cell>
          <cell r="G836"/>
          <cell r="H836">
            <v>137</v>
          </cell>
          <cell r="I836"/>
          <cell r="J836">
            <v>137</v>
          </cell>
          <cell r="K836"/>
          <cell r="L836">
            <v>137</v>
          </cell>
          <cell r="M836"/>
          <cell r="N836">
            <v>137</v>
          </cell>
          <cell r="O836"/>
          <cell r="P836">
            <v>137</v>
          </cell>
          <cell r="Q836"/>
          <cell r="R836">
            <v>137</v>
          </cell>
          <cell r="S836"/>
          <cell r="T836">
            <v>137</v>
          </cell>
          <cell r="U836"/>
          <cell r="V836">
            <v>137</v>
          </cell>
          <cell r="W836"/>
          <cell r="X836">
            <v>137</v>
          </cell>
          <cell r="Y836"/>
          <cell r="Z836">
            <v>137</v>
          </cell>
          <cell r="AA836"/>
          <cell r="AB836"/>
          <cell r="AC836"/>
          <cell r="AD836">
            <v>1.4999999999999999E-2</v>
          </cell>
          <cell r="AE836"/>
          <cell r="AF836"/>
          <cell r="AG836"/>
          <cell r="AH836"/>
          <cell r="AI836"/>
          <cell r="AJ836"/>
          <cell r="AK836"/>
          <cell r="AL836"/>
        </row>
        <row r="837">
          <cell r="E837" t="str">
            <v>FP 2sq-1C</v>
          </cell>
          <cell r="F837" t="str">
            <v>ｍ</v>
          </cell>
          <cell r="G837"/>
          <cell r="H837">
            <v>125</v>
          </cell>
          <cell r="I837"/>
          <cell r="J837">
            <v>125</v>
          </cell>
          <cell r="K837"/>
          <cell r="L837">
            <v>125</v>
          </cell>
          <cell r="M837"/>
          <cell r="N837">
            <v>125</v>
          </cell>
          <cell r="O837"/>
          <cell r="P837">
            <v>125</v>
          </cell>
          <cell r="Q837"/>
          <cell r="R837">
            <v>125</v>
          </cell>
          <cell r="S837"/>
          <cell r="T837">
            <v>125</v>
          </cell>
          <cell r="U837"/>
          <cell r="V837">
            <v>125</v>
          </cell>
          <cell r="W837"/>
          <cell r="X837">
            <v>125</v>
          </cell>
          <cell r="Y837"/>
          <cell r="Z837">
            <v>125</v>
          </cell>
          <cell r="AA837"/>
          <cell r="AB837"/>
          <cell r="AC837"/>
          <cell r="AD837">
            <v>1.0999999999999999E-2</v>
          </cell>
          <cell r="AE837"/>
          <cell r="AF837"/>
          <cell r="AG837"/>
          <cell r="AH837"/>
          <cell r="AI837"/>
          <cell r="AJ837"/>
          <cell r="AK837"/>
          <cell r="AL837"/>
        </row>
        <row r="838">
          <cell r="E838" t="str">
            <v>FP 3.5sq-1C</v>
          </cell>
          <cell r="F838" t="str">
            <v>ｍ</v>
          </cell>
          <cell r="G838"/>
          <cell r="H838">
            <v>160</v>
          </cell>
          <cell r="I838"/>
          <cell r="J838">
            <v>160</v>
          </cell>
          <cell r="K838"/>
          <cell r="L838">
            <v>160</v>
          </cell>
          <cell r="M838"/>
          <cell r="N838">
            <v>160</v>
          </cell>
          <cell r="O838"/>
          <cell r="P838">
            <v>160</v>
          </cell>
          <cell r="Q838"/>
          <cell r="R838">
            <v>160</v>
          </cell>
          <cell r="S838"/>
          <cell r="T838">
            <v>160</v>
          </cell>
          <cell r="U838"/>
          <cell r="V838">
            <v>160</v>
          </cell>
          <cell r="W838"/>
          <cell r="X838">
            <v>160</v>
          </cell>
          <cell r="Y838"/>
          <cell r="Z838">
            <v>160</v>
          </cell>
          <cell r="AA838"/>
          <cell r="AB838"/>
          <cell r="AC838"/>
          <cell r="AD838">
            <v>1.4999999999999999E-2</v>
          </cell>
          <cell r="AE838"/>
          <cell r="AF838"/>
          <cell r="AG838"/>
          <cell r="AH838"/>
          <cell r="AI838"/>
          <cell r="AJ838"/>
          <cell r="AK838"/>
          <cell r="AL838"/>
        </row>
        <row r="839">
          <cell r="E839" t="str">
            <v>FP 5.5sq-1C</v>
          </cell>
          <cell r="F839" t="str">
            <v>ｍ</v>
          </cell>
          <cell r="G839"/>
          <cell r="H839">
            <v>198</v>
          </cell>
          <cell r="I839"/>
          <cell r="J839">
            <v>198</v>
          </cell>
          <cell r="K839"/>
          <cell r="L839">
            <v>198</v>
          </cell>
          <cell r="M839"/>
          <cell r="N839">
            <v>198</v>
          </cell>
          <cell r="O839"/>
          <cell r="P839">
            <v>198</v>
          </cell>
          <cell r="Q839"/>
          <cell r="R839">
            <v>198</v>
          </cell>
          <cell r="S839"/>
          <cell r="T839">
            <v>198</v>
          </cell>
          <cell r="U839"/>
          <cell r="V839">
            <v>198</v>
          </cell>
          <cell r="W839"/>
          <cell r="X839">
            <v>198</v>
          </cell>
          <cell r="Y839"/>
          <cell r="Z839">
            <v>198</v>
          </cell>
          <cell r="AA839"/>
          <cell r="AB839"/>
          <cell r="AC839"/>
          <cell r="AD839">
            <v>0.19</v>
          </cell>
          <cell r="AE839"/>
          <cell r="AF839"/>
          <cell r="AG839"/>
          <cell r="AH839"/>
          <cell r="AI839"/>
          <cell r="AJ839"/>
          <cell r="AK839"/>
          <cell r="AL839"/>
        </row>
        <row r="840">
          <cell r="E840" t="str">
            <v>FP 8sq-1C</v>
          </cell>
          <cell r="F840" t="str">
            <v>ｍ</v>
          </cell>
          <cell r="G840"/>
          <cell r="H840">
            <v>241</v>
          </cell>
          <cell r="I840"/>
          <cell r="J840">
            <v>241</v>
          </cell>
          <cell r="K840"/>
          <cell r="L840">
            <v>241</v>
          </cell>
          <cell r="M840"/>
          <cell r="N840">
            <v>241</v>
          </cell>
          <cell r="O840"/>
          <cell r="P840">
            <v>241</v>
          </cell>
          <cell r="Q840"/>
          <cell r="R840">
            <v>241</v>
          </cell>
          <cell r="S840"/>
          <cell r="T840">
            <v>241</v>
          </cell>
          <cell r="U840"/>
          <cell r="V840">
            <v>241</v>
          </cell>
          <cell r="W840"/>
          <cell r="X840">
            <v>241</v>
          </cell>
          <cell r="Y840"/>
          <cell r="Z840">
            <v>241</v>
          </cell>
          <cell r="AA840"/>
          <cell r="AB840"/>
          <cell r="AC840"/>
          <cell r="AD840">
            <v>2.1000000000000001E-2</v>
          </cell>
          <cell r="AE840"/>
          <cell r="AF840"/>
          <cell r="AG840"/>
          <cell r="AH840"/>
          <cell r="AI840"/>
          <cell r="AJ840"/>
          <cell r="AK840"/>
          <cell r="AL840"/>
        </row>
        <row r="841">
          <cell r="E841" t="str">
            <v>FP 14sq-1C</v>
          </cell>
          <cell r="F841" t="str">
            <v>ｍ</v>
          </cell>
          <cell r="G841"/>
          <cell r="H841">
            <v>375</v>
          </cell>
          <cell r="I841"/>
          <cell r="J841">
            <v>375</v>
          </cell>
          <cell r="K841"/>
          <cell r="L841">
            <v>375</v>
          </cell>
          <cell r="M841"/>
          <cell r="N841">
            <v>375</v>
          </cell>
          <cell r="O841"/>
          <cell r="P841">
            <v>375</v>
          </cell>
          <cell r="Q841"/>
          <cell r="R841">
            <v>375</v>
          </cell>
          <cell r="S841"/>
          <cell r="T841">
            <v>375</v>
          </cell>
          <cell r="U841"/>
          <cell r="V841">
            <v>375</v>
          </cell>
          <cell r="W841"/>
          <cell r="X841">
            <v>375</v>
          </cell>
          <cell r="Y841"/>
          <cell r="Z841">
            <v>375</v>
          </cell>
          <cell r="AA841"/>
          <cell r="AB841"/>
          <cell r="AC841"/>
          <cell r="AD841">
            <v>2.5999999999999999E-2</v>
          </cell>
          <cell r="AE841"/>
          <cell r="AF841"/>
          <cell r="AG841"/>
          <cell r="AH841"/>
          <cell r="AI841"/>
          <cell r="AJ841"/>
          <cell r="AK841"/>
          <cell r="AL841"/>
        </row>
        <row r="842">
          <cell r="E842" t="str">
            <v>FP 22sq-1C</v>
          </cell>
          <cell r="F842" t="str">
            <v>ｍ</v>
          </cell>
          <cell r="G842"/>
          <cell r="H842">
            <v>498</v>
          </cell>
          <cell r="I842"/>
          <cell r="J842">
            <v>498</v>
          </cell>
          <cell r="K842"/>
          <cell r="L842">
            <v>498</v>
          </cell>
          <cell r="M842"/>
          <cell r="N842">
            <v>498</v>
          </cell>
          <cell r="O842"/>
          <cell r="P842">
            <v>498</v>
          </cell>
          <cell r="Q842"/>
          <cell r="R842">
            <v>498</v>
          </cell>
          <cell r="S842"/>
          <cell r="T842">
            <v>498</v>
          </cell>
          <cell r="U842"/>
          <cell r="V842">
            <v>498</v>
          </cell>
          <cell r="W842"/>
          <cell r="X842">
            <v>498</v>
          </cell>
          <cell r="Y842"/>
          <cell r="Z842">
            <v>498</v>
          </cell>
          <cell r="AA842"/>
          <cell r="AB842"/>
          <cell r="AC842"/>
          <cell r="AD842">
            <v>3.3000000000000002E-2</v>
          </cell>
          <cell r="AE842"/>
          <cell r="AF842"/>
          <cell r="AG842"/>
          <cell r="AH842"/>
          <cell r="AI842"/>
          <cell r="AJ842"/>
          <cell r="AK842"/>
          <cell r="AL842"/>
        </row>
        <row r="843">
          <cell r="E843" t="str">
            <v>FP 38sq-1C</v>
          </cell>
          <cell r="F843" t="str">
            <v>ｍ</v>
          </cell>
          <cell r="G843"/>
          <cell r="H843">
            <v>775</v>
          </cell>
          <cell r="I843"/>
          <cell r="J843">
            <v>775</v>
          </cell>
          <cell r="K843"/>
          <cell r="L843">
            <v>775</v>
          </cell>
          <cell r="M843"/>
          <cell r="N843">
            <v>775</v>
          </cell>
          <cell r="O843"/>
          <cell r="P843">
            <v>775</v>
          </cell>
          <cell r="Q843"/>
          <cell r="R843">
            <v>775</v>
          </cell>
          <cell r="S843"/>
          <cell r="T843">
            <v>775</v>
          </cell>
          <cell r="U843"/>
          <cell r="V843">
            <v>775</v>
          </cell>
          <cell r="W843"/>
          <cell r="X843">
            <v>775</v>
          </cell>
          <cell r="Y843"/>
          <cell r="Z843">
            <v>775</v>
          </cell>
          <cell r="AA843"/>
          <cell r="AB843"/>
          <cell r="AC843"/>
          <cell r="AD843">
            <v>4.4999999999999998E-2</v>
          </cell>
          <cell r="AE843"/>
          <cell r="AF843"/>
          <cell r="AG843"/>
          <cell r="AH843"/>
          <cell r="AI843"/>
          <cell r="AJ843"/>
          <cell r="AK843"/>
          <cell r="AL843"/>
        </row>
        <row r="844">
          <cell r="E844" t="str">
            <v>FP 60sq-1C</v>
          </cell>
          <cell r="F844" t="str">
            <v>ｍ</v>
          </cell>
          <cell r="G844"/>
          <cell r="H844">
            <v>1202</v>
          </cell>
          <cell r="I844"/>
          <cell r="J844">
            <v>1202</v>
          </cell>
          <cell r="K844"/>
          <cell r="L844">
            <v>1202</v>
          </cell>
          <cell r="M844"/>
          <cell r="N844">
            <v>1202</v>
          </cell>
          <cell r="O844"/>
          <cell r="P844">
            <v>1202</v>
          </cell>
          <cell r="Q844"/>
          <cell r="R844">
            <v>1202</v>
          </cell>
          <cell r="S844"/>
          <cell r="T844">
            <v>1202</v>
          </cell>
          <cell r="U844"/>
          <cell r="V844">
            <v>1202</v>
          </cell>
          <cell r="W844"/>
          <cell r="X844">
            <v>1202</v>
          </cell>
          <cell r="Y844"/>
          <cell r="Z844">
            <v>1202</v>
          </cell>
          <cell r="AA844"/>
          <cell r="AB844"/>
          <cell r="AC844"/>
          <cell r="AD844">
            <v>5.8000000000000003E-2</v>
          </cell>
          <cell r="AE844"/>
          <cell r="AF844"/>
          <cell r="AG844"/>
          <cell r="AH844"/>
          <cell r="AI844"/>
          <cell r="AJ844"/>
          <cell r="AK844"/>
          <cell r="AL844"/>
        </row>
        <row r="845">
          <cell r="E845" t="str">
            <v>FP 100sq-1C</v>
          </cell>
          <cell r="F845" t="str">
            <v>ｍ</v>
          </cell>
          <cell r="G845"/>
          <cell r="H845">
            <v>1796</v>
          </cell>
          <cell r="I845"/>
          <cell r="J845">
            <v>1796</v>
          </cell>
          <cell r="K845"/>
          <cell r="L845">
            <v>1796</v>
          </cell>
          <cell r="M845"/>
          <cell r="N845">
            <v>1796</v>
          </cell>
          <cell r="O845"/>
          <cell r="P845">
            <v>1796</v>
          </cell>
          <cell r="Q845"/>
          <cell r="R845">
            <v>1796</v>
          </cell>
          <cell r="S845"/>
          <cell r="T845">
            <v>1796</v>
          </cell>
          <cell r="U845"/>
          <cell r="V845">
            <v>1796</v>
          </cell>
          <cell r="W845"/>
          <cell r="X845">
            <v>1796</v>
          </cell>
          <cell r="Y845"/>
          <cell r="Z845">
            <v>1796</v>
          </cell>
          <cell r="AA845"/>
          <cell r="AB845"/>
          <cell r="AC845"/>
          <cell r="AD845">
            <v>0.08</v>
          </cell>
          <cell r="AE845"/>
          <cell r="AF845"/>
          <cell r="AG845"/>
          <cell r="AH845"/>
          <cell r="AI845"/>
          <cell r="AJ845"/>
          <cell r="AK845"/>
          <cell r="AL845"/>
        </row>
        <row r="846">
          <cell r="E846" t="str">
            <v>FP 150sq-1C</v>
          </cell>
          <cell r="F846" t="str">
            <v>ｍ</v>
          </cell>
          <cell r="G846"/>
          <cell r="H846">
            <v>2502</v>
          </cell>
          <cell r="I846"/>
          <cell r="J846">
            <v>2502</v>
          </cell>
          <cell r="K846"/>
          <cell r="L846">
            <v>2502</v>
          </cell>
          <cell r="M846"/>
          <cell r="N846">
            <v>2502</v>
          </cell>
          <cell r="O846"/>
          <cell r="P846">
            <v>2502</v>
          </cell>
          <cell r="Q846"/>
          <cell r="R846">
            <v>2502</v>
          </cell>
          <cell r="S846"/>
          <cell r="T846">
            <v>2502</v>
          </cell>
          <cell r="U846"/>
          <cell r="V846">
            <v>2502</v>
          </cell>
          <cell r="W846"/>
          <cell r="X846">
            <v>2502</v>
          </cell>
          <cell r="Y846"/>
          <cell r="Z846">
            <v>2502</v>
          </cell>
          <cell r="AA846"/>
          <cell r="AB846"/>
          <cell r="AC846"/>
          <cell r="AD846">
            <v>9.9000000000000005E-2</v>
          </cell>
          <cell r="AE846"/>
          <cell r="AF846"/>
          <cell r="AG846"/>
          <cell r="AH846"/>
          <cell r="AI846"/>
          <cell r="AJ846"/>
          <cell r="AK846"/>
          <cell r="AL846"/>
        </row>
        <row r="847">
          <cell r="E847" t="str">
            <v>FP 200sq-1C</v>
          </cell>
          <cell r="F847" t="str">
            <v>ｍ</v>
          </cell>
          <cell r="G847"/>
          <cell r="H847">
            <v>3083</v>
          </cell>
          <cell r="I847"/>
          <cell r="J847">
            <v>3083</v>
          </cell>
          <cell r="K847"/>
          <cell r="L847">
            <v>3083</v>
          </cell>
          <cell r="M847"/>
          <cell r="N847">
            <v>3083</v>
          </cell>
          <cell r="O847"/>
          <cell r="P847">
            <v>3083</v>
          </cell>
          <cell r="Q847"/>
          <cell r="R847">
            <v>3083</v>
          </cell>
          <cell r="S847"/>
          <cell r="T847">
            <v>3083</v>
          </cell>
          <cell r="U847"/>
          <cell r="V847">
            <v>3083</v>
          </cell>
          <cell r="W847"/>
          <cell r="X847">
            <v>3083</v>
          </cell>
          <cell r="Y847"/>
          <cell r="Z847">
            <v>3083</v>
          </cell>
          <cell r="AA847"/>
          <cell r="AB847"/>
          <cell r="AC847"/>
          <cell r="AD847">
            <v>0.122</v>
          </cell>
          <cell r="AE847"/>
          <cell r="AF847"/>
          <cell r="AG847"/>
          <cell r="AH847"/>
          <cell r="AI847"/>
          <cell r="AJ847"/>
          <cell r="AK847"/>
          <cell r="AL847"/>
        </row>
        <row r="848">
          <cell r="E848" t="str">
            <v>FP 250sq-1C</v>
          </cell>
          <cell r="F848" t="str">
            <v>ｍ</v>
          </cell>
          <cell r="G848"/>
          <cell r="H848">
            <v>4096</v>
          </cell>
          <cell r="I848"/>
          <cell r="J848">
            <v>4096</v>
          </cell>
          <cell r="K848"/>
          <cell r="L848">
            <v>4096</v>
          </cell>
          <cell r="M848"/>
          <cell r="N848">
            <v>4096</v>
          </cell>
          <cell r="O848"/>
          <cell r="P848">
            <v>4096</v>
          </cell>
          <cell r="Q848"/>
          <cell r="R848">
            <v>4096</v>
          </cell>
          <cell r="S848"/>
          <cell r="T848">
            <v>4096</v>
          </cell>
          <cell r="U848"/>
          <cell r="V848">
            <v>4096</v>
          </cell>
          <cell r="W848"/>
          <cell r="X848">
            <v>4096</v>
          </cell>
          <cell r="Y848"/>
          <cell r="Z848">
            <v>4096</v>
          </cell>
          <cell r="AA848"/>
          <cell r="AB848"/>
          <cell r="AC848"/>
          <cell r="AD848">
            <v>0.15</v>
          </cell>
          <cell r="AE848"/>
          <cell r="AF848"/>
          <cell r="AG848"/>
          <cell r="AH848"/>
          <cell r="AI848"/>
          <cell r="AJ848"/>
          <cell r="AK848"/>
          <cell r="AL848"/>
        </row>
        <row r="849">
          <cell r="E849" t="str">
            <v>FP 325sq-1C</v>
          </cell>
          <cell r="F849" t="str">
            <v>ｍ</v>
          </cell>
          <cell r="G849"/>
          <cell r="H849">
            <v>4941</v>
          </cell>
          <cell r="I849"/>
          <cell r="J849">
            <v>4941</v>
          </cell>
          <cell r="K849"/>
          <cell r="L849">
            <v>4941</v>
          </cell>
          <cell r="M849"/>
          <cell r="N849">
            <v>4941</v>
          </cell>
          <cell r="O849"/>
          <cell r="P849">
            <v>4941</v>
          </cell>
          <cell r="Q849"/>
          <cell r="R849">
            <v>4941</v>
          </cell>
          <cell r="S849"/>
          <cell r="T849">
            <v>4941</v>
          </cell>
          <cell r="U849"/>
          <cell r="V849">
            <v>4941</v>
          </cell>
          <cell r="W849"/>
          <cell r="X849">
            <v>4941</v>
          </cell>
          <cell r="Y849"/>
          <cell r="Z849">
            <v>4941</v>
          </cell>
          <cell r="AA849"/>
          <cell r="AB849"/>
          <cell r="AC849"/>
          <cell r="AD849">
            <v>0.19500000000000001</v>
          </cell>
          <cell r="AE849"/>
          <cell r="AF849"/>
          <cell r="AG849"/>
          <cell r="AH849"/>
          <cell r="AI849"/>
          <cell r="AJ849"/>
          <cell r="AK849"/>
          <cell r="AL849"/>
        </row>
        <row r="850">
          <cell r="E850" t="str">
            <v>FP 1.2mm-2C</v>
          </cell>
          <cell r="F850" t="str">
            <v>ｍ</v>
          </cell>
          <cell r="G850"/>
          <cell r="H850">
            <v>182</v>
          </cell>
          <cell r="I850"/>
          <cell r="J850">
            <v>182</v>
          </cell>
          <cell r="K850"/>
          <cell r="L850">
            <v>182</v>
          </cell>
          <cell r="M850"/>
          <cell r="N850">
            <v>182</v>
          </cell>
          <cell r="O850"/>
          <cell r="P850">
            <v>182</v>
          </cell>
          <cell r="Q850"/>
          <cell r="R850">
            <v>182</v>
          </cell>
          <cell r="S850"/>
          <cell r="T850">
            <v>182</v>
          </cell>
          <cell r="U850"/>
          <cell r="V850">
            <v>182</v>
          </cell>
          <cell r="W850"/>
          <cell r="X850">
            <v>182</v>
          </cell>
          <cell r="Y850"/>
          <cell r="Z850">
            <v>182</v>
          </cell>
          <cell r="AA850"/>
          <cell r="AB850"/>
          <cell r="AC850"/>
          <cell r="AD850">
            <v>1.4999999999999999E-2</v>
          </cell>
          <cell r="AE850"/>
          <cell r="AF850"/>
          <cell r="AG850"/>
          <cell r="AH850"/>
          <cell r="AI850"/>
          <cell r="AJ850"/>
          <cell r="AK850"/>
          <cell r="AL850"/>
        </row>
        <row r="851">
          <cell r="E851" t="str">
            <v>FP 1.6mm-2C</v>
          </cell>
          <cell r="F851" t="str">
            <v>ｍ</v>
          </cell>
          <cell r="G851"/>
          <cell r="H851">
            <v>206</v>
          </cell>
          <cell r="I851"/>
          <cell r="J851">
            <v>206</v>
          </cell>
          <cell r="K851"/>
          <cell r="L851">
            <v>206</v>
          </cell>
          <cell r="M851"/>
          <cell r="N851">
            <v>206</v>
          </cell>
          <cell r="O851"/>
          <cell r="P851">
            <v>206</v>
          </cell>
          <cell r="Q851"/>
          <cell r="R851">
            <v>206</v>
          </cell>
          <cell r="S851"/>
          <cell r="T851">
            <v>206</v>
          </cell>
          <cell r="U851"/>
          <cell r="V851">
            <v>206</v>
          </cell>
          <cell r="W851"/>
          <cell r="X851">
            <v>206</v>
          </cell>
          <cell r="Y851"/>
          <cell r="Z851">
            <v>206</v>
          </cell>
          <cell r="AA851"/>
          <cell r="AB851"/>
          <cell r="AC851"/>
          <cell r="AD851">
            <v>1.7000000000000001E-2</v>
          </cell>
          <cell r="AE851"/>
          <cell r="AF851"/>
          <cell r="AG851"/>
          <cell r="AH851"/>
          <cell r="AI851"/>
          <cell r="AJ851"/>
          <cell r="AK851"/>
          <cell r="AL851"/>
        </row>
        <row r="852">
          <cell r="E852" t="str">
            <v>FP 2.0mm-2C</v>
          </cell>
          <cell r="F852" t="str">
            <v>ｍ</v>
          </cell>
          <cell r="G852"/>
          <cell r="H852">
            <v>254</v>
          </cell>
          <cell r="I852"/>
          <cell r="J852">
            <v>254</v>
          </cell>
          <cell r="K852"/>
          <cell r="L852">
            <v>254</v>
          </cell>
          <cell r="M852"/>
          <cell r="N852">
            <v>254</v>
          </cell>
          <cell r="O852"/>
          <cell r="P852">
            <v>254</v>
          </cell>
          <cell r="Q852"/>
          <cell r="R852">
            <v>254</v>
          </cell>
          <cell r="S852"/>
          <cell r="T852">
            <v>254</v>
          </cell>
          <cell r="U852"/>
          <cell r="V852">
            <v>254</v>
          </cell>
          <cell r="W852"/>
          <cell r="X852">
            <v>254</v>
          </cell>
          <cell r="Y852"/>
          <cell r="Z852">
            <v>254</v>
          </cell>
          <cell r="AA852"/>
          <cell r="AB852"/>
          <cell r="AC852"/>
          <cell r="AD852">
            <v>0.02</v>
          </cell>
          <cell r="AE852"/>
          <cell r="AF852"/>
          <cell r="AG852"/>
          <cell r="AH852"/>
          <cell r="AI852"/>
          <cell r="AJ852"/>
          <cell r="AK852"/>
          <cell r="AL852"/>
        </row>
        <row r="853">
          <cell r="E853" t="str">
            <v>FP 2.6mm-2C</v>
          </cell>
          <cell r="F853" t="str">
            <v>ｍ</v>
          </cell>
          <cell r="G853"/>
          <cell r="H853">
            <v>366</v>
          </cell>
          <cell r="I853"/>
          <cell r="J853">
            <v>366</v>
          </cell>
          <cell r="K853"/>
          <cell r="L853">
            <v>366</v>
          </cell>
          <cell r="M853"/>
          <cell r="N853">
            <v>366</v>
          </cell>
          <cell r="O853"/>
          <cell r="P853">
            <v>366</v>
          </cell>
          <cell r="Q853"/>
          <cell r="R853">
            <v>366</v>
          </cell>
          <cell r="S853"/>
          <cell r="T853">
            <v>366</v>
          </cell>
          <cell r="U853"/>
          <cell r="V853">
            <v>366</v>
          </cell>
          <cell r="W853"/>
          <cell r="X853">
            <v>366</v>
          </cell>
          <cell r="Y853"/>
          <cell r="Z853">
            <v>366</v>
          </cell>
          <cell r="AA853"/>
          <cell r="AB853"/>
          <cell r="AC853"/>
          <cell r="AD853">
            <v>2.5000000000000001E-2</v>
          </cell>
          <cell r="AE853"/>
          <cell r="AF853"/>
          <cell r="AG853"/>
          <cell r="AH853"/>
          <cell r="AI853"/>
          <cell r="AJ853"/>
          <cell r="AK853"/>
          <cell r="AL853"/>
        </row>
        <row r="854">
          <cell r="E854" t="str">
            <v>FP 2sq-2C</v>
          </cell>
          <cell r="F854" t="str">
            <v>ｍ</v>
          </cell>
          <cell r="G854"/>
          <cell r="H854">
            <v>225</v>
          </cell>
          <cell r="I854"/>
          <cell r="J854">
            <v>225</v>
          </cell>
          <cell r="K854"/>
          <cell r="L854">
            <v>225</v>
          </cell>
          <cell r="M854"/>
          <cell r="N854">
            <v>225</v>
          </cell>
          <cell r="O854"/>
          <cell r="P854">
            <v>225</v>
          </cell>
          <cell r="Q854"/>
          <cell r="R854">
            <v>225</v>
          </cell>
          <cell r="S854"/>
          <cell r="T854">
            <v>225</v>
          </cell>
          <cell r="U854"/>
          <cell r="V854">
            <v>225</v>
          </cell>
          <cell r="W854"/>
          <cell r="X854">
            <v>225</v>
          </cell>
          <cell r="Y854"/>
          <cell r="Z854">
            <v>225</v>
          </cell>
          <cell r="AA854"/>
          <cell r="AB854"/>
          <cell r="AC854"/>
          <cell r="AD854">
            <v>1.7000000000000001E-2</v>
          </cell>
          <cell r="AE854"/>
          <cell r="AF854"/>
          <cell r="AG854"/>
          <cell r="AH854"/>
          <cell r="AI854"/>
          <cell r="AJ854"/>
          <cell r="AK854"/>
          <cell r="AL854"/>
        </row>
        <row r="855">
          <cell r="E855" t="str">
            <v>FP 3.5sq-2C</v>
          </cell>
          <cell r="F855" t="str">
            <v>ｍ</v>
          </cell>
          <cell r="G855"/>
          <cell r="H855">
            <v>259</v>
          </cell>
          <cell r="I855"/>
          <cell r="J855">
            <v>259</v>
          </cell>
          <cell r="K855"/>
          <cell r="L855">
            <v>259</v>
          </cell>
          <cell r="M855"/>
          <cell r="N855">
            <v>259</v>
          </cell>
          <cell r="O855"/>
          <cell r="P855">
            <v>259</v>
          </cell>
          <cell r="Q855"/>
          <cell r="R855">
            <v>259</v>
          </cell>
          <cell r="S855"/>
          <cell r="T855">
            <v>259</v>
          </cell>
          <cell r="U855"/>
          <cell r="V855">
            <v>259</v>
          </cell>
          <cell r="W855"/>
          <cell r="X855">
            <v>259</v>
          </cell>
          <cell r="Y855"/>
          <cell r="Z855">
            <v>259</v>
          </cell>
          <cell r="AA855"/>
          <cell r="AB855"/>
          <cell r="AC855"/>
          <cell r="AD855">
            <v>0.02</v>
          </cell>
          <cell r="AE855"/>
          <cell r="AF855"/>
          <cell r="AG855"/>
          <cell r="AH855"/>
          <cell r="AI855"/>
          <cell r="AJ855"/>
          <cell r="AK855"/>
          <cell r="AL855"/>
        </row>
        <row r="856">
          <cell r="E856" t="str">
            <v>FP 5.5sq-2C</v>
          </cell>
          <cell r="F856" t="str">
            <v>ｍ</v>
          </cell>
          <cell r="G856"/>
          <cell r="H856">
            <v>329</v>
          </cell>
          <cell r="I856"/>
          <cell r="J856">
            <v>329</v>
          </cell>
          <cell r="K856"/>
          <cell r="L856">
            <v>329</v>
          </cell>
          <cell r="M856"/>
          <cell r="N856">
            <v>329</v>
          </cell>
          <cell r="O856"/>
          <cell r="P856">
            <v>329</v>
          </cell>
          <cell r="Q856"/>
          <cell r="R856">
            <v>329</v>
          </cell>
          <cell r="S856"/>
          <cell r="T856">
            <v>329</v>
          </cell>
          <cell r="U856"/>
          <cell r="V856">
            <v>329</v>
          </cell>
          <cell r="W856"/>
          <cell r="X856">
            <v>329</v>
          </cell>
          <cell r="Y856"/>
          <cell r="Z856">
            <v>329</v>
          </cell>
          <cell r="AA856"/>
          <cell r="AB856"/>
          <cell r="AC856"/>
          <cell r="AD856">
            <v>2.5000000000000001E-2</v>
          </cell>
          <cell r="AE856"/>
          <cell r="AF856"/>
          <cell r="AG856"/>
          <cell r="AH856"/>
          <cell r="AI856"/>
          <cell r="AJ856"/>
          <cell r="AK856"/>
          <cell r="AL856"/>
        </row>
        <row r="857">
          <cell r="E857" t="str">
            <v>FP 8sq-2C</v>
          </cell>
          <cell r="F857" t="str">
            <v>ｍ</v>
          </cell>
          <cell r="G857"/>
          <cell r="H857">
            <v>492</v>
          </cell>
          <cell r="I857"/>
          <cell r="J857">
            <v>492</v>
          </cell>
          <cell r="K857"/>
          <cell r="L857">
            <v>492</v>
          </cell>
          <cell r="M857"/>
          <cell r="N857">
            <v>492</v>
          </cell>
          <cell r="O857"/>
          <cell r="P857">
            <v>492</v>
          </cell>
          <cell r="Q857"/>
          <cell r="R857">
            <v>492</v>
          </cell>
          <cell r="S857"/>
          <cell r="T857">
            <v>492</v>
          </cell>
          <cell r="U857"/>
          <cell r="V857">
            <v>492</v>
          </cell>
          <cell r="W857"/>
          <cell r="X857">
            <v>492</v>
          </cell>
          <cell r="Y857"/>
          <cell r="Z857">
            <v>492</v>
          </cell>
          <cell r="AA857"/>
          <cell r="AB857"/>
          <cell r="AC857"/>
          <cell r="AD857">
            <v>2.7E-2</v>
          </cell>
          <cell r="AE857"/>
          <cell r="AF857"/>
          <cell r="AG857"/>
          <cell r="AH857"/>
          <cell r="AI857"/>
          <cell r="AJ857"/>
          <cell r="AK857"/>
          <cell r="AL857"/>
        </row>
        <row r="858">
          <cell r="E858" t="str">
            <v>FP 14sq-2C</v>
          </cell>
          <cell r="F858" t="str">
            <v>ｍ</v>
          </cell>
          <cell r="G858"/>
          <cell r="H858">
            <v>725</v>
          </cell>
          <cell r="I858"/>
          <cell r="J858">
            <v>725</v>
          </cell>
          <cell r="K858"/>
          <cell r="L858">
            <v>725</v>
          </cell>
          <cell r="M858"/>
          <cell r="N858">
            <v>725</v>
          </cell>
          <cell r="O858"/>
          <cell r="P858">
            <v>725</v>
          </cell>
          <cell r="Q858"/>
          <cell r="R858">
            <v>725</v>
          </cell>
          <cell r="S858"/>
          <cell r="T858">
            <v>725</v>
          </cell>
          <cell r="U858"/>
          <cell r="V858">
            <v>725</v>
          </cell>
          <cell r="W858"/>
          <cell r="X858">
            <v>725</v>
          </cell>
          <cell r="Y858"/>
          <cell r="Z858">
            <v>725</v>
          </cell>
          <cell r="AA858"/>
          <cell r="AB858"/>
          <cell r="AC858"/>
          <cell r="AD858">
            <v>3.5000000000000003E-2</v>
          </cell>
          <cell r="AE858"/>
          <cell r="AF858"/>
          <cell r="AG858"/>
          <cell r="AH858"/>
          <cell r="AI858"/>
          <cell r="AJ858"/>
          <cell r="AK858"/>
          <cell r="AL858"/>
        </row>
        <row r="859">
          <cell r="E859" t="str">
            <v>FP 22sq-2C</v>
          </cell>
          <cell r="F859" t="str">
            <v>ｍ</v>
          </cell>
          <cell r="G859"/>
          <cell r="H859">
            <v>1005</v>
          </cell>
          <cell r="I859"/>
          <cell r="J859">
            <v>1005</v>
          </cell>
          <cell r="K859"/>
          <cell r="L859">
            <v>1005</v>
          </cell>
          <cell r="M859"/>
          <cell r="N859">
            <v>1005</v>
          </cell>
          <cell r="O859"/>
          <cell r="P859">
            <v>1005</v>
          </cell>
          <cell r="Q859"/>
          <cell r="R859">
            <v>1005</v>
          </cell>
          <cell r="S859"/>
          <cell r="T859">
            <v>1005</v>
          </cell>
          <cell r="U859"/>
          <cell r="V859">
            <v>1005</v>
          </cell>
          <cell r="W859"/>
          <cell r="X859">
            <v>1005</v>
          </cell>
          <cell r="Y859"/>
          <cell r="Z859">
            <v>1005</v>
          </cell>
          <cell r="AA859"/>
          <cell r="AB859"/>
          <cell r="AC859"/>
          <cell r="AD859">
            <v>4.4999999999999998E-2</v>
          </cell>
          <cell r="AE859"/>
          <cell r="AF859"/>
          <cell r="AG859"/>
          <cell r="AH859"/>
          <cell r="AI859"/>
          <cell r="AJ859"/>
          <cell r="AK859"/>
          <cell r="AL859"/>
        </row>
        <row r="860">
          <cell r="E860" t="str">
            <v>FP 38sq-2C</v>
          </cell>
          <cell r="F860" t="str">
            <v>ｍ</v>
          </cell>
          <cell r="G860"/>
          <cell r="H860">
            <v>1529</v>
          </cell>
          <cell r="I860"/>
          <cell r="J860">
            <v>1529</v>
          </cell>
          <cell r="K860"/>
          <cell r="L860">
            <v>1529</v>
          </cell>
          <cell r="M860"/>
          <cell r="N860">
            <v>1529</v>
          </cell>
          <cell r="O860"/>
          <cell r="P860">
            <v>1529</v>
          </cell>
          <cell r="Q860"/>
          <cell r="R860">
            <v>1529</v>
          </cell>
          <cell r="S860"/>
          <cell r="T860">
            <v>1529</v>
          </cell>
          <cell r="U860"/>
          <cell r="V860">
            <v>1529</v>
          </cell>
          <cell r="W860"/>
          <cell r="X860">
            <v>1529</v>
          </cell>
          <cell r="Y860"/>
          <cell r="Z860">
            <v>1529</v>
          </cell>
          <cell r="AA860"/>
          <cell r="AB860"/>
          <cell r="AC860"/>
          <cell r="AD860">
            <v>5.8999999999999997E-2</v>
          </cell>
          <cell r="AE860"/>
          <cell r="AF860"/>
          <cell r="AG860"/>
          <cell r="AH860"/>
          <cell r="AI860"/>
          <cell r="AJ860"/>
          <cell r="AK860"/>
          <cell r="AL860"/>
        </row>
        <row r="861">
          <cell r="E861" t="str">
            <v>FP 60sq-2C</v>
          </cell>
          <cell r="F861" t="str">
            <v>ｍ</v>
          </cell>
          <cell r="G861"/>
          <cell r="H861">
            <v>2390</v>
          </cell>
          <cell r="I861"/>
          <cell r="J861">
            <v>2390</v>
          </cell>
          <cell r="K861"/>
          <cell r="L861">
            <v>2390</v>
          </cell>
          <cell r="M861"/>
          <cell r="N861">
            <v>2390</v>
          </cell>
          <cell r="O861"/>
          <cell r="P861">
            <v>2390</v>
          </cell>
          <cell r="Q861"/>
          <cell r="R861">
            <v>2390</v>
          </cell>
          <cell r="S861"/>
          <cell r="T861">
            <v>2390</v>
          </cell>
          <cell r="U861"/>
          <cell r="V861">
            <v>2390</v>
          </cell>
          <cell r="W861"/>
          <cell r="X861">
            <v>2390</v>
          </cell>
          <cell r="Y861"/>
          <cell r="Z861">
            <v>2390</v>
          </cell>
          <cell r="AA861"/>
          <cell r="AB861"/>
          <cell r="AC861"/>
          <cell r="AD861">
            <v>7.8E-2</v>
          </cell>
          <cell r="AE861"/>
          <cell r="AF861"/>
          <cell r="AG861"/>
          <cell r="AH861"/>
          <cell r="AI861"/>
          <cell r="AJ861"/>
          <cell r="AK861"/>
          <cell r="AL861"/>
        </row>
        <row r="862">
          <cell r="E862" t="str">
            <v>FP 100sq-2C</v>
          </cell>
          <cell r="F862" t="str">
            <v>ｍ</v>
          </cell>
          <cell r="G862"/>
          <cell r="H862">
            <v>3654</v>
          </cell>
          <cell r="I862"/>
          <cell r="J862">
            <v>3654</v>
          </cell>
          <cell r="K862"/>
          <cell r="L862">
            <v>3654</v>
          </cell>
          <cell r="M862"/>
          <cell r="N862">
            <v>3654</v>
          </cell>
          <cell r="O862"/>
          <cell r="P862">
            <v>3654</v>
          </cell>
          <cell r="Q862"/>
          <cell r="R862">
            <v>3654</v>
          </cell>
          <cell r="S862"/>
          <cell r="T862">
            <v>3654</v>
          </cell>
          <cell r="U862"/>
          <cell r="V862">
            <v>3654</v>
          </cell>
          <cell r="W862"/>
          <cell r="X862">
            <v>3654</v>
          </cell>
          <cell r="Y862"/>
          <cell r="Z862">
            <v>3654</v>
          </cell>
          <cell r="AA862"/>
          <cell r="AB862"/>
          <cell r="AC862"/>
          <cell r="AD862">
            <v>0.108</v>
          </cell>
          <cell r="AE862"/>
          <cell r="AF862"/>
          <cell r="AG862"/>
          <cell r="AH862"/>
          <cell r="AI862"/>
          <cell r="AJ862"/>
          <cell r="AK862"/>
          <cell r="AL862"/>
        </row>
        <row r="863">
          <cell r="E863" t="str">
            <v>FP 150sq-2C</v>
          </cell>
          <cell r="F863" t="str">
            <v>ｍ</v>
          </cell>
          <cell r="G863"/>
          <cell r="H863">
            <v>5586</v>
          </cell>
          <cell r="I863"/>
          <cell r="J863">
            <v>5586</v>
          </cell>
          <cell r="K863"/>
          <cell r="L863">
            <v>5586</v>
          </cell>
          <cell r="M863"/>
          <cell r="N863">
            <v>5586</v>
          </cell>
          <cell r="O863"/>
          <cell r="P863">
            <v>5586</v>
          </cell>
          <cell r="Q863"/>
          <cell r="R863">
            <v>5586</v>
          </cell>
          <cell r="S863"/>
          <cell r="T863">
            <v>5586</v>
          </cell>
          <cell r="U863"/>
          <cell r="V863">
            <v>5586</v>
          </cell>
          <cell r="W863"/>
          <cell r="X863">
            <v>5586</v>
          </cell>
          <cell r="Y863"/>
          <cell r="Z863">
            <v>5586</v>
          </cell>
          <cell r="AA863"/>
          <cell r="AB863"/>
          <cell r="AC863"/>
          <cell r="AD863">
            <v>0.13100000000000001</v>
          </cell>
          <cell r="AE863"/>
          <cell r="AF863"/>
          <cell r="AG863"/>
          <cell r="AH863"/>
          <cell r="AI863"/>
          <cell r="AJ863"/>
          <cell r="AK863"/>
          <cell r="AL863"/>
        </row>
        <row r="864">
          <cell r="E864" t="str">
            <v>FP 200sq-2C</v>
          </cell>
          <cell r="F864" t="str">
            <v>ｍ</v>
          </cell>
          <cell r="G864"/>
          <cell r="H864">
            <v>6870</v>
          </cell>
          <cell r="I864"/>
          <cell r="J864">
            <v>6870</v>
          </cell>
          <cell r="K864"/>
          <cell r="L864">
            <v>6870</v>
          </cell>
          <cell r="M864"/>
          <cell r="N864">
            <v>6870</v>
          </cell>
          <cell r="O864"/>
          <cell r="P864">
            <v>6870</v>
          </cell>
          <cell r="Q864"/>
          <cell r="R864">
            <v>6870</v>
          </cell>
          <cell r="S864"/>
          <cell r="T864">
            <v>6870</v>
          </cell>
          <cell r="U864"/>
          <cell r="V864">
            <v>6870</v>
          </cell>
          <cell r="W864"/>
          <cell r="X864">
            <v>6870</v>
          </cell>
          <cell r="Y864"/>
          <cell r="Z864">
            <v>6870</v>
          </cell>
          <cell r="AA864"/>
          <cell r="AB864"/>
          <cell r="AC864"/>
          <cell r="AD864">
            <v>0.16300000000000001</v>
          </cell>
          <cell r="AE864"/>
          <cell r="AF864"/>
          <cell r="AG864"/>
          <cell r="AH864"/>
          <cell r="AI864"/>
          <cell r="AJ864"/>
          <cell r="AK864"/>
          <cell r="AL864"/>
        </row>
        <row r="865">
          <cell r="E865" t="str">
            <v>FP 250sq-2C</v>
          </cell>
          <cell r="F865" t="str">
            <v>ｍ</v>
          </cell>
          <cell r="G865"/>
          <cell r="H865">
            <v>9076</v>
          </cell>
          <cell r="I865"/>
          <cell r="J865">
            <v>9076</v>
          </cell>
          <cell r="K865"/>
          <cell r="L865">
            <v>9076</v>
          </cell>
          <cell r="M865"/>
          <cell r="N865">
            <v>9076</v>
          </cell>
          <cell r="O865"/>
          <cell r="P865">
            <v>9076</v>
          </cell>
          <cell r="Q865"/>
          <cell r="R865">
            <v>9076</v>
          </cell>
          <cell r="S865"/>
          <cell r="T865">
            <v>9076</v>
          </cell>
          <cell r="U865"/>
          <cell r="V865">
            <v>9076</v>
          </cell>
          <cell r="W865"/>
          <cell r="X865">
            <v>9076</v>
          </cell>
          <cell r="Y865"/>
          <cell r="Z865">
            <v>9076</v>
          </cell>
          <cell r="AA865"/>
          <cell r="AB865"/>
          <cell r="AC865"/>
          <cell r="AD865">
            <v>0.20300000000000001</v>
          </cell>
          <cell r="AE865"/>
          <cell r="AF865"/>
          <cell r="AG865"/>
          <cell r="AH865"/>
          <cell r="AI865"/>
          <cell r="AJ865"/>
          <cell r="AK865"/>
          <cell r="AL865"/>
        </row>
        <row r="866">
          <cell r="E866" t="str">
            <v>FP 325sq-2C</v>
          </cell>
          <cell r="F866" t="str">
            <v>ｍ</v>
          </cell>
          <cell r="G866"/>
          <cell r="H866">
            <v>10874</v>
          </cell>
          <cell r="I866"/>
          <cell r="J866">
            <v>10874</v>
          </cell>
          <cell r="K866"/>
          <cell r="L866">
            <v>10874</v>
          </cell>
          <cell r="M866"/>
          <cell r="N866">
            <v>10874</v>
          </cell>
          <cell r="O866"/>
          <cell r="P866">
            <v>10874</v>
          </cell>
          <cell r="Q866"/>
          <cell r="R866">
            <v>10874</v>
          </cell>
          <cell r="S866"/>
          <cell r="T866">
            <v>10874</v>
          </cell>
          <cell r="U866"/>
          <cell r="V866">
            <v>10874</v>
          </cell>
          <cell r="W866"/>
          <cell r="X866">
            <v>10874</v>
          </cell>
          <cell r="Y866"/>
          <cell r="Z866">
            <v>10874</v>
          </cell>
          <cell r="AA866"/>
          <cell r="AB866"/>
          <cell r="AC866"/>
          <cell r="AD866">
            <v>0.26300000000000001</v>
          </cell>
          <cell r="AE866"/>
          <cell r="AF866"/>
          <cell r="AG866"/>
          <cell r="AH866"/>
          <cell r="AI866"/>
          <cell r="AJ866"/>
          <cell r="AK866"/>
          <cell r="AL866"/>
        </row>
        <row r="867">
          <cell r="E867" t="str">
            <v>FP 1.2mm-3C</v>
          </cell>
          <cell r="F867" t="str">
            <v>ｍ</v>
          </cell>
          <cell r="G867"/>
          <cell r="H867">
            <v>253</v>
          </cell>
          <cell r="I867"/>
          <cell r="J867">
            <v>253</v>
          </cell>
          <cell r="K867"/>
          <cell r="L867">
            <v>253</v>
          </cell>
          <cell r="M867"/>
          <cell r="N867">
            <v>253</v>
          </cell>
          <cell r="O867"/>
          <cell r="P867">
            <v>253</v>
          </cell>
          <cell r="Q867"/>
          <cell r="R867">
            <v>253</v>
          </cell>
          <cell r="S867"/>
          <cell r="T867">
            <v>253</v>
          </cell>
          <cell r="U867"/>
          <cell r="V867">
            <v>253</v>
          </cell>
          <cell r="W867"/>
          <cell r="X867">
            <v>253</v>
          </cell>
          <cell r="Y867"/>
          <cell r="Z867">
            <v>253</v>
          </cell>
          <cell r="AA867"/>
          <cell r="AB867"/>
          <cell r="AC867"/>
          <cell r="AD867">
            <v>1.7000000000000001E-2</v>
          </cell>
          <cell r="AE867"/>
          <cell r="AF867"/>
          <cell r="AG867"/>
          <cell r="AH867"/>
          <cell r="AI867"/>
          <cell r="AJ867"/>
          <cell r="AK867"/>
          <cell r="AL867"/>
        </row>
        <row r="868">
          <cell r="E868" t="str">
            <v>FP 1.6mm-3C</v>
          </cell>
          <cell r="F868" t="str">
            <v>ｍ</v>
          </cell>
          <cell r="G868"/>
          <cell r="H868">
            <v>299</v>
          </cell>
          <cell r="I868"/>
          <cell r="J868">
            <v>299</v>
          </cell>
          <cell r="K868"/>
          <cell r="L868">
            <v>299</v>
          </cell>
          <cell r="M868"/>
          <cell r="N868">
            <v>299</v>
          </cell>
          <cell r="O868"/>
          <cell r="P868">
            <v>299</v>
          </cell>
          <cell r="Q868"/>
          <cell r="R868">
            <v>299</v>
          </cell>
          <cell r="S868"/>
          <cell r="T868">
            <v>299</v>
          </cell>
          <cell r="U868"/>
          <cell r="V868">
            <v>299</v>
          </cell>
          <cell r="W868"/>
          <cell r="X868">
            <v>299</v>
          </cell>
          <cell r="Y868"/>
          <cell r="Z868">
            <v>299</v>
          </cell>
          <cell r="AA868"/>
          <cell r="AB868"/>
          <cell r="AC868"/>
          <cell r="AD868">
            <v>0.02</v>
          </cell>
          <cell r="AE868"/>
          <cell r="AF868"/>
          <cell r="AG868"/>
          <cell r="AH868"/>
          <cell r="AI868"/>
          <cell r="AJ868"/>
          <cell r="AK868"/>
          <cell r="AL868"/>
        </row>
        <row r="869">
          <cell r="E869" t="str">
            <v>FP 2.0mm-3C</v>
          </cell>
          <cell r="F869" t="str">
            <v>ｍ</v>
          </cell>
          <cell r="G869"/>
          <cell r="H869">
            <v>364</v>
          </cell>
          <cell r="I869"/>
          <cell r="J869">
            <v>364</v>
          </cell>
          <cell r="K869"/>
          <cell r="L869">
            <v>364</v>
          </cell>
          <cell r="M869"/>
          <cell r="N869">
            <v>364</v>
          </cell>
          <cell r="O869"/>
          <cell r="P869">
            <v>364</v>
          </cell>
          <cell r="Q869"/>
          <cell r="R869">
            <v>364</v>
          </cell>
          <cell r="S869"/>
          <cell r="T869">
            <v>364</v>
          </cell>
          <cell r="U869"/>
          <cell r="V869">
            <v>364</v>
          </cell>
          <cell r="W869"/>
          <cell r="X869">
            <v>364</v>
          </cell>
          <cell r="Y869"/>
          <cell r="Z869">
            <v>364</v>
          </cell>
          <cell r="AA869"/>
          <cell r="AB869"/>
          <cell r="AC869"/>
          <cell r="AD869">
            <v>2.4E-2</v>
          </cell>
          <cell r="AE869"/>
          <cell r="AF869"/>
          <cell r="AG869"/>
          <cell r="AH869"/>
          <cell r="AI869"/>
          <cell r="AJ869"/>
          <cell r="AK869"/>
          <cell r="AL869"/>
        </row>
        <row r="870">
          <cell r="E870" t="str">
            <v>FP 2.6mm-3C</v>
          </cell>
          <cell r="F870" t="str">
            <v>ｍ</v>
          </cell>
          <cell r="G870"/>
          <cell r="H870">
            <v>531</v>
          </cell>
          <cell r="I870"/>
          <cell r="J870">
            <v>531</v>
          </cell>
          <cell r="K870"/>
          <cell r="L870">
            <v>531</v>
          </cell>
          <cell r="M870"/>
          <cell r="N870">
            <v>531</v>
          </cell>
          <cell r="O870"/>
          <cell r="P870">
            <v>531</v>
          </cell>
          <cell r="Q870"/>
          <cell r="R870">
            <v>531</v>
          </cell>
          <cell r="S870"/>
          <cell r="T870">
            <v>531</v>
          </cell>
          <cell r="U870"/>
          <cell r="V870">
            <v>531</v>
          </cell>
          <cell r="W870"/>
          <cell r="X870">
            <v>531</v>
          </cell>
          <cell r="Y870"/>
          <cell r="Z870">
            <v>531</v>
          </cell>
          <cell r="AA870"/>
          <cell r="AB870"/>
          <cell r="AC870"/>
          <cell r="AD870">
            <v>0.03</v>
          </cell>
          <cell r="AE870"/>
          <cell r="AF870"/>
          <cell r="AG870"/>
          <cell r="AH870"/>
          <cell r="AI870"/>
          <cell r="AJ870"/>
          <cell r="AK870"/>
          <cell r="AL870"/>
        </row>
        <row r="871">
          <cell r="E871" t="str">
            <v>FP 2sq-3C</v>
          </cell>
          <cell r="F871" t="str">
            <v>ｍ</v>
          </cell>
          <cell r="G871"/>
          <cell r="H871">
            <v>327</v>
          </cell>
          <cell r="I871"/>
          <cell r="J871">
            <v>327</v>
          </cell>
          <cell r="K871"/>
          <cell r="L871">
            <v>327</v>
          </cell>
          <cell r="M871"/>
          <cell r="N871">
            <v>327</v>
          </cell>
          <cell r="O871"/>
          <cell r="P871">
            <v>327</v>
          </cell>
          <cell r="Q871"/>
          <cell r="R871">
            <v>327</v>
          </cell>
          <cell r="S871"/>
          <cell r="T871">
            <v>327</v>
          </cell>
          <cell r="U871"/>
          <cell r="V871">
            <v>327</v>
          </cell>
          <cell r="W871"/>
          <cell r="X871">
            <v>327</v>
          </cell>
          <cell r="Y871"/>
          <cell r="Z871">
            <v>327</v>
          </cell>
          <cell r="AA871"/>
          <cell r="AB871"/>
          <cell r="AC871"/>
          <cell r="AD871">
            <v>0.02</v>
          </cell>
          <cell r="AE871"/>
          <cell r="AF871"/>
          <cell r="AG871"/>
          <cell r="AH871"/>
          <cell r="AI871"/>
          <cell r="AJ871"/>
          <cell r="AK871"/>
          <cell r="AL871"/>
        </row>
        <row r="872">
          <cell r="E872" t="str">
            <v>FP 3.5sq-3C</v>
          </cell>
          <cell r="F872" t="str">
            <v>ｍ</v>
          </cell>
          <cell r="G872"/>
          <cell r="H872">
            <v>384</v>
          </cell>
          <cell r="I872"/>
          <cell r="J872">
            <v>384</v>
          </cell>
          <cell r="K872"/>
          <cell r="L872">
            <v>384</v>
          </cell>
          <cell r="M872"/>
          <cell r="N872">
            <v>384</v>
          </cell>
          <cell r="O872"/>
          <cell r="P872">
            <v>384</v>
          </cell>
          <cell r="Q872"/>
          <cell r="R872">
            <v>384</v>
          </cell>
          <cell r="S872"/>
          <cell r="T872">
            <v>384</v>
          </cell>
          <cell r="U872"/>
          <cell r="V872">
            <v>384</v>
          </cell>
          <cell r="W872"/>
          <cell r="X872">
            <v>384</v>
          </cell>
          <cell r="Y872"/>
          <cell r="Z872">
            <v>384</v>
          </cell>
          <cell r="AA872"/>
          <cell r="AB872"/>
          <cell r="AC872"/>
          <cell r="AD872">
            <v>2.4E-2</v>
          </cell>
          <cell r="AE872"/>
          <cell r="AF872"/>
          <cell r="AG872"/>
          <cell r="AH872"/>
          <cell r="AI872"/>
          <cell r="AJ872"/>
          <cell r="AK872"/>
          <cell r="AL872"/>
        </row>
        <row r="873">
          <cell r="E873" t="str">
            <v>FP 5.5sq-3C</v>
          </cell>
          <cell r="F873" t="str">
            <v>ｍ</v>
          </cell>
          <cell r="G873"/>
          <cell r="H873">
            <v>526</v>
          </cell>
          <cell r="I873"/>
          <cell r="J873">
            <v>526</v>
          </cell>
          <cell r="K873"/>
          <cell r="L873">
            <v>526</v>
          </cell>
          <cell r="M873"/>
          <cell r="N873">
            <v>526</v>
          </cell>
          <cell r="O873"/>
          <cell r="P873">
            <v>526</v>
          </cell>
          <cell r="Q873"/>
          <cell r="R873">
            <v>526</v>
          </cell>
          <cell r="S873"/>
          <cell r="T873">
            <v>526</v>
          </cell>
          <cell r="U873"/>
          <cell r="V873">
            <v>526</v>
          </cell>
          <cell r="W873"/>
          <cell r="X873">
            <v>526</v>
          </cell>
          <cell r="Y873"/>
          <cell r="Z873">
            <v>526</v>
          </cell>
          <cell r="AA873"/>
          <cell r="AB873"/>
          <cell r="AC873"/>
          <cell r="AD873">
            <v>0.03</v>
          </cell>
          <cell r="AE873"/>
          <cell r="AF873"/>
          <cell r="AG873"/>
          <cell r="AH873"/>
          <cell r="AI873"/>
          <cell r="AJ873"/>
          <cell r="AK873"/>
          <cell r="AL873"/>
        </row>
        <row r="874">
          <cell r="E874" t="str">
            <v>FP 8sq-3C</v>
          </cell>
          <cell r="F874" t="str">
            <v>ｍ</v>
          </cell>
          <cell r="G874"/>
          <cell r="H874">
            <v>670</v>
          </cell>
          <cell r="I874"/>
          <cell r="J874">
            <v>670</v>
          </cell>
          <cell r="K874"/>
          <cell r="L874">
            <v>670</v>
          </cell>
          <cell r="M874"/>
          <cell r="N874">
            <v>670</v>
          </cell>
          <cell r="O874"/>
          <cell r="P874">
            <v>670</v>
          </cell>
          <cell r="Q874"/>
          <cell r="R874">
            <v>670</v>
          </cell>
          <cell r="S874"/>
          <cell r="T874">
            <v>670</v>
          </cell>
          <cell r="U874"/>
          <cell r="V874">
            <v>670</v>
          </cell>
          <cell r="W874"/>
          <cell r="X874">
            <v>670</v>
          </cell>
          <cell r="Y874"/>
          <cell r="Z874">
            <v>670</v>
          </cell>
          <cell r="AA874"/>
          <cell r="AB874"/>
          <cell r="AC874"/>
          <cell r="AD874">
            <v>3.5000000000000003E-2</v>
          </cell>
          <cell r="AE874"/>
          <cell r="AF874"/>
          <cell r="AG874"/>
          <cell r="AH874"/>
          <cell r="AI874"/>
          <cell r="AJ874"/>
          <cell r="AK874"/>
          <cell r="AL874"/>
        </row>
        <row r="875">
          <cell r="E875" t="str">
            <v>FP 14sq-3C</v>
          </cell>
          <cell r="F875" t="str">
            <v>ｍ</v>
          </cell>
          <cell r="G875"/>
          <cell r="H875">
            <v>1006</v>
          </cell>
          <cell r="I875"/>
          <cell r="J875">
            <v>1006</v>
          </cell>
          <cell r="K875"/>
          <cell r="L875">
            <v>1006</v>
          </cell>
          <cell r="M875"/>
          <cell r="N875">
            <v>1006</v>
          </cell>
          <cell r="O875"/>
          <cell r="P875">
            <v>1006</v>
          </cell>
          <cell r="Q875"/>
          <cell r="R875">
            <v>1006</v>
          </cell>
          <cell r="S875"/>
          <cell r="T875">
            <v>1006</v>
          </cell>
          <cell r="U875"/>
          <cell r="V875">
            <v>1006</v>
          </cell>
          <cell r="W875"/>
          <cell r="X875">
            <v>1006</v>
          </cell>
          <cell r="Y875"/>
          <cell r="Z875">
            <v>1006</v>
          </cell>
          <cell r="AA875"/>
          <cell r="AB875"/>
          <cell r="AC875"/>
          <cell r="AD875">
            <v>4.2999999999999997E-2</v>
          </cell>
          <cell r="AE875"/>
          <cell r="AF875"/>
          <cell r="AG875"/>
          <cell r="AH875"/>
          <cell r="AI875"/>
          <cell r="AJ875"/>
          <cell r="AK875"/>
          <cell r="AL875"/>
        </row>
        <row r="876">
          <cell r="E876" t="str">
            <v>FP 22sq-3C</v>
          </cell>
          <cell r="F876" t="str">
            <v>ｍ</v>
          </cell>
          <cell r="G876"/>
          <cell r="H876">
            <v>1409</v>
          </cell>
          <cell r="I876"/>
          <cell r="J876">
            <v>1409</v>
          </cell>
          <cell r="K876"/>
          <cell r="L876">
            <v>1409</v>
          </cell>
          <cell r="M876"/>
          <cell r="N876">
            <v>1409</v>
          </cell>
          <cell r="O876"/>
          <cell r="P876">
            <v>1409</v>
          </cell>
          <cell r="Q876"/>
          <cell r="R876">
            <v>1409</v>
          </cell>
          <cell r="S876"/>
          <cell r="T876">
            <v>1409</v>
          </cell>
          <cell r="U876"/>
          <cell r="V876">
            <v>1409</v>
          </cell>
          <cell r="W876"/>
          <cell r="X876">
            <v>1409</v>
          </cell>
          <cell r="Y876"/>
          <cell r="Z876">
            <v>1409</v>
          </cell>
          <cell r="AA876"/>
          <cell r="AB876"/>
          <cell r="AC876"/>
          <cell r="AD876">
            <v>5.6000000000000001E-2</v>
          </cell>
          <cell r="AE876"/>
          <cell r="AF876"/>
          <cell r="AG876"/>
          <cell r="AH876"/>
          <cell r="AI876"/>
          <cell r="AJ876"/>
          <cell r="AK876"/>
          <cell r="AL876"/>
        </row>
        <row r="877">
          <cell r="E877" t="str">
            <v>FP 38sq-3C</v>
          </cell>
          <cell r="F877" t="str">
            <v>ｍ</v>
          </cell>
          <cell r="G877"/>
          <cell r="H877">
            <v>2208</v>
          </cell>
          <cell r="I877"/>
          <cell r="J877">
            <v>2208</v>
          </cell>
          <cell r="K877"/>
          <cell r="L877">
            <v>2208</v>
          </cell>
          <cell r="M877"/>
          <cell r="N877">
            <v>2208</v>
          </cell>
          <cell r="O877"/>
          <cell r="P877">
            <v>2208</v>
          </cell>
          <cell r="Q877"/>
          <cell r="R877">
            <v>2208</v>
          </cell>
          <cell r="S877"/>
          <cell r="T877">
            <v>2208</v>
          </cell>
          <cell r="U877"/>
          <cell r="V877">
            <v>2208</v>
          </cell>
          <cell r="W877"/>
          <cell r="X877">
            <v>2208</v>
          </cell>
          <cell r="Y877"/>
          <cell r="Z877">
            <v>2208</v>
          </cell>
          <cell r="AA877"/>
          <cell r="AB877"/>
          <cell r="AC877"/>
          <cell r="AD877">
            <v>7.3999999999999996E-2</v>
          </cell>
          <cell r="AE877"/>
          <cell r="AF877"/>
          <cell r="AG877"/>
          <cell r="AH877"/>
          <cell r="AI877"/>
          <cell r="AJ877"/>
          <cell r="AK877"/>
          <cell r="AL877"/>
        </row>
        <row r="878">
          <cell r="E878" t="str">
            <v>FP 60sq-3C</v>
          </cell>
          <cell r="F878" t="str">
            <v>ｍ</v>
          </cell>
          <cell r="G878"/>
          <cell r="H878">
            <v>3416</v>
          </cell>
          <cell r="I878"/>
          <cell r="J878">
            <v>3416</v>
          </cell>
          <cell r="K878"/>
          <cell r="L878">
            <v>3416</v>
          </cell>
          <cell r="M878"/>
          <cell r="N878">
            <v>3416</v>
          </cell>
          <cell r="O878"/>
          <cell r="P878">
            <v>3416</v>
          </cell>
          <cell r="Q878"/>
          <cell r="R878">
            <v>3416</v>
          </cell>
          <cell r="S878"/>
          <cell r="T878">
            <v>3416</v>
          </cell>
          <cell r="U878"/>
          <cell r="V878">
            <v>3416</v>
          </cell>
          <cell r="W878"/>
          <cell r="X878">
            <v>3416</v>
          </cell>
          <cell r="Y878"/>
          <cell r="Z878">
            <v>3416</v>
          </cell>
          <cell r="AA878"/>
          <cell r="AB878"/>
          <cell r="AC878"/>
          <cell r="AD878">
            <v>9.8000000000000004E-2</v>
          </cell>
          <cell r="AE878"/>
          <cell r="AF878"/>
          <cell r="AG878"/>
          <cell r="AH878"/>
          <cell r="AI878"/>
          <cell r="AJ878"/>
          <cell r="AK878"/>
          <cell r="AL878"/>
        </row>
        <row r="879">
          <cell r="E879" t="str">
            <v>FP 100sq-3C</v>
          </cell>
          <cell r="F879" t="str">
            <v>ｍ</v>
          </cell>
          <cell r="G879"/>
          <cell r="H879">
            <v>5097</v>
          </cell>
          <cell r="I879"/>
          <cell r="J879">
            <v>5097</v>
          </cell>
          <cell r="K879"/>
          <cell r="L879">
            <v>5097</v>
          </cell>
          <cell r="M879"/>
          <cell r="N879">
            <v>5097</v>
          </cell>
          <cell r="O879"/>
          <cell r="P879">
            <v>5097</v>
          </cell>
          <cell r="Q879"/>
          <cell r="R879">
            <v>5097</v>
          </cell>
          <cell r="S879"/>
          <cell r="T879">
            <v>5097</v>
          </cell>
          <cell r="U879"/>
          <cell r="V879">
            <v>5097</v>
          </cell>
          <cell r="W879"/>
          <cell r="X879">
            <v>5097</v>
          </cell>
          <cell r="Y879"/>
          <cell r="Z879">
            <v>5097</v>
          </cell>
          <cell r="AA879"/>
          <cell r="AB879"/>
          <cell r="AC879"/>
          <cell r="AD879">
            <v>0.13400000000000001</v>
          </cell>
          <cell r="AE879"/>
          <cell r="AF879"/>
          <cell r="AG879"/>
          <cell r="AH879"/>
          <cell r="AI879"/>
          <cell r="AJ879"/>
          <cell r="AK879"/>
          <cell r="AL879"/>
        </row>
        <row r="880">
          <cell r="E880" t="str">
            <v>FP 150sq-3C</v>
          </cell>
          <cell r="F880" t="str">
            <v>ｍ</v>
          </cell>
          <cell r="G880"/>
          <cell r="H880">
            <v>7692</v>
          </cell>
          <cell r="I880"/>
          <cell r="J880">
            <v>7692</v>
          </cell>
          <cell r="K880"/>
          <cell r="L880">
            <v>7692</v>
          </cell>
          <cell r="M880"/>
          <cell r="N880">
            <v>7692</v>
          </cell>
          <cell r="O880"/>
          <cell r="P880">
            <v>7692</v>
          </cell>
          <cell r="Q880"/>
          <cell r="R880">
            <v>7692</v>
          </cell>
          <cell r="S880"/>
          <cell r="T880">
            <v>7692</v>
          </cell>
          <cell r="U880"/>
          <cell r="V880">
            <v>7692</v>
          </cell>
          <cell r="W880"/>
          <cell r="X880">
            <v>7692</v>
          </cell>
          <cell r="Y880"/>
          <cell r="Z880">
            <v>7692</v>
          </cell>
          <cell r="AA880"/>
          <cell r="AB880"/>
          <cell r="AC880"/>
          <cell r="AD880">
            <v>0.16500000000000001</v>
          </cell>
          <cell r="AE880"/>
          <cell r="AF880"/>
          <cell r="AG880"/>
          <cell r="AH880"/>
          <cell r="AI880"/>
          <cell r="AJ880"/>
          <cell r="AK880"/>
          <cell r="AL880"/>
        </row>
        <row r="881">
          <cell r="E881" t="str">
            <v>FP 200sq-3C</v>
          </cell>
          <cell r="F881" t="str">
            <v>ｍ</v>
          </cell>
          <cell r="G881"/>
          <cell r="H881">
            <v>9591</v>
          </cell>
          <cell r="I881"/>
          <cell r="J881">
            <v>9591</v>
          </cell>
          <cell r="K881"/>
          <cell r="L881">
            <v>9591</v>
          </cell>
          <cell r="M881"/>
          <cell r="N881">
            <v>9591</v>
          </cell>
          <cell r="O881"/>
          <cell r="P881">
            <v>9591</v>
          </cell>
          <cell r="Q881"/>
          <cell r="R881">
            <v>9591</v>
          </cell>
          <cell r="S881"/>
          <cell r="T881">
            <v>9591</v>
          </cell>
          <cell r="U881"/>
          <cell r="V881">
            <v>9591</v>
          </cell>
          <cell r="W881"/>
          <cell r="X881">
            <v>9591</v>
          </cell>
          <cell r="Y881"/>
          <cell r="Z881">
            <v>9591</v>
          </cell>
          <cell r="AA881"/>
          <cell r="AB881"/>
          <cell r="AC881"/>
          <cell r="AD881">
            <v>0.20399999999999999</v>
          </cell>
          <cell r="AE881"/>
          <cell r="AF881"/>
          <cell r="AG881"/>
          <cell r="AH881"/>
          <cell r="AI881"/>
          <cell r="AJ881"/>
          <cell r="AK881"/>
          <cell r="AL881"/>
        </row>
        <row r="882">
          <cell r="E882" t="str">
            <v>FP 250sq-3C</v>
          </cell>
          <cell r="F882" t="str">
            <v>ｍ</v>
          </cell>
          <cell r="G882"/>
          <cell r="H882">
            <v>12478</v>
          </cell>
          <cell r="I882"/>
          <cell r="J882">
            <v>12478</v>
          </cell>
          <cell r="K882"/>
          <cell r="L882">
            <v>12478</v>
          </cell>
          <cell r="M882"/>
          <cell r="N882">
            <v>12478</v>
          </cell>
          <cell r="O882"/>
          <cell r="P882">
            <v>12478</v>
          </cell>
          <cell r="Q882"/>
          <cell r="R882">
            <v>12478</v>
          </cell>
          <cell r="S882"/>
          <cell r="T882">
            <v>12478</v>
          </cell>
          <cell r="U882"/>
          <cell r="V882">
            <v>12478</v>
          </cell>
          <cell r="W882"/>
          <cell r="X882">
            <v>12478</v>
          </cell>
          <cell r="Y882"/>
          <cell r="Z882">
            <v>12478</v>
          </cell>
          <cell r="AA882"/>
          <cell r="AB882"/>
          <cell r="AC882"/>
          <cell r="AD882">
            <v>0.255</v>
          </cell>
          <cell r="AE882"/>
          <cell r="AF882"/>
          <cell r="AG882"/>
          <cell r="AH882"/>
          <cell r="AI882"/>
          <cell r="AJ882"/>
          <cell r="AK882"/>
          <cell r="AL882"/>
        </row>
        <row r="883">
          <cell r="E883" t="str">
            <v>FP 325sq-3C</v>
          </cell>
          <cell r="F883" t="str">
            <v>ｍ</v>
          </cell>
          <cell r="G883"/>
          <cell r="H883">
            <v>15203</v>
          </cell>
          <cell r="I883"/>
          <cell r="J883">
            <v>15203</v>
          </cell>
          <cell r="K883"/>
          <cell r="L883">
            <v>15203</v>
          </cell>
          <cell r="M883"/>
          <cell r="N883">
            <v>15203</v>
          </cell>
          <cell r="O883"/>
          <cell r="P883">
            <v>15203</v>
          </cell>
          <cell r="Q883"/>
          <cell r="R883">
            <v>15203</v>
          </cell>
          <cell r="S883"/>
          <cell r="T883">
            <v>15203</v>
          </cell>
          <cell r="U883"/>
          <cell r="V883">
            <v>15203</v>
          </cell>
          <cell r="W883"/>
          <cell r="X883">
            <v>15203</v>
          </cell>
          <cell r="Y883"/>
          <cell r="Z883">
            <v>15203</v>
          </cell>
          <cell r="AA883"/>
          <cell r="AB883"/>
          <cell r="AC883"/>
          <cell r="AD883">
            <v>0.33100000000000002</v>
          </cell>
          <cell r="AE883"/>
          <cell r="AF883"/>
          <cell r="AG883"/>
          <cell r="AH883"/>
          <cell r="AI883"/>
          <cell r="AJ883"/>
          <cell r="AK883"/>
          <cell r="AL883"/>
        </row>
        <row r="884">
          <cell r="E884" t="str">
            <v>FP 1.2mm-4C</v>
          </cell>
          <cell r="F884" t="str">
            <v>ｍ</v>
          </cell>
          <cell r="G884"/>
          <cell r="H884">
            <v>321</v>
          </cell>
          <cell r="I884"/>
          <cell r="J884">
            <v>321</v>
          </cell>
          <cell r="K884"/>
          <cell r="L884">
            <v>321</v>
          </cell>
          <cell r="M884"/>
          <cell r="N884">
            <v>321</v>
          </cell>
          <cell r="O884"/>
          <cell r="P884">
            <v>321</v>
          </cell>
          <cell r="Q884"/>
          <cell r="R884">
            <v>321</v>
          </cell>
          <cell r="S884"/>
          <cell r="T884">
            <v>321</v>
          </cell>
          <cell r="U884"/>
          <cell r="V884">
            <v>321</v>
          </cell>
          <cell r="W884"/>
          <cell r="X884">
            <v>321</v>
          </cell>
          <cell r="Y884"/>
          <cell r="Z884">
            <v>321</v>
          </cell>
          <cell r="AA884"/>
          <cell r="AB884"/>
          <cell r="AC884"/>
          <cell r="AD884">
            <v>2.1000000000000001E-2</v>
          </cell>
          <cell r="AE884"/>
          <cell r="AF884"/>
          <cell r="AG884"/>
          <cell r="AH884"/>
          <cell r="AI884"/>
          <cell r="AJ884"/>
          <cell r="AK884"/>
          <cell r="AL884"/>
        </row>
        <row r="885">
          <cell r="E885" t="str">
            <v>FP 1.6mm-4C</v>
          </cell>
          <cell r="F885" t="str">
            <v>ｍ</v>
          </cell>
          <cell r="G885"/>
          <cell r="H885">
            <v>399</v>
          </cell>
          <cell r="I885"/>
          <cell r="J885">
            <v>399</v>
          </cell>
          <cell r="K885"/>
          <cell r="L885">
            <v>399</v>
          </cell>
          <cell r="M885"/>
          <cell r="N885">
            <v>399</v>
          </cell>
          <cell r="O885"/>
          <cell r="P885">
            <v>399</v>
          </cell>
          <cell r="Q885"/>
          <cell r="R885">
            <v>399</v>
          </cell>
          <cell r="S885"/>
          <cell r="T885">
            <v>399</v>
          </cell>
          <cell r="U885"/>
          <cell r="V885">
            <v>399</v>
          </cell>
          <cell r="W885"/>
          <cell r="X885">
            <v>399</v>
          </cell>
          <cell r="Y885"/>
          <cell r="Z885">
            <v>399</v>
          </cell>
          <cell r="AA885"/>
          <cell r="AB885"/>
          <cell r="AC885"/>
          <cell r="AD885">
            <v>2.4E-2</v>
          </cell>
          <cell r="AE885"/>
          <cell r="AF885"/>
          <cell r="AG885"/>
          <cell r="AH885"/>
          <cell r="AI885"/>
          <cell r="AJ885"/>
          <cell r="AK885"/>
          <cell r="AL885"/>
        </row>
        <row r="886">
          <cell r="E886" t="str">
            <v>FP 2.0mm-4C</v>
          </cell>
          <cell r="F886" t="str">
            <v>ｍ</v>
          </cell>
          <cell r="G886"/>
          <cell r="H886">
            <v>488</v>
          </cell>
          <cell r="I886"/>
          <cell r="J886">
            <v>488</v>
          </cell>
          <cell r="K886"/>
          <cell r="L886">
            <v>488</v>
          </cell>
          <cell r="M886"/>
          <cell r="N886">
            <v>488</v>
          </cell>
          <cell r="O886"/>
          <cell r="P886">
            <v>488</v>
          </cell>
          <cell r="Q886"/>
          <cell r="R886">
            <v>488</v>
          </cell>
          <cell r="S886"/>
          <cell r="T886">
            <v>488</v>
          </cell>
          <cell r="U886"/>
          <cell r="V886">
            <v>488</v>
          </cell>
          <cell r="W886"/>
          <cell r="X886">
            <v>488</v>
          </cell>
          <cell r="Y886"/>
          <cell r="Z886">
            <v>488</v>
          </cell>
          <cell r="AA886"/>
          <cell r="AB886"/>
          <cell r="AC886"/>
          <cell r="AD886">
            <v>0.03</v>
          </cell>
          <cell r="AE886"/>
          <cell r="AF886"/>
          <cell r="AG886"/>
          <cell r="AH886"/>
          <cell r="AI886"/>
          <cell r="AJ886"/>
          <cell r="AK886"/>
          <cell r="AL886"/>
        </row>
        <row r="887">
          <cell r="E887" t="str">
            <v>FP 2.6mm-4C</v>
          </cell>
          <cell r="F887" t="str">
            <v>ｍ</v>
          </cell>
          <cell r="G887"/>
          <cell r="H887">
            <v>677</v>
          </cell>
          <cell r="I887"/>
          <cell r="J887">
            <v>677</v>
          </cell>
          <cell r="K887"/>
          <cell r="L887">
            <v>677</v>
          </cell>
          <cell r="M887"/>
          <cell r="N887">
            <v>677</v>
          </cell>
          <cell r="O887"/>
          <cell r="P887">
            <v>677</v>
          </cell>
          <cell r="Q887"/>
          <cell r="R887">
            <v>677</v>
          </cell>
          <cell r="S887"/>
          <cell r="T887">
            <v>677</v>
          </cell>
          <cell r="U887"/>
          <cell r="V887">
            <v>677</v>
          </cell>
          <cell r="W887"/>
          <cell r="X887">
            <v>677</v>
          </cell>
          <cell r="Y887"/>
          <cell r="Z887">
            <v>677</v>
          </cell>
          <cell r="AA887"/>
          <cell r="AB887"/>
          <cell r="AC887"/>
          <cell r="AD887">
            <v>3.6999999999999998E-2</v>
          </cell>
          <cell r="AE887"/>
          <cell r="AF887"/>
          <cell r="AG887"/>
          <cell r="AH887"/>
          <cell r="AI887"/>
          <cell r="AJ887"/>
          <cell r="AK887"/>
          <cell r="AL887"/>
        </row>
        <row r="888">
          <cell r="E888" t="str">
            <v>FP 2sq-4C</v>
          </cell>
          <cell r="F888" t="str">
            <v>ｍ</v>
          </cell>
          <cell r="G888"/>
          <cell r="H888">
            <v>412</v>
          </cell>
          <cell r="I888"/>
          <cell r="J888">
            <v>412</v>
          </cell>
          <cell r="K888"/>
          <cell r="L888">
            <v>412</v>
          </cell>
          <cell r="M888"/>
          <cell r="N888">
            <v>412</v>
          </cell>
          <cell r="O888"/>
          <cell r="P888">
            <v>412</v>
          </cell>
          <cell r="Q888"/>
          <cell r="R888">
            <v>412</v>
          </cell>
          <cell r="S888"/>
          <cell r="T888">
            <v>412</v>
          </cell>
          <cell r="U888"/>
          <cell r="V888">
            <v>412</v>
          </cell>
          <cell r="W888"/>
          <cell r="X888">
            <v>412</v>
          </cell>
          <cell r="Y888"/>
          <cell r="Z888">
            <v>412</v>
          </cell>
          <cell r="AA888"/>
          <cell r="AB888"/>
          <cell r="AC888"/>
          <cell r="AD888">
            <v>2.4E-2</v>
          </cell>
          <cell r="AE888"/>
          <cell r="AF888"/>
          <cell r="AG888"/>
          <cell r="AH888"/>
          <cell r="AI888"/>
          <cell r="AJ888"/>
          <cell r="AK888"/>
          <cell r="AL888"/>
        </row>
        <row r="889">
          <cell r="E889" t="str">
            <v>FP 3.5sq-4C</v>
          </cell>
          <cell r="F889" t="str">
            <v>ｍ</v>
          </cell>
          <cell r="G889"/>
          <cell r="H889">
            <v>552</v>
          </cell>
          <cell r="I889"/>
          <cell r="J889">
            <v>552</v>
          </cell>
          <cell r="K889"/>
          <cell r="L889">
            <v>552</v>
          </cell>
          <cell r="M889"/>
          <cell r="N889">
            <v>552</v>
          </cell>
          <cell r="O889"/>
          <cell r="P889">
            <v>552</v>
          </cell>
          <cell r="Q889"/>
          <cell r="R889">
            <v>552</v>
          </cell>
          <cell r="S889"/>
          <cell r="T889">
            <v>552</v>
          </cell>
          <cell r="U889"/>
          <cell r="V889">
            <v>552</v>
          </cell>
          <cell r="W889"/>
          <cell r="X889">
            <v>552</v>
          </cell>
          <cell r="Y889"/>
          <cell r="Z889">
            <v>552</v>
          </cell>
          <cell r="AA889"/>
          <cell r="AB889"/>
          <cell r="AC889"/>
          <cell r="AD889">
            <v>0.03</v>
          </cell>
          <cell r="AE889"/>
          <cell r="AF889"/>
          <cell r="AG889"/>
          <cell r="AH889"/>
          <cell r="AI889"/>
          <cell r="AJ889"/>
          <cell r="AK889"/>
          <cell r="AL889"/>
        </row>
        <row r="890">
          <cell r="E890" t="str">
            <v>FP 5.5sq-4C</v>
          </cell>
          <cell r="F890" t="str">
            <v>ｍ</v>
          </cell>
          <cell r="G890"/>
          <cell r="H890">
            <v>704</v>
          </cell>
          <cell r="I890"/>
          <cell r="J890">
            <v>704</v>
          </cell>
          <cell r="K890"/>
          <cell r="L890">
            <v>704</v>
          </cell>
          <cell r="M890"/>
          <cell r="N890">
            <v>704</v>
          </cell>
          <cell r="O890"/>
          <cell r="P890">
            <v>704</v>
          </cell>
          <cell r="Q890"/>
          <cell r="R890">
            <v>704</v>
          </cell>
          <cell r="S890"/>
          <cell r="T890">
            <v>704</v>
          </cell>
          <cell r="U890"/>
          <cell r="V890">
            <v>704</v>
          </cell>
          <cell r="W890"/>
          <cell r="X890">
            <v>704</v>
          </cell>
          <cell r="Y890"/>
          <cell r="Z890">
            <v>704</v>
          </cell>
          <cell r="AA890"/>
          <cell r="AB890"/>
          <cell r="AC890"/>
          <cell r="AD890">
            <v>3.6999999999999998E-2</v>
          </cell>
          <cell r="AE890"/>
          <cell r="AF890"/>
          <cell r="AG890"/>
          <cell r="AH890"/>
          <cell r="AI890"/>
          <cell r="AJ890"/>
          <cell r="AK890"/>
          <cell r="AL890"/>
        </row>
        <row r="891">
          <cell r="E891" t="str">
            <v>FP 8sq-4C</v>
          </cell>
          <cell r="F891" t="str">
            <v>ｍ</v>
          </cell>
          <cell r="G891"/>
          <cell r="H891">
            <v>886</v>
          </cell>
          <cell r="I891"/>
          <cell r="J891">
            <v>886</v>
          </cell>
          <cell r="K891"/>
          <cell r="L891">
            <v>886</v>
          </cell>
          <cell r="M891"/>
          <cell r="N891">
            <v>886</v>
          </cell>
          <cell r="O891"/>
          <cell r="P891">
            <v>886</v>
          </cell>
          <cell r="Q891"/>
          <cell r="R891">
            <v>886</v>
          </cell>
          <cell r="S891"/>
          <cell r="T891">
            <v>886</v>
          </cell>
          <cell r="U891"/>
          <cell r="V891">
            <v>886</v>
          </cell>
          <cell r="W891"/>
          <cell r="X891">
            <v>886</v>
          </cell>
          <cell r="Y891"/>
          <cell r="Z891">
            <v>886</v>
          </cell>
          <cell r="AA891"/>
          <cell r="AB891"/>
          <cell r="AC891"/>
          <cell r="AD891">
            <v>4.2000000000000003E-2</v>
          </cell>
          <cell r="AE891"/>
          <cell r="AF891"/>
          <cell r="AG891"/>
          <cell r="AH891"/>
          <cell r="AI891"/>
          <cell r="AJ891"/>
          <cell r="AK891"/>
          <cell r="AL891"/>
        </row>
        <row r="892">
          <cell r="E892" t="str">
            <v>FP 14sq-4C</v>
          </cell>
          <cell r="F892" t="str">
            <v>ｍ</v>
          </cell>
          <cell r="G892"/>
          <cell r="H892">
            <v>1440</v>
          </cell>
          <cell r="I892"/>
          <cell r="J892">
            <v>1440</v>
          </cell>
          <cell r="K892"/>
          <cell r="L892">
            <v>1440</v>
          </cell>
          <cell r="M892"/>
          <cell r="N892">
            <v>1440</v>
          </cell>
          <cell r="O892"/>
          <cell r="P892">
            <v>1440</v>
          </cell>
          <cell r="Q892"/>
          <cell r="R892">
            <v>1440</v>
          </cell>
          <cell r="S892"/>
          <cell r="T892">
            <v>1440</v>
          </cell>
          <cell r="U892"/>
          <cell r="V892">
            <v>1440</v>
          </cell>
          <cell r="W892"/>
          <cell r="X892">
            <v>1440</v>
          </cell>
          <cell r="Y892"/>
          <cell r="Z892">
            <v>1440</v>
          </cell>
          <cell r="AA892"/>
          <cell r="AB892"/>
          <cell r="AC892"/>
          <cell r="AD892">
            <v>5.1999999999999998E-2</v>
          </cell>
          <cell r="AE892"/>
          <cell r="AF892"/>
          <cell r="AG892"/>
          <cell r="AH892"/>
          <cell r="AI892"/>
          <cell r="AJ892"/>
          <cell r="AK892"/>
          <cell r="AL892"/>
        </row>
        <row r="893">
          <cell r="E893" t="str">
            <v>FP 22sq-4C</v>
          </cell>
          <cell r="F893" t="str">
            <v>ｍ</v>
          </cell>
          <cell r="G893"/>
          <cell r="H893">
            <v>1929</v>
          </cell>
          <cell r="I893"/>
          <cell r="J893">
            <v>1929</v>
          </cell>
          <cell r="K893"/>
          <cell r="L893">
            <v>1929</v>
          </cell>
          <cell r="M893"/>
          <cell r="N893">
            <v>1929</v>
          </cell>
          <cell r="O893"/>
          <cell r="P893">
            <v>1929</v>
          </cell>
          <cell r="Q893"/>
          <cell r="R893">
            <v>1929</v>
          </cell>
          <cell r="S893"/>
          <cell r="T893">
            <v>1929</v>
          </cell>
          <cell r="U893"/>
          <cell r="V893">
            <v>1929</v>
          </cell>
          <cell r="W893"/>
          <cell r="X893">
            <v>1929</v>
          </cell>
          <cell r="Y893"/>
          <cell r="Z893">
            <v>1929</v>
          </cell>
          <cell r="AA893"/>
          <cell r="AB893"/>
          <cell r="AC893"/>
          <cell r="AD893">
            <v>6.7000000000000004E-2</v>
          </cell>
          <cell r="AE893"/>
          <cell r="AF893"/>
          <cell r="AG893"/>
          <cell r="AH893"/>
          <cell r="AI893"/>
          <cell r="AJ893"/>
          <cell r="AK893"/>
          <cell r="AL893"/>
        </row>
        <row r="894">
          <cell r="E894" t="str">
            <v>FP 38sq-4C</v>
          </cell>
          <cell r="F894" t="str">
            <v>ｍ</v>
          </cell>
          <cell r="G894"/>
          <cell r="H894">
            <v>2896</v>
          </cell>
          <cell r="I894"/>
          <cell r="J894">
            <v>2896</v>
          </cell>
          <cell r="K894"/>
          <cell r="L894">
            <v>2896</v>
          </cell>
          <cell r="M894"/>
          <cell r="N894">
            <v>2896</v>
          </cell>
          <cell r="O894"/>
          <cell r="P894">
            <v>2896</v>
          </cell>
          <cell r="Q894"/>
          <cell r="R894">
            <v>2896</v>
          </cell>
          <cell r="S894"/>
          <cell r="T894">
            <v>2896</v>
          </cell>
          <cell r="U894"/>
          <cell r="V894">
            <v>2896</v>
          </cell>
          <cell r="W894"/>
          <cell r="X894">
            <v>2896</v>
          </cell>
          <cell r="Y894"/>
          <cell r="Z894">
            <v>2896</v>
          </cell>
          <cell r="AA894"/>
          <cell r="AB894"/>
          <cell r="AC894"/>
          <cell r="AD894">
            <v>8.8999999999999996E-2</v>
          </cell>
          <cell r="AE894"/>
          <cell r="AF894"/>
          <cell r="AG894"/>
          <cell r="AH894"/>
          <cell r="AI894"/>
          <cell r="AJ894"/>
          <cell r="AK894"/>
          <cell r="AL894"/>
        </row>
        <row r="895">
          <cell r="E895" t="str">
            <v>FP 60sq-4C</v>
          </cell>
          <cell r="F895" t="str">
            <v>ｍ</v>
          </cell>
          <cell r="G895"/>
          <cell r="H895">
            <v>4574</v>
          </cell>
          <cell r="I895"/>
          <cell r="J895">
            <v>4574</v>
          </cell>
          <cell r="K895"/>
          <cell r="L895">
            <v>4574</v>
          </cell>
          <cell r="M895"/>
          <cell r="N895">
            <v>4574</v>
          </cell>
          <cell r="O895"/>
          <cell r="P895">
            <v>4574</v>
          </cell>
          <cell r="Q895"/>
          <cell r="R895">
            <v>4574</v>
          </cell>
          <cell r="S895"/>
          <cell r="T895">
            <v>4574</v>
          </cell>
          <cell r="U895"/>
          <cell r="V895">
            <v>4574</v>
          </cell>
          <cell r="W895"/>
          <cell r="X895">
            <v>4574</v>
          </cell>
          <cell r="Y895"/>
          <cell r="Z895">
            <v>4574</v>
          </cell>
          <cell r="AA895"/>
          <cell r="AB895"/>
          <cell r="AC895"/>
          <cell r="AD895">
            <v>0.11799999999999999</v>
          </cell>
          <cell r="AE895"/>
          <cell r="AF895"/>
          <cell r="AG895"/>
          <cell r="AH895"/>
          <cell r="AI895"/>
          <cell r="AJ895"/>
          <cell r="AK895"/>
          <cell r="AL895"/>
        </row>
        <row r="896">
          <cell r="E896" t="str">
            <v>FP 100sq-4C</v>
          </cell>
          <cell r="F896" t="str">
            <v>ｍ</v>
          </cell>
          <cell r="G896"/>
          <cell r="H896">
            <v>6875</v>
          </cell>
          <cell r="I896"/>
          <cell r="J896">
            <v>6875</v>
          </cell>
          <cell r="K896"/>
          <cell r="L896">
            <v>6875</v>
          </cell>
          <cell r="M896"/>
          <cell r="N896">
            <v>6875</v>
          </cell>
          <cell r="O896"/>
          <cell r="P896">
            <v>6875</v>
          </cell>
          <cell r="Q896"/>
          <cell r="R896">
            <v>6875</v>
          </cell>
          <cell r="S896"/>
          <cell r="T896">
            <v>6875</v>
          </cell>
          <cell r="U896"/>
          <cell r="V896">
            <v>6875</v>
          </cell>
          <cell r="W896"/>
          <cell r="X896">
            <v>6875</v>
          </cell>
          <cell r="Y896"/>
          <cell r="Z896">
            <v>6875</v>
          </cell>
          <cell r="AA896"/>
          <cell r="AB896"/>
          <cell r="AC896"/>
          <cell r="AD896">
            <v>0.161</v>
          </cell>
          <cell r="AE896"/>
          <cell r="AF896"/>
          <cell r="AG896"/>
          <cell r="AH896"/>
          <cell r="AI896"/>
          <cell r="AJ896"/>
          <cell r="AK896"/>
          <cell r="AL896"/>
        </row>
        <row r="897">
          <cell r="E897" t="str">
            <v>FP 150sq-4C</v>
          </cell>
          <cell r="F897" t="str">
            <v>ｍ</v>
          </cell>
          <cell r="G897"/>
          <cell r="H897">
            <v>10326</v>
          </cell>
          <cell r="I897"/>
          <cell r="J897">
            <v>10326</v>
          </cell>
          <cell r="K897"/>
          <cell r="L897">
            <v>10326</v>
          </cell>
          <cell r="M897"/>
          <cell r="N897">
            <v>10326</v>
          </cell>
          <cell r="O897"/>
          <cell r="P897">
            <v>10326</v>
          </cell>
          <cell r="Q897"/>
          <cell r="R897">
            <v>10326</v>
          </cell>
          <cell r="S897"/>
          <cell r="T897">
            <v>10326</v>
          </cell>
          <cell r="U897"/>
          <cell r="V897">
            <v>10326</v>
          </cell>
          <cell r="W897"/>
          <cell r="X897">
            <v>10326</v>
          </cell>
          <cell r="Y897"/>
          <cell r="Z897">
            <v>10326</v>
          </cell>
          <cell r="AA897"/>
          <cell r="AB897"/>
          <cell r="AC897"/>
          <cell r="AD897">
            <v>0.19800000000000001</v>
          </cell>
          <cell r="AE897"/>
          <cell r="AF897"/>
          <cell r="AG897"/>
          <cell r="AH897"/>
          <cell r="AI897"/>
          <cell r="AJ897"/>
          <cell r="AK897"/>
          <cell r="AL897"/>
        </row>
        <row r="898">
          <cell r="E898" t="str">
            <v>FP 200sq-4C</v>
          </cell>
          <cell r="F898" t="str">
            <v>ｍ</v>
          </cell>
          <cell r="G898"/>
          <cell r="H898">
            <v>12950</v>
          </cell>
          <cell r="I898"/>
          <cell r="J898">
            <v>12950</v>
          </cell>
          <cell r="K898"/>
          <cell r="L898">
            <v>12950</v>
          </cell>
          <cell r="M898"/>
          <cell r="N898">
            <v>12950</v>
          </cell>
          <cell r="O898"/>
          <cell r="P898">
            <v>12950</v>
          </cell>
          <cell r="Q898"/>
          <cell r="R898">
            <v>12950</v>
          </cell>
          <cell r="S898"/>
          <cell r="T898">
            <v>12950</v>
          </cell>
          <cell r="U898"/>
          <cell r="V898">
            <v>12950</v>
          </cell>
          <cell r="W898"/>
          <cell r="X898">
            <v>12950</v>
          </cell>
          <cell r="Y898"/>
          <cell r="Z898">
            <v>12950</v>
          </cell>
          <cell r="AA898"/>
          <cell r="AB898"/>
          <cell r="AC898"/>
          <cell r="AD898">
            <v>0.245</v>
          </cell>
          <cell r="AE898"/>
          <cell r="AF898"/>
          <cell r="AG898"/>
          <cell r="AH898"/>
          <cell r="AI898"/>
          <cell r="AJ898"/>
          <cell r="AK898"/>
          <cell r="AL898"/>
        </row>
        <row r="899">
          <cell r="E899" t="str">
            <v>FP 250sq-4C</v>
          </cell>
          <cell r="F899" t="str">
            <v>ｍ</v>
          </cell>
          <cell r="G899"/>
          <cell r="H899">
            <v>16488</v>
          </cell>
          <cell r="I899"/>
          <cell r="J899">
            <v>16488</v>
          </cell>
          <cell r="K899"/>
          <cell r="L899">
            <v>16488</v>
          </cell>
          <cell r="M899"/>
          <cell r="N899">
            <v>16488</v>
          </cell>
          <cell r="O899"/>
          <cell r="P899">
            <v>16488</v>
          </cell>
          <cell r="Q899"/>
          <cell r="R899">
            <v>16488</v>
          </cell>
          <cell r="S899"/>
          <cell r="T899">
            <v>16488</v>
          </cell>
          <cell r="U899"/>
          <cell r="V899">
            <v>16488</v>
          </cell>
          <cell r="W899"/>
          <cell r="X899">
            <v>16488</v>
          </cell>
          <cell r="Y899"/>
          <cell r="Z899">
            <v>16488</v>
          </cell>
          <cell r="AA899"/>
          <cell r="AB899"/>
          <cell r="AC899"/>
          <cell r="AD899">
            <v>0.30599999999999999</v>
          </cell>
          <cell r="AE899"/>
          <cell r="AF899"/>
          <cell r="AG899"/>
          <cell r="AH899"/>
          <cell r="AI899"/>
          <cell r="AJ899"/>
          <cell r="AK899"/>
          <cell r="AL899"/>
        </row>
        <row r="900">
          <cell r="E900" t="str">
            <v>FP 325sq-4C</v>
          </cell>
          <cell r="F900" t="str">
            <v>ｍ</v>
          </cell>
          <cell r="G900"/>
          <cell r="H900">
            <v>20182</v>
          </cell>
          <cell r="I900"/>
          <cell r="J900">
            <v>20182</v>
          </cell>
          <cell r="K900"/>
          <cell r="L900">
            <v>20182</v>
          </cell>
          <cell r="M900"/>
          <cell r="N900">
            <v>20182</v>
          </cell>
          <cell r="O900"/>
          <cell r="P900">
            <v>20182</v>
          </cell>
          <cell r="Q900"/>
          <cell r="R900">
            <v>20182</v>
          </cell>
          <cell r="S900"/>
          <cell r="T900">
            <v>20182</v>
          </cell>
          <cell r="U900"/>
          <cell r="V900">
            <v>20182</v>
          </cell>
          <cell r="W900"/>
          <cell r="X900">
            <v>20182</v>
          </cell>
          <cell r="Y900"/>
          <cell r="Z900">
            <v>20182</v>
          </cell>
          <cell r="AA900"/>
          <cell r="AB900"/>
          <cell r="AC900"/>
          <cell r="AD900">
            <v>0.39700000000000002</v>
          </cell>
          <cell r="AE900"/>
          <cell r="AF900"/>
          <cell r="AG900"/>
          <cell r="AH900"/>
          <cell r="AI900"/>
          <cell r="AJ900"/>
          <cell r="AK900"/>
          <cell r="AL900"/>
        </row>
        <row r="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cell r="AG901"/>
          <cell r="AH901"/>
          <cell r="AI901"/>
          <cell r="AJ901"/>
          <cell r="AK901"/>
          <cell r="AL901"/>
        </row>
        <row r="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cell r="AG902"/>
          <cell r="AH902"/>
          <cell r="AI902"/>
          <cell r="AJ902"/>
          <cell r="AK902"/>
          <cell r="AL902"/>
        </row>
        <row r="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cell r="AG903"/>
          <cell r="AH903"/>
          <cell r="AI903"/>
          <cell r="AJ903"/>
          <cell r="AK903"/>
          <cell r="AL903"/>
        </row>
        <row r="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cell r="AG904"/>
          <cell r="AH904"/>
          <cell r="AI904"/>
          <cell r="AJ904"/>
          <cell r="AK904"/>
          <cell r="AL904"/>
        </row>
        <row r="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cell r="AG905"/>
          <cell r="AH905"/>
          <cell r="AI905"/>
          <cell r="AJ905"/>
          <cell r="AK905"/>
          <cell r="AL905"/>
        </row>
        <row r="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cell r="AG906"/>
          <cell r="AH906"/>
          <cell r="AI906"/>
          <cell r="AJ906"/>
          <cell r="AK906"/>
          <cell r="AL906"/>
        </row>
        <row r="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cell r="AG907"/>
          <cell r="AH907"/>
          <cell r="AI907"/>
          <cell r="AJ907"/>
          <cell r="AK907"/>
          <cell r="AL907"/>
        </row>
        <row r="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cell r="AG908"/>
          <cell r="AH908"/>
          <cell r="AI908"/>
          <cell r="AJ908"/>
          <cell r="AK908"/>
          <cell r="AL908"/>
        </row>
        <row r="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cell r="AG909"/>
          <cell r="AH909"/>
          <cell r="AI909"/>
          <cell r="AJ909"/>
          <cell r="AK909"/>
          <cell r="AL909"/>
        </row>
        <row r="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cell r="AG910"/>
          <cell r="AH910"/>
          <cell r="AI910"/>
          <cell r="AJ910"/>
          <cell r="AK910"/>
          <cell r="AL910"/>
        </row>
        <row r="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cell r="AG911"/>
          <cell r="AH911"/>
          <cell r="AI911"/>
          <cell r="AJ911"/>
          <cell r="AK911"/>
          <cell r="AL911"/>
        </row>
        <row r="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cell r="AG912"/>
          <cell r="AH912"/>
          <cell r="AI912"/>
          <cell r="AJ912"/>
          <cell r="AK912"/>
          <cell r="AL912"/>
        </row>
        <row r="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cell r="AG913"/>
          <cell r="AH913"/>
          <cell r="AI913"/>
          <cell r="AJ913"/>
          <cell r="AK913"/>
          <cell r="AL913"/>
        </row>
        <row r="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cell r="AG914"/>
          <cell r="AH914"/>
          <cell r="AI914"/>
          <cell r="AJ914"/>
          <cell r="AK914"/>
          <cell r="AL914"/>
        </row>
        <row r="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cell r="AG915"/>
          <cell r="AH915"/>
          <cell r="AI915"/>
          <cell r="AJ915"/>
          <cell r="AK915"/>
          <cell r="AL915"/>
        </row>
        <row r="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cell r="AG916"/>
          <cell r="AH916"/>
          <cell r="AI916"/>
          <cell r="AJ916"/>
          <cell r="AK916"/>
          <cell r="AL916"/>
        </row>
        <row r="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cell r="AG917"/>
          <cell r="AH917"/>
          <cell r="AI917"/>
          <cell r="AJ917"/>
          <cell r="AK917"/>
          <cell r="AL917"/>
        </row>
        <row r="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cell r="AG918"/>
          <cell r="AH918"/>
          <cell r="AI918"/>
          <cell r="AJ918"/>
          <cell r="AK918"/>
          <cell r="AL918"/>
        </row>
        <row r="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cell r="AG919"/>
          <cell r="AH919"/>
          <cell r="AI919"/>
          <cell r="AJ919"/>
          <cell r="AK919"/>
          <cell r="AL919"/>
        </row>
        <row r="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cell r="AG920"/>
          <cell r="AH920"/>
          <cell r="AI920"/>
          <cell r="AJ920"/>
          <cell r="AK920"/>
          <cell r="AL920"/>
        </row>
        <row r="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cell r="AG921"/>
          <cell r="AH921"/>
          <cell r="AI921"/>
          <cell r="AJ921"/>
          <cell r="AK921"/>
          <cell r="AL921"/>
        </row>
        <row r="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cell r="AG922"/>
          <cell r="AH922"/>
          <cell r="AI922"/>
          <cell r="AJ922"/>
          <cell r="AK922"/>
          <cell r="AL922"/>
        </row>
        <row r="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cell r="AG923"/>
          <cell r="AH923"/>
          <cell r="AI923"/>
          <cell r="AJ923"/>
          <cell r="AK923"/>
          <cell r="AL923"/>
        </row>
        <row r="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cell r="AG924"/>
          <cell r="AH924"/>
          <cell r="AI924"/>
          <cell r="AJ924"/>
          <cell r="AK924"/>
          <cell r="AL924"/>
        </row>
        <row r="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cell r="AG925"/>
          <cell r="AH925"/>
          <cell r="AI925"/>
          <cell r="AJ925"/>
          <cell r="AK925"/>
          <cell r="AL925"/>
        </row>
        <row r="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cell r="AG926"/>
          <cell r="AH926"/>
          <cell r="AI926"/>
          <cell r="AJ926"/>
          <cell r="AK926"/>
          <cell r="AL926"/>
        </row>
        <row r="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cell r="AG927"/>
          <cell r="AH927"/>
          <cell r="AI927"/>
          <cell r="AJ927"/>
          <cell r="AK927"/>
          <cell r="AL927"/>
        </row>
        <row r="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cell r="AG928"/>
          <cell r="AH928"/>
          <cell r="AI928"/>
          <cell r="AJ928"/>
          <cell r="AK928"/>
          <cell r="AL928"/>
        </row>
        <row r="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cell r="AG929"/>
          <cell r="AH929"/>
          <cell r="AI929"/>
          <cell r="AJ929"/>
          <cell r="AK929"/>
          <cell r="AL929"/>
        </row>
        <row r="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cell r="AG930"/>
          <cell r="AH930"/>
          <cell r="AI930"/>
          <cell r="AJ930"/>
          <cell r="AK930"/>
          <cell r="AL930"/>
        </row>
        <row r="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cell r="AG931"/>
          <cell r="AH931"/>
          <cell r="AI931"/>
          <cell r="AJ931"/>
          <cell r="AK931"/>
          <cell r="AL931"/>
        </row>
        <row r="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cell r="AG932"/>
          <cell r="AH932"/>
          <cell r="AI932"/>
          <cell r="AJ932"/>
          <cell r="AK932"/>
          <cell r="AL932"/>
        </row>
        <row r="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cell r="AG933"/>
          <cell r="AH933"/>
          <cell r="AI933"/>
          <cell r="AJ933"/>
          <cell r="AK933"/>
          <cell r="AL933"/>
        </row>
        <row r="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cell r="AG934"/>
          <cell r="AH934"/>
          <cell r="AI934"/>
          <cell r="AJ934"/>
          <cell r="AK934"/>
          <cell r="AL934"/>
        </row>
        <row r="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cell r="AG935"/>
          <cell r="AH935"/>
          <cell r="AI935"/>
          <cell r="AJ935"/>
          <cell r="AK935"/>
          <cell r="AL935"/>
        </row>
        <row r="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cell r="AG936"/>
          <cell r="AH936"/>
          <cell r="AI936"/>
          <cell r="AJ936"/>
          <cell r="AK936"/>
          <cell r="AL936"/>
        </row>
        <row r="937">
          <cell r="E937" t="str">
            <v>3KV CV 8sq-1C</v>
          </cell>
          <cell r="F937" t="str">
            <v>ｍ</v>
          </cell>
          <cell r="G937"/>
          <cell r="H937">
            <v>242</v>
          </cell>
          <cell r="I937"/>
          <cell r="J937">
            <v>246</v>
          </cell>
          <cell r="K937"/>
          <cell r="L937">
            <v>246</v>
          </cell>
          <cell r="M937"/>
          <cell r="N937">
            <v>238</v>
          </cell>
          <cell r="O937"/>
          <cell r="P937">
            <v>233</v>
          </cell>
          <cell r="Q937"/>
          <cell r="R937">
            <v>242</v>
          </cell>
          <cell r="S937"/>
          <cell r="T937">
            <v>242</v>
          </cell>
          <cell r="U937"/>
          <cell r="V937">
            <v>246</v>
          </cell>
          <cell r="W937"/>
          <cell r="X937">
            <v>238</v>
          </cell>
          <cell r="Y937"/>
          <cell r="Z937">
            <v>246</v>
          </cell>
          <cell r="AA937"/>
          <cell r="AB937"/>
          <cell r="AC937"/>
          <cell r="AD937">
            <v>1.9E-2</v>
          </cell>
          <cell r="AE937"/>
          <cell r="AF937"/>
          <cell r="AG937"/>
          <cell r="AH937"/>
          <cell r="AI937"/>
          <cell r="AJ937"/>
          <cell r="AK937"/>
          <cell r="AL937"/>
        </row>
        <row r="938">
          <cell r="E938" t="str">
            <v>3KV CV 14sq-1C</v>
          </cell>
          <cell r="F938" t="str">
            <v>ｍ</v>
          </cell>
          <cell r="G938"/>
          <cell r="H938">
            <v>325</v>
          </cell>
          <cell r="I938"/>
          <cell r="J938">
            <v>330</v>
          </cell>
          <cell r="K938"/>
          <cell r="L938">
            <v>330</v>
          </cell>
          <cell r="M938"/>
          <cell r="N938">
            <v>320</v>
          </cell>
          <cell r="O938"/>
          <cell r="P938">
            <v>313</v>
          </cell>
          <cell r="Q938"/>
          <cell r="R938">
            <v>325</v>
          </cell>
          <cell r="S938"/>
          <cell r="T938">
            <v>325</v>
          </cell>
          <cell r="U938"/>
          <cell r="V938">
            <v>330</v>
          </cell>
          <cell r="W938"/>
          <cell r="X938">
            <v>320</v>
          </cell>
          <cell r="Y938"/>
          <cell r="Z938">
            <v>330</v>
          </cell>
          <cell r="AA938"/>
          <cell r="AB938"/>
          <cell r="AC938"/>
          <cell r="AD938">
            <v>2.4E-2</v>
          </cell>
          <cell r="AE938"/>
          <cell r="AF938"/>
          <cell r="AG938"/>
          <cell r="AH938"/>
          <cell r="AI938"/>
          <cell r="AJ938"/>
          <cell r="AK938"/>
          <cell r="AL938"/>
        </row>
        <row r="939">
          <cell r="E939" t="str">
            <v>3KV CV 22sq-1C</v>
          </cell>
          <cell r="F939" t="str">
            <v>ｍ</v>
          </cell>
          <cell r="G939"/>
          <cell r="H939">
            <v>463</v>
          </cell>
          <cell r="I939"/>
          <cell r="J939">
            <v>470</v>
          </cell>
          <cell r="K939"/>
          <cell r="L939">
            <v>470</v>
          </cell>
          <cell r="M939"/>
          <cell r="N939">
            <v>456</v>
          </cell>
          <cell r="O939"/>
          <cell r="P939">
            <v>445</v>
          </cell>
          <cell r="Q939"/>
          <cell r="R939">
            <v>463</v>
          </cell>
          <cell r="S939"/>
          <cell r="T939">
            <v>463</v>
          </cell>
          <cell r="U939"/>
          <cell r="V939">
            <v>470</v>
          </cell>
          <cell r="W939"/>
          <cell r="X939">
            <v>456</v>
          </cell>
          <cell r="Y939"/>
          <cell r="Z939">
            <v>470</v>
          </cell>
          <cell r="AA939"/>
          <cell r="AB939"/>
          <cell r="AC939"/>
          <cell r="AD939">
            <v>3.1E-2</v>
          </cell>
          <cell r="AE939"/>
          <cell r="AF939"/>
          <cell r="AG939"/>
          <cell r="AH939"/>
          <cell r="AI939"/>
          <cell r="AJ939"/>
          <cell r="AK939"/>
          <cell r="AL939"/>
        </row>
        <row r="940">
          <cell r="E940" t="str">
            <v>3KV CV 38sq-1C</v>
          </cell>
          <cell r="F940" t="str">
            <v>ｍ</v>
          </cell>
          <cell r="G940"/>
          <cell r="H940">
            <v>678</v>
          </cell>
          <cell r="I940"/>
          <cell r="J940">
            <v>688</v>
          </cell>
          <cell r="K940"/>
          <cell r="L940">
            <v>688</v>
          </cell>
          <cell r="M940"/>
          <cell r="N940">
            <v>668</v>
          </cell>
          <cell r="O940"/>
          <cell r="P940">
            <v>652</v>
          </cell>
          <cell r="Q940"/>
          <cell r="R940">
            <v>678</v>
          </cell>
          <cell r="S940"/>
          <cell r="T940">
            <v>678</v>
          </cell>
          <cell r="U940"/>
          <cell r="V940">
            <v>688</v>
          </cell>
          <cell r="W940"/>
          <cell r="X940">
            <v>668</v>
          </cell>
          <cell r="Y940"/>
          <cell r="Z940">
            <v>688</v>
          </cell>
          <cell r="AA940"/>
          <cell r="AB940"/>
          <cell r="AC940"/>
          <cell r="AD940">
            <v>4.1000000000000002E-2</v>
          </cell>
          <cell r="AE940"/>
          <cell r="AF940"/>
          <cell r="AG940"/>
          <cell r="AH940"/>
          <cell r="AI940"/>
          <cell r="AJ940"/>
          <cell r="AK940"/>
          <cell r="AL940"/>
        </row>
        <row r="941">
          <cell r="E941" t="str">
            <v>3KV CV 60sq-1C</v>
          </cell>
          <cell r="F941" t="str">
            <v>ｍ</v>
          </cell>
          <cell r="G941"/>
          <cell r="H941">
            <v>948</v>
          </cell>
          <cell r="I941"/>
          <cell r="J941">
            <v>962</v>
          </cell>
          <cell r="K941"/>
          <cell r="L941">
            <v>962</v>
          </cell>
          <cell r="M941"/>
          <cell r="N941">
            <v>933</v>
          </cell>
          <cell r="O941"/>
          <cell r="P941">
            <v>911</v>
          </cell>
          <cell r="Q941"/>
          <cell r="R941">
            <v>948</v>
          </cell>
          <cell r="S941"/>
          <cell r="T941">
            <v>948</v>
          </cell>
          <cell r="U941"/>
          <cell r="V941">
            <v>962</v>
          </cell>
          <cell r="W941"/>
          <cell r="X941">
            <v>933</v>
          </cell>
          <cell r="Y941"/>
          <cell r="Z941">
            <v>962</v>
          </cell>
          <cell r="AA941"/>
          <cell r="AB941"/>
          <cell r="AC941"/>
          <cell r="AD941">
            <v>5.3999999999999999E-2</v>
          </cell>
          <cell r="AE941"/>
          <cell r="AF941"/>
          <cell r="AG941"/>
          <cell r="AH941"/>
          <cell r="AI941"/>
          <cell r="AJ941"/>
          <cell r="AK941"/>
          <cell r="AL941"/>
        </row>
        <row r="942">
          <cell r="E942" t="str">
            <v>3KV CV 100sq-1C</v>
          </cell>
          <cell r="F942" t="str">
            <v>ｍ</v>
          </cell>
          <cell r="G942"/>
          <cell r="H942">
            <v>1399</v>
          </cell>
          <cell r="I942"/>
          <cell r="J942">
            <v>1420</v>
          </cell>
          <cell r="K942"/>
          <cell r="L942">
            <v>1420</v>
          </cell>
          <cell r="M942"/>
          <cell r="N942">
            <v>1377</v>
          </cell>
          <cell r="O942"/>
          <cell r="P942">
            <v>1345</v>
          </cell>
          <cell r="Q942"/>
          <cell r="R942">
            <v>1399</v>
          </cell>
          <cell r="S942"/>
          <cell r="T942">
            <v>1399</v>
          </cell>
          <cell r="U942"/>
          <cell r="V942">
            <v>1420</v>
          </cell>
          <cell r="W942"/>
          <cell r="X942">
            <v>1377</v>
          </cell>
          <cell r="Y942"/>
          <cell r="Z942">
            <v>1420</v>
          </cell>
          <cell r="AA942"/>
          <cell r="AB942"/>
          <cell r="AC942"/>
          <cell r="AD942">
            <v>7.3999999999999996E-2</v>
          </cell>
          <cell r="AE942"/>
          <cell r="AF942"/>
          <cell r="AG942"/>
          <cell r="AH942"/>
          <cell r="AI942"/>
          <cell r="AJ942"/>
          <cell r="AK942"/>
          <cell r="AL942"/>
        </row>
        <row r="943">
          <cell r="E943" t="str">
            <v>3KV CV 150sq-1C</v>
          </cell>
          <cell r="F943" t="str">
            <v>ｍ</v>
          </cell>
          <cell r="G943"/>
          <cell r="H943">
            <v>1908</v>
          </cell>
          <cell r="I943"/>
          <cell r="J943">
            <v>1938</v>
          </cell>
          <cell r="K943"/>
          <cell r="L943">
            <v>1938</v>
          </cell>
          <cell r="M943"/>
          <cell r="N943">
            <v>1879</v>
          </cell>
          <cell r="O943"/>
          <cell r="P943">
            <v>1835</v>
          </cell>
          <cell r="Q943"/>
          <cell r="R943">
            <v>1908</v>
          </cell>
          <cell r="S943"/>
          <cell r="T943">
            <v>1908</v>
          </cell>
          <cell r="U943"/>
          <cell r="V943">
            <v>1938</v>
          </cell>
          <cell r="W943"/>
          <cell r="X943">
            <v>1879</v>
          </cell>
          <cell r="Y943"/>
          <cell r="Z943">
            <v>1938</v>
          </cell>
          <cell r="AA943"/>
          <cell r="AB943"/>
          <cell r="AC943"/>
          <cell r="AD943">
            <v>9.0999999999999998E-2</v>
          </cell>
          <cell r="AE943"/>
          <cell r="AF943"/>
          <cell r="AG943"/>
          <cell r="AH943"/>
          <cell r="AI943"/>
          <cell r="AJ943"/>
          <cell r="AK943"/>
          <cell r="AL943"/>
        </row>
        <row r="944">
          <cell r="E944" t="str">
            <v>3KV CV 200sq-1C</v>
          </cell>
          <cell r="F944" t="str">
            <v>ｍ</v>
          </cell>
          <cell r="G944"/>
          <cell r="H944">
            <v>2420</v>
          </cell>
          <cell r="I944"/>
          <cell r="J944">
            <v>2457</v>
          </cell>
          <cell r="K944"/>
          <cell r="L944">
            <v>2457</v>
          </cell>
          <cell r="M944"/>
          <cell r="N944">
            <v>2383</v>
          </cell>
          <cell r="O944"/>
          <cell r="P944">
            <v>2327</v>
          </cell>
          <cell r="Q944"/>
          <cell r="R944">
            <v>2420</v>
          </cell>
          <cell r="S944"/>
          <cell r="T944">
            <v>2420</v>
          </cell>
          <cell r="U944"/>
          <cell r="V944">
            <v>2457</v>
          </cell>
          <cell r="W944"/>
          <cell r="X944">
            <v>2383</v>
          </cell>
          <cell r="Y944"/>
          <cell r="Z944">
            <v>2457</v>
          </cell>
          <cell r="AA944"/>
          <cell r="AB944"/>
          <cell r="AC944"/>
          <cell r="AD944">
            <v>0.112</v>
          </cell>
          <cell r="AE944"/>
          <cell r="AF944"/>
          <cell r="AG944"/>
          <cell r="AH944"/>
          <cell r="AI944"/>
          <cell r="AJ944"/>
          <cell r="AK944"/>
          <cell r="AL944"/>
        </row>
        <row r="945">
          <cell r="E945" t="str">
            <v>3KV CV 250sq-1C</v>
          </cell>
          <cell r="F945" t="str">
            <v>ｍ</v>
          </cell>
          <cell r="G945"/>
          <cell r="H945">
            <v>3036</v>
          </cell>
          <cell r="I945"/>
          <cell r="J945">
            <v>3082</v>
          </cell>
          <cell r="K945"/>
          <cell r="L945">
            <v>3082</v>
          </cell>
          <cell r="M945"/>
          <cell r="N945">
            <v>2989</v>
          </cell>
          <cell r="O945"/>
          <cell r="P945">
            <v>2919</v>
          </cell>
          <cell r="Q945"/>
          <cell r="R945">
            <v>3036</v>
          </cell>
          <cell r="S945"/>
          <cell r="T945">
            <v>3036</v>
          </cell>
          <cell r="U945"/>
          <cell r="V945">
            <v>3082</v>
          </cell>
          <cell r="W945"/>
          <cell r="X945">
            <v>2989</v>
          </cell>
          <cell r="Y945"/>
          <cell r="Z945">
            <v>3082</v>
          </cell>
          <cell r="AA945"/>
          <cell r="AB945"/>
          <cell r="AC945"/>
          <cell r="AD945">
            <v>0.129</v>
          </cell>
          <cell r="AE945"/>
          <cell r="AF945"/>
          <cell r="AG945"/>
          <cell r="AH945"/>
          <cell r="AI945"/>
          <cell r="AJ945"/>
          <cell r="AK945"/>
          <cell r="AL945"/>
        </row>
        <row r="946">
          <cell r="E946" t="str">
            <v>3KV CV 325sq-1C</v>
          </cell>
          <cell r="F946" t="str">
            <v>ｍ</v>
          </cell>
          <cell r="G946"/>
          <cell r="H946">
            <v>3847</v>
          </cell>
          <cell r="I946"/>
          <cell r="J946">
            <v>3906</v>
          </cell>
          <cell r="K946"/>
          <cell r="L946">
            <v>3906</v>
          </cell>
          <cell r="M946"/>
          <cell r="N946">
            <v>3788</v>
          </cell>
          <cell r="O946"/>
          <cell r="P946">
            <v>3699</v>
          </cell>
          <cell r="Q946"/>
          <cell r="R946">
            <v>3847</v>
          </cell>
          <cell r="S946"/>
          <cell r="T946">
            <v>3847</v>
          </cell>
          <cell r="U946"/>
          <cell r="V946">
            <v>3906</v>
          </cell>
          <cell r="W946"/>
          <cell r="X946">
            <v>3788</v>
          </cell>
          <cell r="Y946"/>
          <cell r="Z946">
            <v>3906</v>
          </cell>
          <cell r="AA946"/>
          <cell r="AB946"/>
          <cell r="AC946"/>
          <cell r="AD946">
            <v>0.16400000000000001</v>
          </cell>
          <cell r="AE946"/>
          <cell r="AF946"/>
          <cell r="AG946"/>
          <cell r="AH946"/>
          <cell r="AI946"/>
          <cell r="AJ946"/>
          <cell r="AK946"/>
          <cell r="AL946"/>
        </row>
        <row r="947">
          <cell r="E947" t="str">
            <v>3KV CV 8sq-3C</v>
          </cell>
          <cell r="F947" t="str">
            <v>ｍ</v>
          </cell>
          <cell r="G947"/>
          <cell r="H947">
            <v>696</v>
          </cell>
          <cell r="I947"/>
          <cell r="J947">
            <v>706</v>
          </cell>
          <cell r="K947"/>
          <cell r="L947">
            <v>706</v>
          </cell>
          <cell r="M947"/>
          <cell r="N947">
            <v>685</v>
          </cell>
          <cell r="O947"/>
          <cell r="P947">
            <v>669</v>
          </cell>
          <cell r="Q947"/>
          <cell r="R947">
            <v>696</v>
          </cell>
          <cell r="S947"/>
          <cell r="T947">
            <v>696</v>
          </cell>
          <cell r="U947"/>
          <cell r="V947">
            <v>706</v>
          </cell>
          <cell r="W947"/>
          <cell r="X947">
            <v>685</v>
          </cell>
          <cell r="Y947"/>
          <cell r="Z947">
            <v>706</v>
          </cell>
          <cell r="AA947"/>
          <cell r="AB947"/>
          <cell r="AC947"/>
          <cell r="AD947">
            <v>3.2000000000000001E-2</v>
          </cell>
          <cell r="AE947"/>
          <cell r="AF947"/>
          <cell r="AG947"/>
          <cell r="AH947"/>
          <cell r="AI947"/>
          <cell r="AJ947"/>
          <cell r="AK947"/>
          <cell r="AL947"/>
        </row>
        <row r="948">
          <cell r="E948" t="str">
            <v>3KV CV 14sq-3C</v>
          </cell>
          <cell r="F948" t="str">
            <v>ｍ</v>
          </cell>
          <cell r="G948"/>
          <cell r="H948">
            <v>886</v>
          </cell>
          <cell r="I948"/>
          <cell r="J948">
            <v>900</v>
          </cell>
          <cell r="K948"/>
          <cell r="L948">
            <v>900</v>
          </cell>
          <cell r="M948"/>
          <cell r="N948">
            <v>872</v>
          </cell>
          <cell r="O948"/>
          <cell r="P948">
            <v>852</v>
          </cell>
          <cell r="Q948"/>
          <cell r="R948">
            <v>886</v>
          </cell>
          <cell r="S948"/>
          <cell r="T948">
            <v>886</v>
          </cell>
          <cell r="U948"/>
          <cell r="V948">
            <v>900</v>
          </cell>
          <cell r="W948"/>
          <cell r="X948">
            <v>872</v>
          </cell>
          <cell r="Y948"/>
          <cell r="Z948">
            <v>900</v>
          </cell>
          <cell r="AA948"/>
          <cell r="AB948"/>
          <cell r="AC948"/>
          <cell r="AD948">
            <v>0.04</v>
          </cell>
          <cell r="AE948"/>
          <cell r="AF948"/>
          <cell r="AG948"/>
          <cell r="AH948"/>
          <cell r="AI948"/>
          <cell r="AJ948"/>
          <cell r="AK948"/>
          <cell r="AL948"/>
        </row>
        <row r="949">
          <cell r="E949" t="str">
            <v>3KV CV 22sq-3C</v>
          </cell>
          <cell r="F949" t="str">
            <v>ｍ</v>
          </cell>
          <cell r="G949"/>
          <cell r="H949">
            <v>1208</v>
          </cell>
          <cell r="I949"/>
          <cell r="J949">
            <v>1227</v>
          </cell>
          <cell r="K949"/>
          <cell r="L949">
            <v>1227</v>
          </cell>
          <cell r="M949"/>
          <cell r="N949">
            <v>1190</v>
          </cell>
          <cell r="O949"/>
          <cell r="P949">
            <v>1162</v>
          </cell>
          <cell r="Q949"/>
          <cell r="R949">
            <v>1208</v>
          </cell>
          <cell r="S949"/>
          <cell r="T949">
            <v>1208</v>
          </cell>
          <cell r="U949"/>
          <cell r="V949">
            <v>1227</v>
          </cell>
          <cell r="W949"/>
          <cell r="X949">
            <v>1190</v>
          </cell>
          <cell r="Y949"/>
          <cell r="Z949">
            <v>1227</v>
          </cell>
          <cell r="AA949"/>
          <cell r="AB949"/>
          <cell r="AC949"/>
          <cell r="AD949">
            <v>5.1999999999999998E-2</v>
          </cell>
          <cell r="AE949"/>
          <cell r="AF949"/>
          <cell r="AG949"/>
          <cell r="AH949"/>
          <cell r="AI949"/>
          <cell r="AJ949"/>
          <cell r="AK949"/>
          <cell r="AL949"/>
        </row>
        <row r="950">
          <cell r="E950" t="str">
            <v>3KV CV 38sq-3C</v>
          </cell>
          <cell r="F950" t="str">
            <v>ｍ</v>
          </cell>
          <cell r="G950"/>
          <cell r="H950">
            <v>1720</v>
          </cell>
          <cell r="I950"/>
          <cell r="J950">
            <v>1797</v>
          </cell>
          <cell r="K950"/>
          <cell r="L950">
            <v>1797</v>
          </cell>
          <cell r="M950"/>
          <cell r="N950">
            <v>1743</v>
          </cell>
          <cell r="O950"/>
          <cell r="P950">
            <v>1702</v>
          </cell>
          <cell r="Q950"/>
          <cell r="R950">
            <v>1720</v>
          </cell>
          <cell r="S950"/>
          <cell r="T950">
            <v>1720</v>
          </cell>
          <cell r="U950"/>
          <cell r="V950">
            <v>1797</v>
          </cell>
          <cell r="W950"/>
          <cell r="X950">
            <v>1743</v>
          </cell>
          <cell r="Y950"/>
          <cell r="Z950">
            <v>1797</v>
          </cell>
          <cell r="AA950"/>
          <cell r="AB950"/>
          <cell r="AC950"/>
          <cell r="AD950">
            <v>6.8000000000000005E-2</v>
          </cell>
          <cell r="AE950"/>
          <cell r="AF950"/>
          <cell r="AG950"/>
          <cell r="AH950"/>
          <cell r="AI950"/>
          <cell r="AJ950"/>
          <cell r="AK950"/>
          <cell r="AL950"/>
        </row>
        <row r="951">
          <cell r="E951" t="str">
            <v>3KV CV 60sq-3C</v>
          </cell>
          <cell r="F951" t="str">
            <v>ｍ</v>
          </cell>
          <cell r="G951"/>
          <cell r="H951">
            <v>2590</v>
          </cell>
          <cell r="I951"/>
          <cell r="J951">
            <v>2629</v>
          </cell>
          <cell r="K951"/>
          <cell r="L951">
            <v>2629</v>
          </cell>
          <cell r="M951"/>
          <cell r="N951">
            <v>2550</v>
          </cell>
          <cell r="O951"/>
          <cell r="P951">
            <v>2490</v>
          </cell>
          <cell r="Q951"/>
          <cell r="R951">
            <v>2590</v>
          </cell>
          <cell r="S951"/>
          <cell r="T951">
            <v>2590</v>
          </cell>
          <cell r="U951"/>
          <cell r="V951">
            <v>2629</v>
          </cell>
          <cell r="W951"/>
          <cell r="X951">
            <v>2550</v>
          </cell>
          <cell r="Y951"/>
          <cell r="Z951">
            <v>2629</v>
          </cell>
          <cell r="AA951"/>
          <cell r="AB951"/>
          <cell r="AC951"/>
          <cell r="AD951">
            <v>0.09</v>
          </cell>
          <cell r="AE951"/>
          <cell r="AF951"/>
          <cell r="AG951"/>
          <cell r="AH951"/>
          <cell r="AI951"/>
          <cell r="AJ951"/>
          <cell r="AK951"/>
          <cell r="AL951"/>
        </row>
        <row r="952">
          <cell r="E952" t="str">
            <v>3KV CV 100sq-3C</v>
          </cell>
          <cell r="F952" t="str">
            <v>ｍ</v>
          </cell>
          <cell r="G952"/>
          <cell r="H952">
            <v>4016</v>
          </cell>
          <cell r="I952"/>
          <cell r="J952">
            <v>4078</v>
          </cell>
          <cell r="K952"/>
          <cell r="L952">
            <v>4078</v>
          </cell>
          <cell r="M952"/>
          <cell r="N952">
            <v>3955</v>
          </cell>
          <cell r="O952"/>
          <cell r="P952">
            <v>3862</v>
          </cell>
          <cell r="Q952"/>
          <cell r="R952">
            <v>4016</v>
          </cell>
          <cell r="S952"/>
          <cell r="T952">
            <v>4016</v>
          </cell>
          <cell r="U952"/>
          <cell r="V952">
            <v>4078</v>
          </cell>
          <cell r="W952"/>
          <cell r="X952">
            <v>3955</v>
          </cell>
          <cell r="Y952"/>
          <cell r="Z952">
            <v>4078</v>
          </cell>
          <cell r="AA952"/>
          <cell r="AB952"/>
          <cell r="AC952"/>
          <cell r="AD952">
            <v>0.124</v>
          </cell>
          <cell r="AE952"/>
          <cell r="AF952"/>
          <cell r="AG952"/>
          <cell r="AH952"/>
          <cell r="AI952"/>
          <cell r="AJ952"/>
          <cell r="AK952"/>
          <cell r="AL952"/>
        </row>
        <row r="953">
          <cell r="E953" t="str">
            <v>3KV CV 150sq-3C</v>
          </cell>
          <cell r="F953" t="str">
            <v>ｍ</v>
          </cell>
          <cell r="G953"/>
          <cell r="H953">
            <v>5903</v>
          </cell>
          <cell r="I953"/>
          <cell r="J953">
            <v>5994</v>
          </cell>
          <cell r="K953"/>
          <cell r="L953">
            <v>5994</v>
          </cell>
          <cell r="M953"/>
          <cell r="N953">
            <v>5812</v>
          </cell>
          <cell r="O953"/>
          <cell r="P953">
            <v>5676</v>
          </cell>
          <cell r="Q953"/>
          <cell r="R953">
            <v>5903</v>
          </cell>
          <cell r="S953"/>
          <cell r="T953">
            <v>5903</v>
          </cell>
          <cell r="U953"/>
          <cell r="V953">
            <v>5994</v>
          </cell>
          <cell r="W953"/>
          <cell r="X953">
            <v>5812</v>
          </cell>
          <cell r="Y953"/>
          <cell r="Z953">
            <v>5994</v>
          </cell>
          <cell r="AA953"/>
          <cell r="AB953"/>
          <cell r="AC953"/>
          <cell r="AD953">
            <v>0.151</v>
          </cell>
          <cell r="AE953"/>
          <cell r="AF953"/>
          <cell r="AG953"/>
          <cell r="AH953"/>
          <cell r="AI953"/>
          <cell r="AJ953"/>
          <cell r="AK953"/>
          <cell r="AL953"/>
        </row>
        <row r="954">
          <cell r="E954" t="str">
            <v>3KV CV 200sq-3C</v>
          </cell>
          <cell r="F954" t="str">
            <v>ｍ</v>
          </cell>
          <cell r="G954"/>
          <cell r="H954">
            <v>8389</v>
          </cell>
          <cell r="I954"/>
          <cell r="J954">
            <v>8518</v>
          </cell>
          <cell r="K954"/>
          <cell r="L954">
            <v>8518</v>
          </cell>
          <cell r="M954"/>
          <cell r="N954">
            <v>8260</v>
          </cell>
          <cell r="O954"/>
          <cell r="P954">
            <v>8066</v>
          </cell>
          <cell r="Q954"/>
          <cell r="R954">
            <v>8389</v>
          </cell>
          <cell r="S954"/>
          <cell r="T954">
            <v>8389</v>
          </cell>
          <cell r="U954"/>
          <cell r="V954">
            <v>8518</v>
          </cell>
          <cell r="W954"/>
          <cell r="X954">
            <v>8260</v>
          </cell>
          <cell r="Y954"/>
          <cell r="Z954">
            <v>8518</v>
          </cell>
          <cell r="AA954"/>
          <cell r="AB954"/>
          <cell r="AC954"/>
          <cell r="AD954">
            <v>0.188</v>
          </cell>
          <cell r="AE954"/>
          <cell r="AF954"/>
          <cell r="AG954"/>
          <cell r="AH954"/>
          <cell r="AI954"/>
          <cell r="AJ954"/>
          <cell r="AK954"/>
          <cell r="AL954"/>
        </row>
        <row r="955">
          <cell r="E955" t="str">
            <v>3KV CV 250sq-3C</v>
          </cell>
          <cell r="F955" t="str">
            <v>ｍ</v>
          </cell>
          <cell r="G955"/>
          <cell r="H955">
            <v>10509</v>
          </cell>
          <cell r="I955"/>
          <cell r="J955">
            <v>10671</v>
          </cell>
          <cell r="K955"/>
          <cell r="L955">
            <v>10671</v>
          </cell>
          <cell r="M955"/>
          <cell r="N955">
            <v>10348</v>
          </cell>
          <cell r="O955"/>
          <cell r="P955">
            <v>10105</v>
          </cell>
          <cell r="Q955"/>
          <cell r="R955">
            <v>10509</v>
          </cell>
          <cell r="S955"/>
          <cell r="T955">
            <v>10509</v>
          </cell>
          <cell r="U955"/>
          <cell r="V955">
            <v>10671</v>
          </cell>
          <cell r="W955"/>
          <cell r="X955">
            <v>10348</v>
          </cell>
          <cell r="Y955"/>
          <cell r="Z955">
            <v>10671</v>
          </cell>
          <cell r="AA955"/>
          <cell r="AB955"/>
          <cell r="AC955"/>
          <cell r="AD955">
            <v>0.216</v>
          </cell>
          <cell r="AE955"/>
          <cell r="AF955"/>
          <cell r="AG955"/>
          <cell r="AH955"/>
          <cell r="AI955"/>
          <cell r="AJ955"/>
          <cell r="AK955"/>
          <cell r="AL955"/>
        </row>
        <row r="956">
          <cell r="E956" t="str">
            <v>3KV CV 325sq-3C</v>
          </cell>
          <cell r="F956" t="str">
            <v>ｍ</v>
          </cell>
          <cell r="G956"/>
          <cell r="H956">
            <v>13466</v>
          </cell>
          <cell r="I956"/>
          <cell r="J956">
            <v>13667</v>
          </cell>
          <cell r="K956"/>
          <cell r="L956">
            <v>13667</v>
          </cell>
          <cell r="M956"/>
          <cell r="N956">
            <v>13252</v>
          </cell>
          <cell r="O956"/>
          <cell r="P956">
            <v>12942</v>
          </cell>
          <cell r="Q956"/>
          <cell r="R956">
            <v>13466</v>
          </cell>
          <cell r="S956"/>
          <cell r="T956">
            <v>13466</v>
          </cell>
          <cell r="U956"/>
          <cell r="V956">
            <v>13667</v>
          </cell>
          <cell r="W956"/>
          <cell r="X956">
            <v>13252</v>
          </cell>
          <cell r="Y956"/>
          <cell r="Z956">
            <v>13667</v>
          </cell>
          <cell r="AA956"/>
          <cell r="AB956"/>
          <cell r="AC956"/>
          <cell r="AD956">
            <v>0.27300000000000002</v>
          </cell>
          <cell r="AE956"/>
          <cell r="AF956"/>
          <cell r="AG956"/>
          <cell r="AH956"/>
          <cell r="AI956"/>
          <cell r="AJ956"/>
          <cell r="AK956"/>
          <cell r="AL956"/>
        </row>
        <row r="957">
          <cell r="E957" t="str">
            <v>6KV CV 8sq-1C</v>
          </cell>
          <cell r="F957" t="str">
            <v>ｍ</v>
          </cell>
          <cell r="G957"/>
          <cell r="H957">
            <v>303</v>
          </cell>
          <cell r="I957"/>
          <cell r="J957">
            <v>308</v>
          </cell>
          <cell r="K957"/>
          <cell r="L957">
            <v>308</v>
          </cell>
          <cell r="M957"/>
          <cell r="N957">
            <v>298</v>
          </cell>
          <cell r="O957"/>
          <cell r="P957">
            <v>291</v>
          </cell>
          <cell r="Q957"/>
          <cell r="R957">
            <v>303</v>
          </cell>
          <cell r="S957"/>
          <cell r="T957">
            <v>303</v>
          </cell>
          <cell r="U957"/>
          <cell r="V957">
            <v>308</v>
          </cell>
          <cell r="W957"/>
          <cell r="X957">
            <v>298</v>
          </cell>
          <cell r="Y957"/>
          <cell r="Z957">
            <v>308</v>
          </cell>
          <cell r="AA957"/>
          <cell r="AB957"/>
          <cell r="AC957"/>
          <cell r="AD957">
            <v>1.9E-2</v>
          </cell>
          <cell r="AE957"/>
          <cell r="AF957"/>
          <cell r="AG957"/>
          <cell r="AH957"/>
          <cell r="AI957"/>
          <cell r="AJ957"/>
          <cell r="AK957"/>
          <cell r="AL957"/>
        </row>
        <row r="958">
          <cell r="E958" t="str">
            <v>6KV CV 14sq-1C</v>
          </cell>
          <cell r="F958" t="str">
            <v>ｍ</v>
          </cell>
          <cell r="G958"/>
          <cell r="H958">
            <v>441</v>
          </cell>
          <cell r="I958"/>
          <cell r="J958">
            <v>447</v>
          </cell>
          <cell r="K958"/>
          <cell r="L958">
            <v>447</v>
          </cell>
          <cell r="M958"/>
          <cell r="N958">
            <v>434</v>
          </cell>
          <cell r="O958"/>
          <cell r="P958">
            <v>424</v>
          </cell>
          <cell r="Q958"/>
          <cell r="R958">
            <v>441</v>
          </cell>
          <cell r="S958"/>
          <cell r="T958">
            <v>441</v>
          </cell>
          <cell r="U958"/>
          <cell r="V958">
            <v>447</v>
          </cell>
          <cell r="W958"/>
          <cell r="X958">
            <v>434</v>
          </cell>
          <cell r="Y958"/>
          <cell r="Z958">
            <v>447</v>
          </cell>
          <cell r="AA958"/>
          <cell r="AB958"/>
          <cell r="AC958"/>
          <cell r="AD958">
            <v>2.4E-2</v>
          </cell>
          <cell r="AE958"/>
          <cell r="AF958"/>
          <cell r="AG958"/>
          <cell r="AH958"/>
          <cell r="AI958"/>
          <cell r="AJ958"/>
          <cell r="AK958"/>
          <cell r="AL958"/>
        </row>
        <row r="959">
          <cell r="E959" t="str">
            <v>6KV CV 22sq-1C</v>
          </cell>
          <cell r="F959" t="str">
            <v>ｍ</v>
          </cell>
          <cell r="G959"/>
          <cell r="H959">
            <v>561</v>
          </cell>
          <cell r="I959"/>
          <cell r="J959">
            <v>560</v>
          </cell>
          <cell r="K959"/>
          <cell r="L959">
            <v>560</v>
          </cell>
          <cell r="M959"/>
          <cell r="N959">
            <v>543</v>
          </cell>
          <cell r="O959"/>
          <cell r="P959">
            <v>530</v>
          </cell>
          <cell r="Q959"/>
          <cell r="R959">
            <v>561</v>
          </cell>
          <cell r="S959"/>
          <cell r="T959">
            <v>561</v>
          </cell>
          <cell r="U959"/>
          <cell r="V959">
            <v>560</v>
          </cell>
          <cell r="W959"/>
          <cell r="X959">
            <v>543</v>
          </cell>
          <cell r="Y959"/>
          <cell r="Z959">
            <v>560</v>
          </cell>
          <cell r="AA959"/>
          <cell r="AB959"/>
          <cell r="AC959"/>
          <cell r="AD959">
            <v>3.1E-2</v>
          </cell>
          <cell r="AE959"/>
          <cell r="AF959"/>
          <cell r="AG959"/>
          <cell r="AH959"/>
          <cell r="AI959"/>
          <cell r="AJ959"/>
          <cell r="AK959"/>
          <cell r="AL959"/>
        </row>
        <row r="960">
          <cell r="E960" t="str">
            <v>6KV CV 38sq-1C</v>
          </cell>
          <cell r="F960" t="str">
            <v>ｍ</v>
          </cell>
          <cell r="G960"/>
          <cell r="H960">
            <v>685</v>
          </cell>
          <cell r="I960"/>
          <cell r="J960">
            <v>696</v>
          </cell>
          <cell r="K960"/>
          <cell r="L960">
            <v>696</v>
          </cell>
          <cell r="M960"/>
          <cell r="N960">
            <v>675</v>
          </cell>
          <cell r="O960"/>
          <cell r="P960">
            <v>659</v>
          </cell>
          <cell r="Q960"/>
          <cell r="R960">
            <v>685</v>
          </cell>
          <cell r="S960"/>
          <cell r="T960">
            <v>685</v>
          </cell>
          <cell r="U960"/>
          <cell r="V960">
            <v>696</v>
          </cell>
          <cell r="W960"/>
          <cell r="X960">
            <v>675</v>
          </cell>
          <cell r="Y960"/>
          <cell r="Z960">
            <v>696</v>
          </cell>
          <cell r="AA960"/>
          <cell r="AB960"/>
          <cell r="AC960"/>
          <cell r="AD960">
            <v>4.1000000000000002E-2</v>
          </cell>
          <cell r="AE960"/>
          <cell r="AF960"/>
          <cell r="AG960"/>
          <cell r="AH960"/>
          <cell r="AI960"/>
          <cell r="AJ960"/>
          <cell r="AK960"/>
          <cell r="AL960"/>
        </row>
        <row r="961">
          <cell r="E961" t="str">
            <v>6KV CV 60sq-1C</v>
          </cell>
          <cell r="F961" t="str">
            <v>ｍ</v>
          </cell>
          <cell r="G961"/>
          <cell r="H961">
            <v>967</v>
          </cell>
          <cell r="I961"/>
          <cell r="J961">
            <v>982</v>
          </cell>
          <cell r="K961"/>
          <cell r="L961">
            <v>982</v>
          </cell>
          <cell r="M961"/>
          <cell r="N961">
            <v>952</v>
          </cell>
          <cell r="O961"/>
          <cell r="P961">
            <v>930</v>
          </cell>
          <cell r="Q961"/>
          <cell r="R961">
            <v>967</v>
          </cell>
          <cell r="S961"/>
          <cell r="T961">
            <v>967</v>
          </cell>
          <cell r="U961"/>
          <cell r="V961">
            <v>982</v>
          </cell>
          <cell r="W961"/>
          <cell r="X961">
            <v>952</v>
          </cell>
          <cell r="Y961"/>
          <cell r="Z961">
            <v>982</v>
          </cell>
          <cell r="AA961"/>
          <cell r="AB961"/>
          <cell r="AC961"/>
          <cell r="AD961">
            <v>5.3999999999999999E-2</v>
          </cell>
          <cell r="AE961"/>
          <cell r="AF961"/>
          <cell r="AG961"/>
          <cell r="AH961"/>
          <cell r="AI961"/>
          <cell r="AJ961"/>
          <cell r="AK961"/>
          <cell r="AL961"/>
        </row>
        <row r="962">
          <cell r="E962" t="str">
            <v>6KV CV 100sq-1C</v>
          </cell>
          <cell r="F962" t="str">
            <v>ｍ</v>
          </cell>
          <cell r="G962"/>
          <cell r="H962">
            <v>1439</v>
          </cell>
          <cell r="I962"/>
          <cell r="J962">
            <v>1461</v>
          </cell>
          <cell r="K962"/>
          <cell r="L962">
            <v>1461</v>
          </cell>
          <cell r="M962"/>
          <cell r="N962">
            <v>1417</v>
          </cell>
          <cell r="O962"/>
          <cell r="P962">
            <v>1384</v>
          </cell>
          <cell r="Q962"/>
          <cell r="R962">
            <v>1439</v>
          </cell>
          <cell r="S962"/>
          <cell r="T962">
            <v>1439</v>
          </cell>
          <cell r="U962"/>
          <cell r="V962">
            <v>1461</v>
          </cell>
          <cell r="W962"/>
          <cell r="X962">
            <v>1417</v>
          </cell>
          <cell r="Y962"/>
          <cell r="Z962">
            <v>1461</v>
          </cell>
          <cell r="AA962"/>
          <cell r="AB962"/>
          <cell r="AC962"/>
          <cell r="AD962">
            <v>7.3999999999999996E-2</v>
          </cell>
          <cell r="AE962"/>
          <cell r="AF962"/>
          <cell r="AG962"/>
          <cell r="AH962"/>
          <cell r="AI962"/>
          <cell r="AJ962"/>
          <cell r="AK962"/>
          <cell r="AL962"/>
        </row>
        <row r="963">
          <cell r="E963" t="str">
            <v>6KV CV 150sq-1C</v>
          </cell>
          <cell r="F963" t="str">
            <v>ｍ</v>
          </cell>
          <cell r="G963"/>
          <cell r="H963">
            <v>1908</v>
          </cell>
          <cell r="I963"/>
          <cell r="J963">
            <v>2018</v>
          </cell>
          <cell r="K963"/>
          <cell r="L963">
            <v>2018</v>
          </cell>
          <cell r="M963"/>
          <cell r="N963">
            <v>1957</v>
          </cell>
          <cell r="O963"/>
          <cell r="P963">
            <v>1911</v>
          </cell>
          <cell r="Q963"/>
          <cell r="R963">
            <v>1908</v>
          </cell>
          <cell r="S963"/>
          <cell r="T963">
            <v>1908</v>
          </cell>
          <cell r="U963"/>
          <cell r="V963">
            <v>2018</v>
          </cell>
          <cell r="W963"/>
          <cell r="X963">
            <v>1957</v>
          </cell>
          <cell r="Y963"/>
          <cell r="Z963">
            <v>2018</v>
          </cell>
          <cell r="AA963"/>
          <cell r="AB963"/>
          <cell r="AC963"/>
          <cell r="AD963">
            <v>9.0999999999999998E-2</v>
          </cell>
          <cell r="AE963"/>
          <cell r="AF963"/>
          <cell r="AG963"/>
          <cell r="AH963"/>
          <cell r="AI963"/>
          <cell r="AJ963"/>
          <cell r="AK963"/>
          <cell r="AL963"/>
        </row>
        <row r="964">
          <cell r="E964" t="str">
            <v>6KV CV 200sq-1C</v>
          </cell>
          <cell r="F964" t="str">
            <v>ｍ</v>
          </cell>
          <cell r="G964"/>
          <cell r="H964">
            <v>2556</v>
          </cell>
          <cell r="I964"/>
          <cell r="J964">
            <v>2596</v>
          </cell>
          <cell r="K964"/>
          <cell r="L964">
            <v>2596</v>
          </cell>
          <cell r="M964"/>
          <cell r="N964">
            <v>2517</v>
          </cell>
          <cell r="O964"/>
          <cell r="P964">
            <v>2458</v>
          </cell>
          <cell r="Q964"/>
          <cell r="R964">
            <v>2556</v>
          </cell>
          <cell r="S964"/>
          <cell r="T964">
            <v>2556</v>
          </cell>
          <cell r="U964"/>
          <cell r="V964">
            <v>2596</v>
          </cell>
          <cell r="W964"/>
          <cell r="X964">
            <v>2517</v>
          </cell>
          <cell r="Y964"/>
          <cell r="Z964">
            <v>2596</v>
          </cell>
          <cell r="AA964"/>
          <cell r="AB964"/>
          <cell r="AC964"/>
          <cell r="AD964">
            <v>0.112</v>
          </cell>
          <cell r="AE964"/>
          <cell r="AF964"/>
          <cell r="AG964"/>
          <cell r="AH964"/>
          <cell r="AI964"/>
          <cell r="AJ964"/>
          <cell r="AK964"/>
          <cell r="AL964"/>
        </row>
        <row r="965">
          <cell r="E965" t="str">
            <v>6KV CV 250sq-1C</v>
          </cell>
          <cell r="F965" t="str">
            <v>ｍ</v>
          </cell>
          <cell r="G965"/>
          <cell r="H965">
            <v>3179</v>
          </cell>
          <cell r="I965"/>
          <cell r="J965">
            <v>3228</v>
          </cell>
          <cell r="K965"/>
          <cell r="L965">
            <v>3228</v>
          </cell>
          <cell r="M965"/>
          <cell r="N965">
            <v>3130</v>
          </cell>
          <cell r="O965"/>
          <cell r="P965">
            <v>3057</v>
          </cell>
          <cell r="Q965"/>
          <cell r="R965">
            <v>3179</v>
          </cell>
          <cell r="S965"/>
          <cell r="T965">
            <v>3179</v>
          </cell>
          <cell r="U965"/>
          <cell r="V965">
            <v>3228</v>
          </cell>
          <cell r="W965"/>
          <cell r="X965">
            <v>3130</v>
          </cell>
          <cell r="Y965"/>
          <cell r="Z965">
            <v>3228</v>
          </cell>
          <cell r="AA965"/>
          <cell r="AB965"/>
          <cell r="AC965"/>
          <cell r="AD965">
            <v>0.129</v>
          </cell>
          <cell r="AE965"/>
          <cell r="AF965"/>
          <cell r="AG965"/>
          <cell r="AH965"/>
          <cell r="AI965"/>
          <cell r="AJ965"/>
          <cell r="AK965"/>
          <cell r="AL965"/>
        </row>
        <row r="966">
          <cell r="E966" t="str">
            <v>6KV CV 325sq-1C</v>
          </cell>
          <cell r="F966" t="str">
            <v>ｍ</v>
          </cell>
          <cell r="G966"/>
          <cell r="H966">
            <v>3950</v>
          </cell>
          <cell r="I966"/>
          <cell r="J966">
            <v>4011</v>
          </cell>
          <cell r="K966"/>
          <cell r="L966">
            <v>4011</v>
          </cell>
          <cell r="M966"/>
          <cell r="N966">
            <v>3889</v>
          </cell>
          <cell r="O966"/>
          <cell r="P966">
            <v>3798</v>
          </cell>
          <cell r="Q966"/>
          <cell r="R966">
            <v>3950</v>
          </cell>
          <cell r="S966"/>
          <cell r="T966">
            <v>3950</v>
          </cell>
          <cell r="U966"/>
          <cell r="V966">
            <v>4011</v>
          </cell>
          <cell r="W966"/>
          <cell r="X966">
            <v>3889</v>
          </cell>
          <cell r="Y966"/>
          <cell r="Z966">
            <v>4011</v>
          </cell>
          <cell r="AA966"/>
          <cell r="AB966"/>
          <cell r="AC966"/>
          <cell r="AD966">
            <v>0.16400000000000001</v>
          </cell>
          <cell r="AE966"/>
          <cell r="AF966"/>
          <cell r="AG966"/>
          <cell r="AH966"/>
          <cell r="AI966"/>
          <cell r="AJ966"/>
          <cell r="AK966"/>
          <cell r="AL966"/>
        </row>
        <row r="967">
          <cell r="E967" t="str">
            <v>6KV CV 8sq-3C</v>
          </cell>
          <cell r="F967" t="str">
            <v>ｍ</v>
          </cell>
          <cell r="G967"/>
          <cell r="H967">
            <v>956</v>
          </cell>
          <cell r="I967"/>
          <cell r="J967">
            <v>970</v>
          </cell>
          <cell r="K967"/>
          <cell r="L967">
            <v>970</v>
          </cell>
          <cell r="M967"/>
          <cell r="N967">
            <v>941</v>
          </cell>
          <cell r="O967"/>
          <cell r="P967">
            <v>919</v>
          </cell>
          <cell r="Q967"/>
          <cell r="R967">
            <v>956</v>
          </cell>
          <cell r="S967"/>
          <cell r="T967">
            <v>956</v>
          </cell>
          <cell r="U967"/>
          <cell r="V967">
            <v>970</v>
          </cell>
          <cell r="W967"/>
          <cell r="X967">
            <v>941</v>
          </cell>
          <cell r="Y967"/>
          <cell r="Z967">
            <v>970</v>
          </cell>
          <cell r="AA967"/>
          <cell r="AB967"/>
          <cell r="AC967"/>
          <cell r="AD967">
            <v>3.2000000000000001E-2</v>
          </cell>
          <cell r="AE967"/>
          <cell r="AF967"/>
          <cell r="AG967"/>
          <cell r="AH967"/>
          <cell r="AI967"/>
          <cell r="AJ967"/>
          <cell r="AK967"/>
          <cell r="AL967"/>
        </row>
        <row r="968">
          <cell r="E968" t="str">
            <v>6KV CV 14sq-3C</v>
          </cell>
          <cell r="F968" t="str">
            <v>ｍ</v>
          </cell>
          <cell r="G968"/>
          <cell r="H968">
            <v>1184</v>
          </cell>
          <cell r="I968"/>
          <cell r="J968">
            <v>1203</v>
          </cell>
          <cell r="K968"/>
          <cell r="L968">
            <v>1203</v>
          </cell>
          <cell r="M968"/>
          <cell r="N968">
            <v>1166</v>
          </cell>
          <cell r="O968"/>
          <cell r="P968">
            <v>1139</v>
          </cell>
          <cell r="Q968"/>
          <cell r="R968">
            <v>1184</v>
          </cell>
          <cell r="S968"/>
          <cell r="T968">
            <v>1184</v>
          </cell>
          <cell r="U968"/>
          <cell r="V968">
            <v>1203</v>
          </cell>
          <cell r="W968"/>
          <cell r="X968">
            <v>1166</v>
          </cell>
          <cell r="Y968"/>
          <cell r="Z968">
            <v>1203</v>
          </cell>
          <cell r="AA968"/>
          <cell r="AB968"/>
          <cell r="AC968"/>
          <cell r="AD968">
            <v>0.04</v>
          </cell>
          <cell r="AE968"/>
          <cell r="AF968"/>
          <cell r="AG968"/>
          <cell r="AH968"/>
          <cell r="AI968"/>
          <cell r="AJ968"/>
          <cell r="AK968"/>
          <cell r="AL968"/>
        </row>
        <row r="969">
          <cell r="E969" t="str">
            <v>6KV CV 22sq-3C</v>
          </cell>
          <cell r="F969" t="str">
            <v>ｍ</v>
          </cell>
          <cell r="G969"/>
          <cell r="H969">
            <v>1507</v>
          </cell>
          <cell r="I969"/>
          <cell r="J969">
            <v>1530</v>
          </cell>
          <cell r="K969"/>
          <cell r="L969">
            <v>1530</v>
          </cell>
          <cell r="M969"/>
          <cell r="N969">
            <v>1484</v>
          </cell>
          <cell r="O969"/>
          <cell r="P969">
            <v>1449</v>
          </cell>
          <cell r="Q969"/>
          <cell r="R969">
            <v>1507</v>
          </cell>
          <cell r="S969"/>
          <cell r="T969">
            <v>1507</v>
          </cell>
          <cell r="U969"/>
          <cell r="V969">
            <v>1530</v>
          </cell>
          <cell r="W969"/>
          <cell r="X969">
            <v>1484</v>
          </cell>
          <cell r="Y969"/>
          <cell r="Z969">
            <v>1530</v>
          </cell>
          <cell r="AA969"/>
          <cell r="AB969"/>
          <cell r="AC969"/>
          <cell r="AD969">
            <v>5.1999999999999998E-2</v>
          </cell>
          <cell r="AE969"/>
          <cell r="AF969"/>
          <cell r="AG969"/>
          <cell r="AH969"/>
          <cell r="AI969"/>
          <cell r="AJ969"/>
          <cell r="AK969"/>
          <cell r="AL969"/>
        </row>
        <row r="970">
          <cell r="E970" t="str">
            <v>6KV CV 38sq-3C</v>
          </cell>
          <cell r="F970" t="str">
            <v>ｍ</v>
          </cell>
          <cell r="G970"/>
          <cell r="H970">
            <v>2076</v>
          </cell>
          <cell r="I970"/>
          <cell r="J970">
            <v>2108</v>
          </cell>
          <cell r="K970"/>
          <cell r="L970">
            <v>2108</v>
          </cell>
          <cell r="M970"/>
          <cell r="N970">
            <v>2044</v>
          </cell>
          <cell r="O970"/>
          <cell r="P970">
            <v>1996</v>
          </cell>
          <cell r="Q970"/>
          <cell r="R970">
            <v>2076</v>
          </cell>
          <cell r="S970"/>
          <cell r="T970">
            <v>2076</v>
          </cell>
          <cell r="U970"/>
          <cell r="V970">
            <v>2108</v>
          </cell>
          <cell r="W970"/>
          <cell r="X970">
            <v>2044</v>
          </cell>
          <cell r="Y970"/>
          <cell r="Z970">
            <v>2108</v>
          </cell>
          <cell r="AA970"/>
          <cell r="AB970"/>
          <cell r="AC970"/>
          <cell r="AD970">
            <v>6.8000000000000005E-2</v>
          </cell>
          <cell r="AE970"/>
          <cell r="AF970"/>
          <cell r="AG970"/>
          <cell r="AH970"/>
          <cell r="AI970"/>
          <cell r="AJ970"/>
          <cell r="AK970"/>
          <cell r="AL970"/>
        </row>
        <row r="971">
          <cell r="E971" t="str">
            <v>6KV CV 60sq-3C</v>
          </cell>
          <cell r="F971" t="str">
            <v>ｍ</v>
          </cell>
          <cell r="G971"/>
          <cell r="H971">
            <v>2874</v>
          </cell>
          <cell r="I971"/>
          <cell r="J971">
            <v>2919</v>
          </cell>
          <cell r="K971"/>
          <cell r="L971">
            <v>2919</v>
          </cell>
          <cell r="M971"/>
          <cell r="N971">
            <v>2830</v>
          </cell>
          <cell r="O971"/>
          <cell r="P971">
            <v>2764</v>
          </cell>
          <cell r="Q971"/>
          <cell r="R971">
            <v>2874</v>
          </cell>
          <cell r="S971"/>
          <cell r="T971">
            <v>2874</v>
          </cell>
          <cell r="U971"/>
          <cell r="V971">
            <v>2919</v>
          </cell>
          <cell r="W971"/>
          <cell r="X971">
            <v>2830</v>
          </cell>
          <cell r="Y971"/>
          <cell r="Z971">
            <v>2919</v>
          </cell>
          <cell r="AA971"/>
          <cell r="AB971"/>
          <cell r="AC971"/>
          <cell r="AD971">
            <v>0.09</v>
          </cell>
          <cell r="AE971"/>
          <cell r="AF971"/>
          <cell r="AG971"/>
          <cell r="AH971"/>
          <cell r="AI971"/>
          <cell r="AJ971"/>
          <cell r="AK971"/>
          <cell r="AL971"/>
        </row>
        <row r="972">
          <cell r="E972" t="str">
            <v>6KV CV 100sq-3C</v>
          </cell>
          <cell r="F972" t="str">
            <v>ｍ</v>
          </cell>
          <cell r="G972"/>
          <cell r="H972">
            <v>4391</v>
          </cell>
          <cell r="I972"/>
          <cell r="J972">
            <v>4458</v>
          </cell>
          <cell r="K972"/>
          <cell r="L972">
            <v>4458</v>
          </cell>
          <cell r="M972"/>
          <cell r="N972">
            <v>4323</v>
          </cell>
          <cell r="O972"/>
          <cell r="P972">
            <v>4222</v>
          </cell>
          <cell r="Q972"/>
          <cell r="R972">
            <v>4391</v>
          </cell>
          <cell r="S972"/>
          <cell r="T972">
            <v>4391</v>
          </cell>
          <cell r="U972"/>
          <cell r="V972">
            <v>4458</v>
          </cell>
          <cell r="W972"/>
          <cell r="X972">
            <v>4323</v>
          </cell>
          <cell r="Y972"/>
          <cell r="Z972">
            <v>4458</v>
          </cell>
          <cell r="AA972"/>
          <cell r="AB972"/>
          <cell r="AC972"/>
          <cell r="AD972">
            <v>0.124</v>
          </cell>
          <cell r="AE972"/>
          <cell r="AF972"/>
          <cell r="AG972"/>
          <cell r="AH972"/>
          <cell r="AI972"/>
          <cell r="AJ972"/>
          <cell r="AK972"/>
          <cell r="AL972"/>
        </row>
        <row r="973">
          <cell r="E973" t="str">
            <v>6KV CV 150sq-3C</v>
          </cell>
          <cell r="F973" t="str">
            <v>ｍ</v>
          </cell>
          <cell r="G973"/>
          <cell r="H973">
            <v>6403</v>
          </cell>
          <cell r="I973"/>
          <cell r="J973">
            <v>6501</v>
          </cell>
          <cell r="K973"/>
          <cell r="L973">
            <v>6501</v>
          </cell>
          <cell r="M973"/>
          <cell r="N973">
            <v>6304</v>
          </cell>
          <cell r="O973"/>
          <cell r="P973">
            <v>6156</v>
          </cell>
          <cell r="Q973"/>
          <cell r="R973">
            <v>6403</v>
          </cell>
          <cell r="S973"/>
          <cell r="T973">
            <v>6403</v>
          </cell>
          <cell r="U973"/>
          <cell r="V973">
            <v>6501</v>
          </cell>
          <cell r="W973"/>
          <cell r="X973">
            <v>6304</v>
          </cell>
          <cell r="Y973"/>
          <cell r="Z973">
            <v>6501</v>
          </cell>
          <cell r="AA973"/>
          <cell r="AB973"/>
          <cell r="AC973"/>
          <cell r="AD973">
            <v>0.151</v>
          </cell>
          <cell r="AE973"/>
          <cell r="AF973"/>
          <cell r="AG973"/>
          <cell r="AH973"/>
          <cell r="AI973"/>
          <cell r="AJ973"/>
          <cell r="AK973"/>
          <cell r="AL973"/>
        </row>
        <row r="974">
          <cell r="E974" t="str">
            <v>6KV CV 200sq-3C</v>
          </cell>
          <cell r="F974" t="str">
            <v>ｍ</v>
          </cell>
          <cell r="G974"/>
          <cell r="H974">
            <v>8906</v>
          </cell>
          <cell r="I974"/>
          <cell r="J974">
            <v>9043</v>
          </cell>
          <cell r="K974"/>
          <cell r="L974">
            <v>9043</v>
          </cell>
          <cell r="M974"/>
          <cell r="N974">
            <v>8769</v>
          </cell>
          <cell r="O974"/>
          <cell r="P974">
            <v>8564</v>
          </cell>
          <cell r="Q974"/>
          <cell r="R974">
            <v>8906</v>
          </cell>
          <cell r="S974"/>
          <cell r="T974">
            <v>8906</v>
          </cell>
          <cell r="U974"/>
          <cell r="V974">
            <v>9043</v>
          </cell>
          <cell r="W974"/>
          <cell r="X974">
            <v>8769</v>
          </cell>
          <cell r="Y974"/>
          <cell r="Z974">
            <v>9043</v>
          </cell>
          <cell r="AA974"/>
          <cell r="AB974"/>
          <cell r="AC974"/>
          <cell r="AD974">
            <v>0.188</v>
          </cell>
          <cell r="AE974"/>
          <cell r="AF974"/>
          <cell r="AG974"/>
          <cell r="AH974"/>
          <cell r="AI974"/>
          <cell r="AJ974"/>
          <cell r="AK974"/>
          <cell r="AL974"/>
        </row>
        <row r="975">
          <cell r="E975" t="str">
            <v>6KV CV 250sq-3C</v>
          </cell>
          <cell r="F975" t="str">
            <v>ｍ</v>
          </cell>
          <cell r="G975"/>
          <cell r="H975">
            <v>11250</v>
          </cell>
          <cell r="I975"/>
          <cell r="J975">
            <v>11423</v>
          </cell>
          <cell r="K975"/>
          <cell r="L975">
            <v>11423</v>
          </cell>
          <cell r="M975"/>
          <cell r="N975">
            <v>11076</v>
          </cell>
          <cell r="O975"/>
          <cell r="P975">
            <v>10817</v>
          </cell>
          <cell r="Q975"/>
          <cell r="R975">
            <v>11250</v>
          </cell>
          <cell r="S975"/>
          <cell r="T975">
            <v>11250</v>
          </cell>
          <cell r="U975"/>
          <cell r="V975">
            <v>11423</v>
          </cell>
          <cell r="W975"/>
          <cell r="X975">
            <v>11076</v>
          </cell>
          <cell r="Y975"/>
          <cell r="Z975">
            <v>11423</v>
          </cell>
          <cell r="AA975"/>
          <cell r="AB975"/>
          <cell r="AC975"/>
          <cell r="AD975">
            <v>0.216</v>
          </cell>
          <cell r="AE975"/>
          <cell r="AF975"/>
          <cell r="AG975"/>
          <cell r="AH975"/>
          <cell r="AI975"/>
          <cell r="AJ975"/>
          <cell r="AK975"/>
          <cell r="AL975"/>
        </row>
        <row r="976">
          <cell r="E976" t="str">
            <v>6KV CV 325sq-3C</v>
          </cell>
          <cell r="F976" t="str">
            <v>ｍ</v>
          </cell>
          <cell r="G976"/>
          <cell r="H976">
            <v>14199</v>
          </cell>
          <cell r="I976"/>
          <cell r="J976">
            <v>14418</v>
          </cell>
          <cell r="K976"/>
          <cell r="L976">
            <v>14418</v>
          </cell>
          <cell r="M976"/>
          <cell r="N976">
            <v>13981</v>
          </cell>
          <cell r="O976"/>
          <cell r="P976">
            <v>13653</v>
          </cell>
          <cell r="Q976"/>
          <cell r="R976">
            <v>14199</v>
          </cell>
          <cell r="S976"/>
          <cell r="T976">
            <v>14199</v>
          </cell>
          <cell r="U976"/>
          <cell r="V976">
            <v>14418</v>
          </cell>
          <cell r="W976"/>
          <cell r="X976">
            <v>13981</v>
          </cell>
          <cell r="Y976"/>
          <cell r="Z976">
            <v>14418</v>
          </cell>
          <cell r="AA976"/>
          <cell r="AB976"/>
          <cell r="AC976"/>
          <cell r="AD976">
            <v>0.27300000000000002</v>
          </cell>
          <cell r="AE976"/>
          <cell r="AF976"/>
          <cell r="AG976"/>
          <cell r="AH976"/>
          <cell r="AI976"/>
          <cell r="AJ976"/>
          <cell r="AK976"/>
          <cell r="AL976"/>
        </row>
        <row r="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cell r="AG977"/>
          <cell r="AH977"/>
          <cell r="AI977"/>
          <cell r="AJ977"/>
          <cell r="AK977"/>
          <cell r="AL977"/>
        </row>
        <row r="978">
          <cell r="E978" t="str">
            <v>6KV CVT 22sq</v>
          </cell>
          <cell r="F978" t="str">
            <v>ｍ</v>
          </cell>
          <cell r="G978"/>
          <cell r="H978">
            <v>1544</v>
          </cell>
          <cell r="I978"/>
          <cell r="J978">
            <v>1568</v>
          </cell>
          <cell r="K978"/>
          <cell r="L978">
            <v>1568</v>
          </cell>
          <cell r="M978"/>
          <cell r="N978">
            <v>1520</v>
          </cell>
          <cell r="O978"/>
          <cell r="P978">
            <v>1484</v>
          </cell>
          <cell r="Q978"/>
          <cell r="R978">
            <v>1544</v>
          </cell>
          <cell r="S978"/>
          <cell r="T978">
            <v>1544</v>
          </cell>
          <cell r="U978"/>
          <cell r="V978">
            <v>1568</v>
          </cell>
          <cell r="W978"/>
          <cell r="X978">
            <v>1520</v>
          </cell>
          <cell r="Y978"/>
          <cell r="Z978">
            <v>1568</v>
          </cell>
          <cell r="AA978"/>
          <cell r="AB978"/>
          <cell r="AC978"/>
          <cell r="AD978">
            <v>5.1999999999999998E-2</v>
          </cell>
          <cell r="AE978"/>
          <cell r="AF978"/>
          <cell r="AG978"/>
          <cell r="AH978"/>
          <cell r="AI978"/>
          <cell r="AJ978"/>
          <cell r="AK978"/>
          <cell r="AL978"/>
        </row>
        <row r="979">
          <cell r="E979" t="str">
            <v>6KV CVT 38sq</v>
          </cell>
          <cell r="F979" t="str">
            <v>ｍ</v>
          </cell>
          <cell r="G979"/>
          <cell r="H979">
            <v>2128</v>
          </cell>
          <cell r="I979"/>
          <cell r="J979">
            <v>2161</v>
          </cell>
          <cell r="K979"/>
          <cell r="L979">
            <v>2161</v>
          </cell>
          <cell r="M979"/>
          <cell r="N979">
            <v>2095</v>
          </cell>
          <cell r="O979"/>
          <cell r="P979">
            <v>2045</v>
          </cell>
          <cell r="Q979"/>
          <cell r="R979">
            <v>2128</v>
          </cell>
          <cell r="S979"/>
          <cell r="T979">
            <v>2128</v>
          </cell>
          <cell r="U979"/>
          <cell r="V979">
            <v>2161</v>
          </cell>
          <cell r="W979"/>
          <cell r="X979">
            <v>2095</v>
          </cell>
          <cell r="Y979"/>
          <cell r="Z979">
            <v>2161</v>
          </cell>
          <cell r="AA979"/>
          <cell r="AB979"/>
          <cell r="AC979"/>
          <cell r="AD979">
            <v>6.8000000000000005E-2</v>
          </cell>
          <cell r="AE979"/>
          <cell r="AF979"/>
          <cell r="AG979"/>
          <cell r="AH979"/>
          <cell r="AI979"/>
          <cell r="AJ979"/>
          <cell r="AK979"/>
          <cell r="AL979"/>
        </row>
        <row r="980">
          <cell r="E980" t="str">
            <v>6KV CVT 60sq</v>
          </cell>
          <cell r="F980" t="str">
            <v>ｍ</v>
          </cell>
          <cell r="G980"/>
          <cell r="H980">
            <v>2911</v>
          </cell>
          <cell r="I980"/>
          <cell r="J980">
            <v>2957</v>
          </cell>
          <cell r="K980"/>
          <cell r="L980">
            <v>2957</v>
          </cell>
          <cell r="M980"/>
          <cell r="N980">
            <v>2866</v>
          </cell>
          <cell r="O980"/>
          <cell r="P980">
            <v>2798</v>
          </cell>
          <cell r="Q980"/>
          <cell r="R980">
            <v>2911</v>
          </cell>
          <cell r="S980"/>
          <cell r="T980">
            <v>2911</v>
          </cell>
          <cell r="U980"/>
          <cell r="V980">
            <v>2957</v>
          </cell>
          <cell r="W980"/>
          <cell r="X980">
            <v>2866</v>
          </cell>
          <cell r="Y980"/>
          <cell r="Z980">
            <v>2957</v>
          </cell>
          <cell r="AA980"/>
          <cell r="AB980"/>
          <cell r="AC980"/>
          <cell r="AD980">
            <v>0.09</v>
          </cell>
          <cell r="AE980"/>
          <cell r="AF980"/>
          <cell r="AG980"/>
          <cell r="AH980"/>
          <cell r="AI980"/>
          <cell r="AJ980"/>
          <cell r="AK980"/>
          <cell r="AL980"/>
        </row>
        <row r="981">
          <cell r="E981" t="str">
            <v>6KV CVT 100sq</v>
          </cell>
          <cell r="F981" t="str">
            <v>ｍ</v>
          </cell>
          <cell r="G981"/>
          <cell r="H981">
            <v>4345</v>
          </cell>
          <cell r="I981"/>
          <cell r="J981">
            <v>4413</v>
          </cell>
          <cell r="K981"/>
          <cell r="L981">
            <v>4413</v>
          </cell>
          <cell r="M981"/>
          <cell r="N981">
            <v>4277</v>
          </cell>
          <cell r="O981"/>
          <cell r="P981">
            <v>4175</v>
          </cell>
          <cell r="Q981"/>
          <cell r="R981">
            <v>4345</v>
          </cell>
          <cell r="S981"/>
          <cell r="T981">
            <v>4345</v>
          </cell>
          <cell r="U981"/>
          <cell r="V981">
            <v>4413</v>
          </cell>
          <cell r="W981"/>
          <cell r="X981">
            <v>4277</v>
          </cell>
          <cell r="Y981"/>
          <cell r="Z981">
            <v>4413</v>
          </cell>
          <cell r="AA981"/>
          <cell r="AB981"/>
          <cell r="AC981"/>
          <cell r="AD981">
            <v>0.124</v>
          </cell>
          <cell r="AE981"/>
          <cell r="AF981"/>
          <cell r="AG981"/>
          <cell r="AH981"/>
          <cell r="AI981"/>
          <cell r="AJ981"/>
          <cell r="AK981"/>
          <cell r="AL981"/>
        </row>
        <row r="982">
          <cell r="E982" t="str">
            <v>6KV CVT 150sq</v>
          </cell>
          <cell r="F982" t="str">
            <v>ｍ</v>
          </cell>
          <cell r="G982"/>
          <cell r="H982">
            <v>6170</v>
          </cell>
          <cell r="I982"/>
          <cell r="J982">
            <v>6266</v>
          </cell>
          <cell r="K982"/>
          <cell r="L982">
            <v>6266</v>
          </cell>
          <cell r="M982"/>
          <cell r="N982">
            <v>6073</v>
          </cell>
          <cell r="O982"/>
          <cell r="P982">
            <v>5929</v>
          </cell>
          <cell r="Q982"/>
          <cell r="R982">
            <v>6170</v>
          </cell>
          <cell r="S982"/>
          <cell r="T982">
            <v>6170</v>
          </cell>
          <cell r="U982"/>
          <cell r="V982">
            <v>6266</v>
          </cell>
          <cell r="W982"/>
          <cell r="X982">
            <v>6073</v>
          </cell>
          <cell r="Y982"/>
          <cell r="Z982">
            <v>6266</v>
          </cell>
          <cell r="AA982"/>
          <cell r="AB982"/>
          <cell r="AC982"/>
          <cell r="AD982">
            <v>0.151</v>
          </cell>
          <cell r="AE982"/>
          <cell r="AF982"/>
          <cell r="AG982"/>
          <cell r="AH982"/>
          <cell r="AI982"/>
          <cell r="AJ982"/>
          <cell r="AK982"/>
          <cell r="AL982"/>
        </row>
        <row r="983">
          <cell r="E983" t="str">
            <v>6KV CVT 200sq</v>
          </cell>
          <cell r="F983" t="str">
            <v>ｍ</v>
          </cell>
          <cell r="G983"/>
          <cell r="H983">
            <v>7762</v>
          </cell>
          <cell r="I983"/>
          <cell r="J983">
            <v>7883</v>
          </cell>
          <cell r="K983"/>
          <cell r="L983">
            <v>7883</v>
          </cell>
          <cell r="M983"/>
          <cell r="N983">
            <v>7641</v>
          </cell>
          <cell r="O983"/>
          <cell r="P983">
            <v>7459</v>
          </cell>
          <cell r="Q983"/>
          <cell r="R983">
            <v>7762</v>
          </cell>
          <cell r="S983"/>
          <cell r="T983">
            <v>7762</v>
          </cell>
          <cell r="U983"/>
          <cell r="V983">
            <v>7883</v>
          </cell>
          <cell r="W983"/>
          <cell r="X983">
            <v>7641</v>
          </cell>
          <cell r="Y983"/>
          <cell r="Z983">
            <v>7883</v>
          </cell>
          <cell r="AA983"/>
          <cell r="AB983"/>
          <cell r="AC983"/>
          <cell r="AD983">
            <v>0.188</v>
          </cell>
          <cell r="AE983"/>
          <cell r="AF983"/>
          <cell r="AG983"/>
          <cell r="AH983"/>
          <cell r="AI983"/>
          <cell r="AJ983"/>
          <cell r="AK983"/>
          <cell r="AL983"/>
        </row>
        <row r="984">
          <cell r="E984" t="str">
            <v>6KV CVT 250sq</v>
          </cell>
          <cell r="F984" t="str">
            <v>ｍ</v>
          </cell>
          <cell r="G984"/>
          <cell r="H984">
            <v>9811</v>
          </cell>
          <cell r="I984"/>
          <cell r="J984">
            <v>9965</v>
          </cell>
          <cell r="K984"/>
          <cell r="L984">
            <v>9965</v>
          </cell>
          <cell r="M984"/>
          <cell r="N984">
            <v>9658</v>
          </cell>
          <cell r="O984"/>
          <cell r="P984">
            <v>9428</v>
          </cell>
          <cell r="Q984"/>
          <cell r="R984">
            <v>9811</v>
          </cell>
          <cell r="S984"/>
          <cell r="T984">
            <v>9811</v>
          </cell>
          <cell r="U984"/>
          <cell r="V984">
            <v>9965</v>
          </cell>
          <cell r="W984"/>
          <cell r="X984">
            <v>9658</v>
          </cell>
          <cell r="Y984"/>
          <cell r="Z984">
            <v>9965</v>
          </cell>
          <cell r="AA984"/>
          <cell r="AB984"/>
          <cell r="AC984"/>
          <cell r="AD984">
            <v>0.216</v>
          </cell>
          <cell r="AE984"/>
          <cell r="AF984"/>
          <cell r="AG984"/>
          <cell r="AH984"/>
          <cell r="AI984"/>
          <cell r="AJ984"/>
          <cell r="AK984"/>
          <cell r="AL984"/>
        </row>
        <row r="985">
          <cell r="E985" t="str">
            <v>6KV CVT 325sq</v>
          </cell>
          <cell r="F985" t="str">
            <v>ｍ</v>
          </cell>
          <cell r="G985"/>
          <cell r="H985">
            <v>12310</v>
          </cell>
          <cell r="I985"/>
          <cell r="J985">
            <v>12503</v>
          </cell>
          <cell r="K985"/>
          <cell r="L985">
            <v>12503</v>
          </cell>
          <cell r="M985"/>
          <cell r="N985">
            <v>12118</v>
          </cell>
          <cell r="O985"/>
          <cell r="P985">
            <v>11830</v>
          </cell>
          <cell r="Q985"/>
          <cell r="R985">
            <v>12310</v>
          </cell>
          <cell r="S985"/>
          <cell r="T985">
            <v>12310</v>
          </cell>
          <cell r="U985"/>
          <cell r="V985">
            <v>12503</v>
          </cell>
          <cell r="W985"/>
          <cell r="X985">
            <v>12118</v>
          </cell>
          <cell r="Y985"/>
          <cell r="Z985">
            <v>12503</v>
          </cell>
          <cell r="AA985"/>
          <cell r="AB985"/>
          <cell r="AC985"/>
          <cell r="AD985">
            <v>0.27300000000000002</v>
          </cell>
          <cell r="AE985"/>
          <cell r="AF985"/>
          <cell r="AG985"/>
          <cell r="AH985"/>
          <cell r="AI985"/>
          <cell r="AJ985"/>
          <cell r="AK985"/>
          <cell r="AL985"/>
        </row>
        <row r="986">
          <cell r="E986" t="str">
            <v>6KV CE 8sq-3C</v>
          </cell>
          <cell r="F986" t="str">
            <v>ｍ</v>
          </cell>
          <cell r="G986"/>
          <cell r="H986">
            <v>1237</v>
          </cell>
          <cell r="I986"/>
          <cell r="J986">
            <v>1256</v>
          </cell>
          <cell r="K986"/>
          <cell r="L986">
            <v>1256</v>
          </cell>
          <cell r="M986"/>
          <cell r="N986">
            <v>1217</v>
          </cell>
          <cell r="O986"/>
          <cell r="P986">
            <v>1189</v>
          </cell>
          <cell r="Q986"/>
          <cell r="R986">
            <v>1237</v>
          </cell>
          <cell r="S986"/>
          <cell r="T986">
            <v>1237</v>
          </cell>
          <cell r="U986"/>
          <cell r="V986">
            <v>1237</v>
          </cell>
          <cell r="W986"/>
          <cell r="X986">
            <v>1217</v>
          </cell>
          <cell r="Y986"/>
          <cell r="Z986">
            <v>1256</v>
          </cell>
          <cell r="AA986"/>
          <cell r="AB986"/>
          <cell r="AC986"/>
          <cell r="AD986">
            <v>3.2000000000000001E-2</v>
          </cell>
          <cell r="AE986"/>
          <cell r="AF986"/>
          <cell r="AG986"/>
          <cell r="AH986"/>
          <cell r="AI986"/>
          <cell r="AJ986"/>
          <cell r="AK986"/>
          <cell r="AL986"/>
        </row>
        <row r="987">
          <cell r="E987" t="str">
            <v>6KV CE 14sq-3C</v>
          </cell>
          <cell r="F987" t="str">
            <v>ｍ</v>
          </cell>
          <cell r="G987"/>
          <cell r="H987">
            <v>1494</v>
          </cell>
          <cell r="I987"/>
          <cell r="J987">
            <v>1517</v>
          </cell>
          <cell r="K987"/>
          <cell r="L987">
            <v>1517</v>
          </cell>
          <cell r="M987"/>
          <cell r="N987">
            <v>1471</v>
          </cell>
          <cell r="O987"/>
          <cell r="P987">
            <v>1437</v>
          </cell>
          <cell r="Q987"/>
          <cell r="R987">
            <v>1494</v>
          </cell>
          <cell r="S987"/>
          <cell r="T987">
            <v>1494</v>
          </cell>
          <cell r="U987"/>
          <cell r="V987">
            <v>1494</v>
          </cell>
          <cell r="W987"/>
          <cell r="X987">
            <v>1471</v>
          </cell>
          <cell r="Y987"/>
          <cell r="Z987">
            <v>1517</v>
          </cell>
          <cell r="AA987"/>
          <cell r="AB987"/>
          <cell r="AC987"/>
          <cell r="AD987">
            <v>0.04</v>
          </cell>
          <cell r="AE987"/>
          <cell r="AF987"/>
          <cell r="AG987"/>
          <cell r="AH987"/>
          <cell r="AI987"/>
          <cell r="AJ987"/>
          <cell r="AK987"/>
          <cell r="AL987"/>
        </row>
        <row r="988">
          <cell r="E988" t="str">
            <v>6KV CE 22sq-3C</v>
          </cell>
          <cell r="F988" t="str">
            <v>ｍ</v>
          </cell>
          <cell r="G988"/>
          <cell r="H988">
            <v>1863</v>
          </cell>
          <cell r="I988"/>
          <cell r="J988">
            <v>1891</v>
          </cell>
          <cell r="K988"/>
          <cell r="L988">
            <v>1891</v>
          </cell>
          <cell r="M988"/>
          <cell r="N988">
            <v>1834</v>
          </cell>
          <cell r="O988"/>
          <cell r="P988">
            <v>1791</v>
          </cell>
          <cell r="Q988"/>
          <cell r="R988">
            <v>1863</v>
          </cell>
          <cell r="S988"/>
          <cell r="T988">
            <v>1863</v>
          </cell>
          <cell r="U988"/>
          <cell r="V988">
            <v>1863</v>
          </cell>
          <cell r="W988"/>
          <cell r="X988">
            <v>1834</v>
          </cell>
          <cell r="Y988"/>
          <cell r="Z988">
            <v>1891</v>
          </cell>
          <cell r="AA988"/>
          <cell r="AB988"/>
          <cell r="AC988"/>
          <cell r="AD988">
            <v>5.1999999999999998E-2</v>
          </cell>
          <cell r="AE988"/>
          <cell r="AF988"/>
          <cell r="AG988"/>
          <cell r="AH988"/>
          <cell r="AI988"/>
          <cell r="AJ988"/>
          <cell r="AK988"/>
          <cell r="AL988"/>
        </row>
        <row r="989">
          <cell r="E989" t="str">
            <v>6KV CE 38sq-3C</v>
          </cell>
          <cell r="F989" t="str">
            <v>ｍ</v>
          </cell>
          <cell r="G989"/>
          <cell r="H989">
            <v>2513</v>
          </cell>
          <cell r="I989"/>
          <cell r="J989">
            <v>2552</v>
          </cell>
          <cell r="K989"/>
          <cell r="L989">
            <v>2552</v>
          </cell>
          <cell r="M989"/>
          <cell r="N989">
            <v>2474</v>
          </cell>
          <cell r="O989"/>
          <cell r="P989">
            <v>2416</v>
          </cell>
          <cell r="Q989"/>
          <cell r="R989">
            <v>2513</v>
          </cell>
          <cell r="S989"/>
          <cell r="T989">
            <v>2513</v>
          </cell>
          <cell r="U989"/>
          <cell r="V989">
            <v>2513</v>
          </cell>
          <cell r="W989"/>
          <cell r="X989">
            <v>2474</v>
          </cell>
          <cell r="Y989"/>
          <cell r="Z989">
            <v>2552</v>
          </cell>
          <cell r="AA989"/>
          <cell r="AB989"/>
          <cell r="AC989"/>
          <cell r="AD989">
            <v>6.8000000000000005E-2</v>
          </cell>
          <cell r="AE989"/>
          <cell r="AF989"/>
          <cell r="AG989"/>
          <cell r="AH989"/>
          <cell r="AI989"/>
          <cell r="AJ989"/>
          <cell r="AK989"/>
          <cell r="AL989"/>
        </row>
        <row r="990">
          <cell r="E990" t="str">
            <v>6KV CE 60sq-3C</v>
          </cell>
          <cell r="F990" t="str">
            <v>ｍ</v>
          </cell>
          <cell r="G990"/>
          <cell r="H990">
            <v>3396</v>
          </cell>
          <cell r="I990"/>
          <cell r="J990">
            <v>3449</v>
          </cell>
          <cell r="K990"/>
          <cell r="L990">
            <v>3449</v>
          </cell>
          <cell r="M990"/>
          <cell r="N990">
            <v>3344</v>
          </cell>
          <cell r="O990"/>
          <cell r="P990">
            <v>3266</v>
          </cell>
          <cell r="Q990"/>
          <cell r="R990">
            <v>3396</v>
          </cell>
          <cell r="S990"/>
          <cell r="T990">
            <v>3396</v>
          </cell>
          <cell r="U990"/>
          <cell r="V990">
            <v>3396</v>
          </cell>
          <cell r="W990"/>
          <cell r="X990">
            <v>3344</v>
          </cell>
          <cell r="Y990"/>
          <cell r="Z990">
            <v>3449</v>
          </cell>
          <cell r="AA990"/>
          <cell r="AB990"/>
          <cell r="AC990"/>
          <cell r="AD990">
            <v>0.09</v>
          </cell>
          <cell r="AE990"/>
          <cell r="AF990"/>
          <cell r="AG990"/>
          <cell r="AH990"/>
          <cell r="AI990"/>
          <cell r="AJ990"/>
          <cell r="AK990"/>
          <cell r="AL990"/>
        </row>
        <row r="991">
          <cell r="E991" t="str">
            <v>6KV CE 100sq-3C</v>
          </cell>
          <cell r="F991" t="str">
            <v>ｍ</v>
          </cell>
          <cell r="G991"/>
          <cell r="H991">
            <v>5027</v>
          </cell>
          <cell r="I991"/>
          <cell r="J991">
            <v>5104</v>
          </cell>
          <cell r="K991"/>
          <cell r="L991">
            <v>5104</v>
          </cell>
          <cell r="M991"/>
          <cell r="N991">
            <v>4949</v>
          </cell>
          <cell r="O991"/>
          <cell r="P991">
            <v>4833</v>
          </cell>
          <cell r="Q991"/>
          <cell r="R991">
            <v>5027</v>
          </cell>
          <cell r="S991"/>
          <cell r="T991">
            <v>5027</v>
          </cell>
          <cell r="U991"/>
          <cell r="V991">
            <v>5027</v>
          </cell>
          <cell r="W991"/>
          <cell r="X991">
            <v>4949</v>
          </cell>
          <cell r="Y991"/>
          <cell r="Z991">
            <v>5104</v>
          </cell>
          <cell r="AA991"/>
          <cell r="AB991"/>
          <cell r="AC991"/>
          <cell r="AD991">
            <v>0.124</v>
          </cell>
          <cell r="AE991"/>
          <cell r="AF991"/>
          <cell r="AG991"/>
          <cell r="AH991"/>
          <cell r="AI991"/>
          <cell r="AJ991"/>
          <cell r="AK991"/>
          <cell r="AL991"/>
        </row>
        <row r="992">
          <cell r="E992" t="str">
            <v>6KV CE 150sq-3C</v>
          </cell>
          <cell r="F992" t="str">
            <v>ｍ</v>
          </cell>
          <cell r="G992"/>
          <cell r="H992">
            <v>7217</v>
          </cell>
          <cell r="I992"/>
          <cell r="J992">
            <v>7328</v>
          </cell>
          <cell r="K992"/>
          <cell r="L992">
            <v>7328</v>
          </cell>
          <cell r="M992"/>
          <cell r="N992">
            <v>7105</v>
          </cell>
          <cell r="O992"/>
          <cell r="P992">
            <v>6939</v>
          </cell>
          <cell r="Q992"/>
          <cell r="R992">
            <v>7217</v>
          </cell>
          <cell r="S992"/>
          <cell r="T992">
            <v>7217</v>
          </cell>
          <cell r="U992"/>
          <cell r="V992">
            <v>7217</v>
          </cell>
          <cell r="W992"/>
          <cell r="X992">
            <v>7105</v>
          </cell>
          <cell r="Y992"/>
          <cell r="Z992">
            <v>7328</v>
          </cell>
          <cell r="AA992"/>
          <cell r="AB992"/>
          <cell r="AC992"/>
          <cell r="AD992">
            <v>0.151</v>
          </cell>
          <cell r="AE992"/>
          <cell r="AF992"/>
          <cell r="AG992"/>
          <cell r="AH992"/>
          <cell r="AI992"/>
          <cell r="AJ992"/>
          <cell r="AK992"/>
          <cell r="AL992"/>
        </row>
        <row r="993">
          <cell r="E993" t="str">
            <v>6KV CE 200sq-3C</v>
          </cell>
          <cell r="F993" t="str">
            <v>ｍ</v>
          </cell>
          <cell r="G993"/>
          <cell r="H993">
            <v>9886</v>
          </cell>
          <cell r="I993"/>
          <cell r="J993">
            <v>10038</v>
          </cell>
          <cell r="K993"/>
          <cell r="L993">
            <v>10038</v>
          </cell>
          <cell r="M993"/>
          <cell r="N993">
            <v>9734</v>
          </cell>
          <cell r="O993"/>
          <cell r="P993">
            <v>9506</v>
          </cell>
          <cell r="Q993"/>
          <cell r="R993">
            <v>9886</v>
          </cell>
          <cell r="S993"/>
          <cell r="T993">
            <v>9886</v>
          </cell>
          <cell r="U993"/>
          <cell r="V993">
            <v>9886</v>
          </cell>
          <cell r="W993"/>
          <cell r="X993">
            <v>9734</v>
          </cell>
          <cell r="Y993"/>
          <cell r="Z993">
            <v>10038</v>
          </cell>
          <cell r="AA993"/>
          <cell r="AB993"/>
          <cell r="AC993"/>
          <cell r="AD993">
            <v>0.188</v>
          </cell>
          <cell r="AE993"/>
          <cell r="AF993"/>
          <cell r="AG993"/>
          <cell r="AH993"/>
          <cell r="AI993"/>
          <cell r="AJ993"/>
          <cell r="AK993"/>
          <cell r="AL993"/>
        </row>
        <row r="994">
          <cell r="E994" t="str">
            <v>6KV CE 250sq-3C</v>
          </cell>
          <cell r="F994" t="str">
            <v>ｍ</v>
          </cell>
          <cell r="G994"/>
          <cell r="H994">
            <v>12477</v>
          </cell>
          <cell r="I994"/>
          <cell r="J994">
            <v>12688</v>
          </cell>
          <cell r="K994"/>
          <cell r="L994">
            <v>12688</v>
          </cell>
          <cell r="M994"/>
          <cell r="N994">
            <v>12285</v>
          </cell>
          <cell r="O994"/>
          <cell r="P994">
            <v>11997</v>
          </cell>
          <cell r="Q994"/>
          <cell r="R994">
            <v>12477</v>
          </cell>
          <cell r="S994"/>
          <cell r="T994">
            <v>12477</v>
          </cell>
          <cell r="U994"/>
          <cell r="V994">
            <v>12477</v>
          </cell>
          <cell r="W994"/>
          <cell r="X994">
            <v>12285</v>
          </cell>
          <cell r="Y994"/>
          <cell r="Z994">
            <v>12688</v>
          </cell>
          <cell r="AA994"/>
          <cell r="AB994"/>
          <cell r="AC994"/>
          <cell r="AD994">
            <v>0.216</v>
          </cell>
          <cell r="AE994"/>
          <cell r="AF994"/>
          <cell r="AG994"/>
          <cell r="AH994"/>
          <cell r="AI994"/>
          <cell r="AJ994"/>
          <cell r="AK994"/>
          <cell r="AL994"/>
        </row>
        <row r="995">
          <cell r="E995" t="str">
            <v>6KV CE 325sq-3C</v>
          </cell>
          <cell r="F995" t="str">
            <v>ｍ</v>
          </cell>
          <cell r="G995"/>
          <cell r="H995">
            <v>15664</v>
          </cell>
          <cell r="I995"/>
          <cell r="J995">
            <v>15905</v>
          </cell>
          <cell r="K995"/>
          <cell r="L995">
            <v>15905</v>
          </cell>
          <cell r="M995"/>
          <cell r="N995">
            <v>15423</v>
          </cell>
          <cell r="O995"/>
          <cell r="P995">
            <v>15062</v>
          </cell>
          <cell r="Q995"/>
          <cell r="R995">
            <v>15664</v>
          </cell>
          <cell r="S995"/>
          <cell r="T995">
            <v>15664</v>
          </cell>
          <cell r="U995"/>
          <cell r="V995">
            <v>15664</v>
          </cell>
          <cell r="W995"/>
          <cell r="X995">
            <v>15423</v>
          </cell>
          <cell r="Y995"/>
          <cell r="Z995">
            <v>15905</v>
          </cell>
          <cell r="AA995"/>
          <cell r="AB995"/>
          <cell r="AC995"/>
          <cell r="AD995">
            <v>0.27300000000000002</v>
          </cell>
          <cell r="AE995"/>
          <cell r="AF995"/>
          <cell r="AG995"/>
          <cell r="AH995"/>
          <cell r="AI995"/>
          <cell r="AJ995"/>
          <cell r="AK995"/>
          <cell r="AL995"/>
        </row>
        <row r="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cell r="AG996"/>
          <cell r="AH996"/>
          <cell r="AI996"/>
          <cell r="AJ996"/>
          <cell r="AK996"/>
          <cell r="AL996"/>
        </row>
        <row r="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cell r="AG997"/>
          <cell r="AH997"/>
          <cell r="AI997"/>
          <cell r="AJ997"/>
          <cell r="AK997"/>
          <cell r="AL997"/>
        </row>
        <row r="998">
          <cell r="E998" t="str">
            <v>04_Users</v>
          </cell>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cell r="AG998"/>
          <cell r="AH998"/>
          <cell r="AI998"/>
          <cell r="AJ998"/>
          <cell r="AK998"/>
          <cell r="AL998"/>
        </row>
        <row r="999">
          <cell r="E999" t="str">
            <v>04_Users</v>
          </cell>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cell r="AG999"/>
          <cell r="AH999"/>
          <cell r="AI999"/>
          <cell r="AJ999"/>
          <cell r="AK999"/>
          <cell r="AL999"/>
        </row>
        <row r="1000">
          <cell r="E1000" t="str">
            <v>04_Users</v>
          </cell>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cell r="AG1000"/>
          <cell r="AH1000"/>
          <cell r="AI1000"/>
          <cell r="AJ1000"/>
          <cell r="AK1000"/>
          <cell r="AL1000"/>
        </row>
        <row r="1001">
          <cell r="E1001" t="str">
            <v>04_Users</v>
          </cell>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cell r="AG1001"/>
          <cell r="AH1001"/>
          <cell r="AI1001"/>
          <cell r="AJ1001"/>
          <cell r="AK1001"/>
          <cell r="AL1001"/>
        </row>
        <row r="1002">
          <cell r="E1002" t="str">
            <v>04_Users</v>
          </cell>
          <cell r="F1002"/>
          <cell r="G1002"/>
          <cell r="H1002"/>
          <cell r="I1002"/>
          <cell r="J1002"/>
          <cell r="K1002"/>
          <cell r="L1002"/>
          <cell r="M1002"/>
          <cell r="N1002"/>
          <cell r="O1002"/>
          <cell r="P1002"/>
          <cell r="Q1002"/>
          <cell r="R1002"/>
          <cell r="S1002"/>
          <cell r="T1002"/>
          <cell r="U1002"/>
          <cell r="V1002"/>
          <cell r="W1002"/>
          <cell r="X1002"/>
          <cell r="Y1002"/>
          <cell r="Z1002"/>
          <cell r="AA1002"/>
          <cell r="AB1002"/>
          <cell r="AC1002"/>
          <cell r="AD1002"/>
          <cell r="AE1002"/>
          <cell r="AF1002"/>
          <cell r="AG1002"/>
          <cell r="AH1002"/>
          <cell r="AI1002"/>
          <cell r="AJ1002"/>
          <cell r="AK1002"/>
          <cell r="AL1002"/>
        </row>
        <row r="1003">
          <cell r="E1003" t="str">
            <v>04_Users</v>
          </cell>
          <cell r="F1003"/>
          <cell r="G1003"/>
          <cell r="H1003"/>
          <cell r="I1003"/>
          <cell r="J1003"/>
          <cell r="K1003"/>
          <cell r="L1003"/>
          <cell r="M1003"/>
          <cell r="N1003"/>
          <cell r="O1003"/>
          <cell r="P1003"/>
          <cell r="Q1003"/>
          <cell r="R1003"/>
          <cell r="S1003"/>
          <cell r="T1003"/>
          <cell r="U1003"/>
          <cell r="V1003"/>
          <cell r="W1003"/>
          <cell r="X1003"/>
          <cell r="Y1003"/>
          <cell r="Z1003"/>
          <cell r="AA1003"/>
          <cell r="AB1003"/>
          <cell r="AC1003"/>
          <cell r="AD1003"/>
          <cell r="AE1003"/>
          <cell r="AF1003"/>
          <cell r="AG1003"/>
          <cell r="AH1003"/>
          <cell r="AI1003"/>
          <cell r="AJ1003"/>
          <cell r="AK1003"/>
          <cell r="AL1003"/>
        </row>
        <row r="1004">
          <cell r="E1004" t="str">
            <v>04_Users</v>
          </cell>
          <cell r="F1004"/>
          <cell r="G1004"/>
          <cell r="H1004"/>
          <cell r="I1004"/>
          <cell r="J1004"/>
          <cell r="K1004"/>
          <cell r="L1004"/>
          <cell r="M1004"/>
          <cell r="N1004"/>
          <cell r="O1004"/>
          <cell r="P1004"/>
          <cell r="Q1004"/>
          <cell r="R1004"/>
          <cell r="S1004"/>
          <cell r="T1004"/>
          <cell r="U1004"/>
          <cell r="V1004"/>
          <cell r="W1004"/>
          <cell r="X1004"/>
          <cell r="Y1004"/>
          <cell r="Z1004"/>
          <cell r="AA1004"/>
          <cell r="AB1004"/>
          <cell r="AC1004"/>
          <cell r="AD1004"/>
          <cell r="AE1004"/>
          <cell r="AF1004"/>
          <cell r="AG1004"/>
          <cell r="AH1004"/>
          <cell r="AI1004"/>
          <cell r="AJ1004"/>
          <cell r="AK1004"/>
          <cell r="AL1004"/>
        </row>
        <row r="1005">
          <cell r="E1005" t="str">
            <v>04_Users</v>
          </cell>
          <cell r="F1005"/>
          <cell r="G1005"/>
          <cell r="H1005"/>
          <cell r="I1005"/>
          <cell r="J1005"/>
          <cell r="K1005"/>
          <cell r="L1005"/>
          <cell r="M1005"/>
          <cell r="N1005"/>
          <cell r="O1005"/>
          <cell r="P1005"/>
          <cell r="Q1005"/>
          <cell r="R1005"/>
          <cell r="S1005"/>
          <cell r="T1005"/>
          <cell r="U1005"/>
          <cell r="V1005"/>
          <cell r="W1005"/>
          <cell r="X1005"/>
          <cell r="Y1005"/>
          <cell r="Z1005"/>
          <cell r="AA1005"/>
          <cell r="AB1005"/>
          <cell r="AC1005"/>
          <cell r="AD1005"/>
          <cell r="AE1005"/>
          <cell r="AF1005"/>
          <cell r="AG1005"/>
          <cell r="AH1005"/>
          <cell r="AI1005"/>
          <cell r="AJ1005"/>
          <cell r="AK1005"/>
          <cell r="AL1005"/>
        </row>
        <row r="1006">
          <cell r="E1006" t="str">
            <v>04_Users</v>
          </cell>
          <cell r="F1006"/>
          <cell r="G1006"/>
          <cell r="H1006"/>
          <cell r="I1006"/>
          <cell r="J1006"/>
          <cell r="K1006"/>
          <cell r="L1006"/>
          <cell r="M1006"/>
          <cell r="N1006"/>
          <cell r="O1006"/>
          <cell r="P1006"/>
          <cell r="Q1006"/>
          <cell r="R1006"/>
          <cell r="S1006"/>
          <cell r="T1006"/>
          <cell r="U1006"/>
          <cell r="V1006"/>
          <cell r="W1006"/>
          <cell r="X1006"/>
          <cell r="Y1006"/>
          <cell r="Z1006"/>
          <cell r="AA1006"/>
          <cell r="AB1006"/>
          <cell r="AC1006"/>
          <cell r="AD1006"/>
          <cell r="AE1006"/>
          <cell r="AF1006"/>
          <cell r="AG1006"/>
          <cell r="AH1006"/>
          <cell r="AI1006"/>
          <cell r="AJ1006"/>
          <cell r="AK1006"/>
          <cell r="AL1006"/>
        </row>
        <row r="1007">
          <cell r="E1007" t="str">
            <v>04_Users</v>
          </cell>
          <cell r="F1007"/>
          <cell r="G1007"/>
          <cell r="H1007"/>
          <cell r="I1007"/>
          <cell r="J1007"/>
          <cell r="K1007"/>
          <cell r="L1007"/>
          <cell r="M1007"/>
          <cell r="N1007"/>
          <cell r="O1007"/>
          <cell r="P1007"/>
          <cell r="Q1007"/>
          <cell r="R1007"/>
          <cell r="S1007"/>
          <cell r="T1007"/>
          <cell r="U1007"/>
          <cell r="V1007"/>
          <cell r="W1007"/>
          <cell r="X1007"/>
          <cell r="Y1007"/>
          <cell r="Z1007"/>
          <cell r="AA1007"/>
          <cell r="AB1007"/>
          <cell r="AC1007"/>
          <cell r="AD1007"/>
          <cell r="AE1007"/>
          <cell r="AF1007"/>
          <cell r="AG1007"/>
          <cell r="AH1007"/>
          <cell r="AI1007"/>
          <cell r="AJ1007"/>
          <cell r="AK1007"/>
          <cell r="AL1007"/>
        </row>
        <row r="1008">
          <cell r="E1008" t="str">
            <v>04_Users</v>
          </cell>
          <cell r="F1008"/>
          <cell r="G1008"/>
          <cell r="H1008"/>
          <cell r="I1008"/>
          <cell r="J1008"/>
          <cell r="K1008"/>
          <cell r="L1008"/>
          <cell r="M1008"/>
          <cell r="N1008"/>
          <cell r="O1008"/>
          <cell r="P1008"/>
          <cell r="Q1008"/>
          <cell r="R1008"/>
          <cell r="S1008"/>
          <cell r="T1008"/>
          <cell r="U1008"/>
          <cell r="V1008"/>
          <cell r="W1008"/>
          <cell r="X1008"/>
          <cell r="Y1008"/>
          <cell r="Z1008"/>
          <cell r="AA1008"/>
          <cell r="AB1008"/>
          <cell r="AC1008"/>
          <cell r="AD1008"/>
          <cell r="AE1008"/>
          <cell r="AF1008"/>
          <cell r="AG1008"/>
          <cell r="AH1008"/>
          <cell r="AI1008"/>
          <cell r="AJ1008"/>
          <cell r="AK1008"/>
          <cell r="AL1008"/>
        </row>
        <row r="1009">
          <cell r="E1009" t="str">
            <v>04_Users</v>
          </cell>
          <cell r="F1009"/>
          <cell r="G1009"/>
          <cell r="H1009"/>
          <cell r="I1009"/>
          <cell r="J1009"/>
          <cell r="K1009"/>
          <cell r="L1009"/>
          <cell r="M1009"/>
          <cell r="N1009"/>
          <cell r="O1009"/>
          <cell r="P1009"/>
          <cell r="Q1009"/>
          <cell r="R1009"/>
          <cell r="S1009"/>
          <cell r="T1009"/>
          <cell r="U1009"/>
          <cell r="V1009"/>
          <cell r="W1009"/>
          <cell r="X1009"/>
          <cell r="Y1009"/>
          <cell r="Z1009"/>
          <cell r="AA1009"/>
          <cell r="AB1009"/>
          <cell r="AC1009"/>
          <cell r="AD1009"/>
          <cell r="AE1009"/>
          <cell r="AF1009"/>
          <cell r="AG1009"/>
          <cell r="AH1009"/>
          <cell r="AI1009"/>
          <cell r="AJ1009"/>
          <cell r="AK1009"/>
          <cell r="AL1009"/>
        </row>
        <row r="1010">
          <cell r="E1010" t="str">
            <v>04_Users</v>
          </cell>
          <cell r="F1010"/>
          <cell r="G1010"/>
          <cell r="H1010"/>
          <cell r="I1010"/>
          <cell r="J1010"/>
          <cell r="K1010"/>
          <cell r="L1010"/>
          <cell r="M1010"/>
          <cell r="N1010"/>
          <cell r="O1010"/>
          <cell r="P1010"/>
          <cell r="Q1010"/>
          <cell r="R1010"/>
          <cell r="S1010"/>
          <cell r="T1010"/>
          <cell r="U1010"/>
          <cell r="V1010"/>
          <cell r="W1010"/>
          <cell r="X1010"/>
          <cell r="Y1010"/>
          <cell r="Z1010"/>
          <cell r="AA1010"/>
          <cell r="AB1010"/>
          <cell r="AC1010"/>
          <cell r="AD1010"/>
          <cell r="AE1010"/>
          <cell r="AF1010"/>
          <cell r="AG1010"/>
          <cell r="AH1010"/>
          <cell r="AI1010"/>
          <cell r="AJ1010"/>
          <cell r="AK1010"/>
          <cell r="AL1010"/>
        </row>
        <row r="1011">
          <cell r="E1011" t="str">
            <v>04_Users</v>
          </cell>
          <cell r="F1011"/>
          <cell r="G1011"/>
          <cell r="H1011"/>
          <cell r="I1011"/>
          <cell r="J1011"/>
          <cell r="K1011"/>
          <cell r="L1011"/>
          <cell r="M1011"/>
          <cell r="N1011"/>
          <cell r="O1011"/>
          <cell r="P1011"/>
          <cell r="Q1011"/>
          <cell r="R1011"/>
          <cell r="S1011"/>
          <cell r="T1011"/>
          <cell r="U1011"/>
          <cell r="V1011"/>
          <cell r="W1011"/>
          <cell r="X1011"/>
          <cell r="Y1011"/>
          <cell r="Z1011"/>
          <cell r="AA1011"/>
          <cell r="AB1011"/>
          <cell r="AC1011"/>
          <cell r="AD1011"/>
          <cell r="AE1011"/>
          <cell r="AF1011"/>
          <cell r="AG1011"/>
          <cell r="AH1011"/>
          <cell r="AI1011"/>
          <cell r="AJ1011"/>
          <cell r="AK1011"/>
          <cell r="AL1011"/>
        </row>
        <row r="1012">
          <cell r="E1012" t="str">
            <v>04_Users</v>
          </cell>
          <cell r="F1012"/>
          <cell r="G1012"/>
          <cell r="H1012"/>
          <cell r="I1012"/>
          <cell r="J1012"/>
          <cell r="K1012"/>
          <cell r="L1012"/>
          <cell r="M1012"/>
          <cell r="N1012"/>
          <cell r="O1012"/>
          <cell r="P1012"/>
          <cell r="Q1012"/>
          <cell r="R1012"/>
          <cell r="S1012"/>
          <cell r="T1012"/>
          <cell r="U1012"/>
          <cell r="V1012"/>
          <cell r="W1012"/>
          <cell r="X1012"/>
          <cell r="Y1012"/>
          <cell r="Z1012"/>
          <cell r="AA1012"/>
          <cell r="AB1012"/>
          <cell r="AC1012"/>
          <cell r="AD1012"/>
          <cell r="AE1012"/>
          <cell r="AF1012"/>
          <cell r="AG1012"/>
          <cell r="AH1012"/>
          <cell r="AI1012"/>
          <cell r="AJ1012"/>
          <cell r="AK1012"/>
          <cell r="AL1012"/>
        </row>
        <row r="1013">
          <cell r="E1013" t="str">
            <v>04_Users</v>
          </cell>
          <cell r="F1013"/>
          <cell r="G1013"/>
          <cell r="H1013"/>
          <cell r="I1013"/>
          <cell r="J1013"/>
          <cell r="K1013"/>
          <cell r="L1013"/>
          <cell r="M1013"/>
          <cell r="N1013"/>
          <cell r="O1013"/>
          <cell r="P1013"/>
          <cell r="Q1013"/>
          <cell r="R1013"/>
          <cell r="S1013"/>
          <cell r="T1013"/>
          <cell r="U1013"/>
          <cell r="V1013"/>
          <cell r="W1013"/>
          <cell r="X1013"/>
          <cell r="Y1013"/>
          <cell r="Z1013"/>
          <cell r="AA1013"/>
          <cell r="AB1013"/>
          <cell r="AC1013"/>
          <cell r="AD1013"/>
          <cell r="AE1013"/>
          <cell r="AF1013"/>
          <cell r="AG1013"/>
          <cell r="AH1013"/>
          <cell r="AI1013"/>
          <cell r="AJ1013"/>
          <cell r="AK1013"/>
          <cell r="AL1013"/>
        </row>
        <row r="1014">
          <cell r="E1014" t="str">
            <v>04_Users</v>
          </cell>
          <cell r="F1014"/>
          <cell r="G1014"/>
          <cell r="H1014"/>
          <cell r="I1014"/>
          <cell r="J1014"/>
          <cell r="K1014"/>
          <cell r="L1014"/>
          <cell r="M1014"/>
          <cell r="N1014"/>
          <cell r="O1014"/>
          <cell r="P1014"/>
          <cell r="Q1014"/>
          <cell r="R1014"/>
          <cell r="S1014"/>
          <cell r="T1014"/>
          <cell r="U1014"/>
          <cell r="V1014"/>
          <cell r="W1014"/>
          <cell r="X1014"/>
          <cell r="Y1014"/>
          <cell r="Z1014"/>
          <cell r="AA1014"/>
          <cell r="AB1014"/>
          <cell r="AC1014"/>
          <cell r="AD1014"/>
          <cell r="AE1014"/>
          <cell r="AF1014"/>
          <cell r="AG1014"/>
          <cell r="AH1014"/>
          <cell r="AI1014"/>
          <cell r="AJ1014"/>
          <cell r="AK1014"/>
          <cell r="AL1014"/>
        </row>
        <row r="1015">
          <cell r="E1015" t="str">
            <v>04_Users</v>
          </cell>
          <cell r="F1015"/>
          <cell r="G1015"/>
          <cell r="H1015"/>
          <cell r="I1015"/>
          <cell r="J1015"/>
          <cell r="K1015"/>
          <cell r="L1015"/>
          <cell r="M1015"/>
          <cell r="N1015"/>
          <cell r="O1015"/>
          <cell r="P1015"/>
          <cell r="Q1015"/>
          <cell r="R1015"/>
          <cell r="S1015"/>
          <cell r="T1015"/>
          <cell r="U1015"/>
          <cell r="V1015"/>
          <cell r="W1015"/>
          <cell r="X1015"/>
          <cell r="Y1015"/>
          <cell r="Z1015"/>
          <cell r="AA1015"/>
          <cell r="AB1015"/>
          <cell r="AC1015"/>
          <cell r="AD1015"/>
          <cell r="AE1015"/>
          <cell r="AF1015"/>
          <cell r="AG1015"/>
          <cell r="AH1015"/>
          <cell r="AI1015"/>
          <cell r="AJ1015"/>
          <cell r="AK1015"/>
          <cell r="AL1015"/>
        </row>
        <row r="1016">
          <cell r="E1016" t="str">
            <v>04_Users</v>
          </cell>
          <cell r="F1016"/>
          <cell r="G1016"/>
          <cell r="H1016"/>
          <cell r="I1016"/>
          <cell r="J1016"/>
          <cell r="K1016"/>
          <cell r="L1016"/>
          <cell r="M1016"/>
          <cell r="N1016"/>
          <cell r="O1016"/>
          <cell r="P1016"/>
          <cell r="Q1016"/>
          <cell r="R1016"/>
          <cell r="S1016"/>
          <cell r="T1016"/>
          <cell r="U1016"/>
          <cell r="V1016"/>
          <cell r="W1016"/>
          <cell r="X1016"/>
          <cell r="Y1016"/>
          <cell r="Z1016"/>
          <cell r="AA1016"/>
          <cell r="AB1016"/>
          <cell r="AC1016"/>
          <cell r="AD1016"/>
          <cell r="AE1016"/>
          <cell r="AF1016"/>
          <cell r="AG1016"/>
          <cell r="AH1016"/>
          <cell r="AI1016"/>
          <cell r="AJ1016"/>
          <cell r="AK1016"/>
          <cell r="AL1016"/>
        </row>
        <row r="1017">
          <cell r="E1017" t="str">
            <v>04_Users</v>
          </cell>
          <cell r="F1017"/>
          <cell r="G1017"/>
          <cell r="H1017"/>
          <cell r="I1017"/>
          <cell r="J1017"/>
          <cell r="K1017"/>
          <cell r="L1017"/>
          <cell r="M1017"/>
          <cell r="N1017"/>
          <cell r="O1017"/>
          <cell r="P1017"/>
          <cell r="Q1017"/>
          <cell r="R1017"/>
          <cell r="S1017"/>
          <cell r="T1017"/>
          <cell r="U1017"/>
          <cell r="V1017"/>
          <cell r="W1017"/>
          <cell r="X1017"/>
          <cell r="Y1017"/>
          <cell r="Z1017"/>
          <cell r="AA1017"/>
          <cell r="AB1017"/>
          <cell r="AC1017"/>
          <cell r="AD1017"/>
          <cell r="AE1017"/>
          <cell r="AF1017"/>
          <cell r="AG1017"/>
          <cell r="AH1017"/>
          <cell r="AI1017"/>
          <cell r="AJ1017"/>
          <cell r="AK1017"/>
          <cell r="AL1017"/>
        </row>
        <row r="1018">
          <cell r="E1018" t="str">
            <v>04_Users</v>
          </cell>
          <cell r="F1018"/>
          <cell r="G1018"/>
          <cell r="H1018"/>
          <cell r="I1018"/>
          <cell r="J1018"/>
          <cell r="K1018"/>
          <cell r="L1018"/>
          <cell r="M1018"/>
          <cell r="N1018"/>
          <cell r="O1018"/>
          <cell r="P1018"/>
          <cell r="Q1018"/>
          <cell r="R1018"/>
          <cell r="S1018"/>
          <cell r="T1018"/>
          <cell r="U1018"/>
          <cell r="V1018"/>
          <cell r="W1018"/>
          <cell r="X1018"/>
          <cell r="Y1018"/>
          <cell r="Z1018"/>
          <cell r="AA1018"/>
          <cell r="AB1018"/>
          <cell r="AC1018"/>
          <cell r="AD1018"/>
          <cell r="AE1018"/>
          <cell r="AF1018"/>
          <cell r="AG1018"/>
          <cell r="AH1018"/>
          <cell r="AI1018"/>
          <cell r="AJ1018"/>
          <cell r="AK1018"/>
          <cell r="AL1018"/>
        </row>
        <row r="1019">
          <cell r="E1019" t="str">
            <v>04_Users</v>
          </cell>
          <cell r="F1019"/>
          <cell r="G1019"/>
          <cell r="H1019"/>
          <cell r="I1019"/>
          <cell r="J1019"/>
          <cell r="K1019"/>
          <cell r="L1019"/>
          <cell r="M1019"/>
          <cell r="N1019"/>
          <cell r="O1019"/>
          <cell r="P1019"/>
          <cell r="Q1019"/>
          <cell r="R1019"/>
          <cell r="S1019"/>
          <cell r="T1019"/>
          <cell r="U1019"/>
          <cell r="V1019"/>
          <cell r="W1019"/>
          <cell r="X1019"/>
          <cell r="Y1019"/>
          <cell r="Z1019"/>
          <cell r="AA1019"/>
          <cell r="AB1019"/>
          <cell r="AC1019"/>
          <cell r="AD1019"/>
          <cell r="AE1019"/>
          <cell r="AF1019"/>
          <cell r="AG1019"/>
          <cell r="AH1019"/>
          <cell r="AI1019"/>
          <cell r="AJ1019"/>
          <cell r="AK1019"/>
          <cell r="AL1019"/>
        </row>
        <row r="1020">
          <cell r="E1020" t="str">
            <v>04_Users</v>
          </cell>
          <cell r="F1020"/>
          <cell r="G1020"/>
          <cell r="H1020"/>
          <cell r="I1020"/>
          <cell r="J1020"/>
          <cell r="K1020"/>
          <cell r="L1020"/>
          <cell r="M1020"/>
          <cell r="N1020"/>
          <cell r="O1020"/>
          <cell r="P1020"/>
          <cell r="Q1020"/>
          <cell r="R1020"/>
          <cell r="S1020"/>
          <cell r="T1020"/>
          <cell r="U1020"/>
          <cell r="V1020"/>
          <cell r="W1020"/>
          <cell r="X1020"/>
          <cell r="Y1020"/>
          <cell r="Z1020"/>
          <cell r="AA1020"/>
          <cell r="AB1020"/>
          <cell r="AC1020"/>
          <cell r="AD1020"/>
          <cell r="AE1020"/>
          <cell r="AF1020"/>
          <cell r="AG1020"/>
          <cell r="AH1020"/>
          <cell r="AI1020"/>
          <cell r="AJ1020"/>
          <cell r="AK1020"/>
          <cell r="AL1020"/>
        </row>
        <row r="1021">
          <cell r="E1021" t="str">
            <v>04_Users</v>
          </cell>
          <cell r="F1021"/>
          <cell r="G1021"/>
          <cell r="H1021"/>
          <cell r="I1021"/>
          <cell r="J1021"/>
          <cell r="K1021"/>
          <cell r="L1021"/>
          <cell r="M1021"/>
          <cell r="N1021"/>
          <cell r="O1021"/>
          <cell r="P1021"/>
          <cell r="Q1021"/>
          <cell r="R1021"/>
          <cell r="S1021"/>
          <cell r="T1021"/>
          <cell r="U1021"/>
          <cell r="V1021"/>
          <cell r="W1021"/>
          <cell r="X1021"/>
          <cell r="Y1021"/>
          <cell r="Z1021"/>
          <cell r="AA1021"/>
          <cell r="AB1021"/>
          <cell r="AC1021"/>
          <cell r="AD1021"/>
          <cell r="AE1021"/>
          <cell r="AF1021"/>
          <cell r="AG1021"/>
          <cell r="AH1021"/>
          <cell r="AI1021"/>
          <cell r="AJ1021"/>
          <cell r="AK1021"/>
          <cell r="AL1021"/>
        </row>
        <row r="1022">
          <cell r="E1022" t="str">
            <v>04_Users</v>
          </cell>
          <cell r="F1022"/>
          <cell r="G1022"/>
          <cell r="H1022"/>
          <cell r="I1022"/>
          <cell r="J1022"/>
          <cell r="K1022"/>
          <cell r="L1022"/>
          <cell r="M1022"/>
          <cell r="N1022"/>
          <cell r="O1022"/>
          <cell r="P1022"/>
          <cell r="Q1022"/>
          <cell r="R1022"/>
          <cell r="S1022"/>
          <cell r="T1022"/>
          <cell r="U1022"/>
          <cell r="V1022"/>
          <cell r="W1022"/>
          <cell r="X1022"/>
          <cell r="Y1022"/>
          <cell r="Z1022"/>
          <cell r="AA1022"/>
          <cell r="AB1022"/>
          <cell r="AC1022"/>
          <cell r="AD1022"/>
          <cell r="AE1022"/>
          <cell r="AF1022"/>
          <cell r="AG1022"/>
          <cell r="AH1022"/>
          <cell r="AI1022"/>
          <cell r="AJ1022"/>
          <cell r="AK1022"/>
          <cell r="AL1022"/>
        </row>
        <row r="1023">
          <cell r="E1023" t="str">
            <v>04_Users</v>
          </cell>
          <cell r="F1023"/>
          <cell r="G1023"/>
          <cell r="H1023"/>
          <cell r="I1023"/>
          <cell r="J1023"/>
          <cell r="K1023"/>
          <cell r="L1023"/>
          <cell r="M1023"/>
          <cell r="N1023"/>
          <cell r="O1023"/>
          <cell r="P1023"/>
          <cell r="Q1023"/>
          <cell r="R1023"/>
          <cell r="S1023"/>
          <cell r="T1023"/>
          <cell r="U1023"/>
          <cell r="V1023"/>
          <cell r="W1023"/>
          <cell r="X1023"/>
          <cell r="Y1023"/>
          <cell r="Z1023"/>
          <cell r="AA1023"/>
          <cell r="AB1023"/>
          <cell r="AC1023"/>
          <cell r="AD1023"/>
          <cell r="AE1023"/>
          <cell r="AF1023"/>
          <cell r="AG1023"/>
          <cell r="AH1023"/>
          <cell r="AI1023"/>
          <cell r="AJ1023"/>
          <cell r="AK1023"/>
          <cell r="AL1023"/>
        </row>
        <row r="1024">
          <cell r="E1024" t="str">
            <v>04_Users</v>
          </cell>
          <cell r="F1024"/>
          <cell r="G1024"/>
          <cell r="H1024"/>
          <cell r="I1024"/>
          <cell r="J1024"/>
          <cell r="K1024"/>
          <cell r="L1024"/>
          <cell r="M1024"/>
          <cell r="N1024"/>
          <cell r="O1024"/>
          <cell r="P1024"/>
          <cell r="Q1024"/>
          <cell r="R1024"/>
          <cell r="S1024"/>
          <cell r="T1024"/>
          <cell r="U1024"/>
          <cell r="V1024"/>
          <cell r="W1024"/>
          <cell r="X1024"/>
          <cell r="Y1024"/>
          <cell r="Z1024"/>
          <cell r="AA1024"/>
          <cell r="AB1024"/>
          <cell r="AC1024"/>
          <cell r="AD1024"/>
          <cell r="AE1024"/>
          <cell r="AF1024"/>
          <cell r="AG1024"/>
          <cell r="AH1024"/>
          <cell r="AI1024"/>
          <cell r="AJ1024"/>
          <cell r="AK1024"/>
          <cell r="AL1024"/>
        </row>
        <row r="1025">
          <cell r="E1025" t="str">
            <v>04_Users</v>
          </cell>
          <cell r="F1025"/>
          <cell r="G1025"/>
          <cell r="H1025"/>
          <cell r="I1025"/>
          <cell r="J1025"/>
          <cell r="K1025"/>
          <cell r="L1025"/>
          <cell r="M1025"/>
          <cell r="N1025"/>
          <cell r="O1025"/>
          <cell r="P1025"/>
          <cell r="Q1025"/>
          <cell r="R1025"/>
          <cell r="S1025"/>
          <cell r="T1025"/>
          <cell r="U1025"/>
          <cell r="V1025"/>
          <cell r="W1025"/>
          <cell r="X1025"/>
          <cell r="Y1025"/>
          <cell r="Z1025"/>
          <cell r="AA1025"/>
          <cell r="AB1025"/>
          <cell r="AC1025"/>
          <cell r="AD1025"/>
          <cell r="AE1025"/>
          <cell r="AF1025"/>
          <cell r="AG1025"/>
          <cell r="AH1025"/>
          <cell r="AI1025"/>
          <cell r="AJ1025"/>
          <cell r="AK1025"/>
          <cell r="AL1025"/>
        </row>
        <row r="1026">
          <cell r="E1026" t="str">
            <v>04_Users</v>
          </cell>
          <cell r="F1026"/>
          <cell r="G1026"/>
          <cell r="H1026"/>
          <cell r="I1026"/>
          <cell r="J1026"/>
          <cell r="K1026"/>
          <cell r="L1026"/>
          <cell r="M1026"/>
          <cell r="N1026"/>
          <cell r="O1026"/>
          <cell r="P1026"/>
          <cell r="Q1026"/>
          <cell r="R1026"/>
          <cell r="S1026"/>
          <cell r="T1026"/>
          <cell r="U1026"/>
          <cell r="V1026"/>
          <cell r="W1026"/>
          <cell r="X1026"/>
          <cell r="Y1026"/>
          <cell r="Z1026"/>
          <cell r="AA1026"/>
          <cell r="AB1026"/>
          <cell r="AC1026"/>
          <cell r="AD1026"/>
          <cell r="AE1026"/>
          <cell r="AF1026"/>
          <cell r="AG1026"/>
          <cell r="AH1026"/>
          <cell r="AI1026"/>
          <cell r="AJ1026"/>
          <cell r="AK1026"/>
          <cell r="AL1026"/>
        </row>
        <row r="1027">
          <cell r="E1027" t="str">
            <v>04_Users</v>
          </cell>
          <cell r="F1027"/>
          <cell r="G1027"/>
          <cell r="H1027"/>
          <cell r="I1027"/>
          <cell r="J1027"/>
          <cell r="K1027"/>
          <cell r="L1027"/>
          <cell r="M1027"/>
          <cell r="N1027"/>
          <cell r="O1027"/>
          <cell r="P1027"/>
          <cell r="Q1027"/>
          <cell r="R1027"/>
          <cell r="S1027"/>
          <cell r="T1027"/>
          <cell r="U1027"/>
          <cell r="V1027"/>
          <cell r="W1027"/>
          <cell r="X1027"/>
          <cell r="Y1027"/>
          <cell r="Z1027"/>
          <cell r="AA1027"/>
          <cell r="AB1027"/>
          <cell r="AC1027"/>
          <cell r="AD1027"/>
          <cell r="AE1027"/>
          <cell r="AF1027"/>
          <cell r="AG1027"/>
          <cell r="AH1027"/>
          <cell r="AI1027"/>
          <cell r="AJ1027"/>
          <cell r="AK1027"/>
          <cell r="AL1027"/>
        </row>
        <row r="1028">
          <cell r="E1028" t="str">
            <v>04_Users</v>
          </cell>
          <cell r="F1028"/>
          <cell r="G1028"/>
          <cell r="H1028"/>
          <cell r="I1028"/>
          <cell r="J1028"/>
          <cell r="K1028"/>
          <cell r="L1028"/>
          <cell r="M1028"/>
          <cell r="N1028"/>
          <cell r="O1028"/>
          <cell r="P1028"/>
          <cell r="Q1028"/>
          <cell r="R1028"/>
          <cell r="S1028"/>
          <cell r="T1028"/>
          <cell r="U1028"/>
          <cell r="V1028"/>
          <cell r="W1028"/>
          <cell r="X1028"/>
          <cell r="Y1028"/>
          <cell r="Z1028"/>
          <cell r="AA1028"/>
          <cell r="AB1028"/>
          <cell r="AC1028"/>
          <cell r="AD1028"/>
          <cell r="AE1028"/>
          <cell r="AF1028"/>
          <cell r="AG1028"/>
          <cell r="AH1028"/>
          <cell r="AI1028"/>
          <cell r="AJ1028"/>
          <cell r="AK1028"/>
          <cell r="AL1028"/>
        </row>
        <row r="1029">
          <cell r="E1029" t="str">
            <v>04_Users</v>
          </cell>
          <cell r="F1029"/>
          <cell r="G1029"/>
          <cell r="H1029"/>
          <cell r="I1029"/>
          <cell r="J1029"/>
          <cell r="K1029"/>
          <cell r="L1029"/>
          <cell r="M1029"/>
          <cell r="N1029"/>
          <cell r="O1029"/>
          <cell r="P1029"/>
          <cell r="Q1029"/>
          <cell r="R1029"/>
          <cell r="S1029"/>
          <cell r="T1029"/>
          <cell r="U1029"/>
          <cell r="V1029"/>
          <cell r="W1029"/>
          <cell r="X1029"/>
          <cell r="Y1029"/>
          <cell r="Z1029"/>
          <cell r="AA1029"/>
          <cell r="AB1029"/>
          <cell r="AC1029"/>
          <cell r="AD1029"/>
          <cell r="AE1029"/>
          <cell r="AF1029"/>
          <cell r="AG1029"/>
          <cell r="AH1029"/>
          <cell r="AI1029"/>
          <cell r="AJ1029"/>
          <cell r="AK1029"/>
          <cell r="AL1029"/>
        </row>
        <row r="1030">
          <cell r="E1030" t="str">
            <v>04_Users</v>
          </cell>
          <cell r="F1030"/>
          <cell r="G1030"/>
          <cell r="H1030"/>
          <cell r="I1030"/>
          <cell r="J1030"/>
          <cell r="K1030"/>
          <cell r="L1030"/>
          <cell r="M1030"/>
          <cell r="N1030"/>
          <cell r="O1030"/>
          <cell r="P1030"/>
          <cell r="Q1030"/>
          <cell r="R1030"/>
          <cell r="S1030"/>
          <cell r="T1030"/>
          <cell r="U1030"/>
          <cell r="V1030"/>
          <cell r="W1030"/>
          <cell r="X1030"/>
          <cell r="Y1030"/>
          <cell r="Z1030"/>
          <cell r="AA1030"/>
          <cell r="AB1030"/>
          <cell r="AC1030"/>
          <cell r="AD1030"/>
          <cell r="AE1030"/>
          <cell r="AF1030"/>
          <cell r="AG1030"/>
          <cell r="AH1030"/>
          <cell r="AI1030"/>
          <cell r="AJ1030"/>
          <cell r="AK1030"/>
          <cell r="AL1030"/>
        </row>
        <row r="1031">
          <cell r="E1031" t="str">
            <v>04_Users</v>
          </cell>
          <cell r="F1031"/>
          <cell r="G1031"/>
          <cell r="H1031"/>
          <cell r="I1031"/>
          <cell r="J1031"/>
          <cell r="K1031"/>
          <cell r="L1031"/>
          <cell r="M1031"/>
          <cell r="N1031"/>
          <cell r="O1031"/>
          <cell r="P1031"/>
          <cell r="Q1031"/>
          <cell r="R1031"/>
          <cell r="S1031"/>
          <cell r="T1031"/>
          <cell r="U1031"/>
          <cell r="V1031"/>
          <cell r="W1031"/>
          <cell r="X1031"/>
          <cell r="Y1031"/>
          <cell r="Z1031"/>
          <cell r="AA1031"/>
          <cell r="AB1031"/>
          <cell r="AC1031"/>
          <cell r="AD1031"/>
          <cell r="AE1031"/>
          <cell r="AF1031"/>
          <cell r="AG1031"/>
          <cell r="AH1031"/>
          <cell r="AI1031"/>
          <cell r="AJ1031"/>
          <cell r="AK1031"/>
          <cell r="AL1031"/>
        </row>
        <row r="1032">
          <cell r="E1032" t="str">
            <v>04_Users</v>
          </cell>
          <cell r="F1032"/>
          <cell r="G1032"/>
          <cell r="H1032"/>
          <cell r="I1032"/>
          <cell r="J1032"/>
          <cell r="K1032"/>
          <cell r="L1032"/>
          <cell r="M1032"/>
          <cell r="N1032"/>
          <cell r="O1032"/>
          <cell r="P1032"/>
          <cell r="Q1032"/>
          <cell r="R1032"/>
          <cell r="S1032"/>
          <cell r="T1032"/>
          <cell r="U1032"/>
          <cell r="V1032"/>
          <cell r="W1032"/>
          <cell r="X1032"/>
          <cell r="Y1032"/>
          <cell r="Z1032"/>
          <cell r="AA1032"/>
          <cell r="AB1032"/>
          <cell r="AC1032"/>
          <cell r="AD1032"/>
          <cell r="AE1032"/>
          <cell r="AF1032"/>
          <cell r="AG1032"/>
          <cell r="AH1032"/>
          <cell r="AI1032"/>
          <cell r="AJ1032"/>
          <cell r="AK1032"/>
          <cell r="AL1032"/>
        </row>
        <row r="1033">
          <cell r="E1033" t="str">
            <v>04_Users</v>
          </cell>
          <cell r="F1033"/>
          <cell r="G1033"/>
          <cell r="H1033"/>
          <cell r="I1033"/>
          <cell r="J1033"/>
          <cell r="K1033"/>
          <cell r="L1033"/>
          <cell r="M1033"/>
          <cell r="N1033"/>
          <cell r="O1033"/>
          <cell r="P1033"/>
          <cell r="Q1033"/>
          <cell r="R1033"/>
          <cell r="S1033"/>
          <cell r="T1033"/>
          <cell r="U1033"/>
          <cell r="V1033"/>
          <cell r="W1033"/>
          <cell r="X1033"/>
          <cell r="Y1033"/>
          <cell r="Z1033"/>
          <cell r="AA1033"/>
          <cell r="AB1033"/>
          <cell r="AC1033"/>
          <cell r="AD1033"/>
          <cell r="AE1033"/>
          <cell r="AF1033"/>
          <cell r="AG1033"/>
          <cell r="AH1033"/>
          <cell r="AI1033"/>
          <cell r="AJ1033"/>
          <cell r="AK1033"/>
          <cell r="AL1033"/>
        </row>
        <row r="1034">
          <cell r="E1034" t="str">
            <v>04_Users</v>
          </cell>
          <cell r="F1034"/>
          <cell r="G1034"/>
          <cell r="H1034"/>
          <cell r="I1034"/>
          <cell r="J1034"/>
          <cell r="K1034"/>
          <cell r="L1034"/>
          <cell r="M1034"/>
          <cell r="N1034"/>
          <cell r="O1034"/>
          <cell r="P1034"/>
          <cell r="Q1034"/>
          <cell r="R1034"/>
          <cell r="S1034"/>
          <cell r="T1034"/>
          <cell r="U1034"/>
          <cell r="V1034"/>
          <cell r="W1034"/>
          <cell r="X1034"/>
          <cell r="Y1034"/>
          <cell r="Z1034"/>
          <cell r="AA1034"/>
          <cell r="AB1034"/>
          <cell r="AC1034"/>
          <cell r="AD1034"/>
          <cell r="AE1034"/>
          <cell r="AF1034"/>
          <cell r="AG1034"/>
          <cell r="AH1034"/>
          <cell r="AI1034"/>
          <cell r="AJ1034"/>
          <cell r="AK1034"/>
          <cell r="AL1034"/>
        </row>
        <row r="1035">
          <cell r="E1035" t="str">
            <v>04_Users</v>
          </cell>
          <cell r="F1035"/>
          <cell r="G1035"/>
          <cell r="H1035"/>
          <cell r="I1035"/>
          <cell r="J1035"/>
          <cell r="K1035"/>
          <cell r="L1035"/>
          <cell r="M1035"/>
          <cell r="N1035"/>
          <cell r="O1035"/>
          <cell r="P1035"/>
          <cell r="Q1035"/>
          <cell r="R1035"/>
          <cell r="S1035"/>
          <cell r="T1035"/>
          <cell r="U1035"/>
          <cell r="V1035"/>
          <cell r="W1035"/>
          <cell r="X1035"/>
          <cell r="Y1035"/>
          <cell r="Z1035"/>
          <cell r="AA1035"/>
          <cell r="AB1035"/>
          <cell r="AC1035"/>
          <cell r="AD1035"/>
          <cell r="AE1035"/>
          <cell r="AF1035"/>
          <cell r="AG1035"/>
          <cell r="AH1035"/>
          <cell r="AI1035"/>
          <cell r="AJ1035"/>
          <cell r="AK1035"/>
          <cell r="AL1035"/>
        </row>
        <row r="1036">
          <cell r="E1036" t="str">
            <v>04_Users</v>
          </cell>
          <cell r="F1036"/>
          <cell r="G1036"/>
          <cell r="H1036"/>
          <cell r="I1036"/>
          <cell r="J1036"/>
          <cell r="K1036"/>
          <cell r="L1036"/>
          <cell r="M1036"/>
          <cell r="N1036"/>
          <cell r="O1036"/>
          <cell r="P1036"/>
          <cell r="Q1036"/>
          <cell r="R1036"/>
          <cell r="S1036"/>
          <cell r="T1036"/>
          <cell r="U1036"/>
          <cell r="V1036"/>
          <cell r="W1036"/>
          <cell r="X1036"/>
          <cell r="Y1036"/>
          <cell r="Z1036"/>
          <cell r="AA1036"/>
          <cell r="AB1036"/>
          <cell r="AC1036"/>
          <cell r="AD1036"/>
          <cell r="AE1036"/>
          <cell r="AF1036"/>
          <cell r="AG1036"/>
          <cell r="AH1036"/>
          <cell r="AI1036"/>
          <cell r="AJ1036"/>
          <cell r="AK1036"/>
          <cell r="AL1036"/>
        </row>
        <row r="1037">
          <cell r="E1037" t="str">
            <v>04_Users</v>
          </cell>
          <cell r="F1037"/>
          <cell r="G1037"/>
          <cell r="H1037"/>
          <cell r="I1037"/>
          <cell r="J1037"/>
          <cell r="K1037"/>
          <cell r="L1037"/>
          <cell r="M1037"/>
          <cell r="N1037"/>
          <cell r="O1037"/>
          <cell r="P1037"/>
          <cell r="Q1037"/>
          <cell r="R1037"/>
          <cell r="S1037"/>
          <cell r="T1037"/>
          <cell r="U1037"/>
          <cell r="V1037"/>
          <cell r="W1037"/>
          <cell r="X1037"/>
          <cell r="Y1037"/>
          <cell r="Z1037"/>
          <cell r="AA1037"/>
          <cell r="AB1037"/>
          <cell r="AC1037"/>
          <cell r="AD1037"/>
          <cell r="AE1037"/>
          <cell r="AF1037"/>
          <cell r="AG1037"/>
          <cell r="AH1037"/>
          <cell r="AI1037"/>
          <cell r="AJ1037"/>
          <cell r="AK1037"/>
          <cell r="AL1037"/>
        </row>
        <row r="1038">
          <cell r="E1038"/>
          <cell r="F1038"/>
          <cell r="G1038"/>
          <cell r="H1038"/>
          <cell r="I1038"/>
          <cell r="J1038"/>
          <cell r="K1038"/>
          <cell r="L1038"/>
          <cell r="M1038"/>
          <cell r="N1038"/>
          <cell r="O1038"/>
          <cell r="P1038"/>
          <cell r="Q1038"/>
          <cell r="R1038"/>
          <cell r="S1038"/>
          <cell r="T1038"/>
          <cell r="U1038"/>
          <cell r="V1038"/>
          <cell r="W1038"/>
          <cell r="X1038"/>
          <cell r="Y1038"/>
          <cell r="Z1038"/>
          <cell r="AA1038"/>
          <cell r="AB1038"/>
          <cell r="AC1038"/>
          <cell r="AD1038"/>
          <cell r="AE1038"/>
          <cell r="AF1038"/>
          <cell r="AG1038"/>
          <cell r="AH1038"/>
          <cell r="AI1038"/>
          <cell r="AJ1038"/>
          <cell r="AK1038"/>
          <cell r="AL1038"/>
        </row>
        <row r="1039">
          <cell r="E1039"/>
          <cell r="F1039"/>
          <cell r="G1039"/>
          <cell r="H1039"/>
          <cell r="I1039"/>
          <cell r="J1039"/>
          <cell r="K1039"/>
          <cell r="L1039"/>
          <cell r="M1039"/>
          <cell r="N1039"/>
          <cell r="O1039"/>
          <cell r="P1039"/>
          <cell r="Q1039"/>
          <cell r="R1039"/>
          <cell r="S1039"/>
          <cell r="T1039"/>
          <cell r="U1039"/>
          <cell r="V1039"/>
          <cell r="W1039"/>
          <cell r="X1039"/>
          <cell r="Y1039"/>
          <cell r="Z1039"/>
          <cell r="AA1039"/>
          <cell r="AB1039"/>
          <cell r="AC1039"/>
          <cell r="AD1039"/>
          <cell r="AE1039"/>
          <cell r="AF1039"/>
          <cell r="AG1039"/>
          <cell r="AH1039"/>
          <cell r="AI1039"/>
          <cell r="AJ1039"/>
          <cell r="AK1039"/>
          <cell r="AL1039"/>
        </row>
        <row r="1040">
          <cell r="E1040" t="str">
            <v>HP 0.65mm-2C</v>
          </cell>
          <cell r="F1040" t="str">
            <v>ｍ</v>
          </cell>
          <cell r="G1040"/>
          <cell r="H1040">
            <v>27.4</v>
          </cell>
          <cell r="I1040"/>
          <cell r="J1040">
            <v>27.4</v>
          </cell>
          <cell r="K1040"/>
          <cell r="L1040">
            <v>27.4</v>
          </cell>
          <cell r="M1040"/>
          <cell r="N1040">
            <v>27.4</v>
          </cell>
          <cell r="O1040"/>
          <cell r="P1040">
            <v>27.4</v>
          </cell>
          <cell r="Q1040"/>
          <cell r="R1040">
            <v>27.4</v>
          </cell>
          <cell r="S1040"/>
          <cell r="T1040">
            <v>27.4</v>
          </cell>
          <cell r="U1040"/>
          <cell r="V1040">
            <v>27.4</v>
          </cell>
          <cell r="W1040"/>
          <cell r="X1040">
            <v>27.4</v>
          </cell>
          <cell r="Y1040"/>
          <cell r="Z1040">
            <v>27.4</v>
          </cell>
          <cell r="AA1040"/>
          <cell r="AB1040"/>
          <cell r="AC1040"/>
          <cell r="AD1040">
            <v>1.2999999999999999E-2</v>
          </cell>
          <cell r="AE1040"/>
          <cell r="AF1040"/>
          <cell r="AG1040"/>
          <cell r="AH1040"/>
          <cell r="AI1040"/>
          <cell r="AJ1040"/>
          <cell r="AK1040"/>
          <cell r="AL1040"/>
        </row>
        <row r="1041">
          <cell r="E1041" t="str">
            <v>HP 0.65mm-4C</v>
          </cell>
          <cell r="F1041" t="str">
            <v>ｍ</v>
          </cell>
          <cell r="G1041"/>
          <cell r="H1041">
            <v>45.4</v>
          </cell>
          <cell r="I1041"/>
          <cell r="J1041">
            <v>45.4</v>
          </cell>
          <cell r="K1041"/>
          <cell r="L1041">
            <v>45.4</v>
          </cell>
          <cell r="M1041"/>
          <cell r="N1041">
            <v>45.4</v>
          </cell>
          <cell r="O1041"/>
          <cell r="P1041">
            <v>45.4</v>
          </cell>
          <cell r="Q1041"/>
          <cell r="R1041">
            <v>45.4</v>
          </cell>
          <cell r="S1041"/>
          <cell r="T1041">
            <v>45.4</v>
          </cell>
          <cell r="U1041"/>
          <cell r="V1041">
            <v>45.4</v>
          </cell>
          <cell r="W1041"/>
          <cell r="X1041">
            <v>45.4</v>
          </cell>
          <cell r="Y1041"/>
          <cell r="Z1041">
            <v>45.4</v>
          </cell>
          <cell r="AA1041"/>
          <cell r="AB1041"/>
          <cell r="AC1041"/>
          <cell r="AD1041">
            <v>1.4E-2</v>
          </cell>
          <cell r="AE1041"/>
          <cell r="AF1041"/>
          <cell r="AG1041"/>
          <cell r="AH1041"/>
          <cell r="AI1041"/>
          <cell r="AJ1041"/>
          <cell r="AK1041"/>
          <cell r="AL1041"/>
        </row>
        <row r="1042">
          <cell r="E1042" t="str">
            <v>HP 0.65mm-6C</v>
          </cell>
          <cell r="F1042" t="str">
            <v>ｍ</v>
          </cell>
          <cell r="G1042"/>
          <cell r="H1042">
            <v>66.900000000000006</v>
          </cell>
          <cell r="I1042"/>
          <cell r="J1042">
            <v>66.900000000000006</v>
          </cell>
          <cell r="K1042"/>
          <cell r="L1042">
            <v>66.900000000000006</v>
          </cell>
          <cell r="M1042"/>
          <cell r="N1042">
            <v>66.900000000000006</v>
          </cell>
          <cell r="O1042"/>
          <cell r="P1042">
            <v>66.900000000000006</v>
          </cell>
          <cell r="Q1042"/>
          <cell r="R1042">
            <v>66.900000000000006</v>
          </cell>
          <cell r="S1042"/>
          <cell r="T1042">
            <v>66.900000000000006</v>
          </cell>
          <cell r="U1042"/>
          <cell r="V1042">
            <v>66.900000000000006</v>
          </cell>
          <cell r="W1042"/>
          <cell r="X1042">
            <v>66.900000000000006</v>
          </cell>
          <cell r="Y1042"/>
          <cell r="Z1042">
            <v>66.900000000000006</v>
          </cell>
          <cell r="AA1042"/>
          <cell r="AB1042"/>
          <cell r="AC1042"/>
          <cell r="AD1042">
            <v>1.4999999999999999E-2</v>
          </cell>
          <cell r="AE1042"/>
          <cell r="AF1042"/>
          <cell r="AG1042"/>
          <cell r="AH1042"/>
          <cell r="AI1042"/>
          <cell r="AJ1042"/>
          <cell r="AK1042"/>
          <cell r="AL1042"/>
        </row>
        <row r="1043">
          <cell r="E1043" t="str">
            <v>HP 0.65mm-5Pr</v>
          </cell>
          <cell r="F1043" t="str">
            <v>ｍ</v>
          </cell>
          <cell r="G1043"/>
          <cell r="H1043">
            <v>125</v>
          </cell>
          <cell r="I1043"/>
          <cell r="J1043">
            <v>125</v>
          </cell>
          <cell r="K1043"/>
          <cell r="L1043">
            <v>125</v>
          </cell>
          <cell r="M1043"/>
          <cell r="N1043">
            <v>125</v>
          </cell>
          <cell r="O1043"/>
          <cell r="P1043">
            <v>125</v>
          </cell>
          <cell r="Q1043"/>
          <cell r="R1043">
            <v>125</v>
          </cell>
          <cell r="S1043"/>
          <cell r="T1043">
            <v>125</v>
          </cell>
          <cell r="U1043"/>
          <cell r="V1043">
            <v>125</v>
          </cell>
          <cell r="W1043"/>
          <cell r="X1043">
            <v>125</v>
          </cell>
          <cell r="Y1043"/>
          <cell r="Z1043">
            <v>125</v>
          </cell>
          <cell r="AA1043"/>
          <cell r="AB1043"/>
          <cell r="AC1043"/>
          <cell r="AD1043">
            <v>1.7000000000000001E-2</v>
          </cell>
          <cell r="AE1043"/>
          <cell r="AF1043"/>
          <cell r="AG1043"/>
          <cell r="AH1043"/>
          <cell r="AI1043"/>
          <cell r="AJ1043"/>
          <cell r="AK1043"/>
          <cell r="AL1043"/>
        </row>
        <row r="1044">
          <cell r="E1044" t="str">
            <v>HP 0.65mm- 10Pr</v>
          </cell>
          <cell r="F1044" t="str">
            <v>ｍ</v>
          </cell>
          <cell r="G1044"/>
          <cell r="H1044">
            <v>235</v>
          </cell>
          <cell r="I1044"/>
          <cell r="J1044">
            <v>235</v>
          </cell>
          <cell r="K1044"/>
          <cell r="L1044">
            <v>235</v>
          </cell>
          <cell r="M1044"/>
          <cell r="N1044">
            <v>235</v>
          </cell>
          <cell r="O1044"/>
          <cell r="P1044">
            <v>235</v>
          </cell>
          <cell r="Q1044"/>
          <cell r="R1044">
            <v>235</v>
          </cell>
          <cell r="S1044"/>
          <cell r="T1044">
            <v>235</v>
          </cell>
          <cell r="U1044"/>
          <cell r="V1044">
            <v>235</v>
          </cell>
          <cell r="W1044"/>
          <cell r="X1044">
            <v>235</v>
          </cell>
          <cell r="Y1044"/>
          <cell r="Z1044">
            <v>235</v>
          </cell>
          <cell r="AA1044"/>
          <cell r="AB1044"/>
          <cell r="AC1044"/>
          <cell r="AD1044">
            <v>0.02</v>
          </cell>
          <cell r="AE1044"/>
          <cell r="AF1044"/>
          <cell r="AG1044"/>
          <cell r="AH1044"/>
          <cell r="AI1044"/>
          <cell r="AJ1044"/>
          <cell r="AK1044"/>
          <cell r="AL1044"/>
        </row>
        <row r="1045">
          <cell r="E1045" t="str">
            <v>HP 0.65mm- 15Pr</v>
          </cell>
          <cell r="F1045" t="str">
            <v>ｍ</v>
          </cell>
          <cell r="G1045"/>
          <cell r="H1045">
            <v>328</v>
          </cell>
          <cell r="I1045"/>
          <cell r="J1045">
            <v>328</v>
          </cell>
          <cell r="K1045"/>
          <cell r="L1045">
            <v>328</v>
          </cell>
          <cell r="M1045"/>
          <cell r="N1045">
            <v>328</v>
          </cell>
          <cell r="O1045"/>
          <cell r="P1045">
            <v>328</v>
          </cell>
          <cell r="Q1045"/>
          <cell r="R1045">
            <v>328</v>
          </cell>
          <cell r="S1045"/>
          <cell r="T1045">
            <v>328</v>
          </cell>
          <cell r="U1045"/>
          <cell r="V1045">
            <v>328</v>
          </cell>
          <cell r="W1045"/>
          <cell r="X1045">
            <v>328</v>
          </cell>
          <cell r="Y1045"/>
          <cell r="Z1045">
            <v>328</v>
          </cell>
          <cell r="AA1045"/>
          <cell r="AB1045"/>
          <cell r="AC1045"/>
          <cell r="AD1045">
            <v>2.1999999999999999E-2</v>
          </cell>
          <cell r="AE1045"/>
          <cell r="AF1045"/>
          <cell r="AG1045"/>
          <cell r="AH1045"/>
          <cell r="AI1045"/>
          <cell r="AJ1045"/>
          <cell r="AK1045"/>
          <cell r="AL1045"/>
        </row>
        <row r="1046">
          <cell r="E1046" t="str">
            <v>HP 0.65mm- 20Pr</v>
          </cell>
          <cell r="F1046" t="str">
            <v>ｍ</v>
          </cell>
          <cell r="G1046"/>
          <cell r="H1046">
            <v>441</v>
          </cell>
          <cell r="I1046"/>
          <cell r="J1046">
            <v>441</v>
          </cell>
          <cell r="K1046"/>
          <cell r="L1046">
            <v>441</v>
          </cell>
          <cell r="M1046"/>
          <cell r="N1046">
            <v>441</v>
          </cell>
          <cell r="O1046"/>
          <cell r="P1046">
            <v>441</v>
          </cell>
          <cell r="Q1046"/>
          <cell r="R1046">
            <v>441</v>
          </cell>
          <cell r="S1046"/>
          <cell r="T1046">
            <v>441</v>
          </cell>
          <cell r="U1046"/>
          <cell r="V1046">
            <v>441</v>
          </cell>
          <cell r="W1046"/>
          <cell r="X1046">
            <v>441</v>
          </cell>
          <cell r="Y1046"/>
          <cell r="Z1046">
            <v>441</v>
          </cell>
          <cell r="AA1046"/>
          <cell r="AB1046"/>
          <cell r="AC1046"/>
          <cell r="AD1046">
            <v>2.4E-2</v>
          </cell>
          <cell r="AE1046"/>
          <cell r="AF1046"/>
          <cell r="AG1046"/>
          <cell r="AH1046"/>
          <cell r="AI1046"/>
          <cell r="AJ1046"/>
          <cell r="AK1046"/>
          <cell r="AL1046"/>
        </row>
        <row r="1047">
          <cell r="E1047" t="str">
            <v>HP 0.65mm- 30Pr</v>
          </cell>
          <cell r="F1047" t="str">
            <v>ｍ</v>
          </cell>
          <cell r="G1047"/>
          <cell r="H1047">
            <v>654</v>
          </cell>
          <cell r="I1047"/>
          <cell r="J1047">
            <v>654</v>
          </cell>
          <cell r="K1047"/>
          <cell r="L1047">
            <v>654</v>
          </cell>
          <cell r="M1047"/>
          <cell r="N1047">
            <v>654</v>
          </cell>
          <cell r="O1047"/>
          <cell r="P1047">
            <v>654</v>
          </cell>
          <cell r="Q1047"/>
          <cell r="R1047">
            <v>654</v>
          </cell>
          <cell r="S1047"/>
          <cell r="T1047">
            <v>654</v>
          </cell>
          <cell r="U1047"/>
          <cell r="V1047">
            <v>654</v>
          </cell>
          <cell r="W1047"/>
          <cell r="X1047">
            <v>654</v>
          </cell>
          <cell r="Y1047"/>
          <cell r="Z1047">
            <v>654</v>
          </cell>
          <cell r="AA1047"/>
          <cell r="AB1047"/>
          <cell r="AC1047"/>
          <cell r="AD1047">
            <v>2.9000000000000001E-2</v>
          </cell>
          <cell r="AE1047"/>
          <cell r="AF1047"/>
          <cell r="AG1047"/>
          <cell r="AH1047"/>
          <cell r="AI1047"/>
          <cell r="AJ1047"/>
          <cell r="AK1047"/>
          <cell r="AL1047"/>
        </row>
        <row r="1048">
          <cell r="E1048" t="str">
            <v>HP 0.65mm- 40Pr</v>
          </cell>
          <cell r="F1048" t="str">
            <v>ｍ</v>
          </cell>
          <cell r="G1048"/>
          <cell r="H1048">
            <v>862</v>
          </cell>
          <cell r="I1048"/>
          <cell r="J1048">
            <v>862</v>
          </cell>
          <cell r="K1048"/>
          <cell r="L1048">
            <v>862</v>
          </cell>
          <cell r="M1048"/>
          <cell r="N1048">
            <v>862</v>
          </cell>
          <cell r="O1048"/>
          <cell r="P1048">
            <v>862</v>
          </cell>
          <cell r="Q1048"/>
          <cell r="R1048">
            <v>862</v>
          </cell>
          <cell r="S1048"/>
          <cell r="T1048">
            <v>862</v>
          </cell>
          <cell r="U1048"/>
          <cell r="V1048">
            <v>862</v>
          </cell>
          <cell r="W1048"/>
          <cell r="X1048">
            <v>862</v>
          </cell>
          <cell r="Y1048"/>
          <cell r="Z1048">
            <v>862</v>
          </cell>
          <cell r="AA1048"/>
          <cell r="AB1048"/>
          <cell r="AC1048"/>
          <cell r="AD1048">
            <v>3.4000000000000002E-2</v>
          </cell>
          <cell r="AE1048"/>
          <cell r="AF1048"/>
          <cell r="AG1048"/>
          <cell r="AH1048"/>
          <cell r="AI1048"/>
          <cell r="AJ1048"/>
          <cell r="AK1048"/>
          <cell r="AL1048"/>
        </row>
        <row r="1049">
          <cell r="E1049" t="str">
            <v>HP 0.65mm- 50Pr</v>
          </cell>
          <cell r="F1049" t="str">
            <v>ｍ</v>
          </cell>
          <cell r="G1049"/>
          <cell r="H1049">
            <v>1050</v>
          </cell>
          <cell r="I1049"/>
          <cell r="J1049">
            <v>1050</v>
          </cell>
          <cell r="K1049"/>
          <cell r="L1049">
            <v>1050</v>
          </cell>
          <cell r="M1049"/>
          <cell r="N1049">
            <v>1050</v>
          </cell>
          <cell r="O1049"/>
          <cell r="P1049">
            <v>1050</v>
          </cell>
          <cell r="Q1049"/>
          <cell r="R1049">
            <v>1050</v>
          </cell>
          <cell r="S1049"/>
          <cell r="T1049">
            <v>1050</v>
          </cell>
          <cell r="U1049"/>
          <cell r="V1049">
            <v>1050</v>
          </cell>
          <cell r="W1049"/>
          <cell r="X1049">
            <v>1050</v>
          </cell>
          <cell r="Y1049"/>
          <cell r="Z1049">
            <v>1050</v>
          </cell>
          <cell r="AA1049"/>
          <cell r="AB1049"/>
          <cell r="AC1049"/>
          <cell r="AD1049">
            <v>3.9E-2</v>
          </cell>
          <cell r="AE1049"/>
          <cell r="AF1049"/>
          <cell r="AG1049"/>
          <cell r="AH1049"/>
          <cell r="AI1049"/>
          <cell r="AJ1049"/>
          <cell r="AK1049"/>
          <cell r="AL1049"/>
        </row>
        <row r="1050">
          <cell r="E1050" t="str">
            <v>HP 0.65mm-100Pr</v>
          </cell>
          <cell r="F1050" t="str">
            <v>ｍ</v>
          </cell>
          <cell r="G1050"/>
          <cell r="H1050">
            <v>2185</v>
          </cell>
          <cell r="I1050"/>
          <cell r="J1050">
            <v>2185</v>
          </cell>
          <cell r="K1050"/>
          <cell r="L1050">
            <v>2185</v>
          </cell>
          <cell r="M1050"/>
          <cell r="N1050">
            <v>2185</v>
          </cell>
          <cell r="O1050"/>
          <cell r="P1050">
            <v>2185</v>
          </cell>
          <cell r="Q1050"/>
          <cell r="R1050">
            <v>2185</v>
          </cell>
          <cell r="S1050"/>
          <cell r="T1050">
            <v>2185</v>
          </cell>
          <cell r="U1050"/>
          <cell r="V1050">
            <v>2185</v>
          </cell>
          <cell r="W1050"/>
          <cell r="X1050">
            <v>2185</v>
          </cell>
          <cell r="Y1050"/>
          <cell r="Z1050">
            <v>2185</v>
          </cell>
          <cell r="AA1050"/>
          <cell r="AB1050"/>
          <cell r="AC1050"/>
          <cell r="AD1050">
            <v>6.4000000000000001E-2</v>
          </cell>
          <cell r="AE1050"/>
          <cell r="AF1050"/>
          <cell r="AG1050"/>
          <cell r="AH1050"/>
          <cell r="AI1050"/>
          <cell r="AJ1050"/>
          <cell r="AK1050"/>
          <cell r="AL1050"/>
        </row>
        <row r="1051">
          <cell r="E1051" t="str">
            <v>HP 0.9mm-1C</v>
          </cell>
          <cell r="F1051" t="str">
            <v>ｍ</v>
          </cell>
          <cell r="G1051"/>
          <cell r="H1051">
            <v>16.2</v>
          </cell>
          <cell r="I1051"/>
          <cell r="J1051">
            <v>16.2</v>
          </cell>
          <cell r="K1051"/>
          <cell r="L1051">
            <v>16.2</v>
          </cell>
          <cell r="M1051"/>
          <cell r="N1051">
            <v>16.2</v>
          </cell>
          <cell r="O1051"/>
          <cell r="P1051">
            <v>16.2</v>
          </cell>
          <cell r="Q1051"/>
          <cell r="R1051">
            <v>16.2</v>
          </cell>
          <cell r="S1051"/>
          <cell r="T1051">
            <v>16.2</v>
          </cell>
          <cell r="U1051"/>
          <cell r="V1051">
            <v>16.2</v>
          </cell>
          <cell r="W1051"/>
          <cell r="X1051">
            <v>16.2</v>
          </cell>
          <cell r="Y1051"/>
          <cell r="Z1051">
            <v>16.2</v>
          </cell>
          <cell r="AA1051"/>
          <cell r="AB1051"/>
          <cell r="AC1051"/>
          <cell r="AD1051">
            <v>1.2E-2</v>
          </cell>
          <cell r="AE1051"/>
          <cell r="AF1051"/>
          <cell r="AG1051"/>
          <cell r="AH1051"/>
          <cell r="AI1051"/>
          <cell r="AJ1051"/>
          <cell r="AK1051"/>
          <cell r="AL1051"/>
        </row>
        <row r="1052">
          <cell r="E1052" t="str">
            <v>HP 0.9mm-2C</v>
          </cell>
          <cell r="F1052" t="str">
            <v>ｍ</v>
          </cell>
          <cell r="G1052"/>
          <cell r="H1052">
            <v>28.7</v>
          </cell>
          <cell r="I1052"/>
          <cell r="J1052">
            <v>28.7</v>
          </cell>
          <cell r="K1052"/>
          <cell r="L1052">
            <v>28.7</v>
          </cell>
          <cell r="M1052"/>
          <cell r="N1052">
            <v>28.7</v>
          </cell>
          <cell r="O1052"/>
          <cell r="P1052">
            <v>28.7</v>
          </cell>
          <cell r="Q1052"/>
          <cell r="R1052">
            <v>28.7</v>
          </cell>
          <cell r="S1052"/>
          <cell r="T1052">
            <v>28.7</v>
          </cell>
          <cell r="U1052"/>
          <cell r="V1052">
            <v>28.7</v>
          </cell>
          <cell r="W1052"/>
          <cell r="X1052">
            <v>28.7</v>
          </cell>
          <cell r="Y1052"/>
          <cell r="Z1052">
            <v>28.7</v>
          </cell>
          <cell r="AA1052"/>
          <cell r="AB1052"/>
          <cell r="AC1052"/>
          <cell r="AD1052">
            <v>1.4E-2</v>
          </cell>
          <cell r="AE1052"/>
          <cell r="AF1052"/>
          <cell r="AG1052"/>
          <cell r="AH1052"/>
          <cell r="AI1052"/>
          <cell r="AJ1052"/>
          <cell r="AK1052"/>
          <cell r="AL1052"/>
        </row>
        <row r="1053">
          <cell r="E1053" t="str">
            <v>HP 0.9mm-3C</v>
          </cell>
          <cell r="F1053" t="str">
            <v>ｍ</v>
          </cell>
          <cell r="G1053"/>
          <cell r="H1053">
            <v>43</v>
          </cell>
          <cell r="I1053"/>
          <cell r="J1053">
            <v>43</v>
          </cell>
          <cell r="K1053"/>
          <cell r="L1053">
            <v>43</v>
          </cell>
          <cell r="M1053"/>
          <cell r="N1053">
            <v>43</v>
          </cell>
          <cell r="O1053"/>
          <cell r="P1053">
            <v>43</v>
          </cell>
          <cell r="Q1053"/>
          <cell r="R1053">
            <v>43</v>
          </cell>
          <cell r="S1053"/>
          <cell r="T1053">
            <v>43</v>
          </cell>
          <cell r="U1053"/>
          <cell r="V1053">
            <v>43</v>
          </cell>
          <cell r="W1053"/>
          <cell r="X1053">
            <v>43</v>
          </cell>
          <cell r="Y1053"/>
          <cell r="Z1053">
            <v>43</v>
          </cell>
          <cell r="AA1053"/>
          <cell r="AB1053"/>
          <cell r="AC1053"/>
          <cell r="AD1053">
            <v>1.6E-2</v>
          </cell>
          <cell r="AE1053"/>
          <cell r="AF1053"/>
          <cell r="AG1053"/>
          <cell r="AH1053"/>
          <cell r="AI1053"/>
          <cell r="AJ1053"/>
          <cell r="AK1053"/>
          <cell r="AL1053"/>
        </row>
        <row r="1054">
          <cell r="E1054" t="str">
            <v>HP 0.9mm-4C</v>
          </cell>
          <cell r="F1054" t="str">
            <v>ｍ</v>
          </cell>
          <cell r="G1054"/>
          <cell r="H1054">
            <v>63.1</v>
          </cell>
          <cell r="I1054"/>
          <cell r="J1054">
            <v>63.1</v>
          </cell>
          <cell r="K1054"/>
          <cell r="L1054">
            <v>63.1</v>
          </cell>
          <cell r="M1054"/>
          <cell r="N1054">
            <v>63.1</v>
          </cell>
          <cell r="O1054"/>
          <cell r="P1054">
            <v>63.1</v>
          </cell>
          <cell r="Q1054"/>
          <cell r="R1054">
            <v>63.1</v>
          </cell>
          <cell r="S1054"/>
          <cell r="T1054">
            <v>63.1</v>
          </cell>
          <cell r="U1054"/>
          <cell r="V1054">
            <v>63.1</v>
          </cell>
          <cell r="W1054"/>
          <cell r="X1054">
            <v>63.1</v>
          </cell>
          <cell r="Y1054"/>
          <cell r="Z1054">
            <v>63.1</v>
          </cell>
          <cell r="AA1054"/>
          <cell r="AB1054"/>
          <cell r="AC1054"/>
          <cell r="AD1054">
            <v>1.7000000000000001E-2</v>
          </cell>
          <cell r="AE1054"/>
          <cell r="AF1054"/>
          <cell r="AG1054"/>
          <cell r="AH1054"/>
          <cell r="AI1054"/>
          <cell r="AJ1054"/>
          <cell r="AK1054"/>
          <cell r="AL1054"/>
        </row>
        <row r="1055">
          <cell r="E1055" t="str">
            <v>HP 0.9mm-5C</v>
          </cell>
          <cell r="F1055" t="str">
            <v>ｍ</v>
          </cell>
          <cell r="G1055"/>
          <cell r="H1055">
            <v>78.900000000000006</v>
          </cell>
          <cell r="I1055"/>
          <cell r="J1055">
            <v>78.900000000000006</v>
          </cell>
          <cell r="K1055"/>
          <cell r="L1055">
            <v>78.900000000000006</v>
          </cell>
          <cell r="M1055"/>
          <cell r="N1055">
            <v>78.900000000000006</v>
          </cell>
          <cell r="O1055"/>
          <cell r="P1055">
            <v>78.900000000000006</v>
          </cell>
          <cell r="Q1055"/>
          <cell r="R1055">
            <v>78.900000000000006</v>
          </cell>
          <cell r="S1055"/>
          <cell r="T1055">
            <v>78.900000000000006</v>
          </cell>
          <cell r="U1055"/>
          <cell r="V1055">
            <v>78.900000000000006</v>
          </cell>
          <cell r="W1055"/>
          <cell r="X1055">
            <v>78.900000000000006</v>
          </cell>
          <cell r="Y1055"/>
          <cell r="Z1055">
            <v>78.900000000000006</v>
          </cell>
          <cell r="AA1055"/>
          <cell r="AB1055"/>
          <cell r="AC1055"/>
          <cell r="AD1055">
            <v>1.9E-2</v>
          </cell>
          <cell r="AE1055"/>
          <cell r="AF1055"/>
          <cell r="AG1055"/>
          <cell r="AH1055"/>
          <cell r="AI1055"/>
          <cell r="AJ1055"/>
          <cell r="AK1055"/>
          <cell r="AL1055"/>
        </row>
        <row r="1056">
          <cell r="E1056" t="str">
            <v>HP 0.9mm-6C</v>
          </cell>
          <cell r="F1056" t="str">
            <v>ｍ</v>
          </cell>
          <cell r="G1056"/>
          <cell r="H1056">
            <v>90.2</v>
          </cell>
          <cell r="I1056"/>
          <cell r="J1056">
            <v>90.2</v>
          </cell>
          <cell r="K1056"/>
          <cell r="L1056">
            <v>90.2</v>
          </cell>
          <cell r="M1056"/>
          <cell r="N1056">
            <v>90.2</v>
          </cell>
          <cell r="O1056"/>
          <cell r="P1056">
            <v>90.2</v>
          </cell>
          <cell r="Q1056"/>
          <cell r="R1056">
            <v>90.2</v>
          </cell>
          <cell r="S1056"/>
          <cell r="T1056">
            <v>90.2</v>
          </cell>
          <cell r="U1056"/>
          <cell r="V1056">
            <v>90.2</v>
          </cell>
          <cell r="W1056"/>
          <cell r="X1056">
            <v>90.2</v>
          </cell>
          <cell r="Y1056"/>
          <cell r="Z1056">
            <v>90.2</v>
          </cell>
          <cell r="AA1056"/>
          <cell r="AB1056"/>
          <cell r="AC1056"/>
          <cell r="AD1056">
            <v>1.9E-2</v>
          </cell>
          <cell r="AE1056"/>
          <cell r="AF1056"/>
          <cell r="AG1056"/>
          <cell r="AH1056"/>
          <cell r="AI1056"/>
          <cell r="AJ1056"/>
          <cell r="AK1056"/>
          <cell r="AL1056"/>
        </row>
        <row r="1057">
          <cell r="E1057" t="str">
            <v>HP 0.9mm-7C</v>
          </cell>
          <cell r="F1057" t="str">
            <v>ｍ</v>
          </cell>
          <cell r="G1057"/>
          <cell r="H1057">
            <v>105</v>
          </cell>
          <cell r="I1057"/>
          <cell r="J1057">
            <v>105</v>
          </cell>
          <cell r="K1057"/>
          <cell r="L1057">
            <v>105</v>
          </cell>
          <cell r="M1057"/>
          <cell r="N1057">
            <v>105</v>
          </cell>
          <cell r="O1057"/>
          <cell r="P1057">
            <v>105</v>
          </cell>
          <cell r="Q1057"/>
          <cell r="R1057">
            <v>105</v>
          </cell>
          <cell r="S1057"/>
          <cell r="T1057">
            <v>105</v>
          </cell>
          <cell r="U1057"/>
          <cell r="V1057">
            <v>105</v>
          </cell>
          <cell r="W1057"/>
          <cell r="X1057">
            <v>105</v>
          </cell>
          <cell r="Y1057"/>
          <cell r="Z1057">
            <v>105</v>
          </cell>
          <cell r="AA1057"/>
          <cell r="AB1057"/>
          <cell r="AC1057"/>
          <cell r="AD1057">
            <v>0.02</v>
          </cell>
          <cell r="AE1057"/>
          <cell r="AF1057"/>
          <cell r="AG1057"/>
          <cell r="AH1057"/>
          <cell r="AI1057"/>
          <cell r="AJ1057"/>
          <cell r="AK1057"/>
          <cell r="AL1057"/>
        </row>
        <row r="1058">
          <cell r="E1058" t="str">
            <v>HP 0.9mm-3Pr</v>
          </cell>
          <cell r="F1058" t="str">
            <v>ｍ</v>
          </cell>
          <cell r="G1058"/>
          <cell r="H1058">
            <v>111</v>
          </cell>
          <cell r="I1058"/>
          <cell r="J1058">
            <v>111</v>
          </cell>
          <cell r="K1058"/>
          <cell r="L1058">
            <v>111</v>
          </cell>
          <cell r="M1058"/>
          <cell r="N1058">
            <v>111</v>
          </cell>
          <cell r="O1058"/>
          <cell r="P1058">
            <v>111</v>
          </cell>
          <cell r="Q1058"/>
          <cell r="R1058">
            <v>111</v>
          </cell>
          <cell r="S1058"/>
          <cell r="T1058">
            <v>111</v>
          </cell>
          <cell r="U1058"/>
          <cell r="V1058">
            <v>111</v>
          </cell>
          <cell r="W1058"/>
          <cell r="X1058">
            <v>111</v>
          </cell>
          <cell r="Y1058"/>
          <cell r="Z1058">
            <v>111</v>
          </cell>
          <cell r="AA1058"/>
          <cell r="AB1058"/>
          <cell r="AC1058"/>
          <cell r="AD1058">
            <v>2.1000000000000001E-2</v>
          </cell>
          <cell r="AE1058"/>
          <cell r="AF1058"/>
          <cell r="AG1058"/>
          <cell r="AH1058"/>
          <cell r="AI1058"/>
          <cell r="AJ1058"/>
          <cell r="AK1058"/>
          <cell r="AL1058"/>
        </row>
        <row r="1059">
          <cell r="E1059" t="str">
            <v>HP 0.9mm-5Pr</v>
          </cell>
          <cell r="F1059" t="str">
            <v>ｍ</v>
          </cell>
          <cell r="G1059"/>
          <cell r="H1059">
            <v>154</v>
          </cell>
          <cell r="I1059"/>
          <cell r="J1059">
            <v>154</v>
          </cell>
          <cell r="K1059"/>
          <cell r="L1059">
            <v>154</v>
          </cell>
          <cell r="M1059"/>
          <cell r="N1059">
            <v>154</v>
          </cell>
          <cell r="O1059"/>
          <cell r="P1059">
            <v>154</v>
          </cell>
          <cell r="Q1059"/>
          <cell r="R1059">
            <v>154</v>
          </cell>
          <cell r="S1059"/>
          <cell r="T1059">
            <v>154</v>
          </cell>
          <cell r="U1059"/>
          <cell r="V1059">
            <v>154</v>
          </cell>
          <cell r="W1059"/>
          <cell r="X1059">
            <v>154</v>
          </cell>
          <cell r="Y1059"/>
          <cell r="Z1059">
            <v>154</v>
          </cell>
          <cell r="AA1059"/>
          <cell r="AB1059"/>
          <cell r="AC1059"/>
          <cell r="AD1059">
            <v>2.1999999999999999E-2</v>
          </cell>
          <cell r="AE1059"/>
          <cell r="AF1059"/>
          <cell r="AG1059"/>
          <cell r="AH1059"/>
          <cell r="AI1059"/>
          <cell r="AJ1059"/>
          <cell r="AK1059"/>
          <cell r="AL1059"/>
        </row>
        <row r="1060">
          <cell r="E1060" t="str">
            <v>HP 0.9mm-7Pr</v>
          </cell>
          <cell r="F1060" t="str">
            <v>ｍ</v>
          </cell>
          <cell r="G1060"/>
          <cell r="H1060">
            <v>202</v>
          </cell>
          <cell r="I1060"/>
          <cell r="J1060">
            <v>202</v>
          </cell>
          <cell r="K1060"/>
          <cell r="L1060">
            <v>202</v>
          </cell>
          <cell r="M1060"/>
          <cell r="N1060">
            <v>202</v>
          </cell>
          <cell r="O1060"/>
          <cell r="P1060">
            <v>202</v>
          </cell>
          <cell r="Q1060"/>
          <cell r="R1060">
            <v>202</v>
          </cell>
          <cell r="S1060"/>
          <cell r="T1060">
            <v>202</v>
          </cell>
          <cell r="U1060"/>
          <cell r="V1060">
            <v>202</v>
          </cell>
          <cell r="W1060"/>
          <cell r="X1060">
            <v>202</v>
          </cell>
          <cell r="Y1060"/>
          <cell r="Z1060">
            <v>202</v>
          </cell>
          <cell r="AA1060"/>
          <cell r="AB1060"/>
          <cell r="AC1060"/>
          <cell r="AD1060">
            <v>2.3E-2</v>
          </cell>
          <cell r="AE1060"/>
          <cell r="AF1060"/>
          <cell r="AG1060"/>
          <cell r="AH1060"/>
          <cell r="AI1060"/>
          <cell r="AJ1060"/>
          <cell r="AK1060"/>
          <cell r="AL1060"/>
        </row>
        <row r="1061">
          <cell r="E1061" t="str">
            <v>HP 0.9mm- 10Pr</v>
          </cell>
          <cell r="F1061" t="str">
            <v>ｍ</v>
          </cell>
          <cell r="G1061"/>
          <cell r="H1061">
            <v>290</v>
          </cell>
          <cell r="I1061"/>
          <cell r="J1061">
            <v>290</v>
          </cell>
          <cell r="K1061"/>
          <cell r="L1061">
            <v>290</v>
          </cell>
          <cell r="M1061"/>
          <cell r="N1061">
            <v>290</v>
          </cell>
          <cell r="O1061"/>
          <cell r="P1061">
            <v>290</v>
          </cell>
          <cell r="Q1061"/>
          <cell r="R1061">
            <v>290</v>
          </cell>
          <cell r="S1061"/>
          <cell r="T1061">
            <v>290</v>
          </cell>
          <cell r="U1061"/>
          <cell r="V1061">
            <v>290</v>
          </cell>
          <cell r="W1061"/>
          <cell r="X1061">
            <v>290</v>
          </cell>
          <cell r="Y1061"/>
          <cell r="Z1061">
            <v>290</v>
          </cell>
          <cell r="AA1061"/>
          <cell r="AB1061"/>
          <cell r="AC1061"/>
          <cell r="AD1061">
            <v>2.5000000000000001E-2</v>
          </cell>
          <cell r="AE1061"/>
          <cell r="AF1061"/>
          <cell r="AG1061"/>
          <cell r="AH1061"/>
          <cell r="AI1061"/>
          <cell r="AJ1061"/>
          <cell r="AK1061"/>
          <cell r="AL1061"/>
        </row>
        <row r="1062">
          <cell r="E1062" t="str">
            <v>HP 0.9mm- 15Pr</v>
          </cell>
          <cell r="F1062" t="str">
            <v>ｍ</v>
          </cell>
          <cell r="G1062"/>
          <cell r="H1062">
            <v>426</v>
          </cell>
          <cell r="I1062"/>
          <cell r="J1062">
            <v>426</v>
          </cell>
          <cell r="K1062"/>
          <cell r="L1062">
            <v>426</v>
          </cell>
          <cell r="M1062"/>
          <cell r="N1062">
            <v>426</v>
          </cell>
          <cell r="O1062"/>
          <cell r="P1062">
            <v>426</v>
          </cell>
          <cell r="Q1062"/>
          <cell r="R1062">
            <v>426</v>
          </cell>
          <cell r="S1062"/>
          <cell r="T1062">
            <v>426</v>
          </cell>
          <cell r="U1062"/>
          <cell r="V1062">
            <v>426</v>
          </cell>
          <cell r="W1062"/>
          <cell r="X1062">
            <v>426</v>
          </cell>
          <cell r="Y1062"/>
          <cell r="Z1062">
            <v>426</v>
          </cell>
          <cell r="AA1062"/>
          <cell r="AB1062"/>
          <cell r="AC1062"/>
          <cell r="AD1062">
            <v>2.8000000000000001E-2</v>
          </cell>
          <cell r="AE1062"/>
          <cell r="AF1062"/>
          <cell r="AG1062"/>
          <cell r="AH1062"/>
          <cell r="AI1062"/>
          <cell r="AJ1062"/>
          <cell r="AK1062"/>
          <cell r="AL1062"/>
        </row>
        <row r="1063">
          <cell r="E1063" t="str">
            <v>HP 0.9mm- 20Pr</v>
          </cell>
          <cell r="F1063" t="str">
            <v>ｍ</v>
          </cell>
          <cell r="G1063"/>
          <cell r="H1063">
            <v>546</v>
          </cell>
          <cell r="I1063"/>
          <cell r="J1063">
            <v>546</v>
          </cell>
          <cell r="K1063"/>
          <cell r="L1063">
            <v>546</v>
          </cell>
          <cell r="M1063"/>
          <cell r="N1063">
            <v>546</v>
          </cell>
          <cell r="O1063"/>
          <cell r="P1063">
            <v>546</v>
          </cell>
          <cell r="Q1063"/>
          <cell r="R1063">
            <v>546</v>
          </cell>
          <cell r="S1063"/>
          <cell r="T1063">
            <v>546</v>
          </cell>
          <cell r="U1063"/>
          <cell r="V1063">
            <v>546</v>
          </cell>
          <cell r="W1063"/>
          <cell r="X1063">
            <v>546</v>
          </cell>
          <cell r="Y1063"/>
          <cell r="Z1063">
            <v>546</v>
          </cell>
          <cell r="AA1063"/>
          <cell r="AB1063"/>
          <cell r="AC1063"/>
          <cell r="AD1063">
            <v>3.1E-2</v>
          </cell>
          <cell r="AE1063"/>
          <cell r="AF1063"/>
          <cell r="AG1063"/>
          <cell r="AH1063"/>
          <cell r="AI1063"/>
          <cell r="AJ1063"/>
          <cell r="AK1063"/>
          <cell r="AL1063"/>
        </row>
        <row r="1064">
          <cell r="E1064" t="str">
            <v>HP 0.9mm- 25Pr</v>
          </cell>
          <cell r="F1064" t="str">
            <v>ｍ</v>
          </cell>
          <cell r="G1064"/>
          <cell r="H1064">
            <v>684</v>
          </cell>
          <cell r="I1064"/>
          <cell r="J1064">
            <v>684</v>
          </cell>
          <cell r="K1064"/>
          <cell r="L1064">
            <v>684</v>
          </cell>
          <cell r="M1064"/>
          <cell r="N1064">
            <v>684</v>
          </cell>
          <cell r="O1064"/>
          <cell r="P1064">
            <v>684</v>
          </cell>
          <cell r="Q1064"/>
          <cell r="R1064">
            <v>684</v>
          </cell>
          <cell r="S1064"/>
          <cell r="T1064">
            <v>684</v>
          </cell>
          <cell r="U1064"/>
          <cell r="V1064">
            <v>684</v>
          </cell>
          <cell r="W1064"/>
          <cell r="X1064">
            <v>684</v>
          </cell>
          <cell r="Y1064"/>
          <cell r="Z1064">
            <v>684</v>
          </cell>
          <cell r="AA1064"/>
          <cell r="AB1064"/>
          <cell r="AC1064"/>
          <cell r="AD1064">
            <v>3.5000000000000003E-2</v>
          </cell>
          <cell r="AE1064"/>
          <cell r="AF1064"/>
          <cell r="AG1064"/>
          <cell r="AH1064"/>
          <cell r="AI1064"/>
          <cell r="AJ1064"/>
          <cell r="AK1064"/>
          <cell r="AL1064"/>
        </row>
        <row r="1065">
          <cell r="E1065" t="str">
            <v>HP 0.9mm- 30Pr</v>
          </cell>
          <cell r="F1065" t="str">
            <v>ｍ</v>
          </cell>
          <cell r="G1065"/>
          <cell r="H1065">
            <v>812</v>
          </cell>
          <cell r="I1065"/>
          <cell r="J1065">
            <v>812</v>
          </cell>
          <cell r="K1065"/>
          <cell r="L1065">
            <v>812</v>
          </cell>
          <cell r="M1065"/>
          <cell r="N1065">
            <v>812</v>
          </cell>
          <cell r="O1065"/>
          <cell r="P1065">
            <v>812</v>
          </cell>
          <cell r="Q1065"/>
          <cell r="R1065">
            <v>812</v>
          </cell>
          <cell r="S1065"/>
          <cell r="T1065">
            <v>812</v>
          </cell>
          <cell r="U1065"/>
          <cell r="V1065">
            <v>812</v>
          </cell>
          <cell r="W1065"/>
          <cell r="X1065">
            <v>812</v>
          </cell>
          <cell r="Y1065"/>
          <cell r="Z1065">
            <v>812</v>
          </cell>
          <cell r="AA1065"/>
          <cell r="AB1065"/>
          <cell r="AC1065"/>
          <cell r="AD1065">
            <v>3.6999999999999998E-2</v>
          </cell>
          <cell r="AE1065"/>
          <cell r="AF1065"/>
          <cell r="AG1065"/>
          <cell r="AH1065"/>
          <cell r="AI1065"/>
          <cell r="AJ1065"/>
          <cell r="AK1065"/>
          <cell r="AL1065"/>
        </row>
        <row r="1066">
          <cell r="E1066" t="str">
            <v>HP 0.9mm- 40Pr</v>
          </cell>
          <cell r="F1066" t="str">
            <v>ｍ</v>
          </cell>
          <cell r="G1066"/>
          <cell r="H1066">
            <v>1128</v>
          </cell>
          <cell r="I1066"/>
          <cell r="J1066">
            <v>1128</v>
          </cell>
          <cell r="K1066"/>
          <cell r="L1066">
            <v>1128</v>
          </cell>
          <cell r="M1066"/>
          <cell r="N1066">
            <v>1128</v>
          </cell>
          <cell r="O1066"/>
          <cell r="P1066">
            <v>1128</v>
          </cell>
          <cell r="Q1066"/>
          <cell r="R1066">
            <v>1128</v>
          </cell>
          <cell r="S1066"/>
          <cell r="T1066">
            <v>1128</v>
          </cell>
          <cell r="U1066"/>
          <cell r="V1066">
            <v>1128</v>
          </cell>
          <cell r="W1066"/>
          <cell r="X1066">
            <v>1128</v>
          </cell>
          <cell r="Y1066"/>
          <cell r="Z1066">
            <v>1128</v>
          </cell>
          <cell r="AA1066"/>
          <cell r="AB1066"/>
          <cell r="AC1066"/>
          <cell r="AD1066">
            <v>4.2999999999999997E-2</v>
          </cell>
          <cell r="AE1066"/>
          <cell r="AF1066"/>
          <cell r="AG1066"/>
          <cell r="AH1066"/>
          <cell r="AI1066"/>
          <cell r="AJ1066"/>
          <cell r="AK1066"/>
          <cell r="AL1066"/>
        </row>
        <row r="1067">
          <cell r="E1067" t="str">
            <v>HP 0.9mm- 50Pr</v>
          </cell>
          <cell r="F1067" t="str">
            <v>ｍ</v>
          </cell>
          <cell r="G1067"/>
          <cell r="H1067">
            <v>1318</v>
          </cell>
          <cell r="I1067"/>
          <cell r="J1067">
            <v>1318</v>
          </cell>
          <cell r="K1067"/>
          <cell r="L1067">
            <v>1318</v>
          </cell>
          <cell r="M1067"/>
          <cell r="N1067">
            <v>1318</v>
          </cell>
          <cell r="O1067"/>
          <cell r="P1067">
            <v>1318</v>
          </cell>
          <cell r="Q1067"/>
          <cell r="R1067">
            <v>1318</v>
          </cell>
          <cell r="S1067"/>
          <cell r="T1067">
            <v>1318</v>
          </cell>
          <cell r="U1067"/>
          <cell r="V1067">
            <v>1318</v>
          </cell>
          <cell r="W1067"/>
          <cell r="X1067">
            <v>1318</v>
          </cell>
          <cell r="Y1067"/>
          <cell r="Z1067">
            <v>1318</v>
          </cell>
          <cell r="AA1067"/>
          <cell r="AB1067"/>
          <cell r="AC1067"/>
          <cell r="AD1067">
            <v>0.05</v>
          </cell>
          <cell r="AE1067"/>
          <cell r="AF1067"/>
          <cell r="AG1067"/>
          <cell r="AH1067"/>
          <cell r="AI1067"/>
          <cell r="AJ1067"/>
          <cell r="AK1067"/>
          <cell r="AL1067"/>
        </row>
        <row r="1068">
          <cell r="E1068" t="str">
            <v>HP 0.9mm- 75Pr</v>
          </cell>
          <cell r="F1068" t="str">
            <v>ｍ</v>
          </cell>
          <cell r="G1068"/>
          <cell r="H1068">
            <v>2127</v>
          </cell>
          <cell r="I1068"/>
          <cell r="J1068">
            <v>2127</v>
          </cell>
          <cell r="K1068"/>
          <cell r="L1068">
            <v>2127</v>
          </cell>
          <cell r="M1068"/>
          <cell r="N1068">
            <v>2127</v>
          </cell>
          <cell r="O1068"/>
          <cell r="P1068">
            <v>2127</v>
          </cell>
          <cell r="Q1068"/>
          <cell r="R1068">
            <v>2127</v>
          </cell>
          <cell r="S1068"/>
          <cell r="T1068">
            <v>2127</v>
          </cell>
          <cell r="U1068"/>
          <cell r="V1068">
            <v>2127</v>
          </cell>
          <cell r="W1068"/>
          <cell r="X1068">
            <v>2127</v>
          </cell>
          <cell r="Y1068"/>
          <cell r="Z1068">
            <v>2127</v>
          </cell>
          <cell r="AA1068"/>
          <cell r="AB1068"/>
          <cell r="AC1068"/>
          <cell r="AD1068">
            <v>6.6000000000000003E-2</v>
          </cell>
          <cell r="AE1068"/>
          <cell r="AF1068"/>
          <cell r="AG1068"/>
          <cell r="AH1068"/>
          <cell r="AI1068"/>
          <cell r="AJ1068"/>
          <cell r="AK1068"/>
          <cell r="AL1068"/>
        </row>
        <row r="1069">
          <cell r="E1069" t="str">
            <v>HP 0.9mm-100Pr</v>
          </cell>
          <cell r="F1069" t="str">
            <v>ｍ</v>
          </cell>
          <cell r="G1069"/>
          <cell r="H1069">
            <v>2737</v>
          </cell>
          <cell r="I1069"/>
          <cell r="J1069">
            <v>2737</v>
          </cell>
          <cell r="K1069"/>
          <cell r="L1069">
            <v>2737</v>
          </cell>
          <cell r="M1069"/>
          <cell r="N1069">
            <v>2737</v>
          </cell>
          <cell r="O1069"/>
          <cell r="P1069">
            <v>2737</v>
          </cell>
          <cell r="Q1069"/>
          <cell r="R1069">
            <v>2737</v>
          </cell>
          <cell r="S1069"/>
          <cell r="T1069">
            <v>2737</v>
          </cell>
          <cell r="U1069"/>
          <cell r="V1069">
            <v>2737</v>
          </cell>
          <cell r="W1069"/>
          <cell r="X1069">
            <v>2737</v>
          </cell>
          <cell r="Y1069"/>
          <cell r="Z1069">
            <v>2737</v>
          </cell>
          <cell r="AA1069"/>
          <cell r="AB1069"/>
          <cell r="AC1069"/>
          <cell r="AD1069">
            <v>8.3000000000000004E-2</v>
          </cell>
          <cell r="AE1069"/>
          <cell r="AF1069"/>
          <cell r="AG1069"/>
          <cell r="AH1069"/>
          <cell r="AI1069"/>
          <cell r="AJ1069"/>
          <cell r="AK1069"/>
          <cell r="AL1069"/>
        </row>
        <row r="1070">
          <cell r="E1070" t="str">
            <v>HP 0.9mm-200Pr</v>
          </cell>
          <cell r="F1070" t="str">
            <v>ｍ</v>
          </cell>
          <cell r="G1070"/>
          <cell r="H1070">
            <v>5110</v>
          </cell>
          <cell r="I1070"/>
          <cell r="J1070">
            <v>5110</v>
          </cell>
          <cell r="K1070"/>
          <cell r="L1070">
            <v>5110</v>
          </cell>
          <cell r="M1070"/>
          <cell r="N1070">
            <v>5110</v>
          </cell>
          <cell r="O1070"/>
          <cell r="P1070">
            <v>5110</v>
          </cell>
          <cell r="Q1070"/>
          <cell r="R1070">
            <v>5110</v>
          </cell>
          <cell r="S1070"/>
          <cell r="T1070">
            <v>5110</v>
          </cell>
          <cell r="U1070"/>
          <cell r="V1070">
            <v>5110</v>
          </cell>
          <cell r="W1070"/>
          <cell r="X1070">
            <v>5110</v>
          </cell>
          <cell r="Y1070"/>
          <cell r="Z1070">
            <v>5110</v>
          </cell>
          <cell r="AA1070"/>
          <cell r="AB1070"/>
          <cell r="AC1070"/>
          <cell r="AD1070">
            <v>0.123</v>
          </cell>
          <cell r="AE1070"/>
          <cell r="AF1070"/>
          <cell r="AG1070"/>
          <cell r="AH1070"/>
          <cell r="AI1070"/>
          <cell r="AJ1070"/>
          <cell r="AK1070"/>
          <cell r="AL1070"/>
        </row>
        <row r="1071">
          <cell r="E1071" t="str">
            <v>HP 1.2mm-1C</v>
          </cell>
          <cell r="F1071" t="str">
            <v>ｍ</v>
          </cell>
          <cell r="G1071"/>
          <cell r="H1071">
            <v>29.5</v>
          </cell>
          <cell r="I1071"/>
          <cell r="J1071">
            <v>29.5</v>
          </cell>
          <cell r="K1071"/>
          <cell r="L1071">
            <v>29.5</v>
          </cell>
          <cell r="M1071"/>
          <cell r="N1071">
            <v>29.5</v>
          </cell>
          <cell r="O1071"/>
          <cell r="P1071">
            <v>29.5</v>
          </cell>
          <cell r="Q1071"/>
          <cell r="R1071">
            <v>29.5</v>
          </cell>
          <cell r="S1071"/>
          <cell r="T1071">
            <v>29.5</v>
          </cell>
          <cell r="U1071"/>
          <cell r="V1071">
            <v>29.5</v>
          </cell>
          <cell r="W1071"/>
          <cell r="X1071">
            <v>29.5</v>
          </cell>
          <cell r="Y1071"/>
          <cell r="Z1071">
            <v>29.5</v>
          </cell>
          <cell r="AA1071"/>
          <cell r="AB1071"/>
          <cell r="AC1071"/>
          <cell r="AD1071">
            <v>1.4E-2</v>
          </cell>
          <cell r="AE1071"/>
          <cell r="AF1071"/>
          <cell r="AG1071"/>
          <cell r="AH1071"/>
          <cell r="AI1071"/>
          <cell r="AJ1071"/>
          <cell r="AK1071"/>
          <cell r="AL1071"/>
        </row>
        <row r="1072">
          <cell r="E1072" t="str">
            <v>HP 1.2mm-2C</v>
          </cell>
          <cell r="F1072" t="str">
            <v>ｍ</v>
          </cell>
          <cell r="G1072"/>
          <cell r="H1072">
            <v>45.6</v>
          </cell>
          <cell r="I1072"/>
          <cell r="J1072">
            <v>45.6</v>
          </cell>
          <cell r="K1072"/>
          <cell r="L1072">
            <v>45.6</v>
          </cell>
          <cell r="M1072"/>
          <cell r="N1072">
            <v>45.6</v>
          </cell>
          <cell r="O1072"/>
          <cell r="P1072">
            <v>45.6</v>
          </cell>
          <cell r="Q1072"/>
          <cell r="R1072">
            <v>45.6</v>
          </cell>
          <cell r="S1072"/>
          <cell r="T1072">
            <v>45.6</v>
          </cell>
          <cell r="U1072"/>
          <cell r="V1072">
            <v>45.6</v>
          </cell>
          <cell r="W1072"/>
          <cell r="X1072">
            <v>45.6</v>
          </cell>
          <cell r="Y1072"/>
          <cell r="Z1072">
            <v>45.6</v>
          </cell>
          <cell r="AA1072"/>
          <cell r="AB1072"/>
          <cell r="AC1072"/>
          <cell r="AD1072">
            <v>1.4999999999999999E-2</v>
          </cell>
          <cell r="AE1072"/>
          <cell r="AF1072"/>
          <cell r="AG1072"/>
          <cell r="AH1072"/>
          <cell r="AI1072"/>
          <cell r="AJ1072"/>
          <cell r="AK1072"/>
          <cell r="AL1072"/>
        </row>
        <row r="1073">
          <cell r="E1073" t="str">
            <v>HP 1.2mm-3C</v>
          </cell>
          <cell r="F1073" t="str">
            <v>ｍ</v>
          </cell>
          <cell r="G1073"/>
          <cell r="H1073">
            <v>66.599999999999994</v>
          </cell>
          <cell r="I1073"/>
          <cell r="J1073">
            <v>66.599999999999994</v>
          </cell>
          <cell r="K1073"/>
          <cell r="L1073">
            <v>66.599999999999994</v>
          </cell>
          <cell r="M1073"/>
          <cell r="N1073">
            <v>66.599999999999994</v>
          </cell>
          <cell r="O1073"/>
          <cell r="P1073">
            <v>66.599999999999994</v>
          </cell>
          <cell r="Q1073"/>
          <cell r="R1073">
            <v>66.599999999999994</v>
          </cell>
          <cell r="S1073"/>
          <cell r="T1073">
            <v>66.599999999999994</v>
          </cell>
          <cell r="U1073"/>
          <cell r="V1073">
            <v>66.599999999999994</v>
          </cell>
          <cell r="W1073"/>
          <cell r="X1073">
            <v>66.599999999999994</v>
          </cell>
          <cell r="Y1073"/>
          <cell r="Z1073">
            <v>66.599999999999994</v>
          </cell>
          <cell r="AA1073"/>
          <cell r="AB1073"/>
          <cell r="AC1073"/>
          <cell r="AD1073">
            <v>1.7000000000000001E-2</v>
          </cell>
          <cell r="AE1073"/>
          <cell r="AF1073"/>
          <cell r="AG1073"/>
          <cell r="AH1073"/>
          <cell r="AI1073"/>
          <cell r="AJ1073"/>
          <cell r="AK1073"/>
          <cell r="AL1073"/>
        </row>
        <row r="1074">
          <cell r="E1074" t="str">
            <v>HP 1.2mm-4C</v>
          </cell>
          <cell r="F1074" t="str">
            <v>ｍ</v>
          </cell>
          <cell r="G1074"/>
          <cell r="H1074">
            <v>89.1</v>
          </cell>
          <cell r="I1074"/>
          <cell r="J1074">
            <v>89.1</v>
          </cell>
          <cell r="K1074"/>
          <cell r="L1074">
            <v>89.1</v>
          </cell>
          <cell r="M1074"/>
          <cell r="N1074">
            <v>89.1</v>
          </cell>
          <cell r="O1074"/>
          <cell r="P1074">
            <v>89.1</v>
          </cell>
          <cell r="Q1074"/>
          <cell r="R1074">
            <v>89.1</v>
          </cell>
          <cell r="S1074"/>
          <cell r="T1074">
            <v>89.1</v>
          </cell>
          <cell r="U1074"/>
          <cell r="V1074">
            <v>89.1</v>
          </cell>
          <cell r="W1074"/>
          <cell r="X1074">
            <v>89.1</v>
          </cell>
          <cell r="Y1074"/>
          <cell r="Z1074">
            <v>89.1</v>
          </cell>
          <cell r="AA1074"/>
          <cell r="AB1074"/>
          <cell r="AC1074"/>
          <cell r="AD1074">
            <v>1.7999999999999999E-2</v>
          </cell>
          <cell r="AE1074"/>
          <cell r="AF1074"/>
          <cell r="AG1074"/>
          <cell r="AH1074"/>
          <cell r="AI1074"/>
          <cell r="AJ1074"/>
          <cell r="AK1074"/>
          <cell r="AL1074"/>
        </row>
        <row r="1075">
          <cell r="E1075" t="str">
            <v>HP 1.2mm-5C</v>
          </cell>
          <cell r="F1075" t="str">
            <v>ｍ</v>
          </cell>
          <cell r="G1075"/>
          <cell r="H1075">
            <v>113</v>
          </cell>
          <cell r="I1075"/>
          <cell r="J1075">
            <v>113</v>
          </cell>
          <cell r="K1075"/>
          <cell r="L1075">
            <v>113</v>
          </cell>
          <cell r="M1075"/>
          <cell r="N1075">
            <v>113</v>
          </cell>
          <cell r="O1075"/>
          <cell r="P1075">
            <v>113</v>
          </cell>
          <cell r="Q1075"/>
          <cell r="R1075">
            <v>113</v>
          </cell>
          <cell r="S1075"/>
          <cell r="T1075">
            <v>113</v>
          </cell>
          <cell r="U1075"/>
          <cell r="V1075">
            <v>113</v>
          </cell>
          <cell r="W1075"/>
          <cell r="X1075">
            <v>113</v>
          </cell>
          <cell r="Y1075"/>
          <cell r="Z1075">
            <v>113</v>
          </cell>
          <cell r="AA1075"/>
          <cell r="AB1075"/>
          <cell r="AC1075"/>
          <cell r="AD1075">
            <v>0.02</v>
          </cell>
          <cell r="AE1075"/>
          <cell r="AF1075"/>
          <cell r="AG1075"/>
          <cell r="AH1075"/>
          <cell r="AI1075"/>
          <cell r="AJ1075"/>
          <cell r="AK1075"/>
          <cell r="AL1075"/>
        </row>
        <row r="1076">
          <cell r="E1076" t="str">
            <v>HP 1.2mm-6C</v>
          </cell>
          <cell r="F1076" t="str">
            <v>ｍ</v>
          </cell>
          <cell r="G1076"/>
          <cell r="H1076">
            <v>129</v>
          </cell>
          <cell r="I1076"/>
          <cell r="J1076">
            <v>129</v>
          </cell>
          <cell r="K1076"/>
          <cell r="L1076">
            <v>129</v>
          </cell>
          <cell r="M1076"/>
          <cell r="N1076">
            <v>129</v>
          </cell>
          <cell r="O1076"/>
          <cell r="P1076">
            <v>129</v>
          </cell>
          <cell r="Q1076"/>
          <cell r="R1076">
            <v>129</v>
          </cell>
          <cell r="S1076"/>
          <cell r="T1076">
            <v>129</v>
          </cell>
          <cell r="U1076"/>
          <cell r="V1076">
            <v>129</v>
          </cell>
          <cell r="W1076"/>
          <cell r="X1076">
            <v>129</v>
          </cell>
          <cell r="Y1076"/>
          <cell r="Z1076">
            <v>129</v>
          </cell>
          <cell r="AA1076"/>
          <cell r="AB1076"/>
          <cell r="AC1076"/>
          <cell r="AD1076">
            <v>0.02</v>
          </cell>
          <cell r="AE1076"/>
          <cell r="AF1076"/>
          <cell r="AG1076"/>
          <cell r="AH1076"/>
          <cell r="AI1076"/>
          <cell r="AJ1076"/>
          <cell r="AK1076"/>
          <cell r="AL1076"/>
        </row>
        <row r="1077">
          <cell r="E1077" t="str">
            <v>HP 1.2mm-7C</v>
          </cell>
          <cell r="F1077" t="str">
            <v>ｍ</v>
          </cell>
          <cell r="G1077"/>
          <cell r="H1077">
            <v>154</v>
          </cell>
          <cell r="I1077"/>
          <cell r="J1077">
            <v>154</v>
          </cell>
          <cell r="K1077"/>
          <cell r="L1077">
            <v>154</v>
          </cell>
          <cell r="M1077"/>
          <cell r="N1077">
            <v>154</v>
          </cell>
          <cell r="O1077"/>
          <cell r="P1077">
            <v>154</v>
          </cell>
          <cell r="Q1077"/>
          <cell r="R1077">
            <v>154</v>
          </cell>
          <cell r="S1077"/>
          <cell r="T1077">
            <v>154</v>
          </cell>
          <cell r="U1077"/>
          <cell r="V1077">
            <v>154</v>
          </cell>
          <cell r="W1077"/>
          <cell r="X1077">
            <v>154</v>
          </cell>
          <cell r="Y1077"/>
          <cell r="Z1077">
            <v>154</v>
          </cell>
          <cell r="AA1077"/>
          <cell r="AB1077"/>
          <cell r="AC1077"/>
          <cell r="AD1077">
            <v>2.1999999999999999E-2</v>
          </cell>
          <cell r="AE1077"/>
          <cell r="AF1077"/>
          <cell r="AG1077"/>
          <cell r="AH1077"/>
          <cell r="AI1077"/>
          <cell r="AJ1077"/>
          <cell r="AK1077"/>
          <cell r="AL1077"/>
        </row>
        <row r="1078">
          <cell r="E1078" t="str">
            <v>HP 1.2mm-3Pr</v>
          </cell>
          <cell r="F1078" t="str">
            <v>ｍ</v>
          </cell>
          <cell r="G1078"/>
          <cell r="H1078">
            <v>162</v>
          </cell>
          <cell r="I1078"/>
          <cell r="J1078">
            <v>162</v>
          </cell>
          <cell r="K1078"/>
          <cell r="L1078">
            <v>162</v>
          </cell>
          <cell r="M1078"/>
          <cell r="N1078">
            <v>162</v>
          </cell>
          <cell r="O1078"/>
          <cell r="P1078">
            <v>162</v>
          </cell>
          <cell r="Q1078"/>
          <cell r="R1078">
            <v>162</v>
          </cell>
          <cell r="S1078"/>
          <cell r="T1078">
            <v>162</v>
          </cell>
          <cell r="U1078"/>
          <cell r="V1078">
            <v>162</v>
          </cell>
          <cell r="W1078"/>
          <cell r="X1078">
            <v>162</v>
          </cell>
          <cell r="Y1078"/>
          <cell r="Z1078">
            <v>162</v>
          </cell>
          <cell r="AA1078"/>
          <cell r="AB1078"/>
          <cell r="AC1078"/>
          <cell r="AD1078">
            <v>2.5000000000000001E-2</v>
          </cell>
          <cell r="AE1078"/>
          <cell r="AF1078"/>
          <cell r="AG1078"/>
          <cell r="AH1078"/>
          <cell r="AI1078"/>
          <cell r="AJ1078"/>
          <cell r="AK1078"/>
          <cell r="AL1078"/>
        </row>
        <row r="1079">
          <cell r="E1079" t="str">
            <v>HP 1.2mm-5Pr</v>
          </cell>
          <cell r="F1079" t="str">
            <v>ｍ</v>
          </cell>
          <cell r="G1079"/>
          <cell r="H1079">
            <v>216</v>
          </cell>
          <cell r="I1079"/>
          <cell r="J1079">
            <v>216</v>
          </cell>
          <cell r="K1079"/>
          <cell r="L1079">
            <v>216</v>
          </cell>
          <cell r="M1079"/>
          <cell r="N1079">
            <v>216</v>
          </cell>
          <cell r="O1079"/>
          <cell r="P1079">
            <v>216</v>
          </cell>
          <cell r="Q1079"/>
          <cell r="R1079">
            <v>216</v>
          </cell>
          <cell r="S1079"/>
          <cell r="T1079">
            <v>216</v>
          </cell>
          <cell r="U1079"/>
          <cell r="V1079">
            <v>216</v>
          </cell>
          <cell r="W1079"/>
          <cell r="X1079">
            <v>216</v>
          </cell>
          <cell r="Y1079"/>
          <cell r="Z1079">
            <v>216</v>
          </cell>
          <cell r="AA1079"/>
          <cell r="AB1079"/>
          <cell r="AC1079"/>
          <cell r="AD1079">
            <v>2.7E-2</v>
          </cell>
          <cell r="AE1079"/>
          <cell r="AF1079"/>
          <cell r="AG1079"/>
          <cell r="AH1079"/>
          <cell r="AI1079"/>
          <cell r="AJ1079"/>
          <cell r="AK1079"/>
          <cell r="AL1079"/>
        </row>
        <row r="1080">
          <cell r="E1080" t="str">
            <v>HP 1.2mm-7Pr</v>
          </cell>
          <cell r="F1080" t="str">
            <v>ｍ</v>
          </cell>
          <cell r="G1080"/>
          <cell r="H1080">
            <v>289</v>
          </cell>
          <cell r="I1080"/>
          <cell r="J1080">
            <v>289</v>
          </cell>
          <cell r="K1080"/>
          <cell r="L1080">
            <v>289</v>
          </cell>
          <cell r="M1080"/>
          <cell r="N1080">
            <v>289</v>
          </cell>
          <cell r="O1080"/>
          <cell r="P1080">
            <v>289</v>
          </cell>
          <cell r="Q1080"/>
          <cell r="R1080">
            <v>289</v>
          </cell>
          <cell r="S1080"/>
          <cell r="T1080">
            <v>289</v>
          </cell>
          <cell r="U1080"/>
          <cell r="V1080">
            <v>289</v>
          </cell>
          <cell r="W1080"/>
          <cell r="X1080">
            <v>289</v>
          </cell>
          <cell r="Y1080"/>
          <cell r="Z1080">
            <v>289</v>
          </cell>
          <cell r="AA1080"/>
          <cell r="AB1080"/>
          <cell r="AC1080"/>
          <cell r="AD1080">
            <v>2.9000000000000001E-2</v>
          </cell>
          <cell r="AE1080"/>
          <cell r="AF1080"/>
          <cell r="AG1080"/>
          <cell r="AH1080"/>
          <cell r="AI1080"/>
          <cell r="AJ1080"/>
          <cell r="AK1080"/>
          <cell r="AL1080"/>
        </row>
        <row r="1081">
          <cell r="E1081" t="str">
            <v>HP 1.2mm- 10Pr</v>
          </cell>
          <cell r="F1081" t="str">
            <v>ｍ</v>
          </cell>
          <cell r="G1081"/>
          <cell r="H1081">
            <v>422</v>
          </cell>
          <cell r="I1081"/>
          <cell r="J1081">
            <v>422</v>
          </cell>
          <cell r="K1081"/>
          <cell r="L1081">
            <v>422</v>
          </cell>
          <cell r="M1081"/>
          <cell r="N1081">
            <v>422</v>
          </cell>
          <cell r="O1081"/>
          <cell r="P1081">
            <v>422</v>
          </cell>
          <cell r="Q1081"/>
          <cell r="R1081">
            <v>422</v>
          </cell>
          <cell r="S1081"/>
          <cell r="T1081">
            <v>422</v>
          </cell>
          <cell r="U1081"/>
          <cell r="V1081">
            <v>422</v>
          </cell>
          <cell r="W1081"/>
          <cell r="X1081">
            <v>422</v>
          </cell>
          <cell r="Y1081"/>
          <cell r="Z1081">
            <v>422</v>
          </cell>
          <cell r="AA1081"/>
          <cell r="AB1081"/>
          <cell r="AC1081"/>
          <cell r="AD1081">
            <v>3.1E-2</v>
          </cell>
          <cell r="AE1081"/>
          <cell r="AF1081"/>
          <cell r="AG1081"/>
          <cell r="AH1081"/>
          <cell r="AI1081"/>
          <cell r="AJ1081"/>
          <cell r="AK1081"/>
          <cell r="AL1081"/>
        </row>
        <row r="1082">
          <cell r="E1082" t="str">
            <v>HP 1.2mm- 15Pr</v>
          </cell>
          <cell r="F1082" t="str">
            <v>ｍ</v>
          </cell>
          <cell r="G1082"/>
          <cell r="H1082">
            <v>621</v>
          </cell>
          <cell r="I1082"/>
          <cell r="J1082">
            <v>621</v>
          </cell>
          <cell r="K1082"/>
          <cell r="L1082">
            <v>621</v>
          </cell>
          <cell r="M1082"/>
          <cell r="N1082">
            <v>621</v>
          </cell>
          <cell r="O1082"/>
          <cell r="P1082">
            <v>621</v>
          </cell>
          <cell r="Q1082"/>
          <cell r="R1082">
            <v>621</v>
          </cell>
          <cell r="S1082"/>
          <cell r="T1082">
            <v>621</v>
          </cell>
          <cell r="U1082"/>
          <cell r="V1082">
            <v>621</v>
          </cell>
          <cell r="W1082"/>
          <cell r="X1082">
            <v>621</v>
          </cell>
          <cell r="Y1082"/>
          <cell r="Z1082">
            <v>621</v>
          </cell>
          <cell r="AA1082"/>
          <cell r="AB1082"/>
          <cell r="AC1082"/>
          <cell r="AD1082">
            <v>3.4000000000000002E-2</v>
          </cell>
          <cell r="AE1082"/>
          <cell r="AF1082"/>
          <cell r="AG1082"/>
          <cell r="AH1082"/>
          <cell r="AI1082"/>
          <cell r="AJ1082"/>
          <cell r="AK1082"/>
          <cell r="AL1082"/>
        </row>
        <row r="1083">
          <cell r="E1083" t="str">
            <v>HP 1.2mm- 20Pr</v>
          </cell>
          <cell r="F1083" t="str">
            <v>ｍ</v>
          </cell>
          <cell r="G1083"/>
          <cell r="H1083">
            <v>831</v>
          </cell>
          <cell r="I1083"/>
          <cell r="J1083">
            <v>831</v>
          </cell>
          <cell r="K1083"/>
          <cell r="L1083">
            <v>831</v>
          </cell>
          <cell r="M1083"/>
          <cell r="N1083">
            <v>831</v>
          </cell>
          <cell r="O1083"/>
          <cell r="P1083">
            <v>831</v>
          </cell>
          <cell r="Q1083"/>
          <cell r="R1083">
            <v>831</v>
          </cell>
          <cell r="S1083"/>
          <cell r="T1083">
            <v>831</v>
          </cell>
          <cell r="U1083"/>
          <cell r="V1083">
            <v>831</v>
          </cell>
          <cell r="W1083"/>
          <cell r="X1083">
            <v>831</v>
          </cell>
          <cell r="Y1083"/>
          <cell r="Z1083">
            <v>831</v>
          </cell>
          <cell r="AA1083"/>
          <cell r="AB1083"/>
          <cell r="AC1083"/>
          <cell r="AD1083">
            <v>3.9E-2</v>
          </cell>
          <cell r="AE1083"/>
          <cell r="AF1083"/>
          <cell r="AG1083"/>
          <cell r="AH1083"/>
          <cell r="AI1083"/>
          <cell r="AJ1083"/>
          <cell r="AK1083"/>
          <cell r="AL1083"/>
        </row>
        <row r="1084">
          <cell r="E1084" t="str">
            <v>HP 1.2mm- 25Pr</v>
          </cell>
          <cell r="F1084" t="str">
            <v>ｍ</v>
          </cell>
          <cell r="G1084"/>
          <cell r="H1084">
            <v>1016</v>
          </cell>
          <cell r="I1084"/>
          <cell r="J1084">
            <v>1016</v>
          </cell>
          <cell r="K1084"/>
          <cell r="L1084">
            <v>1016</v>
          </cell>
          <cell r="M1084"/>
          <cell r="N1084">
            <v>1016</v>
          </cell>
          <cell r="O1084"/>
          <cell r="P1084">
            <v>1016</v>
          </cell>
          <cell r="Q1084"/>
          <cell r="R1084">
            <v>1016</v>
          </cell>
          <cell r="S1084"/>
          <cell r="T1084">
            <v>1016</v>
          </cell>
          <cell r="U1084"/>
          <cell r="V1084">
            <v>1016</v>
          </cell>
          <cell r="W1084"/>
          <cell r="X1084">
            <v>1016</v>
          </cell>
          <cell r="Y1084"/>
          <cell r="Z1084">
            <v>1016</v>
          </cell>
          <cell r="AA1084"/>
          <cell r="AB1084"/>
          <cell r="AC1084"/>
          <cell r="AD1084">
            <v>4.2999999999999997E-2</v>
          </cell>
          <cell r="AE1084"/>
          <cell r="AF1084"/>
          <cell r="AG1084"/>
          <cell r="AH1084"/>
          <cell r="AI1084"/>
          <cell r="AJ1084"/>
          <cell r="AK1084"/>
          <cell r="AL1084"/>
        </row>
        <row r="1085">
          <cell r="E1085" t="str">
            <v>HP 1.2mm- 30Pr</v>
          </cell>
          <cell r="F1085" t="str">
            <v>ｍ</v>
          </cell>
          <cell r="G1085"/>
          <cell r="H1085">
            <v>1232</v>
          </cell>
          <cell r="I1085"/>
          <cell r="J1085">
            <v>1232</v>
          </cell>
          <cell r="K1085"/>
          <cell r="L1085">
            <v>1232</v>
          </cell>
          <cell r="M1085"/>
          <cell r="N1085">
            <v>1232</v>
          </cell>
          <cell r="O1085"/>
          <cell r="P1085">
            <v>1232</v>
          </cell>
          <cell r="Q1085"/>
          <cell r="R1085">
            <v>1232</v>
          </cell>
          <cell r="S1085"/>
          <cell r="T1085">
            <v>1232</v>
          </cell>
          <cell r="U1085"/>
          <cell r="V1085">
            <v>1232</v>
          </cell>
          <cell r="W1085"/>
          <cell r="X1085">
            <v>1232</v>
          </cell>
          <cell r="Y1085"/>
          <cell r="Z1085">
            <v>1232</v>
          </cell>
          <cell r="AA1085"/>
          <cell r="AB1085"/>
          <cell r="AC1085"/>
          <cell r="AD1085">
            <v>4.5999999999999999E-2</v>
          </cell>
          <cell r="AE1085"/>
          <cell r="AF1085"/>
          <cell r="AG1085"/>
          <cell r="AH1085"/>
          <cell r="AI1085"/>
          <cell r="AJ1085"/>
          <cell r="AK1085"/>
          <cell r="AL1085"/>
        </row>
        <row r="1086">
          <cell r="E1086" t="str">
            <v>HP 1.2mm- 40Pr</v>
          </cell>
          <cell r="F1086" t="str">
            <v>ｍ</v>
          </cell>
          <cell r="G1086"/>
          <cell r="H1086">
            <v>1627</v>
          </cell>
          <cell r="I1086"/>
          <cell r="J1086">
            <v>1627</v>
          </cell>
          <cell r="K1086"/>
          <cell r="L1086">
            <v>1627</v>
          </cell>
          <cell r="M1086"/>
          <cell r="N1086">
            <v>1627</v>
          </cell>
          <cell r="O1086"/>
          <cell r="P1086">
            <v>1627</v>
          </cell>
          <cell r="Q1086"/>
          <cell r="R1086">
            <v>1627</v>
          </cell>
          <cell r="S1086"/>
          <cell r="T1086">
            <v>1627</v>
          </cell>
          <cell r="U1086"/>
          <cell r="V1086">
            <v>1627</v>
          </cell>
          <cell r="W1086"/>
          <cell r="X1086">
            <v>1627</v>
          </cell>
          <cell r="Y1086"/>
          <cell r="Z1086">
            <v>1627</v>
          </cell>
          <cell r="AA1086"/>
          <cell r="AB1086"/>
          <cell r="AC1086"/>
          <cell r="AD1086">
            <v>5.3999999999999999E-2</v>
          </cell>
          <cell r="AE1086"/>
          <cell r="AF1086"/>
          <cell r="AG1086"/>
          <cell r="AH1086"/>
          <cell r="AI1086"/>
          <cell r="AJ1086"/>
          <cell r="AK1086"/>
          <cell r="AL1086"/>
        </row>
        <row r="1087">
          <cell r="E1087" t="str">
            <v>HP 1.2mm- 50Pr</v>
          </cell>
          <cell r="F1087" t="str">
            <v>ｍ</v>
          </cell>
          <cell r="G1087"/>
          <cell r="H1087">
            <v>2033</v>
          </cell>
          <cell r="I1087"/>
          <cell r="J1087">
            <v>2033</v>
          </cell>
          <cell r="K1087"/>
          <cell r="L1087">
            <v>2033</v>
          </cell>
          <cell r="M1087"/>
          <cell r="N1087">
            <v>2033</v>
          </cell>
          <cell r="O1087"/>
          <cell r="P1087">
            <v>2033</v>
          </cell>
          <cell r="Q1087"/>
          <cell r="R1087">
            <v>2033</v>
          </cell>
          <cell r="S1087"/>
          <cell r="T1087">
            <v>2033</v>
          </cell>
          <cell r="U1087"/>
          <cell r="V1087">
            <v>2033</v>
          </cell>
          <cell r="W1087"/>
          <cell r="X1087">
            <v>2033</v>
          </cell>
          <cell r="Y1087"/>
          <cell r="Z1087">
            <v>2033</v>
          </cell>
          <cell r="AA1087"/>
          <cell r="AB1087"/>
          <cell r="AC1087"/>
          <cell r="AD1087">
            <v>6.2E-2</v>
          </cell>
          <cell r="AE1087"/>
          <cell r="AF1087"/>
          <cell r="AG1087"/>
          <cell r="AH1087"/>
          <cell r="AI1087"/>
          <cell r="AJ1087"/>
          <cell r="AK1087"/>
          <cell r="AL1087"/>
        </row>
        <row r="1088">
          <cell r="E1088" t="str">
            <v>HP 1.2mm- 75Pr</v>
          </cell>
          <cell r="F1088" t="str">
            <v>ｍ</v>
          </cell>
          <cell r="G1088"/>
          <cell r="H1088">
            <v>3004</v>
          </cell>
          <cell r="I1088"/>
          <cell r="J1088">
            <v>3004</v>
          </cell>
          <cell r="K1088"/>
          <cell r="L1088">
            <v>3004</v>
          </cell>
          <cell r="M1088"/>
          <cell r="N1088">
            <v>3004</v>
          </cell>
          <cell r="O1088"/>
          <cell r="P1088">
            <v>3004</v>
          </cell>
          <cell r="Q1088"/>
          <cell r="R1088">
            <v>3004</v>
          </cell>
          <cell r="S1088"/>
          <cell r="T1088">
            <v>3004</v>
          </cell>
          <cell r="U1088"/>
          <cell r="V1088">
            <v>3004</v>
          </cell>
          <cell r="W1088"/>
          <cell r="X1088">
            <v>3004</v>
          </cell>
          <cell r="Y1088"/>
          <cell r="Z1088">
            <v>3004</v>
          </cell>
          <cell r="AA1088"/>
          <cell r="AB1088"/>
          <cell r="AC1088"/>
          <cell r="AD1088">
            <v>8.2000000000000003E-2</v>
          </cell>
          <cell r="AE1088"/>
          <cell r="AF1088"/>
          <cell r="AG1088"/>
          <cell r="AH1088"/>
          <cell r="AI1088"/>
          <cell r="AJ1088"/>
          <cell r="AK1088"/>
          <cell r="AL1088"/>
        </row>
        <row r="1089">
          <cell r="E1089" t="str">
            <v>HP 1.2mm-100Pr</v>
          </cell>
          <cell r="F1089" t="str">
            <v>ｍ</v>
          </cell>
          <cell r="G1089"/>
          <cell r="H1089">
            <v>4060</v>
          </cell>
          <cell r="I1089"/>
          <cell r="J1089">
            <v>4060</v>
          </cell>
          <cell r="K1089"/>
          <cell r="L1089">
            <v>4060</v>
          </cell>
          <cell r="M1089"/>
          <cell r="N1089">
            <v>4060</v>
          </cell>
          <cell r="O1089"/>
          <cell r="P1089">
            <v>4060</v>
          </cell>
          <cell r="Q1089"/>
          <cell r="R1089">
            <v>4060</v>
          </cell>
          <cell r="S1089"/>
          <cell r="T1089">
            <v>4060</v>
          </cell>
          <cell r="U1089"/>
          <cell r="V1089">
            <v>4060</v>
          </cell>
          <cell r="W1089"/>
          <cell r="X1089">
            <v>4060</v>
          </cell>
          <cell r="Y1089"/>
          <cell r="Z1089">
            <v>4060</v>
          </cell>
          <cell r="AA1089"/>
          <cell r="AB1089"/>
          <cell r="AC1089"/>
          <cell r="AD1089">
            <v>0.10299999999999999</v>
          </cell>
          <cell r="AE1089"/>
          <cell r="AF1089"/>
          <cell r="AG1089"/>
          <cell r="AH1089"/>
          <cell r="AI1089"/>
          <cell r="AJ1089"/>
          <cell r="AK1089"/>
          <cell r="AL1089"/>
        </row>
        <row r="1090">
          <cell r="E1090" t="str">
            <v>HP 1.2mm-200Pr</v>
          </cell>
          <cell r="F1090" t="str">
            <v>ｍ</v>
          </cell>
          <cell r="G1090"/>
          <cell r="H1090">
            <v>8080</v>
          </cell>
          <cell r="I1090"/>
          <cell r="J1090">
            <v>8080</v>
          </cell>
          <cell r="K1090"/>
          <cell r="L1090">
            <v>8080</v>
          </cell>
          <cell r="M1090"/>
          <cell r="N1090">
            <v>8080</v>
          </cell>
          <cell r="O1090"/>
          <cell r="P1090">
            <v>8080</v>
          </cell>
          <cell r="Q1090"/>
          <cell r="R1090">
            <v>8080</v>
          </cell>
          <cell r="S1090"/>
          <cell r="T1090">
            <v>8080</v>
          </cell>
          <cell r="U1090"/>
          <cell r="V1090">
            <v>8080</v>
          </cell>
          <cell r="W1090"/>
          <cell r="X1090">
            <v>8080</v>
          </cell>
          <cell r="Y1090"/>
          <cell r="Z1090">
            <v>8080</v>
          </cell>
          <cell r="AA1090"/>
          <cell r="AB1090"/>
          <cell r="AC1090"/>
          <cell r="AD1090">
            <v>0.151</v>
          </cell>
          <cell r="AE1090"/>
          <cell r="AF1090"/>
          <cell r="AG1090"/>
          <cell r="AH1090"/>
          <cell r="AI1090"/>
          <cell r="AJ1090"/>
          <cell r="AK1090"/>
          <cell r="AL1090"/>
        </row>
        <row r="1091">
          <cell r="E1091" t="str">
            <v>HP 1.6mm-1C</v>
          </cell>
          <cell r="F1091" t="str">
            <v>ｍ</v>
          </cell>
          <cell r="G1091"/>
          <cell r="H1091">
            <v>69.2</v>
          </cell>
          <cell r="I1091"/>
          <cell r="J1091">
            <v>69.2</v>
          </cell>
          <cell r="K1091"/>
          <cell r="L1091">
            <v>69.2</v>
          </cell>
          <cell r="M1091"/>
          <cell r="N1091">
            <v>69.2</v>
          </cell>
          <cell r="O1091"/>
          <cell r="P1091">
            <v>69.2</v>
          </cell>
          <cell r="Q1091"/>
          <cell r="R1091">
            <v>69.2</v>
          </cell>
          <cell r="S1091"/>
          <cell r="T1091">
            <v>69.2</v>
          </cell>
          <cell r="U1091"/>
          <cell r="V1091">
            <v>69.2</v>
          </cell>
          <cell r="W1091"/>
          <cell r="X1091">
            <v>69.2</v>
          </cell>
          <cell r="Y1091"/>
          <cell r="Z1091">
            <v>69.2</v>
          </cell>
          <cell r="AA1091"/>
          <cell r="AB1091"/>
          <cell r="AC1091"/>
          <cell r="AD1091">
            <v>1.4999999999999999E-2</v>
          </cell>
          <cell r="AE1091"/>
          <cell r="AF1091"/>
          <cell r="AG1091"/>
          <cell r="AH1091"/>
          <cell r="AI1091"/>
          <cell r="AJ1091"/>
          <cell r="AK1091"/>
          <cell r="AL1091"/>
        </row>
        <row r="1092">
          <cell r="E1092" t="str">
            <v>HP 1.6mm-2C</v>
          </cell>
          <cell r="F1092" t="str">
            <v>ｍ</v>
          </cell>
          <cell r="G1092"/>
          <cell r="H1092">
            <v>103</v>
          </cell>
          <cell r="I1092"/>
          <cell r="J1092">
            <v>103</v>
          </cell>
          <cell r="K1092"/>
          <cell r="L1092">
            <v>103</v>
          </cell>
          <cell r="M1092"/>
          <cell r="N1092">
            <v>103</v>
          </cell>
          <cell r="O1092"/>
          <cell r="P1092">
            <v>103</v>
          </cell>
          <cell r="Q1092"/>
          <cell r="R1092">
            <v>103</v>
          </cell>
          <cell r="S1092"/>
          <cell r="T1092">
            <v>103</v>
          </cell>
          <cell r="U1092"/>
          <cell r="V1092">
            <v>103</v>
          </cell>
          <cell r="W1092"/>
          <cell r="X1092">
            <v>103</v>
          </cell>
          <cell r="Y1092"/>
          <cell r="Z1092">
            <v>103</v>
          </cell>
          <cell r="AA1092"/>
          <cell r="AB1092"/>
          <cell r="AC1092"/>
          <cell r="AD1092">
            <v>1.7000000000000001E-2</v>
          </cell>
          <cell r="AE1092"/>
          <cell r="AF1092"/>
          <cell r="AG1092"/>
          <cell r="AH1092"/>
          <cell r="AI1092"/>
          <cell r="AJ1092"/>
          <cell r="AK1092"/>
          <cell r="AL1092"/>
        </row>
        <row r="1093">
          <cell r="E1093" t="str">
            <v>HP 1.6mm-3C</v>
          </cell>
          <cell r="F1093" t="str">
            <v>ｍ</v>
          </cell>
          <cell r="G1093"/>
          <cell r="H1093">
            <v>157</v>
          </cell>
          <cell r="I1093"/>
          <cell r="J1093">
            <v>157</v>
          </cell>
          <cell r="K1093"/>
          <cell r="L1093">
            <v>157</v>
          </cell>
          <cell r="M1093"/>
          <cell r="N1093">
            <v>157</v>
          </cell>
          <cell r="O1093"/>
          <cell r="P1093">
            <v>157</v>
          </cell>
          <cell r="Q1093"/>
          <cell r="R1093">
            <v>157</v>
          </cell>
          <cell r="S1093"/>
          <cell r="T1093">
            <v>157</v>
          </cell>
          <cell r="U1093"/>
          <cell r="V1093">
            <v>157</v>
          </cell>
          <cell r="W1093"/>
          <cell r="X1093">
            <v>157</v>
          </cell>
          <cell r="Y1093"/>
          <cell r="Z1093">
            <v>157</v>
          </cell>
          <cell r="AA1093"/>
          <cell r="AB1093"/>
          <cell r="AC1093"/>
          <cell r="AD1093">
            <v>1.9E-2</v>
          </cell>
          <cell r="AE1093"/>
          <cell r="AF1093"/>
          <cell r="AG1093"/>
          <cell r="AH1093"/>
          <cell r="AI1093"/>
          <cell r="AJ1093"/>
          <cell r="AK1093"/>
          <cell r="AL1093"/>
        </row>
        <row r="1094">
          <cell r="E1094" t="str">
            <v>HP 1.6mm-4C</v>
          </cell>
          <cell r="F1094" t="str">
            <v>ｍ</v>
          </cell>
          <cell r="G1094"/>
          <cell r="H1094">
            <v>197</v>
          </cell>
          <cell r="I1094"/>
          <cell r="J1094">
            <v>197</v>
          </cell>
          <cell r="K1094"/>
          <cell r="L1094">
            <v>197</v>
          </cell>
          <cell r="M1094"/>
          <cell r="N1094">
            <v>197</v>
          </cell>
          <cell r="O1094"/>
          <cell r="P1094">
            <v>197</v>
          </cell>
          <cell r="Q1094"/>
          <cell r="R1094">
            <v>197</v>
          </cell>
          <cell r="S1094"/>
          <cell r="T1094">
            <v>197</v>
          </cell>
          <cell r="U1094"/>
          <cell r="V1094">
            <v>197</v>
          </cell>
          <cell r="W1094"/>
          <cell r="X1094">
            <v>197</v>
          </cell>
          <cell r="Y1094"/>
          <cell r="Z1094">
            <v>197</v>
          </cell>
          <cell r="AA1094"/>
          <cell r="AB1094"/>
          <cell r="AC1094"/>
          <cell r="AD1094">
            <v>2.1999999999999999E-2</v>
          </cell>
          <cell r="AE1094"/>
          <cell r="AF1094"/>
          <cell r="AG1094"/>
          <cell r="AH1094"/>
          <cell r="AI1094"/>
          <cell r="AJ1094"/>
          <cell r="AK1094"/>
          <cell r="AL1094"/>
        </row>
        <row r="1095">
          <cell r="E1095" t="str">
            <v>HP 1.6mm-5C</v>
          </cell>
          <cell r="F1095" t="str">
            <v>ｍ</v>
          </cell>
          <cell r="G1095"/>
          <cell r="H1095">
            <v>267</v>
          </cell>
          <cell r="I1095"/>
          <cell r="J1095">
            <v>267</v>
          </cell>
          <cell r="K1095"/>
          <cell r="L1095">
            <v>267</v>
          </cell>
          <cell r="M1095"/>
          <cell r="N1095">
            <v>267</v>
          </cell>
          <cell r="O1095"/>
          <cell r="P1095">
            <v>267</v>
          </cell>
          <cell r="Q1095"/>
          <cell r="R1095">
            <v>267</v>
          </cell>
          <cell r="S1095"/>
          <cell r="T1095">
            <v>267</v>
          </cell>
          <cell r="U1095"/>
          <cell r="V1095">
            <v>267</v>
          </cell>
          <cell r="W1095"/>
          <cell r="X1095">
            <v>267</v>
          </cell>
          <cell r="Y1095"/>
          <cell r="Z1095">
            <v>267</v>
          </cell>
          <cell r="AA1095"/>
          <cell r="AB1095"/>
          <cell r="AC1095"/>
          <cell r="AD1095">
            <v>2.1999999999999999E-2</v>
          </cell>
          <cell r="AE1095"/>
          <cell r="AF1095"/>
          <cell r="AG1095"/>
          <cell r="AH1095"/>
          <cell r="AI1095"/>
          <cell r="AJ1095"/>
          <cell r="AK1095"/>
          <cell r="AL1095"/>
        </row>
        <row r="1096">
          <cell r="E1096" t="str">
            <v>HP 1.6mm-6C</v>
          </cell>
          <cell r="F1096" t="str">
            <v>ｍ</v>
          </cell>
          <cell r="G1096"/>
          <cell r="H1096">
            <v>357</v>
          </cell>
          <cell r="I1096"/>
          <cell r="J1096">
            <v>357</v>
          </cell>
          <cell r="K1096"/>
          <cell r="L1096">
            <v>357</v>
          </cell>
          <cell r="M1096"/>
          <cell r="N1096">
            <v>357</v>
          </cell>
          <cell r="O1096"/>
          <cell r="P1096">
            <v>357</v>
          </cell>
          <cell r="Q1096"/>
          <cell r="R1096">
            <v>357</v>
          </cell>
          <cell r="S1096"/>
          <cell r="T1096">
            <v>357</v>
          </cell>
          <cell r="U1096"/>
          <cell r="V1096">
            <v>357</v>
          </cell>
          <cell r="W1096"/>
          <cell r="X1096">
            <v>357</v>
          </cell>
          <cell r="Y1096"/>
          <cell r="Z1096">
            <v>357</v>
          </cell>
          <cell r="AA1096"/>
          <cell r="AB1096"/>
          <cell r="AC1096"/>
          <cell r="AD1096">
            <v>2.1999999999999999E-2</v>
          </cell>
          <cell r="AE1096"/>
          <cell r="AF1096"/>
          <cell r="AG1096"/>
          <cell r="AH1096"/>
          <cell r="AI1096"/>
          <cell r="AJ1096"/>
          <cell r="AK1096"/>
          <cell r="AL1096"/>
        </row>
        <row r="1097">
          <cell r="E1097" t="str">
            <v>HP 1.6mm-7C</v>
          </cell>
          <cell r="F1097" t="str">
            <v>ｍ</v>
          </cell>
          <cell r="G1097"/>
          <cell r="H1097">
            <v>402</v>
          </cell>
          <cell r="I1097"/>
          <cell r="J1097">
            <v>402</v>
          </cell>
          <cell r="K1097"/>
          <cell r="L1097">
            <v>402</v>
          </cell>
          <cell r="M1097"/>
          <cell r="N1097">
            <v>402</v>
          </cell>
          <cell r="O1097"/>
          <cell r="P1097">
            <v>402</v>
          </cell>
          <cell r="Q1097"/>
          <cell r="R1097">
            <v>402</v>
          </cell>
          <cell r="S1097"/>
          <cell r="T1097">
            <v>402</v>
          </cell>
          <cell r="U1097"/>
          <cell r="V1097">
            <v>402</v>
          </cell>
          <cell r="W1097"/>
          <cell r="X1097">
            <v>402</v>
          </cell>
          <cell r="Y1097"/>
          <cell r="Z1097">
            <v>402</v>
          </cell>
          <cell r="AA1097"/>
          <cell r="AB1097"/>
          <cell r="AC1097"/>
          <cell r="AD1097">
            <v>2.4E-2</v>
          </cell>
          <cell r="AE1097"/>
          <cell r="AF1097"/>
          <cell r="AG1097"/>
          <cell r="AH1097"/>
          <cell r="AI1097"/>
          <cell r="AJ1097"/>
          <cell r="AK1097"/>
          <cell r="AL1097"/>
        </row>
        <row r="1098">
          <cell r="E1098" t="str">
            <v>HP 1.6mm-3Pr</v>
          </cell>
          <cell r="F1098" t="str">
            <v>ｍ</v>
          </cell>
          <cell r="G1098"/>
          <cell r="H1098">
            <v>374</v>
          </cell>
          <cell r="I1098"/>
          <cell r="J1098">
            <v>374</v>
          </cell>
          <cell r="K1098"/>
          <cell r="L1098">
            <v>374</v>
          </cell>
          <cell r="M1098"/>
          <cell r="N1098">
            <v>374</v>
          </cell>
          <cell r="O1098"/>
          <cell r="P1098">
            <v>374</v>
          </cell>
          <cell r="Q1098"/>
          <cell r="R1098">
            <v>374</v>
          </cell>
          <cell r="S1098"/>
          <cell r="T1098">
            <v>374</v>
          </cell>
          <cell r="U1098"/>
          <cell r="V1098">
            <v>374</v>
          </cell>
          <cell r="W1098"/>
          <cell r="X1098">
            <v>374</v>
          </cell>
          <cell r="Y1098"/>
          <cell r="Z1098">
            <v>374</v>
          </cell>
          <cell r="AA1098"/>
          <cell r="AB1098"/>
          <cell r="AC1098"/>
          <cell r="AD1098">
            <v>0.03</v>
          </cell>
          <cell r="AE1098"/>
          <cell r="AF1098"/>
          <cell r="AG1098"/>
          <cell r="AH1098"/>
          <cell r="AI1098"/>
          <cell r="AJ1098"/>
          <cell r="AK1098"/>
          <cell r="AL1098"/>
        </row>
        <row r="1099">
          <cell r="E1099" t="str">
            <v>HP 1.6mm-5Pr</v>
          </cell>
          <cell r="F1099" t="str">
            <v>ｍ</v>
          </cell>
          <cell r="G1099"/>
          <cell r="H1099">
            <v>573</v>
          </cell>
          <cell r="I1099"/>
          <cell r="J1099">
            <v>573</v>
          </cell>
          <cell r="K1099"/>
          <cell r="L1099">
            <v>573</v>
          </cell>
          <cell r="M1099"/>
          <cell r="N1099">
            <v>573</v>
          </cell>
          <cell r="O1099"/>
          <cell r="P1099">
            <v>573</v>
          </cell>
          <cell r="Q1099"/>
          <cell r="R1099">
            <v>573</v>
          </cell>
          <cell r="S1099"/>
          <cell r="T1099">
            <v>573</v>
          </cell>
          <cell r="U1099"/>
          <cell r="V1099">
            <v>573</v>
          </cell>
          <cell r="W1099"/>
          <cell r="X1099">
            <v>573</v>
          </cell>
          <cell r="Y1099"/>
          <cell r="Z1099">
            <v>573</v>
          </cell>
          <cell r="AA1099"/>
          <cell r="AB1099"/>
          <cell r="AC1099"/>
          <cell r="AD1099">
            <v>3.2000000000000001E-2</v>
          </cell>
          <cell r="AE1099"/>
          <cell r="AF1099"/>
          <cell r="AG1099"/>
          <cell r="AH1099"/>
          <cell r="AI1099"/>
          <cell r="AJ1099"/>
          <cell r="AK1099"/>
          <cell r="AL1099"/>
        </row>
        <row r="1100">
          <cell r="E1100" t="str">
            <v>HP 1.6mm-7Pr</v>
          </cell>
          <cell r="F1100" t="str">
            <v>ｍ</v>
          </cell>
          <cell r="G1100"/>
          <cell r="H1100">
            <v>829</v>
          </cell>
          <cell r="I1100"/>
          <cell r="J1100">
            <v>829</v>
          </cell>
          <cell r="K1100"/>
          <cell r="L1100">
            <v>829</v>
          </cell>
          <cell r="M1100"/>
          <cell r="N1100">
            <v>829</v>
          </cell>
          <cell r="O1100"/>
          <cell r="P1100">
            <v>829</v>
          </cell>
          <cell r="Q1100"/>
          <cell r="R1100">
            <v>829</v>
          </cell>
          <cell r="S1100"/>
          <cell r="T1100">
            <v>829</v>
          </cell>
          <cell r="U1100"/>
          <cell r="V1100">
            <v>829</v>
          </cell>
          <cell r="W1100"/>
          <cell r="X1100">
            <v>829</v>
          </cell>
          <cell r="Y1100"/>
          <cell r="Z1100">
            <v>829</v>
          </cell>
          <cell r="AA1100"/>
          <cell r="AB1100"/>
          <cell r="AC1100"/>
          <cell r="AD1100">
            <v>3.4000000000000002E-2</v>
          </cell>
          <cell r="AE1100"/>
          <cell r="AF1100"/>
          <cell r="AG1100"/>
          <cell r="AH1100"/>
          <cell r="AI1100"/>
          <cell r="AJ1100"/>
          <cell r="AK1100"/>
          <cell r="AL1100"/>
        </row>
        <row r="1101">
          <cell r="E1101" t="str">
            <v>HP 1.6mm-10Pr</v>
          </cell>
          <cell r="F1101" t="str">
            <v>ｍ</v>
          </cell>
          <cell r="G1101"/>
          <cell r="H1101">
            <v>1155</v>
          </cell>
          <cell r="I1101"/>
          <cell r="J1101">
            <v>1155</v>
          </cell>
          <cell r="K1101"/>
          <cell r="L1101">
            <v>1155</v>
          </cell>
          <cell r="M1101"/>
          <cell r="N1101">
            <v>1155</v>
          </cell>
          <cell r="O1101"/>
          <cell r="P1101">
            <v>1155</v>
          </cell>
          <cell r="Q1101"/>
          <cell r="R1101">
            <v>1155</v>
          </cell>
          <cell r="S1101"/>
          <cell r="T1101">
            <v>1155</v>
          </cell>
          <cell r="U1101"/>
          <cell r="V1101">
            <v>1155</v>
          </cell>
          <cell r="W1101"/>
          <cell r="X1101">
            <v>1155</v>
          </cell>
          <cell r="Y1101"/>
          <cell r="Z1101">
            <v>1155</v>
          </cell>
          <cell r="AA1101"/>
          <cell r="AB1101"/>
          <cell r="AC1101"/>
          <cell r="AD1101">
            <v>3.6999999999999998E-2</v>
          </cell>
          <cell r="AE1101"/>
          <cell r="AF1101"/>
          <cell r="AG1101"/>
          <cell r="AH1101"/>
          <cell r="AI1101"/>
          <cell r="AJ1101"/>
          <cell r="AK1101"/>
          <cell r="AL1101"/>
        </row>
        <row r="1102">
          <cell r="E1102" t="str">
            <v>HP 1.6mm-15Pr</v>
          </cell>
          <cell r="F1102" t="str">
            <v>ｍ</v>
          </cell>
          <cell r="G1102"/>
          <cell r="H1102">
            <v>1719</v>
          </cell>
          <cell r="I1102"/>
          <cell r="J1102">
            <v>1719</v>
          </cell>
          <cell r="K1102"/>
          <cell r="L1102">
            <v>1719</v>
          </cell>
          <cell r="M1102"/>
          <cell r="N1102">
            <v>1719</v>
          </cell>
          <cell r="O1102"/>
          <cell r="P1102">
            <v>1719</v>
          </cell>
          <cell r="Q1102"/>
          <cell r="R1102">
            <v>1719</v>
          </cell>
          <cell r="S1102"/>
          <cell r="T1102">
            <v>1719</v>
          </cell>
          <cell r="U1102"/>
          <cell r="V1102">
            <v>1719</v>
          </cell>
          <cell r="W1102"/>
          <cell r="X1102">
            <v>1719</v>
          </cell>
          <cell r="Y1102"/>
          <cell r="Z1102">
            <v>1719</v>
          </cell>
          <cell r="AA1102"/>
          <cell r="AB1102"/>
          <cell r="AC1102"/>
          <cell r="AD1102">
            <v>0.04</v>
          </cell>
          <cell r="AE1102"/>
          <cell r="AF1102"/>
          <cell r="AG1102"/>
          <cell r="AH1102"/>
          <cell r="AI1102"/>
          <cell r="AJ1102"/>
          <cell r="AK1102"/>
          <cell r="AL1102"/>
        </row>
        <row r="1103">
          <cell r="E1103" t="str">
            <v>HP 1.6mm-20Pr</v>
          </cell>
          <cell r="F1103" t="str">
            <v>ｍ</v>
          </cell>
          <cell r="G1103"/>
          <cell r="H1103">
            <v>2259</v>
          </cell>
          <cell r="I1103"/>
          <cell r="J1103">
            <v>2259</v>
          </cell>
          <cell r="K1103"/>
          <cell r="L1103">
            <v>2259</v>
          </cell>
          <cell r="M1103"/>
          <cell r="N1103">
            <v>2259</v>
          </cell>
          <cell r="O1103"/>
          <cell r="P1103">
            <v>2259</v>
          </cell>
          <cell r="Q1103"/>
          <cell r="R1103">
            <v>2259</v>
          </cell>
          <cell r="S1103"/>
          <cell r="T1103">
            <v>2259</v>
          </cell>
          <cell r="U1103"/>
          <cell r="V1103">
            <v>2259</v>
          </cell>
          <cell r="W1103"/>
          <cell r="X1103">
            <v>2259</v>
          </cell>
          <cell r="Y1103"/>
          <cell r="Z1103">
            <v>2259</v>
          </cell>
          <cell r="AA1103"/>
          <cell r="AB1103"/>
          <cell r="AC1103"/>
          <cell r="AD1103">
            <v>4.7E-2</v>
          </cell>
          <cell r="AE1103"/>
          <cell r="AF1103"/>
          <cell r="AG1103"/>
          <cell r="AH1103"/>
          <cell r="AI1103"/>
          <cell r="AJ1103"/>
          <cell r="AK1103"/>
          <cell r="AL1103"/>
        </row>
        <row r="1104">
          <cell r="E1104" t="str">
            <v>HP 1.6mm-25Pr</v>
          </cell>
          <cell r="F1104" t="str">
            <v>ｍ</v>
          </cell>
          <cell r="G1104"/>
          <cell r="H1104">
            <v>2804</v>
          </cell>
          <cell r="I1104"/>
          <cell r="J1104">
            <v>2804</v>
          </cell>
          <cell r="K1104"/>
          <cell r="L1104">
            <v>2804</v>
          </cell>
          <cell r="M1104"/>
          <cell r="N1104">
            <v>2804</v>
          </cell>
          <cell r="O1104"/>
          <cell r="P1104">
            <v>2804</v>
          </cell>
          <cell r="Q1104"/>
          <cell r="R1104">
            <v>2804</v>
          </cell>
          <cell r="S1104"/>
          <cell r="T1104">
            <v>2804</v>
          </cell>
          <cell r="U1104"/>
          <cell r="V1104">
            <v>2804</v>
          </cell>
          <cell r="W1104"/>
          <cell r="X1104">
            <v>2804</v>
          </cell>
          <cell r="Y1104"/>
          <cell r="Z1104">
            <v>2804</v>
          </cell>
          <cell r="AA1104"/>
          <cell r="AB1104"/>
          <cell r="AC1104"/>
          <cell r="AD1104">
            <v>5.0999999999999997E-2</v>
          </cell>
          <cell r="AE1104"/>
          <cell r="AF1104"/>
          <cell r="AG1104"/>
          <cell r="AH1104"/>
          <cell r="AI1104"/>
          <cell r="AJ1104"/>
          <cell r="AK1104"/>
          <cell r="AL1104"/>
        </row>
        <row r="1105">
          <cell r="E1105" t="str">
            <v>HP 1.6mm-30Pr</v>
          </cell>
          <cell r="F1105" t="str">
            <v>ｍ</v>
          </cell>
          <cell r="G1105"/>
          <cell r="H1105">
            <v>3264</v>
          </cell>
          <cell r="I1105"/>
          <cell r="J1105">
            <v>3264</v>
          </cell>
          <cell r="K1105"/>
          <cell r="L1105">
            <v>3264</v>
          </cell>
          <cell r="M1105"/>
          <cell r="N1105">
            <v>3264</v>
          </cell>
          <cell r="O1105"/>
          <cell r="P1105">
            <v>3264</v>
          </cell>
          <cell r="Q1105"/>
          <cell r="R1105">
            <v>3264</v>
          </cell>
          <cell r="S1105"/>
          <cell r="T1105">
            <v>3264</v>
          </cell>
          <cell r="U1105"/>
          <cell r="V1105">
            <v>3264</v>
          </cell>
          <cell r="W1105"/>
          <cell r="X1105">
            <v>3264</v>
          </cell>
          <cell r="Y1105"/>
          <cell r="Z1105">
            <v>3264</v>
          </cell>
          <cell r="AA1105"/>
          <cell r="AB1105"/>
          <cell r="AC1105"/>
          <cell r="AD1105">
            <v>5.3999999999999999E-2</v>
          </cell>
          <cell r="AE1105"/>
          <cell r="AF1105"/>
          <cell r="AG1105"/>
          <cell r="AH1105"/>
          <cell r="AI1105"/>
          <cell r="AJ1105"/>
          <cell r="AK1105"/>
          <cell r="AL1105"/>
        </row>
        <row r="1106">
          <cell r="E1106" t="str">
            <v>HP 1.6mm-40Pr</v>
          </cell>
          <cell r="F1106" t="str">
            <v>ｍ</v>
          </cell>
          <cell r="G1106"/>
          <cell r="H1106">
            <v>4358</v>
          </cell>
          <cell r="I1106"/>
          <cell r="J1106">
            <v>4358</v>
          </cell>
          <cell r="K1106"/>
          <cell r="L1106">
            <v>4358</v>
          </cell>
          <cell r="M1106"/>
          <cell r="N1106">
            <v>4358</v>
          </cell>
          <cell r="O1106"/>
          <cell r="P1106">
            <v>4358</v>
          </cell>
          <cell r="Q1106"/>
          <cell r="R1106">
            <v>4358</v>
          </cell>
          <cell r="S1106"/>
          <cell r="T1106">
            <v>4358</v>
          </cell>
          <cell r="U1106"/>
          <cell r="V1106">
            <v>4358</v>
          </cell>
          <cell r="W1106"/>
          <cell r="X1106">
            <v>4358</v>
          </cell>
          <cell r="Y1106"/>
          <cell r="Z1106">
            <v>4358</v>
          </cell>
          <cell r="AA1106"/>
          <cell r="AB1106"/>
          <cell r="AC1106"/>
          <cell r="AD1106">
            <v>6.4000000000000001E-2</v>
          </cell>
          <cell r="AE1106"/>
          <cell r="AF1106"/>
          <cell r="AG1106"/>
          <cell r="AH1106"/>
          <cell r="AI1106"/>
          <cell r="AJ1106"/>
          <cell r="AK1106"/>
          <cell r="AL1106"/>
        </row>
        <row r="1107">
          <cell r="E1107" t="str">
            <v>HP 1.6mm-50Pr</v>
          </cell>
          <cell r="F1107" t="str">
            <v>ｍ</v>
          </cell>
          <cell r="G1107"/>
          <cell r="H1107">
            <v>5061</v>
          </cell>
          <cell r="I1107"/>
          <cell r="J1107">
            <v>5061</v>
          </cell>
          <cell r="K1107"/>
          <cell r="L1107">
            <v>5061</v>
          </cell>
          <cell r="M1107"/>
          <cell r="N1107">
            <v>5061</v>
          </cell>
          <cell r="O1107"/>
          <cell r="P1107">
            <v>5061</v>
          </cell>
          <cell r="Q1107"/>
          <cell r="R1107">
            <v>5061</v>
          </cell>
          <cell r="S1107"/>
          <cell r="T1107">
            <v>5061</v>
          </cell>
          <cell r="U1107"/>
          <cell r="V1107">
            <v>5061</v>
          </cell>
          <cell r="W1107"/>
          <cell r="X1107">
            <v>5061</v>
          </cell>
          <cell r="Y1107"/>
          <cell r="Z1107">
            <v>5061</v>
          </cell>
          <cell r="AA1107"/>
          <cell r="AB1107"/>
          <cell r="AC1107"/>
          <cell r="AD1107">
            <v>7.3999999999999996E-2</v>
          </cell>
          <cell r="AE1107"/>
          <cell r="AF1107"/>
          <cell r="AG1107"/>
          <cell r="AH1107"/>
          <cell r="AI1107"/>
          <cell r="AJ1107"/>
          <cell r="AK1107"/>
          <cell r="AL1107"/>
        </row>
        <row r="1108">
          <cell r="E1108" t="str">
            <v>HP 1.6mm-75Pr</v>
          </cell>
          <cell r="F1108" t="str">
            <v>ｍ</v>
          </cell>
          <cell r="G1108"/>
          <cell r="H1108">
            <v>7196</v>
          </cell>
          <cell r="I1108"/>
          <cell r="J1108">
            <v>7196</v>
          </cell>
          <cell r="K1108"/>
          <cell r="L1108">
            <v>7196</v>
          </cell>
          <cell r="M1108"/>
          <cell r="N1108">
            <v>7196</v>
          </cell>
          <cell r="O1108"/>
          <cell r="P1108">
            <v>7196</v>
          </cell>
          <cell r="Q1108"/>
          <cell r="R1108">
            <v>7196</v>
          </cell>
          <cell r="S1108"/>
          <cell r="T1108">
            <v>7196</v>
          </cell>
          <cell r="U1108"/>
          <cell r="V1108">
            <v>7196</v>
          </cell>
          <cell r="W1108"/>
          <cell r="X1108">
            <v>7196</v>
          </cell>
          <cell r="Y1108"/>
          <cell r="Z1108">
            <v>7196</v>
          </cell>
          <cell r="AA1108"/>
          <cell r="AB1108"/>
          <cell r="AC1108"/>
          <cell r="AD1108">
            <v>0.109</v>
          </cell>
          <cell r="AE1108"/>
          <cell r="AF1108"/>
          <cell r="AG1108"/>
          <cell r="AH1108"/>
          <cell r="AI1108"/>
          <cell r="AJ1108"/>
          <cell r="AK1108"/>
          <cell r="AL1108"/>
        </row>
        <row r="1109">
          <cell r="E1109" t="str">
            <v>HP 1.6mm-100Pr</v>
          </cell>
          <cell r="F1109" t="str">
            <v>ｍ</v>
          </cell>
          <cell r="G1109"/>
          <cell r="H1109">
            <v>9733</v>
          </cell>
          <cell r="I1109"/>
          <cell r="J1109">
            <v>9733</v>
          </cell>
          <cell r="K1109"/>
          <cell r="L1109">
            <v>9733</v>
          </cell>
          <cell r="M1109"/>
          <cell r="N1109">
            <v>9733</v>
          </cell>
          <cell r="O1109"/>
          <cell r="P1109">
            <v>9733</v>
          </cell>
          <cell r="Q1109"/>
          <cell r="R1109">
            <v>9733</v>
          </cell>
          <cell r="S1109"/>
          <cell r="T1109">
            <v>9733</v>
          </cell>
          <cell r="U1109"/>
          <cell r="V1109">
            <v>9733</v>
          </cell>
          <cell r="W1109"/>
          <cell r="X1109">
            <v>9733</v>
          </cell>
          <cell r="Y1109"/>
          <cell r="Z1109">
            <v>9733</v>
          </cell>
          <cell r="AA1109"/>
          <cell r="AB1109"/>
          <cell r="AC1109"/>
          <cell r="AD1109">
            <v>0.14399999999999999</v>
          </cell>
          <cell r="AE1109"/>
          <cell r="AF1109"/>
          <cell r="AG1109"/>
          <cell r="AH1109"/>
          <cell r="AI1109"/>
          <cell r="AJ1109"/>
          <cell r="AK1109"/>
          <cell r="AL1109"/>
        </row>
        <row r="1110">
          <cell r="E1110" t="str">
            <v>HP 1.6mm-200Pr</v>
          </cell>
          <cell r="F1110" t="str">
            <v>ｍ</v>
          </cell>
          <cell r="G1110"/>
          <cell r="H1110">
            <v>17958</v>
          </cell>
          <cell r="I1110"/>
          <cell r="J1110">
            <v>17958</v>
          </cell>
          <cell r="K1110"/>
          <cell r="L1110">
            <v>17958</v>
          </cell>
          <cell r="M1110"/>
          <cell r="N1110">
            <v>17958</v>
          </cell>
          <cell r="O1110"/>
          <cell r="P1110">
            <v>17958</v>
          </cell>
          <cell r="Q1110"/>
          <cell r="R1110">
            <v>17958</v>
          </cell>
          <cell r="S1110"/>
          <cell r="T1110">
            <v>17958</v>
          </cell>
          <cell r="U1110"/>
          <cell r="V1110">
            <v>17958</v>
          </cell>
          <cell r="W1110"/>
          <cell r="X1110">
            <v>17958</v>
          </cell>
          <cell r="Y1110"/>
          <cell r="Z1110">
            <v>17958</v>
          </cell>
          <cell r="AA1110"/>
          <cell r="AB1110"/>
          <cell r="AC1110"/>
          <cell r="AD1110">
            <v>0.16900000000000001</v>
          </cell>
          <cell r="AE1110"/>
          <cell r="AF1110"/>
          <cell r="AG1110"/>
          <cell r="AH1110"/>
          <cell r="AI1110"/>
          <cell r="AJ1110"/>
          <cell r="AK1110"/>
          <cell r="AL1110"/>
        </row>
        <row r="1111">
          <cell r="E1111" t="str">
            <v>HP 2.0mm-1C</v>
          </cell>
          <cell r="F1111" t="str">
            <v>ｍ</v>
          </cell>
          <cell r="G1111"/>
          <cell r="H1111">
            <v>92.4</v>
          </cell>
          <cell r="I1111"/>
          <cell r="J1111">
            <v>92.4</v>
          </cell>
          <cell r="K1111"/>
          <cell r="L1111">
            <v>92.4</v>
          </cell>
          <cell r="M1111"/>
          <cell r="N1111">
            <v>92.4</v>
          </cell>
          <cell r="O1111"/>
          <cell r="P1111">
            <v>92.4</v>
          </cell>
          <cell r="Q1111"/>
          <cell r="R1111">
            <v>92.4</v>
          </cell>
          <cell r="S1111"/>
          <cell r="T1111">
            <v>92.4</v>
          </cell>
          <cell r="U1111"/>
          <cell r="V1111">
            <v>92.4</v>
          </cell>
          <cell r="W1111"/>
          <cell r="X1111">
            <v>92.4</v>
          </cell>
          <cell r="Y1111"/>
          <cell r="Z1111">
            <v>92.4</v>
          </cell>
          <cell r="AA1111"/>
          <cell r="AB1111"/>
          <cell r="AC1111"/>
          <cell r="AD1111">
            <v>1.6E-2</v>
          </cell>
          <cell r="AE1111"/>
          <cell r="AF1111"/>
          <cell r="AG1111"/>
          <cell r="AH1111"/>
          <cell r="AI1111"/>
          <cell r="AJ1111"/>
          <cell r="AK1111"/>
          <cell r="AL1111"/>
        </row>
        <row r="1112">
          <cell r="E1112" t="str">
            <v>HP 2.0mm-2C</v>
          </cell>
          <cell r="F1112" t="str">
            <v>ｍ</v>
          </cell>
          <cell r="G1112"/>
          <cell r="H1112">
            <v>154</v>
          </cell>
          <cell r="I1112"/>
          <cell r="J1112">
            <v>154</v>
          </cell>
          <cell r="K1112"/>
          <cell r="L1112">
            <v>154</v>
          </cell>
          <cell r="M1112"/>
          <cell r="N1112">
            <v>154</v>
          </cell>
          <cell r="O1112"/>
          <cell r="P1112">
            <v>154</v>
          </cell>
          <cell r="Q1112"/>
          <cell r="R1112">
            <v>154</v>
          </cell>
          <cell r="S1112"/>
          <cell r="T1112">
            <v>154</v>
          </cell>
          <cell r="U1112"/>
          <cell r="V1112">
            <v>154</v>
          </cell>
          <cell r="W1112"/>
          <cell r="X1112">
            <v>154</v>
          </cell>
          <cell r="Y1112"/>
          <cell r="Z1112">
            <v>154</v>
          </cell>
          <cell r="AA1112"/>
          <cell r="AB1112"/>
          <cell r="AC1112"/>
          <cell r="AD1112">
            <v>1.7999999999999999E-2</v>
          </cell>
          <cell r="AE1112"/>
          <cell r="AF1112"/>
          <cell r="AG1112"/>
          <cell r="AH1112"/>
          <cell r="AI1112"/>
          <cell r="AJ1112"/>
          <cell r="AK1112"/>
          <cell r="AL1112"/>
        </row>
        <row r="1113">
          <cell r="E1113" t="str">
            <v>HP 2.0mm-3C</v>
          </cell>
          <cell r="F1113" t="str">
            <v>ｍ</v>
          </cell>
          <cell r="G1113"/>
          <cell r="H1113">
            <v>225</v>
          </cell>
          <cell r="I1113"/>
          <cell r="J1113">
            <v>225</v>
          </cell>
          <cell r="K1113"/>
          <cell r="L1113">
            <v>225</v>
          </cell>
          <cell r="M1113"/>
          <cell r="N1113">
            <v>225</v>
          </cell>
          <cell r="O1113"/>
          <cell r="P1113">
            <v>225</v>
          </cell>
          <cell r="Q1113"/>
          <cell r="R1113">
            <v>225</v>
          </cell>
          <cell r="S1113"/>
          <cell r="T1113">
            <v>225</v>
          </cell>
          <cell r="U1113"/>
          <cell r="V1113">
            <v>225</v>
          </cell>
          <cell r="W1113"/>
          <cell r="X1113">
            <v>225</v>
          </cell>
          <cell r="Y1113"/>
          <cell r="Z1113">
            <v>225</v>
          </cell>
          <cell r="AA1113"/>
          <cell r="AB1113"/>
          <cell r="AC1113"/>
          <cell r="AD1113">
            <v>2.1000000000000001E-2</v>
          </cell>
          <cell r="AE1113"/>
          <cell r="AF1113"/>
          <cell r="AG1113"/>
          <cell r="AH1113"/>
          <cell r="AI1113"/>
          <cell r="AJ1113"/>
          <cell r="AK1113"/>
          <cell r="AL1113"/>
        </row>
        <row r="1114">
          <cell r="E1114" t="str">
            <v>HP 2.0mm-4C</v>
          </cell>
          <cell r="F1114" t="str">
            <v>ｍ</v>
          </cell>
          <cell r="G1114"/>
          <cell r="H1114">
            <v>276</v>
          </cell>
          <cell r="I1114"/>
          <cell r="J1114">
            <v>276</v>
          </cell>
          <cell r="K1114"/>
          <cell r="L1114">
            <v>276</v>
          </cell>
          <cell r="M1114"/>
          <cell r="N1114">
            <v>276</v>
          </cell>
          <cell r="O1114"/>
          <cell r="P1114">
            <v>276</v>
          </cell>
          <cell r="Q1114"/>
          <cell r="R1114">
            <v>276</v>
          </cell>
          <cell r="S1114"/>
          <cell r="T1114">
            <v>276</v>
          </cell>
          <cell r="U1114"/>
          <cell r="V1114">
            <v>276</v>
          </cell>
          <cell r="W1114"/>
          <cell r="X1114">
            <v>276</v>
          </cell>
          <cell r="Y1114"/>
          <cell r="Z1114">
            <v>276</v>
          </cell>
          <cell r="AA1114"/>
          <cell r="AB1114"/>
          <cell r="AC1114"/>
          <cell r="AD1114">
            <v>2.3E-2</v>
          </cell>
          <cell r="AE1114"/>
          <cell r="AF1114"/>
          <cell r="AG1114"/>
          <cell r="AH1114"/>
          <cell r="AI1114"/>
          <cell r="AJ1114"/>
          <cell r="AK1114"/>
          <cell r="AL1114"/>
        </row>
        <row r="1115">
          <cell r="E1115" t="str">
            <v>HP 2.0mm-6C</v>
          </cell>
          <cell r="F1115" t="str">
            <v>ｍ</v>
          </cell>
          <cell r="G1115"/>
          <cell r="H1115">
            <v>413</v>
          </cell>
          <cell r="I1115"/>
          <cell r="J1115">
            <v>413</v>
          </cell>
          <cell r="K1115"/>
          <cell r="L1115">
            <v>413</v>
          </cell>
          <cell r="M1115"/>
          <cell r="N1115">
            <v>413</v>
          </cell>
          <cell r="O1115"/>
          <cell r="P1115">
            <v>413</v>
          </cell>
          <cell r="Q1115"/>
          <cell r="R1115">
            <v>413</v>
          </cell>
          <cell r="S1115"/>
          <cell r="T1115">
            <v>413</v>
          </cell>
          <cell r="U1115"/>
          <cell r="V1115">
            <v>413</v>
          </cell>
          <cell r="W1115"/>
          <cell r="X1115">
            <v>413</v>
          </cell>
          <cell r="Y1115"/>
          <cell r="Z1115">
            <v>413</v>
          </cell>
          <cell r="AA1115"/>
          <cell r="AB1115"/>
          <cell r="AC1115"/>
          <cell r="AD1115">
            <v>0.03</v>
          </cell>
          <cell r="AE1115"/>
          <cell r="AF1115"/>
          <cell r="AG1115"/>
          <cell r="AH1115"/>
          <cell r="AI1115"/>
          <cell r="AJ1115"/>
          <cell r="AK1115"/>
          <cell r="AL1115"/>
        </row>
        <row r="1116">
          <cell r="E1116" t="str">
            <v>HP 2.0mm-10Pr</v>
          </cell>
          <cell r="F1116" t="str">
            <v>ｍ</v>
          </cell>
          <cell r="G1116"/>
          <cell r="H1116">
            <v>1453</v>
          </cell>
          <cell r="I1116"/>
          <cell r="J1116">
            <v>1453</v>
          </cell>
          <cell r="K1116"/>
          <cell r="L1116">
            <v>1453</v>
          </cell>
          <cell r="M1116"/>
          <cell r="N1116">
            <v>1453</v>
          </cell>
          <cell r="O1116"/>
          <cell r="P1116">
            <v>1453</v>
          </cell>
          <cell r="Q1116"/>
          <cell r="R1116">
            <v>1453</v>
          </cell>
          <cell r="S1116"/>
          <cell r="T1116">
            <v>1453</v>
          </cell>
          <cell r="U1116"/>
          <cell r="V1116">
            <v>1453</v>
          </cell>
          <cell r="W1116"/>
          <cell r="X1116">
            <v>1453</v>
          </cell>
          <cell r="Y1116"/>
          <cell r="Z1116">
            <v>1453</v>
          </cell>
          <cell r="AA1116"/>
          <cell r="AB1116"/>
          <cell r="AC1116"/>
          <cell r="AD1116">
            <v>7.6999999999999999E-2</v>
          </cell>
          <cell r="AE1116"/>
          <cell r="AF1116"/>
          <cell r="AG1116"/>
          <cell r="AH1116"/>
          <cell r="AI1116"/>
          <cell r="AJ1116"/>
          <cell r="AK1116"/>
          <cell r="AL1116"/>
        </row>
        <row r="1117">
          <cell r="E1117" t="str">
            <v>HP 2.0mm-15Pr</v>
          </cell>
          <cell r="F1117" t="str">
            <v>ｍ</v>
          </cell>
          <cell r="G1117"/>
          <cell r="H1117">
            <v>2115</v>
          </cell>
          <cell r="I1117"/>
          <cell r="J1117">
            <v>2115</v>
          </cell>
          <cell r="K1117"/>
          <cell r="L1117">
            <v>2115</v>
          </cell>
          <cell r="M1117"/>
          <cell r="N1117">
            <v>2115</v>
          </cell>
          <cell r="O1117"/>
          <cell r="P1117">
            <v>2115</v>
          </cell>
          <cell r="Q1117"/>
          <cell r="R1117">
            <v>2115</v>
          </cell>
          <cell r="S1117"/>
          <cell r="T1117">
            <v>2115</v>
          </cell>
          <cell r="U1117"/>
          <cell r="V1117">
            <v>2115</v>
          </cell>
          <cell r="W1117"/>
          <cell r="X1117">
            <v>2115</v>
          </cell>
          <cell r="Y1117"/>
          <cell r="Z1117">
            <v>2115</v>
          </cell>
          <cell r="AA1117"/>
          <cell r="AB1117"/>
          <cell r="AC1117"/>
          <cell r="AD1117">
            <v>9.0999999999999998E-2</v>
          </cell>
          <cell r="AE1117"/>
          <cell r="AF1117"/>
          <cell r="AG1117"/>
          <cell r="AH1117"/>
          <cell r="AI1117"/>
          <cell r="AJ1117"/>
          <cell r="AK1117"/>
          <cell r="AL1117"/>
        </row>
        <row r="1118">
          <cell r="E1118" t="str">
            <v>HP 0.75sq-2C</v>
          </cell>
          <cell r="F1118" t="str">
            <v>ｍ</v>
          </cell>
          <cell r="G1118"/>
          <cell r="H1118">
            <v>297</v>
          </cell>
          <cell r="I1118"/>
          <cell r="J1118">
            <v>297</v>
          </cell>
          <cell r="K1118"/>
          <cell r="L1118">
            <v>297</v>
          </cell>
          <cell r="M1118"/>
          <cell r="N1118">
            <v>297</v>
          </cell>
          <cell r="O1118"/>
          <cell r="P1118">
            <v>297</v>
          </cell>
          <cell r="Q1118"/>
          <cell r="R1118">
            <v>297</v>
          </cell>
          <cell r="S1118"/>
          <cell r="T1118">
            <v>297</v>
          </cell>
          <cell r="U1118"/>
          <cell r="V1118">
            <v>297</v>
          </cell>
          <cell r="W1118"/>
          <cell r="X1118">
            <v>297</v>
          </cell>
          <cell r="Y1118"/>
          <cell r="Z1118">
            <v>297</v>
          </cell>
          <cell r="AA1118"/>
          <cell r="AB1118"/>
          <cell r="AC1118"/>
          <cell r="AD1118">
            <v>1.6E-2</v>
          </cell>
          <cell r="AE1118"/>
          <cell r="AF1118"/>
          <cell r="AG1118"/>
          <cell r="AH1118"/>
          <cell r="AI1118"/>
          <cell r="AJ1118"/>
          <cell r="AK1118"/>
          <cell r="AL1118"/>
        </row>
        <row r="1119">
          <cell r="E1119" t="str">
            <v>AE 0.65mm-2C</v>
          </cell>
          <cell r="F1119" t="str">
            <v>ｍ</v>
          </cell>
          <cell r="G1119"/>
          <cell r="H1119">
            <v>16.3</v>
          </cell>
          <cell r="I1119"/>
          <cell r="J1119">
            <v>16.3</v>
          </cell>
          <cell r="K1119"/>
          <cell r="L1119">
            <v>16.3</v>
          </cell>
          <cell r="M1119"/>
          <cell r="N1119">
            <v>16.3</v>
          </cell>
          <cell r="O1119"/>
          <cell r="P1119">
            <v>16.3</v>
          </cell>
          <cell r="Q1119"/>
          <cell r="R1119">
            <v>16.3</v>
          </cell>
          <cell r="S1119"/>
          <cell r="T1119">
            <v>16.3</v>
          </cell>
          <cell r="U1119"/>
          <cell r="V1119">
            <v>16.3</v>
          </cell>
          <cell r="W1119"/>
          <cell r="X1119">
            <v>16.3</v>
          </cell>
          <cell r="Y1119"/>
          <cell r="Z1119">
            <v>16.3</v>
          </cell>
          <cell r="AA1119"/>
          <cell r="AB1119"/>
          <cell r="AC1119"/>
          <cell r="AD1119">
            <v>1.2999999999999999E-2</v>
          </cell>
          <cell r="AE1119"/>
          <cell r="AF1119"/>
          <cell r="AG1119"/>
          <cell r="AH1119"/>
          <cell r="AI1119"/>
          <cell r="AJ1119"/>
          <cell r="AK1119"/>
          <cell r="AL1119"/>
        </row>
        <row r="1120">
          <cell r="E1120" t="str">
            <v>AE 0.65mm-3C</v>
          </cell>
          <cell r="F1120" t="str">
            <v>ｍ</v>
          </cell>
          <cell r="G1120"/>
          <cell r="H1120">
            <v>22.7</v>
          </cell>
          <cell r="I1120"/>
          <cell r="J1120">
            <v>22.7</v>
          </cell>
          <cell r="K1120"/>
          <cell r="L1120">
            <v>22.7</v>
          </cell>
          <cell r="M1120"/>
          <cell r="N1120">
            <v>22.7</v>
          </cell>
          <cell r="O1120"/>
          <cell r="P1120">
            <v>22.7</v>
          </cell>
          <cell r="Q1120"/>
          <cell r="R1120">
            <v>22.7</v>
          </cell>
          <cell r="S1120"/>
          <cell r="T1120">
            <v>22.7</v>
          </cell>
          <cell r="U1120"/>
          <cell r="V1120">
            <v>22.7</v>
          </cell>
          <cell r="W1120"/>
          <cell r="X1120">
            <v>22.7</v>
          </cell>
          <cell r="Y1120"/>
          <cell r="Z1120">
            <v>22.7</v>
          </cell>
          <cell r="AA1120"/>
          <cell r="AB1120"/>
          <cell r="AC1120"/>
          <cell r="AD1120">
            <v>1.4E-2</v>
          </cell>
          <cell r="AE1120"/>
          <cell r="AF1120"/>
          <cell r="AG1120"/>
          <cell r="AH1120"/>
          <cell r="AI1120"/>
          <cell r="AJ1120"/>
          <cell r="AK1120"/>
          <cell r="AL1120"/>
        </row>
        <row r="1121">
          <cell r="E1121" t="str">
            <v>AE 0.65mm-4C</v>
          </cell>
          <cell r="F1121" t="str">
            <v>ｍ</v>
          </cell>
          <cell r="G1121"/>
          <cell r="H1121">
            <v>28.3</v>
          </cell>
          <cell r="I1121"/>
          <cell r="J1121">
            <v>28.3</v>
          </cell>
          <cell r="K1121"/>
          <cell r="L1121">
            <v>28.3</v>
          </cell>
          <cell r="M1121"/>
          <cell r="N1121">
            <v>28.3</v>
          </cell>
          <cell r="O1121"/>
          <cell r="P1121">
            <v>28.3</v>
          </cell>
          <cell r="Q1121"/>
          <cell r="R1121">
            <v>28.3</v>
          </cell>
          <cell r="S1121"/>
          <cell r="T1121">
            <v>28.3</v>
          </cell>
          <cell r="U1121"/>
          <cell r="V1121">
            <v>28.3</v>
          </cell>
          <cell r="W1121"/>
          <cell r="X1121">
            <v>28.3</v>
          </cell>
          <cell r="Y1121"/>
          <cell r="Z1121">
            <v>28.3</v>
          </cell>
          <cell r="AA1121"/>
          <cell r="AB1121"/>
          <cell r="AC1121"/>
          <cell r="AD1121">
            <v>1.4E-2</v>
          </cell>
          <cell r="AE1121"/>
          <cell r="AF1121"/>
          <cell r="AG1121"/>
          <cell r="AH1121"/>
          <cell r="AI1121"/>
          <cell r="AJ1121"/>
          <cell r="AK1121"/>
          <cell r="AL1121"/>
        </row>
        <row r="1122">
          <cell r="E1122" t="str">
            <v>AE 0.65mm-6C</v>
          </cell>
          <cell r="F1122" t="str">
            <v>ｍ</v>
          </cell>
          <cell r="G1122"/>
          <cell r="H1122">
            <v>45.1</v>
          </cell>
          <cell r="I1122"/>
          <cell r="J1122">
            <v>45.1</v>
          </cell>
          <cell r="K1122"/>
          <cell r="L1122">
            <v>45.1</v>
          </cell>
          <cell r="M1122"/>
          <cell r="N1122">
            <v>45.1</v>
          </cell>
          <cell r="O1122"/>
          <cell r="P1122">
            <v>45.1</v>
          </cell>
          <cell r="Q1122"/>
          <cell r="R1122">
            <v>45.1</v>
          </cell>
          <cell r="S1122"/>
          <cell r="T1122">
            <v>45.1</v>
          </cell>
          <cell r="U1122"/>
          <cell r="V1122">
            <v>45.1</v>
          </cell>
          <cell r="W1122"/>
          <cell r="X1122">
            <v>45.1</v>
          </cell>
          <cell r="Y1122"/>
          <cell r="Z1122">
            <v>45.1</v>
          </cell>
          <cell r="AA1122"/>
          <cell r="AB1122"/>
          <cell r="AC1122"/>
          <cell r="AD1122">
            <v>1.4999999999999999E-2</v>
          </cell>
          <cell r="AE1122"/>
          <cell r="AF1122"/>
          <cell r="AG1122"/>
          <cell r="AH1122"/>
          <cell r="AI1122"/>
          <cell r="AJ1122"/>
          <cell r="AK1122"/>
          <cell r="AL1122"/>
        </row>
        <row r="1123">
          <cell r="E1123" t="str">
            <v>AE 0.65mm-5Pr</v>
          </cell>
          <cell r="F1123" t="str">
            <v>ｍ</v>
          </cell>
          <cell r="G1123"/>
          <cell r="H1123">
            <v>78.900000000000006</v>
          </cell>
          <cell r="I1123"/>
          <cell r="J1123">
            <v>78.900000000000006</v>
          </cell>
          <cell r="K1123"/>
          <cell r="L1123">
            <v>78.900000000000006</v>
          </cell>
          <cell r="M1123"/>
          <cell r="N1123">
            <v>78.900000000000006</v>
          </cell>
          <cell r="O1123"/>
          <cell r="P1123">
            <v>78.900000000000006</v>
          </cell>
          <cell r="Q1123"/>
          <cell r="R1123">
            <v>78.900000000000006</v>
          </cell>
          <cell r="S1123"/>
          <cell r="T1123">
            <v>78.900000000000006</v>
          </cell>
          <cell r="U1123"/>
          <cell r="V1123">
            <v>78.900000000000006</v>
          </cell>
          <cell r="W1123"/>
          <cell r="X1123">
            <v>78.900000000000006</v>
          </cell>
          <cell r="Y1123"/>
          <cell r="Z1123">
            <v>78.900000000000006</v>
          </cell>
          <cell r="AA1123"/>
          <cell r="AB1123"/>
          <cell r="AC1123"/>
          <cell r="AD1123">
            <v>1.7000000000000001E-2</v>
          </cell>
          <cell r="AE1123"/>
          <cell r="AF1123"/>
          <cell r="AG1123"/>
          <cell r="AH1123"/>
          <cell r="AI1123"/>
          <cell r="AJ1123"/>
          <cell r="AK1123"/>
          <cell r="AL1123"/>
        </row>
        <row r="1124">
          <cell r="E1124" t="str">
            <v>AE 0.65mm-10Pr</v>
          </cell>
          <cell r="F1124" t="str">
            <v>ｍ</v>
          </cell>
          <cell r="G1124"/>
          <cell r="H1124">
            <v>133</v>
          </cell>
          <cell r="I1124"/>
          <cell r="J1124">
            <v>133</v>
          </cell>
          <cell r="K1124"/>
          <cell r="L1124">
            <v>133</v>
          </cell>
          <cell r="M1124"/>
          <cell r="N1124">
            <v>133</v>
          </cell>
          <cell r="O1124"/>
          <cell r="P1124">
            <v>133</v>
          </cell>
          <cell r="Q1124"/>
          <cell r="R1124">
            <v>133</v>
          </cell>
          <cell r="S1124"/>
          <cell r="T1124">
            <v>133</v>
          </cell>
          <cell r="U1124"/>
          <cell r="V1124">
            <v>133</v>
          </cell>
          <cell r="W1124"/>
          <cell r="X1124">
            <v>133</v>
          </cell>
          <cell r="Y1124"/>
          <cell r="Z1124">
            <v>133</v>
          </cell>
          <cell r="AA1124"/>
          <cell r="AB1124"/>
          <cell r="AC1124"/>
          <cell r="AD1124">
            <v>0.02</v>
          </cell>
          <cell r="AE1124"/>
          <cell r="AF1124"/>
          <cell r="AG1124"/>
          <cell r="AH1124"/>
          <cell r="AI1124"/>
          <cell r="AJ1124"/>
          <cell r="AK1124"/>
          <cell r="AL1124"/>
        </row>
        <row r="1125">
          <cell r="E1125" t="str">
            <v>AE 0.65mm-15Pr</v>
          </cell>
          <cell r="F1125" t="str">
            <v>ｍ</v>
          </cell>
          <cell r="G1125"/>
          <cell r="H1125">
            <v>193</v>
          </cell>
          <cell r="I1125"/>
          <cell r="J1125">
            <v>193</v>
          </cell>
          <cell r="K1125"/>
          <cell r="L1125">
            <v>193</v>
          </cell>
          <cell r="M1125"/>
          <cell r="N1125">
            <v>193</v>
          </cell>
          <cell r="O1125"/>
          <cell r="P1125">
            <v>193</v>
          </cell>
          <cell r="Q1125"/>
          <cell r="R1125">
            <v>193</v>
          </cell>
          <cell r="S1125"/>
          <cell r="T1125">
            <v>193</v>
          </cell>
          <cell r="U1125"/>
          <cell r="V1125">
            <v>193</v>
          </cell>
          <cell r="W1125"/>
          <cell r="X1125">
            <v>193</v>
          </cell>
          <cell r="Y1125"/>
          <cell r="Z1125">
            <v>193</v>
          </cell>
          <cell r="AA1125"/>
          <cell r="AB1125"/>
          <cell r="AC1125"/>
          <cell r="AD1125">
            <v>2.1999999999999999E-2</v>
          </cell>
          <cell r="AE1125"/>
          <cell r="AF1125"/>
          <cell r="AG1125"/>
          <cell r="AH1125"/>
          <cell r="AI1125"/>
          <cell r="AJ1125"/>
          <cell r="AK1125"/>
          <cell r="AL1125"/>
        </row>
        <row r="1126">
          <cell r="E1126" t="str">
            <v>AE 0.65mm-20Pr</v>
          </cell>
          <cell r="F1126" t="str">
            <v>ｍ</v>
          </cell>
          <cell r="G1126"/>
          <cell r="H1126">
            <v>256</v>
          </cell>
          <cell r="I1126"/>
          <cell r="J1126">
            <v>256</v>
          </cell>
          <cell r="K1126"/>
          <cell r="L1126">
            <v>256</v>
          </cell>
          <cell r="M1126"/>
          <cell r="N1126">
            <v>256</v>
          </cell>
          <cell r="O1126"/>
          <cell r="P1126">
            <v>256</v>
          </cell>
          <cell r="Q1126"/>
          <cell r="R1126">
            <v>256</v>
          </cell>
          <cell r="S1126"/>
          <cell r="T1126">
            <v>256</v>
          </cell>
          <cell r="U1126"/>
          <cell r="V1126">
            <v>256</v>
          </cell>
          <cell r="W1126"/>
          <cell r="X1126">
            <v>256</v>
          </cell>
          <cell r="Y1126"/>
          <cell r="Z1126">
            <v>256</v>
          </cell>
          <cell r="AA1126"/>
          <cell r="AB1126"/>
          <cell r="AC1126"/>
          <cell r="AD1126">
            <v>2.4E-2</v>
          </cell>
          <cell r="AE1126"/>
          <cell r="AF1126"/>
          <cell r="AG1126"/>
          <cell r="AH1126"/>
          <cell r="AI1126"/>
          <cell r="AJ1126"/>
          <cell r="AK1126"/>
          <cell r="AL1126"/>
        </row>
        <row r="1127">
          <cell r="E1127" t="str">
            <v>AE 0.65mm-30Pr</v>
          </cell>
          <cell r="F1127" t="str">
            <v>ｍ</v>
          </cell>
          <cell r="G1127"/>
          <cell r="H1127">
            <v>366</v>
          </cell>
          <cell r="I1127"/>
          <cell r="J1127">
            <v>366</v>
          </cell>
          <cell r="K1127"/>
          <cell r="L1127">
            <v>366</v>
          </cell>
          <cell r="M1127"/>
          <cell r="N1127">
            <v>366</v>
          </cell>
          <cell r="O1127"/>
          <cell r="P1127">
            <v>366</v>
          </cell>
          <cell r="Q1127"/>
          <cell r="R1127">
            <v>366</v>
          </cell>
          <cell r="S1127"/>
          <cell r="T1127">
            <v>366</v>
          </cell>
          <cell r="U1127"/>
          <cell r="V1127">
            <v>366</v>
          </cell>
          <cell r="W1127"/>
          <cell r="X1127">
            <v>366</v>
          </cell>
          <cell r="Y1127"/>
          <cell r="Z1127">
            <v>366</v>
          </cell>
          <cell r="AA1127"/>
          <cell r="AB1127"/>
          <cell r="AC1127"/>
          <cell r="AD1127">
            <v>2.9000000000000001E-2</v>
          </cell>
          <cell r="AE1127"/>
          <cell r="AF1127"/>
          <cell r="AG1127"/>
          <cell r="AH1127"/>
          <cell r="AI1127"/>
          <cell r="AJ1127"/>
          <cell r="AK1127"/>
          <cell r="AL1127"/>
        </row>
        <row r="1128">
          <cell r="E1128" t="str">
            <v>AE 0.65mm-50Pr</v>
          </cell>
          <cell r="F1128" t="str">
            <v>ｍ</v>
          </cell>
          <cell r="G1128"/>
          <cell r="H1128">
            <v>587</v>
          </cell>
          <cell r="I1128"/>
          <cell r="J1128">
            <v>587</v>
          </cell>
          <cell r="K1128"/>
          <cell r="L1128">
            <v>587</v>
          </cell>
          <cell r="M1128"/>
          <cell r="N1128">
            <v>587</v>
          </cell>
          <cell r="O1128"/>
          <cell r="P1128">
            <v>587</v>
          </cell>
          <cell r="Q1128"/>
          <cell r="R1128">
            <v>587</v>
          </cell>
          <cell r="S1128"/>
          <cell r="T1128">
            <v>587</v>
          </cell>
          <cell r="U1128"/>
          <cell r="V1128">
            <v>587</v>
          </cell>
          <cell r="W1128"/>
          <cell r="X1128">
            <v>587</v>
          </cell>
          <cell r="Y1128"/>
          <cell r="Z1128">
            <v>587</v>
          </cell>
          <cell r="AA1128"/>
          <cell r="AB1128"/>
          <cell r="AC1128"/>
          <cell r="AD1128">
            <v>3.9E-2</v>
          </cell>
          <cell r="AE1128"/>
          <cell r="AF1128"/>
          <cell r="AG1128"/>
          <cell r="AH1128"/>
          <cell r="AI1128"/>
          <cell r="AJ1128"/>
          <cell r="AK1128"/>
          <cell r="AL1128"/>
        </row>
        <row r="1129">
          <cell r="E1129" t="str">
            <v>AE 0.65mm-100Pr</v>
          </cell>
          <cell r="F1129" t="str">
            <v>ｍ</v>
          </cell>
          <cell r="G1129"/>
          <cell r="H1129">
            <v>1127</v>
          </cell>
          <cell r="I1129"/>
          <cell r="J1129">
            <v>1127</v>
          </cell>
          <cell r="K1129"/>
          <cell r="L1129">
            <v>1127</v>
          </cell>
          <cell r="M1129"/>
          <cell r="N1129">
            <v>1127</v>
          </cell>
          <cell r="O1129"/>
          <cell r="P1129">
            <v>1127</v>
          </cell>
          <cell r="Q1129"/>
          <cell r="R1129">
            <v>1127</v>
          </cell>
          <cell r="S1129"/>
          <cell r="T1129">
            <v>1127</v>
          </cell>
          <cell r="U1129"/>
          <cell r="V1129">
            <v>1127</v>
          </cell>
          <cell r="W1129"/>
          <cell r="X1129">
            <v>1127</v>
          </cell>
          <cell r="Y1129"/>
          <cell r="Z1129">
            <v>1127</v>
          </cell>
          <cell r="AA1129"/>
          <cell r="AB1129"/>
          <cell r="AC1129"/>
          <cell r="AD1129">
            <v>6.4000000000000001E-2</v>
          </cell>
          <cell r="AE1129"/>
          <cell r="AF1129"/>
          <cell r="AG1129"/>
          <cell r="AH1129"/>
          <cell r="AI1129"/>
          <cell r="AJ1129"/>
          <cell r="AK1129"/>
          <cell r="AL1129"/>
        </row>
        <row r="1130">
          <cell r="E1130" t="str">
            <v>AE 0.9mm-2C</v>
          </cell>
          <cell r="F1130" t="str">
            <v>ｍ</v>
          </cell>
          <cell r="G1130"/>
          <cell r="H1130">
            <v>22.5</v>
          </cell>
          <cell r="I1130"/>
          <cell r="J1130">
            <v>22.5</v>
          </cell>
          <cell r="K1130"/>
          <cell r="L1130">
            <v>22.5</v>
          </cell>
          <cell r="M1130"/>
          <cell r="N1130">
            <v>22.5</v>
          </cell>
          <cell r="O1130"/>
          <cell r="P1130">
            <v>22.5</v>
          </cell>
          <cell r="Q1130"/>
          <cell r="R1130">
            <v>22.5</v>
          </cell>
          <cell r="S1130"/>
          <cell r="T1130">
            <v>22.5</v>
          </cell>
          <cell r="U1130"/>
          <cell r="V1130">
            <v>22.5</v>
          </cell>
          <cell r="W1130"/>
          <cell r="X1130">
            <v>22.5</v>
          </cell>
          <cell r="Y1130"/>
          <cell r="Z1130">
            <v>22.5</v>
          </cell>
          <cell r="AA1130"/>
          <cell r="AB1130"/>
          <cell r="AC1130"/>
          <cell r="AD1130">
            <v>1.4E-2</v>
          </cell>
          <cell r="AE1130"/>
          <cell r="AF1130"/>
          <cell r="AG1130"/>
          <cell r="AH1130"/>
          <cell r="AI1130"/>
          <cell r="AJ1130"/>
          <cell r="AK1130"/>
          <cell r="AL1130"/>
        </row>
        <row r="1131">
          <cell r="E1131" t="str">
            <v>AE 0.9mm-3C</v>
          </cell>
          <cell r="F1131" t="str">
            <v>ｍ</v>
          </cell>
          <cell r="G1131"/>
          <cell r="H1131">
            <v>33.299999999999997</v>
          </cell>
          <cell r="I1131"/>
          <cell r="J1131">
            <v>33.299999999999997</v>
          </cell>
          <cell r="K1131"/>
          <cell r="L1131">
            <v>33.299999999999997</v>
          </cell>
          <cell r="M1131"/>
          <cell r="N1131">
            <v>33.299999999999997</v>
          </cell>
          <cell r="O1131"/>
          <cell r="P1131">
            <v>33.299999999999997</v>
          </cell>
          <cell r="Q1131"/>
          <cell r="R1131">
            <v>33.299999999999997</v>
          </cell>
          <cell r="S1131"/>
          <cell r="T1131">
            <v>33.299999999999997</v>
          </cell>
          <cell r="U1131"/>
          <cell r="V1131">
            <v>33.299999999999997</v>
          </cell>
          <cell r="W1131"/>
          <cell r="X1131">
            <v>33.299999999999997</v>
          </cell>
          <cell r="Y1131"/>
          <cell r="Z1131">
            <v>33.299999999999997</v>
          </cell>
          <cell r="AA1131"/>
          <cell r="AB1131"/>
          <cell r="AC1131"/>
          <cell r="AD1131">
            <v>1.6E-2</v>
          </cell>
          <cell r="AE1131"/>
          <cell r="AF1131"/>
          <cell r="AG1131"/>
          <cell r="AH1131"/>
          <cell r="AI1131"/>
          <cell r="AJ1131"/>
          <cell r="AK1131"/>
          <cell r="AL1131"/>
        </row>
        <row r="1132">
          <cell r="E1132" t="str">
            <v>AE 0.9mm-4C</v>
          </cell>
          <cell r="F1132" t="str">
            <v>ｍ</v>
          </cell>
          <cell r="G1132"/>
          <cell r="H1132">
            <v>40.700000000000003</v>
          </cell>
          <cell r="I1132"/>
          <cell r="J1132">
            <v>40.700000000000003</v>
          </cell>
          <cell r="K1132"/>
          <cell r="L1132">
            <v>40.700000000000003</v>
          </cell>
          <cell r="M1132"/>
          <cell r="N1132">
            <v>40.700000000000003</v>
          </cell>
          <cell r="O1132"/>
          <cell r="P1132">
            <v>40.700000000000003</v>
          </cell>
          <cell r="Q1132"/>
          <cell r="R1132">
            <v>40.700000000000003</v>
          </cell>
          <cell r="S1132"/>
          <cell r="T1132">
            <v>40.700000000000003</v>
          </cell>
          <cell r="U1132"/>
          <cell r="V1132">
            <v>40.700000000000003</v>
          </cell>
          <cell r="W1132"/>
          <cell r="X1132">
            <v>40.700000000000003</v>
          </cell>
          <cell r="Y1132"/>
          <cell r="Z1132">
            <v>40.700000000000003</v>
          </cell>
          <cell r="AA1132"/>
          <cell r="AB1132"/>
          <cell r="AC1132"/>
          <cell r="AD1132">
            <v>1.7000000000000001E-2</v>
          </cell>
          <cell r="AE1132"/>
          <cell r="AF1132"/>
          <cell r="AG1132"/>
          <cell r="AH1132"/>
          <cell r="AI1132"/>
          <cell r="AJ1132"/>
          <cell r="AK1132"/>
          <cell r="AL1132"/>
        </row>
        <row r="1133">
          <cell r="E1133" t="str">
            <v>AE 0.9mm-6C</v>
          </cell>
          <cell r="F1133" t="str">
            <v>ｍ</v>
          </cell>
          <cell r="G1133"/>
          <cell r="H1133">
            <v>66.2</v>
          </cell>
          <cell r="I1133"/>
          <cell r="J1133">
            <v>66.2</v>
          </cell>
          <cell r="K1133"/>
          <cell r="L1133">
            <v>66.2</v>
          </cell>
          <cell r="M1133"/>
          <cell r="N1133">
            <v>66.2</v>
          </cell>
          <cell r="O1133"/>
          <cell r="P1133">
            <v>66.2</v>
          </cell>
          <cell r="Q1133"/>
          <cell r="R1133">
            <v>66.2</v>
          </cell>
          <cell r="S1133"/>
          <cell r="T1133">
            <v>66.2</v>
          </cell>
          <cell r="U1133"/>
          <cell r="V1133">
            <v>66.2</v>
          </cell>
          <cell r="W1133"/>
          <cell r="X1133">
            <v>66.2</v>
          </cell>
          <cell r="Y1133"/>
          <cell r="Z1133">
            <v>66.2</v>
          </cell>
          <cell r="AA1133"/>
          <cell r="AB1133"/>
          <cell r="AC1133"/>
          <cell r="AD1133">
            <v>1.9E-2</v>
          </cell>
          <cell r="AE1133"/>
          <cell r="AF1133"/>
          <cell r="AG1133"/>
          <cell r="AH1133"/>
          <cell r="AI1133"/>
          <cell r="AJ1133"/>
          <cell r="AK1133"/>
          <cell r="AL1133"/>
        </row>
        <row r="1134">
          <cell r="E1134" t="str">
            <v>AE 0.9mm-5Pr</v>
          </cell>
          <cell r="F1134" t="str">
            <v>ｍ</v>
          </cell>
          <cell r="G1134"/>
          <cell r="H1134">
            <v>115</v>
          </cell>
          <cell r="I1134"/>
          <cell r="J1134">
            <v>115</v>
          </cell>
          <cell r="K1134"/>
          <cell r="L1134">
            <v>115</v>
          </cell>
          <cell r="M1134"/>
          <cell r="N1134">
            <v>115</v>
          </cell>
          <cell r="O1134"/>
          <cell r="P1134">
            <v>115</v>
          </cell>
          <cell r="Q1134"/>
          <cell r="R1134">
            <v>115</v>
          </cell>
          <cell r="S1134"/>
          <cell r="T1134">
            <v>115</v>
          </cell>
          <cell r="U1134"/>
          <cell r="V1134">
            <v>115</v>
          </cell>
          <cell r="W1134"/>
          <cell r="X1134">
            <v>115</v>
          </cell>
          <cell r="Y1134"/>
          <cell r="Z1134">
            <v>115</v>
          </cell>
          <cell r="AA1134"/>
          <cell r="AB1134"/>
          <cell r="AC1134"/>
          <cell r="AD1134">
            <v>2.1999999999999999E-2</v>
          </cell>
          <cell r="AE1134"/>
          <cell r="AF1134"/>
          <cell r="AG1134"/>
          <cell r="AH1134"/>
          <cell r="AI1134"/>
          <cell r="AJ1134"/>
          <cell r="AK1134"/>
          <cell r="AL1134"/>
        </row>
        <row r="1135">
          <cell r="E1135" t="str">
            <v>AE 0.9mm-6Pr</v>
          </cell>
          <cell r="F1135" t="str">
            <v>ｍ</v>
          </cell>
          <cell r="G1135"/>
          <cell r="H1135">
            <v>138</v>
          </cell>
          <cell r="I1135"/>
          <cell r="J1135">
            <v>138</v>
          </cell>
          <cell r="K1135"/>
          <cell r="L1135">
            <v>138</v>
          </cell>
          <cell r="M1135"/>
          <cell r="N1135">
            <v>138</v>
          </cell>
          <cell r="O1135"/>
          <cell r="P1135">
            <v>138</v>
          </cell>
          <cell r="Q1135"/>
          <cell r="R1135">
            <v>138</v>
          </cell>
          <cell r="S1135"/>
          <cell r="T1135">
            <v>138</v>
          </cell>
          <cell r="U1135"/>
          <cell r="V1135">
            <v>138</v>
          </cell>
          <cell r="W1135"/>
          <cell r="X1135">
            <v>138</v>
          </cell>
          <cell r="Y1135"/>
          <cell r="Z1135">
            <v>138</v>
          </cell>
          <cell r="AA1135"/>
          <cell r="AB1135"/>
          <cell r="AC1135"/>
          <cell r="AD1135">
            <v>2.3E-2</v>
          </cell>
          <cell r="AE1135"/>
          <cell r="AF1135"/>
          <cell r="AG1135"/>
          <cell r="AH1135"/>
          <cell r="AI1135"/>
          <cell r="AJ1135"/>
          <cell r="AK1135"/>
          <cell r="AL1135"/>
        </row>
        <row r="1136">
          <cell r="E1136" t="str">
            <v>AE 0.9mm-7Pr</v>
          </cell>
          <cell r="F1136" t="str">
            <v>ｍ</v>
          </cell>
          <cell r="G1136"/>
          <cell r="H1136">
            <v>161</v>
          </cell>
          <cell r="I1136"/>
          <cell r="J1136">
            <v>161</v>
          </cell>
          <cell r="K1136"/>
          <cell r="L1136">
            <v>161</v>
          </cell>
          <cell r="M1136"/>
          <cell r="N1136">
            <v>161</v>
          </cell>
          <cell r="O1136"/>
          <cell r="P1136">
            <v>161</v>
          </cell>
          <cell r="Q1136"/>
          <cell r="R1136">
            <v>161</v>
          </cell>
          <cell r="S1136"/>
          <cell r="T1136">
            <v>161</v>
          </cell>
          <cell r="U1136"/>
          <cell r="V1136">
            <v>161</v>
          </cell>
          <cell r="W1136"/>
          <cell r="X1136">
            <v>161</v>
          </cell>
          <cell r="Y1136"/>
          <cell r="Z1136">
            <v>161</v>
          </cell>
          <cell r="AA1136"/>
          <cell r="AB1136"/>
          <cell r="AC1136"/>
          <cell r="AD1136">
            <v>2.3E-2</v>
          </cell>
          <cell r="AE1136"/>
          <cell r="AF1136"/>
          <cell r="AG1136"/>
          <cell r="AH1136"/>
          <cell r="AI1136"/>
          <cell r="AJ1136"/>
          <cell r="AK1136"/>
          <cell r="AL1136"/>
        </row>
        <row r="1137">
          <cell r="E1137" t="str">
            <v>AE 0.9mm-10Pr</v>
          </cell>
          <cell r="F1137" t="str">
            <v>ｍ</v>
          </cell>
          <cell r="G1137"/>
          <cell r="H1137">
            <v>229</v>
          </cell>
          <cell r="I1137"/>
          <cell r="J1137">
            <v>229</v>
          </cell>
          <cell r="K1137"/>
          <cell r="L1137">
            <v>229</v>
          </cell>
          <cell r="M1137"/>
          <cell r="N1137">
            <v>229</v>
          </cell>
          <cell r="O1137"/>
          <cell r="P1137">
            <v>229</v>
          </cell>
          <cell r="Q1137"/>
          <cell r="R1137">
            <v>229</v>
          </cell>
          <cell r="S1137"/>
          <cell r="T1137">
            <v>229</v>
          </cell>
          <cell r="U1137"/>
          <cell r="V1137">
            <v>229</v>
          </cell>
          <cell r="W1137"/>
          <cell r="X1137">
            <v>229</v>
          </cell>
          <cell r="Y1137"/>
          <cell r="Z1137">
            <v>229</v>
          </cell>
          <cell r="AA1137"/>
          <cell r="AB1137"/>
          <cell r="AC1137"/>
          <cell r="AD1137">
            <v>2.5000000000000001E-2</v>
          </cell>
          <cell r="AE1137"/>
          <cell r="AF1137"/>
          <cell r="AG1137"/>
          <cell r="AH1137"/>
          <cell r="AI1137"/>
          <cell r="AJ1137"/>
          <cell r="AK1137"/>
          <cell r="AL1137"/>
        </row>
        <row r="1138">
          <cell r="E1138" t="str">
            <v>AE 0.9mm-15Pr</v>
          </cell>
          <cell r="F1138" t="str">
            <v>ｍ</v>
          </cell>
          <cell r="G1138"/>
          <cell r="H1138">
            <v>326</v>
          </cell>
          <cell r="I1138"/>
          <cell r="J1138">
            <v>326</v>
          </cell>
          <cell r="K1138"/>
          <cell r="L1138">
            <v>326</v>
          </cell>
          <cell r="M1138"/>
          <cell r="N1138">
            <v>326</v>
          </cell>
          <cell r="O1138"/>
          <cell r="P1138">
            <v>326</v>
          </cell>
          <cell r="Q1138"/>
          <cell r="R1138">
            <v>326</v>
          </cell>
          <cell r="S1138"/>
          <cell r="T1138">
            <v>326</v>
          </cell>
          <cell r="U1138"/>
          <cell r="V1138">
            <v>326</v>
          </cell>
          <cell r="W1138"/>
          <cell r="X1138">
            <v>326</v>
          </cell>
          <cell r="Y1138"/>
          <cell r="Z1138">
            <v>326</v>
          </cell>
          <cell r="AA1138"/>
          <cell r="AB1138"/>
          <cell r="AC1138"/>
          <cell r="AD1138">
            <v>2.8000000000000001E-2</v>
          </cell>
          <cell r="AE1138"/>
          <cell r="AF1138"/>
          <cell r="AG1138"/>
          <cell r="AH1138"/>
          <cell r="AI1138"/>
          <cell r="AJ1138"/>
          <cell r="AK1138"/>
          <cell r="AL1138"/>
        </row>
        <row r="1139">
          <cell r="E1139" t="str">
            <v>AE 0.9mm-20Pr</v>
          </cell>
          <cell r="F1139" t="str">
            <v>ｍ</v>
          </cell>
          <cell r="G1139"/>
          <cell r="H1139">
            <v>446</v>
          </cell>
          <cell r="I1139"/>
          <cell r="J1139">
            <v>446</v>
          </cell>
          <cell r="K1139"/>
          <cell r="L1139">
            <v>446</v>
          </cell>
          <cell r="M1139"/>
          <cell r="N1139">
            <v>446</v>
          </cell>
          <cell r="O1139"/>
          <cell r="P1139">
            <v>446</v>
          </cell>
          <cell r="Q1139"/>
          <cell r="R1139">
            <v>446</v>
          </cell>
          <cell r="S1139"/>
          <cell r="T1139">
            <v>446</v>
          </cell>
          <cell r="U1139"/>
          <cell r="V1139">
            <v>446</v>
          </cell>
          <cell r="W1139"/>
          <cell r="X1139">
            <v>446</v>
          </cell>
          <cell r="Y1139"/>
          <cell r="Z1139">
            <v>446</v>
          </cell>
          <cell r="AA1139"/>
          <cell r="AB1139"/>
          <cell r="AC1139"/>
          <cell r="AD1139">
            <v>3.1E-2</v>
          </cell>
          <cell r="AE1139"/>
          <cell r="AF1139"/>
          <cell r="AG1139"/>
          <cell r="AH1139"/>
          <cell r="AI1139"/>
          <cell r="AJ1139"/>
          <cell r="AK1139"/>
          <cell r="AL1139"/>
        </row>
        <row r="1140">
          <cell r="E1140" t="str">
            <v>AE 0.9mm-30Pr</v>
          </cell>
          <cell r="F1140" t="str">
            <v>ｍ</v>
          </cell>
          <cell r="G1140"/>
          <cell r="H1140">
            <v>621</v>
          </cell>
          <cell r="I1140"/>
          <cell r="J1140">
            <v>621</v>
          </cell>
          <cell r="K1140"/>
          <cell r="L1140">
            <v>621</v>
          </cell>
          <cell r="M1140"/>
          <cell r="N1140">
            <v>621</v>
          </cell>
          <cell r="O1140"/>
          <cell r="P1140">
            <v>621</v>
          </cell>
          <cell r="Q1140"/>
          <cell r="R1140">
            <v>621</v>
          </cell>
          <cell r="S1140"/>
          <cell r="T1140">
            <v>621</v>
          </cell>
          <cell r="U1140"/>
          <cell r="V1140">
            <v>621</v>
          </cell>
          <cell r="W1140"/>
          <cell r="X1140">
            <v>621</v>
          </cell>
          <cell r="Y1140"/>
          <cell r="Z1140">
            <v>621</v>
          </cell>
          <cell r="AA1140"/>
          <cell r="AB1140"/>
          <cell r="AC1140"/>
          <cell r="AD1140">
            <v>3.6999999999999998E-2</v>
          </cell>
          <cell r="AE1140"/>
          <cell r="AF1140"/>
          <cell r="AG1140"/>
          <cell r="AH1140"/>
          <cell r="AI1140"/>
          <cell r="AJ1140"/>
          <cell r="AK1140"/>
          <cell r="AL1140"/>
        </row>
        <row r="1141">
          <cell r="E1141" t="str">
            <v>AE 0.9mm-50Pr</v>
          </cell>
          <cell r="F1141" t="str">
            <v>ｍ</v>
          </cell>
          <cell r="G1141"/>
          <cell r="H1141">
            <v>1028</v>
          </cell>
          <cell r="I1141"/>
          <cell r="J1141">
            <v>1028</v>
          </cell>
          <cell r="K1141"/>
          <cell r="L1141">
            <v>1028</v>
          </cell>
          <cell r="M1141"/>
          <cell r="N1141">
            <v>1028</v>
          </cell>
          <cell r="O1141"/>
          <cell r="P1141">
            <v>1028</v>
          </cell>
          <cell r="Q1141"/>
          <cell r="R1141">
            <v>1028</v>
          </cell>
          <cell r="S1141"/>
          <cell r="T1141">
            <v>1028</v>
          </cell>
          <cell r="U1141"/>
          <cell r="V1141">
            <v>1028</v>
          </cell>
          <cell r="W1141"/>
          <cell r="X1141">
            <v>1028</v>
          </cell>
          <cell r="Y1141"/>
          <cell r="Z1141">
            <v>1028</v>
          </cell>
          <cell r="AA1141"/>
          <cell r="AB1141"/>
          <cell r="AC1141"/>
          <cell r="AD1141">
            <v>0.05</v>
          </cell>
          <cell r="AE1141"/>
          <cell r="AF1141"/>
          <cell r="AG1141"/>
          <cell r="AH1141"/>
          <cell r="AI1141"/>
          <cell r="AJ1141"/>
          <cell r="AK1141"/>
          <cell r="AL1141"/>
        </row>
        <row r="1142">
          <cell r="E1142" t="str">
            <v>AE 0.9mm-100Pr</v>
          </cell>
          <cell r="F1142" t="str">
            <v>ｍ</v>
          </cell>
          <cell r="G1142"/>
          <cell r="H1142">
            <v>1934</v>
          </cell>
          <cell r="I1142"/>
          <cell r="J1142">
            <v>1934</v>
          </cell>
          <cell r="K1142"/>
          <cell r="L1142">
            <v>1934</v>
          </cell>
          <cell r="M1142"/>
          <cell r="N1142">
            <v>1934</v>
          </cell>
          <cell r="O1142"/>
          <cell r="P1142">
            <v>1934</v>
          </cell>
          <cell r="Q1142"/>
          <cell r="R1142">
            <v>1934</v>
          </cell>
          <cell r="S1142"/>
          <cell r="T1142">
            <v>1934</v>
          </cell>
          <cell r="U1142"/>
          <cell r="V1142">
            <v>1934</v>
          </cell>
          <cell r="W1142"/>
          <cell r="X1142">
            <v>1934</v>
          </cell>
          <cell r="Y1142"/>
          <cell r="Z1142">
            <v>1934</v>
          </cell>
          <cell r="AA1142"/>
          <cell r="AB1142"/>
          <cell r="AC1142"/>
          <cell r="AD1142">
            <v>8.3000000000000004E-2</v>
          </cell>
          <cell r="AE1142"/>
          <cell r="AF1142"/>
          <cell r="AG1142"/>
          <cell r="AH1142"/>
          <cell r="AI1142"/>
          <cell r="AJ1142"/>
          <cell r="AK1142"/>
          <cell r="AL1142"/>
        </row>
        <row r="1143">
          <cell r="E1143" t="str">
            <v>AE 1.2mm-2C</v>
          </cell>
          <cell r="F1143" t="str">
            <v>ｍ</v>
          </cell>
          <cell r="G1143"/>
          <cell r="H1143">
            <v>38.200000000000003</v>
          </cell>
          <cell r="I1143"/>
          <cell r="J1143">
            <v>38.200000000000003</v>
          </cell>
          <cell r="K1143"/>
          <cell r="L1143">
            <v>38.200000000000003</v>
          </cell>
          <cell r="M1143"/>
          <cell r="N1143">
            <v>38.200000000000003</v>
          </cell>
          <cell r="O1143"/>
          <cell r="P1143">
            <v>38.200000000000003</v>
          </cell>
          <cell r="Q1143"/>
          <cell r="R1143">
            <v>38.200000000000003</v>
          </cell>
          <cell r="S1143"/>
          <cell r="T1143">
            <v>38.200000000000003</v>
          </cell>
          <cell r="U1143"/>
          <cell r="V1143">
            <v>38.200000000000003</v>
          </cell>
          <cell r="W1143"/>
          <cell r="X1143">
            <v>38.200000000000003</v>
          </cell>
          <cell r="Y1143"/>
          <cell r="Z1143">
            <v>38.200000000000003</v>
          </cell>
          <cell r="AA1143"/>
          <cell r="AB1143"/>
          <cell r="AC1143"/>
          <cell r="AD1143">
            <v>1.4999999999999999E-2</v>
          </cell>
          <cell r="AE1143"/>
          <cell r="AF1143"/>
          <cell r="AG1143"/>
          <cell r="AH1143"/>
          <cell r="AI1143"/>
          <cell r="AJ1143"/>
          <cell r="AK1143"/>
          <cell r="AL1143"/>
        </row>
        <row r="1144">
          <cell r="E1144" t="str">
            <v>AE 1.2mm-3C</v>
          </cell>
          <cell r="F1144" t="str">
            <v>ｍ</v>
          </cell>
          <cell r="G1144"/>
          <cell r="H1144">
            <v>54.3</v>
          </cell>
          <cell r="I1144"/>
          <cell r="J1144">
            <v>54.3</v>
          </cell>
          <cell r="K1144"/>
          <cell r="L1144">
            <v>54.3</v>
          </cell>
          <cell r="M1144"/>
          <cell r="N1144">
            <v>54.3</v>
          </cell>
          <cell r="O1144"/>
          <cell r="P1144">
            <v>54.3</v>
          </cell>
          <cell r="Q1144"/>
          <cell r="R1144">
            <v>54.3</v>
          </cell>
          <cell r="S1144"/>
          <cell r="T1144">
            <v>54.3</v>
          </cell>
          <cell r="U1144"/>
          <cell r="V1144">
            <v>54.3</v>
          </cell>
          <cell r="W1144"/>
          <cell r="X1144">
            <v>54.3</v>
          </cell>
          <cell r="Y1144"/>
          <cell r="Z1144">
            <v>54.3</v>
          </cell>
          <cell r="AA1144"/>
          <cell r="AB1144"/>
          <cell r="AC1144"/>
          <cell r="AD1144">
            <v>1.7000000000000001E-2</v>
          </cell>
          <cell r="AE1144"/>
          <cell r="AF1144"/>
          <cell r="AG1144"/>
          <cell r="AH1144"/>
          <cell r="AI1144"/>
          <cell r="AJ1144"/>
          <cell r="AK1144"/>
          <cell r="AL1144"/>
        </row>
        <row r="1145">
          <cell r="E1145" t="str">
            <v>AE 1.2mm-4C</v>
          </cell>
          <cell r="F1145" t="str">
            <v>ｍ</v>
          </cell>
          <cell r="G1145"/>
          <cell r="H1145">
            <v>67</v>
          </cell>
          <cell r="I1145"/>
          <cell r="J1145">
            <v>67</v>
          </cell>
          <cell r="K1145"/>
          <cell r="L1145">
            <v>67</v>
          </cell>
          <cell r="M1145"/>
          <cell r="N1145">
            <v>67</v>
          </cell>
          <cell r="O1145"/>
          <cell r="P1145">
            <v>67</v>
          </cell>
          <cell r="Q1145"/>
          <cell r="R1145">
            <v>67</v>
          </cell>
          <cell r="S1145"/>
          <cell r="T1145">
            <v>67</v>
          </cell>
          <cell r="U1145"/>
          <cell r="V1145">
            <v>67</v>
          </cell>
          <cell r="W1145"/>
          <cell r="X1145">
            <v>67</v>
          </cell>
          <cell r="Y1145"/>
          <cell r="Z1145">
            <v>67</v>
          </cell>
          <cell r="AA1145"/>
          <cell r="AB1145"/>
          <cell r="AC1145"/>
          <cell r="AD1145">
            <v>1.7999999999999999E-2</v>
          </cell>
          <cell r="AE1145"/>
          <cell r="AF1145"/>
          <cell r="AG1145"/>
          <cell r="AH1145"/>
          <cell r="AI1145"/>
          <cell r="AJ1145"/>
          <cell r="AK1145"/>
          <cell r="AL1145"/>
        </row>
        <row r="1146">
          <cell r="E1146" t="str">
            <v>AE 1.2mm-6C</v>
          </cell>
          <cell r="F1146" t="str">
            <v>ｍ</v>
          </cell>
          <cell r="G1146"/>
          <cell r="H1146">
            <v>108</v>
          </cell>
          <cell r="I1146"/>
          <cell r="J1146">
            <v>108</v>
          </cell>
          <cell r="K1146"/>
          <cell r="L1146">
            <v>108</v>
          </cell>
          <cell r="M1146"/>
          <cell r="N1146">
            <v>108</v>
          </cell>
          <cell r="O1146"/>
          <cell r="P1146">
            <v>108</v>
          </cell>
          <cell r="Q1146"/>
          <cell r="R1146">
            <v>108</v>
          </cell>
          <cell r="S1146"/>
          <cell r="T1146">
            <v>108</v>
          </cell>
          <cell r="U1146"/>
          <cell r="V1146">
            <v>108</v>
          </cell>
          <cell r="W1146"/>
          <cell r="X1146">
            <v>108</v>
          </cell>
          <cell r="Y1146"/>
          <cell r="Z1146">
            <v>108</v>
          </cell>
          <cell r="AA1146"/>
          <cell r="AB1146"/>
          <cell r="AC1146"/>
          <cell r="AD1146">
            <v>0.02</v>
          </cell>
          <cell r="AE1146"/>
          <cell r="AF1146"/>
          <cell r="AG1146"/>
          <cell r="AH1146"/>
          <cell r="AI1146"/>
          <cell r="AJ1146"/>
          <cell r="AK1146"/>
          <cell r="AL1146"/>
        </row>
        <row r="1147">
          <cell r="E1147" t="str">
            <v>AE 1.2mm-4Pr</v>
          </cell>
          <cell r="F1147" t="str">
            <v>ｍ</v>
          </cell>
          <cell r="G1147"/>
          <cell r="H1147">
            <v>160</v>
          </cell>
          <cell r="I1147"/>
          <cell r="J1147">
            <v>160</v>
          </cell>
          <cell r="K1147"/>
          <cell r="L1147">
            <v>160</v>
          </cell>
          <cell r="M1147"/>
          <cell r="N1147">
            <v>160</v>
          </cell>
          <cell r="O1147"/>
          <cell r="P1147">
            <v>160</v>
          </cell>
          <cell r="Q1147"/>
          <cell r="R1147">
            <v>160</v>
          </cell>
          <cell r="S1147"/>
          <cell r="T1147">
            <v>160</v>
          </cell>
          <cell r="U1147"/>
          <cell r="V1147">
            <v>160</v>
          </cell>
          <cell r="W1147"/>
          <cell r="X1147">
            <v>160</v>
          </cell>
          <cell r="Y1147"/>
          <cell r="Z1147">
            <v>160</v>
          </cell>
          <cell r="AA1147"/>
          <cell r="AB1147"/>
          <cell r="AC1147"/>
          <cell r="AD1147">
            <v>2.5999999999999999E-2</v>
          </cell>
          <cell r="AE1147"/>
          <cell r="AF1147"/>
          <cell r="AG1147"/>
          <cell r="AH1147"/>
          <cell r="AI1147"/>
          <cell r="AJ1147"/>
          <cell r="AK1147"/>
          <cell r="AL1147"/>
        </row>
        <row r="1148">
          <cell r="E1148" t="str">
            <v>AE 1.2mm-5Pr</v>
          </cell>
          <cell r="F1148" t="str">
            <v>ｍ</v>
          </cell>
          <cell r="G1148"/>
          <cell r="H1148">
            <v>196</v>
          </cell>
          <cell r="I1148"/>
          <cell r="J1148">
            <v>196</v>
          </cell>
          <cell r="K1148"/>
          <cell r="L1148">
            <v>196</v>
          </cell>
          <cell r="M1148"/>
          <cell r="N1148">
            <v>196</v>
          </cell>
          <cell r="O1148"/>
          <cell r="P1148">
            <v>196</v>
          </cell>
          <cell r="Q1148"/>
          <cell r="R1148">
            <v>196</v>
          </cell>
          <cell r="S1148"/>
          <cell r="T1148">
            <v>196</v>
          </cell>
          <cell r="U1148"/>
          <cell r="V1148">
            <v>196</v>
          </cell>
          <cell r="W1148"/>
          <cell r="X1148">
            <v>196</v>
          </cell>
          <cell r="Y1148"/>
          <cell r="Z1148">
            <v>196</v>
          </cell>
          <cell r="AA1148"/>
          <cell r="AB1148"/>
          <cell r="AC1148"/>
          <cell r="AD1148">
            <v>2.7E-2</v>
          </cell>
          <cell r="AE1148"/>
          <cell r="AF1148"/>
          <cell r="AG1148"/>
          <cell r="AH1148"/>
          <cell r="AI1148"/>
          <cell r="AJ1148"/>
          <cell r="AK1148"/>
          <cell r="AL1148"/>
        </row>
        <row r="1149">
          <cell r="E1149" t="str">
            <v>AE 1.2mm-7Pr</v>
          </cell>
          <cell r="F1149" t="str">
            <v>ｍ</v>
          </cell>
          <cell r="G1149"/>
          <cell r="H1149">
            <v>261</v>
          </cell>
          <cell r="I1149"/>
          <cell r="J1149">
            <v>261</v>
          </cell>
          <cell r="K1149"/>
          <cell r="L1149">
            <v>261</v>
          </cell>
          <cell r="M1149"/>
          <cell r="N1149">
            <v>261</v>
          </cell>
          <cell r="O1149"/>
          <cell r="P1149">
            <v>261</v>
          </cell>
          <cell r="Q1149"/>
          <cell r="R1149">
            <v>261</v>
          </cell>
          <cell r="S1149"/>
          <cell r="T1149">
            <v>261</v>
          </cell>
          <cell r="U1149"/>
          <cell r="V1149">
            <v>261</v>
          </cell>
          <cell r="W1149"/>
          <cell r="X1149">
            <v>261</v>
          </cell>
          <cell r="Y1149"/>
          <cell r="Z1149">
            <v>261</v>
          </cell>
          <cell r="AA1149"/>
          <cell r="AB1149"/>
          <cell r="AC1149"/>
          <cell r="AD1149">
            <v>2.9000000000000001E-2</v>
          </cell>
          <cell r="AE1149"/>
          <cell r="AF1149"/>
          <cell r="AG1149"/>
          <cell r="AH1149"/>
          <cell r="AI1149"/>
          <cell r="AJ1149"/>
          <cell r="AK1149"/>
          <cell r="AL1149"/>
        </row>
        <row r="1150">
          <cell r="E1150" t="str">
            <v>AE 1.2mm-10Pr</v>
          </cell>
          <cell r="F1150" t="str">
            <v>ｍ</v>
          </cell>
          <cell r="G1150"/>
          <cell r="H1150">
            <v>359</v>
          </cell>
          <cell r="I1150"/>
          <cell r="J1150">
            <v>359</v>
          </cell>
          <cell r="K1150"/>
          <cell r="L1150">
            <v>359</v>
          </cell>
          <cell r="M1150"/>
          <cell r="N1150">
            <v>359</v>
          </cell>
          <cell r="O1150"/>
          <cell r="P1150">
            <v>359</v>
          </cell>
          <cell r="Q1150"/>
          <cell r="R1150">
            <v>359</v>
          </cell>
          <cell r="S1150"/>
          <cell r="T1150">
            <v>359</v>
          </cell>
          <cell r="U1150"/>
          <cell r="V1150">
            <v>359</v>
          </cell>
          <cell r="W1150"/>
          <cell r="X1150">
            <v>359</v>
          </cell>
          <cell r="Y1150"/>
          <cell r="Z1150">
            <v>359</v>
          </cell>
          <cell r="AA1150"/>
          <cell r="AB1150"/>
          <cell r="AC1150"/>
          <cell r="AD1150">
            <v>3.1E-2</v>
          </cell>
          <cell r="AE1150"/>
          <cell r="AF1150"/>
          <cell r="AG1150"/>
          <cell r="AH1150"/>
          <cell r="AI1150"/>
          <cell r="AJ1150"/>
          <cell r="AK1150"/>
          <cell r="AL1150"/>
        </row>
        <row r="1151">
          <cell r="E1151" t="str">
            <v>AE 1.2mm-15Pr</v>
          </cell>
          <cell r="F1151" t="str">
            <v>ｍ</v>
          </cell>
          <cell r="G1151"/>
          <cell r="H1151">
            <v>547</v>
          </cell>
          <cell r="I1151"/>
          <cell r="J1151">
            <v>547</v>
          </cell>
          <cell r="K1151"/>
          <cell r="L1151">
            <v>547</v>
          </cell>
          <cell r="M1151"/>
          <cell r="N1151">
            <v>547</v>
          </cell>
          <cell r="O1151"/>
          <cell r="P1151">
            <v>547</v>
          </cell>
          <cell r="Q1151"/>
          <cell r="R1151">
            <v>547</v>
          </cell>
          <cell r="S1151"/>
          <cell r="T1151">
            <v>547</v>
          </cell>
          <cell r="U1151"/>
          <cell r="V1151">
            <v>547</v>
          </cell>
          <cell r="W1151"/>
          <cell r="X1151">
            <v>547</v>
          </cell>
          <cell r="Y1151"/>
          <cell r="Z1151">
            <v>547</v>
          </cell>
          <cell r="AA1151"/>
          <cell r="AB1151"/>
          <cell r="AC1151"/>
          <cell r="AD1151">
            <v>3.4000000000000002E-2</v>
          </cell>
          <cell r="AE1151"/>
          <cell r="AF1151"/>
          <cell r="AG1151"/>
          <cell r="AH1151"/>
          <cell r="AI1151"/>
          <cell r="AJ1151"/>
          <cell r="AK1151"/>
          <cell r="AL1151"/>
        </row>
        <row r="1152">
          <cell r="E1152" t="str">
            <v>AE 1.2mm-20Pr</v>
          </cell>
          <cell r="F1152" t="str">
            <v>ｍ</v>
          </cell>
          <cell r="G1152"/>
          <cell r="H1152">
            <v>693</v>
          </cell>
          <cell r="I1152"/>
          <cell r="J1152">
            <v>693</v>
          </cell>
          <cell r="K1152"/>
          <cell r="L1152">
            <v>693</v>
          </cell>
          <cell r="M1152"/>
          <cell r="N1152">
            <v>693</v>
          </cell>
          <cell r="O1152"/>
          <cell r="P1152">
            <v>693</v>
          </cell>
          <cell r="Q1152"/>
          <cell r="R1152">
            <v>693</v>
          </cell>
          <cell r="S1152"/>
          <cell r="T1152">
            <v>693</v>
          </cell>
          <cell r="U1152"/>
          <cell r="V1152">
            <v>693</v>
          </cell>
          <cell r="W1152"/>
          <cell r="X1152">
            <v>693</v>
          </cell>
          <cell r="Y1152"/>
          <cell r="Z1152">
            <v>693</v>
          </cell>
          <cell r="AA1152"/>
          <cell r="AB1152"/>
          <cell r="AC1152"/>
          <cell r="AD1152">
            <v>3.9E-2</v>
          </cell>
          <cell r="AE1152"/>
          <cell r="AF1152"/>
          <cell r="AG1152"/>
          <cell r="AH1152"/>
          <cell r="AI1152"/>
          <cell r="AJ1152"/>
          <cell r="AK1152"/>
          <cell r="AL1152"/>
        </row>
        <row r="1153">
          <cell r="E1153" t="str">
            <v>AE 1.2mm-30Pr</v>
          </cell>
          <cell r="F1153" t="str">
            <v>ｍ</v>
          </cell>
          <cell r="G1153"/>
          <cell r="H1153">
            <v>1039</v>
          </cell>
          <cell r="I1153"/>
          <cell r="J1153">
            <v>1039</v>
          </cell>
          <cell r="K1153"/>
          <cell r="L1153">
            <v>1039</v>
          </cell>
          <cell r="M1153"/>
          <cell r="N1153">
            <v>1039</v>
          </cell>
          <cell r="O1153"/>
          <cell r="P1153">
            <v>1039</v>
          </cell>
          <cell r="Q1153"/>
          <cell r="R1153">
            <v>1039</v>
          </cell>
          <cell r="S1153"/>
          <cell r="T1153">
            <v>1039</v>
          </cell>
          <cell r="U1153"/>
          <cell r="V1153">
            <v>1039</v>
          </cell>
          <cell r="W1153"/>
          <cell r="X1153">
            <v>1039</v>
          </cell>
          <cell r="Y1153"/>
          <cell r="Z1153">
            <v>1039</v>
          </cell>
          <cell r="AA1153"/>
          <cell r="AB1153"/>
          <cell r="AC1153"/>
          <cell r="AD1153">
            <v>4.5999999999999999E-2</v>
          </cell>
          <cell r="AE1153"/>
          <cell r="AF1153"/>
          <cell r="AG1153"/>
          <cell r="AH1153"/>
          <cell r="AI1153"/>
          <cell r="AJ1153"/>
          <cell r="AK1153"/>
          <cell r="AL1153"/>
        </row>
        <row r="1154">
          <cell r="E1154" t="str">
            <v>AE 1.2mm-50Pr</v>
          </cell>
          <cell r="F1154" t="str">
            <v>ｍ</v>
          </cell>
          <cell r="G1154"/>
          <cell r="H1154">
            <v>1749</v>
          </cell>
          <cell r="I1154"/>
          <cell r="J1154">
            <v>1749</v>
          </cell>
          <cell r="K1154"/>
          <cell r="L1154">
            <v>1749</v>
          </cell>
          <cell r="M1154"/>
          <cell r="N1154">
            <v>1749</v>
          </cell>
          <cell r="O1154"/>
          <cell r="P1154">
            <v>1749</v>
          </cell>
          <cell r="Q1154"/>
          <cell r="R1154">
            <v>1749</v>
          </cell>
          <cell r="S1154"/>
          <cell r="T1154">
            <v>1749</v>
          </cell>
          <cell r="U1154"/>
          <cell r="V1154">
            <v>1749</v>
          </cell>
          <cell r="W1154"/>
          <cell r="X1154">
            <v>1749</v>
          </cell>
          <cell r="Y1154"/>
          <cell r="Z1154">
            <v>1749</v>
          </cell>
          <cell r="AA1154"/>
          <cell r="AB1154"/>
          <cell r="AC1154"/>
          <cell r="AD1154">
            <v>6.2E-2</v>
          </cell>
          <cell r="AE1154"/>
          <cell r="AF1154"/>
          <cell r="AG1154"/>
          <cell r="AH1154"/>
          <cell r="AI1154"/>
          <cell r="AJ1154"/>
          <cell r="AK1154"/>
          <cell r="AL1154"/>
        </row>
        <row r="1155">
          <cell r="E1155" t="str">
            <v>AE 1.2mm-100Pr</v>
          </cell>
          <cell r="F1155" t="str">
            <v>ｍ</v>
          </cell>
          <cell r="G1155"/>
          <cell r="H1155">
            <v>3513</v>
          </cell>
          <cell r="I1155"/>
          <cell r="J1155">
            <v>3513</v>
          </cell>
          <cell r="K1155"/>
          <cell r="L1155">
            <v>3513</v>
          </cell>
          <cell r="M1155"/>
          <cell r="N1155">
            <v>3513</v>
          </cell>
          <cell r="O1155"/>
          <cell r="P1155">
            <v>3513</v>
          </cell>
          <cell r="Q1155"/>
          <cell r="R1155">
            <v>3513</v>
          </cell>
          <cell r="S1155"/>
          <cell r="T1155">
            <v>3513</v>
          </cell>
          <cell r="U1155"/>
          <cell r="V1155">
            <v>3513</v>
          </cell>
          <cell r="W1155"/>
          <cell r="X1155">
            <v>3513</v>
          </cell>
          <cell r="Y1155"/>
          <cell r="Z1155">
            <v>3513</v>
          </cell>
          <cell r="AA1155"/>
          <cell r="AB1155"/>
          <cell r="AC1155"/>
          <cell r="AD1155">
            <v>0.10299999999999999</v>
          </cell>
          <cell r="AE1155"/>
          <cell r="AF1155"/>
          <cell r="AG1155"/>
          <cell r="AH1155"/>
          <cell r="AI1155"/>
          <cell r="AJ1155"/>
          <cell r="AK1155"/>
          <cell r="AL1155"/>
        </row>
        <row r="1156">
          <cell r="E1156" t="str">
            <v>CCP-P 0.4- 10Pr</v>
          </cell>
          <cell r="F1156" t="str">
            <v>ｍ</v>
          </cell>
          <cell r="G1156"/>
          <cell r="H1156">
            <v>123</v>
          </cell>
          <cell r="I1156"/>
          <cell r="J1156">
            <v>123</v>
          </cell>
          <cell r="K1156"/>
          <cell r="L1156">
            <v>123</v>
          </cell>
          <cell r="M1156"/>
          <cell r="N1156">
            <v>123</v>
          </cell>
          <cell r="O1156"/>
          <cell r="P1156">
            <v>123</v>
          </cell>
          <cell r="Q1156"/>
          <cell r="R1156">
            <v>123</v>
          </cell>
          <cell r="S1156"/>
          <cell r="T1156">
            <v>123</v>
          </cell>
          <cell r="U1156"/>
          <cell r="V1156">
            <v>123</v>
          </cell>
          <cell r="W1156"/>
          <cell r="X1156">
            <v>123</v>
          </cell>
          <cell r="Y1156"/>
          <cell r="Z1156">
            <v>123</v>
          </cell>
          <cell r="AA1156"/>
          <cell r="AB1156"/>
          <cell r="AC1156"/>
          <cell r="AD1156">
            <v>2.1999999999999999E-2</v>
          </cell>
          <cell r="AE1156"/>
          <cell r="AF1156"/>
          <cell r="AG1156"/>
          <cell r="AH1156"/>
          <cell r="AI1156"/>
          <cell r="AJ1156"/>
          <cell r="AK1156"/>
          <cell r="AL1156"/>
        </row>
        <row r="1157">
          <cell r="E1157" t="str">
            <v>CCP-P 0.4- 30Pr</v>
          </cell>
          <cell r="F1157" t="str">
            <v>ｍ</v>
          </cell>
          <cell r="G1157"/>
          <cell r="H1157">
            <v>213</v>
          </cell>
          <cell r="I1157"/>
          <cell r="J1157">
            <v>213</v>
          </cell>
          <cell r="K1157"/>
          <cell r="L1157">
            <v>213</v>
          </cell>
          <cell r="M1157"/>
          <cell r="N1157">
            <v>213</v>
          </cell>
          <cell r="O1157"/>
          <cell r="P1157">
            <v>213</v>
          </cell>
          <cell r="Q1157"/>
          <cell r="R1157">
            <v>213</v>
          </cell>
          <cell r="S1157"/>
          <cell r="T1157">
            <v>213</v>
          </cell>
          <cell r="U1157"/>
          <cell r="V1157">
            <v>213</v>
          </cell>
          <cell r="W1157"/>
          <cell r="X1157">
            <v>213</v>
          </cell>
          <cell r="Y1157"/>
          <cell r="Z1157">
            <v>213</v>
          </cell>
          <cell r="AA1157"/>
          <cell r="AB1157"/>
          <cell r="AC1157"/>
          <cell r="AD1157">
            <v>2.9000000000000001E-2</v>
          </cell>
          <cell r="AE1157"/>
          <cell r="AF1157"/>
          <cell r="AG1157"/>
          <cell r="AH1157"/>
          <cell r="AI1157"/>
          <cell r="AJ1157"/>
          <cell r="AK1157"/>
          <cell r="AL1157"/>
        </row>
        <row r="1158">
          <cell r="E1158" t="str">
            <v>CCP-P 0.4- 50Pr</v>
          </cell>
          <cell r="F1158" t="str">
            <v>ｍ</v>
          </cell>
          <cell r="G1158"/>
          <cell r="H1158">
            <v>314</v>
          </cell>
          <cell r="I1158"/>
          <cell r="J1158">
            <v>314</v>
          </cell>
          <cell r="K1158"/>
          <cell r="L1158">
            <v>314</v>
          </cell>
          <cell r="M1158"/>
          <cell r="N1158">
            <v>314</v>
          </cell>
          <cell r="O1158"/>
          <cell r="P1158">
            <v>314</v>
          </cell>
          <cell r="Q1158"/>
          <cell r="R1158">
            <v>314</v>
          </cell>
          <cell r="S1158"/>
          <cell r="T1158">
            <v>314</v>
          </cell>
          <cell r="U1158"/>
          <cell r="V1158">
            <v>314</v>
          </cell>
          <cell r="W1158"/>
          <cell r="X1158">
            <v>314</v>
          </cell>
          <cell r="Y1158"/>
          <cell r="Z1158">
            <v>314</v>
          </cell>
          <cell r="AA1158"/>
          <cell r="AB1158"/>
          <cell r="AC1158"/>
          <cell r="AD1158">
            <v>3.9E-2</v>
          </cell>
          <cell r="AE1158"/>
          <cell r="AF1158"/>
          <cell r="AG1158"/>
          <cell r="AH1158"/>
          <cell r="AI1158"/>
          <cell r="AJ1158"/>
          <cell r="AK1158"/>
          <cell r="AL1158"/>
        </row>
        <row r="1159">
          <cell r="E1159" t="str">
            <v>CCP-P 0.4-100Pr</v>
          </cell>
          <cell r="F1159" t="str">
            <v>ｍ</v>
          </cell>
          <cell r="G1159"/>
          <cell r="H1159">
            <v>548</v>
          </cell>
          <cell r="I1159"/>
          <cell r="J1159">
            <v>548</v>
          </cell>
          <cell r="K1159"/>
          <cell r="L1159">
            <v>548</v>
          </cell>
          <cell r="M1159"/>
          <cell r="N1159">
            <v>548</v>
          </cell>
          <cell r="O1159"/>
          <cell r="P1159">
            <v>548</v>
          </cell>
          <cell r="Q1159"/>
          <cell r="R1159">
            <v>548</v>
          </cell>
          <cell r="S1159"/>
          <cell r="T1159">
            <v>548</v>
          </cell>
          <cell r="U1159"/>
          <cell r="V1159">
            <v>548</v>
          </cell>
          <cell r="W1159"/>
          <cell r="X1159">
            <v>548</v>
          </cell>
          <cell r="Y1159"/>
          <cell r="Z1159">
            <v>548</v>
          </cell>
          <cell r="AA1159"/>
          <cell r="AB1159"/>
          <cell r="AC1159"/>
          <cell r="AD1159">
            <v>6.4000000000000001E-2</v>
          </cell>
          <cell r="AE1159"/>
          <cell r="AF1159"/>
          <cell r="AG1159"/>
          <cell r="AH1159"/>
          <cell r="AI1159"/>
          <cell r="AJ1159"/>
          <cell r="AK1159"/>
          <cell r="AL1159"/>
        </row>
        <row r="1160">
          <cell r="E1160" t="str">
            <v>CCP-P 0.4-200Pr</v>
          </cell>
          <cell r="F1160" t="str">
            <v>ｍ</v>
          </cell>
          <cell r="G1160"/>
          <cell r="H1160">
            <v>1021</v>
          </cell>
          <cell r="I1160"/>
          <cell r="J1160">
            <v>1021</v>
          </cell>
          <cell r="K1160"/>
          <cell r="L1160">
            <v>1021</v>
          </cell>
          <cell r="M1160"/>
          <cell r="N1160">
            <v>1021</v>
          </cell>
          <cell r="O1160"/>
          <cell r="P1160">
            <v>1021</v>
          </cell>
          <cell r="Q1160"/>
          <cell r="R1160">
            <v>1021</v>
          </cell>
          <cell r="S1160"/>
          <cell r="T1160">
            <v>1021</v>
          </cell>
          <cell r="U1160"/>
          <cell r="V1160">
            <v>1021</v>
          </cell>
          <cell r="W1160"/>
          <cell r="X1160">
            <v>1021</v>
          </cell>
          <cell r="Y1160"/>
          <cell r="Z1160">
            <v>1021</v>
          </cell>
          <cell r="AA1160"/>
          <cell r="AB1160"/>
          <cell r="AC1160"/>
          <cell r="AD1160">
            <v>9.5000000000000001E-2</v>
          </cell>
          <cell r="AE1160"/>
          <cell r="AF1160"/>
          <cell r="AG1160"/>
          <cell r="AH1160"/>
          <cell r="AI1160"/>
          <cell r="AJ1160"/>
          <cell r="AK1160"/>
          <cell r="AL1160"/>
        </row>
        <row r="1161">
          <cell r="E1161" t="str">
            <v>CCP-P 0.5- 10Pr</v>
          </cell>
          <cell r="F1161" t="str">
            <v>ｍ</v>
          </cell>
          <cell r="G1161"/>
          <cell r="H1161">
            <v>141</v>
          </cell>
          <cell r="I1161"/>
          <cell r="J1161">
            <v>141</v>
          </cell>
          <cell r="K1161"/>
          <cell r="L1161">
            <v>141</v>
          </cell>
          <cell r="M1161"/>
          <cell r="N1161">
            <v>141</v>
          </cell>
          <cell r="O1161"/>
          <cell r="P1161">
            <v>141</v>
          </cell>
          <cell r="Q1161"/>
          <cell r="R1161">
            <v>141</v>
          </cell>
          <cell r="S1161"/>
          <cell r="T1161">
            <v>141</v>
          </cell>
          <cell r="U1161"/>
          <cell r="V1161">
            <v>141</v>
          </cell>
          <cell r="W1161"/>
          <cell r="X1161">
            <v>141</v>
          </cell>
          <cell r="Y1161"/>
          <cell r="Z1161">
            <v>141</v>
          </cell>
          <cell r="AA1161"/>
          <cell r="AB1161"/>
          <cell r="AC1161"/>
          <cell r="AD1161">
            <v>2.1999999999999999E-2</v>
          </cell>
          <cell r="AE1161"/>
          <cell r="AF1161"/>
          <cell r="AG1161"/>
          <cell r="AH1161"/>
          <cell r="AI1161"/>
          <cell r="AJ1161"/>
          <cell r="AK1161"/>
          <cell r="AL1161"/>
        </row>
        <row r="1162">
          <cell r="E1162" t="str">
            <v>CCP-P 0.5- 30Pr</v>
          </cell>
          <cell r="F1162" t="str">
            <v>ｍ</v>
          </cell>
          <cell r="G1162"/>
          <cell r="H1162">
            <v>277</v>
          </cell>
          <cell r="I1162"/>
          <cell r="J1162">
            <v>277</v>
          </cell>
          <cell r="K1162"/>
          <cell r="L1162">
            <v>277</v>
          </cell>
          <cell r="M1162"/>
          <cell r="N1162">
            <v>277</v>
          </cell>
          <cell r="O1162"/>
          <cell r="P1162">
            <v>277</v>
          </cell>
          <cell r="Q1162"/>
          <cell r="R1162">
            <v>277</v>
          </cell>
          <cell r="S1162"/>
          <cell r="T1162">
            <v>277</v>
          </cell>
          <cell r="U1162"/>
          <cell r="V1162">
            <v>277</v>
          </cell>
          <cell r="W1162"/>
          <cell r="X1162">
            <v>277</v>
          </cell>
          <cell r="Y1162"/>
          <cell r="Z1162">
            <v>277</v>
          </cell>
          <cell r="AA1162"/>
          <cell r="AB1162"/>
          <cell r="AC1162"/>
          <cell r="AD1162">
            <v>2.9000000000000001E-2</v>
          </cell>
          <cell r="AE1162"/>
          <cell r="AF1162"/>
          <cell r="AG1162"/>
          <cell r="AH1162"/>
          <cell r="AI1162"/>
          <cell r="AJ1162"/>
          <cell r="AK1162"/>
          <cell r="AL1162"/>
        </row>
        <row r="1163">
          <cell r="E1163" t="str">
            <v>CCP-P 0.5- 50Pr</v>
          </cell>
          <cell r="F1163" t="str">
            <v>ｍ</v>
          </cell>
          <cell r="G1163"/>
          <cell r="H1163">
            <v>409</v>
          </cell>
          <cell r="I1163"/>
          <cell r="J1163">
            <v>409</v>
          </cell>
          <cell r="K1163"/>
          <cell r="L1163">
            <v>409</v>
          </cell>
          <cell r="M1163"/>
          <cell r="N1163">
            <v>409</v>
          </cell>
          <cell r="O1163"/>
          <cell r="P1163">
            <v>409</v>
          </cell>
          <cell r="Q1163"/>
          <cell r="R1163">
            <v>409</v>
          </cell>
          <cell r="S1163"/>
          <cell r="T1163">
            <v>409</v>
          </cell>
          <cell r="U1163"/>
          <cell r="V1163">
            <v>409</v>
          </cell>
          <cell r="W1163"/>
          <cell r="X1163">
            <v>409</v>
          </cell>
          <cell r="Y1163"/>
          <cell r="Z1163">
            <v>409</v>
          </cell>
          <cell r="AA1163"/>
          <cell r="AB1163"/>
          <cell r="AC1163"/>
          <cell r="AD1163">
            <v>3.9E-2</v>
          </cell>
          <cell r="AE1163"/>
          <cell r="AF1163"/>
          <cell r="AG1163"/>
          <cell r="AH1163"/>
          <cell r="AI1163"/>
          <cell r="AJ1163"/>
          <cell r="AK1163"/>
          <cell r="AL1163"/>
        </row>
        <row r="1164">
          <cell r="E1164" t="str">
            <v>CCP-P 0.5-100Pr</v>
          </cell>
          <cell r="F1164" t="str">
            <v>ｍ</v>
          </cell>
          <cell r="G1164"/>
          <cell r="H1164">
            <v>735</v>
          </cell>
          <cell r="I1164"/>
          <cell r="J1164">
            <v>735</v>
          </cell>
          <cell r="K1164"/>
          <cell r="L1164">
            <v>735</v>
          </cell>
          <cell r="M1164"/>
          <cell r="N1164">
            <v>735</v>
          </cell>
          <cell r="O1164"/>
          <cell r="P1164">
            <v>735</v>
          </cell>
          <cell r="Q1164"/>
          <cell r="R1164">
            <v>735</v>
          </cell>
          <cell r="S1164"/>
          <cell r="T1164">
            <v>735</v>
          </cell>
          <cell r="U1164"/>
          <cell r="V1164">
            <v>735</v>
          </cell>
          <cell r="W1164"/>
          <cell r="X1164">
            <v>735</v>
          </cell>
          <cell r="Y1164"/>
          <cell r="Z1164">
            <v>735</v>
          </cell>
          <cell r="AA1164"/>
          <cell r="AB1164"/>
          <cell r="AC1164"/>
          <cell r="AD1164">
            <v>6.4000000000000001E-2</v>
          </cell>
          <cell r="AE1164"/>
          <cell r="AF1164"/>
          <cell r="AG1164"/>
          <cell r="AH1164"/>
          <cell r="AI1164"/>
          <cell r="AJ1164"/>
          <cell r="AK1164"/>
          <cell r="AL1164"/>
        </row>
        <row r="1165">
          <cell r="E1165" t="str">
            <v>CCP-P 0.5-200Pr</v>
          </cell>
          <cell r="F1165" t="str">
            <v>ｍ</v>
          </cell>
          <cell r="G1165"/>
          <cell r="H1165">
            <v>1364</v>
          </cell>
          <cell r="I1165"/>
          <cell r="J1165">
            <v>1364</v>
          </cell>
          <cell r="K1165"/>
          <cell r="L1165">
            <v>1364</v>
          </cell>
          <cell r="M1165"/>
          <cell r="N1165">
            <v>1364</v>
          </cell>
          <cell r="O1165"/>
          <cell r="P1165">
            <v>1364</v>
          </cell>
          <cell r="Q1165"/>
          <cell r="R1165">
            <v>1364</v>
          </cell>
          <cell r="S1165"/>
          <cell r="T1165">
            <v>1364</v>
          </cell>
          <cell r="U1165"/>
          <cell r="V1165">
            <v>1364</v>
          </cell>
          <cell r="W1165"/>
          <cell r="X1165">
            <v>1364</v>
          </cell>
          <cell r="Y1165"/>
          <cell r="Z1165">
            <v>1364</v>
          </cell>
          <cell r="AA1165"/>
          <cell r="AB1165"/>
          <cell r="AC1165"/>
          <cell r="AD1165">
            <v>9.5000000000000001E-2</v>
          </cell>
          <cell r="AE1165"/>
          <cell r="AF1165"/>
          <cell r="AG1165"/>
          <cell r="AH1165"/>
          <cell r="AI1165"/>
          <cell r="AJ1165"/>
          <cell r="AK1165"/>
          <cell r="AL1165"/>
        </row>
        <row r="1166">
          <cell r="E1166" t="str">
            <v>CCP-P 0.65- 10Pr</v>
          </cell>
          <cell r="F1166" t="str">
            <v>ｍ</v>
          </cell>
          <cell r="G1166"/>
          <cell r="H1166">
            <v>186</v>
          </cell>
          <cell r="I1166"/>
          <cell r="J1166">
            <v>186</v>
          </cell>
          <cell r="K1166"/>
          <cell r="L1166">
            <v>186</v>
          </cell>
          <cell r="M1166"/>
          <cell r="N1166">
            <v>186</v>
          </cell>
          <cell r="O1166"/>
          <cell r="P1166">
            <v>186</v>
          </cell>
          <cell r="Q1166"/>
          <cell r="R1166">
            <v>186</v>
          </cell>
          <cell r="S1166"/>
          <cell r="T1166">
            <v>186</v>
          </cell>
          <cell r="U1166"/>
          <cell r="V1166">
            <v>186</v>
          </cell>
          <cell r="W1166"/>
          <cell r="X1166">
            <v>186</v>
          </cell>
          <cell r="Y1166"/>
          <cell r="Z1166">
            <v>186</v>
          </cell>
          <cell r="AA1166"/>
          <cell r="AB1166"/>
          <cell r="AC1166"/>
          <cell r="AD1166">
            <v>2.1999999999999999E-2</v>
          </cell>
          <cell r="AE1166"/>
          <cell r="AF1166"/>
          <cell r="AG1166"/>
          <cell r="AH1166"/>
          <cell r="AI1166"/>
          <cell r="AJ1166"/>
          <cell r="AK1166"/>
          <cell r="AL1166"/>
        </row>
        <row r="1167">
          <cell r="E1167" t="str">
            <v>CCP-P 0.65- 30Pr</v>
          </cell>
          <cell r="F1167" t="str">
            <v>ｍ</v>
          </cell>
          <cell r="G1167"/>
          <cell r="H1167">
            <v>381</v>
          </cell>
          <cell r="I1167"/>
          <cell r="J1167">
            <v>381</v>
          </cell>
          <cell r="K1167"/>
          <cell r="L1167">
            <v>381</v>
          </cell>
          <cell r="M1167"/>
          <cell r="N1167">
            <v>381</v>
          </cell>
          <cell r="O1167"/>
          <cell r="P1167">
            <v>381</v>
          </cell>
          <cell r="Q1167"/>
          <cell r="R1167">
            <v>381</v>
          </cell>
          <cell r="S1167"/>
          <cell r="T1167">
            <v>381</v>
          </cell>
          <cell r="U1167"/>
          <cell r="V1167">
            <v>381</v>
          </cell>
          <cell r="W1167"/>
          <cell r="X1167">
            <v>381</v>
          </cell>
          <cell r="Y1167"/>
          <cell r="Z1167">
            <v>381</v>
          </cell>
          <cell r="AA1167"/>
          <cell r="AB1167"/>
          <cell r="AC1167"/>
          <cell r="AD1167">
            <v>2.9000000000000001E-2</v>
          </cell>
          <cell r="AE1167"/>
          <cell r="AF1167"/>
          <cell r="AG1167"/>
          <cell r="AH1167"/>
          <cell r="AI1167"/>
          <cell r="AJ1167"/>
          <cell r="AK1167"/>
          <cell r="AL1167"/>
        </row>
        <row r="1168">
          <cell r="E1168" t="str">
            <v>CCP-P 0.65- 50Pr</v>
          </cell>
          <cell r="F1168" t="str">
            <v>ｍ</v>
          </cell>
          <cell r="G1168"/>
          <cell r="H1168">
            <v>593</v>
          </cell>
          <cell r="I1168"/>
          <cell r="J1168">
            <v>593</v>
          </cell>
          <cell r="K1168"/>
          <cell r="L1168">
            <v>593</v>
          </cell>
          <cell r="M1168"/>
          <cell r="N1168">
            <v>593</v>
          </cell>
          <cell r="O1168"/>
          <cell r="P1168">
            <v>593</v>
          </cell>
          <cell r="Q1168"/>
          <cell r="R1168">
            <v>593</v>
          </cell>
          <cell r="S1168"/>
          <cell r="T1168">
            <v>593</v>
          </cell>
          <cell r="U1168"/>
          <cell r="V1168">
            <v>593</v>
          </cell>
          <cell r="W1168"/>
          <cell r="X1168">
            <v>593</v>
          </cell>
          <cell r="Y1168"/>
          <cell r="Z1168">
            <v>593</v>
          </cell>
          <cell r="AA1168"/>
          <cell r="AB1168"/>
          <cell r="AC1168"/>
          <cell r="AD1168">
            <v>3.9E-2</v>
          </cell>
          <cell r="AE1168"/>
          <cell r="AF1168"/>
          <cell r="AG1168"/>
          <cell r="AH1168"/>
          <cell r="AI1168"/>
          <cell r="AJ1168"/>
          <cell r="AK1168"/>
          <cell r="AL1168"/>
        </row>
        <row r="1169">
          <cell r="E1169" t="str">
            <v>CCP-P 0.65-100Pr</v>
          </cell>
          <cell r="F1169" t="str">
            <v>ｍ</v>
          </cell>
          <cell r="G1169"/>
          <cell r="H1169">
            <v>1102</v>
          </cell>
          <cell r="I1169"/>
          <cell r="J1169">
            <v>1102</v>
          </cell>
          <cell r="K1169"/>
          <cell r="L1169">
            <v>1102</v>
          </cell>
          <cell r="M1169"/>
          <cell r="N1169">
            <v>1102</v>
          </cell>
          <cell r="O1169"/>
          <cell r="P1169">
            <v>1102</v>
          </cell>
          <cell r="Q1169"/>
          <cell r="R1169">
            <v>1102</v>
          </cell>
          <cell r="S1169"/>
          <cell r="T1169">
            <v>1102</v>
          </cell>
          <cell r="U1169"/>
          <cell r="V1169">
            <v>1102</v>
          </cell>
          <cell r="W1169"/>
          <cell r="X1169">
            <v>1102</v>
          </cell>
          <cell r="Y1169"/>
          <cell r="Z1169">
            <v>1102</v>
          </cell>
          <cell r="AA1169"/>
          <cell r="AB1169"/>
          <cell r="AC1169"/>
          <cell r="AD1169">
            <v>6.4000000000000001E-2</v>
          </cell>
          <cell r="AE1169"/>
          <cell r="AF1169"/>
          <cell r="AG1169"/>
          <cell r="AH1169"/>
          <cell r="AI1169"/>
          <cell r="AJ1169"/>
          <cell r="AK1169"/>
          <cell r="AL1169"/>
        </row>
        <row r="1170">
          <cell r="E1170" t="str">
            <v>CCP-P 0.65-200Pr</v>
          </cell>
          <cell r="F1170" t="str">
            <v>ｍ</v>
          </cell>
          <cell r="G1170"/>
          <cell r="H1170">
            <v>2060</v>
          </cell>
          <cell r="I1170"/>
          <cell r="J1170">
            <v>2060</v>
          </cell>
          <cell r="K1170"/>
          <cell r="L1170">
            <v>2060</v>
          </cell>
          <cell r="M1170"/>
          <cell r="N1170">
            <v>2060</v>
          </cell>
          <cell r="O1170"/>
          <cell r="P1170">
            <v>2060</v>
          </cell>
          <cell r="Q1170"/>
          <cell r="R1170">
            <v>2060</v>
          </cell>
          <cell r="S1170"/>
          <cell r="T1170">
            <v>2060</v>
          </cell>
          <cell r="U1170"/>
          <cell r="V1170">
            <v>2060</v>
          </cell>
          <cell r="W1170"/>
          <cell r="X1170">
            <v>2060</v>
          </cell>
          <cell r="Y1170"/>
          <cell r="Z1170">
            <v>2060</v>
          </cell>
          <cell r="AA1170"/>
          <cell r="AB1170"/>
          <cell r="AC1170"/>
          <cell r="AD1170">
            <v>9.5000000000000001E-2</v>
          </cell>
          <cell r="AE1170"/>
          <cell r="AF1170"/>
          <cell r="AG1170"/>
          <cell r="AH1170"/>
          <cell r="AI1170"/>
          <cell r="AJ1170"/>
          <cell r="AK1170"/>
          <cell r="AL1170"/>
        </row>
        <row r="1171">
          <cell r="E1171" t="str">
            <v>CCP-P 0.9-10Pr</v>
          </cell>
          <cell r="F1171" t="str">
            <v>ｍ</v>
          </cell>
          <cell r="G1171"/>
          <cell r="H1171">
            <v>267</v>
          </cell>
          <cell r="I1171"/>
          <cell r="J1171">
            <v>267</v>
          </cell>
          <cell r="K1171"/>
          <cell r="L1171">
            <v>267</v>
          </cell>
          <cell r="M1171"/>
          <cell r="N1171">
            <v>267</v>
          </cell>
          <cell r="O1171"/>
          <cell r="P1171">
            <v>267</v>
          </cell>
          <cell r="Q1171"/>
          <cell r="R1171">
            <v>267</v>
          </cell>
          <cell r="S1171"/>
          <cell r="T1171">
            <v>267</v>
          </cell>
          <cell r="U1171"/>
          <cell r="V1171">
            <v>267</v>
          </cell>
          <cell r="W1171"/>
          <cell r="X1171">
            <v>267</v>
          </cell>
          <cell r="Y1171"/>
          <cell r="Z1171">
            <v>267</v>
          </cell>
          <cell r="AA1171"/>
          <cell r="AB1171"/>
          <cell r="AC1171"/>
          <cell r="AD1171">
            <v>2.5000000000000001E-2</v>
          </cell>
          <cell r="AE1171"/>
          <cell r="AF1171"/>
          <cell r="AG1171"/>
          <cell r="AH1171"/>
          <cell r="AI1171"/>
          <cell r="AJ1171"/>
          <cell r="AK1171"/>
          <cell r="AL1171"/>
        </row>
        <row r="1172">
          <cell r="E1172" t="str">
            <v>CCP-P 0.9-30Pr</v>
          </cell>
          <cell r="F1172" t="str">
            <v>ｍ</v>
          </cell>
          <cell r="G1172"/>
          <cell r="H1172">
            <v>642</v>
          </cell>
          <cell r="I1172"/>
          <cell r="J1172">
            <v>642</v>
          </cell>
          <cell r="K1172"/>
          <cell r="L1172">
            <v>642</v>
          </cell>
          <cell r="M1172"/>
          <cell r="N1172">
            <v>642</v>
          </cell>
          <cell r="O1172"/>
          <cell r="P1172">
            <v>642</v>
          </cell>
          <cell r="Q1172"/>
          <cell r="R1172">
            <v>642</v>
          </cell>
          <cell r="S1172"/>
          <cell r="T1172">
            <v>642</v>
          </cell>
          <cell r="U1172"/>
          <cell r="V1172">
            <v>642</v>
          </cell>
          <cell r="W1172"/>
          <cell r="X1172">
            <v>642</v>
          </cell>
          <cell r="Y1172"/>
          <cell r="Z1172">
            <v>642</v>
          </cell>
          <cell r="AA1172"/>
          <cell r="AB1172"/>
          <cell r="AC1172"/>
          <cell r="AD1172">
            <v>3.6999999999999998E-2</v>
          </cell>
          <cell r="AE1172"/>
          <cell r="AF1172"/>
          <cell r="AG1172"/>
          <cell r="AH1172"/>
          <cell r="AI1172"/>
          <cell r="AJ1172"/>
          <cell r="AK1172"/>
          <cell r="AL1172"/>
        </row>
        <row r="1173">
          <cell r="E1173" t="str">
            <v>CCP-P 0.9-50Pr</v>
          </cell>
          <cell r="F1173" t="str">
            <v>ｍ</v>
          </cell>
          <cell r="G1173"/>
          <cell r="H1173">
            <v>1010</v>
          </cell>
          <cell r="I1173"/>
          <cell r="J1173">
            <v>1010</v>
          </cell>
          <cell r="K1173"/>
          <cell r="L1173">
            <v>1010</v>
          </cell>
          <cell r="M1173"/>
          <cell r="N1173">
            <v>1010</v>
          </cell>
          <cell r="O1173"/>
          <cell r="P1173">
            <v>1010</v>
          </cell>
          <cell r="Q1173"/>
          <cell r="R1173">
            <v>1010</v>
          </cell>
          <cell r="S1173"/>
          <cell r="T1173">
            <v>1010</v>
          </cell>
          <cell r="U1173"/>
          <cell r="V1173">
            <v>1010</v>
          </cell>
          <cell r="W1173"/>
          <cell r="X1173">
            <v>1010</v>
          </cell>
          <cell r="Y1173"/>
          <cell r="Z1173">
            <v>1010</v>
          </cell>
          <cell r="AA1173"/>
          <cell r="AB1173"/>
          <cell r="AC1173"/>
          <cell r="AD1173">
            <v>0.05</v>
          </cell>
          <cell r="AE1173"/>
          <cell r="AF1173"/>
          <cell r="AG1173"/>
          <cell r="AH1173"/>
          <cell r="AI1173"/>
          <cell r="AJ1173"/>
          <cell r="AK1173"/>
          <cell r="AL1173"/>
        </row>
        <row r="1174">
          <cell r="E1174" t="str">
            <v>CCP-P 0.9-100Pr</v>
          </cell>
          <cell r="F1174" t="str">
            <v>ｍ</v>
          </cell>
          <cell r="G1174"/>
          <cell r="H1174">
            <v>1902</v>
          </cell>
          <cell r="I1174"/>
          <cell r="J1174">
            <v>1902</v>
          </cell>
          <cell r="K1174"/>
          <cell r="L1174">
            <v>1902</v>
          </cell>
          <cell r="M1174"/>
          <cell r="N1174">
            <v>1902</v>
          </cell>
          <cell r="O1174"/>
          <cell r="P1174">
            <v>1902</v>
          </cell>
          <cell r="Q1174"/>
          <cell r="R1174">
            <v>1902</v>
          </cell>
          <cell r="S1174"/>
          <cell r="T1174">
            <v>1902</v>
          </cell>
          <cell r="U1174"/>
          <cell r="V1174">
            <v>1902</v>
          </cell>
          <cell r="W1174"/>
          <cell r="X1174">
            <v>1902</v>
          </cell>
          <cell r="Y1174"/>
          <cell r="Z1174">
            <v>1902</v>
          </cell>
          <cell r="AA1174"/>
          <cell r="AB1174"/>
          <cell r="AC1174"/>
          <cell r="AD1174">
            <v>8.3000000000000004E-2</v>
          </cell>
          <cell r="AE1174"/>
          <cell r="AF1174"/>
          <cell r="AG1174"/>
          <cell r="AH1174"/>
          <cell r="AI1174"/>
          <cell r="AJ1174"/>
          <cell r="AK1174"/>
          <cell r="AL1174"/>
        </row>
        <row r="1175">
          <cell r="E1175" t="str">
            <v>CCP-P-SS 0.4-30Pr</v>
          </cell>
          <cell r="F1175" t="str">
            <v>ｍ</v>
          </cell>
          <cell r="G1175"/>
          <cell r="H1175">
            <v>291</v>
          </cell>
          <cell r="I1175"/>
          <cell r="J1175">
            <v>291</v>
          </cell>
          <cell r="K1175"/>
          <cell r="L1175">
            <v>291</v>
          </cell>
          <cell r="M1175"/>
          <cell r="N1175">
            <v>291</v>
          </cell>
          <cell r="O1175"/>
          <cell r="P1175">
            <v>291</v>
          </cell>
          <cell r="Q1175"/>
          <cell r="R1175">
            <v>291</v>
          </cell>
          <cell r="S1175"/>
          <cell r="T1175">
            <v>291</v>
          </cell>
          <cell r="U1175"/>
          <cell r="V1175">
            <v>291</v>
          </cell>
          <cell r="W1175"/>
          <cell r="X1175">
            <v>291</v>
          </cell>
          <cell r="Y1175"/>
          <cell r="Z1175">
            <v>291</v>
          </cell>
          <cell r="AA1175"/>
          <cell r="AB1175"/>
          <cell r="AC1175"/>
          <cell r="AD1175">
            <v>2.9000000000000001E-2</v>
          </cell>
          <cell r="AE1175"/>
          <cell r="AF1175"/>
          <cell r="AG1175"/>
          <cell r="AH1175"/>
          <cell r="AI1175"/>
          <cell r="AJ1175"/>
          <cell r="AK1175"/>
          <cell r="AL1175"/>
        </row>
        <row r="1176">
          <cell r="E1176" t="str">
            <v>CCP-P-SS 0.4-50Pr</v>
          </cell>
          <cell r="F1176" t="str">
            <v>ｍ</v>
          </cell>
          <cell r="G1176"/>
          <cell r="H1176">
            <v>388</v>
          </cell>
          <cell r="I1176"/>
          <cell r="J1176">
            <v>388</v>
          </cell>
          <cell r="K1176"/>
          <cell r="L1176">
            <v>388</v>
          </cell>
          <cell r="M1176"/>
          <cell r="N1176">
            <v>388</v>
          </cell>
          <cell r="O1176"/>
          <cell r="P1176">
            <v>388</v>
          </cell>
          <cell r="Q1176"/>
          <cell r="R1176">
            <v>388</v>
          </cell>
          <cell r="S1176"/>
          <cell r="T1176">
            <v>388</v>
          </cell>
          <cell r="U1176"/>
          <cell r="V1176">
            <v>388</v>
          </cell>
          <cell r="W1176"/>
          <cell r="X1176">
            <v>388</v>
          </cell>
          <cell r="Y1176"/>
          <cell r="Z1176">
            <v>388</v>
          </cell>
          <cell r="AA1176"/>
          <cell r="AB1176"/>
          <cell r="AC1176"/>
          <cell r="AD1176">
            <v>3.9E-2</v>
          </cell>
          <cell r="AE1176"/>
          <cell r="AF1176"/>
          <cell r="AG1176"/>
          <cell r="AH1176"/>
          <cell r="AI1176"/>
          <cell r="AJ1176"/>
          <cell r="AK1176"/>
          <cell r="AL1176"/>
        </row>
        <row r="1177">
          <cell r="E1177" t="str">
            <v>CCP-P-SS 0.4-100Pr</v>
          </cell>
          <cell r="F1177" t="str">
            <v>ｍ</v>
          </cell>
          <cell r="G1177"/>
          <cell r="H1177">
            <v>645</v>
          </cell>
          <cell r="I1177"/>
          <cell r="J1177">
            <v>645</v>
          </cell>
          <cell r="K1177"/>
          <cell r="L1177">
            <v>645</v>
          </cell>
          <cell r="M1177"/>
          <cell r="N1177">
            <v>645</v>
          </cell>
          <cell r="O1177"/>
          <cell r="P1177">
            <v>645</v>
          </cell>
          <cell r="Q1177"/>
          <cell r="R1177">
            <v>645</v>
          </cell>
          <cell r="S1177"/>
          <cell r="T1177">
            <v>645</v>
          </cell>
          <cell r="U1177"/>
          <cell r="V1177">
            <v>645</v>
          </cell>
          <cell r="W1177"/>
          <cell r="X1177">
            <v>645</v>
          </cell>
          <cell r="Y1177"/>
          <cell r="Z1177">
            <v>645</v>
          </cell>
          <cell r="AA1177"/>
          <cell r="AB1177"/>
          <cell r="AC1177"/>
          <cell r="AD1177">
            <v>6.4000000000000001E-2</v>
          </cell>
          <cell r="AE1177"/>
          <cell r="AF1177"/>
          <cell r="AG1177"/>
          <cell r="AH1177"/>
          <cell r="AI1177"/>
          <cell r="AJ1177"/>
          <cell r="AK1177"/>
          <cell r="AL1177"/>
        </row>
        <row r="1178">
          <cell r="E1178" t="str">
            <v>CCP-P-SS 0.4-200Pr</v>
          </cell>
          <cell r="F1178" t="str">
            <v>ｍ</v>
          </cell>
          <cell r="G1178"/>
          <cell r="H1178">
            <v>1157</v>
          </cell>
          <cell r="I1178"/>
          <cell r="J1178">
            <v>1157</v>
          </cell>
          <cell r="K1178"/>
          <cell r="L1178">
            <v>1157</v>
          </cell>
          <cell r="M1178"/>
          <cell r="N1178">
            <v>1157</v>
          </cell>
          <cell r="O1178"/>
          <cell r="P1178">
            <v>1157</v>
          </cell>
          <cell r="Q1178"/>
          <cell r="R1178">
            <v>1157</v>
          </cell>
          <cell r="S1178"/>
          <cell r="T1178">
            <v>1157</v>
          </cell>
          <cell r="U1178"/>
          <cell r="V1178">
            <v>1157</v>
          </cell>
          <cell r="W1178"/>
          <cell r="X1178">
            <v>1157</v>
          </cell>
          <cell r="Y1178"/>
          <cell r="Z1178">
            <v>1157</v>
          </cell>
          <cell r="AA1178"/>
          <cell r="AB1178"/>
          <cell r="AC1178"/>
          <cell r="AD1178">
            <v>9.5000000000000001E-2</v>
          </cell>
          <cell r="AE1178"/>
          <cell r="AF1178"/>
          <cell r="AG1178"/>
          <cell r="AH1178"/>
          <cell r="AI1178"/>
          <cell r="AJ1178"/>
          <cell r="AK1178"/>
          <cell r="AL1178"/>
        </row>
        <row r="1179">
          <cell r="E1179" t="str">
            <v>CCP-P-SS 0.5-30Pr</v>
          </cell>
          <cell r="F1179" t="str">
            <v>ｍ</v>
          </cell>
          <cell r="G1179"/>
          <cell r="H1179">
            <v>351</v>
          </cell>
          <cell r="I1179"/>
          <cell r="J1179">
            <v>351</v>
          </cell>
          <cell r="K1179"/>
          <cell r="L1179">
            <v>351</v>
          </cell>
          <cell r="M1179"/>
          <cell r="N1179">
            <v>351</v>
          </cell>
          <cell r="O1179"/>
          <cell r="P1179">
            <v>351</v>
          </cell>
          <cell r="Q1179"/>
          <cell r="R1179">
            <v>351</v>
          </cell>
          <cell r="S1179"/>
          <cell r="T1179">
            <v>351</v>
          </cell>
          <cell r="U1179"/>
          <cell r="V1179">
            <v>351</v>
          </cell>
          <cell r="W1179"/>
          <cell r="X1179">
            <v>351</v>
          </cell>
          <cell r="Y1179"/>
          <cell r="Z1179">
            <v>351</v>
          </cell>
          <cell r="AA1179"/>
          <cell r="AB1179"/>
          <cell r="AC1179"/>
          <cell r="AD1179">
            <v>2.9000000000000001E-2</v>
          </cell>
          <cell r="AE1179"/>
          <cell r="AF1179"/>
          <cell r="AG1179"/>
          <cell r="AH1179"/>
          <cell r="AI1179"/>
          <cell r="AJ1179"/>
          <cell r="AK1179"/>
          <cell r="AL1179"/>
        </row>
        <row r="1180">
          <cell r="E1180" t="str">
            <v>CCP-P-SS 0.5-50Pr</v>
          </cell>
          <cell r="F1180" t="str">
            <v>ｍ</v>
          </cell>
          <cell r="G1180"/>
          <cell r="H1180">
            <v>492</v>
          </cell>
          <cell r="I1180"/>
          <cell r="J1180">
            <v>492</v>
          </cell>
          <cell r="K1180"/>
          <cell r="L1180">
            <v>492</v>
          </cell>
          <cell r="M1180"/>
          <cell r="N1180">
            <v>492</v>
          </cell>
          <cell r="O1180"/>
          <cell r="P1180">
            <v>492</v>
          </cell>
          <cell r="Q1180"/>
          <cell r="R1180">
            <v>492</v>
          </cell>
          <cell r="S1180"/>
          <cell r="T1180">
            <v>492</v>
          </cell>
          <cell r="U1180"/>
          <cell r="V1180">
            <v>492</v>
          </cell>
          <cell r="W1180"/>
          <cell r="X1180">
            <v>492</v>
          </cell>
          <cell r="Y1180"/>
          <cell r="Z1180">
            <v>492</v>
          </cell>
          <cell r="AA1180"/>
          <cell r="AB1180"/>
          <cell r="AC1180"/>
          <cell r="AD1180">
            <v>3.9E-2</v>
          </cell>
          <cell r="AE1180"/>
          <cell r="AF1180"/>
          <cell r="AG1180"/>
          <cell r="AH1180"/>
          <cell r="AI1180"/>
          <cell r="AJ1180"/>
          <cell r="AK1180"/>
          <cell r="AL1180"/>
        </row>
        <row r="1181">
          <cell r="E1181" t="str">
            <v>CCP-P-SS 0.5-100Pr</v>
          </cell>
          <cell r="F1181" t="str">
            <v>ｍ</v>
          </cell>
          <cell r="G1181"/>
          <cell r="H1181">
            <v>838</v>
          </cell>
          <cell r="I1181"/>
          <cell r="J1181">
            <v>838</v>
          </cell>
          <cell r="K1181"/>
          <cell r="L1181">
            <v>838</v>
          </cell>
          <cell r="M1181"/>
          <cell r="N1181">
            <v>838</v>
          </cell>
          <cell r="O1181"/>
          <cell r="P1181">
            <v>838</v>
          </cell>
          <cell r="Q1181"/>
          <cell r="R1181">
            <v>838</v>
          </cell>
          <cell r="S1181"/>
          <cell r="T1181">
            <v>838</v>
          </cell>
          <cell r="U1181"/>
          <cell r="V1181">
            <v>838</v>
          </cell>
          <cell r="W1181"/>
          <cell r="X1181">
            <v>838</v>
          </cell>
          <cell r="Y1181"/>
          <cell r="Z1181">
            <v>838</v>
          </cell>
          <cell r="AA1181"/>
          <cell r="AB1181"/>
          <cell r="AC1181"/>
          <cell r="AD1181">
            <v>6.4000000000000001E-2</v>
          </cell>
          <cell r="AE1181"/>
          <cell r="AF1181"/>
          <cell r="AG1181"/>
          <cell r="AH1181"/>
          <cell r="AI1181"/>
          <cell r="AJ1181"/>
          <cell r="AK1181"/>
          <cell r="AL1181"/>
        </row>
        <row r="1182">
          <cell r="E1182" t="str">
            <v>CCP-P-SS 0.5-200Pr</v>
          </cell>
          <cell r="F1182" t="str">
            <v>ｍ</v>
          </cell>
          <cell r="G1182"/>
          <cell r="H1182">
            <v>1519</v>
          </cell>
          <cell r="I1182"/>
          <cell r="J1182">
            <v>1519</v>
          </cell>
          <cell r="K1182"/>
          <cell r="L1182">
            <v>1519</v>
          </cell>
          <cell r="M1182"/>
          <cell r="N1182">
            <v>1519</v>
          </cell>
          <cell r="O1182"/>
          <cell r="P1182">
            <v>1519</v>
          </cell>
          <cell r="Q1182"/>
          <cell r="R1182">
            <v>1519</v>
          </cell>
          <cell r="S1182"/>
          <cell r="T1182">
            <v>1519</v>
          </cell>
          <cell r="U1182"/>
          <cell r="V1182">
            <v>1519</v>
          </cell>
          <cell r="W1182"/>
          <cell r="X1182">
            <v>1519</v>
          </cell>
          <cell r="Y1182"/>
          <cell r="Z1182">
            <v>1519</v>
          </cell>
          <cell r="AA1182"/>
          <cell r="AB1182"/>
          <cell r="AC1182"/>
          <cell r="AD1182">
            <v>9.5000000000000001E-2</v>
          </cell>
          <cell r="AE1182"/>
          <cell r="AF1182"/>
          <cell r="AG1182"/>
          <cell r="AH1182"/>
          <cell r="AI1182"/>
          <cell r="AJ1182"/>
          <cell r="AK1182"/>
          <cell r="AL1182"/>
        </row>
        <row r="1183">
          <cell r="E1183" t="str">
            <v>CCP-P-SS 0.65-30Pr</v>
          </cell>
          <cell r="F1183" t="str">
            <v>ｍ</v>
          </cell>
          <cell r="G1183"/>
          <cell r="H1183">
            <v>480</v>
          </cell>
          <cell r="I1183"/>
          <cell r="J1183">
            <v>480</v>
          </cell>
          <cell r="K1183"/>
          <cell r="L1183">
            <v>480</v>
          </cell>
          <cell r="M1183"/>
          <cell r="N1183">
            <v>480</v>
          </cell>
          <cell r="O1183"/>
          <cell r="P1183">
            <v>480</v>
          </cell>
          <cell r="Q1183"/>
          <cell r="R1183">
            <v>480</v>
          </cell>
          <cell r="S1183"/>
          <cell r="T1183">
            <v>480</v>
          </cell>
          <cell r="U1183"/>
          <cell r="V1183">
            <v>480</v>
          </cell>
          <cell r="W1183"/>
          <cell r="X1183">
            <v>480</v>
          </cell>
          <cell r="Y1183"/>
          <cell r="Z1183">
            <v>480</v>
          </cell>
          <cell r="AA1183"/>
          <cell r="AB1183"/>
          <cell r="AC1183"/>
          <cell r="AD1183">
            <v>2.9000000000000001E-2</v>
          </cell>
          <cell r="AE1183"/>
          <cell r="AF1183"/>
          <cell r="AG1183"/>
          <cell r="AH1183"/>
          <cell r="AI1183"/>
          <cell r="AJ1183"/>
          <cell r="AK1183"/>
          <cell r="AL1183"/>
        </row>
        <row r="1184">
          <cell r="E1184" t="str">
            <v>CCP-P-SS 0.65-50Pr</v>
          </cell>
          <cell r="F1184" t="str">
            <v>ｍ</v>
          </cell>
          <cell r="G1184"/>
          <cell r="H1184">
            <v>690</v>
          </cell>
          <cell r="I1184"/>
          <cell r="J1184">
            <v>690</v>
          </cell>
          <cell r="K1184"/>
          <cell r="L1184">
            <v>690</v>
          </cell>
          <cell r="M1184"/>
          <cell r="N1184">
            <v>690</v>
          </cell>
          <cell r="O1184"/>
          <cell r="P1184">
            <v>690</v>
          </cell>
          <cell r="Q1184"/>
          <cell r="R1184">
            <v>690</v>
          </cell>
          <cell r="S1184"/>
          <cell r="T1184">
            <v>690</v>
          </cell>
          <cell r="U1184"/>
          <cell r="V1184">
            <v>690</v>
          </cell>
          <cell r="W1184"/>
          <cell r="X1184">
            <v>690</v>
          </cell>
          <cell r="Y1184"/>
          <cell r="Z1184">
            <v>690</v>
          </cell>
          <cell r="AA1184"/>
          <cell r="AB1184"/>
          <cell r="AC1184"/>
          <cell r="AD1184">
            <v>3.9E-2</v>
          </cell>
          <cell r="AE1184"/>
          <cell r="AF1184"/>
          <cell r="AG1184"/>
          <cell r="AH1184"/>
          <cell r="AI1184"/>
          <cell r="AJ1184"/>
          <cell r="AK1184"/>
          <cell r="AL1184"/>
        </row>
        <row r="1185">
          <cell r="E1185" t="str">
            <v>CCP-P-SS 0.65-100Pr</v>
          </cell>
          <cell r="F1185" t="str">
            <v>ｍ</v>
          </cell>
          <cell r="G1185"/>
          <cell r="H1185">
            <v>1252</v>
          </cell>
          <cell r="I1185"/>
          <cell r="J1185">
            <v>1252</v>
          </cell>
          <cell r="K1185"/>
          <cell r="L1185">
            <v>1252</v>
          </cell>
          <cell r="M1185"/>
          <cell r="N1185">
            <v>1252</v>
          </cell>
          <cell r="O1185"/>
          <cell r="P1185">
            <v>1252</v>
          </cell>
          <cell r="Q1185"/>
          <cell r="R1185">
            <v>1252</v>
          </cell>
          <cell r="S1185"/>
          <cell r="T1185">
            <v>1252</v>
          </cell>
          <cell r="U1185"/>
          <cell r="V1185">
            <v>1252</v>
          </cell>
          <cell r="W1185"/>
          <cell r="X1185">
            <v>1252</v>
          </cell>
          <cell r="Y1185"/>
          <cell r="Z1185">
            <v>1252</v>
          </cell>
          <cell r="AA1185"/>
          <cell r="AB1185"/>
          <cell r="AC1185"/>
          <cell r="AD1185">
            <v>6.4000000000000001E-2</v>
          </cell>
          <cell r="AE1185"/>
          <cell r="AF1185"/>
          <cell r="AG1185"/>
          <cell r="AH1185"/>
          <cell r="AI1185"/>
          <cell r="AJ1185"/>
          <cell r="AK1185"/>
          <cell r="AL1185"/>
        </row>
        <row r="1186">
          <cell r="E1186" t="str">
            <v>CCP-P-SS 0.9-30Pr</v>
          </cell>
          <cell r="F1186" t="str">
            <v>ｍ</v>
          </cell>
          <cell r="G1186"/>
          <cell r="H1186">
            <v>784</v>
          </cell>
          <cell r="I1186"/>
          <cell r="J1186">
            <v>784</v>
          </cell>
          <cell r="K1186"/>
          <cell r="L1186">
            <v>784</v>
          </cell>
          <cell r="M1186"/>
          <cell r="N1186">
            <v>784</v>
          </cell>
          <cell r="O1186"/>
          <cell r="P1186">
            <v>784</v>
          </cell>
          <cell r="Q1186"/>
          <cell r="R1186">
            <v>784</v>
          </cell>
          <cell r="S1186"/>
          <cell r="T1186">
            <v>784</v>
          </cell>
          <cell r="U1186"/>
          <cell r="V1186">
            <v>784</v>
          </cell>
          <cell r="W1186"/>
          <cell r="X1186">
            <v>784</v>
          </cell>
          <cell r="Y1186"/>
          <cell r="Z1186">
            <v>784</v>
          </cell>
          <cell r="AA1186"/>
          <cell r="AB1186"/>
          <cell r="AC1186"/>
          <cell r="AD1186">
            <v>2.9000000000000001E-2</v>
          </cell>
          <cell r="AE1186"/>
          <cell r="AF1186"/>
          <cell r="AG1186"/>
          <cell r="AH1186"/>
          <cell r="AI1186"/>
          <cell r="AJ1186"/>
          <cell r="AK1186"/>
          <cell r="AL1186"/>
        </row>
        <row r="1187">
          <cell r="E1187" t="str">
            <v>CCP-P-SS 0.9-50Pr</v>
          </cell>
          <cell r="F1187" t="str">
            <v>ｍ</v>
          </cell>
          <cell r="G1187"/>
          <cell r="H1187">
            <v>1170</v>
          </cell>
          <cell r="I1187"/>
          <cell r="J1187">
            <v>1170</v>
          </cell>
          <cell r="K1187"/>
          <cell r="L1187">
            <v>1170</v>
          </cell>
          <cell r="M1187"/>
          <cell r="N1187">
            <v>1170</v>
          </cell>
          <cell r="O1187"/>
          <cell r="P1187">
            <v>1170</v>
          </cell>
          <cell r="Q1187"/>
          <cell r="R1187">
            <v>1170</v>
          </cell>
          <cell r="S1187"/>
          <cell r="T1187">
            <v>1170</v>
          </cell>
          <cell r="U1187"/>
          <cell r="V1187">
            <v>1170</v>
          </cell>
          <cell r="W1187"/>
          <cell r="X1187">
            <v>1170</v>
          </cell>
          <cell r="Y1187"/>
          <cell r="Z1187">
            <v>1170</v>
          </cell>
          <cell r="AA1187"/>
          <cell r="AB1187"/>
          <cell r="AC1187"/>
          <cell r="AD1187">
            <v>3.9E-2</v>
          </cell>
          <cell r="AE1187"/>
          <cell r="AF1187"/>
          <cell r="AG1187"/>
          <cell r="AH1187"/>
          <cell r="AI1187"/>
          <cell r="AJ1187"/>
          <cell r="AK1187"/>
          <cell r="AL1187"/>
        </row>
        <row r="1188">
          <cell r="E1188" t="str">
            <v>CCP-AP 0.4-10Pr</v>
          </cell>
          <cell r="F1188" t="str">
            <v>ｍ</v>
          </cell>
          <cell r="G1188"/>
          <cell r="H1188">
            <v>162</v>
          </cell>
          <cell r="I1188"/>
          <cell r="J1188">
            <v>162</v>
          </cell>
          <cell r="K1188"/>
          <cell r="L1188">
            <v>162</v>
          </cell>
          <cell r="M1188"/>
          <cell r="N1188">
            <v>162</v>
          </cell>
          <cell r="O1188"/>
          <cell r="P1188">
            <v>162</v>
          </cell>
          <cell r="Q1188"/>
          <cell r="R1188">
            <v>162</v>
          </cell>
          <cell r="S1188"/>
          <cell r="T1188">
            <v>162</v>
          </cell>
          <cell r="U1188"/>
          <cell r="V1188">
            <v>162</v>
          </cell>
          <cell r="W1188"/>
          <cell r="X1188">
            <v>162</v>
          </cell>
          <cell r="Y1188"/>
          <cell r="Z1188">
            <v>162</v>
          </cell>
          <cell r="AA1188"/>
          <cell r="AB1188"/>
          <cell r="AC1188"/>
          <cell r="AD1188">
            <v>2.1999999999999999E-2</v>
          </cell>
          <cell r="AE1188"/>
          <cell r="AF1188"/>
          <cell r="AG1188"/>
          <cell r="AH1188"/>
          <cell r="AI1188"/>
          <cell r="AJ1188"/>
          <cell r="AK1188"/>
          <cell r="AL1188"/>
        </row>
        <row r="1189">
          <cell r="E1189" t="str">
            <v>CCP-AP 0.4-30Pr</v>
          </cell>
          <cell r="F1189" t="str">
            <v>ｍ</v>
          </cell>
          <cell r="G1189"/>
          <cell r="H1189">
            <v>285</v>
          </cell>
          <cell r="I1189"/>
          <cell r="J1189">
            <v>285</v>
          </cell>
          <cell r="K1189"/>
          <cell r="L1189">
            <v>285</v>
          </cell>
          <cell r="M1189"/>
          <cell r="N1189">
            <v>285</v>
          </cell>
          <cell r="O1189"/>
          <cell r="P1189">
            <v>285</v>
          </cell>
          <cell r="Q1189"/>
          <cell r="R1189">
            <v>285</v>
          </cell>
          <cell r="S1189"/>
          <cell r="T1189">
            <v>285</v>
          </cell>
          <cell r="U1189"/>
          <cell r="V1189">
            <v>285</v>
          </cell>
          <cell r="W1189"/>
          <cell r="X1189">
            <v>285</v>
          </cell>
          <cell r="Y1189"/>
          <cell r="Z1189">
            <v>285</v>
          </cell>
          <cell r="AA1189"/>
          <cell r="AB1189"/>
          <cell r="AC1189"/>
          <cell r="AD1189">
            <v>2.9000000000000001E-2</v>
          </cell>
          <cell r="AE1189"/>
          <cell r="AF1189"/>
          <cell r="AG1189"/>
          <cell r="AH1189"/>
          <cell r="AI1189"/>
          <cell r="AJ1189"/>
          <cell r="AK1189"/>
          <cell r="AL1189"/>
        </row>
        <row r="1190">
          <cell r="E1190" t="str">
            <v>CCP-AP 0.4-50Pr</v>
          </cell>
          <cell r="F1190" t="str">
            <v>ｍ</v>
          </cell>
          <cell r="G1190"/>
          <cell r="H1190">
            <v>390</v>
          </cell>
          <cell r="I1190"/>
          <cell r="J1190">
            <v>390</v>
          </cell>
          <cell r="K1190"/>
          <cell r="L1190">
            <v>390</v>
          </cell>
          <cell r="M1190"/>
          <cell r="N1190">
            <v>390</v>
          </cell>
          <cell r="O1190"/>
          <cell r="P1190">
            <v>390</v>
          </cell>
          <cell r="Q1190"/>
          <cell r="R1190">
            <v>390</v>
          </cell>
          <cell r="S1190"/>
          <cell r="T1190">
            <v>390</v>
          </cell>
          <cell r="U1190"/>
          <cell r="V1190">
            <v>390</v>
          </cell>
          <cell r="W1190"/>
          <cell r="X1190">
            <v>390</v>
          </cell>
          <cell r="Y1190"/>
          <cell r="Z1190">
            <v>390</v>
          </cell>
          <cell r="AA1190"/>
          <cell r="AB1190"/>
          <cell r="AC1190"/>
          <cell r="AD1190">
            <v>3.9E-2</v>
          </cell>
          <cell r="AE1190"/>
          <cell r="AF1190"/>
          <cell r="AG1190"/>
          <cell r="AH1190"/>
          <cell r="AI1190"/>
          <cell r="AJ1190"/>
          <cell r="AK1190"/>
          <cell r="AL1190"/>
        </row>
        <row r="1191">
          <cell r="E1191" t="str">
            <v>CCP-AP 0.4-100Pr</v>
          </cell>
          <cell r="F1191" t="str">
            <v>ｍ</v>
          </cell>
          <cell r="G1191"/>
          <cell r="H1191">
            <v>662</v>
          </cell>
          <cell r="I1191"/>
          <cell r="J1191">
            <v>662</v>
          </cell>
          <cell r="K1191"/>
          <cell r="L1191">
            <v>662</v>
          </cell>
          <cell r="M1191"/>
          <cell r="N1191">
            <v>662</v>
          </cell>
          <cell r="O1191"/>
          <cell r="P1191">
            <v>662</v>
          </cell>
          <cell r="Q1191"/>
          <cell r="R1191">
            <v>662</v>
          </cell>
          <cell r="S1191"/>
          <cell r="T1191">
            <v>662</v>
          </cell>
          <cell r="U1191"/>
          <cell r="V1191">
            <v>662</v>
          </cell>
          <cell r="W1191"/>
          <cell r="X1191">
            <v>662</v>
          </cell>
          <cell r="Y1191"/>
          <cell r="Z1191">
            <v>662</v>
          </cell>
          <cell r="AA1191"/>
          <cell r="AB1191"/>
          <cell r="AC1191"/>
          <cell r="AD1191">
            <v>6.4000000000000001E-2</v>
          </cell>
          <cell r="AE1191"/>
          <cell r="AF1191"/>
          <cell r="AG1191"/>
          <cell r="AH1191"/>
          <cell r="AI1191"/>
          <cell r="AJ1191"/>
          <cell r="AK1191"/>
          <cell r="AL1191"/>
        </row>
        <row r="1192">
          <cell r="E1192" t="str">
            <v>CCP-AP 0.4-200Pr</v>
          </cell>
          <cell r="F1192" t="str">
            <v>ｍ</v>
          </cell>
          <cell r="G1192"/>
          <cell r="H1192">
            <v>1165</v>
          </cell>
          <cell r="I1192"/>
          <cell r="J1192">
            <v>1165</v>
          </cell>
          <cell r="K1192"/>
          <cell r="L1192">
            <v>1165</v>
          </cell>
          <cell r="M1192"/>
          <cell r="N1192">
            <v>1165</v>
          </cell>
          <cell r="O1192"/>
          <cell r="P1192">
            <v>1165</v>
          </cell>
          <cell r="Q1192"/>
          <cell r="R1192">
            <v>1165</v>
          </cell>
          <cell r="S1192"/>
          <cell r="T1192">
            <v>1165</v>
          </cell>
          <cell r="U1192"/>
          <cell r="V1192">
            <v>1165</v>
          </cell>
          <cell r="W1192"/>
          <cell r="X1192">
            <v>1165</v>
          </cell>
          <cell r="Y1192"/>
          <cell r="Z1192">
            <v>1165</v>
          </cell>
          <cell r="AA1192"/>
          <cell r="AB1192"/>
          <cell r="AC1192"/>
          <cell r="AD1192">
            <v>9.5000000000000001E-2</v>
          </cell>
          <cell r="AE1192"/>
          <cell r="AF1192"/>
          <cell r="AG1192"/>
          <cell r="AH1192"/>
          <cell r="AI1192"/>
          <cell r="AJ1192"/>
          <cell r="AK1192"/>
          <cell r="AL1192"/>
        </row>
        <row r="1193">
          <cell r="E1193" t="str">
            <v>CCP-AP 0.5-10Pr</v>
          </cell>
          <cell r="F1193" t="str">
            <v>ｍ</v>
          </cell>
          <cell r="G1193"/>
          <cell r="H1193">
            <v>195</v>
          </cell>
          <cell r="I1193"/>
          <cell r="J1193">
            <v>195</v>
          </cell>
          <cell r="K1193"/>
          <cell r="L1193">
            <v>195</v>
          </cell>
          <cell r="M1193"/>
          <cell r="N1193">
            <v>195</v>
          </cell>
          <cell r="O1193"/>
          <cell r="P1193">
            <v>195</v>
          </cell>
          <cell r="Q1193"/>
          <cell r="R1193">
            <v>195</v>
          </cell>
          <cell r="S1193"/>
          <cell r="T1193">
            <v>195</v>
          </cell>
          <cell r="U1193"/>
          <cell r="V1193">
            <v>195</v>
          </cell>
          <cell r="W1193"/>
          <cell r="X1193">
            <v>195</v>
          </cell>
          <cell r="Y1193"/>
          <cell r="Z1193">
            <v>195</v>
          </cell>
          <cell r="AA1193"/>
          <cell r="AB1193"/>
          <cell r="AC1193"/>
          <cell r="AD1193">
            <v>2.1999999999999999E-2</v>
          </cell>
          <cell r="AE1193"/>
          <cell r="AF1193"/>
          <cell r="AG1193"/>
          <cell r="AH1193"/>
          <cell r="AI1193"/>
          <cell r="AJ1193"/>
          <cell r="AK1193"/>
          <cell r="AL1193"/>
        </row>
        <row r="1194">
          <cell r="E1194" t="str">
            <v>CCP-AP 0.5-30Pr</v>
          </cell>
          <cell r="F1194" t="str">
            <v>ｍ</v>
          </cell>
          <cell r="G1194"/>
          <cell r="H1194">
            <v>351</v>
          </cell>
          <cell r="I1194"/>
          <cell r="J1194">
            <v>351</v>
          </cell>
          <cell r="K1194"/>
          <cell r="L1194">
            <v>351</v>
          </cell>
          <cell r="M1194"/>
          <cell r="N1194">
            <v>351</v>
          </cell>
          <cell r="O1194"/>
          <cell r="P1194">
            <v>351</v>
          </cell>
          <cell r="Q1194"/>
          <cell r="R1194">
            <v>351</v>
          </cell>
          <cell r="S1194"/>
          <cell r="T1194">
            <v>351</v>
          </cell>
          <cell r="U1194"/>
          <cell r="V1194">
            <v>351</v>
          </cell>
          <cell r="W1194"/>
          <cell r="X1194">
            <v>351</v>
          </cell>
          <cell r="Y1194"/>
          <cell r="Z1194">
            <v>351</v>
          </cell>
          <cell r="AA1194"/>
          <cell r="AB1194"/>
          <cell r="AC1194"/>
          <cell r="AD1194">
            <v>2.9000000000000001E-2</v>
          </cell>
          <cell r="AE1194"/>
          <cell r="AF1194"/>
          <cell r="AG1194"/>
          <cell r="AH1194"/>
          <cell r="AI1194"/>
          <cell r="AJ1194"/>
          <cell r="AK1194"/>
          <cell r="AL1194"/>
        </row>
        <row r="1195">
          <cell r="E1195" t="str">
            <v>CCP-AP 0.5-50Pr</v>
          </cell>
          <cell r="F1195" t="str">
            <v>ｍ</v>
          </cell>
          <cell r="G1195"/>
          <cell r="H1195">
            <v>487</v>
          </cell>
          <cell r="I1195"/>
          <cell r="J1195">
            <v>487</v>
          </cell>
          <cell r="K1195"/>
          <cell r="L1195">
            <v>487</v>
          </cell>
          <cell r="M1195"/>
          <cell r="N1195">
            <v>487</v>
          </cell>
          <cell r="O1195"/>
          <cell r="P1195">
            <v>487</v>
          </cell>
          <cell r="Q1195"/>
          <cell r="R1195">
            <v>487</v>
          </cell>
          <cell r="S1195"/>
          <cell r="T1195">
            <v>487</v>
          </cell>
          <cell r="U1195"/>
          <cell r="V1195">
            <v>487</v>
          </cell>
          <cell r="W1195"/>
          <cell r="X1195">
            <v>487</v>
          </cell>
          <cell r="Y1195"/>
          <cell r="Z1195">
            <v>487</v>
          </cell>
          <cell r="AA1195"/>
          <cell r="AB1195"/>
          <cell r="AC1195"/>
          <cell r="AD1195">
            <v>3.9E-2</v>
          </cell>
          <cell r="AE1195"/>
          <cell r="AF1195"/>
          <cell r="AG1195"/>
          <cell r="AH1195"/>
          <cell r="AI1195"/>
          <cell r="AJ1195"/>
          <cell r="AK1195"/>
          <cell r="AL1195"/>
        </row>
        <row r="1196">
          <cell r="E1196" t="str">
            <v>CCP-AP 0.5-100Pr</v>
          </cell>
          <cell r="F1196" t="str">
            <v>ｍ</v>
          </cell>
          <cell r="G1196"/>
          <cell r="H1196">
            <v>852</v>
          </cell>
          <cell r="I1196"/>
          <cell r="J1196">
            <v>852</v>
          </cell>
          <cell r="K1196"/>
          <cell r="L1196">
            <v>852</v>
          </cell>
          <cell r="M1196"/>
          <cell r="N1196">
            <v>852</v>
          </cell>
          <cell r="O1196"/>
          <cell r="P1196">
            <v>852</v>
          </cell>
          <cell r="Q1196"/>
          <cell r="R1196">
            <v>852</v>
          </cell>
          <cell r="S1196"/>
          <cell r="T1196">
            <v>852</v>
          </cell>
          <cell r="U1196"/>
          <cell r="V1196">
            <v>852</v>
          </cell>
          <cell r="W1196"/>
          <cell r="X1196">
            <v>852</v>
          </cell>
          <cell r="Y1196"/>
          <cell r="Z1196">
            <v>852</v>
          </cell>
          <cell r="AA1196"/>
          <cell r="AB1196"/>
          <cell r="AC1196"/>
          <cell r="AD1196">
            <v>6.4000000000000001E-2</v>
          </cell>
          <cell r="AE1196"/>
          <cell r="AF1196"/>
          <cell r="AG1196"/>
          <cell r="AH1196"/>
          <cell r="AI1196"/>
          <cell r="AJ1196"/>
          <cell r="AK1196"/>
          <cell r="AL1196"/>
        </row>
        <row r="1197">
          <cell r="E1197" t="str">
            <v>CCP-AP 0.5-200Pr</v>
          </cell>
          <cell r="F1197" t="str">
            <v>ｍ</v>
          </cell>
          <cell r="G1197"/>
          <cell r="H1197">
            <v>1526</v>
          </cell>
          <cell r="I1197"/>
          <cell r="J1197">
            <v>1526</v>
          </cell>
          <cell r="K1197"/>
          <cell r="L1197">
            <v>1526</v>
          </cell>
          <cell r="M1197"/>
          <cell r="N1197">
            <v>1526</v>
          </cell>
          <cell r="O1197"/>
          <cell r="P1197">
            <v>1526</v>
          </cell>
          <cell r="Q1197"/>
          <cell r="R1197">
            <v>1526</v>
          </cell>
          <cell r="S1197"/>
          <cell r="T1197">
            <v>1526</v>
          </cell>
          <cell r="U1197"/>
          <cell r="V1197">
            <v>1526</v>
          </cell>
          <cell r="W1197"/>
          <cell r="X1197">
            <v>1526</v>
          </cell>
          <cell r="Y1197"/>
          <cell r="Z1197">
            <v>1526</v>
          </cell>
          <cell r="AA1197"/>
          <cell r="AB1197"/>
          <cell r="AC1197"/>
          <cell r="AD1197">
            <v>9.5000000000000001E-2</v>
          </cell>
          <cell r="AE1197"/>
          <cell r="AF1197"/>
          <cell r="AG1197"/>
          <cell r="AH1197"/>
          <cell r="AI1197"/>
          <cell r="AJ1197"/>
          <cell r="AK1197"/>
          <cell r="AL1197"/>
        </row>
        <row r="1198">
          <cell r="E1198" t="str">
            <v>CCP-AP 0.65-10Pr</v>
          </cell>
          <cell r="F1198" t="str">
            <v>ｍ</v>
          </cell>
          <cell r="G1198"/>
          <cell r="H1198">
            <v>243</v>
          </cell>
          <cell r="I1198"/>
          <cell r="J1198">
            <v>243</v>
          </cell>
          <cell r="K1198"/>
          <cell r="L1198">
            <v>243</v>
          </cell>
          <cell r="M1198"/>
          <cell r="N1198">
            <v>243</v>
          </cell>
          <cell r="O1198"/>
          <cell r="P1198">
            <v>243</v>
          </cell>
          <cell r="Q1198"/>
          <cell r="R1198">
            <v>243</v>
          </cell>
          <cell r="S1198"/>
          <cell r="T1198">
            <v>243</v>
          </cell>
          <cell r="U1198"/>
          <cell r="V1198">
            <v>243</v>
          </cell>
          <cell r="W1198"/>
          <cell r="X1198">
            <v>243</v>
          </cell>
          <cell r="Y1198"/>
          <cell r="Z1198">
            <v>243</v>
          </cell>
          <cell r="AA1198"/>
          <cell r="AB1198"/>
          <cell r="AC1198"/>
          <cell r="AD1198">
            <v>2.1999999999999999E-2</v>
          </cell>
          <cell r="AE1198"/>
          <cell r="AF1198"/>
          <cell r="AG1198"/>
          <cell r="AH1198"/>
          <cell r="AI1198"/>
          <cell r="AJ1198"/>
          <cell r="AK1198"/>
          <cell r="AL1198"/>
        </row>
        <row r="1199">
          <cell r="E1199" t="str">
            <v>CCP-AP 0.65-30Pr</v>
          </cell>
          <cell r="F1199" t="str">
            <v>ｍ</v>
          </cell>
          <cell r="G1199"/>
          <cell r="H1199">
            <v>466</v>
          </cell>
          <cell r="I1199"/>
          <cell r="J1199">
            <v>466</v>
          </cell>
          <cell r="K1199"/>
          <cell r="L1199">
            <v>466</v>
          </cell>
          <cell r="M1199"/>
          <cell r="N1199">
            <v>466</v>
          </cell>
          <cell r="O1199"/>
          <cell r="P1199">
            <v>466</v>
          </cell>
          <cell r="Q1199"/>
          <cell r="R1199">
            <v>466</v>
          </cell>
          <cell r="S1199"/>
          <cell r="T1199">
            <v>466</v>
          </cell>
          <cell r="U1199"/>
          <cell r="V1199">
            <v>466</v>
          </cell>
          <cell r="W1199"/>
          <cell r="X1199">
            <v>466</v>
          </cell>
          <cell r="Y1199"/>
          <cell r="Z1199">
            <v>466</v>
          </cell>
          <cell r="AA1199"/>
          <cell r="AB1199"/>
          <cell r="AC1199"/>
          <cell r="AD1199">
            <v>2.9000000000000001E-2</v>
          </cell>
          <cell r="AE1199"/>
          <cell r="AF1199"/>
          <cell r="AG1199"/>
          <cell r="AH1199"/>
          <cell r="AI1199"/>
          <cell r="AJ1199"/>
          <cell r="AK1199"/>
          <cell r="AL1199"/>
        </row>
        <row r="1200">
          <cell r="E1200" t="str">
            <v>CCP-AP 0.65-50Pr</v>
          </cell>
          <cell r="F1200" t="str">
            <v>ｍ</v>
          </cell>
          <cell r="G1200"/>
          <cell r="H1200">
            <v>689</v>
          </cell>
          <cell r="I1200"/>
          <cell r="J1200">
            <v>689</v>
          </cell>
          <cell r="K1200"/>
          <cell r="L1200">
            <v>689</v>
          </cell>
          <cell r="M1200"/>
          <cell r="N1200">
            <v>689</v>
          </cell>
          <cell r="O1200"/>
          <cell r="P1200">
            <v>689</v>
          </cell>
          <cell r="Q1200"/>
          <cell r="R1200">
            <v>689</v>
          </cell>
          <cell r="S1200"/>
          <cell r="T1200">
            <v>689</v>
          </cell>
          <cell r="U1200"/>
          <cell r="V1200">
            <v>689</v>
          </cell>
          <cell r="W1200"/>
          <cell r="X1200">
            <v>689</v>
          </cell>
          <cell r="Y1200"/>
          <cell r="Z1200">
            <v>689</v>
          </cell>
          <cell r="AA1200"/>
          <cell r="AB1200"/>
          <cell r="AC1200"/>
          <cell r="AD1200">
            <v>3.9E-2</v>
          </cell>
          <cell r="AE1200"/>
          <cell r="AF1200"/>
          <cell r="AG1200"/>
          <cell r="AH1200"/>
          <cell r="AI1200"/>
          <cell r="AJ1200"/>
          <cell r="AK1200"/>
          <cell r="AL1200"/>
        </row>
        <row r="1201">
          <cell r="E1201" t="str">
            <v>CCP-AP 0.65-100Pr</v>
          </cell>
          <cell r="F1201" t="str">
            <v>ｍ</v>
          </cell>
          <cell r="G1201"/>
          <cell r="H1201">
            <v>1249</v>
          </cell>
          <cell r="I1201"/>
          <cell r="J1201">
            <v>1249</v>
          </cell>
          <cell r="K1201"/>
          <cell r="L1201">
            <v>1249</v>
          </cell>
          <cell r="M1201"/>
          <cell r="N1201">
            <v>1249</v>
          </cell>
          <cell r="O1201"/>
          <cell r="P1201">
            <v>1249</v>
          </cell>
          <cell r="Q1201"/>
          <cell r="R1201">
            <v>1249</v>
          </cell>
          <cell r="S1201"/>
          <cell r="T1201">
            <v>1249</v>
          </cell>
          <cell r="U1201"/>
          <cell r="V1201">
            <v>1249</v>
          </cell>
          <cell r="W1201"/>
          <cell r="X1201">
            <v>1249</v>
          </cell>
          <cell r="Y1201"/>
          <cell r="Z1201">
            <v>1249</v>
          </cell>
          <cell r="AA1201"/>
          <cell r="AB1201"/>
          <cell r="AC1201"/>
          <cell r="AD1201">
            <v>6.4000000000000001E-2</v>
          </cell>
          <cell r="AE1201"/>
          <cell r="AF1201"/>
          <cell r="AG1201"/>
          <cell r="AH1201"/>
          <cell r="AI1201"/>
          <cell r="AJ1201"/>
          <cell r="AK1201"/>
          <cell r="AL1201"/>
        </row>
        <row r="1202">
          <cell r="E1202" t="str">
            <v>CCP-AP 0.65-200Pr</v>
          </cell>
          <cell r="F1202" t="str">
            <v>ｍ</v>
          </cell>
          <cell r="G1202"/>
          <cell r="H1202">
            <v>2314</v>
          </cell>
          <cell r="I1202"/>
          <cell r="J1202">
            <v>2314</v>
          </cell>
          <cell r="K1202"/>
          <cell r="L1202">
            <v>2314</v>
          </cell>
          <cell r="M1202"/>
          <cell r="N1202">
            <v>2314</v>
          </cell>
          <cell r="O1202"/>
          <cell r="P1202">
            <v>2314</v>
          </cell>
          <cell r="Q1202"/>
          <cell r="R1202">
            <v>2314</v>
          </cell>
          <cell r="S1202"/>
          <cell r="T1202">
            <v>2314</v>
          </cell>
          <cell r="U1202"/>
          <cell r="V1202">
            <v>2314</v>
          </cell>
          <cell r="W1202"/>
          <cell r="X1202">
            <v>2314</v>
          </cell>
          <cell r="Y1202"/>
          <cell r="Z1202">
            <v>2314</v>
          </cell>
          <cell r="AA1202"/>
          <cell r="AB1202"/>
          <cell r="AC1202"/>
          <cell r="AD1202">
            <v>9.5000000000000001E-2</v>
          </cell>
          <cell r="AE1202"/>
          <cell r="AF1202"/>
          <cell r="AG1202"/>
          <cell r="AH1202"/>
          <cell r="AI1202"/>
          <cell r="AJ1202"/>
          <cell r="AK1202"/>
          <cell r="AL1202"/>
        </row>
        <row r="1203">
          <cell r="E1203" t="str">
            <v>CCP-AP 0.9-10Pr</v>
          </cell>
          <cell r="F1203" t="str">
            <v>ｍ</v>
          </cell>
          <cell r="G1203"/>
          <cell r="H1203">
            <v>339</v>
          </cell>
          <cell r="I1203"/>
          <cell r="J1203">
            <v>339</v>
          </cell>
          <cell r="K1203"/>
          <cell r="L1203">
            <v>339</v>
          </cell>
          <cell r="M1203"/>
          <cell r="N1203">
            <v>339</v>
          </cell>
          <cell r="O1203"/>
          <cell r="P1203">
            <v>339</v>
          </cell>
          <cell r="Q1203"/>
          <cell r="R1203">
            <v>339</v>
          </cell>
          <cell r="S1203"/>
          <cell r="T1203">
            <v>339</v>
          </cell>
          <cell r="U1203"/>
          <cell r="V1203">
            <v>339</v>
          </cell>
          <cell r="W1203"/>
          <cell r="X1203">
            <v>339</v>
          </cell>
          <cell r="Y1203"/>
          <cell r="Z1203">
            <v>339</v>
          </cell>
          <cell r="AA1203"/>
          <cell r="AB1203"/>
          <cell r="AC1203"/>
          <cell r="AD1203">
            <v>2.5000000000000001E-2</v>
          </cell>
          <cell r="AE1203"/>
          <cell r="AF1203"/>
          <cell r="AG1203"/>
          <cell r="AH1203"/>
          <cell r="AI1203"/>
          <cell r="AJ1203"/>
          <cell r="AK1203"/>
          <cell r="AL1203"/>
        </row>
        <row r="1204">
          <cell r="E1204" t="str">
            <v>CCP-AP 0.9-30Pr</v>
          </cell>
          <cell r="F1204" t="str">
            <v>ｍ</v>
          </cell>
          <cell r="G1204"/>
          <cell r="H1204">
            <v>776</v>
          </cell>
          <cell r="I1204"/>
          <cell r="J1204">
            <v>776</v>
          </cell>
          <cell r="K1204"/>
          <cell r="L1204">
            <v>776</v>
          </cell>
          <cell r="M1204"/>
          <cell r="N1204">
            <v>776</v>
          </cell>
          <cell r="O1204"/>
          <cell r="P1204">
            <v>776</v>
          </cell>
          <cell r="Q1204"/>
          <cell r="R1204">
            <v>776</v>
          </cell>
          <cell r="S1204"/>
          <cell r="T1204">
            <v>776</v>
          </cell>
          <cell r="U1204"/>
          <cell r="V1204">
            <v>776</v>
          </cell>
          <cell r="W1204"/>
          <cell r="X1204">
            <v>776</v>
          </cell>
          <cell r="Y1204"/>
          <cell r="Z1204">
            <v>776</v>
          </cell>
          <cell r="AA1204"/>
          <cell r="AB1204"/>
          <cell r="AC1204"/>
          <cell r="AD1204">
            <v>3.6999999999999998E-2</v>
          </cell>
          <cell r="AE1204"/>
          <cell r="AF1204"/>
          <cell r="AG1204"/>
          <cell r="AH1204"/>
          <cell r="AI1204"/>
          <cell r="AJ1204"/>
          <cell r="AK1204"/>
          <cell r="AL1204"/>
        </row>
        <row r="1205">
          <cell r="E1205" t="str">
            <v>CCP-AP 0.9-50Pr</v>
          </cell>
          <cell r="F1205" t="str">
            <v>ｍ</v>
          </cell>
          <cell r="G1205"/>
          <cell r="H1205">
            <v>1176</v>
          </cell>
          <cell r="I1205"/>
          <cell r="J1205">
            <v>1176</v>
          </cell>
          <cell r="K1205"/>
          <cell r="L1205">
            <v>1176</v>
          </cell>
          <cell r="M1205"/>
          <cell r="N1205">
            <v>1176</v>
          </cell>
          <cell r="O1205"/>
          <cell r="P1205">
            <v>1176</v>
          </cell>
          <cell r="Q1205"/>
          <cell r="R1205">
            <v>1176</v>
          </cell>
          <cell r="S1205"/>
          <cell r="T1205">
            <v>1176</v>
          </cell>
          <cell r="U1205"/>
          <cell r="V1205">
            <v>1176</v>
          </cell>
          <cell r="W1205"/>
          <cell r="X1205">
            <v>1176</v>
          </cell>
          <cell r="Y1205"/>
          <cell r="Z1205">
            <v>1176</v>
          </cell>
          <cell r="AA1205"/>
          <cell r="AB1205"/>
          <cell r="AC1205"/>
          <cell r="AD1205">
            <v>0.05</v>
          </cell>
          <cell r="AE1205"/>
          <cell r="AF1205"/>
          <cell r="AG1205"/>
          <cell r="AH1205"/>
          <cell r="AI1205"/>
          <cell r="AJ1205"/>
          <cell r="AK1205"/>
          <cell r="AL1205"/>
        </row>
        <row r="1206">
          <cell r="E1206" t="str">
            <v>CCP-AP 0.9-100Pr</v>
          </cell>
          <cell r="F1206" t="str">
            <v>ｍ</v>
          </cell>
          <cell r="G1206"/>
          <cell r="H1206">
            <v>2172</v>
          </cell>
          <cell r="I1206"/>
          <cell r="J1206">
            <v>2172</v>
          </cell>
          <cell r="K1206"/>
          <cell r="L1206">
            <v>2172</v>
          </cell>
          <cell r="M1206"/>
          <cell r="N1206">
            <v>2172</v>
          </cell>
          <cell r="O1206"/>
          <cell r="P1206">
            <v>2172</v>
          </cell>
          <cell r="Q1206"/>
          <cell r="R1206">
            <v>2172</v>
          </cell>
          <cell r="S1206"/>
          <cell r="T1206">
            <v>2172</v>
          </cell>
          <cell r="U1206"/>
          <cell r="V1206">
            <v>2172</v>
          </cell>
          <cell r="W1206"/>
          <cell r="X1206">
            <v>2172</v>
          </cell>
          <cell r="Y1206"/>
          <cell r="Z1206">
            <v>2172</v>
          </cell>
          <cell r="AA1206"/>
          <cell r="AB1206"/>
          <cell r="AC1206"/>
          <cell r="AD1206">
            <v>8.3000000000000004E-2</v>
          </cell>
          <cell r="AE1206"/>
          <cell r="AF1206"/>
          <cell r="AG1206"/>
          <cell r="AH1206"/>
          <cell r="AI1206"/>
          <cell r="AJ1206"/>
          <cell r="AK1206"/>
          <cell r="AL1206"/>
        </row>
        <row r="1207">
          <cell r="E1207" t="str">
            <v>CCP-AP-SS 0.4-30Pr</v>
          </cell>
          <cell r="F1207" t="str">
            <v>ｍ</v>
          </cell>
          <cell r="G1207"/>
          <cell r="H1207">
            <v>353</v>
          </cell>
          <cell r="I1207"/>
          <cell r="J1207">
            <v>353</v>
          </cell>
          <cell r="K1207"/>
          <cell r="L1207">
            <v>353</v>
          </cell>
          <cell r="M1207"/>
          <cell r="N1207">
            <v>353</v>
          </cell>
          <cell r="O1207"/>
          <cell r="P1207">
            <v>353</v>
          </cell>
          <cell r="Q1207"/>
          <cell r="R1207">
            <v>353</v>
          </cell>
          <cell r="S1207"/>
          <cell r="T1207">
            <v>353</v>
          </cell>
          <cell r="U1207"/>
          <cell r="V1207">
            <v>353</v>
          </cell>
          <cell r="W1207"/>
          <cell r="X1207">
            <v>353</v>
          </cell>
          <cell r="Y1207"/>
          <cell r="Z1207">
            <v>353</v>
          </cell>
          <cell r="AA1207"/>
          <cell r="AB1207"/>
          <cell r="AC1207"/>
          <cell r="AD1207">
            <v>2.9000000000000001E-2</v>
          </cell>
          <cell r="AE1207"/>
          <cell r="AF1207"/>
          <cell r="AG1207"/>
          <cell r="AH1207"/>
          <cell r="AI1207"/>
          <cell r="AJ1207"/>
          <cell r="AK1207"/>
          <cell r="AL1207"/>
        </row>
        <row r="1208">
          <cell r="E1208" t="str">
            <v>CCP-AP-SS 0.4-50Pr</v>
          </cell>
          <cell r="F1208" t="str">
            <v>ｍ</v>
          </cell>
          <cell r="G1208"/>
          <cell r="H1208">
            <v>469</v>
          </cell>
          <cell r="I1208"/>
          <cell r="J1208">
            <v>469</v>
          </cell>
          <cell r="K1208"/>
          <cell r="L1208">
            <v>469</v>
          </cell>
          <cell r="M1208"/>
          <cell r="N1208">
            <v>469</v>
          </cell>
          <cell r="O1208"/>
          <cell r="P1208">
            <v>469</v>
          </cell>
          <cell r="Q1208"/>
          <cell r="R1208">
            <v>469</v>
          </cell>
          <cell r="S1208"/>
          <cell r="T1208">
            <v>469</v>
          </cell>
          <cell r="U1208"/>
          <cell r="V1208">
            <v>469</v>
          </cell>
          <cell r="W1208"/>
          <cell r="X1208">
            <v>469</v>
          </cell>
          <cell r="Y1208"/>
          <cell r="Z1208">
            <v>469</v>
          </cell>
          <cell r="AA1208"/>
          <cell r="AB1208"/>
          <cell r="AC1208"/>
          <cell r="AD1208">
            <v>3.9E-2</v>
          </cell>
          <cell r="AE1208"/>
          <cell r="AF1208"/>
          <cell r="AG1208"/>
          <cell r="AH1208"/>
          <cell r="AI1208"/>
          <cell r="AJ1208"/>
          <cell r="AK1208"/>
          <cell r="AL1208"/>
        </row>
        <row r="1209">
          <cell r="E1209" t="str">
            <v>CCP-AP-SS 0.4-100Pr</v>
          </cell>
          <cell r="F1209" t="str">
            <v>ｍ</v>
          </cell>
          <cell r="G1209"/>
          <cell r="H1209">
            <v>739</v>
          </cell>
          <cell r="I1209"/>
          <cell r="J1209">
            <v>739</v>
          </cell>
          <cell r="K1209"/>
          <cell r="L1209">
            <v>739</v>
          </cell>
          <cell r="M1209"/>
          <cell r="N1209">
            <v>739</v>
          </cell>
          <cell r="O1209"/>
          <cell r="P1209">
            <v>739</v>
          </cell>
          <cell r="Q1209"/>
          <cell r="R1209">
            <v>739</v>
          </cell>
          <cell r="S1209"/>
          <cell r="T1209">
            <v>739</v>
          </cell>
          <cell r="U1209"/>
          <cell r="V1209">
            <v>739</v>
          </cell>
          <cell r="W1209"/>
          <cell r="X1209">
            <v>739</v>
          </cell>
          <cell r="Y1209"/>
          <cell r="Z1209">
            <v>739</v>
          </cell>
          <cell r="AA1209"/>
          <cell r="AB1209"/>
          <cell r="AC1209"/>
          <cell r="AD1209">
            <v>6.4000000000000001E-2</v>
          </cell>
          <cell r="AE1209"/>
          <cell r="AF1209"/>
          <cell r="AG1209"/>
          <cell r="AH1209"/>
          <cell r="AI1209"/>
          <cell r="AJ1209"/>
          <cell r="AK1209"/>
          <cell r="AL1209"/>
        </row>
        <row r="1210">
          <cell r="E1210" t="str">
            <v>CCP-AP-SS 0.4-200Pr</v>
          </cell>
          <cell r="F1210" t="str">
            <v>ｍ</v>
          </cell>
          <cell r="G1210"/>
          <cell r="H1210">
            <v>1259</v>
          </cell>
          <cell r="I1210"/>
          <cell r="J1210">
            <v>1259</v>
          </cell>
          <cell r="K1210"/>
          <cell r="L1210">
            <v>1259</v>
          </cell>
          <cell r="M1210"/>
          <cell r="N1210">
            <v>1259</v>
          </cell>
          <cell r="O1210"/>
          <cell r="P1210">
            <v>1259</v>
          </cell>
          <cell r="Q1210"/>
          <cell r="R1210">
            <v>1259</v>
          </cell>
          <cell r="S1210"/>
          <cell r="T1210">
            <v>1259</v>
          </cell>
          <cell r="U1210"/>
          <cell r="V1210">
            <v>1259</v>
          </cell>
          <cell r="W1210"/>
          <cell r="X1210">
            <v>1259</v>
          </cell>
          <cell r="Y1210"/>
          <cell r="Z1210">
            <v>1259</v>
          </cell>
          <cell r="AA1210"/>
          <cell r="AB1210"/>
          <cell r="AC1210"/>
          <cell r="AD1210">
            <v>9.5000000000000001E-2</v>
          </cell>
          <cell r="AE1210"/>
          <cell r="AF1210"/>
          <cell r="AG1210"/>
          <cell r="AH1210"/>
          <cell r="AI1210"/>
          <cell r="AJ1210"/>
          <cell r="AK1210"/>
          <cell r="AL1210"/>
        </row>
        <row r="1211">
          <cell r="E1211" t="str">
            <v>CCP-AP-SS 0.5-30Pr</v>
          </cell>
          <cell r="F1211" t="str">
            <v>ｍ</v>
          </cell>
          <cell r="G1211"/>
          <cell r="H1211">
            <v>433</v>
          </cell>
          <cell r="I1211"/>
          <cell r="J1211">
            <v>433</v>
          </cell>
          <cell r="K1211"/>
          <cell r="L1211">
            <v>433</v>
          </cell>
          <cell r="M1211"/>
          <cell r="N1211">
            <v>433</v>
          </cell>
          <cell r="O1211"/>
          <cell r="P1211">
            <v>433</v>
          </cell>
          <cell r="Q1211"/>
          <cell r="R1211">
            <v>433</v>
          </cell>
          <cell r="S1211"/>
          <cell r="T1211">
            <v>433</v>
          </cell>
          <cell r="U1211"/>
          <cell r="V1211">
            <v>433</v>
          </cell>
          <cell r="W1211"/>
          <cell r="X1211">
            <v>433</v>
          </cell>
          <cell r="Y1211"/>
          <cell r="Z1211">
            <v>433</v>
          </cell>
          <cell r="AA1211"/>
          <cell r="AB1211"/>
          <cell r="AC1211"/>
          <cell r="AD1211">
            <v>2.9000000000000001E-2</v>
          </cell>
          <cell r="AE1211"/>
          <cell r="AF1211"/>
          <cell r="AG1211"/>
          <cell r="AH1211"/>
          <cell r="AI1211"/>
          <cell r="AJ1211"/>
          <cell r="AK1211"/>
          <cell r="AL1211"/>
        </row>
        <row r="1212">
          <cell r="E1212" t="str">
            <v>CCP-AP-SS 0.5-50Pr</v>
          </cell>
          <cell r="F1212" t="str">
            <v>ｍ</v>
          </cell>
          <cell r="G1212"/>
          <cell r="H1212">
            <v>567</v>
          </cell>
          <cell r="I1212"/>
          <cell r="J1212">
            <v>567</v>
          </cell>
          <cell r="K1212"/>
          <cell r="L1212">
            <v>567</v>
          </cell>
          <cell r="M1212"/>
          <cell r="N1212">
            <v>567</v>
          </cell>
          <cell r="O1212"/>
          <cell r="P1212">
            <v>567</v>
          </cell>
          <cell r="Q1212"/>
          <cell r="R1212">
            <v>567</v>
          </cell>
          <cell r="S1212"/>
          <cell r="T1212">
            <v>567</v>
          </cell>
          <cell r="U1212"/>
          <cell r="V1212">
            <v>567</v>
          </cell>
          <cell r="W1212"/>
          <cell r="X1212">
            <v>567</v>
          </cell>
          <cell r="Y1212"/>
          <cell r="Z1212">
            <v>567</v>
          </cell>
          <cell r="AA1212"/>
          <cell r="AB1212"/>
          <cell r="AC1212"/>
          <cell r="AD1212">
            <v>3.9E-2</v>
          </cell>
          <cell r="AE1212"/>
          <cell r="AF1212"/>
          <cell r="AG1212"/>
          <cell r="AH1212"/>
          <cell r="AI1212"/>
          <cell r="AJ1212"/>
          <cell r="AK1212"/>
          <cell r="AL1212"/>
        </row>
        <row r="1213">
          <cell r="E1213" t="str">
            <v>CCP-AP-SS 0.5-100Pr</v>
          </cell>
          <cell r="F1213" t="str">
            <v>ｍ</v>
          </cell>
          <cell r="G1213"/>
          <cell r="H1213">
            <v>967</v>
          </cell>
          <cell r="I1213"/>
          <cell r="J1213">
            <v>967</v>
          </cell>
          <cell r="K1213"/>
          <cell r="L1213">
            <v>967</v>
          </cell>
          <cell r="M1213"/>
          <cell r="N1213">
            <v>967</v>
          </cell>
          <cell r="O1213"/>
          <cell r="P1213">
            <v>967</v>
          </cell>
          <cell r="Q1213"/>
          <cell r="R1213">
            <v>967</v>
          </cell>
          <cell r="S1213"/>
          <cell r="T1213">
            <v>967</v>
          </cell>
          <cell r="U1213"/>
          <cell r="V1213">
            <v>967</v>
          </cell>
          <cell r="W1213"/>
          <cell r="X1213">
            <v>967</v>
          </cell>
          <cell r="Y1213"/>
          <cell r="Z1213">
            <v>967</v>
          </cell>
          <cell r="AA1213"/>
          <cell r="AB1213"/>
          <cell r="AC1213"/>
          <cell r="AD1213">
            <v>6.4000000000000001E-2</v>
          </cell>
          <cell r="AE1213"/>
          <cell r="AF1213"/>
          <cell r="AG1213"/>
          <cell r="AH1213"/>
          <cell r="AI1213"/>
          <cell r="AJ1213"/>
          <cell r="AK1213"/>
          <cell r="AL1213"/>
        </row>
        <row r="1214">
          <cell r="E1214" t="str">
            <v>CCP-AP-SS 0.5-200Pr</v>
          </cell>
          <cell r="F1214" t="str">
            <v>ｍ</v>
          </cell>
          <cell r="G1214"/>
          <cell r="H1214">
            <v>1673</v>
          </cell>
          <cell r="I1214"/>
          <cell r="J1214">
            <v>1673</v>
          </cell>
          <cell r="K1214"/>
          <cell r="L1214">
            <v>1673</v>
          </cell>
          <cell r="M1214"/>
          <cell r="N1214">
            <v>1673</v>
          </cell>
          <cell r="O1214"/>
          <cell r="P1214">
            <v>1673</v>
          </cell>
          <cell r="Q1214"/>
          <cell r="R1214">
            <v>1673</v>
          </cell>
          <cell r="S1214"/>
          <cell r="T1214">
            <v>1673</v>
          </cell>
          <cell r="U1214"/>
          <cell r="V1214">
            <v>1673</v>
          </cell>
          <cell r="W1214"/>
          <cell r="X1214">
            <v>1673</v>
          </cell>
          <cell r="Y1214"/>
          <cell r="Z1214">
            <v>1673</v>
          </cell>
          <cell r="AA1214"/>
          <cell r="AB1214"/>
          <cell r="AC1214"/>
          <cell r="AD1214">
            <v>9.5000000000000001E-2</v>
          </cell>
          <cell r="AE1214"/>
          <cell r="AF1214"/>
          <cell r="AG1214"/>
          <cell r="AH1214"/>
          <cell r="AI1214"/>
          <cell r="AJ1214"/>
          <cell r="AK1214"/>
          <cell r="AL1214"/>
        </row>
        <row r="1215">
          <cell r="E1215" t="str">
            <v>CCP-AP-SS 0.65-30Pr</v>
          </cell>
          <cell r="F1215" t="str">
            <v>ｍ</v>
          </cell>
          <cell r="G1215"/>
          <cell r="H1215">
            <v>560</v>
          </cell>
          <cell r="I1215"/>
          <cell r="J1215">
            <v>560</v>
          </cell>
          <cell r="K1215"/>
          <cell r="L1215">
            <v>560</v>
          </cell>
          <cell r="M1215"/>
          <cell r="N1215">
            <v>560</v>
          </cell>
          <cell r="O1215"/>
          <cell r="P1215">
            <v>560</v>
          </cell>
          <cell r="Q1215"/>
          <cell r="R1215">
            <v>560</v>
          </cell>
          <cell r="S1215"/>
          <cell r="T1215">
            <v>560</v>
          </cell>
          <cell r="U1215"/>
          <cell r="V1215">
            <v>560</v>
          </cell>
          <cell r="W1215"/>
          <cell r="X1215">
            <v>560</v>
          </cell>
          <cell r="Y1215"/>
          <cell r="Z1215">
            <v>560</v>
          </cell>
          <cell r="AA1215"/>
          <cell r="AB1215"/>
          <cell r="AC1215"/>
          <cell r="AD1215">
            <v>2.9000000000000001E-2</v>
          </cell>
          <cell r="AE1215"/>
          <cell r="AF1215"/>
          <cell r="AG1215"/>
          <cell r="AH1215"/>
          <cell r="AI1215"/>
          <cell r="AJ1215"/>
          <cell r="AK1215"/>
          <cell r="AL1215"/>
        </row>
        <row r="1216">
          <cell r="E1216" t="str">
            <v>CCP-AP-SS 0.65-50Pr</v>
          </cell>
          <cell r="F1216" t="str">
            <v>ｍ</v>
          </cell>
          <cell r="G1216"/>
          <cell r="H1216">
            <v>821</v>
          </cell>
          <cell r="I1216"/>
          <cell r="J1216">
            <v>821</v>
          </cell>
          <cell r="K1216"/>
          <cell r="L1216">
            <v>821</v>
          </cell>
          <cell r="M1216"/>
          <cell r="N1216">
            <v>821</v>
          </cell>
          <cell r="O1216"/>
          <cell r="P1216">
            <v>821</v>
          </cell>
          <cell r="Q1216"/>
          <cell r="R1216">
            <v>821</v>
          </cell>
          <cell r="S1216"/>
          <cell r="T1216">
            <v>821</v>
          </cell>
          <cell r="U1216"/>
          <cell r="V1216">
            <v>821</v>
          </cell>
          <cell r="W1216"/>
          <cell r="X1216">
            <v>821</v>
          </cell>
          <cell r="Y1216"/>
          <cell r="Z1216">
            <v>821</v>
          </cell>
          <cell r="AA1216"/>
          <cell r="AB1216"/>
          <cell r="AC1216"/>
          <cell r="AD1216">
            <v>3.9E-2</v>
          </cell>
          <cell r="AE1216"/>
          <cell r="AF1216"/>
          <cell r="AG1216"/>
          <cell r="AH1216"/>
          <cell r="AI1216"/>
          <cell r="AJ1216"/>
          <cell r="AK1216"/>
          <cell r="AL1216"/>
        </row>
        <row r="1217">
          <cell r="E1217" t="str">
            <v>CCP-AP-SS 0.65-100Pr</v>
          </cell>
          <cell r="F1217" t="str">
            <v>ｍ</v>
          </cell>
          <cell r="G1217"/>
          <cell r="H1217">
            <v>1402</v>
          </cell>
          <cell r="I1217"/>
          <cell r="J1217">
            <v>1402</v>
          </cell>
          <cell r="K1217"/>
          <cell r="L1217">
            <v>1402</v>
          </cell>
          <cell r="M1217"/>
          <cell r="N1217">
            <v>1402</v>
          </cell>
          <cell r="O1217"/>
          <cell r="P1217">
            <v>1402</v>
          </cell>
          <cell r="Q1217"/>
          <cell r="R1217">
            <v>1402</v>
          </cell>
          <cell r="S1217"/>
          <cell r="T1217">
            <v>1402</v>
          </cell>
          <cell r="U1217"/>
          <cell r="V1217">
            <v>1402</v>
          </cell>
          <cell r="W1217"/>
          <cell r="X1217">
            <v>1402</v>
          </cell>
          <cell r="Y1217"/>
          <cell r="Z1217">
            <v>1402</v>
          </cell>
          <cell r="AA1217"/>
          <cell r="AB1217"/>
          <cell r="AC1217"/>
          <cell r="AD1217">
            <v>6.4000000000000001E-2</v>
          </cell>
          <cell r="AE1217"/>
          <cell r="AF1217"/>
          <cell r="AG1217"/>
          <cell r="AH1217"/>
          <cell r="AI1217"/>
          <cell r="AJ1217"/>
          <cell r="AK1217"/>
          <cell r="AL1217"/>
        </row>
        <row r="1218">
          <cell r="E1218" t="str">
            <v>CCP-AP-SS 0.9-30Pr</v>
          </cell>
          <cell r="F1218" t="str">
            <v>ｍ</v>
          </cell>
          <cell r="G1218"/>
          <cell r="H1218">
            <v>891</v>
          </cell>
          <cell r="I1218"/>
          <cell r="J1218">
            <v>891</v>
          </cell>
          <cell r="K1218"/>
          <cell r="L1218">
            <v>891</v>
          </cell>
          <cell r="M1218"/>
          <cell r="N1218">
            <v>891</v>
          </cell>
          <cell r="O1218"/>
          <cell r="P1218">
            <v>891</v>
          </cell>
          <cell r="Q1218"/>
          <cell r="R1218">
            <v>891</v>
          </cell>
          <cell r="S1218"/>
          <cell r="T1218">
            <v>891</v>
          </cell>
          <cell r="U1218"/>
          <cell r="V1218">
            <v>891</v>
          </cell>
          <cell r="W1218"/>
          <cell r="X1218">
            <v>891</v>
          </cell>
          <cell r="Y1218"/>
          <cell r="Z1218">
            <v>891</v>
          </cell>
          <cell r="AA1218"/>
          <cell r="AB1218"/>
          <cell r="AC1218"/>
          <cell r="AD1218">
            <v>3.6999999999999998E-2</v>
          </cell>
          <cell r="AE1218"/>
          <cell r="AF1218"/>
          <cell r="AG1218"/>
          <cell r="AH1218"/>
          <cell r="AI1218"/>
          <cell r="AJ1218"/>
          <cell r="AK1218"/>
          <cell r="AL1218"/>
        </row>
        <row r="1219">
          <cell r="E1219" t="str">
            <v>CCP-AP-SS 0.9-50Pr</v>
          </cell>
          <cell r="F1219" t="str">
            <v>ｍ</v>
          </cell>
          <cell r="G1219"/>
          <cell r="H1219">
            <v>1317</v>
          </cell>
          <cell r="I1219"/>
          <cell r="J1219">
            <v>1317</v>
          </cell>
          <cell r="K1219"/>
          <cell r="L1219">
            <v>1317</v>
          </cell>
          <cell r="M1219"/>
          <cell r="N1219">
            <v>1317</v>
          </cell>
          <cell r="O1219"/>
          <cell r="P1219">
            <v>1317</v>
          </cell>
          <cell r="Q1219"/>
          <cell r="R1219">
            <v>1317</v>
          </cell>
          <cell r="S1219"/>
          <cell r="T1219">
            <v>1317</v>
          </cell>
          <cell r="U1219"/>
          <cell r="V1219">
            <v>1317</v>
          </cell>
          <cell r="W1219"/>
          <cell r="X1219">
            <v>1317</v>
          </cell>
          <cell r="Y1219"/>
          <cell r="Z1219">
            <v>1317</v>
          </cell>
          <cell r="AA1219"/>
          <cell r="AB1219"/>
          <cell r="AC1219"/>
          <cell r="AD1219">
            <v>0.05</v>
          </cell>
          <cell r="AE1219"/>
          <cell r="AF1219"/>
          <cell r="AG1219"/>
          <cell r="AH1219"/>
          <cell r="AI1219"/>
          <cell r="AJ1219"/>
          <cell r="AK1219"/>
          <cell r="AL1219"/>
        </row>
        <row r="1220">
          <cell r="E1220" t="str">
            <v>FCPEV 0.65-1Pr</v>
          </cell>
          <cell r="F1220" t="str">
            <v>ｍ</v>
          </cell>
          <cell r="G1220"/>
          <cell r="H1220">
            <v>44</v>
          </cell>
          <cell r="I1220"/>
          <cell r="J1220">
            <v>44</v>
          </cell>
          <cell r="K1220"/>
          <cell r="L1220">
            <v>44</v>
          </cell>
          <cell r="M1220"/>
          <cell r="N1220">
            <v>44</v>
          </cell>
          <cell r="O1220"/>
          <cell r="P1220">
            <v>44</v>
          </cell>
          <cell r="Q1220"/>
          <cell r="R1220">
            <v>44</v>
          </cell>
          <cell r="S1220"/>
          <cell r="T1220">
            <v>44</v>
          </cell>
          <cell r="U1220"/>
          <cell r="V1220">
            <v>44</v>
          </cell>
          <cell r="W1220"/>
          <cell r="X1220">
            <v>44</v>
          </cell>
          <cell r="Y1220"/>
          <cell r="Z1220">
            <v>44</v>
          </cell>
          <cell r="AA1220"/>
          <cell r="AB1220"/>
          <cell r="AC1220"/>
          <cell r="AD1220">
            <v>1.2999999999999999E-2</v>
          </cell>
          <cell r="AE1220"/>
          <cell r="AF1220"/>
          <cell r="AG1220"/>
          <cell r="AH1220"/>
          <cell r="AI1220"/>
          <cell r="AJ1220"/>
          <cell r="AK1220"/>
          <cell r="AL1220"/>
        </row>
        <row r="1221">
          <cell r="E1221" t="str">
            <v>FCPEV 0.65-2Pr</v>
          </cell>
          <cell r="F1221" t="str">
            <v>ｍ</v>
          </cell>
          <cell r="G1221"/>
          <cell r="H1221">
            <v>60.5</v>
          </cell>
          <cell r="I1221"/>
          <cell r="J1221">
            <v>60.5</v>
          </cell>
          <cell r="K1221"/>
          <cell r="L1221">
            <v>60.5</v>
          </cell>
          <cell r="M1221"/>
          <cell r="N1221">
            <v>60.5</v>
          </cell>
          <cell r="O1221"/>
          <cell r="P1221">
            <v>60.5</v>
          </cell>
          <cell r="Q1221"/>
          <cell r="R1221">
            <v>60.5</v>
          </cell>
          <cell r="S1221"/>
          <cell r="T1221">
            <v>60.5</v>
          </cell>
          <cell r="U1221"/>
          <cell r="V1221">
            <v>60.5</v>
          </cell>
          <cell r="W1221"/>
          <cell r="X1221">
            <v>60.5</v>
          </cell>
          <cell r="Y1221"/>
          <cell r="Z1221">
            <v>60.5</v>
          </cell>
          <cell r="AA1221"/>
          <cell r="AB1221"/>
          <cell r="AC1221"/>
          <cell r="AD1221">
            <v>1.4E-2</v>
          </cell>
          <cell r="AE1221"/>
          <cell r="AF1221"/>
          <cell r="AG1221"/>
          <cell r="AH1221"/>
          <cell r="AI1221"/>
          <cell r="AJ1221"/>
          <cell r="AK1221"/>
          <cell r="AL1221"/>
        </row>
        <row r="1222">
          <cell r="E1222" t="str">
            <v>FCPEV 0.65-3Pr</v>
          </cell>
          <cell r="F1222" t="str">
            <v>ｍ</v>
          </cell>
          <cell r="G1222"/>
          <cell r="H1222">
            <v>72.599999999999994</v>
          </cell>
          <cell r="I1222"/>
          <cell r="J1222">
            <v>72.599999999999994</v>
          </cell>
          <cell r="K1222"/>
          <cell r="L1222">
            <v>72.599999999999994</v>
          </cell>
          <cell r="M1222"/>
          <cell r="N1222">
            <v>72.599999999999994</v>
          </cell>
          <cell r="O1222"/>
          <cell r="P1222">
            <v>72.599999999999994</v>
          </cell>
          <cell r="Q1222"/>
          <cell r="R1222">
            <v>72.599999999999994</v>
          </cell>
          <cell r="S1222"/>
          <cell r="T1222">
            <v>72.599999999999994</v>
          </cell>
          <cell r="U1222"/>
          <cell r="V1222">
            <v>72.599999999999994</v>
          </cell>
          <cell r="W1222"/>
          <cell r="X1222">
            <v>72.599999999999994</v>
          </cell>
          <cell r="Y1222"/>
          <cell r="Z1222">
            <v>72.599999999999994</v>
          </cell>
          <cell r="AA1222"/>
          <cell r="AB1222"/>
          <cell r="AC1222"/>
          <cell r="AD1222">
            <v>1.4999999999999999E-2</v>
          </cell>
          <cell r="AE1222"/>
          <cell r="AF1222"/>
          <cell r="AG1222"/>
          <cell r="AH1222"/>
          <cell r="AI1222"/>
          <cell r="AJ1222"/>
          <cell r="AK1222"/>
          <cell r="AL1222"/>
        </row>
        <row r="1223">
          <cell r="E1223" t="str">
            <v>FCPEV 0.65-5Pr</v>
          </cell>
          <cell r="F1223" t="str">
            <v>ｍ</v>
          </cell>
          <cell r="G1223"/>
          <cell r="H1223">
            <v>105</v>
          </cell>
          <cell r="I1223"/>
          <cell r="J1223">
            <v>105</v>
          </cell>
          <cell r="K1223"/>
          <cell r="L1223">
            <v>105</v>
          </cell>
          <cell r="M1223"/>
          <cell r="N1223">
            <v>105</v>
          </cell>
          <cell r="O1223"/>
          <cell r="P1223">
            <v>105</v>
          </cell>
          <cell r="Q1223"/>
          <cell r="R1223">
            <v>105</v>
          </cell>
          <cell r="S1223"/>
          <cell r="T1223">
            <v>105</v>
          </cell>
          <cell r="U1223"/>
          <cell r="V1223">
            <v>105</v>
          </cell>
          <cell r="W1223"/>
          <cell r="X1223">
            <v>105</v>
          </cell>
          <cell r="Y1223"/>
          <cell r="Z1223">
            <v>105</v>
          </cell>
          <cell r="AA1223"/>
          <cell r="AB1223"/>
          <cell r="AC1223"/>
          <cell r="AD1223">
            <v>1.7000000000000001E-2</v>
          </cell>
          <cell r="AE1223"/>
          <cell r="AF1223"/>
          <cell r="AG1223"/>
          <cell r="AH1223"/>
          <cell r="AI1223"/>
          <cell r="AJ1223"/>
          <cell r="AK1223"/>
          <cell r="AL1223"/>
        </row>
        <row r="1224">
          <cell r="E1224" t="str">
            <v>FCPEV 0.65-7Pr</v>
          </cell>
          <cell r="F1224" t="str">
            <v>ｍ</v>
          </cell>
          <cell r="G1224"/>
          <cell r="H1224">
            <v>132</v>
          </cell>
          <cell r="I1224"/>
          <cell r="J1224">
            <v>132</v>
          </cell>
          <cell r="K1224"/>
          <cell r="L1224">
            <v>132</v>
          </cell>
          <cell r="M1224"/>
          <cell r="N1224">
            <v>132</v>
          </cell>
          <cell r="O1224"/>
          <cell r="P1224">
            <v>132</v>
          </cell>
          <cell r="Q1224"/>
          <cell r="R1224">
            <v>132</v>
          </cell>
          <cell r="S1224"/>
          <cell r="T1224">
            <v>132</v>
          </cell>
          <cell r="U1224"/>
          <cell r="V1224">
            <v>132</v>
          </cell>
          <cell r="W1224"/>
          <cell r="X1224">
            <v>132</v>
          </cell>
          <cell r="Y1224"/>
          <cell r="Z1224">
            <v>132</v>
          </cell>
          <cell r="AA1224"/>
          <cell r="AB1224"/>
          <cell r="AC1224"/>
          <cell r="AD1224">
            <v>1.7999999999999999E-2</v>
          </cell>
          <cell r="AE1224"/>
          <cell r="AF1224"/>
          <cell r="AG1224"/>
          <cell r="AH1224"/>
          <cell r="AI1224"/>
          <cell r="AJ1224"/>
          <cell r="AK1224"/>
          <cell r="AL1224"/>
        </row>
        <row r="1225">
          <cell r="E1225" t="str">
            <v>FCPEV 0.65- 10Pr</v>
          </cell>
          <cell r="F1225" t="str">
            <v>ｍ</v>
          </cell>
          <cell r="G1225"/>
          <cell r="H1225">
            <v>180</v>
          </cell>
          <cell r="I1225"/>
          <cell r="J1225">
            <v>180</v>
          </cell>
          <cell r="K1225"/>
          <cell r="L1225">
            <v>180</v>
          </cell>
          <cell r="M1225"/>
          <cell r="N1225">
            <v>180</v>
          </cell>
          <cell r="O1225"/>
          <cell r="P1225">
            <v>180</v>
          </cell>
          <cell r="Q1225"/>
          <cell r="R1225">
            <v>180</v>
          </cell>
          <cell r="S1225"/>
          <cell r="T1225">
            <v>180</v>
          </cell>
          <cell r="U1225"/>
          <cell r="V1225">
            <v>180</v>
          </cell>
          <cell r="W1225"/>
          <cell r="X1225">
            <v>180</v>
          </cell>
          <cell r="Y1225"/>
          <cell r="Z1225">
            <v>180</v>
          </cell>
          <cell r="AA1225"/>
          <cell r="AB1225"/>
          <cell r="AC1225"/>
          <cell r="AD1225">
            <v>0.02</v>
          </cell>
          <cell r="AE1225"/>
          <cell r="AF1225"/>
          <cell r="AG1225"/>
          <cell r="AH1225"/>
          <cell r="AI1225"/>
          <cell r="AJ1225"/>
          <cell r="AK1225"/>
          <cell r="AL1225"/>
        </row>
        <row r="1226">
          <cell r="E1226" t="str">
            <v>FCPEV 0.65- 15Pr</v>
          </cell>
          <cell r="F1226" t="str">
            <v>ｍ</v>
          </cell>
          <cell r="G1226"/>
          <cell r="H1226">
            <v>228</v>
          </cell>
          <cell r="I1226"/>
          <cell r="J1226">
            <v>228</v>
          </cell>
          <cell r="K1226"/>
          <cell r="L1226">
            <v>228</v>
          </cell>
          <cell r="M1226"/>
          <cell r="N1226">
            <v>228</v>
          </cell>
          <cell r="O1226"/>
          <cell r="P1226">
            <v>228</v>
          </cell>
          <cell r="Q1226"/>
          <cell r="R1226">
            <v>228</v>
          </cell>
          <cell r="S1226"/>
          <cell r="T1226">
            <v>228</v>
          </cell>
          <cell r="U1226"/>
          <cell r="V1226">
            <v>228</v>
          </cell>
          <cell r="W1226"/>
          <cell r="X1226">
            <v>228</v>
          </cell>
          <cell r="Y1226"/>
          <cell r="Z1226">
            <v>228</v>
          </cell>
          <cell r="AA1226"/>
          <cell r="AB1226"/>
          <cell r="AC1226"/>
          <cell r="AD1226">
            <v>2.1999999999999999E-2</v>
          </cell>
          <cell r="AE1226"/>
          <cell r="AF1226"/>
          <cell r="AG1226"/>
          <cell r="AH1226"/>
          <cell r="AI1226"/>
          <cell r="AJ1226"/>
          <cell r="AK1226"/>
          <cell r="AL1226"/>
        </row>
        <row r="1227">
          <cell r="E1227" t="str">
            <v>FCPEV 0.65- 20Pr</v>
          </cell>
          <cell r="F1227" t="str">
            <v>ｍ</v>
          </cell>
          <cell r="G1227"/>
          <cell r="H1227">
            <v>279</v>
          </cell>
          <cell r="I1227"/>
          <cell r="J1227">
            <v>279</v>
          </cell>
          <cell r="K1227"/>
          <cell r="L1227">
            <v>279</v>
          </cell>
          <cell r="M1227"/>
          <cell r="N1227">
            <v>279</v>
          </cell>
          <cell r="O1227"/>
          <cell r="P1227">
            <v>279</v>
          </cell>
          <cell r="Q1227"/>
          <cell r="R1227">
            <v>279</v>
          </cell>
          <cell r="S1227"/>
          <cell r="T1227">
            <v>279</v>
          </cell>
          <cell r="U1227"/>
          <cell r="V1227">
            <v>279</v>
          </cell>
          <cell r="W1227"/>
          <cell r="X1227">
            <v>279</v>
          </cell>
          <cell r="Y1227"/>
          <cell r="Z1227">
            <v>279</v>
          </cell>
          <cell r="AA1227"/>
          <cell r="AB1227"/>
          <cell r="AC1227"/>
          <cell r="AD1227">
            <v>2.4E-2</v>
          </cell>
          <cell r="AE1227"/>
          <cell r="AF1227"/>
          <cell r="AG1227"/>
          <cell r="AH1227"/>
          <cell r="AI1227"/>
          <cell r="AJ1227"/>
          <cell r="AK1227"/>
          <cell r="AL1227"/>
        </row>
        <row r="1228">
          <cell r="E1228" t="str">
            <v>FCPEV 0.65- 30Pr</v>
          </cell>
          <cell r="F1228" t="str">
            <v>ｍ</v>
          </cell>
          <cell r="G1228"/>
          <cell r="H1228">
            <v>382</v>
          </cell>
          <cell r="I1228"/>
          <cell r="J1228">
            <v>382</v>
          </cell>
          <cell r="K1228"/>
          <cell r="L1228">
            <v>382</v>
          </cell>
          <cell r="M1228"/>
          <cell r="N1228">
            <v>382</v>
          </cell>
          <cell r="O1228"/>
          <cell r="P1228">
            <v>382</v>
          </cell>
          <cell r="Q1228"/>
          <cell r="R1228">
            <v>382</v>
          </cell>
          <cell r="S1228"/>
          <cell r="T1228">
            <v>382</v>
          </cell>
          <cell r="U1228"/>
          <cell r="V1228">
            <v>382</v>
          </cell>
          <cell r="W1228"/>
          <cell r="X1228">
            <v>382</v>
          </cell>
          <cell r="Y1228"/>
          <cell r="Z1228">
            <v>382</v>
          </cell>
          <cell r="AA1228"/>
          <cell r="AB1228"/>
          <cell r="AC1228"/>
          <cell r="AD1228">
            <v>2.9000000000000001E-2</v>
          </cell>
          <cell r="AE1228"/>
          <cell r="AF1228"/>
          <cell r="AG1228"/>
          <cell r="AH1228"/>
          <cell r="AI1228"/>
          <cell r="AJ1228"/>
          <cell r="AK1228"/>
          <cell r="AL1228"/>
        </row>
        <row r="1229">
          <cell r="E1229" t="str">
            <v>FCPEV 0.65- 50Pr</v>
          </cell>
          <cell r="F1229" t="str">
            <v>ｍ</v>
          </cell>
          <cell r="G1229"/>
          <cell r="H1229">
            <v>620</v>
          </cell>
          <cell r="I1229"/>
          <cell r="J1229">
            <v>620</v>
          </cell>
          <cell r="K1229"/>
          <cell r="L1229">
            <v>620</v>
          </cell>
          <cell r="M1229"/>
          <cell r="N1229">
            <v>620</v>
          </cell>
          <cell r="O1229"/>
          <cell r="P1229">
            <v>620</v>
          </cell>
          <cell r="Q1229"/>
          <cell r="R1229">
            <v>620</v>
          </cell>
          <cell r="S1229"/>
          <cell r="T1229">
            <v>620</v>
          </cell>
          <cell r="U1229"/>
          <cell r="V1229">
            <v>620</v>
          </cell>
          <cell r="W1229"/>
          <cell r="X1229">
            <v>620</v>
          </cell>
          <cell r="Y1229"/>
          <cell r="Z1229">
            <v>620</v>
          </cell>
          <cell r="AA1229"/>
          <cell r="AB1229"/>
          <cell r="AC1229"/>
          <cell r="AD1229">
            <v>3.9E-2</v>
          </cell>
          <cell r="AE1229"/>
          <cell r="AF1229"/>
          <cell r="AG1229"/>
          <cell r="AH1229"/>
          <cell r="AI1229"/>
          <cell r="AJ1229"/>
          <cell r="AK1229"/>
          <cell r="AL1229"/>
        </row>
        <row r="1230">
          <cell r="E1230" t="str">
            <v>FCPEV 0.65- 70Pr</v>
          </cell>
          <cell r="F1230" t="str">
            <v>ｍ</v>
          </cell>
          <cell r="G1230"/>
          <cell r="H1230">
            <v>827</v>
          </cell>
          <cell r="I1230"/>
          <cell r="J1230">
            <v>827</v>
          </cell>
          <cell r="K1230"/>
          <cell r="L1230">
            <v>827</v>
          </cell>
          <cell r="M1230"/>
          <cell r="N1230">
            <v>827</v>
          </cell>
          <cell r="O1230"/>
          <cell r="P1230">
            <v>827</v>
          </cell>
          <cell r="Q1230"/>
          <cell r="R1230">
            <v>827</v>
          </cell>
          <cell r="S1230"/>
          <cell r="T1230">
            <v>827</v>
          </cell>
          <cell r="U1230"/>
          <cell r="V1230">
            <v>827</v>
          </cell>
          <cell r="W1230"/>
          <cell r="X1230">
            <v>827</v>
          </cell>
          <cell r="Y1230"/>
          <cell r="Z1230">
            <v>827</v>
          </cell>
          <cell r="AA1230"/>
          <cell r="AB1230"/>
          <cell r="AC1230"/>
          <cell r="AD1230">
            <v>5.0999999999999997E-2</v>
          </cell>
          <cell r="AE1230"/>
          <cell r="AF1230"/>
          <cell r="AG1230"/>
          <cell r="AH1230"/>
          <cell r="AI1230"/>
          <cell r="AJ1230"/>
          <cell r="AK1230"/>
          <cell r="AL1230"/>
        </row>
        <row r="1231">
          <cell r="E1231" t="str">
            <v>FCPEV 0.65-100Pr</v>
          </cell>
          <cell r="F1231" t="str">
            <v>ｍ</v>
          </cell>
          <cell r="G1231"/>
          <cell r="H1231">
            <v>1166</v>
          </cell>
          <cell r="I1231"/>
          <cell r="J1231">
            <v>1166</v>
          </cell>
          <cell r="K1231"/>
          <cell r="L1231">
            <v>1166</v>
          </cell>
          <cell r="M1231"/>
          <cell r="N1231">
            <v>1166</v>
          </cell>
          <cell r="O1231"/>
          <cell r="P1231">
            <v>1166</v>
          </cell>
          <cell r="Q1231"/>
          <cell r="R1231">
            <v>1166</v>
          </cell>
          <cell r="S1231"/>
          <cell r="T1231">
            <v>1166</v>
          </cell>
          <cell r="U1231"/>
          <cell r="V1231">
            <v>1166</v>
          </cell>
          <cell r="W1231"/>
          <cell r="X1231">
            <v>1166</v>
          </cell>
          <cell r="Y1231"/>
          <cell r="Z1231">
            <v>1166</v>
          </cell>
          <cell r="AA1231"/>
          <cell r="AB1231"/>
          <cell r="AC1231"/>
          <cell r="AD1231">
            <v>6.4000000000000001E-2</v>
          </cell>
          <cell r="AE1231"/>
          <cell r="AF1231"/>
          <cell r="AG1231"/>
          <cell r="AH1231"/>
          <cell r="AI1231"/>
          <cell r="AJ1231"/>
          <cell r="AK1231"/>
          <cell r="AL1231"/>
        </row>
        <row r="1232">
          <cell r="E1232" t="str">
            <v>FCPEV 0.65-150Pr</v>
          </cell>
          <cell r="F1232" t="str">
            <v>ｍ</v>
          </cell>
          <cell r="G1232"/>
          <cell r="H1232">
            <v>1730</v>
          </cell>
          <cell r="I1232"/>
          <cell r="J1232">
            <v>1730</v>
          </cell>
          <cell r="K1232"/>
          <cell r="L1232">
            <v>1730</v>
          </cell>
          <cell r="M1232"/>
          <cell r="N1232">
            <v>1730</v>
          </cell>
          <cell r="O1232"/>
          <cell r="P1232">
            <v>1730</v>
          </cell>
          <cell r="Q1232"/>
          <cell r="R1232">
            <v>1730</v>
          </cell>
          <cell r="S1232"/>
          <cell r="T1232">
            <v>1730</v>
          </cell>
          <cell r="U1232"/>
          <cell r="V1232">
            <v>1730</v>
          </cell>
          <cell r="W1232"/>
          <cell r="X1232">
            <v>1730</v>
          </cell>
          <cell r="Y1232"/>
          <cell r="Z1232">
            <v>1730</v>
          </cell>
          <cell r="AA1232"/>
          <cell r="AB1232"/>
          <cell r="AC1232"/>
          <cell r="AD1232">
            <v>8.3000000000000004E-2</v>
          </cell>
          <cell r="AE1232"/>
          <cell r="AF1232"/>
          <cell r="AG1232"/>
          <cell r="AH1232"/>
          <cell r="AI1232"/>
          <cell r="AJ1232"/>
          <cell r="AK1232"/>
          <cell r="AL1232"/>
        </row>
        <row r="1233">
          <cell r="E1233" t="str">
            <v>FCPEV 0.65-200Pr</v>
          </cell>
          <cell r="F1233" t="str">
            <v>ｍ</v>
          </cell>
          <cell r="G1233"/>
          <cell r="H1233">
            <v>2254</v>
          </cell>
          <cell r="I1233"/>
          <cell r="J1233">
            <v>2254</v>
          </cell>
          <cell r="K1233"/>
          <cell r="L1233">
            <v>2254</v>
          </cell>
          <cell r="M1233"/>
          <cell r="N1233">
            <v>2254</v>
          </cell>
          <cell r="O1233"/>
          <cell r="P1233">
            <v>2254</v>
          </cell>
          <cell r="Q1233"/>
          <cell r="R1233">
            <v>2254</v>
          </cell>
          <cell r="S1233"/>
          <cell r="T1233">
            <v>2254</v>
          </cell>
          <cell r="U1233"/>
          <cell r="V1233">
            <v>2254</v>
          </cell>
          <cell r="W1233"/>
          <cell r="X1233">
            <v>2254</v>
          </cell>
          <cell r="Y1233"/>
          <cell r="Z1233">
            <v>2254</v>
          </cell>
          <cell r="AA1233"/>
          <cell r="AB1233"/>
          <cell r="AC1233"/>
          <cell r="AD1233">
            <v>9.5000000000000001E-2</v>
          </cell>
          <cell r="AE1233"/>
          <cell r="AF1233"/>
          <cell r="AG1233"/>
          <cell r="AH1233"/>
          <cell r="AI1233"/>
          <cell r="AJ1233"/>
          <cell r="AK1233"/>
          <cell r="AL1233"/>
        </row>
        <row r="1234">
          <cell r="E1234" t="str">
            <v>FCPEV 0.9-1Pr</v>
          </cell>
          <cell r="F1234" t="str">
            <v>ｍ</v>
          </cell>
          <cell r="G1234"/>
          <cell r="H1234">
            <v>59.9</v>
          </cell>
          <cell r="I1234"/>
          <cell r="J1234">
            <v>59.9</v>
          </cell>
          <cell r="K1234"/>
          <cell r="L1234">
            <v>59.9</v>
          </cell>
          <cell r="M1234"/>
          <cell r="N1234">
            <v>59.9</v>
          </cell>
          <cell r="O1234"/>
          <cell r="P1234">
            <v>59.9</v>
          </cell>
          <cell r="Q1234"/>
          <cell r="R1234">
            <v>59.9</v>
          </cell>
          <cell r="S1234"/>
          <cell r="T1234">
            <v>59.9</v>
          </cell>
          <cell r="U1234"/>
          <cell r="V1234">
            <v>59.9</v>
          </cell>
          <cell r="W1234"/>
          <cell r="X1234">
            <v>59.9</v>
          </cell>
          <cell r="Y1234"/>
          <cell r="Z1234">
            <v>59.9</v>
          </cell>
          <cell r="AA1234"/>
          <cell r="AB1234"/>
          <cell r="AC1234"/>
          <cell r="AD1234">
            <v>1.6E-2</v>
          </cell>
          <cell r="AE1234"/>
          <cell r="AF1234"/>
          <cell r="AG1234"/>
          <cell r="AH1234"/>
          <cell r="AI1234"/>
          <cell r="AJ1234"/>
          <cell r="AK1234"/>
          <cell r="AL1234"/>
        </row>
        <row r="1235">
          <cell r="E1235" t="str">
            <v>FCPEV 0.9-2Pr</v>
          </cell>
          <cell r="F1235" t="str">
            <v>ｍ</v>
          </cell>
          <cell r="G1235"/>
          <cell r="H1235">
            <v>86.8</v>
          </cell>
          <cell r="I1235"/>
          <cell r="J1235">
            <v>86.8</v>
          </cell>
          <cell r="K1235"/>
          <cell r="L1235">
            <v>86.8</v>
          </cell>
          <cell r="M1235"/>
          <cell r="N1235">
            <v>86.8</v>
          </cell>
          <cell r="O1235"/>
          <cell r="P1235">
            <v>86.8</v>
          </cell>
          <cell r="Q1235"/>
          <cell r="R1235">
            <v>86.8</v>
          </cell>
          <cell r="S1235"/>
          <cell r="T1235">
            <v>86.8</v>
          </cell>
          <cell r="U1235"/>
          <cell r="V1235">
            <v>86.8</v>
          </cell>
          <cell r="W1235"/>
          <cell r="X1235">
            <v>86.8</v>
          </cell>
          <cell r="Y1235"/>
          <cell r="Z1235">
            <v>86.8</v>
          </cell>
          <cell r="AA1235"/>
          <cell r="AB1235"/>
          <cell r="AC1235"/>
          <cell r="AD1235">
            <v>1.7999999999999999E-2</v>
          </cell>
          <cell r="AE1235"/>
          <cell r="AF1235"/>
          <cell r="AG1235"/>
          <cell r="AH1235"/>
          <cell r="AI1235"/>
          <cell r="AJ1235"/>
          <cell r="AK1235"/>
          <cell r="AL1235"/>
        </row>
        <row r="1236">
          <cell r="E1236" t="str">
            <v>FCPEV 0.9-3Pr</v>
          </cell>
          <cell r="F1236" t="str">
            <v>ｍ</v>
          </cell>
          <cell r="G1236"/>
          <cell r="H1236">
            <v>107</v>
          </cell>
          <cell r="I1236"/>
          <cell r="J1236">
            <v>107</v>
          </cell>
          <cell r="K1236"/>
          <cell r="L1236">
            <v>107</v>
          </cell>
          <cell r="M1236"/>
          <cell r="N1236">
            <v>107</v>
          </cell>
          <cell r="O1236"/>
          <cell r="P1236">
            <v>107</v>
          </cell>
          <cell r="Q1236"/>
          <cell r="R1236">
            <v>107</v>
          </cell>
          <cell r="S1236"/>
          <cell r="T1236">
            <v>107</v>
          </cell>
          <cell r="U1236"/>
          <cell r="V1236">
            <v>107</v>
          </cell>
          <cell r="W1236"/>
          <cell r="X1236">
            <v>107</v>
          </cell>
          <cell r="Y1236"/>
          <cell r="Z1236">
            <v>107</v>
          </cell>
          <cell r="AA1236"/>
          <cell r="AB1236"/>
          <cell r="AC1236"/>
          <cell r="AD1236">
            <v>0.02</v>
          </cell>
          <cell r="AE1236"/>
          <cell r="AF1236"/>
          <cell r="AG1236"/>
          <cell r="AH1236"/>
          <cell r="AI1236"/>
          <cell r="AJ1236"/>
          <cell r="AK1236"/>
          <cell r="AL1236"/>
        </row>
        <row r="1237">
          <cell r="E1237" t="str">
            <v>FCPEV 0.9-5Pr</v>
          </cell>
          <cell r="F1237" t="str">
            <v>ｍ</v>
          </cell>
          <cell r="G1237"/>
          <cell r="H1237">
            <v>137</v>
          </cell>
          <cell r="I1237"/>
          <cell r="J1237">
            <v>137</v>
          </cell>
          <cell r="K1237"/>
          <cell r="L1237">
            <v>137</v>
          </cell>
          <cell r="M1237"/>
          <cell r="N1237">
            <v>137</v>
          </cell>
          <cell r="O1237"/>
          <cell r="P1237">
            <v>137</v>
          </cell>
          <cell r="Q1237"/>
          <cell r="R1237">
            <v>137</v>
          </cell>
          <cell r="S1237"/>
          <cell r="T1237">
            <v>137</v>
          </cell>
          <cell r="U1237"/>
          <cell r="V1237">
            <v>137</v>
          </cell>
          <cell r="W1237"/>
          <cell r="X1237">
            <v>137</v>
          </cell>
          <cell r="Y1237"/>
          <cell r="Z1237">
            <v>137</v>
          </cell>
          <cell r="AA1237"/>
          <cell r="AB1237"/>
          <cell r="AC1237"/>
          <cell r="AD1237">
            <v>2.1999999999999999E-2</v>
          </cell>
          <cell r="AE1237"/>
          <cell r="AF1237"/>
          <cell r="AG1237"/>
          <cell r="AH1237"/>
          <cell r="AI1237"/>
          <cell r="AJ1237"/>
          <cell r="AK1237"/>
          <cell r="AL1237"/>
        </row>
        <row r="1238">
          <cell r="E1238" t="str">
            <v>FCPEV 0.9-7Pr</v>
          </cell>
          <cell r="F1238" t="str">
            <v>ｍ</v>
          </cell>
          <cell r="G1238"/>
          <cell r="H1238">
            <v>186</v>
          </cell>
          <cell r="I1238"/>
          <cell r="J1238">
            <v>186</v>
          </cell>
          <cell r="K1238"/>
          <cell r="L1238">
            <v>186</v>
          </cell>
          <cell r="M1238"/>
          <cell r="N1238">
            <v>186</v>
          </cell>
          <cell r="O1238"/>
          <cell r="P1238">
            <v>186</v>
          </cell>
          <cell r="Q1238"/>
          <cell r="R1238">
            <v>186</v>
          </cell>
          <cell r="S1238"/>
          <cell r="T1238">
            <v>186</v>
          </cell>
          <cell r="U1238"/>
          <cell r="V1238">
            <v>186</v>
          </cell>
          <cell r="W1238"/>
          <cell r="X1238">
            <v>186</v>
          </cell>
          <cell r="Y1238"/>
          <cell r="Z1238">
            <v>186</v>
          </cell>
          <cell r="AA1238"/>
          <cell r="AB1238"/>
          <cell r="AC1238"/>
          <cell r="AD1238">
            <v>2.3E-2</v>
          </cell>
          <cell r="AE1238"/>
          <cell r="AF1238"/>
          <cell r="AG1238"/>
          <cell r="AH1238"/>
          <cell r="AI1238"/>
          <cell r="AJ1238"/>
          <cell r="AK1238"/>
          <cell r="AL1238"/>
        </row>
        <row r="1239">
          <cell r="E1239" t="str">
            <v>FCPEV 0.9- 10Pr</v>
          </cell>
          <cell r="F1239" t="str">
            <v>ｍ</v>
          </cell>
          <cell r="G1239"/>
          <cell r="H1239">
            <v>240</v>
          </cell>
          <cell r="I1239"/>
          <cell r="J1239">
            <v>240</v>
          </cell>
          <cell r="K1239"/>
          <cell r="L1239">
            <v>240</v>
          </cell>
          <cell r="M1239"/>
          <cell r="N1239">
            <v>240</v>
          </cell>
          <cell r="O1239"/>
          <cell r="P1239">
            <v>240</v>
          </cell>
          <cell r="Q1239"/>
          <cell r="R1239">
            <v>240</v>
          </cell>
          <cell r="S1239"/>
          <cell r="T1239">
            <v>240</v>
          </cell>
          <cell r="U1239"/>
          <cell r="V1239">
            <v>240</v>
          </cell>
          <cell r="W1239"/>
          <cell r="X1239">
            <v>240</v>
          </cell>
          <cell r="Y1239"/>
          <cell r="Z1239">
            <v>240</v>
          </cell>
          <cell r="AA1239"/>
          <cell r="AB1239"/>
          <cell r="AC1239"/>
          <cell r="AD1239">
            <v>2.5000000000000001E-2</v>
          </cell>
          <cell r="AE1239"/>
          <cell r="AF1239"/>
          <cell r="AG1239"/>
          <cell r="AH1239"/>
          <cell r="AI1239"/>
          <cell r="AJ1239"/>
          <cell r="AK1239"/>
          <cell r="AL1239"/>
        </row>
        <row r="1240">
          <cell r="E1240" t="str">
            <v>FCPEV 0.9- 15Pr</v>
          </cell>
          <cell r="F1240" t="str">
            <v>ｍ</v>
          </cell>
          <cell r="G1240"/>
          <cell r="H1240">
            <v>321</v>
          </cell>
          <cell r="I1240"/>
          <cell r="J1240">
            <v>321</v>
          </cell>
          <cell r="K1240"/>
          <cell r="L1240">
            <v>321</v>
          </cell>
          <cell r="M1240"/>
          <cell r="N1240">
            <v>321</v>
          </cell>
          <cell r="O1240"/>
          <cell r="P1240">
            <v>321</v>
          </cell>
          <cell r="Q1240"/>
          <cell r="R1240">
            <v>321</v>
          </cell>
          <cell r="S1240"/>
          <cell r="T1240">
            <v>321</v>
          </cell>
          <cell r="U1240"/>
          <cell r="V1240">
            <v>321</v>
          </cell>
          <cell r="W1240"/>
          <cell r="X1240">
            <v>321</v>
          </cell>
          <cell r="Y1240"/>
          <cell r="Z1240">
            <v>321</v>
          </cell>
          <cell r="AA1240"/>
          <cell r="AB1240"/>
          <cell r="AC1240"/>
          <cell r="AD1240">
            <v>2.8000000000000001E-2</v>
          </cell>
          <cell r="AE1240"/>
          <cell r="AF1240"/>
          <cell r="AG1240"/>
          <cell r="AH1240"/>
          <cell r="AI1240"/>
          <cell r="AJ1240"/>
          <cell r="AK1240"/>
          <cell r="AL1240"/>
        </row>
        <row r="1241">
          <cell r="E1241" t="str">
            <v>FCPEV 0.9- 20Pr</v>
          </cell>
          <cell r="F1241" t="str">
            <v>ｍ</v>
          </cell>
          <cell r="G1241"/>
          <cell r="H1241">
            <v>417</v>
          </cell>
          <cell r="I1241"/>
          <cell r="J1241">
            <v>417</v>
          </cell>
          <cell r="K1241"/>
          <cell r="L1241">
            <v>417</v>
          </cell>
          <cell r="M1241"/>
          <cell r="N1241">
            <v>417</v>
          </cell>
          <cell r="O1241"/>
          <cell r="P1241">
            <v>417</v>
          </cell>
          <cell r="Q1241"/>
          <cell r="R1241">
            <v>417</v>
          </cell>
          <cell r="S1241"/>
          <cell r="T1241">
            <v>417</v>
          </cell>
          <cell r="U1241"/>
          <cell r="V1241">
            <v>417</v>
          </cell>
          <cell r="W1241"/>
          <cell r="X1241">
            <v>417</v>
          </cell>
          <cell r="Y1241"/>
          <cell r="Z1241">
            <v>417</v>
          </cell>
          <cell r="AA1241"/>
          <cell r="AB1241"/>
          <cell r="AC1241"/>
          <cell r="AD1241">
            <v>3.1E-2</v>
          </cell>
          <cell r="AE1241"/>
          <cell r="AF1241"/>
          <cell r="AG1241"/>
          <cell r="AH1241"/>
          <cell r="AI1241"/>
          <cell r="AJ1241"/>
          <cell r="AK1241"/>
          <cell r="AL1241"/>
        </row>
        <row r="1242">
          <cell r="E1242" t="str">
            <v>FCPEV 0.9- 30Pr</v>
          </cell>
          <cell r="F1242" t="str">
            <v>ｍ</v>
          </cell>
          <cell r="G1242"/>
          <cell r="H1242">
            <v>599</v>
          </cell>
          <cell r="I1242"/>
          <cell r="J1242">
            <v>599</v>
          </cell>
          <cell r="K1242"/>
          <cell r="L1242">
            <v>599</v>
          </cell>
          <cell r="M1242"/>
          <cell r="N1242">
            <v>599</v>
          </cell>
          <cell r="O1242"/>
          <cell r="P1242">
            <v>599</v>
          </cell>
          <cell r="Q1242"/>
          <cell r="R1242">
            <v>599</v>
          </cell>
          <cell r="S1242"/>
          <cell r="T1242">
            <v>599</v>
          </cell>
          <cell r="U1242"/>
          <cell r="V1242">
            <v>599</v>
          </cell>
          <cell r="W1242"/>
          <cell r="X1242">
            <v>599</v>
          </cell>
          <cell r="Y1242"/>
          <cell r="Z1242">
            <v>599</v>
          </cell>
          <cell r="AA1242"/>
          <cell r="AB1242"/>
          <cell r="AC1242"/>
          <cell r="AD1242">
            <v>3.6999999999999998E-2</v>
          </cell>
          <cell r="AE1242"/>
          <cell r="AF1242"/>
          <cell r="AG1242"/>
          <cell r="AH1242"/>
          <cell r="AI1242"/>
          <cell r="AJ1242"/>
          <cell r="AK1242"/>
          <cell r="AL1242"/>
        </row>
        <row r="1243">
          <cell r="E1243" t="str">
            <v>FCPEV 0.9- 50Pr</v>
          </cell>
          <cell r="F1243" t="str">
            <v>ｍ</v>
          </cell>
          <cell r="G1243"/>
          <cell r="H1243">
            <v>1025</v>
          </cell>
          <cell r="I1243"/>
          <cell r="J1243">
            <v>1025</v>
          </cell>
          <cell r="K1243"/>
          <cell r="L1243">
            <v>1025</v>
          </cell>
          <cell r="M1243"/>
          <cell r="N1243">
            <v>1025</v>
          </cell>
          <cell r="O1243"/>
          <cell r="P1243">
            <v>1025</v>
          </cell>
          <cell r="Q1243"/>
          <cell r="R1243">
            <v>1025</v>
          </cell>
          <cell r="S1243"/>
          <cell r="T1243">
            <v>1025</v>
          </cell>
          <cell r="U1243"/>
          <cell r="V1243">
            <v>1025</v>
          </cell>
          <cell r="W1243"/>
          <cell r="X1243">
            <v>1025</v>
          </cell>
          <cell r="Y1243"/>
          <cell r="Z1243">
            <v>1025</v>
          </cell>
          <cell r="AA1243"/>
          <cell r="AB1243"/>
          <cell r="AC1243"/>
          <cell r="AD1243">
            <v>0.05</v>
          </cell>
          <cell r="AE1243"/>
          <cell r="AF1243"/>
          <cell r="AG1243"/>
          <cell r="AH1243"/>
          <cell r="AI1243"/>
          <cell r="AJ1243"/>
          <cell r="AK1243"/>
          <cell r="AL1243"/>
        </row>
        <row r="1244">
          <cell r="E1244" t="str">
            <v>FCPEV 0.9- 70Pr</v>
          </cell>
          <cell r="F1244" t="str">
            <v>ｍ</v>
          </cell>
          <cell r="G1244"/>
          <cell r="H1244">
            <v>1479</v>
          </cell>
          <cell r="I1244"/>
          <cell r="J1244">
            <v>1479</v>
          </cell>
          <cell r="K1244"/>
          <cell r="L1244">
            <v>1479</v>
          </cell>
          <cell r="M1244"/>
          <cell r="N1244">
            <v>1479</v>
          </cell>
          <cell r="O1244"/>
          <cell r="P1244">
            <v>1479</v>
          </cell>
          <cell r="Q1244"/>
          <cell r="R1244">
            <v>1479</v>
          </cell>
          <cell r="S1244"/>
          <cell r="T1244">
            <v>1479</v>
          </cell>
          <cell r="U1244"/>
          <cell r="V1244">
            <v>1479</v>
          </cell>
          <cell r="W1244"/>
          <cell r="X1244">
            <v>1479</v>
          </cell>
          <cell r="Y1244"/>
          <cell r="Z1244">
            <v>1479</v>
          </cell>
          <cell r="AA1244"/>
          <cell r="AB1244"/>
          <cell r="AC1244"/>
          <cell r="AD1244">
            <v>6.6000000000000003E-2</v>
          </cell>
          <cell r="AE1244"/>
          <cell r="AF1244"/>
          <cell r="AG1244"/>
          <cell r="AH1244"/>
          <cell r="AI1244"/>
          <cell r="AJ1244"/>
          <cell r="AK1244"/>
          <cell r="AL1244"/>
        </row>
        <row r="1245">
          <cell r="E1245" t="str">
            <v>FCPEV 0.9-100Pr</v>
          </cell>
          <cell r="F1245" t="str">
            <v>ｍ</v>
          </cell>
          <cell r="G1245"/>
          <cell r="H1245">
            <v>1944</v>
          </cell>
          <cell r="I1245"/>
          <cell r="J1245">
            <v>1944</v>
          </cell>
          <cell r="K1245"/>
          <cell r="L1245">
            <v>1944</v>
          </cell>
          <cell r="M1245"/>
          <cell r="N1245">
            <v>1944</v>
          </cell>
          <cell r="O1245"/>
          <cell r="P1245">
            <v>1944</v>
          </cell>
          <cell r="Q1245"/>
          <cell r="R1245">
            <v>1944</v>
          </cell>
          <cell r="S1245"/>
          <cell r="T1245">
            <v>1944</v>
          </cell>
          <cell r="U1245"/>
          <cell r="V1245">
            <v>1944</v>
          </cell>
          <cell r="W1245"/>
          <cell r="X1245">
            <v>1944</v>
          </cell>
          <cell r="Y1245"/>
          <cell r="Z1245">
            <v>1944</v>
          </cell>
          <cell r="AA1245"/>
          <cell r="AB1245"/>
          <cell r="AC1245"/>
          <cell r="AD1245">
            <v>8.3000000000000004E-2</v>
          </cell>
          <cell r="AE1245"/>
          <cell r="AF1245"/>
          <cell r="AG1245"/>
          <cell r="AH1245"/>
          <cell r="AI1245"/>
          <cell r="AJ1245"/>
          <cell r="AK1245"/>
          <cell r="AL1245"/>
        </row>
        <row r="1246">
          <cell r="E1246" t="str">
            <v>FCPEV 0.9-150Pr</v>
          </cell>
          <cell r="F1246" t="str">
            <v>ｍ</v>
          </cell>
          <cell r="G1246"/>
          <cell r="H1246">
            <v>2818</v>
          </cell>
          <cell r="I1246"/>
          <cell r="J1246">
            <v>2818</v>
          </cell>
          <cell r="K1246"/>
          <cell r="L1246">
            <v>2818</v>
          </cell>
          <cell r="M1246"/>
          <cell r="N1246">
            <v>2818</v>
          </cell>
          <cell r="O1246"/>
          <cell r="P1246">
            <v>2818</v>
          </cell>
          <cell r="Q1246"/>
          <cell r="R1246">
            <v>2818</v>
          </cell>
          <cell r="S1246"/>
          <cell r="T1246">
            <v>2818</v>
          </cell>
          <cell r="U1246"/>
          <cell r="V1246">
            <v>2818</v>
          </cell>
          <cell r="W1246"/>
          <cell r="X1246">
            <v>2818</v>
          </cell>
          <cell r="Y1246"/>
          <cell r="Z1246">
            <v>2818</v>
          </cell>
          <cell r="AA1246"/>
          <cell r="AB1246"/>
          <cell r="AC1246"/>
          <cell r="AD1246">
            <v>0.10299999999999999</v>
          </cell>
          <cell r="AE1246"/>
          <cell r="AF1246"/>
          <cell r="AG1246"/>
          <cell r="AH1246"/>
          <cell r="AI1246"/>
          <cell r="AJ1246"/>
          <cell r="AK1246"/>
          <cell r="AL1246"/>
        </row>
        <row r="1247">
          <cell r="E1247" t="str">
            <v>FCPEV 0.9-200Pr</v>
          </cell>
          <cell r="F1247" t="str">
            <v>ｍ</v>
          </cell>
          <cell r="G1247"/>
          <cell r="H1247">
            <v>3669</v>
          </cell>
          <cell r="I1247"/>
          <cell r="J1247">
            <v>3669</v>
          </cell>
          <cell r="K1247"/>
          <cell r="L1247">
            <v>3669</v>
          </cell>
          <cell r="M1247"/>
          <cell r="N1247">
            <v>3669</v>
          </cell>
          <cell r="O1247"/>
          <cell r="P1247">
            <v>3669</v>
          </cell>
          <cell r="Q1247"/>
          <cell r="R1247">
            <v>3669</v>
          </cell>
          <cell r="S1247"/>
          <cell r="T1247">
            <v>3669</v>
          </cell>
          <cell r="U1247"/>
          <cell r="V1247">
            <v>3669</v>
          </cell>
          <cell r="W1247"/>
          <cell r="X1247">
            <v>3669</v>
          </cell>
          <cell r="Y1247"/>
          <cell r="Z1247">
            <v>3669</v>
          </cell>
          <cell r="AA1247"/>
          <cell r="AB1247"/>
          <cell r="AC1247"/>
          <cell r="AD1247">
            <v>0.123</v>
          </cell>
          <cell r="AE1247"/>
          <cell r="AF1247"/>
          <cell r="AG1247"/>
          <cell r="AH1247"/>
          <cell r="AI1247"/>
          <cell r="AJ1247"/>
          <cell r="AK1247"/>
          <cell r="AL1247"/>
        </row>
        <row r="1248">
          <cell r="E1248" t="str">
            <v>FCPEV 1.2-1Pr</v>
          </cell>
          <cell r="F1248" t="str">
            <v>ｍ</v>
          </cell>
          <cell r="G1248"/>
          <cell r="H1248">
            <v>86.6</v>
          </cell>
          <cell r="I1248"/>
          <cell r="J1248">
            <v>86.6</v>
          </cell>
          <cell r="K1248"/>
          <cell r="L1248">
            <v>86.6</v>
          </cell>
          <cell r="M1248"/>
          <cell r="N1248">
            <v>86.6</v>
          </cell>
          <cell r="O1248"/>
          <cell r="P1248">
            <v>86.6</v>
          </cell>
          <cell r="Q1248"/>
          <cell r="R1248">
            <v>86.6</v>
          </cell>
          <cell r="S1248"/>
          <cell r="T1248">
            <v>86.6</v>
          </cell>
          <cell r="U1248"/>
          <cell r="V1248">
            <v>86.6</v>
          </cell>
          <cell r="W1248"/>
          <cell r="X1248">
            <v>86.6</v>
          </cell>
          <cell r="Y1248"/>
          <cell r="Z1248">
            <v>86.6</v>
          </cell>
          <cell r="AA1248"/>
          <cell r="AB1248"/>
          <cell r="AC1248"/>
          <cell r="AD1248">
            <v>2.1000000000000001E-2</v>
          </cell>
          <cell r="AE1248"/>
          <cell r="AF1248"/>
          <cell r="AG1248"/>
          <cell r="AH1248"/>
          <cell r="AI1248"/>
          <cell r="AJ1248"/>
          <cell r="AK1248"/>
          <cell r="AL1248"/>
        </row>
        <row r="1249">
          <cell r="E1249" t="str">
            <v>FCPEV 1.2-2Pr</v>
          </cell>
          <cell r="F1249" t="str">
            <v>ｍ</v>
          </cell>
          <cell r="G1249"/>
          <cell r="H1249">
            <v>123</v>
          </cell>
          <cell r="I1249"/>
          <cell r="J1249">
            <v>123</v>
          </cell>
          <cell r="K1249"/>
          <cell r="L1249">
            <v>123</v>
          </cell>
          <cell r="M1249"/>
          <cell r="N1249">
            <v>123</v>
          </cell>
          <cell r="O1249"/>
          <cell r="P1249">
            <v>123</v>
          </cell>
          <cell r="Q1249"/>
          <cell r="R1249">
            <v>123</v>
          </cell>
          <cell r="S1249"/>
          <cell r="T1249">
            <v>123</v>
          </cell>
          <cell r="U1249"/>
          <cell r="V1249">
            <v>123</v>
          </cell>
          <cell r="W1249"/>
          <cell r="X1249">
            <v>123</v>
          </cell>
          <cell r="Y1249"/>
          <cell r="Z1249">
            <v>123</v>
          </cell>
          <cell r="AA1249"/>
          <cell r="AB1249"/>
          <cell r="AC1249"/>
          <cell r="AD1249">
            <v>2.3E-2</v>
          </cell>
          <cell r="AE1249"/>
          <cell r="AF1249"/>
          <cell r="AG1249"/>
          <cell r="AH1249"/>
          <cell r="AI1249"/>
          <cell r="AJ1249"/>
          <cell r="AK1249"/>
          <cell r="AL1249"/>
        </row>
        <row r="1250">
          <cell r="E1250" t="str">
            <v>FCPEV 1.2-3Pr</v>
          </cell>
          <cell r="F1250" t="str">
            <v>ｍ</v>
          </cell>
          <cell r="G1250"/>
          <cell r="H1250">
            <v>147</v>
          </cell>
          <cell r="I1250"/>
          <cell r="J1250">
            <v>147</v>
          </cell>
          <cell r="K1250"/>
          <cell r="L1250">
            <v>147</v>
          </cell>
          <cell r="M1250"/>
          <cell r="N1250">
            <v>147</v>
          </cell>
          <cell r="O1250"/>
          <cell r="P1250">
            <v>147</v>
          </cell>
          <cell r="Q1250"/>
          <cell r="R1250">
            <v>147</v>
          </cell>
          <cell r="S1250"/>
          <cell r="T1250">
            <v>147</v>
          </cell>
          <cell r="U1250"/>
          <cell r="V1250">
            <v>147</v>
          </cell>
          <cell r="W1250"/>
          <cell r="X1250">
            <v>147</v>
          </cell>
          <cell r="Y1250"/>
          <cell r="Z1250">
            <v>147</v>
          </cell>
          <cell r="AA1250"/>
          <cell r="AB1250"/>
          <cell r="AC1250"/>
          <cell r="AD1250">
            <v>2.5000000000000001E-2</v>
          </cell>
          <cell r="AE1250"/>
          <cell r="AF1250"/>
          <cell r="AG1250"/>
          <cell r="AH1250"/>
          <cell r="AI1250"/>
          <cell r="AJ1250"/>
          <cell r="AK1250"/>
          <cell r="AL1250"/>
        </row>
        <row r="1251">
          <cell r="E1251" t="str">
            <v>FCPEV 1.2-5Pr</v>
          </cell>
          <cell r="F1251" t="str">
            <v>ｍ</v>
          </cell>
          <cell r="G1251"/>
          <cell r="H1251">
            <v>221</v>
          </cell>
          <cell r="I1251"/>
          <cell r="J1251">
            <v>221</v>
          </cell>
          <cell r="K1251"/>
          <cell r="L1251">
            <v>221</v>
          </cell>
          <cell r="M1251"/>
          <cell r="N1251">
            <v>221</v>
          </cell>
          <cell r="O1251"/>
          <cell r="P1251">
            <v>221</v>
          </cell>
          <cell r="Q1251"/>
          <cell r="R1251">
            <v>221</v>
          </cell>
          <cell r="S1251"/>
          <cell r="T1251">
            <v>221</v>
          </cell>
          <cell r="U1251"/>
          <cell r="V1251">
            <v>221</v>
          </cell>
          <cell r="W1251"/>
          <cell r="X1251">
            <v>221</v>
          </cell>
          <cell r="Y1251"/>
          <cell r="Z1251">
            <v>221</v>
          </cell>
          <cell r="AA1251"/>
          <cell r="AB1251"/>
          <cell r="AC1251"/>
          <cell r="AD1251">
            <v>2.7E-2</v>
          </cell>
          <cell r="AE1251"/>
          <cell r="AF1251"/>
          <cell r="AG1251"/>
          <cell r="AH1251"/>
          <cell r="AI1251"/>
          <cell r="AJ1251"/>
          <cell r="AK1251"/>
          <cell r="AL1251"/>
        </row>
        <row r="1252">
          <cell r="E1252" t="str">
            <v>FCPEV 1.2-7Pr</v>
          </cell>
          <cell r="F1252" t="str">
            <v>ｍ</v>
          </cell>
          <cell r="G1252"/>
          <cell r="H1252">
            <v>284</v>
          </cell>
          <cell r="I1252"/>
          <cell r="J1252">
            <v>284</v>
          </cell>
          <cell r="K1252"/>
          <cell r="L1252">
            <v>284</v>
          </cell>
          <cell r="M1252"/>
          <cell r="N1252">
            <v>284</v>
          </cell>
          <cell r="O1252"/>
          <cell r="P1252">
            <v>284</v>
          </cell>
          <cell r="Q1252"/>
          <cell r="R1252">
            <v>284</v>
          </cell>
          <cell r="S1252"/>
          <cell r="T1252">
            <v>284</v>
          </cell>
          <cell r="U1252"/>
          <cell r="V1252">
            <v>284</v>
          </cell>
          <cell r="W1252"/>
          <cell r="X1252">
            <v>284</v>
          </cell>
          <cell r="Y1252"/>
          <cell r="Z1252">
            <v>284</v>
          </cell>
          <cell r="AA1252"/>
          <cell r="AB1252"/>
          <cell r="AC1252"/>
          <cell r="AD1252">
            <v>2.9000000000000001E-2</v>
          </cell>
          <cell r="AE1252"/>
          <cell r="AF1252"/>
          <cell r="AG1252"/>
          <cell r="AH1252"/>
          <cell r="AI1252"/>
          <cell r="AJ1252"/>
          <cell r="AK1252"/>
          <cell r="AL1252"/>
        </row>
        <row r="1253">
          <cell r="E1253" t="str">
            <v>FCPEV 1.2- 10Pr</v>
          </cell>
          <cell r="F1253" t="str">
            <v>ｍ</v>
          </cell>
          <cell r="G1253"/>
          <cell r="H1253">
            <v>369</v>
          </cell>
          <cell r="I1253"/>
          <cell r="J1253">
            <v>369</v>
          </cell>
          <cell r="K1253"/>
          <cell r="L1253">
            <v>369</v>
          </cell>
          <cell r="M1253"/>
          <cell r="N1253">
            <v>369</v>
          </cell>
          <cell r="O1253"/>
          <cell r="P1253">
            <v>369</v>
          </cell>
          <cell r="Q1253"/>
          <cell r="R1253">
            <v>369</v>
          </cell>
          <cell r="S1253"/>
          <cell r="T1253">
            <v>369</v>
          </cell>
          <cell r="U1253"/>
          <cell r="V1253">
            <v>369</v>
          </cell>
          <cell r="W1253"/>
          <cell r="X1253">
            <v>369</v>
          </cell>
          <cell r="Y1253"/>
          <cell r="Z1253">
            <v>369</v>
          </cell>
          <cell r="AA1253"/>
          <cell r="AB1253"/>
          <cell r="AC1253"/>
          <cell r="AD1253">
            <v>3.1E-2</v>
          </cell>
          <cell r="AE1253"/>
          <cell r="AF1253"/>
          <cell r="AG1253"/>
          <cell r="AH1253"/>
          <cell r="AI1253"/>
          <cell r="AJ1253"/>
          <cell r="AK1253"/>
          <cell r="AL1253"/>
        </row>
        <row r="1254">
          <cell r="E1254" t="str">
            <v>FCPEV 1.2- 15Pr</v>
          </cell>
          <cell r="F1254" t="str">
            <v>ｍ</v>
          </cell>
          <cell r="G1254"/>
          <cell r="H1254">
            <v>507</v>
          </cell>
          <cell r="I1254"/>
          <cell r="J1254">
            <v>507</v>
          </cell>
          <cell r="K1254"/>
          <cell r="L1254">
            <v>507</v>
          </cell>
          <cell r="M1254"/>
          <cell r="N1254">
            <v>507</v>
          </cell>
          <cell r="O1254"/>
          <cell r="P1254">
            <v>507</v>
          </cell>
          <cell r="Q1254"/>
          <cell r="R1254">
            <v>507</v>
          </cell>
          <cell r="S1254"/>
          <cell r="T1254">
            <v>507</v>
          </cell>
          <cell r="U1254"/>
          <cell r="V1254">
            <v>507</v>
          </cell>
          <cell r="W1254"/>
          <cell r="X1254">
            <v>507</v>
          </cell>
          <cell r="Y1254"/>
          <cell r="Z1254">
            <v>507</v>
          </cell>
          <cell r="AA1254"/>
          <cell r="AB1254"/>
          <cell r="AC1254"/>
          <cell r="AD1254">
            <v>3.4000000000000002E-2</v>
          </cell>
          <cell r="AE1254"/>
          <cell r="AF1254"/>
          <cell r="AG1254"/>
          <cell r="AH1254"/>
          <cell r="AI1254"/>
          <cell r="AJ1254"/>
          <cell r="AK1254"/>
          <cell r="AL1254"/>
        </row>
        <row r="1255">
          <cell r="E1255" t="str">
            <v>FCPEV 1.2- 20Pr</v>
          </cell>
          <cell r="F1255" t="str">
            <v>ｍ</v>
          </cell>
          <cell r="G1255"/>
          <cell r="H1255">
            <v>648</v>
          </cell>
          <cell r="I1255"/>
          <cell r="J1255">
            <v>648</v>
          </cell>
          <cell r="K1255"/>
          <cell r="L1255">
            <v>648</v>
          </cell>
          <cell r="M1255"/>
          <cell r="N1255">
            <v>648</v>
          </cell>
          <cell r="O1255"/>
          <cell r="P1255">
            <v>648</v>
          </cell>
          <cell r="Q1255"/>
          <cell r="R1255">
            <v>648</v>
          </cell>
          <cell r="S1255"/>
          <cell r="T1255">
            <v>648</v>
          </cell>
          <cell r="U1255"/>
          <cell r="V1255">
            <v>648</v>
          </cell>
          <cell r="W1255"/>
          <cell r="X1255">
            <v>648</v>
          </cell>
          <cell r="Y1255"/>
          <cell r="Z1255">
            <v>648</v>
          </cell>
          <cell r="AA1255"/>
          <cell r="AB1255"/>
          <cell r="AC1255"/>
          <cell r="AD1255">
            <v>3.9E-2</v>
          </cell>
          <cell r="AE1255"/>
          <cell r="AF1255"/>
          <cell r="AG1255"/>
          <cell r="AH1255"/>
          <cell r="AI1255"/>
          <cell r="AJ1255"/>
          <cell r="AK1255"/>
          <cell r="AL1255"/>
        </row>
        <row r="1256">
          <cell r="E1256" t="str">
            <v>FCPEV 1.2- 30Pr</v>
          </cell>
          <cell r="F1256" t="str">
            <v>ｍ</v>
          </cell>
          <cell r="G1256"/>
          <cell r="H1256">
            <v>905</v>
          </cell>
          <cell r="I1256"/>
          <cell r="J1256">
            <v>905</v>
          </cell>
          <cell r="K1256"/>
          <cell r="L1256">
            <v>905</v>
          </cell>
          <cell r="M1256"/>
          <cell r="N1256">
            <v>905</v>
          </cell>
          <cell r="O1256"/>
          <cell r="P1256">
            <v>905</v>
          </cell>
          <cell r="Q1256"/>
          <cell r="R1256">
            <v>905</v>
          </cell>
          <cell r="S1256"/>
          <cell r="T1256">
            <v>905</v>
          </cell>
          <cell r="U1256"/>
          <cell r="V1256">
            <v>905</v>
          </cell>
          <cell r="W1256"/>
          <cell r="X1256">
            <v>905</v>
          </cell>
          <cell r="Y1256"/>
          <cell r="Z1256">
            <v>905</v>
          </cell>
          <cell r="AA1256"/>
          <cell r="AB1256"/>
          <cell r="AC1256"/>
          <cell r="AD1256">
            <v>4.5999999999999999E-2</v>
          </cell>
          <cell r="AE1256"/>
          <cell r="AF1256"/>
          <cell r="AG1256"/>
          <cell r="AH1256"/>
          <cell r="AI1256"/>
          <cell r="AJ1256"/>
          <cell r="AK1256"/>
          <cell r="AL1256"/>
        </row>
        <row r="1257">
          <cell r="E1257" t="str">
            <v>FCPEV 1.2- 50Pr</v>
          </cell>
          <cell r="F1257" t="str">
            <v>ｍ</v>
          </cell>
          <cell r="G1257"/>
          <cell r="H1257">
            <v>1537</v>
          </cell>
          <cell r="I1257"/>
          <cell r="J1257">
            <v>1537</v>
          </cell>
          <cell r="K1257"/>
          <cell r="L1257">
            <v>1537</v>
          </cell>
          <cell r="M1257"/>
          <cell r="N1257">
            <v>1537</v>
          </cell>
          <cell r="O1257"/>
          <cell r="P1257">
            <v>1537</v>
          </cell>
          <cell r="Q1257"/>
          <cell r="R1257">
            <v>1537</v>
          </cell>
          <cell r="S1257"/>
          <cell r="T1257">
            <v>1537</v>
          </cell>
          <cell r="U1257"/>
          <cell r="V1257">
            <v>1537</v>
          </cell>
          <cell r="W1257"/>
          <cell r="X1257">
            <v>1537</v>
          </cell>
          <cell r="Y1257"/>
          <cell r="Z1257">
            <v>1537</v>
          </cell>
          <cell r="AA1257"/>
          <cell r="AB1257"/>
          <cell r="AC1257"/>
          <cell r="AD1257">
            <v>6.2E-2</v>
          </cell>
          <cell r="AE1257"/>
          <cell r="AF1257"/>
          <cell r="AG1257"/>
          <cell r="AH1257"/>
          <cell r="AI1257"/>
          <cell r="AJ1257"/>
          <cell r="AK1257"/>
          <cell r="AL1257"/>
        </row>
        <row r="1258">
          <cell r="E1258" t="str">
            <v>FCPEV 1.2- 70Pr</v>
          </cell>
          <cell r="F1258" t="str">
            <v>ｍ</v>
          </cell>
          <cell r="G1258"/>
          <cell r="H1258">
            <v>2090</v>
          </cell>
          <cell r="I1258"/>
          <cell r="J1258">
            <v>2090</v>
          </cell>
          <cell r="K1258"/>
          <cell r="L1258">
            <v>2090</v>
          </cell>
          <cell r="M1258"/>
          <cell r="N1258">
            <v>2090</v>
          </cell>
          <cell r="O1258"/>
          <cell r="P1258">
            <v>2090</v>
          </cell>
          <cell r="Q1258"/>
          <cell r="R1258">
            <v>2090</v>
          </cell>
          <cell r="S1258"/>
          <cell r="T1258">
            <v>2090</v>
          </cell>
          <cell r="U1258"/>
          <cell r="V1258">
            <v>2090</v>
          </cell>
          <cell r="W1258"/>
          <cell r="X1258">
            <v>2090</v>
          </cell>
          <cell r="Y1258"/>
          <cell r="Z1258">
            <v>2090</v>
          </cell>
          <cell r="AA1258"/>
          <cell r="AB1258"/>
          <cell r="AC1258"/>
          <cell r="AD1258">
            <v>8.2000000000000003E-2</v>
          </cell>
          <cell r="AE1258"/>
          <cell r="AF1258"/>
          <cell r="AG1258"/>
          <cell r="AH1258"/>
          <cell r="AI1258"/>
          <cell r="AJ1258"/>
          <cell r="AK1258"/>
          <cell r="AL1258"/>
        </row>
        <row r="1259">
          <cell r="E1259" t="str">
            <v>FCPEV 1.2-100Pr</v>
          </cell>
          <cell r="F1259" t="str">
            <v>ｍ</v>
          </cell>
          <cell r="G1259"/>
          <cell r="H1259">
            <v>2967</v>
          </cell>
          <cell r="I1259"/>
          <cell r="J1259">
            <v>2967</v>
          </cell>
          <cell r="K1259"/>
          <cell r="L1259">
            <v>2967</v>
          </cell>
          <cell r="M1259"/>
          <cell r="N1259">
            <v>2967</v>
          </cell>
          <cell r="O1259"/>
          <cell r="P1259">
            <v>2967</v>
          </cell>
          <cell r="Q1259"/>
          <cell r="R1259">
            <v>2967</v>
          </cell>
          <cell r="S1259"/>
          <cell r="T1259">
            <v>2967</v>
          </cell>
          <cell r="U1259"/>
          <cell r="V1259">
            <v>2967</v>
          </cell>
          <cell r="W1259"/>
          <cell r="X1259">
            <v>2967</v>
          </cell>
          <cell r="Y1259"/>
          <cell r="Z1259">
            <v>2967</v>
          </cell>
          <cell r="AA1259"/>
          <cell r="AB1259"/>
          <cell r="AC1259"/>
          <cell r="AD1259">
            <v>0.10299999999999999</v>
          </cell>
          <cell r="AE1259"/>
          <cell r="AF1259"/>
          <cell r="AG1259"/>
          <cell r="AH1259"/>
          <cell r="AI1259"/>
          <cell r="AJ1259"/>
          <cell r="AK1259"/>
          <cell r="AL1259"/>
        </row>
        <row r="1260">
          <cell r="E1260" t="str">
            <v>FCPEV 1.2-150Pr</v>
          </cell>
          <cell r="F1260" t="str">
            <v>ｍ</v>
          </cell>
          <cell r="G1260"/>
          <cell r="H1260">
            <v>4380</v>
          </cell>
          <cell r="I1260"/>
          <cell r="J1260">
            <v>4380</v>
          </cell>
          <cell r="K1260"/>
          <cell r="L1260">
            <v>4380</v>
          </cell>
          <cell r="M1260"/>
          <cell r="N1260">
            <v>4380</v>
          </cell>
          <cell r="O1260"/>
          <cell r="P1260">
            <v>4380</v>
          </cell>
          <cell r="Q1260"/>
          <cell r="R1260">
            <v>4380</v>
          </cell>
          <cell r="S1260"/>
          <cell r="T1260">
            <v>4380</v>
          </cell>
          <cell r="U1260"/>
          <cell r="V1260">
            <v>4380</v>
          </cell>
          <cell r="W1260"/>
          <cell r="X1260">
            <v>4380</v>
          </cell>
          <cell r="Y1260"/>
          <cell r="Z1260">
            <v>4380</v>
          </cell>
          <cell r="AA1260"/>
          <cell r="AB1260"/>
          <cell r="AC1260"/>
          <cell r="AD1260">
            <v>0.13300000000000001</v>
          </cell>
          <cell r="AE1260"/>
          <cell r="AF1260"/>
          <cell r="AG1260"/>
          <cell r="AH1260"/>
          <cell r="AI1260"/>
          <cell r="AJ1260"/>
          <cell r="AK1260"/>
          <cell r="AL1260"/>
        </row>
        <row r="1261">
          <cell r="E1261" t="str">
            <v>FCPEV 1.2-200Pr</v>
          </cell>
          <cell r="F1261" t="str">
            <v>ｍ</v>
          </cell>
          <cell r="G1261"/>
          <cell r="H1261">
            <v>5804</v>
          </cell>
          <cell r="I1261"/>
          <cell r="J1261">
            <v>5804</v>
          </cell>
          <cell r="K1261"/>
          <cell r="L1261">
            <v>5804</v>
          </cell>
          <cell r="M1261"/>
          <cell r="N1261">
            <v>5804</v>
          </cell>
          <cell r="O1261"/>
          <cell r="P1261">
            <v>5804</v>
          </cell>
          <cell r="Q1261"/>
          <cell r="R1261">
            <v>5804</v>
          </cell>
          <cell r="S1261"/>
          <cell r="T1261">
            <v>5804</v>
          </cell>
          <cell r="U1261"/>
          <cell r="V1261">
            <v>5804</v>
          </cell>
          <cell r="W1261"/>
          <cell r="X1261">
            <v>5804</v>
          </cell>
          <cell r="Y1261"/>
          <cell r="Z1261">
            <v>5804</v>
          </cell>
          <cell r="AA1261"/>
          <cell r="AB1261"/>
          <cell r="AC1261"/>
          <cell r="AD1261">
            <v>0.151</v>
          </cell>
          <cell r="AE1261"/>
          <cell r="AF1261"/>
          <cell r="AG1261"/>
          <cell r="AH1261"/>
          <cell r="AI1261"/>
          <cell r="AJ1261"/>
          <cell r="AK1261"/>
          <cell r="AL1261"/>
        </row>
        <row r="1262">
          <cell r="E1262" t="str">
            <v>KPEV 0.5sq-1Pr</v>
          </cell>
          <cell r="F1262" t="str">
            <v>ｍ</v>
          </cell>
          <cell r="G1262"/>
          <cell r="H1262">
            <v>56.5</v>
          </cell>
          <cell r="I1262"/>
          <cell r="J1262">
            <v>56.5</v>
          </cell>
          <cell r="K1262"/>
          <cell r="L1262">
            <v>56.5</v>
          </cell>
          <cell r="M1262"/>
          <cell r="N1262">
            <v>56.5</v>
          </cell>
          <cell r="O1262"/>
          <cell r="P1262">
            <v>56.5</v>
          </cell>
          <cell r="Q1262"/>
          <cell r="R1262">
            <v>56.5</v>
          </cell>
          <cell r="S1262"/>
          <cell r="T1262">
            <v>56.5</v>
          </cell>
          <cell r="U1262"/>
          <cell r="V1262">
            <v>56.5</v>
          </cell>
          <cell r="W1262"/>
          <cell r="X1262">
            <v>56.5</v>
          </cell>
          <cell r="Y1262"/>
          <cell r="Z1262">
            <v>56.5</v>
          </cell>
          <cell r="AA1262"/>
          <cell r="AB1262"/>
          <cell r="AC1262"/>
          <cell r="AD1262">
            <v>1.2999999999999999E-2</v>
          </cell>
          <cell r="AE1262"/>
          <cell r="AF1262"/>
          <cell r="AG1262"/>
          <cell r="AH1262"/>
          <cell r="AI1262"/>
          <cell r="AJ1262"/>
          <cell r="AK1262"/>
          <cell r="AL1262"/>
        </row>
        <row r="1263">
          <cell r="E1263" t="str">
            <v>KPEV 0.5sq-2Pr</v>
          </cell>
          <cell r="F1263" t="str">
            <v>ｍ</v>
          </cell>
          <cell r="G1263"/>
          <cell r="H1263">
            <v>114</v>
          </cell>
          <cell r="I1263"/>
          <cell r="J1263">
            <v>114</v>
          </cell>
          <cell r="K1263"/>
          <cell r="L1263">
            <v>114</v>
          </cell>
          <cell r="M1263"/>
          <cell r="N1263">
            <v>114</v>
          </cell>
          <cell r="O1263"/>
          <cell r="P1263">
            <v>114</v>
          </cell>
          <cell r="Q1263"/>
          <cell r="R1263">
            <v>114</v>
          </cell>
          <cell r="S1263"/>
          <cell r="T1263">
            <v>114</v>
          </cell>
          <cell r="U1263"/>
          <cell r="V1263">
            <v>114</v>
          </cell>
          <cell r="W1263"/>
          <cell r="X1263">
            <v>114</v>
          </cell>
          <cell r="Y1263"/>
          <cell r="Z1263">
            <v>114</v>
          </cell>
          <cell r="AA1263"/>
          <cell r="AB1263"/>
          <cell r="AC1263"/>
          <cell r="AD1263">
            <v>1.4E-2</v>
          </cell>
          <cell r="AE1263"/>
          <cell r="AF1263"/>
          <cell r="AG1263"/>
          <cell r="AH1263"/>
          <cell r="AI1263"/>
          <cell r="AJ1263"/>
          <cell r="AK1263"/>
          <cell r="AL1263"/>
        </row>
        <row r="1264">
          <cell r="E1264" t="str">
            <v>KPEV 0.5sq-5Pr</v>
          </cell>
          <cell r="F1264" t="str">
            <v>ｍ</v>
          </cell>
          <cell r="G1264"/>
          <cell r="H1264">
            <v>234</v>
          </cell>
          <cell r="I1264"/>
          <cell r="J1264">
            <v>234</v>
          </cell>
          <cell r="K1264"/>
          <cell r="L1264">
            <v>234</v>
          </cell>
          <cell r="M1264"/>
          <cell r="N1264">
            <v>234</v>
          </cell>
          <cell r="O1264"/>
          <cell r="P1264">
            <v>234</v>
          </cell>
          <cell r="Q1264"/>
          <cell r="R1264">
            <v>234</v>
          </cell>
          <cell r="S1264"/>
          <cell r="T1264">
            <v>234</v>
          </cell>
          <cell r="U1264"/>
          <cell r="V1264">
            <v>234</v>
          </cell>
          <cell r="W1264"/>
          <cell r="X1264">
            <v>234</v>
          </cell>
          <cell r="Y1264"/>
          <cell r="Z1264">
            <v>234</v>
          </cell>
          <cell r="AA1264"/>
          <cell r="AB1264"/>
          <cell r="AC1264"/>
          <cell r="AD1264">
            <v>1.4999999999999999E-2</v>
          </cell>
          <cell r="AE1264"/>
          <cell r="AF1264"/>
          <cell r="AG1264"/>
          <cell r="AH1264"/>
          <cell r="AI1264"/>
          <cell r="AJ1264"/>
          <cell r="AK1264"/>
          <cell r="AL1264"/>
        </row>
        <row r="1265">
          <cell r="E1265" t="str">
            <v>KPEV 0.5sq-10Pr</v>
          </cell>
          <cell r="F1265" t="str">
            <v>ｍ</v>
          </cell>
          <cell r="G1265"/>
          <cell r="H1265">
            <v>446</v>
          </cell>
          <cell r="I1265"/>
          <cell r="J1265">
            <v>446</v>
          </cell>
          <cell r="K1265"/>
          <cell r="L1265">
            <v>446</v>
          </cell>
          <cell r="M1265"/>
          <cell r="N1265">
            <v>446</v>
          </cell>
          <cell r="O1265"/>
          <cell r="P1265">
            <v>446</v>
          </cell>
          <cell r="Q1265"/>
          <cell r="R1265">
            <v>446</v>
          </cell>
          <cell r="S1265"/>
          <cell r="T1265">
            <v>446</v>
          </cell>
          <cell r="U1265"/>
          <cell r="V1265">
            <v>446</v>
          </cell>
          <cell r="W1265"/>
          <cell r="X1265">
            <v>446</v>
          </cell>
          <cell r="Y1265"/>
          <cell r="Z1265">
            <v>446</v>
          </cell>
          <cell r="AA1265"/>
          <cell r="AB1265"/>
          <cell r="AC1265"/>
          <cell r="AD1265">
            <v>1.7000000000000001E-2</v>
          </cell>
          <cell r="AE1265"/>
          <cell r="AF1265"/>
          <cell r="AG1265"/>
          <cell r="AH1265"/>
          <cell r="AI1265"/>
          <cell r="AJ1265"/>
          <cell r="AK1265"/>
          <cell r="AL1265"/>
        </row>
        <row r="1266">
          <cell r="E1266" t="str">
            <v>KPEV 0.5sq-15Pr</v>
          </cell>
          <cell r="F1266" t="str">
            <v>ｍ</v>
          </cell>
          <cell r="G1266"/>
          <cell r="H1266">
            <v>651</v>
          </cell>
          <cell r="I1266"/>
          <cell r="J1266">
            <v>651</v>
          </cell>
          <cell r="K1266"/>
          <cell r="L1266">
            <v>651</v>
          </cell>
          <cell r="M1266"/>
          <cell r="N1266">
            <v>651</v>
          </cell>
          <cell r="O1266"/>
          <cell r="P1266">
            <v>651</v>
          </cell>
          <cell r="Q1266"/>
          <cell r="R1266">
            <v>651</v>
          </cell>
          <cell r="S1266"/>
          <cell r="T1266">
            <v>651</v>
          </cell>
          <cell r="U1266"/>
          <cell r="V1266">
            <v>651</v>
          </cell>
          <cell r="W1266"/>
          <cell r="X1266">
            <v>651</v>
          </cell>
          <cell r="Y1266"/>
          <cell r="Z1266">
            <v>651</v>
          </cell>
          <cell r="AA1266"/>
          <cell r="AB1266"/>
          <cell r="AC1266"/>
          <cell r="AD1266">
            <v>1.7999999999999999E-2</v>
          </cell>
          <cell r="AE1266"/>
          <cell r="AF1266"/>
          <cell r="AG1266"/>
          <cell r="AH1266"/>
          <cell r="AI1266"/>
          <cell r="AJ1266"/>
          <cell r="AK1266"/>
          <cell r="AL1266"/>
        </row>
        <row r="1267">
          <cell r="E1267" t="str">
            <v>KPEV 0.5sq-20Pr</v>
          </cell>
          <cell r="F1267" t="str">
            <v>ｍ</v>
          </cell>
          <cell r="G1267"/>
          <cell r="H1267">
            <v>857</v>
          </cell>
          <cell r="I1267"/>
          <cell r="J1267">
            <v>857</v>
          </cell>
          <cell r="K1267"/>
          <cell r="L1267">
            <v>857</v>
          </cell>
          <cell r="M1267"/>
          <cell r="N1267">
            <v>857</v>
          </cell>
          <cell r="O1267"/>
          <cell r="P1267">
            <v>857</v>
          </cell>
          <cell r="Q1267"/>
          <cell r="R1267">
            <v>857</v>
          </cell>
          <cell r="S1267"/>
          <cell r="T1267">
            <v>857</v>
          </cell>
          <cell r="U1267"/>
          <cell r="V1267">
            <v>857</v>
          </cell>
          <cell r="W1267"/>
          <cell r="X1267">
            <v>857</v>
          </cell>
          <cell r="Y1267"/>
          <cell r="Z1267">
            <v>857</v>
          </cell>
          <cell r="AA1267"/>
          <cell r="AB1267"/>
          <cell r="AC1267"/>
          <cell r="AD1267">
            <v>0.02</v>
          </cell>
          <cell r="AE1267"/>
          <cell r="AF1267"/>
          <cell r="AG1267"/>
          <cell r="AH1267"/>
          <cell r="AI1267"/>
          <cell r="AJ1267"/>
          <cell r="AK1267"/>
          <cell r="AL1267"/>
        </row>
        <row r="1268">
          <cell r="E1268" t="str">
            <v>KPEV 0.5sq-25Pr</v>
          </cell>
          <cell r="F1268" t="str">
            <v>ｍ</v>
          </cell>
          <cell r="G1268"/>
          <cell r="H1268">
            <v>1067</v>
          </cell>
          <cell r="I1268"/>
          <cell r="J1268">
            <v>1067</v>
          </cell>
          <cell r="K1268"/>
          <cell r="L1268">
            <v>1067</v>
          </cell>
          <cell r="M1268"/>
          <cell r="N1268">
            <v>1067</v>
          </cell>
          <cell r="O1268"/>
          <cell r="P1268">
            <v>1067</v>
          </cell>
          <cell r="Q1268"/>
          <cell r="R1268">
            <v>1067</v>
          </cell>
          <cell r="S1268"/>
          <cell r="T1268">
            <v>1067</v>
          </cell>
          <cell r="U1268"/>
          <cell r="V1268">
            <v>1067</v>
          </cell>
          <cell r="W1268"/>
          <cell r="X1268">
            <v>1067</v>
          </cell>
          <cell r="Y1268"/>
          <cell r="Z1268">
            <v>1067</v>
          </cell>
          <cell r="AA1268"/>
          <cell r="AB1268"/>
          <cell r="AC1268"/>
          <cell r="AD1268">
            <v>2.1999999999999999E-2</v>
          </cell>
          <cell r="AE1268"/>
          <cell r="AF1268"/>
          <cell r="AG1268"/>
          <cell r="AH1268"/>
          <cell r="AI1268"/>
          <cell r="AJ1268"/>
          <cell r="AK1268"/>
          <cell r="AL1268"/>
        </row>
        <row r="1269">
          <cell r="E1269" t="str">
            <v>KPEV 0.5sq-30Pr</v>
          </cell>
          <cell r="F1269" t="str">
            <v>ｍ</v>
          </cell>
          <cell r="G1269"/>
          <cell r="H1269">
            <v>1271</v>
          </cell>
          <cell r="I1269"/>
          <cell r="J1269">
            <v>1271</v>
          </cell>
          <cell r="K1269"/>
          <cell r="L1269">
            <v>1271</v>
          </cell>
          <cell r="M1269"/>
          <cell r="N1269">
            <v>1271</v>
          </cell>
          <cell r="O1269"/>
          <cell r="P1269">
            <v>1271</v>
          </cell>
          <cell r="Q1269"/>
          <cell r="R1269">
            <v>1271</v>
          </cell>
          <cell r="S1269"/>
          <cell r="T1269">
            <v>1271</v>
          </cell>
          <cell r="U1269"/>
          <cell r="V1269">
            <v>1271</v>
          </cell>
          <cell r="W1269"/>
          <cell r="X1269">
            <v>1271</v>
          </cell>
          <cell r="Y1269"/>
          <cell r="Z1269">
            <v>1271</v>
          </cell>
          <cell r="AA1269"/>
          <cell r="AB1269"/>
          <cell r="AC1269"/>
          <cell r="AD1269">
            <v>2.4E-2</v>
          </cell>
          <cell r="AE1269"/>
          <cell r="AF1269"/>
          <cell r="AG1269"/>
          <cell r="AH1269"/>
          <cell r="AI1269"/>
          <cell r="AJ1269"/>
          <cell r="AK1269"/>
          <cell r="AL1269"/>
        </row>
        <row r="1270">
          <cell r="E1270" t="str">
            <v>KPEV 0.5sq-40Pr</v>
          </cell>
          <cell r="F1270" t="str">
            <v>ｍ</v>
          </cell>
          <cell r="G1270"/>
          <cell r="H1270">
            <v>1692</v>
          </cell>
          <cell r="I1270"/>
          <cell r="J1270">
            <v>1692</v>
          </cell>
          <cell r="K1270"/>
          <cell r="L1270">
            <v>1692</v>
          </cell>
          <cell r="M1270"/>
          <cell r="N1270">
            <v>1692</v>
          </cell>
          <cell r="O1270"/>
          <cell r="P1270">
            <v>1692</v>
          </cell>
          <cell r="Q1270"/>
          <cell r="R1270">
            <v>1692</v>
          </cell>
          <cell r="S1270"/>
          <cell r="T1270">
            <v>1692</v>
          </cell>
          <cell r="U1270"/>
          <cell r="V1270">
            <v>1692</v>
          </cell>
          <cell r="W1270"/>
          <cell r="X1270">
            <v>1692</v>
          </cell>
          <cell r="Y1270"/>
          <cell r="Z1270">
            <v>1692</v>
          </cell>
          <cell r="AA1270"/>
          <cell r="AB1270"/>
          <cell r="AC1270"/>
          <cell r="AD1270">
            <v>2.9000000000000001E-2</v>
          </cell>
          <cell r="AE1270"/>
          <cell r="AF1270"/>
          <cell r="AG1270"/>
          <cell r="AH1270"/>
          <cell r="AI1270"/>
          <cell r="AJ1270"/>
          <cell r="AK1270"/>
          <cell r="AL1270"/>
        </row>
        <row r="1271">
          <cell r="E1271" t="str">
            <v>KPEV 0.5sq-50Pr</v>
          </cell>
          <cell r="F1271" t="str">
            <v>ｍ</v>
          </cell>
          <cell r="G1271"/>
          <cell r="H1271">
            <v>2084</v>
          </cell>
          <cell r="I1271"/>
          <cell r="J1271">
            <v>2084</v>
          </cell>
          <cell r="K1271"/>
          <cell r="L1271">
            <v>2084</v>
          </cell>
          <cell r="M1271"/>
          <cell r="N1271">
            <v>2084</v>
          </cell>
          <cell r="O1271"/>
          <cell r="P1271">
            <v>2084</v>
          </cell>
          <cell r="Q1271"/>
          <cell r="R1271">
            <v>2084</v>
          </cell>
          <cell r="S1271"/>
          <cell r="T1271">
            <v>2084</v>
          </cell>
          <cell r="U1271"/>
          <cell r="V1271">
            <v>2084</v>
          </cell>
          <cell r="W1271"/>
          <cell r="X1271">
            <v>2084</v>
          </cell>
          <cell r="Y1271"/>
          <cell r="Z1271">
            <v>2084</v>
          </cell>
          <cell r="AA1271"/>
          <cell r="AB1271"/>
          <cell r="AC1271"/>
          <cell r="AD1271">
            <v>3.9E-2</v>
          </cell>
          <cell r="AE1271"/>
          <cell r="AF1271"/>
          <cell r="AG1271"/>
          <cell r="AH1271"/>
          <cell r="AI1271"/>
          <cell r="AJ1271"/>
          <cell r="AK1271"/>
          <cell r="AL1271"/>
        </row>
        <row r="1272">
          <cell r="E1272" t="str">
            <v>KPEV 0.5sq-60Pr</v>
          </cell>
          <cell r="F1272" t="str">
            <v>ｍ</v>
          </cell>
          <cell r="G1272"/>
          <cell r="H1272">
            <v>2491</v>
          </cell>
          <cell r="I1272"/>
          <cell r="J1272">
            <v>2491</v>
          </cell>
          <cell r="K1272"/>
          <cell r="L1272">
            <v>2491</v>
          </cell>
          <cell r="M1272"/>
          <cell r="N1272">
            <v>2491</v>
          </cell>
          <cell r="O1272"/>
          <cell r="P1272">
            <v>2491</v>
          </cell>
          <cell r="Q1272"/>
          <cell r="R1272">
            <v>2491</v>
          </cell>
          <cell r="S1272"/>
          <cell r="T1272">
            <v>2491</v>
          </cell>
          <cell r="U1272"/>
          <cell r="V1272">
            <v>2491</v>
          </cell>
          <cell r="W1272"/>
          <cell r="X1272">
            <v>2491</v>
          </cell>
          <cell r="Y1272"/>
          <cell r="Z1272">
            <v>2491</v>
          </cell>
          <cell r="AA1272"/>
          <cell r="AB1272"/>
          <cell r="AC1272"/>
          <cell r="AD1272">
            <v>5.0999999999999997E-2</v>
          </cell>
          <cell r="AE1272"/>
          <cell r="AF1272"/>
          <cell r="AG1272"/>
          <cell r="AH1272"/>
          <cell r="AI1272"/>
          <cell r="AJ1272"/>
          <cell r="AK1272"/>
          <cell r="AL1272"/>
        </row>
        <row r="1273">
          <cell r="E1273" t="str">
            <v>KPEV 0.5sq-70Pr</v>
          </cell>
          <cell r="F1273" t="str">
            <v>ｍ</v>
          </cell>
          <cell r="G1273"/>
          <cell r="H1273">
            <v>2898</v>
          </cell>
          <cell r="I1273"/>
          <cell r="J1273">
            <v>2898</v>
          </cell>
          <cell r="K1273"/>
          <cell r="L1273">
            <v>2898</v>
          </cell>
          <cell r="M1273"/>
          <cell r="N1273">
            <v>2898</v>
          </cell>
          <cell r="O1273"/>
          <cell r="P1273">
            <v>2898</v>
          </cell>
          <cell r="Q1273"/>
          <cell r="R1273">
            <v>2898</v>
          </cell>
          <cell r="S1273"/>
          <cell r="T1273">
            <v>2898</v>
          </cell>
          <cell r="U1273"/>
          <cell r="V1273">
            <v>2898</v>
          </cell>
          <cell r="W1273"/>
          <cell r="X1273">
            <v>2898</v>
          </cell>
          <cell r="Y1273"/>
          <cell r="Z1273">
            <v>2898</v>
          </cell>
          <cell r="AA1273"/>
          <cell r="AB1273"/>
          <cell r="AC1273"/>
          <cell r="AD1273">
            <v>6.4000000000000001E-2</v>
          </cell>
          <cell r="AE1273"/>
          <cell r="AF1273"/>
          <cell r="AG1273"/>
          <cell r="AH1273"/>
          <cell r="AI1273"/>
          <cell r="AJ1273"/>
          <cell r="AK1273"/>
          <cell r="AL1273"/>
        </row>
        <row r="1274">
          <cell r="E1274" t="str">
            <v>KPEV 0.5sq-80Pr</v>
          </cell>
          <cell r="F1274" t="str">
            <v>ｍ</v>
          </cell>
          <cell r="G1274"/>
          <cell r="H1274">
            <v>3298</v>
          </cell>
          <cell r="I1274"/>
          <cell r="J1274">
            <v>3298</v>
          </cell>
          <cell r="K1274"/>
          <cell r="L1274">
            <v>3298</v>
          </cell>
          <cell r="M1274"/>
          <cell r="N1274">
            <v>3298</v>
          </cell>
          <cell r="O1274"/>
          <cell r="P1274">
            <v>3298</v>
          </cell>
          <cell r="Q1274"/>
          <cell r="R1274">
            <v>3298</v>
          </cell>
          <cell r="S1274"/>
          <cell r="T1274">
            <v>3298</v>
          </cell>
          <cell r="U1274"/>
          <cell r="V1274">
            <v>3298</v>
          </cell>
          <cell r="W1274"/>
          <cell r="X1274">
            <v>3298</v>
          </cell>
          <cell r="Y1274"/>
          <cell r="Z1274">
            <v>3298</v>
          </cell>
          <cell r="AA1274"/>
          <cell r="AB1274"/>
          <cell r="AC1274"/>
          <cell r="AD1274">
            <v>8.3000000000000004E-2</v>
          </cell>
          <cell r="AE1274"/>
          <cell r="AF1274"/>
          <cell r="AG1274"/>
          <cell r="AH1274"/>
          <cell r="AI1274"/>
          <cell r="AJ1274"/>
          <cell r="AK1274"/>
          <cell r="AL1274"/>
        </row>
        <row r="1275">
          <cell r="E1275" t="str">
            <v>KPEV 0.5sq-100Pr</v>
          </cell>
          <cell r="F1275" t="str">
            <v>ｍ</v>
          </cell>
          <cell r="G1275"/>
          <cell r="H1275">
            <v>4090</v>
          </cell>
          <cell r="I1275"/>
          <cell r="J1275">
            <v>4090</v>
          </cell>
          <cell r="K1275"/>
          <cell r="L1275">
            <v>4090</v>
          </cell>
          <cell r="M1275"/>
          <cell r="N1275">
            <v>4090</v>
          </cell>
          <cell r="O1275"/>
          <cell r="P1275">
            <v>4090</v>
          </cell>
          <cell r="Q1275"/>
          <cell r="R1275">
            <v>4090</v>
          </cell>
          <cell r="S1275"/>
          <cell r="T1275">
            <v>4090</v>
          </cell>
          <cell r="U1275"/>
          <cell r="V1275">
            <v>4090</v>
          </cell>
          <cell r="W1275"/>
          <cell r="X1275">
            <v>4090</v>
          </cell>
          <cell r="Y1275"/>
          <cell r="Z1275">
            <v>4090</v>
          </cell>
          <cell r="AA1275"/>
          <cell r="AB1275"/>
          <cell r="AC1275"/>
          <cell r="AD1275">
            <v>9.5000000000000001E-2</v>
          </cell>
          <cell r="AE1275"/>
          <cell r="AF1275"/>
          <cell r="AG1275"/>
          <cell r="AH1275"/>
          <cell r="AI1275"/>
          <cell r="AJ1275"/>
          <cell r="AK1275"/>
          <cell r="AL1275"/>
        </row>
        <row r="1276">
          <cell r="E1276" t="str">
            <v>KPEV 0.75sq-1Pr</v>
          </cell>
          <cell r="F1276" t="str">
            <v>ｍ</v>
          </cell>
          <cell r="G1276"/>
          <cell r="H1276">
            <v>59.8</v>
          </cell>
          <cell r="I1276"/>
          <cell r="J1276">
            <v>59.8</v>
          </cell>
          <cell r="K1276"/>
          <cell r="L1276">
            <v>59.8</v>
          </cell>
          <cell r="M1276"/>
          <cell r="N1276">
            <v>59.8</v>
          </cell>
          <cell r="O1276"/>
          <cell r="P1276">
            <v>59.8</v>
          </cell>
          <cell r="Q1276"/>
          <cell r="R1276">
            <v>59.8</v>
          </cell>
          <cell r="S1276"/>
          <cell r="T1276">
            <v>59.8</v>
          </cell>
          <cell r="U1276"/>
          <cell r="V1276">
            <v>59.8</v>
          </cell>
          <cell r="W1276"/>
          <cell r="X1276">
            <v>59.8</v>
          </cell>
          <cell r="Y1276"/>
          <cell r="Z1276">
            <v>59.8</v>
          </cell>
          <cell r="AA1276"/>
          <cell r="AB1276"/>
          <cell r="AC1276"/>
          <cell r="AD1276">
            <v>1.6E-2</v>
          </cell>
          <cell r="AE1276"/>
          <cell r="AF1276"/>
          <cell r="AG1276"/>
          <cell r="AH1276"/>
          <cell r="AI1276"/>
          <cell r="AJ1276"/>
          <cell r="AK1276"/>
          <cell r="AL1276"/>
        </row>
        <row r="1277">
          <cell r="E1277" t="str">
            <v>KPEV 0.75sq-2Pr</v>
          </cell>
          <cell r="F1277" t="str">
            <v>ｍ</v>
          </cell>
          <cell r="G1277"/>
          <cell r="H1277">
            <v>125</v>
          </cell>
          <cell r="I1277"/>
          <cell r="J1277">
            <v>125</v>
          </cell>
          <cell r="K1277"/>
          <cell r="L1277">
            <v>125</v>
          </cell>
          <cell r="M1277"/>
          <cell r="N1277">
            <v>125</v>
          </cell>
          <cell r="O1277"/>
          <cell r="P1277">
            <v>125</v>
          </cell>
          <cell r="Q1277"/>
          <cell r="R1277">
            <v>125</v>
          </cell>
          <cell r="S1277"/>
          <cell r="T1277">
            <v>125</v>
          </cell>
          <cell r="U1277"/>
          <cell r="V1277">
            <v>125</v>
          </cell>
          <cell r="W1277"/>
          <cell r="X1277">
            <v>125</v>
          </cell>
          <cell r="Y1277"/>
          <cell r="Z1277">
            <v>125</v>
          </cell>
          <cell r="AA1277"/>
          <cell r="AB1277"/>
          <cell r="AC1277"/>
          <cell r="AD1277">
            <v>1.7999999999999999E-2</v>
          </cell>
          <cell r="AE1277"/>
          <cell r="AF1277"/>
          <cell r="AG1277"/>
          <cell r="AH1277"/>
          <cell r="AI1277"/>
          <cell r="AJ1277"/>
          <cell r="AK1277"/>
          <cell r="AL1277"/>
        </row>
        <row r="1278">
          <cell r="E1278" t="str">
            <v>KPEV 0.75sq-5Pr</v>
          </cell>
          <cell r="F1278" t="str">
            <v>ｍ</v>
          </cell>
          <cell r="G1278"/>
          <cell r="H1278">
            <v>244</v>
          </cell>
          <cell r="I1278"/>
          <cell r="J1278">
            <v>244</v>
          </cell>
          <cell r="K1278"/>
          <cell r="L1278">
            <v>244</v>
          </cell>
          <cell r="M1278"/>
          <cell r="N1278">
            <v>244</v>
          </cell>
          <cell r="O1278"/>
          <cell r="P1278">
            <v>244</v>
          </cell>
          <cell r="Q1278"/>
          <cell r="R1278">
            <v>244</v>
          </cell>
          <cell r="S1278"/>
          <cell r="T1278">
            <v>244</v>
          </cell>
          <cell r="U1278"/>
          <cell r="V1278">
            <v>244</v>
          </cell>
          <cell r="W1278"/>
          <cell r="X1278">
            <v>244</v>
          </cell>
          <cell r="Y1278"/>
          <cell r="Z1278">
            <v>244</v>
          </cell>
          <cell r="AA1278"/>
          <cell r="AB1278"/>
          <cell r="AC1278"/>
          <cell r="AD1278">
            <v>0.02</v>
          </cell>
          <cell r="AE1278"/>
          <cell r="AF1278"/>
          <cell r="AG1278"/>
          <cell r="AH1278"/>
          <cell r="AI1278"/>
          <cell r="AJ1278"/>
          <cell r="AK1278"/>
          <cell r="AL1278"/>
        </row>
        <row r="1279">
          <cell r="E1279" t="str">
            <v>KPEV 0.75sq-10Pr</v>
          </cell>
          <cell r="F1279" t="str">
            <v>ｍ</v>
          </cell>
          <cell r="G1279"/>
          <cell r="H1279">
            <v>464</v>
          </cell>
          <cell r="I1279"/>
          <cell r="J1279">
            <v>464</v>
          </cell>
          <cell r="K1279"/>
          <cell r="L1279">
            <v>464</v>
          </cell>
          <cell r="M1279"/>
          <cell r="N1279">
            <v>464</v>
          </cell>
          <cell r="O1279"/>
          <cell r="P1279">
            <v>464</v>
          </cell>
          <cell r="Q1279"/>
          <cell r="R1279">
            <v>464</v>
          </cell>
          <cell r="S1279"/>
          <cell r="T1279">
            <v>464</v>
          </cell>
          <cell r="U1279"/>
          <cell r="V1279">
            <v>464</v>
          </cell>
          <cell r="W1279"/>
          <cell r="X1279">
            <v>464</v>
          </cell>
          <cell r="Y1279"/>
          <cell r="Z1279">
            <v>464</v>
          </cell>
          <cell r="AA1279"/>
          <cell r="AB1279"/>
          <cell r="AC1279"/>
          <cell r="AD1279">
            <v>2.1999999999999999E-2</v>
          </cell>
          <cell r="AE1279"/>
          <cell r="AF1279"/>
          <cell r="AG1279"/>
          <cell r="AH1279"/>
          <cell r="AI1279"/>
          <cell r="AJ1279"/>
          <cell r="AK1279"/>
          <cell r="AL1279"/>
        </row>
        <row r="1280">
          <cell r="E1280" t="str">
            <v>KPEV 0.75sq-15Pr</v>
          </cell>
          <cell r="F1280" t="str">
            <v>ｍ</v>
          </cell>
          <cell r="G1280"/>
          <cell r="H1280">
            <v>680</v>
          </cell>
          <cell r="I1280"/>
          <cell r="J1280">
            <v>680</v>
          </cell>
          <cell r="K1280"/>
          <cell r="L1280">
            <v>680</v>
          </cell>
          <cell r="M1280"/>
          <cell r="N1280">
            <v>680</v>
          </cell>
          <cell r="O1280"/>
          <cell r="P1280">
            <v>680</v>
          </cell>
          <cell r="Q1280"/>
          <cell r="R1280">
            <v>680</v>
          </cell>
          <cell r="S1280"/>
          <cell r="T1280">
            <v>680</v>
          </cell>
          <cell r="U1280"/>
          <cell r="V1280">
            <v>680</v>
          </cell>
          <cell r="W1280"/>
          <cell r="X1280">
            <v>680</v>
          </cell>
          <cell r="Y1280"/>
          <cell r="Z1280">
            <v>680</v>
          </cell>
          <cell r="AA1280"/>
          <cell r="AB1280"/>
          <cell r="AC1280"/>
          <cell r="AD1280">
            <v>2.3E-2</v>
          </cell>
          <cell r="AE1280"/>
          <cell r="AF1280"/>
          <cell r="AG1280"/>
          <cell r="AH1280"/>
          <cell r="AI1280"/>
          <cell r="AJ1280"/>
          <cell r="AK1280"/>
          <cell r="AL1280"/>
        </row>
        <row r="1281">
          <cell r="E1281" t="str">
            <v>KPEV 0.75sq-20Pr</v>
          </cell>
          <cell r="F1281" t="str">
            <v>ｍ</v>
          </cell>
          <cell r="G1281"/>
          <cell r="H1281">
            <v>893</v>
          </cell>
          <cell r="I1281"/>
          <cell r="J1281">
            <v>893</v>
          </cell>
          <cell r="K1281"/>
          <cell r="L1281">
            <v>893</v>
          </cell>
          <cell r="M1281"/>
          <cell r="N1281">
            <v>893</v>
          </cell>
          <cell r="O1281"/>
          <cell r="P1281">
            <v>893</v>
          </cell>
          <cell r="Q1281"/>
          <cell r="R1281">
            <v>893</v>
          </cell>
          <cell r="S1281"/>
          <cell r="T1281">
            <v>893</v>
          </cell>
          <cell r="U1281"/>
          <cell r="V1281">
            <v>893</v>
          </cell>
          <cell r="W1281"/>
          <cell r="X1281">
            <v>893</v>
          </cell>
          <cell r="Y1281"/>
          <cell r="Z1281">
            <v>893</v>
          </cell>
          <cell r="AA1281"/>
          <cell r="AB1281"/>
          <cell r="AC1281"/>
          <cell r="AD1281">
            <v>2.5000000000000001E-2</v>
          </cell>
          <cell r="AE1281"/>
          <cell r="AF1281"/>
          <cell r="AG1281"/>
          <cell r="AH1281"/>
          <cell r="AI1281"/>
          <cell r="AJ1281"/>
          <cell r="AK1281"/>
          <cell r="AL1281"/>
        </row>
        <row r="1282">
          <cell r="E1282" t="str">
            <v>KPEV 0.75sq-25Pr</v>
          </cell>
          <cell r="F1282" t="str">
            <v>ｍ</v>
          </cell>
          <cell r="G1282"/>
          <cell r="H1282">
            <v>1119</v>
          </cell>
          <cell r="I1282"/>
          <cell r="J1282">
            <v>1119</v>
          </cell>
          <cell r="K1282"/>
          <cell r="L1282">
            <v>1119</v>
          </cell>
          <cell r="M1282"/>
          <cell r="N1282">
            <v>1119</v>
          </cell>
          <cell r="O1282"/>
          <cell r="P1282">
            <v>1119</v>
          </cell>
          <cell r="Q1282"/>
          <cell r="R1282">
            <v>1119</v>
          </cell>
          <cell r="S1282"/>
          <cell r="T1282">
            <v>1119</v>
          </cell>
          <cell r="U1282"/>
          <cell r="V1282">
            <v>1119</v>
          </cell>
          <cell r="W1282"/>
          <cell r="X1282">
            <v>1119</v>
          </cell>
          <cell r="Y1282"/>
          <cell r="Z1282">
            <v>1119</v>
          </cell>
          <cell r="AA1282"/>
          <cell r="AB1282"/>
          <cell r="AC1282"/>
          <cell r="AD1282">
            <v>2.8000000000000001E-2</v>
          </cell>
          <cell r="AE1282"/>
          <cell r="AF1282"/>
          <cell r="AG1282"/>
          <cell r="AH1282"/>
          <cell r="AI1282"/>
          <cell r="AJ1282"/>
          <cell r="AK1282"/>
          <cell r="AL1282"/>
        </row>
        <row r="1283">
          <cell r="E1283" t="str">
            <v>KPEV 0.75sq-30Pr</v>
          </cell>
          <cell r="F1283" t="str">
            <v>ｍ</v>
          </cell>
          <cell r="G1283"/>
          <cell r="H1283">
            <v>1332</v>
          </cell>
          <cell r="I1283"/>
          <cell r="J1283">
            <v>1332</v>
          </cell>
          <cell r="K1283"/>
          <cell r="L1283">
            <v>1332</v>
          </cell>
          <cell r="M1283"/>
          <cell r="N1283">
            <v>1332</v>
          </cell>
          <cell r="O1283"/>
          <cell r="P1283">
            <v>1332</v>
          </cell>
          <cell r="Q1283"/>
          <cell r="R1283">
            <v>1332</v>
          </cell>
          <cell r="S1283"/>
          <cell r="T1283">
            <v>1332</v>
          </cell>
          <cell r="U1283"/>
          <cell r="V1283">
            <v>1332</v>
          </cell>
          <cell r="W1283"/>
          <cell r="X1283">
            <v>1332</v>
          </cell>
          <cell r="Y1283"/>
          <cell r="Z1283">
            <v>1332</v>
          </cell>
          <cell r="AA1283"/>
          <cell r="AB1283"/>
          <cell r="AC1283"/>
          <cell r="AD1283">
            <v>3.1E-2</v>
          </cell>
          <cell r="AE1283"/>
          <cell r="AF1283"/>
          <cell r="AG1283"/>
          <cell r="AH1283"/>
          <cell r="AI1283"/>
          <cell r="AJ1283"/>
          <cell r="AK1283"/>
          <cell r="AL1283"/>
        </row>
        <row r="1284">
          <cell r="E1284" t="str">
            <v>KPEV 0.75sq-40Pr</v>
          </cell>
          <cell r="F1284" t="str">
            <v>ｍ</v>
          </cell>
          <cell r="G1284"/>
          <cell r="H1284">
            <v>1778</v>
          </cell>
          <cell r="I1284"/>
          <cell r="J1284">
            <v>1778</v>
          </cell>
          <cell r="K1284"/>
          <cell r="L1284">
            <v>1778</v>
          </cell>
          <cell r="M1284"/>
          <cell r="N1284">
            <v>1778</v>
          </cell>
          <cell r="O1284"/>
          <cell r="P1284">
            <v>1778</v>
          </cell>
          <cell r="Q1284"/>
          <cell r="R1284">
            <v>1778</v>
          </cell>
          <cell r="S1284"/>
          <cell r="T1284">
            <v>1778</v>
          </cell>
          <cell r="U1284"/>
          <cell r="V1284">
            <v>1778</v>
          </cell>
          <cell r="W1284"/>
          <cell r="X1284">
            <v>1778</v>
          </cell>
          <cell r="Y1284"/>
          <cell r="Z1284">
            <v>1778</v>
          </cell>
          <cell r="AA1284"/>
          <cell r="AB1284"/>
          <cell r="AC1284"/>
          <cell r="AD1284">
            <v>3.6999999999999998E-2</v>
          </cell>
          <cell r="AE1284"/>
          <cell r="AF1284"/>
          <cell r="AG1284"/>
          <cell r="AH1284"/>
          <cell r="AI1284"/>
          <cell r="AJ1284"/>
          <cell r="AK1284"/>
          <cell r="AL1284"/>
        </row>
        <row r="1285">
          <cell r="E1285" t="str">
            <v>KPEV 0.75sq-50Pr</v>
          </cell>
          <cell r="F1285" t="str">
            <v>ｍ</v>
          </cell>
          <cell r="G1285"/>
          <cell r="H1285">
            <v>2196</v>
          </cell>
          <cell r="I1285"/>
          <cell r="J1285">
            <v>2196</v>
          </cell>
          <cell r="K1285"/>
          <cell r="L1285">
            <v>2196</v>
          </cell>
          <cell r="M1285"/>
          <cell r="N1285">
            <v>2196</v>
          </cell>
          <cell r="O1285"/>
          <cell r="P1285">
            <v>2196</v>
          </cell>
          <cell r="Q1285"/>
          <cell r="R1285">
            <v>2196</v>
          </cell>
          <cell r="S1285"/>
          <cell r="T1285">
            <v>2196</v>
          </cell>
          <cell r="U1285"/>
          <cell r="V1285">
            <v>2196</v>
          </cell>
          <cell r="W1285"/>
          <cell r="X1285">
            <v>2196</v>
          </cell>
          <cell r="Y1285"/>
          <cell r="Z1285">
            <v>2196</v>
          </cell>
          <cell r="AA1285"/>
          <cell r="AB1285"/>
          <cell r="AC1285"/>
          <cell r="AD1285">
            <v>0.05</v>
          </cell>
          <cell r="AE1285"/>
          <cell r="AF1285"/>
          <cell r="AG1285"/>
          <cell r="AH1285"/>
          <cell r="AI1285"/>
          <cell r="AJ1285"/>
          <cell r="AK1285"/>
          <cell r="AL1285"/>
        </row>
        <row r="1286">
          <cell r="E1286" t="str">
            <v>KPEV 0.75sq-60Pr</v>
          </cell>
          <cell r="F1286" t="str">
            <v>ｍ</v>
          </cell>
          <cell r="G1286"/>
          <cell r="H1286">
            <v>2621</v>
          </cell>
          <cell r="I1286"/>
          <cell r="J1286">
            <v>2621</v>
          </cell>
          <cell r="K1286"/>
          <cell r="L1286">
            <v>2621</v>
          </cell>
          <cell r="M1286"/>
          <cell r="N1286">
            <v>2621</v>
          </cell>
          <cell r="O1286"/>
          <cell r="P1286">
            <v>2621</v>
          </cell>
          <cell r="Q1286"/>
          <cell r="R1286">
            <v>2621</v>
          </cell>
          <cell r="S1286"/>
          <cell r="T1286">
            <v>2621</v>
          </cell>
          <cell r="U1286"/>
          <cell r="V1286">
            <v>2621</v>
          </cell>
          <cell r="W1286"/>
          <cell r="X1286">
            <v>2621</v>
          </cell>
          <cell r="Y1286"/>
          <cell r="Z1286">
            <v>2621</v>
          </cell>
          <cell r="AA1286"/>
          <cell r="AB1286"/>
          <cell r="AC1286"/>
          <cell r="AD1286">
            <v>6.6000000000000003E-2</v>
          </cell>
          <cell r="AE1286"/>
          <cell r="AF1286"/>
          <cell r="AG1286"/>
          <cell r="AH1286"/>
          <cell r="AI1286"/>
          <cell r="AJ1286"/>
          <cell r="AK1286"/>
          <cell r="AL1286"/>
        </row>
        <row r="1287">
          <cell r="E1287" t="str">
            <v>KPEV 0.75sq-70Pr</v>
          </cell>
          <cell r="F1287" t="str">
            <v>ｍ</v>
          </cell>
          <cell r="G1287"/>
          <cell r="H1287">
            <v>3045</v>
          </cell>
          <cell r="I1287"/>
          <cell r="J1287">
            <v>3045</v>
          </cell>
          <cell r="K1287"/>
          <cell r="L1287">
            <v>3045</v>
          </cell>
          <cell r="M1287"/>
          <cell r="N1287">
            <v>3045</v>
          </cell>
          <cell r="O1287"/>
          <cell r="P1287">
            <v>3045</v>
          </cell>
          <cell r="Q1287"/>
          <cell r="R1287">
            <v>3045</v>
          </cell>
          <cell r="S1287"/>
          <cell r="T1287">
            <v>3045</v>
          </cell>
          <cell r="U1287"/>
          <cell r="V1287">
            <v>3045</v>
          </cell>
          <cell r="W1287"/>
          <cell r="X1287">
            <v>3045</v>
          </cell>
          <cell r="Y1287"/>
          <cell r="Z1287">
            <v>3045</v>
          </cell>
          <cell r="AA1287"/>
          <cell r="AB1287"/>
          <cell r="AC1287"/>
          <cell r="AD1287">
            <v>8.3000000000000004E-2</v>
          </cell>
          <cell r="AE1287"/>
          <cell r="AF1287"/>
          <cell r="AG1287"/>
          <cell r="AH1287"/>
          <cell r="AI1287"/>
          <cell r="AJ1287"/>
          <cell r="AK1287"/>
          <cell r="AL1287"/>
        </row>
        <row r="1288">
          <cell r="E1288" t="str">
            <v>KPEV 0.75sq-80Pr</v>
          </cell>
          <cell r="F1288" t="str">
            <v>ｍ</v>
          </cell>
          <cell r="G1288"/>
          <cell r="H1288">
            <v>3470</v>
          </cell>
          <cell r="I1288"/>
          <cell r="J1288">
            <v>3470</v>
          </cell>
          <cell r="K1288"/>
          <cell r="L1288">
            <v>3470</v>
          </cell>
          <cell r="M1288"/>
          <cell r="N1288">
            <v>3470</v>
          </cell>
          <cell r="O1288"/>
          <cell r="P1288">
            <v>3470</v>
          </cell>
          <cell r="Q1288"/>
          <cell r="R1288">
            <v>3470</v>
          </cell>
          <cell r="S1288"/>
          <cell r="T1288">
            <v>3470</v>
          </cell>
          <cell r="U1288"/>
          <cell r="V1288">
            <v>3470</v>
          </cell>
          <cell r="W1288"/>
          <cell r="X1288">
            <v>3470</v>
          </cell>
          <cell r="Y1288"/>
          <cell r="Z1288">
            <v>3470</v>
          </cell>
          <cell r="AA1288"/>
          <cell r="AB1288"/>
          <cell r="AC1288"/>
          <cell r="AD1288">
            <v>0.10299999999999999</v>
          </cell>
          <cell r="AE1288"/>
          <cell r="AF1288"/>
          <cell r="AG1288"/>
          <cell r="AH1288"/>
          <cell r="AI1288"/>
          <cell r="AJ1288"/>
          <cell r="AK1288"/>
          <cell r="AL1288"/>
        </row>
        <row r="1289">
          <cell r="E1289" t="str">
            <v>KPEV 0.75sq-100Pr</v>
          </cell>
          <cell r="F1289" t="str">
            <v>ｍ</v>
          </cell>
          <cell r="G1289"/>
          <cell r="H1289">
            <v>4327</v>
          </cell>
          <cell r="I1289"/>
          <cell r="J1289">
            <v>4327</v>
          </cell>
          <cell r="K1289"/>
          <cell r="L1289">
            <v>4327</v>
          </cell>
          <cell r="M1289"/>
          <cell r="N1289">
            <v>4327</v>
          </cell>
          <cell r="O1289"/>
          <cell r="P1289">
            <v>4327</v>
          </cell>
          <cell r="Q1289"/>
          <cell r="R1289">
            <v>4327</v>
          </cell>
          <cell r="S1289"/>
          <cell r="T1289">
            <v>4327</v>
          </cell>
          <cell r="U1289"/>
          <cell r="V1289">
            <v>4327</v>
          </cell>
          <cell r="W1289"/>
          <cell r="X1289">
            <v>4327</v>
          </cell>
          <cell r="Y1289"/>
          <cell r="Z1289">
            <v>4327</v>
          </cell>
          <cell r="AA1289"/>
          <cell r="AB1289"/>
          <cell r="AC1289"/>
          <cell r="AD1289">
            <v>0.123</v>
          </cell>
          <cell r="AE1289"/>
          <cell r="AF1289"/>
          <cell r="AG1289"/>
          <cell r="AH1289"/>
          <cell r="AI1289"/>
          <cell r="AJ1289"/>
          <cell r="AK1289"/>
          <cell r="AL1289"/>
        </row>
        <row r="1290">
          <cell r="E1290" t="str">
            <v>KPEV 1.25sq-1Pr</v>
          </cell>
          <cell r="F1290" t="str">
            <v>ｍ</v>
          </cell>
          <cell r="G1290"/>
          <cell r="H1290">
            <v>67.599999999999994</v>
          </cell>
          <cell r="I1290"/>
          <cell r="J1290">
            <v>67.599999999999994</v>
          </cell>
          <cell r="K1290"/>
          <cell r="L1290">
            <v>67.599999999999994</v>
          </cell>
          <cell r="M1290"/>
          <cell r="N1290">
            <v>67.599999999999994</v>
          </cell>
          <cell r="O1290"/>
          <cell r="P1290">
            <v>67.599999999999994</v>
          </cell>
          <cell r="Q1290"/>
          <cell r="R1290">
            <v>67.599999999999994</v>
          </cell>
          <cell r="S1290"/>
          <cell r="T1290">
            <v>67.599999999999994</v>
          </cell>
          <cell r="U1290"/>
          <cell r="V1290">
            <v>67.599999999999994</v>
          </cell>
          <cell r="W1290"/>
          <cell r="X1290">
            <v>67.599999999999994</v>
          </cell>
          <cell r="Y1290"/>
          <cell r="Z1290">
            <v>67.599999999999994</v>
          </cell>
          <cell r="AA1290"/>
          <cell r="AB1290"/>
          <cell r="AC1290"/>
          <cell r="AD1290">
            <v>2.1000000000000001E-2</v>
          </cell>
          <cell r="AE1290"/>
          <cell r="AF1290"/>
          <cell r="AG1290"/>
          <cell r="AH1290"/>
          <cell r="AI1290"/>
          <cell r="AJ1290"/>
          <cell r="AK1290"/>
          <cell r="AL1290"/>
        </row>
        <row r="1291">
          <cell r="E1291" t="str">
            <v>KPEV 1.25sq-2Pr</v>
          </cell>
          <cell r="F1291" t="str">
            <v>ｍ</v>
          </cell>
          <cell r="G1291"/>
          <cell r="H1291">
            <v>155</v>
          </cell>
          <cell r="I1291"/>
          <cell r="J1291">
            <v>155</v>
          </cell>
          <cell r="K1291"/>
          <cell r="L1291">
            <v>155</v>
          </cell>
          <cell r="M1291"/>
          <cell r="N1291">
            <v>155</v>
          </cell>
          <cell r="O1291"/>
          <cell r="P1291">
            <v>155</v>
          </cell>
          <cell r="Q1291"/>
          <cell r="R1291">
            <v>155</v>
          </cell>
          <cell r="S1291"/>
          <cell r="T1291">
            <v>155</v>
          </cell>
          <cell r="U1291"/>
          <cell r="V1291">
            <v>155</v>
          </cell>
          <cell r="W1291"/>
          <cell r="X1291">
            <v>155</v>
          </cell>
          <cell r="Y1291"/>
          <cell r="Z1291">
            <v>155</v>
          </cell>
          <cell r="AA1291"/>
          <cell r="AB1291"/>
          <cell r="AC1291"/>
          <cell r="AD1291">
            <v>2.3E-2</v>
          </cell>
          <cell r="AE1291"/>
          <cell r="AF1291"/>
          <cell r="AG1291"/>
          <cell r="AH1291"/>
          <cell r="AI1291"/>
          <cell r="AJ1291"/>
          <cell r="AK1291"/>
          <cell r="AL1291"/>
        </row>
        <row r="1292">
          <cell r="E1292" t="str">
            <v>KPEV 1.25sq-5Pr</v>
          </cell>
          <cell r="F1292" t="str">
            <v>ｍ</v>
          </cell>
          <cell r="G1292"/>
          <cell r="H1292">
            <v>315</v>
          </cell>
          <cell r="I1292"/>
          <cell r="J1292">
            <v>315</v>
          </cell>
          <cell r="K1292"/>
          <cell r="L1292">
            <v>315</v>
          </cell>
          <cell r="M1292"/>
          <cell r="N1292">
            <v>315</v>
          </cell>
          <cell r="O1292"/>
          <cell r="P1292">
            <v>315</v>
          </cell>
          <cell r="Q1292"/>
          <cell r="R1292">
            <v>315</v>
          </cell>
          <cell r="S1292"/>
          <cell r="T1292">
            <v>315</v>
          </cell>
          <cell r="U1292"/>
          <cell r="V1292">
            <v>315</v>
          </cell>
          <cell r="W1292"/>
          <cell r="X1292">
            <v>315</v>
          </cell>
          <cell r="Y1292"/>
          <cell r="Z1292">
            <v>315</v>
          </cell>
          <cell r="AA1292"/>
          <cell r="AB1292"/>
          <cell r="AC1292"/>
          <cell r="AD1292">
            <v>2.7E-2</v>
          </cell>
          <cell r="AE1292"/>
          <cell r="AF1292"/>
          <cell r="AG1292"/>
          <cell r="AH1292"/>
          <cell r="AI1292"/>
          <cell r="AJ1292"/>
          <cell r="AK1292"/>
          <cell r="AL1292"/>
        </row>
        <row r="1293">
          <cell r="E1293" t="str">
            <v>KPEV 1.25sq-10Pr</v>
          </cell>
          <cell r="F1293" t="str">
            <v>ｍ</v>
          </cell>
          <cell r="G1293"/>
          <cell r="H1293">
            <v>586</v>
          </cell>
          <cell r="I1293"/>
          <cell r="J1293">
            <v>586</v>
          </cell>
          <cell r="K1293"/>
          <cell r="L1293">
            <v>586</v>
          </cell>
          <cell r="M1293"/>
          <cell r="N1293">
            <v>586</v>
          </cell>
          <cell r="O1293"/>
          <cell r="P1293">
            <v>586</v>
          </cell>
          <cell r="Q1293"/>
          <cell r="R1293">
            <v>586</v>
          </cell>
          <cell r="S1293"/>
          <cell r="T1293">
            <v>586</v>
          </cell>
          <cell r="U1293"/>
          <cell r="V1293">
            <v>586</v>
          </cell>
          <cell r="W1293"/>
          <cell r="X1293">
            <v>586</v>
          </cell>
          <cell r="Y1293"/>
          <cell r="Z1293">
            <v>586</v>
          </cell>
          <cell r="AA1293"/>
          <cell r="AB1293"/>
          <cell r="AC1293"/>
          <cell r="AD1293">
            <v>3.1E-2</v>
          </cell>
          <cell r="AE1293"/>
          <cell r="AF1293"/>
          <cell r="AG1293"/>
          <cell r="AH1293"/>
          <cell r="AI1293"/>
          <cell r="AJ1293"/>
          <cell r="AK1293"/>
          <cell r="AL1293"/>
        </row>
        <row r="1294">
          <cell r="E1294" t="str">
            <v>KPEV 1.25sq-15Pr</v>
          </cell>
          <cell r="F1294" t="str">
            <v>ｍ</v>
          </cell>
          <cell r="G1294"/>
          <cell r="H1294">
            <v>838</v>
          </cell>
          <cell r="I1294"/>
          <cell r="J1294">
            <v>838</v>
          </cell>
          <cell r="K1294"/>
          <cell r="L1294">
            <v>838</v>
          </cell>
          <cell r="M1294"/>
          <cell r="N1294">
            <v>838</v>
          </cell>
          <cell r="O1294"/>
          <cell r="P1294">
            <v>838</v>
          </cell>
          <cell r="Q1294"/>
          <cell r="R1294">
            <v>838</v>
          </cell>
          <cell r="S1294"/>
          <cell r="T1294">
            <v>838</v>
          </cell>
          <cell r="U1294"/>
          <cell r="V1294">
            <v>838</v>
          </cell>
          <cell r="W1294"/>
          <cell r="X1294">
            <v>838</v>
          </cell>
          <cell r="Y1294"/>
          <cell r="Z1294">
            <v>838</v>
          </cell>
          <cell r="AA1294"/>
          <cell r="AB1294"/>
          <cell r="AC1294"/>
          <cell r="AD1294">
            <v>3.4000000000000002E-2</v>
          </cell>
          <cell r="AE1294"/>
          <cell r="AF1294"/>
          <cell r="AG1294"/>
          <cell r="AH1294"/>
          <cell r="AI1294"/>
          <cell r="AJ1294"/>
          <cell r="AK1294"/>
          <cell r="AL1294"/>
        </row>
        <row r="1295">
          <cell r="E1295" t="str">
            <v>KPEV 1.25sq-20Pr</v>
          </cell>
          <cell r="F1295" t="str">
            <v>ｍ</v>
          </cell>
          <cell r="G1295"/>
          <cell r="H1295">
            <v>1101</v>
          </cell>
          <cell r="I1295"/>
          <cell r="J1295">
            <v>1101</v>
          </cell>
          <cell r="K1295"/>
          <cell r="L1295">
            <v>1101</v>
          </cell>
          <cell r="M1295"/>
          <cell r="N1295">
            <v>1101</v>
          </cell>
          <cell r="O1295"/>
          <cell r="P1295">
            <v>1101</v>
          </cell>
          <cell r="Q1295"/>
          <cell r="R1295">
            <v>1101</v>
          </cell>
          <cell r="S1295"/>
          <cell r="T1295">
            <v>1101</v>
          </cell>
          <cell r="U1295"/>
          <cell r="V1295">
            <v>1101</v>
          </cell>
          <cell r="W1295"/>
          <cell r="X1295">
            <v>1101</v>
          </cell>
          <cell r="Y1295"/>
          <cell r="Z1295">
            <v>1101</v>
          </cell>
          <cell r="AA1295"/>
          <cell r="AB1295"/>
          <cell r="AC1295"/>
          <cell r="AD1295">
            <v>3.9E-2</v>
          </cell>
          <cell r="AE1295"/>
          <cell r="AF1295"/>
          <cell r="AG1295"/>
          <cell r="AH1295"/>
          <cell r="AI1295"/>
          <cell r="AJ1295"/>
          <cell r="AK1295"/>
          <cell r="AL1295"/>
        </row>
        <row r="1296">
          <cell r="E1296" t="str">
            <v>KPEV 2.0sq-1Pr</v>
          </cell>
          <cell r="F1296" t="str">
            <v>ｍ</v>
          </cell>
          <cell r="G1296"/>
          <cell r="H1296">
            <v>87.7</v>
          </cell>
          <cell r="I1296"/>
          <cell r="J1296">
            <v>87.7</v>
          </cell>
          <cell r="K1296"/>
          <cell r="L1296">
            <v>87.7</v>
          </cell>
          <cell r="M1296"/>
          <cell r="N1296">
            <v>87.7</v>
          </cell>
          <cell r="O1296"/>
          <cell r="P1296">
            <v>87.7</v>
          </cell>
          <cell r="Q1296"/>
          <cell r="R1296">
            <v>87.7</v>
          </cell>
          <cell r="S1296"/>
          <cell r="T1296">
            <v>87.7</v>
          </cell>
          <cell r="U1296"/>
          <cell r="V1296">
            <v>87.7</v>
          </cell>
          <cell r="W1296"/>
          <cell r="X1296">
            <v>87.7</v>
          </cell>
          <cell r="Y1296"/>
          <cell r="Z1296">
            <v>87.7</v>
          </cell>
          <cell r="AA1296"/>
          <cell r="AB1296"/>
          <cell r="AC1296"/>
          <cell r="AD1296">
            <v>2.7E-2</v>
          </cell>
          <cell r="AE1296"/>
          <cell r="AF1296"/>
          <cell r="AG1296"/>
          <cell r="AH1296"/>
          <cell r="AI1296"/>
          <cell r="AJ1296"/>
          <cell r="AK1296"/>
          <cell r="AL1296"/>
        </row>
        <row r="1297">
          <cell r="E1297" t="str">
            <v>KPEV 2.0sq-2Pr</v>
          </cell>
          <cell r="F1297" t="str">
            <v>ｍ</v>
          </cell>
          <cell r="G1297"/>
          <cell r="H1297">
            <v>188</v>
          </cell>
          <cell r="I1297"/>
          <cell r="J1297">
            <v>188</v>
          </cell>
          <cell r="K1297"/>
          <cell r="L1297">
            <v>188</v>
          </cell>
          <cell r="M1297"/>
          <cell r="N1297">
            <v>188</v>
          </cell>
          <cell r="O1297"/>
          <cell r="P1297">
            <v>188</v>
          </cell>
          <cell r="Q1297"/>
          <cell r="R1297">
            <v>188</v>
          </cell>
          <cell r="S1297"/>
          <cell r="T1297">
            <v>188</v>
          </cell>
          <cell r="U1297"/>
          <cell r="V1297">
            <v>188</v>
          </cell>
          <cell r="W1297"/>
          <cell r="X1297">
            <v>188</v>
          </cell>
          <cell r="Y1297"/>
          <cell r="Z1297">
            <v>188</v>
          </cell>
          <cell r="AA1297"/>
          <cell r="AB1297"/>
          <cell r="AC1297"/>
          <cell r="AD1297">
            <v>2.9000000000000001E-2</v>
          </cell>
          <cell r="AE1297"/>
          <cell r="AF1297"/>
          <cell r="AG1297"/>
          <cell r="AH1297"/>
          <cell r="AI1297"/>
          <cell r="AJ1297"/>
          <cell r="AK1297"/>
          <cell r="AL1297"/>
        </row>
        <row r="1298">
          <cell r="E1298" t="str">
            <v>KPEV 2.0sq-5Pr</v>
          </cell>
          <cell r="F1298" t="str">
            <v>ｍ</v>
          </cell>
          <cell r="G1298"/>
          <cell r="H1298">
            <v>418</v>
          </cell>
          <cell r="I1298"/>
          <cell r="J1298">
            <v>418</v>
          </cell>
          <cell r="K1298"/>
          <cell r="L1298">
            <v>418</v>
          </cell>
          <cell r="M1298"/>
          <cell r="N1298">
            <v>418</v>
          </cell>
          <cell r="O1298"/>
          <cell r="P1298">
            <v>418</v>
          </cell>
          <cell r="Q1298"/>
          <cell r="R1298">
            <v>418</v>
          </cell>
          <cell r="S1298"/>
          <cell r="T1298">
            <v>418</v>
          </cell>
          <cell r="U1298"/>
          <cell r="V1298">
            <v>418</v>
          </cell>
          <cell r="W1298"/>
          <cell r="X1298">
            <v>418</v>
          </cell>
          <cell r="Y1298"/>
          <cell r="Z1298">
            <v>418</v>
          </cell>
          <cell r="AA1298"/>
          <cell r="AB1298"/>
          <cell r="AC1298"/>
          <cell r="AD1298">
            <v>3.2000000000000001E-2</v>
          </cell>
          <cell r="AE1298"/>
          <cell r="AF1298"/>
          <cell r="AG1298"/>
          <cell r="AH1298"/>
          <cell r="AI1298"/>
          <cell r="AJ1298"/>
          <cell r="AK1298"/>
          <cell r="AL1298"/>
        </row>
        <row r="1299">
          <cell r="E1299" t="str">
            <v>KPEV 2.0sq-10Pr</v>
          </cell>
          <cell r="F1299" t="str">
            <v>ｍ</v>
          </cell>
          <cell r="G1299"/>
          <cell r="H1299">
            <v>791</v>
          </cell>
          <cell r="I1299"/>
          <cell r="J1299">
            <v>791</v>
          </cell>
          <cell r="K1299"/>
          <cell r="L1299">
            <v>791</v>
          </cell>
          <cell r="M1299"/>
          <cell r="N1299">
            <v>791</v>
          </cell>
          <cell r="O1299"/>
          <cell r="P1299">
            <v>791</v>
          </cell>
          <cell r="Q1299"/>
          <cell r="R1299">
            <v>791</v>
          </cell>
          <cell r="S1299"/>
          <cell r="T1299">
            <v>791</v>
          </cell>
          <cell r="U1299"/>
          <cell r="V1299">
            <v>791</v>
          </cell>
          <cell r="W1299"/>
          <cell r="X1299">
            <v>791</v>
          </cell>
          <cell r="Y1299"/>
          <cell r="Z1299">
            <v>791</v>
          </cell>
          <cell r="AA1299"/>
          <cell r="AB1299"/>
          <cell r="AC1299"/>
          <cell r="AD1299">
            <v>3.6999999999999998E-2</v>
          </cell>
          <cell r="AE1299"/>
          <cell r="AF1299"/>
          <cell r="AG1299"/>
          <cell r="AH1299"/>
          <cell r="AI1299"/>
          <cell r="AJ1299"/>
          <cell r="AK1299"/>
          <cell r="AL1299"/>
        </row>
        <row r="1300">
          <cell r="E1300" t="str">
            <v>KPEV 2.0sq-15Pr</v>
          </cell>
          <cell r="F1300" t="str">
            <v>ｍ</v>
          </cell>
          <cell r="G1300"/>
          <cell r="H1300">
            <v>1153</v>
          </cell>
          <cell r="I1300"/>
          <cell r="J1300">
            <v>1153</v>
          </cell>
          <cell r="K1300"/>
          <cell r="L1300">
            <v>1153</v>
          </cell>
          <cell r="M1300"/>
          <cell r="N1300">
            <v>1153</v>
          </cell>
          <cell r="O1300"/>
          <cell r="P1300">
            <v>1153</v>
          </cell>
          <cell r="Q1300"/>
          <cell r="R1300">
            <v>1153</v>
          </cell>
          <cell r="S1300"/>
          <cell r="T1300">
            <v>1153</v>
          </cell>
          <cell r="U1300"/>
          <cell r="V1300">
            <v>1153</v>
          </cell>
          <cell r="W1300"/>
          <cell r="X1300">
            <v>1153</v>
          </cell>
          <cell r="Y1300"/>
          <cell r="Z1300">
            <v>1153</v>
          </cell>
          <cell r="AA1300"/>
          <cell r="AB1300"/>
          <cell r="AC1300"/>
          <cell r="AD1300">
            <v>0.04</v>
          </cell>
          <cell r="AE1300"/>
          <cell r="AF1300"/>
          <cell r="AG1300"/>
          <cell r="AH1300"/>
          <cell r="AI1300"/>
          <cell r="AJ1300"/>
          <cell r="AK1300"/>
          <cell r="AL1300"/>
        </row>
        <row r="1301">
          <cell r="E1301" t="str">
            <v>KPEV 2.0sq-20Pr</v>
          </cell>
          <cell r="F1301" t="str">
            <v>ｍ</v>
          </cell>
          <cell r="G1301"/>
          <cell r="H1301">
            <v>1531</v>
          </cell>
          <cell r="I1301"/>
          <cell r="J1301">
            <v>1531</v>
          </cell>
          <cell r="K1301"/>
          <cell r="L1301">
            <v>1531</v>
          </cell>
          <cell r="M1301"/>
          <cell r="N1301">
            <v>1531</v>
          </cell>
          <cell r="O1301"/>
          <cell r="P1301">
            <v>1531</v>
          </cell>
          <cell r="Q1301"/>
          <cell r="R1301">
            <v>1531</v>
          </cell>
          <cell r="S1301"/>
          <cell r="T1301">
            <v>1531</v>
          </cell>
          <cell r="U1301"/>
          <cell r="V1301">
            <v>1531</v>
          </cell>
          <cell r="W1301"/>
          <cell r="X1301">
            <v>1531</v>
          </cell>
          <cell r="Y1301"/>
          <cell r="Z1301">
            <v>1531</v>
          </cell>
          <cell r="AA1301"/>
          <cell r="AB1301"/>
          <cell r="AC1301"/>
          <cell r="AD1301">
            <v>4.7E-2</v>
          </cell>
          <cell r="AE1301"/>
          <cell r="AF1301"/>
          <cell r="AG1301"/>
          <cell r="AH1301"/>
          <cell r="AI1301"/>
          <cell r="AJ1301"/>
          <cell r="AK1301"/>
          <cell r="AL1301"/>
        </row>
        <row r="1302">
          <cell r="E1302" t="str">
            <v>KPEV-S 0.5sq-1Pr</v>
          </cell>
          <cell r="F1302" t="str">
            <v>ｍ</v>
          </cell>
          <cell r="G1302"/>
          <cell r="H1302">
            <v>111</v>
          </cell>
          <cell r="I1302"/>
          <cell r="J1302">
            <v>111</v>
          </cell>
          <cell r="K1302"/>
          <cell r="L1302">
            <v>111</v>
          </cell>
          <cell r="M1302"/>
          <cell r="N1302">
            <v>111</v>
          </cell>
          <cell r="O1302"/>
          <cell r="P1302">
            <v>111</v>
          </cell>
          <cell r="Q1302"/>
          <cell r="R1302">
            <v>111</v>
          </cell>
          <cell r="S1302"/>
          <cell r="T1302">
            <v>111</v>
          </cell>
          <cell r="U1302"/>
          <cell r="V1302">
            <v>111</v>
          </cell>
          <cell r="W1302"/>
          <cell r="X1302">
            <v>111</v>
          </cell>
          <cell r="Y1302"/>
          <cell r="Z1302">
            <v>111</v>
          </cell>
          <cell r="AA1302"/>
          <cell r="AB1302"/>
          <cell r="AC1302"/>
          <cell r="AD1302">
            <v>1.2999999999999999E-2</v>
          </cell>
          <cell r="AE1302"/>
          <cell r="AF1302"/>
          <cell r="AG1302"/>
          <cell r="AH1302"/>
          <cell r="AI1302"/>
          <cell r="AJ1302"/>
          <cell r="AK1302"/>
          <cell r="AL1302"/>
        </row>
        <row r="1303">
          <cell r="E1303" t="str">
            <v>KPEV-S 0.5sq-2Pr</v>
          </cell>
          <cell r="F1303" t="str">
            <v>ｍ</v>
          </cell>
          <cell r="G1303"/>
          <cell r="H1303">
            <v>181</v>
          </cell>
          <cell r="I1303"/>
          <cell r="J1303">
            <v>181</v>
          </cell>
          <cell r="K1303"/>
          <cell r="L1303">
            <v>181</v>
          </cell>
          <cell r="M1303"/>
          <cell r="N1303">
            <v>181</v>
          </cell>
          <cell r="O1303"/>
          <cell r="P1303">
            <v>181</v>
          </cell>
          <cell r="Q1303"/>
          <cell r="R1303">
            <v>181</v>
          </cell>
          <cell r="S1303"/>
          <cell r="T1303">
            <v>181</v>
          </cell>
          <cell r="U1303"/>
          <cell r="V1303">
            <v>181</v>
          </cell>
          <cell r="W1303"/>
          <cell r="X1303">
            <v>181</v>
          </cell>
          <cell r="Y1303"/>
          <cell r="Z1303">
            <v>181</v>
          </cell>
          <cell r="AA1303"/>
          <cell r="AB1303"/>
          <cell r="AC1303"/>
          <cell r="AD1303">
            <v>1.4E-2</v>
          </cell>
          <cell r="AE1303"/>
          <cell r="AF1303"/>
          <cell r="AG1303"/>
          <cell r="AH1303"/>
          <cell r="AI1303"/>
          <cell r="AJ1303"/>
          <cell r="AK1303"/>
          <cell r="AL1303"/>
        </row>
        <row r="1304">
          <cell r="E1304" t="str">
            <v>KPEV-S 0.5sq-5Pr</v>
          </cell>
          <cell r="F1304" t="str">
            <v>ｍ</v>
          </cell>
          <cell r="G1304"/>
          <cell r="H1304">
            <v>312</v>
          </cell>
          <cell r="I1304"/>
          <cell r="J1304">
            <v>312</v>
          </cell>
          <cell r="K1304"/>
          <cell r="L1304">
            <v>312</v>
          </cell>
          <cell r="M1304"/>
          <cell r="N1304">
            <v>312</v>
          </cell>
          <cell r="O1304"/>
          <cell r="P1304">
            <v>312</v>
          </cell>
          <cell r="Q1304"/>
          <cell r="R1304">
            <v>312</v>
          </cell>
          <cell r="S1304"/>
          <cell r="T1304">
            <v>312</v>
          </cell>
          <cell r="U1304"/>
          <cell r="V1304">
            <v>312</v>
          </cell>
          <cell r="W1304"/>
          <cell r="X1304">
            <v>312</v>
          </cell>
          <cell r="Y1304"/>
          <cell r="Z1304">
            <v>312</v>
          </cell>
          <cell r="AA1304"/>
          <cell r="AB1304"/>
          <cell r="AC1304"/>
          <cell r="AD1304">
            <v>1.4999999999999999E-2</v>
          </cell>
          <cell r="AE1304"/>
          <cell r="AF1304"/>
          <cell r="AG1304"/>
          <cell r="AH1304"/>
          <cell r="AI1304"/>
          <cell r="AJ1304"/>
          <cell r="AK1304"/>
          <cell r="AL1304"/>
        </row>
        <row r="1305">
          <cell r="E1305" t="str">
            <v>KPEV-S 0.5sq-10Pr</v>
          </cell>
          <cell r="F1305" t="str">
            <v>ｍ</v>
          </cell>
          <cell r="G1305"/>
          <cell r="H1305">
            <v>539</v>
          </cell>
          <cell r="I1305"/>
          <cell r="J1305">
            <v>539</v>
          </cell>
          <cell r="K1305"/>
          <cell r="L1305">
            <v>539</v>
          </cell>
          <cell r="M1305"/>
          <cell r="N1305">
            <v>539</v>
          </cell>
          <cell r="O1305"/>
          <cell r="P1305">
            <v>539</v>
          </cell>
          <cell r="Q1305"/>
          <cell r="R1305">
            <v>539</v>
          </cell>
          <cell r="S1305"/>
          <cell r="T1305">
            <v>539</v>
          </cell>
          <cell r="U1305"/>
          <cell r="V1305">
            <v>539</v>
          </cell>
          <cell r="W1305"/>
          <cell r="X1305">
            <v>539</v>
          </cell>
          <cell r="Y1305"/>
          <cell r="Z1305">
            <v>539</v>
          </cell>
          <cell r="AA1305"/>
          <cell r="AB1305"/>
          <cell r="AC1305"/>
          <cell r="AD1305">
            <v>1.7000000000000001E-2</v>
          </cell>
          <cell r="AE1305"/>
          <cell r="AF1305"/>
          <cell r="AG1305"/>
          <cell r="AH1305"/>
          <cell r="AI1305"/>
          <cell r="AJ1305"/>
          <cell r="AK1305"/>
          <cell r="AL1305"/>
        </row>
        <row r="1306">
          <cell r="E1306" t="str">
            <v>KPEV-S 0.5sq-15Pr</v>
          </cell>
          <cell r="F1306" t="str">
            <v>ｍ</v>
          </cell>
          <cell r="G1306"/>
          <cell r="H1306">
            <v>750</v>
          </cell>
          <cell r="I1306"/>
          <cell r="J1306">
            <v>750</v>
          </cell>
          <cell r="K1306"/>
          <cell r="L1306">
            <v>750</v>
          </cell>
          <cell r="M1306"/>
          <cell r="N1306">
            <v>750</v>
          </cell>
          <cell r="O1306"/>
          <cell r="P1306">
            <v>750</v>
          </cell>
          <cell r="Q1306"/>
          <cell r="R1306">
            <v>750</v>
          </cell>
          <cell r="S1306"/>
          <cell r="T1306">
            <v>750</v>
          </cell>
          <cell r="U1306"/>
          <cell r="V1306">
            <v>750</v>
          </cell>
          <cell r="W1306"/>
          <cell r="X1306">
            <v>750</v>
          </cell>
          <cell r="Y1306"/>
          <cell r="Z1306">
            <v>750</v>
          </cell>
          <cell r="AA1306"/>
          <cell r="AB1306"/>
          <cell r="AC1306"/>
          <cell r="AD1306">
            <v>1.7999999999999999E-2</v>
          </cell>
          <cell r="AE1306"/>
          <cell r="AF1306"/>
          <cell r="AG1306"/>
          <cell r="AH1306"/>
          <cell r="AI1306"/>
          <cell r="AJ1306"/>
          <cell r="AK1306"/>
          <cell r="AL1306"/>
        </row>
        <row r="1307">
          <cell r="E1307" t="str">
            <v>KPEV-S 0.5sq-20Pr</v>
          </cell>
          <cell r="F1307" t="str">
            <v>ｍ</v>
          </cell>
          <cell r="G1307"/>
          <cell r="H1307">
            <v>979</v>
          </cell>
          <cell r="I1307"/>
          <cell r="J1307">
            <v>979</v>
          </cell>
          <cell r="K1307"/>
          <cell r="L1307">
            <v>979</v>
          </cell>
          <cell r="M1307"/>
          <cell r="N1307">
            <v>979</v>
          </cell>
          <cell r="O1307"/>
          <cell r="P1307">
            <v>979</v>
          </cell>
          <cell r="Q1307"/>
          <cell r="R1307">
            <v>979</v>
          </cell>
          <cell r="S1307"/>
          <cell r="T1307">
            <v>979</v>
          </cell>
          <cell r="U1307"/>
          <cell r="V1307">
            <v>979</v>
          </cell>
          <cell r="W1307"/>
          <cell r="X1307">
            <v>979</v>
          </cell>
          <cell r="Y1307"/>
          <cell r="Z1307">
            <v>979</v>
          </cell>
          <cell r="AA1307"/>
          <cell r="AB1307"/>
          <cell r="AC1307"/>
          <cell r="AD1307">
            <v>0.02</v>
          </cell>
          <cell r="AE1307"/>
          <cell r="AF1307"/>
          <cell r="AG1307"/>
          <cell r="AH1307"/>
          <cell r="AI1307"/>
          <cell r="AJ1307"/>
          <cell r="AK1307"/>
          <cell r="AL1307"/>
        </row>
        <row r="1308">
          <cell r="E1308" t="str">
            <v>KPEV-S 0.5sq-25Pr</v>
          </cell>
          <cell r="F1308" t="str">
            <v>ｍ</v>
          </cell>
          <cell r="G1308"/>
          <cell r="H1308">
            <v>1199</v>
          </cell>
          <cell r="I1308"/>
          <cell r="J1308">
            <v>1199</v>
          </cell>
          <cell r="K1308"/>
          <cell r="L1308">
            <v>1199</v>
          </cell>
          <cell r="M1308"/>
          <cell r="N1308">
            <v>1199</v>
          </cell>
          <cell r="O1308"/>
          <cell r="P1308">
            <v>1199</v>
          </cell>
          <cell r="Q1308"/>
          <cell r="R1308">
            <v>1199</v>
          </cell>
          <cell r="S1308"/>
          <cell r="T1308">
            <v>1199</v>
          </cell>
          <cell r="U1308"/>
          <cell r="V1308">
            <v>1199</v>
          </cell>
          <cell r="W1308"/>
          <cell r="X1308">
            <v>1199</v>
          </cell>
          <cell r="Y1308"/>
          <cell r="Z1308">
            <v>1199</v>
          </cell>
          <cell r="AA1308"/>
          <cell r="AB1308"/>
          <cell r="AC1308"/>
          <cell r="AD1308">
            <v>2.1999999999999999E-2</v>
          </cell>
          <cell r="AE1308"/>
          <cell r="AF1308"/>
          <cell r="AG1308"/>
          <cell r="AH1308"/>
          <cell r="AI1308"/>
          <cell r="AJ1308"/>
          <cell r="AK1308"/>
          <cell r="AL1308"/>
        </row>
        <row r="1309">
          <cell r="E1309" t="str">
            <v>KPEV-S 0.5sq-30Pr</v>
          </cell>
          <cell r="F1309" t="str">
            <v>ｍ</v>
          </cell>
          <cell r="G1309"/>
          <cell r="H1309">
            <v>1425</v>
          </cell>
          <cell r="I1309"/>
          <cell r="J1309">
            <v>1425</v>
          </cell>
          <cell r="K1309"/>
          <cell r="L1309">
            <v>1425</v>
          </cell>
          <cell r="M1309"/>
          <cell r="N1309">
            <v>1425</v>
          </cell>
          <cell r="O1309"/>
          <cell r="P1309">
            <v>1425</v>
          </cell>
          <cell r="Q1309"/>
          <cell r="R1309">
            <v>1425</v>
          </cell>
          <cell r="S1309"/>
          <cell r="T1309">
            <v>1425</v>
          </cell>
          <cell r="U1309"/>
          <cell r="V1309">
            <v>1425</v>
          </cell>
          <cell r="W1309"/>
          <cell r="X1309">
            <v>1425</v>
          </cell>
          <cell r="Y1309"/>
          <cell r="Z1309">
            <v>1425</v>
          </cell>
          <cell r="AA1309"/>
          <cell r="AB1309"/>
          <cell r="AC1309"/>
          <cell r="AD1309">
            <v>2.4E-2</v>
          </cell>
          <cell r="AE1309"/>
          <cell r="AF1309"/>
          <cell r="AG1309"/>
          <cell r="AH1309"/>
          <cell r="AI1309"/>
          <cell r="AJ1309"/>
          <cell r="AK1309"/>
          <cell r="AL1309"/>
        </row>
        <row r="1310">
          <cell r="E1310" t="str">
            <v>KPEV-S 0.5sq-40Pr</v>
          </cell>
          <cell r="F1310" t="str">
            <v>ｍ</v>
          </cell>
          <cell r="G1310"/>
          <cell r="H1310">
            <v>1872</v>
          </cell>
          <cell r="I1310"/>
          <cell r="J1310">
            <v>1872</v>
          </cell>
          <cell r="K1310"/>
          <cell r="L1310">
            <v>1872</v>
          </cell>
          <cell r="M1310"/>
          <cell r="N1310">
            <v>1872</v>
          </cell>
          <cell r="O1310"/>
          <cell r="P1310">
            <v>1872</v>
          </cell>
          <cell r="Q1310"/>
          <cell r="R1310">
            <v>1872</v>
          </cell>
          <cell r="S1310"/>
          <cell r="T1310">
            <v>1872</v>
          </cell>
          <cell r="U1310"/>
          <cell r="V1310">
            <v>1872</v>
          </cell>
          <cell r="W1310"/>
          <cell r="X1310">
            <v>1872</v>
          </cell>
          <cell r="Y1310"/>
          <cell r="Z1310">
            <v>1872</v>
          </cell>
          <cell r="AA1310"/>
          <cell r="AB1310"/>
          <cell r="AC1310"/>
          <cell r="AD1310">
            <v>2.9000000000000001E-2</v>
          </cell>
          <cell r="AE1310"/>
          <cell r="AF1310"/>
          <cell r="AG1310"/>
          <cell r="AH1310"/>
          <cell r="AI1310"/>
          <cell r="AJ1310"/>
          <cell r="AK1310"/>
          <cell r="AL1310"/>
        </row>
        <row r="1311">
          <cell r="E1311" t="str">
            <v>KPEV-S 0.5sq-50Pr</v>
          </cell>
          <cell r="F1311" t="str">
            <v>ｍ</v>
          </cell>
          <cell r="G1311"/>
          <cell r="H1311">
            <v>2282</v>
          </cell>
          <cell r="I1311"/>
          <cell r="J1311">
            <v>2282</v>
          </cell>
          <cell r="K1311"/>
          <cell r="L1311">
            <v>2282</v>
          </cell>
          <cell r="M1311"/>
          <cell r="N1311">
            <v>2282</v>
          </cell>
          <cell r="O1311"/>
          <cell r="P1311">
            <v>2282</v>
          </cell>
          <cell r="Q1311"/>
          <cell r="R1311">
            <v>2282</v>
          </cell>
          <cell r="S1311"/>
          <cell r="T1311">
            <v>2282</v>
          </cell>
          <cell r="U1311"/>
          <cell r="V1311">
            <v>2282</v>
          </cell>
          <cell r="W1311"/>
          <cell r="X1311">
            <v>2282</v>
          </cell>
          <cell r="Y1311"/>
          <cell r="Z1311">
            <v>2282</v>
          </cell>
          <cell r="AA1311"/>
          <cell r="AB1311"/>
          <cell r="AC1311"/>
          <cell r="AD1311">
            <v>3.9E-2</v>
          </cell>
          <cell r="AE1311"/>
          <cell r="AF1311"/>
          <cell r="AG1311"/>
          <cell r="AH1311"/>
          <cell r="AI1311"/>
          <cell r="AJ1311"/>
          <cell r="AK1311"/>
          <cell r="AL1311"/>
        </row>
        <row r="1312">
          <cell r="E1312" t="str">
            <v>KPEV-S 0.5sq-60Pr</v>
          </cell>
          <cell r="F1312" t="str">
            <v>ｍ</v>
          </cell>
          <cell r="G1312"/>
          <cell r="H1312">
            <v>2707</v>
          </cell>
          <cell r="I1312"/>
          <cell r="J1312">
            <v>2707</v>
          </cell>
          <cell r="K1312"/>
          <cell r="L1312">
            <v>2707</v>
          </cell>
          <cell r="M1312"/>
          <cell r="N1312">
            <v>2707</v>
          </cell>
          <cell r="O1312"/>
          <cell r="P1312">
            <v>2707</v>
          </cell>
          <cell r="Q1312"/>
          <cell r="R1312">
            <v>2707</v>
          </cell>
          <cell r="S1312"/>
          <cell r="T1312">
            <v>2707</v>
          </cell>
          <cell r="U1312"/>
          <cell r="V1312">
            <v>2707</v>
          </cell>
          <cell r="W1312"/>
          <cell r="X1312">
            <v>2707</v>
          </cell>
          <cell r="Y1312"/>
          <cell r="Z1312">
            <v>2707</v>
          </cell>
          <cell r="AA1312"/>
          <cell r="AB1312"/>
          <cell r="AC1312"/>
          <cell r="AD1312">
            <v>5.0999999999999997E-2</v>
          </cell>
          <cell r="AE1312"/>
          <cell r="AF1312"/>
          <cell r="AG1312"/>
          <cell r="AH1312"/>
          <cell r="AI1312"/>
          <cell r="AJ1312"/>
          <cell r="AK1312"/>
          <cell r="AL1312"/>
        </row>
        <row r="1313">
          <cell r="E1313" t="str">
            <v>KPEV-S 0.5sq-70Pr</v>
          </cell>
          <cell r="F1313" t="str">
            <v>ｍ</v>
          </cell>
          <cell r="G1313"/>
          <cell r="H1313">
            <v>3132</v>
          </cell>
          <cell r="I1313"/>
          <cell r="J1313">
            <v>3132</v>
          </cell>
          <cell r="K1313"/>
          <cell r="L1313">
            <v>3132</v>
          </cell>
          <cell r="M1313"/>
          <cell r="N1313">
            <v>3132</v>
          </cell>
          <cell r="O1313"/>
          <cell r="P1313">
            <v>3132</v>
          </cell>
          <cell r="Q1313"/>
          <cell r="R1313">
            <v>3132</v>
          </cell>
          <cell r="S1313"/>
          <cell r="T1313">
            <v>3132</v>
          </cell>
          <cell r="U1313"/>
          <cell r="V1313">
            <v>3132</v>
          </cell>
          <cell r="W1313"/>
          <cell r="X1313">
            <v>3132</v>
          </cell>
          <cell r="Y1313"/>
          <cell r="Z1313">
            <v>3132</v>
          </cell>
          <cell r="AA1313"/>
          <cell r="AB1313"/>
          <cell r="AC1313"/>
          <cell r="AD1313">
            <v>6.4000000000000001E-2</v>
          </cell>
          <cell r="AE1313"/>
          <cell r="AF1313"/>
          <cell r="AG1313"/>
          <cell r="AH1313"/>
          <cell r="AI1313"/>
          <cell r="AJ1313"/>
          <cell r="AK1313"/>
          <cell r="AL1313"/>
        </row>
        <row r="1314">
          <cell r="E1314" t="str">
            <v>KPEV-S 0.5sq-80Pr</v>
          </cell>
          <cell r="F1314" t="str">
            <v>ｍ</v>
          </cell>
          <cell r="G1314"/>
          <cell r="H1314">
            <v>3543</v>
          </cell>
          <cell r="I1314"/>
          <cell r="J1314">
            <v>3543</v>
          </cell>
          <cell r="K1314"/>
          <cell r="L1314">
            <v>3543</v>
          </cell>
          <cell r="M1314"/>
          <cell r="N1314">
            <v>3543</v>
          </cell>
          <cell r="O1314"/>
          <cell r="P1314">
            <v>3543</v>
          </cell>
          <cell r="Q1314"/>
          <cell r="R1314">
            <v>3543</v>
          </cell>
          <cell r="S1314"/>
          <cell r="T1314">
            <v>3543</v>
          </cell>
          <cell r="U1314"/>
          <cell r="V1314">
            <v>3543</v>
          </cell>
          <cell r="W1314"/>
          <cell r="X1314">
            <v>3543</v>
          </cell>
          <cell r="Y1314"/>
          <cell r="Z1314">
            <v>3543</v>
          </cell>
          <cell r="AA1314"/>
          <cell r="AB1314"/>
          <cell r="AC1314"/>
          <cell r="AD1314">
            <v>8.3000000000000004E-2</v>
          </cell>
          <cell r="AE1314"/>
          <cell r="AF1314"/>
          <cell r="AG1314"/>
          <cell r="AH1314"/>
          <cell r="AI1314"/>
          <cell r="AJ1314"/>
          <cell r="AK1314"/>
          <cell r="AL1314"/>
        </row>
        <row r="1315">
          <cell r="E1315" t="str">
            <v>KPEV-S 0.5sq-100Pr</v>
          </cell>
          <cell r="F1315" t="str">
            <v>ｍ</v>
          </cell>
          <cell r="G1315"/>
          <cell r="H1315">
            <v>4363</v>
          </cell>
          <cell r="I1315"/>
          <cell r="J1315">
            <v>4363</v>
          </cell>
          <cell r="K1315"/>
          <cell r="L1315">
            <v>4363</v>
          </cell>
          <cell r="M1315"/>
          <cell r="N1315">
            <v>4363</v>
          </cell>
          <cell r="O1315"/>
          <cell r="P1315">
            <v>4363</v>
          </cell>
          <cell r="Q1315"/>
          <cell r="R1315">
            <v>4363</v>
          </cell>
          <cell r="S1315"/>
          <cell r="T1315">
            <v>4363</v>
          </cell>
          <cell r="U1315"/>
          <cell r="V1315">
            <v>4363</v>
          </cell>
          <cell r="W1315"/>
          <cell r="X1315">
            <v>4363</v>
          </cell>
          <cell r="Y1315"/>
          <cell r="Z1315">
            <v>4363</v>
          </cell>
          <cell r="AA1315"/>
          <cell r="AB1315"/>
          <cell r="AC1315"/>
          <cell r="AD1315">
            <v>9.5000000000000001E-2</v>
          </cell>
          <cell r="AE1315"/>
          <cell r="AF1315"/>
          <cell r="AG1315"/>
          <cell r="AH1315"/>
          <cell r="AI1315"/>
          <cell r="AJ1315"/>
          <cell r="AK1315"/>
          <cell r="AL1315"/>
        </row>
        <row r="1316">
          <cell r="E1316" t="str">
            <v>KPEV-S 0.75sq-1Pr</v>
          </cell>
          <cell r="F1316" t="str">
            <v>ｍ</v>
          </cell>
          <cell r="G1316"/>
          <cell r="H1316">
            <v>114</v>
          </cell>
          <cell r="I1316"/>
          <cell r="J1316">
            <v>114</v>
          </cell>
          <cell r="K1316"/>
          <cell r="L1316">
            <v>114</v>
          </cell>
          <cell r="M1316"/>
          <cell r="N1316">
            <v>114</v>
          </cell>
          <cell r="O1316"/>
          <cell r="P1316">
            <v>114</v>
          </cell>
          <cell r="Q1316"/>
          <cell r="R1316">
            <v>114</v>
          </cell>
          <cell r="S1316"/>
          <cell r="T1316">
            <v>114</v>
          </cell>
          <cell r="U1316"/>
          <cell r="V1316">
            <v>114</v>
          </cell>
          <cell r="W1316"/>
          <cell r="X1316">
            <v>114</v>
          </cell>
          <cell r="Y1316"/>
          <cell r="Z1316">
            <v>114</v>
          </cell>
          <cell r="AA1316"/>
          <cell r="AB1316"/>
          <cell r="AC1316"/>
          <cell r="AD1316">
            <v>2.1000000000000001E-2</v>
          </cell>
          <cell r="AE1316"/>
          <cell r="AF1316"/>
          <cell r="AG1316"/>
          <cell r="AH1316"/>
          <cell r="AI1316"/>
          <cell r="AJ1316"/>
          <cell r="AK1316"/>
          <cell r="AL1316"/>
        </row>
        <row r="1317">
          <cell r="E1317" t="str">
            <v>KPEV-S 0.75sq-2Pr</v>
          </cell>
          <cell r="F1317" t="str">
            <v>ｍ</v>
          </cell>
          <cell r="G1317"/>
          <cell r="H1317">
            <v>192</v>
          </cell>
          <cell r="I1317"/>
          <cell r="J1317">
            <v>192</v>
          </cell>
          <cell r="K1317"/>
          <cell r="L1317">
            <v>192</v>
          </cell>
          <cell r="M1317"/>
          <cell r="N1317">
            <v>192</v>
          </cell>
          <cell r="O1317"/>
          <cell r="P1317">
            <v>192</v>
          </cell>
          <cell r="Q1317"/>
          <cell r="R1317">
            <v>192</v>
          </cell>
          <cell r="S1317"/>
          <cell r="T1317">
            <v>192</v>
          </cell>
          <cell r="U1317"/>
          <cell r="V1317">
            <v>192</v>
          </cell>
          <cell r="W1317"/>
          <cell r="X1317">
            <v>192</v>
          </cell>
          <cell r="Y1317"/>
          <cell r="Z1317">
            <v>192</v>
          </cell>
          <cell r="AA1317"/>
          <cell r="AB1317"/>
          <cell r="AC1317"/>
          <cell r="AD1317">
            <v>2.3E-2</v>
          </cell>
          <cell r="AE1317"/>
          <cell r="AF1317"/>
          <cell r="AG1317"/>
          <cell r="AH1317"/>
          <cell r="AI1317"/>
          <cell r="AJ1317"/>
          <cell r="AK1317"/>
          <cell r="AL1317"/>
        </row>
        <row r="1318">
          <cell r="E1318" t="str">
            <v>KPEV-S 0.75sq-5Pr</v>
          </cell>
          <cell r="F1318" t="str">
            <v>ｍ</v>
          </cell>
          <cell r="G1318"/>
          <cell r="H1318">
            <v>325</v>
          </cell>
          <cell r="I1318"/>
          <cell r="J1318">
            <v>325</v>
          </cell>
          <cell r="K1318"/>
          <cell r="L1318">
            <v>325</v>
          </cell>
          <cell r="M1318"/>
          <cell r="N1318">
            <v>325</v>
          </cell>
          <cell r="O1318"/>
          <cell r="P1318">
            <v>325</v>
          </cell>
          <cell r="Q1318"/>
          <cell r="R1318">
            <v>325</v>
          </cell>
          <cell r="S1318"/>
          <cell r="T1318">
            <v>325</v>
          </cell>
          <cell r="U1318"/>
          <cell r="V1318">
            <v>325</v>
          </cell>
          <cell r="W1318"/>
          <cell r="X1318">
            <v>325</v>
          </cell>
          <cell r="Y1318"/>
          <cell r="Z1318">
            <v>325</v>
          </cell>
          <cell r="AA1318"/>
          <cell r="AB1318"/>
          <cell r="AC1318"/>
          <cell r="AD1318">
            <v>2.5000000000000001E-2</v>
          </cell>
          <cell r="AE1318"/>
          <cell r="AF1318"/>
          <cell r="AG1318"/>
          <cell r="AH1318"/>
          <cell r="AI1318"/>
          <cell r="AJ1318"/>
          <cell r="AK1318"/>
          <cell r="AL1318"/>
        </row>
        <row r="1319">
          <cell r="E1319" t="str">
            <v>KPEV-S 0.75sq-10Pr</v>
          </cell>
          <cell r="F1319" t="str">
            <v>ｍ</v>
          </cell>
          <cell r="G1319"/>
          <cell r="H1319">
            <v>562</v>
          </cell>
          <cell r="I1319"/>
          <cell r="J1319">
            <v>562</v>
          </cell>
          <cell r="K1319"/>
          <cell r="L1319">
            <v>562</v>
          </cell>
          <cell r="M1319"/>
          <cell r="N1319">
            <v>562</v>
          </cell>
          <cell r="O1319"/>
          <cell r="P1319">
            <v>562</v>
          </cell>
          <cell r="Q1319"/>
          <cell r="R1319">
            <v>562</v>
          </cell>
          <cell r="S1319"/>
          <cell r="T1319">
            <v>562</v>
          </cell>
          <cell r="U1319"/>
          <cell r="V1319">
            <v>562</v>
          </cell>
          <cell r="W1319"/>
          <cell r="X1319">
            <v>562</v>
          </cell>
          <cell r="Y1319"/>
          <cell r="Z1319">
            <v>562</v>
          </cell>
          <cell r="AA1319"/>
          <cell r="AB1319"/>
          <cell r="AC1319"/>
          <cell r="AD1319">
            <v>2.7E-2</v>
          </cell>
          <cell r="AE1319"/>
          <cell r="AF1319"/>
          <cell r="AG1319"/>
          <cell r="AH1319"/>
          <cell r="AI1319"/>
          <cell r="AJ1319"/>
          <cell r="AK1319"/>
          <cell r="AL1319"/>
        </row>
        <row r="1320">
          <cell r="E1320" t="str">
            <v>KPEV-S 0.75sq-15Pr</v>
          </cell>
          <cell r="F1320" t="str">
            <v>ｍ</v>
          </cell>
          <cell r="G1320"/>
          <cell r="H1320">
            <v>795</v>
          </cell>
          <cell r="I1320"/>
          <cell r="J1320">
            <v>795</v>
          </cell>
          <cell r="K1320"/>
          <cell r="L1320">
            <v>795</v>
          </cell>
          <cell r="M1320"/>
          <cell r="N1320">
            <v>795</v>
          </cell>
          <cell r="O1320"/>
          <cell r="P1320">
            <v>795</v>
          </cell>
          <cell r="Q1320"/>
          <cell r="R1320">
            <v>795</v>
          </cell>
          <cell r="S1320"/>
          <cell r="T1320">
            <v>795</v>
          </cell>
          <cell r="U1320"/>
          <cell r="V1320">
            <v>795</v>
          </cell>
          <cell r="W1320"/>
          <cell r="X1320">
            <v>795</v>
          </cell>
          <cell r="Y1320"/>
          <cell r="Z1320">
            <v>795</v>
          </cell>
          <cell r="AA1320"/>
          <cell r="AB1320"/>
          <cell r="AC1320"/>
          <cell r="AD1320">
            <v>2.9000000000000001E-2</v>
          </cell>
          <cell r="AE1320"/>
          <cell r="AF1320"/>
          <cell r="AG1320"/>
          <cell r="AH1320"/>
          <cell r="AI1320"/>
          <cell r="AJ1320"/>
          <cell r="AK1320"/>
          <cell r="AL1320"/>
        </row>
        <row r="1321">
          <cell r="E1321" t="str">
            <v>KPEV-S 0.75sq-20Pr</v>
          </cell>
          <cell r="F1321" t="str">
            <v>ｍ</v>
          </cell>
          <cell r="G1321"/>
          <cell r="H1321">
            <v>1024</v>
          </cell>
          <cell r="I1321"/>
          <cell r="J1321">
            <v>1024</v>
          </cell>
          <cell r="K1321"/>
          <cell r="L1321">
            <v>1024</v>
          </cell>
          <cell r="M1321"/>
          <cell r="N1321">
            <v>1024</v>
          </cell>
          <cell r="O1321"/>
          <cell r="P1321">
            <v>1024</v>
          </cell>
          <cell r="Q1321"/>
          <cell r="R1321">
            <v>1024</v>
          </cell>
          <cell r="S1321"/>
          <cell r="T1321">
            <v>1024</v>
          </cell>
          <cell r="U1321"/>
          <cell r="V1321">
            <v>1024</v>
          </cell>
          <cell r="W1321"/>
          <cell r="X1321">
            <v>1024</v>
          </cell>
          <cell r="Y1321"/>
          <cell r="Z1321">
            <v>1024</v>
          </cell>
          <cell r="AA1321"/>
          <cell r="AB1321"/>
          <cell r="AC1321"/>
          <cell r="AD1321">
            <v>3.1E-2</v>
          </cell>
          <cell r="AE1321"/>
          <cell r="AF1321"/>
          <cell r="AG1321"/>
          <cell r="AH1321"/>
          <cell r="AI1321"/>
          <cell r="AJ1321"/>
          <cell r="AK1321"/>
          <cell r="AL1321"/>
        </row>
        <row r="1322">
          <cell r="E1322" t="str">
            <v>KPEV-S 0.75sq-25Pr</v>
          </cell>
          <cell r="F1322" t="str">
            <v>ｍ</v>
          </cell>
          <cell r="G1322"/>
          <cell r="H1322">
            <v>1260</v>
          </cell>
          <cell r="I1322"/>
          <cell r="J1322">
            <v>1260</v>
          </cell>
          <cell r="K1322"/>
          <cell r="L1322">
            <v>1260</v>
          </cell>
          <cell r="M1322"/>
          <cell r="N1322">
            <v>1260</v>
          </cell>
          <cell r="O1322"/>
          <cell r="P1322">
            <v>1260</v>
          </cell>
          <cell r="Q1322"/>
          <cell r="R1322">
            <v>1260</v>
          </cell>
          <cell r="S1322"/>
          <cell r="T1322">
            <v>1260</v>
          </cell>
          <cell r="U1322"/>
          <cell r="V1322">
            <v>1260</v>
          </cell>
          <cell r="W1322"/>
          <cell r="X1322">
            <v>1260</v>
          </cell>
          <cell r="Y1322"/>
          <cell r="Z1322">
            <v>1260</v>
          </cell>
          <cell r="AA1322"/>
          <cell r="AB1322"/>
          <cell r="AC1322"/>
          <cell r="AD1322">
            <v>3.4000000000000002E-2</v>
          </cell>
          <cell r="AE1322"/>
          <cell r="AF1322"/>
          <cell r="AG1322"/>
          <cell r="AH1322"/>
          <cell r="AI1322"/>
          <cell r="AJ1322"/>
          <cell r="AK1322"/>
          <cell r="AL1322"/>
        </row>
        <row r="1323">
          <cell r="E1323" t="str">
            <v>KPEV-S 0.75sq-30Pr</v>
          </cell>
          <cell r="F1323" t="str">
            <v>ｍ</v>
          </cell>
          <cell r="G1323"/>
          <cell r="H1323">
            <v>1496</v>
          </cell>
          <cell r="I1323"/>
          <cell r="J1323">
            <v>1496</v>
          </cell>
          <cell r="K1323"/>
          <cell r="L1323">
            <v>1496</v>
          </cell>
          <cell r="M1323"/>
          <cell r="N1323">
            <v>1496</v>
          </cell>
          <cell r="O1323"/>
          <cell r="P1323">
            <v>1496</v>
          </cell>
          <cell r="Q1323"/>
          <cell r="R1323">
            <v>1496</v>
          </cell>
          <cell r="S1323"/>
          <cell r="T1323">
            <v>1496</v>
          </cell>
          <cell r="U1323"/>
          <cell r="V1323">
            <v>1496</v>
          </cell>
          <cell r="W1323"/>
          <cell r="X1323">
            <v>1496</v>
          </cell>
          <cell r="Y1323"/>
          <cell r="Z1323">
            <v>1496</v>
          </cell>
          <cell r="AA1323"/>
          <cell r="AB1323"/>
          <cell r="AC1323"/>
          <cell r="AD1323">
            <v>3.9E-2</v>
          </cell>
          <cell r="AE1323"/>
          <cell r="AF1323"/>
          <cell r="AG1323"/>
          <cell r="AH1323"/>
          <cell r="AI1323"/>
          <cell r="AJ1323"/>
          <cell r="AK1323"/>
          <cell r="AL1323"/>
        </row>
        <row r="1324">
          <cell r="E1324" t="str">
            <v>KPEV-S 0.75sq-40Pr</v>
          </cell>
          <cell r="F1324" t="str">
            <v>ｍ</v>
          </cell>
          <cell r="G1324"/>
          <cell r="H1324">
            <v>1968</v>
          </cell>
          <cell r="I1324"/>
          <cell r="J1324">
            <v>1968</v>
          </cell>
          <cell r="K1324"/>
          <cell r="L1324">
            <v>1968</v>
          </cell>
          <cell r="M1324"/>
          <cell r="N1324">
            <v>1968</v>
          </cell>
          <cell r="O1324"/>
          <cell r="P1324">
            <v>1968</v>
          </cell>
          <cell r="Q1324"/>
          <cell r="R1324">
            <v>1968</v>
          </cell>
          <cell r="S1324"/>
          <cell r="T1324">
            <v>1968</v>
          </cell>
          <cell r="U1324"/>
          <cell r="V1324">
            <v>1968</v>
          </cell>
          <cell r="W1324"/>
          <cell r="X1324">
            <v>1968</v>
          </cell>
          <cell r="Y1324"/>
          <cell r="Z1324">
            <v>1968</v>
          </cell>
          <cell r="AA1324"/>
          <cell r="AB1324"/>
          <cell r="AC1324"/>
          <cell r="AD1324">
            <v>4.5999999999999999E-2</v>
          </cell>
          <cell r="AE1324"/>
          <cell r="AF1324"/>
          <cell r="AG1324"/>
          <cell r="AH1324"/>
          <cell r="AI1324"/>
          <cell r="AJ1324"/>
          <cell r="AK1324"/>
          <cell r="AL1324"/>
        </row>
        <row r="1325">
          <cell r="E1325" t="str">
            <v>KPEV-S 0.75sq-50Pr</v>
          </cell>
          <cell r="F1325" t="str">
            <v>ｍ</v>
          </cell>
          <cell r="G1325"/>
          <cell r="H1325">
            <v>2412</v>
          </cell>
          <cell r="I1325"/>
          <cell r="J1325">
            <v>2412</v>
          </cell>
          <cell r="K1325"/>
          <cell r="L1325">
            <v>2412</v>
          </cell>
          <cell r="M1325"/>
          <cell r="N1325">
            <v>2412</v>
          </cell>
          <cell r="O1325"/>
          <cell r="P1325">
            <v>2412</v>
          </cell>
          <cell r="Q1325"/>
          <cell r="R1325">
            <v>2412</v>
          </cell>
          <cell r="S1325"/>
          <cell r="T1325">
            <v>2412</v>
          </cell>
          <cell r="U1325"/>
          <cell r="V1325">
            <v>2412</v>
          </cell>
          <cell r="W1325"/>
          <cell r="X1325">
            <v>2412</v>
          </cell>
          <cell r="Y1325"/>
          <cell r="Z1325">
            <v>2412</v>
          </cell>
          <cell r="AA1325"/>
          <cell r="AB1325"/>
          <cell r="AC1325"/>
          <cell r="AD1325">
            <v>6.2E-2</v>
          </cell>
          <cell r="AE1325"/>
          <cell r="AF1325"/>
          <cell r="AG1325"/>
          <cell r="AH1325"/>
          <cell r="AI1325"/>
          <cell r="AJ1325"/>
          <cell r="AK1325"/>
          <cell r="AL1325"/>
        </row>
        <row r="1326">
          <cell r="E1326" t="str">
            <v>KPEV-S 0.75sq-60Pr</v>
          </cell>
          <cell r="F1326" t="str">
            <v>ｍ</v>
          </cell>
          <cell r="G1326"/>
          <cell r="H1326">
            <v>2855</v>
          </cell>
          <cell r="I1326"/>
          <cell r="J1326">
            <v>2855</v>
          </cell>
          <cell r="K1326"/>
          <cell r="L1326">
            <v>2855</v>
          </cell>
          <cell r="M1326"/>
          <cell r="N1326">
            <v>2855</v>
          </cell>
          <cell r="O1326"/>
          <cell r="P1326">
            <v>2855</v>
          </cell>
          <cell r="Q1326"/>
          <cell r="R1326">
            <v>2855</v>
          </cell>
          <cell r="S1326"/>
          <cell r="T1326">
            <v>2855</v>
          </cell>
          <cell r="U1326"/>
          <cell r="V1326">
            <v>2855</v>
          </cell>
          <cell r="W1326"/>
          <cell r="X1326">
            <v>2855</v>
          </cell>
          <cell r="Y1326"/>
          <cell r="Z1326">
            <v>2855</v>
          </cell>
          <cell r="AA1326"/>
          <cell r="AB1326"/>
          <cell r="AC1326"/>
          <cell r="AD1326">
            <v>8.2000000000000003E-2</v>
          </cell>
          <cell r="AE1326"/>
          <cell r="AF1326"/>
          <cell r="AG1326"/>
          <cell r="AH1326"/>
          <cell r="AI1326"/>
          <cell r="AJ1326"/>
          <cell r="AK1326"/>
          <cell r="AL1326"/>
        </row>
        <row r="1327">
          <cell r="E1327" t="str">
            <v>KPEV-S 0.75sq-70Pr</v>
          </cell>
          <cell r="F1327" t="str">
            <v>ｍ</v>
          </cell>
          <cell r="G1327"/>
          <cell r="H1327">
            <v>3291</v>
          </cell>
          <cell r="I1327"/>
          <cell r="J1327">
            <v>3291</v>
          </cell>
          <cell r="K1327"/>
          <cell r="L1327">
            <v>3291</v>
          </cell>
          <cell r="M1327"/>
          <cell r="N1327">
            <v>3291</v>
          </cell>
          <cell r="O1327"/>
          <cell r="P1327">
            <v>3291</v>
          </cell>
          <cell r="Q1327"/>
          <cell r="R1327">
            <v>3291</v>
          </cell>
          <cell r="S1327"/>
          <cell r="T1327">
            <v>3291</v>
          </cell>
          <cell r="U1327"/>
          <cell r="V1327">
            <v>3291</v>
          </cell>
          <cell r="W1327"/>
          <cell r="X1327">
            <v>3291</v>
          </cell>
          <cell r="Y1327"/>
          <cell r="Z1327">
            <v>3291</v>
          </cell>
          <cell r="AA1327"/>
          <cell r="AB1327"/>
          <cell r="AC1327"/>
          <cell r="AD1327">
            <v>0.10299999999999999</v>
          </cell>
          <cell r="AE1327"/>
          <cell r="AF1327"/>
          <cell r="AG1327"/>
          <cell r="AH1327"/>
          <cell r="AI1327"/>
          <cell r="AJ1327"/>
          <cell r="AK1327"/>
          <cell r="AL1327"/>
        </row>
        <row r="1328">
          <cell r="E1328" t="str">
            <v>KPEV-S 0.75sq-80Pr</v>
          </cell>
          <cell r="F1328" t="str">
            <v>ｍ</v>
          </cell>
          <cell r="G1328"/>
          <cell r="H1328">
            <v>3735</v>
          </cell>
          <cell r="I1328"/>
          <cell r="J1328">
            <v>3735</v>
          </cell>
          <cell r="K1328"/>
          <cell r="L1328">
            <v>3735</v>
          </cell>
          <cell r="M1328"/>
          <cell r="N1328">
            <v>3735</v>
          </cell>
          <cell r="O1328"/>
          <cell r="P1328">
            <v>3735</v>
          </cell>
          <cell r="Q1328"/>
          <cell r="R1328">
            <v>3735</v>
          </cell>
          <cell r="S1328"/>
          <cell r="T1328">
            <v>3735</v>
          </cell>
          <cell r="U1328"/>
          <cell r="V1328">
            <v>3735</v>
          </cell>
          <cell r="W1328"/>
          <cell r="X1328">
            <v>3735</v>
          </cell>
          <cell r="Y1328"/>
          <cell r="Z1328">
            <v>3735</v>
          </cell>
          <cell r="AA1328"/>
          <cell r="AB1328"/>
          <cell r="AC1328"/>
          <cell r="AD1328">
            <v>0.13300000000000001</v>
          </cell>
          <cell r="AE1328"/>
          <cell r="AF1328"/>
          <cell r="AG1328"/>
          <cell r="AH1328"/>
          <cell r="AI1328"/>
          <cell r="AJ1328"/>
          <cell r="AK1328"/>
          <cell r="AL1328"/>
        </row>
        <row r="1329">
          <cell r="E1329" t="str">
            <v>KPEV-S 0.75sq-100Pr</v>
          </cell>
          <cell r="F1329" t="str">
            <v>ｍ</v>
          </cell>
          <cell r="G1329"/>
          <cell r="H1329">
            <v>4629</v>
          </cell>
          <cell r="I1329"/>
          <cell r="J1329">
            <v>4629</v>
          </cell>
          <cell r="K1329"/>
          <cell r="L1329">
            <v>4629</v>
          </cell>
          <cell r="M1329"/>
          <cell r="N1329">
            <v>4629</v>
          </cell>
          <cell r="O1329"/>
          <cell r="P1329">
            <v>4629</v>
          </cell>
          <cell r="Q1329"/>
          <cell r="R1329">
            <v>4629</v>
          </cell>
          <cell r="S1329"/>
          <cell r="T1329">
            <v>4629</v>
          </cell>
          <cell r="U1329"/>
          <cell r="V1329">
            <v>4629</v>
          </cell>
          <cell r="W1329"/>
          <cell r="X1329">
            <v>4629</v>
          </cell>
          <cell r="Y1329"/>
          <cell r="Z1329">
            <v>4629</v>
          </cell>
          <cell r="AA1329"/>
          <cell r="AB1329"/>
          <cell r="AC1329"/>
          <cell r="AD1329">
            <v>0.151</v>
          </cell>
          <cell r="AE1329"/>
          <cell r="AF1329"/>
          <cell r="AG1329"/>
          <cell r="AH1329"/>
          <cell r="AI1329"/>
          <cell r="AJ1329"/>
          <cell r="AK1329"/>
          <cell r="AL1329"/>
        </row>
        <row r="1330">
          <cell r="E1330" t="str">
            <v>KPEV-S 1.25sq-1Pr</v>
          </cell>
          <cell r="F1330" t="str">
            <v>ｍ</v>
          </cell>
          <cell r="G1330"/>
          <cell r="H1330">
            <v>127</v>
          </cell>
          <cell r="I1330"/>
          <cell r="J1330">
            <v>127</v>
          </cell>
          <cell r="K1330"/>
          <cell r="L1330">
            <v>127</v>
          </cell>
          <cell r="M1330"/>
          <cell r="N1330">
            <v>127</v>
          </cell>
          <cell r="O1330"/>
          <cell r="P1330">
            <v>127</v>
          </cell>
          <cell r="Q1330"/>
          <cell r="R1330">
            <v>127</v>
          </cell>
          <cell r="S1330"/>
          <cell r="T1330">
            <v>127</v>
          </cell>
          <cell r="U1330"/>
          <cell r="V1330">
            <v>127</v>
          </cell>
          <cell r="W1330"/>
          <cell r="X1330">
            <v>127</v>
          </cell>
          <cell r="Y1330"/>
          <cell r="Z1330">
            <v>127</v>
          </cell>
          <cell r="AA1330"/>
          <cell r="AB1330"/>
          <cell r="AC1330"/>
          <cell r="AD1330">
            <v>2.1000000000000001E-2</v>
          </cell>
          <cell r="AE1330"/>
          <cell r="AF1330"/>
          <cell r="AG1330"/>
          <cell r="AH1330"/>
          <cell r="AI1330"/>
          <cell r="AJ1330"/>
          <cell r="AK1330"/>
          <cell r="AL1330"/>
        </row>
        <row r="1331">
          <cell r="E1331" t="str">
            <v>KPEV-S 1.25sq-2Pr</v>
          </cell>
          <cell r="F1331" t="str">
            <v>ｍ</v>
          </cell>
          <cell r="G1331"/>
          <cell r="H1331">
            <v>232</v>
          </cell>
          <cell r="I1331"/>
          <cell r="J1331">
            <v>232</v>
          </cell>
          <cell r="K1331"/>
          <cell r="L1331">
            <v>232</v>
          </cell>
          <cell r="M1331"/>
          <cell r="N1331">
            <v>232</v>
          </cell>
          <cell r="O1331"/>
          <cell r="P1331">
            <v>232</v>
          </cell>
          <cell r="Q1331"/>
          <cell r="R1331">
            <v>232</v>
          </cell>
          <cell r="S1331"/>
          <cell r="T1331">
            <v>232</v>
          </cell>
          <cell r="U1331"/>
          <cell r="V1331">
            <v>232</v>
          </cell>
          <cell r="W1331"/>
          <cell r="X1331">
            <v>232</v>
          </cell>
          <cell r="Y1331"/>
          <cell r="Z1331">
            <v>232</v>
          </cell>
          <cell r="AA1331"/>
          <cell r="AB1331"/>
          <cell r="AC1331"/>
          <cell r="AD1331">
            <v>2.3E-2</v>
          </cell>
          <cell r="AE1331"/>
          <cell r="AF1331"/>
          <cell r="AG1331"/>
          <cell r="AH1331"/>
          <cell r="AI1331"/>
          <cell r="AJ1331"/>
          <cell r="AK1331"/>
          <cell r="AL1331"/>
        </row>
        <row r="1332">
          <cell r="E1332" t="str">
            <v>KPEV-S 1.25sq-5Pr</v>
          </cell>
          <cell r="F1332" t="str">
            <v>ｍ</v>
          </cell>
          <cell r="G1332"/>
          <cell r="H1332">
            <v>408</v>
          </cell>
          <cell r="I1332"/>
          <cell r="J1332">
            <v>408</v>
          </cell>
          <cell r="K1332"/>
          <cell r="L1332">
            <v>408</v>
          </cell>
          <cell r="M1332"/>
          <cell r="N1332">
            <v>408</v>
          </cell>
          <cell r="O1332"/>
          <cell r="P1332">
            <v>408</v>
          </cell>
          <cell r="Q1332"/>
          <cell r="R1332">
            <v>408</v>
          </cell>
          <cell r="S1332"/>
          <cell r="T1332">
            <v>408</v>
          </cell>
          <cell r="U1332"/>
          <cell r="V1332">
            <v>408</v>
          </cell>
          <cell r="W1332"/>
          <cell r="X1332">
            <v>408</v>
          </cell>
          <cell r="Y1332"/>
          <cell r="Z1332">
            <v>408</v>
          </cell>
          <cell r="AA1332"/>
          <cell r="AB1332"/>
          <cell r="AC1332"/>
          <cell r="AD1332">
            <v>2.7E-2</v>
          </cell>
          <cell r="AE1332"/>
          <cell r="AF1332"/>
          <cell r="AG1332"/>
          <cell r="AH1332"/>
          <cell r="AI1332"/>
          <cell r="AJ1332"/>
          <cell r="AK1332"/>
          <cell r="AL1332"/>
        </row>
        <row r="1333">
          <cell r="E1333" t="str">
            <v>KPEV-S 1.25sq-10Pr</v>
          </cell>
          <cell r="F1333" t="str">
            <v>ｍ</v>
          </cell>
          <cell r="G1333"/>
          <cell r="H1333">
            <v>701</v>
          </cell>
          <cell r="I1333"/>
          <cell r="J1333">
            <v>701</v>
          </cell>
          <cell r="K1333"/>
          <cell r="L1333">
            <v>701</v>
          </cell>
          <cell r="M1333"/>
          <cell r="N1333">
            <v>701</v>
          </cell>
          <cell r="O1333"/>
          <cell r="P1333">
            <v>701</v>
          </cell>
          <cell r="Q1333"/>
          <cell r="R1333">
            <v>701</v>
          </cell>
          <cell r="S1333"/>
          <cell r="T1333">
            <v>701</v>
          </cell>
          <cell r="U1333"/>
          <cell r="V1333">
            <v>701</v>
          </cell>
          <cell r="W1333"/>
          <cell r="X1333">
            <v>701</v>
          </cell>
          <cell r="Y1333"/>
          <cell r="Z1333">
            <v>701</v>
          </cell>
          <cell r="AA1333"/>
          <cell r="AB1333"/>
          <cell r="AC1333"/>
          <cell r="AD1333">
            <v>3.1E-2</v>
          </cell>
          <cell r="AE1333"/>
          <cell r="AF1333"/>
          <cell r="AG1333"/>
          <cell r="AH1333"/>
          <cell r="AI1333"/>
          <cell r="AJ1333"/>
          <cell r="AK1333"/>
          <cell r="AL1333"/>
        </row>
        <row r="1334">
          <cell r="E1334" t="str">
            <v>KPEV-S 1.25sq-15Pr</v>
          </cell>
          <cell r="F1334" t="str">
            <v>ｍ</v>
          </cell>
          <cell r="G1334"/>
          <cell r="H1334">
            <v>979</v>
          </cell>
          <cell r="I1334"/>
          <cell r="J1334">
            <v>979</v>
          </cell>
          <cell r="K1334"/>
          <cell r="L1334">
            <v>979</v>
          </cell>
          <cell r="M1334"/>
          <cell r="N1334">
            <v>979</v>
          </cell>
          <cell r="O1334"/>
          <cell r="P1334">
            <v>979</v>
          </cell>
          <cell r="Q1334"/>
          <cell r="R1334">
            <v>979</v>
          </cell>
          <cell r="S1334"/>
          <cell r="T1334">
            <v>979</v>
          </cell>
          <cell r="U1334"/>
          <cell r="V1334">
            <v>979</v>
          </cell>
          <cell r="W1334"/>
          <cell r="X1334">
            <v>979</v>
          </cell>
          <cell r="Y1334"/>
          <cell r="Z1334">
            <v>979</v>
          </cell>
          <cell r="AA1334"/>
          <cell r="AB1334"/>
          <cell r="AC1334"/>
          <cell r="AD1334">
            <v>3.4000000000000002E-2</v>
          </cell>
          <cell r="AE1334"/>
          <cell r="AF1334"/>
          <cell r="AG1334"/>
          <cell r="AH1334"/>
          <cell r="AI1334"/>
          <cell r="AJ1334"/>
          <cell r="AK1334"/>
          <cell r="AL1334"/>
        </row>
        <row r="1335">
          <cell r="E1335" t="str">
            <v>KPEV-S 1.25sq-20Pr</v>
          </cell>
          <cell r="F1335" t="str">
            <v>ｍ</v>
          </cell>
          <cell r="G1335"/>
          <cell r="H1335">
            <v>1259</v>
          </cell>
          <cell r="I1335"/>
          <cell r="J1335">
            <v>1259</v>
          </cell>
          <cell r="K1335"/>
          <cell r="L1335">
            <v>1259</v>
          </cell>
          <cell r="M1335"/>
          <cell r="N1335">
            <v>1259</v>
          </cell>
          <cell r="O1335"/>
          <cell r="P1335">
            <v>1259</v>
          </cell>
          <cell r="Q1335"/>
          <cell r="R1335">
            <v>1259</v>
          </cell>
          <cell r="S1335"/>
          <cell r="T1335">
            <v>1259</v>
          </cell>
          <cell r="U1335"/>
          <cell r="V1335">
            <v>1259</v>
          </cell>
          <cell r="W1335"/>
          <cell r="X1335">
            <v>1259</v>
          </cell>
          <cell r="Y1335"/>
          <cell r="Z1335">
            <v>1259</v>
          </cell>
          <cell r="AA1335"/>
          <cell r="AB1335"/>
          <cell r="AC1335"/>
          <cell r="AD1335">
            <v>3.9E-2</v>
          </cell>
          <cell r="AE1335"/>
          <cell r="AF1335"/>
          <cell r="AG1335"/>
          <cell r="AH1335"/>
          <cell r="AI1335"/>
          <cell r="AJ1335"/>
          <cell r="AK1335"/>
          <cell r="AL1335"/>
        </row>
        <row r="1336">
          <cell r="E1336" t="str">
            <v>KPEV-S 2.0sq-1Pr</v>
          </cell>
          <cell r="F1336" t="str">
            <v>ｍ</v>
          </cell>
          <cell r="G1336"/>
          <cell r="H1336">
            <v>153</v>
          </cell>
          <cell r="I1336"/>
          <cell r="J1336">
            <v>153</v>
          </cell>
          <cell r="K1336"/>
          <cell r="L1336">
            <v>153</v>
          </cell>
          <cell r="M1336"/>
          <cell r="N1336">
            <v>153</v>
          </cell>
          <cell r="O1336"/>
          <cell r="P1336">
            <v>153</v>
          </cell>
          <cell r="Q1336"/>
          <cell r="R1336">
            <v>153</v>
          </cell>
          <cell r="S1336"/>
          <cell r="T1336">
            <v>153</v>
          </cell>
          <cell r="U1336"/>
          <cell r="V1336">
            <v>153</v>
          </cell>
          <cell r="W1336"/>
          <cell r="X1336">
            <v>153</v>
          </cell>
          <cell r="Y1336"/>
          <cell r="Z1336">
            <v>153</v>
          </cell>
          <cell r="AA1336"/>
          <cell r="AB1336"/>
          <cell r="AC1336"/>
          <cell r="AD1336">
            <v>2.7E-2</v>
          </cell>
          <cell r="AE1336"/>
          <cell r="AF1336"/>
          <cell r="AG1336"/>
          <cell r="AH1336"/>
          <cell r="AI1336"/>
          <cell r="AJ1336"/>
          <cell r="AK1336"/>
          <cell r="AL1336"/>
        </row>
        <row r="1337">
          <cell r="E1337" t="str">
            <v>KPEV-S 2.0sq-2Pr</v>
          </cell>
          <cell r="F1337" t="str">
            <v>ｍ</v>
          </cell>
          <cell r="G1337"/>
          <cell r="H1337">
            <v>271</v>
          </cell>
          <cell r="I1337"/>
          <cell r="J1337">
            <v>271</v>
          </cell>
          <cell r="K1337"/>
          <cell r="L1337">
            <v>271</v>
          </cell>
          <cell r="M1337"/>
          <cell r="N1337">
            <v>271</v>
          </cell>
          <cell r="O1337"/>
          <cell r="P1337">
            <v>271</v>
          </cell>
          <cell r="Q1337"/>
          <cell r="R1337">
            <v>271</v>
          </cell>
          <cell r="S1337"/>
          <cell r="T1337">
            <v>271</v>
          </cell>
          <cell r="U1337"/>
          <cell r="V1337">
            <v>271</v>
          </cell>
          <cell r="W1337"/>
          <cell r="X1337">
            <v>271</v>
          </cell>
          <cell r="Y1337"/>
          <cell r="Z1337">
            <v>271</v>
          </cell>
          <cell r="AA1337"/>
          <cell r="AB1337"/>
          <cell r="AC1337"/>
          <cell r="AD1337">
            <v>2.9000000000000001E-2</v>
          </cell>
          <cell r="AE1337"/>
          <cell r="AF1337"/>
          <cell r="AG1337"/>
          <cell r="AH1337"/>
          <cell r="AI1337"/>
          <cell r="AJ1337"/>
          <cell r="AK1337"/>
          <cell r="AL1337"/>
        </row>
        <row r="1338">
          <cell r="E1338" t="str">
            <v>KPEV-S 2.0sq-5Pr</v>
          </cell>
          <cell r="F1338" t="str">
            <v>ｍ</v>
          </cell>
          <cell r="G1338"/>
          <cell r="H1338">
            <v>523</v>
          </cell>
          <cell r="I1338"/>
          <cell r="J1338">
            <v>523</v>
          </cell>
          <cell r="K1338"/>
          <cell r="L1338">
            <v>523</v>
          </cell>
          <cell r="M1338"/>
          <cell r="N1338">
            <v>523</v>
          </cell>
          <cell r="O1338"/>
          <cell r="P1338">
            <v>523</v>
          </cell>
          <cell r="Q1338"/>
          <cell r="R1338">
            <v>523</v>
          </cell>
          <cell r="S1338"/>
          <cell r="T1338">
            <v>523</v>
          </cell>
          <cell r="U1338"/>
          <cell r="V1338">
            <v>523</v>
          </cell>
          <cell r="W1338"/>
          <cell r="X1338">
            <v>523</v>
          </cell>
          <cell r="Y1338"/>
          <cell r="Z1338">
            <v>523</v>
          </cell>
          <cell r="AA1338"/>
          <cell r="AB1338"/>
          <cell r="AC1338"/>
          <cell r="AD1338">
            <v>3.2000000000000001E-2</v>
          </cell>
          <cell r="AE1338"/>
          <cell r="AF1338"/>
          <cell r="AG1338"/>
          <cell r="AH1338"/>
          <cell r="AI1338"/>
          <cell r="AJ1338"/>
          <cell r="AK1338"/>
          <cell r="AL1338"/>
        </row>
        <row r="1339">
          <cell r="E1339" t="str">
            <v>KPEV-S 2.0sq-10Pr</v>
          </cell>
          <cell r="F1339" t="str">
            <v>ｍ</v>
          </cell>
          <cell r="G1339"/>
          <cell r="H1339">
            <v>933</v>
          </cell>
          <cell r="I1339"/>
          <cell r="J1339">
            <v>933</v>
          </cell>
          <cell r="K1339"/>
          <cell r="L1339">
            <v>933</v>
          </cell>
          <cell r="M1339"/>
          <cell r="N1339">
            <v>933</v>
          </cell>
          <cell r="O1339"/>
          <cell r="P1339">
            <v>933</v>
          </cell>
          <cell r="Q1339"/>
          <cell r="R1339">
            <v>933</v>
          </cell>
          <cell r="S1339"/>
          <cell r="T1339">
            <v>933</v>
          </cell>
          <cell r="U1339"/>
          <cell r="V1339">
            <v>933</v>
          </cell>
          <cell r="W1339"/>
          <cell r="X1339">
            <v>933</v>
          </cell>
          <cell r="Y1339"/>
          <cell r="Z1339">
            <v>933</v>
          </cell>
          <cell r="AA1339"/>
          <cell r="AB1339"/>
          <cell r="AC1339"/>
          <cell r="AD1339">
            <v>3.6999999999999998E-2</v>
          </cell>
          <cell r="AE1339"/>
          <cell r="AF1339"/>
          <cell r="AG1339"/>
          <cell r="AH1339"/>
          <cell r="AI1339"/>
          <cell r="AJ1339"/>
          <cell r="AK1339"/>
          <cell r="AL1339"/>
        </row>
        <row r="1340">
          <cell r="E1340" t="str">
            <v>KPEV-S 2.0sq-15Pr</v>
          </cell>
          <cell r="F1340" t="str">
            <v>ｍ</v>
          </cell>
          <cell r="G1340"/>
          <cell r="H1340">
            <v>1316</v>
          </cell>
          <cell r="I1340"/>
          <cell r="J1340">
            <v>1316</v>
          </cell>
          <cell r="K1340"/>
          <cell r="L1340">
            <v>1316</v>
          </cell>
          <cell r="M1340"/>
          <cell r="N1340">
            <v>1316</v>
          </cell>
          <cell r="O1340"/>
          <cell r="P1340">
            <v>1316</v>
          </cell>
          <cell r="Q1340"/>
          <cell r="R1340">
            <v>1316</v>
          </cell>
          <cell r="S1340"/>
          <cell r="T1340">
            <v>1316</v>
          </cell>
          <cell r="U1340"/>
          <cell r="V1340">
            <v>1316</v>
          </cell>
          <cell r="W1340"/>
          <cell r="X1340">
            <v>1316</v>
          </cell>
          <cell r="Y1340"/>
          <cell r="Z1340">
            <v>1316</v>
          </cell>
          <cell r="AA1340"/>
          <cell r="AB1340"/>
          <cell r="AC1340"/>
          <cell r="AD1340">
            <v>0.04</v>
          </cell>
          <cell r="AE1340"/>
          <cell r="AF1340"/>
          <cell r="AG1340"/>
          <cell r="AH1340"/>
          <cell r="AI1340"/>
          <cell r="AJ1340"/>
          <cell r="AK1340"/>
          <cell r="AL1340"/>
        </row>
        <row r="1341">
          <cell r="E1341" t="str">
            <v>KPEV-S 2.0sq-20Pr</v>
          </cell>
          <cell r="F1341" t="str">
            <v>ｍ</v>
          </cell>
          <cell r="G1341"/>
          <cell r="H1341">
            <v>1729</v>
          </cell>
          <cell r="I1341"/>
          <cell r="J1341">
            <v>1729</v>
          </cell>
          <cell r="K1341"/>
          <cell r="L1341">
            <v>1729</v>
          </cell>
          <cell r="M1341"/>
          <cell r="N1341">
            <v>1729</v>
          </cell>
          <cell r="O1341"/>
          <cell r="P1341">
            <v>1729</v>
          </cell>
          <cell r="Q1341"/>
          <cell r="R1341">
            <v>1729</v>
          </cell>
          <cell r="S1341"/>
          <cell r="T1341">
            <v>1729</v>
          </cell>
          <cell r="U1341"/>
          <cell r="V1341">
            <v>1729</v>
          </cell>
          <cell r="W1341"/>
          <cell r="X1341">
            <v>1729</v>
          </cell>
          <cell r="Y1341"/>
          <cell r="Z1341">
            <v>1729</v>
          </cell>
          <cell r="AA1341"/>
          <cell r="AB1341"/>
          <cell r="AC1341"/>
          <cell r="AD1341">
            <v>4.7E-2</v>
          </cell>
          <cell r="AE1341"/>
          <cell r="AF1341"/>
          <cell r="AG1341"/>
          <cell r="AH1341"/>
          <cell r="AI1341"/>
          <cell r="AJ1341"/>
          <cell r="AK1341"/>
          <cell r="AL1341"/>
        </row>
        <row r="1342">
          <cell r="E1342" t="str">
            <v>SWVP 0.5-6C</v>
          </cell>
          <cell r="F1342" t="str">
            <v>ｍ</v>
          </cell>
          <cell r="G1342"/>
          <cell r="H1342">
            <v>73.3</v>
          </cell>
          <cell r="I1342"/>
          <cell r="J1342">
            <v>73.3</v>
          </cell>
          <cell r="K1342"/>
          <cell r="L1342">
            <v>73.3</v>
          </cell>
          <cell r="M1342"/>
          <cell r="N1342">
            <v>73.3</v>
          </cell>
          <cell r="O1342"/>
          <cell r="P1342">
            <v>73.3</v>
          </cell>
          <cell r="Q1342"/>
          <cell r="R1342">
            <v>73.3</v>
          </cell>
          <cell r="S1342"/>
          <cell r="T1342">
            <v>73.3</v>
          </cell>
          <cell r="U1342"/>
          <cell r="V1342">
            <v>73.3</v>
          </cell>
          <cell r="W1342"/>
          <cell r="X1342">
            <v>73.3</v>
          </cell>
          <cell r="Y1342"/>
          <cell r="Z1342">
            <v>73.3</v>
          </cell>
          <cell r="AA1342"/>
          <cell r="AB1342"/>
          <cell r="AC1342"/>
          <cell r="AD1342">
            <v>1.4999999999999999E-2</v>
          </cell>
          <cell r="AE1342"/>
          <cell r="AF1342"/>
          <cell r="AG1342"/>
          <cell r="AH1342"/>
          <cell r="AI1342"/>
          <cell r="AJ1342"/>
          <cell r="AK1342"/>
          <cell r="AL1342"/>
        </row>
        <row r="1343">
          <cell r="E1343" t="str">
            <v>SWVP 0.5-12C</v>
          </cell>
          <cell r="F1343" t="str">
            <v>ｍ</v>
          </cell>
          <cell r="G1343"/>
          <cell r="H1343">
            <v>100</v>
          </cell>
          <cell r="I1343"/>
          <cell r="J1343">
            <v>100</v>
          </cell>
          <cell r="K1343"/>
          <cell r="L1343">
            <v>100</v>
          </cell>
          <cell r="M1343"/>
          <cell r="N1343">
            <v>100</v>
          </cell>
          <cell r="O1343"/>
          <cell r="P1343">
            <v>100</v>
          </cell>
          <cell r="Q1343"/>
          <cell r="R1343">
            <v>100</v>
          </cell>
          <cell r="S1343"/>
          <cell r="T1343">
            <v>100</v>
          </cell>
          <cell r="U1343"/>
          <cell r="V1343">
            <v>100</v>
          </cell>
          <cell r="W1343"/>
          <cell r="X1343">
            <v>100</v>
          </cell>
          <cell r="Y1343"/>
          <cell r="Z1343">
            <v>100</v>
          </cell>
          <cell r="AA1343"/>
          <cell r="AB1343"/>
          <cell r="AC1343"/>
          <cell r="AD1343">
            <v>1.7000000000000001E-2</v>
          </cell>
          <cell r="AE1343"/>
          <cell r="AF1343"/>
          <cell r="AG1343"/>
          <cell r="AH1343"/>
          <cell r="AI1343"/>
          <cell r="AJ1343"/>
          <cell r="AK1343"/>
          <cell r="AL1343"/>
        </row>
        <row r="1344">
          <cell r="E1344" t="str">
            <v>SWVP 0.5-22C</v>
          </cell>
          <cell r="F1344" t="str">
            <v>ｍ</v>
          </cell>
          <cell r="G1344"/>
          <cell r="H1344">
            <v>149</v>
          </cell>
          <cell r="I1344"/>
          <cell r="J1344">
            <v>149</v>
          </cell>
          <cell r="K1344"/>
          <cell r="L1344">
            <v>149</v>
          </cell>
          <cell r="M1344"/>
          <cell r="N1344">
            <v>149</v>
          </cell>
          <cell r="O1344"/>
          <cell r="P1344">
            <v>149</v>
          </cell>
          <cell r="Q1344"/>
          <cell r="R1344">
            <v>149</v>
          </cell>
          <cell r="S1344"/>
          <cell r="T1344">
            <v>149</v>
          </cell>
          <cell r="U1344"/>
          <cell r="V1344">
            <v>149</v>
          </cell>
          <cell r="W1344"/>
          <cell r="X1344">
            <v>149</v>
          </cell>
          <cell r="Y1344"/>
          <cell r="Z1344">
            <v>149</v>
          </cell>
          <cell r="AA1344"/>
          <cell r="AB1344"/>
          <cell r="AC1344"/>
          <cell r="AD1344">
            <v>0.02</v>
          </cell>
          <cell r="AE1344"/>
          <cell r="AF1344"/>
          <cell r="AG1344"/>
          <cell r="AH1344"/>
          <cell r="AI1344"/>
          <cell r="AJ1344"/>
          <cell r="AK1344"/>
          <cell r="AL1344"/>
        </row>
        <row r="1345">
          <cell r="E1345" t="str">
            <v>SWVP 0.5-24C</v>
          </cell>
          <cell r="F1345" t="str">
            <v>ｍ</v>
          </cell>
          <cell r="G1345"/>
          <cell r="H1345">
            <v>153</v>
          </cell>
          <cell r="I1345"/>
          <cell r="J1345">
            <v>153</v>
          </cell>
          <cell r="K1345"/>
          <cell r="L1345">
            <v>153</v>
          </cell>
          <cell r="M1345"/>
          <cell r="N1345">
            <v>153</v>
          </cell>
          <cell r="O1345"/>
          <cell r="P1345">
            <v>153</v>
          </cell>
          <cell r="Q1345"/>
          <cell r="R1345">
            <v>153</v>
          </cell>
          <cell r="S1345"/>
          <cell r="T1345">
            <v>153</v>
          </cell>
          <cell r="U1345"/>
          <cell r="V1345">
            <v>153</v>
          </cell>
          <cell r="W1345"/>
          <cell r="X1345">
            <v>153</v>
          </cell>
          <cell r="Y1345"/>
          <cell r="Z1345">
            <v>153</v>
          </cell>
          <cell r="AA1345"/>
          <cell r="AB1345"/>
          <cell r="AC1345"/>
          <cell r="AD1345">
            <v>2.1000000000000001E-2</v>
          </cell>
          <cell r="AE1345"/>
          <cell r="AF1345"/>
          <cell r="AG1345"/>
          <cell r="AH1345"/>
          <cell r="AI1345"/>
          <cell r="AJ1345"/>
          <cell r="AK1345"/>
          <cell r="AL1345"/>
        </row>
        <row r="1346">
          <cell r="E1346" t="str">
            <v>SWVP 0.5-33C</v>
          </cell>
          <cell r="F1346" t="str">
            <v>ｍ</v>
          </cell>
          <cell r="G1346"/>
          <cell r="H1346">
            <v>190</v>
          </cell>
          <cell r="I1346"/>
          <cell r="J1346">
            <v>190</v>
          </cell>
          <cell r="K1346"/>
          <cell r="L1346">
            <v>190</v>
          </cell>
          <cell r="M1346"/>
          <cell r="N1346">
            <v>190</v>
          </cell>
          <cell r="O1346"/>
          <cell r="P1346">
            <v>190</v>
          </cell>
          <cell r="Q1346"/>
          <cell r="R1346">
            <v>190</v>
          </cell>
          <cell r="S1346"/>
          <cell r="T1346">
            <v>190</v>
          </cell>
          <cell r="U1346"/>
          <cell r="V1346">
            <v>190</v>
          </cell>
          <cell r="W1346"/>
          <cell r="X1346">
            <v>190</v>
          </cell>
          <cell r="Y1346"/>
          <cell r="Z1346">
            <v>190</v>
          </cell>
          <cell r="AA1346"/>
          <cell r="AB1346"/>
          <cell r="AC1346"/>
          <cell r="AD1346">
            <v>2.1999999999999999E-2</v>
          </cell>
          <cell r="AE1346"/>
          <cell r="AF1346"/>
          <cell r="AG1346"/>
          <cell r="AH1346"/>
          <cell r="AI1346"/>
          <cell r="AJ1346"/>
          <cell r="AK1346"/>
          <cell r="AL1346"/>
        </row>
        <row r="1347">
          <cell r="E1347" t="str">
            <v>SWVP 0.5-40C</v>
          </cell>
          <cell r="F1347" t="str">
            <v>ｍ</v>
          </cell>
          <cell r="G1347"/>
          <cell r="H1347">
            <v>225</v>
          </cell>
          <cell r="I1347"/>
          <cell r="J1347">
            <v>225</v>
          </cell>
          <cell r="K1347"/>
          <cell r="L1347">
            <v>225</v>
          </cell>
          <cell r="M1347"/>
          <cell r="N1347">
            <v>225</v>
          </cell>
          <cell r="O1347"/>
          <cell r="P1347">
            <v>225</v>
          </cell>
          <cell r="Q1347"/>
          <cell r="R1347">
            <v>225</v>
          </cell>
          <cell r="S1347"/>
          <cell r="T1347">
            <v>225</v>
          </cell>
          <cell r="U1347"/>
          <cell r="V1347">
            <v>225</v>
          </cell>
          <cell r="W1347"/>
          <cell r="X1347">
            <v>225</v>
          </cell>
          <cell r="Y1347"/>
          <cell r="Z1347">
            <v>225</v>
          </cell>
          <cell r="AA1347"/>
          <cell r="AB1347"/>
          <cell r="AC1347"/>
          <cell r="AD1347">
            <v>2.4E-2</v>
          </cell>
          <cell r="AE1347"/>
          <cell r="AF1347"/>
          <cell r="AG1347"/>
          <cell r="AH1347"/>
          <cell r="AI1347"/>
          <cell r="AJ1347"/>
          <cell r="AK1347"/>
          <cell r="AL1347"/>
        </row>
        <row r="1348">
          <cell r="E1348" t="str">
            <v>SWVP 0.5-48C</v>
          </cell>
          <cell r="F1348" t="str">
            <v>ｍ</v>
          </cell>
          <cell r="G1348"/>
          <cell r="H1348">
            <v>251</v>
          </cell>
          <cell r="I1348"/>
          <cell r="J1348">
            <v>251</v>
          </cell>
          <cell r="K1348"/>
          <cell r="L1348">
            <v>251</v>
          </cell>
          <cell r="M1348"/>
          <cell r="N1348">
            <v>251</v>
          </cell>
          <cell r="O1348"/>
          <cell r="P1348">
            <v>251</v>
          </cell>
          <cell r="Q1348"/>
          <cell r="R1348">
            <v>251</v>
          </cell>
          <cell r="S1348"/>
          <cell r="T1348">
            <v>251</v>
          </cell>
          <cell r="U1348"/>
          <cell r="V1348">
            <v>251</v>
          </cell>
          <cell r="W1348"/>
          <cell r="X1348">
            <v>251</v>
          </cell>
          <cell r="Y1348"/>
          <cell r="Z1348">
            <v>251</v>
          </cell>
          <cell r="AA1348"/>
          <cell r="AB1348"/>
          <cell r="AC1348"/>
          <cell r="AD1348">
            <v>2.5999999999999999E-2</v>
          </cell>
          <cell r="AE1348"/>
          <cell r="AF1348"/>
          <cell r="AG1348"/>
          <cell r="AH1348"/>
          <cell r="AI1348"/>
          <cell r="AJ1348"/>
          <cell r="AK1348"/>
          <cell r="AL1348"/>
        </row>
        <row r="1349">
          <cell r="E1349" t="str">
            <v>SWVP 0.5-60C</v>
          </cell>
          <cell r="F1349" t="str">
            <v>ｍ</v>
          </cell>
          <cell r="G1349"/>
          <cell r="H1349">
            <v>300</v>
          </cell>
          <cell r="I1349"/>
          <cell r="J1349">
            <v>300</v>
          </cell>
          <cell r="K1349"/>
          <cell r="L1349">
            <v>300</v>
          </cell>
          <cell r="M1349"/>
          <cell r="N1349">
            <v>300</v>
          </cell>
          <cell r="O1349"/>
          <cell r="P1349">
            <v>300</v>
          </cell>
          <cell r="Q1349"/>
          <cell r="R1349">
            <v>300</v>
          </cell>
          <cell r="S1349"/>
          <cell r="T1349">
            <v>300</v>
          </cell>
          <cell r="U1349"/>
          <cell r="V1349">
            <v>300</v>
          </cell>
          <cell r="W1349"/>
          <cell r="X1349">
            <v>300</v>
          </cell>
          <cell r="Y1349"/>
          <cell r="Z1349">
            <v>300</v>
          </cell>
          <cell r="AA1349"/>
          <cell r="AB1349"/>
          <cell r="AC1349"/>
          <cell r="AD1349">
            <v>2.9000000000000001E-2</v>
          </cell>
          <cell r="AE1349"/>
          <cell r="AF1349"/>
          <cell r="AG1349"/>
          <cell r="AH1349"/>
          <cell r="AI1349"/>
          <cell r="AJ1349"/>
          <cell r="AK1349"/>
          <cell r="AL1349"/>
        </row>
        <row r="1350">
          <cell r="E1350" t="str">
            <v>SWVP 0.5-75C</v>
          </cell>
          <cell r="F1350" t="str">
            <v>ｍ</v>
          </cell>
          <cell r="G1350"/>
          <cell r="H1350">
            <v>364</v>
          </cell>
          <cell r="I1350"/>
          <cell r="J1350">
            <v>364</v>
          </cell>
          <cell r="K1350"/>
          <cell r="L1350">
            <v>364</v>
          </cell>
          <cell r="M1350"/>
          <cell r="N1350">
            <v>364</v>
          </cell>
          <cell r="O1350"/>
          <cell r="P1350">
            <v>364</v>
          </cell>
          <cell r="Q1350"/>
          <cell r="R1350">
            <v>364</v>
          </cell>
          <cell r="S1350"/>
          <cell r="T1350">
            <v>364</v>
          </cell>
          <cell r="U1350"/>
          <cell r="V1350">
            <v>364</v>
          </cell>
          <cell r="W1350"/>
          <cell r="X1350">
            <v>364</v>
          </cell>
          <cell r="Y1350"/>
          <cell r="Z1350">
            <v>364</v>
          </cell>
          <cell r="AA1350"/>
          <cell r="AB1350"/>
          <cell r="AC1350"/>
          <cell r="AD1350">
            <v>3.1E-2</v>
          </cell>
          <cell r="AE1350"/>
          <cell r="AF1350"/>
          <cell r="AG1350"/>
          <cell r="AH1350"/>
          <cell r="AI1350"/>
          <cell r="AJ1350"/>
          <cell r="AK1350"/>
          <cell r="AL1350"/>
        </row>
        <row r="1351">
          <cell r="E1351" t="str">
            <v>SWVP 0.5-80C</v>
          </cell>
          <cell r="F1351" t="str">
            <v>ｍ</v>
          </cell>
          <cell r="G1351"/>
          <cell r="H1351">
            <v>399</v>
          </cell>
          <cell r="I1351"/>
          <cell r="J1351">
            <v>399</v>
          </cell>
          <cell r="K1351"/>
          <cell r="L1351">
            <v>399</v>
          </cell>
          <cell r="M1351"/>
          <cell r="N1351">
            <v>399</v>
          </cell>
          <cell r="O1351"/>
          <cell r="P1351">
            <v>399</v>
          </cell>
          <cell r="Q1351"/>
          <cell r="R1351">
            <v>399</v>
          </cell>
          <cell r="S1351"/>
          <cell r="T1351">
            <v>399</v>
          </cell>
          <cell r="U1351"/>
          <cell r="V1351">
            <v>399</v>
          </cell>
          <cell r="W1351"/>
          <cell r="X1351">
            <v>399</v>
          </cell>
          <cell r="Y1351"/>
          <cell r="Z1351">
            <v>399</v>
          </cell>
          <cell r="AA1351"/>
          <cell r="AB1351"/>
          <cell r="AC1351"/>
          <cell r="AD1351">
            <v>3.4000000000000002E-2</v>
          </cell>
          <cell r="AE1351"/>
          <cell r="AF1351"/>
          <cell r="AG1351"/>
          <cell r="AH1351"/>
          <cell r="AI1351"/>
          <cell r="AJ1351"/>
          <cell r="AK1351"/>
          <cell r="AL1351"/>
        </row>
        <row r="1352">
          <cell r="E1352" t="str">
            <v>SWVP 0.5-100C</v>
          </cell>
          <cell r="F1352" t="str">
            <v>ｍ</v>
          </cell>
          <cell r="G1352"/>
          <cell r="H1352">
            <v>478</v>
          </cell>
          <cell r="I1352"/>
          <cell r="J1352">
            <v>478</v>
          </cell>
          <cell r="K1352"/>
          <cell r="L1352">
            <v>478</v>
          </cell>
          <cell r="M1352"/>
          <cell r="N1352">
            <v>478</v>
          </cell>
          <cell r="O1352"/>
          <cell r="P1352">
            <v>478</v>
          </cell>
          <cell r="Q1352"/>
          <cell r="R1352">
            <v>478</v>
          </cell>
          <cell r="S1352"/>
          <cell r="T1352">
            <v>478</v>
          </cell>
          <cell r="U1352"/>
          <cell r="V1352">
            <v>478</v>
          </cell>
          <cell r="W1352"/>
          <cell r="X1352">
            <v>478</v>
          </cell>
          <cell r="Y1352"/>
          <cell r="Z1352">
            <v>478</v>
          </cell>
          <cell r="AA1352"/>
          <cell r="AB1352"/>
          <cell r="AC1352"/>
          <cell r="AD1352">
            <v>3.9E-2</v>
          </cell>
          <cell r="AE1352"/>
          <cell r="AF1352"/>
          <cell r="AG1352"/>
          <cell r="AH1352"/>
          <cell r="AI1352"/>
          <cell r="AJ1352"/>
          <cell r="AK1352"/>
          <cell r="AL1352"/>
        </row>
        <row r="1353">
          <cell r="E1353" t="str">
            <v>SWVP 0.5-120C</v>
          </cell>
          <cell r="F1353" t="str">
            <v>ｍ</v>
          </cell>
          <cell r="G1353"/>
          <cell r="H1353">
            <v>548</v>
          </cell>
          <cell r="I1353"/>
          <cell r="J1353">
            <v>548</v>
          </cell>
          <cell r="K1353"/>
          <cell r="L1353">
            <v>548</v>
          </cell>
          <cell r="M1353"/>
          <cell r="N1353">
            <v>548</v>
          </cell>
          <cell r="O1353"/>
          <cell r="P1353">
            <v>548</v>
          </cell>
          <cell r="Q1353"/>
          <cell r="R1353">
            <v>548</v>
          </cell>
          <cell r="S1353"/>
          <cell r="T1353">
            <v>548</v>
          </cell>
          <cell r="U1353"/>
          <cell r="V1353">
            <v>548</v>
          </cell>
          <cell r="W1353"/>
          <cell r="X1353">
            <v>548</v>
          </cell>
          <cell r="Y1353"/>
          <cell r="Z1353">
            <v>548</v>
          </cell>
          <cell r="AA1353"/>
          <cell r="AB1353"/>
          <cell r="AC1353"/>
          <cell r="AD1353">
            <v>4.3999999999999997E-2</v>
          </cell>
          <cell r="AE1353"/>
          <cell r="AF1353"/>
          <cell r="AG1353"/>
          <cell r="AH1353"/>
          <cell r="AI1353"/>
          <cell r="AJ1353"/>
          <cell r="AK1353"/>
          <cell r="AL1353"/>
        </row>
        <row r="1354">
          <cell r="E1354" t="str">
            <v>SWVP 0.5-150C</v>
          </cell>
          <cell r="F1354" t="str">
            <v>ｍ</v>
          </cell>
          <cell r="G1354"/>
          <cell r="H1354">
            <v>663</v>
          </cell>
          <cell r="I1354"/>
          <cell r="J1354">
            <v>663</v>
          </cell>
          <cell r="K1354"/>
          <cell r="L1354">
            <v>663</v>
          </cell>
          <cell r="M1354"/>
          <cell r="N1354">
            <v>663</v>
          </cell>
          <cell r="O1354"/>
          <cell r="P1354">
            <v>663</v>
          </cell>
          <cell r="Q1354"/>
          <cell r="R1354">
            <v>663</v>
          </cell>
          <cell r="S1354"/>
          <cell r="T1354">
            <v>663</v>
          </cell>
          <cell r="U1354"/>
          <cell r="V1354">
            <v>663</v>
          </cell>
          <cell r="W1354"/>
          <cell r="X1354">
            <v>663</v>
          </cell>
          <cell r="Y1354"/>
          <cell r="Z1354">
            <v>663</v>
          </cell>
          <cell r="AA1354"/>
          <cell r="AB1354"/>
          <cell r="AC1354"/>
          <cell r="AD1354">
            <v>5.0999999999999997E-2</v>
          </cell>
          <cell r="AE1354"/>
          <cell r="AF1354"/>
          <cell r="AG1354"/>
          <cell r="AH1354"/>
          <cell r="AI1354"/>
          <cell r="AJ1354"/>
          <cell r="AK1354"/>
          <cell r="AL1354"/>
        </row>
        <row r="1355">
          <cell r="E1355" t="str">
            <v>構内0.4-10Pr</v>
          </cell>
          <cell r="F1355" t="str">
            <v>ｍ</v>
          </cell>
          <cell r="G1355"/>
          <cell r="H1355">
            <v>117</v>
          </cell>
          <cell r="I1355"/>
          <cell r="J1355">
            <v>117</v>
          </cell>
          <cell r="K1355"/>
          <cell r="L1355">
            <v>117</v>
          </cell>
          <cell r="M1355"/>
          <cell r="N1355">
            <v>117</v>
          </cell>
          <cell r="O1355"/>
          <cell r="P1355">
            <v>117</v>
          </cell>
          <cell r="Q1355"/>
          <cell r="R1355">
            <v>117</v>
          </cell>
          <cell r="S1355"/>
          <cell r="T1355">
            <v>117</v>
          </cell>
          <cell r="U1355"/>
          <cell r="V1355">
            <v>117</v>
          </cell>
          <cell r="W1355"/>
          <cell r="X1355">
            <v>117</v>
          </cell>
          <cell r="Y1355"/>
          <cell r="Z1355">
            <v>117</v>
          </cell>
          <cell r="AA1355"/>
          <cell r="AB1355"/>
          <cell r="AC1355"/>
          <cell r="AD1355">
            <v>0.02</v>
          </cell>
          <cell r="AE1355"/>
          <cell r="AF1355"/>
          <cell r="AG1355"/>
          <cell r="AH1355"/>
          <cell r="AI1355"/>
          <cell r="AJ1355"/>
          <cell r="AK1355"/>
          <cell r="AL1355"/>
        </row>
        <row r="1356">
          <cell r="E1356" t="str">
            <v>構内0.4-20Pr</v>
          </cell>
          <cell r="F1356" t="str">
            <v>ｍ</v>
          </cell>
          <cell r="G1356"/>
          <cell r="H1356">
            <v>168</v>
          </cell>
          <cell r="I1356"/>
          <cell r="J1356">
            <v>168</v>
          </cell>
          <cell r="K1356"/>
          <cell r="L1356">
            <v>168</v>
          </cell>
          <cell r="M1356"/>
          <cell r="N1356">
            <v>168</v>
          </cell>
          <cell r="O1356"/>
          <cell r="P1356">
            <v>168</v>
          </cell>
          <cell r="Q1356"/>
          <cell r="R1356">
            <v>168</v>
          </cell>
          <cell r="S1356"/>
          <cell r="T1356">
            <v>168</v>
          </cell>
          <cell r="U1356"/>
          <cell r="V1356">
            <v>168</v>
          </cell>
          <cell r="W1356"/>
          <cell r="X1356">
            <v>168</v>
          </cell>
          <cell r="Y1356"/>
          <cell r="Z1356">
            <v>168</v>
          </cell>
          <cell r="AA1356"/>
          <cell r="AB1356"/>
          <cell r="AC1356"/>
          <cell r="AD1356">
            <v>2.4E-2</v>
          </cell>
          <cell r="AE1356"/>
          <cell r="AF1356"/>
          <cell r="AG1356"/>
          <cell r="AH1356"/>
          <cell r="AI1356"/>
          <cell r="AJ1356"/>
          <cell r="AK1356"/>
          <cell r="AL1356"/>
        </row>
        <row r="1357">
          <cell r="E1357" t="str">
            <v>構内0.4-30Pr</v>
          </cell>
          <cell r="F1357" t="str">
            <v>ｍ</v>
          </cell>
          <cell r="G1357"/>
          <cell r="H1357">
            <v>214</v>
          </cell>
          <cell r="I1357"/>
          <cell r="J1357">
            <v>214</v>
          </cell>
          <cell r="K1357"/>
          <cell r="L1357">
            <v>214</v>
          </cell>
          <cell r="M1357"/>
          <cell r="N1357">
            <v>214</v>
          </cell>
          <cell r="O1357"/>
          <cell r="P1357">
            <v>214</v>
          </cell>
          <cell r="Q1357"/>
          <cell r="R1357">
            <v>214</v>
          </cell>
          <cell r="S1357"/>
          <cell r="T1357">
            <v>214</v>
          </cell>
          <cell r="U1357"/>
          <cell r="V1357">
            <v>214</v>
          </cell>
          <cell r="W1357"/>
          <cell r="X1357">
            <v>214</v>
          </cell>
          <cell r="Y1357"/>
          <cell r="Z1357">
            <v>214</v>
          </cell>
          <cell r="AA1357"/>
          <cell r="AB1357"/>
          <cell r="AC1357"/>
          <cell r="AD1357">
            <v>2.9000000000000001E-2</v>
          </cell>
          <cell r="AE1357"/>
          <cell r="AF1357"/>
          <cell r="AG1357"/>
          <cell r="AH1357"/>
          <cell r="AI1357"/>
          <cell r="AJ1357"/>
          <cell r="AK1357"/>
          <cell r="AL1357"/>
        </row>
        <row r="1358">
          <cell r="E1358" t="str">
            <v>構内0.4-50Pr</v>
          </cell>
          <cell r="F1358" t="str">
            <v>ｍ</v>
          </cell>
          <cell r="G1358"/>
          <cell r="H1358">
            <v>311</v>
          </cell>
          <cell r="I1358"/>
          <cell r="J1358">
            <v>311</v>
          </cell>
          <cell r="K1358"/>
          <cell r="L1358">
            <v>311</v>
          </cell>
          <cell r="M1358"/>
          <cell r="N1358">
            <v>311</v>
          </cell>
          <cell r="O1358"/>
          <cell r="P1358">
            <v>311</v>
          </cell>
          <cell r="Q1358"/>
          <cell r="R1358">
            <v>311</v>
          </cell>
          <cell r="S1358"/>
          <cell r="T1358">
            <v>311</v>
          </cell>
          <cell r="U1358"/>
          <cell r="V1358">
            <v>311</v>
          </cell>
          <cell r="W1358"/>
          <cell r="X1358">
            <v>311</v>
          </cell>
          <cell r="Y1358"/>
          <cell r="Z1358">
            <v>311</v>
          </cell>
          <cell r="AA1358"/>
          <cell r="AB1358"/>
          <cell r="AC1358"/>
          <cell r="AD1358">
            <v>3.9E-2</v>
          </cell>
          <cell r="AE1358"/>
          <cell r="AF1358"/>
          <cell r="AG1358"/>
          <cell r="AH1358"/>
          <cell r="AI1358"/>
          <cell r="AJ1358"/>
          <cell r="AK1358"/>
          <cell r="AL1358"/>
        </row>
        <row r="1359">
          <cell r="E1359" t="str">
            <v>構内0.4-100Pr</v>
          </cell>
          <cell r="F1359" t="str">
            <v>ｍ</v>
          </cell>
          <cell r="G1359"/>
          <cell r="H1359">
            <v>547</v>
          </cell>
          <cell r="I1359"/>
          <cell r="J1359">
            <v>547</v>
          </cell>
          <cell r="K1359"/>
          <cell r="L1359">
            <v>547</v>
          </cell>
          <cell r="M1359"/>
          <cell r="N1359">
            <v>547</v>
          </cell>
          <cell r="O1359"/>
          <cell r="P1359">
            <v>547</v>
          </cell>
          <cell r="Q1359"/>
          <cell r="R1359">
            <v>547</v>
          </cell>
          <cell r="S1359"/>
          <cell r="T1359">
            <v>547</v>
          </cell>
          <cell r="U1359"/>
          <cell r="V1359">
            <v>547</v>
          </cell>
          <cell r="W1359"/>
          <cell r="X1359">
            <v>547</v>
          </cell>
          <cell r="Y1359"/>
          <cell r="Z1359">
            <v>547</v>
          </cell>
          <cell r="AA1359"/>
          <cell r="AB1359"/>
          <cell r="AC1359"/>
          <cell r="AD1359">
            <v>6.4000000000000001E-2</v>
          </cell>
          <cell r="AE1359"/>
          <cell r="AF1359"/>
          <cell r="AG1359"/>
          <cell r="AH1359"/>
          <cell r="AI1359"/>
          <cell r="AJ1359"/>
          <cell r="AK1359"/>
          <cell r="AL1359"/>
        </row>
        <row r="1360">
          <cell r="E1360" t="str">
            <v>構内0.4-200Pr</v>
          </cell>
          <cell r="F1360" t="str">
            <v>ｍ</v>
          </cell>
          <cell r="G1360"/>
          <cell r="H1360">
            <v>974</v>
          </cell>
          <cell r="I1360"/>
          <cell r="J1360">
            <v>974</v>
          </cell>
          <cell r="K1360"/>
          <cell r="L1360">
            <v>974</v>
          </cell>
          <cell r="M1360"/>
          <cell r="N1360">
            <v>974</v>
          </cell>
          <cell r="O1360"/>
          <cell r="P1360">
            <v>974</v>
          </cell>
          <cell r="Q1360"/>
          <cell r="R1360">
            <v>974</v>
          </cell>
          <cell r="S1360"/>
          <cell r="T1360">
            <v>974</v>
          </cell>
          <cell r="U1360"/>
          <cell r="V1360">
            <v>974</v>
          </cell>
          <cell r="W1360"/>
          <cell r="X1360">
            <v>974</v>
          </cell>
          <cell r="Y1360"/>
          <cell r="Z1360">
            <v>974</v>
          </cell>
          <cell r="AA1360"/>
          <cell r="AB1360"/>
          <cell r="AC1360"/>
          <cell r="AD1360">
            <v>9.5000000000000001E-2</v>
          </cell>
          <cell r="AE1360"/>
          <cell r="AF1360"/>
          <cell r="AG1360"/>
          <cell r="AH1360"/>
          <cell r="AI1360"/>
          <cell r="AJ1360"/>
          <cell r="AK1360"/>
          <cell r="AL1360"/>
        </row>
        <row r="1361">
          <cell r="E1361" t="str">
            <v>構内0.5-10Pr</v>
          </cell>
          <cell r="F1361" t="str">
            <v>ｍ</v>
          </cell>
          <cell r="G1361"/>
          <cell r="H1361">
            <v>136</v>
          </cell>
          <cell r="I1361"/>
          <cell r="J1361">
            <v>136</v>
          </cell>
          <cell r="K1361"/>
          <cell r="L1361">
            <v>136</v>
          </cell>
          <cell r="M1361"/>
          <cell r="N1361">
            <v>136</v>
          </cell>
          <cell r="O1361"/>
          <cell r="P1361">
            <v>136</v>
          </cell>
          <cell r="Q1361"/>
          <cell r="R1361">
            <v>136</v>
          </cell>
          <cell r="S1361"/>
          <cell r="T1361">
            <v>136</v>
          </cell>
          <cell r="U1361"/>
          <cell r="V1361">
            <v>136</v>
          </cell>
          <cell r="W1361"/>
          <cell r="X1361">
            <v>136</v>
          </cell>
          <cell r="Y1361"/>
          <cell r="Z1361">
            <v>136</v>
          </cell>
          <cell r="AA1361"/>
          <cell r="AB1361"/>
          <cell r="AC1361"/>
          <cell r="AD1361">
            <v>0.02</v>
          </cell>
          <cell r="AE1361"/>
          <cell r="AF1361"/>
          <cell r="AG1361"/>
          <cell r="AH1361"/>
          <cell r="AI1361"/>
          <cell r="AJ1361"/>
          <cell r="AK1361"/>
          <cell r="AL1361"/>
        </row>
        <row r="1362">
          <cell r="E1362" t="str">
            <v>構内0.5-20Pr</v>
          </cell>
          <cell r="F1362" t="str">
            <v>ｍ</v>
          </cell>
          <cell r="G1362"/>
          <cell r="H1362">
            <v>205</v>
          </cell>
          <cell r="I1362"/>
          <cell r="J1362">
            <v>205</v>
          </cell>
          <cell r="K1362"/>
          <cell r="L1362">
            <v>205</v>
          </cell>
          <cell r="M1362"/>
          <cell r="N1362">
            <v>205</v>
          </cell>
          <cell r="O1362"/>
          <cell r="P1362">
            <v>205</v>
          </cell>
          <cell r="Q1362"/>
          <cell r="R1362">
            <v>205</v>
          </cell>
          <cell r="S1362"/>
          <cell r="T1362">
            <v>205</v>
          </cell>
          <cell r="U1362"/>
          <cell r="V1362">
            <v>205</v>
          </cell>
          <cell r="W1362"/>
          <cell r="X1362">
            <v>205</v>
          </cell>
          <cell r="Y1362"/>
          <cell r="Z1362">
            <v>205</v>
          </cell>
          <cell r="AA1362"/>
          <cell r="AB1362"/>
          <cell r="AC1362"/>
          <cell r="AD1362">
            <v>2.4E-2</v>
          </cell>
          <cell r="AE1362"/>
          <cell r="AF1362"/>
          <cell r="AG1362"/>
          <cell r="AH1362"/>
          <cell r="AI1362"/>
          <cell r="AJ1362"/>
          <cell r="AK1362"/>
          <cell r="AL1362"/>
        </row>
        <row r="1363">
          <cell r="E1363" t="str">
            <v>構内0.5-30Pr</v>
          </cell>
          <cell r="F1363" t="str">
            <v>ｍ</v>
          </cell>
          <cell r="G1363"/>
          <cell r="H1363">
            <v>270</v>
          </cell>
          <cell r="I1363"/>
          <cell r="J1363">
            <v>270</v>
          </cell>
          <cell r="K1363"/>
          <cell r="L1363">
            <v>270</v>
          </cell>
          <cell r="M1363"/>
          <cell r="N1363">
            <v>270</v>
          </cell>
          <cell r="O1363"/>
          <cell r="P1363">
            <v>270</v>
          </cell>
          <cell r="Q1363"/>
          <cell r="R1363">
            <v>270</v>
          </cell>
          <cell r="S1363"/>
          <cell r="T1363">
            <v>270</v>
          </cell>
          <cell r="U1363"/>
          <cell r="V1363">
            <v>270</v>
          </cell>
          <cell r="W1363"/>
          <cell r="X1363">
            <v>270</v>
          </cell>
          <cell r="Y1363"/>
          <cell r="Z1363">
            <v>270</v>
          </cell>
          <cell r="AA1363"/>
          <cell r="AB1363"/>
          <cell r="AC1363"/>
          <cell r="AD1363">
            <v>2.9000000000000001E-2</v>
          </cell>
          <cell r="AE1363"/>
          <cell r="AF1363"/>
          <cell r="AG1363"/>
          <cell r="AH1363"/>
          <cell r="AI1363"/>
          <cell r="AJ1363"/>
          <cell r="AK1363"/>
          <cell r="AL1363"/>
        </row>
        <row r="1364">
          <cell r="E1364" t="str">
            <v>構内0.5-50Pr</v>
          </cell>
          <cell r="F1364" t="str">
            <v>ｍ</v>
          </cell>
          <cell r="G1364"/>
          <cell r="H1364">
            <v>397</v>
          </cell>
          <cell r="I1364"/>
          <cell r="J1364">
            <v>397</v>
          </cell>
          <cell r="K1364"/>
          <cell r="L1364">
            <v>397</v>
          </cell>
          <cell r="M1364"/>
          <cell r="N1364">
            <v>397</v>
          </cell>
          <cell r="O1364"/>
          <cell r="P1364">
            <v>397</v>
          </cell>
          <cell r="Q1364"/>
          <cell r="R1364">
            <v>397</v>
          </cell>
          <cell r="S1364"/>
          <cell r="T1364">
            <v>397</v>
          </cell>
          <cell r="U1364"/>
          <cell r="V1364">
            <v>397</v>
          </cell>
          <cell r="W1364"/>
          <cell r="X1364">
            <v>397</v>
          </cell>
          <cell r="Y1364"/>
          <cell r="Z1364">
            <v>397</v>
          </cell>
          <cell r="AA1364"/>
          <cell r="AB1364"/>
          <cell r="AC1364"/>
          <cell r="AD1364">
            <v>3.9E-2</v>
          </cell>
          <cell r="AE1364"/>
          <cell r="AF1364"/>
          <cell r="AG1364"/>
          <cell r="AH1364"/>
          <cell r="AI1364"/>
          <cell r="AJ1364"/>
          <cell r="AK1364"/>
          <cell r="AL1364"/>
        </row>
        <row r="1365">
          <cell r="E1365" t="str">
            <v>構内0.5-100Pr</v>
          </cell>
          <cell r="F1365" t="str">
            <v>ｍ</v>
          </cell>
          <cell r="G1365"/>
          <cell r="H1365">
            <v>713</v>
          </cell>
          <cell r="I1365"/>
          <cell r="J1365">
            <v>713</v>
          </cell>
          <cell r="K1365"/>
          <cell r="L1365">
            <v>713</v>
          </cell>
          <cell r="M1365"/>
          <cell r="N1365">
            <v>713</v>
          </cell>
          <cell r="O1365"/>
          <cell r="P1365">
            <v>713</v>
          </cell>
          <cell r="Q1365"/>
          <cell r="R1365">
            <v>713</v>
          </cell>
          <cell r="S1365"/>
          <cell r="T1365">
            <v>713</v>
          </cell>
          <cell r="U1365"/>
          <cell r="V1365">
            <v>713</v>
          </cell>
          <cell r="W1365"/>
          <cell r="X1365">
            <v>713</v>
          </cell>
          <cell r="Y1365"/>
          <cell r="Z1365">
            <v>713</v>
          </cell>
          <cell r="AA1365"/>
          <cell r="AB1365"/>
          <cell r="AC1365"/>
          <cell r="AD1365">
            <v>6.4000000000000001E-2</v>
          </cell>
          <cell r="AE1365"/>
          <cell r="AF1365"/>
          <cell r="AG1365"/>
          <cell r="AH1365"/>
          <cell r="AI1365"/>
          <cell r="AJ1365"/>
          <cell r="AK1365"/>
          <cell r="AL1365"/>
        </row>
        <row r="1366">
          <cell r="E1366" t="str">
            <v>構内0.5-200Pr</v>
          </cell>
          <cell r="F1366" t="str">
            <v>ｍ</v>
          </cell>
          <cell r="G1366"/>
          <cell r="H1366">
            <v>1331</v>
          </cell>
          <cell r="I1366"/>
          <cell r="J1366">
            <v>1331</v>
          </cell>
          <cell r="K1366"/>
          <cell r="L1366">
            <v>1331</v>
          </cell>
          <cell r="M1366"/>
          <cell r="N1366">
            <v>1331</v>
          </cell>
          <cell r="O1366"/>
          <cell r="P1366">
            <v>1331</v>
          </cell>
          <cell r="Q1366"/>
          <cell r="R1366">
            <v>1331</v>
          </cell>
          <cell r="S1366"/>
          <cell r="T1366">
            <v>1331</v>
          </cell>
          <cell r="U1366"/>
          <cell r="V1366">
            <v>1331</v>
          </cell>
          <cell r="W1366"/>
          <cell r="X1366">
            <v>1331</v>
          </cell>
          <cell r="Y1366"/>
          <cell r="Z1366">
            <v>1331</v>
          </cell>
          <cell r="AA1366"/>
          <cell r="AB1366"/>
          <cell r="AC1366"/>
          <cell r="AD1366">
            <v>9.5000000000000001E-2</v>
          </cell>
          <cell r="AE1366"/>
          <cell r="AF1366"/>
          <cell r="AG1366"/>
          <cell r="AH1366"/>
          <cell r="AI1366"/>
          <cell r="AJ1366"/>
          <cell r="AK1366"/>
          <cell r="AL1366"/>
        </row>
        <row r="1367">
          <cell r="E1367" t="str">
            <v>構内0.65-10Pr</v>
          </cell>
          <cell r="F1367" t="str">
            <v>ｍ</v>
          </cell>
          <cell r="G1367"/>
          <cell r="H1367">
            <v>178</v>
          </cell>
          <cell r="I1367"/>
          <cell r="J1367">
            <v>178</v>
          </cell>
          <cell r="K1367"/>
          <cell r="L1367">
            <v>178</v>
          </cell>
          <cell r="M1367"/>
          <cell r="N1367">
            <v>178</v>
          </cell>
          <cell r="O1367"/>
          <cell r="P1367">
            <v>178</v>
          </cell>
          <cell r="Q1367"/>
          <cell r="R1367">
            <v>178</v>
          </cell>
          <cell r="S1367"/>
          <cell r="T1367">
            <v>178</v>
          </cell>
          <cell r="U1367"/>
          <cell r="V1367">
            <v>178</v>
          </cell>
          <cell r="W1367"/>
          <cell r="X1367">
            <v>178</v>
          </cell>
          <cell r="Y1367"/>
          <cell r="Z1367">
            <v>178</v>
          </cell>
          <cell r="AA1367"/>
          <cell r="AB1367"/>
          <cell r="AC1367"/>
          <cell r="AD1367">
            <v>0.02</v>
          </cell>
          <cell r="AE1367"/>
          <cell r="AF1367"/>
          <cell r="AG1367"/>
          <cell r="AH1367"/>
          <cell r="AI1367"/>
          <cell r="AJ1367"/>
          <cell r="AK1367"/>
          <cell r="AL1367"/>
        </row>
        <row r="1368">
          <cell r="E1368" t="str">
            <v>構内0.65-20Pr</v>
          </cell>
          <cell r="F1368" t="str">
            <v>ｍ</v>
          </cell>
          <cell r="G1368"/>
          <cell r="H1368">
            <v>285</v>
          </cell>
          <cell r="I1368"/>
          <cell r="J1368">
            <v>285</v>
          </cell>
          <cell r="K1368"/>
          <cell r="L1368">
            <v>285</v>
          </cell>
          <cell r="M1368"/>
          <cell r="N1368">
            <v>285</v>
          </cell>
          <cell r="O1368"/>
          <cell r="P1368">
            <v>285</v>
          </cell>
          <cell r="Q1368"/>
          <cell r="R1368">
            <v>285</v>
          </cell>
          <cell r="S1368"/>
          <cell r="T1368">
            <v>285</v>
          </cell>
          <cell r="U1368"/>
          <cell r="V1368">
            <v>285</v>
          </cell>
          <cell r="W1368"/>
          <cell r="X1368">
            <v>285</v>
          </cell>
          <cell r="Y1368"/>
          <cell r="Z1368">
            <v>285</v>
          </cell>
          <cell r="AA1368"/>
          <cell r="AB1368"/>
          <cell r="AC1368"/>
          <cell r="AD1368">
            <v>2.4E-2</v>
          </cell>
          <cell r="AE1368"/>
          <cell r="AF1368"/>
          <cell r="AG1368"/>
          <cell r="AH1368"/>
          <cell r="AI1368"/>
          <cell r="AJ1368"/>
          <cell r="AK1368"/>
          <cell r="AL1368"/>
        </row>
        <row r="1369">
          <cell r="E1369" t="str">
            <v>構内0.65-30Pr</v>
          </cell>
          <cell r="F1369" t="str">
            <v>ｍ</v>
          </cell>
          <cell r="G1369"/>
          <cell r="H1369">
            <v>376</v>
          </cell>
          <cell r="I1369"/>
          <cell r="J1369">
            <v>376</v>
          </cell>
          <cell r="K1369"/>
          <cell r="L1369">
            <v>376</v>
          </cell>
          <cell r="M1369"/>
          <cell r="N1369">
            <v>376</v>
          </cell>
          <cell r="O1369"/>
          <cell r="P1369">
            <v>376</v>
          </cell>
          <cell r="Q1369"/>
          <cell r="R1369">
            <v>376</v>
          </cell>
          <cell r="S1369"/>
          <cell r="T1369">
            <v>376</v>
          </cell>
          <cell r="U1369"/>
          <cell r="V1369">
            <v>376</v>
          </cell>
          <cell r="W1369"/>
          <cell r="X1369">
            <v>376</v>
          </cell>
          <cell r="Y1369"/>
          <cell r="Z1369">
            <v>376</v>
          </cell>
          <cell r="AA1369"/>
          <cell r="AB1369"/>
          <cell r="AC1369"/>
          <cell r="AD1369">
            <v>2.9000000000000001E-2</v>
          </cell>
          <cell r="AE1369"/>
          <cell r="AF1369"/>
          <cell r="AG1369"/>
          <cell r="AH1369"/>
          <cell r="AI1369"/>
          <cell r="AJ1369"/>
          <cell r="AK1369"/>
          <cell r="AL1369"/>
        </row>
        <row r="1370">
          <cell r="E1370" t="str">
            <v>SD 0.65-1Pr</v>
          </cell>
          <cell r="F1370" t="str">
            <v>ｍ</v>
          </cell>
          <cell r="G1370"/>
          <cell r="H1370">
            <v>64.8</v>
          </cell>
          <cell r="I1370"/>
          <cell r="J1370">
            <v>64.8</v>
          </cell>
          <cell r="K1370"/>
          <cell r="L1370">
            <v>64.8</v>
          </cell>
          <cell r="M1370"/>
          <cell r="N1370">
            <v>64.8</v>
          </cell>
          <cell r="O1370"/>
          <cell r="P1370">
            <v>64.8</v>
          </cell>
          <cell r="Q1370"/>
          <cell r="R1370">
            <v>64.8</v>
          </cell>
          <cell r="S1370"/>
          <cell r="T1370">
            <v>64.8</v>
          </cell>
          <cell r="U1370"/>
          <cell r="V1370">
            <v>64.8</v>
          </cell>
          <cell r="W1370"/>
          <cell r="X1370">
            <v>64.8</v>
          </cell>
          <cell r="Y1370"/>
          <cell r="Z1370">
            <v>64.8</v>
          </cell>
          <cell r="AA1370"/>
          <cell r="AB1370"/>
          <cell r="AC1370"/>
          <cell r="AD1370">
            <v>1.2E-2</v>
          </cell>
          <cell r="AE1370"/>
          <cell r="AF1370"/>
          <cell r="AG1370"/>
          <cell r="AH1370"/>
          <cell r="AI1370"/>
          <cell r="AJ1370"/>
          <cell r="AK1370"/>
          <cell r="AL1370"/>
        </row>
        <row r="1371">
          <cell r="E1371" t="str">
            <v>SD 0.65-2Pr</v>
          </cell>
          <cell r="F1371" t="str">
            <v>ｍ</v>
          </cell>
          <cell r="G1371"/>
          <cell r="H1371">
            <v>91.1</v>
          </cell>
          <cell r="I1371"/>
          <cell r="J1371">
            <v>91.1</v>
          </cell>
          <cell r="K1371"/>
          <cell r="L1371">
            <v>91.1</v>
          </cell>
          <cell r="M1371"/>
          <cell r="N1371">
            <v>91.1</v>
          </cell>
          <cell r="O1371"/>
          <cell r="P1371">
            <v>91.1</v>
          </cell>
          <cell r="Q1371"/>
          <cell r="R1371">
            <v>91.1</v>
          </cell>
          <cell r="S1371"/>
          <cell r="T1371">
            <v>91.1</v>
          </cell>
          <cell r="U1371"/>
          <cell r="V1371">
            <v>91.1</v>
          </cell>
          <cell r="W1371"/>
          <cell r="X1371">
            <v>91.1</v>
          </cell>
          <cell r="Y1371"/>
          <cell r="Z1371">
            <v>91.1</v>
          </cell>
          <cell r="AA1371"/>
          <cell r="AB1371"/>
          <cell r="AC1371"/>
          <cell r="AD1371">
            <v>1.4E-2</v>
          </cell>
          <cell r="AE1371"/>
          <cell r="AF1371"/>
          <cell r="AG1371"/>
          <cell r="AH1371"/>
          <cell r="AI1371"/>
          <cell r="AJ1371"/>
          <cell r="AK1371"/>
          <cell r="AL1371"/>
        </row>
        <row r="1372">
          <cell r="E1372" t="str">
            <v>SD 0.65-6Pr</v>
          </cell>
          <cell r="F1372" t="str">
            <v>ｍ</v>
          </cell>
          <cell r="G1372"/>
          <cell r="H1372">
            <v>166</v>
          </cell>
          <cell r="I1372"/>
          <cell r="J1372">
            <v>166</v>
          </cell>
          <cell r="K1372"/>
          <cell r="L1372">
            <v>166</v>
          </cell>
          <cell r="M1372"/>
          <cell r="N1372">
            <v>166</v>
          </cell>
          <cell r="O1372"/>
          <cell r="P1372">
            <v>166</v>
          </cell>
          <cell r="Q1372"/>
          <cell r="R1372">
            <v>166</v>
          </cell>
          <cell r="S1372"/>
          <cell r="T1372">
            <v>166</v>
          </cell>
          <cell r="U1372"/>
          <cell r="V1372">
            <v>166</v>
          </cell>
          <cell r="W1372"/>
          <cell r="X1372">
            <v>166</v>
          </cell>
          <cell r="Y1372"/>
          <cell r="Z1372">
            <v>166</v>
          </cell>
          <cell r="AA1372"/>
          <cell r="AB1372"/>
          <cell r="AC1372"/>
          <cell r="AD1372">
            <v>1.7999999999999999E-2</v>
          </cell>
          <cell r="AE1372"/>
          <cell r="AF1372"/>
          <cell r="AG1372"/>
          <cell r="AH1372"/>
          <cell r="AI1372"/>
          <cell r="AJ1372"/>
          <cell r="AK1372"/>
          <cell r="AL1372"/>
        </row>
        <row r="1373">
          <cell r="E1373" t="str">
            <v>SD 0.9-1Pr</v>
          </cell>
          <cell r="F1373" t="str">
            <v>ｍ</v>
          </cell>
          <cell r="G1373"/>
          <cell r="H1373">
            <v>75.7</v>
          </cell>
          <cell r="I1373"/>
          <cell r="J1373">
            <v>75.7</v>
          </cell>
          <cell r="K1373"/>
          <cell r="L1373">
            <v>75.7</v>
          </cell>
          <cell r="M1373"/>
          <cell r="N1373">
            <v>75.7</v>
          </cell>
          <cell r="O1373"/>
          <cell r="P1373">
            <v>75.7</v>
          </cell>
          <cell r="Q1373"/>
          <cell r="R1373">
            <v>75.7</v>
          </cell>
          <cell r="S1373"/>
          <cell r="T1373">
            <v>75.7</v>
          </cell>
          <cell r="U1373"/>
          <cell r="V1373">
            <v>75.7</v>
          </cell>
          <cell r="W1373"/>
          <cell r="X1373">
            <v>75.7</v>
          </cell>
          <cell r="Y1373"/>
          <cell r="Z1373">
            <v>75.7</v>
          </cell>
          <cell r="AA1373"/>
          <cell r="AB1373"/>
          <cell r="AC1373"/>
          <cell r="AD1373">
            <v>1.6E-2</v>
          </cell>
          <cell r="AE1373"/>
          <cell r="AF1373"/>
          <cell r="AG1373"/>
          <cell r="AH1373"/>
          <cell r="AI1373"/>
          <cell r="AJ1373"/>
          <cell r="AK1373"/>
          <cell r="AL1373"/>
        </row>
        <row r="1374">
          <cell r="E1374" t="str">
            <v>SD 0.9-2Pr</v>
          </cell>
          <cell r="F1374" t="str">
            <v>ｍ</v>
          </cell>
          <cell r="G1374"/>
          <cell r="H1374">
            <v>109</v>
          </cell>
          <cell r="I1374"/>
          <cell r="J1374">
            <v>109</v>
          </cell>
          <cell r="K1374"/>
          <cell r="L1374">
            <v>109</v>
          </cell>
          <cell r="M1374"/>
          <cell r="N1374">
            <v>109</v>
          </cell>
          <cell r="O1374"/>
          <cell r="P1374">
            <v>109</v>
          </cell>
          <cell r="Q1374"/>
          <cell r="R1374">
            <v>109</v>
          </cell>
          <cell r="S1374"/>
          <cell r="T1374">
            <v>109</v>
          </cell>
          <cell r="U1374"/>
          <cell r="V1374">
            <v>109</v>
          </cell>
          <cell r="W1374"/>
          <cell r="X1374">
            <v>109</v>
          </cell>
          <cell r="Y1374"/>
          <cell r="Z1374">
            <v>109</v>
          </cell>
          <cell r="AA1374"/>
          <cell r="AB1374"/>
          <cell r="AC1374"/>
          <cell r="AD1374">
            <v>1.7999999999999999E-2</v>
          </cell>
          <cell r="AE1374"/>
          <cell r="AF1374"/>
          <cell r="AG1374"/>
          <cell r="AH1374"/>
          <cell r="AI1374"/>
          <cell r="AJ1374"/>
          <cell r="AK1374"/>
          <cell r="AL1374"/>
        </row>
        <row r="1375">
          <cell r="E1375" t="str">
            <v>SD 0.9-6Pr</v>
          </cell>
          <cell r="F1375" t="str">
            <v>ｍ</v>
          </cell>
          <cell r="G1375"/>
          <cell r="H1375">
            <v>231</v>
          </cell>
          <cell r="I1375"/>
          <cell r="J1375">
            <v>231</v>
          </cell>
          <cell r="K1375"/>
          <cell r="L1375">
            <v>231</v>
          </cell>
          <cell r="M1375"/>
          <cell r="N1375">
            <v>231</v>
          </cell>
          <cell r="O1375"/>
          <cell r="P1375">
            <v>231</v>
          </cell>
          <cell r="Q1375"/>
          <cell r="R1375">
            <v>231</v>
          </cell>
          <cell r="S1375"/>
          <cell r="T1375">
            <v>231</v>
          </cell>
          <cell r="U1375"/>
          <cell r="V1375">
            <v>231</v>
          </cell>
          <cell r="W1375"/>
          <cell r="X1375">
            <v>231</v>
          </cell>
          <cell r="Y1375"/>
          <cell r="Z1375">
            <v>231</v>
          </cell>
          <cell r="AA1375"/>
          <cell r="AB1375"/>
          <cell r="AC1375"/>
          <cell r="AD1375">
            <v>2.4E-2</v>
          </cell>
          <cell r="AE1375"/>
          <cell r="AF1375"/>
          <cell r="AG1375"/>
          <cell r="AH1375"/>
          <cell r="AI1375"/>
          <cell r="AJ1375"/>
          <cell r="AK1375"/>
          <cell r="AL1375"/>
        </row>
        <row r="1376">
          <cell r="E1376" t="str">
            <v>釦電話 0.4-10Pr</v>
          </cell>
          <cell r="F1376" t="str">
            <v>ｍ</v>
          </cell>
          <cell r="G1376"/>
          <cell r="H1376">
            <v>81.5</v>
          </cell>
          <cell r="I1376"/>
          <cell r="J1376">
            <v>81.5</v>
          </cell>
          <cell r="K1376"/>
          <cell r="L1376">
            <v>81.5</v>
          </cell>
          <cell r="M1376"/>
          <cell r="N1376">
            <v>81.5</v>
          </cell>
          <cell r="O1376"/>
          <cell r="P1376">
            <v>81.5</v>
          </cell>
          <cell r="Q1376"/>
          <cell r="R1376">
            <v>81.5</v>
          </cell>
          <cell r="S1376"/>
          <cell r="T1376">
            <v>81.5</v>
          </cell>
          <cell r="U1376"/>
          <cell r="V1376">
            <v>81.5</v>
          </cell>
          <cell r="W1376"/>
          <cell r="X1376">
            <v>81.5</v>
          </cell>
          <cell r="Y1376"/>
          <cell r="Z1376">
            <v>81.5</v>
          </cell>
          <cell r="AA1376"/>
          <cell r="AB1376"/>
          <cell r="AC1376"/>
          <cell r="AD1376">
            <v>0.02</v>
          </cell>
          <cell r="AE1376"/>
          <cell r="AF1376"/>
          <cell r="AG1376"/>
          <cell r="AH1376"/>
          <cell r="AI1376"/>
          <cell r="AJ1376"/>
          <cell r="AK1376"/>
          <cell r="AL1376"/>
        </row>
        <row r="1377">
          <cell r="E1377" t="str">
            <v>釦電話 0.4-20Pr</v>
          </cell>
          <cell r="F1377" t="str">
            <v>ｍ</v>
          </cell>
          <cell r="G1377"/>
          <cell r="H1377">
            <v>127</v>
          </cell>
          <cell r="I1377"/>
          <cell r="J1377">
            <v>127</v>
          </cell>
          <cell r="K1377"/>
          <cell r="L1377">
            <v>127</v>
          </cell>
          <cell r="M1377"/>
          <cell r="N1377">
            <v>127</v>
          </cell>
          <cell r="O1377"/>
          <cell r="P1377">
            <v>127</v>
          </cell>
          <cell r="Q1377"/>
          <cell r="R1377">
            <v>127</v>
          </cell>
          <cell r="S1377"/>
          <cell r="T1377">
            <v>127</v>
          </cell>
          <cell r="U1377"/>
          <cell r="V1377">
            <v>127</v>
          </cell>
          <cell r="W1377"/>
          <cell r="X1377">
            <v>127</v>
          </cell>
          <cell r="Y1377"/>
          <cell r="Z1377">
            <v>127</v>
          </cell>
          <cell r="AA1377"/>
          <cell r="AB1377"/>
          <cell r="AC1377"/>
          <cell r="AD1377">
            <v>2.4E-2</v>
          </cell>
          <cell r="AE1377"/>
          <cell r="AF1377"/>
          <cell r="AG1377"/>
          <cell r="AH1377"/>
          <cell r="AI1377"/>
          <cell r="AJ1377"/>
          <cell r="AK1377"/>
          <cell r="AL1377"/>
        </row>
        <row r="1378">
          <cell r="E1378" t="str">
            <v>釦電話 0.4-30Pr</v>
          </cell>
          <cell r="F1378" t="str">
            <v>ｍ</v>
          </cell>
          <cell r="G1378"/>
          <cell r="H1378">
            <v>153</v>
          </cell>
          <cell r="I1378"/>
          <cell r="J1378">
            <v>153</v>
          </cell>
          <cell r="K1378"/>
          <cell r="L1378">
            <v>153</v>
          </cell>
          <cell r="M1378"/>
          <cell r="N1378">
            <v>153</v>
          </cell>
          <cell r="O1378"/>
          <cell r="P1378">
            <v>153</v>
          </cell>
          <cell r="Q1378"/>
          <cell r="R1378">
            <v>153</v>
          </cell>
          <cell r="S1378"/>
          <cell r="T1378">
            <v>153</v>
          </cell>
          <cell r="U1378"/>
          <cell r="V1378">
            <v>153</v>
          </cell>
          <cell r="W1378"/>
          <cell r="X1378">
            <v>153</v>
          </cell>
          <cell r="Y1378"/>
          <cell r="Z1378">
            <v>153</v>
          </cell>
          <cell r="AA1378"/>
          <cell r="AB1378"/>
          <cell r="AC1378"/>
          <cell r="AD1378">
            <v>2.9000000000000001E-2</v>
          </cell>
          <cell r="AE1378"/>
          <cell r="AF1378"/>
          <cell r="AG1378"/>
          <cell r="AH1378"/>
          <cell r="AI1378"/>
          <cell r="AJ1378"/>
          <cell r="AK1378"/>
          <cell r="AL1378"/>
        </row>
        <row r="1379">
          <cell r="E1379" t="str">
            <v>電子釦 0.4- 2Pr</v>
          </cell>
          <cell r="F1379" t="str">
            <v>ｍ</v>
          </cell>
          <cell r="G1379"/>
          <cell r="H1379">
            <v>35</v>
          </cell>
          <cell r="I1379"/>
          <cell r="J1379">
            <v>35</v>
          </cell>
          <cell r="K1379"/>
          <cell r="L1379">
            <v>35</v>
          </cell>
          <cell r="M1379"/>
          <cell r="N1379">
            <v>35</v>
          </cell>
          <cell r="O1379"/>
          <cell r="P1379">
            <v>35</v>
          </cell>
          <cell r="Q1379"/>
          <cell r="R1379">
            <v>35</v>
          </cell>
          <cell r="S1379"/>
          <cell r="T1379">
            <v>35</v>
          </cell>
          <cell r="U1379"/>
          <cell r="V1379">
            <v>35</v>
          </cell>
          <cell r="W1379"/>
          <cell r="X1379">
            <v>35</v>
          </cell>
          <cell r="Y1379"/>
          <cell r="Z1379">
            <v>35</v>
          </cell>
          <cell r="AA1379"/>
          <cell r="AB1379"/>
          <cell r="AC1379"/>
          <cell r="AD1379">
            <v>1.4E-2</v>
          </cell>
          <cell r="AE1379"/>
          <cell r="AF1379"/>
          <cell r="AG1379"/>
          <cell r="AH1379"/>
          <cell r="AI1379"/>
          <cell r="AJ1379"/>
          <cell r="AK1379"/>
          <cell r="AL1379"/>
        </row>
        <row r="1380">
          <cell r="E1380" t="str">
            <v>電子釦 0.4- 3Pr</v>
          </cell>
          <cell r="F1380" t="str">
            <v>ｍ</v>
          </cell>
          <cell r="G1380"/>
          <cell r="H1380">
            <v>41.4</v>
          </cell>
          <cell r="I1380"/>
          <cell r="J1380">
            <v>41.4</v>
          </cell>
          <cell r="K1380"/>
          <cell r="L1380">
            <v>41.4</v>
          </cell>
          <cell r="M1380"/>
          <cell r="N1380">
            <v>41.4</v>
          </cell>
          <cell r="O1380"/>
          <cell r="P1380">
            <v>41.4</v>
          </cell>
          <cell r="Q1380"/>
          <cell r="R1380">
            <v>41.4</v>
          </cell>
          <cell r="S1380"/>
          <cell r="T1380">
            <v>41.4</v>
          </cell>
          <cell r="U1380"/>
          <cell r="V1380">
            <v>41.4</v>
          </cell>
          <cell r="W1380"/>
          <cell r="X1380">
            <v>41.4</v>
          </cell>
          <cell r="Y1380"/>
          <cell r="Z1380">
            <v>41.4</v>
          </cell>
          <cell r="AA1380"/>
          <cell r="AB1380"/>
          <cell r="AC1380"/>
          <cell r="AD1380">
            <v>1.4999999999999999E-2</v>
          </cell>
          <cell r="AE1380"/>
          <cell r="AF1380"/>
          <cell r="AG1380"/>
          <cell r="AH1380"/>
          <cell r="AI1380"/>
          <cell r="AJ1380"/>
          <cell r="AK1380"/>
          <cell r="AL1380"/>
        </row>
        <row r="1381">
          <cell r="E1381" t="str">
            <v>電子釦 0.4- 4Pr</v>
          </cell>
          <cell r="F1381" t="str">
            <v>ｍ</v>
          </cell>
          <cell r="G1381"/>
          <cell r="H1381">
            <v>46.6</v>
          </cell>
          <cell r="I1381"/>
          <cell r="J1381">
            <v>46.6</v>
          </cell>
          <cell r="K1381"/>
          <cell r="L1381">
            <v>46.6</v>
          </cell>
          <cell r="M1381"/>
          <cell r="N1381">
            <v>46.6</v>
          </cell>
          <cell r="O1381"/>
          <cell r="P1381">
            <v>46.6</v>
          </cell>
          <cell r="Q1381"/>
          <cell r="R1381">
            <v>46.6</v>
          </cell>
          <cell r="S1381"/>
          <cell r="T1381">
            <v>46.6</v>
          </cell>
          <cell r="U1381"/>
          <cell r="V1381">
            <v>46.6</v>
          </cell>
          <cell r="W1381"/>
          <cell r="X1381">
            <v>46.6</v>
          </cell>
          <cell r="Y1381"/>
          <cell r="Z1381">
            <v>46.6</v>
          </cell>
          <cell r="AA1381"/>
          <cell r="AB1381"/>
          <cell r="AC1381"/>
          <cell r="AD1381">
            <v>1.6E-2</v>
          </cell>
          <cell r="AE1381"/>
          <cell r="AF1381"/>
          <cell r="AG1381"/>
          <cell r="AH1381"/>
          <cell r="AI1381"/>
          <cell r="AJ1381"/>
          <cell r="AK1381"/>
          <cell r="AL1381"/>
        </row>
        <row r="1382">
          <cell r="E1382" t="str">
            <v>電子釦 0.4-10Pr</v>
          </cell>
          <cell r="F1382" t="str">
            <v>ｍ</v>
          </cell>
          <cell r="G1382"/>
          <cell r="H1382">
            <v>135</v>
          </cell>
          <cell r="I1382"/>
          <cell r="J1382">
            <v>135</v>
          </cell>
          <cell r="K1382"/>
          <cell r="L1382">
            <v>135</v>
          </cell>
          <cell r="M1382"/>
          <cell r="N1382">
            <v>135</v>
          </cell>
          <cell r="O1382"/>
          <cell r="P1382">
            <v>135</v>
          </cell>
          <cell r="Q1382"/>
          <cell r="R1382">
            <v>135</v>
          </cell>
          <cell r="S1382"/>
          <cell r="T1382">
            <v>135</v>
          </cell>
          <cell r="U1382"/>
          <cell r="V1382">
            <v>135</v>
          </cell>
          <cell r="W1382"/>
          <cell r="X1382">
            <v>135</v>
          </cell>
          <cell r="Y1382"/>
          <cell r="Z1382">
            <v>135</v>
          </cell>
          <cell r="AA1382"/>
          <cell r="AB1382"/>
          <cell r="AC1382"/>
          <cell r="AD1382">
            <v>0.02</v>
          </cell>
          <cell r="AE1382"/>
          <cell r="AF1382"/>
          <cell r="AG1382"/>
          <cell r="AH1382"/>
          <cell r="AI1382"/>
          <cell r="AJ1382"/>
          <cell r="AK1382"/>
          <cell r="AL1382"/>
        </row>
        <row r="1383">
          <cell r="E1383" t="str">
            <v>電子釦 0.4-20Pr</v>
          </cell>
          <cell r="F1383" t="str">
            <v>ｍ</v>
          </cell>
          <cell r="G1383"/>
          <cell r="H1383">
            <v>186</v>
          </cell>
          <cell r="I1383"/>
          <cell r="J1383">
            <v>186</v>
          </cell>
          <cell r="K1383"/>
          <cell r="L1383">
            <v>186</v>
          </cell>
          <cell r="M1383"/>
          <cell r="N1383">
            <v>186</v>
          </cell>
          <cell r="O1383"/>
          <cell r="P1383">
            <v>186</v>
          </cell>
          <cell r="Q1383"/>
          <cell r="R1383">
            <v>186</v>
          </cell>
          <cell r="S1383"/>
          <cell r="T1383">
            <v>186</v>
          </cell>
          <cell r="U1383"/>
          <cell r="V1383">
            <v>186</v>
          </cell>
          <cell r="W1383"/>
          <cell r="X1383">
            <v>186</v>
          </cell>
          <cell r="Y1383"/>
          <cell r="Z1383">
            <v>186</v>
          </cell>
          <cell r="AA1383"/>
          <cell r="AB1383"/>
          <cell r="AC1383"/>
          <cell r="AD1383">
            <v>2.4E-2</v>
          </cell>
          <cell r="AE1383"/>
          <cell r="AF1383"/>
          <cell r="AG1383"/>
          <cell r="AH1383"/>
          <cell r="AI1383"/>
          <cell r="AJ1383"/>
          <cell r="AK1383"/>
          <cell r="AL1383"/>
        </row>
        <row r="1384">
          <cell r="E1384" t="str">
            <v>TIVF 0.65-2C</v>
          </cell>
          <cell r="F1384" t="str">
            <v>ｍ</v>
          </cell>
          <cell r="G1384"/>
          <cell r="H1384">
            <v>16</v>
          </cell>
          <cell r="I1384"/>
          <cell r="J1384">
            <v>16</v>
          </cell>
          <cell r="K1384"/>
          <cell r="L1384">
            <v>16</v>
          </cell>
          <cell r="M1384"/>
          <cell r="N1384">
            <v>16</v>
          </cell>
          <cell r="O1384"/>
          <cell r="P1384">
            <v>16</v>
          </cell>
          <cell r="Q1384"/>
          <cell r="R1384">
            <v>16</v>
          </cell>
          <cell r="S1384"/>
          <cell r="T1384">
            <v>16</v>
          </cell>
          <cell r="U1384"/>
          <cell r="V1384">
            <v>16</v>
          </cell>
          <cell r="W1384"/>
          <cell r="X1384">
            <v>16</v>
          </cell>
          <cell r="Y1384"/>
          <cell r="Z1384">
            <v>16</v>
          </cell>
          <cell r="AA1384"/>
          <cell r="AB1384"/>
          <cell r="AC1384"/>
          <cell r="AD1384">
            <v>1.2999999999999999E-2</v>
          </cell>
          <cell r="AE1384"/>
          <cell r="AF1384"/>
          <cell r="AG1384"/>
          <cell r="AH1384"/>
          <cell r="AI1384"/>
          <cell r="AJ1384"/>
          <cell r="AK1384"/>
          <cell r="AL1384"/>
        </row>
        <row r="1385">
          <cell r="E1385" t="str">
            <v>TIVF 0.65-3C</v>
          </cell>
          <cell r="F1385" t="str">
            <v>ｍ</v>
          </cell>
          <cell r="G1385"/>
          <cell r="H1385">
            <v>19.8</v>
          </cell>
          <cell r="I1385"/>
          <cell r="J1385">
            <v>19.8</v>
          </cell>
          <cell r="K1385"/>
          <cell r="L1385">
            <v>19.8</v>
          </cell>
          <cell r="M1385"/>
          <cell r="N1385">
            <v>19.8</v>
          </cell>
          <cell r="O1385"/>
          <cell r="P1385">
            <v>19.8</v>
          </cell>
          <cell r="Q1385"/>
          <cell r="R1385">
            <v>19.8</v>
          </cell>
          <cell r="S1385"/>
          <cell r="T1385">
            <v>19.8</v>
          </cell>
          <cell r="U1385"/>
          <cell r="V1385">
            <v>19.8</v>
          </cell>
          <cell r="W1385"/>
          <cell r="X1385">
            <v>19.8</v>
          </cell>
          <cell r="Y1385"/>
          <cell r="Z1385">
            <v>19.8</v>
          </cell>
          <cell r="AA1385"/>
          <cell r="AB1385"/>
          <cell r="AC1385"/>
          <cell r="AD1385">
            <v>1.4E-2</v>
          </cell>
          <cell r="AE1385"/>
          <cell r="AF1385"/>
          <cell r="AG1385"/>
          <cell r="AH1385"/>
          <cell r="AI1385"/>
          <cell r="AJ1385"/>
          <cell r="AK1385"/>
          <cell r="AL1385"/>
        </row>
        <row r="1386">
          <cell r="E1386" t="str">
            <v>TIVF 0.8-2C</v>
          </cell>
          <cell r="F1386" t="str">
            <v>ｍ</v>
          </cell>
          <cell r="G1386"/>
          <cell r="H1386">
            <v>18.2</v>
          </cell>
          <cell r="I1386"/>
          <cell r="J1386">
            <v>18.2</v>
          </cell>
          <cell r="K1386"/>
          <cell r="L1386">
            <v>18.2</v>
          </cell>
          <cell r="M1386"/>
          <cell r="N1386">
            <v>18.2</v>
          </cell>
          <cell r="O1386"/>
          <cell r="P1386">
            <v>18.2</v>
          </cell>
          <cell r="Q1386"/>
          <cell r="R1386">
            <v>18.2</v>
          </cell>
          <cell r="S1386"/>
          <cell r="T1386">
            <v>18.2</v>
          </cell>
          <cell r="U1386"/>
          <cell r="V1386">
            <v>18.2</v>
          </cell>
          <cell r="W1386"/>
          <cell r="X1386">
            <v>18.2</v>
          </cell>
          <cell r="Y1386"/>
          <cell r="Z1386">
            <v>18.2</v>
          </cell>
          <cell r="AA1386"/>
          <cell r="AB1386"/>
          <cell r="AC1386"/>
          <cell r="AD1386">
            <v>1.7000000000000001E-2</v>
          </cell>
          <cell r="AE1386"/>
          <cell r="AF1386"/>
          <cell r="AG1386"/>
          <cell r="AH1386"/>
          <cell r="AI1386"/>
          <cell r="AJ1386"/>
          <cell r="AK1386"/>
          <cell r="AL1386"/>
        </row>
        <row r="1387">
          <cell r="E1387" t="str">
            <v>TIVF 0.8-3C</v>
          </cell>
          <cell r="F1387" t="str">
            <v>ｍ</v>
          </cell>
          <cell r="G1387"/>
          <cell r="H1387">
            <v>22.9</v>
          </cell>
          <cell r="I1387"/>
          <cell r="J1387">
            <v>22.9</v>
          </cell>
          <cell r="K1387"/>
          <cell r="L1387">
            <v>22.9</v>
          </cell>
          <cell r="M1387"/>
          <cell r="N1387">
            <v>22.9</v>
          </cell>
          <cell r="O1387"/>
          <cell r="P1387">
            <v>22.9</v>
          </cell>
          <cell r="Q1387"/>
          <cell r="R1387">
            <v>22.9</v>
          </cell>
          <cell r="S1387"/>
          <cell r="T1387">
            <v>22.9</v>
          </cell>
          <cell r="U1387"/>
          <cell r="V1387">
            <v>22.9</v>
          </cell>
          <cell r="W1387"/>
          <cell r="X1387">
            <v>22.9</v>
          </cell>
          <cell r="Y1387"/>
          <cell r="Z1387">
            <v>22.9</v>
          </cell>
          <cell r="AA1387"/>
          <cell r="AB1387"/>
          <cell r="AC1387"/>
          <cell r="AD1387">
            <v>1.7999999999999999E-2</v>
          </cell>
          <cell r="AE1387"/>
          <cell r="AF1387"/>
          <cell r="AG1387"/>
          <cell r="AH1387"/>
          <cell r="AI1387"/>
          <cell r="AJ1387"/>
          <cell r="AK1387"/>
          <cell r="AL1387"/>
        </row>
        <row r="1388">
          <cell r="E1388" t="str">
            <v>3C-2V</v>
          </cell>
          <cell r="F1388" t="str">
            <v>ｍ</v>
          </cell>
          <cell r="G1388"/>
          <cell r="H1388">
            <v>51.3</v>
          </cell>
          <cell r="I1388"/>
          <cell r="J1388">
            <v>51.3</v>
          </cell>
          <cell r="K1388"/>
          <cell r="L1388">
            <v>51.3</v>
          </cell>
          <cell r="M1388"/>
          <cell r="N1388">
            <v>51.3</v>
          </cell>
          <cell r="O1388"/>
          <cell r="P1388">
            <v>51.3</v>
          </cell>
          <cell r="Q1388"/>
          <cell r="R1388">
            <v>51.3</v>
          </cell>
          <cell r="S1388"/>
          <cell r="T1388">
            <v>51.3</v>
          </cell>
          <cell r="U1388"/>
          <cell r="V1388">
            <v>51.3</v>
          </cell>
          <cell r="W1388"/>
          <cell r="X1388">
            <v>51.3</v>
          </cell>
          <cell r="Y1388"/>
          <cell r="Z1388">
            <v>51.3</v>
          </cell>
          <cell r="AA1388"/>
          <cell r="AB1388"/>
          <cell r="AC1388"/>
          <cell r="AD1388">
            <v>1.7000000000000001E-2</v>
          </cell>
          <cell r="AE1388"/>
          <cell r="AF1388"/>
          <cell r="AG1388"/>
          <cell r="AH1388"/>
          <cell r="AI1388"/>
          <cell r="AJ1388"/>
          <cell r="AK1388"/>
          <cell r="AL1388"/>
        </row>
        <row r="1389">
          <cell r="E1389" t="str">
            <v>3C-2W</v>
          </cell>
          <cell r="F1389" t="str">
            <v>ｍ</v>
          </cell>
          <cell r="G1389"/>
          <cell r="H1389">
            <v>110</v>
          </cell>
          <cell r="I1389"/>
          <cell r="J1389">
            <v>110</v>
          </cell>
          <cell r="K1389"/>
          <cell r="L1389">
            <v>110</v>
          </cell>
          <cell r="M1389"/>
          <cell r="N1389">
            <v>110</v>
          </cell>
          <cell r="O1389"/>
          <cell r="P1389">
            <v>110</v>
          </cell>
          <cell r="Q1389"/>
          <cell r="R1389">
            <v>110</v>
          </cell>
          <cell r="S1389"/>
          <cell r="T1389">
            <v>110</v>
          </cell>
          <cell r="U1389"/>
          <cell r="V1389">
            <v>110</v>
          </cell>
          <cell r="W1389"/>
          <cell r="X1389">
            <v>110</v>
          </cell>
          <cell r="Y1389"/>
          <cell r="Z1389">
            <v>110</v>
          </cell>
          <cell r="AA1389"/>
          <cell r="AB1389"/>
          <cell r="AC1389"/>
          <cell r="AD1389">
            <v>1.7000000000000001E-2</v>
          </cell>
          <cell r="AE1389"/>
          <cell r="AF1389"/>
          <cell r="AG1389"/>
          <cell r="AH1389"/>
          <cell r="AI1389"/>
          <cell r="AJ1389"/>
          <cell r="AK1389"/>
          <cell r="AL1389"/>
        </row>
        <row r="1390">
          <cell r="E1390" t="str">
            <v>5C-2V</v>
          </cell>
          <cell r="F1390" t="str">
            <v>ｍ</v>
          </cell>
          <cell r="G1390"/>
          <cell r="H1390">
            <v>69.099999999999994</v>
          </cell>
          <cell r="I1390"/>
          <cell r="J1390">
            <v>69.099999999999994</v>
          </cell>
          <cell r="K1390"/>
          <cell r="L1390">
            <v>69.099999999999994</v>
          </cell>
          <cell r="M1390"/>
          <cell r="N1390">
            <v>69.099999999999994</v>
          </cell>
          <cell r="O1390"/>
          <cell r="P1390">
            <v>69.099999999999994</v>
          </cell>
          <cell r="Q1390"/>
          <cell r="R1390">
            <v>69.099999999999994</v>
          </cell>
          <cell r="S1390"/>
          <cell r="T1390">
            <v>69.099999999999994</v>
          </cell>
          <cell r="U1390"/>
          <cell r="V1390">
            <v>69.099999999999994</v>
          </cell>
          <cell r="W1390"/>
          <cell r="X1390">
            <v>69.099999999999994</v>
          </cell>
          <cell r="Y1390"/>
          <cell r="Z1390">
            <v>69.099999999999994</v>
          </cell>
          <cell r="AA1390"/>
          <cell r="AB1390"/>
          <cell r="AC1390"/>
          <cell r="AD1390">
            <v>1.7000000000000001E-2</v>
          </cell>
          <cell r="AE1390"/>
          <cell r="AF1390"/>
          <cell r="AG1390"/>
          <cell r="AH1390"/>
          <cell r="AI1390"/>
          <cell r="AJ1390"/>
          <cell r="AK1390"/>
          <cell r="AL1390"/>
        </row>
        <row r="1391">
          <cell r="E1391" t="str">
            <v>5C-2W</v>
          </cell>
          <cell r="F1391" t="str">
            <v>ｍ</v>
          </cell>
          <cell r="G1391"/>
          <cell r="H1391">
            <v>139</v>
          </cell>
          <cell r="I1391"/>
          <cell r="J1391">
            <v>139</v>
          </cell>
          <cell r="K1391"/>
          <cell r="L1391">
            <v>139</v>
          </cell>
          <cell r="M1391"/>
          <cell r="N1391">
            <v>139</v>
          </cell>
          <cell r="O1391"/>
          <cell r="P1391">
            <v>139</v>
          </cell>
          <cell r="Q1391"/>
          <cell r="R1391">
            <v>139</v>
          </cell>
          <cell r="S1391"/>
          <cell r="T1391">
            <v>139</v>
          </cell>
          <cell r="U1391"/>
          <cell r="V1391">
            <v>139</v>
          </cell>
          <cell r="W1391"/>
          <cell r="X1391">
            <v>139</v>
          </cell>
          <cell r="Y1391"/>
          <cell r="Z1391">
            <v>139</v>
          </cell>
          <cell r="AA1391"/>
          <cell r="AB1391"/>
          <cell r="AC1391"/>
          <cell r="AD1391">
            <v>0.02</v>
          </cell>
          <cell r="AE1391"/>
          <cell r="AF1391"/>
          <cell r="AG1391"/>
          <cell r="AH1391"/>
          <cell r="AI1391"/>
          <cell r="AJ1391"/>
          <cell r="AK1391"/>
          <cell r="AL1391"/>
        </row>
        <row r="1392">
          <cell r="E1392" t="str">
            <v>7C-2V</v>
          </cell>
          <cell r="F1392" t="str">
            <v>ｍ</v>
          </cell>
          <cell r="G1392"/>
          <cell r="H1392">
            <v>165</v>
          </cell>
          <cell r="I1392"/>
          <cell r="J1392">
            <v>165</v>
          </cell>
          <cell r="K1392"/>
          <cell r="L1392">
            <v>165</v>
          </cell>
          <cell r="M1392"/>
          <cell r="N1392">
            <v>165</v>
          </cell>
          <cell r="O1392"/>
          <cell r="P1392">
            <v>165</v>
          </cell>
          <cell r="Q1392"/>
          <cell r="R1392">
            <v>165</v>
          </cell>
          <cell r="S1392"/>
          <cell r="T1392">
            <v>165</v>
          </cell>
          <cell r="U1392"/>
          <cell r="V1392">
            <v>165</v>
          </cell>
          <cell r="W1392"/>
          <cell r="X1392">
            <v>165</v>
          </cell>
          <cell r="Y1392"/>
          <cell r="Z1392">
            <v>165</v>
          </cell>
          <cell r="AA1392"/>
          <cell r="AB1392"/>
          <cell r="AC1392"/>
          <cell r="AD1392">
            <v>0.02</v>
          </cell>
          <cell r="AE1392"/>
          <cell r="AF1392"/>
          <cell r="AG1392"/>
          <cell r="AH1392"/>
          <cell r="AI1392"/>
          <cell r="AJ1392"/>
          <cell r="AK1392"/>
          <cell r="AL1392"/>
        </row>
        <row r="1393">
          <cell r="E1393" t="str">
            <v>10C-2V</v>
          </cell>
          <cell r="F1393" t="str">
            <v>ｍ</v>
          </cell>
          <cell r="G1393"/>
          <cell r="H1393">
            <v>240</v>
          </cell>
          <cell r="I1393"/>
          <cell r="J1393">
            <v>240</v>
          </cell>
          <cell r="K1393"/>
          <cell r="L1393">
            <v>240</v>
          </cell>
          <cell r="M1393"/>
          <cell r="N1393">
            <v>240</v>
          </cell>
          <cell r="O1393"/>
          <cell r="P1393">
            <v>240</v>
          </cell>
          <cell r="Q1393"/>
          <cell r="R1393">
            <v>240</v>
          </cell>
          <cell r="S1393"/>
          <cell r="T1393">
            <v>240</v>
          </cell>
          <cell r="U1393"/>
          <cell r="V1393">
            <v>240</v>
          </cell>
          <cell r="W1393"/>
          <cell r="X1393">
            <v>240</v>
          </cell>
          <cell r="Y1393"/>
          <cell r="Z1393">
            <v>240</v>
          </cell>
          <cell r="AA1393"/>
          <cell r="AB1393"/>
          <cell r="AC1393"/>
          <cell r="AD1393">
            <v>0.02</v>
          </cell>
          <cell r="AE1393"/>
          <cell r="AF1393"/>
          <cell r="AG1393"/>
          <cell r="AH1393"/>
          <cell r="AI1393"/>
          <cell r="AJ1393"/>
          <cell r="AK1393"/>
          <cell r="AL1393"/>
        </row>
        <row r="1394">
          <cell r="E1394" t="str">
            <v>10C-2W</v>
          </cell>
          <cell r="F1394" t="str">
            <v>ｍ</v>
          </cell>
          <cell r="G1394"/>
          <cell r="H1394">
            <v>321</v>
          </cell>
          <cell r="I1394"/>
          <cell r="J1394">
            <v>321</v>
          </cell>
          <cell r="K1394"/>
          <cell r="L1394">
            <v>321</v>
          </cell>
          <cell r="M1394"/>
          <cell r="N1394">
            <v>321</v>
          </cell>
          <cell r="O1394"/>
          <cell r="P1394">
            <v>321</v>
          </cell>
          <cell r="Q1394"/>
          <cell r="R1394">
            <v>321</v>
          </cell>
          <cell r="S1394"/>
          <cell r="T1394">
            <v>321</v>
          </cell>
          <cell r="U1394"/>
          <cell r="V1394">
            <v>321</v>
          </cell>
          <cell r="W1394"/>
          <cell r="X1394">
            <v>321</v>
          </cell>
          <cell r="Y1394"/>
          <cell r="Z1394">
            <v>321</v>
          </cell>
          <cell r="AA1394"/>
          <cell r="AB1394"/>
          <cell r="AC1394"/>
          <cell r="AD1394">
            <v>2.7E-2</v>
          </cell>
          <cell r="AE1394"/>
          <cell r="AF1394"/>
          <cell r="AG1394"/>
          <cell r="AH1394"/>
          <cell r="AI1394"/>
          <cell r="AJ1394"/>
          <cell r="AK1394"/>
          <cell r="AL1394"/>
        </row>
        <row r="1395">
          <cell r="E1395" t="str">
            <v>3D-2V</v>
          </cell>
          <cell r="F1395" t="str">
            <v>ｍ</v>
          </cell>
          <cell r="G1395"/>
          <cell r="H1395">
            <v>71.8</v>
          </cell>
          <cell r="I1395"/>
          <cell r="J1395">
            <v>71.8</v>
          </cell>
          <cell r="K1395"/>
          <cell r="L1395">
            <v>71.8</v>
          </cell>
          <cell r="M1395"/>
          <cell r="N1395">
            <v>71.8</v>
          </cell>
          <cell r="O1395"/>
          <cell r="P1395">
            <v>71.8</v>
          </cell>
          <cell r="Q1395"/>
          <cell r="R1395">
            <v>71.8</v>
          </cell>
          <cell r="S1395"/>
          <cell r="T1395">
            <v>71.8</v>
          </cell>
          <cell r="U1395"/>
          <cell r="V1395">
            <v>71.8</v>
          </cell>
          <cell r="W1395"/>
          <cell r="X1395">
            <v>71.8</v>
          </cell>
          <cell r="Y1395"/>
          <cell r="Z1395">
            <v>71.8</v>
          </cell>
          <cell r="AA1395"/>
          <cell r="AB1395"/>
          <cell r="AC1395"/>
          <cell r="AD1395">
            <v>3.4000000000000002E-2</v>
          </cell>
          <cell r="AE1395"/>
          <cell r="AF1395"/>
          <cell r="AG1395"/>
          <cell r="AH1395"/>
          <cell r="AI1395"/>
          <cell r="AJ1395"/>
          <cell r="AK1395"/>
          <cell r="AL1395"/>
        </row>
        <row r="1396">
          <cell r="E1396" t="str">
            <v>3D-2W</v>
          </cell>
          <cell r="F1396" t="str">
            <v>ｍ</v>
          </cell>
          <cell r="G1396"/>
          <cell r="H1396">
            <v>128</v>
          </cell>
          <cell r="I1396"/>
          <cell r="J1396">
            <v>128</v>
          </cell>
          <cell r="K1396"/>
          <cell r="L1396">
            <v>128</v>
          </cell>
          <cell r="M1396"/>
          <cell r="N1396">
            <v>128</v>
          </cell>
          <cell r="O1396"/>
          <cell r="P1396">
            <v>128</v>
          </cell>
          <cell r="Q1396"/>
          <cell r="R1396">
            <v>128</v>
          </cell>
          <cell r="S1396"/>
          <cell r="T1396">
            <v>128</v>
          </cell>
          <cell r="U1396"/>
          <cell r="V1396">
            <v>128</v>
          </cell>
          <cell r="W1396"/>
          <cell r="X1396">
            <v>128</v>
          </cell>
          <cell r="Y1396"/>
          <cell r="Z1396">
            <v>128</v>
          </cell>
          <cell r="AA1396"/>
          <cell r="AB1396"/>
          <cell r="AC1396"/>
          <cell r="AD1396">
            <v>3.4000000000000002E-2</v>
          </cell>
          <cell r="AE1396"/>
          <cell r="AF1396"/>
          <cell r="AG1396"/>
          <cell r="AH1396"/>
          <cell r="AI1396"/>
          <cell r="AJ1396"/>
          <cell r="AK1396"/>
          <cell r="AL1396"/>
        </row>
        <row r="1397">
          <cell r="E1397" t="str">
            <v>5D-2V</v>
          </cell>
          <cell r="F1397" t="str">
            <v>ｍ</v>
          </cell>
          <cell r="G1397"/>
          <cell r="H1397">
            <v>96.4</v>
          </cell>
          <cell r="I1397"/>
          <cell r="J1397">
            <v>96.4</v>
          </cell>
          <cell r="K1397"/>
          <cell r="L1397">
            <v>96.4</v>
          </cell>
          <cell r="M1397"/>
          <cell r="N1397">
            <v>96.4</v>
          </cell>
          <cell r="O1397"/>
          <cell r="P1397">
            <v>96.4</v>
          </cell>
          <cell r="Q1397"/>
          <cell r="R1397">
            <v>96.4</v>
          </cell>
          <cell r="S1397"/>
          <cell r="T1397">
            <v>96.4</v>
          </cell>
          <cell r="U1397"/>
          <cell r="V1397">
            <v>96.4</v>
          </cell>
          <cell r="W1397"/>
          <cell r="X1397">
            <v>96.4</v>
          </cell>
          <cell r="Y1397"/>
          <cell r="Z1397">
            <v>96.4</v>
          </cell>
          <cell r="AA1397"/>
          <cell r="AB1397"/>
          <cell r="AC1397"/>
          <cell r="AD1397">
            <v>1.7000000000000001E-2</v>
          </cell>
          <cell r="AE1397"/>
          <cell r="AF1397"/>
          <cell r="AG1397"/>
          <cell r="AH1397"/>
          <cell r="AI1397"/>
          <cell r="AJ1397"/>
          <cell r="AK1397"/>
          <cell r="AL1397"/>
        </row>
        <row r="1398">
          <cell r="E1398" t="str">
            <v>5D-2W</v>
          </cell>
          <cell r="F1398" t="str">
            <v>ｍ</v>
          </cell>
          <cell r="G1398"/>
          <cell r="H1398">
            <v>147</v>
          </cell>
          <cell r="I1398"/>
          <cell r="J1398">
            <v>147</v>
          </cell>
          <cell r="K1398"/>
          <cell r="L1398">
            <v>147</v>
          </cell>
          <cell r="M1398"/>
          <cell r="N1398">
            <v>147</v>
          </cell>
          <cell r="O1398"/>
          <cell r="P1398">
            <v>147</v>
          </cell>
          <cell r="Q1398"/>
          <cell r="R1398">
            <v>147</v>
          </cell>
          <cell r="S1398"/>
          <cell r="T1398">
            <v>147</v>
          </cell>
          <cell r="U1398"/>
          <cell r="V1398">
            <v>147</v>
          </cell>
          <cell r="W1398"/>
          <cell r="X1398">
            <v>147</v>
          </cell>
          <cell r="Y1398"/>
          <cell r="Z1398">
            <v>147</v>
          </cell>
          <cell r="AA1398"/>
          <cell r="AB1398"/>
          <cell r="AC1398"/>
          <cell r="AD1398">
            <v>0.02</v>
          </cell>
          <cell r="AE1398"/>
          <cell r="AF1398"/>
          <cell r="AG1398"/>
          <cell r="AH1398"/>
          <cell r="AI1398"/>
          <cell r="AJ1398"/>
          <cell r="AK1398"/>
          <cell r="AL1398"/>
        </row>
        <row r="1399">
          <cell r="E1399" t="str">
            <v>8D-2V</v>
          </cell>
          <cell r="F1399" t="str">
            <v>ｍ</v>
          </cell>
          <cell r="G1399"/>
          <cell r="H1399">
            <v>203</v>
          </cell>
          <cell r="I1399"/>
          <cell r="J1399">
            <v>203</v>
          </cell>
          <cell r="K1399"/>
          <cell r="L1399">
            <v>203</v>
          </cell>
          <cell r="M1399"/>
          <cell r="N1399">
            <v>203</v>
          </cell>
          <cell r="O1399"/>
          <cell r="P1399">
            <v>203</v>
          </cell>
          <cell r="Q1399"/>
          <cell r="R1399">
            <v>203</v>
          </cell>
          <cell r="S1399"/>
          <cell r="T1399">
            <v>203</v>
          </cell>
          <cell r="U1399"/>
          <cell r="V1399">
            <v>203</v>
          </cell>
          <cell r="W1399"/>
          <cell r="X1399">
            <v>203</v>
          </cell>
          <cell r="Y1399"/>
          <cell r="Z1399">
            <v>203</v>
          </cell>
          <cell r="AA1399"/>
          <cell r="AB1399"/>
          <cell r="AC1399"/>
          <cell r="AD1399">
            <v>0.02</v>
          </cell>
          <cell r="AE1399"/>
          <cell r="AF1399"/>
          <cell r="AG1399"/>
          <cell r="AH1399"/>
          <cell r="AI1399"/>
          <cell r="AJ1399"/>
          <cell r="AK1399"/>
          <cell r="AL1399"/>
        </row>
        <row r="1400">
          <cell r="E1400" t="str">
            <v>8D-2W</v>
          </cell>
          <cell r="F1400" t="str">
            <v>ｍ</v>
          </cell>
          <cell r="G1400"/>
          <cell r="H1400">
            <v>298</v>
          </cell>
          <cell r="I1400"/>
          <cell r="J1400">
            <v>298</v>
          </cell>
          <cell r="K1400"/>
          <cell r="L1400">
            <v>298</v>
          </cell>
          <cell r="M1400"/>
          <cell r="N1400">
            <v>298</v>
          </cell>
          <cell r="O1400"/>
          <cell r="P1400">
            <v>298</v>
          </cell>
          <cell r="Q1400"/>
          <cell r="R1400">
            <v>298</v>
          </cell>
          <cell r="S1400"/>
          <cell r="T1400">
            <v>298</v>
          </cell>
          <cell r="U1400"/>
          <cell r="V1400">
            <v>298</v>
          </cell>
          <cell r="W1400"/>
          <cell r="X1400">
            <v>298</v>
          </cell>
          <cell r="Y1400"/>
          <cell r="Z1400">
            <v>298</v>
          </cell>
          <cell r="AA1400"/>
          <cell r="AB1400"/>
          <cell r="AC1400"/>
          <cell r="AD1400">
            <v>3.3000000000000002E-2</v>
          </cell>
          <cell r="AE1400"/>
          <cell r="AF1400"/>
          <cell r="AG1400"/>
          <cell r="AH1400"/>
          <cell r="AI1400"/>
          <cell r="AJ1400"/>
          <cell r="AK1400"/>
          <cell r="AL1400"/>
        </row>
        <row r="1401">
          <cell r="E1401" t="str">
            <v>10D-2V</v>
          </cell>
          <cell r="F1401" t="str">
            <v>ｍ</v>
          </cell>
          <cell r="G1401"/>
          <cell r="H1401">
            <v>273</v>
          </cell>
          <cell r="I1401"/>
          <cell r="J1401">
            <v>273</v>
          </cell>
          <cell r="K1401"/>
          <cell r="L1401">
            <v>273</v>
          </cell>
          <cell r="M1401"/>
          <cell r="N1401">
            <v>273</v>
          </cell>
          <cell r="O1401"/>
          <cell r="P1401">
            <v>273</v>
          </cell>
          <cell r="Q1401"/>
          <cell r="R1401">
            <v>273</v>
          </cell>
          <cell r="S1401"/>
          <cell r="T1401">
            <v>273</v>
          </cell>
          <cell r="U1401"/>
          <cell r="V1401">
            <v>273</v>
          </cell>
          <cell r="W1401"/>
          <cell r="X1401">
            <v>273</v>
          </cell>
          <cell r="Y1401"/>
          <cell r="Z1401">
            <v>273</v>
          </cell>
          <cell r="AA1401"/>
          <cell r="AB1401"/>
          <cell r="AC1401"/>
          <cell r="AD1401">
            <v>3.3000000000000002E-2</v>
          </cell>
          <cell r="AE1401"/>
          <cell r="AF1401"/>
          <cell r="AG1401"/>
          <cell r="AH1401"/>
          <cell r="AI1401"/>
          <cell r="AJ1401"/>
          <cell r="AK1401"/>
          <cell r="AL1401"/>
        </row>
        <row r="1402">
          <cell r="E1402" t="str">
            <v>S-5C-FB</v>
          </cell>
          <cell r="F1402" t="str">
            <v>ｍ</v>
          </cell>
          <cell r="G1402"/>
          <cell r="H1402">
            <v>64.8</v>
          </cell>
          <cell r="I1402"/>
          <cell r="J1402">
            <v>64.8</v>
          </cell>
          <cell r="K1402"/>
          <cell r="L1402">
            <v>64.8</v>
          </cell>
          <cell r="M1402"/>
          <cell r="N1402">
            <v>64.8</v>
          </cell>
          <cell r="O1402"/>
          <cell r="P1402">
            <v>64.8</v>
          </cell>
          <cell r="Q1402"/>
          <cell r="R1402">
            <v>64.8</v>
          </cell>
          <cell r="S1402"/>
          <cell r="T1402">
            <v>64.8</v>
          </cell>
          <cell r="U1402"/>
          <cell r="V1402">
            <v>64.8</v>
          </cell>
          <cell r="W1402"/>
          <cell r="X1402">
            <v>64.8</v>
          </cell>
          <cell r="Y1402"/>
          <cell r="Z1402">
            <v>64.8</v>
          </cell>
          <cell r="AA1402"/>
          <cell r="AB1402"/>
          <cell r="AC1402"/>
          <cell r="AD1402">
            <v>3.4000000000000002E-2</v>
          </cell>
          <cell r="AE1402"/>
          <cell r="AF1402"/>
          <cell r="AG1402"/>
          <cell r="AH1402"/>
          <cell r="AI1402"/>
          <cell r="AJ1402"/>
          <cell r="AK1402"/>
          <cell r="AL1402"/>
        </row>
        <row r="1403">
          <cell r="E1403" t="str">
            <v>S-7C-FB</v>
          </cell>
          <cell r="F1403" t="str">
            <v>ｍ</v>
          </cell>
          <cell r="G1403"/>
          <cell r="H1403">
            <v>133</v>
          </cell>
          <cell r="I1403"/>
          <cell r="J1403">
            <v>133</v>
          </cell>
          <cell r="K1403"/>
          <cell r="L1403">
            <v>133</v>
          </cell>
          <cell r="M1403"/>
          <cell r="N1403">
            <v>133</v>
          </cell>
          <cell r="O1403"/>
          <cell r="P1403">
            <v>133</v>
          </cell>
          <cell r="Q1403"/>
          <cell r="R1403">
            <v>133</v>
          </cell>
          <cell r="S1403"/>
          <cell r="T1403">
            <v>133</v>
          </cell>
          <cell r="U1403"/>
          <cell r="V1403">
            <v>133</v>
          </cell>
          <cell r="W1403"/>
          <cell r="X1403">
            <v>133</v>
          </cell>
          <cell r="Y1403"/>
          <cell r="Z1403">
            <v>133</v>
          </cell>
          <cell r="AA1403"/>
          <cell r="AB1403"/>
          <cell r="AC1403"/>
          <cell r="AD1403">
            <v>0.02</v>
          </cell>
          <cell r="AE1403"/>
          <cell r="AF1403"/>
          <cell r="AG1403"/>
          <cell r="AH1403"/>
          <cell r="AI1403"/>
          <cell r="AJ1403"/>
          <cell r="AK1403"/>
          <cell r="AL1403"/>
        </row>
        <row r="1404">
          <cell r="E1404" t="str">
            <v>S-10C-FB</v>
          </cell>
          <cell r="F1404" t="str">
            <v>ｍ</v>
          </cell>
          <cell r="G1404"/>
          <cell r="H1404">
            <v>247</v>
          </cell>
          <cell r="I1404"/>
          <cell r="J1404">
            <v>247</v>
          </cell>
          <cell r="K1404"/>
          <cell r="L1404">
            <v>247</v>
          </cell>
          <cell r="M1404"/>
          <cell r="N1404">
            <v>247</v>
          </cell>
          <cell r="O1404"/>
          <cell r="P1404">
            <v>247</v>
          </cell>
          <cell r="Q1404"/>
          <cell r="R1404">
            <v>247</v>
          </cell>
          <cell r="S1404"/>
          <cell r="T1404">
            <v>247</v>
          </cell>
          <cell r="U1404"/>
          <cell r="V1404">
            <v>247</v>
          </cell>
          <cell r="W1404"/>
          <cell r="X1404">
            <v>247</v>
          </cell>
          <cell r="Y1404"/>
          <cell r="Z1404">
            <v>247</v>
          </cell>
          <cell r="AA1404"/>
          <cell r="AB1404"/>
          <cell r="AC1404"/>
          <cell r="AD1404">
            <v>2.7E-2</v>
          </cell>
          <cell r="AE1404"/>
          <cell r="AF1404"/>
          <cell r="AG1404"/>
          <cell r="AH1404"/>
          <cell r="AI1404"/>
          <cell r="AJ1404"/>
          <cell r="AK1404"/>
          <cell r="AL1404"/>
        </row>
        <row r="1405">
          <cell r="E1405" t="str">
            <v>S-5C-HFL</v>
          </cell>
          <cell r="F1405" t="str">
            <v>ｍ</v>
          </cell>
          <cell r="G1405"/>
          <cell r="H1405">
            <v>86.3</v>
          </cell>
          <cell r="I1405"/>
          <cell r="J1405">
            <v>86.3</v>
          </cell>
          <cell r="K1405"/>
          <cell r="L1405">
            <v>86.3</v>
          </cell>
          <cell r="M1405"/>
          <cell r="N1405">
            <v>86.3</v>
          </cell>
          <cell r="O1405"/>
          <cell r="P1405">
            <v>86.3</v>
          </cell>
          <cell r="Q1405"/>
          <cell r="R1405">
            <v>86.3</v>
          </cell>
          <cell r="S1405"/>
          <cell r="T1405">
            <v>86.3</v>
          </cell>
          <cell r="U1405"/>
          <cell r="V1405">
            <v>86.3</v>
          </cell>
          <cell r="W1405"/>
          <cell r="X1405">
            <v>86.3</v>
          </cell>
          <cell r="Y1405"/>
          <cell r="Z1405">
            <v>86.3</v>
          </cell>
          <cell r="AA1405"/>
          <cell r="AB1405"/>
          <cell r="AC1405"/>
          <cell r="AD1405">
            <v>3.4000000000000002E-2</v>
          </cell>
          <cell r="AE1405"/>
          <cell r="AF1405"/>
          <cell r="AG1405"/>
          <cell r="AH1405"/>
          <cell r="AI1405"/>
          <cell r="AJ1405"/>
          <cell r="AK1405"/>
          <cell r="AL1405"/>
        </row>
        <row r="1406">
          <cell r="E1406" t="str">
            <v>S-7C-HFL</v>
          </cell>
          <cell r="F1406" t="str">
            <v>ｍ</v>
          </cell>
          <cell r="G1406"/>
          <cell r="H1406">
            <v>157</v>
          </cell>
          <cell r="I1406"/>
          <cell r="J1406">
            <v>157</v>
          </cell>
          <cell r="K1406"/>
          <cell r="L1406">
            <v>157</v>
          </cell>
          <cell r="M1406"/>
          <cell r="N1406">
            <v>157</v>
          </cell>
          <cell r="O1406"/>
          <cell r="P1406">
            <v>157</v>
          </cell>
          <cell r="Q1406"/>
          <cell r="R1406">
            <v>157</v>
          </cell>
          <cell r="S1406"/>
          <cell r="T1406">
            <v>157</v>
          </cell>
          <cell r="U1406"/>
          <cell r="V1406">
            <v>157</v>
          </cell>
          <cell r="W1406"/>
          <cell r="X1406">
            <v>157</v>
          </cell>
          <cell r="Y1406"/>
          <cell r="Z1406">
            <v>157</v>
          </cell>
          <cell r="AA1406"/>
          <cell r="AB1406"/>
          <cell r="AC1406"/>
          <cell r="AD1406">
            <v>0.02</v>
          </cell>
          <cell r="AE1406"/>
          <cell r="AF1406"/>
          <cell r="AG1406"/>
          <cell r="AH1406"/>
          <cell r="AI1406"/>
          <cell r="AJ1406"/>
          <cell r="AK1406"/>
          <cell r="AL1406"/>
        </row>
        <row r="1407">
          <cell r="E1407" t="str">
            <v>S-10C-HFL</v>
          </cell>
          <cell r="F1407" t="str">
            <v>ｍ</v>
          </cell>
          <cell r="G1407"/>
          <cell r="H1407">
            <v>243</v>
          </cell>
          <cell r="I1407"/>
          <cell r="J1407">
            <v>243</v>
          </cell>
          <cell r="K1407"/>
          <cell r="L1407">
            <v>243</v>
          </cell>
          <cell r="M1407"/>
          <cell r="N1407">
            <v>243</v>
          </cell>
          <cell r="O1407"/>
          <cell r="P1407">
            <v>243</v>
          </cell>
          <cell r="Q1407"/>
          <cell r="R1407">
            <v>243</v>
          </cell>
          <cell r="S1407"/>
          <cell r="T1407">
            <v>243</v>
          </cell>
          <cell r="U1407"/>
          <cell r="V1407">
            <v>243</v>
          </cell>
          <cell r="W1407"/>
          <cell r="X1407">
            <v>243</v>
          </cell>
          <cell r="Y1407"/>
          <cell r="Z1407">
            <v>243</v>
          </cell>
          <cell r="AA1407"/>
          <cell r="AB1407"/>
          <cell r="AC1407"/>
          <cell r="AD1407">
            <v>2.7E-2</v>
          </cell>
          <cell r="AE1407"/>
          <cell r="AF1407"/>
          <cell r="AG1407"/>
          <cell r="AH1407"/>
          <cell r="AI1407"/>
          <cell r="AJ1407"/>
          <cell r="AK1407"/>
          <cell r="AL1407"/>
        </row>
        <row r="1408">
          <cell r="E1408" t="str">
            <v>S-5C-HFL-SS</v>
          </cell>
          <cell r="F1408" t="str">
            <v>ｍ</v>
          </cell>
          <cell r="G1408"/>
          <cell r="H1408">
            <v>159</v>
          </cell>
          <cell r="I1408"/>
          <cell r="J1408">
            <v>159</v>
          </cell>
          <cell r="K1408"/>
          <cell r="L1408">
            <v>159</v>
          </cell>
          <cell r="M1408"/>
          <cell r="N1408">
            <v>159</v>
          </cell>
          <cell r="O1408"/>
          <cell r="P1408">
            <v>159</v>
          </cell>
          <cell r="Q1408"/>
          <cell r="R1408">
            <v>159</v>
          </cell>
          <cell r="S1408"/>
          <cell r="T1408">
            <v>159</v>
          </cell>
          <cell r="U1408"/>
          <cell r="V1408">
            <v>159</v>
          </cell>
          <cell r="W1408"/>
          <cell r="X1408">
            <v>159</v>
          </cell>
          <cell r="Y1408"/>
          <cell r="Z1408">
            <v>159</v>
          </cell>
          <cell r="AA1408"/>
          <cell r="AB1408"/>
          <cell r="AC1408"/>
          <cell r="AD1408">
            <v>0.02</v>
          </cell>
          <cell r="AE1408"/>
          <cell r="AF1408"/>
          <cell r="AG1408"/>
          <cell r="AH1408"/>
          <cell r="AI1408"/>
          <cell r="AJ1408"/>
          <cell r="AK1408"/>
          <cell r="AL1408"/>
        </row>
        <row r="1409">
          <cell r="E1409" t="str">
            <v>S-7C-HFL-SS</v>
          </cell>
          <cell r="F1409" t="str">
            <v>ｍ</v>
          </cell>
          <cell r="G1409"/>
          <cell r="H1409">
            <v>235</v>
          </cell>
          <cell r="I1409"/>
          <cell r="J1409">
            <v>235</v>
          </cell>
          <cell r="K1409"/>
          <cell r="L1409">
            <v>235</v>
          </cell>
          <cell r="M1409"/>
          <cell r="N1409">
            <v>235</v>
          </cell>
          <cell r="O1409"/>
          <cell r="P1409">
            <v>235</v>
          </cell>
          <cell r="Q1409"/>
          <cell r="R1409">
            <v>235</v>
          </cell>
          <cell r="S1409"/>
          <cell r="T1409">
            <v>235</v>
          </cell>
          <cell r="U1409"/>
          <cell r="V1409">
            <v>235</v>
          </cell>
          <cell r="W1409"/>
          <cell r="X1409">
            <v>235</v>
          </cell>
          <cell r="Y1409"/>
          <cell r="Z1409">
            <v>235</v>
          </cell>
          <cell r="AA1409"/>
          <cell r="AB1409"/>
          <cell r="AC1409"/>
          <cell r="AD1409">
            <v>2.7E-2</v>
          </cell>
          <cell r="AE1409"/>
          <cell r="AF1409"/>
          <cell r="AG1409"/>
          <cell r="AH1409"/>
          <cell r="AI1409"/>
          <cell r="AJ1409"/>
          <cell r="AK1409"/>
          <cell r="AL1409"/>
        </row>
        <row r="1410">
          <cell r="E1410" t="str">
            <v>S-10C-HFL-SS</v>
          </cell>
          <cell r="F1410" t="str">
            <v>ｍ</v>
          </cell>
          <cell r="G1410"/>
          <cell r="H1410">
            <v>325</v>
          </cell>
          <cell r="I1410"/>
          <cell r="J1410">
            <v>325</v>
          </cell>
          <cell r="K1410"/>
          <cell r="L1410">
            <v>325</v>
          </cell>
          <cell r="M1410"/>
          <cell r="N1410">
            <v>325</v>
          </cell>
          <cell r="O1410"/>
          <cell r="P1410">
            <v>325</v>
          </cell>
          <cell r="Q1410"/>
          <cell r="R1410">
            <v>325</v>
          </cell>
          <cell r="S1410"/>
          <cell r="T1410">
            <v>325</v>
          </cell>
          <cell r="U1410"/>
          <cell r="V1410">
            <v>325</v>
          </cell>
          <cell r="W1410"/>
          <cell r="X1410">
            <v>325</v>
          </cell>
          <cell r="Y1410"/>
          <cell r="Z1410">
            <v>325</v>
          </cell>
          <cell r="AA1410"/>
          <cell r="AB1410"/>
          <cell r="AC1410"/>
          <cell r="AD1410">
            <v>3.4000000000000002E-2</v>
          </cell>
          <cell r="AE1410"/>
          <cell r="AF1410"/>
          <cell r="AG1410"/>
          <cell r="AH1410"/>
          <cell r="AI1410"/>
          <cell r="AJ1410"/>
          <cell r="AK1410"/>
          <cell r="AL1410"/>
        </row>
        <row r="1411">
          <cell r="E1411" t="str">
            <v>LAN 10BASE-5</v>
          </cell>
          <cell r="F1411" t="str">
            <v>ｍ</v>
          </cell>
          <cell r="G1411"/>
          <cell r="H1411">
            <v>293</v>
          </cell>
          <cell r="I1411"/>
          <cell r="J1411">
            <v>293</v>
          </cell>
          <cell r="K1411"/>
          <cell r="L1411">
            <v>293</v>
          </cell>
          <cell r="M1411"/>
          <cell r="N1411">
            <v>293</v>
          </cell>
          <cell r="O1411"/>
          <cell r="P1411">
            <v>293</v>
          </cell>
          <cell r="Q1411"/>
          <cell r="R1411">
            <v>293</v>
          </cell>
          <cell r="S1411"/>
          <cell r="T1411">
            <v>293</v>
          </cell>
          <cell r="U1411"/>
          <cell r="V1411">
            <v>293</v>
          </cell>
          <cell r="W1411"/>
          <cell r="X1411">
            <v>293</v>
          </cell>
          <cell r="Y1411"/>
          <cell r="Z1411">
            <v>293</v>
          </cell>
          <cell r="AA1411"/>
          <cell r="AB1411"/>
          <cell r="AC1411"/>
          <cell r="AD1411">
            <v>0.04</v>
          </cell>
          <cell r="AE1411"/>
          <cell r="AF1411"/>
          <cell r="AG1411"/>
          <cell r="AH1411"/>
          <cell r="AI1411"/>
          <cell r="AJ1411"/>
          <cell r="AK1411"/>
          <cell r="AL1411"/>
        </row>
        <row r="1412">
          <cell r="E1412" t="str">
            <v>LAN 10BASE-2</v>
          </cell>
          <cell r="F1412" t="str">
            <v>ｍ</v>
          </cell>
          <cell r="G1412"/>
          <cell r="H1412">
            <v>64</v>
          </cell>
          <cell r="I1412"/>
          <cell r="J1412">
            <v>64</v>
          </cell>
          <cell r="K1412"/>
          <cell r="L1412">
            <v>64</v>
          </cell>
          <cell r="M1412"/>
          <cell r="N1412">
            <v>64</v>
          </cell>
          <cell r="O1412"/>
          <cell r="P1412">
            <v>64</v>
          </cell>
          <cell r="Q1412"/>
          <cell r="R1412">
            <v>64</v>
          </cell>
          <cell r="S1412"/>
          <cell r="T1412">
            <v>64</v>
          </cell>
          <cell r="U1412"/>
          <cell r="V1412">
            <v>64</v>
          </cell>
          <cell r="W1412"/>
          <cell r="X1412">
            <v>64</v>
          </cell>
          <cell r="Y1412"/>
          <cell r="Z1412">
            <v>64</v>
          </cell>
          <cell r="AA1412"/>
          <cell r="AB1412"/>
          <cell r="AC1412"/>
          <cell r="AD1412">
            <v>2.3E-2</v>
          </cell>
          <cell r="AE1412"/>
          <cell r="AF1412"/>
          <cell r="AG1412"/>
          <cell r="AH1412"/>
          <cell r="AI1412"/>
          <cell r="AJ1412"/>
          <cell r="AK1412"/>
          <cell r="AL1412"/>
        </row>
        <row r="1413">
          <cell r="E1413" t="str">
            <v>LAN cat5e 4Pr</v>
          </cell>
          <cell r="F1413" t="str">
            <v>ｍ</v>
          </cell>
          <cell r="G1413"/>
          <cell r="H1413">
            <v>36</v>
          </cell>
          <cell r="I1413"/>
          <cell r="J1413">
            <v>36</v>
          </cell>
          <cell r="K1413"/>
          <cell r="L1413">
            <v>36</v>
          </cell>
          <cell r="M1413"/>
          <cell r="N1413">
            <v>36</v>
          </cell>
          <cell r="O1413"/>
          <cell r="P1413">
            <v>36</v>
          </cell>
          <cell r="Q1413"/>
          <cell r="R1413">
            <v>36</v>
          </cell>
          <cell r="S1413"/>
          <cell r="T1413">
            <v>36</v>
          </cell>
          <cell r="U1413"/>
          <cell r="V1413">
            <v>36</v>
          </cell>
          <cell r="W1413"/>
          <cell r="X1413">
            <v>36</v>
          </cell>
          <cell r="Y1413"/>
          <cell r="Z1413">
            <v>36</v>
          </cell>
          <cell r="AA1413"/>
          <cell r="AB1413"/>
          <cell r="AC1413"/>
          <cell r="AD1413">
            <v>1.6E-2</v>
          </cell>
          <cell r="AE1413"/>
          <cell r="AF1413"/>
          <cell r="AG1413"/>
          <cell r="AH1413"/>
          <cell r="AI1413"/>
          <cell r="AJ1413"/>
          <cell r="AK1413"/>
          <cell r="AL1413"/>
        </row>
        <row r="1414">
          <cell r="E1414" t="str">
            <v>LAN cat5e 8Pr</v>
          </cell>
          <cell r="F1414" t="str">
            <v>ｍ</v>
          </cell>
          <cell r="G1414"/>
          <cell r="H1414">
            <v>105</v>
          </cell>
          <cell r="I1414"/>
          <cell r="J1414">
            <v>105</v>
          </cell>
          <cell r="K1414"/>
          <cell r="L1414">
            <v>105</v>
          </cell>
          <cell r="M1414"/>
          <cell r="N1414">
            <v>105</v>
          </cell>
          <cell r="O1414"/>
          <cell r="P1414">
            <v>105</v>
          </cell>
          <cell r="Q1414"/>
          <cell r="R1414">
            <v>105</v>
          </cell>
          <cell r="S1414"/>
          <cell r="T1414">
            <v>105</v>
          </cell>
          <cell r="U1414"/>
          <cell r="V1414">
            <v>105</v>
          </cell>
          <cell r="W1414"/>
          <cell r="X1414">
            <v>105</v>
          </cell>
          <cell r="Y1414"/>
          <cell r="Z1414">
            <v>105</v>
          </cell>
          <cell r="AA1414"/>
          <cell r="AB1414"/>
          <cell r="AC1414"/>
          <cell r="AD1414">
            <v>0.02</v>
          </cell>
          <cell r="AE1414"/>
          <cell r="AF1414"/>
          <cell r="AG1414"/>
          <cell r="AH1414"/>
          <cell r="AI1414"/>
          <cell r="AJ1414"/>
          <cell r="AK1414"/>
          <cell r="AL1414"/>
        </row>
        <row r="1415">
          <cell r="E1415" t="str">
            <v>LAN cat5e 24Pr</v>
          </cell>
          <cell r="F1415" t="str">
            <v>ｍ</v>
          </cell>
          <cell r="G1415"/>
          <cell r="H1415">
            <v>331</v>
          </cell>
          <cell r="I1415"/>
          <cell r="J1415">
            <v>331</v>
          </cell>
          <cell r="K1415"/>
          <cell r="L1415">
            <v>331</v>
          </cell>
          <cell r="M1415"/>
          <cell r="N1415">
            <v>331</v>
          </cell>
          <cell r="O1415"/>
          <cell r="P1415">
            <v>331</v>
          </cell>
          <cell r="Q1415"/>
          <cell r="R1415">
            <v>331</v>
          </cell>
          <cell r="S1415"/>
          <cell r="T1415">
            <v>331</v>
          </cell>
          <cell r="U1415"/>
          <cell r="V1415">
            <v>331</v>
          </cell>
          <cell r="W1415"/>
          <cell r="X1415">
            <v>331</v>
          </cell>
          <cell r="Y1415"/>
          <cell r="Z1415">
            <v>331</v>
          </cell>
          <cell r="AA1415"/>
          <cell r="AB1415"/>
          <cell r="AC1415"/>
          <cell r="AD1415">
            <v>2.1999999999999999E-2</v>
          </cell>
          <cell r="AE1415"/>
          <cell r="AF1415"/>
          <cell r="AG1415"/>
          <cell r="AH1415"/>
          <cell r="AI1415"/>
          <cell r="AJ1415"/>
          <cell r="AK1415"/>
          <cell r="AL1415"/>
        </row>
        <row r="1416">
          <cell r="E1416"/>
          <cell r="F1416"/>
          <cell r="G1416"/>
          <cell r="H1416"/>
          <cell r="I1416"/>
          <cell r="J1416"/>
          <cell r="K1416"/>
          <cell r="L1416"/>
          <cell r="M1416"/>
          <cell r="N1416"/>
          <cell r="O1416"/>
          <cell r="P1416"/>
          <cell r="Q1416"/>
          <cell r="R1416"/>
          <cell r="S1416"/>
          <cell r="T1416"/>
          <cell r="U1416"/>
          <cell r="V1416"/>
          <cell r="W1416"/>
          <cell r="X1416"/>
          <cell r="Y1416"/>
          <cell r="Z1416"/>
          <cell r="AA1416"/>
          <cell r="AB1416"/>
          <cell r="AC1416"/>
          <cell r="AD1416"/>
          <cell r="AE1416"/>
          <cell r="AF1416"/>
          <cell r="AG1416"/>
          <cell r="AH1416"/>
          <cell r="AI1416"/>
          <cell r="AJ1416"/>
          <cell r="AK1416"/>
          <cell r="AL1416"/>
        </row>
        <row r="1417">
          <cell r="E1417"/>
          <cell r="F1417"/>
          <cell r="G1417"/>
          <cell r="H1417"/>
          <cell r="I1417"/>
          <cell r="J1417"/>
          <cell r="K1417"/>
          <cell r="L1417"/>
          <cell r="M1417"/>
          <cell r="N1417"/>
          <cell r="O1417"/>
          <cell r="P1417"/>
          <cell r="Q1417"/>
          <cell r="R1417"/>
          <cell r="S1417"/>
          <cell r="T1417"/>
          <cell r="U1417"/>
          <cell r="V1417"/>
          <cell r="W1417"/>
          <cell r="X1417"/>
          <cell r="Y1417"/>
          <cell r="Z1417"/>
          <cell r="AA1417"/>
          <cell r="AB1417"/>
          <cell r="AC1417"/>
          <cell r="AD1417"/>
          <cell r="AE1417"/>
          <cell r="AF1417"/>
          <cell r="AG1417"/>
          <cell r="AH1417"/>
          <cell r="AI1417"/>
          <cell r="AJ1417"/>
          <cell r="AK1417"/>
          <cell r="AL1417"/>
        </row>
        <row r="1418">
          <cell r="E1418"/>
          <cell r="F1418"/>
          <cell r="G1418"/>
          <cell r="H1418"/>
          <cell r="I1418"/>
          <cell r="J1418"/>
          <cell r="K1418"/>
          <cell r="L1418"/>
          <cell r="M1418"/>
          <cell r="N1418"/>
          <cell r="O1418"/>
          <cell r="P1418"/>
          <cell r="Q1418"/>
          <cell r="R1418"/>
          <cell r="S1418"/>
          <cell r="T1418"/>
          <cell r="U1418"/>
          <cell r="V1418"/>
          <cell r="W1418"/>
          <cell r="X1418"/>
          <cell r="Y1418"/>
          <cell r="Z1418"/>
          <cell r="AA1418"/>
          <cell r="AB1418"/>
          <cell r="AC1418"/>
          <cell r="AD1418"/>
          <cell r="AE1418"/>
          <cell r="AF1418"/>
          <cell r="AG1418"/>
          <cell r="AH1418"/>
          <cell r="AI1418"/>
          <cell r="AJ1418"/>
          <cell r="AK1418"/>
          <cell r="AL1418"/>
        </row>
        <row r="1419">
          <cell r="E1419"/>
          <cell r="F1419"/>
          <cell r="G1419"/>
          <cell r="H1419"/>
          <cell r="I1419"/>
          <cell r="J1419"/>
          <cell r="K1419"/>
          <cell r="L1419"/>
          <cell r="M1419"/>
          <cell r="N1419"/>
          <cell r="O1419"/>
          <cell r="P1419"/>
          <cell r="Q1419"/>
          <cell r="R1419"/>
          <cell r="S1419"/>
          <cell r="T1419"/>
          <cell r="U1419"/>
          <cell r="V1419"/>
          <cell r="W1419"/>
          <cell r="X1419"/>
          <cell r="Y1419"/>
          <cell r="Z1419"/>
          <cell r="AA1419"/>
          <cell r="AB1419"/>
          <cell r="AC1419"/>
          <cell r="AD1419"/>
          <cell r="AE1419"/>
          <cell r="AF1419"/>
          <cell r="AG1419"/>
          <cell r="AH1419"/>
          <cell r="AI1419"/>
          <cell r="AJ1419"/>
          <cell r="AK1419"/>
          <cell r="AL1419"/>
        </row>
        <row r="1420">
          <cell r="E1420"/>
          <cell r="F1420"/>
          <cell r="G1420"/>
          <cell r="H1420"/>
          <cell r="I1420"/>
          <cell r="J1420"/>
          <cell r="K1420"/>
          <cell r="L1420"/>
          <cell r="M1420"/>
          <cell r="N1420"/>
          <cell r="O1420"/>
          <cell r="P1420"/>
          <cell r="Q1420"/>
          <cell r="R1420"/>
          <cell r="S1420"/>
          <cell r="T1420"/>
          <cell r="U1420"/>
          <cell r="V1420"/>
          <cell r="W1420"/>
          <cell r="X1420"/>
          <cell r="Y1420"/>
          <cell r="Z1420"/>
          <cell r="AA1420"/>
          <cell r="AB1420"/>
          <cell r="AC1420"/>
          <cell r="AD1420"/>
          <cell r="AE1420"/>
          <cell r="AF1420"/>
          <cell r="AG1420"/>
          <cell r="AH1420"/>
          <cell r="AI1420"/>
          <cell r="AJ1420"/>
          <cell r="AK1420"/>
          <cell r="AL1420"/>
        </row>
        <row r="1421">
          <cell r="E1421"/>
          <cell r="F1421"/>
          <cell r="G1421"/>
          <cell r="H1421"/>
          <cell r="I1421"/>
          <cell r="J1421"/>
          <cell r="K1421"/>
          <cell r="L1421"/>
          <cell r="M1421"/>
          <cell r="N1421"/>
          <cell r="O1421"/>
          <cell r="P1421"/>
          <cell r="Q1421"/>
          <cell r="R1421"/>
          <cell r="S1421"/>
          <cell r="T1421"/>
          <cell r="U1421"/>
          <cell r="V1421"/>
          <cell r="W1421"/>
          <cell r="X1421"/>
          <cell r="Y1421"/>
          <cell r="Z1421"/>
          <cell r="AA1421"/>
          <cell r="AB1421"/>
          <cell r="AC1421"/>
          <cell r="AD1421"/>
          <cell r="AE1421"/>
          <cell r="AF1421"/>
          <cell r="AG1421"/>
          <cell r="AH1421"/>
          <cell r="AI1421"/>
          <cell r="AJ1421"/>
          <cell r="AK1421"/>
          <cell r="AL1421"/>
        </row>
        <row r="1422">
          <cell r="E1422"/>
          <cell r="F1422"/>
          <cell r="G1422"/>
          <cell r="H1422"/>
          <cell r="I1422"/>
          <cell r="J1422"/>
          <cell r="K1422"/>
          <cell r="L1422"/>
          <cell r="M1422"/>
          <cell r="N1422"/>
          <cell r="O1422"/>
          <cell r="P1422"/>
          <cell r="Q1422"/>
          <cell r="R1422"/>
          <cell r="S1422"/>
          <cell r="T1422"/>
          <cell r="U1422"/>
          <cell r="V1422"/>
          <cell r="W1422"/>
          <cell r="X1422"/>
          <cell r="Y1422"/>
          <cell r="Z1422"/>
          <cell r="AA1422"/>
          <cell r="AB1422"/>
          <cell r="AC1422"/>
          <cell r="AD1422"/>
          <cell r="AE1422"/>
          <cell r="AF1422"/>
          <cell r="AG1422"/>
          <cell r="AH1422"/>
          <cell r="AI1422"/>
          <cell r="AJ1422"/>
          <cell r="AK1422"/>
          <cell r="AL1422"/>
        </row>
        <row r="1423">
          <cell r="E1423"/>
          <cell r="F1423"/>
          <cell r="G1423"/>
          <cell r="H1423"/>
          <cell r="I1423"/>
          <cell r="J1423"/>
          <cell r="K1423"/>
          <cell r="L1423"/>
          <cell r="M1423"/>
          <cell r="N1423"/>
          <cell r="O1423"/>
          <cell r="P1423"/>
          <cell r="Q1423"/>
          <cell r="R1423"/>
          <cell r="S1423"/>
          <cell r="T1423"/>
          <cell r="U1423"/>
          <cell r="V1423"/>
          <cell r="W1423"/>
          <cell r="X1423"/>
          <cell r="Y1423"/>
          <cell r="Z1423"/>
          <cell r="AA1423"/>
          <cell r="AB1423"/>
          <cell r="AC1423"/>
          <cell r="AD1423"/>
          <cell r="AE1423"/>
          <cell r="AF1423"/>
          <cell r="AG1423"/>
          <cell r="AH1423"/>
          <cell r="AI1423"/>
          <cell r="AJ1423"/>
          <cell r="AK1423"/>
          <cell r="AL1423"/>
        </row>
        <row r="1424">
          <cell r="E1424"/>
          <cell r="F1424"/>
          <cell r="G1424"/>
          <cell r="H1424"/>
          <cell r="I1424"/>
          <cell r="J1424"/>
          <cell r="K1424"/>
          <cell r="L1424"/>
          <cell r="M1424"/>
          <cell r="N1424"/>
          <cell r="O1424"/>
          <cell r="P1424"/>
          <cell r="Q1424"/>
          <cell r="R1424"/>
          <cell r="S1424"/>
          <cell r="T1424"/>
          <cell r="U1424"/>
          <cell r="V1424"/>
          <cell r="W1424"/>
          <cell r="X1424"/>
          <cell r="Y1424"/>
          <cell r="Z1424"/>
          <cell r="AA1424"/>
          <cell r="AB1424"/>
          <cell r="AC1424"/>
          <cell r="AD1424"/>
          <cell r="AE1424"/>
          <cell r="AF1424"/>
          <cell r="AG1424"/>
          <cell r="AH1424"/>
          <cell r="AI1424"/>
          <cell r="AJ1424"/>
          <cell r="AK1424"/>
          <cell r="AL1424"/>
        </row>
        <row r="1425">
          <cell r="E1425"/>
          <cell r="F1425"/>
          <cell r="G1425"/>
          <cell r="H1425"/>
          <cell r="I1425"/>
          <cell r="J1425"/>
          <cell r="K1425"/>
          <cell r="L1425"/>
          <cell r="M1425"/>
          <cell r="N1425"/>
          <cell r="O1425"/>
          <cell r="P1425"/>
          <cell r="Q1425"/>
          <cell r="R1425"/>
          <cell r="S1425"/>
          <cell r="T1425"/>
          <cell r="U1425"/>
          <cell r="V1425"/>
          <cell r="W1425"/>
          <cell r="X1425"/>
          <cell r="Y1425"/>
          <cell r="Z1425"/>
          <cell r="AA1425"/>
          <cell r="AB1425"/>
          <cell r="AC1425"/>
          <cell r="AD1425"/>
          <cell r="AE1425"/>
          <cell r="AF1425"/>
          <cell r="AG1425"/>
          <cell r="AH1425"/>
          <cell r="AI1425"/>
          <cell r="AJ1425"/>
          <cell r="AK1425"/>
          <cell r="AL1425"/>
        </row>
        <row r="1426">
          <cell r="E1426"/>
          <cell r="F1426"/>
          <cell r="G1426"/>
          <cell r="H1426"/>
          <cell r="I1426"/>
          <cell r="J1426"/>
          <cell r="K1426"/>
          <cell r="L1426"/>
          <cell r="M1426"/>
          <cell r="N1426"/>
          <cell r="O1426"/>
          <cell r="P1426"/>
          <cell r="Q1426"/>
          <cell r="R1426"/>
          <cell r="S1426"/>
          <cell r="T1426"/>
          <cell r="U1426"/>
          <cell r="V1426"/>
          <cell r="W1426"/>
          <cell r="X1426"/>
          <cell r="Y1426"/>
          <cell r="Z1426"/>
          <cell r="AA1426"/>
          <cell r="AB1426"/>
          <cell r="AC1426"/>
          <cell r="AD1426"/>
          <cell r="AE1426"/>
          <cell r="AF1426"/>
          <cell r="AG1426"/>
          <cell r="AH1426"/>
          <cell r="AI1426"/>
          <cell r="AJ1426"/>
          <cell r="AK1426"/>
          <cell r="AL1426"/>
        </row>
        <row r="1427">
          <cell r="E1427"/>
          <cell r="F1427"/>
          <cell r="G1427"/>
          <cell r="H1427"/>
          <cell r="I1427"/>
          <cell r="J1427"/>
          <cell r="K1427"/>
          <cell r="L1427"/>
          <cell r="M1427"/>
          <cell r="N1427"/>
          <cell r="O1427"/>
          <cell r="P1427"/>
          <cell r="Q1427"/>
          <cell r="R1427"/>
          <cell r="S1427"/>
          <cell r="T1427"/>
          <cell r="U1427"/>
          <cell r="V1427"/>
          <cell r="W1427"/>
          <cell r="X1427"/>
          <cell r="Y1427"/>
          <cell r="Z1427"/>
          <cell r="AA1427"/>
          <cell r="AB1427"/>
          <cell r="AC1427"/>
          <cell r="AD1427"/>
          <cell r="AE1427"/>
          <cell r="AF1427"/>
          <cell r="AG1427"/>
          <cell r="AH1427"/>
          <cell r="AI1427"/>
          <cell r="AJ1427"/>
          <cell r="AK1427"/>
          <cell r="AL1427"/>
        </row>
        <row r="1428">
          <cell r="E1428"/>
          <cell r="F1428"/>
          <cell r="G1428"/>
          <cell r="H1428"/>
          <cell r="I1428"/>
          <cell r="J1428"/>
          <cell r="K1428"/>
          <cell r="L1428"/>
          <cell r="M1428"/>
          <cell r="N1428"/>
          <cell r="O1428"/>
          <cell r="P1428"/>
          <cell r="Q1428"/>
          <cell r="R1428"/>
          <cell r="S1428"/>
          <cell r="T1428"/>
          <cell r="U1428"/>
          <cell r="V1428"/>
          <cell r="W1428"/>
          <cell r="X1428"/>
          <cell r="Y1428"/>
          <cell r="Z1428"/>
          <cell r="AA1428"/>
          <cell r="AB1428"/>
          <cell r="AC1428"/>
          <cell r="AD1428"/>
          <cell r="AE1428"/>
          <cell r="AF1428"/>
          <cell r="AG1428"/>
          <cell r="AH1428"/>
          <cell r="AI1428"/>
          <cell r="AJ1428"/>
          <cell r="AK1428"/>
          <cell r="AL1428"/>
        </row>
        <row r="1429">
          <cell r="E1429"/>
          <cell r="F1429"/>
          <cell r="G1429"/>
          <cell r="H1429"/>
          <cell r="I1429"/>
          <cell r="J1429"/>
          <cell r="K1429"/>
          <cell r="L1429"/>
          <cell r="M1429"/>
          <cell r="N1429"/>
          <cell r="O1429"/>
          <cell r="P1429"/>
          <cell r="Q1429"/>
          <cell r="R1429"/>
          <cell r="S1429"/>
          <cell r="T1429"/>
          <cell r="U1429"/>
          <cell r="V1429"/>
          <cell r="W1429"/>
          <cell r="X1429"/>
          <cell r="Y1429"/>
          <cell r="Z1429"/>
          <cell r="AA1429"/>
          <cell r="AB1429"/>
          <cell r="AC1429"/>
          <cell r="AD1429"/>
          <cell r="AE1429"/>
          <cell r="AF1429"/>
          <cell r="AG1429"/>
          <cell r="AH1429"/>
          <cell r="AI1429"/>
          <cell r="AJ1429"/>
          <cell r="AK1429"/>
          <cell r="AL1429"/>
        </row>
        <row r="1430">
          <cell r="E1430"/>
          <cell r="F1430"/>
          <cell r="G1430"/>
          <cell r="H1430"/>
          <cell r="I1430"/>
          <cell r="J1430"/>
          <cell r="K1430"/>
          <cell r="L1430"/>
          <cell r="M1430"/>
          <cell r="N1430"/>
          <cell r="O1430"/>
          <cell r="P1430"/>
          <cell r="Q1430"/>
          <cell r="R1430"/>
          <cell r="S1430"/>
          <cell r="T1430"/>
          <cell r="U1430"/>
          <cell r="V1430"/>
          <cell r="W1430"/>
          <cell r="X1430"/>
          <cell r="Y1430"/>
          <cell r="Z1430"/>
          <cell r="AA1430"/>
          <cell r="AB1430"/>
          <cell r="AC1430"/>
          <cell r="AD1430"/>
          <cell r="AE1430"/>
          <cell r="AF1430"/>
          <cell r="AG1430"/>
          <cell r="AH1430"/>
          <cell r="AI1430"/>
          <cell r="AJ1430"/>
          <cell r="AK1430"/>
          <cell r="AL1430"/>
        </row>
        <row r="1431">
          <cell r="E1431"/>
          <cell r="F1431"/>
          <cell r="G1431"/>
          <cell r="H1431"/>
          <cell r="I1431"/>
          <cell r="J1431"/>
          <cell r="K1431"/>
          <cell r="L1431"/>
          <cell r="M1431"/>
          <cell r="N1431"/>
          <cell r="O1431"/>
          <cell r="P1431"/>
          <cell r="Q1431"/>
          <cell r="R1431"/>
          <cell r="S1431"/>
          <cell r="T1431"/>
          <cell r="U1431"/>
          <cell r="V1431"/>
          <cell r="W1431"/>
          <cell r="X1431"/>
          <cell r="Y1431"/>
          <cell r="Z1431"/>
          <cell r="AA1431"/>
          <cell r="AB1431"/>
          <cell r="AC1431"/>
          <cell r="AD1431"/>
          <cell r="AE1431"/>
          <cell r="AF1431"/>
          <cell r="AG1431"/>
          <cell r="AH1431"/>
          <cell r="AI1431"/>
          <cell r="AJ1431"/>
          <cell r="AK1431"/>
          <cell r="AL1431"/>
        </row>
        <row r="1432">
          <cell r="E1432"/>
          <cell r="F1432"/>
          <cell r="G1432"/>
          <cell r="H1432"/>
          <cell r="I1432"/>
          <cell r="J1432"/>
          <cell r="K1432"/>
          <cell r="L1432"/>
          <cell r="M1432"/>
          <cell r="N1432"/>
          <cell r="O1432"/>
          <cell r="P1432"/>
          <cell r="Q1432"/>
          <cell r="R1432"/>
          <cell r="S1432"/>
          <cell r="T1432"/>
          <cell r="U1432"/>
          <cell r="V1432"/>
          <cell r="W1432"/>
          <cell r="X1432"/>
          <cell r="Y1432"/>
          <cell r="Z1432"/>
          <cell r="AA1432"/>
          <cell r="AB1432"/>
          <cell r="AC1432"/>
          <cell r="AD1432"/>
          <cell r="AE1432"/>
          <cell r="AF1432"/>
          <cell r="AG1432"/>
          <cell r="AH1432"/>
          <cell r="AI1432"/>
          <cell r="AJ1432"/>
          <cell r="AK1432"/>
          <cell r="AL1432"/>
        </row>
        <row r="1433">
          <cell r="E1433"/>
          <cell r="F1433"/>
          <cell r="G1433"/>
          <cell r="H1433"/>
          <cell r="I1433"/>
          <cell r="J1433"/>
          <cell r="K1433"/>
          <cell r="L1433"/>
          <cell r="M1433"/>
          <cell r="N1433"/>
          <cell r="O1433"/>
          <cell r="P1433"/>
          <cell r="Q1433"/>
          <cell r="R1433"/>
          <cell r="S1433"/>
          <cell r="T1433"/>
          <cell r="U1433"/>
          <cell r="V1433"/>
          <cell r="W1433"/>
          <cell r="X1433"/>
          <cell r="Y1433"/>
          <cell r="Z1433"/>
          <cell r="AA1433"/>
          <cell r="AB1433"/>
          <cell r="AC1433"/>
          <cell r="AD1433"/>
          <cell r="AE1433"/>
          <cell r="AF1433"/>
          <cell r="AG1433"/>
          <cell r="AH1433"/>
          <cell r="AI1433"/>
          <cell r="AJ1433"/>
          <cell r="AK1433"/>
          <cell r="AL1433"/>
        </row>
        <row r="1434">
          <cell r="E1434"/>
          <cell r="F1434"/>
          <cell r="G1434"/>
          <cell r="H1434"/>
          <cell r="I1434"/>
          <cell r="J1434"/>
          <cell r="K1434"/>
          <cell r="L1434"/>
          <cell r="M1434"/>
          <cell r="N1434"/>
          <cell r="O1434"/>
          <cell r="P1434"/>
          <cell r="Q1434"/>
          <cell r="R1434"/>
          <cell r="S1434"/>
          <cell r="T1434"/>
          <cell r="U1434"/>
          <cell r="V1434"/>
          <cell r="W1434"/>
          <cell r="X1434"/>
          <cell r="Y1434"/>
          <cell r="Z1434"/>
          <cell r="AA1434"/>
          <cell r="AB1434"/>
          <cell r="AC1434"/>
          <cell r="AD1434"/>
          <cell r="AE1434"/>
          <cell r="AF1434"/>
          <cell r="AG1434"/>
          <cell r="AH1434"/>
          <cell r="AI1434"/>
          <cell r="AJ1434"/>
          <cell r="AK1434"/>
          <cell r="AL1434"/>
        </row>
        <row r="1435">
          <cell r="E1435"/>
          <cell r="F1435"/>
          <cell r="G1435"/>
          <cell r="H1435"/>
          <cell r="I1435"/>
          <cell r="J1435"/>
          <cell r="K1435"/>
          <cell r="L1435"/>
          <cell r="M1435"/>
          <cell r="N1435"/>
          <cell r="O1435"/>
          <cell r="P1435"/>
          <cell r="Q1435"/>
          <cell r="R1435"/>
          <cell r="S1435"/>
          <cell r="T1435"/>
          <cell r="U1435"/>
          <cell r="V1435"/>
          <cell r="W1435"/>
          <cell r="X1435"/>
          <cell r="Y1435"/>
          <cell r="Z1435"/>
          <cell r="AA1435"/>
          <cell r="AB1435"/>
          <cell r="AC1435"/>
          <cell r="AD1435"/>
          <cell r="AE1435"/>
          <cell r="AF1435"/>
          <cell r="AG1435"/>
          <cell r="AH1435"/>
          <cell r="AI1435"/>
          <cell r="AJ1435"/>
          <cell r="AK1435"/>
          <cell r="AL1435"/>
        </row>
        <row r="1436">
          <cell r="E1436"/>
          <cell r="F1436"/>
          <cell r="G1436"/>
          <cell r="H1436"/>
          <cell r="I1436"/>
          <cell r="J1436"/>
          <cell r="K1436"/>
          <cell r="L1436"/>
          <cell r="M1436"/>
          <cell r="N1436"/>
          <cell r="O1436"/>
          <cell r="P1436"/>
          <cell r="Q1436"/>
          <cell r="R1436"/>
          <cell r="S1436"/>
          <cell r="T1436"/>
          <cell r="U1436"/>
          <cell r="V1436"/>
          <cell r="W1436"/>
          <cell r="X1436"/>
          <cell r="Y1436"/>
          <cell r="Z1436"/>
          <cell r="AA1436"/>
          <cell r="AB1436"/>
          <cell r="AC1436"/>
          <cell r="AD1436"/>
          <cell r="AE1436"/>
          <cell r="AF1436"/>
          <cell r="AG1436"/>
          <cell r="AH1436"/>
          <cell r="AI1436"/>
          <cell r="AJ1436"/>
          <cell r="AK1436"/>
          <cell r="AL1436"/>
        </row>
        <row r="1437">
          <cell r="E1437"/>
          <cell r="F1437"/>
          <cell r="G1437"/>
          <cell r="H1437"/>
          <cell r="I1437"/>
          <cell r="J1437"/>
          <cell r="K1437"/>
          <cell r="L1437"/>
          <cell r="M1437"/>
          <cell r="N1437"/>
          <cell r="O1437"/>
          <cell r="P1437"/>
          <cell r="Q1437"/>
          <cell r="R1437"/>
          <cell r="S1437"/>
          <cell r="T1437"/>
          <cell r="U1437"/>
          <cell r="V1437"/>
          <cell r="W1437"/>
          <cell r="X1437"/>
          <cell r="Y1437"/>
          <cell r="Z1437"/>
          <cell r="AA1437"/>
          <cell r="AB1437"/>
          <cell r="AC1437"/>
          <cell r="AD1437"/>
          <cell r="AE1437"/>
          <cell r="AF1437"/>
          <cell r="AG1437"/>
          <cell r="AH1437"/>
          <cell r="AI1437"/>
          <cell r="AJ1437"/>
          <cell r="AK1437"/>
          <cell r="AL1437"/>
        </row>
        <row r="1438">
          <cell r="E1438"/>
          <cell r="F1438"/>
          <cell r="G1438"/>
          <cell r="H1438"/>
          <cell r="I1438"/>
          <cell r="J1438"/>
          <cell r="K1438"/>
          <cell r="L1438"/>
          <cell r="M1438"/>
          <cell r="N1438"/>
          <cell r="O1438"/>
          <cell r="P1438"/>
          <cell r="Q1438"/>
          <cell r="R1438"/>
          <cell r="S1438"/>
          <cell r="T1438"/>
          <cell r="U1438"/>
          <cell r="V1438"/>
          <cell r="W1438"/>
          <cell r="X1438"/>
          <cell r="Y1438"/>
          <cell r="Z1438"/>
          <cell r="AA1438"/>
          <cell r="AB1438"/>
          <cell r="AC1438"/>
          <cell r="AD1438"/>
          <cell r="AE1438"/>
          <cell r="AF1438"/>
          <cell r="AG1438"/>
          <cell r="AH1438"/>
          <cell r="AI1438"/>
          <cell r="AJ1438"/>
          <cell r="AK1438"/>
          <cell r="AL1438"/>
        </row>
        <row r="1439">
          <cell r="E1439"/>
          <cell r="F1439"/>
          <cell r="G1439"/>
          <cell r="H1439"/>
          <cell r="I1439"/>
          <cell r="J1439"/>
          <cell r="K1439"/>
          <cell r="L1439"/>
          <cell r="M1439"/>
          <cell r="N1439"/>
          <cell r="O1439"/>
          <cell r="P1439"/>
          <cell r="Q1439"/>
          <cell r="R1439"/>
          <cell r="S1439"/>
          <cell r="T1439"/>
          <cell r="U1439"/>
          <cell r="V1439"/>
          <cell r="W1439"/>
          <cell r="X1439"/>
          <cell r="Y1439"/>
          <cell r="Z1439"/>
          <cell r="AA1439"/>
          <cell r="AB1439"/>
          <cell r="AC1439"/>
          <cell r="AD1439"/>
          <cell r="AE1439"/>
          <cell r="AF1439"/>
          <cell r="AG1439"/>
          <cell r="AH1439"/>
          <cell r="AI1439"/>
          <cell r="AJ1439"/>
          <cell r="AK1439"/>
          <cell r="AL1439"/>
        </row>
        <row r="1440">
          <cell r="E1440"/>
          <cell r="F1440"/>
          <cell r="G1440"/>
          <cell r="H1440"/>
          <cell r="I1440"/>
          <cell r="J1440"/>
          <cell r="K1440"/>
          <cell r="L1440"/>
          <cell r="M1440"/>
          <cell r="N1440"/>
          <cell r="O1440"/>
          <cell r="P1440"/>
          <cell r="Q1440"/>
          <cell r="R1440"/>
          <cell r="S1440"/>
          <cell r="T1440"/>
          <cell r="U1440"/>
          <cell r="V1440"/>
          <cell r="W1440"/>
          <cell r="X1440"/>
          <cell r="Y1440"/>
          <cell r="Z1440"/>
          <cell r="AA1440"/>
          <cell r="AB1440"/>
          <cell r="AC1440"/>
          <cell r="AD1440"/>
          <cell r="AE1440"/>
          <cell r="AF1440"/>
          <cell r="AG1440"/>
          <cell r="AH1440"/>
          <cell r="AI1440"/>
          <cell r="AJ1440"/>
          <cell r="AK1440"/>
          <cell r="AL1440"/>
        </row>
        <row r="1441">
          <cell r="E1441"/>
          <cell r="F1441"/>
          <cell r="G1441"/>
          <cell r="H1441"/>
          <cell r="I1441"/>
          <cell r="J1441"/>
          <cell r="K1441"/>
          <cell r="L1441"/>
          <cell r="M1441"/>
          <cell r="N1441"/>
          <cell r="O1441"/>
          <cell r="P1441"/>
          <cell r="Q1441"/>
          <cell r="R1441"/>
          <cell r="S1441"/>
          <cell r="T1441"/>
          <cell r="U1441"/>
          <cell r="V1441"/>
          <cell r="W1441"/>
          <cell r="X1441"/>
          <cell r="Y1441"/>
          <cell r="Z1441"/>
          <cell r="AA1441"/>
          <cell r="AB1441"/>
          <cell r="AC1441"/>
          <cell r="AD1441"/>
          <cell r="AE1441"/>
          <cell r="AF1441"/>
          <cell r="AG1441"/>
          <cell r="AH1441"/>
          <cell r="AI1441"/>
          <cell r="AJ1441"/>
          <cell r="AK1441"/>
          <cell r="AL1441"/>
        </row>
        <row r="1442">
          <cell r="E1442"/>
          <cell r="F1442"/>
          <cell r="G1442"/>
          <cell r="H1442"/>
          <cell r="I1442"/>
          <cell r="J1442"/>
          <cell r="K1442"/>
          <cell r="L1442"/>
          <cell r="M1442"/>
          <cell r="N1442"/>
          <cell r="O1442"/>
          <cell r="P1442"/>
          <cell r="Q1442"/>
          <cell r="R1442"/>
          <cell r="S1442"/>
          <cell r="T1442"/>
          <cell r="U1442"/>
          <cell r="V1442"/>
          <cell r="W1442"/>
          <cell r="X1442"/>
          <cell r="Y1442"/>
          <cell r="Z1442"/>
          <cell r="AA1442"/>
          <cell r="AB1442"/>
          <cell r="AC1442"/>
          <cell r="AD1442"/>
          <cell r="AE1442"/>
          <cell r="AF1442"/>
          <cell r="AG1442"/>
          <cell r="AH1442"/>
          <cell r="AI1442"/>
          <cell r="AJ1442"/>
          <cell r="AK1442"/>
          <cell r="AL1442"/>
        </row>
        <row r="1443">
          <cell r="E1443"/>
          <cell r="F1443"/>
          <cell r="G1443"/>
          <cell r="H1443"/>
          <cell r="I1443"/>
          <cell r="J1443"/>
          <cell r="K1443"/>
          <cell r="L1443"/>
          <cell r="M1443"/>
          <cell r="N1443"/>
          <cell r="O1443"/>
          <cell r="P1443"/>
          <cell r="Q1443"/>
          <cell r="R1443"/>
          <cell r="S1443"/>
          <cell r="T1443"/>
          <cell r="U1443"/>
          <cell r="V1443"/>
          <cell r="W1443"/>
          <cell r="X1443"/>
          <cell r="Y1443"/>
          <cell r="Z1443"/>
          <cell r="AA1443"/>
          <cell r="AB1443"/>
          <cell r="AC1443"/>
          <cell r="AD1443"/>
          <cell r="AE1443"/>
          <cell r="AF1443"/>
          <cell r="AG1443"/>
          <cell r="AH1443"/>
          <cell r="AI1443"/>
          <cell r="AJ1443"/>
          <cell r="AK1443"/>
          <cell r="AL1443"/>
        </row>
        <row r="1444">
          <cell r="E1444"/>
          <cell r="F1444"/>
          <cell r="G1444"/>
          <cell r="H1444"/>
          <cell r="I1444"/>
          <cell r="J1444"/>
          <cell r="K1444"/>
          <cell r="L1444"/>
          <cell r="M1444"/>
          <cell r="N1444"/>
          <cell r="O1444"/>
          <cell r="P1444"/>
          <cell r="Q1444"/>
          <cell r="R1444"/>
          <cell r="S1444"/>
          <cell r="T1444"/>
          <cell r="U1444"/>
          <cell r="V1444"/>
          <cell r="W1444"/>
          <cell r="X1444"/>
          <cell r="Y1444"/>
          <cell r="Z1444"/>
          <cell r="AA1444"/>
          <cell r="AB1444"/>
          <cell r="AC1444"/>
          <cell r="AD1444"/>
          <cell r="AE1444"/>
          <cell r="AF1444"/>
          <cell r="AG1444"/>
          <cell r="AH1444"/>
          <cell r="AI1444"/>
          <cell r="AJ1444"/>
          <cell r="AK1444"/>
          <cell r="AL1444"/>
        </row>
        <row r="1445">
          <cell r="E1445"/>
          <cell r="F1445"/>
          <cell r="G1445"/>
          <cell r="H1445"/>
          <cell r="I1445"/>
          <cell r="J1445"/>
          <cell r="K1445"/>
          <cell r="L1445"/>
          <cell r="M1445"/>
          <cell r="N1445"/>
          <cell r="O1445"/>
          <cell r="P1445"/>
          <cell r="Q1445"/>
          <cell r="R1445"/>
          <cell r="S1445"/>
          <cell r="T1445"/>
          <cell r="U1445"/>
          <cell r="V1445"/>
          <cell r="W1445"/>
          <cell r="X1445"/>
          <cell r="Y1445"/>
          <cell r="Z1445"/>
          <cell r="AA1445"/>
          <cell r="AB1445"/>
          <cell r="AC1445"/>
          <cell r="AD1445"/>
          <cell r="AE1445"/>
          <cell r="AF1445"/>
          <cell r="AG1445"/>
          <cell r="AH1445"/>
          <cell r="AI1445"/>
          <cell r="AJ1445"/>
          <cell r="AK1445"/>
          <cell r="AL1445"/>
        </row>
        <row r="1446">
          <cell r="E1446"/>
          <cell r="F1446"/>
          <cell r="G1446"/>
          <cell r="H1446"/>
          <cell r="I1446"/>
          <cell r="J1446"/>
          <cell r="K1446"/>
          <cell r="L1446"/>
          <cell r="M1446"/>
          <cell r="N1446"/>
          <cell r="O1446"/>
          <cell r="P1446"/>
          <cell r="Q1446"/>
          <cell r="R1446"/>
          <cell r="S1446"/>
          <cell r="T1446"/>
          <cell r="U1446"/>
          <cell r="V1446"/>
          <cell r="W1446"/>
          <cell r="X1446"/>
          <cell r="Y1446"/>
          <cell r="Z1446"/>
          <cell r="AA1446"/>
          <cell r="AB1446"/>
          <cell r="AC1446"/>
          <cell r="AD1446"/>
          <cell r="AE1446"/>
          <cell r="AF1446"/>
          <cell r="AG1446"/>
          <cell r="AH1446"/>
          <cell r="AI1446"/>
          <cell r="AJ1446"/>
          <cell r="AK1446"/>
          <cell r="AL1446"/>
        </row>
        <row r="1447">
          <cell r="E1447"/>
          <cell r="F1447"/>
          <cell r="G1447"/>
          <cell r="H1447"/>
          <cell r="I1447"/>
          <cell r="J1447"/>
          <cell r="K1447"/>
          <cell r="L1447"/>
          <cell r="M1447"/>
          <cell r="N1447"/>
          <cell r="O1447"/>
          <cell r="P1447"/>
          <cell r="Q1447"/>
          <cell r="R1447"/>
          <cell r="S1447"/>
          <cell r="T1447"/>
          <cell r="U1447"/>
          <cell r="V1447"/>
          <cell r="W1447"/>
          <cell r="X1447"/>
          <cell r="Y1447"/>
          <cell r="Z1447"/>
          <cell r="AA1447"/>
          <cell r="AB1447"/>
          <cell r="AC1447"/>
          <cell r="AD1447"/>
          <cell r="AE1447"/>
          <cell r="AF1447"/>
          <cell r="AG1447"/>
          <cell r="AH1447"/>
          <cell r="AI1447"/>
          <cell r="AJ1447"/>
          <cell r="AK1447"/>
          <cell r="AL1447"/>
        </row>
        <row r="1448">
          <cell r="E1448"/>
          <cell r="F1448"/>
          <cell r="G1448"/>
          <cell r="H1448"/>
          <cell r="I1448"/>
          <cell r="J1448"/>
          <cell r="K1448"/>
          <cell r="L1448"/>
          <cell r="M1448"/>
          <cell r="N1448"/>
          <cell r="O1448"/>
          <cell r="P1448"/>
          <cell r="Q1448"/>
          <cell r="R1448"/>
          <cell r="S1448"/>
          <cell r="T1448"/>
          <cell r="U1448"/>
          <cell r="V1448"/>
          <cell r="W1448"/>
          <cell r="X1448"/>
          <cell r="Y1448"/>
          <cell r="Z1448"/>
          <cell r="AA1448"/>
          <cell r="AB1448"/>
          <cell r="AC1448"/>
          <cell r="AD1448"/>
          <cell r="AE1448"/>
          <cell r="AF1448"/>
          <cell r="AG1448"/>
          <cell r="AH1448"/>
          <cell r="AI1448"/>
          <cell r="AJ1448"/>
          <cell r="AK1448"/>
          <cell r="AL1448"/>
        </row>
        <row r="1449">
          <cell r="E1449"/>
          <cell r="F1449"/>
          <cell r="G1449"/>
          <cell r="H1449"/>
          <cell r="I1449"/>
          <cell r="J1449"/>
          <cell r="K1449"/>
          <cell r="L1449"/>
          <cell r="M1449"/>
          <cell r="N1449"/>
          <cell r="O1449"/>
          <cell r="P1449"/>
          <cell r="Q1449"/>
          <cell r="R1449"/>
          <cell r="S1449"/>
          <cell r="T1449"/>
          <cell r="U1449"/>
          <cell r="V1449"/>
          <cell r="W1449"/>
          <cell r="X1449"/>
          <cell r="Y1449"/>
          <cell r="Z1449"/>
          <cell r="AA1449"/>
          <cell r="AB1449"/>
          <cell r="AC1449"/>
          <cell r="AD1449"/>
          <cell r="AE1449"/>
          <cell r="AF1449"/>
          <cell r="AG1449"/>
          <cell r="AH1449"/>
          <cell r="AI1449"/>
          <cell r="AJ1449"/>
          <cell r="AK1449"/>
          <cell r="AL1449"/>
        </row>
        <row r="1450">
          <cell r="E1450"/>
          <cell r="F1450"/>
          <cell r="G1450"/>
          <cell r="H1450"/>
          <cell r="I1450"/>
          <cell r="J1450"/>
          <cell r="K1450"/>
          <cell r="L1450"/>
          <cell r="M1450"/>
          <cell r="N1450"/>
          <cell r="O1450"/>
          <cell r="P1450"/>
          <cell r="Q1450"/>
          <cell r="R1450"/>
          <cell r="S1450"/>
          <cell r="T1450"/>
          <cell r="U1450"/>
          <cell r="V1450"/>
          <cell r="W1450"/>
          <cell r="X1450"/>
          <cell r="Y1450"/>
          <cell r="Z1450"/>
          <cell r="AA1450"/>
          <cell r="AB1450"/>
          <cell r="AC1450"/>
          <cell r="AD1450"/>
          <cell r="AE1450"/>
          <cell r="AF1450"/>
          <cell r="AG1450"/>
          <cell r="AH1450"/>
          <cell r="AI1450"/>
          <cell r="AJ1450"/>
          <cell r="AK1450"/>
          <cell r="AL1450"/>
        </row>
        <row r="1451">
          <cell r="E1451"/>
          <cell r="F1451"/>
          <cell r="G1451"/>
          <cell r="H1451"/>
          <cell r="I1451"/>
          <cell r="J1451"/>
          <cell r="K1451"/>
          <cell r="L1451"/>
          <cell r="M1451"/>
          <cell r="N1451"/>
          <cell r="O1451"/>
          <cell r="P1451"/>
          <cell r="Q1451"/>
          <cell r="R1451"/>
          <cell r="S1451"/>
          <cell r="T1451"/>
          <cell r="U1451"/>
          <cell r="V1451"/>
          <cell r="W1451"/>
          <cell r="X1451"/>
          <cell r="Y1451"/>
          <cell r="Z1451"/>
          <cell r="AA1451"/>
          <cell r="AB1451"/>
          <cell r="AC1451"/>
          <cell r="AD1451"/>
          <cell r="AE1451"/>
          <cell r="AF1451"/>
          <cell r="AG1451"/>
          <cell r="AH1451"/>
          <cell r="AI1451"/>
          <cell r="AJ1451"/>
          <cell r="AK1451"/>
          <cell r="AL1451"/>
        </row>
        <row r="1452">
          <cell r="E1452"/>
          <cell r="F1452"/>
          <cell r="G1452"/>
          <cell r="H1452"/>
          <cell r="I1452"/>
          <cell r="J1452"/>
          <cell r="K1452"/>
          <cell r="L1452"/>
          <cell r="M1452"/>
          <cell r="N1452"/>
          <cell r="O1452"/>
          <cell r="P1452"/>
          <cell r="Q1452"/>
          <cell r="R1452"/>
          <cell r="S1452"/>
          <cell r="T1452"/>
          <cell r="U1452"/>
          <cell r="V1452"/>
          <cell r="W1452"/>
          <cell r="X1452"/>
          <cell r="Y1452"/>
          <cell r="Z1452"/>
          <cell r="AA1452"/>
          <cell r="AB1452"/>
          <cell r="AC1452"/>
          <cell r="AD1452"/>
          <cell r="AE1452"/>
          <cell r="AF1452"/>
          <cell r="AG1452"/>
          <cell r="AH1452"/>
          <cell r="AI1452"/>
          <cell r="AJ1452"/>
          <cell r="AK1452"/>
          <cell r="AL1452"/>
        </row>
        <row r="1453">
          <cell r="E1453"/>
          <cell r="F1453"/>
          <cell r="G1453"/>
          <cell r="H1453"/>
          <cell r="I1453"/>
          <cell r="J1453"/>
          <cell r="K1453"/>
          <cell r="L1453"/>
          <cell r="M1453"/>
          <cell r="N1453"/>
          <cell r="O1453"/>
          <cell r="P1453"/>
          <cell r="Q1453"/>
          <cell r="R1453"/>
          <cell r="S1453"/>
          <cell r="T1453"/>
          <cell r="U1453"/>
          <cell r="V1453"/>
          <cell r="W1453"/>
          <cell r="X1453"/>
          <cell r="Y1453"/>
          <cell r="Z1453"/>
          <cell r="AA1453"/>
          <cell r="AB1453"/>
          <cell r="AC1453"/>
          <cell r="AD1453"/>
          <cell r="AE1453"/>
          <cell r="AF1453"/>
          <cell r="AG1453"/>
          <cell r="AH1453"/>
          <cell r="AI1453"/>
          <cell r="AJ1453"/>
          <cell r="AK1453"/>
          <cell r="AL1453"/>
        </row>
        <row r="1454">
          <cell r="E1454"/>
          <cell r="F1454"/>
          <cell r="G1454"/>
          <cell r="H1454"/>
          <cell r="I1454"/>
          <cell r="J1454"/>
          <cell r="K1454"/>
          <cell r="L1454"/>
          <cell r="M1454"/>
          <cell r="N1454"/>
          <cell r="O1454"/>
          <cell r="P1454"/>
          <cell r="Q1454"/>
          <cell r="R1454"/>
          <cell r="S1454"/>
          <cell r="T1454"/>
          <cell r="U1454"/>
          <cell r="V1454"/>
          <cell r="W1454"/>
          <cell r="X1454"/>
          <cell r="Y1454"/>
          <cell r="Z1454"/>
          <cell r="AA1454"/>
          <cell r="AB1454"/>
          <cell r="AC1454"/>
          <cell r="AD1454"/>
          <cell r="AE1454"/>
          <cell r="AF1454"/>
          <cell r="AG1454"/>
          <cell r="AH1454"/>
          <cell r="AI1454"/>
          <cell r="AJ1454"/>
          <cell r="AK1454"/>
          <cell r="AL1454"/>
        </row>
        <row r="1455">
          <cell r="E1455"/>
          <cell r="F1455"/>
          <cell r="G1455"/>
          <cell r="H1455"/>
          <cell r="I1455"/>
          <cell r="J1455"/>
          <cell r="K1455"/>
          <cell r="L1455"/>
          <cell r="M1455"/>
          <cell r="N1455"/>
          <cell r="O1455"/>
          <cell r="P1455"/>
          <cell r="Q1455"/>
          <cell r="R1455"/>
          <cell r="S1455"/>
          <cell r="T1455"/>
          <cell r="U1455"/>
          <cell r="V1455"/>
          <cell r="W1455"/>
          <cell r="X1455"/>
          <cell r="Y1455"/>
          <cell r="Z1455"/>
          <cell r="AA1455"/>
          <cell r="AB1455"/>
          <cell r="AC1455"/>
          <cell r="AD1455"/>
          <cell r="AE1455"/>
          <cell r="AF1455"/>
          <cell r="AG1455"/>
          <cell r="AH1455"/>
          <cell r="AI1455"/>
          <cell r="AJ1455"/>
          <cell r="AK1455"/>
          <cell r="AL1455"/>
        </row>
        <row r="1456">
          <cell r="E1456"/>
          <cell r="F1456"/>
          <cell r="G1456"/>
          <cell r="H1456"/>
          <cell r="I1456"/>
          <cell r="J1456"/>
          <cell r="K1456"/>
          <cell r="L1456"/>
          <cell r="M1456"/>
          <cell r="N1456"/>
          <cell r="O1456"/>
          <cell r="P1456"/>
          <cell r="Q1456"/>
          <cell r="R1456"/>
          <cell r="S1456"/>
          <cell r="T1456"/>
          <cell r="U1456"/>
          <cell r="V1456"/>
          <cell r="W1456"/>
          <cell r="X1456"/>
          <cell r="Y1456"/>
          <cell r="Z1456"/>
          <cell r="AA1456"/>
          <cell r="AB1456"/>
          <cell r="AC1456"/>
          <cell r="AD1456"/>
          <cell r="AE1456"/>
          <cell r="AF1456"/>
          <cell r="AG1456"/>
          <cell r="AH1456"/>
          <cell r="AI1456"/>
          <cell r="AJ1456"/>
          <cell r="AK1456"/>
          <cell r="AL1456"/>
        </row>
        <row r="1457">
          <cell r="E1457"/>
          <cell r="F1457"/>
          <cell r="G1457"/>
          <cell r="H1457"/>
          <cell r="I1457"/>
          <cell r="J1457"/>
          <cell r="K1457"/>
          <cell r="L1457"/>
          <cell r="M1457"/>
          <cell r="N1457"/>
          <cell r="O1457"/>
          <cell r="P1457"/>
          <cell r="Q1457"/>
          <cell r="R1457"/>
          <cell r="S1457"/>
          <cell r="T1457"/>
          <cell r="U1457"/>
          <cell r="V1457"/>
          <cell r="W1457"/>
          <cell r="X1457"/>
          <cell r="Y1457"/>
          <cell r="Z1457"/>
          <cell r="AA1457"/>
          <cell r="AB1457"/>
          <cell r="AC1457"/>
          <cell r="AD1457"/>
          <cell r="AE1457"/>
          <cell r="AF1457"/>
          <cell r="AG1457"/>
          <cell r="AH1457"/>
          <cell r="AI1457"/>
          <cell r="AJ1457"/>
          <cell r="AK1457"/>
          <cell r="AL1457"/>
        </row>
        <row r="1458">
          <cell r="E1458"/>
          <cell r="F1458"/>
          <cell r="G1458"/>
          <cell r="H1458"/>
          <cell r="I1458"/>
          <cell r="J1458"/>
          <cell r="K1458"/>
          <cell r="L1458"/>
          <cell r="M1458"/>
          <cell r="N1458"/>
          <cell r="O1458"/>
          <cell r="P1458"/>
          <cell r="Q1458"/>
          <cell r="R1458"/>
          <cell r="S1458"/>
          <cell r="T1458"/>
          <cell r="U1458"/>
          <cell r="V1458"/>
          <cell r="W1458"/>
          <cell r="X1458"/>
          <cell r="Y1458"/>
          <cell r="Z1458"/>
          <cell r="AA1458"/>
          <cell r="AB1458"/>
          <cell r="AC1458"/>
          <cell r="AD1458"/>
          <cell r="AE1458"/>
          <cell r="AF1458"/>
          <cell r="AG1458"/>
          <cell r="AH1458"/>
          <cell r="AI1458"/>
          <cell r="AJ1458"/>
          <cell r="AK1458"/>
          <cell r="AL1458"/>
        </row>
        <row r="1459">
          <cell r="E1459"/>
          <cell r="F1459"/>
          <cell r="G1459"/>
          <cell r="H1459"/>
          <cell r="I1459"/>
          <cell r="J1459"/>
          <cell r="K1459"/>
          <cell r="L1459"/>
          <cell r="M1459"/>
          <cell r="N1459"/>
          <cell r="O1459"/>
          <cell r="P1459"/>
          <cell r="Q1459"/>
          <cell r="R1459"/>
          <cell r="S1459"/>
          <cell r="T1459"/>
          <cell r="U1459"/>
          <cell r="V1459"/>
          <cell r="W1459"/>
          <cell r="X1459"/>
          <cell r="Y1459"/>
          <cell r="Z1459"/>
          <cell r="AA1459"/>
          <cell r="AB1459"/>
          <cell r="AC1459"/>
          <cell r="AD1459"/>
          <cell r="AE1459"/>
          <cell r="AF1459"/>
          <cell r="AG1459"/>
          <cell r="AH1459"/>
          <cell r="AI1459"/>
          <cell r="AJ1459"/>
          <cell r="AK1459"/>
          <cell r="AL1459"/>
        </row>
        <row r="1460">
          <cell r="E1460"/>
          <cell r="F1460"/>
          <cell r="G1460"/>
          <cell r="H1460"/>
          <cell r="I1460"/>
          <cell r="J1460"/>
          <cell r="K1460"/>
          <cell r="L1460"/>
          <cell r="M1460"/>
          <cell r="N1460"/>
          <cell r="O1460"/>
          <cell r="P1460"/>
          <cell r="Q1460"/>
          <cell r="R1460"/>
          <cell r="S1460"/>
          <cell r="T1460"/>
          <cell r="U1460"/>
          <cell r="V1460"/>
          <cell r="W1460"/>
          <cell r="X1460"/>
          <cell r="Y1460"/>
          <cell r="Z1460"/>
          <cell r="AA1460"/>
          <cell r="AB1460"/>
          <cell r="AC1460"/>
          <cell r="AD1460"/>
          <cell r="AE1460"/>
          <cell r="AF1460"/>
          <cell r="AG1460"/>
          <cell r="AH1460"/>
          <cell r="AI1460"/>
          <cell r="AJ1460"/>
          <cell r="AK1460"/>
          <cell r="AL1460"/>
        </row>
        <row r="1461">
          <cell r="E1461"/>
          <cell r="F1461"/>
          <cell r="G1461"/>
          <cell r="H1461"/>
          <cell r="I1461"/>
          <cell r="J1461"/>
          <cell r="K1461"/>
          <cell r="L1461"/>
          <cell r="M1461"/>
          <cell r="N1461"/>
          <cell r="O1461"/>
          <cell r="P1461"/>
          <cell r="Q1461"/>
          <cell r="R1461"/>
          <cell r="S1461"/>
          <cell r="T1461"/>
          <cell r="U1461"/>
          <cell r="V1461"/>
          <cell r="W1461"/>
          <cell r="X1461"/>
          <cell r="Y1461"/>
          <cell r="Z1461"/>
          <cell r="AA1461"/>
          <cell r="AB1461"/>
          <cell r="AC1461"/>
          <cell r="AD1461"/>
          <cell r="AE1461"/>
          <cell r="AF1461"/>
          <cell r="AG1461"/>
          <cell r="AH1461"/>
          <cell r="AI1461"/>
          <cell r="AJ1461"/>
          <cell r="AK1461"/>
          <cell r="AL1461"/>
        </row>
        <row r="1462">
          <cell r="E1462"/>
          <cell r="F1462"/>
          <cell r="G1462"/>
          <cell r="H1462"/>
          <cell r="I1462"/>
          <cell r="J1462"/>
          <cell r="K1462"/>
          <cell r="L1462"/>
          <cell r="M1462"/>
          <cell r="N1462"/>
          <cell r="O1462"/>
          <cell r="P1462"/>
          <cell r="Q1462"/>
          <cell r="R1462"/>
          <cell r="S1462"/>
          <cell r="T1462"/>
          <cell r="U1462"/>
          <cell r="V1462"/>
          <cell r="W1462"/>
          <cell r="X1462"/>
          <cell r="Y1462"/>
          <cell r="Z1462"/>
          <cell r="AA1462"/>
          <cell r="AB1462"/>
          <cell r="AC1462"/>
          <cell r="AD1462"/>
          <cell r="AE1462"/>
          <cell r="AF1462"/>
          <cell r="AG1462"/>
          <cell r="AH1462"/>
          <cell r="AI1462"/>
          <cell r="AJ1462"/>
          <cell r="AK1462"/>
          <cell r="AL1462"/>
        </row>
        <row r="1463">
          <cell r="E1463"/>
          <cell r="F1463"/>
          <cell r="G1463"/>
          <cell r="H1463"/>
          <cell r="I1463"/>
          <cell r="J1463"/>
          <cell r="K1463"/>
          <cell r="L1463"/>
          <cell r="M1463"/>
          <cell r="N1463"/>
          <cell r="O1463"/>
          <cell r="P1463"/>
          <cell r="Q1463"/>
          <cell r="R1463"/>
          <cell r="S1463"/>
          <cell r="T1463"/>
          <cell r="U1463"/>
          <cell r="V1463"/>
          <cell r="W1463"/>
          <cell r="X1463"/>
          <cell r="Y1463"/>
          <cell r="Z1463"/>
          <cell r="AA1463"/>
          <cell r="AB1463"/>
          <cell r="AC1463"/>
          <cell r="AD1463"/>
          <cell r="AE1463"/>
          <cell r="AF1463"/>
          <cell r="AG1463"/>
          <cell r="AH1463"/>
          <cell r="AI1463"/>
          <cell r="AJ1463"/>
          <cell r="AK1463"/>
          <cell r="AL1463"/>
        </row>
        <row r="1464">
          <cell r="E1464"/>
          <cell r="F1464"/>
          <cell r="G1464"/>
          <cell r="H1464"/>
          <cell r="I1464"/>
          <cell r="J1464"/>
          <cell r="K1464"/>
          <cell r="L1464"/>
          <cell r="M1464"/>
          <cell r="N1464"/>
          <cell r="O1464"/>
          <cell r="P1464"/>
          <cell r="Q1464"/>
          <cell r="R1464"/>
          <cell r="S1464"/>
          <cell r="T1464"/>
          <cell r="U1464"/>
          <cell r="V1464"/>
          <cell r="W1464"/>
          <cell r="X1464"/>
          <cell r="Y1464"/>
          <cell r="Z1464"/>
          <cell r="AA1464"/>
          <cell r="AB1464"/>
          <cell r="AC1464"/>
          <cell r="AD1464"/>
          <cell r="AE1464"/>
          <cell r="AF1464"/>
          <cell r="AG1464"/>
          <cell r="AH1464"/>
          <cell r="AI1464"/>
          <cell r="AJ1464"/>
          <cell r="AK1464"/>
          <cell r="AL1464"/>
        </row>
        <row r="1465">
          <cell r="E1465"/>
          <cell r="F1465"/>
          <cell r="G1465"/>
          <cell r="H1465"/>
          <cell r="I1465"/>
          <cell r="J1465"/>
          <cell r="K1465"/>
          <cell r="L1465"/>
          <cell r="M1465"/>
          <cell r="N1465"/>
          <cell r="O1465"/>
          <cell r="P1465"/>
          <cell r="Q1465"/>
          <cell r="R1465"/>
          <cell r="S1465"/>
          <cell r="T1465"/>
          <cell r="U1465"/>
          <cell r="V1465"/>
          <cell r="W1465"/>
          <cell r="X1465"/>
          <cell r="Y1465"/>
          <cell r="Z1465"/>
          <cell r="AA1465"/>
          <cell r="AB1465"/>
          <cell r="AC1465"/>
          <cell r="AD1465"/>
          <cell r="AE1465"/>
          <cell r="AF1465"/>
          <cell r="AG1465"/>
          <cell r="AH1465"/>
          <cell r="AI1465"/>
          <cell r="AJ1465"/>
          <cell r="AK1465"/>
          <cell r="AL1465"/>
        </row>
        <row r="1466">
          <cell r="E1466"/>
          <cell r="F1466"/>
          <cell r="G1466"/>
          <cell r="H1466"/>
          <cell r="I1466"/>
          <cell r="J1466"/>
          <cell r="K1466"/>
          <cell r="L1466"/>
          <cell r="M1466"/>
          <cell r="N1466"/>
          <cell r="O1466"/>
          <cell r="P1466"/>
          <cell r="Q1466"/>
          <cell r="R1466"/>
          <cell r="S1466"/>
          <cell r="T1466"/>
          <cell r="U1466"/>
          <cell r="V1466"/>
          <cell r="W1466"/>
          <cell r="X1466"/>
          <cell r="Y1466"/>
          <cell r="Z1466"/>
          <cell r="AA1466"/>
          <cell r="AB1466"/>
          <cell r="AC1466"/>
          <cell r="AD1466"/>
          <cell r="AE1466"/>
          <cell r="AF1466"/>
          <cell r="AG1466"/>
          <cell r="AH1466"/>
          <cell r="AI1466"/>
          <cell r="AJ1466"/>
          <cell r="AK1466"/>
          <cell r="AL1466"/>
        </row>
        <row r="1467">
          <cell r="E1467"/>
          <cell r="F1467"/>
          <cell r="G1467"/>
          <cell r="H1467"/>
          <cell r="I1467"/>
          <cell r="J1467"/>
          <cell r="K1467"/>
          <cell r="L1467"/>
          <cell r="M1467"/>
          <cell r="N1467"/>
          <cell r="O1467"/>
          <cell r="P1467"/>
          <cell r="Q1467"/>
          <cell r="R1467"/>
          <cell r="S1467"/>
          <cell r="T1467"/>
          <cell r="U1467"/>
          <cell r="V1467"/>
          <cell r="W1467"/>
          <cell r="X1467"/>
          <cell r="Y1467"/>
          <cell r="Z1467"/>
          <cell r="AA1467"/>
          <cell r="AB1467"/>
          <cell r="AC1467"/>
          <cell r="AD1467"/>
          <cell r="AE1467"/>
          <cell r="AF1467"/>
          <cell r="AG1467"/>
          <cell r="AH1467"/>
          <cell r="AI1467"/>
          <cell r="AJ1467"/>
          <cell r="AK1467"/>
          <cell r="AL1467"/>
        </row>
        <row r="1468">
          <cell r="E1468"/>
          <cell r="F1468"/>
          <cell r="G1468"/>
          <cell r="H1468"/>
          <cell r="I1468"/>
          <cell r="J1468"/>
          <cell r="K1468"/>
          <cell r="L1468"/>
          <cell r="M1468"/>
          <cell r="N1468"/>
          <cell r="O1468"/>
          <cell r="P1468"/>
          <cell r="Q1468"/>
          <cell r="R1468"/>
          <cell r="S1468"/>
          <cell r="T1468"/>
          <cell r="U1468"/>
          <cell r="V1468"/>
          <cell r="W1468"/>
          <cell r="X1468"/>
          <cell r="Y1468"/>
          <cell r="Z1468"/>
          <cell r="AA1468"/>
          <cell r="AB1468"/>
          <cell r="AC1468"/>
          <cell r="AD1468"/>
          <cell r="AE1468"/>
          <cell r="AF1468"/>
          <cell r="AG1468"/>
          <cell r="AH1468"/>
          <cell r="AI1468"/>
          <cell r="AJ1468"/>
          <cell r="AK1468"/>
          <cell r="AL1468"/>
        </row>
        <row r="1469">
          <cell r="E1469"/>
          <cell r="F1469"/>
          <cell r="G1469"/>
          <cell r="H1469"/>
          <cell r="I1469"/>
          <cell r="J1469"/>
          <cell r="K1469"/>
          <cell r="L1469"/>
          <cell r="M1469"/>
          <cell r="N1469"/>
          <cell r="O1469"/>
          <cell r="P1469"/>
          <cell r="Q1469"/>
          <cell r="R1469"/>
          <cell r="S1469"/>
          <cell r="T1469"/>
          <cell r="U1469"/>
          <cell r="V1469"/>
          <cell r="W1469"/>
          <cell r="X1469"/>
          <cell r="Y1469"/>
          <cell r="Z1469"/>
          <cell r="AA1469"/>
          <cell r="AB1469"/>
          <cell r="AC1469"/>
          <cell r="AD1469"/>
          <cell r="AE1469"/>
          <cell r="AF1469"/>
          <cell r="AG1469"/>
          <cell r="AH1469"/>
          <cell r="AI1469"/>
          <cell r="AJ1469"/>
          <cell r="AK1469"/>
          <cell r="AL1469"/>
        </row>
        <row r="1470">
          <cell r="E1470"/>
          <cell r="F1470"/>
          <cell r="G1470"/>
          <cell r="H1470"/>
          <cell r="I1470"/>
          <cell r="J1470"/>
          <cell r="K1470"/>
          <cell r="L1470"/>
          <cell r="M1470"/>
          <cell r="N1470"/>
          <cell r="O1470"/>
          <cell r="P1470"/>
          <cell r="Q1470"/>
          <cell r="R1470"/>
          <cell r="S1470"/>
          <cell r="T1470"/>
          <cell r="U1470"/>
          <cell r="V1470"/>
          <cell r="W1470"/>
          <cell r="X1470"/>
          <cell r="Y1470"/>
          <cell r="Z1470"/>
          <cell r="AA1470"/>
          <cell r="AB1470"/>
          <cell r="AC1470"/>
          <cell r="AD1470"/>
          <cell r="AE1470"/>
          <cell r="AF1470"/>
          <cell r="AG1470"/>
          <cell r="AH1470"/>
          <cell r="AI1470"/>
          <cell r="AJ1470"/>
          <cell r="AK1470"/>
          <cell r="AL1470"/>
        </row>
        <row r="1471">
          <cell r="E1471"/>
          <cell r="F1471"/>
          <cell r="G1471"/>
          <cell r="H1471"/>
          <cell r="I1471"/>
          <cell r="J1471"/>
          <cell r="K1471"/>
          <cell r="L1471"/>
          <cell r="M1471"/>
          <cell r="N1471"/>
          <cell r="O1471"/>
          <cell r="P1471"/>
          <cell r="Q1471"/>
          <cell r="R1471"/>
          <cell r="S1471"/>
          <cell r="T1471"/>
          <cell r="U1471"/>
          <cell r="V1471"/>
          <cell r="W1471"/>
          <cell r="X1471"/>
          <cell r="Y1471"/>
          <cell r="Z1471"/>
          <cell r="AA1471"/>
          <cell r="AB1471"/>
          <cell r="AC1471"/>
          <cell r="AD1471"/>
          <cell r="AE1471"/>
          <cell r="AF1471"/>
          <cell r="AG1471"/>
          <cell r="AH1471"/>
          <cell r="AI1471"/>
          <cell r="AJ1471"/>
          <cell r="AK1471"/>
          <cell r="AL1471"/>
        </row>
        <row r="1472">
          <cell r="E1472"/>
          <cell r="F1472"/>
          <cell r="G1472"/>
          <cell r="H1472"/>
          <cell r="I1472"/>
          <cell r="J1472"/>
          <cell r="K1472"/>
          <cell r="L1472"/>
          <cell r="M1472"/>
          <cell r="N1472"/>
          <cell r="O1472"/>
          <cell r="P1472"/>
          <cell r="Q1472"/>
          <cell r="R1472"/>
          <cell r="S1472"/>
          <cell r="T1472"/>
          <cell r="U1472"/>
          <cell r="V1472"/>
          <cell r="W1472"/>
          <cell r="X1472"/>
          <cell r="Y1472"/>
          <cell r="Z1472"/>
          <cell r="AA1472"/>
          <cell r="AB1472"/>
          <cell r="AC1472"/>
          <cell r="AD1472"/>
          <cell r="AE1472"/>
          <cell r="AF1472"/>
          <cell r="AG1472"/>
          <cell r="AH1472"/>
          <cell r="AI1472"/>
          <cell r="AJ1472"/>
          <cell r="AK1472"/>
          <cell r="AL1472"/>
        </row>
        <row r="1473">
          <cell r="E1473"/>
          <cell r="F1473"/>
          <cell r="G1473"/>
          <cell r="H1473"/>
          <cell r="I1473"/>
          <cell r="J1473"/>
          <cell r="K1473"/>
          <cell r="L1473"/>
          <cell r="M1473"/>
          <cell r="N1473"/>
          <cell r="O1473"/>
          <cell r="P1473"/>
          <cell r="Q1473"/>
          <cell r="R1473"/>
          <cell r="S1473"/>
          <cell r="T1473"/>
          <cell r="U1473"/>
          <cell r="V1473"/>
          <cell r="W1473"/>
          <cell r="X1473"/>
          <cell r="Y1473"/>
          <cell r="Z1473"/>
          <cell r="AA1473"/>
          <cell r="AB1473"/>
          <cell r="AC1473"/>
          <cell r="AD1473"/>
          <cell r="AE1473"/>
          <cell r="AF1473"/>
          <cell r="AG1473"/>
          <cell r="AH1473"/>
          <cell r="AI1473"/>
          <cell r="AJ1473"/>
          <cell r="AK1473"/>
          <cell r="AL1473"/>
        </row>
        <row r="1474">
          <cell r="E1474"/>
          <cell r="F1474"/>
          <cell r="G1474"/>
          <cell r="H1474"/>
          <cell r="I1474"/>
          <cell r="J1474"/>
          <cell r="K1474"/>
          <cell r="L1474"/>
          <cell r="M1474"/>
          <cell r="N1474"/>
          <cell r="O1474"/>
          <cell r="P1474"/>
          <cell r="Q1474"/>
          <cell r="R1474"/>
          <cell r="S1474"/>
          <cell r="T1474"/>
          <cell r="U1474"/>
          <cell r="V1474"/>
          <cell r="W1474"/>
          <cell r="X1474"/>
          <cell r="Y1474"/>
          <cell r="Z1474"/>
          <cell r="AA1474"/>
          <cell r="AB1474"/>
          <cell r="AC1474"/>
          <cell r="AD1474"/>
          <cell r="AE1474"/>
          <cell r="AF1474"/>
          <cell r="AG1474"/>
          <cell r="AH1474"/>
          <cell r="AI1474"/>
          <cell r="AJ1474"/>
          <cell r="AK1474"/>
          <cell r="AL1474"/>
        </row>
        <row r="1475">
          <cell r="E1475"/>
          <cell r="F1475"/>
          <cell r="G1475"/>
          <cell r="H1475"/>
          <cell r="I1475"/>
          <cell r="J1475"/>
          <cell r="K1475"/>
          <cell r="L1475"/>
          <cell r="M1475"/>
          <cell r="N1475"/>
          <cell r="O1475"/>
          <cell r="P1475"/>
          <cell r="Q1475"/>
          <cell r="R1475"/>
          <cell r="S1475"/>
          <cell r="T1475"/>
          <cell r="U1475"/>
          <cell r="V1475"/>
          <cell r="W1475"/>
          <cell r="X1475"/>
          <cell r="Y1475"/>
          <cell r="Z1475"/>
          <cell r="AA1475"/>
          <cell r="AB1475"/>
          <cell r="AC1475"/>
          <cell r="AD1475"/>
          <cell r="AE1475"/>
          <cell r="AF1475"/>
          <cell r="AG1475"/>
          <cell r="AH1475"/>
          <cell r="AI1475"/>
          <cell r="AJ1475"/>
          <cell r="AK1475"/>
          <cell r="AL1475"/>
        </row>
        <row r="1476">
          <cell r="E1476"/>
          <cell r="F1476"/>
          <cell r="G1476"/>
          <cell r="H1476"/>
          <cell r="I1476"/>
          <cell r="J1476"/>
          <cell r="K1476"/>
          <cell r="L1476"/>
          <cell r="M1476"/>
          <cell r="N1476"/>
          <cell r="O1476"/>
          <cell r="P1476"/>
          <cell r="Q1476"/>
          <cell r="R1476"/>
          <cell r="S1476"/>
          <cell r="T1476"/>
          <cell r="U1476"/>
          <cell r="V1476"/>
          <cell r="W1476"/>
          <cell r="X1476"/>
          <cell r="Y1476"/>
          <cell r="Z1476"/>
          <cell r="AA1476"/>
          <cell r="AB1476"/>
          <cell r="AC1476"/>
          <cell r="AD1476"/>
          <cell r="AE1476"/>
          <cell r="AF1476"/>
          <cell r="AG1476"/>
          <cell r="AH1476"/>
          <cell r="AI1476"/>
          <cell r="AJ1476"/>
          <cell r="AK1476"/>
          <cell r="AL1476"/>
        </row>
        <row r="1477">
          <cell r="E1477"/>
          <cell r="F1477"/>
          <cell r="G1477"/>
          <cell r="H1477"/>
          <cell r="I1477"/>
          <cell r="J1477"/>
          <cell r="K1477"/>
          <cell r="L1477"/>
          <cell r="M1477"/>
          <cell r="N1477"/>
          <cell r="O1477"/>
          <cell r="P1477"/>
          <cell r="Q1477"/>
          <cell r="R1477"/>
          <cell r="S1477"/>
          <cell r="T1477"/>
          <cell r="U1477"/>
          <cell r="V1477"/>
          <cell r="W1477"/>
          <cell r="X1477"/>
          <cell r="Y1477"/>
          <cell r="Z1477"/>
          <cell r="AA1477"/>
          <cell r="AB1477"/>
          <cell r="AC1477"/>
          <cell r="AD1477"/>
          <cell r="AE1477"/>
          <cell r="AF1477"/>
          <cell r="AG1477"/>
          <cell r="AH1477"/>
          <cell r="AI1477"/>
          <cell r="AJ1477"/>
          <cell r="AK1477"/>
          <cell r="AL1477"/>
        </row>
        <row r="1478">
          <cell r="E1478"/>
          <cell r="F1478"/>
          <cell r="G1478"/>
          <cell r="H1478"/>
          <cell r="I1478"/>
          <cell r="J1478"/>
          <cell r="K1478"/>
          <cell r="L1478"/>
          <cell r="M1478"/>
          <cell r="N1478"/>
          <cell r="O1478"/>
          <cell r="P1478"/>
          <cell r="Q1478"/>
          <cell r="R1478"/>
          <cell r="S1478"/>
          <cell r="T1478"/>
          <cell r="U1478"/>
          <cell r="V1478"/>
          <cell r="W1478"/>
          <cell r="X1478"/>
          <cell r="Y1478"/>
          <cell r="Z1478"/>
          <cell r="AA1478"/>
          <cell r="AB1478"/>
          <cell r="AC1478"/>
          <cell r="AD1478"/>
          <cell r="AE1478"/>
          <cell r="AF1478"/>
          <cell r="AG1478"/>
          <cell r="AH1478"/>
          <cell r="AI1478"/>
          <cell r="AJ1478"/>
          <cell r="AK1478"/>
          <cell r="AL1478"/>
        </row>
        <row r="1479">
          <cell r="E1479"/>
          <cell r="F1479"/>
          <cell r="G1479"/>
          <cell r="H1479"/>
          <cell r="I1479"/>
          <cell r="J1479"/>
          <cell r="K1479"/>
          <cell r="L1479"/>
          <cell r="M1479"/>
          <cell r="N1479"/>
          <cell r="O1479"/>
          <cell r="P1479"/>
          <cell r="Q1479"/>
          <cell r="R1479"/>
          <cell r="S1479"/>
          <cell r="T1479"/>
          <cell r="U1479"/>
          <cell r="V1479"/>
          <cell r="W1479"/>
          <cell r="X1479"/>
          <cell r="Y1479"/>
          <cell r="Z1479"/>
          <cell r="AA1479"/>
          <cell r="AB1479"/>
          <cell r="AC1479"/>
          <cell r="AD1479"/>
          <cell r="AE1479"/>
          <cell r="AF1479"/>
          <cell r="AG1479"/>
          <cell r="AH1479"/>
          <cell r="AI1479"/>
          <cell r="AJ1479"/>
          <cell r="AK1479"/>
          <cell r="AL1479"/>
        </row>
        <row r="1480">
          <cell r="E1480" t="str">
            <v>CVV 1.25sq-2C</v>
          </cell>
          <cell r="F1480" t="str">
            <v>ｍ</v>
          </cell>
          <cell r="G1480"/>
          <cell r="H1480">
            <v>59.4</v>
          </cell>
          <cell r="I1480"/>
          <cell r="J1480">
            <v>60.3</v>
          </cell>
          <cell r="K1480"/>
          <cell r="L1480">
            <v>60.3</v>
          </cell>
          <cell r="M1480"/>
          <cell r="N1480">
            <v>58.5</v>
          </cell>
          <cell r="O1480"/>
          <cell r="P1480">
            <v>57.1</v>
          </cell>
          <cell r="Q1480"/>
          <cell r="R1480">
            <v>59.4</v>
          </cell>
          <cell r="S1480"/>
          <cell r="T1480">
            <v>59.4</v>
          </cell>
          <cell r="U1480"/>
          <cell r="V1480">
            <v>60.3</v>
          </cell>
          <cell r="W1480"/>
          <cell r="X1480">
            <v>58.5</v>
          </cell>
          <cell r="Y1480"/>
          <cell r="Z1480">
            <v>60.3</v>
          </cell>
          <cell r="AA1480"/>
          <cell r="AB1480"/>
          <cell r="AC1480"/>
          <cell r="AD1480">
            <v>1.4999999999999999E-2</v>
          </cell>
          <cell r="AE1480"/>
          <cell r="AF1480"/>
          <cell r="AG1480"/>
          <cell r="AH1480"/>
          <cell r="AI1480"/>
          <cell r="AJ1480"/>
          <cell r="AK1480"/>
          <cell r="AL1480"/>
        </row>
        <row r="1481">
          <cell r="E1481" t="str">
            <v>CVV 2sq-2C</v>
          </cell>
          <cell r="F1481" t="str">
            <v>ｍ</v>
          </cell>
          <cell r="G1481"/>
          <cell r="H1481">
            <v>78.7</v>
          </cell>
          <cell r="I1481"/>
          <cell r="J1481">
            <v>80</v>
          </cell>
          <cell r="K1481"/>
          <cell r="L1481">
            <v>80</v>
          </cell>
          <cell r="M1481"/>
          <cell r="N1481">
            <v>77.5</v>
          </cell>
          <cell r="O1481"/>
          <cell r="P1481">
            <v>75.599999999999994</v>
          </cell>
          <cell r="Q1481"/>
          <cell r="R1481">
            <v>78.7</v>
          </cell>
          <cell r="S1481"/>
          <cell r="T1481">
            <v>78.7</v>
          </cell>
          <cell r="U1481"/>
          <cell r="V1481">
            <v>80</v>
          </cell>
          <cell r="W1481"/>
          <cell r="X1481">
            <v>77.5</v>
          </cell>
          <cell r="Y1481"/>
          <cell r="Z1481">
            <v>80</v>
          </cell>
          <cell r="AA1481"/>
          <cell r="AB1481"/>
          <cell r="AC1481"/>
          <cell r="AD1481">
            <v>1.7000000000000001E-2</v>
          </cell>
          <cell r="AE1481"/>
          <cell r="AF1481"/>
          <cell r="AG1481"/>
          <cell r="AH1481"/>
          <cell r="AI1481"/>
          <cell r="AJ1481"/>
          <cell r="AK1481"/>
          <cell r="AL1481"/>
        </row>
        <row r="1482">
          <cell r="E1482" t="str">
            <v>CVV 3.5sq-2C</v>
          </cell>
          <cell r="F1482" t="str">
            <v>ｍ</v>
          </cell>
          <cell r="G1482"/>
          <cell r="H1482">
            <v>115</v>
          </cell>
          <cell r="I1482"/>
          <cell r="J1482">
            <v>116</v>
          </cell>
          <cell r="K1482"/>
          <cell r="L1482">
            <v>116</v>
          </cell>
          <cell r="M1482"/>
          <cell r="N1482">
            <v>113</v>
          </cell>
          <cell r="O1482"/>
          <cell r="P1482">
            <v>110</v>
          </cell>
          <cell r="Q1482"/>
          <cell r="R1482">
            <v>115</v>
          </cell>
          <cell r="S1482"/>
          <cell r="T1482">
            <v>115</v>
          </cell>
          <cell r="U1482"/>
          <cell r="V1482">
            <v>116</v>
          </cell>
          <cell r="W1482"/>
          <cell r="X1482">
            <v>113</v>
          </cell>
          <cell r="Y1482"/>
          <cell r="Z1482">
            <v>116</v>
          </cell>
          <cell r="AA1482"/>
          <cell r="AB1482"/>
          <cell r="AC1482"/>
          <cell r="AD1482">
            <v>1.7999999999999999E-2</v>
          </cell>
          <cell r="AE1482"/>
          <cell r="AF1482"/>
          <cell r="AG1482"/>
          <cell r="AH1482"/>
          <cell r="AI1482"/>
          <cell r="AJ1482"/>
          <cell r="AK1482"/>
          <cell r="AL1482"/>
        </row>
        <row r="1483">
          <cell r="E1483" t="str">
            <v>CVV 5.5sq-2C</v>
          </cell>
          <cell r="F1483" t="str">
            <v>ｍ</v>
          </cell>
          <cell r="G1483"/>
          <cell r="H1483">
            <v>163</v>
          </cell>
          <cell r="I1483"/>
          <cell r="J1483">
            <v>165</v>
          </cell>
          <cell r="K1483"/>
          <cell r="L1483">
            <v>165</v>
          </cell>
          <cell r="M1483"/>
          <cell r="N1483">
            <v>160</v>
          </cell>
          <cell r="O1483"/>
          <cell r="P1483">
            <v>156</v>
          </cell>
          <cell r="Q1483"/>
          <cell r="R1483">
            <v>163</v>
          </cell>
          <cell r="S1483"/>
          <cell r="T1483">
            <v>163</v>
          </cell>
          <cell r="U1483"/>
          <cell r="V1483">
            <v>165</v>
          </cell>
          <cell r="W1483"/>
          <cell r="X1483">
            <v>160</v>
          </cell>
          <cell r="Y1483"/>
          <cell r="Z1483">
            <v>165</v>
          </cell>
          <cell r="AA1483"/>
          <cell r="AB1483"/>
          <cell r="AC1483"/>
          <cell r="AD1483">
            <v>2.1000000000000001E-2</v>
          </cell>
          <cell r="AE1483"/>
          <cell r="AF1483"/>
          <cell r="AG1483"/>
          <cell r="AH1483"/>
          <cell r="AI1483"/>
          <cell r="AJ1483"/>
          <cell r="AK1483"/>
          <cell r="AL1483"/>
        </row>
        <row r="1484">
          <cell r="E1484" t="str">
            <v>CVV 8sq-2C</v>
          </cell>
          <cell r="F1484" t="str">
            <v>ｍ</v>
          </cell>
          <cell r="G1484"/>
          <cell r="H1484">
            <v>221</v>
          </cell>
          <cell r="I1484"/>
          <cell r="J1484">
            <v>225</v>
          </cell>
          <cell r="K1484"/>
          <cell r="L1484">
            <v>225</v>
          </cell>
          <cell r="M1484"/>
          <cell r="N1484">
            <v>218</v>
          </cell>
          <cell r="O1484"/>
          <cell r="P1484">
            <v>213</v>
          </cell>
          <cell r="Q1484"/>
          <cell r="R1484">
            <v>221</v>
          </cell>
          <cell r="S1484"/>
          <cell r="T1484">
            <v>221</v>
          </cell>
          <cell r="U1484"/>
          <cell r="V1484">
            <v>225</v>
          </cell>
          <cell r="W1484"/>
          <cell r="X1484">
            <v>218</v>
          </cell>
          <cell r="Y1484"/>
          <cell r="Z1484">
            <v>225</v>
          </cell>
          <cell r="AA1484"/>
          <cell r="AB1484"/>
          <cell r="AC1484"/>
          <cell r="AD1484">
            <v>2.5999999999999999E-2</v>
          </cell>
          <cell r="AE1484"/>
          <cell r="AF1484"/>
          <cell r="AG1484"/>
          <cell r="AH1484"/>
          <cell r="AI1484"/>
          <cell r="AJ1484"/>
          <cell r="AK1484"/>
          <cell r="AL1484"/>
        </row>
        <row r="1485">
          <cell r="E1485" t="str">
            <v>CVV 1.25sq-3C</v>
          </cell>
          <cell r="F1485" t="str">
            <v>ｍ</v>
          </cell>
          <cell r="G1485"/>
          <cell r="H1485">
            <v>80</v>
          </cell>
          <cell r="I1485"/>
          <cell r="J1485">
            <v>81.3</v>
          </cell>
          <cell r="K1485"/>
          <cell r="L1485">
            <v>81.3</v>
          </cell>
          <cell r="M1485"/>
          <cell r="N1485">
            <v>78.8</v>
          </cell>
          <cell r="O1485"/>
          <cell r="P1485">
            <v>76.900000000000006</v>
          </cell>
          <cell r="Q1485"/>
          <cell r="R1485">
            <v>80</v>
          </cell>
          <cell r="S1485"/>
          <cell r="T1485">
            <v>80</v>
          </cell>
          <cell r="U1485"/>
          <cell r="V1485">
            <v>81.3</v>
          </cell>
          <cell r="W1485"/>
          <cell r="X1485">
            <v>78.8</v>
          </cell>
          <cell r="Y1485"/>
          <cell r="Z1485">
            <v>81.3</v>
          </cell>
          <cell r="AA1485"/>
          <cell r="AB1485"/>
          <cell r="AC1485"/>
          <cell r="AD1485">
            <v>1.7000000000000001E-2</v>
          </cell>
          <cell r="AE1485"/>
          <cell r="AF1485"/>
          <cell r="AG1485"/>
          <cell r="AH1485"/>
          <cell r="AI1485"/>
          <cell r="AJ1485"/>
          <cell r="AK1485"/>
          <cell r="AL1485"/>
        </row>
        <row r="1486">
          <cell r="E1486" t="str">
            <v>CVV 2sq-3C</v>
          </cell>
          <cell r="F1486" t="str">
            <v>ｍ</v>
          </cell>
          <cell r="G1486"/>
          <cell r="H1486">
            <v>108</v>
          </cell>
          <cell r="I1486"/>
          <cell r="J1486">
            <v>109</v>
          </cell>
          <cell r="K1486"/>
          <cell r="L1486">
            <v>109</v>
          </cell>
          <cell r="M1486"/>
          <cell r="N1486">
            <v>106</v>
          </cell>
          <cell r="O1486"/>
          <cell r="P1486">
            <v>103</v>
          </cell>
          <cell r="Q1486"/>
          <cell r="R1486">
            <v>108</v>
          </cell>
          <cell r="S1486"/>
          <cell r="T1486">
            <v>108</v>
          </cell>
          <cell r="U1486"/>
          <cell r="V1486">
            <v>109</v>
          </cell>
          <cell r="W1486"/>
          <cell r="X1486">
            <v>106</v>
          </cell>
          <cell r="Y1486"/>
          <cell r="Z1486">
            <v>109</v>
          </cell>
          <cell r="AA1486"/>
          <cell r="AB1486"/>
          <cell r="AC1486"/>
          <cell r="AD1486">
            <v>1.9E-2</v>
          </cell>
          <cell r="AE1486"/>
          <cell r="AF1486"/>
          <cell r="AG1486"/>
          <cell r="AH1486"/>
          <cell r="AI1486"/>
          <cell r="AJ1486"/>
          <cell r="AK1486"/>
          <cell r="AL1486"/>
        </row>
        <row r="1487">
          <cell r="E1487" t="str">
            <v>CVV 3.5sq-3C</v>
          </cell>
          <cell r="F1487" t="str">
            <v>ｍ</v>
          </cell>
          <cell r="G1487"/>
          <cell r="H1487">
            <v>161</v>
          </cell>
          <cell r="I1487"/>
          <cell r="J1487">
            <v>163</v>
          </cell>
          <cell r="K1487"/>
          <cell r="L1487">
            <v>163</v>
          </cell>
          <cell r="M1487"/>
          <cell r="N1487">
            <v>158</v>
          </cell>
          <cell r="O1487"/>
          <cell r="P1487">
            <v>154</v>
          </cell>
          <cell r="Q1487"/>
          <cell r="R1487">
            <v>161</v>
          </cell>
          <cell r="S1487"/>
          <cell r="T1487">
            <v>161</v>
          </cell>
          <cell r="U1487"/>
          <cell r="V1487">
            <v>163</v>
          </cell>
          <cell r="W1487"/>
          <cell r="X1487">
            <v>158</v>
          </cell>
          <cell r="Y1487"/>
          <cell r="Z1487">
            <v>163</v>
          </cell>
          <cell r="AA1487"/>
          <cell r="AB1487"/>
          <cell r="AC1487"/>
          <cell r="AD1487">
            <v>2.1000000000000001E-2</v>
          </cell>
          <cell r="AE1487"/>
          <cell r="AF1487"/>
          <cell r="AG1487"/>
          <cell r="AH1487"/>
          <cell r="AI1487"/>
          <cell r="AJ1487"/>
          <cell r="AK1487"/>
          <cell r="AL1487"/>
        </row>
        <row r="1488">
          <cell r="E1488" t="str">
            <v>CVV 5.5sq-3C</v>
          </cell>
          <cell r="F1488" t="str">
            <v>ｍ</v>
          </cell>
          <cell r="G1488"/>
          <cell r="H1488">
            <v>229</v>
          </cell>
          <cell r="I1488"/>
          <cell r="J1488">
            <v>233</v>
          </cell>
          <cell r="K1488"/>
          <cell r="L1488">
            <v>233</v>
          </cell>
          <cell r="M1488"/>
          <cell r="N1488">
            <v>226</v>
          </cell>
          <cell r="O1488"/>
          <cell r="P1488">
            <v>220</v>
          </cell>
          <cell r="Q1488"/>
          <cell r="R1488">
            <v>229</v>
          </cell>
          <cell r="S1488"/>
          <cell r="T1488">
            <v>229</v>
          </cell>
          <cell r="U1488"/>
          <cell r="V1488">
            <v>233</v>
          </cell>
          <cell r="W1488"/>
          <cell r="X1488">
            <v>226</v>
          </cell>
          <cell r="Y1488"/>
          <cell r="Z1488">
            <v>233</v>
          </cell>
          <cell r="AA1488"/>
          <cell r="AB1488"/>
          <cell r="AC1488"/>
          <cell r="AD1488">
            <v>2.4E-2</v>
          </cell>
          <cell r="AE1488"/>
          <cell r="AF1488"/>
          <cell r="AG1488"/>
          <cell r="AH1488"/>
          <cell r="AI1488"/>
          <cell r="AJ1488"/>
          <cell r="AK1488"/>
          <cell r="AL1488"/>
        </row>
        <row r="1489">
          <cell r="E1489" t="str">
            <v>CVV 8sq-3C</v>
          </cell>
          <cell r="F1489" t="str">
            <v>ｍ</v>
          </cell>
          <cell r="G1489"/>
          <cell r="H1489">
            <v>314</v>
          </cell>
          <cell r="I1489"/>
          <cell r="J1489">
            <v>319</v>
          </cell>
          <cell r="K1489"/>
          <cell r="L1489">
            <v>319</v>
          </cell>
          <cell r="M1489"/>
          <cell r="N1489">
            <v>309</v>
          </cell>
          <cell r="O1489"/>
          <cell r="P1489">
            <v>302</v>
          </cell>
          <cell r="Q1489"/>
          <cell r="R1489">
            <v>314</v>
          </cell>
          <cell r="S1489"/>
          <cell r="T1489">
            <v>314</v>
          </cell>
          <cell r="U1489"/>
          <cell r="V1489">
            <v>319</v>
          </cell>
          <cell r="W1489"/>
          <cell r="X1489">
            <v>309</v>
          </cell>
          <cell r="Y1489"/>
          <cell r="Z1489">
            <v>319</v>
          </cell>
          <cell r="AA1489"/>
          <cell r="AB1489"/>
          <cell r="AC1489"/>
          <cell r="AD1489">
            <v>0.03</v>
          </cell>
          <cell r="AE1489"/>
          <cell r="AF1489"/>
          <cell r="AG1489"/>
          <cell r="AH1489"/>
          <cell r="AI1489"/>
          <cell r="AJ1489"/>
          <cell r="AK1489"/>
          <cell r="AL1489"/>
        </row>
        <row r="1490">
          <cell r="E1490" t="str">
            <v>CVV 1.25sq-4C</v>
          </cell>
          <cell r="F1490" t="str">
            <v>ｍ</v>
          </cell>
          <cell r="G1490"/>
          <cell r="H1490">
            <v>106</v>
          </cell>
          <cell r="I1490"/>
          <cell r="J1490">
            <v>107</v>
          </cell>
          <cell r="K1490"/>
          <cell r="L1490">
            <v>107</v>
          </cell>
          <cell r="M1490"/>
          <cell r="N1490">
            <v>104</v>
          </cell>
          <cell r="O1490"/>
          <cell r="P1490">
            <v>101</v>
          </cell>
          <cell r="Q1490"/>
          <cell r="R1490">
            <v>106</v>
          </cell>
          <cell r="S1490"/>
          <cell r="T1490">
            <v>106</v>
          </cell>
          <cell r="U1490"/>
          <cell r="V1490">
            <v>107</v>
          </cell>
          <cell r="W1490"/>
          <cell r="X1490">
            <v>104</v>
          </cell>
          <cell r="Y1490"/>
          <cell r="Z1490">
            <v>107</v>
          </cell>
          <cell r="AA1490"/>
          <cell r="AB1490"/>
          <cell r="AC1490"/>
          <cell r="AD1490">
            <v>1.9E-2</v>
          </cell>
          <cell r="AE1490"/>
          <cell r="AF1490"/>
          <cell r="AG1490"/>
          <cell r="AH1490"/>
          <cell r="AI1490"/>
          <cell r="AJ1490"/>
          <cell r="AK1490"/>
          <cell r="AL1490"/>
        </row>
        <row r="1491">
          <cell r="E1491" t="str">
            <v>CVV 2sq-4C</v>
          </cell>
          <cell r="F1491" t="str">
            <v>ｍ</v>
          </cell>
          <cell r="G1491"/>
          <cell r="H1491">
            <v>145</v>
          </cell>
          <cell r="I1491"/>
          <cell r="J1491">
            <v>147</v>
          </cell>
          <cell r="K1491"/>
          <cell r="L1491">
            <v>147</v>
          </cell>
          <cell r="M1491"/>
          <cell r="N1491">
            <v>142</v>
          </cell>
          <cell r="O1491"/>
          <cell r="P1491">
            <v>139</v>
          </cell>
          <cell r="Q1491"/>
          <cell r="R1491">
            <v>145</v>
          </cell>
          <cell r="S1491"/>
          <cell r="T1491">
            <v>145</v>
          </cell>
          <cell r="U1491"/>
          <cell r="V1491">
            <v>147</v>
          </cell>
          <cell r="W1491"/>
          <cell r="X1491">
            <v>142</v>
          </cell>
          <cell r="Y1491"/>
          <cell r="Z1491">
            <v>147</v>
          </cell>
          <cell r="AA1491"/>
          <cell r="AB1491"/>
          <cell r="AC1491"/>
          <cell r="AD1491">
            <v>2.1999999999999999E-2</v>
          </cell>
          <cell r="AE1491"/>
          <cell r="AF1491"/>
          <cell r="AG1491"/>
          <cell r="AH1491"/>
          <cell r="AI1491"/>
          <cell r="AJ1491"/>
          <cell r="AK1491"/>
          <cell r="AL1491"/>
        </row>
        <row r="1492">
          <cell r="E1492" t="str">
            <v>CVV 3.5sq-4C</v>
          </cell>
          <cell r="F1492" t="str">
            <v>ｍ</v>
          </cell>
          <cell r="G1492"/>
          <cell r="H1492">
            <v>211</v>
          </cell>
          <cell r="I1492"/>
          <cell r="J1492">
            <v>215</v>
          </cell>
          <cell r="K1492"/>
          <cell r="L1492">
            <v>215</v>
          </cell>
          <cell r="M1492"/>
          <cell r="N1492">
            <v>208</v>
          </cell>
          <cell r="O1492"/>
          <cell r="P1492">
            <v>203</v>
          </cell>
          <cell r="Q1492"/>
          <cell r="R1492">
            <v>211</v>
          </cell>
          <cell r="S1492"/>
          <cell r="T1492">
            <v>211</v>
          </cell>
          <cell r="U1492"/>
          <cell r="V1492">
            <v>215</v>
          </cell>
          <cell r="W1492"/>
          <cell r="X1492">
            <v>208</v>
          </cell>
          <cell r="Y1492"/>
          <cell r="Z1492">
            <v>215</v>
          </cell>
          <cell r="AA1492"/>
          <cell r="AB1492"/>
          <cell r="AC1492"/>
          <cell r="AD1492">
            <v>2.3E-2</v>
          </cell>
          <cell r="AE1492"/>
          <cell r="AF1492"/>
          <cell r="AG1492"/>
          <cell r="AH1492"/>
          <cell r="AI1492"/>
          <cell r="AJ1492"/>
          <cell r="AK1492"/>
          <cell r="AL1492"/>
        </row>
        <row r="1493">
          <cell r="E1493" t="str">
            <v>CVV 5.5sq-4C</v>
          </cell>
          <cell r="F1493" t="str">
            <v>ｍ</v>
          </cell>
          <cell r="G1493"/>
          <cell r="H1493">
            <v>303</v>
          </cell>
          <cell r="I1493"/>
          <cell r="J1493">
            <v>308</v>
          </cell>
          <cell r="K1493"/>
          <cell r="L1493">
            <v>308</v>
          </cell>
          <cell r="M1493"/>
          <cell r="N1493">
            <v>299</v>
          </cell>
          <cell r="O1493"/>
          <cell r="P1493">
            <v>292</v>
          </cell>
          <cell r="Q1493"/>
          <cell r="R1493">
            <v>303</v>
          </cell>
          <cell r="S1493"/>
          <cell r="T1493">
            <v>303</v>
          </cell>
          <cell r="U1493"/>
          <cell r="V1493">
            <v>308</v>
          </cell>
          <cell r="W1493"/>
          <cell r="X1493">
            <v>299</v>
          </cell>
          <cell r="Y1493"/>
          <cell r="Z1493">
            <v>308</v>
          </cell>
          <cell r="AA1493"/>
          <cell r="AB1493"/>
          <cell r="AC1493"/>
          <cell r="AD1493">
            <v>2.8000000000000001E-2</v>
          </cell>
          <cell r="AE1493"/>
          <cell r="AF1493"/>
          <cell r="AG1493"/>
          <cell r="AH1493"/>
          <cell r="AI1493"/>
          <cell r="AJ1493"/>
          <cell r="AK1493"/>
          <cell r="AL1493"/>
        </row>
        <row r="1494">
          <cell r="E1494" t="str">
            <v>CVV 8sq-4C</v>
          </cell>
          <cell r="F1494" t="str">
            <v>ｍ</v>
          </cell>
          <cell r="G1494"/>
          <cell r="H1494">
            <v>413</v>
          </cell>
          <cell r="I1494"/>
          <cell r="J1494">
            <v>419</v>
          </cell>
          <cell r="K1494"/>
          <cell r="L1494">
            <v>419</v>
          </cell>
          <cell r="M1494"/>
          <cell r="N1494">
            <v>406</v>
          </cell>
          <cell r="O1494"/>
          <cell r="P1494">
            <v>397</v>
          </cell>
          <cell r="Q1494"/>
          <cell r="R1494">
            <v>413</v>
          </cell>
          <cell r="S1494"/>
          <cell r="T1494">
            <v>413</v>
          </cell>
          <cell r="U1494"/>
          <cell r="V1494">
            <v>419</v>
          </cell>
          <cell r="W1494"/>
          <cell r="X1494">
            <v>406</v>
          </cell>
          <cell r="Y1494"/>
          <cell r="Z1494">
            <v>419</v>
          </cell>
          <cell r="AA1494"/>
          <cell r="AB1494"/>
          <cell r="AC1494"/>
          <cell r="AD1494">
            <v>3.4000000000000002E-2</v>
          </cell>
          <cell r="AE1494"/>
          <cell r="AF1494"/>
          <cell r="AG1494"/>
          <cell r="AH1494"/>
          <cell r="AI1494"/>
          <cell r="AJ1494"/>
          <cell r="AK1494"/>
          <cell r="AL1494"/>
        </row>
        <row r="1495">
          <cell r="E1495" t="str">
            <v>CVV 1.25sq-5C</v>
          </cell>
          <cell r="F1495" t="str">
            <v>ｍ</v>
          </cell>
          <cell r="G1495"/>
          <cell r="H1495">
            <v>120</v>
          </cell>
          <cell r="I1495"/>
          <cell r="J1495">
            <v>122</v>
          </cell>
          <cell r="K1495"/>
          <cell r="L1495">
            <v>122</v>
          </cell>
          <cell r="M1495"/>
          <cell r="N1495">
            <v>118</v>
          </cell>
          <cell r="O1495"/>
          <cell r="P1495">
            <v>115</v>
          </cell>
          <cell r="Q1495"/>
          <cell r="R1495">
            <v>120</v>
          </cell>
          <cell r="S1495"/>
          <cell r="T1495">
            <v>120</v>
          </cell>
          <cell r="U1495"/>
          <cell r="V1495">
            <v>122</v>
          </cell>
          <cell r="W1495"/>
          <cell r="X1495">
            <v>118</v>
          </cell>
          <cell r="Y1495"/>
          <cell r="Z1495">
            <v>122</v>
          </cell>
          <cell r="AA1495"/>
          <cell r="AB1495"/>
          <cell r="AC1495"/>
          <cell r="AD1495">
            <v>2.5000000000000001E-2</v>
          </cell>
          <cell r="AE1495"/>
          <cell r="AF1495"/>
          <cell r="AG1495"/>
          <cell r="AH1495"/>
          <cell r="AI1495"/>
          <cell r="AJ1495"/>
          <cell r="AK1495"/>
          <cell r="AL1495"/>
        </row>
        <row r="1496">
          <cell r="E1496" t="str">
            <v>CVV 2sq-5C</v>
          </cell>
          <cell r="F1496" t="str">
            <v>ｍ</v>
          </cell>
          <cell r="G1496"/>
          <cell r="H1496">
            <v>167</v>
          </cell>
          <cell r="I1496"/>
          <cell r="J1496">
            <v>170</v>
          </cell>
          <cell r="K1496"/>
          <cell r="L1496">
            <v>170</v>
          </cell>
          <cell r="M1496"/>
          <cell r="N1496">
            <v>164</v>
          </cell>
          <cell r="O1496"/>
          <cell r="P1496">
            <v>161</v>
          </cell>
          <cell r="Q1496"/>
          <cell r="R1496">
            <v>167</v>
          </cell>
          <cell r="S1496"/>
          <cell r="T1496">
            <v>167</v>
          </cell>
          <cell r="U1496"/>
          <cell r="V1496">
            <v>170</v>
          </cell>
          <cell r="W1496"/>
          <cell r="X1496">
            <v>164</v>
          </cell>
          <cell r="Y1496"/>
          <cell r="Z1496">
            <v>170</v>
          </cell>
          <cell r="AA1496"/>
          <cell r="AB1496"/>
          <cell r="AC1496"/>
          <cell r="AD1496">
            <v>2.8000000000000001E-2</v>
          </cell>
          <cell r="AE1496"/>
          <cell r="AF1496"/>
          <cell r="AG1496"/>
          <cell r="AH1496"/>
          <cell r="AI1496"/>
          <cell r="AJ1496"/>
          <cell r="AK1496"/>
          <cell r="AL1496"/>
        </row>
        <row r="1497">
          <cell r="E1497" t="str">
            <v>CVV 3.5sq-5C</v>
          </cell>
          <cell r="F1497" t="str">
            <v>ｍ</v>
          </cell>
          <cell r="G1497"/>
          <cell r="H1497">
            <v>250</v>
          </cell>
          <cell r="I1497"/>
          <cell r="J1497">
            <v>254</v>
          </cell>
          <cell r="K1497"/>
          <cell r="L1497">
            <v>254</v>
          </cell>
          <cell r="M1497"/>
          <cell r="N1497">
            <v>246</v>
          </cell>
          <cell r="O1497"/>
          <cell r="P1497">
            <v>240</v>
          </cell>
          <cell r="Q1497"/>
          <cell r="R1497">
            <v>250</v>
          </cell>
          <cell r="S1497"/>
          <cell r="T1497">
            <v>250</v>
          </cell>
          <cell r="U1497"/>
          <cell r="V1497">
            <v>254</v>
          </cell>
          <cell r="W1497"/>
          <cell r="X1497">
            <v>246</v>
          </cell>
          <cell r="Y1497"/>
          <cell r="Z1497">
            <v>254</v>
          </cell>
          <cell r="AA1497"/>
          <cell r="AB1497"/>
          <cell r="AC1497"/>
          <cell r="AD1497">
            <v>0.03</v>
          </cell>
          <cell r="AE1497"/>
          <cell r="AF1497"/>
          <cell r="AG1497"/>
          <cell r="AH1497"/>
          <cell r="AI1497"/>
          <cell r="AJ1497"/>
          <cell r="AK1497"/>
          <cell r="AL1497"/>
        </row>
        <row r="1498">
          <cell r="E1498" t="str">
            <v>CVV 5.5sq-5C</v>
          </cell>
          <cell r="F1498" t="str">
            <v>ｍ</v>
          </cell>
          <cell r="G1498"/>
          <cell r="H1498">
            <v>371</v>
          </cell>
          <cell r="I1498"/>
          <cell r="J1498">
            <v>376</v>
          </cell>
          <cell r="K1498"/>
          <cell r="L1498">
            <v>376</v>
          </cell>
          <cell r="M1498"/>
          <cell r="N1498">
            <v>365</v>
          </cell>
          <cell r="O1498"/>
          <cell r="P1498">
            <v>356</v>
          </cell>
          <cell r="Q1498"/>
          <cell r="R1498">
            <v>371</v>
          </cell>
          <cell r="S1498"/>
          <cell r="T1498">
            <v>371</v>
          </cell>
          <cell r="U1498"/>
          <cell r="V1498">
            <v>376</v>
          </cell>
          <cell r="W1498"/>
          <cell r="X1498">
            <v>365</v>
          </cell>
          <cell r="Y1498"/>
          <cell r="Z1498">
            <v>376</v>
          </cell>
          <cell r="AA1498"/>
          <cell r="AB1498"/>
          <cell r="AC1498"/>
          <cell r="AD1498">
            <v>3.6999999999999998E-2</v>
          </cell>
          <cell r="AE1498"/>
          <cell r="AF1498"/>
          <cell r="AG1498"/>
          <cell r="AH1498"/>
          <cell r="AI1498"/>
          <cell r="AJ1498"/>
          <cell r="AK1498"/>
          <cell r="AL1498"/>
        </row>
        <row r="1499">
          <cell r="E1499" t="str">
            <v>CVV 8sq-5C</v>
          </cell>
          <cell r="F1499" t="str">
            <v>ｍ</v>
          </cell>
          <cell r="G1499"/>
          <cell r="H1499">
            <v>531</v>
          </cell>
          <cell r="I1499"/>
          <cell r="J1499">
            <v>539</v>
          </cell>
          <cell r="K1499"/>
          <cell r="L1499">
            <v>539</v>
          </cell>
          <cell r="M1499"/>
          <cell r="N1499">
            <v>522</v>
          </cell>
          <cell r="O1499"/>
          <cell r="P1499">
            <v>510</v>
          </cell>
          <cell r="Q1499"/>
          <cell r="R1499">
            <v>531</v>
          </cell>
          <cell r="S1499"/>
          <cell r="T1499">
            <v>531</v>
          </cell>
          <cell r="U1499"/>
          <cell r="V1499">
            <v>539</v>
          </cell>
          <cell r="W1499"/>
          <cell r="X1499">
            <v>522</v>
          </cell>
          <cell r="Y1499"/>
          <cell r="Z1499">
            <v>539</v>
          </cell>
          <cell r="AA1499"/>
          <cell r="AB1499"/>
          <cell r="AC1499"/>
          <cell r="AD1499">
            <v>4.3999999999999997E-2</v>
          </cell>
          <cell r="AE1499"/>
          <cell r="AF1499"/>
          <cell r="AG1499"/>
          <cell r="AH1499"/>
          <cell r="AI1499"/>
          <cell r="AJ1499"/>
          <cell r="AK1499"/>
          <cell r="AL1499"/>
        </row>
        <row r="1500">
          <cell r="E1500" t="str">
            <v>CVV 1.25sq-6C</v>
          </cell>
          <cell r="F1500" t="str">
            <v>ｍ</v>
          </cell>
          <cell r="G1500"/>
          <cell r="H1500">
            <v>140</v>
          </cell>
          <cell r="I1500"/>
          <cell r="J1500">
            <v>142</v>
          </cell>
          <cell r="K1500"/>
          <cell r="L1500">
            <v>142</v>
          </cell>
          <cell r="M1500"/>
          <cell r="N1500">
            <v>138</v>
          </cell>
          <cell r="O1500"/>
          <cell r="P1500">
            <v>135</v>
          </cell>
          <cell r="Q1500"/>
          <cell r="R1500">
            <v>140</v>
          </cell>
          <cell r="S1500"/>
          <cell r="T1500">
            <v>140</v>
          </cell>
          <cell r="U1500"/>
          <cell r="V1500">
            <v>142</v>
          </cell>
          <cell r="W1500"/>
          <cell r="X1500">
            <v>138</v>
          </cell>
          <cell r="Y1500"/>
          <cell r="Z1500">
            <v>142</v>
          </cell>
          <cell r="AA1500"/>
          <cell r="AB1500"/>
          <cell r="AC1500"/>
          <cell r="AD1500">
            <v>2.5000000000000001E-2</v>
          </cell>
          <cell r="AE1500"/>
          <cell r="AF1500"/>
          <cell r="AG1500"/>
          <cell r="AH1500"/>
          <cell r="AI1500"/>
          <cell r="AJ1500"/>
          <cell r="AK1500"/>
          <cell r="AL1500"/>
        </row>
        <row r="1501">
          <cell r="E1501" t="str">
            <v>CVV 2sq-6C</v>
          </cell>
          <cell r="F1501" t="str">
            <v>ｍ</v>
          </cell>
          <cell r="G1501"/>
          <cell r="H1501">
            <v>203</v>
          </cell>
          <cell r="I1501"/>
          <cell r="J1501">
            <v>206</v>
          </cell>
          <cell r="K1501"/>
          <cell r="L1501">
            <v>206</v>
          </cell>
          <cell r="M1501"/>
          <cell r="N1501">
            <v>200</v>
          </cell>
          <cell r="O1501"/>
          <cell r="P1501">
            <v>195</v>
          </cell>
          <cell r="Q1501"/>
          <cell r="R1501">
            <v>203</v>
          </cell>
          <cell r="S1501"/>
          <cell r="T1501">
            <v>203</v>
          </cell>
          <cell r="U1501"/>
          <cell r="V1501">
            <v>206</v>
          </cell>
          <cell r="W1501"/>
          <cell r="X1501">
            <v>200</v>
          </cell>
          <cell r="Y1501"/>
          <cell r="Z1501">
            <v>206</v>
          </cell>
          <cell r="AA1501"/>
          <cell r="AB1501"/>
          <cell r="AC1501"/>
          <cell r="AD1501">
            <v>2.8000000000000001E-2</v>
          </cell>
          <cell r="AE1501"/>
          <cell r="AF1501"/>
          <cell r="AG1501"/>
          <cell r="AH1501"/>
          <cell r="AI1501"/>
          <cell r="AJ1501"/>
          <cell r="AK1501"/>
          <cell r="AL1501"/>
        </row>
        <row r="1502">
          <cell r="E1502" t="str">
            <v>CVV 3.5sq-6C</v>
          </cell>
          <cell r="F1502" t="str">
            <v>ｍ</v>
          </cell>
          <cell r="G1502"/>
          <cell r="H1502">
            <v>301</v>
          </cell>
          <cell r="I1502"/>
          <cell r="J1502">
            <v>306</v>
          </cell>
          <cell r="K1502"/>
          <cell r="L1502">
            <v>306</v>
          </cell>
          <cell r="M1502"/>
          <cell r="N1502">
            <v>296</v>
          </cell>
          <cell r="O1502"/>
          <cell r="P1502">
            <v>289</v>
          </cell>
          <cell r="Q1502"/>
          <cell r="R1502">
            <v>301</v>
          </cell>
          <cell r="S1502"/>
          <cell r="T1502">
            <v>301</v>
          </cell>
          <cell r="U1502"/>
          <cell r="V1502">
            <v>306</v>
          </cell>
          <cell r="W1502"/>
          <cell r="X1502">
            <v>296</v>
          </cell>
          <cell r="Y1502"/>
          <cell r="Z1502">
            <v>306</v>
          </cell>
          <cell r="AA1502"/>
          <cell r="AB1502"/>
          <cell r="AC1502"/>
          <cell r="AD1502">
            <v>0.03</v>
          </cell>
          <cell r="AE1502"/>
          <cell r="AF1502"/>
          <cell r="AG1502"/>
          <cell r="AH1502"/>
          <cell r="AI1502"/>
          <cell r="AJ1502"/>
          <cell r="AK1502"/>
          <cell r="AL1502"/>
        </row>
        <row r="1503">
          <cell r="E1503" t="str">
            <v>CVV 5.5sq-6C</v>
          </cell>
          <cell r="F1503" t="str">
            <v>ｍ</v>
          </cell>
          <cell r="G1503"/>
          <cell r="H1503">
            <v>442</v>
          </cell>
          <cell r="I1503"/>
          <cell r="J1503">
            <v>449</v>
          </cell>
          <cell r="K1503"/>
          <cell r="L1503">
            <v>449</v>
          </cell>
          <cell r="M1503"/>
          <cell r="N1503">
            <v>435</v>
          </cell>
          <cell r="O1503"/>
          <cell r="P1503">
            <v>425</v>
          </cell>
          <cell r="Q1503"/>
          <cell r="R1503">
            <v>442</v>
          </cell>
          <cell r="S1503"/>
          <cell r="T1503">
            <v>442</v>
          </cell>
          <cell r="U1503"/>
          <cell r="V1503">
            <v>449</v>
          </cell>
          <cell r="W1503"/>
          <cell r="X1503">
            <v>435</v>
          </cell>
          <cell r="Y1503"/>
          <cell r="Z1503">
            <v>449</v>
          </cell>
          <cell r="AA1503"/>
          <cell r="AB1503"/>
          <cell r="AC1503"/>
          <cell r="AD1503">
            <v>3.6999999999999998E-2</v>
          </cell>
          <cell r="AE1503"/>
          <cell r="AF1503"/>
          <cell r="AG1503"/>
          <cell r="AH1503"/>
          <cell r="AI1503"/>
          <cell r="AJ1503"/>
          <cell r="AK1503"/>
          <cell r="AL1503"/>
        </row>
        <row r="1504">
          <cell r="E1504" t="str">
            <v>CVV 8sq-6C</v>
          </cell>
          <cell r="F1504" t="str">
            <v>ｍ</v>
          </cell>
          <cell r="G1504"/>
          <cell r="H1504">
            <v>618</v>
          </cell>
          <cell r="I1504"/>
          <cell r="J1504">
            <v>627</v>
          </cell>
          <cell r="K1504"/>
          <cell r="L1504">
            <v>627</v>
          </cell>
          <cell r="M1504"/>
          <cell r="N1504">
            <v>608</v>
          </cell>
          <cell r="O1504"/>
          <cell r="P1504">
            <v>593</v>
          </cell>
          <cell r="Q1504"/>
          <cell r="R1504">
            <v>618</v>
          </cell>
          <cell r="S1504"/>
          <cell r="T1504">
            <v>618</v>
          </cell>
          <cell r="U1504"/>
          <cell r="V1504">
            <v>627</v>
          </cell>
          <cell r="W1504"/>
          <cell r="X1504">
            <v>608</v>
          </cell>
          <cell r="Y1504"/>
          <cell r="Z1504">
            <v>627</v>
          </cell>
          <cell r="AA1504"/>
          <cell r="AB1504"/>
          <cell r="AC1504"/>
          <cell r="AD1504">
            <v>4.3999999999999997E-2</v>
          </cell>
          <cell r="AE1504"/>
          <cell r="AF1504"/>
          <cell r="AG1504"/>
          <cell r="AH1504"/>
          <cell r="AI1504"/>
          <cell r="AJ1504"/>
          <cell r="AK1504"/>
          <cell r="AL1504"/>
        </row>
        <row r="1505">
          <cell r="E1505" t="str">
            <v>CVV 1.25sq-7C</v>
          </cell>
          <cell r="F1505" t="str">
            <v>ｍ</v>
          </cell>
          <cell r="G1505"/>
          <cell r="H1505">
            <v>162</v>
          </cell>
          <cell r="I1505"/>
          <cell r="J1505">
            <v>164</v>
          </cell>
          <cell r="K1505"/>
          <cell r="L1505">
            <v>164</v>
          </cell>
          <cell r="M1505"/>
          <cell r="N1505">
            <v>159</v>
          </cell>
          <cell r="O1505"/>
          <cell r="P1505">
            <v>156</v>
          </cell>
          <cell r="Q1505"/>
          <cell r="R1505">
            <v>162</v>
          </cell>
          <cell r="S1505"/>
          <cell r="T1505">
            <v>162</v>
          </cell>
          <cell r="U1505"/>
          <cell r="V1505">
            <v>164</v>
          </cell>
          <cell r="W1505"/>
          <cell r="X1505">
            <v>159</v>
          </cell>
          <cell r="Y1505"/>
          <cell r="Z1505">
            <v>164</v>
          </cell>
          <cell r="AA1505"/>
          <cell r="AB1505"/>
          <cell r="AC1505"/>
          <cell r="AD1505">
            <v>0.03</v>
          </cell>
          <cell r="AE1505"/>
          <cell r="AF1505"/>
          <cell r="AG1505"/>
          <cell r="AH1505"/>
          <cell r="AI1505"/>
          <cell r="AJ1505"/>
          <cell r="AK1505"/>
          <cell r="AL1505"/>
        </row>
        <row r="1506">
          <cell r="E1506" t="str">
            <v>CVV 2sq-7C</v>
          </cell>
          <cell r="F1506" t="str">
            <v>ｍ</v>
          </cell>
          <cell r="G1506"/>
          <cell r="H1506">
            <v>230</v>
          </cell>
          <cell r="I1506"/>
          <cell r="J1506">
            <v>234</v>
          </cell>
          <cell r="K1506"/>
          <cell r="L1506">
            <v>234</v>
          </cell>
          <cell r="M1506"/>
          <cell r="N1506">
            <v>227</v>
          </cell>
          <cell r="O1506"/>
          <cell r="P1506">
            <v>221</v>
          </cell>
          <cell r="Q1506"/>
          <cell r="R1506">
            <v>230</v>
          </cell>
          <cell r="S1506"/>
          <cell r="T1506">
            <v>230</v>
          </cell>
          <cell r="U1506"/>
          <cell r="V1506">
            <v>234</v>
          </cell>
          <cell r="W1506"/>
          <cell r="X1506">
            <v>227</v>
          </cell>
          <cell r="Y1506"/>
          <cell r="Z1506">
            <v>234</v>
          </cell>
          <cell r="AA1506"/>
          <cell r="AB1506"/>
          <cell r="AC1506"/>
          <cell r="AD1506">
            <v>3.4000000000000002E-2</v>
          </cell>
          <cell r="AE1506"/>
          <cell r="AF1506"/>
          <cell r="AG1506"/>
          <cell r="AH1506"/>
          <cell r="AI1506"/>
          <cell r="AJ1506"/>
          <cell r="AK1506"/>
          <cell r="AL1506"/>
        </row>
        <row r="1507">
          <cell r="E1507" t="str">
            <v>CVV 3.5sq-7C</v>
          </cell>
          <cell r="F1507" t="str">
            <v>ｍ</v>
          </cell>
          <cell r="G1507"/>
          <cell r="H1507">
            <v>361</v>
          </cell>
          <cell r="I1507"/>
          <cell r="J1507">
            <v>357</v>
          </cell>
          <cell r="K1507"/>
          <cell r="L1507">
            <v>357</v>
          </cell>
          <cell r="M1507"/>
          <cell r="N1507">
            <v>346</v>
          </cell>
          <cell r="O1507"/>
          <cell r="P1507">
            <v>338</v>
          </cell>
          <cell r="Q1507"/>
          <cell r="R1507">
            <v>361</v>
          </cell>
          <cell r="S1507"/>
          <cell r="T1507">
            <v>361</v>
          </cell>
          <cell r="U1507"/>
          <cell r="V1507">
            <v>357</v>
          </cell>
          <cell r="W1507"/>
          <cell r="X1507">
            <v>346</v>
          </cell>
          <cell r="Y1507"/>
          <cell r="Z1507">
            <v>357</v>
          </cell>
          <cell r="AA1507"/>
          <cell r="AB1507"/>
          <cell r="AC1507"/>
          <cell r="AD1507">
            <v>3.6999999999999998E-2</v>
          </cell>
          <cell r="AE1507"/>
          <cell r="AF1507"/>
          <cell r="AG1507"/>
          <cell r="AH1507"/>
          <cell r="AI1507"/>
          <cell r="AJ1507"/>
          <cell r="AK1507"/>
          <cell r="AL1507"/>
        </row>
        <row r="1508">
          <cell r="E1508" t="str">
            <v>CVV 5.5sq-7C</v>
          </cell>
          <cell r="F1508" t="str">
            <v>ｍ</v>
          </cell>
          <cell r="G1508"/>
          <cell r="H1508">
            <v>516</v>
          </cell>
          <cell r="I1508"/>
          <cell r="J1508">
            <v>524</v>
          </cell>
          <cell r="K1508"/>
          <cell r="L1508">
            <v>524</v>
          </cell>
          <cell r="M1508"/>
          <cell r="N1508">
            <v>508</v>
          </cell>
          <cell r="O1508"/>
          <cell r="P1508">
            <v>496</v>
          </cell>
          <cell r="Q1508"/>
          <cell r="R1508">
            <v>516</v>
          </cell>
          <cell r="S1508"/>
          <cell r="T1508">
            <v>516</v>
          </cell>
          <cell r="U1508"/>
          <cell r="V1508">
            <v>524</v>
          </cell>
          <cell r="W1508"/>
          <cell r="X1508">
            <v>508</v>
          </cell>
          <cell r="Y1508"/>
          <cell r="Z1508">
            <v>524</v>
          </cell>
          <cell r="AA1508"/>
          <cell r="AB1508"/>
          <cell r="AC1508"/>
          <cell r="AD1508">
            <v>4.3999999999999997E-2</v>
          </cell>
          <cell r="AE1508"/>
          <cell r="AF1508"/>
          <cell r="AG1508"/>
          <cell r="AH1508"/>
          <cell r="AI1508"/>
          <cell r="AJ1508"/>
          <cell r="AK1508"/>
          <cell r="AL1508"/>
        </row>
        <row r="1509">
          <cell r="E1509" t="str">
            <v>CVV 8sq-7C</v>
          </cell>
          <cell r="F1509" t="str">
            <v>ｍ</v>
          </cell>
          <cell r="G1509"/>
          <cell r="H1509">
            <v>708</v>
          </cell>
          <cell r="I1509"/>
          <cell r="J1509">
            <v>719</v>
          </cell>
          <cell r="K1509"/>
          <cell r="L1509">
            <v>719</v>
          </cell>
          <cell r="M1509"/>
          <cell r="N1509">
            <v>697</v>
          </cell>
          <cell r="O1509"/>
          <cell r="P1509">
            <v>680</v>
          </cell>
          <cell r="Q1509"/>
          <cell r="R1509">
            <v>708</v>
          </cell>
          <cell r="S1509"/>
          <cell r="T1509">
            <v>708</v>
          </cell>
          <cell r="U1509"/>
          <cell r="V1509">
            <v>719</v>
          </cell>
          <cell r="W1509"/>
          <cell r="X1509">
            <v>697</v>
          </cell>
          <cell r="Y1509"/>
          <cell r="Z1509">
            <v>719</v>
          </cell>
          <cell r="AA1509"/>
          <cell r="AB1509"/>
          <cell r="AC1509"/>
          <cell r="AD1509">
            <v>5.3999999999999999E-2</v>
          </cell>
          <cell r="AE1509"/>
          <cell r="AF1509"/>
          <cell r="AG1509"/>
          <cell r="AH1509"/>
          <cell r="AI1509"/>
          <cell r="AJ1509"/>
          <cell r="AK1509"/>
          <cell r="AL1509"/>
        </row>
        <row r="1510">
          <cell r="E1510" t="str">
            <v>CVV 1.25sq-8C</v>
          </cell>
          <cell r="F1510" t="str">
            <v>ｍ</v>
          </cell>
          <cell r="G1510"/>
          <cell r="H1510">
            <v>188</v>
          </cell>
          <cell r="I1510"/>
          <cell r="J1510">
            <v>190</v>
          </cell>
          <cell r="K1510"/>
          <cell r="L1510">
            <v>190</v>
          </cell>
          <cell r="M1510"/>
          <cell r="N1510">
            <v>185</v>
          </cell>
          <cell r="O1510"/>
          <cell r="P1510">
            <v>180</v>
          </cell>
          <cell r="Q1510"/>
          <cell r="R1510">
            <v>188</v>
          </cell>
          <cell r="S1510"/>
          <cell r="T1510">
            <v>188</v>
          </cell>
          <cell r="U1510"/>
          <cell r="V1510">
            <v>190</v>
          </cell>
          <cell r="W1510"/>
          <cell r="X1510">
            <v>185</v>
          </cell>
          <cell r="Y1510"/>
          <cell r="Z1510">
            <v>190</v>
          </cell>
          <cell r="AA1510"/>
          <cell r="AB1510"/>
          <cell r="AC1510"/>
          <cell r="AD1510">
            <v>3.4000000000000002E-2</v>
          </cell>
          <cell r="AE1510"/>
          <cell r="AF1510"/>
          <cell r="AG1510"/>
          <cell r="AH1510"/>
          <cell r="AI1510"/>
          <cell r="AJ1510"/>
          <cell r="AK1510"/>
          <cell r="AL1510"/>
        </row>
        <row r="1511">
          <cell r="E1511" t="str">
            <v>CVV 2sq-8C</v>
          </cell>
          <cell r="F1511" t="str">
            <v>ｍ</v>
          </cell>
          <cell r="G1511"/>
          <cell r="H1511">
            <v>263</v>
          </cell>
          <cell r="I1511"/>
          <cell r="J1511">
            <v>267</v>
          </cell>
          <cell r="K1511"/>
          <cell r="L1511">
            <v>267</v>
          </cell>
          <cell r="M1511"/>
          <cell r="N1511">
            <v>259</v>
          </cell>
          <cell r="O1511"/>
          <cell r="P1511">
            <v>253</v>
          </cell>
          <cell r="Q1511"/>
          <cell r="R1511">
            <v>263</v>
          </cell>
          <cell r="S1511"/>
          <cell r="T1511">
            <v>263</v>
          </cell>
          <cell r="U1511"/>
          <cell r="V1511">
            <v>267</v>
          </cell>
          <cell r="W1511"/>
          <cell r="X1511">
            <v>259</v>
          </cell>
          <cell r="Y1511"/>
          <cell r="Z1511">
            <v>267</v>
          </cell>
          <cell r="AA1511"/>
          <cell r="AB1511"/>
          <cell r="AC1511"/>
          <cell r="AD1511">
            <v>3.6999999999999998E-2</v>
          </cell>
          <cell r="AE1511"/>
          <cell r="AF1511"/>
          <cell r="AG1511"/>
          <cell r="AH1511"/>
          <cell r="AI1511"/>
          <cell r="AJ1511"/>
          <cell r="AK1511"/>
          <cell r="AL1511"/>
        </row>
        <row r="1512">
          <cell r="E1512" t="str">
            <v>CVV 3.5sq-8C</v>
          </cell>
          <cell r="F1512" t="str">
            <v>ｍ</v>
          </cell>
          <cell r="G1512"/>
          <cell r="H1512">
            <v>413</v>
          </cell>
          <cell r="I1512"/>
          <cell r="J1512">
            <v>419</v>
          </cell>
          <cell r="K1512"/>
          <cell r="L1512">
            <v>419</v>
          </cell>
          <cell r="M1512"/>
          <cell r="N1512">
            <v>406</v>
          </cell>
          <cell r="O1512"/>
          <cell r="P1512">
            <v>397</v>
          </cell>
          <cell r="Q1512"/>
          <cell r="R1512">
            <v>413</v>
          </cell>
          <cell r="S1512"/>
          <cell r="T1512">
            <v>413</v>
          </cell>
          <cell r="U1512"/>
          <cell r="V1512">
            <v>419</v>
          </cell>
          <cell r="W1512"/>
          <cell r="X1512">
            <v>406</v>
          </cell>
          <cell r="Y1512"/>
          <cell r="Z1512">
            <v>419</v>
          </cell>
          <cell r="AA1512"/>
          <cell r="AB1512"/>
          <cell r="AC1512"/>
          <cell r="AD1512">
            <v>4.3999999999999997E-2</v>
          </cell>
          <cell r="AE1512"/>
          <cell r="AF1512"/>
          <cell r="AG1512"/>
          <cell r="AH1512"/>
          <cell r="AI1512"/>
          <cell r="AJ1512"/>
          <cell r="AK1512"/>
          <cell r="AL1512"/>
        </row>
        <row r="1513">
          <cell r="E1513" t="str">
            <v>CVV 5.5sq-8C</v>
          </cell>
          <cell r="F1513" t="str">
            <v>ｍ</v>
          </cell>
          <cell r="G1513"/>
          <cell r="H1513">
            <v>608</v>
          </cell>
          <cell r="I1513"/>
          <cell r="J1513">
            <v>618</v>
          </cell>
          <cell r="K1513"/>
          <cell r="L1513">
            <v>618</v>
          </cell>
          <cell r="M1513"/>
          <cell r="N1513">
            <v>599</v>
          </cell>
          <cell r="O1513"/>
          <cell r="P1513">
            <v>584</v>
          </cell>
          <cell r="Q1513"/>
          <cell r="R1513">
            <v>608</v>
          </cell>
          <cell r="S1513"/>
          <cell r="T1513">
            <v>608</v>
          </cell>
          <cell r="U1513"/>
          <cell r="V1513">
            <v>618</v>
          </cell>
          <cell r="W1513"/>
          <cell r="X1513">
            <v>599</v>
          </cell>
          <cell r="Y1513"/>
          <cell r="Z1513">
            <v>618</v>
          </cell>
          <cell r="AA1513"/>
          <cell r="AB1513"/>
          <cell r="AC1513"/>
          <cell r="AD1513">
            <v>4.3999999999999997E-2</v>
          </cell>
          <cell r="AE1513"/>
          <cell r="AF1513"/>
          <cell r="AG1513"/>
          <cell r="AH1513"/>
          <cell r="AI1513"/>
          <cell r="AJ1513"/>
          <cell r="AK1513"/>
          <cell r="AL1513"/>
        </row>
        <row r="1514">
          <cell r="E1514" t="str">
            <v>CVV 8sq-8C</v>
          </cell>
          <cell r="F1514" t="str">
            <v>ｍ</v>
          </cell>
          <cell r="G1514"/>
          <cell r="H1514">
            <v>874</v>
          </cell>
          <cell r="I1514"/>
          <cell r="J1514">
            <v>888</v>
          </cell>
          <cell r="K1514"/>
          <cell r="L1514">
            <v>888</v>
          </cell>
          <cell r="M1514"/>
          <cell r="N1514">
            <v>861</v>
          </cell>
          <cell r="O1514"/>
          <cell r="P1514">
            <v>840</v>
          </cell>
          <cell r="Q1514"/>
          <cell r="R1514">
            <v>874</v>
          </cell>
          <cell r="S1514"/>
          <cell r="T1514">
            <v>874</v>
          </cell>
          <cell r="U1514"/>
          <cell r="V1514">
            <v>888</v>
          </cell>
          <cell r="W1514"/>
          <cell r="X1514">
            <v>861</v>
          </cell>
          <cell r="Y1514"/>
          <cell r="Z1514">
            <v>888</v>
          </cell>
          <cell r="AA1514"/>
          <cell r="AB1514"/>
          <cell r="AC1514"/>
          <cell r="AD1514">
            <v>5.3999999999999999E-2</v>
          </cell>
          <cell r="AE1514"/>
          <cell r="AF1514"/>
          <cell r="AG1514"/>
          <cell r="AH1514"/>
          <cell r="AI1514"/>
          <cell r="AJ1514"/>
          <cell r="AK1514"/>
          <cell r="AL1514"/>
        </row>
        <row r="1515">
          <cell r="E1515" t="str">
            <v>CVV 1.25sq-10C</v>
          </cell>
          <cell r="F1515" t="str">
            <v>ｍ</v>
          </cell>
          <cell r="G1515"/>
          <cell r="H1515">
            <v>232</v>
          </cell>
          <cell r="I1515"/>
          <cell r="J1515">
            <v>236</v>
          </cell>
          <cell r="K1515"/>
          <cell r="L1515">
            <v>236</v>
          </cell>
          <cell r="M1515"/>
          <cell r="N1515">
            <v>229</v>
          </cell>
          <cell r="O1515"/>
          <cell r="P1515">
            <v>223</v>
          </cell>
          <cell r="Q1515"/>
          <cell r="R1515">
            <v>232</v>
          </cell>
          <cell r="S1515"/>
          <cell r="T1515">
            <v>232</v>
          </cell>
          <cell r="U1515"/>
          <cell r="V1515">
            <v>236</v>
          </cell>
          <cell r="W1515"/>
          <cell r="X1515">
            <v>229</v>
          </cell>
          <cell r="Y1515"/>
          <cell r="Z1515">
            <v>236</v>
          </cell>
          <cell r="AA1515"/>
          <cell r="AB1515"/>
          <cell r="AC1515"/>
          <cell r="AD1515">
            <v>3.6999999999999998E-2</v>
          </cell>
          <cell r="AE1515"/>
          <cell r="AF1515"/>
          <cell r="AG1515"/>
          <cell r="AH1515"/>
          <cell r="AI1515"/>
          <cell r="AJ1515"/>
          <cell r="AK1515"/>
          <cell r="AL1515"/>
        </row>
        <row r="1516">
          <cell r="E1516" t="str">
            <v>CVV 2sq-10C</v>
          </cell>
          <cell r="F1516" t="str">
            <v>ｍ</v>
          </cell>
          <cell r="G1516"/>
          <cell r="H1516">
            <v>324</v>
          </cell>
          <cell r="I1516"/>
          <cell r="J1516">
            <v>330</v>
          </cell>
          <cell r="K1516"/>
          <cell r="L1516">
            <v>330</v>
          </cell>
          <cell r="M1516"/>
          <cell r="N1516">
            <v>319</v>
          </cell>
          <cell r="O1516"/>
          <cell r="P1516">
            <v>312</v>
          </cell>
          <cell r="Q1516"/>
          <cell r="R1516">
            <v>324</v>
          </cell>
          <cell r="S1516"/>
          <cell r="T1516">
            <v>324</v>
          </cell>
          <cell r="U1516"/>
          <cell r="V1516">
            <v>330</v>
          </cell>
          <cell r="W1516"/>
          <cell r="X1516">
            <v>319</v>
          </cell>
          <cell r="Y1516"/>
          <cell r="Z1516">
            <v>330</v>
          </cell>
          <cell r="AA1516"/>
          <cell r="AB1516"/>
          <cell r="AC1516"/>
          <cell r="AD1516">
            <v>4.2000000000000003E-2</v>
          </cell>
          <cell r="AE1516"/>
          <cell r="AF1516"/>
          <cell r="AG1516"/>
          <cell r="AH1516"/>
          <cell r="AI1516"/>
          <cell r="AJ1516"/>
          <cell r="AK1516"/>
          <cell r="AL1516"/>
        </row>
        <row r="1517">
          <cell r="E1517" t="str">
            <v>CVV 3.5sq-10C</v>
          </cell>
          <cell r="F1517" t="str">
            <v>ｍ</v>
          </cell>
          <cell r="G1517"/>
          <cell r="H1517">
            <v>488</v>
          </cell>
          <cell r="I1517"/>
          <cell r="J1517">
            <v>496</v>
          </cell>
          <cell r="K1517"/>
          <cell r="L1517">
            <v>496</v>
          </cell>
          <cell r="M1517"/>
          <cell r="N1517">
            <v>481</v>
          </cell>
          <cell r="O1517"/>
          <cell r="P1517">
            <v>469</v>
          </cell>
          <cell r="Q1517"/>
          <cell r="R1517">
            <v>488</v>
          </cell>
          <cell r="S1517"/>
          <cell r="T1517">
            <v>488</v>
          </cell>
          <cell r="U1517"/>
          <cell r="V1517">
            <v>496</v>
          </cell>
          <cell r="W1517"/>
          <cell r="X1517">
            <v>481</v>
          </cell>
          <cell r="Y1517"/>
          <cell r="Z1517">
            <v>496</v>
          </cell>
          <cell r="AA1517"/>
          <cell r="AB1517"/>
          <cell r="AC1517"/>
          <cell r="AD1517">
            <v>4.4999999999999998E-2</v>
          </cell>
          <cell r="AE1517"/>
          <cell r="AF1517"/>
          <cell r="AG1517"/>
          <cell r="AH1517"/>
          <cell r="AI1517"/>
          <cell r="AJ1517"/>
          <cell r="AK1517"/>
          <cell r="AL1517"/>
        </row>
        <row r="1518">
          <cell r="E1518" t="str">
            <v>CVV 5.5sq-10C</v>
          </cell>
          <cell r="F1518" t="str">
            <v>ｍ</v>
          </cell>
          <cell r="G1518"/>
          <cell r="H1518">
            <v>731</v>
          </cell>
          <cell r="I1518"/>
          <cell r="J1518">
            <v>742</v>
          </cell>
          <cell r="K1518"/>
          <cell r="L1518">
            <v>742</v>
          </cell>
          <cell r="M1518"/>
          <cell r="N1518">
            <v>719</v>
          </cell>
          <cell r="O1518"/>
          <cell r="P1518">
            <v>702</v>
          </cell>
          <cell r="Q1518"/>
          <cell r="R1518">
            <v>731</v>
          </cell>
          <cell r="S1518"/>
          <cell r="T1518">
            <v>731</v>
          </cell>
          <cell r="U1518"/>
          <cell r="V1518">
            <v>742</v>
          </cell>
          <cell r="W1518"/>
          <cell r="X1518">
            <v>719</v>
          </cell>
          <cell r="Y1518"/>
          <cell r="Z1518">
            <v>742</v>
          </cell>
          <cell r="AA1518"/>
          <cell r="AB1518"/>
          <cell r="AC1518"/>
          <cell r="AD1518">
            <v>5.3999999999999999E-2</v>
          </cell>
          <cell r="AE1518"/>
          <cell r="AF1518"/>
          <cell r="AG1518"/>
          <cell r="AH1518"/>
          <cell r="AI1518"/>
          <cell r="AJ1518"/>
          <cell r="AK1518"/>
          <cell r="AL1518"/>
        </row>
        <row r="1519">
          <cell r="E1519" t="str">
            <v>CVV 8sq-10C</v>
          </cell>
          <cell r="F1519" t="str">
            <v>ｍ</v>
          </cell>
          <cell r="G1519"/>
          <cell r="H1519">
            <v>1094</v>
          </cell>
          <cell r="I1519"/>
          <cell r="J1519">
            <v>1111</v>
          </cell>
          <cell r="K1519"/>
          <cell r="L1519">
            <v>1111</v>
          </cell>
          <cell r="M1519"/>
          <cell r="N1519">
            <v>1077</v>
          </cell>
          <cell r="O1519"/>
          <cell r="P1519">
            <v>1051</v>
          </cell>
          <cell r="Q1519"/>
          <cell r="R1519">
            <v>1094</v>
          </cell>
          <cell r="S1519"/>
          <cell r="T1519">
            <v>1094</v>
          </cell>
          <cell r="U1519"/>
          <cell r="V1519">
            <v>1111</v>
          </cell>
          <cell r="W1519"/>
          <cell r="X1519">
            <v>1077</v>
          </cell>
          <cell r="Y1519"/>
          <cell r="Z1519">
            <v>1111</v>
          </cell>
          <cell r="AA1519"/>
          <cell r="AB1519"/>
          <cell r="AC1519"/>
          <cell r="AD1519">
            <v>6.6000000000000003E-2</v>
          </cell>
          <cell r="AE1519"/>
          <cell r="AF1519"/>
          <cell r="AG1519"/>
          <cell r="AH1519"/>
          <cell r="AI1519"/>
          <cell r="AJ1519"/>
          <cell r="AK1519"/>
          <cell r="AL1519"/>
        </row>
        <row r="1520">
          <cell r="E1520" t="str">
            <v>CVV 1.25sq-12C</v>
          </cell>
          <cell r="F1520" t="str">
            <v>ｍ</v>
          </cell>
          <cell r="G1520"/>
          <cell r="H1520">
            <v>276</v>
          </cell>
          <cell r="I1520"/>
          <cell r="J1520">
            <v>281</v>
          </cell>
          <cell r="K1520"/>
          <cell r="L1520">
            <v>281</v>
          </cell>
          <cell r="M1520"/>
          <cell r="N1520">
            <v>272</v>
          </cell>
          <cell r="O1520"/>
          <cell r="P1520">
            <v>266</v>
          </cell>
          <cell r="Q1520"/>
          <cell r="R1520">
            <v>276</v>
          </cell>
          <cell r="S1520"/>
          <cell r="T1520">
            <v>276</v>
          </cell>
          <cell r="U1520"/>
          <cell r="V1520">
            <v>281</v>
          </cell>
          <cell r="W1520"/>
          <cell r="X1520">
            <v>272</v>
          </cell>
          <cell r="Y1520"/>
          <cell r="Z1520">
            <v>281</v>
          </cell>
          <cell r="AA1520"/>
          <cell r="AB1520"/>
          <cell r="AC1520"/>
          <cell r="AD1520">
            <v>4.2999999999999997E-2</v>
          </cell>
          <cell r="AE1520"/>
          <cell r="AF1520"/>
          <cell r="AG1520"/>
          <cell r="AH1520"/>
          <cell r="AI1520"/>
          <cell r="AJ1520"/>
          <cell r="AK1520"/>
          <cell r="AL1520"/>
        </row>
        <row r="1521">
          <cell r="E1521" t="str">
            <v>CVV 2sq-12C</v>
          </cell>
          <cell r="F1521" t="str">
            <v>ｍ</v>
          </cell>
          <cell r="G1521"/>
          <cell r="H1521">
            <v>386</v>
          </cell>
          <cell r="I1521"/>
          <cell r="J1521">
            <v>392</v>
          </cell>
          <cell r="K1521"/>
          <cell r="L1521">
            <v>392</v>
          </cell>
          <cell r="M1521"/>
          <cell r="N1521">
            <v>380</v>
          </cell>
          <cell r="O1521"/>
          <cell r="P1521">
            <v>371</v>
          </cell>
          <cell r="Q1521"/>
          <cell r="R1521">
            <v>386</v>
          </cell>
          <cell r="S1521"/>
          <cell r="T1521">
            <v>386</v>
          </cell>
          <cell r="U1521"/>
          <cell r="V1521">
            <v>392</v>
          </cell>
          <cell r="W1521"/>
          <cell r="X1521">
            <v>380</v>
          </cell>
          <cell r="Y1521"/>
          <cell r="Z1521">
            <v>392</v>
          </cell>
          <cell r="AA1521"/>
          <cell r="AB1521"/>
          <cell r="AC1521"/>
          <cell r="AD1521">
            <v>4.8000000000000001E-2</v>
          </cell>
          <cell r="AE1521"/>
          <cell r="AF1521"/>
          <cell r="AG1521"/>
          <cell r="AH1521"/>
          <cell r="AI1521"/>
          <cell r="AJ1521"/>
          <cell r="AK1521"/>
          <cell r="AL1521"/>
        </row>
        <row r="1522">
          <cell r="E1522" t="str">
            <v>CVV 3.5sq-12C</v>
          </cell>
          <cell r="F1522" t="str">
            <v>ｍ</v>
          </cell>
          <cell r="G1522"/>
          <cell r="H1522">
            <v>582</v>
          </cell>
          <cell r="I1522"/>
          <cell r="J1522">
            <v>592</v>
          </cell>
          <cell r="K1522"/>
          <cell r="L1522">
            <v>592</v>
          </cell>
          <cell r="M1522"/>
          <cell r="N1522">
            <v>573</v>
          </cell>
          <cell r="O1522"/>
          <cell r="P1522">
            <v>560</v>
          </cell>
          <cell r="Q1522"/>
          <cell r="R1522">
            <v>582</v>
          </cell>
          <cell r="S1522"/>
          <cell r="T1522">
            <v>582</v>
          </cell>
          <cell r="U1522"/>
          <cell r="V1522">
            <v>592</v>
          </cell>
          <cell r="W1522"/>
          <cell r="X1522">
            <v>573</v>
          </cell>
          <cell r="Y1522"/>
          <cell r="Z1522">
            <v>592</v>
          </cell>
          <cell r="AA1522"/>
          <cell r="AB1522"/>
          <cell r="AC1522"/>
          <cell r="AD1522">
            <v>5.2999999999999999E-2</v>
          </cell>
          <cell r="AE1522"/>
          <cell r="AF1522"/>
          <cell r="AG1522"/>
          <cell r="AH1522"/>
          <cell r="AI1522"/>
          <cell r="AJ1522"/>
          <cell r="AK1522"/>
          <cell r="AL1522"/>
        </row>
        <row r="1523">
          <cell r="E1523" t="str">
            <v>CVV 5.5sq-12C</v>
          </cell>
          <cell r="F1523" t="str">
            <v>ｍ</v>
          </cell>
          <cell r="G1523"/>
          <cell r="H1523">
            <v>857</v>
          </cell>
          <cell r="I1523"/>
          <cell r="J1523">
            <v>870</v>
          </cell>
          <cell r="K1523"/>
          <cell r="L1523">
            <v>870</v>
          </cell>
          <cell r="M1523"/>
          <cell r="N1523">
            <v>844</v>
          </cell>
          <cell r="O1523"/>
          <cell r="P1523">
            <v>823</v>
          </cell>
          <cell r="Q1523"/>
          <cell r="R1523">
            <v>857</v>
          </cell>
          <cell r="S1523"/>
          <cell r="T1523">
            <v>857</v>
          </cell>
          <cell r="U1523"/>
          <cell r="V1523">
            <v>870</v>
          </cell>
          <cell r="W1523"/>
          <cell r="X1523">
            <v>844</v>
          </cell>
          <cell r="Y1523"/>
          <cell r="Z1523">
            <v>870</v>
          </cell>
          <cell r="AA1523"/>
          <cell r="AB1523"/>
          <cell r="AC1523"/>
          <cell r="AD1523">
            <v>6.3E-2</v>
          </cell>
          <cell r="AE1523"/>
          <cell r="AF1523"/>
          <cell r="AG1523"/>
          <cell r="AH1523"/>
          <cell r="AI1523"/>
          <cell r="AJ1523"/>
          <cell r="AK1523"/>
          <cell r="AL1523"/>
        </row>
        <row r="1524">
          <cell r="E1524" t="str">
            <v>CVV 8sq-12C</v>
          </cell>
          <cell r="F1524" t="str">
            <v>ｍ</v>
          </cell>
          <cell r="G1524"/>
          <cell r="H1524">
            <v>1290</v>
          </cell>
          <cell r="I1524"/>
          <cell r="J1524">
            <v>1310</v>
          </cell>
          <cell r="K1524"/>
          <cell r="L1524">
            <v>1310</v>
          </cell>
          <cell r="M1524"/>
          <cell r="N1524">
            <v>1270</v>
          </cell>
          <cell r="O1524"/>
          <cell r="P1524">
            <v>1240</v>
          </cell>
          <cell r="Q1524"/>
          <cell r="R1524">
            <v>1290</v>
          </cell>
          <cell r="S1524"/>
          <cell r="T1524">
            <v>1290</v>
          </cell>
          <cell r="U1524"/>
          <cell r="V1524">
            <v>1310</v>
          </cell>
          <cell r="W1524"/>
          <cell r="X1524">
            <v>1270</v>
          </cell>
          <cell r="Y1524"/>
          <cell r="Z1524">
            <v>1310</v>
          </cell>
          <cell r="AA1524"/>
          <cell r="AB1524"/>
          <cell r="AC1524"/>
          <cell r="AD1524">
            <v>7.6999999999999999E-2</v>
          </cell>
          <cell r="AE1524"/>
          <cell r="AF1524"/>
          <cell r="AG1524"/>
          <cell r="AH1524"/>
          <cell r="AI1524"/>
          <cell r="AJ1524"/>
          <cell r="AK1524"/>
          <cell r="AL1524"/>
        </row>
        <row r="1525">
          <cell r="E1525" t="str">
            <v>CVV 1.25sq-15C</v>
          </cell>
          <cell r="F1525" t="str">
            <v>ｍ</v>
          </cell>
          <cell r="G1525"/>
          <cell r="H1525">
            <v>342</v>
          </cell>
          <cell r="I1525"/>
          <cell r="J1525">
            <v>347</v>
          </cell>
          <cell r="K1525"/>
          <cell r="L1525">
            <v>347</v>
          </cell>
          <cell r="M1525"/>
          <cell r="N1525">
            <v>336</v>
          </cell>
          <cell r="O1525"/>
          <cell r="P1525">
            <v>328</v>
          </cell>
          <cell r="Q1525"/>
          <cell r="R1525">
            <v>342</v>
          </cell>
          <cell r="S1525"/>
          <cell r="T1525">
            <v>342</v>
          </cell>
          <cell r="U1525"/>
          <cell r="V1525">
            <v>347</v>
          </cell>
          <cell r="W1525"/>
          <cell r="X1525">
            <v>336</v>
          </cell>
          <cell r="Y1525"/>
          <cell r="Z1525">
            <v>347</v>
          </cell>
          <cell r="AA1525"/>
          <cell r="AB1525"/>
          <cell r="AC1525"/>
          <cell r="AD1525">
            <v>5.3999999999999999E-2</v>
          </cell>
          <cell r="AE1525"/>
          <cell r="AF1525"/>
          <cell r="AG1525"/>
          <cell r="AH1525"/>
          <cell r="AI1525"/>
          <cell r="AJ1525"/>
          <cell r="AK1525"/>
          <cell r="AL1525"/>
        </row>
        <row r="1526">
          <cell r="E1526" t="str">
            <v>CVV 2sq-15C</v>
          </cell>
          <cell r="F1526" t="str">
            <v>ｍ</v>
          </cell>
          <cell r="G1526"/>
          <cell r="H1526">
            <v>479</v>
          </cell>
          <cell r="I1526"/>
          <cell r="J1526">
            <v>487</v>
          </cell>
          <cell r="K1526"/>
          <cell r="L1526">
            <v>487</v>
          </cell>
          <cell r="M1526"/>
          <cell r="N1526">
            <v>472</v>
          </cell>
          <cell r="O1526"/>
          <cell r="P1526">
            <v>451</v>
          </cell>
          <cell r="Q1526"/>
          <cell r="R1526">
            <v>479</v>
          </cell>
          <cell r="S1526"/>
          <cell r="T1526">
            <v>479</v>
          </cell>
          <cell r="U1526"/>
          <cell r="V1526">
            <v>487</v>
          </cell>
          <cell r="W1526"/>
          <cell r="X1526">
            <v>472</v>
          </cell>
          <cell r="Y1526"/>
          <cell r="Z1526">
            <v>487</v>
          </cell>
          <cell r="AA1526"/>
          <cell r="AB1526"/>
          <cell r="AC1526"/>
          <cell r="AD1526">
            <v>0.06</v>
          </cell>
          <cell r="AE1526"/>
          <cell r="AF1526"/>
          <cell r="AG1526"/>
          <cell r="AH1526"/>
          <cell r="AI1526"/>
          <cell r="AJ1526"/>
          <cell r="AK1526"/>
          <cell r="AL1526"/>
        </row>
        <row r="1527">
          <cell r="E1527" t="str">
            <v>CVV 3.5sq-15C</v>
          </cell>
          <cell r="F1527" t="str">
            <v>ｍ</v>
          </cell>
          <cell r="G1527"/>
          <cell r="H1527">
            <v>721</v>
          </cell>
          <cell r="I1527"/>
          <cell r="J1527">
            <v>732</v>
          </cell>
          <cell r="K1527"/>
          <cell r="L1527">
            <v>732</v>
          </cell>
          <cell r="M1527"/>
          <cell r="N1527">
            <v>709</v>
          </cell>
          <cell r="O1527"/>
          <cell r="P1527">
            <v>692</v>
          </cell>
          <cell r="Q1527"/>
          <cell r="R1527">
            <v>721</v>
          </cell>
          <cell r="S1527"/>
          <cell r="T1527">
            <v>721</v>
          </cell>
          <cell r="U1527"/>
          <cell r="V1527">
            <v>732</v>
          </cell>
          <cell r="W1527"/>
          <cell r="X1527">
            <v>709</v>
          </cell>
          <cell r="Y1527"/>
          <cell r="Z1527">
            <v>732</v>
          </cell>
          <cell r="AA1527"/>
          <cell r="AB1527"/>
          <cell r="AC1527"/>
          <cell r="AD1527">
            <v>6.6000000000000003E-2</v>
          </cell>
          <cell r="AE1527"/>
          <cell r="AF1527"/>
          <cell r="AG1527"/>
          <cell r="AH1527"/>
          <cell r="AI1527"/>
          <cell r="AJ1527"/>
          <cell r="AK1527"/>
          <cell r="AL1527"/>
        </row>
        <row r="1528">
          <cell r="E1528" t="str">
            <v>CVV 5.5sq-15C</v>
          </cell>
          <cell r="F1528" t="str">
            <v>ｍ</v>
          </cell>
          <cell r="G1528"/>
          <cell r="H1528">
            <v>1057</v>
          </cell>
          <cell r="I1528"/>
          <cell r="J1528">
            <v>1073</v>
          </cell>
          <cell r="K1528"/>
          <cell r="L1528">
            <v>1073</v>
          </cell>
          <cell r="M1528"/>
          <cell r="N1528">
            <v>1040</v>
          </cell>
          <cell r="O1528"/>
          <cell r="P1528">
            <v>1015</v>
          </cell>
          <cell r="Q1528"/>
          <cell r="R1528">
            <v>1057</v>
          </cell>
          <cell r="S1528"/>
          <cell r="T1528">
            <v>1057</v>
          </cell>
          <cell r="U1528"/>
          <cell r="V1528">
            <v>1073</v>
          </cell>
          <cell r="W1528"/>
          <cell r="X1528">
            <v>1040</v>
          </cell>
          <cell r="Y1528"/>
          <cell r="Z1528">
            <v>1073</v>
          </cell>
          <cell r="AA1528"/>
          <cell r="AB1528"/>
          <cell r="AC1528"/>
          <cell r="AD1528">
            <v>7.8E-2</v>
          </cell>
          <cell r="AE1528"/>
          <cell r="AF1528"/>
          <cell r="AG1528"/>
          <cell r="AH1528"/>
          <cell r="AI1528"/>
          <cell r="AJ1528"/>
          <cell r="AK1528"/>
          <cell r="AL1528"/>
        </row>
        <row r="1529">
          <cell r="E1529" t="str">
            <v>CVV 1.25sq-20C</v>
          </cell>
          <cell r="F1529" t="str">
            <v>ｍ</v>
          </cell>
          <cell r="G1529"/>
          <cell r="H1529">
            <v>452</v>
          </cell>
          <cell r="I1529"/>
          <cell r="J1529">
            <v>459</v>
          </cell>
          <cell r="K1529"/>
          <cell r="L1529">
            <v>459</v>
          </cell>
          <cell r="M1529"/>
          <cell r="N1529">
            <v>445</v>
          </cell>
          <cell r="O1529"/>
          <cell r="P1529">
            <v>434</v>
          </cell>
          <cell r="Q1529"/>
          <cell r="R1529">
            <v>452</v>
          </cell>
          <cell r="S1529"/>
          <cell r="T1529">
            <v>452</v>
          </cell>
          <cell r="U1529"/>
          <cell r="V1529">
            <v>459</v>
          </cell>
          <cell r="W1529"/>
          <cell r="X1529">
            <v>445</v>
          </cell>
          <cell r="Y1529"/>
          <cell r="Z1529">
            <v>459</v>
          </cell>
          <cell r="AA1529"/>
          <cell r="AB1529"/>
          <cell r="AC1529"/>
          <cell r="AD1529">
            <v>6.3E-2</v>
          </cell>
          <cell r="AE1529"/>
          <cell r="AF1529"/>
          <cell r="AG1529"/>
          <cell r="AH1529"/>
          <cell r="AI1529"/>
          <cell r="AJ1529"/>
          <cell r="AK1529"/>
          <cell r="AL1529"/>
        </row>
        <row r="1530">
          <cell r="E1530" t="str">
            <v>CVV 2sq-20C</v>
          </cell>
          <cell r="F1530" t="str">
            <v>ｍ</v>
          </cell>
          <cell r="G1530"/>
          <cell r="H1530">
            <v>634</v>
          </cell>
          <cell r="I1530"/>
          <cell r="J1530">
            <v>644</v>
          </cell>
          <cell r="K1530"/>
          <cell r="L1530">
            <v>644</v>
          </cell>
          <cell r="M1530"/>
          <cell r="N1530">
            <v>624</v>
          </cell>
          <cell r="O1530"/>
          <cell r="P1530">
            <v>609</v>
          </cell>
          <cell r="Q1530"/>
          <cell r="R1530">
            <v>634</v>
          </cell>
          <cell r="S1530"/>
          <cell r="T1530">
            <v>634</v>
          </cell>
          <cell r="U1530"/>
          <cell r="V1530">
            <v>644</v>
          </cell>
          <cell r="W1530"/>
          <cell r="X1530">
            <v>624</v>
          </cell>
          <cell r="Y1530"/>
          <cell r="Z1530">
            <v>644</v>
          </cell>
          <cell r="AA1530"/>
          <cell r="AB1530"/>
          <cell r="AC1530"/>
          <cell r="AD1530">
            <v>7.0000000000000007E-2</v>
          </cell>
          <cell r="AE1530"/>
          <cell r="AF1530"/>
          <cell r="AG1530"/>
          <cell r="AH1530"/>
          <cell r="AI1530"/>
          <cell r="AJ1530"/>
          <cell r="AK1530"/>
          <cell r="AL1530"/>
        </row>
        <row r="1531">
          <cell r="E1531" t="str">
            <v>CVV 3.5sq-20C</v>
          </cell>
          <cell r="F1531" t="str">
            <v>ｍ</v>
          </cell>
          <cell r="G1531"/>
          <cell r="H1531">
            <v>963</v>
          </cell>
          <cell r="I1531"/>
          <cell r="J1531">
            <v>978</v>
          </cell>
          <cell r="K1531"/>
          <cell r="L1531">
            <v>978</v>
          </cell>
          <cell r="M1531"/>
          <cell r="N1531">
            <v>948</v>
          </cell>
          <cell r="O1531"/>
          <cell r="P1531">
            <v>925</v>
          </cell>
          <cell r="Q1531"/>
          <cell r="R1531">
            <v>963</v>
          </cell>
          <cell r="S1531"/>
          <cell r="T1531">
            <v>963</v>
          </cell>
          <cell r="U1531"/>
          <cell r="V1531">
            <v>978</v>
          </cell>
          <cell r="W1531"/>
          <cell r="X1531">
            <v>948</v>
          </cell>
          <cell r="Y1531"/>
          <cell r="Z1531">
            <v>978</v>
          </cell>
          <cell r="AA1531"/>
          <cell r="AB1531"/>
          <cell r="AC1531"/>
          <cell r="AD1531">
            <v>7.6999999999999999E-2</v>
          </cell>
          <cell r="AE1531"/>
          <cell r="AF1531"/>
          <cell r="AG1531"/>
          <cell r="AH1531"/>
          <cell r="AI1531"/>
          <cell r="AJ1531"/>
          <cell r="AK1531"/>
          <cell r="AL1531"/>
        </row>
        <row r="1532">
          <cell r="E1532" t="str">
            <v>CVV 5.5sq-20C</v>
          </cell>
          <cell r="F1532" t="str">
            <v>ｍ</v>
          </cell>
          <cell r="G1532"/>
          <cell r="H1532">
            <v>1408</v>
          </cell>
          <cell r="I1532"/>
          <cell r="J1532">
            <v>1430</v>
          </cell>
          <cell r="K1532"/>
          <cell r="L1532">
            <v>1430</v>
          </cell>
          <cell r="M1532"/>
          <cell r="N1532">
            <v>1386</v>
          </cell>
          <cell r="O1532"/>
          <cell r="P1532">
            <v>1353</v>
          </cell>
          <cell r="Q1532"/>
          <cell r="R1532">
            <v>1408</v>
          </cell>
          <cell r="S1532"/>
          <cell r="T1532">
            <v>1408</v>
          </cell>
          <cell r="U1532"/>
          <cell r="V1532">
            <v>1430</v>
          </cell>
          <cell r="W1532"/>
          <cell r="X1532">
            <v>1386</v>
          </cell>
          <cell r="Y1532"/>
          <cell r="Z1532">
            <v>1430</v>
          </cell>
          <cell r="AA1532"/>
          <cell r="AB1532"/>
          <cell r="AC1532"/>
          <cell r="AD1532">
            <v>9.0999999999999998E-2</v>
          </cell>
          <cell r="AE1532"/>
          <cell r="AF1532"/>
          <cell r="AG1532"/>
          <cell r="AH1532"/>
          <cell r="AI1532"/>
          <cell r="AJ1532"/>
          <cell r="AK1532"/>
          <cell r="AL1532"/>
        </row>
        <row r="1533">
          <cell r="E1533" t="str">
            <v>CVV 1.25sq-30C</v>
          </cell>
          <cell r="F1533" t="str">
            <v>ｍ</v>
          </cell>
          <cell r="G1533"/>
          <cell r="H1533">
            <v>652</v>
          </cell>
          <cell r="I1533"/>
          <cell r="J1533">
            <v>662</v>
          </cell>
          <cell r="K1533"/>
          <cell r="L1533">
            <v>662</v>
          </cell>
          <cell r="M1533"/>
          <cell r="N1533">
            <v>642</v>
          </cell>
          <cell r="O1533"/>
          <cell r="P1533">
            <v>627</v>
          </cell>
          <cell r="Q1533"/>
          <cell r="R1533">
            <v>652</v>
          </cell>
          <cell r="S1533"/>
          <cell r="T1533">
            <v>652</v>
          </cell>
          <cell r="U1533"/>
          <cell r="V1533">
            <v>662</v>
          </cell>
          <cell r="W1533"/>
          <cell r="X1533">
            <v>642</v>
          </cell>
          <cell r="Y1533"/>
          <cell r="Z1533">
            <v>662</v>
          </cell>
          <cell r="AA1533"/>
          <cell r="AB1533"/>
          <cell r="AC1533"/>
          <cell r="AD1533">
            <v>7.4999999999999997E-2</v>
          </cell>
          <cell r="AE1533"/>
          <cell r="AF1533"/>
          <cell r="AG1533"/>
          <cell r="AH1533"/>
          <cell r="AI1533"/>
          <cell r="AJ1533"/>
          <cell r="AK1533"/>
          <cell r="AL1533"/>
        </row>
        <row r="1534">
          <cell r="E1534" t="str">
            <v>CVV 2sq-30C</v>
          </cell>
          <cell r="F1534" t="str">
            <v>ｍ</v>
          </cell>
          <cell r="G1534"/>
          <cell r="H1534">
            <v>932</v>
          </cell>
          <cell r="I1534"/>
          <cell r="J1534">
            <v>946</v>
          </cell>
          <cell r="K1534"/>
          <cell r="L1534">
            <v>946</v>
          </cell>
          <cell r="M1534"/>
          <cell r="N1534">
            <v>917</v>
          </cell>
          <cell r="O1534"/>
          <cell r="P1534">
            <v>895</v>
          </cell>
          <cell r="Q1534"/>
          <cell r="R1534">
            <v>932</v>
          </cell>
          <cell r="S1534"/>
          <cell r="T1534">
            <v>932</v>
          </cell>
          <cell r="U1534"/>
          <cell r="V1534">
            <v>946</v>
          </cell>
          <cell r="W1534"/>
          <cell r="X1534">
            <v>917</v>
          </cell>
          <cell r="Y1534"/>
          <cell r="Z1534">
            <v>946</v>
          </cell>
          <cell r="AA1534"/>
          <cell r="AB1534"/>
          <cell r="AC1534"/>
          <cell r="AD1534">
            <v>8.3000000000000004E-2</v>
          </cell>
          <cell r="AE1534"/>
          <cell r="AF1534"/>
          <cell r="AG1534"/>
          <cell r="AH1534"/>
          <cell r="AI1534"/>
          <cell r="AJ1534"/>
          <cell r="AK1534"/>
          <cell r="AL1534"/>
        </row>
        <row r="1535">
          <cell r="E1535" t="str">
            <v>CVV 3.5sq-30C</v>
          </cell>
          <cell r="F1535" t="str">
            <v>ｍ</v>
          </cell>
          <cell r="G1535"/>
          <cell r="H1535">
            <v>1430</v>
          </cell>
          <cell r="I1535"/>
          <cell r="J1535">
            <v>1453</v>
          </cell>
          <cell r="K1535"/>
          <cell r="L1535">
            <v>1453</v>
          </cell>
          <cell r="M1535"/>
          <cell r="N1535">
            <v>1408</v>
          </cell>
          <cell r="O1535"/>
          <cell r="P1535">
            <v>1375</v>
          </cell>
          <cell r="Q1535"/>
          <cell r="R1535">
            <v>1430</v>
          </cell>
          <cell r="S1535"/>
          <cell r="T1535">
            <v>1430</v>
          </cell>
          <cell r="U1535"/>
          <cell r="V1535">
            <v>1453</v>
          </cell>
          <cell r="W1535"/>
          <cell r="X1535">
            <v>1408</v>
          </cell>
          <cell r="Y1535"/>
          <cell r="Z1535">
            <v>1453</v>
          </cell>
          <cell r="AA1535"/>
          <cell r="AB1535"/>
          <cell r="AC1535"/>
          <cell r="AD1535">
            <v>9.0999999999999998E-2</v>
          </cell>
          <cell r="AE1535"/>
          <cell r="AF1535"/>
          <cell r="AG1535"/>
          <cell r="AH1535"/>
          <cell r="AI1535"/>
          <cell r="AJ1535"/>
          <cell r="AK1535"/>
          <cell r="AL1535"/>
        </row>
        <row r="1536">
          <cell r="E1536" t="str">
            <v>CEE 1.25sq-2C</v>
          </cell>
          <cell r="F1536" t="str">
            <v>ｍ</v>
          </cell>
          <cell r="G1536"/>
          <cell r="H1536">
            <v>106</v>
          </cell>
          <cell r="I1536"/>
          <cell r="J1536">
            <v>107</v>
          </cell>
          <cell r="K1536"/>
          <cell r="L1536">
            <v>107</v>
          </cell>
          <cell r="M1536"/>
          <cell r="N1536">
            <v>104</v>
          </cell>
          <cell r="O1536"/>
          <cell r="P1536">
            <v>101</v>
          </cell>
          <cell r="Q1536"/>
          <cell r="R1536">
            <v>106</v>
          </cell>
          <cell r="S1536"/>
          <cell r="T1536">
            <v>106</v>
          </cell>
          <cell r="U1536"/>
          <cell r="V1536">
            <v>107</v>
          </cell>
          <cell r="W1536"/>
          <cell r="X1536">
            <v>104</v>
          </cell>
          <cell r="Y1536"/>
          <cell r="Z1536">
            <v>107</v>
          </cell>
          <cell r="AA1536"/>
          <cell r="AB1536"/>
          <cell r="AC1536"/>
          <cell r="AD1536">
            <v>1.4999999999999999E-2</v>
          </cell>
          <cell r="AE1536"/>
          <cell r="AF1536"/>
          <cell r="AG1536"/>
          <cell r="AH1536"/>
          <cell r="AI1536"/>
          <cell r="AJ1536"/>
          <cell r="AK1536"/>
          <cell r="AL1536"/>
        </row>
        <row r="1537">
          <cell r="E1537" t="str">
            <v>CEE 2sq-2C</v>
          </cell>
          <cell r="F1537" t="str">
            <v>ｍ</v>
          </cell>
          <cell r="G1537"/>
          <cell r="H1537">
            <v>129</v>
          </cell>
          <cell r="I1537"/>
          <cell r="J1537">
            <v>131</v>
          </cell>
          <cell r="K1537"/>
          <cell r="L1537">
            <v>131</v>
          </cell>
          <cell r="M1537"/>
          <cell r="N1537">
            <v>127</v>
          </cell>
          <cell r="O1537"/>
          <cell r="P1537">
            <v>124</v>
          </cell>
          <cell r="Q1537"/>
          <cell r="R1537">
            <v>129</v>
          </cell>
          <cell r="S1537"/>
          <cell r="T1537">
            <v>129</v>
          </cell>
          <cell r="U1537"/>
          <cell r="V1537">
            <v>131</v>
          </cell>
          <cell r="W1537"/>
          <cell r="X1537">
            <v>127</v>
          </cell>
          <cell r="Y1537"/>
          <cell r="Z1537">
            <v>131</v>
          </cell>
          <cell r="AA1537"/>
          <cell r="AB1537"/>
          <cell r="AC1537"/>
          <cell r="AD1537">
            <v>1.7000000000000001E-2</v>
          </cell>
          <cell r="AE1537"/>
          <cell r="AF1537"/>
          <cell r="AG1537"/>
          <cell r="AH1537"/>
          <cell r="AI1537"/>
          <cell r="AJ1537"/>
          <cell r="AK1537"/>
          <cell r="AL1537"/>
        </row>
        <row r="1538">
          <cell r="E1538" t="str">
            <v>CEE 3.5sq-2C</v>
          </cell>
          <cell r="F1538" t="str">
            <v>ｍ</v>
          </cell>
          <cell r="G1538"/>
          <cell r="H1538">
            <v>172</v>
          </cell>
          <cell r="I1538"/>
          <cell r="J1538">
            <v>175</v>
          </cell>
          <cell r="K1538"/>
          <cell r="L1538">
            <v>175</v>
          </cell>
          <cell r="M1538"/>
          <cell r="N1538">
            <v>169</v>
          </cell>
          <cell r="O1538"/>
          <cell r="P1538">
            <v>165</v>
          </cell>
          <cell r="Q1538"/>
          <cell r="R1538">
            <v>172</v>
          </cell>
          <cell r="S1538"/>
          <cell r="T1538">
            <v>172</v>
          </cell>
          <cell r="U1538"/>
          <cell r="V1538">
            <v>175</v>
          </cell>
          <cell r="W1538"/>
          <cell r="X1538">
            <v>169</v>
          </cell>
          <cell r="Y1538"/>
          <cell r="Z1538">
            <v>175</v>
          </cell>
          <cell r="AA1538"/>
          <cell r="AB1538"/>
          <cell r="AC1538"/>
          <cell r="AD1538">
            <v>1.7999999999999999E-2</v>
          </cell>
          <cell r="AE1538"/>
          <cell r="AF1538"/>
          <cell r="AG1538"/>
          <cell r="AH1538"/>
          <cell r="AI1538"/>
          <cell r="AJ1538"/>
          <cell r="AK1538"/>
          <cell r="AL1538"/>
        </row>
        <row r="1539">
          <cell r="E1539" t="str">
            <v>CEE 5.5sq-2C</v>
          </cell>
          <cell r="F1539" t="str">
            <v>ｍ</v>
          </cell>
          <cell r="G1539"/>
          <cell r="H1539">
            <v>236</v>
          </cell>
          <cell r="I1539"/>
          <cell r="J1539">
            <v>239</v>
          </cell>
          <cell r="K1539"/>
          <cell r="L1539">
            <v>239</v>
          </cell>
          <cell r="M1539"/>
          <cell r="N1539">
            <v>232</v>
          </cell>
          <cell r="O1539"/>
          <cell r="P1539">
            <v>226</v>
          </cell>
          <cell r="Q1539"/>
          <cell r="R1539">
            <v>236</v>
          </cell>
          <cell r="S1539"/>
          <cell r="T1539">
            <v>236</v>
          </cell>
          <cell r="U1539"/>
          <cell r="V1539">
            <v>239</v>
          </cell>
          <cell r="W1539"/>
          <cell r="X1539">
            <v>232</v>
          </cell>
          <cell r="Y1539"/>
          <cell r="Z1539">
            <v>239</v>
          </cell>
          <cell r="AA1539"/>
          <cell r="AB1539"/>
          <cell r="AC1539"/>
          <cell r="AD1539">
            <v>2.1000000000000001E-2</v>
          </cell>
          <cell r="AE1539"/>
          <cell r="AF1539"/>
          <cell r="AG1539"/>
          <cell r="AH1539"/>
          <cell r="AI1539"/>
          <cell r="AJ1539"/>
          <cell r="AK1539"/>
          <cell r="AL1539"/>
        </row>
        <row r="1540">
          <cell r="E1540" t="str">
            <v>CEE 8sq-2C</v>
          </cell>
          <cell r="F1540" t="str">
            <v>ｍ</v>
          </cell>
          <cell r="G1540"/>
          <cell r="H1540">
            <v>306</v>
          </cell>
          <cell r="I1540"/>
          <cell r="J1540">
            <v>311</v>
          </cell>
          <cell r="K1540"/>
          <cell r="L1540">
            <v>311</v>
          </cell>
          <cell r="M1540"/>
          <cell r="N1540">
            <v>301</v>
          </cell>
          <cell r="O1540"/>
          <cell r="P1540">
            <v>294</v>
          </cell>
          <cell r="Q1540"/>
          <cell r="R1540">
            <v>306</v>
          </cell>
          <cell r="S1540"/>
          <cell r="T1540">
            <v>306</v>
          </cell>
          <cell r="U1540"/>
          <cell r="V1540">
            <v>311</v>
          </cell>
          <cell r="W1540"/>
          <cell r="X1540">
            <v>301</v>
          </cell>
          <cell r="Y1540"/>
          <cell r="Z1540">
            <v>311</v>
          </cell>
          <cell r="AA1540"/>
          <cell r="AB1540"/>
          <cell r="AC1540"/>
          <cell r="AD1540">
            <v>2.5999999999999999E-2</v>
          </cell>
          <cell r="AE1540"/>
          <cell r="AF1540"/>
          <cell r="AG1540"/>
          <cell r="AH1540"/>
          <cell r="AI1540"/>
          <cell r="AJ1540"/>
          <cell r="AK1540"/>
          <cell r="AL1540"/>
        </row>
        <row r="1541">
          <cell r="E1541" t="str">
            <v>CEE 1.25sq-3C</v>
          </cell>
          <cell r="F1541" t="str">
            <v>ｍ</v>
          </cell>
          <cell r="G1541"/>
          <cell r="H1541">
            <v>129</v>
          </cell>
          <cell r="I1541"/>
          <cell r="J1541">
            <v>131</v>
          </cell>
          <cell r="K1541"/>
          <cell r="L1541">
            <v>131</v>
          </cell>
          <cell r="M1541"/>
          <cell r="N1541">
            <v>127</v>
          </cell>
          <cell r="O1541"/>
          <cell r="P1541">
            <v>124</v>
          </cell>
          <cell r="Q1541"/>
          <cell r="R1541">
            <v>129</v>
          </cell>
          <cell r="S1541"/>
          <cell r="T1541">
            <v>129</v>
          </cell>
          <cell r="U1541"/>
          <cell r="V1541">
            <v>131</v>
          </cell>
          <cell r="W1541"/>
          <cell r="X1541">
            <v>127</v>
          </cell>
          <cell r="Y1541"/>
          <cell r="Z1541">
            <v>131</v>
          </cell>
          <cell r="AA1541"/>
          <cell r="AB1541"/>
          <cell r="AC1541"/>
          <cell r="AD1541">
            <v>1.7000000000000001E-2</v>
          </cell>
          <cell r="AE1541"/>
          <cell r="AF1541"/>
          <cell r="AG1541"/>
          <cell r="AH1541"/>
          <cell r="AI1541"/>
          <cell r="AJ1541"/>
          <cell r="AK1541"/>
          <cell r="AL1541"/>
        </row>
        <row r="1542">
          <cell r="E1542" t="str">
            <v>CEE 2sq-3C</v>
          </cell>
          <cell r="F1542" t="str">
            <v>ｍ</v>
          </cell>
          <cell r="G1542"/>
          <cell r="H1542">
            <v>161</v>
          </cell>
          <cell r="I1542"/>
          <cell r="J1542">
            <v>163</v>
          </cell>
          <cell r="K1542"/>
          <cell r="L1542">
            <v>163</v>
          </cell>
          <cell r="M1542"/>
          <cell r="N1542">
            <v>158</v>
          </cell>
          <cell r="O1542"/>
          <cell r="P1542">
            <v>154</v>
          </cell>
          <cell r="Q1542"/>
          <cell r="R1542">
            <v>161</v>
          </cell>
          <cell r="S1542"/>
          <cell r="T1542">
            <v>161</v>
          </cell>
          <cell r="U1542"/>
          <cell r="V1542">
            <v>163</v>
          </cell>
          <cell r="W1542"/>
          <cell r="X1542">
            <v>158</v>
          </cell>
          <cell r="Y1542"/>
          <cell r="Z1542">
            <v>163</v>
          </cell>
          <cell r="AA1542"/>
          <cell r="AB1542"/>
          <cell r="AC1542"/>
          <cell r="AD1542">
            <v>1.9E-2</v>
          </cell>
          <cell r="AE1542"/>
          <cell r="AF1542"/>
          <cell r="AG1542"/>
          <cell r="AH1542"/>
          <cell r="AI1542"/>
          <cell r="AJ1542"/>
          <cell r="AK1542"/>
          <cell r="AL1542"/>
        </row>
        <row r="1543">
          <cell r="E1543" t="str">
            <v>CEE 3.5sq-3C</v>
          </cell>
          <cell r="F1543" t="str">
            <v>ｍ</v>
          </cell>
          <cell r="G1543"/>
          <cell r="H1543">
            <v>227</v>
          </cell>
          <cell r="I1543"/>
          <cell r="J1543">
            <v>231</v>
          </cell>
          <cell r="K1543"/>
          <cell r="L1543">
            <v>231</v>
          </cell>
          <cell r="M1543"/>
          <cell r="N1543">
            <v>224</v>
          </cell>
          <cell r="O1543"/>
          <cell r="P1543">
            <v>218</v>
          </cell>
          <cell r="Q1543"/>
          <cell r="R1543">
            <v>227</v>
          </cell>
          <cell r="S1543"/>
          <cell r="T1543">
            <v>227</v>
          </cell>
          <cell r="U1543"/>
          <cell r="V1543">
            <v>231</v>
          </cell>
          <cell r="W1543"/>
          <cell r="X1543">
            <v>224</v>
          </cell>
          <cell r="Y1543"/>
          <cell r="Z1543">
            <v>231</v>
          </cell>
          <cell r="AA1543"/>
          <cell r="AB1543"/>
          <cell r="AC1543"/>
          <cell r="AD1543">
            <v>2.1000000000000001E-2</v>
          </cell>
          <cell r="AE1543"/>
          <cell r="AF1543"/>
          <cell r="AG1543"/>
          <cell r="AH1543"/>
          <cell r="AI1543"/>
          <cell r="AJ1543"/>
          <cell r="AK1543"/>
          <cell r="AL1543"/>
        </row>
        <row r="1544">
          <cell r="E1544" t="str">
            <v>CEE 5.5sq-3C</v>
          </cell>
          <cell r="F1544" t="str">
            <v>ｍ</v>
          </cell>
          <cell r="G1544"/>
          <cell r="H1544">
            <v>309</v>
          </cell>
          <cell r="I1544"/>
          <cell r="J1544">
            <v>314</v>
          </cell>
          <cell r="K1544"/>
          <cell r="L1544">
            <v>314</v>
          </cell>
          <cell r="M1544"/>
          <cell r="N1544">
            <v>304</v>
          </cell>
          <cell r="O1544"/>
          <cell r="P1544">
            <v>297</v>
          </cell>
          <cell r="Q1544"/>
          <cell r="R1544">
            <v>309</v>
          </cell>
          <cell r="S1544"/>
          <cell r="T1544">
            <v>309</v>
          </cell>
          <cell r="U1544"/>
          <cell r="V1544">
            <v>314</v>
          </cell>
          <cell r="W1544"/>
          <cell r="X1544">
            <v>304</v>
          </cell>
          <cell r="Y1544"/>
          <cell r="Z1544">
            <v>314</v>
          </cell>
          <cell r="AA1544"/>
          <cell r="AB1544"/>
          <cell r="AC1544"/>
          <cell r="AD1544">
            <v>2.4E-2</v>
          </cell>
          <cell r="AE1544"/>
          <cell r="AF1544"/>
          <cell r="AG1544"/>
          <cell r="AH1544"/>
          <cell r="AI1544"/>
          <cell r="AJ1544"/>
          <cell r="AK1544"/>
          <cell r="AL1544"/>
        </row>
        <row r="1545">
          <cell r="E1545" t="str">
            <v>CEE 8sq-3C</v>
          </cell>
          <cell r="F1545" t="str">
            <v>ｍ</v>
          </cell>
          <cell r="G1545"/>
          <cell r="H1545">
            <v>408</v>
          </cell>
          <cell r="I1545"/>
          <cell r="J1545">
            <v>415</v>
          </cell>
          <cell r="K1545"/>
          <cell r="L1545">
            <v>415</v>
          </cell>
          <cell r="M1545"/>
          <cell r="N1545">
            <v>402</v>
          </cell>
          <cell r="O1545"/>
          <cell r="P1545">
            <v>392</v>
          </cell>
          <cell r="Q1545"/>
          <cell r="R1545">
            <v>408</v>
          </cell>
          <cell r="S1545"/>
          <cell r="T1545">
            <v>408</v>
          </cell>
          <cell r="U1545"/>
          <cell r="V1545">
            <v>415</v>
          </cell>
          <cell r="W1545"/>
          <cell r="X1545">
            <v>402</v>
          </cell>
          <cell r="Y1545"/>
          <cell r="Z1545">
            <v>415</v>
          </cell>
          <cell r="AA1545"/>
          <cell r="AB1545"/>
          <cell r="AC1545"/>
          <cell r="AD1545">
            <v>0.03</v>
          </cell>
          <cell r="AE1545"/>
          <cell r="AF1545"/>
          <cell r="AG1545"/>
          <cell r="AH1545"/>
          <cell r="AI1545"/>
          <cell r="AJ1545"/>
          <cell r="AK1545"/>
          <cell r="AL1545"/>
        </row>
        <row r="1546">
          <cell r="E1546" t="str">
            <v>CEE 1.25sq-4C</v>
          </cell>
          <cell r="F1546" t="str">
            <v>ｍ</v>
          </cell>
          <cell r="G1546"/>
          <cell r="H1546">
            <v>162</v>
          </cell>
          <cell r="I1546"/>
          <cell r="J1546">
            <v>164</v>
          </cell>
          <cell r="K1546"/>
          <cell r="L1546">
            <v>164</v>
          </cell>
          <cell r="M1546"/>
          <cell r="N1546">
            <v>159</v>
          </cell>
          <cell r="O1546"/>
          <cell r="P1546">
            <v>156</v>
          </cell>
          <cell r="Q1546"/>
          <cell r="R1546">
            <v>162</v>
          </cell>
          <cell r="S1546"/>
          <cell r="T1546">
            <v>162</v>
          </cell>
          <cell r="U1546"/>
          <cell r="V1546">
            <v>164</v>
          </cell>
          <cell r="W1546"/>
          <cell r="X1546">
            <v>159</v>
          </cell>
          <cell r="Y1546"/>
          <cell r="Z1546">
            <v>164</v>
          </cell>
          <cell r="AA1546"/>
          <cell r="AB1546"/>
          <cell r="AC1546"/>
          <cell r="AD1546">
            <v>1.9E-2</v>
          </cell>
          <cell r="AE1546"/>
          <cell r="AF1546"/>
          <cell r="AG1546"/>
          <cell r="AH1546"/>
          <cell r="AI1546"/>
          <cell r="AJ1546"/>
          <cell r="AK1546"/>
          <cell r="AL1546"/>
        </row>
        <row r="1547">
          <cell r="E1547" t="str">
            <v>CEE 2sq-4C</v>
          </cell>
          <cell r="F1547" t="str">
            <v>ｍ</v>
          </cell>
          <cell r="G1547"/>
          <cell r="H1547">
            <v>208</v>
          </cell>
          <cell r="I1547"/>
          <cell r="J1547">
            <v>211</v>
          </cell>
          <cell r="K1547"/>
          <cell r="L1547">
            <v>211</v>
          </cell>
          <cell r="M1547"/>
          <cell r="N1547">
            <v>205</v>
          </cell>
          <cell r="O1547"/>
          <cell r="P1547">
            <v>200</v>
          </cell>
          <cell r="Q1547"/>
          <cell r="R1547">
            <v>208</v>
          </cell>
          <cell r="S1547"/>
          <cell r="T1547">
            <v>208</v>
          </cell>
          <cell r="U1547"/>
          <cell r="V1547">
            <v>211</v>
          </cell>
          <cell r="W1547"/>
          <cell r="X1547">
            <v>205</v>
          </cell>
          <cell r="Y1547"/>
          <cell r="Z1547">
            <v>211</v>
          </cell>
          <cell r="AA1547"/>
          <cell r="AB1547"/>
          <cell r="AC1547"/>
          <cell r="AD1547">
            <v>2.1999999999999999E-2</v>
          </cell>
          <cell r="AE1547"/>
          <cell r="AF1547"/>
          <cell r="AG1547"/>
          <cell r="AH1547"/>
          <cell r="AI1547"/>
          <cell r="AJ1547"/>
          <cell r="AK1547"/>
          <cell r="AL1547"/>
        </row>
        <row r="1548">
          <cell r="E1548" t="str">
            <v>CEE 3.5sq-4C</v>
          </cell>
          <cell r="F1548" t="str">
            <v>ｍ</v>
          </cell>
          <cell r="G1548"/>
          <cell r="H1548">
            <v>288</v>
          </cell>
          <cell r="I1548"/>
          <cell r="J1548">
            <v>293</v>
          </cell>
          <cell r="K1548"/>
          <cell r="L1548">
            <v>293</v>
          </cell>
          <cell r="M1548"/>
          <cell r="N1548">
            <v>284</v>
          </cell>
          <cell r="O1548"/>
          <cell r="P1548">
            <v>277</v>
          </cell>
          <cell r="Q1548"/>
          <cell r="R1548">
            <v>288</v>
          </cell>
          <cell r="S1548"/>
          <cell r="T1548">
            <v>288</v>
          </cell>
          <cell r="U1548"/>
          <cell r="V1548">
            <v>293</v>
          </cell>
          <cell r="W1548"/>
          <cell r="X1548">
            <v>284</v>
          </cell>
          <cell r="Y1548"/>
          <cell r="Z1548">
            <v>293</v>
          </cell>
          <cell r="AA1548"/>
          <cell r="AB1548"/>
          <cell r="AC1548"/>
          <cell r="AD1548">
            <v>2.3E-2</v>
          </cell>
          <cell r="AE1548"/>
          <cell r="AF1548"/>
          <cell r="AG1548"/>
          <cell r="AH1548"/>
          <cell r="AI1548"/>
          <cell r="AJ1548"/>
          <cell r="AK1548"/>
          <cell r="AL1548"/>
        </row>
        <row r="1549">
          <cell r="E1549" t="str">
            <v>CEE 5.5sq-4C</v>
          </cell>
          <cell r="F1549" t="str">
            <v>ｍ</v>
          </cell>
          <cell r="G1549"/>
          <cell r="H1549">
            <v>393</v>
          </cell>
          <cell r="I1549"/>
          <cell r="J1549">
            <v>399</v>
          </cell>
          <cell r="K1549"/>
          <cell r="L1549">
            <v>399</v>
          </cell>
          <cell r="M1549"/>
          <cell r="N1549">
            <v>387</v>
          </cell>
          <cell r="O1549"/>
          <cell r="P1549">
            <v>378</v>
          </cell>
          <cell r="Q1549"/>
          <cell r="R1549">
            <v>393</v>
          </cell>
          <cell r="S1549"/>
          <cell r="T1549">
            <v>393</v>
          </cell>
          <cell r="U1549"/>
          <cell r="V1549">
            <v>399</v>
          </cell>
          <cell r="W1549"/>
          <cell r="X1549">
            <v>387</v>
          </cell>
          <cell r="Y1549"/>
          <cell r="Z1549">
            <v>399</v>
          </cell>
          <cell r="AA1549"/>
          <cell r="AB1549"/>
          <cell r="AC1549"/>
          <cell r="AD1549">
            <v>2.8000000000000001E-2</v>
          </cell>
          <cell r="AE1549"/>
          <cell r="AF1549"/>
          <cell r="AG1549"/>
          <cell r="AH1549"/>
          <cell r="AI1549"/>
          <cell r="AJ1549"/>
          <cell r="AK1549"/>
          <cell r="AL1549"/>
        </row>
        <row r="1550">
          <cell r="E1550" t="str">
            <v>CEE 8sq-4C</v>
          </cell>
          <cell r="F1550" t="str">
            <v>ｍ</v>
          </cell>
          <cell r="G1550"/>
          <cell r="H1550">
            <v>563</v>
          </cell>
          <cell r="I1550"/>
          <cell r="J1550">
            <v>572</v>
          </cell>
          <cell r="K1550"/>
          <cell r="L1550">
            <v>572</v>
          </cell>
          <cell r="M1550"/>
          <cell r="N1550">
            <v>554</v>
          </cell>
          <cell r="O1550"/>
          <cell r="P1550">
            <v>541</v>
          </cell>
          <cell r="Q1550"/>
          <cell r="R1550">
            <v>563</v>
          </cell>
          <cell r="S1550"/>
          <cell r="T1550">
            <v>563</v>
          </cell>
          <cell r="U1550"/>
          <cell r="V1550">
            <v>572</v>
          </cell>
          <cell r="W1550"/>
          <cell r="X1550">
            <v>554</v>
          </cell>
          <cell r="Y1550"/>
          <cell r="Z1550">
            <v>572</v>
          </cell>
          <cell r="AA1550"/>
          <cell r="AB1550"/>
          <cell r="AC1550"/>
          <cell r="AD1550">
            <v>3.4000000000000002E-2</v>
          </cell>
          <cell r="AE1550"/>
          <cell r="AF1550"/>
          <cell r="AG1550"/>
          <cell r="AH1550"/>
          <cell r="AI1550"/>
          <cell r="AJ1550"/>
          <cell r="AK1550"/>
          <cell r="AL1550"/>
        </row>
        <row r="1551">
          <cell r="E1551" t="str">
            <v>CEE 1.25sq-5C</v>
          </cell>
          <cell r="F1551" t="str">
            <v>ｍ</v>
          </cell>
          <cell r="G1551"/>
          <cell r="H1551">
            <v>183</v>
          </cell>
          <cell r="I1551"/>
          <cell r="J1551">
            <v>186</v>
          </cell>
          <cell r="K1551"/>
          <cell r="L1551">
            <v>186</v>
          </cell>
          <cell r="M1551"/>
          <cell r="N1551">
            <v>180</v>
          </cell>
          <cell r="O1551"/>
          <cell r="P1551">
            <v>176</v>
          </cell>
          <cell r="Q1551"/>
          <cell r="R1551">
            <v>183</v>
          </cell>
          <cell r="S1551"/>
          <cell r="T1551">
            <v>183</v>
          </cell>
          <cell r="U1551"/>
          <cell r="V1551">
            <v>186</v>
          </cell>
          <cell r="W1551"/>
          <cell r="X1551">
            <v>180</v>
          </cell>
          <cell r="Y1551"/>
          <cell r="Z1551">
            <v>186</v>
          </cell>
          <cell r="AA1551"/>
          <cell r="AB1551"/>
          <cell r="AC1551"/>
          <cell r="AD1551">
            <v>2.5000000000000001E-2</v>
          </cell>
          <cell r="AE1551"/>
          <cell r="AF1551"/>
          <cell r="AG1551"/>
          <cell r="AH1551"/>
          <cell r="AI1551"/>
          <cell r="AJ1551"/>
          <cell r="AK1551"/>
          <cell r="AL1551"/>
        </row>
        <row r="1552">
          <cell r="E1552" t="str">
            <v>CEE 2sq-5C</v>
          </cell>
          <cell r="F1552" t="str">
            <v>ｍ</v>
          </cell>
          <cell r="G1552"/>
          <cell r="H1552">
            <v>237</v>
          </cell>
          <cell r="I1552"/>
          <cell r="J1552">
            <v>241</v>
          </cell>
          <cell r="K1552"/>
          <cell r="L1552">
            <v>241</v>
          </cell>
          <cell r="M1552"/>
          <cell r="N1552">
            <v>234</v>
          </cell>
          <cell r="O1552"/>
          <cell r="P1552">
            <v>228</v>
          </cell>
          <cell r="Q1552"/>
          <cell r="R1552">
            <v>237</v>
          </cell>
          <cell r="S1552"/>
          <cell r="T1552">
            <v>237</v>
          </cell>
          <cell r="U1552"/>
          <cell r="V1552">
            <v>241</v>
          </cell>
          <cell r="W1552"/>
          <cell r="X1552">
            <v>234</v>
          </cell>
          <cell r="Y1552"/>
          <cell r="Z1552">
            <v>241</v>
          </cell>
          <cell r="AA1552"/>
          <cell r="AB1552"/>
          <cell r="AC1552"/>
          <cell r="AD1552">
            <v>2.8000000000000001E-2</v>
          </cell>
          <cell r="AE1552"/>
          <cell r="AF1552"/>
          <cell r="AG1552"/>
          <cell r="AH1552"/>
          <cell r="AI1552"/>
          <cell r="AJ1552"/>
          <cell r="AK1552"/>
          <cell r="AL1552"/>
        </row>
        <row r="1553">
          <cell r="E1553" t="str">
            <v>CEE 3.5sq-5C</v>
          </cell>
          <cell r="F1553" t="str">
            <v>ｍ</v>
          </cell>
          <cell r="G1553"/>
          <cell r="H1553">
            <v>332</v>
          </cell>
          <cell r="I1553"/>
          <cell r="J1553">
            <v>337</v>
          </cell>
          <cell r="K1553"/>
          <cell r="L1553">
            <v>337</v>
          </cell>
          <cell r="M1553"/>
          <cell r="N1553">
            <v>326</v>
          </cell>
          <cell r="O1553"/>
          <cell r="P1553">
            <v>319</v>
          </cell>
          <cell r="Q1553"/>
          <cell r="R1553">
            <v>332</v>
          </cell>
          <cell r="S1553"/>
          <cell r="T1553">
            <v>332</v>
          </cell>
          <cell r="U1553"/>
          <cell r="V1553">
            <v>337</v>
          </cell>
          <cell r="W1553"/>
          <cell r="X1553">
            <v>326</v>
          </cell>
          <cell r="Y1553"/>
          <cell r="Z1553">
            <v>337</v>
          </cell>
          <cell r="AA1553"/>
          <cell r="AB1553"/>
          <cell r="AC1553"/>
          <cell r="AD1553">
            <v>0.03</v>
          </cell>
          <cell r="AE1553"/>
          <cell r="AF1553"/>
          <cell r="AG1553"/>
          <cell r="AH1553"/>
          <cell r="AI1553"/>
          <cell r="AJ1553"/>
          <cell r="AK1553"/>
          <cell r="AL1553"/>
        </row>
        <row r="1554">
          <cell r="E1554" t="str">
            <v>CEE 5.5sq-5C</v>
          </cell>
          <cell r="F1554" t="str">
            <v>ｍ</v>
          </cell>
          <cell r="G1554"/>
          <cell r="H1554">
            <v>518</v>
          </cell>
          <cell r="I1554"/>
          <cell r="J1554">
            <v>527</v>
          </cell>
          <cell r="K1554"/>
          <cell r="L1554">
            <v>527</v>
          </cell>
          <cell r="M1554"/>
          <cell r="N1554">
            <v>510</v>
          </cell>
          <cell r="O1554"/>
          <cell r="P1554">
            <v>498</v>
          </cell>
          <cell r="Q1554"/>
          <cell r="R1554">
            <v>518</v>
          </cell>
          <cell r="S1554"/>
          <cell r="T1554">
            <v>518</v>
          </cell>
          <cell r="U1554"/>
          <cell r="V1554">
            <v>527</v>
          </cell>
          <cell r="W1554"/>
          <cell r="X1554">
            <v>510</v>
          </cell>
          <cell r="Y1554"/>
          <cell r="Z1554">
            <v>527</v>
          </cell>
          <cell r="AA1554"/>
          <cell r="AB1554"/>
          <cell r="AC1554"/>
          <cell r="AD1554">
            <v>3.6999999999999998E-2</v>
          </cell>
          <cell r="AE1554"/>
          <cell r="AF1554"/>
          <cell r="AG1554"/>
          <cell r="AH1554"/>
          <cell r="AI1554"/>
          <cell r="AJ1554"/>
          <cell r="AK1554"/>
          <cell r="AL1554"/>
        </row>
        <row r="1555">
          <cell r="E1555" t="str">
            <v>CEE 8sq-5C</v>
          </cell>
          <cell r="F1555" t="str">
            <v>ｍ</v>
          </cell>
          <cell r="G1555"/>
          <cell r="H1555">
            <v>707</v>
          </cell>
          <cell r="I1555"/>
          <cell r="J1555">
            <v>718</v>
          </cell>
          <cell r="K1555"/>
          <cell r="L1555">
            <v>718</v>
          </cell>
          <cell r="M1555"/>
          <cell r="N1555">
            <v>696</v>
          </cell>
          <cell r="O1555"/>
          <cell r="P1555">
            <v>679</v>
          </cell>
          <cell r="Q1555"/>
          <cell r="R1555">
            <v>707</v>
          </cell>
          <cell r="S1555"/>
          <cell r="T1555">
            <v>707</v>
          </cell>
          <cell r="U1555"/>
          <cell r="V1555">
            <v>718</v>
          </cell>
          <cell r="W1555"/>
          <cell r="X1555">
            <v>696</v>
          </cell>
          <cell r="Y1555"/>
          <cell r="Z1555">
            <v>718</v>
          </cell>
          <cell r="AA1555"/>
          <cell r="AB1555"/>
          <cell r="AC1555"/>
          <cell r="AD1555">
            <v>4.3999999999999997E-2</v>
          </cell>
          <cell r="AE1555"/>
          <cell r="AF1555"/>
          <cell r="AG1555"/>
          <cell r="AH1555"/>
          <cell r="AI1555"/>
          <cell r="AJ1555"/>
          <cell r="AK1555"/>
          <cell r="AL1555"/>
        </row>
        <row r="1556">
          <cell r="E1556" t="str">
            <v>CEE 1.25sq-6C</v>
          </cell>
          <cell r="F1556" t="str">
            <v>ｍ</v>
          </cell>
          <cell r="G1556"/>
          <cell r="H1556">
            <v>212</v>
          </cell>
          <cell r="I1556"/>
          <cell r="J1556">
            <v>215</v>
          </cell>
          <cell r="K1556"/>
          <cell r="L1556">
            <v>215</v>
          </cell>
          <cell r="M1556"/>
          <cell r="N1556">
            <v>209</v>
          </cell>
          <cell r="O1556"/>
          <cell r="P1556">
            <v>204</v>
          </cell>
          <cell r="Q1556"/>
          <cell r="R1556">
            <v>212</v>
          </cell>
          <cell r="S1556"/>
          <cell r="T1556">
            <v>212</v>
          </cell>
          <cell r="U1556"/>
          <cell r="V1556">
            <v>215</v>
          </cell>
          <cell r="W1556"/>
          <cell r="X1556">
            <v>209</v>
          </cell>
          <cell r="Y1556"/>
          <cell r="Z1556">
            <v>215</v>
          </cell>
          <cell r="AA1556"/>
          <cell r="AB1556"/>
          <cell r="AC1556"/>
          <cell r="AD1556">
            <v>2.5000000000000001E-2</v>
          </cell>
          <cell r="AE1556"/>
          <cell r="AF1556"/>
          <cell r="AG1556"/>
          <cell r="AH1556"/>
          <cell r="AI1556"/>
          <cell r="AJ1556"/>
          <cell r="AK1556"/>
          <cell r="AL1556"/>
        </row>
        <row r="1557">
          <cell r="E1557" t="str">
            <v>CEE 2sq-6C</v>
          </cell>
          <cell r="F1557" t="str">
            <v>ｍ</v>
          </cell>
          <cell r="G1557"/>
          <cell r="H1557">
            <v>284</v>
          </cell>
          <cell r="I1557"/>
          <cell r="J1557">
            <v>288</v>
          </cell>
          <cell r="K1557"/>
          <cell r="L1557">
            <v>288</v>
          </cell>
          <cell r="M1557"/>
          <cell r="N1557">
            <v>279</v>
          </cell>
          <cell r="O1557"/>
          <cell r="P1557">
            <v>272</v>
          </cell>
          <cell r="Q1557"/>
          <cell r="R1557">
            <v>284</v>
          </cell>
          <cell r="S1557"/>
          <cell r="T1557">
            <v>284</v>
          </cell>
          <cell r="U1557"/>
          <cell r="V1557">
            <v>288</v>
          </cell>
          <cell r="W1557"/>
          <cell r="X1557">
            <v>279</v>
          </cell>
          <cell r="Y1557"/>
          <cell r="Z1557">
            <v>288</v>
          </cell>
          <cell r="AA1557"/>
          <cell r="AB1557"/>
          <cell r="AC1557"/>
          <cell r="AD1557">
            <v>2.8000000000000001E-2</v>
          </cell>
          <cell r="AE1557"/>
          <cell r="AF1557"/>
          <cell r="AG1557"/>
          <cell r="AH1557"/>
          <cell r="AI1557"/>
          <cell r="AJ1557"/>
          <cell r="AK1557"/>
          <cell r="AL1557"/>
        </row>
        <row r="1558">
          <cell r="E1558" t="str">
            <v>CEE 3.5sq-6C</v>
          </cell>
          <cell r="F1558" t="str">
            <v>ｍ</v>
          </cell>
          <cell r="G1558"/>
          <cell r="H1558">
            <v>393</v>
          </cell>
          <cell r="I1558"/>
          <cell r="J1558">
            <v>399</v>
          </cell>
          <cell r="K1558"/>
          <cell r="L1558">
            <v>399</v>
          </cell>
          <cell r="M1558"/>
          <cell r="N1558">
            <v>387</v>
          </cell>
          <cell r="O1558"/>
          <cell r="P1558">
            <v>378</v>
          </cell>
          <cell r="Q1558"/>
          <cell r="R1558">
            <v>393</v>
          </cell>
          <cell r="S1558"/>
          <cell r="T1558">
            <v>393</v>
          </cell>
          <cell r="U1558"/>
          <cell r="V1558">
            <v>399</v>
          </cell>
          <cell r="W1558"/>
          <cell r="X1558">
            <v>387</v>
          </cell>
          <cell r="Y1558"/>
          <cell r="Z1558">
            <v>399</v>
          </cell>
          <cell r="AA1558"/>
          <cell r="AB1558"/>
          <cell r="AC1558"/>
          <cell r="AD1558">
            <v>0.03</v>
          </cell>
          <cell r="AE1558"/>
          <cell r="AF1558"/>
          <cell r="AG1558"/>
          <cell r="AH1558"/>
          <cell r="AI1558"/>
          <cell r="AJ1558"/>
          <cell r="AK1558"/>
          <cell r="AL1558"/>
        </row>
        <row r="1559">
          <cell r="E1559" t="str">
            <v>CEE 5.5sq-6C</v>
          </cell>
          <cell r="F1559" t="str">
            <v>ｍ</v>
          </cell>
          <cell r="G1559"/>
          <cell r="H1559">
            <v>606</v>
          </cell>
          <cell r="I1559"/>
          <cell r="J1559">
            <v>616</v>
          </cell>
          <cell r="K1559"/>
          <cell r="L1559">
            <v>616</v>
          </cell>
          <cell r="M1559"/>
          <cell r="N1559">
            <v>597</v>
          </cell>
          <cell r="O1559"/>
          <cell r="P1559">
            <v>582</v>
          </cell>
          <cell r="Q1559"/>
          <cell r="R1559">
            <v>606</v>
          </cell>
          <cell r="S1559"/>
          <cell r="T1559">
            <v>606</v>
          </cell>
          <cell r="U1559"/>
          <cell r="V1559">
            <v>616</v>
          </cell>
          <cell r="W1559"/>
          <cell r="X1559">
            <v>597</v>
          </cell>
          <cell r="Y1559"/>
          <cell r="Z1559">
            <v>616</v>
          </cell>
          <cell r="AA1559"/>
          <cell r="AB1559"/>
          <cell r="AC1559"/>
          <cell r="AD1559">
            <v>3.6999999999999998E-2</v>
          </cell>
          <cell r="AE1559"/>
          <cell r="AF1559"/>
          <cell r="AG1559"/>
          <cell r="AH1559"/>
          <cell r="AI1559"/>
          <cell r="AJ1559"/>
          <cell r="AK1559"/>
          <cell r="AL1559"/>
        </row>
        <row r="1560">
          <cell r="E1560" t="str">
            <v>CEE 8sq-6C</v>
          </cell>
          <cell r="F1560" t="str">
            <v>ｍ</v>
          </cell>
          <cell r="G1560"/>
          <cell r="H1560">
            <v>826</v>
          </cell>
          <cell r="I1560"/>
          <cell r="J1560">
            <v>839</v>
          </cell>
          <cell r="K1560"/>
          <cell r="L1560">
            <v>839</v>
          </cell>
          <cell r="M1560"/>
          <cell r="N1560">
            <v>813</v>
          </cell>
          <cell r="O1560"/>
          <cell r="P1560">
            <v>793</v>
          </cell>
          <cell r="Q1560"/>
          <cell r="R1560">
            <v>826</v>
          </cell>
          <cell r="S1560"/>
          <cell r="T1560">
            <v>826</v>
          </cell>
          <cell r="U1560"/>
          <cell r="V1560">
            <v>839</v>
          </cell>
          <cell r="W1560"/>
          <cell r="X1560">
            <v>813</v>
          </cell>
          <cell r="Y1560"/>
          <cell r="Z1560">
            <v>839</v>
          </cell>
          <cell r="AA1560"/>
          <cell r="AB1560"/>
          <cell r="AC1560"/>
          <cell r="AD1560">
            <v>4.3999999999999997E-2</v>
          </cell>
          <cell r="AE1560"/>
          <cell r="AF1560"/>
          <cell r="AG1560"/>
          <cell r="AH1560"/>
          <cell r="AI1560"/>
          <cell r="AJ1560"/>
          <cell r="AK1560"/>
          <cell r="AL1560"/>
        </row>
        <row r="1561">
          <cell r="E1561" t="str">
            <v>CEE 1.25sq-7C</v>
          </cell>
          <cell r="F1561" t="str">
            <v>ｍ</v>
          </cell>
          <cell r="G1561"/>
          <cell r="H1561">
            <v>236</v>
          </cell>
          <cell r="I1561"/>
          <cell r="J1561">
            <v>239</v>
          </cell>
          <cell r="K1561"/>
          <cell r="L1561">
            <v>239</v>
          </cell>
          <cell r="M1561"/>
          <cell r="N1561">
            <v>232</v>
          </cell>
          <cell r="O1561"/>
          <cell r="P1561">
            <v>226</v>
          </cell>
          <cell r="Q1561"/>
          <cell r="R1561">
            <v>236</v>
          </cell>
          <cell r="S1561"/>
          <cell r="T1561">
            <v>236</v>
          </cell>
          <cell r="U1561"/>
          <cell r="V1561">
            <v>239</v>
          </cell>
          <cell r="W1561"/>
          <cell r="X1561">
            <v>232</v>
          </cell>
          <cell r="Y1561"/>
          <cell r="Z1561">
            <v>239</v>
          </cell>
          <cell r="AA1561"/>
          <cell r="AB1561"/>
          <cell r="AC1561"/>
          <cell r="AD1561">
            <v>0.03</v>
          </cell>
          <cell r="AE1561"/>
          <cell r="AF1561"/>
          <cell r="AG1561"/>
          <cell r="AH1561"/>
          <cell r="AI1561"/>
          <cell r="AJ1561"/>
          <cell r="AK1561"/>
          <cell r="AL1561"/>
        </row>
        <row r="1562">
          <cell r="E1562" t="str">
            <v>CEE 2sq-7C</v>
          </cell>
          <cell r="F1562" t="str">
            <v>ｍ</v>
          </cell>
          <cell r="G1562"/>
          <cell r="H1562">
            <v>314</v>
          </cell>
          <cell r="I1562"/>
          <cell r="J1562">
            <v>319</v>
          </cell>
          <cell r="K1562"/>
          <cell r="L1562">
            <v>319</v>
          </cell>
          <cell r="M1562"/>
          <cell r="N1562">
            <v>309</v>
          </cell>
          <cell r="O1562"/>
          <cell r="P1562">
            <v>301</v>
          </cell>
          <cell r="Q1562"/>
          <cell r="R1562">
            <v>314</v>
          </cell>
          <cell r="S1562"/>
          <cell r="T1562">
            <v>314</v>
          </cell>
          <cell r="U1562"/>
          <cell r="V1562">
            <v>319</v>
          </cell>
          <cell r="W1562"/>
          <cell r="X1562">
            <v>309</v>
          </cell>
          <cell r="Y1562"/>
          <cell r="Z1562">
            <v>319</v>
          </cell>
          <cell r="AA1562"/>
          <cell r="AB1562"/>
          <cell r="AC1562"/>
          <cell r="AD1562">
            <v>3.4000000000000002E-2</v>
          </cell>
          <cell r="AE1562"/>
          <cell r="AF1562"/>
          <cell r="AG1562"/>
          <cell r="AH1562"/>
          <cell r="AI1562"/>
          <cell r="AJ1562"/>
          <cell r="AK1562"/>
          <cell r="AL1562"/>
        </row>
        <row r="1563">
          <cell r="E1563" t="str">
            <v>CEE 3.5sq-7C</v>
          </cell>
          <cell r="F1563" t="str">
            <v>ｍ</v>
          </cell>
          <cell r="G1563"/>
          <cell r="H1563">
            <v>447</v>
          </cell>
          <cell r="I1563"/>
          <cell r="J1563">
            <v>454</v>
          </cell>
          <cell r="K1563"/>
          <cell r="L1563">
            <v>454</v>
          </cell>
          <cell r="M1563"/>
          <cell r="N1563">
            <v>440</v>
          </cell>
          <cell r="O1563"/>
          <cell r="P1563">
            <v>430</v>
          </cell>
          <cell r="Q1563"/>
          <cell r="R1563">
            <v>447</v>
          </cell>
          <cell r="S1563"/>
          <cell r="T1563">
            <v>447</v>
          </cell>
          <cell r="U1563"/>
          <cell r="V1563">
            <v>454</v>
          </cell>
          <cell r="W1563"/>
          <cell r="X1563">
            <v>440</v>
          </cell>
          <cell r="Y1563"/>
          <cell r="Z1563">
            <v>454</v>
          </cell>
          <cell r="AA1563"/>
          <cell r="AB1563"/>
          <cell r="AC1563"/>
          <cell r="AD1563">
            <v>3.6999999999999998E-2</v>
          </cell>
          <cell r="AE1563"/>
          <cell r="AF1563"/>
          <cell r="AG1563"/>
          <cell r="AH1563"/>
          <cell r="AI1563"/>
          <cell r="AJ1563"/>
          <cell r="AK1563"/>
          <cell r="AL1563"/>
        </row>
        <row r="1564">
          <cell r="E1564" t="str">
            <v>CEE 5.5sq-7C</v>
          </cell>
          <cell r="F1564" t="str">
            <v>ｍ</v>
          </cell>
          <cell r="G1564"/>
          <cell r="H1564">
            <v>683</v>
          </cell>
          <cell r="I1564"/>
          <cell r="J1564">
            <v>694</v>
          </cell>
          <cell r="K1564"/>
          <cell r="L1564">
            <v>694</v>
          </cell>
          <cell r="M1564"/>
          <cell r="N1564">
            <v>672</v>
          </cell>
          <cell r="O1564"/>
          <cell r="P1564">
            <v>656</v>
          </cell>
          <cell r="Q1564"/>
          <cell r="R1564">
            <v>683</v>
          </cell>
          <cell r="S1564"/>
          <cell r="T1564">
            <v>683</v>
          </cell>
          <cell r="U1564"/>
          <cell r="V1564">
            <v>694</v>
          </cell>
          <cell r="W1564"/>
          <cell r="X1564">
            <v>672</v>
          </cell>
          <cell r="Y1564"/>
          <cell r="Z1564">
            <v>694</v>
          </cell>
          <cell r="AA1564"/>
          <cell r="AB1564"/>
          <cell r="AC1564"/>
          <cell r="AD1564">
            <v>4.3999999999999997E-2</v>
          </cell>
          <cell r="AE1564"/>
          <cell r="AF1564"/>
          <cell r="AG1564"/>
          <cell r="AH1564"/>
          <cell r="AI1564"/>
          <cell r="AJ1564"/>
          <cell r="AK1564"/>
          <cell r="AL1564"/>
        </row>
        <row r="1565">
          <cell r="E1565" t="str">
            <v>CEE 8sq-7C</v>
          </cell>
          <cell r="F1565" t="str">
            <v>ｍ</v>
          </cell>
          <cell r="G1565"/>
          <cell r="H1565">
            <v>925</v>
          </cell>
          <cell r="I1565"/>
          <cell r="J1565">
            <v>940</v>
          </cell>
          <cell r="K1565"/>
          <cell r="L1565">
            <v>940</v>
          </cell>
          <cell r="M1565"/>
          <cell r="N1565">
            <v>911</v>
          </cell>
          <cell r="O1565"/>
          <cell r="P1565">
            <v>889</v>
          </cell>
          <cell r="Q1565"/>
          <cell r="R1565">
            <v>925</v>
          </cell>
          <cell r="S1565"/>
          <cell r="T1565">
            <v>925</v>
          </cell>
          <cell r="U1565"/>
          <cell r="V1565">
            <v>940</v>
          </cell>
          <cell r="W1565"/>
          <cell r="X1565">
            <v>911</v>
          </cell>
          <cell r="Y1565"/>
          <cell r="Z1565">
            <v>940</v>
          </cell>
          <cell r="AA1565"/>
          <cell r="AB1565"/>
          <cell r="AC1565"/>
          <cell r="AD1565">
            <v>5.3999999999999999E-2</v>
          </cell>
          <cell r="AE1565"/>
          <cell r="AF1565"/>
          <cell r="AG1565"/>
          <cell r="AH1565"/>
          <cell r="AI1565"/>
          <cell r="AJ1565"/>
          <cell r="AK1565"/>
          <cell r="AL1565"/>
        </row>
        <row r="1566">
          <cell r="E1566" t="str">
            <v>CEE 1.25sq-8C</v>
          </cell>
          <cell r="F1566" t="str">
            <v>ｍ</v>
          </cell>
          <cell r="G1566"/>
          <cell r="H1566">
            <v>273</v>
          </cell>
          <cell r="I1566"/>
          <cell r="J1566">
            <v>277</v>
          </cell>
          <cell r="K1566"/>
          <cell r="L1566">
            <v>277</v>
          </cell>
          <cell r="M1566"/>
          <cell r="N1566">
            <v>268</v>
          </cell>
          <cell r="O1566"/>
          <cell r="P1566">
            <v>262</v>
          </cell>
          <cell r="Q1566"/>
          <cell r="R1566">
            <v>273</v>
          </cell>
          <cell r="S1566"/>
          <cell r="T1566">
            <v>273</v>
          </cell>
          <cell r="U1566"/>
          <cell r="V1566">
            <v>277</v>
          </cell>
          <cell r="W1566"/>
          <cell r="X1566">
            <v>268</v>
          </cell>
          <cell r="Y1566"/>
          <cell r="Z1566">
            <v>277</v>
          </cell>
          <cell r="AA1566"/>
          <cell r="AB1566"/>
          <cell r="AC1566"/>
          <cell r="AD1566">
            <v>3.4000000000000002E-2</v>
          </cell>
          <cell r="AE1566"/>
          <cell r="AF1566"/>
          <cell r="AG1566"/>
          <cell r="AH1566"/>
          <cell r="AI1566"/>
          <cell r="AJ1566"/>
          <cell r="AK1566"/>
          <cell r="AL1566"/>
        </row>
        <row r="1567">
          <cell r="E1567" t="str">
            <v>CEE 2sq-8C</v>
          </cell>
          <cell r="F1567" t="str">
            <v>ｍ</v>
          </cell>
          <cell r="G1567"/>
          <cell r="H1567">
            <v>355</v>
          </cell>
          <cell r="I1567"/>
          <cell r="J1567">
            <v>361</v>
          </cell>
          <cell r="K1567"/>
          <cell r="L1567">
            <v>361</v>
          </cell>
          <cell r="M1567"/>
          <cell r="N1567">
            <v>350</v>
          </cell>
          <cell r="O1567"/>
          <cell r="P1567">
            <v>341</v>
          </cell>
          <cell r="Q1567"/>
          <cell r="R1567">
            <v>355</v>
          </cell>
          <cell r="S1567"/>
          <cell r="T1567">
            <v>355</v>
          </cell>
          <cell r="U1567"/>
          <cell r="V1567">
            <v>361</v>
          </cell>
          <cell r="W1567"/>
          <cell r="X1567">
            <v>350</v>
          </cell>
          <cell r="Y1567"/>
          <cell r="Z1567">
            <v>361</v>
          </cell>
          <cell r="AA1567"/>
          <cell r="AB1567"/>
          <cell r="AC1567"/>
          <cell r="AD1567">
            <v>3.6999999999999998E-2</v>
          </cell>
          <cell r="AE1567"/>
          <cell r="AF1567"/>
          <cell r="AG1567"/>
          <cell r="AH1567"/>
          <cell r="AI1567"/>
          <cell r="AJ1567"/>
          <cell r="AK1567"/>
          <cell r="AL1567"/>
        </row>
        <row r="1568">
          <cell r="E1568" t="str">
            <v>CEE 3.5sq-8C</v>
          </cell>
          <cell r="F1568" t="str">
            <v>ｍ</v>
          </cell>
          <cell r="G1568"/>
          <cell r="H1568">
            <v>529</v>
          </cell>
          <cell r="I1568"/>
          <cell r="J1568">
            <v>538</v>
          </cell>
          <cell r="K1568"/>
          <cell r="L1568">
            <v>538</v>
          </cell>
          <cell r="M1568"/>
          <cell r="N1568">
            <v>521</v>
          </cell>
          <cell r="O1568"/>
          <cell r="P1568">
            <v>509</v>
          </cell>
          <cell r="Q1568"/>
          <cell r="R1568">
            <v>529</v>
          </cell>
          <cell r="S1568"/>
          <cell r="T1568">
            <v>529</v>
          </cell>
          <cell r="U1568"/>
          <cell r="V1568">
            <v>538</v>
          </cell>
          <cell r="W1568"/>
          <cell r="X1568">
            <v>521</v>
          </cell>
          <cell r="Y1568"/>
          <cell r="Z1568">
            <v>538</v>
          </cell>
          <cell r="AA1568"/>
          <cell r="AB1568"/>
          <cell r="AC1568"/>
          <cell r="AD1568">
            <v>4.3999999999999997E-2</v>
          </cell>
          <cell r="AE1568"/>
          <cell r="AF1568"/>
          <cell r="AG1568"/>
          <cell r="AH1568"/>
          <cell r="AI1568"/>
          <cell r="AJ1568"/>
          <cell r="AK1568"/>
          <cell r="AL1568"/>
        </row>
        <row r="1569">
          <cell r="E1569" t="str">
            <v>CEE 5.5sq-8C</v>
          </cell>
          <cell r="F1569" t="str">
            <v>ｍ</v>
          </cell>
          <cell r="G1569"/>
          <cell r="H1569">
            <v>811</v>
          </cell>
          <cell r="I1569"/>
          <cell r="J1569">
            <v>824</v>
          </cell>
          <cell r="K1569"/>
          <cell r="L1569">
            <v>824</v>
          </cell>
          <cell r="M1569"/>
          <cell r="N1569">
            <v>798</v>
          </cell>
          <cell r="O1569"/>
          <cell r="P1569">
            <v>779</v>
          </cell>
          <cell r="Q1569"/>
          <cell r="R1569">
            <v>811</v>
          </cell>
          <cell r="S1569"/>
          <cell r="T1569">
            <v>811</v>
          </cell>
          <cell r="U1569"/>
          <cell r="V1569">
            <v>824</v>
          </cell>
          <cell r="W1569"/>
          <cell r="X1569">
            <v>798</v>
          </cell>
          <cell r="Y1569"/>
          <cell r="Z1569">
            <v>824</v>
          </cell>
          <cell r="AA1569"/>
          <cell r="AB1569"/>
          <cell r="AC1569"/>
          <cell r="AD1569">
            <v>4.3999999999999997E-2</v>
          </cell>
          <cell r="AE1569"/>
          <cell r="AF1569"/>
          <cell r="AG1569"/>
          <cell r="AH1569"/>
          <cell r="AI1569"/>
          <cell r="AJ1569"/>
          <cell r="AK1569"/>
          <cell r="AL1569"/>
        </row>
        <row r="1570">
          <cell r="E1570" t="str">
            <v>CEE 8sq-8C</v>
          </cell>
          <cell r="F1570" t="str">
            <v>ｍ</v>
          </cell>
          <cell r="G1570"/>
          <cell r="H1570">
            <v>1034</v>
          </cell>
          <cell r="I1570"/>
          <cell r="J1570">
            <v>1050</v>
          </cell>
          <cell r="K1570"/>
          <cell r="L1570">
            <v>1050</v>
          </cell>
          <cell r="M1570"/>
          <cell r="N1570">
            <v>1018</v>
          </cell>
          <cell r="O1570"/>
          <cell r="P1570">
            <v>994</v>
          </cell>
          <cell r="Q1570"/>
          <cell r="R1570">
            <v>1034</v>
          </cell>
          <cell r="S1570"/>
          <cell r="T1570">
            <v>1034</v>
          </cell>
          <cell r="U1570"/>
          <cell r="V1570">
            <v>1050</v>
          </cell>
          <cell r="W1570"/>
          <cell r="X1570">
            <v>1018</v>
          </cell>
          <cell r="Y1570"/>
          <cell r="Z1570">
            <v>1050</v>
          </cell>
          <cell r="AA1570"/>
          <cell r="AB1570"/>
          <cell r="AC1570"/>
          <cell r="AD1570">
            <v>5.3999999999999999E-2</v>
          </cell>
          <cell r="AE1570"/>
          <cell r="AF1570"/>
          <cell r="AG1570"/>
          <cell r="AH1570"/>
          <cell r="AI1570"/>
          <cell r="AJ1570"/>
          <cell r="AK1570"/>
          <cell r="AL1570"/>
        </row>
        <row r="1571">
          <cell r="E1571" t="str">
            <v>CEE 1.25sq-10C</v>
          </cell>
          <cell r="F1571" t="str">
            <v>ｍ</v>
          </cell>
          <cell r="G1571"/>
          <cell r="H1571">
            <v>333</v>
          </cell>
          <cell r="I1571"/>
          <cell r="J1571">
            <v>338</v>
          </cell>
          <cell r="K1571"/>
          <cell r="L1571">
            <v>338</v>
          </cell>
          <cell r="M1571"/>
          <cell r="N1571">
            <v>328</v>
          </cell>
          <cell r="O1571"/>
          <cell r="P1571">
            <v>320</v>
          </cell>
          <cell r="Q1571"/>
          <cell r="R1571">
            <v>333</v>
          </cell>
          <cell r="S1571"/>
          <cell r="T1571">
            <v>333</v>
          </cell>
          <cell r="U1571"/>
          <cell r="V1571">
            <v>338</v>
          </cell>
          <cell r="W1571"/>
          <cell r="X1571">
            <v>328</v>
          </cell>
          <cell r="Y1571"/>
          <cell r="Z1571">
            <v>338</v>
          </cell>
          <cell r="AA1571"/>
          <cell r="AB1571"/>
          <cell r="AC1571"/>
          <cell r="AD1571">
            <v>3.6999999999999998E-2</v>
          </cell>
          <cell r="AE1571"/>
          <cell r="AF1571"/>
          <cell r="AG1571"/>
          <cell r="AH1571"/>
          <cell r="AI1571"/>
          <cell r="AJ1571"/>
          <cell r="AK1571"/>
          <cell r="AL1571"/>
        </row>
        <row r="1572">
          <cell r="E1572" t="str">
            <v>CEE 2sq-10C</v>
          </cell>
          <cell r="F1572" t="str">
            <v>ｍ</v>
          </cell>
          <cell r="G1572"/>
          <cell r="H1572">
            <v>438</v>
          </cell>
          <cell r="I1572"/>
          <cell r="J1572">
            <v>445</v>
          </cell>
          <cell r="K1572"/>
          <cell r="L1572">
            <v>445</v>
          </cell>
          <cell r="M1572"/>
          <cell r="N1572">
            <v>432</v>
          </cell>
          <cell r="O1572"/>
          <cell r="P1572">
            <v>421</v>
          </cell>
          <cell r="Q1572"/>
          <cell r="R1572">
            <v>438</v>
          </cell>
          <cell r="S1572"/>
          <cell r="T1572">
            <v>438</v>
          </cell>
          <cell r="U1572"/>
          <cell r="V1572">
            <v>445</v>
          </cell>
          <cell r="W1572"/>
          <cell r="X1572">
            <v>432</v>
          </cell>
          <cell r="Y1572"/>
          <cell r="Z1572">
            <v>445</v>
          </cell>
          <cell r="AA1572"/>
          <cell r="AB1572"/>
          <cell r="AC1572"/>
          <cell r="AD1572">
            <v>4.2000000000000003E-2</v>
          </cell>
          <cell r="AE1572"/>
          <cell r="AF1572"/>
          <cell r="AG1572"/>
          <cell r="AH1572"/>
          <cell r="AI1572"/>
          <cell r="AJ1572"/>
          <cell r="AK1572"/>
          <cell r="AL1572"/>
        </row>
        <row r="1573">
          <cell r="E1573" t="str">
            <v>CEE 3.5sq-10C</v>
          </cell>
          <cell r="F1573" t="str">
            <v>ｍ</v>
          </cell>
          <cell r="G1573"/>
          <cell r="H1573">
            <v>620</v>
          </cell>
          <cell r="I1573"/>
          <cell r="J1573">
            <v>629</v>
          </cell>
          <cell r="K1573"/>
          <cell r="L1573">
            <v>629</v>
          </cell>
          <cell r="M1573"/>
          <cell r="N1573">
            <v>610</v>
          </cell>
          <cell r="O1573"/>
          <cell r="P1573">
            <v>595</v>
          </cell>
          <cell r="Q1573"/>
          <cell r="R1573">
            <v>620</v>
          </cell>
          <cell r="S1573"/>
          <cell r="T1573">
            <v>620</v>
          </cell>
          <cell r="U1573"/>
          <cell r="V1573">
            <v>629</v>
          </cell>
          <cell r="W1573"/>
          <cell r="X1573">
            <v>610</v>
          </cell>
          <cell r="Y1573"/>
          <cell r="Z1573">
            <v>629</v>
          </cell>
          <cell r="AA1573"/>
          <cell r="AB1573"/>
          <cell r="AC1573"/>
          <cell r="AD1573">
            <v>4.4999999999999998E-2</v>
          </cell>
          <cell r="AE1573"/>
          <cell r="AF1573"/>
          <cell r="AG1573"/>
          <cell r="AH1573"/>
          <cell r="AI1573"/>
          <cell r="AJ1573"/>
          <cell r="AK1573"/>
          <cell r="AL1573"/>
        </row>
        <row r="1574">
          <cell r="E1574" t="str">
            <v>CEE 5.5sq-10C</v>
          </cell>
          <cell r="F1574" t="str">
            <v>ｍ</v>
          </cell>
          <cell r="G1574"/>
          <cell r="H1574">
            <v>982</v>
          </cell>
          <cell r="I1574"/>
          <cell r="J1574">
            <v>997</v>
          </cell>
          <cell r="K1574"/>
          <cell r="L1574">
            <v>997</v>
          </cell>
          <cell r="M1574"/>
          <cell r="N1574">
            <v>966</v>
          </cell>
          <cell r="O1574"/>
          <cell r="P1574">
            <v>943</v>
          </cell>
          <cell r="Q1574"/>
          <cell r="R1574">
            <v>982</v>
          </cell>
          <cell r="S1574"/>
          <cell r="T1574">
            <v>982</v>
          </cell>
          <cell r="U1574"/>
          <cell r="V1574">
            <v>997</v>
          </cell>
          <cell r="W1574"/>
          <cell r="X1574">
            <v>966</v>
          </cell>
          <cell r="Y1574"/>
          <cell r="Z1574">
            <v>997</v>
          </cell>
          <cell r="AA1574"/>
          <cell r="AB1574"/>
          <cell r="AC1574"/>
          <cell r="AD1574">
            <v>5.3999999999999999E-2</v>
          </cell>
          <cell r="AE1574"/>
          <cell r="AF1574"/>
          <cell r="AG1574"/>
          <cell r="AH1574"/>
          <cell r="AI1574"/>
          <cell r="AJ1574"/>
          <cell r="AK1574"/>
          <cell r="AL1574"/>
        </row>
        <row r="1575">
          <cell r="E1575" t="str">
            <v>CEE 8sq-10C</v>
          </cell>
          <cell r="F1575" t="str">
            <v>ｍ</v>
          </cell>
          <cell r="G1575"/>
          <cell r="H1575">
            <v>1309</v>
          </cell>
          <cell r="I1575"/>
          <cell r="J1575">
            <v>1329</v>
          </cell>
          <cell r="K1575"/>
          <cell r="L1575">
            <v>1329</v>
          </cell>
          <cell r="M1575"/>
          <cell r="N1575">
            <v>1288</v>
          </cell>
          <cell r="O1575"/>
          <cell r="P1575">
            <v>1258</v>
          </cell>
          <cell r="Q1575"/>
          <cell r="R1575">
            <v>1309</v>
          </cell>
          <cell r="S1575"/>
          <cell r="T1575">
            <v>1309</v>
          </cell>
          <cell r="U1575"/>
          <cell r="V1575">
            <v>1329</v>
          </cell>
          <cell r="W1575"/>
          <cell r="X1575">
            <v>1288</v>
          </cell>
          <cell r="Y1575"/>
          <cell r="Z1575">
            <v>1329</v>
          </cell>
          <cell r="AA1575"/>
          <cell r="AB1575"/>
          <cell r="AC1575"/>
          <cell r="AD1575">
            <v>6.6000000000000003E-2</v>
          </cell>
          <cell r="AE1575"/>
          <cell r="AF1575"/>
          <cell r="AG1575"/>
          <cell r="AH1575"/>
          <cell r="AI1575"/>
          <cell r="AJ1575"/>
          <cell r="AK1575"/>
          <cell r="AL1575"/>
        </row>
        <row r="1576">
          <cell r="E1576" t="str">
            <v>CEE 1.25sq-12C</v>
          </cell>
          <cell r="F1576" t="str">
            <v>ｍ</v>
          </cell>
          <cell r="G1576"/>
          <cell r="H1576">
            <v>389</v>
          </cell>
          <cell r="I1576"/>
          <cell r="J1576">
            <v>395</v>
          </cell>
          <cell r="K1576"/>
          <cell r="L1576">
            <v>395</v>
          </cell>
          <cell r="M1576"/>
          <cell r="N1576">
            <v>383</v>
          </cell>
          <cell r="O1576"/>
          <cell r="P1576">
            <v>374</v>
          </cell>
          <cell r="Q1576"/>
          <cell r="R1576">
            <v>389</v>
          </cell>
          <cell r="S1576"/>
          <cell r="T1576">
            <v>389</v>
          </cell>
          <cell r="U1576"/>
          <cell r="V1576">
            <v>395</v>
          </cell>
          <cell r="W1576"/>
          <cell r="X1576">
            <v>383</v>
          </cell>
          <cell r="Y1576"/>
          <cell r="Z1576">
            <v>395</v>
          </cell>
          <cell r="AA1576"/>
          <cell r="AB1576"/>
          <cell r="AC1576"/>
          <cell r="AD1576">
            <v>4.2999999999999997E-2</v>
          </cell>
          <cell r="AE1576"/>
          <cell r="AF1576"/>
          <cell r="AG1576"/>
          <cell r="AH1576"/>
          <cell r="AI1576"/>
          <cell r="AJ1576"/>
          <cell r="AK1576"/>
          <cell r="AL1576"/>
        </row>
        <row r="1577">
          <cell r="E1577" t="str">
            <v>CEE 2sq-12C</v>
          </cell>
          <cell r="F1577" t="str">
            <v>ｍ</v>
          </cell>
          <cell r="G1577"/>
          <cell r="H1577">
            <v>505</v>
          </cell>
          <cell r="I1577"/>
          <cell r="J1577">
            <v>514</v>
          </cell>
          <cell r="K1577"/>
          <cell r="L1577">
            <v>514</v>
          </cell>
          <cell r="M1577"/>
          <cell r="N1577">
            <v>498</v>
          </cell>
          <cell r="O1577"/>
          <cell r="P1577">
            <v>486</v>
          </cell>
          <cell r="Q1577"/>
          <cell r="R1577">
            <v>505</v>
          </cell>
          <cell r="S1577"/>
          <cell r="T1577">
            <v>505</v>
          </cell>
          <cell r="U1577"/>
          <cell r="V1577">
            <v>514</v>
          </cell>
          <cell r="W1577"/>
          <cell r="X1577">
            <v>498</v>
          </cell>
          <cell r="Y1577"/>
          <cell r="Z1577">
            <v>514</v>
          </cell>
          <cell r="AA1577"/>
          <cell r="AB1577"/>
          <cell r="AC1577"/>
          <cell r="AD1577">
            <v>4.8000000000000001E-2</v>
          </cell>
          <cell r="AE1577"/>
          <cell r="AF1577"/>
          <cell r="AG1577"/>
          <cell r="AH1577"/>
          <cell r="AI1577"/>
          <cell r="AJ1577"/>
          <cell r="AK1577"/>
          <cell r="AL1577"/>
        </row>
        <row r="1578">
          <cell r="E1578" t="str">
            <v>CEE 3.5sq-12C</v>
          </cell>
          <cell r="F1578" t="str">
            <v>ｍ</v>
          </cell>
          <cell r="G1578"/>
          <cell r="H1578">
            <v>753</v>
          </cell>
          <cell r="I1578"/>
          <cell r="J1578">
            <v>764</v>
          </cell>
          <cell r="K1578"/>
          <cell r="L1578">
            <v>764</v>
          </cell>
          <cell r="M1578"/>
          <cell r="N1578">
            <v>741</v>
          </cell>
          <cell r="O1578"/>
          <cell r="P1578">
            <v>723</v>
          </cell>
          <cell r="Q1578"/>
          <cell r="R1578">
            <v>753</v>
          </cell>
          <cell r="S1578"/>
          <cell r="T1578">
            <v>753</v>
          </cell>
          <cell r="U1578"/>
          <cell r="V1578">
            <v>764</v>
          </cell>
          <cell r="W1578"/>
          <cell r="X1578">
            <v>741</v>
          </cell>
          <cell r="Y1578"/>
          <cell r="Z1578">
            <v>764</v>
          </cell>
          <cell r="AA1578"/>
          <cell r="AB1578"/>
          <cell r="AC1578"/>
          <cell r="AD1578">
            <v>5.2999999999999999E-2</v>
          </cell>
          <cell r="AE1578"/>
          <cell r="AF1578"/>
          <cell r="AG1578"/>
          <cell r="AH1578"/>
          <cell r="AI1578"/>
          <cell r="AJ1578"/>
          <cell r="AK1578"/>
          <cell r="AL1578"/>
        </row>
        <row r="1579">
          <cell r="E1579" t="str">
            <v>CEE 5.5sq-12C</v>
          </cell>
          <cell r="F1579" t="str">
            <v>ｍ</v>
          </cell>
          <cell r="G1579"/>
          <cell r="H1579">
            <v>1137</v>
          </cell>
          <cell r="I1579"/>
          <cell r="J1579">
            <v>1154</v>
          </cell>
          <cell r="K1579"/>
          <cell r="L1579">
            <v>1154</v>
          </cell>
          <cell r="M1579"/>
          <cell r="N1579">
            <v>1119</v>
          </cell>
          <cell r="O1579"/>
          <cell r="P1579">
            <v>1092</v>
          </cell>
          <cell r="Q1579"/>
          <cell r="R1579">
            <v>1137</v>
          </cell>
          <cell r="S1579"/>
          <cell r="T1579">
            <v>1137</v>
          </cell>
          <cell r="U1579"/>
          <cell r="V1579">
            <v>1154</v>
          </cell>
          <cell r="W1579"/>
          <cell r="X1579">
            <v>1119</v>
          </cell>
          <cell r="Y1579"/>
          <cell r="Z1579">
            <v>1154</v>
          </cell>
          <cell r="AA1579"/>
          <cell r="AB1579"/>
          <cell r="AC1579"/>
          <cell r="AD1579">
            <v>6.3E-2</v>
          </cell>
          <cell r="AE1579"/>
          <cell r="AF1579"/>
          <cell r="AG1579"/>
          <cell r="AH1579"/>
          <cell r="AI1579"/>
          <cell r="AJ1579"/>
          <cell r="AK1579"/>
          <cell r="AL1579"/>
        </row>
        <row r="1580">
          <cell r="E1580" t="str">
            <v>CEE 8sq-12C</v>
          </cell>
          <cell r="F1580" t="str">
            <v>ｍ</v>
          </cell>
          <cell r="G1580"/>
          <cell r="H1580">
            <v>1523</v>
          </cell>
          <cell r="I1580"/>
          <cell r="J1580">
            <v>1546</v>
          </cell>
          <cell r="K1580"/>
          <cell r="L1580">
            <v>1546</v>
          </cell>
          <cell r="M1580"/>
          <cell r="N1580">
            <v>1499</v>
          </cell>
          <cell r="O1580"/>
          <cell r="P1580">
            <v>1463</v>
          </cell>
          <cell r="Q1580"/>
          <cell r="R1580">
            <v>1523</v>
          </cell>
          <cell r="S1580"/>
          <cell r="T1580">
            <v>1523</v>
          </cell>
          <cell r="U1580"/>
          <cell r="V1580">
            <v>1546</v>
          </cell>
          <cell r="W1580"/>
          <cell r="X1580">
            <v>1499</v>
          </cell>
          <cell r="Y1580"/>
          <cell r="Z1580">
            <v>1546</v>
          </cell>
          <cell r="AA1580"/>
          <cell r="AB1580"/>
          <cell r="AC1580"/>
          <cell r="AD1580">
            <v>7.6999999999999999E-2</v>
          </cell>
          <cell r="AE1580"/>
          <cell r="AF1580"/>
          <cell r="AG1580"/>
          <cell r="AH1580"/>
          <cell r="AI1580"/>
          <cell r="AJ1580"/>
          <cell r="AK1580"/>
          <cell r="AL1580"/>
        </row>
        <row r="1581">
          <cell r="E1581" t="str">
            <v>CEE 1.25sq-15C</v>
          </cell>
          <cell r="F1581" t="str">
            <v>ｍ</v>
          </cell>
          <cell r="G1581"/>
          <cell r="H1581">
            <v>469</v>
          </cell>
          <cell r="I1581"/>
          <cell r="J1581">
            <v>476</v>
          </cell>
          <cell r="K1581"/>
          <cell r="L1581">
            <v>476</v>
          </cell>
          <cell r="M1581"/>
          <cell r="N1581">
            <v>462</v>
          </cell>
          <cell r="O1581"/>
          <cell r="P1581">
            <v>451</v>
          </cell>
          <cell r="Q1581"/>
          <cell r="R1581">
            <v>469</v>
          </cell>
          <cell r="S1581"/>
          <cell r="T1581">
            <v>469</v>
          </cell>
          <cell r="U1581"/>
          <cell r="V1581">
            <v>476</v>
          </cell>
          <cell r="W1581"/>
          <cell r="X1581">
            <v>462</v>
          </cell>
          <cell r="Y1581"/>
          <cell r="Z1581">
            <v>476</v>
          </cell>
          <cell r="AA1581"/>
          <cell r="AB1581"/>
          <cell r="AC1581"/>
          <cell r="AD1581">
            <v>5.3999999999999999E-2</v>
          </cell>
          <cell r="AE1581"/>
          <cell r="AF1581"/>
          <cell r="AG1581"/>
          <cell r="AH1581"/>
          <cell r="AI1581"/>
          <cell r="AJ1581"/>
          <cell r="AK1581"/>
          <cell r="AL1581"/>
        </row>
        <row r="1582">
          <cell r="E1582" t="str">
            <v>CEE 2sq-15C</v>
          </cell>
          <cell r="F1582" t="str">
            <v>ｍ</v>
          </cell>
          <cell r="G1582"/>
          <cell r="H1582">
            <v>623</v>
          </cell>
          <cell r="I1582"/>
          <cell r="J1582">
            <v>632</v>
          </cell>
          <cell r="K1582"/>
          <cell r="L1582">
            <v>632</v>
          </cell>
          <cell r="M1582"/>
          <cell r="N1582">
            <v>613</v>
          </cell>
          <cell r="O1582"/>
          <cell r="P1582">
            <v>598</v>
          </cell>
          <cell r="Q1582"/>
          <cell r="R1582">
            <v>623</v>
          </cell>
          <cell r="S1582"/>
          <cell r="T1582">
            <v>623</v>
          </cell>
          <cell r="U1582"/>
          <cell r="V1582">
            <v>632</v>
          </cell>
          <cell r="W1582"/>
          <cell r="X1582">
            <v>613</v>
          </cell>
          <cell r="Y1582"/>
          <cell r="Z1582">
            <v>632</v>
          </cell>
          <cell r="AA1582"/>
          <cell r="AB1582"/>
          <cell r="AC1582"/>
          <cell r="AD1582">
            <v>0.06</v>
          </cell>
          <cell r="AE1582"/>
          <cell r="AF1582"/>
          <cell r="AG1582"/>
          <cell r="AH1582"/>
          <cell r="AI1582"/>
          <cell r="AJ1582"/>
          <cell r="AK1582"/>
          <cell r="AL1582"/>
        </row>
        <row r="1583">
          <cell r="E1583" t="str">
            <v>CEE 3.5sq-15C</v>
          </cell>
          <cell r="F1583" t="str">
            <v>ｍ</v>
          </cell>
          <cell r="G1583"/>
          <cell r="H1583">
            <v>886</v>
          </cell>
          <cell r="I1583"/>
          <cell r="J1583">
            <v>900</v>
          </cell>
          <cell r="K1583"/>
          <cell r="L1583">
            <v>900</v>
          </cell>
          <cell r="M1583"/>
          <cell r="N1583">
            <v>872</v>
          </cell>
          <cell r="O1583"/>
          <cell r="P1583">
            <v>851</v>
          </cell>
          <cell r="Q1583"/>
          <cell r="R1583">
            <v>886</v>
          </cell>
          <cell r="S1583"/>
          <cell r="T1583">
            <v>886</v>
          </cell>
          <cell r="U1583"/>
          <cell r="V1583">
            <v>900</v>
          </cell>
          <cell r="W1583"/>
          <cell r="X1583">
            <v>872</v>
          </cell>
          <cell r="Y1583"/>
          <cell r="Z1583">
            <v>900</v>
          </cell>
          <cell r="AA1583"/>
          <cell r="AB1583"/>
          <cell r="AC1583"/>
          <cell r="AD1583">
            <v>6.6000000000000003E-2</v>
          </cell>
          <cell r="AE1583"/>
          <cell r="AF1583"/>
          <cell r="AG1583"/>
          <cell r="AH1583"/>
          <cell r="AI1583"/>
          <cell r="AJ1583"/>
          <cell r="AK1583"/>
          <cell r="AL1583"/>
        </row>
        <row r="1584">
          <cell r="E1584" t="str">
            <v>CEE 5.5sq-15C</v>
          </cell>
          <cell r="F1584" t="str">
            <v>ｍ</v>
          </cell>
          <cell r="G1584"/>
          <cell r="H1584">
            <v>1382</v>
          </cell>
          <cell r="I1584"/>
          <cell r="J1584">
            <v>1404</v>
          </cell>
          <cell r="K1584"/>
          <cell r="L1584">
            <v>1404</v>
          </cell>
          <cell r="M1584"/>
          <cell r="N1584">
            <v>1361</v>
          </cell>
          <cell r="O1584"/>
          <cell r="P1584">
            <v>1328</v>
          </cell>
          <cell r="Q1584"/>
          <cell r="R1584">
            <v>1382</v>
          </cell>
          <cell r="S1584"/>
          <cell r="T1584">
            <v>1382</v>
          </cell>
          <cell r="U1584"/>
          <cell r="V1584">
            <v>1404</v>
          </cell>
          <cell r="W1584"/>
          <cell r="X1584">
            <v>1361</v>
          </cell>
          <cell r="Y1584"/>
          <cell r="Z1584">
            <v>1404</v>
          </cell>
          <cell r="AA1584"/>
          <cell r="AB1584"/>
          <cell r="AC1584"/>
          <cell r="AD1584">
            <v>7.8E-2</v>
          </cell>
          <cell r="AE1584"/>
          <cell r="AF1584"/>
          <cell r="AG1584"/>
          <cell r="AH1584"/>
          <cell r="AI1584"/>
          <cell r="AJ1584"/>
          <cell r="AK1584"/>
          <cell r="AL1584"/>
        </row>
        <row r="1585">
          <cell r="E1585" t="str">
            <v>CEE 1.25sq-20C</v>
          </cell>
          <cell r="F1585" t="str">
            <v>ｍ</v>
          </cell>
          <cell r="G1585"/>
          <cell r="H1585">
            <v>608</v>
          </cell>
          <cell r="I1585"/>
          <cell r="J1585">
            <v>618</v>
          </cell>
          <cell r="K1585"/>
          <cell r="L1585">
            <v>618</v>
          </cell>
          <cell r="M1585"/>
          <cell r="N1585">
            <v>599</v>
          </cell>
          <cell r="O1585"/>
          <cell r="P1585">
            <v>584</v>
          </cell>
          <cell r="Q1585"/>
          <cell r="R1585">
            <v>608</v>
          </cell>
          <cell r="S1585"/>
          <cell r="T1585">
            <v>608</v>
          </cell>
          <cell r="U1585"/>
          <cell r="V1585">
            <v>618</v>
          </cell>
          <cell r="W1585"/>
          <cell r="X1585">
            <v>599</v>
          </cell>
          <cell r="Y1585"/>
          <cell r="Z1585">
            <v>618</v>
          </cell>
          <cell r="AA1585"/>
          <cell r="AB1585"/>
          <cell r="AC1585"/>
          <cell r="AD1585">
            <v>6.3E-2</v>
          </cell>
          <cell r="AE1585"/>
          <cell r="AF1585"/>
          <cell r="AG1585"/>
          <cell r="AH1585"/>
          <cell r="AI1585"/>
          <cell r="AJ1585"/>
          <cell r="AK1585"/>
          <cell r="AL1585"/>
        </row>
        <row r="1586">
          <cell r="E1586" t="str">
            <v>CEE 2sq-20C</v>
          </cell>
          <cell r="F1586" t="str">
            <v>ｍ</v>
          </cell>
          <cell r="G1586"/>
          <cell r="H1586">
            <v>811</v>
          </cell>
          <cell r="I1586"/>
          <cell r="J1586">
            <v>824</v>
          </cell>
          <cell r="K1586"/>
          <cell r="L1586">
            <v>824</v>
          </cell>
          <cell r="M1586"/>
          <cell r="N1586">
            <v>798</v>
          </cell>
          <cell r="O1586"/>
          <cell r="P1586">
            <v>779</v>
          </cell>
          <cell r="Q1586"/>
          <cell r="R1586">
            <v>811</v>
          </cell>
          <cell r="S1586"/>
          <cell r="T1586">
            <v>811</v>
          </cell>
          <cell r="U1586"/>
          <cell r="V1586">
            <v>824</v>
          </cell>
          <cell r="W1586"/>
          <cell r="X1586">
            <v>798</v>
          </cell>
          <cell r="Y1586"/>
          <cell r="Z1586">
            <v>824</v>
          </cell>
          <cell r="AA1586"/>
          <cell r="AB1586"/>
          <cell r="AC1586"/>
          <cell r="AD1586">
            <v>7.0000000000000007E-2</v>
          </cell>
          <cell r="AE1586"/>
          <cell r="AF1586"/>
          <cell r="AG1586"/>
          <cell r="AH1586"/>
          <cell r="AI1586"/>
          <cell r="AJ1586"/>
          <cell r="AK1586"/>
          <cell r="AL1586"/>
        </row>
        <row r="1587">
          <cell r="E1587" t="str">
            <v>CEE 3.5sq-20C</v>
          </cell>
          <cell r="F1587" t="str">
            <v>ｍ</v>
          </cell>
          <cell r="G1587"/>
          <cell r="H1587">
            <v>1213</v>
          </cell>
          <cell r="I1587"/>
          <cell r="J1587">
            <v>1232</v>
          </cell>
          <cell r="K1587"/>
          <cell r="L1587">
            <v>1232</v>
          </cell>
          <cell r="M1587"/>
          <cell r="N1587">
            <v>1194</v>
          </cell>
          <cell r="O1587"/>
          <cell r="P1587">
            <v>1166</v>
          </cell>
          <cell r="Q1587"/>
          <cell r="R1587">
            <v>1213</v>
          </cell>
          <cell r="S1587"/>
          <cell r="T1587">
            <v>1213</v>
          </cell>
          <cell r="U1587"/>
          <cell r="V1587">
            <v>1232</v>
          </cell>
          <cell r="W1587"/>
          <cell r="X1587">
            <v>1194</v>
          </cell>
          <cell r="Y1587"/>
          <cell r="Z1587">
            <v>1232</v>
          </cell>
          <cell r="AA1587"/>
          <cell r="AB1587"/>
          <cell r="AC1587"/>
          <cell r="AD1587">
            <v>7.6999999999999999E-2</v>
          </cell>
          <cell r="AE1587"/>
          <cell r="AF1587"/>
          <cell r="AG1587"/>
          <cell r="AH1587"/>
          <cell r="AI1587"/>
          <cell r="AJ1587"/>
          <cell r="AK1587"/>
          <cell r="AL1587"/>
        </row>
        <row r="1588">
          <cell r="E1588" t="str">
            <v>CEE 5.5sq-20C</v>
          </cell>
          <cell r="F1588" t="str">
            <v>ｍ</v>
          </cell>
          <cell r="G1588"/>
          <cell r="H1588">
            <v>1830</v>
          </cell>
          <cell r="I1588"/>
          <cell r="J1588">
            <v>1858</v>
          </cell>
          <cell r="K1588"/>
          <cell r="L1588">
            <v>1858</v>
          </cell>
          <cell r="M1588"/>
          <cell r="N1588">
            <v>1801</v>
          </cell>
          <cell r="O1588"/>
          <cell r="P1588">
            <v>1758</v>
          </cell>
          <cell r="Q1588"/>
          <cell r="R1588">
            <v>1830</v>
          </cell>
          <cell r="S1588"/>
          <cell r="T1588">
            <v>1830</v>
          </cell>
          <cell r="U1588"/>
          <cell r="V1588">
            <v>1858</v>
          </cell>
          <cell r="W1588"/>
          <cell r="X1588">
            <v>1801</v>
          </cell>
          <cell r="Y1588"/>
          <cell r="Z1588">
            <v>1858</v>
          </cell>
          <cell r="AA1588"/>
          <cell r="AB1588"/>
          <cell r="AC1588"/>
          <cell r="AD1588">
            <v>9.0999999999999998E-2</v>
          </cell>
          <cell r="AE1588"/>
          <cell r="AF1588"/>
          <cell r="AG1588"/>
          <cell r="AH1588"/>
          <cell r="AI1588"/>
          <cell r="AJ1588"/>
          <cell r="AK1588"/>
          <cell r="AL1588"/>
        </row>
        <row r="1589">
          <cell r="E1589" t="str">
            <v>CEE 1.25sq-30C</v>
          </cell>
          <cell r="F1589" t="str">
            <v>ｍ</v>
          </cell>
          <cell r="G1589"/>
          <cell r="H1589">
            <v>862</v>
          </cell>
          <cell r="I1589"/>
          <cell r="J1589">
            <v>876</v>
          </cell>
          <cell r="K1589"/>
          <cell r="L1589">
            <v>876</v>
          </cell>
          <cell r="M1589"/>
          <cell r="N1589">
            <v>849</v>
          </cell>
          <cell r="O1589"/>
          <cell r="P1589">
            <v>828</v>
          </cell>
          <cell r="Q1589"/>
          <cell r="R1589">
            <v>862</v>
          </cell>
          <cell r="S1589"/>
          <cell r="T1589">
            <v>862</v>
          </cell>
          <cell r="U1589"/>
          <cell r="V1589">
            <v>876</v>
          </cell>
          <cell r="W1589"/>
          <cell r="X1589">
            <v>849</v>
          </cell>
          <cell r="Y1589"/>
          <cell r="Z1589">
            <v>876</v>
          </cell>
          <cell r="AA1589"/>
          <cell r="AB1589"/>
          <cell r="AC1589"/>
          <cell r="AD1589">
            <v>7.4999999999999997E-2</v>
          </cell>
          <cell r="AE1589"/>
          <cell r="AF1589"/>
          <cell r="AG1589"/>
          <cell r="AH1589"/>
          <cell r="AI1589"/>
          <cell r="AJ1589"/>
          <cell r="AK1589"/>
          <cell r="AL1589"/>
        </row>
        <row r="1590">
          <cell r="E1590" t="str">
            <v>CEE 2sq-30C</v>
          </cell>
          <cell r="F1590" t="str">
            <v>ｍ</v>
          </cell>
          <cell r="G1590"/>
          <cell r="H1590">
            <v>1178</v>
          </cell>
          <cell r="I1590"/>
          <cell r="J1590">
            <v>1196</v>
          </cell>
          <cell r="K1590"/>
          <cell r="L1590">
            <v>1196</v>
          </cell>
          <cell r="M1590"/>
          <cell r="N1590">
            <v>1159</v>
          </cell>
          <cell r="O1590"/>
          <cell r="P1590">
            <v>1132</v>
          </cell>
          <cell r="Q1590"/>
          <cell r="R1590">
            <v>1178</v>
          </cell>
          <cell r="S1590"/>
          <cell r="T1590">
            <v>1178</v>
          </cell>
          <cell r="U1590"/>
          <cell r="V1590">
            <v>1196</v>
          </cell>
          <cell r="W1590"/>
          <cell r="X1590">
            <v>1159</v>
          </cell>
          <cell r="Y1590"/>
          <cell r="Z1590">
            <v>1196</v>
          </cell>
          <cell r="AA1590"/>
          <cell r="AB1590"/>
          <cell r="AC1590"/>
          <cell r="AD1590">
            <v>8.3000000000000004E-2</v>
          </cell>
          <cell r="AE1590"/>
          <cell r="AF1590"/>
          <cell r="AG1590"/>
          <cell r="AH1590"/>
          <cell r="AI1590"/>
          <cell r="AJ1590"/>
          <cell r="AK1590"/>
          <cell r="AL1590"/>
        </row>
        <row r="1591">
          <cell r="E1591" t="str">
            <v>CEE 3.5sq-30C</v>
          </cell>
          <cell r="F1591" t="str">
            <v>ｍ</v>
          </cell>
          <cell r="G1591"/>
          <cell r="H1591">
            <v>1901</v>
          </cell>
          <cell r="I1591"/>
          <cell r="J1591">
            <v>1931</v>
          </cell>
          <cell r="K1591"/>
          <cell r="L1591">
            <v>1931</v>
          </cell>
          <cell r="M1591"/>
          <cell r="N1591">
            <v>1872</v>
          </cell>
          <cell r="O1591"/>
          <cell r="P1591">
            <v>1827</v>
          </cell>
          <cell r="Q1591"/>
          <cell r="R1591">
            <v>1901</v>
          </cell>
          <cell r="S1591"/>
          <cell r="T1591">
            <v>1901</v>
          </cell>
          <cell r="U1591"/>
          <cell r="V1591">
            <v>1931</v>
          </cell>
          <cell r="W1591"/>
          <cell r="X1591">
            <v>1872</v>
          </cell>
          <cell r="Y1591"/>
          <cell r="Z1591">
            <v>1931</v>
          </cell>
          <cell r="AA1591"/>
          <cell r="AB1591"/>
          <cell r="AC1591"/>
          <cell r="AD1591">
            <v>9.0999999999999998E-2</v>
          </cell>
          <cell r="AE1591"/>
          <cell r="AF1591"/>
          <cell r="AG1591"/>
          <cell r="AH1591"/>
          <cell r="AI1591"/>
          <cell r="AJ1591"/>
          <cell r="AK1591"/>
          <cell r="AL1591"/>
        </row>
        <row r="1592">
          <cell r="E1592" t="str">
            <v>CVVS 1.25sq-2C</v>
          </cell>
          <cell r="F1592" t="str">
            <v>ｍ</v>
          </cell>
          <cell r="G1592"/>
          <cell r="H1592">
            <v>127</v>
          </cell>
          <cell r="I1592"/>
          <cell r="J1592">
            <v>127</v>
          </cell>
          <cell r="K1592"/>
          <cell r="L1592">
            <v>127</v>
          </cell>
          <cell r="M1592"/>
          <cell r="N1592">
            <v>127</v>
          </cell>
          <cell r="O1592"/>
          <cell r="P1592">
            <v>127</v>
          </cell>
          <cell r="Q1592"/>
          <cell r="R1592">
            <v>127</v>
          </cell>
          <cell r="S1592"/>
          <cell r="T1592">
            <v>127</v>
          </cell>
          <cell r="U1592"/>
          <cell r="V1592">
            <v>127</v>
          </cell>
          <cell r="W1592"/>
          <cell r="X1592">
            <v>127</v>
          </cell>
          <cell r="Y1592"/>
          <cell r="Z1592">
            <v>127</v>
          </cell>
          <cell r="AA1592"/>
          <cell r="AB1592"/>
          <cell r="AC1592"/>
          <cell r="AD1592">
            <v>1.4999999999999999E-2</v>
          </cell>
          <cell r="AE1592"/>
          <cell r="AF1592"/>
          <cell r="AG1592"/>
          <cell r="AH1592"/>
          <cell r="AI1592"/>
          <cell r="AJ1592"/>
          <cell r="AK1592"/>
          <cell r="AL1592"/>
        </row>
        <row r="1593">
          <cell r="E1593" t="str">
            <v>CVVS 2sq-2C</v>
          </cell>
          <cell r="F1593" t="str">
            <v>ｍ</v>
          </cell>
          <cell r="G1593"/>
          <cell r="H1593">
            <v>153</v>
          </cell>
          <cell r="I1593"/>
          <cell r="J1593">
            <v>153</v>
          </cell>
          <cell r="K1593"/>
          <cell r="L1593">
            <v>153</v>
          </cell>
          <cell r="M1593"/>
          <cell r="N1593">
            <v>153</v>
          </cell>
          <cell r="O1593"/>
          <cell r="P1593">
            <v>153</v>
          </cell>
          <cell r="Q1593"/>
          <cell r="R1593">
            <v>153</v>
          </cell>
          <cell r="S1593"/>
          <cell r="T1593">
            <v>153</v>
          </cell>
          <cell r="U1593"/>
          <cell r="V1593">
            <v>153</v>
          </cell>
          <cell r="W1593"/>
          <cell r="X1593">
            <v>153</v>
          </cell>
          <cell r="Y1593"/>
          <cell r="Z1593">
            <v>153</v>
          </cell>
          <cell r="AA1593"/>
          <cell r="AB1593"/>
          <cell r="AC1593"/>
          <cell r="AD1593">
            <v>1.7000000000000001E-2</v>
          </cell>
          <cell r="AE1593"/>
          <cell r="AF1593"/>
          <cell r="AG1593"/>
          <cell r="AH1593"/>
          <cell r="AI1593"/>
          <cell r="AJ1593"/>
          <cell r="AK1593"/>
          <cell r="AL1593"/>
        </row>
        <row r="1594">
          <cell r="E1594" t="str">
            <v>CVVS 3.5sq-2C</v>
          </cell>
          <cell r="F1594" t="str">
            <v>ｍ</v>
          </cell>
          <cell r="G1594"/>
          <cell r="H1594">
            <v>193</v>
          </cell>
          <cell r="I1594"/>
          <cell r="J1594">
            <v>193</v>
          </cell>
          <cell r="K1594"/>
          <cell r="L1594">
            <v>193</v>
          </cell>
          <cell r="M1594"/>
          <cell r="N1594">
            <v>193</v>
          </cell>
          <cell r="O1594"/>
          <cell r="P1594">
            <v>193</v>
          </cell>
          <cell r="Q1594"/>
          <cell r="R1594">
            <v>193</v>
          </cell>
          <cell r="S1594"/>
          <cell r="T1594">
            <v>193</v>
          </cell>
          <cell r="U1594"/>
          <cell r="V1594">
            <v>193</v>
          </cell>
          <cell r="W1594"/>
          <cell r="X1594">
            <v>193</v>
          </cell>
          <cell r="Y1594"/>
          <cell r="Z1594">
            <v>193</v>
          </cell>
          <cell r="AA1594"/>
          <cell r="AB1594"/>
          <cell r="AC1594"/>
          <cell r="AD1594">
            <v>1.7999999999999999E-2</v>
          </cell>
          <cell r="AE1594"/>
          <cell r="AF1594"/>
          <cell r="AG1594"/>
          <cell r="AH1594"/>
          <cell r="AI1594"/>
          <cell r="AJ1594"/>
          <cell r="AK1594"/>
          <cell r="AL1594"/>
        </row>
        <row r="1595">
          <cell r="E1595" t="str">
            <v>CVVS 5.5sq-2C</v>
          </cell>
          <cell r="F1595" t="str">
            <v>ｍ</v>
          </cell>
          <cell r="G1595"/>
          <cell r="H1595">
            <v>253</v>
          </cell>
          <cell r="I1595"/>
          <cell r="J1595">
            <v>253</v>
          </cell>
          <cell r="K1595"/>
          <cell r="L1595">
            <v>253</v>
          </cell>
          <cell r="M1595"/>
          <cell r="N1595">
            <v>253</v>
          </cell>
          <cell r="O1595"/>
          <cell r="P1595">
            <v>253</v>
          </cell>
          <cell r="Q1595"/>
          <cell r="R1595">
            <v>253</v>
          </cell>
          <cell r="S1595"/>
          <cell r="T1595">
            <v>253</v>
          </cell>
          <cell r="U1595"/>
          <cell r="V1595">
            <v>253</v>
          </cell>
          <cell r="W1595"/>
          <cell r="X1595">
            <v>253</v>
          </cell>
          <cell r="Y1595"/>
          <cell r="Z1595">
            <v>253</v>
          </cell>
          <cell r="AA1595"/>
          <cell r="AB1595"/>
          <cell r="AC1595"/>
          <cell r="AD1595">
            <v>2.1000000000000001E-2</v>
          </cell>
          <cell r="AE1595"/>
          <cell r="AF1595"/>
          <cell r="AG1595"/>
          <cell r="AH1595"/>
          <cell r="AI1595"/>
          <cell r="AJ1595"/>
          <cell r="AK1595"/>
          <cell r="AL1595"/>
        </row>
        <row r="1596">
          <cell r="E1596" t="str">
            <v>CVVS 1.25sq-3C</v>
          </cell>
          <cell r="F1596" t="str">
            <v>ｍ</v>
          </cell>
          <cell r="G1596"/>
          <cell r="H1596">
            <v>153</v>
          </cell>
          <cell r="I1596"/>
          <cell r="J1596">
            <v>153</v>
          </cell>
          <cell r="K1596"/>
          <cell r="L1596">
            <v>153</v>
          </cell>
          <cell r="M1596"/>
          <cell r="N1596">
            <v>153</v>
          </cell>
          <cell r="O1596"/>
          <cell r="P1596">
            <v>153</v>
          </cell>
          <cell r="Q1596"/>
          <cell r="R1596">
            <v>153</v>
          </cell>
          <cell r="S1596"/>
          <cell r="T1596">
            <v>153</v>
          </cell>
          <cell r="U1596"/>
          <cell r="V1596">
            <v>153</v>
          </cell>
          <cell r="W1596"/>
          <cell r="X1596">
            <v>153</v>
          </cell>
          <cell r="Y1596"/>
          <cell r="Z1596">
            <v>153</v>
          </cell>
          <cell r="AA1596"/>
          <cell r="AB1596"/>
          <cell r="AC1596"/>
          <cell r="AD1596">
            <v>1.9E-2</v>
          </cell>
          <cell r="AE1596"/>
          <cell r="AF1596"/>
          <cell r="AG1596"/>
          <cell r="AH1596"/>
          <cell r="AI1596"/>
          <cell r="AJ1596"/>
          <cell r="AK1596"/>
          <cell r="AL1596"/>
        </row>
        <row r="1597">
          <cell r="E1597" t="str">
            <v>CVVS 2sq-3C</v>
          </cell>
          <cell r="F1597" t="str">
            <v>ｍ</v>
          </cell>
          <cell r="G1597"/>
          <cell r="H1597">
            <v>183</v>
          </cell>
          <cell r="I1597"/>
          <cell r="J1597">
            <v>183</v>
          </cell>
          <cell r="K1597"/>
          <cell r="L1597">
            <v>183</v>
          </cell>
          <cell r="M1597"/>
          <cell r="N1597">
            <v>183</v>
          </cell>
          <cell r="O1597"/>
          <cell r="P1597">
            <v>183</v>
          </cell>
          <cell r="Q1597"/>
          <cell r="R1597">
            <v>183</v>
          </cell>
          <cell r="S1597"/>
          <cell r="T1597">
            <v>183</v>
          </cell>
          <cell r="U1597"/>
          <cell r="V1597">
            <v>183</v>
          </cell>
          <cell r="W1597"/>
          <cell r="X1597">
            <v>183</v>
          </cell>
          <cell r="Y1597"/>
          <cell r="Z1597">
            <v>183</v>
          </cell>
          <cell r="AA1597"/>
          <cell r="AB1597"/>
          <cell r="AC1597"/>
          <cell r="AD1597">
            <v>2.1000000000000001E-2</v>
          </cell>
          <cell r="AE1597"/>
          <cell r="AF1597"/>
          <cell r="AG1597"/>
          <cell r="AH1597"/>
          <cell r="AI1597"/>
          <cell r="AJ1597"/>
          <cell r="AK1597"/>
          <cell r="AL1597"/>
        </row>
        <row r="1598">
          <cell r="E1598" t="str">
            <v>CVVS 3.5sq-3C</v>
          </cell>
          <cell r="F1598" t="str">
            <v>ｍ</v>
          </cell>
          <cell r="G1598"/>
          <cell r="H1598">
            <v>246</v>
          </cell>
          <cell r="I1598"/>
          <cell r="J1598">
            <v>246</v>
          </cell>
          <cell r="K1598"/>
          <cell r="L1598">
            <v>246</v>
          </cell>
          <cell r="M1598"/>
          <cell r="N1598">
            <v>246</v>
          </cell>
          <cell r="O1598"/>
          <cell r="P1598">
            <v>246</v>
          </cell>
          <cell r="Q1598"/>
          <cell r="R1598">
            <v>246</v>
          </cell>
          <cell r="S1598"/>
          <cell r="T1598">
            <v>246</v>
          </cell>
          <cell r="U1598"/>
          <cell r="V1598">
            <v>246</v>
          </cell>
          <cell r="W1598"/>
          <cell r="X1598">
            <v>246</v>
          </cell>
          <cell r="Y1598"/>
          <cell r="Z1598">
            <v>246</v>
          </cell>
          <cell r="AA1598"/>
          <cell r="AB1598"/>
          <cell r="AC1598"/>
          <cell r="AD1598">
            <v>2.4E-2</v>
          </cell>
          <cell r="AE1598"/>
          <cell r="AF1598"/>
          <cell r="AG1598"/>
          <cell r="AH1598"/>
          <cell r="AI1598"/>
          <cell r="AJ1598"/>
          <cell r="AK1598"/>
          <cell r="AL1598"/>
        </row>
        <row r="1599">
          <cell r="E1599" t="str">
            <v>CVVS 5.5sq-3C</v>
          </cell>
          <cell r="F1599" t="str">
            <v>ｍ</v>
          </cell>
          <cell r="G1599"/>
          <cell r="H1599">
            <v>326</v>
          </cell>
          <cell r="I1599"/>
          <cell r="J1599">
            <v>326</v>
          </cell>
          <cell r="K1599"/>
          <cell r="L1599">
            <v>326</v>
          </cell>
          <cell r="M1599"/>
          <cell r="N1599">
            <v>326</v>
          </cell>
          <cell r="O1599"/>
          <cell r="P1599">
            <v>326</v>
          </cell>
          <cell r="Q1599"/>
          <cell r="R1599">
            <v>326</v>
          </cell>
          <cell r="S1599"/>
          <cell r="T1599">
            <v>326</v>
          </cell>
          <cell r="U1599"/>
          <cell r="V1599">
            <v>326</v>
          </cell>
          <cell r="W1599"/>
          <cell r="X1599">
            <v>326</v>
          </cell>
          <cell r="Y1599"/>
          <cell r="Z1599">
            <v>326</v>
          </cell>
          <cell r="AA1599"/>
          <cell r="AB1599"/>
          <cell r="AC1599"/>
          <cell r="AD1599">
            <v>0.03</v>
          </cell>
          <cell r="AE1599"/>
          <cell r="AF1599"/>
          <cell r="AG1599"/>
          <cell r="AH1599"/>
          <cell r="AI1599"/>
          <cell r="AJ1599"/>
          <cell r="AK1599"/>
          <cell r="AL1599"/>
        </row>
        <row r="1600">
          <cell r="E1600" t="str">
            <v>CVVS 1.25sq-4C</v>
          </cell>
          <cell r="F1600" t="str">
            <v>ｍ</v>
          </cell>
          <cell r="G1600"/>
          <cell r="H1600">
            <v>181</v>
          </cell>
          <cell r="I1600"/>
          <cell r="J1600">
            <v>181</v>
          </cell>
          <cell r="K1600"/>
          <cell r="L1600">
            <v>181</v>
          </cell>
          <cell r="M1600"/>
          <cell r="N1600">
            <v>181</v>
          </cell>
          <cell r="O1600"/>
          <cell r="P1600">
            <v>181</v>
          </cell>
          <cell r="Q1600"/>
          <cell r="R1600">
            <v>181</v>
          </cell>
          <cell r="S1600"/>
          <cell r="T1600">
            <v>181</v>
          </cell>
          <cell r="U1600"/>
          <cell r="V1600">
            <v>181</v>
          </cell>
          <cell r="W1600"/>
          <cell r="X1600">
            <v>181</v>
          </cell>
          <cell r="Y1600"/>
          <cell r="Z1600">
            <v>181</v>
          </cell>
          <cell r="AA1600"/>
          <cell r="AB1600"/>
          <cell r="AC1600"/>
          <cell r="AD1600">
            <v>2.1999999999999999E-2</v>
          </cell>
          <cell r="AE1600"/>
          <cell r="AF1600"/>
          <cell r="AG1600"/>
          <cell r="AH1600"/>
          <cell r="AI1600"/>
          <cell r="AJ1600"/>
          <cell r="AK1600"/>
          <cell r="AL1600"/>
        </row>
        <row r="1601">
          <cell r="E1601" t="str">
            <v>CVVS 2sq-4C</v>
          </cell>
          <cell r="F1601" t="str">
            <v>ｍ</v>
          </cell>
          <cell r="G1601"/>
          <cell r="H1601">
            <v>225</v>
          </cell>
          <cell r="I1601"/>
          <cell r="J1601">
            <v>225</v>
          </cell>
          <cell r="K1601"/>
          <cell r="L1601">
            <v>225</v>
          </cell>
          <cell r="M1601"/>
          <cell r="N1601">
            <v>225</v>
          </cell>
          <cell r="O1601"/>
          <cell r="P1601">
            <v>225</v>
          </cell>
          <cell r="Q1601"/>
          <cell r="R1601">
            <v>225</v>
          </cell>
          <cell r="S1601"/>
          <cell r="T1601">
            <v>225</v>
          </cell>
          <cell r="U1601"/>
          <cell r="V1601">
            <v>225</v>
          </cell>
          <cell r="W1601"/>
          <cell r="X1601">
            <v>225</v>
          </cell>
          <cell r="Y1601"/>
          <cell r="Z1601">
            <v>225</v>
          </cell>
          <cell r="AA1601"/>
          <cell r="AB1601"/>
          <cell r="AC1601"/>
          <cell r="AD1601">
            <v>2.3E-2</v>
          </cell>
          <cell r="AE1601"/>
          <cell r="AF1601"/>
          <cell r="AG1601"/>
          <cell r="AH1601"/>
          <cell r="AI1601"/>
          <cell r="AJ1601"/>
          <cell r="AK1601"/>
          <cell r="AL1601"/>
        </row>
        <row r="1602">
          <cell r="E1602" t="str">
            <v>CVVS 3.5sq-4C</v>
          </cell>
          <cell r="F1602" t="str">
            <v>ｍ</v>
          </cell>
          <cell r="G1602"/>
          <cell r="H1602">
            <v>302</v>
          </cell>
          <cell r="I1602"/>
          <cell r="J1602">
            <v>302</v>
          </cell>
          <cell r="K1602"/>
          <cell r="L1602">
            <v>302</v>
          </cell>
          <cell r="M1602"/>
          <cell r="N1602">
            <v>302</v>
          </cell>
          <cell r="O1602"/>
          <cell r="P1602">
            <v>302</v>
          </cell>
          <cell r="Q1602"/>
          <cell r="R1602">
            <v>302</v>
          </cell>
          <cell r="S1602"/>
          <cell r="T1602">
            <v>302</v>
          </cell>
          <cell r="U1602"/>
          <cell r="V1602">
            <v>302</v>
          </cell>
          <cell r="W1602"/>
          <cell r="X1602">
            <v>302</v>
          </cell>
          <cell r="Y1602"/>
          <cell r="Z1602">
            <v>302</v>
          </cell>
          <cell r="AA1602"/>
          <cell r="AB1602"/>
          <cell r="AC1602"/>
          <cell r="AD1602">
            <v>2.8000000000000001E-2</v>
          </cell>
          <cell r="AE1602"/>
          <cell r="AF1602"/>
          <cell r="AG1602"/>
          <cell r="AH1602"/>
          <cell r="AI1602"/>
          <cell r="AJ1602"/>
          <cell r="AK1602"/>
          <cell r="AL1602"/>
        </row>
        <row r="1603">
          <cell r="E1603" t="str">
            <v>CVVS 5.5sq-4C</v>
          </cell>
          <cell r="F1603" t="str">
            <v>ｍ</v>
          </cell>
          <cell r="G1603"/>
          <cell r="H1603">
            <v>409</v>
          </cell>
          <cell r="I1603"/>
          <cell r="J1603">
            <v>409</v>
          </cell>
          <cell r="K1603"/>
          <cell r="L1603">
            <v>409</v>
          </cell>
          <cell r="M1603"/>
          <cell r="N1603">
            <v>409</v>
          </cell>
          <cell r="O1603"/>
          <cell r="P1603">
            <v>409</v>
          </cell>
          <cell r="Q1603"/>
          <cell r="R1603">
            <v>409</v>
          </cell>
          <cell r="S1603"/>
          <cell r="T1603">
            <v>409</v>
          </cell>
          <cell r="U1603"/>
          <cell r="V1603">
            <v>409</v>
          </cell>
          <cell r="W1603"/>
          <cell r="X1603">
            <v>409</v>
          </cell>
          <cell r="Y1603"/>
          <cell r="Z1603">
            <v>409</v>
          </cell>
          <cell r="AA1603"/>
          <cell r="AB1603"/>
          <cell r="AC1603"/>
          <cell r="AD1603">
            <v>3.4000000000000002E-2</v>
          </cell>
          <cell r="AE1603"/>
          <cell r="AF1603"/>
          <cell r="AG1603"/>
          <cell r="AH1603"/>
          <cell r="AI1603"/>
          <cell r="AJ1603"/>
          <cell r="AK1603"/>
          <cell r="AL1603"/>
        </row>
        <row r="1604">
          <cell r="E1604" t="str">
            <v>CVVS 1.25sq-5C</v>
          </cell>
          <cell r="F1604" t="str">
            <v>ｍ</v>
          </cell>
          <cell r="G1604"/>
          <cell r="H1604">
            <v>199</v>
          </cell>
          <cell r="I1604"/>
          <cell r="J1604">
            <v>199</v>
          </cell>
          <cell r="K1604"/>
          <cell r="L1604">
            <v>199</v>
          </cell>
          <cell r="M1604"/>
          <cell r="N1604">
            <v>199</v>
          </cell>
          <cell r="O1604"/>
          <cell r="P1604">
            <v>199</v>
          </cell>
          <cell r="Q1604"/>
          <cell r="R1604">
            <v>199</v>
          </cell>
          <cell r="S1604"/>
          <cell r="T1604">
            <v>199</v>
          </cell>
          <cell r="U1604"/>
          <cell r="V1604">
            <v>199</v>
          </cell>
          <cell r="W1604"/>
          <cell r="X1604">
            <v>199</v>
          </cell>
          <cell r="Y1604"/>
          <cell r="Z1604">
            <v>199</v>
          </cell>
          <cell r="AA1604"/>
          <cell r="AB1604"/>
          <cell r="AC1604"/>
          <cell r="AD1604">
            <v>2.5000000000000001E-2</v>
          </cell>
          <cell r="AE1604"/>
          <cell r="AF1604"/>
          <cell r="AG1604"/>
          <cell r="AH1604"/>
          <cell r="AI1604"/>
          <cell r="AJ1604"/>
          <cell r="AK1604"/>
          <cell r="AL1604"/>
        </row>
        <row r="1605">
          <cell r="E1605" t="str">
            <v>CVVS 2sq-5C</v>
          </cell>
          <cell r="F1605" t="str">
            <v>ｍ</v>
          </cell>
          <cell r="G1605"/>
          <cell r="H1605">
            <v>252</v>
          </cell>
          <cell r="I1605"/>
          <cell r="J1605">
            <v>252</v>
          </cell>
          <cell r="K1605"/>
          <cell r="L1605">
            <v>252</v>
          </cell>
          <cell r="M1605"/>
          <cell r="N1605">
            <v>252</v>
          </cell>
          <cell r="O1605"/>
          <cell r="P1605">
            <v>252</v>
          </cell>
          <cell r="Q1605"/>
          <cell r="R1605">
            <v>252</v>
          </cell>
          <cell r="S1605"/>
          <cell r="T1605">
            <v>252</v>
          </cell>
          <cell r="U1605"/>
          <cell r="V1605">
            <v>252</v>
          </cell>
          <cell r="W1605"/>
          <cell r="X1605">
            <v>252</v>
          </cell>
          <cell r="Y1605"/>
          <cell r="Z1605">
            <v>252</v>
          </cell>
          <cell r="AA1605"/>
          <cell r="AB1605"/>
          <cell r="AC1605"/>
          <cell r="AD1605">
            <v>2.8000000000000001E-2</v>
          </cell>
          <cell r="AE1605"/>
          <cell r="AF1605"/>
          <cell r="AG1605"/>
          <cell r="AH1605"/>
          <cell r="AI1605"/>
          <cell r="AJ1605"/>
          <cell r="AK1605"/>
          <cell r="AL1605"/>
        </row>
        <row r="1606">
          <cell r="E1606" t="str">
            <v>CVVS 3.5sq-5C</v>
          </cell>
          <cell r="F1606" t="str">
            <v>ｍ</v>
          </cell>
          <cell r="G1606"/>
          <cell r="H1606">
            <v>347</v>
          </cell>
          <cell r="I1606"/>
          <cell r="J1606">
            <v>347</v>
          </cell>
          <cell r="K1606"/>
          <cell r="L1606">
            <v>347</v>
          </cell>
          <cell r="M1606"/>
          <cell r="N1606">
            <v>347</v>
          </cell>
          <cell r="O1606"/>
          <cell r="P1606">
            <v>347</v>
          </cell>
          <cell r="Q1606"/>
          <cell r="R1606">
            <v>347</v>
          </cell>
          <cell r="S1606"/>
          <cell r="T1606">
            <v>347</v>
          </cell>
          <cell r="U1606"/>
          <cell r="V1606">
            <v>347</v>
          </cell>
          <cell r="W1606"/>
          <cell r="X1606">
            <v>347</v>
          </cell>
          <cell r="Y1606"/>
          <cell r="Z1606">
            <v>347</v>
          </cell>
          <cell r="AA1606"/>
          <cell r="AB1606"/>
          <cell r="AC1606"/>
          <cell r="AD1606">
            <v>0.03</v>
          </cell>
          <cell r="AE1606"/>
          <cell r="AF1606"/>
          <cell r="AG1606"/>
          <cell r="AH1606"/>
          <cell r="AI1606"/>
          <cell r="AJ1606"/>
          <cell r="AK1606"/>
          <cell r="AL1606"/>
        </row>
        <row r="1607">
          <cell r="E1607" t="str">
            <v>CVVS 5.5sq-5C</v>
          </cell>
          <cell r="F1607" t="str">
            <v>ｍ</v>
          </cell>
          <cell r="G1607"/>
          <cell r="H1607">
            <v>498</v>
          </cell>
          <cell r="I1607"/>
          <cell r="J1607">
            <v>498</v>
          </cell>
          <cell r="K1607"/>
          <cell r="L1607">
            <v>498</v>
          </cell>
          <cell r="M1607"/>
          <cell r="N1607">
            <v>498</v>
          </cell>
          <cell r="O1607"/>
          <cell r="P1607">
            <v>498</v>
          </cell>
          <cell r="Q1607"/>
          <cell r="R1607">
            <v>498</v>
          </cell>
          <cell r="S1607"/>
          <cell r="T1607">
            <v>498</v>
          </cell>
          <cell r="U1607"/>
          <cell r="V1607">
            <v>498</v>
          </cell>
          <cell r="W1607"/>
          <cell r="X1607">
            <v>498</v>
          </cell>
          <cell r="Y1607"/>
          <cell r="Z1607">
            <v>498</v>
          </cell>
          <cell r="AA1607"/>
          <cell r="AB1607"/>
          <cell r="AC1607"/>
          <cell r="AD1607">
            <v>3.6999999999999998E-2</v>
          </cell>
          <cell r="AE1607"/>
          <cell r="AF1607"/>
          <cell r="AG1607"/>
          <cell r="AH1607"/>
          <cell r="AI1607"/>
          <cell r="AJ1607"/>
          <cell r="AK1607"/>
          <cell r="AL1607"/>
        </row>
        <row r="1608">
          <cell r="E1608" t="str">
            <v>CVVS 1.25sq-6C</v>
          </cell>
          <cell r="F1608" t="str">
            <v>ｍ</v>
          </cell>
          <cell r="G1608"/>
          <cell r="H1608">
            <v>225</v>
          </cell>
          <cell r="I1608"/>
          <cell r="J1608">
            <v>225</v>
          </cell>
          <cell r="K1608"/>
          <cell r="L1608">
            <v>225</v>
          </cell>
          <cell r="M1608"/>
          <cell r="N1608">
            <v>225</v>
          </cell>
          <cell r="O1608"/>
          <cell r="P1608">
            <v>225</v>
          </cell>
          <cell r="Q1608"/>
          <cell r="R1608">
            <v>225</v>
          </cell>
          <cell r="S1608"/>
          <cell r="T1608">
            <v>225</v>
          </cell>
          <cell r="U1608"/>
          <cell r="V1608">
            <v>225</v>
          </cell>
          <cell r="W1608"/>
          <cell r="X1608">
            <v>225</v>
          </cell>
          <cell r="Y1608"/>
          <cell r="Z1608">
            <v>225</v>
          </cell>
          <cell r="AA1608"/>
          <cell r="AB1608"/>
          <cell r="AC1608"/>
          <cell r="AD1608">
            <v>2.5000000000000001E-2</v>
          </cell>
          <cell r="AE1608"/>
          <cell r="AF1608"/>
          <cell r="AG1608"/>
          <cell r="AH1608"/>
          <cell r="AI1608"/>
          <cell r="AJ1608"/>
          <cell r="AK1608"/>
          <cell r="AL1608"/>
        </row>
        <row r="1609">
          <cell r="E1609" t="str">
            <v>CVVS 2sq-6C</v>
          </cell>
          <cell r="F1609" t="str">
            <v>ｍ</v>
          </cell>
          <cell r="G1609"/>
          <cell r="H1609">
            <v>294</v>
          </cell>
          <cell r="I1609"/>
          <cell r="J1609">
            <v>294</v>
          </cell>
          <cell r="K1609"/>
          <cell r="L1609">
            <v>294</v>
          </cell>
          <cell r="M1609"/>
          <cell r="N1609">
            <v>294</v>
          </cell>
          <cell r="O1609"/>
          <cell r="P1609">
            <v>294</v>
          </cell>
          <cell r="Q1609"/>
          <cell r="R1609">
            <v>294</v>
          </cell>
          <cell r="S1609"/>
          <cell r="T1609">
            <v>294</v>
          </cell>
          <cell r="U1609"/>
          <cell r="V1609">
            <v>294</v>
          </cell>
          <cell r="W1609"/>
          <cell r="X1609">
            <v>294</v>
          </cell>
          <cell r="Y1609"/>
          <cell r="Z1609">
            <v>294</v>
          </cell>
          <cell r="AA1609"/>
          <cell r="AB1609"/>
          <cell r="AC1609"/>
          <cell r="AD1609">
            <v>2.8000000000000001E-2</v>
          </cell>
          <cell r="AE1609"/>
          <cell r="AF1609"/>
          <cell r="AG1609"/>
          <cell r="AH1609"/>
          <cell r="AI1609"/>
          <cell r="AJ1609"/>
          <cell r="AK1609"/>
          <cell r="AL1609"/>
        </row>
        <row r="1610">
          <cell r="E1610" t="str">
            <v>CVVS 3.5sq-6C</v>
          </cell>
          <cell r="F1610" t="str">
            <v>ｍ</v>
          </cell>
          <cell r="G1610"/>
          <cell r="H1610">
            <v>405</v>
          </cell>
          <cell r="I1610"/>
          <cell r="J1610">
            <v>405</v>
          </cell>
          <cell r="K1610"/>
          <cell r="L1610">
            <v>405</v>
          </cell>
          <cell r="M1610"/>
          <cell r="N1610">
            <v>405</v>
          </cell>
          <cell r="O1610"/>
          <cell r="P1610">
            <v>405</v>
          </cell>
          <cell r="Q1610"/>
          <cell r="R1610">
            <v>405</v>
          </cell>
          <cell r="S1610"/>
          <cell r="T1610">
            <v>405</v>
          </cell>
          <cell r="U1610"/>
          <cell r="V1610">
            <v>405</v>
          </cell>
          <cell r="W1610"/>
          <cell r="X1610">
            <v>405</v>
          </cell>
          <cell r="Y1610"/>
          <cell r="Z1610">
            <v>405</v>
          </cell>
          <cell r="AA1610"/>
          <cell r="AB1610"/>
          <cell r="AC1610"/>
          <cell r="AD1610">
            <v>0.03</v>
          </cell>
          <cell r="AE1610"/>
          <cell r="AF1610"/>
          <cell r="AG1610"/>
          <cell r="AH1610"/>
          <cell r="AI1610"/>
          <cell r="AJ1610"/>
          <cell r="AK1610"/>
          <cell r="AL1610"/>
        </row>
        <row r="1611">
          <cell r="E1611" t="str">
            <v>CVVS 5.5sq-6C</v>
          </cell>
          <cell r="F1611" t="str">
            <v>ｍ</v>
          </cell>
          <cell r="G1611"/>
          <cell r="H1611">
            <v>660</v>
          </cell>
          <cell r="I1611"/>
          <cell r="J1611">
            <v>660</v>
          </cell>
          <cell r="K1611"/>
          <cell r="L1611">
            <v>660</v>
          </cell>
          <cell r="M1611"/>
          <cell r="N1611">
            <v>660</v>
          </cell>
          <cell r="O1611"/>
          <cell r="P1611">
            <v>660</v>
          </cell>
          <cell r="Q1611"/>
          <cell r="R1611">
            <v>660</v>
          </cell>
          <cell r="S1611"/>
          <cell r="T1611">
            <v>660</v>
          </cell>
          <cell r="U1611"/>
          <cell r="V1611">
            <v>660</v>
          </cell>
          <cell r="W1611"/>
          <cell r="X1611">
            <v>660</v>
          </cell>
          <cell r="Y1611"/>
          <cell r="Z1611">
            <v>660</v>
          </cell>
          <cell r="AA1611"/>
          <cell r="AB1611"/>
          <cell r="AC1611"/>
          <cell r="AD1611">
            <v>3.6999999999999998E-2</v>
          </cell>
          <cell r="AE1611"/>
          <cell r="AF1611"/>
          <cell r="AG1611"/>
          <cell r="AH1611"/>
          <cell r="AI1611"/>
          <cell r="AJ1611"/>
          <cell r="AK1611"/>
          <cell r="AL1611"/>
        </row>
        <row r="1612">
          <cell r="E1612" t="str">
            <v>CVVS 1.25sq-7C</v>
          </cell>
          <cell r="F1612" t="str">
            <v>ｍ</v>
          </cell>
          <cell r="G1612"/>
          <cell r="H1612">
            <v>246</v>
          </cell>
          <cell r="I1612"/>
          <cell r="J1612">
            <v>246</v>
          </cell>
          <cell r="K1612"/>
          <cell r="L1612">
            <v>246</v>
          </cell>
          <cell r="M1612"/>
          <cell r="N1612">
            <v>246</v>
          </cell>
          <cell r="O1612"/>
          <cell r="P1612">
            <v>246</v>
          </cell>
          <cell r="Q1612"/>
          <cell r="R1612">
            <v>246</v>
          </cell>
          <cell r="S1612"/>
          <cell r="T1612">
            <v>246</v>
          </cell>
          <cell r="U1612"/>
          <cell r="V1612">
            <v>246</v>
          </cell>
          <cell r="W1612"/>
          <cell r="X1612">
            <v>246</v>
          </cell>
          <cell r="Y1612"/>
          <cell r="Z1612">
            <v>246</v>
          </cell>
          <cell r="AA1612"/>
          <cell r="AB1612"/>
          <cell r="AC1612"/>
          <cell r="AD1612">
            <v>0.03</v>
          </cell>
          <cell r="AE1612"/>
          <cell r="AF1612"/>
          <cell r="AG1612"/>
          <cell r="AH1612"/>
          <cell r="AI1612"/>
          <cell r="AJ1612"/>
          <cell r="AK1612"/>
          <cell r="AL1612"/>
        </row>
        <row r="1613">
          <cell r="E1613" t="str">
            <v>CVVS 2sq-7C</v>
          </cell>
          <cell r="F1613" t="str">
            <v>ｍ</v>
          </cell>
          <cell r="G1613"/>
          <cell r="H1613">
            <v>323</v>
          </cell>
          <cell r="I1613"/>
          <cell r="J1613">
            <v>323</v>
          </cell>
          <cell r="K1613"/>
          <cell r="L1613">
            <v>323</v>
          </cell>
          <cell r="M1613"/>
          <cell r="N1613">
            <v>323</v>
          </cell>
          <cell r="O1613"/>
          <cell r="P1613">
            <v>323</v>
          </cell>
          <cell r="Q1613"/>
          <cell r="R1613">
            <v>323</v>
          </cell>
          <cell r="S1613"/>
          <cell r="T1613">
            <v>323</v>
          </cell>
          <cell r="U1613"/>
          <cell r="V1613">
            <v>323</v>
          </cell>
          <cell r="W1613"/>
          <cell r="X1613">
            <v>323</v>
          </cell>
          <cell r="Y1613"/>
          <cell r="Z1613">
            <v>323</v>
          </cell>
          <cell r="AA1613"/>
          <cell r="AB1613"/>
          <cell r="AC1613"/>
          <cell r="AD1613">
            <v>3.4000000000000002E-2</v>
          </cell>
          <cell r="AE1613"/>
          <cell r="AF1613"/>
          <cell r="AG1613"/>
          <cell r="AH1613"/>
          <cell r="AI1613"/>
          <cell r="AJ1613"/>
          <cell r="AK1613"/>
          <cell r="AL1613"/>
        </row>
        <row r="1614">
          <cell r="E1614" t="str">
            <v>CVVS 3.5sq-7C</v>
          </cell>
          <cell r="F1614" t="str">
            <v>ｍ</v>
          </cell>
          <cell r="G1614"/>
          <cell r="H1614">
            <v>458</v>
          </cell>
          <cell r="I1614"/>
          <cell r="J1614">
            <v>458</v>
          </cell>
          <cell r="K1614"/>
          <cell r="L1614">
            <v>458</v>
          </cell>
          <cell r="M1614"/>
          <cell r="N1614">
            <v>458</v>
          </cell>
          <cell r="O1614"/>
          <cell r="P1614">
            <v>458</v>
          </cell>
          <cell r="Q1614"/>
          <cell r="R1614">
            <v>458</v>
          </cell>
          <cell r="S1614"/>
          <cell r="T1614">
            <v>458</v>
          </cell>
          <cell r="U1614"/>
          <cell r="V1614">
            <v>458</v>
          </cell>
          <cell r="W1614"/>
          <cell r="X1614">
            <v>458</v>
          </cell>
          <cell r="Y1614"/>
          <cell r="Z1614">
            <v>458</v>
          </cell>
          <cell r="AA1614"/>
          <cell r="AB1614"/>
          <cell r="AC1614"/>
          <cell r="AD1614">
            <v>3.6999999999999998E-2</v>
          </cell>
          <cell r="AE1614"/>
          <cell r="AF1614"/>
          <cell r="AG1614"/>
          <cell r="AH1614"/>
          <cell r="AI1614"/>
          <cell r="AJ1614"/>
          <cell r="AK1614"/>
          <cell r="AL1614"/>
        </row>
        <row r="1615">
          <cell r="E1615" t="str">
            <v>CVVS 5.5sq-7C</v>
          </cell>
          <cell r="F1615" t="str">
            <v>ｍ</v>
          </cell>
          <cell r="G1615"/>
          <cell r="H1615">
            <v>737</v>
          </cell>
          <cell r="I1615"/>
          <cell r="J1615">
            <v>737</v>
          </cell>
          <cell r="K1615"/>
          <cell r="L1615">
            <v>737</v>
          </cell>
          <cell r="M1615"/>
          <cell r="N1615">
            <v>737</v>
          </cell>
          <cell r="O1615"/>
          <cell r="P1615">
            <v>737</v>
          </cell>
          <cell r="Q1615"/>
          <cell r="R1615">
            <v>737</v>
          </cell>
          <cell r="S1615"/>
          <cell r="T1615">
            <v>737</v>
          </cell>
          <cell r="U1615"/>
          <cell r="V1615">
            <v>737</v>
          </cell>
          <cell r="W1615"/>
          <cell r="X1615">
            <v>737</v>
          </cell>
          <cell r="Y1615"/>
          <cell r="Z1615">
            <v>737</v>
          </cell>
          <cell r="AA1615"/>
          <cell r="AB1615"/>
          <cell r="AC1615"/>
          <cell r="AD1615">
            <v>4.3999999999999997E-2</v>
          </cell>
          <cell r="AE1615"/>
          <cell r="AF1615"/>
          <cell r="AG1615"/>
          <cell r="AH1615"/>
          <cell r="AI1615"/>
          <cell r="AJ1615"/>
          <cell r="AK1615"/>
          <cell r="AL1615"/>
        </row>
        <row r="1616">
          <cell r="E1616" t="str">
            <v>CVVS 1.25sq-8C</v>
          </cell>
          <cell r="F1616" t="str">
            <v>ｍ</v>
          </cell>
          <cell r="G1616"/>
          <cell r="H1616">
            <v>279</v>
          </cell>
          <cell r="I1616"/>
          <cell r="J1616">
            <v>279</v>
          </cell>
          <cell r="K1616"/>
          <cell r="L1616">
            <v>279</v>
          </cell>
          <cell r="M1616"/>
          <cell r="N1616">
            <v>279</v>
          </cell>
          <cell r="O1616"/>
          <cell r="P1616">
            <v>279</v>
          </cell>
          <cell r="Q1616"/>
          <cell r="R1616">
            <v>279</v>
          </cell>
          <cell r="S1616"/>
          <cell r="T1616">
            <v>279</v>
          </cell>
          <cell r="U1616"/>
          <cell r="V1616">
            <v>279</v>
          </cell>
          <cell r="W1616"/>
          <cell r="X1616">
            <v>279</v>
          </cell>
          <cell r="Y1616"/>
          <cell r="Z1616">
            <v>279</v>
          </cell>
          <cell r="AA1616"/>
          <cell r="AB1616"/>
          <cell r="AC1616"/>
          <cell r="AD1616">
            <v>3.4000000000000002E-2</v>
          </cell>
          <cell r="AE1616"/>
          <cell r="AF1616"/>
          <cell r="AG1616"/>
          <cell r="AH1616"/>
          <cell r="AI1616"/>
          <cell r="AJ1616"/>
          <cell r="AK1616"/>
          <cell r="AL1616"/>
        </row>
        <row r="1617">
          <cell r="E1617" t="str">
            <v>CVVS 2sq-8C</v>
          </cell>
          <cell r="F1617" t="str">
            <v>ｍ</v>
          </cell>
          <cell r="G1617"/>
          <cell r="H1617">
            <v>362</v>
          </cell>
          <cell r="I1617"/>
          <cell r="J1617">
            <v>362</v>
          </cell>
          <cell r="K1617"/>
          <cell r="L1617">
            <v>362</v>
          </cell>
          <cell r="M1617"/>
          <cell r="N1617">
            <v>362</v>
          </cell>
          <cell r="O1617"/>
          <cell r="P1617">
            <v>362</v>
          </cell>
          <cell r="Q1617"/>
          <cell r="R1617">
            <v>362</v>
          </cell>
          <cell r="S1617"/>
          <cell r="T1617">
            <v>362</v>
          </cell>
          <cell r="U1617"/>
          <cell r="V1617">
            <v>362</v>
          </cell>
          <cell r="W1617"/>
          <cell r="X1617">
            <v>362</v>
          </cell>
          <cell r="Y1617"/>
          <cell r="Z1617">
            <v>362</v>
          </cell>
          <cell r="AA1617"/>
          <cell r="AB1617"/>
          <cell r="AC1617"/>
          <cell r="AD1617">
            <v>3.6999999999999998E-2</v>
          </cell>
          <cell r="AE1617"/>
          <cell r="AF1617"/>
          <cell r="AG1617"/>
          <cell r="AH1617"/>
          <cell r="AI1617"/>
          <cell r="AJ1617"/>
          <cell r="AK1617"/>
          <cell r="AL1617"/>
        </row>
        <row r="1618">
          <cell r="E1618" t="str">
            <v>CVVS 3.5sq-8C</v>
          </cell>
          <cell r="F1618" t="str">
            <v>ｍ</v>
          </cell>
          <cell r="G1618"/>
          <cell r="H1618">
            <v>631</v>
          </cell>
          <cell r="I1618"/>
          <cell r="J1618">
            <v>631</v>
          </cell>
          <cell r="K1618"/>
          <cell r="L1618">
            <v>631</v>
          </cell>
          <cell r="M1618"/>
          <cell r="N1618">
            <v>631</v>
          </cell>
          <cell r="O1618"/>
          <cell r="P1618">
            <v>631</v>
          </cell>
          <cell r="Q1618"/>
          <cell r="R1618">
            <v>631</v>
          </cell>
          <cell r="S1618"/>
          <cell r="T1618">
            <v>631</v>
          </cell>
          <cell r="U1618"/>
          <cell r="V1618">
            <v>631</v>
          </cell>
          <cell r="W1618"/>
          <cell r="X1618">
            <v>631</v>
          </cell>
          <cell r="Y1618"/>
          <cell r="Z1618">
            <v>631</v>
          </cell>
          <cell r="AA1618"/>
          <cell r="AB1618"/>
          <cell r="AC1618"/>
          <cell r="AD1618">
            <v>4.3999999999999997E-2</v>
          </cell>
          <cell r="AE1618"/>
          <cell r="AF1618"/>
          <cell r="AG1618"/>
          <cell r="AH1618"/>
          <cell r="AI1618"/>
          <cell r="AJ1618"/>
          <cell r="AK1618"/>
          <cell r="AL1618"/>
        </row>
        <row r="1619">
          <cell r="E1619" t="str">
            <v>CVVS 5.5sq-8C</v>
          </cell>
          <cell r="F1619" t="str">
            <v>ｍ</v>
          </cell>
          <cell r="G1619"/>
          <cell r="H1619">
            <v>859</v>
          </cell>
          <cell r="I1619"/>
          <cell r="J1619">
            <v>859</v>
          </cell>
          <cell r="K1619"/>
          <cell r="L1619">
            <v>859</v>
          </cell>
          <cell r="M1619"/>
          <cell r="N1619">
            <v>859</v>
          </cell>
          <cell r="O1619"/>
          <cell r="P1619">
            <v>859</v>
          </cell>
          <cell r="Q1619"/>
          <cell r="R1619">
            <v>859</v>
          </cell>
          <cell r="S1619"/>
          <cell r="T1619">
            <v>859</v>
          </cell>
          <cell r="U1619"/>
          <cell r="V1619">
            <v>859</v>
          </cell>
          <cell r="W1619"/>
          <cell r="X1619">
            <v>859</v>
          </cell>
          <cell r="Y1619"/>
          <cell r="Z1619">
            <v>859</v>
          </cell>
          <cell r="AA1619"/>
          <cell r="AB1619"/>
          <cell r="AC1619"/>
          <cell r="AD1619">
            <v>4.3999999999999997E-2</v>
          </cell>
          <cell r="AE1619"/>
          <cell r="AF1619"/>
          <cell r="AG1619"/>
          <cell r="AH1619"/>
          <cell r="AI1619"/>
          <cell r="AJ1619"/>
          <cell r="AK1619"/>
          <cell r="AL1619"/>
        </row>
        <row r="1620">
          <cell r="E1620" t="str">
            <v>CVVS 1.25sq-10C</v>
          </cell>
          <cell r="F1620" t="str">
            <v>ｍ</v>
          </cell>
          <cell r="G1620"/>
          <cell r="H1620">
            <v>335</v>
          </cell>
          <cell r="I1620"/>
          <cell r="J1620">
            <v>335</v>
          </cell>
          <cell r="K1620"/>
          <cell r="L1620">
            <v>335</v>
          </cell>
          <cell r="M1620"/>
          <cell r="N1620">
            <v>335</v>
          </cell>
          <cell r="O1620"/>
          <cell r="P1620">
            <v>335</v>
          </cell>
          <cell r="Q1620"/>
          <cell r="R1620">
            <v>335</v>
          </cell>
          <cell r="S1620"/>
          <cell r="T1620">
            <v>335</v>
          </cell>
          <cell r="U1620"/>
          <cell r="V1620">
            <v>335</v>
          </cell>
          <cell r="W1620"/>
          <cell r="X1620">
            <v>335</v>
          </cell>
          <cell r="Y1620"/>
          <cell r="Z1620">
            <v>335</v>
          </cell>
          <cell r="AA1620"/>
          <cell r="AB1620"/>
          <cell r="AC1620"/>
          <cell r="AD1620">
            <v>3.6999999999999998E-2</v>
          </cell>
          <cell r="AE1620"/>
          <cell r="AF1620"/>
          <cell r="AG1620"/>
          <cell r="AH1620"/>
          <cell r="AI1620"/>
          <cell r="AJ1620"/>
          <cell r="AK1620"/>
          <cell r="AL1620"/>
        </row>
        <row r="1621">
          <cell r="E1621" t="str">
            <v>CVVS 2sq-10C</v>
          </cell>
          <cell r="F1621" t="str">
            <v>ｍ</v>
          </cell>
          <cell r="G1621"/>
          <cell r="H1621">
            <v>440</v>
          </cell>
          <cell r="I1621"/>
          <cell r="J1621">
            <v>440</v>
          </cell>
          <cell r="K1621"/>
          <cell r="L1621">
            <v>440</v>
          </cell>
          <cell r="M1621"/>
          <cell r="N1621">
            <v>440</v>
          </cell>
          <cell r="O1621"/>
          <cell r="P1621">
            <v>440</v>
          </cell>
          <cell r="Q1621"/>
          <cell r="R1621">
            <v>440</v>
          </cell>
          <cell r="S1621"/>
          <cell r="T1621">
            <v>440</v>
          </cell>
          <cell r="U1621"/>
          <cell r="V1621">
            <v>440</v>
          </cell>
          <cell r="W1621"/>
          <cell r="X1621">
            <v>440</v>
          </cell>
          <cell r="Y1621"/>
          <cell r="Z1621">
            <v>440</v>
          </cell>
          <cell r="AA1621"/>
          <cell r="AB1621"/>
          <cell r="AC1621"/>
          <cell r="AD1621">
            <v>4.2000000000000003E-2</v>
          </cell>
          <cell r="AE1621"/>
          <cell r="AF1621"/>
          <cell r="AG1621"/>
          <cell r="AH1621"/>
          <cell r="AI1621"/>
          <cell r="AJ1621"/>
          <cell r="AK1621"/>
          <cell r="AL1621"/>
        </row>
        <row r="1622">
          <cell r="E1622" t="str">
            <v>CVVS 3.5sq-10C</v>
          </cell>
          <cell r="F1622" t="str">
            <v>ｍ</v>
          </cell>
          <cell r="G1622"/>
          <cell r="H1622">
            <v>622</v>
          </cell>
          <cell r="I1622"/>
          <cell r="J1622">
            <v>622</v>
          </cell>
          <cell r="K1622"/>
          <cell r="L1622">
            <v>622</v>
          </cell>
          <cell r="M1622"/>
          <cell r="N1622">
            <v>622</v>
          </cell>
          <cell r="O1622"/>
          <cell r="P1622">
            <v>622</v>
          </cell>
          <cell r="Q1622"/>
          <cell r="R1622">
            <v>622</v>
          </cell>
          <cell r="S1622"/>
          <cell r="T1622">
            <v>622</v>
          </cell>
          <cell r="U1622"/>
          <cell r="V1622">
            <v>622</v>
          </cell>
          <cell r="W1622"/>
          <cell r="X1622">
            <v>622</v>
          </cell>
          <cell r="Y1622"/>
          <cell r="Z1622">
            <v>622</v>
          </cell>
          <cell r="AA1622"/>
          <cell r="AB1622"/>
          <cell r="AC1622"/>
          <cell r="AD1622">
            <v>4.4999999999999998E-2</v>
          </cell>
          <cell r="AE1622"/>
          <cell r="AF1622"/>
          <cell r="AG1622"/>
          <cell r="AH1622"/>
          <cell r="AI1622"/>
          <cell r="AJ1622"/>
          <cell r="AK1622"/>
          <cell r="AL1622"/>
        </row>
        <row r="1623">
          <cell r="E1623" t="str">
            <v>CVVS 5.5sq-10C</v>
          </cell>
          <cell r="F1623" t="str">
            <v>ｍ</v>
          </cell>
          <cell r="G1623"/>
          <cell r="H1623">
            <v>1026</v>
          </cell>
          <cell r="I1623"/>
          <cell r="J1623">
            <v>1026</v>
          </cell>
          <cell r="K1623"/>
          <cell r="L1623">
            <v>1026</v>
          </cell>
          <cell r="M1623"/>
          <cell r="N1623">
            <v>1026</v>
          </cell>
          <cell r="O1623"/>
          <cell r="P1623">
            <v>1026</v>
          </cell>
          <cell r="Q1623"/>
          <cell r="R1623">
            <v>1026</v>
          </cell>
          <cell r="S1623"/>
          <cell r="T1623">
            <v>1026</v>
          </cell>
          <cell r="U1623"/>
          <cell r="V1623">
            <v>1026</v>
          </cell>
          <cell r="W1623"/>
          <cell r="X1623">
            <v>1026</v>
          </cell>
          <cell r="Y1623"/>
          <cell r="Z1623">
            <v>1026</v>
          </cell>
          <cell r="AA1623"/>
          <cell r="AB1623"/>
          <cell r="AC1623"/>
          <cell r="AD1623">
            <v>5.3999999999999999E-2</v>
          </cell>
          <cell r="AE1623"/>
          <cell r="AF1623"/>
          <cell r="AG1623"/>
          <cell r="AH1623"/>
          <cell r="AI1623"/>
          <cell r="AJ1623"/>
          <cell r="AK1623"/>
          <cell r="AL1623"/>
        </row>
        <row r="1624">
          <cell r="E1624" t="str">
            <v>CVVS 1.25sq-12C</v>
          </cell>
          <cell r="F1624" t="str">
            <v>ｍ</v>
          </cell>
          <cell r="G1624"/>
          <cell r="H1624">
            <v>387</v>
          </cell>
          <cell r="I1624"/>
          <cell r="J1624">
            <v>387</v>
          </cell>
          <cell r="K1624"/>
          <cell r="L1624">
            <v>387</v>
          </cell>
          <cell r="M1624"/>
          <cell r="N1624">
            <v>387</v>
          </cell>
          <cell r="O1624"/>
          <cell r="P1624">
            <v>387</v>
          </cell>
          <cell r="Q1624"/>
          <cell r="R1624">
            <v>387</v>
          </cell>
          <cell r="S1624"/>
          <cell r="T1624">
            <v>387</v>
          </cell>
          <cell r="U1624"/>
          <cell r="V1624">
            <v>387</v>
          </cell>
          <cell r="W1624"/>
          <cell r="X1624">
            <v>387</v>
          </cell>
          <cell r="Y1624"/>
          <cell r="Z1624">
            <v>387</v>
          </cell>
          <cell r="AA1624"/>
          <cell r="AB1624"/>
          <cell r="AC1624"/>
          <cell r="AD1624">
            <v>4.2999999999999997E-2</v>
          </cell>
          <cell r="AE1624"/>
          <cell r="AF1624"/>
          <cell r="AG1624"/>
          <cell r="AH1624"/>
          <cell r="AI1624"/>
          <cell r="AJ1624"/>
          <cell r="AK1624"/>
          <cell r="AL1624"/>
        </row>
        <row r="1625">
          <cell r="E1625" t="str">
            <v>CVVS 2sq-12C</v>
          </cell>
          <cell r="F1625" t="str">
            <v>ｍ</v>
          </cell>
          <cell r="G1625"/>
          <cell r="H1625">
            <v>504</v>
          </cell>
          <cell r="I1625"/>
          <cell r="J1625">
            <v>504</v>
          </cell>
          <cell r="K1625"/>
          <cell r="L1625">
            <v>504</v>
          </cell>
          <cell r="M1625"/>
          <cell r="N1625">
            <v>504</v>
          </cell>
          <cell r="O1625"/>
          <cell r="P1625">
            <v>504</v>
          </cell>
          <cell r="Q1625"/>
          <cell r="R1625">
            <v>504</v>
          </cell>
          <cell r="S1625"/>
          <cell r="T1625">
            <v>504</v>
          </cell>
          <cell r="U1625"/>
          <cell r="V1625">
            <v>504</v>
          </cell>
          <cell r="W1625"/>
          <cell r="X1625">
            <v>504</v>
          </cell>
          <cell r="Y1625"/>
          <cell r="Z1625">
            <v>504</v>
          </cell>
          <cell r="AA1625"/>
          <cell r="AB1625"/>
          <cell r="AC1625"/>
          <cell r="AD1625">
            <v>4.8000000000000001E-2</v>
          </cell>
          <cell r="AE1625"/>
          <cell r="AF1625"/>
          <cell r="AG1625"/>
          <cell r="AH1625"/>
          <cell r="AI1625"/>
          <cell r="AJ1625"/>
          <cell r="AK1625"/>
          <cell r="AL1625"/>
        </row>
        <row r="1626">
          <cell r="E1626" t="str">
            <v>CVVS 3.5sq-12C</v>
          </cell>
          <cell r="F1626" t="str">
            <v>ｍ</v>
          </cell>
          <cell r="G1626"/>
          <cell r="H1626">
            <v>737</v>
          </cell>
          <cell r="I1626"/>
          <cell r="J1626">
            <v>737</v>
          </cell>
          <cell r="K1626"/>
          <cell r="L1626">
            <v>737</v>
          </cell>
          <cell r="M1626"/>
          <cell r="N1626">
            <v>737</v>
          </cell>
          <cell r="O1626"/>
          <cell r="P1626">
            <v>737</v>
          </cell>
          <cell r="Q1626"/>
          <cell r="R1626">
            <v>737</v>
          </cell>
          <cell r="S1626"/>
          <cell r="T1626">
            <v>737</v>
          </cell>
          <cell r="U1626"/>
          <cell r="V1626">
            <v>737</v>
          </cell>
          <cell r="W1626"/>
          <cell r="X1626">
            <v>737</v>
          </cell>
          <cell r="Y1626"/>
          <cell r="Z1626">
            <v>737</v>
          </cell>
          <cell r="AA1626"/>
          <cell r="AB1626"/>
          <cell r="AC1626"/>
          <cell r="AD1626">
            <v>5.2999999999999999E-2</v>
          </cell>
          <cell r="AE1626"/>
          <cell r="AF1626"/>
          <cell r="AG1626"/>
          <cell r="AH1626"/>
          <cell r="AI1626"/>
          <cell r="AJ1626"/>
          <cell r="AK1626"/>
          <cell r="AL1626"/>
        </row>
        <row r="1627">
          <cell r="E1627" t="str">
            <v>CVVS 5.5sq-12C</v>
          </cell>
          <cell r="F1627" t="str">
            <v>ｍ</v>
          </cell>
          <cell r="G1627"/>
          <cell r="H1627">
            <v>1179</v>
          </cell>
          <cell r="I1627"/>
          <cell r="J1627">
            <v>1179</v>
          </cell>
          <cell r="K1627"/>
          <cell r="L1627">
            <v>1179</v>
          </cell>
          <cell r="M1627"/>
          <cell r="N1627">
            <v>1179</v>
          </cell>
          <cell r="O1627"/>
          <cell r="P1627">
            <v>1179</v>
          </cell>
          <cell r="Q1627"/>
          <cell r="R1627">
            <v>1179</v>
          </cell>
          <cell r="S1627"/>
          <cell r="T1627">
            <v>1179</v>
          </cell>
          <cell r="U1627"/>
          <cell r="V1627">
            <v>1179</v>
          </cell>
          <cell r="W1627"/>
          <cell r="X1627">
            <v>1179</v>
          </cell>
          <cell r="Y1627"/>
          <cell r="Z1627">
            <v>1179</v>
          </cell>
          <cell r="AA1627"/>
          <cell r="AB1627"/>
          <cell r="AC1627"/>
          <cell r="AD1627">
            <v>6.3E-2</v>
          </cell>
          <cell r="AE1627"/>
          <cell r="AF1627"/>
          <cell r="AG1627"/>
          <cell r="AH1627"/>
          <cell r="AI1627"/>
          <cell r="AJ1627"/>
          <cell r="AK1627"/>
          <cell r="AL1627"/>
        </row>
        <row r="1628">
          <cell r="E1628" t="str">
            <v>CVVS 1.25sq-15C</v>
          </cell>
          <cell r="F1628" t="str">
            <v>ｍ</v>
          </cell>
          <cell r="G1628"/>
          <cell r="H1628">
            <v>458</v>
          </cell>
          <cell r="I1628"/>
          <cell r="J1628">
            <v>458</v>
          </cell>
          <cell r="K1628"/>
          <cell r="L1628">
            <v>458</v>
          </cell>
          <cell r="M1628"/>
          <cell r="N1628">
            <v>458</v>
          </cell>
          <cell r="O1628"/>
          <cell r="P1628">
            <v>458</v>
          </cell>
          <cell r="Q1628"/>
          <cell r="R1628">
            <v>458</v>
          </cell>
          <cell r="S1628"/>
          <cell r="T1628">
            <v>458</v>
          </cell>
          <cell r="U1628"/>
          <cell r="V1628">
            <v>458</v>
          </cell>
          <cell r="W1628"/>
          <cell r="X1628">
            <v>458</v>
          </cell>
          <cell r="Y1628"/>
          <cell r="Z1628">
            <v>458</v>
          </cell>
          <cell r="AA1628"/>
          <cell r="AB1628"/>
          <cell r="AC1628"/>
          <cell r="AD1628">
            <v>5.3999999999999999E-2</v>
          </cell>
          <cell r="AE1628"/>
          <cell r="AF1628"/>
          <cell r="AG1628"/>
          <cell r="AH1628"/>
          <cell r="AI1628"/>
          <cell r="AJ1628"/>
          <cell r="AK1628"/>
          <cell r="AL1628"/>
        </row>
        <row r="1629">
          <cell r="E1629" t="str">
            <v>CVVS 2sq-15C</v>
          </cell>
          <cell r="F1629" t="str">
            <v>ｍ</v>
          </cell>
          <cell r="G1629"/>
          <cell r="H1629">
            <v>611</v>
          </cell>
          <cell r="I1629"/>
          <cell r="J1629">
            <v>611</v>
          </cell>
          <cell r="K1629"/>
          <cell r="L1629">
            <v>611</v>
          </cell>
          <cell r="M1629"/>
          <cell r="N1629">
            <v>611</v>
          </cell>
          <cell r="O1629"/>
          <cell r="P1629">
            <v>611</v>
          </cell>
          <cell r="Q1629"/>
          <cell r="R1629">
            <v>611</v>
          </cell>
          <cell r="S1629"/>
          <cell r="T1629">
            <v>611</v>
          </cell>
          <cell r="U1629"/>
          <cell r="V1629">
            <v>611</v>
          </cell>
          <cell r="W1629"/>
          <cell r="X1629">
            <v>611</v>
          </cell>
          <cell r="Y1629"/>
          <cell r="Z1629">
            <v>611</v>
          </cell>
          <cell r="AA1629"/>
          <cell r="AB1629"/>
          <cell r="AC1629"/>
          <cell r="AD1629">
            <v>0.06</v>
          </cell>
          <cell r="AE1629"/>
          <cell r="AF1629"/>
          <cell r="AG1629"/>
          <cell r="AH1629"/>
          <cell r="AI1629"/>
          <cell r="AJ1629"/>
          <cell r="AK1629"/>
          <cell r="AL1629"/>
        </row>
        <row r="1630">
          <cell r="E1630" t="str">
            <v>CVVS 3.5sq-15C</v>
          </cell>
          <cell r="F1630" t="str">
            <v>ｍ</v>
          </cell>
          <cell r="G1630"/>
          <cell r="H1630">
            <v>892</v>
          </cell>
          <cell r="I1630"/>
          <cell r="J1630">
            <v>892</v>
          </cell>
          <cell r="K1630"/>
          <cell r="L1630">
            <v>892</v>
          </cell>
          <cell r="M1630"/>
          <cell r="N1630">
            <v>892</v>
          </cell>
          <cell r="O1630"/>
          <cell r="P1630">
            <v>892</v>
          </cell>
          <cell r="Q1630"/>
          <cell r="R1630">
            <v>892</v>
          </cell>
          <cell r="S1630"/>
          <cell r="T1630">
            <v>892</v>
          </cell>
          <cell r="U1630"/>
          <cell r="V1630">
            <v>892</v>
          </cell>
          <cell r="W1630"/>
          <cell r="X1630">
            <v>892</v>
          </cell>
          <cell r="Y1630"/>
          <cell r="Z1630">
            <v>892</v>
          </cell>
          <cell r="AA1630"/>
          <cell r="AB1630"/>
          <cell r="AC1630"/>
          <cell r="AD1630">
            <v>6.6000000000000003E-2</v>
          </cell>
          <cell r="AE1630"/>
          <cell r="AF1630"/>
          <cell r="AG1630"/>
          <cell r="AH1630"/>
          <cell r="AI1630"/>
          <cell r="AJ1630"/>
          <cell r="AK1630"/>
          <cell r="AL1630"/>
        </row>
        <row r="1631">
          <cell r="E1631" t="str">
            <v>CVVS 5.5sq-15C</v>
          </cell>
          <cell r="F1631" t="str">
            <v>ｍ</v>
          </cell>
          <cell r="G1631"/>
          <cell r="H1631">
            <v>1424</v>
          </cell>
          <cell r="I1631"/>
          <cell r="J1631">
            <v>1424</v>
          </cell>
          <cell r="K1631"/>
          <cell r="L1631">
            <v>1424</v>
          </cell>
          <cell r="M1631"/>
          <cell r="N1631">
            <v>1424</v>
          </cell>
          <cell r="O1631"/>
          <cell r="P1631">
            <v>1424</v>
          </cell>
          <cell r="Q1631"/>
          <cell r="R1631">
            <v>1424</v>
          </cell>
          <cell r="S1631"/>
          <cell r="T1631">
            <v>1424</v>
          </cell>
          <cell r="U1631"/>
          <cell r="V1631">
            <v>1424</v>
          </cell>
          <cell r="W1631"/>
          <cell r="X1631">
            <v>1424</v>
          </cell>
          <cell r="Y1631"/>
          <cell r="Z1631">
            <v>1424</v>
          </cell>
          <cell r="AA1631"/>
          <cell r="AB1631"/>
          <cell r="AC1631"/>
          <cell r="AD1631">
            <v>7.8E-2</v>
          </cell>
          <cell r="AE1631"/>
          <cell r="AF1631"/>
          <cell r="AG1631"/>
          <cell r="AH1631"/>
          <cell r="AI1631"/>
          <cell r="AJ1631"/>
          <cell r="AK1631"/>
          <cell r="AL1631"/>
        </row>
        <row r="1632">
          <cell r="E1632" t="str">
            <v>CVVS 1.25sq-20C</v>
          </cell>
          <cell r="F1632" t="str">
            <v>ｍ</v>
          </cell>
          <cell r="G1632"/>
          <cell r="H1632">
            <v>583</v>
          </cell>
          <cell r="I1632"/>
          <cell r="J1632">
            <v>583</v>
          </cell>
          <cell r="K1632"/>
          <cell r="L1632">
            <v>583</v>
          </cell>
          <cell r="M1632"/>
          <cell r="N1632">
            <v>583</v>
          </cell>
          <cell r="O1632"/>
          <cell r="P1632">
            <v>583</v>
          </cell>
          <cell r="Q1632"/>
          <cell r="R1632">
            <v>583</v>
          </cell>
          <cell r="S1632"/>
          <cell r="T1632">
            <v>583</v>
          </cell>
          <cell r="U1632"/>
          <cell r="V1632">
            <v>583</v>
          </cell>
          <cell r="W1632"/>
          <cell r="X1632">
            <v>583</v>
          </cell>
          <cell r="Y1632"/>
          <cell r="Z1632">
            <v>583</v>
          </cell>
          <cell r="AA1632"/>
          <cell r="AB1632"/>
          <cell r="AC1632"/>
          <cell r="AD1632">
            <v>6.3E-2</v>
          </cell>
          <cell r="AE1632"/>
          <cell r="AF1632"/>
          <cell r="AG1632"/>
          <cell r="AH1632"/>
          <cell r="AI1632"/>
          <cell r="AJ1632"/>
          <cell r="AK1632"/>
          <cell r="AL1632"/>
        </row>
        <row r="1633">
          <cell r="E1633" t="str">
            <v>CVVS 2sq-20C</v>
          </cell>
          <cell r="F1633" t="str">
            <v>ｍ</v>
          </cell>
          <cell r="G1633"/>
          <cell r="H1633">
            <v>783</v>
          </cell>
          <cell r="I1633"/>
          <cell r="J1633">
            <v>783</v>
          </cell>
          <cell r="K1633"/>
          <cell r="L1633">
            <v>783</v>
          </cell>
          <cell r="M1633"/>
          <cell r="N1633">
            <v>783</v>
          </cell>
          <cell r="O1633"/>
          <cell r="P1633">
            <v>783</v>
          </cell>
          <cell r="Q1633"/>
          <cell r="R1633">
            <v>783</v>
          </cell>
          <cell r="S1633"/>
          <cell r="T1633">
            <v>783</v>
          </cell>
          <cell r="U1633"/>
          <cell r="V1633">
            <v>783</v>
          </cell>
          <cell r="W1633"/>
          <cell r="X1633">
            <v>783</v>
          </cell>
          <cell r="Y1633"/>
          <cell r="Z1633">
            <v>783</v>
          </cell>
          <cell r="AA1633"/>
          <cell r="AB1633"/>
          <cell r="AC1633"/>
          <cell r="AD1633">
            <v>7.0000000000000007E-2</v>
          </cell>
          <cell r="AE1633"/>
          <cell r="AF1633"/>
          <cell r="AG1633"/>
          <cell r="AH1633"/>
          <cell r="AI1633"/>
          <cell r="AJ1633"/>
          <cell r="AK1633"/>
          <cell r="AL1633"/>
        </row>
        <row r="1634">
          <cell r="E1634" t="str">
            <v>CVVS 3.5sq-20C</v>
          </cell>
          <cell r="F1634" t="str">
            <v>ｍ</v>
          </cell>
          <cell r="G1634"/>
          <cell r="H1634">
            <v>1164</v>
          </cell>
          <cell r="I1634"/>
          <cell r="J1634">
            <v>1164</v>
          </cell>
          <cell r="K1634"/>
          <cell r="L1634">
            <v>1164</v>
          </cell>
          <cell r="M1634"/>
          <cell r="N1634">
            <v>1164</v>
          </cell>
          <cell r="O1634"/>
          <cell r="P1634">
            <v>1164</v>
          </cell>
          <cell r="Q1634"/>
          <cell r="R1634">
            <v>1164</v>
          </cell>
          <cell r="S1634"/>
          <cell r="T1634">
            <v>1164</v>
          </cell>
          <cell r="U1634"/>
          <cell r="V1634">
            <v>1164</v>
          </cell>
          <cell r="W1634"/>
          <cell r="X1634">
            <v>1164</v>
          </cell>
          <cell r="Y1634"/>
          <cell r="Z1634">
            <v>1164</v>
          </cell>
          <cell r="AA1634"/>
          <cell r="AB1634"/>
          <cell r="AC1634"/>
          <cell r="AD1634">
            <v>7.6999999999999999E-2</v>
          </cell>
          <cell r="AE1634"/>
          <cell r="AF1634"/>
          <cell r="AG1634"/>
          <cell r="AH1634"/>
          <cell r="AI1634"/>
          <cell r="AJ1634"/>
          <cell r="AK1634"/>
          <cell r="AL1634"/>
        </row>
        <row r="1635">
          <cell r="E1635" t="str">
            <v>CVVS 5.5sq-20C</v>
          </cell>
          <cell r="F1635" t="str">
            <v>ｍ</v>
          </cell>
          <cell r="G1635"/>
          <cell r="H1635">
            <v>1844</v>
          </cell>
          <cell r="I1635"/>
          <cell r="J1635">
            <v>1844</v>
          </cell>
          <cell r="K1635"/>
          <cell r="L1635">
            <v>1844</v>
          </cell>
          <cell r="M1635"/>
          <cell r="N1635">
            <v>1844</v>
          </cell>
          <cell r="O1635"/>
          <cell r="P1635">
            <v>1844</v>
          </cell>
          <cell r="Q1635"/>
          <cell r="R1635">
            <v>1844</v>
          </cell>
          <cell r="S1635"/>
          <cell r="T1635">
            <v>1844</v>
          </cell>
          <cell r="U1635"/>
          <cell r="V1635">
            <v>1844</v>
          </cell>
          <cell r="W1635"/>
          <cell r="X1635">
            <v>1844</v>
          </cell>
          <cell r="Y1635"/>
          <cell r="Z1635">
            <v>1844</v>
          </cell>
          <cell r="AA1635"/>
          <cell r="AB1635"/>
          <cell r="AC1635"/>
          <cell r="AD1635">
            <v>9.0999999999999998E-2</v>
          </cell>
          <cell r="AE1635"/>
          <cell r="AF1635"/>
          <cell r="AG1635"/>
          <cell r="AH1635"/>
          <cell r="AI1635"/>
          <cell r="AJ1635"/>
          <cell r="AK1635"/>
          <cell r="AL1635"/>
        </row>
        <row r="1636">
          <cell r="E1636" t="str">
            <v>CEES 1.25sq-2C</v>
          </cell>
          <cell r="F1636" t="str">
            <v>ｍ</v>
          </cell>
          <cell r="G1636"/>
          <cell r="H1636">
            <v>169</v>
          </cell>
          <cell r="I1636"/>
          <cell r="J1636">
            <v>169</v>
          </cell>
          <cell r="K1636"/>
          <cell r="L1636">
            <v>169</v>
          </cell>
          <cell r="M1636"/>
          <cell r="N1636">
            <v>169</v>
          </cell>
          <cell r="O1636"/>
          <cell r="P1636">
            <v>169</v>
          </cell>
          <cell r="Q1636"/>
          <cell r="R1636">
            <v>169</v>
          </cell>
          <cell r="S1636"/>
          <cell r="T1636">
            <v>169</v>
          </cell>
          <cell r="U1636"/>
          <cell r="V1636">
            <v>169</v>
          </cell>
          <cell r="W1636"/>
          <cell r="X1636">
            <v>169</v>
          </cell>
          <cell r="Y1636"/>
          <cell r="Z1636">
            <v>169</v>
          </cell>
          <cell r="AA1636"/>
          <cell r="AB1636"/>
          <cell r="AC1636"/>
          <cell r="AD1636">
            <v>1.4999999999999999E-2</v>
          </cell>
          <cell r="AE1636"/>
          <cell r="AF1636"/>
          <cell r="AG1636"/>
          <cell r="AH1636"/>
          <cell r="AI1636"/>
          <cell r="AJ1636"/>
          <cell r="AK1636"/>
          <cell r="AL1636"/>
        </row>
        <row r="1637">
          <cell r="E1637" t="str">
            <v>CEES 2sq-2C</v>
          </cell>
          <cell r="F1637" t="str">
            <v>ｍ</v>
          </cell>
          <cell r="G1637"/>
          <cell r="H1637">
            <v>199</v>
          </cell>
          <cell r="I1637"/>
          <cell r="J1637">
            <v>199</v>
          </cell>
          <cell r="K1637"/>
          <cell r="L1637">
            <v>199</v>
          </cell>
          <cell r="M1637"/>
          <cell r="N1637">
            <v>199</v>
          </cell>
          <cell r="O1637"/>
          <cell r="P1637">
            <v>199</v>
          </cell>
          <cell r="Q1637"/>
          <cell r="R1637">
            <v>199</v>
          </cell>
          <cell r="S1637"/>
          <cell r="T1637">
            <v>199</v>
          </cell>
          <cell r="U1637"/>
          <cell r="V1637">
            <v>199</v>
          </cell>
          <cell r="W1637"/>
          <cell r="X1637">
            <v>199</v>
          </cell>
          <cell r="Y1637"/>
          <cell r="Z1637">
            <v>199</v>
          </cell>
          <cell r="AA1637"/>
          <cell r="AB1637"/>
          <cell r="AC1637"/>
          <cell r="AD1637">
            <v>1.7000000000000001E-2</v>
          </cell>
          <cell r="AE1637"/>
          <cell r="AF1637"/>
          <cell r="AG1637"/>
          <cell r="AH1637"/>
          <cell r="AI1637"/>
          <cell r="AJ1637"/>
          <cell r="AK1637"/>
          <cell r="AL1637"/>
        </row>
        <row r="1638">
          <cell r="E1638" t="str">
            <v>CEES 3.5sq-2C</v>
          </cell>
          <cell r="F1638" t="str">
            <v>ｍ</v>
          </cell>
          <cell r="G1638"/>
          <cell r="H1638">
            <v>298</v>
          </cell>
          <cell r="I1638"/>
          <cell r="J1638">
            <v>298</v>
          </cell>
          <cell r="K1638"/>
          <cell r="L1638">
            <v>298</v>
          </cell>
          <cell r="M1638"/>
          <cell r="N1638">
            <v>298</v>
          </cell>
          <cell r="O1638"/>
          <cell r="P1638">
            <v>298</v>
          </cell>
          <cell r="Q1638"/>
          <cell r="R1638">
            <v>298</v>
          </cell>
          <cell r="S1638"/>
          <cell r="T1638">
            <v>298</v>
          </cell>
          <cell r="U1638"/>
          <cell r="V1638">
            <v>298</v>
          </cell>
          <cell r="W1638"/>
          <cell r="X1638">
            <v>298</v>
          </cell>
          <cell r="Y1638"/>
          <cell r="Z1638">
            <v>298</v>
          </cell>
          <cell r="AA1638"/>
          <cell r="AB1638"/>
          <cell r="AC1638"/>
          <cell r="AD1638">
            <v>1.7999999999999999E-2</v>
          </cell>
          <cell r="AE1638"/>
          <cell r="AF1638"/>
          <cell r="AG1638"/>
          <cell r="AH1638"/>
          <cell r="AI1638"/>
          <cell r="AJ1638"/>
          <cell r="AK1638"/>
          <cell r="AL1638"/>
        </row>
        <row r="1639">
          <cell r="E1639" t="str">
            <v>CEES 5.5sq-2C</v>
          </cell>
          <cell r="F1639" t="str">
            <v>ｍ</v>
          </cell>
          <cell r="G1639"/>
          <cell r="H1639">
            <v>360</v>
          </cell>
          <cell r="I1639"/>
          <cell r="J1639">
            <v>360</v>
          </cell>
          <cell r="K1639"/>
          <cell r="L1639">
            <v>360</v>
          </cell>
          <cell r="M1639"/>
          <cell r="N1639">
            <v>360</v>
          </cell>
          <cell r="O1639"/>
          <cell r="P1639">
            <v>360</v>
          </cell>
          <cell r="Q1639"/>
          <cell r="R1639">
            <v>360</v>
          </cell>
          <cell r="S1639"/>
          <cell r="T1639">
            <v>360</v>
          </cell>
          <cell r="U1639"/>
          <cell r="V1639">
            <v>360</v>
          </cell>
          <cell r="W1639"/>
          <cell r="X1639">
            <v>360</v>
          </cell>
          <cell r="Y1639"/>
          <cell r="Z1639">
            <v>360</v>
          </cell>
          <cell r="AA1639"/>
          <cell r="AB1639"/>
          <cell r="AC1639"/>
          <cell r="AD1639">
            <v>2.1000000000000001E-2</v>
          </cell>
          <cell r="AE1639"/>
          <cell r="AF1639"/>
          <cell r="AG1639"/>
          <cell r="AH1639"/>
          <cell r="AI1639"/>
          <cell r="AJ1639"/>
          <cell r="AK1639"/>
          <cell r="AL1639"/>
        </row>
        <row r="1640">
          <cell r="E1640" t="str">
            <v>CEES 1.25sq-3C</v>
          </cell>
          <cell r="F1640" t="str">
            <v>ｍ</v>
          </cell>
          <cell r="G1640"/>
          <cell r="H1640">
            <v>199</v>
          </cell>
          <cell r="I1640"/>
          <cell r="J1640">
            <v>199</v>
          </cell>
          <cell r="K1640"/>
          <cell r="L1640">
            <v>199</v>
          </cell>
          <cell r="M1640"/>
          <cell r="N1640">
            <v>199</v>
          </cell>
          <cell r="O1640"/>
          <cell r="P1640">
            <v>199</v>
          </cell>
          <cell r="Q1640"/>
          <cell r="R1640">
            <v>199</v>
          </cell>
          <cell r="S1640"/>
          <cell r="T1640">
            <v>199</v>
          </cell>
          <cell r="U1640"/>
          <cell r="V1640">
            <v>199</v>
          </cell>
          <cell r="W1640"/>
          <cell r="X1640">
            <v>199</v>
          </cell>
          <cell r="Y1640"/>
          <cell r="Z1640">
            <v>199</v>
          </cell>
          <cell r="AA1640"/>
          <cell r="AB1640"/>
          <cell r="AC1640"/>
          <cell r="AD1640">
            <v>1.9E-2</v>
          </cell>
          <cell r="AE1640"/>
          <cell r="AF1640"/>
          <cell r="AG1640"/>
          <cell r="AH1640"/>
          <cell r="AI1640"/>
          <cell r="AJ1640"/>
          <cell r="AK1640"/>
          <cell r="AL1640"/>
        </row>
        <row r="1641">
          <cell r="E1641" t="str">
            <v>CEES 2sq-3C</v>
          </cell>
          <cell r="F1641" t="str">
            <v>ｍ</v>
          </cell>
          <cell r="G1641"/>
          <cell r="H1641">
            <v>284</v>
          </cell>
          <cell r="I1641"/>
          <cell r="J1641">
            <v>284</v>
          </cell>
          <cell r="K1641"/>
          <cell r="L1641">
            <v>284</v>
          </cell>
          <cell r="M1641"/>
          <cell r="N1641">
            <v>284</v>
          </cell>
          <cell r="O1641"/>
          <cell r="P1641">
            <v>284</v>
          </cell>
          <cell r="Q1641"/>
          <cell r="R1641">
            <v>284</v>
          </cell>
          <cell r="S1641"/>
          <cell r="T1641">
            <v>284</v>
          </cell>
          <cell r="U1641"/>
          <cell r="V1641">
            <v>284</v>
          </cell>
          <cell r="W1641"/>
          <cell r="X1641">
            <v>284</v>
          </cell>
          <cell r="Y1641"/>
          <cell r="Z1641">
            <v>284</v>
          </cell>
          <cell r="AA1641"/>
          <cell r="AB1641"/>
          <cell r="AC1641"/>
          <cell r="AD1641">
            <v>2.1000000000000001E-2</v>
          </cell>
          <cell r="AE1641"/>
          <cell r="AF1641"/>
          <cell r="AG1641"/>
          <cell r="AH1641"/>
          <cell r="AI1641"/>
          <cell r="AJ1641"/>
          <cell r="AK1641"/>
          <cell r="AL1641"/>
        </row>
        <row r="1642">
          <cell r="E1642" t="str">
            <v>CEES 3.5sq-3C</v>
          </cell>
          <cell r="F1642" t="str">
            <v>ｍ</v>
          </cell>
          <cell r="G1642"/>
          <cell r="H1642">
            <v>363</v>
          </cell>
          <cell r="I1642"/>
          <cell r="J1642">
            <v>363</v>
          </cell>
          <cell r="K1642"/>
          <cell r="L1642">
            <v>363</v>
          </cell>
          <cell r="M1642"/>
          <cell r="N1642">
            <v>363</v>
          </cell>
          <cell r="O1642"/>
          <cell r="P1642">
            <v>363</v>
          </cell>
          <cell r="Q1642"/>
          <cell r="R1642">
            <v>363</v>
          </cell>
          <cell r="S1642"/>
          <cell r="T1642">
            <v>363</v>
          </cell>
          <cell r="U1642"/>
          <cell r="V1642">
            <v>363</v>
          </cell>
          <cell r="W1642"/>
          <cell r="X1642">
            <v>363</v>
          </cell>
          <cell r="Y1642"/>
          <cell r="Z1642">
            <v>363</v>
          </cell>
          <cell r="AA1642"/>
          <cell r="AB1642"/>
          <cell r="AC1642"/>
          <cell r="AD1642">
            <v>2.4E-2</v>
          </cell>
          <cell r="AE1642"/>
          <cell r="AF1642"/>
          <cell r="AG1642"/>
          <cell r="AH1642"/>
          <cell r="AI1642"/>
          <cell r="AJ1642"/>
          <cell r="AK1642"/>
          <cell r="AL1642"/>
        </row>
        <row r="1643">
          <cell r="E1643" t="str">
            <v>CEES 5.5sq-3C</v>
          </cell>
          <cell r="F1643" t="str">
            <v>ｍ</v>
          </cell>
          <cell r="G1643"/>
          <cell r="H1643">
            <v>446</v>
          </cell>
          <cell r="I1643"/>
          <cell r="J1643">
            <v>446</v>
          </cell>
          <cell r="K1643"/>
          <cell r="L1643">
            <v>446</v>
          </cell>
          <cell r="M1643"/>
          <cell r="N1643">
            <v>446</v>
          </cell>
          <cell r="O1643"/>
          <cell r="P1643">
            <v>446</v>
          </cell>
          <cell r="Q1643"/>
          <cell r="R1643">
            <v>446</v>
          </cell>
          <cell r="S1643"/>
          <cell r="T1643">
            <v>446</v>
          </cell>
          <cell r="U1643"/>
          <cell r="V1643">
            <v>446</v>
          </cell>
          <cell r="W1643"/>
          <cell r="X1643">
            <v>446</v>
          </cell>
          <cell r="Y1643"/>
          <cell r="Z1643">
            <v>446</v>
          </cell>
          <cell r="AA1643"/>
          <cell r="AB1643"/>
          <cell r="AC1643"/>
          <cell r="AD1643">
            <v>0.03</v>
          </cell>
          <cell r="AE1643"/>
          <cell r="AF1643"/>
          <cell r="AG1643"/>
          <cell r="AH1643"/>
          <cell r="AI1643"/>
          <cell r="AJ1643"/>
          <cell r="AK1643"/>
          <cell r="AL1643"/>
        </row>
        <row r="1644">
          <cell r="E1644" t="str">
            <v>CEES 1.25sq-4C</v>
          </cell>
          <cell r="F1644" t="str">
            <v>ｍ</v>
          </cell>
          <cell r="G1644"/>
          <cell r="H1644">
            <v>284</v>
          </cell>
          <cell r="I1644"/>
          <cell r="J1644">
            <v>284</v>
          </cell>
          <cell r="K1644"/>
          <cell r="L1644">
            <v>284</v>
          </cell>
          <cell r="M1644"/>
          <cell r="N1644">
            <v>284</v>
          </cell>
          <cell r="O1644"/>
          <cell r="P1644">
            <v>284</v>
          </cell>
          <cell r="Q1644"/>
          <cell r="R1644">
            <v>284</v>
          </cell>
          <cell r="S1644"/>
          <cell r="T1644">
            <v>284</v>
          </cell>
          <cell r="U1644"/>
          <cell r="V1644">
            <v>284</v>
          </cell>
          <cell r="W1644"/>
          <cell r="X1644">
            <v>284</v>
          </cell>
          <cell r="Y1644"/>
          <cell r="Z1644">
            <v>284</v>
          </cell>
          <cell r="AA1644"/>
          <cell r="AB1644"/>
          <cell r="AC1644"/>
          <cell r="AD1644">
            <v>2.1999999999999999E-2</v>
          </cell>
          <cell r="AE1644"/>
          <cell r="AF1644"/>
          <cell r="AG1644"/>
          <cell r="AH1644"/>
          <cell r="AI1644"/>
          <cell r="AJ1644"/>
          <cell r="AK1644"/>
          <cell r="AL1644"/>
        </row>
        <row r="1645">
          <cell r="E1645" t="str">
            <v>CEES 2sq-4C</v>
          </cell>
          <cell r="F1645" t="str">
            <v>ｍ</v>
          </cell>
          <cell r="G1645"/>
          <cell r="H1645">
            <v>341</v>
          </cell>
          <cell r="I1645"/>
          <cell r="J1645">
            <v>341</v>
          </cell>
          <cell r="K1645"/>
          <cell r="L1645">
            <v>341</v>
          </cell>
          <cell r="M1645"/>
          <cell r="N1645">
            <v>341</v>
          </cell>
          <cell r="O1645"/>
          <cell r="P1645">
            <v>341</v>
          </cell>
          <cell r="Q1645"/>
          <cell r="R1645">
            <v>341</v>
          </cell>
          <cell r="S1645"/>
          <cell r="T1645">
            <v>341</v>
          </cell>
          <cell r="U1645"/>
          <cell r="V1645">
            <v>341</v>
          </cell>
          <cell r="W1645"/>
          <cell r="X1645">
            <v>341</v>
          </cell>
          <cell r="Y1645"/>
          <cell r="Z1645">
            <v>341</v>
          </cell>
          <cell r="AA1645"/>
          <cell r="AB1645"/>
          <cell r="AC1645"/>
          <cell r="AD1645">
            <v>2.3E-2</v>
          </cell>
          <cell r="AE1645"/>
          <cell r="AF1645"/>
          <cell r="AG1645"/>
          <cell r="AH1645"/>
          <cell r="AI1645"/>
          <cell r="AJ1645"/>
          <cell r="AK1645"/>
          <cell r="AL1645"/>
        </row>
        <row r="1646">
          <cell r="E1646" t="str">
            <v>CEES 3.5sq-4C</v>
          </cell>
          <cell r="F1646" t="str">
            <v>ｍ</v>
          </cell>
          <cell r="G1646"/>
          <cell r="H1646">
            <v>430</v>
          </cell>
          <cell r="I1646"/>
          <cell r="J1646">
            <v>430</v>
          </cell>
          <cell r="K1646"/>
          <cell r="L1646">
            <v>430</v>
          </cell>
          <cell r="M1646"/>
          <cell r="N1646">
            <v>430</v>
          </cell>
          <cell r="O1646"/>
          <cell r="P1646">
            <v>430</v>
          </cell>
          <cell r="Q1646"/>
          <cell r="R1646">
            <v>430</v>
          </cell>
          <cell r="S1646"/>
          <cell r="T1646">
            <v>430</v>
          </cell>
          <cell r="U1646"/>
          <cell r="V1646">
            <v>430</v>
          </cell>
          <cell r="W1646"/>
          <cell r="X1646">
            <v>430</v>
          </cell>
          <cell r="Y1646"/>
          <cell r="Z1646">
            <v>430</v>
          </cell>
          <cell r="AA1646"/>
          <cell r="AB1646"/>
          <cell r="AC1646"/>
          <cell r="AD1646">
            <v>2.8000000000000001E-2</v>
          </cell>
          <cell r="AE1646"/>
          <cell r="AF1646"/>
          <cell r="AG1646"/>
          <cell r="AH1646"/>
          <cell r="AI1646"/>
          <cell r="AJ1646"/>
          <cell r="AK1646"/>
          <cell r="AL1646"/>
        </row>
        <row r="1647">
          <cell r="E1647" t="str">
            <v>CEES 5.5sq-4C</v>
          </cell>
          <cell r="F1647" t="str">
            <v>ｍ</v>
          </cell>
          <cell r="G1647"/>
          <cell r="H1647">
            <v>526</v>
          </cell>
          <cell r="I1647"/>
          <cell r="J1647">
            <v>526</v>
          </cell>
          <cell r="K1647"/>
          <cell r="L1647">
            <v>526</v>
          </cell>
          <cell r="M1647"/>
          <cell r="N1647">
            <v>526</v>
          </cell>
          <cell r="O1647"/>
          <cell r="P1647">
            <v>526</v>
          </cell>
          <cell r="Q1647"/>
          <cell r="R1647">
            <v>526</v>
          </cell>
          <cell r="S1647"/>
          <cell r="T1647">
            <v>526</v>
          </cell>
          <cell r="U1647"/>
          <cell r="V1647">
            <v>526</v>
          </cell>
          <cell r="W1647"/>
          <cell r="X1647">
            <v>526</v>
          </cell>
          <cell r="Y1647"/>
          <cell r="Z1647">
            <v>526</v>
          </cell>
          <cell r="AA1647"/>
          <cell r="AB1647"/>
          <cell r="AC1647"/>
          <cell r="AD1647">
            <v>3.4000000000000002E-2</v>
          </cell>
          <cell r="AE1647"/>
          <cell r="AF1647"/>
          <cell r="AG1647"/>
          <cell r="AH1647"/>
          <cell r="AI1647"/>
          <cell r="AJ1647"/>
          <cell r="AK1647"/>
          <cell r="AL1647"/>
        </row>
        <row r="1648">
          <cell r="E1648" t="str">
            <v>CEES 1.25sq-5C</v>
          </cell>
          <cell r="F1648" t="str">
            <v>ｍ</v>
          </cell>
          <cell r="G1648"/>
          <cell r="H1648">
            <v>310</v>
          </cell>
          <cell r="I1648"/>
          <cell r="J1648">
            <v>310</v>
          </cell>
          <cell r="K1648"/>
          <cell r="L1648">
            <v>310</v>
          </cell>
          <cell r="M1648"/>
          <cell r="N1648">
            <v>310</v>
          </cell>
          <cell r="O1648"/>
          <cell r="P1648">
            <v>310</v>
          </cell>
          <cell r="Q1648"/>
          <cell r="R1648">
            <v>310</v>
          </cell>
          <cell r="S1648"/>
          <cell r="T1648">
            <v>310</v>
          </cell>
          <cell r="U1648"/>
          <cell r="V1648">
            <v>310</v>
          </cell>
          <cell r="W1648"/>
          <cell r="X1648">
            <v>310</v>
          </cell>
          <cell r="Y1648"/>
          <cell r="Z1648">
            <v>310</v>
          </cell>
          <cell r="AA1648"/>
          <cell r="AB1648"/>
          <cell r="AC1648"/>
          <cell r="AD1648">
            <v>2.5000000000000001E-2</v>
          </cell>
          <cell r="AE1648"/>
          <cell r="AF1648"/>
          <cell r="AG1648"/>
          <cell r="AH1648"/>
          <cell r="AI1648"/>
          <cell r="AJ1648"/>
          <cell r="AK1648"/>
          <cell r="AL1648"/>
        </row>
        <row r="1649">
          <cell r="E1649" t="str">
            <v>CEES 2sq-5C</v>
          </cell>
          <cell r="F1649" t="str">
            <v>ｍ</v>
          </cell>
          <cell r="G1649"/>
          <cell r="H1649">
            <v>374</v>
          </cell>
          <cell r="I1649"/>
          <cell r="J1649">
            <v>374</v>
          </cell>
          <cell r="K1649"/>
          <cell r="L1649">
            <v>374</v>
          </cell>
          <cell r="M1649"/>
          <cell r="N1649">
            <v>374</v>
          </cell>
          <cell r="O1649"/>
          <cell r="P1649">
            <v>374</v>
          </cell>
          <cell r="Q1649"/>
          <cell r="R1649">
            <v>374</v>
          </cell>
          <cell r="S1649"/>
          <cell r="T1649">
            <v>374</v>
          </cell>
          <cell r="U1649"/>
          <cell r="V1649">
            <v>374</v>
          </cell>
          <cell r="W1649"/>
          <cell r="X1649">
            <v>374</v>
          </cell>
          <cell r="Y1649"/>
          <cell r="Z1649">
            <v>374</v>
          </cell>
          <cell r="AA1649"/>
          <cell r="AB1649"/>
          <cell r="AC1649"/>
          <cell r="AD1649">
            <v>2.8000000000000001E-2</v>
          </cell>
          <cell r="AE1649"/>
          <cell r="AF1649"/>
          <cell r="AG1649"/>
          <cell r="AH1649"/>
          <cell r="AI1649"/>
          <cell r="AJ1649"/>
          <cell r="AK1649"/>
          <cell r="AL1649"/>
        </row>
        <row r="1650">
          <cell r="E1650" t="str">
            <v>CEES 3.5sq-5C</v>
          </cell>
          <cell r="F1650" t="str">
            <v>ｍ</v>
          </cell>
          <cell r="G1650"/>
          <cell r="H1650">
            <v>471</v>
          </cell>
          <cell r="I1650"/>
          <cell r="J1650">
            <v>471</v>
          </cell>
          <cell r="K1650"/>
          <cell r="L1650">
            <v>471</v>
          </cell>
          <cell r="M1650"/>
          <cell r="N1650">
            <v>471</v>
          </cell>
          <cell r="O1650"/>
          <cell r="P1650">
            <v>471</v>
          </cell>
          <cell r="Q1650"/>
          <cell r="R1650">
            <v>471</v>
          </cell>
          <cell r="S1650"/>
          <cell r="T1650">
            <v>471</v>
          </cell>
          <cell r="U1650"/>
          <cell r="V1650">
            <v>471</v>
          </cell>
          <cell r="W1650"/>
          <cell r="X1650">
            <v>471</v>
          </cell>
          <cell r="Y1650"/>
          <cell r="Z1650">
            <v>471</v>
          </cell>
          <cell r="AA1650"/>
          <cell r="AB1650"/>
          <cell r="AC1650"/>
          <cell r="AD1650">
            <v>0.03</v>
          </cell>
          <cell r="AE1650"/>
          <cell r="AF1650"/>
          <cell r="AG1650"/>
          <cell r="AH1650"/>
          <cell r="AI1650"/>
          <cell r="AJ1650"/>
          <cell r="AK1650"/>
          <cell r="AL1650"/>
        </row>
        <row r="1651">
          <cell r="E1651" t="str">
            <v>CEES 5.5sq-5C</v>
          </cell>
          <cell r="F1651" t="str">
            <v>ｍ</v>
          </cell>
          <cell r="G1651"/>
          <cell r="H1651">
            <v>622</v>
          </cell>
          <cell r="I1651"/>
          <cell r="J1651">
            <v>622</v>
          </cell>
          <cell r="K1651"/>
          <cell r="L1651">
            <v>622</v>
          </cell>
          <cell r="M1651"/>
          <cell r="N1651">
            <v>622</v>
          </cell>
          <cell r="O1651"/>
          <cell r="P1651">
            <v>622</v>
          </cell>
          <cell r="Q1651"/>
          <cell r="R1651">
            <v>622</v>
          </cell>
          <cell r="S1651"/>
          <cell r="T1651">
            <v>622</v>
          </cell>
          <cell r="U1651"/>
          <cell r="V1651">
            <v>622</v>
          </cell>
          <cell r="W1651"/>
          <cell r="X1651">
            <v>622</v>
          </cell>
          <cell r="Y1651"/>
          <cell r="Z1651">
            <v>622</v>
          </cell>
          <cell r="AA1651"/>
          <cell r="AB1651"/>
          <cell r="AC1651"/>
          <cell r="AD1651">
            <v>3.6999999999999998E-2</v>
          </cell>
          <cell r="AE1651"/>
          <cell r="AF1651"/>
          <cell r="AG1651"/>
          <cell r="AH1651"/>
          <cell r="AI1651"/>
          <cell r="AJ1651"/>
          <cell r="AK1651"/>
          <cell r="AL1651"/>
        </row>
        <row r="1652">
          <cell r="E1652" t="str">
            <v>CEES 1.25sq-6C</v>
          </cell>
          <cell r="F1652" t="str">
            <v>ｍ</v>
          </cell>
          <cell r="G1652"/>
          <cell r="H1652">
            <v>345</v>
          </cell>
          <cell r="I1652"/>
          <cell r="J1652">
            <v>345</v>
          </cell>
          <cell r="K1652"/>
          <cell r="L1652">
            <v>345</v>
          </cell>
          <cell r="M1652"/>
          <cell r="N1652">
            <v>345</v>
          </cell>
          <cell r="O1652"/>
          <cell r="P1652">
            <v>345</v>
          </cell>
          <cell r="Q1652"/>
          <cell r="R1652">
            <v>345</v>
          </cell>
          <cell r="S1652"/>
          <cell r="T1652">
            <v>345</v>
          </cell>
          <cell r="U1652"/>
          <cell r="V1652">
            <v>345</v>
          </cell>
          <cell r="W1652"/>
          <cell r="X1652">
            <v>345</v>
          </cell>
          <cell r="Y1652"/>
          <cell r="Z1652">
            <v>345</v>
          </cell>
          <cell r="AA1652"/>
          <cell r="AB1652"/>
          <cell r="AC1652"/>
          <cell r="AD1652">
            <v>2.5000000000000001E-2</v>
          </cell>
          <cell r="AE1652"/>
          <cell r="AF1652"/>
          <cell r="AG1652"/>
          <cell r="AH1652"/>
          <cell r="AI1652"/>
          <cell r="AJ1652"/>
          <cell r="AK1652"/>
          <cell r="AL1652"/>
        </row>
        <row r="1653">
          <cell r="E1653" t="str">
            <v>CEES 2sq-6C</v>
          </cell>
          <cell r="F1653" t="str">
            <v>ｍ</v>
          </cell>
          <cell r="G1653"/>
          <cell r="H1653">
            <v>426</v>
          </cell>
          <cell r="I1653"/>
          <cell r="J1653">
            <v>426</v>
          </cell>
          <cell r="K1653"/>
          <cell r="L1653">
            <v>426</v>
          </cell>
          <cell r="M1653"/>
          <cell r="N1653">
            <v>426</v>
          </cell>
          <cell r="O1653"/>
          <cell r="P1653">
            <v>426</v>
          </cell>
          <cell r="Q1653"/>
          <cell r="R1653">
            <v>426</v>
          </cell>
          <cell r="S1653"/>
          <cell r="T1653">
            <v>426</v>
          </cell>
          <cell r="U1653"/>
          <cell r="V1653">
            <v>426</v>
          </cell>
          <cell r="W1653"/>
          <cell r="X1653">
            <v>426</v>
          </cell>
          <cell r="Y1653"/>
          <cell r="Z1653">
            <v>426</v>
          </cell>
          <cell r="AA1653"/>
          <cell r="AB1653"/>
          <cell r="AC1653"/>
          <cell r="AD1653">
            <v>2.8000000000000001E-2</v>
          </cell>
          <cell r="AE1653"/>
          <cell r="AF1653"/>
          <cell r="AG1653"/>
          <cell r="AH1653"/>
          <cell r="AI1653"/>
          <cell r="AJ1653"/>
          <cell r="AK1653"/>
          <cell r="AL1653"/>
        </row>
        <row r="1654">
          <cell r="E1654" t="str">
            <v>CEES 3.5sq-6C</v>
          </cell>
          <cell r="F1654" t="str">
            <v>ｍ</v>
          </cell>
          <cell r="G1654"/>
          <cell r="H1654">
            <v>532</v>
          </cell>
          <cell r="I1654"/>
          <cell r="J1654">
            <v>532</v>
          </cell>
          <cell r="K1654"/>
          <cell r="L1654">
            <v>532</v>
          </cell>
          <cell r="M1654"/>
          <cell r="N1654">
            <v>532</v>
          </cell>
          <cell r="O1654"/>
          <cell r="P1654">
            <v>532</v>
          </cell>
          <cell r="Q1654"/>
          <cell r="R1654">
            <v>532</v>
          </cell>
          <cell r="S1654"/>
          <cell r="T1654">
            <v>532</v>
          </cell>
          <cell r="U1654"/>
          <cell r="V1654">
            <v>532</v>
          </cell>
          <cell r="W1654"/>
          <cell r="X1654">
            <v>532</v>
          </cell>
          <cell r="Y1654"/>
          <cell r="Z1654">
            <v>532</v>
          </cell>
          <cell r="AA1654"/>
          <cell r="AB1654"/>
          <cell r="AC1654"/>
          <cell r="AD1654">
            <v>0.03</v>
          </cell>
          <cell r="AE1654"/>
          <cell r="AF1654"/>
          <cell r="AG1654"/>
          <cell r="AH1654"/>
          <cell r="AI1654"/>
          <cell r="AJ1654"/>
          <cell r="AK1654"/>
          <cell r="AL1654"/>
        </row>
        <row r="1655">
          <cell r="E1655" t="str">
            <v>CEES 5.5sq-6C</v>
          </cell>
          <cell r="F1655" t="str">
            <v>ｍ</v>
          </cell>
          <cell r="G1655"/>
          <cell r="H1655">
            <v>706</v>
          </cell>
          <cell r="I1655"/>
          <cell r="J1655">
            <v>706</v>
          </cell>
          <cell r="K1655"/>
          <cell r="L1655">
            <v>706</v>
          </cell>
          <cell r="M1655"/>
          <cell r="N1655">
            <v>706</v>
          </cell>
          <cell r="O1655"/>
          <cell r="P1655">
            <v>706</v>
          </cell>
          <cell r="Q1655"/>
          <cell r="R1655">
            <v>706</v>
          </cell>
          <cell r="S1655"/>
          <cell r="T1655">
            <v>706</v>
          </cell>
          <cell r="U1655"/>
          <cell r="V1655">
            <v>706</v>
          </cell>
          <cell r="W1655"/>
          <cell r="X1655">
            <v>706</v>
          </cell>
          <cell r="Y1655"/>
          <cell r="Z1655">
            <v>706</v>
          </cell>
          <cell r="AA1655"/>
          <cell r="AB1655"/>
          <cell r="AC1655"/>
          <cell r="AD1655">
            <v>3.6999999999999998E-2</v>
          </cell>
          <cell r="AE1655"/>
          <cell r="AF1655"/>
          <cell r="AG1655"/>
          <cell r="AH1655"/>
          <cell r="AI1655"/>
          <cell r="AJ1655"/>
          <cell r="AK1655"/>
          <cell r="AL1655"/>
        </row>
        <row r="1656">
          <cell r="E1656" t="str">
            <v>CEES 1.25sq-7C</v>
          </cell>
          <cell r="F1656" t="str">
            <v>ｍ</v>
          </cell>
          <cell r="G1656"/>
          <cell r="H1656">
            <v>371</v>
          </cell>
          <cell r="I1656"/>
          <cell r="J1656">
            <v>371</v>
          </cell>
          <cell r="K1656"/>
          <cell r="L1656">
            <v>371</v>
          </cell>
          <cell r="M1656"/>
          <cell r="N1656">
            <v>371</v>
          </cell>
          <cell r="O1656"/>
          <cell r="P1656">
            <v>371</v>
          </cell>
          <cell r="Q1656"/>
          <cell r="R1656">
            <v>371</v>
          </cell>
          <cell r="S1656"/>
          <cell r="T1656">
            <v>371</v>
          </cell>
          <cell r="U1656"/>
          <cell r="V1656">
            <v>371</v>
          </cell>
          <cell r="W1656"/>
          <cell r="X1656">
            <v>371</v>
          </cell>
          <cell r="Y1656"/>
          <cell r="Z1656">
            <v>371</v>
          </cell>
          <cell r="AA1656"/>
          <cell r="AB1656"/>
          <cell r="AC1656"/>
          <cell r="AD1656">
            <v>0.03</v>
          </cell>
          <cell r="AE1656"/>
          <cell r="AF1656"/>
          <cell r="AG1656"/>
          <cell r="AH1656"/>
          <cell r="AI1656"/>
          <cell r="AJ1656"/>
          <cell r="AK1656"/>
          <cell r="AL1656"/>
        </row>
        <row r="1657">
          <cell r="E1657" t="str">
            <v>CEES 2sq-7C</v>
          </cell>
          <cell r="F1657" t="str">
            <v>ｍ</v>
          </cell>
          <cell r="G1657"/>
          <cell r="H1657">
            <v>459</v>
          </cell>
          <cell r="I1657"/>
          <cell r="J1657">
            <v>459</v>
          </cell>
          <cell r="K1657"/>
          <cell r="L1657">
            <v>459</v>
          </cell>
          <cell r="M1657"/>
          <cell r="N1657">
            <v>459</v>
          </cell>
          <cell r="O1657"/>
          <cell r="P1657">
            <v>459</v>
          </cell>
          <cell r="Q1657"/>
          <cell r="R1657">
            <v>459</v>
          </cell>
          <cell r="S1657"/>
          <cell r="T1657">
            <v>459</v>
          </cell>
          <cell r="U1657"/>
          <cell r="V1657">
            <v>459</v>
          </cell>
          <cell r="W1657"/>
          <cell r="X1657">
            <v>459</v>
          </cell>
          <cell r="Y1657"/>
          <cell r="Z1657">
            <v>459</v>
          </cell>
          <cell r="AA1657"/>
          <cell r="AB1657"/>
          <cell r="AC1657"/>
          <cell r="AD1657">
            <v>3.4000000000000002E-2</v>
          </cell>
          <cell r="AE1657"/>
          <cell r="AF1657"/>
          <cell r="AG1657"/>
          <cell r="AH1657"/>
          <cell r="AI1657"/>
          <cell r="AJ1657"/>
          <cell r="AK1657"/>
          <cell r="AL1657"/>
        </row>
        <row r="1658">
          <cell r="E1658" t="str">
            <v>CEES 3.5sq-7C</v>
          </cell>
          <cell r="F1658" t="str">
            <v>ｍ</v>
          </cell>
          <cell r="G1658"/>
          <cell r="H1658">
            <v>587</v>
          </cell>
          <cell r="I1658"/>
          <cell r="J1658">
            <v>587</v>
          </cell>
          <cell r="K1658"/>
          <cell r="L1658">
            <v>587</v>
          </cell>
          <cell r="M1658"/>
          <cell r="N1658">
            <v>587</v>
          </cell>
          <cell r="O1658"/>
          <cell r="P1658">
            <v>587</v>
          </cell>
          <cell r="Q1658"/>
          <cell r="R1658">
            <v>587</v>
          </cell>
          <cell r="S1658"/>
          <cell r="T1658">
            <v>587</v>
          </cell>
          <cell r="U1658"/>
          <cell r="V1658">
            <v>587</v>
          </cell>
          <cell r="W1658"/>
          <cell r="X1658">
            <v>587</v>
          </cell>
          <cell r="Y1658"/>
          <cell r="Z1658">
            <v>587</v>
          </cell>
          <cell r="AA1658"/>
          <cell r="AB1658"/>
          <cell r="AC1658"/>
          <cell r="AD1658">
            <v>3.6999999999999998E-2</v>
          </cell>
          <cell r="AE1658"/>
          <cell r="AF1658"/>
          <cell r="AG1658"/>
          <cell r="AH1658"/>
          <cell r="AI1658"/>
          <cell r="AJ1658"/>
          <cell r="AK1658"/>
          <cell r="AL1658"/>
        </row>
        <row r="1659">
          <cell r="E1659" t="str">
            <v>CEES 5.5sq-7C</v>
          </cell>
          <cell r="F1659" t="str">
            <v>ｍ</v>
          </cell>
          <cell r="G1659"/>
          <cell r="H1659">
            <v>785</v>
          </cell>
          <cell r="I1659"/>
          <cell r="J1659">
            <v>785</v>
          </cell>
          <cell r="K1659"/>
          <cell r="L1659">
            <v>785</v>
          </cell>
          <cell r="M1659"/>
          <cell r="N1659">
            <v>785</v>
          </cell>
          <cell r="O1659"/>
          <cell r="P1659">
            <v>785</v>
          </cell>
          <cell r="Q1659"/>
          <cell r="R1659">
            <v>785</v>
          </cell>
          <cell r="S1659"/>
          <cell r="T1659">
            <v>785</v>
          </cell>
          <cell r="U1659"/>
          <cell r="V1659">
            <v>785</v>
          </cell>
          <cell r="W1659"/>
          <cell r="X1659">
            <v>785</v>
          </cell>
          <cell r="Y1659"/>
          <cell r="Z1659">
            <v>785</v>
          </cell>
          <cell r="AA1659"/>
          <cell r="AB1659"/>
          <cell r="AC1659"/>
          <cell r="AD1659">
            <v>4.3999999999999997E-2</v>
          </cell>
          <cell r="AE1659"/>
          <cell r="AF1659"/>
          <cell r="AG1659"/>
          <cell r="AH1659"/>
          <cell r="AI1659"/>
          <cell r="AJ1659"/>
          <cell r="AK1659"/>
          <cell r="AL1659"/>
        </row>
        <row r="1660">
          <cell r="E1660" t="str">
            <v>CEES 1.25sq-8C</v>
          </cell>
          <cell r="F1660" t="str">
            <v>ｍ</v>
          </cell>
          <cell r="G1660"/>
          <cell r="H1660">
            <v>412</v>
          </cell>
          <cell r="I1660"/>
          <cell r="J1660">
            <v>412</v>
          </cell>
          <cell r="K1660"/>
          <cell r="L1660">
            <v>412</v>
          </cell>
          <cell r="M1660"/>
          <cell r="N1660">
            <v>412</v>
          </cell>
          <cell r="O1660"/>
          <cell r="P1660">
            <v>412</v>
          </cell>
          <cell r="Q1660"/>
          <cell r="R1660">
            <v>412</v>
          </cell>
          <cell r="S1660"/>
          <cell r="T1660">
            <v>412</v>
          </cell>
          <cell r="U1660"/>
          <cell r="V1660">
            <v>412</v>
          </cell>
          <cell r="W1660"/>
          <cell r="X1660">
            <v>412</v>
          </cell>
          <cell r="Y1660"/>
          <cell r="Z1660">
            <v>412</v>
          </cell>
          <cell r="AA1660"/>
          <cell r="AB1660"/>
          <cell r="AC1660"/>
          <cell r="AD1660">
            <v>3.4000000000000002E-2</v>
          </cell>
          <cell r="AE1660"/>
          <cell r="AF1660"/>
          <cell r="AG1660"/>
          <cell r="AH1660"/>
          <cell r="AI1660"/>
          <cell r="AJ1660"/>
          <cell r="AK1660"/>
          <cell r="AL1660"/>
        </row>
        <row r="1661">
          <cell r="E1661" t="str">
            <v>CEES 2sq-8C</v>
          </cell>
          <cell r="F1661" t="str">
            <v>ｍ</v>
          </cell>
          <cell r="G1661"/>
          <cell r="H1661">
            <v>510</v>
          </cell>
          <cell r="I1661"/>
          <cell r="J1661">
            <v>510</v>
          </cell>
          <cell r="K1661"/>
          <cell r="L1661">
            <v>510</v>
          </cell>
          <cell r="M1661"/>
          <cell r="N1661">
            <v>510</v>
          </cell>
          <cell r="O1661"/>
          <cell r="P1661">
            <v>510</v>
          </cell>
          <cell r="Q1661"/>
          <cell r="R1661">
            <v>510</v>
          </cell>
          <cell r="S1661"/>
          <cell r="T1661">
            <v>510</v>
          </cell>
          <cell r="U1661"/>
          <cell r="V1661">
            <v>510</v>
          </cell>
          <cell r="W1661"/>
          <cell r="X1661">
            <v>510</v>
          </cell>
          <cell r="Y1661"/>
          <cell r="Z1661">
            <v>510</v>
          </cell>
          <cell r="AA1661"/>
          <cell r="AB1661"/>
          <cell r="AC1661"/>
          <cell r="AD1661">
            <v>3.6999999999999998E-2</v>
          </cell>
          <cell r="AE1661"/>
          <cell r="AF1661"/>
          <cell r="AG1661"/>
          <cell r="AH1661"/>
          <cell r="AI1661"/>
          <cell r="AJ1661"/>
          <cell r="AK1661"/>
          <cell r="AL1661"/>
        </row>
        <row r="1662">
          <cell r="E1662" t="str">
            <v>CEES 3.5sq-8C</v>
          </cell>
          <cell r="F1662" t="str">
            <v>ｍ</v>
          </cell>
          <cell r="G1662"/>
          <cell r="H1662">
            <v>655</v>
          </cell>
          <cell r="I1662"/>
          <cell r="J1662">
            <v>655</v>
          </cell>
          <cell r="K1662"/>
          <cell r="L1662">
            <v>655</v>
          </cell>
          <cell r="M1662"/>
          <cell r="N1662">
            <v>655</v>
          </cell>
          <cell r="O1662"/>
          <cell r="P1662">
            <v>655</v>
          </cell>
          <cell r="Q1662"/>
          <cell r="R1662">
            <v>655</v>
          </cell>
          <cell r="S1662"/>
          <cell r="T1662">
            <v>655</v>
          </cell>
          <cell r="U1662"/>
          <cell r="V1662">
            <v>655</v>
          </cell>
          <cell r="W1662"/>
          <cell r="X1662">
            <v>655</v>
          </cell>
          <cell r="Y1662"/>
          <cell r="Z1662">
            <v>655</v>
          </cell>
          <cell r="AA1662"/>
          <cell r="AB1662"/>
          <cell r="AC1662"/>
          <cell r="AD1662">
            <v>4.3999999999999997E-2</v>
          </cell>
          <cell r="AE1662"/>
          <cell r="AF1662"/>
          <cell r="AG1662"/>
          <cell r="AH1662"/>
          <cell r="AI1662"/>
          <cell r="AJ1662"/>
          <cell r="AK1662"/>
          <cell r="AL1662"/>
        </row>
        <row r="1663">
          <cell r="E1663" t="str">
            <v>CEES 5.5sq-8C</v>
          </cell>
          <cell r="F1663" t="str">
            <v>ｍ</v>
          </cell>
          <cell r="G1663"/>
          <cell r="H1663">
            <v>891</v>
          </cell>
          <cell r="I1663"/>
          <cell r="J1663">
            <v>891</v>
          </cell>
          <cell r="K1663"/>
          <cell r="L1663">
            <v>891</v>
          </cell>
          <cell r="M1663"/>
          <cell r="N1663">
            <v>891</v>
          </cell>
          <cell r="O1663"/>
          <cell r="P1663">
            <v>891</v>
          </cell>
          <cell r="Q1663"/>
          <cell r="R1663">
            <v>891</v>
          </cell>
          <cell r="S1663"/>
          <cell r="T1663">
            <v>891</v>
          </cell>
          <cell r="U1663"/>
          <cell r="V1663">
            <v>891</v>
          </cell>
          <cell r="W1663"/>
          <cell r="X1663">
            <v>891</v>
          </cell>
          <cell r="Y1663"/>
          <cell r="Z1663">
            <v>891</v>
          </cell>
          <cell r="AA1663"/>
          <cell r="AB1663"/>
          <cell r="AC1663"/>
          <cell r="AD1663">
            <v>4.3999999999999997E-2</v>
          </cell>
          <cell r="AE1663"/>
          <cell r="AF1663"/>
          <cell r="AG1663"/>
          <cell r="AH1663"/>
          <cell r="AI1663"/>
          <cell r="AJ1663"/>
          <cell r="AK1663"/>
          <cell r="AL1663"/>
        </row>
        <row r="1664">
          <cell r="E1664" t="str">
            <v>CEES 1.25sq-10C</v>
          </cell>
          <cell r="F1664" t="str">
            <v>ｍ</v>
          </cell>
          <cell r="G1664"/>
          <cell r="H1664">
            <v>489</v>
          </cell>
          <cell r="I1664"/>
          <cell r="J1664">
            <v>489</v>
          </cell>
          <cell r="K1664"/>
          <cell r="L1664">
            <v>489</v>
          </cell>
          <cell r="M1664"/>
          <cell r="N1664">
            <v>489</v>
          </cell>
          <cell r="O1664"/>
          <cell r="P1664">
            <v>489</v>
          </cell>
          <cell r="Q1664"/>
          <cell r="R1664">
            <v>489</v>
          </cell>
          <cell r="S1664"/>
          <cell r="T1664">
            <v>489</v>
          </cell>
          <cell r="U1664"/>
          <cell r="V1664">
            <v>489</v>
          </cell>
          <cell r="W1664"/>
          <cell r="X1664">
            <v>489</v>
          </cell>
          <cell r="Y1664"/>
          <cell r="Z1664">
            <v>489</v>
          </cell>
          <cell r="AA1664"/>
          <cell r="AB1664"/>
          <cell r="AC1664"/>
          <cell r="AD1664">
            <v>3.6999999999999998E-2</v>
          </cell>
          <cell r="AE1664"/>
          <cell r="AF1664"/>
          <cell r="AG1664"/>
          <cell r="AH1664"/>
          <cell r="AI1664"/>
          <cell r="AJ1664"/>
          <cell r="AK1664"/>
          <cell r="AL1664"/>
        </row>
        <row r="1665">
          <cell r="E1665" t="str">
            <v>CEES 2sq-10C</v>
          </cell>
          <cell r="F1665" t="str">
            <v>ｍ</v>
          </cell>
          <cell r="G1665"/>
          <cell r="H1665">
            <v>614</v>
          </cell>
          <cell r="I1665"/>
          <cell r="J1665">
            <v>614</v>
          </cell>
          <cell r="K1665"/>
          <cell r="L1665">
            <v>614</v>
          </cell>
          <cell r="M1665"/>
          <cell r="N1665">
            <v>614</v>
          </cell>
          <cell r="O1665"/>
          <cell r="P1665">
            <v>614</v>
          </cell>
          <cell r="Q1665"/>
          <cell r="R1665">
            <v>614</v>
          </cell>
          <cell r="S1665"/>
          <cell r="T1665">
            <v>614</v>
          </cell>
          <cell r="U1665"/>
          <cell r="V1665">
            <v>614</v>
          </cell>
          <cell r="W1665"/>
          <cell r="X1665">
            <v>614</v>
          </cell>
          <cell r="Y1665"/>
          <cell r="Z1665">
            <v>614</v>
          </cell>
          <cell r="AA1665"/>
          <cell r="AB1665"/>
          <cell r="AC1665"/>
          <cell r="AD1665">
            <v>4.2000000000000003E-2</v>
          </cell>
          <cell r="AE1665"/>
          <cell r="AF1665"/>
          <cell r="AG1665"/>
          <cell r="AH1665"/>
          <cell r="AI1665"/>
          <cell r="AJ1665"/>
          <cell r="AK1665"/>
          <cell r="AL1665"/>
        </row>
        <row r="1666">
          <cell r="E1666" t="str">
            <v>CEES 3.5sq-10C</v>
          </cell>
          <cell r="F1666" t="str">
            <v>ｍ</v>
          </cell>
          <cell r="G1666"/>
          <cell r="H1666">
            <v>792</v>
          </cell>
          <cell r="I1666"/>
          <cell r="J1666">
            <v>792</v>
          </cell>
          <cell r="K1666"/>
          <cell r="L1666">
            <v>792</v>
          </cell>
          <cell r="M1666"/>
          <cell r="N1666">
            <v>792</v>
          </cell>
          <cell r="O1666"/>
          <cell r="P1666">
            <v>792</v>
          </cell>
          <cell r="Q1666"/>
          <cell r="R1666">
            <v>792</v>
          </cell>
          <cell r="S1666"/>
          <cell r="T1666">
            <v>792</v>
          </cell>
          <cell r="U1666"/>
          <cell r="V1666">
            <v>792</v>
          </cell>
          <cell r="W1666"/>
          <cell r="X1666">
            <v>792</v>
          </cell>
          <cell r="Y1666"/>
          <cell r="Z1666">
            <v>792</v>
          </cell>
          <cell r="AA1666"/>
          <cell r="AB1666"/>
          <cell r="AC1666"/>
          <cell r="AD1666">
            <v>4.4999999999999998E-2</v>
          </cell>
          <cell r="AE1666"/>
          <cell r="AF1666"/>
          <cell r="AG1666"/>
          <cell r="AH1666"/>
          <cell r="AI1666"/>
          <cell r="AJ1666"/>
          <cell r="AK1666"/>
          <cell r="AL1666"/>
        </row>
        <row r="1667">
          <cell r="E1667" t="str">
            <v>CEES 5.5sq-10C</v>
          </cell>
          <cell r="F1667" t="str">
            <v>ｍ</v>
          </cell>
          <cell r="G1667"/>
          <cell r="H1667">
            <v>1076</v>
          </cell>
          <cell r="I1667"/>
          <cell r="J1667">
            <v>1076</v>
          </cell>
          <cell r="K1667"/>
          <cell r="L1667">
            <v>1076</v>
          </cell>
          <cell r="M1667"/>
          <cell r="N1667">
            <v>1076</v>
          </cell>
          <cell r="O1667"/>
          <cell r="P1667">
            <v>1076</v>
          </cell>
          <cell r="Q1667"/>
          <cell r="R1667">
            <v>1076</v>
          </cell>
          <cell r="S1667"/>
          <cell r="T1667">
            <v>1076</v>
          </cell>
          <cell r="U1667"/>
          <cell r="V1667">
            <v>1076</v>
          </cell>
          <cell r="W1667"/>
          <cell r="X1667">
            <v>1076</v>
          </cell>
          <cell r="Y1667"/>
          <cell r="Z1667">
            <v>1076</v>
          </cell>
          <cell r="AA1667"/>
          <cell r="AB1667"/>
          <cell r="AC1667"/>
          <cell r="AD1667">
            <v>5.3999999999999999E-2</v>
          </cell>
          <cell r="AE1667"/>
          <cell r="AF1667"/>
          <cell r="AG1667"/>
          <cell r="AH1667"/>
          <cell r="AI1667"/>
          <cell r="AJ1667"/>
          <cell r="AK1667"/>
          <cell r="AL1667"/>
        </row>
        <row r="1668">
          <cell r="E1668" t="str">
            <v>CEES 1.25sq-12C</v>
          </cell>
          <cell r="F1668" t="str">
            <v>ｍ</v>
          </cell>
          <cell r="G1668"/>
          <cell r="H1668">
            <v>554</v>
          </cell>
          <cell r="I1668"/>
          <cell r="J1668">
            <v>554</v>
          </cell>
          <cell r="K1668"/>
          <cell r="L1668">
            <v>554</v>
          </cell>
          <cell r="M1668"/>
          <cell r="N1668">
            <v>554</v>
          </cell>
          <cell r="O1668"/>
          <cell r="P1668">
            <v>554</v>
          </cell>
          <cell r="Q1668"/>
          <cell r="R1668">
            <v>554</v>
          </cell>
          <cell r="S1668"/>
          <cell r="T1668">
            <v>554</v>
          </cell>
          <cell r="U1668"/>
          <cell r="V1668">
            <v>554</v>
          </cell>
          <cell r="W1668"/>
          <cell r="X1668">
            <v>554</v>
          </cell>
          <cell r="Y1668"/>
          <cell r="Z1668">
            <v>554</v>
          </cell>
          <cell r="AA1668"/>
          <cell r="AB1668"/>
          <cell r="AC1668"/>
          <cell r="AD1668">
            <v>4.2999999999999997E-2</v>
          </cell>
          <cell r="AE1668"/>
          <cell r="AF1668"/>
          <cell r="AG1668"/>
          <cell r="AH1668"/>
          <cell r="AI1668"/>
          <cell r="AJ1668"/>
          <cell r="AK1668"/>
          <cell r="AL1668"/>
        </row>
        <row r="1669">
          <cell r="E1669" t="str">
            <v>CEES 2sq-12C</v>
          </cell>
          <cell r="F1669" t="str">
            <v>ｍ</v>
          </cell>
          <cell r="G1669"/>
          <cell r="H1669">
            <v>688</v>
          </cell>
          <cell r="I1669"/>
          <cell r="J1669">
            <v>688</v>
          </cell>
          <cell r="K1669"/>
          <cell r="L1669">
            <v>688</v>
          </cell>
          <cell r="M1669"/>
          <cell r="N1669">
            <v>688</v>
          </cell>
          <cell r="O1669"/>
          <cell r="P1669">
            <v>688</v>
          </cell>
          <cell r="Q1669"/>
          <cell r="R1669">
            <v>688</v>
          </cell>
          <cell r="S1669"/>
          <cell r="T1669">
            <v>688</v>
          </cell>
          <cell r="U1669"/>
          <cell r="V1669">
            <v>688</v>
          </cell>
          <cell r="W1669"/>
          <cell r="X1669">
            <v>688</v>
          </cell>
          <cell r="Y1669"/>
          <cell r="Z1669">
            <v>688</v>
          </cell>
          <cell r="AA1669"/>
          <cell r="AB1669"/>
          <cell r="AC1669"/>
          <cell r="AD1669">
            <v>4.8000000000000001E-2</v>
          </cell>
          <cell r="AE1669"/>
          <cell r="AF1669"/>
          <cell r="AG1669"/>
          <cell r="AH1669"/>
          <cell r="AI1669"/>
          <cell r="AJ1669"/>
          <cell r="AK1669"/>
          <cell r="AL1669"/>
        </row>
        <row r="1670">
          <cell r="E1670" t="str">
            <v>CEES 3.5sq-12C</v>
          </cell>
          <cell r="F1670" t="str">
            <v>ｍ</v>
          </cell>
          <cell r="G1670"/>
          <cell r="H1670">
            <v>911</v>
          </cell>
          <cell r="I1670"/>
          <cell r="J1670">
            <v>911</v>
          </cell>
          <cell r="K1670"/>
          <cell r="L1670">
            <v>911</v>
          </cell>
          <cell r="M1670"/>
          <cell r="N1670">
            <v>911</v>
          </cell>
          <cell r="O1670"/>
          <cell r="P1670">
            <v>911</v>
          </cell>
          <cell r="Q1670"/>
          <cell r="R1670">
            <v>911</v>
          </cell>
          <cell r="S1670"/>
          <cell r="T1670">
            <v>911</v>
          </cell>
          <cell r="U1670"/>
          <cell r="V1670">
            <v>911</v>
          </cell>
          <cell r="W1670"/>
          <cell r="X1670">
            <v>911</v>
          </cell>
          <cell r="Y1670"/>
          <cell r="Z1670">
            <v>911</v>
          </cell>
          <cell r="AA1670"/>
          <cell r="AB1670"/>
          <cell r="AC1670"/>
          <cell r="AD1670">
            <v>5.2999999999999999E-2</v>
          </cell>
          <cell r="AE1670"/>
          <cell r="AF1670"/>
          <cell r="AG1670"/>
          <cell r="AH1670"/>
          <cell r="AI1670"/>
          <cell r="AJ1670"/>
          <cell r="AK1670"/>
          <cell r="AL1670"/>
        </row>
        <row r="1671">
          <cell r="E1671" t="str">
            <v>CEES 5.5sq-12C</v>
          </cell>
          <cell r="F1671" t="str">
            <v>ｍ</v>
          </cell>
          <cell r="G1671"/>
          <cell r="H1671">
            <v>1254</v>
          </cell>
          <cell r="I1671"/>
          <cell r="J1671">
            <v>1254</v>
          </cell>
          <cell r="K1671"/>
          <cell r="L1671">
            <v>1254</v>
          </cell>
          <cell r="M1671"/>
          <cell r="N1671">
            <v>1254</v>
          </cell>
          <cell r="O1671"/>
          <cell r="P1671">
            <v>1254</v>
          </cell>
          <cell r="Q1671"/>
          <cell r="R1671">
            <v>1254</v>
          </cell>
          <cell r="S1671"/>
          <cell r="T1671">
            <v>1254</v>
          </cell>
          <cell r="U1671"/>
          <cell r="V1671">
            <v>1254</v>
          </cell>
          <cell r="W1671"/>
          <cell r="X1671">
            <v>1254</v>
          </cell>
          <cell r="Y1671"/>
          <cell r="Z1671">
            <v>1254</v>
          </cell>
          <cell r="AA1671"/>
          <cell r="AB1671"/>
          <cell r="AC1671"/>
          <cell r="AD1671">
            <v>6.3E-2</v>
          </cell>
          <cell r="AE1671"/>
          <cell r="AF1671"/>
          <cell r="AG1671"/>
          <cell r="AH1671"/>
          <cell r="AI1671"/>
          <cell r="AJ1671"/>
          <cell r="AK1671"/>
          <cell r="AL1671"/>
        </row>
        <row r="1672">
          <cell r="E1672" t="str">
            <v>CEES 1.25sq-15C</v>
          </cell>
          <cell r="F1672" t="str">
            <v>ｍ</v>
          </cell>
          <cell r="G1672"/>
          <cell r="H1672">
            <v>646</v>
          </cell>
          <cell r="I1672"/>
          <cell r="J1672">
            <v>646</v>
          </cell>
          <cell r="K1672"/>
          <cell r="L1672">
            <v>646</v>
          </cell>
          <cell r="M1672"/>
          <cell r="N1672">
            <v>646</v>
          </cell>
          <cell r="O1672"/>
          <cell r="P1672">
            <v>646</v>
          </cell>
          <cell r="Q1672"/>
          <cell r="R1672">
            <v>646</v>
          </cell>
          <cell r="S1672"/>
          <cell r="T1672">
            <v>646</v>
          </cell>
          <cell r="U1672"/>
          <cell r="V1672">
            <v>646</v>
          </cell>
          <cell r="W1672"/>
          <cell r="X1672">
            <v>646</v>
          </cell>
          <cell r="Y1672"/>
          <cell r="Z1672">
            <v>646</v>
          </cell>
          <cell r="AA1672"/>
          <cell r="AB1672"/>
          <cell r="AC1672"/>
          <cell r="AD1672">
            <v>5.3999999999999999E-2</v>
          </cell>
          <cell r="AE1672"/>
          <cell r="AF1672"/>
          <cell r="AG1672"/>
          <cell r="AH1672"/>
          <cell r="AI1672"/>
          <cell r="AJ1672"/>
          <cell r="AK1672"/>
          <cell r="AL1672"/>
        </row>
        <row r="1673">
          <cell r="E1673" t="str">
            <v>CEES 2sq-15C</v>
          </cell>
          <cell r="F1673" t="str">
            <v>ｍ</v>
          </cell>
          <cell r="G1673"/>
          <cell r="H1673">
            <v>824</v>
          </cell>
          <cell r="I1673"/>
          <cell r="J1673">
            <v>824</v>
          </cell>
          <cell r="K1673"/>
          <cell r="L1673">
            <v>824</v>
          </cell>
          <cell r="M1673"/>
          <cell r="N1673">
            <v>824</v>
          </cell>
          <cell r="O1673"/>
          <cell r="P1673">
            <v>824</v>
          </cell>
          <cell r="Q1673"/>
          <cell r="R1673">
            <v>824</v>
          </cell>
          <cell r="S1673"/>
          <cell r="T1673">
            <v>824</v>
          </cell>
          <cell r="U1673"/>
          <cell r="V1673">
            <v>824</v>
          </cell>
          <cell r="W1673"/>
          <cell r="X1673">
            <v>824</v>
          </cell>
          <cell r="Y1673"/>
          <cell r="Z1673">
            <v>824</v>
          </cell>
          <cell r="AA1673"/>
          <cell r="AB1673"/>
          <cell r="AC1673"/>
          <cell r="AD1673">
            <v>0.06</v>
          </cell>
          <cell r="AE1673"/>
          <cell r="AF1673"/>
          <cell r="AG1673"/>
          <cell r="AH1673"/>
          <cell r="AI1673"/>
          <cell r="AJ1673"/>
          <cell r="AK1673"/>
          <cell r="AL1673"/>
        </row>
        <row r="1674">
          <cell r="E1674" t="str">
            <v>CEES 3.5sq-15C</v>
          </cell>
          <cell r="F1674" t="str">
            <v>ｍ</v>
          </cell>
          <cell r="G1674"/>
          <cell r="H1674">
            <v>1082</v>
          </cell>
          <cell r="I1674"/>
          <cell r="J1674">
            <v>1082</v>
          </cell>
          <cell r="K1674"/>
          <cell r="L1674">
            <v>1082</v>
          </cell>
          <cell r="M1674"/>
          <cell r="N1674">
            <v>1082</v>
          </cell>
          <cell r="O1674"/>
          <cell r="P1674">
            <v>1082</v>
          </cell>
          <cell r="Q1674"/>
          <cell r="R1674">
            <v>1082</v>
          </cell>
          <cell r="S1674"/>
          <cell r="T1674">
            <v>1082</v>
          </cell>
          <cell r="U1674"/>
          <cell r="V1674">
            <v>1082</v>
          </cell>
          <cell r="W1674"/>
          <cell r="X1674">
            <v>1082</v>
          </cell>
          <cell r="Y1674"/>
          <cell r="Z1674">
            <v>1082</v>
          </cell>
          <cell r="AA1674"/>
          <cell r="AB1674"/>
          <cell r="AC1674"/>
          <cell r="AD1674">
            <v>6.6000000000000003E-2</v>
          </cell>
          <cell r="AE1674"/>
          <cell r="AF1674"/>
          <cell r="AG1674"/>
          <cell r="AH1674"/>
          <cell r="AI1674"/>
          <cell r="AJ1674"/>
          <cell r="AK1674"/>
          <cell r="AL1674"/>
        </row>
        <row r="1675">
          <cell r="E1675" t="str">
            <v>CEES 5.5sq-15C</v>
          </cell>
          <cell r="F1675" t="str">
            <v>ｍ</v>
          </cell>
          <cell r="G1675"/>
          <cell r="H1675">
            <v>1511</v>
          </cell>
          <cell r="I1675"/>
          <cell r="J1675">
            <v>1511</v>
          </cell>
          <cell r="K1675"/>
          <cell r="L1675">
            <v>1511</v>
          </cell>
          <cell r="M1675"/>
          <cell r="N1675">
            <v>1511</v>
          </cell>
          <cell r="O1675"/>
          <cell r="P1675">
            <v>1511</v>
          </cell>
          <cell r="Q1675"/>
          <cell r="R1675">
            <v>1511</v>
          </cell>
          <cell r="S1675"/>
          <cell r="T1675">
            <v>1511</v>
          </cell>
          <cell r="U1675"/>
          <cell r="V1675">
            <v>1511</v>
          </cell>
          <cell r="W1675"/>
          <cell r="X1675">
            <v>1511</v>
          </cell>
          <cell r="Y1675"/>
          <cell r="Z1675">
            <v>1511</v>
          </cell>
          <cell r="AA1675"/>
          <cell r="AB1675"/>
          <cell r="AC1675"/>
          <cell r="AD1675">
            <v>7.8E-2</v>
          </cell>
          <cell r="AE1675"/>
          <cell r="AF1675"/>
          <cell r="AG1675"/>
          <cell r="AH1675"/>
          <cell r="AI1675"/>
          <cell r="AJ1675"/>
          <cell r="AK1675"/>
          <cell r="AL1675"/>
        </row>
        <row r="1676">
          <cell r="E1676" t="str">
            <v>CEES 1.25sq-20C</v>
          </cell>
          <cell r="F1676" t="str">
            <v>ｍ</v>
          </cell>
          <cell r="G1676"/>
          <cell r="H1676">
            <v>804</v>
          </cell>
          <cell r="I1676"/>
          <cell r="J1676">
            <v>804</v>
          </cell>
          <cell r="K1676"/>
          <cell r="L1676">
            <v>804</v>
          </cell>
          <cell r="M1676"/>
          <cell r="N1676">
            <v>804</v>
          </cell>
          <cell r="O1676"/>
          <cell r="P1676">
            <v>804</v>
          </cell>
          <cell r="Q1676"/>
          <cell r="R1676">
            <v>804</v>
          </cell>
          <cell r="S1676"/>
          <cell r="T1676">
            <v>804</v>
          </cell>
          <cell r="U1676"/>
          <cell r="V1676">
            <v>804</v>
          </cell>
          <cell r="W1676"/>
          <cell r="X1676">
            <v>804</v>
          </cell>
          <cell r="Y1676"/>
          <cell r="Z1676">
            <v>804</v>
          </cell>
          <cell r="AA1676"/>
          <cell r="AB1676"/>
          <cell r="AC1676"/>
          <cell r="AD1676">
            <v>6.3E-2</v>
          </cell>
          <cell r="AE1676"/>
          <cell r="AF1676"/>
          <cell r="AG1676"/>
          <cell r="AH1676"/>
          <cell r="AI1676"/>
          <cell r="AJ1676"/>
          <cell r="AK1676"/>
          <cell r="AL1676"/>
        </row>
        <row r="1677">
          <cell r="E1677" t="str">
            <v>CEES 2sq-20C</v>
          </cell>
          <cell r="F1677" t="str">
            <v>ｍ</v>
          </cell>
          <cell r="G1677"/>
          <cell r="H1677">
            <v>1032</v>
          </cell>
          <cell r="I1677"/>
          <cell r="J1677">
            <v>1032</v>
          </cell>
          <cell r="K1677"/>
          <cell r="L1677">
            <v>1032</v>
          </cell>
          <cell r="M1677"/>
          <cell r="N1677">
            <v>1032</v>
          </cell>
          <cell r="O1677"/>
          <cell r="P1677">
            <v>1032</v>
          </cell>
          <cell r="Q1677"/>
          <cell r="R1677">
            <v>1032</v>
          </cell>
          <cell r="S1677"/>
          <cell r="T1677">
            <v>1032</v>
          </cell>
          <cell r="U1677"/>
          <cell r="V1677">
            <v>1032</v>
          </cell>
          <cell r="W1677"/>
          <cell r="X1677">
            <v>1032</v>
          </cell>
          <cell r="Y1677"/>
          <cell r="Z1677">
            <v>1032</v>
          </cell>
          <cell r="AA1677"/>
          <cell r="AB1677"/>
          <cell r="AC1677"/>
          <cell r="AD1677">
            <v>7.0000000000000007E-2</v>
          </cell>
          <cell r="AE1677"/>
          <cell r="AF1677"/>
          <cell r="AG1677"/>
          <cell r="AH1677"/>
          <cell r="AI1677"/>
          <cell r="AJ1677"/>
          <cell r="AK1677"/>
          <cell r="AL1677"/>
        </row>
        <row r="1678">
          <cell r="E1678" t="str">
            <v>CEES 3.5sq-20C</v>
          </cell>
          <cell r="F1678" t="str">
            <v>ｍ</v>
          </cell>
          <cell r="G1678"/>
          <cell r="H1678">
            <v>1386</v>
          </cell>
          <cell r="I1678"/>
          <cell r="J1678">
            <v>1386</v>
          </cell>
          <cell r="K1678"/>
          <cell r="L1678">
            <v>1386</v>
          </cell>
          <cell r="M1678"/>
          <cell r="N1678">
            <v>1386</v>
          </cell>
          <cell r="O1678"/>
          <cell r="P1678">
            <v>1386</v>
          </cell>
          <cell r="Q1678"/>
          <cell r="R1678">
            <v>1386</v>
          </cell>
          <cell r="S1678"/>
          <cell r="T1678">
            <v>1386</v>
          </cell>
          <cell r="U1678"/>
          <cell r="V1678">
            <v>1386</v>
          </cell>
          <cell r="W1678"/>
          <cell r="X1678">
            <v>1386</v>
          </cell>
          <cell r="Y1678"/>
          <cell r="Z1678">
            <v>1386</v>
          </cell>
          <cell r="AA1678"/>
          <cell r="AB1678"/>
          <cell r="AC1678"/>
          <cell r="AD1678">
            <v>7.6999999999999999E-2</v>
          </cell>
          <cell r="AE1678"/>
          <cell r="AF1678"/>
          <cell r="AG1678"/>
          <cell r="AH1678"/>
          <cell r="AI1678"/>
          <cell r="AJ1678"/>
          <cell r="AK1678"/>
          <cell r="AL1678"/>
        </row>
        <row r="1679">
          <cell r="E1679" t="str">
            <v>CEES 5.5sq-20C</v>
          </cell>
          <cell r="F1679" t="str">
            <v>ｍ</v>
          </cell>
          <cell r="G1679"/>
          <cell r="H1679">
            <v>1947</v>
          </cell>
          <cell r="I1679"/>
          <cell r="J1679">
            <v>1947</v>
          </cell>
          <cell r="K1679"/>
          <cell r="L1679">
            <v>1947</v>
          </cell>
          <cell r="M1679"/>
          <cell r="N1679">
            <v>1947</v>
          </cell>
          <cell r="O1679"/>
          <cell r="P1679">
            <v>1947</v>
          </cell>
          <cell r="Q1679"/>
          <cell r="R1679">
            <v>1947</v>
          </cell>
          <cell r="S1679"/>
          <cell r="T1679">
            <v>1947</v>
          </cell>
          <cell r="U1679"/>
          <cell r="V1679">
            <v>1947</v>
          </cell>
          <cell r="W1679"/>
          <cell r="X1679">
            <v>1947</v>
          </cell>
          <cell r="Y1679"/>
          <cell r="Z1679">
            <v>1947</v>
          </cell>
          <cell r="AA1679"/>
          <cell r="AB1679"/>
          <cell r="AC1679"/>
          <cell r="AD1679">
            <v>9.0999999999999998E-2</v>
          </cell>
          <cell r="AE1679"/>
          <cell r="AF1679"/>
          <cell r="AG1679"/>
          <cell r="AH1679"/>
          <cell r="AI1679"/>
          <cell r="AJ1679"/>
          <cell r="AK1679"/>
          <cell r="AL1679"/>
        </row>
        <row r="1680">
          <cell r="E1680"/>
          <cell r="F1680"/>
          <cell r="G1680"/>
          <cell r="H1680"/>
          <cell r="I1680"/>
          <cell r="J1680"/>
          <cell r="K1680"/>
          <cell r="L1680"/>
          <cell r="M1680"/>
          <cell r="N1680"/>
          <cell r="O1680"/>
          <cell r="P1680"/>
          <cell r="Q1680"/>
          <cell r="R1680"/>
          <cell r="S1680"/>
          <cell r="T1680"/>
          <cell r="U1680"/>
          <cell r="V1680"/>
          <cell r="W1680"/>
          <cell r="X1680"/>
          <cell r="Y1680"/>
          <cell r="Z1680"/>
          <cell r="AA1680"/>
          <cell r="AB1680"/>
          <cell r="AC1680"/>
          <cell r="AD1680"/>
          <cell r="AE1680"/>
          <cell r="AF1680"/>
          <cell r="AG1680"/>
          <cell r="AH1680"/>
          <cell r="AI1680"/>
          <cell r="AJ1680"/>
          <cell r="AK1680"/>
          <cell r="AL1680"/>
        </row>
        <row r="1681">
          <cell r="E1681"/>
          <cell r="F1681"/>
          <cell r="G1681"/>
          <cell r="H1681"/>
          <cell r="I1681"/>
          <cell r="J1681"/>
          <cell r="K1681"/>
          <cell r="L1681"/>
          <cell r="M1681"/>
          <cell r="N1681"/>
          <cell r="O1681"/>
          <cell r="P1681"/>
          <cell r="Q1681"/>
          <cell r="R1681"/>
          <cell r="S1681"/>
          <cell r="T1681"/>
          <cell r="U1681"/>
          <cell r="V1681"/>
          <cell r="W1681"/>
          <cell r="X1681"/>
          <cell r="Y1681"/>
          <cell r="Z1681"/>
          <cell r="AA1681"/>
          <cell r="AB1681"/>
          <cell r="AC1681"/>
          <cell r="AD1681"/>
          <cell r="AE1681"/>
          <cell r="AF1681"/>
          <cell r="AG1681"/>
          <cell r="AH1681"/>
          <cell r="AI1681"/>
          <cell r="AJ1681"/>
          <cell r="AK1681"/>
          <cell r="AL1681"/>
        </row>
        <row r="1682">
          <cell r="E1682" t="str">
            <v>05_Users</v>
          </cell>
          <cell r="F1682"/>
          <cell r="G1682"/>
          <cell r="H1682"/>
          <cell r="I1682"/>
          <cell r="J1682"/>
          <cell r="K1682"/>
          <cell r="L1682"/>
          <cell r="M1682"/>
          <cell r="N1682"/>
          <cell r="O1682"/>
          <cell r="P1682"/>
          <cell r="Q1682"/>
          <cell r="R1682"/>
          <cell r="S1682"/>
          <cell r="T1682"/>
          <cell r="U1682"/>
          <cell r="V1682"/>
          <cell r="W1682"/>
          <cell r="X1682"/>
          <cell r="Y1682"/>
          <cell r="Z1682"/>
          <cell r="AA1682"/>
          <cell r="AB1682"/>
          <cell r="AC1682"/>
          <cell r="AD1682"/>
          <cell r="AE1682"/>
          <cell r="AF1682"/>
          <cell r="AG1682"/>
          <cell r="AH1682"/>
          <cell r="AI1682"/>
          <cell r="AJ1682"/>
          <cell r="AK1682"/>
          <cell r="AL1682"/>
        </row>
        <row r="1683">
          <cell r="E1683" t="str">
            <v>05_Users</v>
          </cell>
          <cell r="F1683"/>
          <cell r="G1683"/>
          <cell r="H1683"/>
          <cell r="I1683"/>
          <cell r="J1683"/>
          <cell r="K1683"/>
          <cell r="L1683"/>
          <cell r="M1683"/>
          <cell r="N1683"/>
          <cell r="O1683"/>
          <cell r="P1683"/>
          <cell r="Q1683"/>
          <cell r="R1683"/>
          <cell r="S1683"/>
          <cell r="T1683"/>
          <cell r="U1683"/>
          <cell r="V1683"/>
          <cell r="W1683"/>
          <cell r="X1683"/>
          <cell r="Y1683"/>
          <cell r="Z1683"/>
          <cell r="AA1683"/>
          <cell r="AB1683"/>
          <cell r="AC1683"/>
          <cell r="AD1683"/>
          <cell r="AE1683"/>
          <cell r="AF1683"/>
          <cell r="AG1683"/>
          <cell r="AH1683"/>
          <cell r="AI1683"/>
          <cell r="AJ1683"/>
          <cell r="AK1683"/>
          <cell r="AL1683"/>
        </row>
        <row r="1684">
          <cell r="E1684" t="str">
            <v>05_Users</v>
          </cell>
          <cell r="F1684"/>
          <cell r="G1684"/>
          <cell r="H1684"/>
          <cell r="I1684"/>
          <cell r="J1684"/>
          <cell r="K1684"/>
          <cell r="L1684"/>
          <cell r="M1684"/>
          <cell r="N1684"/>
          <cell r="O1684"/>
          <cell r="P1684"/>
          <cell r="Q1684"/>
          <cell r="R1684"/>
          <cell r="S1684"/>
          <cell r="T1684"/>
          <cell r="U1684"/>
          <cell r="V1684"/>
          <cell r="W1684"/>
          <cell r="X1684"/>
          <cell r="Y1684"/>
          <cell r="Z1684"/>
          <cell r="AA1684"/>
          <cell r="AB1684"/>
          <cell r="AC1684"/>
          <cell r="AD1684"/>
          <cell r="AE1684"/>
          <cell r="AF1684"/>
          <cell r="AG1684"/>
          <cell r="AH1684"/>
          <cell r="AI1684"/>
          <cell r="AJ1684"/>
          <cell r="AK1684"/>
          <cell r="AL1684"/>
        </row>
        <row r="1685">
          <cell r="E1685" t="str">
            <v>05_Users</v>
          </cell>
          <cell r="F1685"/>
          <cell r="G1685"/>
          <cell r="H1685"/>
          <cell r="I1685"/>
          <cell r="J1685"/>
          <cell r="K1685"/>
          <cell r="L1685"/>
          <cell r="M1685"/>
          <cell r="N1685"/>
          <cell r="O1685"/>
          <cell r="P1685"/>
          <cell r="Q1685"/>
          <cell r="R1685"/>
          <cell r="S1685"/>
          <cell r="T1685"/>
          <cell r="U1685"/>
          <cell r="V1685"/>
          <cell r="W1685"/>
          <cell r="X1685"/>
          <cell r="Y1685"/>
          <cell r="Z1685"/>
          <cell r="AA1685"/>
          <cell r="AB1685"/>
          <cell r="AC1685"/>
          <cell r="AD1685"/>
          <cell r="AE1685"/>
          <cell r="AF1685"/>
          <cell r="AG1685"/>
          <cell r="AH1685"/>
          <cell r="AI1685"/>
          <cell r="AJ1685"/>
          <cell r="AK1685"/>
          <cell r="AL1685"/>
        </row>
        <row r="1686">
          <cell r="E1686" t="str">
            <v>05_Users</v>
          </cell>
          <cell r="F1686"/>
          <cell r="G1686"/>
          <cell r="H1686"/>
          <cell r="I1686"/>
          <cell r="J1686"/>
          <cell r="K1686"/>
          <cell r="L1686"/>
          <cell r="M1686"/>
          <cell r="N1686"/>
          <cell r="O1686"/>
          <cell r="P1686"/>
          <cell r="Q1686"/>
          <cell r="R1686"/>
          <cell r="S1686"/>
          <cell r="T1686"/>
          <cell r="U1686"/>
          <cell r="V1686"/>
          <cell r="W1686"/>
          <cell r="X1686"/>
          <cell r="Y1686"/>
          <cell r="Z1686"/>
          <cell r="AA1686"/>
          <cell r="AB1686"/>
          <cell r="AC1686"/>
          <cell r="AD1686"/>
          <cell r="AE1686"/>
          <cell r="AF1686"/>
          <cell r="AG1686"/>
          <cell r="AH1686"/>
          <cell r="AI1686"/>
          <cell r="AJ1686"/>
          <cell r="AK1686"/>
          <cell r="AL1686"/>
        </row>
        <row r="1687">
          <cell r="E1687" t="str">
            <v>05_Users</v>
          </cell>
          <cell r="F1687"/>
          <cell r="G1687"/>
          <cell r="H1687"/>
          <cell r="I1687"/>
          <cell r="J1687"/>
          <cell r="K1687"/>
          <cell r="L1687"/>
          <cell r="M1687"/>
          <cell r="N1687"/>
          <cell r="O1687"/>
          <cell r="P1687"/>
          <cell r="Q1687"/>
          <cell r="R1687"/>
          <cell r="S1687"/>
          <cell r="T1687"/>
          <cell r="U1687"/>
          <cell r="V1687"/>
          <cell r="W1687"/>
          <cell r="X1687"/>
          <cell r="Y1687"/>
          <cell r="Z1687"/>
          <cell r="AA1687"/>
          <cell r="AB1687"/>
          <cell r="AC1687"/>
          <cell r="AD1687"/>
          <cell r="AE1687"/>
          <cell r="AF1687"/>
          <cell r="AG1687"/>
          <cell r="AH1687"/>
          <cell r="AI1687"/>
          <cell r="AJ1687"/>
          <cell r="AK1687"/>
          <cell r="AL1687"/>
        </row>
        <row r="1688">
          <cell r="E1688" t="str">
            <v>05_Users</v>
          </cell>
          <cell r="F1688"/>
          <cell r="G1688"/>
          <cell r="H1688"/>
          <cell r="I1688"/>
          <cell r="J1688"/>
          <cell r="K1688"/>
          <cell r="L1688"/>
          <cell r="M1688"/>
          <cell r="N1688"/>
          <cell r="O1688"/>
          <cell r="P1688"/>
          <cell r="Q1688"/>
          <cell r="R1688"/>
          <cell r="S1688"/>
          <cell r="T1688"/>
          <cell r="U1688"/>
          <cell r="V1688"/>
          <cell r="W1688"/>
          <cell r="X1688"/>
          <cell r="Y1688"/>
          <cell r="Z1688"/>
          <cell r="AA1688"/>
          <cell r="AB1688"/>
          <cell r="AC1688"/>
          <cell r="AD1688"/>
          <cell r="AE1688"/>
          <cell r="AF1688"/>
          <cell r="AG1688"/>
          <cell r="AH1688"/>
          <cell r="AI1688"/>
          <cell r="AJ1688"/>
          <cell r="AK1688"/>
          <cell r="AL1688"/>
        </row>
        <row r="1689">
          <cell r="E1689" t="str">
            <v>05_Users</v>
          </cell>
          <cell r="F1689"/>
          <cell r="G1689"/>
          <cell r="H1689"/>
          <cell r="I1689"/>
          <cell r="J1689"/>
          <cell r="K1689"/>
          <cell r="L1689"/>
          <cell r="M1689"/>
          <cell r="N1689"/>
          <cell r="O1689"/>
          <cell r="P1689"/>
          <cell r="Q1689"/>
          <cell r="R1689"/>
          <cell r="S1689"/>
          <cell r="T1689"/>
          <cell r="U1689"/>
          <cell r="V1689"/>
          <cell r="W1689"/>
          <cell r="X1689"/>
          <cell r="Y1689"/>
          <cell r="Z1689"/>
          <cell r="AA1689"/>
          <cell r="AB1689"/>
          <cell r="AC1689"/>
          <cell r="AD1689"/>
          <cell r="AE1689"/>
          <cell r="AF1689"/>
          <cell r="AG1689"/>
          <cell r="AH1689"/>
          <cell r="AI1689"/>
          <cell r="AJ1689"/>
          <cell r="AK1689"/>
          <cell r="AL1689"/>
        </row>
        <row r="1690">
          <cell r="E1690" t="str">
            <v>05_Users</v>
          </cell>
          <cell r="F1690"/>
          <cell r="G1690"/>
          <cell r="H1690"/>
          <cell r="I1690"/>
          <cell r="J1690"/>
          <cell r="K1690"/>
          <cell r="L1690"/>
          <cell r="M1690"/>
          <cell r="N1690"/>
          <cell r="O1690"/>
          <cell r="P1690"/>
          <cell r="Q1690"/>
          <cell r="R1690"/>
          <cell r="S1690"/>
          <cell r="T1690"/>
          <cell r="U1690"/>
          <cell r="V1690"/>
          <cell r="W1690"/>
          <cell r="X1690"/>
          <cell r="Y1690"/>
          <cell r="Z1690"/>
          <cell r="AA1690"/>
          <cell r="AB1690"/>
          <cell r="AC1690"/>
          <cell r="AD1690"/>
          <cell r="AE1690"/>
          <cell r="AF1690"/>
          <cell r="AG1690"/>
          <cell r="AH1690"/>
          <cell r="AI1690"/>
          <cell r="AJ1690"/>
          <cell r="AK1690"/>
          <cell r="AL1690"/>
        </row>
        <row r="1691">
          <cell r="E1691" t="str">
            <v>05_Users</v>
          </cell>
          <cell r="F1691"/>
          <cell r="G1691"/>
          <cell r="H1691"/>
          <cell r="I1691"/>
          <cell r="J1691"/>
          <cell r="K1691"/>
          <cell r="L1691"/>
          <cell r="M1691"/>
          <cell r="N1691"/>
          <cell r="O1691"/>
          <cell r="P1691"/>
          <cell r="Q1691"/>
          <cell r="R1691"/>
          <cell r="S1691"/>
          <cell r="T1691"/>
          <cell r="U1691"/>
          <cell r="V1691"/>
          <cell r="W1691"/>
          <cell r="X1691"/>
          <cell r="Y1691"/>
          <cell r="Z1691"/>
          <cell r="AA1691"/>
          <cell r="AB1691"/>
          <cell r="AC1691"/>
          <cell r="AD1691"/>
          <cell r="AE1691"/>
          <cell r="AF1691"/>
          <cell r="AG1691"/>
          <cell r="AH1691"/>
          <cell r="AI1691"/>
          <cell r="AJ1691"/>
          <cell r="AK1691"/>
          <cell r="AL1691"/>
        </row>
        <row r="1692">
          <cell r="E1692" t="str">
            <v>05_Users</v>
          </cell>
          <cell r="F1692"/>
          <cell r="G1692"/>
          <cell r="H1692"/>
          <cell r="I1692"/>
          <cell r="J1692"/>
          <cell r="K1692"/>
          <cell r="L1692"/>
          <cell r="M1692"/>
          <cell r="N1692"/>
          <cell r="O1692"/>
          <cell r="P1692"/>
          <cell r="Q1692"/>
          <cell r="R1692"/>
          <cell r="S1692"/>
          <cell r="T1692"/>
          <cell r="U1692"/>
          <cell r="V1692"/>
          <cell r="W1692"/>
          <cell r="X1692"/>
          <cell r="Y1692"/>
          <cell r="Z1692"/>
          <cell r="AA1692"/>
          <cell r="AB1692"/>
          <cell r="AC1692"/>
          <cell r="AD1692"/>
          <cell r="AE1692"/>
          <cell r="AF1692"/>
          <cell r="AG1692"/>
          <cell r="AH1692"/>
          <cell r="AI1692"/>
          <cell r="AJ1692"/>
          <cell r="AK1692"/>
          <cell r="AL1692"/>
        </row>
        <row r="1693">
          <cell r="E1693" t="str">
            <v>05_Users</v>
          </cell>
          <cell r="F1693"/>
          <cell r="G1693"/>
          <cell r="H1693"/>
          <cell r="I1693"/>
          <cell r="J1693"/>
          <cell r="K1693"/>
          <cell r="L1693"/>
          <cell r="M1693"/>
          <cell r="N1693"/>
          <cell r="O1693"/>
          <cell r="P1693"/>
          <cell r="Q1693"/>
          <cell r="R1693"/>
          <cell r="S1693"/>
          <cell r="T1693"/>
          <cell r="U1693"/>
          <cell r="V1693"/>
          <cell r="W1693"/>
          <cell r="X1693"/>
          <cell r="Y1693"/>
          <cell r="Z1693"/>
          <cell r="AA1693"/>
          <cell r="AB1693"/>
          <cell r="AC1693"/>
          <cell r="AD1693"/>
          <cell r="AE1693"/>
          <cell r="AF1693"/>
          <cell r="AG1693"/>
          <cell r="AH1693"/>
          <cell r="AI1693"/>
          <cell r="AJ1693"/>
          <cell r="AK1693"/>
          <cell r="AL1693"/>
        </row>
        <row r="1694">
          <cell r="E1694" t="str">
            <v>05_Users</v>
          </cell>
          <cell r="F1694"/>
          <cell r="G1694"/>
          <cell r="H1694"/>
          <cell r="I1694"/>
          <cell r="J1694"/>
          <cell r="K1694"/>
          <cell r="L1694"/>
          <cell r="M1694"/>
          <cell r="N1694"/>
          <cell r="O1694"/>
          <cell r="P1694"/>
          <cell r="Q1694"/>
          <cell r="R1694"/>
          <cell r="S1694"/>
          <cell r="T1694"/>
          <cell r="U1694"/>
          <cell r="V1694"/>
          <cell r="W1694"/>
          <cell r="X1694"/>
          <cell r="Y1694"/>
          <cell r="Z1694"/>
          <cell r="AA1694"/>
          <cell r="AB1694"/>
          <cell r="AC1694"/>
          <cell r="AD1694"/>
          <cell r="AE1694"/>
          <cell r="AF1694"/>
          <cell r="AG1694"/>
          <cell r="AH1694"/>
          <cell r="AI1694"/>
          <cell r="AJ1694"/>
          <cell r="AK1694"/>
          <cell r="AL1694"/>
        </row>
        <row r="1695">
          <cell r="E1695" t="str">
            <v>05_Users</v>
          </cell>
          <cell r="F1695"/>
          <cell r="G1695"/>
          <cell r="H1695"/>
          <cell r="I1695"/>
          <cell r="J1695"/>
          <cell r="K1695"/>
          <cell r="L1695"/>
          <cell r="M1695"/>
          <cell r="N1695"/>
          <cell r="O1695"/>
          <cell r="P1695"/>
          <cell r="Q1695"/>
          <cell r="R1695"/>
          <cell r="S1695"/>
          <cell r="T1695"/>
          <cell r="U1695"/>
          <cell r="V1695"/>
          <cell r="W1695"/>
          <cell r="X1695"/>
          <cell r="Y1695"/>
          <cell r="Z1695"/>
          <cell r="AA1695"/>
          <cell r="AB1695"/>
          <cell r="AC1695"/>
          <cell r="AD1695"/>
          <cell r="AE1695"/>
          <cell r="AF1695"/>
          <cell r="AG1695"/>
          <cell r="AH1695"/>
          <cell r="AI1695"/>
          <cell r="AJ1695"/>
          <cell r="AK1695"/>
          <cell r="AL1695"/>
        </row>
        <row r="1696">
          <cell r="E1696" t="str">
            <v>05_Users</v>
          </cell>
          <cell r="F1696"/>
          <cell r="G1696"/>
          <cell r="H1696"/>
          <cell r="I1696"/>
          <cell r="J1696"/>
          <cell r="K1696"/>
          <cell r="L1696"/>
          <cell r="M1696"/>
          <cell r="N1696"/>
          <cell r="O1696"/>
          <cell r="P1696"/>
          <cell r="Q1696"/>
          <cell r="R1696"/>
          <cell r="S1696"/>
          <cell r="T1696"/>
          <cell r="U1696"/>
          <cell r="V1696"/>
          <cell r="W1696"/>
          <cell r="X1696"/>
          <cell r="Y1696"/>
          <cell r="Z1696"/>
          <cell r="AA1696"/>
          <cell r="AB1696"/>
          <cell r="AC1696"/>
          <cell r="AD1696"/>
          <cell r="AE1696"/>
          <cell r="AF1696"/>
          <cell r="AG1696"/>
          <cell r="AH1696"/>
          <cell r="AI1696"/>
          <cell r="AJ1696"/>
          <cell r="AK1696"/>
          <cell r="AL1696"/>
        </row>
        <row r="1697">
          <cell r="E1697" t="str">
            <v>05_Users</v>
          </cell>
          <cell r="F1697"/>
          <cell r="G1697"/>
          <cell r="H1697"/>
          <cell r="I1697"/>
          <cell r="J1697"/>
          <cell r="K1697"/>
          <cell r="L1697"/>
          <cell r="M1697"/>
          <cell r="N1697"/>
          <cell r="O1697"/>
          <cell r="P1697"/>
          <cell r="Q1697"/>
          <cell r="R1697"/>
          <cell r="S1697"/>
          <cell r="T1697"/>
          <cell r="U1697"/>
          <cell r="V1697"/>
          <cell r="W1697"/>
          <cell r="X1697"/>
          <cell r="Y1697"/>
          <cell r="Z1697"/>
          <cell r="AA1697"/>
          <cell r="AB1697"/>
          <cell r="AC1697"/>
          <cell r="AD1697"/>
          <cell r="AE1697"/>
          <cell r="AF1697"/>
          <cell r="AG1697"/>
          <cell r="AH1697"/>
          <cell r="AI1697"/>
          <cell r="AJ1697"/>
          <cell r="AK1697"/>
          <cell r="AL1697"/>
        </row>
        <row r="1698">
          <cell r="E1698" t="str">
            <v>05_Users</v>
          </cell>
          <cell r="F1698"/>
          <cell r="G1698"/>
          <cell r="H1698"/>
          <cell r="I1698"/>
          <cell r="J1698"/>
          <cell r="K1698"/>
          <cell r="L1698"/>
          <cell r="M1698"/>
          <cell r="N1698"/>
          <cell r="O1698"/>
          <cell r="P1698"/>
          <cell r="Q1698"/>
          <cell r="R1698"/>
          <cell r="S1698"/>
          <cell r="T1698"/>
          <cell r="U1698"/>
          <cell r="V1698"/>
          <cell r="W1698"/>
          <cell r="X1698"/>
          <cell r="Y1698"/>
          <cell r="Z1698"/>
          <cell r="AA1698"/>
          <cell r="AB1698"/>
          <cell r="AC1698"/>
          <cell r="AD1698"/>
          <cell r="AE1698"/>
          <cell r="AF1698"/>
          <cell r="AG1698"/>
          <cell r="AH1698"/>
          <cell r="AI1698"/>
          <cell r="AJ1698"/>
          <cell r="AK1698"/>
          <cell r="AL1698"/>
        </row>
        <row r="1699">
          <cell r="E1699" t="str">
            <v>05_Users</v>
          </cell>
          <cell r="F1699"/>
          <cell r="G1699"/>
          <cell r="H1699"/>
          <cell r="I1699"/>
          <cell r="J1699"/>
          <cell r="K1699"/>
          <cell r="L1699"/>
          <cell r="M1699"/>
          <cell r="N1699"/>
          <cell r="O1699"/>
          <cell r="P1699"/>
          <cell r="Q1699"/>
          <cell r="R1699"/>
          <cell r="S1699"/>
          <cell r="T1699"/>
          <cell r="U1699"/>
          <cell r="V1699"/>
          <cell r="W1699"/>
          <cell r="X1699"/>
          <cell r="Y1699"/>
          <cell r="Z1699"/>
          <cell r="AA1699"/>
          <cell r="AB1699"/>
          <cell r="AC1699"/>
          <cell r="AD1699"/>
          <cell r="AE1699"/>
          <cell r="AF1699"/>
          <cell r="AG1699"/>
          <cell r="AH1699"/>
          <cell r="AI1699"/>
          <cell r="AJ1699"/>
          <cell r="AK1699"/>
          <cell r="AL1699"/>
        </row>
        <row r="1700">
          <cell r="E1700" t="str">
            <v>05_Users</v>
          </cell>
          <cell r="F1700"/>
          <cell r="G1700"/>
          <cell r="H1700"/>
          <cell r="I1700"/>
          <cell r="J1700"/>
          <cell r="K1700"/>
          <cell r="L1700"/>
          <cell r="M1700"/>
          <cell r="N1700"/>
          <cell r="O1700"/>
          <cell r="P1700"/>
          <cell r="Q1700"/>
          <cell r="R1700"/>
          <cell r="S1700"/>
          <cell r="T1700"/>
          <cell r="U1700"/>
          <cell r="V1700"/>
          <cell r="W1700"/>
          <cell r="X1700"/>
          <cell r="Y1700"/>
          <cell r="Z1700"/>
          <cell r="AA1700"/>
          <cell r="AB1700"/>
          <cell r="AC1700"/>
          <cell r="AD1700"/>
          <cell r="AE1700"/>
          <cell r="AF1700"/>
          <cell r="AG1700"/>
          <cell r="AH1700"/>
          <cell r="AI1700"/>
          <cell r="AJ1700"/>
          <cell r="AK1700"/>
          <cell r="AL1700"/>
        </row>
        <row r="1701">
          <cell r="E1701" t="str">
            <v>05_Users</v>
          </cell>
          <cell r="F1701"/>
          <cell r="G1701"/>
          <cell r="H1701"/>
          <cell r="I1701"/>
          <cell r="J1701"/>
          <cell r="K1701"/>
          <cell r="L1701"/>
          <cell r="M1701"/>
          <cell r="N1701"/>
          <cell r="O1701"/>
          <cell r="P1701"/>
          <cell r="Q1701"/>
          <cell r="R1701"/>
          <cell r="S1701"/>
          <cell r="T1701"/>
          <cell r="U1701"/>
          <cell r="V1701"/>
          <cell r="W1701"/>
          <cell r="X1701"/>
          <cell r="Y1701"/>
          <cell r="Z1701"/>
          <cell r="AA1701"/>
          <cell r="AB1701"/>
          <cell r="AC1701"/>
          <cell r="AD1701"/>
          <cell r="AE1701"/>
          <cell r="AF1701"/>
          <cell r="AG1701"/>
          <cell r="AH1701"/>
          <cell r="AI1701"/>
          <cell r="AJ1701"/>
          <cell r="AK1701"/>
          <cell r="AL1701"/>
        </row>
        <row r="1702">
          <cell r="E1702" t="str">
            <v>05_Users</v>
          </cell>
          <cell r="F1702"/>
          <cell r="G1702"/>
          <cell r="H1702"/>
          <cell r="I1702"/>
          <cell r="J1702"/>
          <cell r="K1702"/>
          <cell r="L1702"/>
          <cell r="M1702"/>
          <cell r="N1702"/>
          <cell r="O1702"/>
          <cell r="P1702"/>
          <cell r="Q1702"/>
          <cell r="R1702"/>
          <cell r="S1702"/>
          <cell r="T1702"/>
          <cell r="U1702"/>
          <cell r="V1702"/>
          <cell r="W1702"/>
          <cell r="X1702"/>
          <cell r="Y1702"/>
          <cell r="Z1702"/>
          <cell r="AA1702"/>
          <cell r="AB1702"/>
          <cell r="AC1702"/>
          <cell r="AD1702"/>
          <cell r="AE1702"/>
          <cell r="AF1702"/>
          <cell r="AG1702"/>
          <cell r="AH1702"/>
          <cell r="AI1702"/>
          <cell r="AJ1702"/>
          <cell r="AK1702"/>
          <cell r="AL1702"/>
        </row>
        <row r="1703">
          <cell r="E1703" t="str">
            <v>05_Users</v>
          </cell>
          <cell r="F1703"/>
          <cell r="G1703"/>
          <cell r="H1703"/>
          <cell r="I1703"/>
          <cell r="J1703"/>
          <cell r="K1703"/>
          <cell r="L1703"/>
          <cell r="M1703"/>
          <cell r="N1703"/>
          <cell r="O1703"/>
          <cell r="P1703"/>
          <cell r="Q1703"/>
          <cell r="R1703"/>
          <cell r="S1703"/>
          <cell r="T1703"/>
          <cell r="U1703"/>
          <cell r="V1703"/>
          <cell r="W1703"/>
          <cell r="X1703"/>
          <cell r="Y1703"/>
          <cell r="Z1703"/>
          <cell r="AA1703"/>
          <cell r="AB1703"/>
          <cell r="AC1703"/>
          <cell r="AD1703"/>
          <cell r="AE1703"/>
          <cell r="AF1703"/>
          <cell r="AG1703"/>
          <cell r="AH1703"/>
          <cell r="AI1703"/>
          <cell r="AJ1703"/>
          <cell r="AK1703"/>
          <cell r="AL1703"/>
        </row>
        <row r="1704">
          <cell r="E1704" t="str">
            <v>05_Users</v>
          </cell>
          <cell r="F1704"/>
          <cell r="G1704"/>
          <cell r="H1704"/>
          <cell r="I1704"/>
          <cell r="J1704"/>
          <cell r="K1704"/>
          <cell r="L1704"/>
          <cell r="M1704"/>
          <cell r="N1704"/>
          <cell r="O1704"/>
          <cell r="P1704"/>
          <cell r="Q1704"/>
          <cell r="R1704"/>
          <cell r="S1704"/>
          <cell r="T1704"/>
          <cell r="U1704"/>
          <cell r="V1704"/>
          <cell r="W1704"/>
          <cell r="X1704"/>
          <cell r="Y1704"/>
          <cell r="Z1704"/>
          <cell r="AA1704"/>
          <cell r="AB1704"/>
          <cell r="AC1704"/>
          <cell r="AD1704"/>
          <cell r="AE1704"/>
          <cell r="AF1704"/>
          <cell r="AG1704"/>
          <cell r="AH1704"/>
          <cell r="AI1704"/>
          <cell r="AJ1704"/>
          <cell r="AK1704"/>
          <cell r="AL1704"/>
        </row>
        <row r="1705">
          <cell r="E1705" t="str">
            <v>05_Users</v>
          </cell>
          <cell r="F1705"/>
          <cell r="G1705"/>
          <cell r="H1705"/>
          <cell r="I1705"/>
          <cell r="J1705"/>
          <cell r="K1705"/>
          <cell r="L1705"/>
          <cell r="M1705"/>
          <cell r="N1705"/>
          <cell r="O1705"/>
          <cell r="P1705"/>
          <cell r="Q1705"/>
          <cell r="R1705"/>
          <cell r="S1705"/>
          <cell r="T1705"/>
          <cell r="U1705"/>
          <cell r="V1705"/>
          <cell r="W1705"/>
          <cell r="X1705"/>
          <cell r="Y1705"/>
          <cell r="Z1705"/>
          <cell r="AA1705"/>
          <cell r="AB1705"/>
          <cell r="AC1705"/>
          <cell r="AD1705"/>
          <cell r="AE1705"/>
          <cell r="AF1705"/>
          <cell r="AG1705"/>
          <cell r="AH1705"/>
          <cell r="AI1705"/>
          <cell r="AJ1705"/>
          <cell r="AK1705"/>
          <cell r="AL1705"/>
        </row>
        <row r="1706">
          <cell r="E1706" t="str">
            <v>05_Users</v>
          </cell>
          <cell r="F1706"/>
          <cell r="G1706"/>
          <cell r="H1706"/>
          <cell r="I1706"/>
          <cell r="J1706"/>
          <cell r="K1706"/>
          <cell r="L1706"/>
          <cell r="M1706"/>
          <cell r="N1706"/>
          <cell r="O1706"/>
          <cell r="P1706"/>
          <cell r="Q1706"/>
          <cell r="R1706"/>
          <cell r="S1706"/>
          <cell r="T1706"/>
          <cell r="U1706"/>
          <cell r="V1706"/>
          <cell r="W1706"/>
          <cell r="X1706"/>
          <cell r="Y1706"/>
          <cell r="Z1706"/>
          <cell r="AA1706"/>
          <cell r="AB1706"/>
          <cell r="AC1706"/>
          <cell r="AD1706"/>
          <cell r="AE1706"/>
          <cell r="AF1706"/>
          <cell r="AG1706"/>
          <cell r="AH1706"/>
          <cell r="AI1706"/>
          <cell r="AJ1706"/>
          <cell r="AK1706"/>
          <cell r="AL1706"/>
        </row>
        <row r="1707">
          <cell r="E1707" t="str">
            <v>05_Users</v>
          </cell>
          <cell r="F1707"/>
          <cell r="G1707"/>
          <cell r="H1707"/>
          <cell r="I1707"/>
          <cell r="J1707"/>
          <cell r="K1707"/>
          <cell r="L1707"/>
          <cell r="M1707"/>
          <cell r="N1707"/>
          <cell r="O1707"/>
          <cell r="P1707"/>
          <cell r="Q1707"/>
          <cell r="R1707"/>
          <cell r="S1707"/>
          <cell r="T1707"/>
          <cell r="U1707"/>
          <cell r="V1707"/>
          <cell r="W1707"/>
          <cell r="X1707"/>
          <cell r="Y1707"/>
          <cell r="Z1707"/>
          <cell r="AA1707"/>
          <cell r="AB1707"/>
          <cell r="AC1707"/>
          <cell r="AD1707"/>
          <cell r="AE1707"/>
          <cell r="AF1707"/>
          <cell r="AG1707"/>
          <cell r="AH1707"/>
          <cell r="AI1707"/>
          <cell r="AJ1707"/>
          <cell r="AK1707"/>
          <cell r="AL1707"/>
        </row>
        <row r="1708">
          <cell r="E1708" t="str">
            <v>05_Users</v>
          </cell>
          <cell r="F1708"/>
          <cell r="G1708"/>
          <cell r="H1708"/>
          <cell r="I1708"/>
          <cell r="J1708"/>
          <cell r="K1708"/>
          <cell r="L1708"/>
          <cell r="M1708"/>
          <cell r="N1708"/>
          <cell r="O1708"/>
          <cell r="P1708"/>
          <cell r="Q1708"/>
          <cell r="R1708"/>
          <cell r="S1708"/>
          <cell r="T1708"/>
          <cell r="U1708"/>
          <cell r="V1708"/>
          <cell r="W1708"/>
          <cell r="X1708"/>
          <cell r="Y1708"/>
          <cell r="Z1708"/>
          <cell r="AA1708"/>
          <cell r="AB1708"/>
          <cell r="AC1708"/>
          <cell r="AD1708"/>
          <cell r="AE1708"/>
          <cell r="AF1708"/>
          <cell r="AG1708"/>
          <cell r="AH1708"/>
          <cell r="AI1708"/>
          <cell r="AJ1708"/>
          <cell r="AK1708"/>
          <cell r="AL1708"/>
        </row>
        <row r="1709">
          <cell r="E1709" t="str">
            <v>05_Users</v>
          </cell>
          <cell r="F1709"/>
          <cell r="G1709"/>
          <cell r="H1709"/>
          <cell r="I1709"/>
          <cell r="J1709"/>
          <cell r="K1709"/>
          <cell r="L1709"/>
          <cell r="M1709"/>
          <cell r="N1709"/>
          <cell r="O1709"/>
          <cell r="P1709"/>
          <cell r="Q1709"/>
          <cell r="R1709"/>
          <cell r="S1709"/>
          <cell r="T1709"/>
          <cell r="U1709"/>
          <cell r="V1709"/>
          <cell r="W1709"/>
          <cell r="X1709"/>
          <cell r="Y1709"/>
          <cell r="Z1709"/>
          <cell r="AA1709"/>
          <cell r="AB1709"/>
          <cell r="AC1709"/>
          <cell r="AD1709"/>
          <cell r="AE1709"/>
          <cell r="AF1709"/>
          <cell r="AG1709"/>
          <cell r="AH1709"/>
          <cell r="AI1709"/>
          <cell r="AJ1709"/>
          <cell r="AK1709"/>
          <cell r="AL1709"/>
        </row>
        <row r="1710">
          <cell r="E1710" t="str">
            <v>05_Users</v>
          </cell>
          <cell r="F1710"/>
          <cell r="G1710"/>
          <cell r="H1710"/>
          <cell r="I1710"/>
          <cell r="J1710"/>
          <cell r="K1710"/>
          <cell r="L1710"/>
          <cell r="M1710"/>
          <cell r="N1710"/>
          <cell r="O1710"/>
          <cell r="P1710"/>
          <cell r="Q1710"/>
          <cell r="R1710"/>
          <cell r="S1710"/>
          <cell r="T1710"/>
          <cell r="U1710"/>
          <cell r="V1710"/>
          <cell r="W1710"/>
          <cell r="X1710"/>
          <cell r="Y1710"/>
          <cell r="Z1710"/>
          <cell r="AA1710"/>
          <cell r="AB1710"/>
          <cell r="AC1710"/>
          <cell r="AD1710"/>
          <cell r="AE1710"/>
          <cell r="AF1710"/>
          <cell r="AG1710"/>
          <cell r="AH1710"/>
          <cell r="AI1710"/>
          <cell r="AJ1710"/>
          <cell r="AK1710"/>
          <cell r="AL1710"/>
        </row>
        <row r="1711">
          <cell r="E1711" t="str">
            <v>05_Users</v>
          </cell>
          <cell r="F1711"/>
          <cell r="G1711"/>
          <cell r="H1711"/>
          <cell r="I1711"/>
          <cell r="J1711"/>
          <cell r="K1711"/>
          <cell r="L1711"/>
          <cell r="M1711"/>
          <cell r="N1711"/>
          <cell r="O1711"/>
          <cell r="P1711"/>
          <cell r="Q1711"/>
          <cell r="R1711"/>
          <cell r="S1711"/>
          <cell r="T1711"/>
          <cell r="U1711"/>
          <cell r="V1711"/>
          <cell r="W1711"/>
          <cell r="X1711"/>
          <cell r="Y1711"/>
          <cell r="Z1711"/>
          <cell r="AA1711"/>
          <cell r="AB1711"/>
          <cell r="AC1711"/>
          <cell r="AD1711"/>
          <cell r="AE1711"/>
          <cell r="AF1711"/>
          <cell r="AG1711"/>
          <cell r="AH1711"/>
          <cell r="AI1711"/>
          <cell r="AJ1711"/>
          <cell r="AK1711"/>
          <cell r="AL1711"/>
        </row>
        <row r="1712">
          <cell r="E1712" t="str">
            <v>05_Users</v>
          </cell>
          <cell r="F1712"/>
          <cell r="G1712"/>
          <cell r="H1712"/>
          <cell r="I1712"/>
          <cell r="J1712"/>
          <cell r="K1712"/>
          <cell r="L1712"/>
          <cell r="M1712"/>
          <cell r="N1712"/>
          <cell r="O1712"/>
          <cell r="P1712"/>
          <cell r="Q1712"/>
          <cell r="R1712"/>
          <cell r="S1712"/>
          <cell r="T1712"/>
          <cell r="U1712"/>
          <cell r="V1712"/>
          <cell r="W1712"/>
          <cell r="X1712"/>
          <cell r="Y1712"/>
          <cell r="Z1712"/>
          <cell r="AA1712"/>
          <cell r="AB1712"/>
          <cell r="AC1712"/>
          <cell r="AD1712"/>
          <cell r="AE1712"/>
          <cell r="AF1712"/>
          <cell r="AG1712"/>
          <cell r="AH1712"/>
          <cell r="AI1712"/>
          <cell r="AJ1712"/>
          <cell r="AK1712"/>
          <cell r="AL1712"/>
        </row>
        <row r="1713">
          <cell r="E1713" t="str">
            <v>05_Users</v>
          </cell>
          <cell r="F1713"/>
          <cell r="G1713"/>
          <cell r="H1713"/>
          <cell r="I1713"/>
          <cell r="J1713"/>
          <cell r="K1713"/>
          <cell r="L1713"/>
          <cell r="M1713"/>
          <cell r="N1713"/>
          <cell r="O1713"/>
          <cell r="P1713"/>
          <cell r="Q1713"/>
          <cell r="R1713"/>
          <cell r="S1713"/>
          <cell r="T1713"/>
          <cell r="U1713"/>
          <cell r="V1713"/>
          <cell r="W1713"/>
          <cell r="X1713"/>
          <cell r="Y1713"/>
          <cell r="Z1713"/>
          <cell r="AA1713"/>
          <cell r="AB1713"/>
          <cell r="AC1713"/>
          <cell r="AD1713"/>
          <cell r="AE1713"/>
          <cell r="AF1713"/>
          <cell r="AG1713"/>
          <cell r="AH1713"/>
          <cell r="AI1713"/>
          <cell r="AJ1713"/>
          <cell r="AK1713"/>
          <cell r="AL1713"/>
        </row>
        <row r="1714">
          <cell r="E1714" t="str">
            <v>05_Users</v>
          </cell>
          <cell r="F1714"/>
          <cell r="G1714"/>
          <cell r="H1714"/>
          <cell r="I1714"/>
          <cell r="J1714"/>
          <cell r="K1714"/>
          <cell r="L1714"/>
          <cell r="M1714"/>
          <cell r="N1714"/>
          <cell r="O1714"/>
          <cell r="P1714"/>
          <cell r="Q1714"/>
          <cell r="R1714"/>
          <cell r="S1714"/>
          <cell r="T1714"/>
          <cell r="U1714"/>
          <cell r="V1714"/>
          <cell r="W1714"/>
          <cell r="X1714"/>
          <cell r="Y1714"/>
          <cell r="Z1714"/>
          <cell r="AA1714"/>
          <cell r="AB1714"/>
          <cell r="AC1714"/>
          <cell r="AD1714"/>
          <cell r="AE1714"/>
          <cell r="AF1714"/>
          <cell r="AG1714"/>
          <cell r="AH1714"/>
          <cell r="AI1714"/>
          <cell r="AJ1714"/>
          <cell r="AK1714"/>
          <cell r="AL1714"/>
        </row>
        <row r="1715">
          <cell r="E1715" t="str">
            <v>05_Users</v>
          </cell>
          <cell r="F1715"/>
          <cell r="G1715"/>
          <cell r="H1715"/>
          <cell r="I1715"/>
          <cell r="J1715"/>
          <cell r="K1715"/>
          <cell r="L1715"/>
          <cell r="M1715"/>
          <cell r="N1715"/>
          <cell r="O1715"/>
          <cell r="P1715"/>
          <cell r="Q1715"/>
          <cell r="R1715"/>
          <cell r="S1715"/>
          <cell r="T1715"/>
          <cell r="U1715"/>
          <cell r="V1715"/>
          <cell r="W1715"/>
          <cell r="X1715"/>
          <cell r="Y1715"/>
          <cell r="Z1715"/>
          <cell r="AA1715"/>
          <cell r="AB1715"/>
          <cell r="AC1715"/>
          <cell r="AD1715"/>
          <cell r="AE1715"/>
          <cell r="AF1715"/>
          <cell r="AG1715"/>
          <cell r="AH1715"/>
          <cell r="AI1715"/>
          <cell r="AJ1715"/>
          <cell r="AK1715"/>
          <cell r="AL1715"/>
        </row>
        <row r="1716">
          <cell r="E1716" t="str">
            <v>05_Users</v>
          </cell>
          <cell r="F1716"/>
          <cell r="G1716"/>
          <cell r="H1716"/>
          <cell r="I1716"/>
          <cell r="J1716"/>
          <cell r="K1716"/>
          <cell r="L1716"/>
          <cell r="M1716"/>
          <cell r="N1716"/>
          <cell r="O1716"/>
          <cell r="P1716"/>
          <cell r="Q1716"/>
          <cell r="R1716"/>
          <cell r="S1716"/>
          <cell r="T1716"/>
          <cell r="U1716"/>
          <cell r="V1716"/>
          <cell r="W1716"/>
          <cell r="X1716"/>
          <cell r="Y1716"/>
          <cell r="Z1716"/>
          <cell r="AA1716"/>
          <cell r="AB1716"/>
          <cell r="AC1716"/>
          <cell r="AD1716"/>
          <cell r="AE1716"/>
          <cell r="AF1716"/>
          <cell r="AG1716"/>
          <cell r="AH1716"/>
          <cell r="AI1716"/>
          <cell r="AJ1716"/>
          <cell r="AK1716"/>
          <cell r="AL1716"/>
        </row>
        <row r="1717">
          <cell r="E1717" t="str">
            <v>05_Users</v>
          </cell>
          <cell r="F1717"/>
          <cell r="G1717"/>
          <cell r="H1717"/>
          <cell r="I1717"/>
          <cell r="J1717"/>
          <cell r="K1717"/>
          <cell r="L1717"/>
          <cell r="M1717"/>
          <cell r="N1717"/>
          <cell r="O1717"/>
          <cell r="P1717"/>
          <cell r="Q1717"/>
          <cell r="R1717"/>
          <cell r="S1717"/>
          <cell r="T1717"/>
          <cell r="U1717"/>
          <cell r="V1717"/>
          <cell r="W1717"/>
          <cell r="X1717"/>
          <cell r="Y1717"/>
          <cell r="Z1717"/>
          <cell r="AA1717"/>
          <cell r="AB1717"/>
          <cell r="AC1717"/>
          <cell r="AD1717"/>
          <cell r="AE1717"/>
          <cell r="AF1717"/>
          <cell r="AG1717"/>
          <cell r="AH1717"/>
          <cell r="AI1717"/>
          <cell r="AJ1717"/>
          <cell r="AK1717"/>
          <cell r="AL1717"/>
        </row>
        <row r="1718">
          <cell r="E1718" t="str">
            <v>05_Users</v>
          </cell>
          <cell r="F1718"/>
          <cell r="G1718"/>
          <cell r="H1718"/>
          <cell r="I1718"/>
          <cell r="J1718"/>
          <cell r="K1718"/>
          <cell r="L1718"/>
          <cell r="M1718"/>
          <cell r="N1718"/>
          <cell r="O1718"/>
          <cell r="P1718"/>
          <cell r="Q1718"/>
          <cell r="R1718"/>
          <cell r="S1718"/>
          <cell r="T1718"/>
          <cell r="U1718"/>
          <cell r="V1718"/>
          <cell r="W1718"/>
          <cell r="X1718"/>
          <cell r="Y1718"/>
          <cell r="Z1718"/>
          <cell r="AA1718"/>
          <cell r="AB1718"/>
          <cell r="AC1718"/>
          <cell r="AD1718"/>
          <cell r="AE1718"/>
          <cell r="AF1718"/>
          <cell r="AG1718"/>
          <cell r="AH1718"/>
          <cell r="AI1718"/>
          <cell r="AJ1718"/>
          <cell r="AK1718"/>
          <cell r="AL1718"/>
        </row>
        <row r="1719">
          <cell r="E1719" t="str">
            <v>05_Users</v>
          </cell>
          <cell r="F1719"/>
          <cell r="G1719"/>
          <cell r="H1719"/>
          <cell r="I1719"/>
          <cell r="J1719"/>
          <cell r="K1719"/>
          <cell r="L1719"/>
          <cell r="M1719"/>
          <cell r="N1719"/>
          <cell r="O1719"/>
          <cell r="P1719"/>
          <cell r="Q1719"/>
          <cell r="R1719"/>
          <cell r="S1719"/>
          <cell r="T1719"/>
          <cell r="U1719"/>
          <cell r="V1719"/>
          <cell r="W1719"/>
          <cell r="X1719"/>
          <cell r="Y1719"/>
          <cell r="Z1719"/>
          <cell r="AA1719"/>
          <cell r="AB1719"/>
          <cell r="AC1719"/>
          <cell r="AD1719"/>
          <cell r="AE1719"/>
          <cell r="AF1719"/>
          <cell r="AG1719"/>
          <cell r="AH1719"/>
          <cell r="AI1719"/>
          <cell r="AJ1719"/>
          <cell r="AK1719"/>
          <cell r="AL1719"/>
        </row>
        <row r="1720">
          <cell r="E1720" t="str">
            <v>05_Users</v>
          </cell>
          <cell r="F1720"/>
          <cell r="G1720"/>
          <cell r="H1720"/>
          <cell r="I1720"/>
          <cell r="J1720"/>
          <cell r="K1720"/>
          <cell r="L1720"/>
          <cell r="M1720"/>
          <cell r="N1720"/>
          <cell r="O1720"/>
          <cell r="P1720"/>
          <cell r="Q1720"/>
          <cell r="R1720"/>
          <cell r="S1720"/>
          <cell r="T1720"/>
          <cell r="U1720"/>
          <cell r="V1720"/>
          <cell r="W1720"/>
          <cell r="X1720"/>
          <cell r="Y1720"/>
          <cell r="Z1720"/>
          <cell r="AA1720"/>
          <cell r="AB1720"/>
          <cell r="AC1720"/>
          <cell r="AD1720"/>
          <cell r="AE1720"/>
          <cell r="AF1720"/>
          <cell r="AG1720"/>
          <cell r="AH1720"/>
          <cell r="AI1720"/>
          <cell r="AJ1720"/>
          <cell r="AK1720"/>
          <cell r="AL1720"/>
        </row>
        <row r="1721">
          <cell r="E1721" t="str">
            <v>05_Users</v>
          </cell>
          <cell r="F1721"/>
          <cell r="G1721"/>
          <cell r="H1721"/>
          <cell r="I1721"/>
          <cell r="J1721"/>
          <cell r="K1721"/>
          <cell r="L1721"/>
          <cell r="M1721"/>
          <cell r="N1721"/>
          <cell r="O1721"/>
          <cell r="P1721"/>
          <cell r="Q1721"/>
          <cell r="R1721"/>
          <cell r="S1721"/>
          <cell r="T1721"/>
          <cell r="U1721"/>
          <cell r="V1721"/>
          <cell r="W1721"/>
          <cell r="X1721"/>
          <cell r="Y1721"/>
          <cell r="Z1721"/>
          <cell r="AA1721"/>
          <cell r="AB1721"/>
          <cell r="AC1721"/>
          <cell r="AD1721"/>
          <cell r="AE1721"/>
          <cell r="AF1721"/>
          <cell r="AG1721"/>
          <cell r="AH1721"/>
          <cell r="AI1721"/>
          <cell r="AJ1721"/>
          <cell r="AK1721"/>
          <cell r="AL1721"/>
        </row>
        <row r="1722">
          <cell r="E1722" t="str">
            <v>05_Users</v>
          </cell>
          <cell r="F1722"/>
          <cell r="G1722"/>
          <cell r="H1722"/>
          <cell r="I1722"/>
          <cell r="J1722"/>
          <cell r="K1722"/>
          <cell r="L1722"/>
          <cell r="M1722"/>
          <cell r="N1722"/>
          <cell r="O1722"/>
          <cell r="P1722"/>
          <cell r="Q1722"/>
          <cell r="R1722"/>
          <cell r="S1722"/>
          <cell r="T1722"/>
          <cell r="U1722"/>
          <cell r="V1722"/>
          <cell r="W1722"/>
          <cell r="X1722"/>
          <cell r="Y1722"/>
          <cell r="Z1722"/>
          <cell r="AA1722"/>
          <cell r="AB1722"/>
          <cell r="AC1722"/>
          <cell r="AD1722"/>
          <cell r="AE1722"/>
          <cell r="AF1722"/>
          <cell r="AG1722"/>
          <cell r="AH1722"/>
          <cell r="AI1722"/>
          <cell r="AJ1722"/>
          <cell r="AK1722"/>
          <cell r="AL1722"/>
        </row>
        <row r="1723">
          <cell r="E1723" t="str">
            <v>05_Users</v>
          </cell>
          <cell r="F1723"/>
          <cell r="G1723"/>
          <cell r="H1723"/>
          <cell r="I1723"/>
          <cell r="J1723"/>
          <cell r="K1723"/>
          <cell r="L1723"/>
          <cell r="M1723"/>
          <cell r="N1723"/>
          <cell r="O1723"/>
          <cell r="P1723"/>
          <cell r="Q1723"/>
          <cell r="R1723"/>
          <cell r="S1723"/>
          <cell r="T1723"/>
          <cell r="U1723"/>
          <cell r="V1723"/>
          <cell r="W1723"/>
          <cell r="X1723"/>
          <cell r="Y1723"/>
          <cell r="Z1723"/>
          <cell r="AA1723"/>
          <cell r="AB1723"/>
          <cell r="AC1723"/>
          <cell r="AD1723"/>
          <cell r="AE1723"/>
          <cell r="AF1723"/>
          <cell r="AG1723"/>
          <cell r="AH1723"/>
          <cell r="AI1723"/>
          <cell r="AJ1723"/>
          <cell r="AK1723"/>
          <cell r="AL1723"/>
        </row>
        <row r="1724">
          <cell r="E1724" t="str">
            <v>05_Users</v>
          </cell>
          <cell r="F1724"/>
          <cell r="G1724"/>
          <cell r="H1724"/>
          <cell r="I1724"/>
          <cell r="J1724"/>
          <cell r="K1724"/>
          <cell r="L1724"/>
          <cell r="M1724"/>
          <cell r="N1724"/>
          <cell r="O1724"/>
          <cell r="P1724"/>
          <cell r="Q1724"/>
          <cell r="R1724"/>
          <cell r="S1724"/>
          <cell r="T1724"/>
          <cell r="U1724"/>
          <cell r="V1724"/>
          <cell r="W1724"/>
          <cell r="X1724"/>
          <cell r="Y1724"/>
          <cell r="Z1724"/>
          <cell r="AA1724"/>
          <cell r="AB1724"/>
          <cell r="AC1724"/>
          <cell r="AD1724"/>
          <cell r="AE1724"/>
          <cell r="AF1724"/>
          <cell r="AG1724"/>
          <cell r="AH1724"/>
          <cell r="AI1724"/>
          <cell r="AJ1724"/>
          <cell r="AK1724"/>
          <cell r="AL1724"/>
        </row>
        <row r="1725">
          <cell r="E1725" t="str">
            <v>05_Users</v>
          </cell>
          <cell r="F1725"/>
          <cell r="G1725"/>
          <cell r="H1725"/>
          <cell r="I1725"/>
          <cell r="J1725"/>
          <cell r="K1725"/>
          <cell r="L1725"/>
          <cell r="M1725"/>
          <cell r="N1725"/>
          <cell r="O1725"/>
          <cell r="P1725"/>
          <cell r="Q1725"/>
          <cell r="R1725"/>
          <cell r="S1725"/>
          <cell r="T1725"/>
          <cell r="U1725"/>
          <cell r="V1725"/>
          <cell r="W1725"/>
          <cell r="X1725"/>
          <cell r="Y1725"/>
          <cell r="Z1725"/>
          <cell r="AA1725"/>
          <cell r="AB1725"/>
          <cell r="AC1725"/>
          <cell r="AD1725"/>
          <cell r="AE1725"/>
          <cell r="AF1725"/>
          <cell r="AG1725"/>
          <cell r="AH1725"/>
          <cell r="AI1725"/>
          <cell r="AJ1725"/>
          <cell r="AK1725"/>
          <cell r="AL1725"/>
        </row>
        <row r="1726">
          <cell r="E1726" t="str">
            <v>05_Users</v>
          </cell>
          <cell r="F1726"/>
          <cell r="G1726"/>
          <cell r="H1726"/>
          <cell r="I1726"/>
          <cell r="J1726"/>
          <cell r="K1726"/>
          <cell r="L1726"/>
          <cell r="M1726"/>
          <cell r="N1726"/>
          <cell r="O1726"/>
          <cell r="P1726"/>
          <cell r="Q1726"/>
          <cell r="R1726"/>
          <cell r="S1726"/>
          <cell r="T1726"/>
          <cell r="U1726"/>
          <cell r="V1726"/>
          <cell r="W1726"/>
          <cell r="X1726"/>
          <cell r="Y1726"/>
          <cell r="Z1726"/>
          <cell r="AA1726"/>
          <cell r="AB1726"/>
          <cell r="AC1726"/>
          <cell r="AD1726"/>
          <cell r="AE1726"/>
          <cell r="AF1726"/>
          <cell r="AG1726"/>
          <cell r="AH1726"/>
          <cell r="AI1726"/>
          <cell r="AJ1726"/>
          <cell r="AK1726"/>
          <cell r="AL1726"/>
        </row>
        <row r="1727">
          <cell r="E1727" t="str">
            <v>05_Users</v>
          </cell>
          <cell r="F1727"/>
          <cell r="G1727"/>
          <cell r="H1727"/>
          <cell r="I1727"/>
          <cell r="J1727"/>
          <cell r="K1727"/>
          <cell r="L1727"/>
          <cell r="M1727"/>
          <cell r="N1727"/>
          <cell r="O1727"/>
          <cell r="P1727"/>
          <cell r="Q1727"/>
          <cell r="R1727"/>
          <cell r="S1727"/>
          <cell r="T1727"/>
          <cell r="U1727"/>
          <cell r="V1727"/>
          <cell r="W1727"/>
          <cell r="X1727"/>
          <cell r="Y1727"/>
          <cell r="Z1727"/>
          <cell r="AA1727"/>
          <cell r="AB1727"/>
          <cell r="AC1727"/>
          <cell r="AD1727"/>
          <cell r="AE1727"/>
          <cell r="AF1727"/>
          <cell r="AG1727"/>
          <cell r="AH1727"/>
          <cell r="AI1727"/>
          <cell r="AJ1727"/>
          <cell r="AK1727"/>
          <cell r="AL1727"/>
        </row>
        <row r="1728">
          <cell r="E1728" t="str">
            <v>05_Users</v>
          </cell>
          <cell r="F1728"/>
          <cell r="G1728"/>
          <cell r="H1728"/>
          <cell r="I1728"/>
          <cell r="J1728"/>
          <cell r="K1728"/>
          <cell r="L1728"/>
          <cell r="M1728"/>
          <cell r="N1728"/>
          <cell r="O1728"/>
          <cell r="P1728"/>
          <cell r="Q1728"/>
          <cell r="R1728"/>
          <cell r="S1728"/>
          <cell r="T1728"/>
          <cell r="U1728"/>
          <cell r="V1728"/>
          <cell r="W1728"/>
          <cell r="X1728"/>
          <cell r="Y1728"/>
          <cell r="Z1728"/>
          <cell r="AA1728"/>
          <cell r="AB1728"/>
          <cell r="AC1728"/>
          <cell r="AD1728"/>
          <cell r="AE1728"/>
          <cell r="AF1728"/>
          <cell r="AG1728"/>
          <cell r="AH1728"/>
          <cell r="AI1728"/>
          <cell r="AJ1728"/>
          <cell r="AK1728"/>
          <cell r="AL1728"/>
        </row>
        <row r="1729">
          <cell r="E1729" t="str">
            <v>05_Users</v>
          </cell>
          <cell r="F1729"/>
          <cell r="G1729"/>
          <cell r="H1729"/>
          <cell r="I1729"/>
          <cell r="J1729"/>
          <cell r="K1729"/>
          <cell r="L1729"/>
          <cell r="M1729"/>
          <cell r="N1729"/>
          <cell r="O1729"/>
          <cell r="P1729"/>
          <cell r="Q1729"/>
          <cell r="R1729"/>
          <cell r="S1729"/>
          <cell r="T1729"/>
          <cell r="U1729"/>
          <cell r="V1729"/>
          <cell r="W1729"/>
          <cell r="X1729"/>
          <cell r="Y1729"/>
          <cell r="Z1729"/>
          <cell r="AA1729"/>
          <cell r="AB1729"/>
          <cell r="AC1729"/>
          <cell r="AD1729"/>
          <cell r="AE1729"/>
          <cell r="AF1729"/>
          <cell r="AG1729"/>
          <cell r="AH1729"/>
          <cell r="AI1729"/>
          <cell r="AJ1729"/>
          <cell r="AK1729"/>
          <cell r="AL1729"/>
        </row>
        <row r="1730">
          <cell r="E1730" t="str">
            <v>05_Users</v>
          </cell>
          <cell r="F1730"/>
          <cell r="G1730"/>
          <cell r="H1730"/>
          <cell r="I1730"/>
          <cell r="J1730"/>
          <cell r="K1730"/>
          <cell r="L1730"/>
          <cell r="M1730"/>
          <cell r="N1730"/>
          <cell r="O1730"/>
          <cell r="P1730"/>
          <cell r="Q1730"/>
          <cell r="R1730"/>
          <cell r="S1730"/>
          <cell r="T1730"/>
          <cell r="U1730"/>
          <cell r="V1730"/>
          <cell r="W1730"/>
          <cell r="X1730"/>
          <cell r="Y1730"/>
          <cell r="Z1730"/>
          <cell r="AA1730"/>
          <cell r="AB1730"/>
          <cell r="AC1730"/>
          <cell r="AD1730"/>
          <cell r="AE1730"/>
          <cell r="AF1730"/>
          <cell r="AG1730"/>
          <cell r="AH1730"/>
          <cell r="AI1730"/>
          <cell r="AJ1730"/>
          <cell r="AK1730"/>
          <cell r="AL1730"/>
        </row>
        <row r="1731">
          <cell r="E1731" t="str">
            <v>05_Users</v>
          </cell>
          <cell r="F1731"/>
          <cell r="G1731"/>
          <cell r="H1731"/>
          <cell r="I1731"/>
          <cell r="J1731"/>
          <cell r="K1731"/>
          <cell r="L1731"/>
          <cell r="M1731"/>
          <cell r="N1731"/>
          <cell r="O1731"/>
          <cell r="P1731"/>
          <cell r="Q1731"/>
          <cell r="R1731"/>
          <cell r="S1731"/>
          <cell r="T1731"/>
          <cell r="U1731"/>
          <cell r="V1731"/>
          <cell r="W1731"/>
          <cell r="X1731"/>
          <cell r="Y1731"/>
          <cell r="Z1731"/>
          <cell r="AA1731"/>
          <cell r="AB1731"/>
          <cell r="AC1731"/>
          <cell r="AD1731"/>
          <cell r="AE1731"/>
          <cell r="AF1731"/>
          <cell r="AG1731"/>
          <cell r="AH1731"/>
          <cell r="AI1731"/>
          <cell r="AJ1731"/>
          <cell r="AK1731"/>
          <cell r="AL1731"/>
        </row>
        <row r="1732">
          <cell r="E1732"/>
          <cell r="F1732"/>
          <cell r="G1732"/>
          <cell r="H1732"/>
          <cell r="I1732"/>
          <cell r="J1732"/>
          <cell r="K1732"/>
          <cell r="L1732"/>
          <cell r="M1732"/>
          <cell r="N1732"/>
          <cell r="O1732"/>
          <cell r="P1732"/>
          <cell r="Q1732"/>
          <cell r="R1732"/>
          <cell r="S1732"/>
          <cell r="T1732"/>
          <cell r="U1732"/>
          <cell r="V1732"/>
          <cell r="W1732"/>
          <cell r="X1732"/>
          <cell r="Y1732"/>
          <cell r="Z1732"/>
          <cell r="AA1732"/>
          <cell r="AB1732"/>
          <cell r="AC1732"/>
          <cell r="AD1732"/>
          <cell r="AE1732"/>
          <cell r="AF1732"/>
          <cell r="AG1732"/>
          <cell r="AH1732"/>
          <cell r="AI1732"/>
          <cell r="AJ1732"/>
          <cell r="AK1732"/>
          <cell r="AL1732"/>
        </row>
        <row r="1733">
          <cell r="E1733"/>
          <cell r="F1733"/>
          <cell r="G1733"/>
          <cell r="H1733"/>
          <cell r="I1733"/>
          <cell r="J1733"/>
          <cell r="K1733"/>
          <cell r="L1733"/>
          <cell r="M1733"/>
          <cell r="N1733"/>
          <cell r="O1733"/>
          <cell r="P1733"/>
          <cell r="Q1733"/>
          <cell r="R1733"/>
          <cell r="S1733"/>
          <cell r="T1733"/>
          <cell r="U1733"/>
          <cell r="V1733"/>
          <cell r="W1733"/>
          <cell r="X1733"/>
          <cell r="Y1733"/>
          <cell r="Z1733"/>
          <cell r="AA1733"/>
          <cell r="AB1733"/>
          <cell r="AC1733"/>
          <cell r="AD1733"/>
          <cell r="AE1733"/>
          <cell r="AF1733"/>
          <cell r="AG1733"/>
          <cell r="AH1733"/>
          <cell r="AI1733"/>
          <cell r="AJ1733"/>
          <cell r="AK1733"/>
          <cell r="AL1733"/>
        </row>
        <row r="1734">
          <cell r="E1734" t="str">
            <v>TR1φ50Hz  10KVA</v>
          </cell>
          <cell r="F1734" t="str">
            <v>台</v>
          </cell>
          <cell r="G1734"/>
          <cell r="H1734">
            <v>161000</v>
          </cell>
          <cell r="I1734"/>
          <cell r="J1734">
            <v>161000</v>
          </cell>
          <cell r="K1734"/>
          <cell r="L1734">
            <v>161000</v>
          </cell>
          <cell r="M1734"/>
          <cell r="N1734">
            <v>161000</v>
          </cell>
          <cell r="O1734"/>
          <cell r="P1734">
            <v>161000</v>
          </cell>
          <cell r="Q1734"/>
          <cell r="R1734">
            <v>161000</v>
          </cell>
          <cell r="S1734"/>
          <cell r="T1734">
            <v>161000</v>
          </cell>
          <cell r="U1734"/>
          <cell r="V1734">
            <v>161000</v>
          </cell>
          <cell r="W1734"/>
          <cell r="X1734">
            <v>161000</v>
          </cell>
          <cell r="Y1734"/>
          <cell r="Z1734">
            <v>161000</v>
          </cell>
          <cell r="AA1734"/>
          <cell r="AB1734"/>
          <cell r="AC1734"/>
          <cell r="AD1734">
            <v>0.92</v>
          </cell>
          <cell r="AE1734"/>
          <cell r="AF1734"/>
          <cell r="AG1734"/>
          <cell r="AH1734"/>
          <cell r="AI1734"/>
          <cell r="AJ1734"/>
          <cell r="AK1734"/>
          <cell r="AL1734"/>
        </row>
        <row r="1735">
          <cell r="E1735" t="str">
            <v>TR1φ50Hz  20KVA</v>
          </cell>
          <cell r="F1735" t="str">
            <v>台</v>
          </cell>
          <cell r="G1735"/>
          <cell r="H1735">
            <v>190000</v>
          </cell>
          <cell r="I1735"/>
          <cell r="J1735">
            <v>190000</v>
          </cell>
          <cell r="K1735"/>
          <cell r="L1735">
            <v>190000</v>
          </cell>
          <cell r="M1735"/>
          <cell r="N1735">
            <v>190000</v>
          </cell>
          <cell r="O1735"/>
          <cell r="P1735">
            <v>190000</v>
          </cell>
          <cell r="Q1735"/>
          <cell r="R1735">
            <v>190000</v>
          </cell>
          <cell r="S1735"/>
          <cell r="T1735">
            <v>190000</v>
          </cell>
          <cell r="U1735"/>
          <cell r="V1735">
            <v>190000</v>
          </cell>
          <cell r="W1735"/>
          <cell r="X1735">
            <v>190000</v>
          </cell>
          <cell r="Y1735"/>
          <cell r="Z1735">
            <v>190000</v>
          </cell>
          <cell r="AA1735"/>
          <cell r="AB1735"/>
          <cell r="AC1735"/>
          <cell r="AD1735">
            <v>1.5580000000000001</v>
          </cell>
          <cell r="AE1735"/>
          <cell r="AF1735"/>
          <cell r="AG1735"/>
          <cell r="AH1735"/>
          <cell r="AI1735"/>
          <cell r="AJ1735"/>
          <cell r="AK1735"/>
          <cell r="AL1735"/>
        </row>
        <row r="1736">
          <cell r="E1736" t="str">
            <v>TR1φ50Hz  30KVA</v>
          </cell>
          <cell r="F1736" t="str">
            <v>台</v>
          </cell>
          <cell r="G1736"/>
          <cell r="H1736">
            <v>225000</v>
          </cell>
          <cell r="I1736"/>
          <cell r="J1736">
            <v>225000</v>
          </cell>
          <cell r="K1736"/>
          <cell r="L1736">
            <v>225000</v>
          </cell>
          <cell r="M1736"/>
          <cell r="N1736">
            <v>225000</v>
          </cell>
          <cell r="O1736"/>
          <cell r="P1736">
            <v>225000</v>
          </cell>
          <cell r="Q1736"/>
          <cell r="R1736">
            <v>225000</v>
          </cell>
          <cell r="S1736"/>
          <cell r="T1736">
            <v>225000</v>
          </cell>
          <cell r="U1736"/>
          <cell r="V1736">
            <v>225000</v>
          </cell>
          <cell r="W1736"/>
          <cell r="X1736">
            <v>225000</v>
          </cell>
          <cell r="Y1736"/>
          <cell r="Z1736">
            <v>225000</v>
          </cell>
          <cell r="AA1736"/>
          <cell r="AB1736"/>
          <cell r="AC1736"/>
          <cell r="AD1736">
            <v>1.6639999999999999</v>
          </cell>
          <cell r="AE1736"/>
          <cell r="AF1736"/>
          <cell r="AG1736"/>
          <cell r="AH1736"/>
          <cell r="AI1736"/>
          <cell r="AJ1736"/>
          <cell r="AK1736"/>
          <cell r="AL1736"/>
        </row>
        <row r="1737">
          <cell r="E1737" t="str">
            <v>TR1φ50Hz  50KVA</v>
          </cell>
          <cell r="F1737" t="str">
            <v>台</v>
          </cell>
          <cell r="G1737"/>
          <cell r="H1737">
            <v>269000</v>
          </cell>
          <cell r="I1737"/>
          <cell r="J1737">
            <v>269000</v>
          </cell>
          <cell r="K1737"/>
          <cell r="L1737">
            <v>269000</v>
          </cell>
          <cell r="M1737"/>
          <cell r="N1737">
            <v>269000</v>
          </cell>
          <cell r="O1737"/>
          <cell r="P1737">
            <v>269000</v>
          </cell>
          <cell r="Q1737"/>
          <cell r="R1737">
            <v>269000</v>
          </cell>
          <cell r="S1737"/>
          <cell r="T1737">
            <v>269000</v>
          </cell>
          <cell r="U1737"/>
          <cell r="V1737">
            <v>269000</v>
          </cell>
          <cell r="W1737"/>
          <cell r="X1737">
            <v>269000</v>
          </cell>
          <cell r="Y1737"/>
          <cell r="Z1737">
            <v>269000</v>
          </cell>
          <cell r="AA1737"/>
          <cell r="AB1737"/>
          <cell r="AC1737"/>
          <cell r="AD1737">
            <v>1.946</v>
          </cell>
          <cell r="AE1737"/>
          <cell r="AF1737"/>
          <cell r="AG1737"/>
          <cell r="AH1737"/>
          <cell r="AI1737"/>
          <cell r="AJ1737"/>
          <cell r="AK1737"/>
          <cell r="AL1737"/>
        </row>
        <row r="1738">
          <cell r="E1738" t="str">
            <v>TR1φ50Hz  75KVA</v>
          </cell>
          <cell r="F1738" t="str">
            <v>台</v>
          </cell>
          <cell r="G1738"/>
          <cell r="H1738">
            <v>299000</v>
          </cell>
          <cell r="I1738"/>
          <cell r="J1738">
            <v>299000</v>
          </cell>
          <cell r="K1738"/>
          <cell r="L1738">
            <v>299000</v>
          </cell>
          <cell r="M1738"/>
          <cell r="N1738">
            <v>299000</v>
          </cell>
          <cell r="O1738"/>
          <cell r="P1738">
            <v>299000</v>
          </cell>
          <cell r="Q1738"/>
          <cell r="R1738">
            <v>299000</v>
          </cell>
          <cell r="S1738"/>
          <cell r="T1738">
            <v>299000</v>
          </cell>
          <cell r="U1738"/>
          <cell r="V1738">
            <v>299000</v>
          </cell>
          <cell r="W1738"/>
          <cell r="X1738">
            <v>299000</v>
          </cell>
          <cell r="Y1738"/>
          <cell r="Z1738">
            <v>299000</v>
          </cell>
          <cell r="AA1738"/>
          <cell r="AB1738"/>
          <cell r="AC1738"/>
          <cell r="AD1738">
            <v>3.2</v>
          </cell>
          <cell r="AE1738"/>
          <cell r="AF1738"/>
          <cell r="AG1738"/>
          <cell r="AH1738"/>
          <cell r="AI1738"/>
          <cell r="AJ1738"/>
          <cell r="AK1738"/>
          <cell r="AL1738"/>
        </row>
        <row r="1739">
          <cell r="E1739" t="str">
            <v>TR1φ50Hz 100KVA</v>
          </cell>
          <cell r="F1739" t="str">
            <v>台</v>
          </cell>
          <cell r="G1739"/>
          <cell r="H1739">
            <v>375000</v>
          </cell>
          <cell r="I1739"/>
          <cell r="J1739">
            <v>375000</v>
          </cell>
          <cell r="K1739"/>
          <cell r="L1739">
            <v>375000</v>
          </cell>
          <cell r="M1739"/>
          <cell r="N1739">
            <v>375000</v>
          </cell>
          <cell r="O1739"/>
          <cell r="P1739">
            <v>375000</v>
          </cell>
          <cell r="Q1739"/>
          <cell r="R1739">
            <v>375000</v>
          </cell>
          <cell r="S1739"/>
          <cell r="T1739">
            <v>375000</v>
          </cell>
          <cell r="U1739"/>
          <cell r="V1739">
            <v>375000</v>
          </cell>
          <cell r="W1739"/>
          <cell r="X1739">
            <v>375000</v>
          </cell>
          <cell r="Y1739"/>
          <cell r="Z1739">
            <v>375000</v>
          </cell>
          <cell r="AA1739"/>
          <cell r="AB1739"/>
          <cell r="AC1739"/>
          <cell r="AD1739">
            <v>3.42</v>
          </cell>
          <cell r="AE1739"/>
          <cell r="AF1739"/>
          <cell r="AG1739"/>
          <cell r="AH1739"/>
          <cell r="AI1739"/>
          <cell r="AJ1739"/>
          <cell r="AK1739"/>
          <cell r="AL1739"/>
        </row>
        <row r="1740">
          <cell r="E1740" t="str">
            <v>TR1φ50Hz 150KVA</v>
          </cell>
          <cell r="F1740" t="str">
            <v>台</v>
          </cell>
          <cell r="G1740"/>
          <cell r="H1740">
            <v>509000</v>
          </cell>
          <cell r="I1740"/>
          <cell r="J1740">
            <v>509000</v>
          </cell>
          <cell r="K1740"/>
          <cell r="L1740">
            <v>509000</v>
          </cell>
          <cell r="M1740"/>
          <cell r="N1740">
            <v>509000</v>
          </cell>
          <cell r="O1740"/>
          <cell r="P1740">
            <v>509000</v>
          </cell>
          <cell r="Q1740"/>
          <cell r="R1740">
            <v>509000</v>
          </cell>
          <cell r="S1740"/>
          <cell r="T1740">
            <v>509000</v>
          </cell>
          <cell r="U1740"/>
          <cell r="V1740">
            <v>509000</v>
          </cell>
          <cell r="W1740"/>
          <cell r="X1740">
            <v>509000</v>
          </cell>
          <cell r="Y1740"/>
          <cell r="Z1740">
            <v>509000</v>
          </cell>
          <cell r="AA1740"/>
          <cell r="AB1740"/>
          <cell r="AC1740"/>
          <cell r="AD1740">
            <v>4.24</v>
          </cell>
          <cell r="AE1740"/>
          <cell r="AF1740"/>
          <cell r="AG1740"/>
          <cell r="AH1740"/>
          <cell r="AI1740"/>
          <cell r="AJ1740"/>
          <cell r="AK1740"/>
          <cell r="AL1740"/>
        </row>
        <row r="1741">
          <cell r="E1741" t="str">
            <v>TR1φ50Hz 200KVA</v>
          </cell>
          <cell r="F1741" t="str">
            <v>台</v>
          </cell>
          <cell r="G1741"/>
          <cell r="H1741">
            <v>658000</v>
          </cell>
          <cell r="I1741"/>
          <cell r="J1741">
            <v>658000</v>
          </cell>
          <cell r="K1741"/>
          <cell r="L1741">
            <v>658000</v>
          </cell>
          <cell r="M1741"/>
          <cell r="N1741">
            <v>658000</v>
          </cell>
          <cell r="O1741"/>
          <cell r="P1741">
            <v>658000</v>
          </cell>
          <cell r="Q1741"/>
          <cell r="R1741">
            <v>658000</v>
          </cell>
          <cell r="S1741"/>
          <cell r="T1741">
            <v>658000</v>
          </cell>
          <cell r="U1741"/>
          <cell r="V1741">
            <v>658000</v>
          </cell>
          <cell r="W1741"/>
          <cell r="X1741">
            <v>658000</v>
          </cell>
          <cell r="Y1741"/>
          <cell r="Z1741">
            <v>658000</v>
          </cell>
          <cell r="AA1741"/>
          <cell r="AB1741"/>
          <cell r="AC1741"/>
          <cell r="AD1741">
            <v>4.5</v>
          </cell>
          <cell r="AE1741"/>
          <cell r="AF1741"/>
          <cell r="AG1741"/>
          <cell r="AH1741"/>
          <cell r="AI1741"/>
          <cell r="AJ1741"/>
          <cell r="AK1741"/>
          <cell r="AL1741"/>
        </row>
        <row r="1742">
          <cell r="E1742" t="str">
            <v>TR1φ50Hz 300KVA</v>
          </cell>
          <cell r="F1742" t="str">
            <v>台</v>
          </cell>
          <cell r="G1742"/>
          <cell r="H1742">
            <v>982000</v>
          </cell>
          <cell r="I1742"/>
          <cell r="J1742">
            <v>982000</v>
          </cell>
          <cell r="K1742"/>
          <cell r="L1742">
            <v>982000</v>
          </cell>
          <cell r="M1742"/>
          <cell r="N1742">
            <v>982000</v>
          </cell>
          <cell r="O1742"/>
          <cell r="P1742">
            <v>982000</v>
          </cell>
          <cell r="Q1742"/>
          <cell r="R1742">
            <v>982000</v>
          </cell>
          <cell r="S1742"/>
          <cell r="T1742">
            <v>982000</v>
          </cell>
          <cell r="U1742"/>
          <cell r="V1742">
            <v>982000</v>
          </cell>
          <cell r="W1742"/>
          <cell r="X1742">
            <v>982000</v>
          </cell>
          <cell r="Y1742"/>
          <cell r="Z1742">
            <v>982000</v>
          </cell>
          <cell r="AA1742"/>
          <cell r="AB1742"/>
          <cell r="AC1742"/>
          <cell r="AD1742">
            <v>5.8</v>
          </cell>
          <cell r="AE1742"/>
          <cell r="AF1742"/>
          <cell r="AG1742"/>
          <cell r="AH1742"/>
          <cell r="AI1742"/>
          <cell r="AJ1742"/>
          <cell r="AK1742"/>
          <cell r="AL1742"/>
        </row>
        <row r="1743">
          <cell r="E1743" t="str">
            <v>TR1φ50Hz 500KVA</v>
          </cell>
          <cell r="F1743" t="str">
            <v>台</v>
          </cell>
          <cell r="G1743"/>
          <cell r="H1743">
            <v>1630000</v>
          </cell>
          <cell r="I1743"/>
          <cell r="J1743">
            <v>1630000</v>
          </cell>
          <cell r="K1743"/>
          <cell r="L1743">
            <v>1630000</v>
          </cell>
          <cell r="M1743"/>
          <cell r="N1743">
            <v>1630000</v>
          </cell>
          <cell r="O1743"/>
          <cell r="P1743">
            <v>1630000</v>
          </cell>
          <cell r="Q1743"/>
          <cell r="R1743">
            <v>1630000</v>
          </cell>
          <cell r="S1743"/>
          <cell r="T1743">
            <v>1630000</v>
          </cell>
          <cell r="U1743"/>
          <cell r="V1743">
            <v>1630000</v>
          </cell>
          <cell r="W1743"/>
          <cell r="X1743">
            <v>1630000</v>
          </cell>
          <cell r="Y1743"/>
          <cell r="Z1743">
            <v>1630000</v>
          </cell>
          <cell r="AA1743"/>
          <cell r="AB1743"/>
          <cell r="AC1743"/>
          <cell r="AD1743">
            <v>7.6</v>
          </cell>
          <cell r="AE1743"/>
          <cell r="AF1743"/>
          <cell r="AG1743"/>
          <cell r="AH1743"/>
          <cell r="AI1743"/>
          <cell r="AJ1743"/>
          <cell r="AK1743"/>
          <cell r="AL1743"/>
        </row>
        <row r="1744">
          <cell r="E1744" t="str">
            <v>TR3φ50Hz  20KVA</v>
          </cell>
          <cell r="F1744" t="str">
            <v>台</v>
          </cell>
          <cell r="G1744"/>
          <cell r="H1744">
            <v>212000</v>
          </cell>
          <cell r="I1744"/>
          <cell r="J1744">
            <v>212000</v>
          </cell>
          <cell r="K1744"/>
          <cell r="L1744">
            <v>212000</v>
          </cell>
          <cell r="M1744"/>
          <cell r="N1744">
            <v>212000</v>
          </cell>
          <cell r="O1744"/>
          <cell r="P1744">
            <v>212000</v>
          </cell>
          <cell r="Q1744"/>
          <cell r="R1744">
            <v>212000</v>
          </cell>
          <cell r="S1744"/>
          <cell r="T1744">
            <v>212000</v>
          </cell>
          <cell r="U1744"/>
          <cell r="V1744">
            <v>212000</v>
          </cell>
          <cell r="W1744"/>
          <cell r="X1744">
            <v>212000</v>
          </cell>
          <cell r="Y1744"/>
          <cell r="Z1744">
            <v>212000</v>
          </cell>
          <cell r="AA1744"/>
          <cell r="AB1744"/>
          <cell r="AC1744"/>
          <cell r="AD1744">
            <v>1.8939999999999999</v>
          </cell>
          <cell r="AE1744"/>
          <cell r="AF1744"/>
          <cell r="AG1744"/>
          <cell r="AH1744"/>
          <cell r="AI1744"/>
          <cell r="AJ1744"/>
          <cell r="AK1744"/>
          <cell r="AL1744"/>
        </row>
        <row r="1745">
          <cell r="E1745" t="str">
            <v>TR3φ50Hz  30KVA</v>
          </cell>
          <cell r="F1745" t="str">
            <v>台</v>
          </cell>
          <cell r="G1745"/>
          <cell r="H1745">
            <v>241000</v>
          </cell>
          <cell r="I1745"/>
          <cell r="J1745">
            <v>241000</v>
          </cell>
          <cell r="K1745"/>
          <cell r="L1745">
            <v>241000</v>
          </cell>
          <cell r="M1745"/>
          <cell r="N1745">
            <v>241000</v>
          </cell>
          <cell r="O1745"/>
          <cell r="P1745">
            <v>241000</v>
          </cell>
          <cell r="Q1745"/>
          <cell r="R1745">
            <v>241000</v>
          </cell>
          <cell r="S1745"/>
          <cell r="T1745">
            <v>241000</v>
          </cell>
          <cell r="U1745"/>
          <cell r="V1745">
            <v>241000</v>
          </cell>
          <cell r="W1745"/>
          <cell r="X1745">
            <v>241000</v>
          </cell>
          <cell r="Y1745"/>
          <cell r="Z1745">
            <v>241000</v>
          </cell>
          <cell r="AA1745"/>
          <cell r="AB1745"/>
          <cell r="AC1745"/>
          <cell r="AD1745">
            <v>2.08</v>
          </cell>
          <cell r="AE1745"/>
          <cell r="AF1745"/>
          <cell r="AG1745"/>
          <cell r="AH1745"/>
          <cell r="AI1745"/>
          <cell r="AJ1745"/>
          <cell r="AK1745"/>
          <cell r="AL1745"/>
        </row>
        <row r="1746">
          <cell r="E1746" t="str">
            <v>TR3φ50Hz  50KVA</v>
          </cell>
          <cell r="F1746" t="str">
            <v>台</v>
          </cell>
          <cell r="G1746"/>
          <cell r="H1746">
            <v>299000</v>
          </cell>
          <cell r="I1746"/>
          <cell r="J1746">
            <v>299000</v>
          </cell>
          <cell r="K1746"/>
          <cell r="L1746">
            <v>299000</v>
          </cell>
          <cell r="M1746"/>
          <cell r="N1746">
            <v>299000</v>
          </cell>
          <cell r="O1746"/>
          <cell r="P1746">
            <v>299000</v>
          </cell>
          <cell r="Q1746"/>
          <cell r="R1746">
            <v>299000</v>
          </cell>
          <cell r="S1746"/>
          <cell r="T1746">
            <v>299000</v>
          </cell>
          <cell r="U1746"/>
          <cell r="V1746">
            <v>299000</v>
          </cell>
          <cell r="W1746"/>
          <cell r="X1746">
            <v>299000</v>
          </cell>
          <cell r="Y1746"/>
          <cell r="Z1746">
            <v>299000</v>
          </cell>
          <cell r="AA1746"/>
          <cell r="AB1746"/>
          <cell r="AC1746"/>
          <cell r="AD1746">
            <v>2.44</v>
          </cell>
          <cell r="AE1746"/>
          <cell r="AF1746"/>
          <cell r="AG1746"/>
          <cell r="AH1746"/>
          <cell r="AI1746"/>
          <cell r="AJ1746"/>
          <cell r="AK1746"/>
          <cell r="AL1746"/>
        </row>
        <row r="1747">
          <cell r="E1747" t="str">
            <v>TR3φ50Hz  75KVA</v>
          </cell>
          <cell r="F1747" t="str">
            <v>台</v>
          </cell>
          <cell r="G1747"/>
          <cell r="H1747">
            <v>384000</v>
          </cell>
          <cell r="I1747"/>
          <cell r="J1747">
            <v>384000</v>
          </cell>
          <cell r="K1747"/>
          <cell r="L1747">
            <v>384000</v>
          </cell>
          <cell r="M1747"/>
          <cell r="N1747">
            <v>384000</v>
          </cell>
          <cell r="O1747"/>
          <cell r="P1747">
            <v>384000</v>
          </cell>
          <cell r="Q1747"/>
          <cell r="R1747">
            <v>384000</v>
          </cell>
          <cell r="S1747"/>
          <cell r="T1747">
            <v>384000</v>
          </cell>
          <cell r="U1747"/>
          <cell r="V1747">
            <v>384000</v>
          </cell>
          <cell r="W1747"/>
          <cell r="X1747">
            <v>384000</v>
          </cell>
          <cell r="Y1747"/>
          <cell r="Z1747">
            <v>384000</v>
          </cell>
          <cell r="AA1747"/>
          <cell r="AB1747"/>
          <cell r="AC1747"/>
          <cell r="AD1747">
            <v>3.62</v>
          </cell>
          <cell r="AE1747"/>
          <cell r="AF1747"/>
          <cell r="AG1747"/>
          <cell r="AH1747"/>
          <cell r="AI1747"/>
          <cell r="AJ1747"/>
          <cell r="AK1747"/>
          <cell r="AL1747"/>
        </row>
        <row r="1748">
          <cell r="E1748" t="str">
            <v>TR3φ50Hz 100KVA</v>
          </cell>
          <cell r="F1748" t="str">
            <v>台</v>
          </cell>
          <cell r="G1748"/>
          <cell r="H1748">
            <v>471000</v>
          </cell>
          <cell r="I1748"/>
          <cell r="J1748">
            <v>471000</v>
          </cell>
          <cell r="K1748"/>
          <cell r="L1748">
            <v>471000</v>
          </cell>
          <cell r="M1748"/>
          <cell r="N1748">
            <v>471000</v>
          </cell>
          <cell r="O1748"/>
          <cell r="P1748">
            <v>471000</v>
          </cell>
          <cell r="Q1748"/>
          <cell r="R1748">
            <v>471000</v>
          </cell>
          <cell r="S1748"/>
          <cell r="T1748">
            <v>471000</v>
          </cell>
          <cell r="U1748"/>
          <cell r="V1748">
            <v>471000</v>
          </cell>
          <cell r="W1748"/>
          <cell r="X1748">
            <v>471000</v>
          </cell>
          <cell r="Y1748"/>
          <cell r="Z1748">
            <v>471000</v>
          </cell>
          <cell r="AA1748"/>
          <cell r="AB1748"/>
          <cell r="AC1748"/>
          <cell r="AD1748">
            <v>4.0199999999999996</v>
          </cell>
          <cell r="AE1748"/>
          <cell r="AF1748"/>
          <cell r="AG1748"/>
          <cell r="AH1748"/>
          <cell r="AI1748"/>
          <cell r="AJ1748"/>
          <cell r="AK1748"/>
          <cell r="AL1748"/>
        </row>
        <row r="1749">
          <cell r="E1749" t="str">
            <v>TR3φ50Hz 150KVA</v>
          </cell>
          <cell r="F1749" t="str">
            <v>台</v>
          </cell>
          <cell r="G1749"/>
          <cell r="H1749">
            <v>633000</v>
          </cell>
          <cell r="I1749"/>
          <cell r="J1749">
            <v>633000</v>
          </cell>
          <cell r="K1749"/>
          <cell r="L1749">
            <v>633000</v>
          </cell>
          <cell r="M1749"/>
          <cell r="N1749">
            <v>633000</v>
          </cell>
          <cell r="O1749"/>
          <cell r="P1749">
            <v>633000</v>
          </cell>
          <cell r="Q1749"/>
          <cell r="R1749">
            <v>633000</v>
          </cell>
          <cell r="S1749"/>
          <cell r="T1749">
            <v>633000</v>
          </cell>
          <cell r="U1749"/>
          <cell r="V1749">
            <v>633000</v>
          </cell>
          <cell r="W1749"/>
          <cell r="X1749">
            <v>633000</v>
          </cell>
          <cell r="Y1749"/>
          <cell r="Z1749">
            <v>633000</v>
          </cell>
          <cell r="AA1749"/>
          <cell r="AB1749"/>
          <cell r="AC1749"/>
          <cell r="AD1749">
            <v>4.9400000000000004</v>
          </cell>
          <cell r="AE1749"/>
          <cell r="AF1749"/>
          <cell r="AG1749"/>
          <cell r="AH1749"/>
          <cell r="AI1749"/>
          <cell r="AJ1749"/>
          <cell r="AK1749"/>
          <cell r="AL1749"/>
        </row>
        <row r="1750">
          <cell r="E1750" t="str">
            <v>TR3φ50Hz 200KVA</v>
          </cell>
          <cell r="F1750" t="str">
            <v>台</v>
          </cell>
          <cell r="G1750"/>
          <cell r="H1750">
            <v>795000</v>
          </cell>
          <cell r="I1750"/>
          <cell r="J1750">
            <v>795000</v>
          </cell>
          <cell r="K1750"/>
          <cell r="L1750">
            <v>795000</v>
          </cell>
          <cell r="M1750"/>
          <cell r="N1750">
            <v>795000</v>
          </cell>
          <cell r="O1750"/>
          <cell r="P1750">
            <v>795000</v>
          </cell>
          <cell r="Q1750"/>
          <cell r="R1750">
            <v>795000</v>
          </cell>
          <cell r="S1750"/>
          <cell r="T1750">
            <v>795000</v>
          </cell>
          <cell r="U1750"/>
          <cell r="V1750">
            <v>795000</v>
          </cell>
          <cell r="W1750"/>
          <cell r="X1750">
            <v>795000</v>
          </cell>
          <cell r="Y1750"/>
          <cell r="Z1750">
            <v>795000</v>
          </cell>
          <cell r="AA1750"/>
          <cell r="AB1750"/>
          <cell r="AC1750"/>
          <cell r="AD1750">
            <v>5.48</v>
          </cell>
          <cell r="AE1750"/>
          <cell r="AF1750"/>
          <cell r="AG1750"/>
          <cell r="AH1750"/>
          <cell r="AI1750"/>
          <cell r="AJ1750"/>
          <cell r="AK1750"/>
          <cell r="AL1750"/>
        </row>
        <row r="1751">
          <cell r="E1751" t="str">
            <v>TR3φ50Hz 300KVA</v>
          </cell>
          <cell r="F1751" t="str">
            <v>台</v>
          </cell>
          <cell r="G1751"/>
          <cell r="H1751">
            <v>1120000</v>
          </cell>
          <cell r="I1751"/>
          <cell r="J1751">
            <v>1120000</v>
          </cell>
          <cell r="K1751"/>
          <cell r="L1751">
            <v>1120000</v>
          </cell>
          <cell r="M1751"/>
          <cell r="N1751">
            <v>1120000</v>
          </cell>
          <cell r="O1751"/>
          <cell r="P1751">
            <v>1120000</v>
          </cell>
          <cell r="Q1751"/>
          <cell r="R1751">
            <v>1120000</v>
          </cell>
          <cell r="S1751"/>
          <cell r="T1751">
            <v>1120000</v>
          </cell>
          <cell r="U1751"/>
          <cell r="V1751">
            <v>1120000</v>
          </cell>
          <cell r="W1751"/>
          <cell r="X1751">
            <v>1120000</v>
          </cell>
          <cell r="Y1751"/>
          <cell r="Z1751">
            <v>1120000</v>
          </cell>
          <cell r="AA1751"/>
          <cell r="AB1751"/>
          <cell r="AC1751"/>
          <cell r="AD1751">
            <v>7.1</v>
          </cell>
          <cell r="AE1751"/>
          <cell r="AF1751"/>
          <cell r="AG1751"/>
          <cell r="AH1751"/>
          <cell r="AI1751"/>
          <cell r="AJ1751"/>
          <cell r="AK1751"/>
          <cell r="AL1751"/>
        </row>
        <row r="1752">
          <cell r="E1752" t="str">
            <v>TR3φ50Hz 500KVA</v>
          </cell>
          <cell r="F1752" t="str">
            <v>台</v>
          </cell>
          <cell r="G1752"/>
          <cell r="H1752">
            <v>1700000</v>
          </cell>
          <cell r="I1752"/>
          <cell r="J1752">
            <v>1700000</v>
          </cell>
          <cell r="K1752"/>
          <cell r="L1752">
            <v>1700000</v>
          </cell>
          <cell r="M1752"/>
          <cell r="N1752">
            <v>1700000</v>
          </cell>
          <cell r="O1752"/>
          <cell r="P1752">
            <v>1700000</v>
          </cell>
          <cell r="Q1752"/>
          <cell r="R1752">
            <v>1700000</v>
          </cell>
          <cell r="S1752"/>
          <cell r="T1752">
            <v>1700000</v>
          </cell>
          <cell r="U1752"/>
          <cell r="V1752">
            <v>1700000</v>
          </cell>
          <cell r="W1752"/>
          <cell r="X1752">
            <v>1700000</v>
          </cell>
          <cell r="Y1752"/>
          <cell r="Z1752">
            <v>1700000</v>
          </cell>
          <cell r="AA1752"/>
          <cell r="AB1752"/>
          <cell r="AC1752"/>
          <cell r="AD1752">
            <v>8.74</v>
          </cell>
          <cell r="AE1752"/>
          <cell r="AF1752"/>
          <cell r="AG1752"/>
          <cell r="AH1752"/>
          <cell r="AI1752"/>
          <cell r="AJ1752"/>
          <cell r="AK1752"/>
          <cell r="AL1752"/>
        </row>
        <row r="1753">
          <cell r="E1753" t="str">
            <v>TR3φ50Hz 750KVA</v>
          </cell>
          <cell r="F1753" t="str">
            <v>台</v>
          </cell>
          <cell r="G1753"/>
          <cell r="H1753">
            <v>1935000</v>
          </cell>
          <cell r="I1753"/>
          <cell r="J1753">
            <v>1935000</v>
          </cell>
          <cell r="K1753"/>
          <cell r="L1753">
            <v>1935000</v>
          </cell>
          <cell r="M1753"/>
          <cell r="N1753">
            <v>1935000</v>
          </cell>
          <cell r="O1753"/>
          <cell r="P1753">
            <v>1935000</v>
          </cell>
          <cell r="Q1753"/>
          <cell r="R1753">
            <v>1935000</v>
          </cell>
          <cell r="S1753"/>
          <cell r="T1753">
            <v>1935000</v>
          </cell>
          <cell r="U1753"/>
          <cell r="V1753">
            <v>1935000</v>
          </cell>
          <cell r="W1753"/>
          <cell r="X1753">
            <v>1935000</v>
          </cell>
          <cell r="Y1753"/>
          <cell r="Z1753">
            <v>1935000</v>
          </cell>
          <cell r="AA1753"/>
          <cell r="AB1753"/>
          <cell r="AC1753"/>
          <cell r="AD1753">
            <v>8.74</v>
          </cell>
          <cell r="AE1753"/>
          <cell r="AF1753"/>
          <cell r="AG1753"/>
          <cell r="AH1753"/>
          <cell r="AI1753"/>
          <cell r="AJ1753"/>
          <cell r="AK1753"/>
          <cell r="AL1753"/>
        </row>
        <row r="1754">
          <cell r="E1754" t="str">
            <v>TR3φ50Hz1000KVA</v>
          </cell>
          <cell r="F1754" t="str">
            <v>台</v>
          </cell>
          <cell r="G1754"/>
          <cell r="H1754">
            <v>2902000</v>
          </cell>
          <cell r="I1754"/>
          <cell r="J1754">
            <v>2902000</v>
          </cell>
          <cell r="K1754"/>
          <cell r="L1754">
            <v>2902000</v>
          </cell>
          <cell r="M1754"/>
          <cell r="N1754">
            <v>2902000</v>
          </cell>
          <cell r="O1754"/>
          <cell r="P1754">
            <v>2902000</v>
          </cell>
          <cell r="Q1754"/>
          <cell r="R1754">
            <v>2902000</v>
          </cell>
          <cell r="S1754"/>
          <cell r="T1754">
            <v>2902000</v>
          </cell>
          <cell r="U1754"/>
          <cell r="V1754">
            <v>2902000</v>
          </cell>
          <cell r="W1754"/>
          <cell r="X1754">
            <v>2902000</v>
          </cell>
          <cell r="Y1754"/>
          <cell r="Z1754">
            <v>2902000</v>
          </cell>
          <cell r="AA1754"/>
          <cell r="AB1754"/>
          <cell r="AC1754"/>
          <cell r="AD1754">
            <v>8.74</v>
          </cell>
          <cell r="AE1754"/>
          <cell r="AF1754"/>
          <cell r="AG1754"/>
          <cell r="AH1754"/>
          <cell r="AI1754"/>
          <cell r="AJ1754"/>
          <cell r="AK1754"/>
          <cell r="AL1754"/>
        </row>
        <row r="1755">
          <cell r="E1755" t="str">
            <v>TR3φ50Hz1500KVA</v>
          </cell>
          <cell r="F1755" t="str">
            <v>台</v>
          </cell>
          <cell r="G1755"/>
          <cell r="H1755">
            <v>4353000</v>
          </cell>
          <cell r="I1755"/>
          <cell r="J1755">
            <v>4353000</v>
          </cell>
          <cell r="K1755"/>
          <cell r="L1755">
            <v>4353000</v>
          </cell>
          <cell r="M1755"/>
          <cell r="N1755">
            <v>4353000</v>
          </cell>
          <cell r="O1755"/>
          <cell r="P1755">
            <v>4353000</v>
          </cell>
          <cell r="Q1755"/>
          <cell r="R1755">
            <v>4353000</v>
          </cell>
          <cell r="S1755"/>
          <cell r="T1755">
            <v>4353000</v>
          </cell>
          <cell r="U1755"/>
          <cell r="V1755">
            <v>4353000</v>
          </cell>
          <cell r="W1755"/>
          <cell r="X1755">
            <v>4353000</v>
          </cell>
          <cell r="Y1755"/>
          <cell r="Z1755">
            <v>4353000</v>
          </cell>
          <cell r="AA1755"/>
          <cell r="AB1755"/>
          <cell r="AC1755"/>
          <cell r="AD1755">
            <v>8.74</v>
          </cell>
          <cell r="AE1755"/>
          <cell r="AF1755"/>
          <cell r="AG1755"/>
          <cell r="AH1755"/>
          <cell r="AI1755"/>
          <cell r="AJ1755"/>
          <cell r="AK1755"/>
          <cell r="AL1755"/>
        </row>
        <row r="1756">
          <cell r="E1756" t="str">
            <v>TR1φ60Hz  10KVA</v>
          </cell>
          <cell r="F1756" t="str">
            <v>台</v>
          </cell>
          <cell r="G1756"/>
          <cell r="H1756">
            <v>152000</v>
          </cell>
          <cell r="I1756"/>
          <cell r="J1756">
            <v>152000</v>
          </cell>
          <cell r="K1756"/>
          <cell r="L1756">
            <v>152000</v>
          </cell>
          <cell r="M1756"/>
          <cell r="N1756">
            <v>152000</v>
          </cell>
          <cell r="O1756"/>
          <cell r="P1756">
            <v>152000</v>
          </cell>
          <cell r="Q1756"/>
          <cell r="R1756">
            <v>152000</v>
          </cell>
          <cell r="S1756"/>
          <cell r="T1756">
            <v>152000</v>
          </cell>
          <cell r="U1756"/>
          <cell r="V1756">
            <v>152000</v>
          </cell>
          <cell r="W1756"/>
          <cell r="X1756">
            <v>152000</v>
          </cell>
          <cell r="Y1756"/>
          <cell r="Z1756">
            <v>152000</v>
          </cell>
          <cell r="AA1756"/>
          <cell r="AB1756"/>
          <cell r="AC1756"/>
          <cell r="AD1756">
            <v>0.92</v>
          </cell>
          <cell r="AE1756"/>
          <cell r="AF1756"/>
          <cell r="AG1756"/>
          <cell r="AH1756"/>
          <cell r="AI1756"/>
          <cell r="AJ1756"/>
          <cell r="AK1756"/>
          <cell r="AL1756"/>
        </row>
        <row r="1757">
          <cell r="E1757" t="str">
            <v>TR1φ60Hz  20KVA</v>
          </cell>
          <cell r="F1757" t="str">
            <v>台</v>
          </cell>
          <cell r="G1757"/>
          <cell r="H1757">
            <v>174000</v>
          </cell>
          <cell r="I1757"/>
          <cell r="J1757">
            <v>174000</v>
          </cell>
          <cell r="K1757"/>
          <cell r="L1757">
            <v>174000</v>
          </cell>
          <cell r="M1757"/>
          <cell r="N1757">
            <v>174000</v>
          </cell>
          <cell r="O1757"/>
          <cell r="P1757">
            <v>174000</v>
          </cell>
          <cell r="Q1757"/>
          <cell r="R1757">
            <v>174000</v>
          </cell>
          <cell r="S1757"/>
          <cell r="T1757">
            <v>174000</v>
          </cell>
          <cell r="U1757"/>
          <cell r="V1757">
            <v>174000</v>
          </cell>
          <cell r="W1757"/>
          <cell r="X1757">
            <v>174000</v>
          </cell>
          <cell r="Y1757"/>
          <cell r="Z1757">
            <v>174000</v>
          </cell>
          <cell r="AA1757"/>
          <cell r="AB1757"/>
          <cell r="AC1757"/>
          <cell r="AD1757">
            <v>1.5580000000000001</v>
          </cell>
          <cell r="AE1757"/>
          <cell r="AF1757"/>
          <cell r="AG1757"/>
          <cell r="AH1757"/>
          <cell r="AI1757"/>
          <cell r="AJ1757"/>
          <cell r="AK1757"/>
          <cell r="AL1757"/>
        </row>
        <row r="1758">
          <cell r="E1758" t="str">
            <v>TR1φ60Hz  30KVA</v>
          </cell>
          <cell r="F1758" t="str">
            <v>台</v>
          </cell>
          <cell r="G1758"/>
          <cell r="H1758">
            <v>208000</v>
          </cell>
          <cell r="I1758"/>
          <cell r="J1758">
            <v>208000</v>
          </cell>
          <cell r="K1758"/>
          <cell r="L1758">
            <v>208000</v>
          </cell>
          <cell r="M1758"/>
          <cell r="N1758">
            <v>208000</v>
          </cell>
          <cell r="O1758"/>
          <cell r="P1758">
            <v>208000</v>
          </cell>
          <cell r="Q1758"/>
          <cell r="R1758">
            <v>208000</v>
          </cell>
          <cell r="S1758"/>
          <cell r="T1758">
            <v>208000</v>
          </cell>
          <cell r="U1758"/>
          <cell r="V1758">
            <v>208000</v>
          </cell>
          <cell r="W1758"/>
          <cell r="X1758">
            <v>208000</v>
          </cell>
          <cell r="Y1758"/>
          <cell r="Z1758">
            <v>208000</v>
          </cell>
          <cell r="AA1758"/>
          <cell r="AB1758"/>
          <cell r="AC1758"/>
          <cell r="AD1758">
            <v>1.6639999999999999</v>
          </cell>
          <cell r="AE1758"/>
          <cell r="AF1758"/>
          <cell r="AG1758"/>
          <cell r="AH1758"/>
          <cell r="AI1758"/>
          <cell r="AJ1758"/>
          <cell r="AK1758"/>
          <cell r="AL1758"/>
        </row>
        <row r="1759">
          <cell r="E1759" t="str">
            <v>TR1φ60Hz  50KVA</v>
          </cell>
          <cell r="F1759" t="str">
            <v>台</v>
          </cell>
          <cell r="G1759"/>
          <cell r="H1759">
            <v>255000</v>
          </cell>
          <cell r="I1759"/>
          <cell r="J1759">
            <v>255000</v>
          </cell>
          <cell r="K1759"/>
          <cell r="L1759">
            <v>255000</v>
          </cell>
          <cell r="M1759"/>
          <cell r="N1759">
            <v>255000</v>
          </cell>
          <cell r="O1759"/>
          <cell r="P1759">
            <v>255000</v>
          </cell>
          <cell r="Q1759"/>
          <cell r="R1759">
            <v>255000</v>
          </cell>
          <cell r="S1759"/>
          <cell r="T1759">
            <v>255000</v>
          </cell>
          <cell r="U1759"/>
          <cell r="V1759">
            <v>255000</v>
          </cell>
          <cell r="W1759"/>
          <cell r="X1759">
            <v>255000</v>
          </cell>
          <cell r="Y1759"/>
          <cell r="Z1759">
            <v>255000</v>
          </cell>
          <cell r="AA1759"/>
          <cell r="AB1759"/>
          <cell r="AC1759"/>
          <cell r="AD1759">
            <v>1.946</v>
          </cell>
          <cell r="AE1759"/>
          <cell r="AF1759"/>
          <cell r="AG1759"/>
          <cell r="AH1759"/>
          <cell r="AI1759"/>
          <cell r="AJ1759"/>
          <cell r="AK1759"/>
          <cell r="AL1759"/>
        </row>
        <row r="1760">
          <cell r="E1760" t="str">
            <v>TR1φ60Hz  75KVA</v>
          </cell>
          <cell r="F1760" t="str">
            <v>台</v>
          </cell>
          <cell r="G1760"/>
          <cell r="H1760">
            <v>283000</v>
          </cell>
          <cell r="I1760"/>
          <cell r="J1760">
            <v>283000</v>
          </cell>
          <cell r="K1760"/>
          <cell r="L1760">
            <v>283000</v>
          </cell>
          <cell r="M1760"/>
          <cell r="N1760">
            <v>283000</v>
          </cell>
          <cell r="O1760"/>
          <cell r="P1760">
            <v>283000</v>
          </cell>
          <cell r="Q1760"/>
          <cell r="R1760">
            <v>283000</v>
          </cell>
          <cell r="S1760"/>
          <cell r="T1760">
            <v>283000</v>
          </cell>
          <cell r="U1760"/>
          <cell r="V1760">
            <v>283000</v>
          </cell>
          <cell r="W1760"/>
          <cell r="X1760">
            <v>283000</v>
          </cell>
          <cell r="Y1760"/>
          <cell r="Z1760">
            <v>283000</v>
          </cell>
          <cell r="AA1760"/>
          <cell r="AB1760"/>
          <cell r="AC1760"/>
          <cell r="AD1760">
            <v>3.2</v>
          </cell>
          <cell r="AE1760"/>
          <cell r="AF1760"/>
          <cell r="AG1760"/>
          <cell r="AH1760"/>
          <cell r="AI1760"/>
          <cell r="AJ1760"/>
          <cell r="AK1760"/>
          <cell r="AL1760"/>
        </row>
        <row r="1761">
          <cell r="E1761" t="str">
            <v>TR1φ60Hz 100KVA</v>
          </cell>
          <cell r="F1761" t="str">
            <v>台</v>
          </cell>
          <cell r="G1761"/>
          <cell r="H1761">
            <v>345000</v>
          </cell>
          <cell r="I1761"/>
          <cell r="J1761">
            <v>345000</v>
          </cell>
          <cell r="K1761"/>
          <cell r="L1761">
            <v>345000</v>
          </cell>
          <cell r="M1761"/>
          <cell r="N1761">
            <v>345000</v>
          </cell>
          <cell r="O1761"/>
          <cell r="P1761">
            <v>345000</v>
          </cell>
          <cell r="Q1761"/>
          <cell r="R1761">
            <v>345000</v>
          </cell>
          <cell r="S1761"/>
          <cell r="T1761">
            <v>345000</v>
          </cell>
          <cell r="U1761"/>
          <cell r="V1761">
            <v>345000</v>
          </cell>
          <cell r="W1761"/>
          <cell r="X1761">
            <v>345000</v>
          </cell>
          <cell r="Y1761"/>
          <cell r="Z1761">
            <v>345000</v>
          </cell>
          <cell r="AA1761"/>
          <cell r="AB1761"/>
          <cell r="AC1761"/>
          <cell r="AD1761">
            <v>3.42</v>
          </cell>
          <cell r="AE1761"/>
          <cell r="AF1761"/>
          <cell r="AG1761"/>
          <cell r="AH1761"/>
          <cell r="AI1761"/>
          <cell r="AJ1761"/>
          <cell r="AK1761"/>
          <cell r="AL1761"/>
        </row>
        <row r="1762">
          <cell r="E1762" t="str">
            <v>TR1φ60Hz 150KVA</v>
          </cell>
          <cell r="F1762" t="str">
            <v>台</v>
          </cell>
          <cell r="G1762"/>
          <cell r="H1762">
            <v>484000</v>
          </cell>
          <cell r="I1762"/>
          <cell r="J1762">
            <v>484000</v>
          </cell>
          <cell r="K1762"/>
          <cell r="L1762">
            <v>484000</v>
          </cell>
          <cell r="M1762"/>
          <cell r="N1762">
            <v>484000</v>
          </cell>
          <cell r="O1762"/>
          <cell r="P1762">
            <v>484000</v>
          </cell>
          <cell r="Q1762"/>
          <cell r="R1762">
            <v>484000</v>
          </cell>
          <cell r="S1762"/>
          <cell r="T1762">
            <v>484000</v>
          </cell>
          <cell r="U1762"/>
          <cell r="V1762">
            <v>484000</v>
          </cell>
          <cell r="W1762"/>
          <cell r="X1762">
            <v>484000</v>
          </cell>
          <cell r="Y1762"/>
          <cell r="Z1762">
            <v>484000</v>
          </cell>
          <cell r="AA1762"/>
          <cell r="AB1762"/>
          <cell r="AC1762"/>
          <cell r="AD1762">
            <v>4.24</v>
          </cell>
          <cell r="AE1762"/>
          <cell r="AF1762"/>
          <cell r="AG1762"/>
          <cell r="AH1762"/>
          <cell r="AI1762"/>
          <cell r="AJ1762"/>
          <cell r="AK1762"/>
          <cell r="AL1762"/>
        </row>
        <row r="1763">
          <cell r="E1763" t="str">
            <v>TR1φ60Hz 200KVA</v>
          </cell>
          <cell r="F1763" t="str">
            <v>台</v>
          </cell>
          <cell r="G1763"/>
          <cell r="H1763">
            <v>604000</v>
          </cell>
          <cell r="I1763"/>
          <cell r="J1763">
            <v>604000</v>
          </cell>
          <cell r="K1763"/>
          <cell r="L1763">
            <v>604000</v>
          </cell>
          <cell r="M1763"/>
          <cell r="N1763">
            <v>604000</v>
          </cell>
          <cell r="O1763"/>
          <cell r="P1763">
            <v>604000</v>
          </cell>
          <cell r="Q1763"/>
          <cell r="R1763">
            <v>604000</v>
          </cell>
          <cell r="S1763"/>
          <cell r="T1763">
            <v>604000</v>
          </cell>
          <cell r="U1763"/>
          <cell r="V1763">
            <v>604000</v>
          </cell>
          <cell r="W1763"/>
          <cell r="X1763">
            <v>604000</v>
          </cell>
          <cell r="Y1763"/>
          <cell r="Z1763">
            <v>604000</v>
          </cell>
          <cell r="AA1763"/>
          <cell r="AB1763"/>
          <cell r="AC1763"/>
          <cell r="AD1763">
            <v>4.5</v>
          </cell>
          <cell r="AE1763"/>
          <cell r="AF1763"/>
          <cell r="AG1763"/>
          <cell r="AH1763"/>
          <cell r="AI1763"/>
          <cell r="AJ1763"/>
          <cell r="AK1763"/>
          <cell r="AL1763"/>
        </row>
        <row r="1764">
          <cell r="E1764" t="str">
            <v>TR1φ60Hz 300KVA</v>
          </cell>
          <cell r="F1764" t="str">
            <v>台</v>
          </cell>
          <cell r="G1764"/>
          <cell r="H1764">
            <v>903000</v>
          </cell>
          <cell r="I1764"/>
          <cell r="J1764">
            <v>903000</v>
          </cell>
          <cell r="K1764"/>
          <cell r="L1764">
            <v>903000</v>
          </cell>
          <cell r="M1764"/>
          <cell r="N1764">
            <v>903000</v>
          </cell>
          <cell r="O1764"/>
          <cell r="P1764">
            <v>903000</v>
          </cell>
          <cell r="Q1764"/>
          <cell r="R1764">
            <v>903000</v>
          </cell>
          <cell r="S1764"/>
          <cell r="T1764">
            <v>903000</v>
          </cell>
          <cell r="U1764"/>
          <cell r="V1764">
            <v>903000</v>
          </cell>
          <cell r="W1764"/>
          <cell r="X1764">
            <v>903000</v>
          </cell>
          <cell r="Y1764"/>
          <cell r="Z1764">
            <v>903000</v>
          </cell>
          <cell r="AA1764"/>
          <cell r="AB1764"/>
          <cell r="AC1764"/>
          <cell r="AD1764">
            <v>5.8</v>
          </cell>
          <cell r="AE1764"/>
          <cell r="AF1764"/>
          <cell r="AG1764"/>
          <cell r="AH1764"/>
          <cell r="AI1764"/>
          <cell r="AJ1764"/>
          <cell r="AK1764"/>
          <cell r="AL1764"/>
        </row>
        <row r="1765">
          <cell r="E1765" t="str">
            <v>TR1φ60Hz 500KVA</v>
          </cell>
          <cell r="F1765" t="str">
            <v>台</v>
          </cell>
          <cell r="G1765"/>
          <cell r="H1765">
            <v>1510000</v>
          </cell>
          <cell r="I1765"/>
          <cell r="J1765">
            <v>1510000</v>
          </cell>
          <cell r="K1765"/>
          <cell r="L1765">
            <v>1510000</v>
          </cell>
          <cell r="M1765"/>
          <cell r="N1765">
            <v>1510000</v>
          </cell>
          <cell r="O1765"/>
          <cell r="P1765">
            <v>1510000</v>
          </cell>
          <cell r="Q1765"/>
          <cell r="R1765">
            <v>1510000</v>
          </cell>
          <cell r="S1765"/>
          <cell r="T1765">
            <v>1510000</v>
          </cell>
          <cell r="U1765"/>
          <cell r="V1765">
            <v>1510000</v>
          </cell>
          <cell r="W1765"/>
          <cell r="X1765">
            <v>1510000</v>
          </cell>
          <cell r="Y1765"/>
          <cell r="Z1765">
            <v>1510000</v>
          </cell>
          <cell r="AA1765"/>
          <cell r="AB1765"/>
          <cell r="AC1765"/>
          <cell r="AD1765">
            <v>7.6</v>
          </cell>
          <cell r="AE1765"/>
          <cell r="AF1765"/>
          <cell r="AG1765"/>
          <cell r="AH1765"/>
          <cell r="AI1765"/>
          <cell r="AJ1765"/>
          <cell r="AK1765"/>
          <cell r="AL1765"/>
        </row>
        <row r="1766">
          <cell r="E1766" t="str">
            <v>TR3φ60Hz  20KVA</v>
          </cell>
          <cell r="F1766" t="str">
            <v>台</v>
          </cell>
          <cell r="G1766"/>
          <cell r="H1766">
            <v>196000</v>
          </cell>
          <cell r="I1766"/>
          <cell r="J1766">
            <v>196000</v>
          </cell>
          <cell r="K1766"/>
          <cell r="L1766">
            <v>196000</v>
          </cell>
          <cell r="M1766"/>
          <cell r="N1766">
            <v>196000</v>
          </cell>
          <cell r="O1766"/>
          <cell r="P1766">
            <v>196000</v>
          </cell>
          <cell r="Q1766"/>
          <cell r="R1766">
            <v>196000</v>
          </cell>
          <cell r="S1766"/>
          <cell r="T1766">
            <v>196000</v>
          </cell>
          <cell r="U1766"/>
          <cell r="V1766">
            <v>196000</v>
          </cell>
          <cell r="W1766"/>
          <cell r="X1766">
            <v>196000</v>
          </cell>
          <cell r="Y1766"/>
          <cell r="Z1766">
            <v>196000</v>
          </cell>
          <cell r="AA1766"/>
          <cell r="AB1766"/>
          <cell r="AC1766"/>
          <cell r="AD1766">
            <v>1.8939999999999999</v>
          </cell>
          <cell r="AE1766"/>
          <cell r="AF1766"/>
          <cell r="AG1766"/>
          <cell r="AH1766"/>
          <cell r="AI1766"/>
          <cell r="AJ1766"/>
          <cell r="AK1766"/>
          <cell r="AL1766"/>
        </row>
        <row r="1767">
          <cell r="E1767" t="str">
            <v>TR3φ60Hz  30KVA</v>
          </cell>
          <cell r="F1767" t="str">
            <v>台</v>
          </cell>
          <cell r="G1767"/>
          <cell r="H1767">
            <v>228000</v>
          </cell>
          <cell r="I1767"/>
          <cell r="J1767">
            <v>228000</v>
          </cell>
          <cell r="K1767"/>
          <cell r="L1767">
            <v>228000</v>
          </cell>
          <cell r="M1767"/>
          <cell r="N1767">
            <v>228000</v>
          </cell>
          <cell r="O1767"/>
          <cell r="P1767">
            <v>228000</v>
          </cell>
          <cell r="Q1767"/>
          <cell r="R1767">
            <v>228000</v>
          </cell>
          <cell r="S1767"/>
          <cell r="T1767">
            <v>228000</v>
          </cell>
          <cell r="U1767"/>
          <cell r="V1767">
            <v>228000</v>
          </cell>
          <cell r="W1767"/>
          <cell r="X1767">
            <v>228000</v>
          </cell>
          <cell r="Y1767"/>
          <cell r="Z1767">
            <v>228000</v>
          </cell>
          <cell r="AA1767"/>
          <cell r="AB1767"/>
          <cell r="AC1767"/>
          <cell r="AD1767">
            <v>2.08</v>
          </cell>
          <cell r="AE1767"/>
          <cell r="AF1767"/>
          <cell r="AG1767"/>
          <cell r="AH1767"/>
          <cell r="AI1767"/>
          <cell r="AJ1767"/>
          <cell r="AK1767"/>
          <cell r="AL1767"/>
        </row>
        <row r="1768">
          <cell r="E1768" t="str">
            <v>TR3φ60H z 50KVA</v>
          </cell>
          <cell r="F1768" t="str">
            <v>台</v>
          </cell>
          <cell r="G1768"/>
          <cell r="H1768">
            <v>285000</v>
          </cell>
          <cell r="I1768"/>
          <cell r="J1768">
            <v>285000</v>
          </cell>
          <cell r="K1768"/>
          <cell r="L1768">
            <v>285000</v>
          </cell>
          <cell r="M1768"/>
          <cell r="N1768">
            <v>285000</v>
          </cell>
          <cell r="O1768"/>
          <cell r="P1768">
            <v>285000</v>
          </cell>
          <cell r="Q1768"/>
          <cell r="R1768">
            <v>285000</v>
          </cell>
          <cell r="S1768"/>
          <cell r="T1768">
            <v>285000</v>
          </cell>
          <cell r="U1768"/>
          <cell r="V1768">
            <v>285000</v>
          </cell>
          <cell r="W1768"/>
          <cell r="X1768">
            <v>285000</v>
          </cell>
          <cell r="Y1768"/>
          <cell r="Z1768">
            <v>285000</v>
          </cell>
          <cell r="AA1768"/>
          <cell r="AB1768"/>
          <cell r="AC1768"/>
          <cell r="AD1768">
            <v>2.44</v>
          </cell>
          <cell r="AE1768"/>
          <cell r="AF1768"/>
          <cell r="AG1768"/>
          <cell r="AH1768"/>
          <cell r="AI1768"/>
          <cell r="AJ1768"/>
          <cell r="AK1768"/>
          <cell r="AL1768"/>
        </row>
        <row r="1769">
          <cell r="E1769" t="str">
            <v>TR3φ60Hz  75KVA</v>
          </cell>
          <cell r="F1769" t="str">
            <v>台</v>
          </cell>
          <cell r="G1769"/>
          <cell r="H1769">
            <v>353000</v>
          </cell>
          <cell r="I1769"/>
          <cell r="J1769">
            <v>353000</v>
          </cell>
          <cell r="K1769"/>
          <cell r="L1769">
            <v>353000</v>
          </cell>
          <cell r="M1769"/>
          <cell r="N1769">
            <v>353000</v>
          </cell>
          <cell r="O1769"/>
          <cell r="P1769">
            <v>353000</v>
          </cell>
          <cell r="Q1769"/>
          <cell r="R1769">
            <v>353000</v>
          </cell>
          <cell r="S1769"/>
          <cell r="T1769">
            <v>353000</v>
          </cell>
          <cell r="U1769"/>
          <cell r="V1769">
            <v>353000</v>
          </cell>
          <cell r="W1769"/>
          <cell r="X1769">
            <v>353000</v>
          </cell>
          <cell r="Y1769"/>
          <cell r="Z1769">
            <v>353000</v>
          </cell>
          <cell r="AA1769"/>
          <cell r="AB1769"/>
          <cell r="AC1769"/>
          <cell r="AD1769">
            <v>3.62</v>
          </cell>
          <cell r="AE1769"/>
          <cell r="AF1769"/>
          <cell r="AG1769"/>
          <cell r="AH1769"/>
          <cell r="AI1769"/>
          <cell r="AJ1769"/>
          <cell r="AK1769"/>
          <cell r="AL1769"/>
        </row>
        <row r="1770">
          <cell r="E1770" t="str">
            <v>TR3φ60Hz 100KVA</v>
          </cell>
          <cell r="F1770" t="str">
            <v>台</v>
          </cell>
          <cell r="G1770"/>
          <cell r="H1770">
            <v>432000</v>
          </cell>
          <cell r="I1770"/>
          <cell r="J1770">
            <v>432000</v>
          </cell>
          <cell r="K1770"/>
          <cell r="L1770">
            <v>432000</v>
          </cell>
          <cell r="M1770"/>
          <cell r="N1770">
            <v>432000</v>
          </cell>
          <cell r="O1770"/>
          <cell r="P1770">
            <v>432000</v>
          </cell>
          <cell r="Q1770"/>
          <cell r="R1770">
            <v>432000</v>
          </cell>
          <cell r="S1770"/>
          <cell r="T1770">
            <v>432000</v>
          </cell>
          <cell r="U1770"/>
          <cell r="V1770">
            <v>432000</v>
          </cell>
          <cell r="W1770"/>
          <cell r="X1770">
            <v>432000</v>
          </cell>
          <cell r="Y1770"/>
          <cell r="Z1770">
            <v>432000</v>
          </cell>
          <cell r="AA1770"/>
          <cell r="AB1770"/>
          <cell r="AC1770"/>
          <cell r="AD1770">
            <v>4.0199999999999996</v>
          </cell>
          <cell r="AE1770"/>
          <cell r="AF1770"/>
          <cell r="AG1770"/>
          <cell r="AH1770"/>
          <cell r="AI1770"/>
          <cell r="AJ1770"/>
          <cell r="AK1770"/>
          <cell r="AL1770"/>
        </row>
        <row r="1771">
          <cell r="E1771" t="str">
            <v>TR3φ60Hz 150KVA</v>
          </cell>
          <cell r="F1771" t="str">
            <v>台</v>
          </cell>
          <cell r="G1771"/>
          <cell r="H1771">
            <v>582000</v>
          </cell>
          <cell r="I1771"/>
          <cell r="J1771">
            <v>582000</v>
          </cell>
          <cell r="K1771"/>
          <cell r="L1771">
            <v>582000</v>
          </cell>
          <cell r="M1771"/>
          <cell r="N1771">
            <v>582000</v>
          </cell>
          <cell r="O1771"/>
          <cell r="P1771">
            <v>582000</v>
          </cell>
          <cell r="Q1771"/>
          <cell r="R1771">
            <v>582000</v>
          </cell>
          <cell r="S1771"/>
          <cell r="T1771">
            <v>582000</v>
          </cell>
          <cell r="U1771"/>
          <cell r="V1771">
            <v>582000</v>
          </cell>
          <cell r="W1771"/>
          <cell r="X1771">
            <v>582000</v>
          </cell>
          <cell r="Y1771"/>
          <cell r="Z1771">
            <v>582000</v>
          </cell>
          <cell r="AA1771"/>
          <cell r="AB1771"/>
          <cell r="AC1771"/>
          <cell r="AD1771">
            <v>4.9400000000000004</v>
          </cell>
          <cell r="AE1771"/>
          <cell r="AF1771"/>
          <cell r="AG1771"/>
          <cell r="AH1771"/>
          <cell r="AI1771"/>
          <cell r="AJ1771"/>
          <cell r="AK1771"/>
          <cell r="AL1771"/>
        </row>
        <row r="1772">
          <cell r="E1772" t="str">
            <v>TR3φ60Hz 200KVA</v>
          </cell>
          <cell r="F1772" t="str">
            <v>台</v>
          </cell>
          <cell r="G1772"/>
          <cell r="H1772">
            <v>732000</v>
          </cell>
          <cell r="I1772"/>
          <cell r="J1772">
            <v>732000</v>
          </cell>
          <cell r="K1772"/>
          <cell r="L1772">
            <v>732000</v>
          </cell>
          <cell r="M1772"/>
          <cell r="N1772">
            <v>732000</v>
          </cell>
          <cell r="O1772"/>
          <cell r="P1772">
            <v>732000</v>
          </cell>
          <cell r="Q1772"/>
          <cell r="R1772">
            <v>732000</v>
          </cell>
          <cell r="S1772"/>
          <cell r="T1772">
            <v>732000</v>
          </cell>
          <cell r="U1772"/>
          <cell r="V1772">
            <v>732000</v>
          </cell>
          <cell r="W1772"/>
          <cell r="X1772">
            <v>732000</v>
          </cell>
          <cell r="Y1772"/>
          <cell r="Z1772">
            <v>732000</v>
          </cell>
          <cell r="AA1772"/>
          <cell r="AB1772"/>
          <cell r="AC1772"/>
          <cell r="AD1772">
            <v>5.48</v>
          </cell>
          <cell r="AE1772"/>
          <cell r="AF1772"/>
          <cell r="AG1772"/>
          <cell r="AH1772"/>
          <cell r="AI1772"/>
          <cell r="AJ1772"/>
          <cell r="AK1772"/>
          <cell r="AL1772"/>
        </row>
        <row r="1773">
          <cell r="E1773" t="str">
            <v>TR3φ60Hz 300KVA</v>
          </cell>
          <cell r="F1773" t="str">
            <v>台</v>
          </cell>
          <cell r="G1773"/>
          <cell r="H1773">
            <v>1030000</v>
          </cell>
          <cell r="I1773"/>
          <cell r="J1773">
            <v>1030000</v>
          </cell>
          <cell r="K1773"/>
          <cell r="L1773">
            <v>1030000</v>
          </cell>
          <cell r="M1773"/>
          <cell r="N1773">
            <v>1030000</v>
          </cell>
          <cell r="O1773"/>
          <cell r="P1773">
            <v>1030000</v>
          </cell>
          <cell r="Q1773"/>
          <cell r="R1773">
            <v>1030000</v>
          </cell>
          <cell r="S1773"/>
          <cell r="T1773">
            <v>1030000</v>
          </cell>
          <cell r="U1773"/>
          <cell r="V1773">
            <v>1030000</v>
          </cell>
          <cell r="W1773"/>
          <cell r="X1773">
            <v>1030000</v>
          </cell>
          <cell r="Y1773"/>
          <cell r="Z1773">
            <v>1030000</v>
          </cell>
          <cell r="AA1773"/>
          <cell r="AB1773"/>
          <cell r="AC1773"/>
          <cell r="AD1773">
            <v>7.1</v>
          </cell>
          <cell r="AE1773"/>
          <cell r="AF1773"/>
          <cell r="AG1773"/>
          <cell r="AH1773"/>
          <cell r="AI1773"/>
          <cell r="AJ1773"/>
          <cell r="AK1773"/>
          <cell r="AL1773"/>
        </row>
        <row r="1774">
          <cell r="E1774" t="str">
            <v>TR3φ60Hz 500KVA</v>
          </cell>
          <cell r="F1774" t="str">
            <v>台</v>
          </cell>
          <cell r="G1774"/>
          <cell r="H1774">
            <v>1560000</v>
          </cell>
          <cell r="I1774"/>
          <cell r="J1774">
            <v>1560000</v>
          </cell>
          <cell r="K1774"/>
          <cell r="L1774">
            <v>1560000</v>
          </cell>
          <cell r="M1774"/>
          <cell r="N1774">
            <v>1560000</v>
          </cell>
          <cell r="O1774"/>
          <cell r="P1774">
            <v>1560000</v>
          </cell>
          <cell r="Q1774"/>
          <cell r="R1774">
            <v>1560000</v>
          </cell>
          <cell r="S1774"/>
          <cell r="T1774">
            <v>1560000</v>
          </cell>
          <cell r="U1774"/>
          <cell r="V1774">
            <v>1560000</v>
          </cell>
          <cell r="W1774"/>
          <cell r="X1774">
            <v>1560000</v>
          </cell>
          <cell r="Y1774"/>
          <cell r="Z1774">
            <v>1560000</v>
          </cell>
          <cell r="AA1774"/>
          <cell r="AB1774"/>
          <cell r="AC1774"/>
          <cell r="AD1774">
            <v>8.74</v>
          </cell>
          <cell r="AE1774"/>
          <cell r="AF1774"/>
          <cell r="AG1774"/>
          <cell r="AH1774"/>
          <cell r="AI1774"/>
          <cell r="AJ1774"/>
          <cell r="AK1774"/>
          <cell r="AL1774"/>
        </row>
        <row r="1775">
          <cell r="E1775" t="str">
            <v>TR3φ60Hz 750KVA</v>
          </cell>
          <cell r="F1775" t="str">
            <v>台</v>
          </cell>
          <cell r="G1775"/>
          <cell r="H1775">
            <v>1935000</v>
          </cell>
          <cell r="I1775"/>
          <cell r="J1775">
            <v>1935000</v>
          </cell>
          <cell r="K1775"/>
          <cell r="L1775">
            <v>1935000</v>
          </cell>
          <cell r="M1775"/>
          <cell r="N1775">
            <v>1935000</v>
          </cell>
          <cell r="O1775"/>
          <cell r="P1775">
            <v>1935000</v>
          </cell>
          <cell r="Q1775"/>
          <cell r="R1775">
            <v>1935000</v>
          </cell>
          <cell r="S1775"/>
          <cell r="T1775">
            <v>1935000</v>
          </cell>
          <cell r="U1775"/>
          <cell r="V1775">
            <v>1935000</v>
          </cell>
          <cell r="W1775"/>
          <cell r="X1775">
            <v>1935000</v>
          </cell>
          <cell r="Y1775"/>
          <cell r="Z1775">
            <v>1935000</v>
          </cell>
          <cell r="AA1775"/>
          <cell r="AB1775"/>
          <cell r="AC1775"/>
          <cell r="AD1775">
            <v>8.74</v>
          </cell>
          <cell r="AE1775"/>
          <cell r="AF1775"/>
          <cell r="AG1775"/>
          <cell r="AH1775"/>
          <cell r="AI1775"/>
          <cell r="AJ1775"/>
          <cell r="AK1775"/>
          <cell r="AL1775"/>
        </row>
        <row r="1776">
          <cell r="E1776" t="str">
            <v>TR3φ60Hz1000KVA</v>
          </cell>
          <cell r="F1776" t="str">
            <v>台</v>
          </cell>
          <cell r="G1776"/>
          <cell r="H1776">
            <v>2902000</v>
          </cell>
          <cell r="I1776"/>
          <cell r="J1776">
            <v>2902000</v>
          </cell>
          <cell r="K1776"/>
          <cell r="L1776">
            <v>2902000</v>
          </cell>
          <cell r="M1776"/>
          <cell r="N1776">
            <v>2902000</v>
          </cell>
          <cell r="O1776"/>
          <cell r="P1776">
            <v>2902000</v>
          </cell>
          <cell r="Q1776"/>
          <cell r="R1776">
            <v>2902000</v>
          </cell>
          <cell r="S1776"/>
          <cell r="T1776">
            <v>2902000</v>
          </cell>
          <cell r="U1776"/>
          <cell r="V1776">
            <v>2902000</v>
          </cell>
          <cell r="W1776"/>
          <cell r="X1776">
            <v>2902000</v>
          </cell>
          <cell r="Y1776"/>
          <cell r="Z1776">
            <v>2902000</v>
          </cell>
          <cell r="AA1776"/>
          <cell r="AB1776"/>
          <cell r="AC1776"/>
          <cell r="AD1776">
            <v>8.74</v>
          </cell>
          <cell r="AE1776"/>
          <cell r="AF1776"/>
          <cell r="AG1776"/>
          <cell r="AH1776"/>
          <cell r="AI1776"/>
          <cell r="AJ1776"/>
          <cell r="AK1776"/>
          <cell r="AL1776"/>
        </row>
        <row r="1777">
          <cell r="E1777" t="str">
            <v>TR3φ60Hz1500KVA</v>
          </cell>
          <cell r="F1777" t="str">
            <v>台</v>
          </cell>
          <cell r="G1777"/>
          <cell r="H1777">
            <v>4353000</v>
          </cell>
          <cell r="I1777"/>
          <cell r="J1777">
            <v>4353000</v>
          </cell>
          <cell r="K1777"/>
          <cell r="L1777">
            <v>4353000</v>
          </cell>
          <cell r="M1777"/>
          <cell r="N1777">
            <v>4353000</v>
          </cell>
          <cell r="O1777"/>
          <cell r="P1777">
            <v>4353000</v>
          </cell>
          <cell r="Q1777"/>
          <cell r="R1777">
            <v>4353000</v>
          </cell>
          <cell r="S1777"/>
          <cell r="T1777">
            <v>4353000</v>
          </cell>
          <cell r="U1777"/>
          <cell r="V1777">
            <v>4353000</v>
          </cell>
          <cell r="W1777"/>
          <cell r="X1777">
            <v>4353000</v>
          </cell>
          <cell r="Y1777"/>
          <cell r="Z1777">
            <v>4353000</v>
          </cell>
          <cell r="AA1777"/>
          <cell r="AB1777"/>
          <cell r="AC1777"/>
          <cell r="AD1777">
            <v>8.74</v>
          </cell>
          <cell r="AE1777"/>
          <cell r="AF1777"/>
          <cell r="AG1777"/>
          <cell r="AH1777"/>
          <cell r="AI1777"/>
          <cell r="AJ1777"/>
          <cell r="AK1777"/>
          <cell r="AL1777"/>
        </row>
        <row r="1778">
          <cell r="E1778" t="str">
            <v>TRM1φ50Hz  10KVA</v>
          </cell>
          <cell r="F1778" t="str">
            <v>台</v>
          </cell>
          <cell r="G1778"/>
          <cell r="H1778">
            <v>481000</v>
          </cell>
          <cell r="I1778"/>
          <cell r="J1778">
            <v>481000</v>
          </cell>
          <cell r="K1778"/>
          <cell r="L1778">
            <v>481000</v>
          </cell>
          <cell r="M1778"/>
          <cell r="N1778">
            <v>481000</v>
          </cell>
          <cell r="O1778"/>
          <cell r="P1778">
            <v>481000</v>
          </cell>
          <cell r="Q1778"/>
          <cell r="R1778">
            <v>481000</v>
          </cell>
          <cell r="S1778"/>
          <cell r="T1778">
            <v>481000</v>
          </cell>
          <cell r="U1778"/>
          <cell r="V1778">
            <v>481000</v>
          </cell>
          <cell r="W1778"/>
          <cell r="X1778">
            <v>481000</v>
          </cell>
          <cell r="Y1778"/>
          <cell r="Z1778">
            <v>481000</v>
          </cell>
          <cell r="AA1778"/>
          <cell r="AB1778"/>
          <cell r="AC1778"/>
          <cell r="AD1778">
            <v>0.92</v>
          </cell>
          <cell r="AE1778"/>
          <cell r="AF1778"/>
          <cell r="AG1778"/>
          <cell r="AH1778"/>
          <cell r="AI1778"/>
          <cell r="AJ1778"/>
          <cell r="AK1778"/>
          <cell r="AL1778"/>
        </row>
        <row r="1779">
          <cell r="E1779" t="str">
            <v>TRM1φ50Hz  20KVA</v>
          </cell>
          <cell r="F1779" t="str">
            <v>台</v>
          </cell>
          <cell r="G1779"/>
          <cell r="H1779">
            <v>561000</v>
          </cell>
          <cell r="I1779"/>
          <cell r="J1779">
            <v>561000</v>
          </cell>
          <cell r="K1779"/>
          <cell r="L1779">
            <v>561000</v>
          </cell>
          <cell r="M1779"/>
          <cell r="N1779">
            <v>561000</v>
          </cell>
          <cell r="O1779"/>
          <cell r="P1779">
            <v>561000</v>
          </cell>
          <cell r="Q1779"/>
          <cell r="R1779">
            <v>561000</v>
          </cell>
          <cell r="S1779"/>
          <cell r="T1779">
            <v>561000</v>
          </cell>
          <cell r="U1779"/>
          <cell r="V1779">
            <v>561000</v>
          </cell>
          <cell r="W1779"/>
          <cell r="X1779">
            <v>561000</v>
          </cell>
          <cell r="Y1779"/>
          <cell r="Z1779">
            <v>561000</v>
          </cell>
          <cell r="AA1779"/>
          <cell r="AB1779"/>
          <cell r="AC1779"/>
          <cell r="AD1779">
            <v>1.5580000000000001</v>
          </cell>
          <cell r="AE1779"/>
          <cell r="AF1779"/>
          <cell r="AG1779"/>
          <cell r="AH1779"/>
          <cell r="AI1779"/>
          <cell r="AJ1779"/>
          <cell r="AK1779"/>
          <cell r="AL1779"/>
        </row>
        <row r="1780">
          <cell r="E1780" t="str">
            <v>TRM1φ50Hz  30KVA</v>
          </cell>
          <cell r="F1780" t="str">
            <v>台</v>
          </cell>
          <cell r="G1780"/>
          <cell r="H1780">
            <v>643000</v>
          </cell>
          <cell r="I1780"/>
          <cell r="J1780">
            <v>643000</v>
          </cell>
          <cell r="K1780"/>
          <cell r="L1780">
            <v>643000</v>
          </cell>
          <cell r="M1780"/>
          <cell r="N1780">
            <v>643000</v>
          </cell>
          <cell r="O1780"/>
          <cell r="P1780">
            <v>643000</v>
          </cell>
          <cell r="Q1780"/>
          <cell r="R1780">
            <v>643000</v>
          </cell>
          <cell r="S1780"/>
          <cell r="T1780">
            <v>643000</v>
          </cell>
          <cell r="U1780"/>
          <cell r="V1780">
            <v>643000</v>
          </cell>
          <cell r="W1780"/>
          <cell r="X1780">
            <v>643000</v>
          </cell>
          <cell r="Y1780"/>
          <cell r="Z1780">
            <v>643000</v>
          </cell>
          <cell r="AA1780"/>
          <cell r="AB1780"/>
          <cell r="AC1780"/>
          <cell r="AD1780">
            <v>1.6639999999999999</v>
          </cell>
          <cell r="AE1780"/>
          <cell r="AF1780"/>
          <cell r="AG1780"/>
          <cell r="AH1780"/>
          <cell r="AI1780"/>
          <cell r="AJ1780"/>
          <cell r="AK1780"/>
          <cell r="AL1780"/>
        </row>
        <row r="1781">
          <cell r="E1781" t="str">
            <v>TRM1φ50Hz  50KVA</v>
          </cell>
          <cell r="F1781" t="str">
            <v>台</v>
          </cell>
          <cell r="G1781"/>
          <cell r="H1781">
            <v>736000</v>
          </cell>
          <cell r="I1781"/>
          <cell r="J1781">
            <v>736000</v>
          </cell>
          <cell r="K1781"/>
          <cell r="L1781">
            <v>736000</v>
          </cell>
          <cell r="M1781"/>
          <cell r="N1781">
            <v>736000</v>
          </cell>
          <cell r="O1781"/>
          <cell r="P1781">
            <v>736000</v>
          </cell>
          <cell r="Q1781"/>
          <cell r="R1781">
            <v>736000</v>
          </cell>
          <cell r="S1781"/>
          <cell r="T1781">
            <v>736000</v>
          </cell>
          <cell r="U1781"/>
          <cell r="V1781">
            <v>736000</v>
          </cell>
          <cell r="W1781"/>
          <cell r="X1781">
            <v>736000</v>
          </cell>
          <cell r="Y1781"/>
          <cell r="Z1781">
            <v>736000</v>
          </cell>
          <cell r="AA1781"/>
          <cell r="AB1781"/>
          <cell r="AC1781"/>
          <cell r="AD1781">
            <v>1.946</v>
          </cell>
          <cell r="AE1781"/>
          <cell r="AF1781"/>
          <cell r="AG1781"/>
          <cell r="AH1781"/>
          <cell r="AI1781"/>
          <cell r="AJ1781"/>
          <cell r="AK1781"/>
          <cell r="AL1781"/>
        </row>
        <row r="1782">
          <cell r="E1782" t="str">
            <v>TRM1φ50Hz  75KVA</v>
          </cell>
          <cell r="F1782" t="str">
            <v>台</v>
          </cell>
          <cell r="G1782"/>
          <cell r="H1782">
            <v>876000</v>
          </cell>
          <cell r="I1782"/>
          <cell r="J1782">
            <v>876000</v>
          </cell>
          <cell r="K1782"/>
          <cell r="L1782">
            <v>876000</v>
          </cell>
          <cell r="M1782"/>
          <cell r="N1782">
            <v>876000</v>
          </cell>
          <cell r="O1782"/>
          <cell r="P1782">
            <v>876000</v>
          </cell>
          <cell r="Q1782"/>
          <cell r="R1782">
            <v>876000</v>
          </cell>
          <cell r="S1782"/>
          <cell r="T1782">
            <v>876000</v>
          </cell>
          <cell r="U1782"/>
          <cell r="V1782">
            <v>876000</v>
          </cell>
          <cell r="W1782"/>
          <cell r="X1782">
            <v>876000</v>
          </cell>
          <cell r="Y1782"/>
          <cell r="Z1782">
            <v>876000</v>
          </cell>
          <cell r="AA1782"/>
          <cell r="AB1782"/>
          <cell r="AC1782"/>
          <cell r="AD1782">
            <v>3.2</v>
          </cell>
          <cell r="AE1782"/>
          <cell r="AF1782"/>
          <cell r="AG1782"/>
          <cell r="AH1782"/>
          <cell r="AI1782"/>
          <cell r="AJ1782"/>
          <cell r="AK1782"/>
          <cell r="AL1782"/>
        </row>
        <row r="1783">
          <cell r="E1783" t="str">
            <v>TRM1φ50Hz 100KVA</v>
          </cell>
          <cell r="F1783" t="str">
            <v>台</v>
          </cell>
          <cell r="G1783"/>
          <cell r="H1783">
            <v>1040000</v>
          </cell>
          <cell r="I1783"/>
          <cell r="J1783">
            <v>1040000</v>
          </cell>
          <cell r="K1783"/>
          <cell r="L1783">
            <v>1040000</v>
          </cell>
          <cell r="M1783"/>
          <cell r="N1783">
            <v>1040000</v>
          </cell>
          <cell r="O1783"/>
          <cell r="P1783">
            <v>1040000</v>
          </cell>
          <cell r="Q1783"/>
          <cell r="R1783">
            <v>1040000</v>
          </cell>
          <cell r="S1783"/>
          <cell r="T1783">
            <v>1040000</v>
          </cell>
          <cell r="U1783"/>
          <cell r="V1783">
            <v>1040000</v>
          </cell>
          <cell r="W1783"/>
          <cell r="X1783">
            <v>1040000</v>
          </cell>
          <cell r="Y1783"/>
          <cell r="Z1783">
            <v>1040000</v>
          </cell>
          <cell r="AA1783"/>
          <cell r="AB1783"/>
          <cell r="AC1783"/>
          <cell r="AD1783">
            <v>3.42</v>
          </cell>
          <cell r="AE1783"/>
          <cell r="AF1783"/>
          <cell r="AG1783"/>
          <cell r="AH1783"/>
          <cell r="AI1783"/>
          <cell r="AJ1783"/>
          <cell r="AK1783"/>
          <cell r="AL1783"/>
        </row>
        <row r="1784">
          <cell r="E1784" t="str">
            <v>TRM1φ50Hz 150KVA</v>
          </cell>
          <cell r="F1784" t="str">
            <v>台</v>
          </cell>
          <cell r="G1784"/>
          <cell r="H1784">
            <v>1350000</v>
          </cell>
          <cell r="I1784"/>
          <cell r="J1784">
            <v>1350000</v>
          </cell>
          <cell r="K1784"/>
          <cell r="L1784">
            <v>1350000</v>
          </cell>
          <cell r="M1784"/>
          <cell r="N1784">
            <v>1350000</v>
          </cell>
          <cell r="O1784"/>
          <cell r="P1784">
            <v>1350000</v>
          </cell>
          <cell r="Q1784"/>
          <cell r="R1784">
            <v>1350000</v>
          </cell>
          <cell r="S1784"/>
          <cell r="T1784">
            <v>1350000</v>
          </cell>
          <cell r="U1784"/>
          <cell r="V1784">
            <v>1350000</v>
          </cell>
          <cell r="W1784"/>
          <cell r="X1784">
            <v>1350000</v>
          </cell>
          <cell r="Y1784"/>
          <cell r="Z1784">
            <v>1350000</v>
          </cell>
          <cell r="AA1784"/>
          <cell r="AB1784"/>
          <cell r="AC1784"/>
          <cell r="AD1784">
            <v>4.24</v>
          </cell>
          <cell r="AE1784"/>
          <cell r="AF1784"/>
          <cell r="AG1784"/>
          <cell r="AH1784"/>
          <cell r="AI1784"/>
          <cell r="AJ1784"/>
          <cell r="AK1784"/>
          <cell r="AL1784"/>
        </row>
        <row r="1785">
          <cell r="E1785" t="str">
            <v>TRM1φ50Hz 200KVA</v>
          </cell>
          <cell r="F1785" t="str">
            <v>台</v>
          </cell>
          <cell r="G1785"/>
          <cell r="H1785">
            <v>1680000</v>
          </cell>
          <cell r="I1785"/>
          <cell r="J1785">
            <v>1680000</v>
          </cell>
          <cell r="K1785"/>
          <cell r="L1785">
            <v>1680000</v>
          </cell>
          <cell r="M1785"/>
          <cell r="N1785">
            <v>1680000</v>
          </cell>
          <cell r="O1785"/>
          <cell r="P1785">
            <v>1680000</v>
          </cell>
          <cell r="Q1785"/>
          <cell r="R1785">
            <v>1680000</v>
          </cell>
          <cell r="S1785"/>
          <cell r="T1785">
            <v>1680000</v>
          </cell>
          <cell r="U1785"/>
          <cell r="V1785">
            <v>1680000</v>
          </cell>
          <cell r="W1785"/>
          <cell r="X1785">
            <v>1680000</v>
          </cell>
          <cell r="Y1785"/>
          <cell r="Z1785">
            <v>1680000</v>
          </cell>
          <cell r="AA1785"/>
          <cell r="AB1785"/>
          <cell r="AC1785"/>
          <cell r="AD1785">
            <v>4.5</v>
          </cell>
          <cell r="AE1785"/>
          <cell r="AF1785"/>
          <cell r="AG1785"/>
          <cell r="AH1785"/>
          <cell r="AI1785"/>
          <cell r="AJ1785"/>
          <cell r="AK1785"/>
          <cell r="AL1785"/>
        </row>
        <row r="1786">
          <cell r="E1786" t="str">
            <v>TRM1φ50Hz 300KVA</v>
          </cell>
          <cell r="F1786" t="str">
            <v>台</v>
          </cell>
          <cell r="G1786"/>
          <cell r="H1786">
            <v>2330000</v>
          </cell>
          <cell r="I1786"/>
          <cell r="J1786">
            <v>2330000</v>
          </cell>
          <cell r="K1786"/>
          <cell r="L1786">
            <v>2330000</v>
          </cell>
          <cell r="M1786"/>
          <cell r="N1786">
            <v>2330000</v>
          </cell>
          <cell r="O1786"/>
          <cell r="P1786">
            <v>2330000</v>
          </cell>
          <cell r="Q1786"/>
          <cell r="R1786">
            <v>2330000</v>
          </cell>
          <cell r="S1786"/>
          <cell r="T1786">
            <v>2330000</v>
          </cell>
          <cell r="U1786"/>
          <cell r="V1786">
            <v>2330000</v>
          </cell>
          <cell r="W1786"/>
          <cell r="X1786">
            <v>2330000</v>
          </cell>
          <cell r="Y1786"/>
          <cell r="Z1786">
            <v>2330000</v>
          </cell>
          <cell r="AA1786"/>
          <cell r="AB1786"/>
          <cell r="AC1786"/>
          <cell r="AD1786">
            <v>5.8</v>
          </cell>
          <cell r="AE1786"/>
          <cell r="AF1786"/>
          <cell r="AG1786"/>
          <cell r="AH1786"/>
          <cell r="AI1786"/>
          <cell r="AJ1786"/>
          <cell r="AK1786"/>
          <cell r="AL1786"/>
        </row>
        <row r="1787">
          <cell r="E1787" t="str">
            <v>TRM1φ50Hz 500KVA</v>
          </cell>
          <cell r="F1787" t="str">
            <v>台</v>
          </cell>
          <cell r="G1787"/>
          <cell r="H1787">
            <v>3700000</v>
          </cell>
          <cell r="I1787"/>
          <cell r="J1787">
            <v>3700000</v>
          </cell>
          <cell r="K1787"/>
          <cell r="L1787">
            <v>3700000</v>
          </cell>
          <cell r="M1787"/>
          <cell r="N1787">
            <v>3700000</v>
          </cell>
          <cell r="O1787"/>
          <cell r="P1787">
            <v>3700000</v>
          </cell>
          <cell r="Q1787"/>
          <cell r="R1787">
            <v>3700000</v>
          </cell>
          <cell r="S1787"/>
          <cell r="T1787">
            <v>3700000</v>
          </cell>
          <cell r="U1787"/>
          <cell r="V1787">
            <v>3700000</v>
          </cell>
          <cell r="W1787"/>
          <cell r="X1787">
            <v>3700000</v>
          </cell>
          <cell r="Y1787"/>
          <cell r="Z1787">
            <v>3700000</v>
          </cell>
          <cell r="AA1787"/>
          <cell r="AB1787"/>
          <cell r="AC1787"/>
          <cell r="AD1787">
            <v>7.6</v>
          </cell>
          <cell r="AE1787"/>
          <cell r="AF1787"/>
          <cell r="AG1787"/>
          <cell r="AH1787"/>
          <cell r="AI1787"/>
          <cell r="AJ1787"/>
          <cell r="AK1787"/>
          <cell r="AL1787"/>
        </row>
        <row r="1788">
          <cell r="E1788" t="str">
            <v>TRM3φ50Hz  20KVA</v>
          </cell>
          <cell r="F1788" t="str">
            <v>台</v>
          </cell>
          <cell r="G1788"/>
          <cell r="H1788">
            <v>787000</v>
          </cell>
          <cell r="I1788"/>
          <cell r="J1788">
            <v>787000</v>
          </cell>
          <cell r="K1788"/>
          <cell r="L1788">
            <v>787000</v>
          </cell>
          <cell r="M1788"/>
          <cell r="N1788">
            <v>787000</v>
          </cell>
          <cell r="O1788"/>
          <cell r="P1788">
            <v>787000</v>
          </cell>
          <cell r="Q1788"/>
          <cell r="R1788">
            <v>787000</v>
          </cell>
          <cell r="S1788"/>
          <cell r="T1788">
            <v>787000</v>
          </cell>
          <cell r="U1788"/>
          <cell r="V1788">
            <v>787000</v>
          </cell>
          <cell r="W1788"/>
          <cell r="X1788">
            <v>787000</v>
          </cell>
          <cell r="Y1788"/>
          <cell r="Z1788">
            <v>787000</v>
          </cell>
          <cell r="AA1788"/>
          <cell r="AB1788"/>
          <cell r="AC1788"/>
          <cell r="AD1788">
            <v>1.8939999999999999</v>
          </cell>
          <cell r="AE1788"/>
          <cell r="AF1788"/>
          <cell r="AG1788"/>
          <cell r="AH1788"/>
          <cell r="AI1788"/>
          <cell r="AJ1788"/>
          <cell r="AK1788"/>
          <cell r="AL1788"/>
        </row>
        <row r="1789">
          <cell r="E1789" t="str">
            <v>TRM3φ50Hz  30KVA</v>
          </cell>
          <cell r="F1789" t="str">
            <v>台</v>
          </cell>
          <cell r="G1789"/>
          <cell r="H1789">
            <v>902000</v>
          </cell>
          <cell r="I1789"/>
          <cell r="J1789">
            <v>902000</v>
          </cell>
          <cell r="K1789"/>
          <cell r="L1789">
            <v>902000</v>
          </cell>
          <cell r="M1789"/>
          <cell r="N1789">
            <v>902000</v>
          </cell>
          <cell r="O1789"/>
          <cell r="P1789">
            <v>902000</v>
          </cell>
          <cell r="Q1789"/>
          <cell r="R1789">
            <v>902000</v>
          </cell>
          <cell r="S1789"/>
          <cell r="T1789">
            <v>902000</v>
          </cell>
          <cell r="U1789"/>
          <cell r="V1789">
            <v>902000</v>
          </cell>
          <cell r="W1789"/>
          <cell r="X1789">
            <v>902000</v>
          </cell>
          <cell r="Y1789"/>
          <cell r="Z1789">
            <v>902000</v>
          </cell>
          <cell r="AA1789"/>
          <cell r="AB1789"/>
          <cell r="AC1789"/>
          <cell r="AD1789">
            <v>2.08</v>
          </cell>
          <cell r="AE1789"/>
          <cell r="AF1789"/>
          <cell r="AG1789"/>
          <cell r="AH1789"/>
          <cell r="AI1789"/>
          <cell r="AJ1789"/>
          <cell r="AK1789"/>
          <cell r="AL1789"/>
        </row>
        <row r="1790">
          <cell r="E1790" t="str">
            <v>TRM3φ50Hz  50KVA</v>
          </cell>
          <cell r="F1790" t="str">
            <v>台</v>
          </cell>
          <cell r="G1790"/>
          <cell r="H1790">
            <v>982000</v>
          </cell>
          <cell r="I1790"/>
          <cell r="J1790">
            <v>982000</v>
          </cell>
          <cell r="K1790"/>
          <cell r="L1790">
            <v>982000</v>
          </cell>
          <cell r="M1790"/>
          <cell r="N1790">
            <v>982000</v>
          </cell>
          <cell r="O1790"/>
          <cell r="P1790">
            <v>982000</v>
          </cell>
          <cell r="Q1790"/>
          <cell r="R1790">
            <v>982000</v>
          </cell>
          <cell r="S1790"/>
          <cell r="T1790">
            <v>982000</v>
          </cell>
          <cell r="U1790"/>
          <cell r="V1790">
            <v>982000</v>
          </cell>
          <cell r="W1790"/>
          <cell r="X1790">
            <v>982000</v>
          </cell>
          <cell r="Y1790"/>
          <cell r="Z1790">
            <v>982000</v>
          </cell>
          <cell r="AA1790"/>
          <cell r="AB1790"/>
          <cell r="AC1790"/>
          <cell r="AD1790">
            <v>2.44</v>
          </cell>
          <cell r="AE1790"/>
          <cell r="AF1790"/>
          <cell r="AG1790"/>
          <cell r="AH1790"/>
          <cell r="AI1790"/>
          <cell r="AJ1790"/>
          <cell r="AK1790"/>
          <cell r="AL1790"/>
        </row>
        <row r="1791">
          <cell r="E1791" t="str">
            <v>TRM3φ50Hz  75KVA</v>
          </cell>
          <cell r="F1791" t="str">
            <v>台</v>
          </cell>
          <cell r="G1791"/>
          <cell r="H1791">
            <v>1170000</v>
          </cell>
          <cell r="I1791"/>
          <cell r="J1791">
            <v>1170000</v>
          </cell>
          <cell r="K1791"/>
          <cell r="L1791">
            <v>1170000</v>
          </cell>
          <cell r="M1791"/>
          <cell r="N1791">
            <v>1170000</v>
          </cell>
          <cell r="O1791"/>
          <cell r="P1791">
            <v>1170000</v>
          </cell>
          <cell r="Q1791"/>
          <cell r="R1791">
            <v>1170000</v>
          </cell>
          <cell r="S1791"/>
          <cell r="T1791">
            <v>1170000</v>
          </cell>
          <cell r="U1791"/>
          <cell r="V1791">
            <v>1170000</v>
          </cell>
          <cell r="W1791"/>
          <cell r="X1791">
            <v>1170000</v>
          </cell>
          <cell r="Y1791"/>
          <cell r="Z1791">
            <v>1170000</v>
          </cell>
          <cell r="AA1791"/>
          <cell r="AB1791"/>
          <cell r="AC1791"/>
          <cell r="AD1791">
            <v>3.62</v>
          </cell>
          <cell r="AE1791"/>
          <cell r="AF1791"/>
          <cell r="AG1791"/>
          <cell r="AH1791"/>
          <cell r="AI1791"/>
          <cell r="AJ1791"/>
          <cell r="AK1791"/>
          <cell r="AL1791"/>
        </row>
        <row r="1792">
          <cell r="E1792" t="str">
            <v>TRM3φ50Hz 100KVA</v>
          </cell>
          <cell r="F1792" t="str">
            <v>台</v>
          </cell>
          <cell r="G1792"/>
          <cell r="H1792">
            <v>1320000</v>
          </cell>
          <cell r="I1792"/>
          <cell r="J1792">
            <v>1320000</v>
          </cell>
          <cell r="K1792"/>
          <cell r="L1792">
            <v>1320000</v>
          </cell>
          <cell r="M1792"/>
          <cell r="N1792">
            <v>1320000</v>
          </cell>
          <cell r="O1792"/>
          <cell r="P1792">
            <v>1320000</v>
          </cell>
          <cell r="Q1792"/>
          <cell r="R1792">
            <v>1320000</v>
          </cell>
          <cell r="S1792"/>
          <cell r="T1792">
            <v>1320000</v>
          </cell>
          <cell r="U1792"/>
          <cell r="V1792">
            <v>1320000</v>
          </cell>
          <cell r="W1792"/>
          <cell r="X1792">
            <v>1320000</v>
          </cell>
          <cell r="Y1792"/>
          <cell r="Z1792">
            <v>1320000</v>
          </cell>
          <cell r="AA1792"/>
          <cell r="AB1792"/>
          <cell r="AC1792"/>
          <cell r="AD1792">
            <v>4.0199999999999996</v>
          </cell>
          <cell r="AE1792"/>
          <cell r="AF1792"/>
          <cell r="AG1792"/>
          <cell r="AH1792"/>
          <cell r="AI1792"/>
          <cell r="AJ1792"/>
          <cell r="AK1792"/>
          <cell r="AL1792"/>
        </row>
        <row r="1793">
          <cell r="E1793" t="str">
            <v>TRM3φ50Hz 150KVA</v>
          </cell>
          <cell r="F1793" t="str">
            <v>台</v>
          </cell>
          <cell r="G1793"/>
          <cell r="H1793">
            <v>1660000</v>
          </cell>
          <cell r="I1793"/>
          <cell r="J1793">
            <v>1660000</v>
          </cell>
          <cell r="K1793"/>
          <cell r="L1793">
            <v>1660000</v>
          </cell>
          <cell r="M1793"/>
          <cell r="N1793">
            <v>1660000</v>
          </cell>
          <cell r="O1793"/>
          <cell r="P1793">
            <v>1660000</v>
          </cell>
          <cell r="Q1793"/>
          <cell r="R1793">
            <v>1660000</v>
          </cell>
          <cell r="S1793"/>
          <cell r="T1793">
            <v>1660000</v>
          </cell>
          <cell r="U1793"/>
          <cell r="V1793">
            <v>1660000</v>
          </cell>
          <cell r="W1793"/>
          <cell r="X1793">
            <v>1660000</v>
          </cell>
          <cell r="Y1793"/>
          <cell r="Z1793">
            <v>1660000</v>
          </cell>
          <cell r="AA1793"/>
          <cell r="AB1793"/>
          <cell r="AC1793"/>
          <cell r="AD1793">
            <v>4.9400000000000004</v>
          </cell>
          <cell r="AE1793"/>
          <cell r="AF1793"/>
          <cell r="AG1793"/>
          <cell r="AH1793"/>
          <cell r="AI1793"/>
          <cell r="AJ1793"/>
          <cell r="AK1793"/>
          <cell r="AL1793"/>
        </row>
        <row r="1794">
          <cell r="E1794" t="str">
            <v>TRM3φ50Hz 200KVA</v>
          </cell>
          <cell r="F1794" t="str">
            <v>台</v>
          </cell>
          <cell r="G1794"/>
          <cell r="H1794">
            <v>2020000</v>
          </cell>
          <cell r="I1794"/>
          <cell r="J1794">
            <v>2020000</v>
          </cell>
          <cell r="K1794"/>
          <cell r="L1794">
            <v>2020000</v>
          </cell>
          <cell r="M1794"/>
          <cell r="N1794">
            <v>2020000</v>
          </cell>
          <cell r="O1794"/>
          <cell r="P1794">
            <v>2020000</v>
          </cell>
          <cell r="Q1794"/>
          <cell r="R1794">
            <v>2020000</v>
          </cell>
          <cell r="S1794"/>
          <cell r="T1794">
            <v>2020000</v>
          </cell>
          <cell r="U1794"/>
          <cell r="V1794">
            <v>2020000</v>
          </cell>
          <cell r="W1794"/>
          <cell r="X1794">
            <v>2020000</v>
          </cell>
          <cell r="Y1794"/>
          <cell r="Z1794">
            <v>2020000</v>
          </cell>
          <cell r="AA1794"/>
          <cell r="AB1794"/>
          <cell r="AC1794"/>
          <cell r="AD1794">
            <v>5.48</v>
          </cell>
          <cell r="AE1794"/>
          <cell r="AF1794"/>
          <cell r="AG1794"/>
          <cell r="AH1794"/>
          <cell r="AI1794"/>
          <cell r="AJ1794"/>
          <cell r="AK1794"/>
          <cell r="AL1794"/>
        </row>
        <row r="1795">
          <cell r="E1795" t="str">
            <v>TRM3φ50Hz 300KVA</v>
          </cell>
          <cell r="F1795" t="str">
            <v>台</v>
          </cell>
          <cell r="G1795"/>
          <cell r="H1795">
            <v>2830000</v>
          </cell>
          <cell r="I1795"/>
          <cell r="J1795">
            <v>2830000</v>
          </cell>
          <cell r="K1795"/>
          <cell r="L1795">
            <v>2830000</v>
          </cell>
          <cell r="M1795"/>
          <cell r="N1795">
            <v>2830000</v>
          </cell>
          <cell r="O1795"/>
          <cell r="P1795">
            <v>2830000</v>
          </cell>
          <cell r="Q1795"/>
          <cell r="R1795">
            <v>2830000</v>
          </cell>
          <cell r="S1795"/>
          <cell r="T1795">
            <v>2830000</v>
          </cell>
          <cell r="U1795"/>
          <cell r="V1795">
            <v>2830000</v>
          </cell>
          <cell r="W1795"/>
          <cell r="X1795">
            <v>2830000</v>
          </cell>
          <cell r="Y1795"/>
          <cell r="Z1795">
            <v>2830000</v>
          </cell>
          <cell r="AA1795"/>
          <cell r="AB1795"/>
          <cell r="AC1795"/>
          <cell r="AD1795">
            <v>7.1</v>
          </cell>
          <cell r="AE1795"/>
          <cell r="AF1795"/>
          <cell r="AG1795"/>
          <cell r="AH1795"/>
          <cell r="AI1795"/>
          <cell r="AJ1795"/>
          <cell r="AK1795"/>
          <cell r="AL1795"/>
        </row>
        <row r="1796">
          <cell r="E1796" t="str">
            <v>TRM3φ50Hz 500KVA</v>
          </cell>
          <cell r="F1796" t="str">
            <v>台</v>
          </cell>
          <cell r="G1796"/>
          <cell r="H1796">
            <v>4440000</v>
          </cell>
          <cell r="I1796"/>
          <cell r="J1796">
            <v>4440000</v>
          </cell>
          <cell r="K1796"/>
          <cell r="L1796">
            <v>4440000</v>
          </cell>
          <cell r="M1796"/>
          <cell r="N1796">
            <v>4440000</v>
          </cell>
          <cell r="O1796"/>
          <cell r="P1796">
            <v>4440000</v>
          </cell>
          <cell r="Q1796"/>
          <cell r="R1796">
            <v>4440000</v>
          </cell>
          <cell r="S1796"/>
          <cell r="T1796">
            <v>4440000</v>
          </cell>
          <cell r="U1796"/>
          <cell r="V1796">
            <v>4440000</v>
          </cell>
          <cell r="W1796"/>
          <cell r="X1796">
            <v>4440000</v>
          </cell>
          <cell r="Y1796"/>
          <cell r="Z1796">
            <v>4440000</v>
          </cell>
          <cell r="AA1796"/>
          <cell r="AB1796"/>
          <cell r="AC1796"/>
          <cell r="AD1796">
            <v>8.74</v>
          </cell>
          <cell r="AE1796"/>
          <cell r="AF1796"/>
          <cell r="AG1796"/>
          <cell r="AH1796"/>
          <cell r="AI1796"/>
          <cell r="AJ1796"/>
          <cell r="AK1796"/>
          <cell r="AL1796"/>
        </row>
        <row r="1797">
          <cell r="E1797" t="str">
            <v>TRM3φ50Hz 750KVA</v>
          </cell>
          <cell r="F1797" t="str">
            <v>台</v>
          </cell>
          <cell r="G1797"/>
          <cell r="H1797">
            <v>4325000</v>
          </cell>
          <cell r="I1797"/>
          <cell r="J1797">
            <v>4325000</v>
          </cell>
          <cell r="K1797"/>
          <cell r="L1797">
            <v>4325000</v>
          </cell>
          <cell r="M1797"/>
          <cell r="N1797">
            <v>4325000</v>
          </cell>
          <cell r="O1797"/>
          <cell r="P1797">
            <v>4325000</v>
          </cell>
          <cell r="Q1797"/>
          <cell r="R1797">
            <v>4325000</v>
          </cell>
          <cell r="S1797"/>
          <cell r="T1797">
            <v>4325000</v>
          </cell>
          <cell r="U1797"/>
          <cell r="V1797">
            <v>4325000</v>
          </cell>
          <cell r="W1797"/>
          <cell r="X1797">
            <v>4325000</v>
          </cell>
          <cell r="Y1797"/>
          <cell r="Z1797">
            <v>4325000</v>
          </cell>
          <cell r="AA1797"/>
          <cell r="AB1797"/>
          <cell r="AC1797"/>
          <cell r="AD1797">
            <v>8.74</v>
          </cell>
          <cell r="AE1797"/>
          <cell r="AF1797"/>
          <cell r="AG1797"/>
          <cell r="AH1797"/>
          <cell r="AI1797"/>
          <cell r="AJ1797"/>
          <cell r="AK1797"/>
          <cell r="AL1797"/>
        </row>
        <row r="1798">
          <cell r="E1798" t="str">
            <v>TRM3φ50Hz1000KVA</v>
          </cell>
          <cell r="F1798" t="str">
            <v>台</v>
          </cell>
          <cell r="G1798"/>
          <cell r="H1798">
            <v>4808000</v>
          </cell>
          <cell r="I1798"/>
          <cell r="J1798">
            <v>4808000</v>
          </cell>
          <cell r="K1798"/>
          <cell r="L1798">
            <v>4808000</v>
          </cell>
          <cell r="M1798"/>
          <cell r="N1798">
            <v>4808000</v>
          </cell>
          <cell r="O1798"/>
          <cell r="P1798">
            <v>4808000</v>
          </cell>
          <cell r="Q1798"/>
          <cell r="R1798">
            <v>4808000</v>
          </cell>
          <cell r="S1798"/>
          <cell r="T1798">
            <v>4808000</v>
          </cell>
          <cell r="U1798"/>
          <cell r="V1798">
            <v>4808000</v>
          </cell>
          <cell r="W1798"/>
          <cell r="X1798">
            <v>4808000</v>
          </cell>
          <cell r="Y1798"/>
          <cell r="Z1798">
            <v>4808000</v>
          </cell>
          <cell r="AA1798"/>
          <cell r="AB1798"/>
          <cell r="AC1798"/>
          <cell r="AD1798">
            <v>8.74</v>
          </cell>
          <cell r="AE1798"/>
          <cell r="AF1798"/>
          <cell r="AG1798"/>
          <cell r="AH1798"/>
          <cell r="AI1798"/>
          <cell r="AJ1798"/>
          <cell r="AK1798"/>
          <cell r="AL1798"/>
        </row>
        <row r="1799">
          <cell r="E1799" t="str">
            <v>TRM3φ50Hz1500KVA</v>
          </cell>
          <cell r="F1799" t="str">
            <v>台</v>
          </cell>
          <cell r="G1799"/>
          <cell r="H1799">
            <v>6011000</v>
          </cell>
          <cell r="I1799"/>
          <cell r="J1799">
            <v>6011000</v>
          </cell>
          <cell r="K1799"/>
          <cell r="L1799">
            <v>6011000</v>
          </cell>
          <cell r="M1799"/>
          <cell r="N1799">
            <v>6011000</v>
          </cell>
          <cell r="O1799"/>
          <cell r="P1799">
            <v>6011000</v>
          </cell>
          <cell r="Q1799"/>
          <cell r="R1799">
            <v>6011000</v>
          </cell>
          <cell r="S1799"/>
          <cell r="T1799">
            <v>6011000</v>
          </cell>
          <cell r="U1799"/>
          <cell r="V1799">
            <v>6011000</v>
          </cell>
          <cell r="W1799"/>
          <cell r="X1799">
            <v>6011000</v>
          </cell>
          <cell r="Y1799"/>
          <cell r="Z1799">
            <v>6011000</v>
          </cell>
          <cell r="AA1799"/>
          <cell r="AB1799"/>
          <cell r="AC1799"/>
          <cell r="AD1799">
            <v>8.74</v>
          </cell>
          <cell r="AE1799"/>
          <cell r="AF1799"/>
          <cell r="AG1799"/>
          <cell r="AH1799"/>
          <cell r="AI1799"/>
          <cell r="AJ1799"/>
          <cell r="AK1799"/>
          <cell r="AL1799"/>
        </row>
        <row r="1800">
          <cell r="E1800" t="str">
            <v>TRM1φ60Hz  10KVA</v>
          </cell>
          <cell r="F1800" t="str">
            <v>台</v>
          </cell>
          <cell r="G1800"/>
          <cell r="H1800">
            <v>430000</v>
          </cell>
          <cell r="I1800"/>
          <cell r="J1800">
            <v>430000</v>
          </cell>
          <cell r="K1800"/>
          <cell r="L1800">
            <v>430000</v>
          </cell>
          <cell r="M1800"/>
          <cell r="N1800">
            <v>430000</v>
          </cell>
          <cell r="O1800"/>
          <cell r="P1800">
            <v>430000</v>
          </cell>
          <cell r="Q1800"/>
          <cell r="R1800">
            <v>430000</v>
          </cell>
          <cell r="S1800"/>
          <cell r="T1800">
            <v>430000</v>
          </cell>
          <cell r="U1800"/>
          <cell r="V1800">
            <v>430000</v>
          </cell>
          <cell r="W1800"/>
          <cell r="X1800">
            <v>430000</v>
          </cell>
          <cell r="Y1800"/>
          <cell r="Z1800">
            <v>430000</v>
          </cell>
          <cell r="AA1800"/>
          <cell r="AB1800"/>
          <cell r="AC1800"/>
          <cell r="AD1800">
            <v>0.92</v>
          </cell>
          <cell r="AE1800"/>
          <cell r="AF1800"/>
          <cell r="AG1800"/>
          <cell r="AH1800"/>
          <cell r="AI1800"/>
          <cell r="AJ1800"/>
          <cell r="AK1800"/>
          <cell r="AL1800"/>
        </row>
        <row r="1801">
          <cell r="E1801" t="str">
            <v>TRM1φ60Hz  20KVA</v>
          </cell>
          <cell r="F1801" t="str">
            <v>台</v>
          </cell>
          <cell r="G1801"/>
          <cell r="H1801">
            <v>496000</v>
          </cell>
          <cell r="I1801"/>
          <cell r="J1801">
            <v>496000</v>
          </cell>
          <cell r="K1801"/>
          <cell r="L1801">
            <v>496000</v>
          </cell>
          <cell r="M1801"/>
          <cell r="N1801">
            <v>496000</v>
          </cell>
          <cell r="O1801"/>
          <cell r="P1801">
            <v>496000</v>
          </cell>
          <cell r="Q1801"/>
          <cell r="R1801">
            <v>496000</v>
          </cell>
          <cell r="S1801"/>
          <cell r="T1801">
            <v>496000</v>
          </cell>
          <cell r="U1801"/>
          <cell r="V1801">
            <v>496000</v>
          </cell>
          <cell r="W1801"/>
          <cell r="X1801">
            <v>496000</v>
          </cell>
          <cell r="Y1801"/>
          <cell r="Z1801">
            <v>496000</v>
          </cell>
          <cell r="AA1801"/>
          <cell r="AB1801"/>
          <cell r="AC1801"/>
          <cell r="AD1801">
            <v>1.5580000000000001</v>
          </cell>
          <cell r="AE1801"/>
          <cell r="AF1801"/>
          <cell r="AG1801"/>
          <cell r="AH1801"/>
          <cell r="AI1801"/>
          <cell r="AJ1801"/>
          <cell r="AK1801"/>
          <cell r="AL1801"/>
        </row>
        <row r="1802">
          <cell r="E1802" t="str">
            <v>TRM1φ60Hz  30KVA</v>
          </cell>
          <cell r="F1802" t="str">
            <v>台</v>
          </cell>
          <cell r="G1802"/>
          <cell r="H1802">
            <v>610000</v>
          </cell>
          <cell r="I1802"/>
          <cell r="J1802">
            <v>610000</v>
          </cell>
          <cell r="K1802"/>
          <cell r="L1802">
            <v>610000</v>
          </cell>
          <cell r="M1802"/>
          <cell r="N1802">
            <v>610000</v>
          </cell>
          <cell r="O1802"/>
          <cell r="P1802">
            <v>610000</v>
          </cell>
          <cell r="Q1802"/>
          <cell r="R1802">
            <v>610000</v>
          </cell>
          <cell r="S1802"/>
          <cell r="T1802">
            <v>610000</v>
          </cell>
          <cell r="U1802"/>
          <cell r="V1802">
            <v>610000</v>
          </cell>
          <cell r="W1802"/>
          <cell r="X1802">
            <v>610000</v>
          </cell>
          <cell r="Y1802"/>
          <cell r="Z1802">
            <v>610000</v>
          </cell>
          <cell r="AA1802"/>
          <cell r="AB1802"/>
          <cell r="AC1802"/>
          <cell r="AD1802">
            <v>1.6639999999999999</v>
          </cell>
          <cell r="AE1802"/>
          <cell r="AF1802"/>
          <cell r="AG1802"/>
          <cell r="AH1802"/>
          <cell r="AI1802"/>
          <cell r="AJ1802"/>
          <cell r="AK1802"/>
          <cell r="AL1802"/>
        </row>
        <row r="1803">
          <cell r="E1803" t="str">
            <v>TRM1φ60Hz  50KVA</v>
          </cell>
          <cell r="F1803" t="str">
            <v>台</v>
          </cell>
          <cell r="G1803"/>
          <cell r="H1803">
            <v>696000</v>
          </cell>
          <cell r="I1803"/>
          <cell r="J1803">
            <v>696000</v>
          </cell>
          <cell r="K1803"/>
          <cell r="L1803">
            <v>696000</v>
          </cell>
          <cell r="M1803"/>
          <cell r="N1803">
            <v>696000</v>
          </cell>
          <cell r="O1803"/>
          <cell r="P1803">
            <v>696000</v>
          </cell>
          <cell r="Q1803"/>
          <cell r="R1803">
            <v>696000</v>
          </cell>
          <cell r="S1803"/>
          <cell r="T1803">
            <v>696000</v>
          </cell>
          <cell r="U1803"/>
          <cell r="V1803">
            <v>696000</v>
          </cell>
          <cell r="W1803"/>
          <cell r="X1803">
            <v>696000</v>
          </cell>
          <cell r="Y1803"/>
          <cell r="Z1803">
            <v>696000</v>
          </cell>
          <cell r="AA1803"/>
          <cell r="AB1803"/>
          <cell r="AC1803"/>
          <cell r="AD1803">
            <v>1.946</v>
          </cell>
          <cell r="AE1803"/>
          <cell r="AF1803"/>
          <cell r="AG1803"/>
          <cell r="AH1803"/>
          <cell r="AI1803"/>
          <cell r="AJ1803"/>
          <cell r="AK1803"/>
          <cell r="AL1803"/>
        </row>
        <row r="1804">
          <cell r="E1804" t="str">
            <v>TRM1φ60Hz  75KVA</v>
          </cell>
          <cell r="F1804" t="str">
            <v>台</v>
          </cell>
          <cell r="G1804"/>
          <cell r="H1804">
            <v>832000</v>
          </cell>
          <cell r="I1804"/>
          <cell r="J1804">
            <v>832000</v>
          </cell>
          <cell r="K1804"/>
          <cell r="L1804">
            <v>832000</v>
          </cell>
          <cell r="M1804"/>
          <cell r="N1804">
            <v>832000</v>
          </cell>
          <cell r="O1804"/>
          <cell r="P1804">
            <v>832000</v>
          </cell>
          <cell r="Q1804"/>
          <cell r="R1804">
            <v>832000</v>
          </cell>
          <cell r="S1804"/>
          <cell r="T1804">
            <v>832000</v>
          </cell>
          <cell r="U1804"/>
          <cell r="V1804">
            <v>832000</v>
          </cell>
          <cell r="W1804"/>
          <cell r="X1804">
            <v>832000</v>
          </cell>
          <cell r="Y1804"/>
          <cell r="Z1804">
            <v>832000</v>
          </cell>
          <cell r="AA1804"/>
          <cell r="AB1804"/>
          <cell r="AC1804"/>
          <cell r="AD1804">
            <v>3.2</v>
          </cell>
          <cell r="AE1804"/>
          <cell r="AF1804"/>
          <cell r="AG1804"/>
          <cell r="AH1804"/>
          <cell r="AI1804"/>
          <cell r="AJ1804"/>
          <cell r="AK1804"/>
          <cell r="AL1804"/>
        </row>
        <row r="1805">
          <cell r="E1805" t="str">
            <v>TRM1φ60Hz 100KVA</v>
          </cell>
          <cell r="F1805" t="str">
            <v>台</v>
          </cell>
          <cell r="G1805"/>
          <cell r="H1805">
            <v>968000</v>
          </cell>
          <cell r="I1805"/>
          <cell r="J1805">
            <v>968000</v>
          </cell>
          <cell r="K1805"/>
          <cell r="L1805">
            <v>968000</v>
          </cell>
          <cell r="M1805"/>
          <cell r="N1805">
            <v>968000</v>
          </cell>
          <cell r="O1805"/>
          <cell r="P1805">
            <v>968000</v>
          </cell>
          <cell r="Q1805"/>
          <cell r="R1805">
            <v>968000</v>
          </cell>
          <cell r="S1805"/>
          <cell r="T1805">
            <v>968000</v>
          </cell>
          <cell r="U1805"/>
          <cell r="V1805">
            <v>968000</v>
          </cell>
          <cell r="W1805"/>
          <cell r="X1805">
            <v>968000</v>
          </cell>
          <cell r="Y1805"/>
          <cell r="Z1805">
            <v>968000</v>
          </cell>
          <cell r="AA1805"/>
          <cell r="AB1805"/>
          <cell r="AC1805"/>
          <cell r="AD1805">
            <v>3.42</v>
          </cell>
          <cell r="AE1805"/>
          <cell r="AF1805"/>
          <cell r="AG1805"/>
          <cell r="AH1805"/>
          <cell r="AI1805"/>
          <cell r="AJ1805"/>
          <cell r="AK1805"/>
          <cell r="AL1805"/>
        </row>
        <row r="1806">
          <cell r="E1806" t="str">
            <v>TRM1φ60Hz 150KVA</v>
          </cell>
          <cell r="F1806" t="str">
            <v>台</v>
          </cell>
          <cell r="G1806"/>
          <cell r="H1806">
            <v>1280000</v>
          </cell>
          <cell r="I1806"/>
          <cell r="J1806">
            <v>1280000</v>
          </cell>
          <cell r="K1806"/>
          <cell r="L1806">
            <v>1280000</v>
          </cell>
          <cell r="M1806"/>
          <cell r="N1806">
            <v>1280000</v>
          </cell>
          <cell r="O1806"/>
          <cell r="P1806">
            <v>1280000</v>
          </cell>
          <cell r="Q1806"/>
          <cell r="R1806">
            <v>1280000</v>
          </cell>
          <cell r="S1806"/>
          <cell r="T1806">
            <v>1280000</v>
          </cell>
          <cell r="U1806"/>
          <cell r="V1806">
            <v>1280000</v>
          </cell>
          <cell r="W1806"/>
          <cell r="X1806">
            <v>1280000</v>
          </cell>
          <cell r="Y1806"/>
          <cell r="Z1806">
            <v>1280000</v>
          </cell>
          <cell r="AA1806"/>
          <cell r="AB1806"/>
          <cell r="AC1806"/>
          <cell r="AD1806">
            <v>4.24</v>
          </cell>
          <cell r="AE1806"/>
          <cell r="AF1806"/>
          <cell r="AG1806"/>
          <cell r="AH1806"/>
          <cell r="AI1806"/>
          <cell r="AJ1806"/>
          <cell r="AK1806"/>
          <cell r="AL1806"/>
        </row>
        <row r="1807">
          <cell r="E1807" t="str">
            <v>TRM1φ60Hz 200KVA</v>
          </cell>
          <cell r="F1807" t="str">
            <v>台</v>
          </cell>
          <cell r="G1807"/>
          <cell r="H1807">
            <v>1600000</v>
          </cell>
          <cell r="I1807"/>
          <cell r="J1807">
            <v>1600000</v>
          </cell>
          <cell r="K1807"/>
          <cell r="L1807">
            <v>1600000</v>
          </cell>
          <cell r="M1807"/>
          <cell r="N1807">
            <v>1600000</v>
          </cell>
          <cell r="O1807"/>
          <cell r="P1807">
            <v>1600000</v>
          </cell>
          <cell r="Q1807"/>
          <cell r="R1807">
            <v>1600000</v>
          </cell>
          <cell r="S1807"/>
          <cell r="T1807">
            <v>1600000</v>
          </cell>
          <cell r="U1807"/>
          <cell r="V1807">
            <v>1600000</v>
          </cell>
          <cell r="W1807"/>
          <cell r="X1807">
            <v>1600000</v>
          </cell>
          <cell r="Y1807"/>
          <cell r="Z1807">
            <v>1600000</v>
          </cell>
          <cell r="AA1807"/>
          <cell r="AB1807"/>
          <cell r="AC1807"/>
          <cell r="AD1807">
            <v>4.5</v>
          </cell>
          <cell r="AE1807"/>
          <cell r="AF1807"/>
          <cell r="AG1807"/>
          <cell r="AH1807"/>
          <cell r="AI1807"/>
          <cell r="AJ1807"/>
          <cell r="AK1807"/>
          <cell r="AL1807"/>
        </row>
        <row r="1808">
          <cell r="E1808" t="str">
            <v>TRM1φ60Hz 300KVA</v>
          </cell>
          <cell r="F1808" t="str">
            <v>台</v>
          </cell>
          <cell r="G1808"/>
          <cell r="H1808">
            <v>2210000</v>
          </cell>
          <cell r="I1808"/>
          <cell r="J1808">
            <v>2210000</v>
          </cell>
          <cell r="K1808"/>
          <cell r="L1808">
            <v>2210000</v>
          </cell>
          <cell r="M1808"/>
          <cell r="N1808">
            <v>2210000</v>
          </cell>
          <cell r="O1808"/>
          <cell r="P1808">
            <v>2210000</v>
          </cell>
          <cell r="Q1808"/>
          <cell r="R1808">
            <v>2210000</v>
          </cell>
          <cell r="S1808"/>
          <cell r="T1808">
            <v>2210000</v>
          </cell>
          <cell r="U1808"/>
          <cell r="V1808">
            <v>2210000</v>
          </cell>
          <cell r="W1808"/>
          <cell r="X1808">
            <v>2210000</v>
          </cell>
          <cell r="Y1808"/>
          <cell r="Z1808">
            <v>2210000</v>
          </cell>
          <cell r="AA1808"/>
          <cell r="AB1808"/>
          <cell r="AC1808"/>
          <cell r="AD1808">
            <v>5.8</v>
          </cell>
          <cell r="AE1808"/>
          <cell r="AF1808"/>
          <cell r="AG1808"/>
          <cell r="AH1808"/>
          <cell r="AI1808"/>
          <cell r="AJ1808"/>
          <cell r="AK1808"/>
          <cell r="AL1808"/>
        </row>
        <row r="1809">
          <cell r="E1809" t="str">
            <v>TRM1φ60Hz 500KVA</v>
          </cell>
          <cell r="F1809" t="str">
            <v>台</v>
          </cell>
          <cell r="G1809"/>
          <cell r="H1809">
            <v>3440000</v>
          </cell>
          <cell r="I1809"/>
          <cell r="J1809">
            <v>3440000</v>
          </cell>
          <cell r="K1809"/>
          <cell r="L1809">
            <v>3440000</v>
          </cell>
          <cell r="M1809"/>
          <cell r="N1809">
            <v>3440000</v>
          </cell>
          <cell r="O1809"/>
          <cell r="P1809">
            <v>3440000</v>
          </cell>
          <cell r="Q1809"/>
          <cell r="R1809">
            <v>3440000</v>
          </cell>
          <cell r="S1809"/>
          <cell r="T1809">
            <v>3440000</v>
          </cell>
          <cell r="U1809"/>
          <cell r="V1809">
            <v>3440000</v>
          </cell>
          <cell r="W1809"/>
          <cell r="X1809">
            <v>3440000</v>
          </cell>
          <cell r="Y1809"/>
          <cell r="Z1809">
            <v>3440000</v>
          </cell>
          <cell r="AA1809"/>
          <cell r="AB1809"/>
          <cell r="AC1809"/>
          <cell r="AD1809">
            <v>7.6</v>
          </cell>
          <cell r="AE1809"/>
          <cell r="AF1809"/>
          <cell r="AG1809"/>
          <cell r="AH1809"/>
          <cell r="AI1809"/>
          <cell r="AJ1809"/>
          <cell r="AK1809"/>
          <cell r="AL1809"/>
        </row>
        <row r="1810">
          <cell r="E1810" t="str">
            <v>TR3φ60Hz  20KVA</v>
          </cell>
          <cell r="F1810" t="str">
            <v>台</v>
          </cell>
          <cell r="G1810"/>
          <cell r="H1810">
            <v>782000</v>
          </cell>
          <cell r="I1810"/>
          <cell r="J1810">
            <v>782000</v>
          </cell>
          <cell r="K1810"/>
          <cell r="L1810">
            <v>782000</v>
          </cell>
          <cell r="M1810"/>
          <cell r="N1810">
            <v>782000</v>
          </cell>
          <cell r="O1810"/>
          <cell r="P1810">
            <v>782000</v>
          </cell>
          <cell r="Q1810"/>
          <cell r="R1810">
            <v>782000</v>
          </cell>
          <cell r="S1810"/>
          <cell r="T1810">
            <v>782000</v>
          </cell>
          <cell r="U1810"/>
          <cell r="V1810">
            <v>782000</v>
          </cell>
          <cell r="W1810"/>
          <cell r="X1810">
            <v>782000</v>
          </cell>
          <cell r="Y1810"/>
          <cell r="Z1810">
            <v>782000</v>
          </cell>
          <cell r="AA1810"/>
          <cell r="AB1810"/>
          <cell r="AC1810"/>
          <cell r="AD1810">
            <v>1.8939999999999999</v>
          </cell>
          <cell r="AE1810"/>
          <cell r="AF1810"/>
          <cell r="AG1810"/>
          <cell r="AH1810"/>
          <cell r="AI1810"/>
          <cell r="AJ1810"/>
          <cell r="AK1810"/>
          <cell r="AL1810"/>
        </row>
        <row r="1811">
          <cell r="E1811" t="str">
            <v>TR3φ60Hz  30KVA</v>
          </cell>
          <cell r="F1811" t="str">
            <v>台</v>
          </cell>
          <cell r="G1811"/>
          <cell r="H1811">
            <v>858000</v>
          </cell>
          <cell r="I1811"/>
          <cell r="J1811">
            <v>858000</v>
          </cell>
          <cell r="K1811"/>
          <cell r="L1811">
            <v>858000</v>
          </cell>
          <cell r="M1811"/>
          <cell r="N1811">
            <v>858000</v>
          </cell>
          <cell r="O1811"/>
          <cell r="P1811">
            <v>858000</v>
          </cell>
          <cell r="Q1811"/>
          <cell r="R1811">
            <v>858000</v>
          </cell>
          <cell r="S1811"/>
          <cell r="T1811">
            <v>858000</v>
          </cell>
          <cell r="U1811"/>
          <cell r="V1811">
            <v>858000</v>
          </cell>
          <cell r="W1811"/>
          <cell r="X1811">
            <v>858000</v>
          </cell>
          <cell r="Y1811"/>
          <cell r="Z1811">
            <v>858000</v>
          </cell>
          <cell r="AA1811"/>
          <cell r="AB1811"/>
          <cell r="AC1811"/>
          <cell r="AD1811">
            <v>2.08</v>
          </cell>
          <cell r="AE1811"/>
          <cell r="AF1811"/>
          <cell r="AG1811"/>
          <cell r="AH1811"/>
          <cell r="AI1811"/>
          <cell r="AJ1811"/>
          <cell r="AK1811"/>
          <cell r="AL1811"/>
        </row>
        <row r="1812">
          <cell r="E1812" t="str">
            <v>TR3φ60Hz  50KVA</v>
          </cell>
          <cell r="F1812" t="str">
            <v>台</v>
          </cell>
          <cell r="G1812"/>
          <cell r="H1812">
            <v>954000</v>
          </cell>
          <cell r="I1812"/>
          <cell r="J1812">
            <v>954000</v>
          </cell>
          <cell r="K1812"/>
          <cell r="L1812">
            <v>954000</v>
          </cell>
          <cell r="M1812"/>
          <cell r="N1812">
            <v>954000</v>
          </cell>
          <cell r="O1812"/>
          <cell r="P1812">
            <v>954000</v>
          </cell>
          <cell r="Q1812"/>
          <cell r="R1812">
            <v>954000</v>
          </cell>
          <cell r="S1812"/>
          <cell r="T1812">
            <v>954000</v>
          </cell>
          <cell r="U1812"/>
          <cell r="V1812">
            <v>954000</v>
          </cell>
          <cell r="W1812"/>
          <cell r="X1812">
            <v>954000</v>
          </cell>
          <cell r="Y1812"/>
          <cell r="Z1812">
            <v>954000</v>
          </cell>
          <cell r="AA1812"/>
          <cell r="AB1812"/>
          <cell r="AC1812"/>
          <cell r="AD1812">
            <v>2.44</v>
          </cell>
          <cell r="AE1812"/>
          <cell r="AF1812"/>
          <cell r="AG1812"/>
          <cell r="AH1812"/>
          <cell r="AI1812"/>
          <cell r="AJ1812"/>
          <cell r="AK1812"/>
          <cell r="AL1812"/>
        </row>
        <row r="1813">
          <cell r="E1813" t="str">
            <v>TR3φ60Hz  75KVA</v>
          </cell>
          <cell r="F1813" t="str">
            <v>台</v>
          </cell>
          <cell r="G1813"/>
          <cell r="H1813">
            <v>1090000</v>
          </cell>
          <cell r="I1813"/>
          <cell r="J1813">
            <v>1090000</v>
          </cell>
          <cell r="K1813"/>
          <cell r="L1813">
            <v>1090000</v>
          </cell>
          <cell r="M1813"/>
          <cell r="N1813">
            <v>1090000</v>
          </cell>
          <cell r="O1813"/>
          <cell r="P1813">
            <v>1090000</v>
          </cell>
          <cell r="Q1813"/>
          <cell r="R1813">
            <v>1090000</v>
          </cell>
          <cell r="S1813"/>
          <cell r="T1813">
            <v>1090000</v>
          </cell>
          <cell r="U1813"/>
          <cell r="V1813">
            <v>1090000</v>
          </cell>
          <cell r="W1813"/>
          <cell r="X1813">
            <v>1090000</v>
          </cell>
          <cell r="Y1813"/>
          <cell r="Z1813">
            <v>1090000</v>
          </cell>
          <cell r="AA1813"/>
          <cell r="AB1813"/>
          <cell r="AC1813"/>
          <cell r="AD1813">
            <v>3.62</v>
          </cell>
          <cell r="AE1813"/>
          <cell r="AF1813"/>
          <cell r="AG1813"/>
          <cell r="AH1813"/>
          <cell r="AI1813"/>
          <cell r="AJ1813"/>
          <cell r="AK1813"/>
          <cell r="AL1813"/>
        </row>
        <row r="1814">
          <cell r="E1814" t="str">
            <v>TR3φ60Hz 100KVA</v>
          </cell>
          <cell r="F1814" t="str">
            <v>台</v>
          </cell>
          <cell r="G1814"/>
          <cell r="H1814">
            <v>1260000</v>
          </cell>
          <cell r="I1814"/>
          <cell r="J1814">
            <v>1260000</v>
          </cell>
          <cell r="K1814"/>
          <cell r="L1814">
            <v>1260000</v>
          </cell>
          <cell r="M1814"/>
          <cell r="N1814">
            <v>1260000</v>
          </cell>
          <cell r="O1814"/>
          <cell r="P1814">
            <v>1260000</v>
          </cell>
          <cell r="Q1814"/>
          <cell r="R1814">
            <v>1260000</v>
          </cell>
          <cell r="S1814"/>
          <cell r="T1814">
            <v>1260000</v>
          </cell>
          <cell r="U1814"/>
          <cell r="V1814">
            <v>1260000</v>
          </cell>
          <cell r="W1814"/>
          <cell r="X1814">
            <v>1260000</v>
          </cell>
          <cell r="Y1814"/>
          <cell r="Z1814">
            <v>1260000</v>
          </cell>
          <cell r="AA1814"/>
          <cell r="AB1814"/>
          <cell r="AC1814"/>
          <cell r="AD1814">
            <v>4.0199999999999996</v>
          </cell>
          <cell r="AE1814"/>
          <cell r="AF1814"/>
          <cell r="AG1814"/>
          <cell r="AH1814"/>
          <cell r="AI1814"/>
          <cell r="AJ1814"/>
          <cell r="AK1814"/>
          <cell r="AL1814"/>
        </row>
        <row r="1815">
          <cell r="E1815" t="str">
            <v>TR3φ60Hz 150KVA</v>
          </cell>
          <cell r="F1815" t="str">
            <v>台</v>
          </cell>
          <cell r="G1815"/>
          <cell r="H1815">
            <v>1580000</v>
          </cell>
          <cell r="I1815"/>
          <cell r="J1815">
            <v>1580000</v>
          </cell>
          <cell r="K1815"/>
          <cell r="L1815">
            <v>1580000</v>
          </cell>
          <cell r="M1815"/>
          <cell r="N1815">
            <v>1580000</v>
          </cell>
          <cell r="O1815"/>
          <cell r="P1815">
            <v>1580000</v>
          </cell>
          <cell r="Q1815"/>
          <cell r="R1815">
            <v>1580000</v>
          </cell>
          <cell r="S1815"/>
          <cell r="T1815">
            <v>1580000</v>
          </cell>
          <cell r="U1815"/>
          <cell r="V1815">
            <v>1580000</v>
          </cell>
          <cell r="W1815"/>
          <cell r="X1815">
            <v>1580000</v>
          </cell>
          <cell r="Y1815"/>
          <cell r="Z1815">
            <v>1580000</v>
          </cell>
          <cell r="AA1815"/>
          <cell r="AB1815"/>
          <cell r="AC1815"/>
          <cell r="AD1815">
            <v>4.9400000000000004</v>
          </cell>
          <cell r="AE1815"/>
          <cell r="AF1815"/>
          <cell r="AG1815"/>
          <cell r="AH1815"/>
          <cell r="AI1815"/>
          <cell r="AJ1815"/>
          <cell r="AK1815"/>
          <cell r="AL1815"/>
        </row>
        <row r="1816">
          <cell r="E1816" t="str">
            <v>TR3φ60Hz 200KVA</v>
          </cell>
          <cell r="F1816" t="str">
            <v>台</v>
          </cell>
          <cell r="G1816"/>
          <cell r="H1816">
            <v>1920000</v>
          </cell>
          <cell r="I1816"/>
          <cell r="J1816">
            <v>1920000</v>
          </cell>
          <cell r="K1816"/>
          <cell r="L1816">
            <v>1920000</v>
          </cell>
          <cell r="M1816"/>
          <cell r="N1816">
            <v>1920000</v>
          </cell>
          <cell r="O1816"/>
          <cell r="P1816">
            <v>1920000</v>
          </cell>
          <cell r="Q1816"/>
          <cell r="R1816">
            <v>1920000</v>
          </cell>
          <cell r="S1816"/>
          <cell r="T1816">
            <v>1920000</v>
          </cell>
          <cell r="U1816"/>
          <cell r="V1816">
            <v>1920000</v>
          </cell>
          <cell r="W1816"/>
          <cell r="X1816">
            <v>1920000</v>
          </cell>
          <cell r="Y1816"/>
          <cell r="Z1816">
            <v>1920000</v>
          </cell>
          <cell r="AA1816"/>
          <cell r="AB1816"/>
          <cell r="AC1816"/>
          <cell r="AD1816">
            <v>5.48</v>
          </cell>
          <cell r="AE1816"/>
          <cell r="AF1816"/>
          <cell r="AG1816"/>
          <cell r="AH1816"/>
          <cell r="AI1816"/>
          <cell r="AJ1816"/>
          <cell r="AK1816"/>
          <cell r="AL1816"/>
        </row>
        <row r="1817">
          <cell r="E1817" t="str">
            <v>TR3φ60Hz 300KVA</v>
          </cell>
          <cell r="F1817" t="str">
            <v>台</v>
          </cell>
          <cell r="G1817"/>
          <cell r="H1817">
            <v>2630000</v>
          </cell>
          <cell r="I1817"/>
          <cell r="J1817">
            <v>2630000</v>
          </cell>
          <cell r="K1817"/>
          <cell r="L1817">
            <v>2630000</v>
          </cell>
          <cell r="M1817"/>
          <cell r="N1817">
            <v>2630000</v>
          </cell>
          <cell r="O1817"/>
          <cell r="P1817">
            <v>2630000</v>
          </cell>
          <cell r="Q1817"/>
          <cell r="R1817">
            <v>2630000</v>
          </cell>
          <cell r="S1817"/>
          <cell r="T1817">
            <v>2630000</v>
          </cell>
          <cell r="U1817"/>
          <cell r="V1817">
            <v>2630000</v>
          </cell>
          <cell r="W1817"/>
          <cell r="X1817">
            <v>2630000</v>
          </cell>
          <cell r="Y1817"/>
          <cell r="Z1817">
            <v>2630000</v>
          </cell>
          <cell r="AA1817"/>
          <cell r="AB1817"/>
          <cell r="AC1817"/>
          <cell r="AD1817">
            <v>7.1</v>
          </cell>
          <cell r="AE1817"/>
          <cell r="AF1817"/>
          <cell r="AG1817"/>
          <cell r="AH1817"/>
          <cell r="AI1817"/>
          <cell r="AJ1817"/>
          <cell r="AK1817"/>
          <cell r="AL1817"/>
        </row>
        <row r="1818">
          <cell r="E1818" t="str">
            <v>TR3φ60Hz 500KVA</v>
          </cell>
          <cell r="F1818" t="str">
            <v>台</v>
          </cell>
          <cell r="G1818"/>
          <cell r="H1818">
            <v>4210000</v>
          </cell>
          <cell r="I1818"/>
          <cell r="J1818">
            <v>4210000</v>
          </cell>
          <cell r="K1818"/>
          <cell r="L1818">
            <v>4210000</v>
          </cell>
          <cell r="M1818"/>
          <cell r="N1818">
            <v>4210000</v>
          </cell>
          <cell r="O1818"/>
          <cell r="P1818">
            <v>4210000</v>
          </cell>
          <cell r="Q1818"/>
          <cell r="R1818">
            <v>4210000</v>
          </cell>
          <cell r="S1818"/>
          <cell r="T1818">
            <v>4210000</v>
          </cell>
          <cell r="U1818"/>
          <cell r="V1818">
            <v>4210000</v>
          </cell>
          <cell r="W1818"/>
          <cell r="X1818">
            <v>4210000</v>
          </cell>
          <cell r="Y1818"/>
          <cell r="Z1818">
            <v>4210000</v>
          </cell>
          <cell r="AA1818"/>
          <cell r="AB1818"/>
          <cell r="AC1818"/>
          <cell r="AD1818">
            <v>8.74</v>
          </cell>
          <cell r="AE1818"/>
          <cell r="AF1818"/>
          <cell r="AG1818"/>
          <cell r="AH1818"/>
          <cell r="AI1818"/>
          <cell r="AJ1818"/>
          <cell r="AK1818"/>
          <cell r="AL1818"/>
        </row>
        <row r="1819">
          <cell r="E1819" t="str">
            <v>TR3φ60Hz 750KVA</v>
          </cell>
          <cell r="F1819" t="str">
            <v>台</v>
          </cell>
          <cell r="G1819"/>
          <cell r="H1819">
            <v>4325000</v>
          </cell>
          <cell r="I1819"/>
          <cell r="J1819">
            <v>4325000</v>
          </cell>
          <cell r="K1819"/>
          <cell r="L1819">
            <v>4325000</v>
          </cell>
          <cell r="M1819"/>
          <cell r="N1819">
            <v>4325000</v>
          </cell>
          <cell r="O1819"/>
          <cell r="P1819">
            <v>4325000</v>
          </cell>
          <cell r="Q1819"/>
          <cell r="R1819">
            <v>4325000</v>
          </cell>
          <cell r="S1819"/>
          <cell r="T1819">
            <v>4325000</v>
          </cell>
          <cell r="U1819"/>
          <cell r="V1819">
            <v>4325000</v>
          </cell>
          <cell r="W1819"/>
          <cell r="X1819">
            <v>4325000</v>
          </cell>
          <cell r="Y1819"/>
          <cell r="Z1819">
            <v>4325000</v>
          </cell>
          <cell r="AA1819"/>
          <cell r="AB1819"/>
          <cell r="AC1819"/>
          <cell r="AD1819">
            <v>8.74</v>
          </cell>
          <cell r="AE1819"/>
          <cell r="AF1819"/>
          <cell r="AG1819"/>
          <cell r="AH1819"/>
          <cell r="AI1819"/>
          <cell r="AJ1819"/>
          <cell r="AK1819"/>
          <cell r="AL1819"/>
        </row>
        <row r="1820">
          <cell r="E1820" t="str">
            <v>TR3φ60Hz1000KVA</v>
          </cell>
          <cell r="F1820" t="str">
            <v>台</v>
          </cell>
          <cell r="G1820"/>
          <cell r="H1820">
            <v>4808000</v>
          </cell>
          <cell r="I1820"/>
          <cell r="J1820">
            <v>4808000</v>
          </cell>
          <cell r="K1820"/>
          <cell r="L1820">
            <v>4808000</v>
          </cell>
          <cell r="M1820"/>
          <cell r="N1820">
            <v>4808000</v>
          </cell>
          <cell r="O1820"/>
          <cell r="P1820">
            <v>4808000</v>
          </cell>
          <cell r="Q1820"/>
          <cell r="R1820">
            <v>4808000</v>
          </cell>
          <cell r="S1820"/>
          <cell r="T1820">
            <v>4808000</v>
          </cell>
          <cell r="U1820"/>
          <cell r="V1820">
            <v>4808000</v>
          </cell>
          <cell r="W1820"/>
          <cell r="X1820">
            <v>4808000</v>
          </cell>
          <cell r="Y1820"/>
          <cell r="Z1820">
            <v>4808000</v>
          </cell>
          <cell r="AA1820"/>
          <cell r="AB1820"/>
          <cell r="AC1820"/>
          <cell r="AD1820">
            <v>8.74</v>
          </cell>
          <cell r="AE1820"/>
          <cell r="AF1820"/>
          <cell r="AG1820"/>
          <cell r="AH1820"/>
          <cell r="AI1820"/>
          <cell r="AJ1820"/>
          <cell r="AK1820"/>
          <cell r="AL1820"/>
        </row>
        <row r="1821">
          <cell r="E1821" t="str">
            <v>TR3φ60Hz1500KVA</v>
          </cell>
          <cell r="F1821" t="str">
            <v>台</v>
          </cell>
          <cell r="G1821"/>
          <cell r="H1821">
            <v>6011000</v>
          </cell>
          <cell r="I1821"/>
          <cell r="J1821">
            <v>6011000</v>
          </cell>
          <cell r="K1821"/>
          <cell r="L1821">
            <v>6011000</v>
          </cell>
          <cell r="M1821"/>
          <cell r="N1821">
            <v>6011000</v>
          </cell>
          <cell r="O1821"/>
          <cell r="P1821">
            <v>6011000</v>
          </cell>
          <cell r="Q1821"/>
          <cell r="R1821">
            <v>6011000</v>
          </cell>
          <cell r="S1821"/>
          <cell r="T1821">
            <v>6011000</v>
          </cell>
          <cell r="U1821"/>
          <cell r="V1821">
            <v>6011000</v>
          </cell>
          <cell r="W1821"/>
          <cell r="X1821">
            <v>6011000</v>
          </cell>
          <cell r="Y1821"/>
          <cell r="Z1821">
            <v>6011000</v>
          </cell>
          <cell r="AA1821"/>
          <cell r="AB1821"/>
          <cell r="AC1821"/>
          <cell r="AD1821">
            <v>8.74</v>
          </cell>
          <cell r="AE1821"/>
          <cell r="AF1821"/>
          <cell r="AG1821"/>
          <cell r="AH1821"/>
          <cell r="AI1821"/>
          <cell r="AJ1821"/>
          <cell r="AK1821"/>
          <cell r="AL1821"/>
        </row>
        <row r="1822">
          <cell r="E1822" t="str">
            <v>50Hz SC 10 Kvar 6%</v>
          </cell>
          <cell r="F1822" t="str">
            <v>台</v>
          </cell>
          <cell r="G1822"/>
          <cell r="H1822">
            <v>59800</v>
          </cell>
          <cell r="I1822"/>
          <cell r="J1822">
            <v>59800</v>
          </cell>
          <cell r="K1822"/>
          <cell r="L1822">
            <v>59800</v>
          </cell>
          <cell r="M1822"/>
          <cell r="N1822">
            <v>59800</v>
          </cell>
          <cell r="O1822"/>
          <cell r="P1822">
            <v>59800</v>
          </cell>
          <cell r="Q1822"/>
          <cell r="R1822">
            <v>59800</v>
          </cell>
          <cell r="S1822"/>
          <cell r="T1822">
            <v>59800</v>
          </cell>
          <cell r="U1822"/>
          <cell r="V1822">
            <v>59800</v>
          </cell>
          <cell r="W1822"/>
          <cell r="X1822">
            <v>59800</v>
          </cell>
          <cell r="Y1822"/>
          <cell r="Z1822">
            <v>59800</v>
          </cell>
          <cell r="AA1822"/>
          <cell r="AB1822"/>
          <cell r="AC1822"/>
          <cell r="AD1822">
            <v>0.496</v>
          </cell>
          <cell r="AE1822"/>
          <cell r="AF1822"/>
          <cell r="AG1822"/>
          <cell r="AH1822"/>
          <cell r="AI1822"/>
          <cell r="AJ1822"/>
          <cell r="AK1822"/>
          <cell r="AL1822"/>
        </row>
        <row r="1823">
          <cell r="E1823" t="str">
            <v>50Hz SC 15 Kvar 6%</v>
          </cell>
          <cell r="F1823" t="str">
            <v>台</v>
          </cell>
          <cell r="G1823"/>
          <cell r="H1823">
            <v>37500</v>
          </cell>
          <cell r="I1823"/>
          <cell r="J1823">
            <v>37500</v>
          </cell>
          <cell r="K1823"/>
          <cell r="L1823">
            <v>37500</v>
          </cell>
          <cell r="M1823"/>
          <cell r="N1823">
            <v>37500</v>
          </cell>
          <cell r="O1823"/>
          <cell r="P1823">
            <v>37500</v>
          </cell>
          <cell r="Q1823"/>
          <cell r="R1823">
            <v>37500</v>
          </cell>
          <cell r="S1823"/>
          <cell r="T1823">
            <v>37500</v>
          </cell>
          <cell r="U1823"/>
          <cell r="V1823">
            <v>37500</v>
          </cell>
          <cell r="W1823"/>
          <cell r="X1823">
            <v>37500</v>
          </cell>
          <cell r="Y1823"/>
          <cell r="Z1823">
            <v>37500</v>
          </cell>
          <cell r="AA1823"/>
          <cell r="AB1823"/>
          <cell r="AC1823"/>
          <cell r="AD1823">
            <v>0.60199999999999998</v>
          </cell>
          <cell r="AE1823"/>
          <cell r="AF1823"/>
          <cell r="AG1823"/>
          <cell r="AH1823"/>
          <cell r="AI1823"/>
          <cell r="AJ1823"/>
          <cell r="AK1823"/>
          <cell r="AL1823"/>
        </row>
        <row r="1824">
          <cell r="E1824" t="str">
            <v>50Hz SC 20 Kvar 6%</v>
          </cell>
          <cell r="F1824" t="str">
            <v>台</v>
          </cell>
          <cell r="G1824"/>
          <cell r="H1824">
            <v>77300</v>
          </cell>
          <cell r="I1824"/>
          <cell r="J1824">
            <v>77300</v>
          </cell>
          <cell r="K1824"/>
          <cell r="L1824">
            <v>77300</v>
          </cell>
          <cell r="M1824"/>
          <cell r="N1824">
            <v>77300</v>
          </cell>
          <cell r="O1824"/>
          <cell r="P1824">
            <v>77300</v>
          </cell>
          <cell r="Q1824"/>
          <cell r="R1824">
            <v>77300</v>
          </cell>
          <cell r="S1824"/>
          <cell r="T1824">
            <v>77300</v>
          </cell>
          <cell r="U1824"/>
          <cell r="V1824">
            <v>77300</v>
          </cell>
          <cell r="W1824"/>
          <cell r="X1824">
            <v>77300</v>
          </cell>
          <cell r="Y1824"/>
          <cell r="Z1824">
            <v>77300</v>
          </cell>
          <cell r="AA1824"/>
          <cell r="AB1824"/>
          <cell r="AC1824"/>
          <cell r="AD1824">
            <v>0.88400000000000001</v>
          </cell>
          <cell r="AE1824"/>
          <cell r="AF1824"/>
          <cell r="AG1824"/>
          <cell r="AH1824"/>
          <cell r="AI1824"/>
          <cell r="AJ1824"/>
          <cell r="AK1824"/>
          <cell r="AL1824"/>
        </row>
        <row r="1825">
          <cell r="E1825" t="str">
            <v>50Hz SC 25 Kvar 6%</v>
          </cell>
          <cell r="F1825" t="str">
            <v>台</v>
          </cell>
          <cell r="G1825"/>
          <cell r="H1825">
            <v>85000</v>
          </cell>
          <cell r="I1825"/>
          <cell r="J1825">
            <v>85000</v>
          </cell>
          <cell r="K1825"/>
          <cell r="L1825">
            <v>85000</v>
          </cell>
          <cell r="M1825"/>
          <cell r="N1825">
            <v>85000</v>
          </cell>
          <cell r="O1825"/>
          <cell r="P1825">
            <v>85000</v>
          </cell>
          <cell r="Q1825"/>
          <cell r="R1825">
            <v>85000</v>
          </cell>
          <cell r="S1825"/>
          <cell r="T1825">
            <v>85000</v>
          </cell>
          <cell r="U1825"/>
          <cell r="V1825">
            <v>85000</v>
          </cell>
          <cell r="W1825"/>
          <cell r="X1825">
            <v>85000</v>
          </cell>
          <cell r="Y1825"/>
          <cell r="Z1825">
            <v>85000</v>
          </cell>
          <cell r="AA1825"/>
          <cell r="AB1825"/>
          <cell r="AC1825"/>
          <cell r="AD1825">
            <v>1.1160000000000001</v>
          </cell>
          <cell r="AE1825"/>
          <cell r="AF1825"/>
          <cell r="AG1825"/>
          <cell r="AH1825"/>
          <cell r="AI1825"/>
          <cell r="AJ1825"/>
          <cell r="AK1825"/>
          <cell r="AL1825"/>
        </row>
        <row r="1826">
          <cell r="E1826" t="str">
            <v>50Hz SC 30 Kvar 6%</v>
          </cell>
          <cell r="F1826" t="str">
            <v>台</v>
          </cell>
          <cell r="G1826"/>
          <cell r="H1826">
            <v>91700</v>
          </cell>
          <cell r="I1826"/>
          <cell r="J1826">
            <v>91700</v>
          </cell>
          <cell r="K1826"/>
          <cell r="L1826">
            <v>91700</v>
          </cell>
          <cell r="M1826"/>
          <cell r="N1826">
            <v>91700</v>
          </cell>
          <cell r="O1826"/>
          <cell r="P1826">
            <v>91700</v>
          </cell>
          <cell r="Q1826"/>
          <cell r="R1826">
            <v>91700</v>
          </cell>
          <cell r="S1826"/>
          <cell r="T1826">
            <v>91700</v>
          </cell>
          <cell r="U1826"/>
          <cell r="V1826">
            <v>91700</v>
          </cell>
          <cell r="W1826"/>
          <cell r="X1826">
            <v>91700</v>
          </cell>
          <cell r="Y1826"/>
          <cell r="Z1826">
            <v>91700</v>
          </cell>
          <cell r="AA1826"/>
          <cell r="AB1826"/>
          <cell r="AC1826"/>
          <cell r="AD1826">
            <v>1.1499999999999999</v>
          </cell>
          <cell r="AE1826"/>
          <cell r="AF1826"/>
          <cell r="AG1826"/>
          <cell r="AH1826"/>
          <cell r="AI1826"/>
          <cell r="AJ1826"/>
          <cell r="AK1826"/>
          <cell r="AL1826"/>
        </row>
        <row r="1827">
          <cell r="E1827" t="str">
            <v>50Hz SC 50 Kvar 6%</v>
          </cell>
          <cell r="F1827" t="str">
            <v>台</v>
          </cell>
          <cell r="G1827"/>
          <cell r="H1827">
            <v>128000</v>
          </cell>
          <cell r="I1827"/>
          <cell r="J1827">
            <v>128000</v>
          </cell>
          <cell r="K1827"/>
          <cell r="L1827">
            <v>128000</v>
          </cell>
          <cell r="M1827"/>
          <cell r="N1827">
            <v>128000</v>
          </cell>
          <cell r="O1827"/>
          <cell r="P1827">
            <v>128000</v>
          </cell>
          <cell r="Q1827"/>
          <cell r="R1827">
            <v>128000</v>
          </cell>
          <cell r="S1827"/>
          <cell r="T1827">
            <v>128000</v>
          </cell>
          <cell r="U1827"/>
          <cell r="V1827">
            <v>128000</v>
          </cell>
          <cell r="W1827"/>
          <cell r="X1827">
            <v>128000</v>
          </cell>
          <cell r="Y1827"/>
          <cell r="Z1827">
            <v>128000</v>
          </cell>
          <cell r="AA1827"/>
          <cell r="AB1827"/>
          <cell r="AC1827"/>
          <cell r="AD1827">
            <v>1.31</v>
          </cell>
          <cell r="AE1827"/>
          <cell r="AF1827"/>
          <cell r="AG1827"/>
          <cell r="AH1827"/>
          <cell r="AI1827"/>
          <cell r="AJ1827"/>
          <cell r="AK1827"/>
          <cell r="AL1827"/>
        </row>
        <row r="1828">
          <cell r="E1828" t="str">
            <v>50Hz SC 75 Kvar 6%</v>
          </cell>
          <cell r="F1828" t="str">
            <v>台</v>
          </cell>
          <cell r="G1828"/>
          <cell r="H1828">
            <v>159000</v>
          </cell>
          <cell r="I1828"/>
          <cell r="J1828">
            <v>159000</v>
          </cell>
          <cell r="K1828"/>
          <cell r="L1828">
            <v>159000</v>
          </cell>
          <cell r="M1828"/>
          <cell r="N1828">
            <v>159000</v>
          </cell>
          <cell r="O1828"/>
          <cell r="P1828">
            <v>159000</v>
          </cell>
          <cell r="Q1828"/>
          <cell r="R1828">
            <v>159000</v>
          </cell>
          <cell r="S1828"/>
          <cell r="T1828">
            <v>159000</v>
          </cell>
          <cell r="U1828"/>
          <cell r="V1828">
            <v>159000</v>
          </cell>
          <cell r="W1828"/>
          <cell r="X1828">
            <v>159000</v>
          </cell>
          <cell r="Y1828"/>
          <cell r="Z1828">
            <v>159000</v>
          </cell>
          <cell r="AA1828"/>
          <cell r="AB1828"/>
          <cell r="AC1828"/>
          <cell r="AD1828">
            <v>2.2599999999999998</v>
          </cell>
          <cell r="AE1828"/>
          <cell r="AF1828"/>
          <cell r="AG1828"/>
          <cell r="AH1828"/>
          <cell r="AI1828"/>
          <cell r="AJ1828"/>
          <cell r="AK1828"/>
          <cell r="AL1828"/>
        </row>
        <row r="1829">
          <cell r="E1829" t="str">
            <v>50Hz SC100 Kvar 6%</v>
          </cell>
          <cell r="F1829" t="str">
            <v>台</v>
          </cell>
          <cell r="G1829"/>
          <cell r="H1829">
            <v>186000</v>
          </cell>
          <cell r="I1829"/>
          <cell r="J1829">
            <v>186000</v>
          </cell>
          <cell r="K1829"/>
          <cell r="L1829">
            <v>186000</v>
          </cell>
          <cell r="M1829"/>
          <cell r="N1829">
            <v>186000</v>
          </cell>
          <cell r="O1829"/>
          <cell r="P1829">
            <v>186000</v>
          </cell>
          <cell r="Q1829"/>
          <cell r="R1829">
            <v>186000</v>
          </cell>
          <cell r="S1829"/>
          <cell r="T1829">
            <v>186000</v>
          </cell>
          <cell r="U1829"/>
          <cell r="V1829">
            <v>186000</v>
          </cell>
          <cell r="W1829"/>
          <cell r="X1829">
            <v>186000</v>
          </cell>
          <cell r="Y1829"/>
          <cell r="Z1829">
            <v>186000</v>
          </cell>
          <cell r="AA1829"/>
          <cell r="AB1829"/>
          <cell r="AC1829"/>
          <cell r="AD1829">
            <v>2.52</v>
          </cell>
          <cell r="AE1829"/>
          <cell r="AF1829"/>
          <cell r="AG1829"/>
          <cell r="AH1829"/>
          <cell r="AI1829"/>
          <cell r="AJ1829"/>
          <cell r="AK1829"/>
          <cell r="AL1829"/>
        </row>
        <row r="1830">
          <cell r="E1830" t="str">
            <v>50Hz SC150 Kvar 6%</v>
          </cell>
          <cell r="F1830" t="str">
            <v>台</v>
          </cell>
          <cell r="G1830"/>
          <cell r="H1830">
            <v>253000</v>
          </cell>
          <cell r="I1830"/>
          <cell r="J1830">
            <v>253000</v>
          </cell>
          <cell r="K1830"/>
          <cell r="L1830">
            <v>253000</v>
          </cell>
          <cell r="M1830"/>
          <cell r="N1830">
            <v>253000</v>
          </cell>
          <cell r="O1830"/>
          <cell r="P1830">
            <v>253000</v>
          </cell>
          <cell r="Q1830"/>
          <cell r="R1830">
            <v>253000</v>
          </cell>
          <cell r="S1830"/>
          <cell r="T1830">
            <v>253000</v>
          </cell>
          <cell r="U1830"/>
          <cell r="V1830">
            <v>253000</v>
          </cell>
          <cell r="W1830"/>
          <cell r="X1830">
            <v>253000</v>
          </cell>
          <cell r="Y1830"/>
          <cell r="Z1830">
            <v>253000</v>
          </cell>
          <cell r="AA1830"/>
          <cell r="AB1830"/>
          <cell r="AC1830"/>
          <cell r="AD1830">
            <v>3.18</v>
          </cell>
          <cell r="AE1830"/>
          <cell r="AF1830"/>
          <cell r="AG1830"/>
          <cell r="AH1830"/>
          <cell r="AI1830"/>
          <cell r="AJ1830"/>
          <cell r="AK1830"/>
          <cell r="AL1830"/>
        </row>
        <row r="1831">
          <cell r="E1831" t="str">
            <v>50Hz SC200 Kvar 6%</v>
          </cell>
          <cell r="F1831" t="str">
            <v>台</v>
          </cell>
          <cell r="G1831"/>
          <cell r="H1831">
            <v>323000</v>
          </cell>
          <cell r="I1831"/>
          <cell r="J1831">
            <v>323000</v>
          </cell>
          <cell r="K1831"/>
          <cell r="L1831">
            <v>323000</v>
          </cell>
          <cell r="M1831"/>
          <cell r="N1831">
            <v>323000</v>
          </cell>
          <cell r="O1831"/>
          <cell r="P1831">
            <v>323000</v>
          </cell>
          <cell r="Q1831"/>
          <cell r="R1831">
            <v>323000</v>
          </cell>
          <cell r="S1831"/>
          <cell r="T1831">
            <v>323000</v>
          </cell>
          <cell r="U1831"/>
          <cell r="V1831">
            <v>323000</v>
          </cell>
          <cell r="W1831"/>
          <cell r="X1831">
            <v>323000</v>
          </cell>
          <cell r="Y1831"/>
          <cell r="Z1831">
            <v>323000</v>
          </cell>
          <cell r="AA1831"/>
          <cell r="AB1831"/>
          <cell r="AC1831"/>
          <cell r="AD1831">
            <v>3.56</v>
          </cell>
          <cell r="AE1831"/>
          <cell r="AF1831"/>
          <cell r="AG1831"/>
          <cell r="AH1831"/>
          <cell r="AI1831"/>
          <cell r="AJ1831"/>
          <cell r="AK1831"/>
          <cell r="AL1831"/>
        </row>
        <row r="1832">
          <cell r="E1832" t="str">
            <v>50Hz SC250 Kvar 6%</v>
          </cell>
          <cell r="F1832" t="str">
            <v>台</v>
          </cell>
          <cell r="G1832"/>
          <cell r="H1832">
            <v>403000</v>
          </cell>
          <cell r="I1832"/>
          <cell r="J1832">
            <v>403000</v>
          </cell>
          <cell r="K1832"/>
          <cell r="L1832">
            <v>403000</v>
          </cell>
          <cell r="M1832"/>
          <cell r="N1832">
            <v>403000</v>
          </cell>
          <cell r="O1832"/>
          <cell r="P1832">
            <v>403000</v>
          </cell>
          <cell r="Q1832"/>
          <cell r="R1832">
            <v>403000</v>
          </cell>
          <cell r="S1832"/>
          <cell r="T1832">
            <v>403000</v>
          </cell>
          <cell r="U1832"/>
          <cell r="V1832">
            <v>403000</v>
          </cell>
          <cell r="W1832"/>
          <cell r="X1832">
            <v>403000</v>
          </cell>
          <cell r="Y1832"/>
          <cell r="Z1832">
            <v>403000</v>
          </cell>
          <cell r="AA1832"/>
          <cell r="AB1832"/>
          <cell r="AC1832"/>
          <cell r="AD1832">
            <v>4.4939999999999998</v>
          </cell>
          <cell r="AE1832"/>
          <cell r="AF1832"/>
          <cell r="AG1832"/>
          <cell r="AH1832"/>
          <cell r="AI1832"/>
          <cell r="AJ1832"/>
          <cell r="AK1832"/>
          <cell r="AL1832"/>
        </row>
        <row r="1833">
          <cell r="E1833" t="str">
            <v>50Hz SC300 Kvar 6%</v>
          </cell>
          <cell r="F1833" t="str">
            <v>台</v>
          </cell>
          <cell r="G1833"/>
          <cell r="H1833">
            <v>480000</v>
          </cell>
          <cell r="I1833"/>
          <cell r="J1833">
            <v>480000</v>
          </cell>
          <cell r="K1833"/>
          <cell r="L1833">
            <v>480000</v>
          </cell>
          <cell r="M1833"/>
          <cell r="N1833">
            <v>480000</v>
          </cell>
          <cell r="O1833"/>
          <cell r="P1833">
            <v>480000</v>
          </cell>
          <cell r="Q1833"/>
          <cell r="R1833">
            <v>480000</v>
          </cell>
          <cell r="S1833"/>
          <cell r="T1833">
            <v>480000</v>
          </cell>
          <cell r="U1833"/>
          <cell r="V1833">
            <v>480000</v>
          </cell>
          <cell r="W1833"/>
          <cell r="X1833">
            <v>480000</v>
          </cell>
          <cell r="Y1833"/>
          <cell r="Z1833">
            <v>480000</v>
          </cell>
          <cell r="AA1833"/>
          <cell r="AB1833"/>
          <cell r="AC1833"/>
          <cell r="AD1833">
            <v>4.63</v>
          </cell>
          <cell r="AE1833"/>
          <cell r="AF1833"/>
          <cell r="AG1833"/>
          <cell r="AH1833"/>
          <cell r="AI1833"/>
          <cell r="AJ1833"/>
          <cell r="AK1833"/>
          <cell r="AL1833"/>
        </row>
        <row r="1834">
          <cell r="E1834" t="str">
            <v>50Hz SC400 Kvar 6%</v>
          </cell>
          <cell r="F1834" t="str">
            <v>台</v>
          </cell>
          <cell r="G1834"/>
          <cell r="H1834">
            <v>640000</v>
          </cell>
          <cell r="I1834"/>
          <cell r="J1834">
            <v>640000</v>
          </cell>
          <cell r="K1834"/>
          <cell r="L1834">
            <v>640000</v>
          </cell>
          <cell r="M1834"/>
          <cell r="N1834">
            <v>640000</v>
          </cell>
          <cell r="O1834"/>
          <cell r="P1834">
            <v>640000</v>
          </cell>
          <cell r="Q1834"/>
          <cell r="R1834">
            <v>640000</v>
          </cell>
          <cell r="S1834"/>
          <cell r="T1834">
            <v>640000</v>
          </cell>
          <cell r="U1834"/>
          <cell r="V1834">
            <v>640000</v>
          </cell>
          <cell r="W1834"/>
          <cell r="X1834">
            <v>640000</v>
          </cell>
          <cell r="Y1834"/>
          <cell r="Z1834">
            <v>640000</v>
          </cell>
          <cell r="AA1834"/>
          <cell r="AB1834"/>
          <cell r="AC1834"/>
          <cell r="AD1834">
            <v>4.9379999999999997</v>
          </cell>
          <cell r="AE1834"/>
          <cell r="AF1834"/>
          <cell r="AG1834"/>
          <cell r="AH1834"/>
          <cell r="AI1834"/>
          <cell r="AJ1834"/>
          <cell r="AK1834"/>
          <cell r="AL1834"/>
        </row>
        <row r="1835">
          <cell r="E1835" t="str">
            <v>50Hz SC500 Kvar 6%</v>
          </cell>
          <cell r="F1835" t="str">
            <v>台</v>
          </cell>
          <cell r="G1835"/>
          <cell r="H1835">
            <v>800000</v>
          </cell>
          <cell r="I1835"/>
          <cell r="J1835">
            <v>800000</v>
          </cell>
          <cell r="K1835"/>
          <cell r="L1835">
            <v>800000</v>
          </cell>
          <cell r="M1835"/>
          <cell r="N1835">
            <v>800000</v>
          </cell>
          <cell r="O1835"/>
          <cell r="P1835">
            <v>800000</v>
          </cell>
          <cell r="Q1835"/>
          <cell r="R1835">
            <v>800000</v>
          </cell>
          <cell r="S1835"/>
          <cell r="T1835">
            <v>800000</v>
          </cell>
          <cell r="U1835"/>
          <cell r="V1835">
            <v>800000</v>
          </cell>
          <cell r="W1835"/>
          <cell r="X1835">
            <v>800000</v>
          </cell>
          <cell r="Y1835"/>
          <cell r="Z1835">
            <v>800000</v>
          </cell>
          <cell r="AA1835"/>
          <cell r="AB1835"/>
          <cell r="AC1835"/>
          <cell r="AD1835">
            <v>5.274</v>
          </cell>
          <cell r="AE1835"/>
          <cell r="AF1835"/>
          <cell r="AG1835"/>
          <cell r="AH1835"/>
          <cell r="AI1835"/>
          <cell r="AJ1835"/>
          <cell r="AK1835"/>
          <cell r="AL1835"/>
        </row>
        <row r="1836">
          <cell r="E1836" t="str">
            <v>60Hz SC 12 Kvar 6%</v>
          </cell>
          <cell r="F1836" t="str">
            <v>台</v>
          </cell>
          <cell r="G1836"/>
          <cell r="H1836">
            <v>59800</v>
          </cell>
          <cell r="I1836"/>
          <cell r="J1836">
            <v>59800</v>
          </cell>
          <cell r="K1836"/>
          <cell r="L1836">
            <v>59800</v>
          </cell>
          <cell r="M1836"/>
          <cell r="N1836">
            <v>59800</v>
          </cell>
          <cell r="O1836"/>
          <cell r="P1836">
            <v>59800</v>
          </cell>
          <cell r="Q1836"/>
          <cell r="R1836">
            <v>59800</v>
          </cell>
          <cell r="S1836"/>
          <cell r="T1836">
            <v>59800</v>
          </cell>
          <cell r="U1836"/>
          <cell r="V1836">
            <v>59800</v>
          </cell>
          <cell r="W1836"/>
          <cell r="X1836">
            <v>59800</v>
          </cell>
          <cell r="Y1836"/>
          <cell r="Z1836">
            <v>59800</v>
          </cell>
          <cell r="AA1836"/>
          <cell r="AB1836"/>
          <cell r="AC1836"/>
          <cell r="AD1836">
            <v>0.496</v>
          </cell>
          <cell r="AE1836"/>
          <cell r="AF1836"/>
          <cell r="AG1836"/>
          <cell r="AH1836"/>
          <cell r="AI1836"/>
          <cell r="AJ1836"/>
          <cell r="AK1836"/>
          <cell r="AL1836"/>
        </row>
        <row r="1837">
          <cell r="E1837" t="str">
            <v>60Hz SC 18 Kvar 6%</v>
          </cell>
          <cell r="F1837" t="str">
            <v>台</v>
          </cell>
          <cell r="G1837"/>
          <cell r="H1837">
            <v>67500</v>
          </cell>
          <cell r="I1837"/>
          <cell r="J1837">
            <v>67500</v>
          </cell>
          <cell r="K1837"/>
          <cell r="L1837">
            <v>67500</v>
          </cell>
          <cell r="M1837"/>
          <cell r="N1837">
            <v>67500</v>
          </cell>
          <cell r="O1837"/>
          <cell r="P1837">
            <v>67500</v>
          </cell>
          <cell r="Q1837"/>
          <cell r="R1837">
            <v>67500</v>
          </cell>
          <cell r="S1837"/>
          <cell r="T1837">
            <v>67500</v>
          </cell>
          <cell r="U1837"/>
          <cell r="V1837">
            <v>67500</v>
          </cell>
          <cell r="W1837"/>
          <cell r="X1837">
            <v>67500</v>
          </cell>
          <cell r="Y1837"/>
          <cell r="Z1837">
            <v>67500</v>
          </cell>
          <cell r="AA1837"/>
          <cell r="AB1837"/>
          <cell r="AC1837"/>
          <cell r="AD1837">
            <v>0.60199999999999998</v>
          </cell>
          <cell r="AE1837"/>
          <cell r="AF1837"/>
          <cell r="AG1837"/>
          <cell r="AH1837"/>
          <cell r="AI1837"/>
          <cell r="AJ1837"/>
          <cell r="AK1837"/>
          <cell r="AL1837"/>
        </row>
        <row r="1838">
          <cell r="E1838" t="str">
            <v>60Hz SC 24 Kvar 6%</v>
          </cell>
          <cell r="F1838" t="str">
            <v>台</v>
          </cell>
          <cell r="G1838"/>
          <cell r="H1838">
            <v>77300</v>
          </cell>
          <cell r="I1838"/>
          <cell r="J1838">
            <v>77300</v>
          </cell>
          <cell r="K1838"/>
          <cell r="L1838">
            <v>77300</v>
          </cell>
          <cell r="M1838"/>
          <cell r="N1838">
            <v>77300</v>
          </cell>
          <cell r="O1838"/>
          <cell r="P1838">
            <v>77300</v>
          </cell>
          <cell r="Q1838"/>
          <cell r="R1838">
            <v>77300</v>
          </cell>
          <cell r="S1838"/>
          <cell r="T1838">
            <v>77300</v>
          </cell>
          <cell r="U1838"/>
          <cell r="V1838">
            <v>77300</v>
          </cell>
          <cell r="W1838"/>
          <cell r="X1838">
            <v>77300</v>
          </cell>
          <cell r="Y1838"/>
          <cell r="Z1838">
            <v>77300</v>
          </cell>
          <cell r="AA1838"/>
          <cell r="AB1838"/>
          <cell r="AC1838"/>
          <cell r="AD1838">
            <v>0.88400000000000001</v>
          </cell>
          <cell r="AE1838"/>
          <cell r="AF1838"/>
          <cell r="AG1838"/>
          <cell r="AH1838"/>
          <cell r="AI1838"/>
          <cell r="AJ1838"/>
          <cell r="AK1838"/>
          <cell r="AL1838"/>
        </row>
        <row r="1839">
          <cell r="E1839" t="str">
            <v>60Hz SC 30 Kvar 6%</v>
          </cell>
          <cell r="F1839" t="str">
            <v>台</v>
          </cell>
          <cell r="G1839"/>
          <cell r="H1839">
            <v>85000</v>
          </cell>
          <cell r="I1839"/>
          <cell r="J1839">
            <v>85000</v>
          </cell>
          <cell r="K1839"/>
          <cell r="L1839">
            <v>85000</v>
          </cell>
          <cell r="M1839"/>
          <cell r="N1839">
            <v>85000</v>
          </cell>
          <cell r="O1839"/>
          <cell r="P1839">
            <v>85000</v>
          </cell>
          <cell r="Q1839"/>
          <cell r="R1839">
            <v>85000</v>
          </cell>
          <cell r="S1839"/>
          <cell r="T1839">
            <v>85000</v>
          </cell>
          <cell r="U1839"/>
          <cell r="V1839">
            <v>85000</v>
          </cell>
          <cell r="W1839"/>
          <cell r="X1839">
            <v>85000</v>
          </cell>
          <cell r="Y1839"/>
          <cell r="Z1839">
            <v>85000</v>
          </cell>
          <cell r="AA1839"/>
          <cell r="AB1839"/>
          <cell r="AC1839"/>
          <cell r="AD1839">
            <v>1.1160000000000001</v>
          </cell>
          <cell r="AE1839"/>
          <cell r="AF1839"/>
          <cell r="AG1839"/>
          <cell r="AH1839"/>
          <cell r="AI1839"/>
          <cell r="AJ1839"/>
          <cell r="AK1839"/>
          <cell r="AL1839"/>
        </row>
        <row r="1840">
          <cell r="E1840" t="str">
            <v>60Hz SC 36 Kvar 6%</v>
          </cell>
          <cell r="F1840" t="str">
            <v>台</v>
          </cell>
          <cell r="G1840"/>
          <cell r="H1840">
            <v>91700</v>
          </cell>
          <cell r="I1840"/>
          <cell r="J1840">
            <v>91700</v>
          </cell>
          <cell r="K1840"/>
          <cell r="L1840">
            <v>91700</v>
          </cell>
          <cell r="M1840"/>
          <cell r="N1840">
            <v>91700</v>
          </cell>
          <cell r="O1840"/>
          <cell r="P1840">
            <v>91700</v>
          </cell>
          <cell r="Q1840"/>
          <cell r="R1840">
            <v>91700</v>
          </cell>
          <cell r="S1840"/>
          <cell r="T1840">
            <v>91700</v>
          </cell>
          <cell r="U1840"/>
          <cell r="V1840">
            <v>91700</v>
          </cell>
          <cell r="W1840"/>
          <cell r="X1840">
            <v>91700</v>
          </cell>
          <cell r="Y1840"/>
          <cell r="Z1840">
            <v>91700</v>
          </cell>
          <cell r="AA1840"/>
          <cell r="AB1840"/>
          <cell r="AC1840"/>
          <cell r="AD1840">
            <v>1.1499999999999999</v>
          </cell>
          <cell r="AE1840"/>
          <cell r="AF1840"/>
          <cell r="AG1840"/>
          <cell r="AH1840"/>
          <cell r="AI1840"/>
          <cell r="AJ1840"/>
          <cell r="AK1840"/>
          <cell r="AL1840"/>
        </row>
        <row r="1841">
          <cell r="E1841" t="str">
            <v>60Hz SC 50 Kvar 6%</v>
          </cell>
          <cell r="F1841" t="str">
            <v>台</v>
          </cell>
          <cell r="G1841"/>
          <cell r="H1841">
            <v>114000</v>
          </cell>
          <cell r="I1841"/>
          <cell r="J1841">
            <v>114000</v>
          </cell>
          <cell r="K1841"/>
          <cell r="L1841">
            <v>114000</v>
          </cell>
          <cell r="M1841"/>
          <cell r="N1841">
            <v>114000</v>
          </cell>
          <cell r="O1841"/>
          <cell r="P1841">
            <v>114000</v>
          </cell>
          <cell r="Q1841"/>
          <cell r="R1841">
            <v>114000</v>
          </cell>
          <cell r="S1841"/>
          <cell r="T1841">
            <v>114000</v>
          </cell>
          <cell r="U1841"/>
          <cell r="V1841">
            <v>114000</v>
          </cell>
          <cell r="W1841"/>
          <cell r="X1841">
            <v>114000</v>
          </cell>
          <cell r="Y1841"/>
          <cell r="Z1841">
            <v>114000</v>
          </cell>
          <cell r="AA1841"/>
          <cell r="AB1841"/>
          <cell r="AC1841"/>
          <cell r="AD1841">
            <v>1.31</v>
          </cell>
          <cell r="AE1841"/>
          <cell r="AF1841"/>
          <cell r="AG1841"/>
          <cell r="AH1841"/>
          <cell r="AI1841"/>
          <cell r="AJ1841"/>
          <cell r="AK1841"/>
          <cell r="AL1841"/>
        </row>
        <row r="1842">
          <cell r="E1842" t="str">
            <v>60Hz SC 75 Kvar 6%</v>
          </cell>
          <cell r="F1842" t="str">
            <v>台</v>
          </cell>
          <cell r="G1842"/>
          <cell r="H1842">
            <v>143000</v>
          </cell>
          <cell r="I1842"/>
          <cell r="J1842">
            <v>143000</v>
          </cell>
          <cell r="K1842"/>
          <cell r="L1842">
            <v>143000</v>
          </cell>
          <cell r="M1842"/>
          <cell r="N1842">
            <v>143000</v>
          </cell>
          <cell r="O1842"/>
          <cell r="P1842">
            <v>143000</v>
          </cell>
          <cell r="Q1842"/>
          <cell r="R1842">
            <v>143000</v>
          </cell>
          <cell r="S1842"/>
          <cell r="T1842">
            <v>143000</v>
          </cell>
          <cell r="U1842"/>
          <cell r="V1842">
            <v>143000</v>
          </cell>
          <cell r="W1842"/>
          <cell r="X1842">
            <v>143000</v>
          </cell>
          <cell r="Y1842"/>
          <cell r="Z1842">
            <v>143000</v>
          </cell>
          <cell r="AA1842"/>
          <cell r="AB1842"/>
          <cell r="AC1842"/>
          <cell r="AD1842">
            <v>2.2599999999999998</v>
          </cell>
          <cell r="AE1842"/>
          <cell r="AF1842"/>
          <cell r="AG1842"/>
          <cell r="AH1842"/>
          <cell r="AI1842"/>
          <cell r="AJ1842"/>
          <cell r="AK1842"/>
          <cell r="AL1842"/>
        </row>
        <row r="1843">
          <cell r="E1843" t="str">
            <v>60Hz SC100 Kvar 6%</v>
          </cell>
          <cell r="F1843" t="str">
            <v>台</v>
          </cell>
          <cell r="G1843"/>
          <cell r="H1843">
            <v>167000</v>
          </cell>
          <cell r="I1843"/>
          <cell r="J1843">
            <v>167000</v>
          </cell>
          <cell r="K1843"/>
          <cell r="L1843">
            <v>167000</v>
          </cell>
          <cell r="M1843"/>
          <cell r="N1843">
            <v>167000</v>
          </cell>
          <cell r="O1843"/>
          <cell r="P1843">
            <v>167000</v>
          </cell>
          <cell r="Q1843"/>
          <cell r="R1843">
            <v>167000</v>
          </cell>
          <cell r="S1843"/>
          <cell r="T1843">
            <v>167000</v>
          </cell>
          <cell r="U1843"/>
          <cell r="V1843">
            <v>167000</v>
          </cell>
          <cell r="W1843"/>
          <cell r="X1843">
            <v>167000</v>
          </cell>
          <cell r="Y1843"/>
          <cell r="Z1843">
            <v>167000</v>
          </cell>
          <cell r="AA1843"/>
          <cell r="AB1843"/>
          <cell r="AC1843"/>
          <cell r="AD1843">
            <v>2.52</v>
          </cell>
          <cell r="AE1843"/>
          <cell r="AF1843"/>
          <cell r="AG1843"/>
          <cell r="AH1843"/>
          <cell r="AI1843"/>
          <cell r="AJ1843"/>
          <cell r="AK1843"/>
          <cell r="AL1843"/>
        </row>
        <row r="1844">
          <cell r="E1844" t="str">
            <v>60Hz SC150 Kvar 6%</v>
          </cell>
          <cell r="F1844" t="str">
            <v>台</v>
          </cell>
          <cell r="G1844"/>
          <cell r="H1844">
            <v>228000</v>
          </cell>
          <cell r="I1844"/>
          <cell r="J1844">
            <v>228000</v>
          </cell>
          <cell r="K1844"/>
          <cell r="L1844">
            <v>228000</v>
          </cell>
          <cell r="M1844"/>
          <cell r="N1844">
            <v>228000</v>
          </cell>
          <cell r="O1844"/>
          <cell r="P1844">
            <v>228000</v>
          </cell>
          <cell r="Q1844"/>
          <cell r="R1844">
            <v>228000</v>
          </cell>
          <cell r="S1844"/>
          <cell r="T1844">
            <v>228000</v>
          </cell>
          <cell r="U1844"/>
          <cell r="V1844">
            <v>228000</v>
          </cell>
          <cell r="W1844"/>
          <cell r="X1844">
            <v>228000</v>
          </cell>
          <cell r="Y1844"/>
          <cell r="Z1844">
            <v>228000</v>
          </cell>
          <cell r="AA1844"/>
          <cell r="AB1844"/>
          <cell r="AC1844"/>
          <cell r="AD1844">
            <v>3.18</v>
          </cell>
          <cell r="AE1844"/>
          <cell r="AF1844"/>
          <cell r="AG1844"/>
          <cell r="AH1844"/>
          <cell r="AI1844"/>
          <cell r="AJ1844"/>
          <cell r="AK1844"/>
          <cell r="AL1844"/>
        </row>
        <row r="1845">
          <cell r="E1845" t="str">
            <v>60Hz SC200 Kvar 6%</v>
          </cell>
          <cell r="F1845" t="str">
            <v>台</v>
          </cell>
          <cell r="G1845"/>
          <cell r="H1845">
            <v>291000</v>
          </cell>
          <cell r="I1845"/>
          <cell r="J1845">
            <v>291000</v>
          </cell>
          <cell r="K1845"/>
          <cell r="L1845">
            <v>291000</v>
          </cell>
          <cell r="M1845"/>
          <cell r="N1845">
            <v>291000</v>
          </cell>
          <cell r="O1845"/>
          <cell r="P1845">
            <v>291000</v>
          </cell>
          <cell r="Q1845"/>
          <cell r="R1845">
            <v>291000</v>
          </cell>
          <cell r="S1845"/>
          <cell r="T1845">
            <v>291000</v>
          </cell>
          <cell r="U1845"/>
          <cell r="V1845">
            <v>291000</v>
          </cell>
          <cell r="W1845"/>
          <cell r="X1845">
            <v>291000</v>
          </cell>
          <cell r="Y1845"/>
          <cell r="Z1845">
            <v>291000</v>
          </cell>
          <cell r="AA1845"/>
          <cell r="AB1845"/>
          <cell r="AC1845"/>
          <cell r="AD1845">
            <v>3.56</v>
          </cell>
          <cell r="AE1845"/>
          <cell r="AF1845"/>
          <cell r="AG1845"/>
          <cell r="AH1845"/>
          <cell r="AI1845"/>
          <cell r="AJ1845"/>
          <cell r="AK1845"/>
          <cell r="AL1845"/>
        </row>
        <row r="1846">
          <cell r="E1846" t="str">
            <v>60Hz SC250 Kvar 6%</v>
          </cell>
          <cell r="F1846" t="str">
            <v>台</v>
          </cell>
          <cell r="G1846"/>
          <cell r="H1846">
            <v>364000</v>
          </cell>
          <cell r="I1846"/>
          <cell r="J1846">
            <v>364000</v>
          </cell>
          <cell r="K1846"/>
          <cell r="L1846">
            <v>364000</v>
          </cell>
          <cell r="M1846"/>
          <cell r="N1846">
            <v>364000</v>
          </cell>
          <cell r="O1846"/>
          <cell r="P1846">
            <v>364000</v>
          </cell>
          <cell r="Q1846"/>
          <cell r="R1846">
            <v>364000</v>
          </cell>
          <cell r="S1846"/>
          <cell r="T1846">
            <v>364000</v>
          </cell>
          <cell r="U1846"/>
          <cell r="V1846">
            <v>364000</v>
          </cell>
          <cell r="W1846"/>
          <cell r="X1846">
            <v>364000</v>
          </cell>
          <cell r="Y1846"/>
          <cell r="Z1846">
            <v>364000</v>
          </cell>
          <cell r="AA1846"/>
          <cell r="AB1846"/>
          <cell r="AC1846"/>
          <cell r="AD1846">
            <v>4.4939999999999998</v>
          </cell>
          <cell r="AE1846"/>
          <cell r="AF1846"/>
          <cell r="AG1846"/>
          <cell r="AH1846"/>
          <cell r="AI1846"/>
          <cell r="AJ1846"/>
          <cell r="AK1846"/>
          <cell r="AL1846"/>
        </row>
        <row r="1847">
          <cell r="E1847" t="str">
            <v>60Hz SC300 Kvar 6%</v>
          </cell>
          <cell r="F1847" t="str">
            <v>台</v>
          </cell>
          <cell r="G1847"/>
          <cell r="H1847">
            <v>432000</v>
          </cell>
          <cell r="I1847"/>
          <cell r="J1847">
            <v>432000</v>
          </cell>
          <cell r="K1847"/>
          <cell r="L1847">
            <v>432000</v>
          </cell>
          <cell r="M1847"/>
          <cell r="N1847">
            <v>432000</v>
          </cell>
          <cell r="O1847"/>
          <cell r="P1847">
            <v>432000</v>
          </cell>
          <cell r="Q1847"/>
          <cell r="R1847">
            <v>432000</v>
          </cell>
          <cell r="S1847"/>
          <cell r="T1847">
            <v>432000</v>
          </cell>
          <cell r="U1847"/>
          <cell r="V1847">
            <v>432000</v>
          </cell>
          <cell r="W1847"/>
          <cell r="X1847">
            <v>432000</v>
          </cell>
          <cell r="Y1847"/>
          <cell r="Z1847">
            <v>432000</v>
          </cell>
          <cell r="AA1847"/>
          <cell r="AB1847"/>
          <cell r="AC1847"/>
          <cell r="AD1847">
            <v>4.63</v>
          </cell>
          <cell r="AE1847"/>
          <cell r="AF1847"/>
          <cell r="AG1847"/>
          <cell r="AH1847"/>
          <cell r="AI1847"/>
          <cell r="AJ1847"/>
          <cell r="AK1847"/>
          <cell r="AL1847"/>
        </row>
        <row r="1848">
          <cell r="E1848" t="str">
            <v>60Hz SC400 Kvar 6%</v>
          </cell>
          <cell r="F1848" t="str">
            <v>台</v>
          </cell>
          <cell r="G1848"/>
          <cell r="H1848">
            <v>575500</v>
          </cell>
          <cell r="I1848"/>
          <cell r="J1848">
            <v>575500</v>
          </cell>
          <cell r="K1848"/>
          <cell r="L1848">
            <v>575500</v>
          </cell>
          <cell r="M1848"/>
          <cell r="N1848">
            <v>575500</v>
          </cell>
          <cell r="O1848"/>
          <cell r="P1848">
            <v>575500</v>
          </cell>
          <cell r="Q1848"/>
          <cell r="R1848">
            <v>575500</v>
          </cell>
          <cell r="S1848"/>
          <cell r="T1848">
            <v>575500</v>
          </cell>
          <cell r="U1848"/>
          <cell r="V1848">
            <v>575500</v>
          </cell>
          <cell r="W1848"/>
          <cell r="X1848">
            <v>575500</v>
          </cell>
          <cell r="Y1848"/>
          <cell r="Z1848">
            <v>575500</v>
          </cell>
          <cell r="AA1848"/>
          <cell r="AB1848"/>
          <cell r="AC1848"/>
          <cell r="AD1848">
            <v>5.952</v>
          </cell>
          <cell r="AE1848"/>
          <cell r="AF1848"/>
          <cell r="AG1848"/>
          <cell r="AH1848"/>
          <cell r="AI1848"/>
          <cell r="AJ1848"/>
          <cell r="AK1848"/>
          <cell r="AL1848"/>
        </row>
        <row r="1849">
          <cell r="E1849" t="str">
            <v>60Hz SC500 Kvar 6%</v>
          </cell>
          <cell r="F1849" t="str">
            <v>台</v>
          </cell>
          <cell r="G1849"/>
          <cell r="H1849">
            <v>719000</v>
          </cell>
          <cell r="I1849"/>
          <cell r="J1849">
            <v>719000</v>
          </cell>
          <cell r="K1849"/>
          <cell r="L1849">
            <v>719000</v>
          </cell>
          <cell r="M1849"/>
          <cell r="N1849">
            <v>719000</v>
          </cell>
          <cell r="O1849"/>
          <cell r="P1849">
            <v>719000</v>
          </cell>
          <cell r="Q1849"/>
          <cell r="R1849">
            <v>719000</v>
          </cell>
          <cell r="S1849"/>
          <cell r="T1849">
            <v>719000</v>
          </cell>
          <cell r="U1849"/>
          <cell r="V1849">
            <v>719000</v>
          </cell>
          <cell r="W1849"/>
          <cell r="X1849">
            <v>719000</v>
          </cell>
          <cell r="Y1849"/>
          <cell r="Z1849">
            <v>719000</v>
          </cell>
          <cell r="AA1849"/>
          <cell r="AB1849"/>
          <cell r="AC1849"/>
          <cell r="AD1849">
            <v>5.274</v>
          </cell>
          <cell r="AE1849"/>
          <cell r="AF1849"/>
          <cell r="AG1849"/>
          <cell r="AH1849"/>
          <cell r="AI1849"/>
          <cell r="AJ1849"/>
          <cell r="AK1849"/>
          <cell r="AL1849"/>
        </row>
        <row r="1850">
          <cell r="E1850" t="str">
            <v>50Hz SC 10 Kvar 13%</v>
          </cell>
          <cell r="F1850" t="str">
            <v>台</v>
          </cell>
          <cell r="G1850"/>
          <cell r="H1850">
            <v>78400</v>
          </cell>
          <cell r="I1850"/>
          <cell r="J1850">
            <v>78400</v>
          </cell>
          <cell r="K1850"/>
          <cell r="L1850">
            <v>78400</v>
          </cell>
          <cell r="M1850"/>
          <cell r="N1850">
            <v>78400</v>
          </cell>
          <cell r="O1850"/>
          <cell r="P1850">
            <v>78400</v>
          </cell>
          <cell r="Q1850"/>
          <cell r="R1850">
            <v>78400</v>
          </cell>
          <cell r="S1850"/>
          <cell r="T1850">
            <v>78400</v>
          </cell>
          <cell r="U1850"/>
          <cell r="V1850">
            <v>78400</v>
          </cell>
          <cell r="W1850"/>
          <cell r="X1850">
            <v>78400</v>
          </cell>
          <cell r="Y1850"/>
          <cell r="Z1850">
            <v>78400</v>
          </cell>
          <cell r="AA1850"/>
          <cell r="AB1850"/>
          <cell r="AC1850"/>
          <cell r="AD1850">
            <v>0.496</v>
          </cell>
          <cell r="AE1850"/>
          <cell r="AF1850"/>
          <cell r="AG1850"/>
          <cell r="AH1850"/>
          <cell r="AI1850"/>
          <cell r="AJ1850"/>
          <cell r="AK1850"/>
          <cell r="AL1850"/>
        </row>
        <row r="1851">
          <cell r="E1851" t="str">
            <v>50Hz SC 15 Kvar 13%</v>
          </cell>
          <cell r="F1851" t="str">
            <v>台</v>
          </cell>
          <cell r="G1851"/>
          <cell r="H1851">
            <v>88200</v>
          </cell>
          <cell r="I1851"/>
          <cell r="J1851">
            <v>88200</v>
          </cell>
          <cell r="K1851"/>
          <cell r="L1851">
            <v>88200</v>
          </cell>
          <cell r="M1851"/>
          <cell r="N1851">
            <v>88200</v>
          </cell>
          <cell r="O1851"/>
          <cell r="P1851">
            <v>88200</v>
          </cell>
          <cell r="Q1851"/>
          <cell r="R1851">
            <v>88200</v>
          </cell>
          <cell r="S1851"/>
          <cell r="T1851">
            <v>88200</v>
          </cell>
          <cell r="U1851"/>
          <cell r="V1851">
            <v>88200</v>
          </cell>
          <cell r="W1851"/>
          <cell r="X1851">
            <v>88200</v>
          </cell>
          <cell r="Y1851"/>
          <cell r="Z1851">
            <v>88200</v>
          </cell>
          <cell r="AA1851"/>
          <cell r="AB1851"/>
          <cell r="AC1851"/>
          <cell r="AD1851">
            <v>0.60199999999999998</v>
          </cell>
          <cell r="AE1851"/>
          <cell r="AF1851"/>
          <cell r="AG1851"/>
          <cell r="AH1851"/>
          <cell r="AI1851"/>
          <cell r="AJ1851"/>
          <cell r="AK1851"/>
          <cell r="AL1851"/>
        </row>
        <row r="1852">
          <cell r="E1852" t="str">
            <v>50Hz SC 20 Kvar 13%</v>
          </cell>
          <cell r="F1852" t="str">
            <v>台</v>
          </cell>
          <cell r="G1852"/>
          <cell r="H1852">
            <v>100000</v>
          </cell>
          <cell r="I1852"/>
          <cell r="J1852">
            <v>100000</v>
          </cell>
          <cell r="K1852"/>
          <cell r="L1852">
            <v>100000</v>
          </cell>
          <cell r="M1852"/>
          <cell r="N1852">
            <v>100000</v>
          </cell>
          <cell r="O1852"/>
          <cell r="P1852">
            <v>100000</v>
          </cell>
          <cell r="Q1852"/>
          <cell r="R1852">
            <v>100000</v>
          </cell>
          <cell r="S1852"/>
          <cell r="T1852">
            <v>100000</v>
          </cell>
          <cell r="U1852"/>
          <cell r="V1852">
            <v>100000</v>
          </cell>
          <cell r="W1852"/>
          <cell r="X1852">
            <v>100000</v>
          </cell>
          <cell r="Y1852"/>
          <cell r="Z1852">
            <v>100000</v>
          </cell>
          <cell r="AA1852"/>
          <cell r="AB1852"/>
          <cell r="AC1852"/>
          <cell r="AD1852">
            <v>0.88400000000000001</v>
          </cell>
          <cell r="AE1852"/>
          <cell r="AF1852"/>
          <cell r="AG1852"/>
          <cell r="AH1852"/>
          <cell r="AI1852"/>
          <cell r="AJ1852"/>
          <cell r="AK1852"/>
          <cell r="AL1852"/>
        </row>
        <row r="1853">
          <cell r="E1853" t="str">
            <v>50Hz SC 25 Kvar 13%</v>
          </cell>
          <cell r="F1853" t="str">
            <v>台</v>
          </cell>
          <cell r="G1853"/>
          <cell r="H1853">
            <v>110000</v>
          </cell>
          <cell r="I1853"/>
          <cell r="J1853">
            <v>110000</v>
          </cell>
          <cell r="K1853"/>
          <cell r="L1853">
            <v>110000</v>
          </cell>
          <cell r="M1853"/>
          <cell r="N1853">
            <v>110000</v>
          </cell>
          <cell r="O1853"/>
          <cell r="P1853">
            <v>110000</v>
          </cell>
          <cell r="Q1853"/>
          <cell r="R1853">
            <v>110000</v>
          </cell>
          <cell r="S1853"/>
          <cell r="T1853">
            <v>110000</v>
          </cell>
          <cell r="U1853"/>
          <cell r="V1853">
            <v>110000</v>
          </cell>
          <cell r="W1853"/>
          <cell r="X1853">
            <v>110000</v>
          </cell>
          <cell r="Y1853"/>
          <cell r="Z1853">
            <v>110000</v>
          </cell>
          <cell r="AA1853"/>
          <cell r="AB1853"/>
          <cell r="AC1853"/>
          <cell r="AD1853">
            <v>1.1160000000000001</v>
          </cell>
          <cell r="AE1853"/>
          <cell r="AF1853"/>
          <cell r="AG1853"/>
          <cell r="AH1853"/>
          <cell r="AI1853"/>
          <cell r="AJ1853"/>
          <cell r="AK1853"/>
          <cell r="AL1853"/>
        </row>
        <row r="1854">
          <cell r="E1854" t="str">
            <v>50Hz SC 30 Kvar 13%</v>
          </cell>
          <cell r="F1854" t="str">
            <v>台</v>
          </cell>
          <cell r="G1854"/>
          <cell r="H1854">
            <v>128000</v>
          </cell>
          <cell r="I1854"/>
          <cell r="J1854">
            <v>128000</v>
          </cell>
          <cell r="K1854"/>
          <cell r="L1854">
            <v>128000</v>
          </cell>
          <cell r="M1854"/>
          <cell r="N1854">
            <v>128000</v>
          </cell>
          <cell r="O1854"/>
          <cell r="P1854">
            <v>128000</v>
          </cell>
          <cell r="Q1854"/>
          <cell r="R1854">
            <v>128000</v>
          </cell>
          <cell r="S1854"/>
          <cell r="T1854">
            <v>128000</v>
          </cell>
          <cell r="U1854"/>
          <cell r="V1854">
            <v>128000</v>
          </cell>
          <cell r="W1854"/>
          <cell r="X1854">
            <v>128000</v>
          </cell>
          <cell r="Y1854"/>
          <cell r="Z1854">
            <v>128000</v>
          </cell>
          <cell r="AA1854"/>
          <cell r="AB1854"/>
          <cell r="AC1854"/>
          <cell r="AD1854">
            <v>1.1499999999999999</v>
          </cell>
          <cell r="AE1854"/>
          <cell r="AF1854"/>
          <cell r="AG1854"/>
          <cell r="AH1854"/>
          <cell r="AI1854"/>
          <cell r="AJ1854"/>
          <cell r="AK1854"/>
          <cell r="AL1854"/>
        </row>
        <row r="1855">
          <cell r="E1855" t="str">
            <v>50Hz SC 50 Kvar 13%</v>
          </cell>
          <cell r="F1855" t="str">
            <v>台</v>
          </cell>
          <cell r="G1855"/>
          <cell r="H1855">
            <v>165000</v>
          </cell>
          <cell r="I1855"/>
          <cell r="J1855">
            <v>165000</v>
          </cell>
          <cell r="K1855"/>
          <cell r="L1855">
            <v>165000</v>
          </cell>
          <cell r="M1855"/>
          <cell r="N1855">
            <v>165000</v>
          </cell>
          <cell r="O1855"/>
          <cell r="P1855">
            <v>165000</v>
          </cell>
          <cell r="Q1855"/>
          <cell r="R1855">
            <v>165000</v>
          </cell>
          <cell r="S1855"/>
          <cell r="T1855">
            <v>165000</v>
          </cell>
          <cell r="U1855"/>
          <cell r="V1855">
            <v>165000</v>
          </cell>
          <cell r="W1855"/>
          <cell r="X1855">
            <v>165000</v>
          </cell>
          <cell r="Y1855"/>
          <cell r="Z1855">
            <v>165000</v>
          </cell>
          <cell r="AA1855"/>
          <cell r="AB1855"/>
          <cell r="AC1855"/>
          <cell r="AD1855">
            <v>1.31</v>
          </cell>
          <cell r="AE1855"/>
          <cell r="AF1855"/>
          <cell r="AG1855"/>
          <cell r="AH1855"/>
          <cell r="AI1855"/>
          <cell r="AJ1855"/>
          <cell r="AK1855"/>
          <cell r="AL1855"/>
        </row>
        <row r="1856">
          <cell r="E1856" t="str">
            <v>50Hz SC 75 Kvar 13%</v>
          </cell>
          <cell r="F1856" t="str">
            <v>台</v>
          </cell>
          <cell r="G1856"/>
          <cell r="H1856">
            <v>206000</v>
          </cell>
          <cell r="I1856"/>
          <cell r="J1856">
            <v>206000</v>
          </cell>
          <cell r="K1856"/>
          <cell r="L1856">
            <v>206000</v>
          </cell>
          <cell r="M1856"/>
          <cell r="N1856">
            <v>206000</v>
          </cell>
          <cell r="O1856"/>
          <cell r="P1856">
            <v>206000</v>
          </cell>
          <cell r="Q1856"/>
          <cell r="R1856">
            <v>206000</v>
          </cell>
          <cell r="S1856"/>
          <cell r="T1856">
            <v>206000</v>
          </cell>
          <cell r="U1856"/>
          <cell r="V1856">
            <v>206000</v>
          </cell>
          <cell r="W1856"/>
          <cell r="X1856">
            <v>206000</v>
          </cell>
          <cell r="Y1856"/>
          <cell r="Z1856">
            <v>206000</v>
          </cell>
          <cell r="AA1856"/>
          <cell r="AB1856"/>
          <cell r="AC1856"/>
          <cell r="AD1856">
            <v>2.2599999999999998</v>
          </cell>
          <cell r="AE1856"/>
          <cell r="AF1856"/>
          <cell r="AG1856"/>
          <cell r="AH1856"/>
          <cell r="AI1856"/>
          <cell r="AJ1856"/>
          <cell r="AK1856"/>
          <cell r="AL1856"/>
        </row>
        <row r="1857">
          <cell r="E1857" t="str">
            <v>50Hz SC100 Kvar 13%</v>
          </cell>
          <cell r="F1857" t="str">
            <v>台</v>
          </cell>
          <cell r="G1857"/>
          <cell r="H1857">
            <v>241000</v>
          </cell>
          <cell r="I1857"/>
          <cell r="J1857">
            <v>241000</v>
          </cell>
          <cell r="K1857"/>
          <cell r="L1857">
            <v>241000</v>
          </cell>
          <cell r="M1857"/>
          <cell r="N1857">
            <v>241000</v>
          </cell>
          <cell r="O1857"/>
          <cell r="P1857">
            <v>241000</v>
          </cell>
          <cell r="Q1857"/>
          <cell r="R1857">
            <v>241000</v>
          </cell>
          <cell r="S1857"/>
          <cell r="T1857">
            <v>241000</v>
          </cell>
          <cell r="U1857"/>
          <cell r="V1857">
            <v>241000</v>
          </cell>
          <cell r="W1857"/>
          <cell r="X1857">
            <v>241000</v>
          </cell>
          <cell r="Y1857"/>
          <cell r="Z1857">
            <v>241000</v>
          </cell>
          <cell r="AA1857"/>
          <cell r="AB1857"/>
          <cell r="AC1857"/>
          <cell r="AD1857">
            <v>2.52</v>
          </cell>
          <cell r="AE1857"/>
          <cell r="AF1857"/>
          <cell r="AG1857"/>
          <cell r="AH1857"/>
          <cell r="AI1857"/>
          <cell r="AJ1857"/>
          <cell r="AK1857"/>
          <cell r="AL1857"/>
        </row>
        <row r="1858">
          <cell r="E1858" t="str">
            <v>50Hz SC150 Kvar 13%</v>
          </cell>
          <cell r="F1858" t="str">
            <v>台</v>
          </cell>
          <cell r="G1858"/>
          <cell r="H1858">
            <v>329000</v>
          </cell>
          <cell r="I1858"/>
          <cell r="J1858">
            <v>329000</v>
          </cell>
          <cell r="K1858"/>
          <cell r="L1858">
            <v>329000</v>
          </cell>
          <cell r="M1858"/>
          <cell r="N1858">
            <v>329000</v>
          </cell>
          <cell r="O1858"/>
          <cell r="P1858">
            <v>329000</v>
          </cell>
          <cell r="Q1858"/>
          <cell r="R1858">
            <v>329000</v>
          </cell>
          <cell r="S1858"/>
          <cell r="T1858">
            <v>329000</v>
          </cell>
          <cell r="U1858"/>
          <cell r="V1858">
            <v>329000</v>
          </cell>
          <cell r="W1858"/>
          <cell r="X1858">
            <v>329000</v>
          </cell>
          <cell r="Y1858"/>
          <cell r="Z1858">
            <v>329000</v>
          </cell>
          <cell r="AA1858"/>
          <cell r="AB1858"/>
          <cell r="AC1858"/>
          <cell r="AD1858">
            <v>3.18</v>
          </cell>
          <cell r="AE1858"/>
          <cell r="AF1858"/>
          <cell r="AG1858"/>
          <cell r="AH1858"/>
          <cell r="AI1858"/>
          <cell r="AJ1858"/>
          <cell r="AK1858"/>
          <cell r="AL1858"/>
        </row>
        <row r="1859">
          <cell r="E1859" t="str">
            <v>50Hz SC200 Kvar 13%</v>
          </cell>
          <cell r="F1859" t="str">
            <v>台</v>
          </cell>
          <cell r="G1859"/>
          <cell r="H1859">
            <v>421000</v>
          </cell>
          <cell r="I1859"/>
          <cell r="J1859">
            <v>421000</v>
          </cell>
          <cell r="K1859"/>
          <cell r="L1859">
            <v>421000</v>
          </cell>
          <cell r="M1859"/>
          <cell r="N1859">
            <v>421000</v>
          </cell>
          <cell r="O1859"/>
          <cell r="P1859">
            <v>421000</v>
          </cell>
          <cell r="Q1859"/>
          <cell r="R1859">
            <v>421000</v>
          </cell>
          <cell r="S1859"/>
          <cell r="T1859">
            <v>421000</v>
          </cell>
          <cell r="U1859"/>
          <cell r="V1859">
            <v>421000</v>
          </cell>
          <cell r="W1859"/>
          <cell r="X1859">
            <v>421000</v>
          </cell>
          <cell r="Y1859"/>
          <cell r="Z1859">
            <v>421000</v>
          </cell>
          <cell r="AA1859"/>
          <cell r="AB1859"/>
          <cell r="AC1859"/>
          <cell r="AD1859">
            <v>3.56</v>
          </cell>
          <cell r="AE1859"/>
          <cell r="AF1859"/>
          <cell r="AG1859"/>
          <cell r="AH1859"/>
          <cell r="AI1859"/>
          <cell r="AJ1859"/>
          <cell r="AK1859"/>
          <cell r="AL1859"/>
        </row>
        <row r="1860">
          <cell r="E1860" t="str">
            <v>50Hz SC250 Kvar 13%</v>
          </cell>
          <cell r="F1860" t="str">
            <v>台</v>
          </cell>
          <cell r="G1860"/>
          <cell r="H1860">
            <v>525000</v>
          </cell>
          <cell r="I1860"/>
          <cell r="J1860">
            <v>525000</v>
          </cell>
          <cell r="K1860"/>
          <cell r="L1860">
            <v>525000</v>
          </cell>
          <cell r="M1860"/>
          <cell r="N1860">
            <v>525000</v>
          </cell>
          <cell r="O1860"/>
          <cell r="P1860">
            <v>525000</v>
          </cell>
          <cell r="Q1860"/>
          <cell r="R1860">
            <v>525000</v>
          </cell>
          <cell r="S1860"/>
          <cell r="T1860">
            <v>525000</v>
          </cell>
          <cell r="U1860"/>
          <cell r="V1860">
            <v>525000</v>
          </cell>
          <cell r="W1860"/>
          <cell r="X1860">
            <v>525000</v>
          </cell>
          <cell r="Y1860"/>
          <cell r="Z1860">
            <v>525000</v>
          </cell>
          <cell r="AA1860"/>
          <cell r="AB1860"/>
          <cell r="AC1860"/>
          <cell r="AD1860">
            <v>4.4939999999999998</v>
          </cell>
          <cell r="AE1860"/>
          <cell r="AF1860"/>
          <cell r="AG1860"/>
          <cell r="AH1860"/>
          <cell r="AI1860"/>
          <cell r="AJ1860"/>
          <cell r="AK1860"/>
          <cell r="AL1860"/>
        </row>
        <row r="1861">
          <cell r="E1861" t="str">
            <v>50Hz SC300 Kvar 13%</v>
          </cell>
          <cell r="F1861" t="str">
            <v>台</v>
          </cell>
          <cell r="G1861"/>
          <cell r="H1861">
            <v>625000</v>
          </cell>
          <cell r="I1861"/>
          <cell r="J1861">
            <v>625000</v>
          </cell>
          <cell r="K1861"/>
          <cell r="L1861">
            <v>625000</v>
          </cell>
          <cell r="M1861"/>
          <cell r="N1861">
            <v>625000</v>
          </cell>
          <cell r="O1861"/>
          <cell r="P1861">
            <v>625000</v>
          </cell>
          <cell r="Q1861"/>
          <cell r="R1861">
            <v>625000</v>
          </cell>
          <cell r="S1861"/>
          <cell r="T1861">
            <v>625000</v>
          </cell>
          <cell r="U1861"/>
          <cell r="V1861">
            <v>625000</v>
          </cell>
          <cell r="W1861"/>
          <cell r="X1861">
            <v>625000</v>
          </cell>
          <cell r="Y1861"/>
          <cell r="Z1861">
            <v>625000</v>
          </cell>
          <cell r="AA1861"/>
          <cell r="AB1861"/>
          <cell r="AC1861"/>
          <cell r="AD1861">
            <v>4.63</v>
          </cell>
          <cell r="AE1861"/>
          <cell r="AF1861"/>
          <cell r="AG1861"/>
          <cell r="AH1861"/>
          <cell r="AI1861"/>
          <cell r="AJ1861"/>
          <cell r="AK1861"/>
          <cell r="AL1861"/>
        </row>
        <row r="1862">
          <cell r="E1862" t="str">
            <v>50Hz SC500 Kvar 13%</v>
          </cell>
          <cell r="F1862" t="str">
            <v>台</v>
          </cell>
          <cell r="G1862"/>
          <cell r="H1862">
            <v>1040000</v>
          </cell>
          <cell r="I1862"/>
          <cell r="J1862">
            <v>1040000</v>
          </cell>
          <cell r="K1862"/>
          <cell r="L1862">
            <v>1040000</v>
          </cell>
          <cell r="M1862"/>
          <cell r="N1862">
            <v>1040000</v>
          </cell>
          <cell r="O1862"/>
          <cell r="P1862">
            <v>1040000</v>
          </cell>
          <cell r="Q1862"/>
          <cell r="R1862">
            <v>1040000</v>
          </cell>
          <cell r="S1862"/>
          <cell r="T1862">
            <v>1040000</v>
          </cell>
          <cell r="U1862"/>
          <cell r="V1862">
            <v>1040000</v>
          </cell>
          <cell r="W1862"/>
          <cell r="X1862">
            <v>1040000</v>
          </cell>
          <cell r="Y1862"/>
          <cell r="Z1862">
            <v>1040000</v>
          </cell>
          <cell r="AA1862"/>
          <cell r="AB1862"/>
          <cell r="AC1862"/>
          <cell r="AD1862">
            <v>5.274</v>
          </cell>
          <cell r="AE1862"/>
          <cell r="AF1862"/>
          <cell r="AG1862"/>
          <cell r="AH1862"/>
          <cell r="AI1862"/>
          <cell r="AJ1862"/>
          <cell r="AK1862"/>
          <cell r="AL1862"/>
        </row>
        <row r="1863">
          <cell r="E1863" t="str">
            <v>60Hz SC 10 Kvar 13%</v>
          </cell>
          <cell r="F1863" t="str">
            <v>台</v>
          </cell>
          <cell r="G1863"/>
          <cell r="H1863">
            <v>78400</v>
          </cell>
          <cell r="I1863"/>
          <cell r="J1863">
            <v>78400</v>
          </cell>
          <cell r="K1863"/>
          <cell r="L1863">
            <v>78400</v>
          </cell>
          <cell r="M1863"/>
          <cell r="N1863">
            <v>78400</v>
          </cell>
          <cell r="O1863"/>
          <cell r="P1863">
            <v>78400</v>
          </cell>
          <cell r="Q1863"/>
          <cell r="R1863">
            <v>78400</v>
          </cell>
          <cell r="S1863"/>
          <cell r="T1863">
            <v>78400</v>
          </cell>
          <cell r="U1863"/>
          <cell r="V1863">
            <v>78400</v>
          </cell>
          <cell r="W1863"/>
          <cell r="X1863">
            <v>78400</v>
          </cell>
          <cell r="Y1863"/>
          <cell r="Z1863">
            <v>78400</v>
          </cell>
          <cell r="AA1863"/>
          <cell r="AB1863"/>
          <cell r="AC1863"/>
          <cell r="AD1863">
            <v>0.496</v>
          </cell>
          <cell r="AE1863"/>
          <cell r="AF1863"/>
          <cell r="AG1863"/>
          <cell r="AH1863"/>
          <cell r="AI1863"/>
          <cell r="AJ1863"/>
          <cell r="AK1863"/>
          <cell r="AL1863"/>
        </row>
        <row r="1864">
          <cell r="E1864" t="str">
            <v>60Hz SC 15 Kvar 13%</v>
          </cell>
          <cell r="F1864" t="str">
            <v>台</v>
          </cell>
          <cell r="G1864"/>
          <cell r="H1864">
            <v>88200</v>
          </cell>
          <cell r="I1864"/>
          <cell r="J1864">
            <v>88200</v>
          </cell>
          <cell r="K1864"/>
          <cell r="L1864">
            <v>88200</v>
          </cell>
          <cell r="M1864"/>
          <cell r="N1864">
            <v>88200</v>
          </cell>
          <cell r="O1864"/>
          <cell r="P1864">
            <v>88200</v>
          </cell>
          <cell r="Q1864"/>
          <cell r="R1864">
            <v>88200</v>
          </cell>
          <cell r="S1864"/>
          <cell r="T1864">
            <v>88200</v>
          </cell>
          <cell r="U1864"/>
          <cell r="V1864">
            <v>88200</v>
          </cell>
          <cell r="W1864"/>
          <cell r="X1864">
            <v>88200</v>
          </cell>
          <cell r="Y1864"/>
          <cell r="Z1864">
            <v>88200</v>
          </cell>
          <cell r="AA1864"/>
          <cell r="AB1864"/>
          <cell r="AC1864"/>
          <cell r="AD1864">
            <v>0.60199999999999998</v>
          </cell>
          <cell r="AE1864"/>
          <cell r="AF1864"/>
          <cell r="AG1864"/>
          <cell r="AH1864"/>
          <cell r="AI1864"/>
          <cell r="AJ1864"/>
          <cell r="AK1864"/>
          <cell r="AL1864"/>
        </row>
        <row r="1865">
          <cell r="E1865" t="str">
            <v>60Hz SC 20 Kvar 13%</v>
          </cell>
          <cell r="F1865" t="str">
            <v>台</v>
          </cell>
          <cell r="G1865"/>
          <cell r="H1865">
            <v>100000</v>
          </cell>
          <cell r="I1865"/>
          <cell r="J1865">
            <v>100000</v>
          </cell>
          <cell r="K1865"/>
          <cell r="L1865">
            <v>100000</v>
          </cell>
          <cell r="M1865"/>
          <cell r="N1865">
            <v>100000</v>
          </cell>
          <cell r="O1865"/>
          <cell r="P1865">
            <v>100000</v>
          </cell>
          <cell r="Q1865"/>
          <cell r="R1865">
            <v>100000</v>
          </cell>
          <cell r="S1865"/>
          <cell r="T1865">
            <v>100000</v>
          </cell>
          <cell r="U1865"/>
          <cell r="V1865">
            <v>100000</v>
          </cell>
          <cell r="W1865"/>
          <cell r="X1865">
            <v>100000</v>
          </cell>
          <cell r="Y1865"/>
          <cell r="Z1865">
            <v>100000</v>
          </cell>
          <cell r="AA1865"/>
          <cell r="AB1865"/>
          <cell r="AC1865"/>
          <cell r="AD1865">
            <v>0.88400000000000001</v>
          </cell>
          <cell r="AE1865"/>
          <cell r="AF1865"/>
          <cell r="AG1865"/>
          <cell r="AH1865"/>
          <cell r="AI1865"/>
          <cell r="AJ1865"/>
          <cell r="AK1865"/>
          <cell r="AL1865"/>
        </row>
        <row r="1866">
          <cell r="E1866" t="str">
            <v>60Hz SC 25 Kvar 13%</v>
          </cell>
          <cell r="F1866" t="str">
            <v>台</v>
          </cell>
          <cell r="G1866"/>
          <cell r="H1866">
            <v>110000</v>
          </cell>
          <cell r="I1866"/>
          <cell r="J1866">
            <v>110000</v>
          </cell>
          <cell r="K1866"/>
          <cell r="L1866">
            <v>110000</v>
          </cell>
          <cell r="M1866"/>
          <cell r="N1866">
            <v>110000</v>
          </cell>
          <cell r="O1866"/>
          <cell r="P1866">
            <v>110000</v>
          </cell>
          <cell r="Q1866"/>
          <cell r="R1866">
            <v>110000</v>
          </cell>
          <cell r="S1866"/>
          <cell r="T1866">
            <v>110000</v>
          </cell>
          <cell r="U1866"/>
          <cell r="V1866">
            <v>110000</v>
          </cell>
          <cell r="W1866"/>
          <cell r="X1866">
            <v>110000</v>
          </cell>
          <cell r="Y1866"/>
          <cell r="Z1866">
            <v>110000</v>
          </cell>
          <cell r="AA1866"/>
          <cell r="AB1866"/>
          <cell r="AC1866"/>
          <cell r="AD1866">
            <v>1.1160000000000001</v>
          </cell>
          <cell r="AE1866"/>
          <cell r="AF1866"/>
          <cell r="AG1866"/>
          <cell r="AH1866"/>
          <cell r="AI1866"/>
          <cell r="AJ1866"/>
          <cell r="AK1866"/>
          <cell r="AL1866"/>
        </row>
        <row r="1867">
          <cell r="E1867" t="str">
            <v>60Hz SC 30 Kvar 13%</v>
          </cell>
          <cell r="F1867" t="str">
            <v>台</v>
          </cell>
          <cell r="G1867"/>
          <cell r="H1867">
            <v>128000</v>
          </cell>
          <cell r="I1867"/>
          <cell r="J1867">
            <v>128000</v>
          </cell>
          <cell r="K1867"/>
          <cell r="L1867">
            <v>128000</v>
          </cell>
          <cell r="M1867"/>
          <cell r="N1867">
            <v>128000</v>
          </cell>
          <cell r="O1867"/>
          <cell r="P1867">
            <v>128000</v>
          </cell>
          <cell r="Q1867"/>
          <cell r="R1867">
            <v>128000</v>
          </cell>
          <cell r="S1867"/>
          <cell r="T1867">
            <v>128000</v>
          </cell>
          <cell r="U1867"/>
          <cell r="V1867">
            <v>128000</v>
          </cell>
          <cell r="W1867"/>
          <cell r="X1867">
            <v>128000</v>
          </cell>
          <cell r="Y1867"/>
          <cell r="Z1867">
            <v>128000</v>
          </cell>
          <cell r="AA1867"/>
          <cell r="AB1867"/>
          <cell r="AC1867"/>
          <cell r="AD1867">
            <v>1.1499999999999999</v>
          </cell>
          <cell r="AE1867"/>
          <cell r="AF1867"/>
          <cell r="AG1867"/>
          <cell r="AH1867"/>
          <cell r="AI1867"/>
          <cell r="AJ1867"/>
          <cell r="AK1867"/>
          <cell r="AL1867"/>
        </row>
        <row r="1868">
          <cell r="E1868" t="str">
            <v>60Hz SC 50 Kvar 13%</v>
          </cell>
          <cell r="F1868" t="str">
            <v>台</v>
          </cell>
          <cell r="G1868"/>
          <cell r="H1868">
            <v>149000</v>
          </cell>
          <cell r="I1868"/>
          <cell r="J1868">
            <v>149000</v>
          </cell>
          <cell r="K1868"/>
          <cell r="L1868">
            <v>149000</v>
          </cell>
          <cell r="M1868"/>
          <cell r="N1868">
            <v>149000</v>
          </cell>
          <cell r="O1868"/>
          <cell r="P1868">
            <v>149000</v>
          </cell>
          <cell r="Q1868"/>
          <cell r="R1868">
            <v>149000</v>
          </cell>
          <cell r="S1868"/>
          <cell r="T1868">
            <v>149000</v>
          </cell>
          <cell r="U1868"/>
          <cell r="V1868">
            <v>149000</v>
          </cell>
          <cell r="W1868"/>
          <cell r="X1868">
            <v>149000</v>
          </cell>
          <cell r="Y1868"/>
          <cell r="Z1868">
            <v>149000</v>
          </cell>
          <cell r="AA1868"/>
          <cell r="AB1868"/>
          <cell r="AC1868"/>
          <cell r="AD1868">
            <v>1.31</v>
          </cell>
          <cell r="AE1868"/>
          <cell r="AF1868"/>
          <cell r="AG1868"/>
          <cell r="AH1868"/>
          <cell r="AI1868"/>
          <cell r="AJ1868"/>
          <cell r="AK1868"/>
          <cell r="AL1868"/>
        </row>
        <row r="1869">
          <cell r="E1869" t="str">
            <v>60Hz SC 75 Kvar 13%</v>
          </cell>
          <cell r="F1869" t="str">
            <v>台</v>
          </cell>
          <cell r="G1869"/>
          <cell r="H1869">
            <v>186000</v>
          </cell>
          <cell r="I1869"/>
          <cell r="J1869">
            <v>186000</v>
          </cell>
          <cell r="K1869"/>
          <cell r="L1869">
            <v>186000</v>
          </cell>
          <cell r="M1869"/>
          <cell r="N1869">
            <v>186000</v>
          </cell>
          <cell r="O1869"/>
          <cell r="P1869">
            <v>186000</v>
          </cell>
          <cell r="Q1869"/>
          <cell r="R1869">
            <v>186000</v>
          </cell>
          <cell r="S1869"/>
          <cell r="T1869">
            <v>186000</v>
          </cell>
          <cell r="U1869"/>
          <cell r="V1869">
            <v>186000</v>
          </cell>
          <cell r="W1869"/>
          <cell r="X1869">
            <v>186000</v>
          </cell>
          <cell r="Y1869"/>
          <cell r="Z1869">
            <v>186000</v>
          </cell>
          <cell r="AA1869"/>
          <cell r="AB1869"/>
          <cell r="AC1869"/>
          <cell r="AD1869">
            <v>2.2599999999999998</v>
          </cell>
          <cell r="AE1869"/>
          <cell r="AF1869"/>
          <cell r="AG1869"/>
          <cell r="AH1869"/>
          <cell r="AI1869"/>
          <cell r="AJ1869"/>
          <cell r="AK1869"/>
          <cell r="AL1869"/>
        </row>
        <row r="1870">
          <cell r="E1870" t="str">
            <v>60Hz SC100 Kvar 13%</v>
          </cell>
          <cell r="F1870" t="str">
            <v>台</v>
          </cell>
          <cell r="G1870"/>
          <cell r="H1870">
            <v>217000</v>
          </cell>
          <cell r="I1870"/>
          <cell r="J1870">
            <v>217000</v>
          </cell>
          <cell r="K1870"/>
          <cell r="L1870">
            <v>217000</v>
          </cell>
          <cell r="M1870"/>
          <cell r="N1870">
            <v>217000</v>
          </cell>
          <cell r="O1870"/>
          <cell r="P1870">
            <v>217000</v>
          </cell>
          <cell r="Q1870"/>
          <cell r="R1870">
            <v>217000</v>
          </cell>
          <cell r="S1870"/>
          <cell r="T1870">
            <v>217000</v>
          </cell>
          <cell r="U1870"/>
          <cell r="V1870">
            <v>217000</v>
          </cell>
          <cell r="W1870"/>
          <cell r="X1870">
            <v>217000</v>
          </cell>
          <cell r="Y1870"/>
          <cell r="Z1870">
            <v>217000</v>
          </cell>
          <cell r="AA1870"/>
          <cell r="AB1870"/>
          <cell r="AC1870"/>
          <cell r="AD1870">
            <v>2.52</v>
          </cell>
          <cell r="AE1870"/>
          <cell r="AF1870"/>
          <cell r="AG1870"/>
          <cell r="AH1870"/>
          <cell r="AI1870"/>
          <cell r="AJ1870"/>
          <cell r="AK1870"/>
          <cell r="AL1870"/>
        </row>
        <row r="1871">
          <cell r="E1871" t="str">
            <v>60Hz SC150 Kvar 13%</v>
          </cell>
          <cell r="F1871" t="str">
            <v>台</v>
          </cell>
          <cell r="G1871"/>
          <cell r="H1871">
            <v>296000</v>
          </cell>
          <cell r="I1871"/>
          <cell r="J1871">
            <v>296000</v>
          </cell>
          <cell r="K1871"/>
          <cell r="L1871">
            <v>296000</v>
          </cell>
          <cell r="M1871"/>
          <cell r="N1871">
            <v>296000</v>
          </cell>
          <cell r="O1871"/>
          <cell r="P1871">
            <v>296000</v>
          </cell>
          <cell r="Q1871"/>
          <cell r="R1871">
            <v>296000</v>
          </cell>
          <cell r="S1871"/>
          <cell r="T1871">
            <v>296000</v>
          </cell>
          <cell r="U1871"/>
          <cell r="V1871">
            <v>296000</v>
          </cell>
          <cell r="W1871"/>
          <cell r="X1871">
            <v>296000</v>
          </cell>
          <cell r="Y1871"/>
          <cell r="Z1871">
            <v>296000</v>
          </cell>
          <cell r="AA1871"/>
          <cell r="AB1871"/>
          <cell r="AC1871"/>
          <cell r="AD1871">
            <v>3.18</v>
          </cell>
          <cell r="AE1871"/>
          <cell r="AF1871"/>
          <cell r="AG1871"/>
          <cell r="AH1871"/>
          <cell r="AI1871"/>
          <cell r="AJ1871"/>
          <cell r="AK1871"/>
          <cell r="AL1871"/>
        </row>
        <row r="1872">
          <cell r="E1872" t="str">
            <v>60Hz SC200 Kvar 13%</v>
          </cell>
          <cell r="F1872" t="str">
            <v>台</v>
          </cell>
          <cell r="G1872"/>
          <cell r="H1872">
            <v>379000</v>
          </cell>
          <cell r="I1872"/>
          <cell r="J1872">
            <v>379000</v>
          </cell>
          <cell r="K1872"/>
          <cell r="L1872">
            <v>379000</v>
          </cell>
          <cell r="M1872"/>
          <cell r="N1872">
            <v>379000</v>
          </cell>
          <cell r="O1872"/>
          <cell r="P1872">
            <v>379000</v>
          </cell>
          <cell r="Q1872"/>
          <cell r="R1872">
            <v>379000</v>
          </cell>
          <cell r="S1872"/>
          <cell r="T1872">
            <v>379000</v>
          </cell>
          <cell r="U1872"/>
          <cell r="V1872">
            <v>379000</v>
          </cell>
          <cell r="W1872"/>
          <cell r="X1872">
            <v>379000</v>
          </cell>
          <cell r="Y1872"/>
          <cell r="Z1872">
            <v>379000</v>
          </cell>
          <cell r="AA1872"/>
          <cell r="AB1872"/>
          <cell r="AC1872"/>
          <cell r="AD1872">
            <v>3.56</v>
          </cell>
          <cell r="AE1872"/>
          <cell r="AF1872"/>
          <cell r="AG1872"/>
          <cell r="AH1872"/>
          <cell r="AI1872"/>
          <cell r="AJ1872"/>
          <cell r="AK1872"/>
          <cell r="AL1872"/>
        </row>
        <row r="1873">
          <cell r="E1873" t="str">
            <v>60Hz SC250 Kvar 13%</v>
          </cell>
          <cell r="F1873" t="str">
            <v>台</v>
          </cell>
          <cell r="G1873"/>
          <cell r="H1873">
            <v>472000</v>
          </cell>
          <cell r="I1873"/>
          <cell r="J1873">
            <v>472000</v>
          </cell>
          <cell r="K1873"/>
          <cell r="L1873">
            <v>472000</v>
          </cell>
          <cell r="M1873"/>
          <cell r="N1873">
            <v>472000</v>
          </cell>
          <cell r="O1873"/>
          <cell r="P1873">
            <v>472000</v>
          </cell>
          <cell r="Q1873"/>
          <cell r="R1873">
            <v>472000</v>
          </cell>
          <cell r="S1873"/>
          <cell r="T1873">
            <v>472000</v>
          </cell>
          <cell r="U1873"/>
          <cell r="V1873">
            <v>472000</v>
          </cell>
          <cell r="W1873"/>
          <cell r="X1873">
            <v>472000</v>
          </cell>
          <cell r="Y1873"/>
          <cell r="Z1873">
            <v>472000</v>
          </cell>
          <cell r="AA1873"/>
          <cell r="AB1873"/>
          <cell r="AC1873"/>
          <cell r="AD1873">
            <v>4.4939999999999998</v>
          </cell>
          <cell r="AE1873"/>
          <cell r="AF1873"/>
          <cell r="AG1873"/>
          <cell r="AH1873"/>
          <cell r="AI1873"/>
          <cell r="AJ1873"/>
          <cell r="AK1873"/>
          <cell r="AL1873"/>
        </row>
        <row r="1874">
          <cell r="E1874" t="str">
            <v>60Hz SC300 Kvar 13%</v>
          </cell>
          <cell r="F1874" t="str">
            <v>台</v>
          </cell>
          <cell r="G1874"/>
          <cell r="H1874">
            <v>562000</v>
          </cell>
          <cell r="I1874"/>
          <cell r="J1874">
            <v>562000</v>
          </cell>
          <cell r="K1874"/>
          <cell r="L1874">
            <v>562000</v>
          </cell>
          <cell r="M1874"/>
          <cell r="N1874">
            <v>562000</v>
          </cell>
          <cell r="O1874"/>
          <cell r="P1874">
            <v>562000</v>
          </cell>
          <cell r="Q1874"/>
          <cell r="R1874">
            <v>562000</v>
          </cell>
          <cell r="S1874"/>
          <cell r="T1874">
            <v>562000</v>
          </cell>
          <cell r="U1874"/>
          <cell r="V1874">
            <v>562000</v>
          </cell>
          <cell r="W1874"/>
          <cell r="X1874">
            <v>562000</v>
          </cell>
          <cell r="Y1874"/>
          <cell r="Z1874">
            <v>562000</v>
          </cell>
          <cell r="AA1874"/>
          <cell r="AB1874"/>
          <cell r="AC1874"/>
          <cell r="AD1874">
            <v>4.63</v>
          </cell>
          <cell r="AE1874"/>
          <cell r="AF1874"/>
          <cell r="AG1874"/>
          <cell r="AH1874"/>
          <cell r="AI1874"/>
          <cell r="AJ1874"/>
          <cell r="AK1874"/>
          <cell r="AL1874"/>
        </row>
        <row r="1875">
          <cell r="E1875" t="str">
            <v>60Hz SC400 Kvar 13%</v>
          </cell>
          <cell r="F1875" t="str">
            <v>台</v>
          </cell>
          <cell r="G1875"/>
          <cell r="H1875">
            <v>746000</v>
          </cell>
          <cell r="I1875"/>
          <cell r="J1875">
            <v>746000</v>
          </cell>
          <cell r="K1875"/>
          <cell r="L1875">
            <v>746000</v>
          </cell>
          <cell r="M1875"/>
          <cell r="N1875">
            <v>746000</v>
          </cell>
          <cell r="O1875"/>
          <cell r="P1875">
            <v>746000</v>
          </cell>
          <cell r="Q1875"/>
          <cell r="R1875">
            <v>746000</v>
          </cell>
          <cell r="S1875"/>
          <cell r="T1875">
            <v>746000</v>
          </cell>
          <cell r="U1875"/>
          <cell r="V1875">
            <v>746000</v>
          </cell>
          <cell r="W1875"/>
          <cell r="X1875">
            <v>746000</v>
          </cell>
          <cell r="Y1875"/>
          <cell r="Z1875">
            <v>746000</v>
          </cell>
          <cell r="AA1875"/>
          <cell r="AB1875"/>
          <cell r="AC1875"/>
          <cell r="AD1875">
            <v>4.9379999999999997</v>
          </cell>
          <cell r="AE1875"/>
          <cell r="AF1875"/>
          <cell r="AG1875"/>
          <cell r="AH1875"/>
          <cell r="AI1875"/>
          <cell r="AJ1875"/>
          <cell r="AK1875"/>
          <cell r="AL1875"/>
        </row>
        <row r="1876">
          <cell r="E1876" t="str">
            <v>60Hz SC500 Kvar 13%</v>
          </cell>
          <cell r="F1876" t="str">
            <v>台</v>
          </cell>
          <cell r="G1876"/>
          <cell r="H1876">
            <v>930000</v>
          </cell>
          <cell r="I1876"/>
          <cell r="J1876">
            <v>930000</v>
          </cell>
          <cell r="K1876"/>
          <cell r="L1876">
            <v>930000</v>
          </cell>
          <cell r="M1876"/>
          <cell r="N1876">
            <v>930000</v>
          </cell>
          <cell r="O1876"/>
          <cell r="P1876">
            <v>930000</v>
          </cell>
          <cell r="Q1876"/>
          <cell r="R1876">
            <v>930000</v>
          </cell>
          <cell r="S1876"/>
          <cell r="T1876">
            <v>930000</v>
          </cell>
          <cell r="U1876"/>
          <cell r="V1876">
            <v>930000</v>
          </cell>
          <cell r="W1876"/>
          <cell r="X1876">
            <v>930000</v>
          </cell>
          <cell r="Y1876"/>
          <cell r="Z1876">
            <v>930000</v>
          </cell>
          <cell r="AA1876"/>
          <cell r="AB1876"/>
          <cell r="AC1876"/>
          <cell r="AD1876">
            <v>5.274</v>
          </cell>
          <cell r="AE1876"/>
          <cell r="AF1876"/>
          <cell r="AG1876"/>
          <cell r="AH1876"/>
          <cell r="AI1876"/>
          <cell r="AJ1876"/>
          <cell r="AK1876"/>
          <cell r="AL1876"/>
        </row>
        <row r="1877">
          <cell r="E1877" t="str">
            <v>50Hz SR 10 Kvar 6%</v>
          </cell>
          <cell r="F1877" t="str">
            <v>台</v>
          </cell>
          <cell r="G1877"/>
          <cell r="H1877">
            <v>411000</v>
          </cell>
          <cell r="I1877"/>
          <cell r="J1877">
            <v>411000</v>
          </cell>
          <cell r="K1877"/>
          <cell r="L1877">
            <v>411000</v>
          </cell>
          <cell r="M1877"/>
          <cell r="N1877">
            <v>411000</v>
          </cell>
          <cell r="O1877"/>
          <cell r="P1877">
            <v>411000</v>
          </cell>
          <cell r="Q1877"/>
          <cell r="R1877">
            <v>411000</v>
          </cell>
          <cell r="S1877"/>
          <cell r="T1877">
            <v>411000</v>
          </cell>
          <cell r="U1877"/>
          <cell r="V1877">
            <v>411000</v>
          </cell>
          <cell r="W1877"/>
          <cell r="X1877">
            <v>411000</v>
          </cell>
          <cell r="Y1877"/>
          <cell r="Z1877">
            <v>411000</v>
          </cell>
          <cell r="AA1877"/>
          <cell r="AB1877"/>
          <cell r="AC1877"/>
          <cell r="AD1877">
            <v>0.60799999999999998</v>
          </cell>
          <cell r="AE1877"/>
          <cell r="AF1877"/>
          <cell r="AG1877"/>
          <cell r="AH1877"/>
          <cell r="AI1877"/>
          <cell r="AJ1877"/>
          <cell r="AK1877"/>
          <cell r="AL1877"/>
        </row>
        <row r="1878">
          <cell r="E1878" t="str">
            <v>50Hz SR 15 Kvar 6%</v>
          </cell>
          <cell r="F1878" t="str">
            <v>台</v>
          </cell>
          <cell r="G1878"/>
          <cell r="H1878">
            <v>411000</v>
          </cell>
          <cell r="I1878"/>
          <cell r="J1878">
            <v>411000</v>
          </cell>
          <cell r="K1878"/>
          <cell r="L1878">
            <v>411000</v>
          </cell>
          <cell r="M1878"/>
          <cell r="N1878">
            <v>411000</v>
          </cell>
          <cell r="O1878"/>
          <cell r="P1878">
            <v>411000</v>
          </cell>
          <cell r="Q1878"/>
          <cell r="R1878">
            <v>411000</v>
          </cell>
          <cell r="S1878"/>
          <cell r="T1878">
            <v>411000</v>
          </cell>
          <cell r="U1878"/>
          <cell r="V1878">
            <v>411000</v>
          </cell>
          <cell r="W1878"/>
          <cell r="X1878">
            <v>411000</v>
          </cell>
          <cell r="Y1878"/>
          <cell r="Z1878">
            <v>411000</v>
          </cell>
          <cell r="AA1878"/>
          <cell r="AB1878"/>
          <cell r="AC1878"/>
          <cell r="AD1878">
            <v>0.65900000000000003</v>
          </cell>
          <cell r="AE1878"/>
          <cell r="AF1878"/>
          <cell r="AG1878"/>
          <cell r="AH1878"/>
          <cell r="AI1878"/>
          <cell r="AJ1878"/>
          <cell r="AK1878"/>
          <cell r="AL1878"/>
        </row>
        <row r="1879">
          <cell r="E1879" t="str">
            <v>50Hz SR 20 Kvar 6%</v>
          </cell>
          <cell r="F1879" t="str">
            <v>台</v>
          </cell>
          <cell r="G1879"/>
          <cell r="H1879">
            <v>411000</v>
          </cell>
          <cell r="I1879"/>
          <cell r="J1879">
            <v>411000</v>
          </cell>
          <cell r="K1879"/>
          <cell r="L1879">
            <v>411000</v>
          </cell>
          <cell r="M1879"/>
          <cell r="N1879">
            <v>411000</v>
          </cell>
          <cell r="O1879"/>
          <cell r="P1879">
            <v>411000</v>
          </cell>
          <cell r="Q1879"/>
          <cell r="R1879">
            <v>411000</v>
          </cell>
          <cell r="S1879"/>
          <cell r="T1879">
            <v>411000</v>
          </cell>
          <cell r="U1879"/>
          <cell r="V1879">
            <v>411000</v>
          </cell>
          <cell r="W1879"/>
          <cell r="X1879">
            <v>411000</v>
          </cell>
          <cell r="Y1879"/>
          <cell r="Z1879">
            <v>411000</v>
          </cell>
          <cell r="AA1879"/>
          <cell r="AB1879"/>
          <cell r="AC1879"/>
          <cell r="AD1879">
            <v>0.79600000000000004</v>
          </cell>
          <cell r="AE1879"/>
          <cell r="AF1879"/>
          <cell r="AG1879"/>
          <cell r="AH1879"/>
          <cell r="AI1879"/>
          <cell r="AJ1879"/>
          <cell r="AK1879"/>
          <cell r="AL1879"/>
        </row>
        <row r="1880">
          <cell r="E1880" t="str">
            <v>50Hz SR 25 Kvar 6%</v>
          </cell>
          <cell r="F1880" t="str">
            <v>台</v>
          </cell>
          <cell r="G1880"/>
          <cell r="H1880">
            <v>411000</v>
          </cell>
          <cell r="I1880"/>
          <cell r="J1880">
            <v>411000</v>
          </cell>
          <cell r="K1880"/>
          <cell r="L1880">
            <v>411000</v>
          </cell>
          <cell r="M1880"/>
          <cell r="N1880">
            <v>411000</v>
          </cell>
          <cell r="O1880"/>
          <cell r="P1880">
            <v>411000</v>
          </cell>
          <cell r="Q1880"/>
          <cell r="R1880">
            <v>411000</v>
          </cell>
          <cell r="S1880"/>
          <cell r="T1880">
            <v>411000</v>
          </cell>
          <cell r="U1880"/>
          <cell r="V1880">
            <v>411000</v>
          </cell>
          <cell r="W1880"/>
          <cell r="X1880">
            <v>411000</v>
          </cell>
          <cell r="Y1880"/>
          <cell r="Z1880">
            <v>411000</v>
          </cell>
          <cell r="AA1880"/>
          <cell r="AB1880"/>
          <cell r="AC1880"/>
          <cell r="AD1880">
            <v>0.96099999999999997</v>
          </cell>
          <cell r="AE1880"/>
          <cell r="AF1880"/>
          <cell r="AG1880"/>
          <cell r="AH1880"/>
          <cell r="AI1880"/>
          <cell r="AJ1880"/>
          <cell r="AK1880"/>
          <cell r="AL1880"/>
        </row>
        <row r="1881">
          <cell r="E1881" t="str">
            <v>50Hz SR 30 Kvar 6%</v>
          </cell>
          <cell r="F1881" t="str">
            <v>台</v>
          </cell>
          <cell r="G1881"/>
          <cell r="H1881">
            <v>449000</v>
          </cell>
          <cell r="I1881"/>
          <cell r="J1881">
            <v>449000</v>
          </cell>
          <cell r="K1881"/>
          <cell r="L1881">
            <v>449000</v>
          </cell>
          <cell r="M1881"/>
          <cell r="N1881">
            <v>449000</v>
          </cell>
          <cell r="O1881"/>
          <cell r="P1881">
            <v>449000</v>
          </cell>
          <cell r="Q1881"/>
          <cell r="R1881">
            <v>449000</v>
          </cell>
          <cell r="S1881"/>
          <cell r="T1881">
            <v>449000</v>
          </cell>
          <cell r="U1881"/>
          <cell r="V1881">
            <v>449000</v>
          </cell>
          <cell r="W1881"/>
          <cell r="X1881">
            <v>449000</v>
          </cell>
          <cell r="Y1881"/>
          <cell r="Z1881">
            <v>449000</v>
          </cell>
          <cell r="AA1881"/>
          <cell r="AB1881"/>
          <cell r="AC1881"/>
          <cell r="AD1881">
            <v>1.1599999999999999</v>
          </cell>
          <cell r="AE1881"/>
          <cell r="AF1881"/>
          <cell r="AG1881"/>
          <cell r="AH1881"/>
          <cell r="AI1881"/>
          <cell r="AJ1881"/>
          <cell r="AK1881"/>
          <cell r="AL1881"/>
        </row>
        <row r="1882">
          <cell r="E1882" t="str">
            <v>50Hz SR 50 Kvar 6%</v>
          </cell>
          <cell r="F1882" t="str">
            <v>台</v>
          </cell>
          <cell r="G1882"/>
          <cell r="H1882">
            <v>483000</v>
          </cell>
          <cell r="I1882"/>
          <cell r="J1882">
            <v>483000</v>
          </cell>
          <cell r="K1882"/>
          <cell r="L1882">
            <v>483000</v>
          </cell>
          <cell r="M1882"/>
          <cell r="N1882">
            <v>483000</v>
          </cell>
          <cell r="O1882"/>
          <cell r="P1882">
            <v>483000</v>
          </cell>
          <cell r="Q1882"/>
          <cell r="R1882">
            <v>483000</v>
          </cell>
          <cell r="S1882"/>
          <cell r="T1882">
            <v>483000</v>
          </cell>
          <cell r="U1882"/>
          <cell r="V1882">
            <v>483000</v>
          </cell>
          <cell r="W1882"/>
          <cell r="X1882">
            <v>483000</v>
          </cell>
          <cell r="Y1882"/>
          <cell r="Z1882">
            <v>483000</v>
          </cell>
          <cell r="AA1882"/>
          <cell r="AB1882"/>
          <cell r="AC1882"/>
          <cell r="AD1882">
            <v>1.258</v>
          </cell>
          <cell r="AE1882"/>
          <cell r="AF1882"/>
          <cell r="AG1882"/>
          <cell r="AH1882"/>
          <cell r="AI1882"/>
          <cell r="AJ1882"/>
          <cell r="AK1882"/>
          <cell r="AL1882"/>
        </row>
        <row r="1883">
          <cell r="E1883" t="str">
            <v>50Hz SR 75 Kvar 6%</v>
          </cell>
          <cell r="F1883" t="str">
            <v>台</v>
          </cell>
          <cell r="G1883"/>
          <cell r="H1883">
            <v>514000</v>
          </cell>
          <cell r="I1883"/>
          <cell r="J1883">
            <v>514000</v>
          </cell>
          <cell r="K1883"/>
          <cell r="L1883">
            <v>514000</v>
          </cell>
          <cell r="M1883"/>
          <cell r="N1883">
            <v>514000</v>
          </cell>
          <cell r="O1883"/>
          <cell r="P1883">
            <v>514000</v>
          </cell>
          <cell r="Q1883"/>
          <cell r="R1883">
            <v>514000</v>
          </cell>
          <cell r="S1883"/>
          <cell r="T1883">
            <v>514000</v>
          </cell>
          <cell r="U1883"/>
          <cell r="V1883">
            <v>514000</v>
          </cell>
          <cell r="W1883"/>
          <cell r="X1883">
            <v>514000</v>
          </cell>
          <cell r="Y1883"/>
          <cell r="Z1883">
            <v>514000</v>
          </cell>
          <cell r="AA1883"/>
          <cell r="AB1883"/>
          <cell r="AC1883"/>
          <cell r="AD1883">
            <v>1.3640000000000001</v>
          </cell>
          <cell r="AE1883"/>
          <cell r="AF1883"/>
          <cell r="AG1883"/>
          <cell r="AH1883"/>
          <cell r="AI1883"/>
          <cell r="AJ1883"/>
          <cell r="AK1883"/>
          <cell r="AL1883"/>
        </row>
        <row r="1884">
          <cell r="E1884" t="str">
            <v>50Hz SR100 Kvar 6%</v>
          </cell>
          <cell r="F1884" t="str">
            <v>台</v>
          </cell>
          <cell r="G1884"/>
          <cell r="H1884">
            <v>534000</v>
          </cell>
          <cell r="I1884"/>
          <cell r="J1884">
            <v>534000</v>
          </cell>
          <cell r="K1884"/>
          <cell r="L1884">
            <v>534000</v>
          </cell>
          <cell r="M1884"/>
          <cell r="N1884">
            <v>534000</v>
          </cell>
          <cell r="O1884"/>
          <cell r="P1884">
            <v>534000</v>
          </cell>
          <cell r="Q1884"/>
          <cell r="R1884">
            <v>534000</v>
          </cell>
          <cell r="S1884"/>
          <cell r="T1884">
            <v>534000</v>
          </cell>
          <cell r="U1884"/>
          <cell r="V1884">
            <v>534000</v>
          </cell>
          <cell r="W1884"/>
          <cell r="X1884">
            <v>534000</v>
          </cell>
          <cell r="Y1884"/>
          <cell r="Z1884">
            <v>534000</v>
          </cell>
          <cell r="AA1884"/>
          <cell r="AB1884"/>
          <cell r="AC1884"/>
          <cell r="AD1884">
            <v>1.6459999999999999</v>
          </cell>
          <cell r="AE1884"/>
          <cell r="AF1884"/>
          <cell r="AG1884"/>
          <cell r="AH1884"/>
          <cell r="AI1884"/>
          <cell r="AJ1884"/>
          <cell r="AK1884"/>
          <cell r="AL1884"/>
        </row>
        <row r="1885">
          <cell r="E1885" t="str">
            <v>50Hz SR150 Kvar 6%</v>
          </cell>
          <cell r="F1885" t="str">
            <v>台</v>
          </cell>
          <cell r="G1885"/>
          <cell r="H1885">
            <v>603000</v>
          </cell>
          <cell r="I1885"/>
          <cell r="J1885">
            <v>603000</v>
          </cell>
          <cell r="K1885"/>
          <cell r="L1885">
            <v>603000</v>
          </cell>
          <cell r="M1885"/>
          <cell r="N1885">
            <v>603000</v>
          </cell>
          <cell r="O1885"/>
          <cell r="P1885">
            <v>603000</v>
          </cell>
          <cell r="Q1885"/>
          <cell r="R1885">
            <v>603000</v>
          </cell>
          <cell r="S1885"/>
          <cell r="T1885">
            <v>603000</v>
          </cell>
          <cell r="U1885"/>
          <cell r="V1885">
            <v>603000</v>
          </cell>
          <cell r="W1885"/>
          <cell r="X1885">
            <v>603000</v>
          </cell>
          <cell r="Y1885"/>
          <cell r="Z1885">
            <v>603000</v>
          </cell>
          <cell r="AA1885"/>
          <cell r="AB1885"/>
          <cell r="AC1885"/>
          <cell r="AD1885">
            <v>1.8220000000000001</v>
          </cell>
          <cell r="AE1885"/>
          <cell r="AF1885"/>
          <cell r="AG1885"/>
          <cell r="AH1885"/>
          <cell r="AI1885"/>
          <cell r="AJ1885"/>
          <cell r="AK1885"/>
          <cell r="AL1885"/>
        </row>
        <row r="1886">
          <cell r="E1886" t="str">
            <v>50Hz SR200 Kvar 6%</v>
          </cell>
          <cell r="F1886" t="str">
            <v>台</v>
          </cell>
          <cell r="G1886"/>
          <cell r="H1886">
            <v>659000</v>
          </cell>
          <cell r="I1886"/>
          <cell r="J1886">
            <v>659000</v>
          </cell>
          <cell r="K1886"/>
          <cell r="L1886">
            <v>659000</v>
          </cell>
          <cell r="M1886"/>
          <cell r="N1886">
            <v>659000</v>
          </cell>
          <cell r="O1886"/>
          <cell r="P1886">
            <v>659000</v>
          </cell>
          <cell r="Q1886"/>
          <cell r="R1886">
            <v>659000</v>
          </cell>
          <cell r="S1886"/>
          <cell r="T1886">
            <v>659000</v>
          </cell>
          <cell r="U1886"/>
          <cell r="V1886">
            <v>659000</v>
          </cell>
          <cell r="W1886"/>
          <cell r="X1886">
            <v>659000</v>
          </cell>
          <cell r="Y1886"/>
          <cell r="Z1886">
            <v>659000</v>
          </cell>
          <cell r="AA1886"/>
          <cell r="AB1886"/>
          <cell r="AC1886"/>
          <cell r="AD1886">
            <v>1.946</v>
          </cell>
          <cell r="AE1886"/>
          <cell r="AF1886"/>
          <cell r="AG1886"/>
          <cell r="AH1886"/>
          <cell r="AI1886"/>
          <cell r="AJ1886"/>
          <cell r="AK1886"/>
          <cell r="AL1886"/>
        </row>
        <row r="1887">
          <cell r="E1887" t="str">
            <v>50Hz SR250 Kvar 6%</v>
          </cell>
          <cell r="F1887" t="str">
            <v>台</v>
          </cell>
          <cell r="G1887"/>
          <cell r="H1887">
            <v>741000</v>
          </cell>
          <cell r="I1887"/>
          <cell r="J1887">
            <v>741000</v>
          </cell>
          <cell r="K1887"/>
          <cell r="L1887">
            <v>741000</v>
          </cell>
          <cell r="M1887"/>
          <cell r="N1887">
            <v>741000</v>
          </cell>
          <cell r="O1887"/>
          <cell r="P1887">
            <v>741000</v>
          </cell>
          <cell r="Q1887"/>
          <cell r="R1887">
            <v>741000</v>
          </cell>
          <cell r="S1887"/>
          <cell r="T1887">
            <v>741000</v>
          </cell>
          <cell r="U1887"/>
          <cell r="V1887">
            <v>741000</v>
          </cell>
          <cell r="W1887"/>
          <cell r="X1887">
            <v>741000</v>
          </cell>
          <cell r="Y1887"/>
          <cell r="Z1887">
            <v>741000</v>
          </cell>
          <cell r="AA1887"/>
          <cell r="AB1887"/>
          <cell r="AC1887"/>
          <cell r="AD1887">
            <v>2.3490000000000002</v>
          </cell>
          <cell r="AE1887"/>
          <cell r="AF1887"/>
          <cell r="AG1887"/>
          <cell r="AH1887"/>
          <cell r="AI1887"/>
          <cell r="AJ1887"/>
          <cell r="AK1887"/>
          <cell r="AL1887"/>
        </row>
        <row r="1888">
          <cell r="E1888" t="str">
            <v>50Hz SR300 Kvar 6%</v>
          </cell>
          <cell r="F1888" t="str">
            <v>台</v>
          </cell>
          <cell r="G1888"/>
          <cell r="H1888">
            <v>797000</v>
          </cell>
          <cell r="I1888"/>
          <cell r="J1888">
            <v>797000</v>
          </cell>
          <cell r="K1888"/>
          <cell r="L1888">
            <v>797000</v>
          </cell>
          <cell r="M1888"/>
          <cell r="N1888">
            <v>797000</v>
          </cell>
          <cell r="O1888"/>
          <cell r="P1888">
            <v>797000</v>
          </cell>
          <cell r="Q1888"/>
          <cell r="R1888">
            <v>797000</v>
          </cell>
          <cell r="S1888"/>
          <cell r="T1888">
            <v>797000</v>
          </cell>
          <cell r="U1888"/>
          <cell r="V1888">
            <v>797000</v>
          </cell>
          <cell r="W1888"/>
          <cell r="X1888">
            <v>797000</v>
          </cell>
          <cell r="Y1888"/>
          <cell r="Z1888">
            <v>797000</v>
          </cell>
          <cell r="AA1888"/>
          <cell r="AB1888"/>
          <cell r="AC1888"/>
          <cell r="AD1888">
            <v>2.835</v>
          </cell>
          <cell r="AE1888"/>
          <cell r="AF1888"/>
          <cell r="AG1888"/>
          <cell r="AH1888"/>
          <cell r="AI1888"/>
          <cell r="AJ1888"/>
          <cell r="AK1888"/>
          <cell r="AL1888"/>
        </row>
        <row r="1889">
          <cell r="E1889" t="str">
            <v>50Hz SR400 Kvar 6%</v>
          </cell>
          <cell r="F1889" t="str">
            <v>台</v>
          </cell>
          <cell r="G1889"/>
          <cell r="H1889">
            <v>994000</v>
          </cell>
          <cell r="I1889"/>
          <cell r="J1889">
            <v>994000</v>
          </cell>
          <cell r="K1889"/>
          <cell r="L1889">
            <v>994000</v>
          </cell>
          <cell r="M1889"/>
          <cell r="N1889">
            <v>994000</v>
          </cell>
          <cell r="O1889"/>
          <cell r="P1889">
            <v>994000</v>
          </cell>
          <cell r="Q1889"/>
          <cell r="R1889">
            <v>994000</v>
          </cell>
          <cell r="S1889"/>
          <cell r="T1889">
            <v>994000</v>
          </cell>
          <cell r="U1889"/>
          <cell r="V1889">
            <v>994000</v>
          </cell>
          <cell r="W1889"/>
          <cell r="X1889">
            <v>994000</v>
          </cell>
          <cell r="Y1889"/>
          <cell r="Z1889">
            <v>994000</v>
          </cell>
          <cell r="AA1889"/>
          <cell r="AB1889"/>
          <cell r="AC1889"/>
          <cell r="AD1889">
            <v>2.9550000000000001</v>
          </cell>
          <cell r="AE1889"/>
          <cell r="AF1889"/>
          <cell r="AG1889"/>
          <cell r="AH1889"/>
          <cell r="AI1889"/>
          <cell r="AJ1889"/>
          <cell r="AK1889"/>
          <cell r="AL1889"/>
        </row>
        <row r="1890">
          <cell r="E1890" t="str">
            <v>50Hz SR500 Kvar 6%</v>
          </cell>
          <cell r="F1890" t="str">
            <v>台</v>
          </cell>
          <cell r="G1890"/>
          <cell r="H1890">
            <v>1190000</v>
          </cell>
          <cell r="I1890"/>
          <cell r="J1890">
            <v>1190000</v>
          </cell>
          <cell r="K1890"/>
          <cell r="L1890">
            <v>1190000</v>
          </cell>
          <cell r="M1890"/>
          <cell r="N1890">
            <v>1190000</v>
          </cell>
          <cell r="O1890"/>
          <cell r="P1890">
            <v>1190000</v>
          </cell>
          <cell r="Q1890"/>
          <cell r="R1890">
            <v>1190000</v>
          </cell>
          <cell r="S1890"/>
          <cell r="T1890">
            <v>1190000</v>
          </cell>
          <cell r="U1890"/>
          <cell r="V1890">
            <v>1190000</v>
          </cell>
          <cell r="W1890"/>
          <cell r="X1890">
            <v>1190000</v>
          </cell>
          <cell r="Y1890"/>
          <cell r="Z1890">
            <v>1190000</v>
          </cell>
          <cell r="AA1890"/>
          <cell r="AB1890"/>
          <cell r="AC1890"/>
          <cell r="AD1890">
            <v>3.0750000000000002</v>
          </cell>
          <cell r="AE1890"/>
          <cell r="AF1890"/>
          <cell r="AG1890"/>
          <cell r="AH1890"/>
          <cell r="AI1890"/>
          <cell r="AJ1890"/>
          <cell r="AK1890"/>
          <cell r="AL1890"/>
        </row>
        <row r="1891">
          <cell r="E1891" t="str">
            <v>60Hz SR 12 Kvar 6%</v>
          </cell>
          <cell r="F1891" t="str">
            <v>台</v>
          </cell>
          <cell r="G1891"/>
          <cell r="H1891">
            <v>403000</v>
          </cell>
          <cell r="I1891"/>
          <cell r="J1891">
            <v>403000</v>
          </cell>
          <cell r="K1891"/>
          <cell r="L1891">
            <v>403000</v>
          </cell>
          <cell r="M1891"/>
          <cell r="N1891">
            <v>403000</v>
          </cell>
          <cell r="O1891"/>
          <cell r="P1891">
            <v>403000</v>
          </cell>
          <cell r="Q1891"/>
          <cell r="R1891">
            <v>403000</v>
          </cell>
          <cell r="S1891"/>
          <cell r="T1891">
            <v>403000</v>
          </cell>
          <cell r="U1891"/>
          <cell r="V1891">
            <v>403000</v>
          </cell>
          <cell r="W1891"/>
          <cell r="X1891">
            <v>403000</v>
          </cell>
          <cell r="Y1891"/>
          <cell r="Z1891">
            <v>403000</v>
          </cell>
          <cell r="AA1891"/>
          <cell r="AB1891"/>
          <cell r="AC1891"/>
          <cell r="AD1891">
            <v>0.60799999999999998</v>
          </cell>
          <cell r="AE1891"/>
          <cell r="AF1891"/>
          <cell r="AG1891"/>
          <cell r="AH1891"/>
          <cell r="AI1891"/>
          <cell r="AJ1891"/>
          <cell r="AK1891"/>
          <cell r="AL1891"/>
        </row>
        <row r="1892">
          <cell r="E1892" t="str">
            <v>60Hz SR 18 Kvar 6%</v>
          </cell>
          <cell r="F1892" t="str">
            <v>台</v>
          </cell>
          <cell r="G1892"/>
          <cell r="H1892">
            <v>403000</v>
          </cell>
          <cell r="I1892"/>
          <cell r="J1892">
            <v>403000</v>
          </cell>
          <cell r="K1892"/>
          <cell r="L1892">
            <v>403000</v>
          </cell>
          <cell r="M1892"/>
          <cell r="N1892">
            <v>403000</v>
          </cell>
          <cell r="O1892"/>
          <cell r="P1892">
            <v>403000</v>
          </cell>
          <cell r="Q1892"/>
          <cell r="R1892">
            <v>403000</v>
          </cell>
          <cell r="S1892"/>
          <cell r="T1892">
            <v>403000</v>
          </cell>
          <cell r="U1892"/>
          <cell r="V1892">
            <v>403000</v>
          </cell>
          <cell r="W1892"/>
          <cell r="X1892">
            <v>403000</v>
          </cell>
          <cell r="Y1892"/>
          <cell r="Z1892">
            <v>403000</v>
          </cell>
          <cell r="AA1892"/>
          <cell r="AB1892"/>
          <cell r="AC1892"/>
          <cell r="AD1892">
            <v>0.65900000000000003</v>
          </cell>
          <cell r="AE1892"/>
          <cell r="AF1892"/>
          <cell r="AG1892"/>
          <cell r="AH1892"/>
          <cell r="AI1892"/>
          <cell r="AJ1892"/>
          <cell r="AK1892"/>
          <cell r="AL1892"/>
        </row>
        <row r="1893">
          <cell r="E1893" t="str">
            <v>60Hz SR 24 Kvar 6%</v>
          </cell>
          <cell r="F1893" t="str">
            <v>台</v>
          </cell>
          <cell r="G1893"/>
          <cell r="H1893">
            <v>403000</v>
          </cell>
          <cell r="I1893"/>
          <cell r="J1893">
            <v>403000</v>
          </cell>
          <cell r="K1893"/>
          <cell r="L1893">
            <v>403000</v>
          </cell>
          <cell r="M1893"/>
          <cell r="N1893">
            <v>403000</v>
          </cell>
          <cell r="O1893"/>
          <cell r="P1893">
            <v>403000</v>
          </cell>
          <cell r="Q1893"/>
          <cell r="R1893">
            <v>403000</v>
          </cell>
          <cell r="S1893"/>
          <cell r="T1893">
            <v>403000</v>
          </cell>
          <cell r="U1893"/>
          <cell r="V1893">
            <v>403000</v>
          </cell>
          <cell r="W1893"/>
          <cell r="X1893">
            <v>403000</v>
          </cell>
          <cell r="Y1893"/>
          <cell r="Z1893">
            <v>403000</v>
          </cell>
          <cell r="AA1893"/>
          <cell r="AB1893"/>
          <cell r="AC1893"/>
          <cell r="AD1893">
            <v>0.79600000000000004</v>
          </cell>
          <cell r="AE1893"/>
          <cell r="AF1893"/>
          <cell r="AG1893"/>
          <cell r="AH1893"/>
          <cell r="AI1893"/>
          <cell r="AJ1893"/>
          <cell r="AK1893"/>
          <cell r="AL1893"/>
        </row>
        <row r="1894">
          <cell r="E1894" t="str">
            <v>60Hz SR 30 Kvar 6%</v>
          </cell>
          <cell r="F1894" t="str">
            <v>台</v>
          </cell>
          <cell r="G1894"/>
          <cell r="H1894">
            <v>403000</v>
          </cell>
          <cell r="I1894"/>
          <cell r="J1894">
            <v>403000</v>
          </cell>
          <cell r="K1894"/>
          <cell r="L1894">
            <v>403000</v>
          </cell>
          <cell r="M1894"/>
          <cell r="N1894">
            <v>403000</v>
          </cell>
          <cell r="O1894"/>
          <cell r="P1894">
            <v>403000</v>
          </cell>
          <cell r="Q1894"/>
          <cell r="R1894">
            <v>403000</v>
          </cell>
          <cell r="S1894"/>
          <cell r="T1894">
            <v>403000</v>
          </cell>
          <cell r="U1894"/>
          <cell r="V1894">
            <v>403000</v>
          </cell>
          <cell r="W1894"/>
          <cell r="X1894">
            <v>403000</v>
          </cell>
          <cell r="Y1894"/>
          <cell r="Z1894">
            <v>403000</v>
          </cell>
          <cell r="AA1894"/>
          <cell r="AB1894"/>
          <cell r="AC1894"/>
          <cell r="AD1894">
            <v>0.96099999999999997</v>
          </cell>
          <cell r="AE1894"/>
          <cell r="AF1894"/>
          <cell r="AG1894"/>
          <cell r="AH1894"/>
          <cell r="AI1894"/>
          <cell r="AJ1894"/>
          <cell r="AK1894"/>
          <cell r="AL1894"/>
        </row>
        <row r="1895">
          <cell r="E1895" t="str">
            <v>60Hz SR 36 Kvar 6%</v>
          </cell>
          <cell r="F1895" t="str">
            <v>台</v>
          </cell>
          <cell r="G1895"/>
          <cell r="H1895">
            <v>440000</v>
          </cell>
          <cell r="I1895"/>
          <cell r="J1895">
            <v>440000</v>
          </cell>
          <cell r="K1895"/>
          <cell r="L1895">
            <v>440000</v>
          </cell>
          <cell r="M1895"/>
          <cell r="N1895">
            <v>440000</v>
          </cell>
          <cell r="O1895"/>
          <cell r="P1895">
            <v>440000</v>
          </cell>
          <cell r="Q1895"/>
          <cell r="R1895">
            <v>440000</v>
          </cell>
          <cell r="S1895"/>
          <cell r="T1895">
            <v>440000</v>
          </cell>
          <cell r="U1895"/>
          <cell r="V1895">
            <v>440000</v>
          </cell>
          <cell r="W1895"/>
          <cell r="X1895">
            <v>440000</v>
          </cell>
          <cell r="Y1895"/>
          <cell r="Z1895">
            <v>440000</v>
          </cell>
          <cell r="AA1895"/>
          <cell r="AB1895"/>
          <cell r="AC1895"/>
          <cell r="AD1895">
            <v>1.1599999999999999</v>
          </cell>
          <cell r="AE1895"/>
          <cell r="AF1895"/>
          <cell r="AG1895"/>
          <cell r="AH1895"/>
          <cell r="AI1895"/>
          <cell r="AJ1895"/>
          <cell r="AK1895"/>
          <cell r="AL1895"/>
        </row>
        <row r="1896">
          <cell r="E1896" t="str">
            <v>60Hz SR 50 Kvar 6%</v>
          </cell>
          <cell r="F1896" t="str">
            <v>台</v>
          </cell>
          <cell r="G1896"/>
          <cell r="H1896">
            <v>473000</v>
          </cell>
          <cell r="I1896"/>
          <cell r="J1896">
            <v>473000</v>
          </cell>
          <cell r="K1896"/>
          <cell r="L1896">
            <v>473000</v>
          </cell>
          <cell r="M1896"/>
          <cell r="N1896">
            <v>473000</v>
          </cell>
          <cell r="O1896"/>
          <cell r="P1896">
            <v>473000</v>
          </cell>
          <cell r="Q1896"/>
          <cell r="R1896">
            <v>473000</v>
          </cell>
          <cell r="S1896"/>
          <cell r="T1896">
            <v>473000</v>
          </cell>
          <cell r="U1896"/>
          <cell r="V1896">
            <v>473000</v>
          </cell>
          <cell r="W1896"/>
          <cell r="X1896">
            <v>473000</v>
          </cell>
          <cell r="Y1896"/>
          <cell r="Z1896">
            <v>473000</v>
          </cell>
          <cell r="AA1896"/>
          <cell r="AB1896"/>
          <cell r="AC1896"/>
          <cell r="AD1896">
            <v>1.258</v>
          </cell>
          <cell r="AE1896"/>
          <cell r="AF1896"/>
          <cell r="AG1896"/>
          <cell r="AH1896"/>
          <cell r="AI1896"/>
          <cell r="AJ1896"/>
          <cell r="AK1896"/>
          <cell r="AL1896"/>
        </row>
        <row r="1897">
          <cell r="E1897" t="str">
            <v>60Hz SR 75 Kvar 6%</v>
          </cell>
          <cell r="F1897" t="str">
            <v>台</v>
          </cell>
          <cell r="G1897"/>
          <cell r="H1897">
            <v>503000</v>
          </cell>
          <cell r="I1897"/>
          <cell r="J1897">
            <v>503000</v>
          </cell>
          <cell r="K1897"/>
          <cell r="L1897">
            <v>503000</v>
          </cell>
          <cell r="M1897"/>
          <cell r="N1897">
            <v>503000</v>
          </cell>
          <cell r="O1897"/>
          <cell r="P1897">
            <v>503000</v>
          </cell>
          <cell r="Q1897"/>
          <cell r="R1897">
            <v>503000</v>
          </cell>
          <cell r="S1897"/>
          <cell r="T1897">
            <v>503000</v>
          </cell>
          <cell r="U1897"/>
          <cell r="V1897">
            <v>503000</v>
          </cell>
          <cell r="W1897"/>
          <cell r="X1897">
            <v>503000</v>
          </cell>
          <cell r="Y1897"/>
          <cell r="Z1897">
            <v>503000</v>
          </cell>
          <cell r="AA1897"/>
          <cell r="AB1897"/>
          <cell r="AC1897"/>
          <cell r="AD1897">
            <v>1.3640000000000001</v>
          </cell>
          <cell r="AE1897"/>
          <cell r="AF1897"/>
          <cell r="AG1897"/>
          <cell r="AH1897"/>
          <cell r="AI1897"/>
          <cell r="AJ1897"/>
          <cell r="AK1897"/>
          <cell r="AL1897"/>
        </row>
        <row r="1898">
          <cell r="E1898" t="str">
            <v>60Hz SR100 Kvar 6%</v>
          </cell>
          <cell r="F1898" t="str">
            <v>台</v>
          </cell>
          <cell r="G1898"/>
          <cell r="H1898">
            <v>532000</v>
          </cell>
          <cell r="I1898"/>
          <cell r="J1898">
            <v>532000</v>
          </cell>
          <cell r="K1898"/>
          <cell r="L1898">
            <v>532000</v>
          </cell>
          <cell r="M1898"/>
          <cell r="N1898">
            <v>532000</v>
          </cell>
          <cell r="O1898"/>
          <cell r="P1898">
            <v>532000</v>
          </cell>
          <cell r="Q1898"/>
          <cell r="R1898">
            <v>532000</v>
          </cell>
          <cell r="S1898"/>
          <cell r="T1898">
            <v>532000</v>
          </cell>
          <cell r="U1898"/>
          <cell r="V1898">
            <v>532000</v>
          </cell>
          <cell r="W1898"/>
          <cell r="X1898">
            <v>532000</v>
          </cell>
          <cell r="Y1898"/>
          <cell r="Z1898">
            <v>532000</v>
          </cell>
          <cell r="AA1898"/>
          <cell r="AB1898"/>
          <cell r="AC1898"/>
          <cell r="AD1898">
            <v>1.6459999999999999</v>
          </cell>
          <cell r="AE1898"/>
          <cell r="AF1898"/>
          <cell r="AG1898"/>
          <cell r="AH1898"/>
          <cell r="AI1898"/>
          <cell r="AJ1898"/>
          <cell r="AK1898"/>
          <cell r="AL1898"/>
        </row>
        <row r="1899">
          <cell r="E1899" t="str">
            <v>60Hz SR150 Kvar 6%</v>
          </cell>
          <cell r="F1899" t="str">
            <v>台</v>
          </cell>
          <cell r="G1899"/>
          <cell r="H1899">
            <v>591000</v>
          </cell>
          <cell r="I1899"/>
          <cell r="J1899">
            <v>591000</v>
          </cell>
          <cell r="K1899"/>
          <cell r="L1899">
            <v>591000</v>
          </cell>
          <cell r="M1899"/>
          <cell r="N1899">
            <v>591000</v>
          </cell>
          <cell r="O1899"/>
          <cell r="P1899">
            <v>591000</v>
          </cell>
          <cell r="Q1899"/>
          <cell r="R1899">
            <v>591000</v>
          </cell>
          <cell r="S1899"/>
          <cell r="T1899">
            <v>591000</v>
          </cell>
          <cell r="U1899"/>
          <cell r="V1899">
            <v>591000</v>
          </cell>
          <cell r="W1899"/>
          <cell r="X1899">
            <v>591000</v>
          </cell>
          <cell r="Y1899"/>
          <cell r="Z1899">
            <v>591000</v>
          </cell>
          <cell r="AA1899"/>
          <cell r="AB1899"/>
          <cell r="AC1899"/>
          <cell r="AD1899">
            <v>1.8220000000000001</v>
          </cell>
          <cell r="AE1899"/>
          <cell r="AF1899"/>
          <cell r="AG1899"/>
          <cell r="AH1899"/>
          <cell r="AI1899"/>
          <cell r="AJ1899"/>
          <cell r="AK1899"/>
          <cell r="AL1899"/>
        </row>
        <row r="1900">
          <cell r="E1900" t="str">
            <v>60Hz SR200 Kvar 6%</v>
          </cell>
          <cell r="F1900" t="str">
            <v>台</v>
          </cell>
          <cell r="G1900"/>
          <cell r="H1900">
            <v>645000</v>
          </cell>
          <cell r="I1900"/>
          <cell r="J1900">
            <v>645000</v>
          </cell>
          <cell r="K1900"/>
          <cell r="L1900">
            <v>645000</v>
          </cell>
          <cell r="M1900"/>
          <cell r="N1900">
            <v>645000</v>
          </cell>
          <cell r="O1900"/>
          <cell r="P1900">
            <v>645000</v>
          </cell>
          <cell r="Q1900"/>
          <cell r="R1900">
            <v>645000</v>
          </cell>
          <cell r="S1900"/>
          <cell r="T1900">
            <v>645000</v>
          </cell>
          <cell r="U1900"/>
          <cell r="V1900">
            <v>645000</v>
          </cell>
          <cell r="W1900"/>
          <cell r="X1900">
            <v>645000</v>
          </cell>
          <cell r="Y1900"/>
          <cell r="Z1900">
            <v>645000</v>
          </cell>
          <cell r="AA1900"/>
          <cell r="AB1900"/>
          <cell r="AC1900"/>
          <cell r="AD1900">
            <v>1.946</v>
          </cell>
          <cell r="AE1900"/>
          <cell r="AF1900"/>
          <cell r="AG1900"/>
          <cell r="AH1900"/>
          <cell r="AI1900"/>
          <cell r="AJ1900"/>
          <cell r="AK1900"/>
          <cell r="AL1900"/>
        </row>
        <row r="1901">
          <cell r="E1901" t="str">
            <v>60Hz SR250 Kvar 6%</v>
          </cell>
          <cell r="F1901" t="str">
            <v>台</v>
          </cell>
          <cell r="G1901"/>
          <cell r="H1901">
            <v>726000</v>
          </cell>
          <cell r="I1901"/>
          <cell r="J1901">
            <v>726000</v>
          </cell>
          <cell r="K1901"/>
          <cell r="L1901">
            <v>726000</v>
          </cell>
          <cell r="M1901"/>
          <cell r="N1901">
            <v>726000</v>
          </cell>
          <cell r="O1901"/>
          <cell r="P1901">
            <v>726000</v>
          </cell>
          <cell r="Q1901"/>
          <cell r="R1901">
            <v>726000</v>
          </cell>
          <cell r="S1901"/>
          <cell r="T1901">
            <v>726000</v>
          </cell>
          <cell r="U1901"/>
          <cell r="V1901">
            <v>726000</v>
          </cell>
          <cell r="W1901"/>
          <cell r="X1901">
            <v>726000</v>
          </cell>
          <cell r="Y1901"/>
          <cell r="Z1901">
            <v>726000</v>
          </cell>
          <cell r="AA1901"/>
          <cell r="AB1901"/>
          <cell r="AC1901"/>
          <cell r="AD1901">
            <v>2.3490000000000002</v>
          </cell>
          <cell r="AE1901"/>
          <cell r="AF1901"/>
          <cell r="AG1901"/>
          <cell r="AH1901"/>
          <cell r="AI1901"/>
          <cell r="AJ1901"/>
          <cell r="AK1901"/>
          <cell r="AL1901"/>
        </row>
        <row r="1902">
          <cell r="E1902" t="str">
            <v>60Hz SR300 Kvar 6%</v>
          </cell>
          <cell r="F1902" t="str">
            <v>台</v>
          </cell>
          <cell r="G1902"/>
          <cell r="H1902">
            <v>781000</v>
          </cell>
          <cell r="I1902"/>
          <cell r="J1902">
            <v>781000</v>
          </cell>
          <cell r="K1902"/>
          <cell r="L1902">
            <v>781000</v>
          </cell>
          <cell r="M1902"/>
          <cell r="N1902">
            <v>781000</v>
          </cell>
          <cell r="O1902"/>
          <cell r="P1902">
            <v>781000</v>
          </cell>
          <cell r="Q1902"/>
          <cell r="R1902">
            <v>781000</v>
          </cell>
          <cell r="S1902"/>
          <cell r="T1902">
            <v>781000</v>
          </cell>
          <cell r="U1902"/>
          <cell r="V1902">
            <v>781000</v>
          </cell>
          <cell r="W1902"/>
          <cell r="X1902">
            <v>781000</v>
          </cell>
          <cell r="Y1902"/>
          <cell r="Z1902">
            <v>781000</v>
          </cell>
          <cell r="AA1902"/>
          <cell r="AB1902"/>
          <cell r="AC1902"/>
          <cell r="AD1902">
            <v>2.835</v>
          </cell>
          <cell r="AE1902"/>
          <cell r="AF1902"/>
          <cell r="AG1902"/>
          <cell r="AH1902"/>
          <cell r="AI1902"/>
          <cell r="AJ1902"/>
          <cell r="AK1902"/>
          <cell r="AL1902"/>
        </row>
        <row r="1903">
          <cell r="E1903" t="str">
            <v>60Hz SR400 Kvar 6%</v>
          </cell>
          <cell r="F1903" t="str">
            <v>台</v>
          </cell>
          <cell r="G1903"/>
          <cell r="H1903">
            <v>976000</v>
          </cell>
          <cell r="I1903"/>
          <cell r="J1903">
            <v>976000</v>
          </cell>
          <cell r="K1903"/>
          <cell r="L1903">
            <v>976000</v>
          </cell>
          <cell r="M1903"/>
          <cell r="N1903">
            <v>976000</v>
          </cell>
          <cell r="O1903"/>
          <cell r="P1903">
            <v>976000</v>
          </cell>
          <cell r="Q1903"/>
          <cell r="R1903">
            <v>976000</v>
          </cell>
          <cell r="S1903"/>
          <cell r="T1903">
            <v>976000</v>
          </cell>
          <cell r="U1903"/>
          <cell r="V1903">
            <v>976000</v>
          </cell>
          <cell r="W1903"/>
          <cell r="X1903">
            <v>976000</v>
          </cell>
          <cell r="Y1903"/>
          <cell r="Z1903">
            <v>976000</v>
          </cell>
          <cell r="AA1903"/>
          <cell r="AB1903"/>
          <cell r="AC1903"/>
          <cell r="AD1903">
            <v>2.9550000000000001</v>
          </cell>
          <cell r="AE1903"/>
          <cell r="AF1903"/>
          <cell r="AG1903"/>
          <cell r="AH1903"/>
          <cell r="AI1903"/>
          <cell r="AJ1903"/>
          <cell r="AK1903"/>
          <cell r="AL1903"/>
        </row>
        <row r="1904">
          <cell r="E1904" t="str">
            <v>60Hz SR500 Kvar 6%</v>
          </cell>
          <cell r="F1904" t="str">
            <v>台</v>
          </cell>
          <cell r="G1904"/>
          <cell r="H1904">
            <v>1170000</v>
          </cell>
          <cell r="I1904"/>
          <cell r="J1904">
            <v>526000</v>
          </cell>
          <cell r="K1904"/>
          <cell r="L1904">
            <v>526000</v>
          </cell>
          <cell r="M1904"/>
          <cell r="N1904">
            <v>1170000</v>
          </cell>
          <cell r="O1904"/>
          <cell r="P1904">
            <v>1170000</v>
          </cell>
          <cell r="Q1904"/>
          <cell r="R1904">
            <v>1170000</v>
          </cell>
          <cell r="S1904"/>
          <cell r="T1904">
            <v>1170000</v>
          </cell>
          <cell r="U1904"/>
          <cell r="V1904">
            <v>1170000</v>
          </cell>
          <cell r="W1904"/>
          <cell r="X1904">
            <v>1170000</v>
          </cell>
          <cell r="Y1904"/>
          <cell r="Z1904">
            <v>1170000</v>
          </cell>
          <cell r="AA1904"/>
          <cell r="AB1904"/>
          <cell r="AC1904"/>
          <cell r="AD1904">
            <v>3.0750000000000002</v>
          </cell>
          <cell r="AE1904"/>
          <cell r="AF1904"/>
          <cell r="AG1904"/>
          <cell r="AH1904"/>
          <cell r="AI1904"/>
          <cell r="AJ1904"/>
          <cell r="AK1904"/>
          <cell r="AL1904"/>
        </row>
        <row r="1905">
          <cell r="E1905" t="str">
            <v>50Hz SR 10 Kvar 13%</v>
          </cell>
          <cell r="F1905" t="str">
            <v>台</v>
          </cell>
          <cell r="G1905"/>
          <cell r="H1905">
            <v>526000</v>
          </cell>
          <cell r="I1905"/>
          <cell r="J1905">
            <v>526000</v>
          </cell>
          <cell r="K1905"/>
          <cell r="L1905">
            <v>526000</v>
          </cell>
          <cell r="M1905"/>
          <cell r="N1905">
            <v>526000</v>
          </cell>
          <cell r="O1905"/>
          <cell r="P1905">
            <v>526000</v>
          </cell>
          <cell r="Q1905"/>
          <cell r="R1905">
            <v>526000</v>
          </cell>
          <cell r="S1905"/>
          <cell r="T1905">
            <v>526000</v>
          </cell>
          <cell r="U1905"/>
          <cell r="V1905">
            <v>526000</v>
          </cell>
          <cell r="W1905"/>
          <cell r="X1905">
            <v>526000</v>
          </cell>
          <cell r="Y1905"/>
          <cell r="Z1905">
            <v>526000</v>
          </cell>
          <cell r="AA1905"/>
          <cell r="AB1905"/>
          <cell r="AC1905"/>
          <cell r="AD1905">
            <v>0.77900000000000003</v>
          </cell>
          <cell r="AE1905"/>
          <cell r="AF1905"/>
          <cell r="AG1905"/>
          <cell r="AH1905"/>
          <cell r="AI1905"/>
          <cell r="AJ1905"/>
          <cell r="AK1905"/>
          <cell r="AL1905"/>
        </row>
        <row r="1906">
          <cell r="E1906" t="str">
            <v>50Hz SR 15 Kvar 13%</v>
          </cell>
          <cell r="F1906" t="str">
            <v>台</v>
          </cell>
          <cell r="G1906"/>
          <cell r="H1906">
            <v>526000</v>
          </cell>
          <cell r="I1906"/>
          <cell r="J1906">
            <v>574000</v>
          </cell>
          <cell r="K1906"/>
          <cell r="L1906">
            <v>574000</v>
          </cell>
          <cell r="M1906"/>
          <cell r="N1906">
            <v>526000</v>
          </cell>
          <cell r="O1906"/>
          <cell r="P1906">
            <v>526000</v>
          </cell>
          <cell r="Q1906"/>
          <cell r="R1906">
            <v>526000</v>
          </cell>
          <cell r="S1906"/>
          <cell r="T1906">
            <v>526000</v>
          </cell>
          <cell r="U1906"/>
          <cell r="V1906">
            <v>526000</v>
          </cell>
          <cell r="W1906"/>
          <cell r="X1906">
            <v>526000</v>
          </cell>
          <cell r="Y1906"/>
          <cell r="Z1906">
            <v>526000</v>
          </cell>
          <cell r="AA1906"/>
          <cell r="AB1906"/>
          <cell r="AC1906"/>
          <cell r="AD1906">
            <v>0.84399999999999997</v>
          </cell>
          <cell r="AE1906"/>
          <cell r="AF1906"/>
          <cell r="AG1906"/>
          <cell r="AH1906"/>
          <cell r="AI1906"/>
          <cell r="AJ1906"/>
          <cell r="AK1906"/>
          <cell r="AL1906"/>
        </row>
        <row r="1907">
          <cell r="E1907" t="str">
            <v>50Hz SR 20 Kvar 13%</v>
          </cell>
          <cell r="F1907" t="str">
            <v>台</v>
          </cell>
          <cell r="G1907"/>
          <cell r="H1907">
            <v>526000</v>
          </cell>
          <cell r="I1907"/>
          <cell r="J1907">
            <v>617000</v>
          </cell>
          <cell r="K1907"/>
          <cell r="L1907">
            <v>617000</v>
          </cell>
          <cell r="M1907"/>
          <cell r="N1907">
            <v>526000</v>
          </cell>
          <cell r="O1907"/>
          <cell r="P1907">
            <v>526000</v>
          </cell>
          <cell r="Q1907"/>
          <cell r="R1907">
            <v>526000</v>
          </cell>
          <cell r="S1907"/>
          <cell r="T1907">
            <v>526000</v>
          </cell>
          <cell r="U1907"/>
          <cell r="V1907">
            <v>526000</v>
          </cell>
          <cell r="W1907"/>
          <cell r="X1907">
            <v>526000</v>
          </cell>
          <cell r="Y1907"/>
          <cell r="Z1907">
            <v>526000</v>
          </cell>
          <cell r="AA1907"/>
          <cell r="AB1907"/>
          <cell r="AC1907"/>
          <cell r="AD1907">
            <v>1.0189999999999999</v>
          </cell>
          <cell r="AE1907"/>
          <cell r="AF1907"/>
          <cell r="AG1907"/>
          <cell r="AH1907"/>
          <cell r="AI1907"/>
          <cell r="AJ1907"/>
          <cell r="AK1907"/>
          <cell r="AL1907"/>
        </row>
        <row r="1908">
          <cell r="E1908" t="str">
            <v>50Hz SR 25 Kvar 13%</v>
          </cell>
          <cell r="F1908" t="str">
            <v>台</v>
          </cell>
          <cell r="G1908"/>
          <cell r="H1908">
            <v>526000</v>
          </cell>
          <cell r="I1908"/>
          <cell r="J1908">
            <v>665000</v>
          </cell>
          <cell r="K1908"/>
          <cell r="L1908">
            <v>665000</v>
          </cell>
          <cell r="M1908"/>
          <cell r="N1908">
            <v>526000</v>
          </cell>
          <cell r="O1908"/>
          <cell r="P1908">
            <v>526000</v>
          </cell>
          <cell r="Q1908"/>
          <cell r="R1908">
            <v>526000</v>
          </cell>
          <cell r="S1908"/>
          <cell r="T1908">
            <v>526000</v>
          </cell>
          <cell r="U1908"/>
          <cell r="V1908">
            <v>526000</v>
          </cell>
          <cell r="W1908"/>
          <cell r="X1908">
            <v>526000</v>
          </cell>
          <cell r="Y1908"/>
          <cell r="Z1908">
            <v>526000</v>
          </cell>
          <cell r="AA1908"/>
          <cell r="AB1908"/>
          <cell r="AC1908"/>
          <cell r="AD1908">
            <v>1.23</v>
          </cell>
          <cell r="AE1908"/>
          <cell r="AF1908"/>
          <cell r="AG1908"/>
          <cell r="AH1908"/>
          <cell r="AI1908"/>
          <cell r="AJ1908"/>
          <cell r="AK1908"/>
          <cell r="AL1908"/>
        </row>
        <row r="1909">
          <cell r="E1909" t="str">
            <v>50Hz SR 30 Kvar 13%</v>
          </cell>
          <cell r="F1909" t="str">
            <v>台</v>
          </cell>
          <cell r="G1909"/>
          <cell r="H1909">
            <v>574000</v>
          </cell>
          <cell r="I1909"/>
          <cell r="J1909">
            <v>694000</v>
          </cell>
          <cell r="K1909"/>
          <cell r="L1909">
            <v>694000</v>
          </cell>
          <cell r="M1909"/>
          <cell r="N1909">
            <v>574000</v>
          </cell>
          <cell r="O1909"/>
          <cell r="P1909">
            <v>574000</v>
          </cell>
          <cell r="Q1909"/>
          <cell r="R1909">
            <v>574000</v>
          </cell>
          <cell r="S1909"/>
          <cell r="T1909">
            <v>574000</v>
          </cell>
          <cell r="U1909"/>
          <cell r="V1909">
            <v>574000</v>
          </cell>
          <cell r="W1909"/>
          <cell r="X1909">
            <v>574000</v>
          </cell>
          <cell r="Y1909"/>
          <cell r="Z1909">
            <v>574000</v>
          </cell>
          <cell r="AA1909"/>
          <cell r="AB1909"/>
          <cell r="AC1909"/>
          <cell r="AD1909">
            <v>1.4850000000000001</v>
          </cell>
          <cell r="AE1909"/>
          <cell r="AF1909"/>
          <cell r="AG1909"/>
          <cell r="AH1909"/>
          <cell r="AI1909"/>
          <cell r="AJ1909"/>
          <cell r="AK1909"/>
          <cell r="AL1909"/>
        </row>
        <row r="1910">
          <cell r="E1910" t="str">
            <v>50Hz SR 50 Kvar 13%</v>
          </cell>
          <cell r="F1910" t="str">
            <v>台</v>
          </cell>
          <cell r="G1910"/>
          <cell r="H1910">
            <v>617000</v>
          </cell>
          <cell r="I1910"/>
          <cell r="J1910">
            <v>771000</v>
          </cell>
          <cell r="K1910"/>
          <cell r="L1910">
            <v>771000</v>
          </cell>
          <cell r="M1910"/>
          <cell r="N1910">
            <v>617000</v>
          </cell>
          <cell r="O1910"/>
          <cell r="P1910">
            <v>617000</v>
          </cell>
          <cell r="Q1910"/>
          <cell r="R1910">
            <v>617000</v>
          </cell>
          <cell r="S1910"/>
          <cell r="T1910">
            <v>617000</v>
          </cell>
          <cell r="U1910"/>
          <cell r="V1910">
            <v>617000</v>
          </cell>
          <cell r="W1910"/>
          <cell r="X1910">
            <v>617000</v>
          </cell>
          <cell r="Y1910"/>
          <cell r="Z1910">
            <v>617000</v>
          </cell>
          <cell r="AA1910"/>
          <cell r="AB1910"/>
          <cell r="AC1910"/>
          <cell r="AD1910">
            <v>1.611</v>
          </cell>
          <cell r="AE1910"/>
          <cell r="AF1910"/>
          <cell r="AG1910"/>
          <cell r="AH1910"/>
          <cell r="AI1910"/>
          <cell r="AJ1910"/>
          <cell r="AK1910"/>
          <cell r="AL1910"/>
        </row>
        <row r="1911">
          <cell r="E1911" t="str">
            <v>50Hz SR 75 Kvar 13%</v>
          </cell>
          <cell r="F1911" t="str">
            <v>台</v>
          </cell>
          <cell r="G1911"/>
          <cell r="H1911">
            <v>665000</v>
          </cell>
          <cell r="I1911"/>
          <cell r="J1911">
            <v>842000</v>
          </cell>
          <cell r="K1911"/>
          <cell r="L1911">
            <v>842000</v>
          </cell>
          <cell r="M1911"/>
          <cell r="N1911">
            <v>665000</v>
          </cell>
          <cell r="O1911"/>
          <cell r="P1911">
            <v>665000</v>
          </cell>
          <cell r="Q1911"/>
          <cell r="R1911">
            <v>665000</v>
          </cell>
          <cell r="S1911"/>
          <cell r="T1911">
            <v>665000</v>
          </cell>
          <cell r="U1911"/>
          <cell r="V1911">
            <v>665000</v>
          </cell>
          <cell r="W1911"/>
          <cell r="X1911">
            <v>665000</v>
          </cell>
          <cell r="Y1911"/>
          <cell r="Z1911">
            <v>665000</v>
          </cell>
          <cell r="AA1911"/>
          <cell r="AB1911"/>
          <cell r="AC1911"/>
          <cell r="AD1911">
            <v>1.7470000000000001</v>
          </cell>
          <cell r="AE1911"/>
          <cell r="AF1911"/>
          <cell r="AG1911"/>
          <cell r="AH1911"/>
          <cell r="AI1911"/>
          <cell r="AJ1911"/>
          <cell r="AK1911"/>
          <cell r="AL1911"/>
        </row>
        <row r="1912">
          <cell r="E1912" t="str">
            <v>50Hz SR100 Kvar 13%</v>
          </cell>
          <cell r="F1912" t="str">
            <v>台</v>
          </cell>
          <cell r="G1912"/>
          <cell r="H1912">
            <v>694000</v>
          </cell>
          <cell r="I1912"/>
          <cell r="J1912">
            <v>948000</v>
          </cell>
          <cell r="K1912"/>
          <cell r="L1912">
            <v>948000</v>
          </cell>
          <cell r="M1912"/>
          <cell r="N1912">
            <v>694000</v>
          </cell>
          <cell r="O1912"/>
          <cell r="P1912">
            <v>694000</v>
          </cell>
          <cell r="Q1912"/>
          <cell r="R1912">
            <v>694000</v>
          </cell>
          <cell r="S1912"/>
          <cell r="T1912">
            <v>694000</v>
          </cell>
          <cell r="U1912"/>
          <cell r="V1912">
            <v>694000</v>
          </cell>
          <cell r="W1912"/>
          <cell r="X1912">
            <v>694000</v>
          </cell>
          <cell r="Y1912"/>
          <cell r="Z1912">
            <v>694000</v>
          </cell>
          <cell r="AA1912"/>
          <cell r="AB1912"/>
          <cell r="AC1912"/>
          <cell r="AD1912">
            <v>2.1080000000000001</v>
          </cell>
          <cell r="AE1912"/>
          <cell r="AF1912"/>
          <cell r="AG1912"/>
          <cell r="AH1912"/>
          <cell r="AI1912"/>
          <cell r="AJ1912"/>
          <cell r="AK1912"/>
          <cell r="AL1912"/>
        </row>
        <row r="1913">
          <cell r="E1913" t="str">
            <v>50Hz SR150 Kvar 13%</v>
          </cell>
          <cell r="F1913" t="str">
            <v>台</v>
          </cell>
          <cell r="G1913"/>
          <cell r="H1913">
            <v>771000</v>
          </cell>
          <cell r="I1913"/>
          <cell r="J1913">
            <v>1010000</v>
          </cell>
          <cell r="K1913"/>
          <cell r="L1913">
            <v>1010000</v>
          </cell>
          <cell r="M1913"/>
          <cell r="N1913">
            <v>771000</v>
          </cell>
          <cell r="O1913"/>
          <cell r="P1913">
            <v>771000</v>
          </cell>
          <cell r="Q1913"/>
          <cell r="R1913">
            <v>771000</v>
          </cell>
          <cell r="S1913"/>
          <cell r="T1913">
            <v>771000</v>
          </cell>
          <cell r="U1913"/>
          <cell r="V1913">
            <v>771000</v>
          </cell>
          <cell r="W1913"/>
          <cell r="X1913">
            <v>771000</v>
          </cell>
          <cell r="Y1913"/>
          <cell r="Z1913">
            <v>771000</v>
          </cell>
          <cell r="AA1913"/>
          <cell r="AB1913"/>
          <cell r="AC1913"/>
          <cell r="AD1913">
            <v>2.3330000000000002</v>
          </cell>
          <cell r="AE1913"/>
          <cell r="AF1913"/>
          <cell r="AG1913"/>
          <cell r="AH1913"/>
          <cell r="AI1913"/>
          <cell r="AJ1913"/>
          <cell r="AK1913"/>
          <cell r="AL1913"/>
        </row>
        <row r="1914">
          <cell r="E1914" t="str">
            <v>50Hz SR200 Kvar 13%</v>
          </cell>
          <cell r="F1914" t="str">
            <v>台</v>
          </cell>
          <cell r="G1914"/>
          <cell r="H1914">
            <v>842000</v>
          </cell>
          <cell r="I1914"/>
          <cell r="J1914">
            <v>1530000</v>
          </cell>
          <cell r="K1914"/>
          <cell r="L1914">
            <v>1530000</v>
          </cell>
          <cell r="M1914"/>
          <cell r="N1914">
            <v>842000</v>
          </cell>
          <cell r="O1914"/>
          <cell r="P1914">
            <v>842000</v>
          </cell>
          <cell r="Q1914"/>
          <cell r="R1914">
            <v>842000</v>
          </cell>
          <cell r="S1914"/>
          <cell r="T1914">
            <v>842000</v>
          </cell>
          <cell r="U1914"/>
          <cell r="V1914">
            <v>842000</v>
          </cell>
          <cell r="W1914"/>
          <cell r="X1914">
            <v>842000</v>
          </cell>
          <cell r="Y1914"/>
          <cell r="Z1914">
            <v>842000</v>
          </cell>
          <cell r="AA1914"/>
          <cell r="AB1914"/>
          <cell r="AC1914"/>
          <cell r="AD1914">
            <v>2.492</v>
          </cell>
          <cell r="AE1914"/>
          <cell r="AF1914"/>
          <cell r="AG1914"/>
          <cell r="AH1914"/>
          <cell r="AI1914"/>
          <cell r="AJ1914"/>
          <cell r="AK1914"/>
          <cell r="AL1914"/>
        </row>
        <row r="1915">
          <cell r="E1915" t="str">
            <v>50Hz SR250 Kvar 13%</v>
          </cell>
          <cell r="F1915" t="str">
            <v>台</v>
          </cell>
          <cell r="G1915"/>
          <cell r="H1915">
            <v>948000</v>
          </cell>
          <cell r="I1915"/>
          <cell r="J1915">
            <v>948000</v>
          </cell>
          <cell r="K1915"/>
          <cell r="L1915">
            <v>948000</v>
          </cell>
          <cell r="M1915"/>
          <cell r="N1915">
            <v>948000</v>
          </cell>
          <cell r="O1915"/>
          <cell r="P1915">
            <v>948000</v>
          </cell>
          <cell r="Q1915"/>
          <cell r="R1915">
            <v>948000</v>
          </cell>
          <cell r="S1915"/>
          <cell r="T1915">
            <v>948000</v>
          </cell>
          <cell r="U1915"/>
          <cell r="V1915">
            <v>948000</v>
          </cell>
          <cell r="W1915"/>
          <cell r="X1915">
            <v>948000</v>
          </cell>
          <cell r="Y1915"/>
          <cell r="Z1915">
            <v>948000</v>
          </cell>
          <cell r="AA1915"/>
          <cell r="AB1915"/>
          <cell r="AC1915"/>
          <cell r="AD1915">
            <v>3.008</v>
          </cell>
          <cell r="AE1915"/>
          <cell r="AF1915"/>
          <cell r="AG1915"/>
          <cell r="AH1915"/>
          <cell r="AI1915"/>
          <cell r="AJ1915"/>
          <cell r="AK1915"/>
          <cell r="AL1915"/>
        </row>
        <row r="1916">
          <cell r="E1916" t="str">
            <v>50Hz SR300 Kvar 13%</v>
          </cell>
          <cell r="F1916" t="str">
            <v>台</v>
          </cell>
          <cell r="G1916"/>
          <cell r="H1916">
            <v>1010000</v>
          </cell>
          <cell r="I1916"/>
          <cell r="J1916">
            <v>1010000</v>
          </cell>
          <cell r="K1916"/>
          <cell r="L1916">
            <v>1010000</v>
          </cell>
          <cell r="M1916"/>
          <cell r="N1916">
            <v>1010000</v>
          </cell>
          <cell r="O1916"/>
          <cell r="P1916">
            <v>1010000</v>
          </cell>
          <cell r="Q1916"/>
          <cell r="R1916">
            <v>1010000</v>
          </cell>
          <cell r="S1916"/>
          <cell r="T1916">
            <v>1010000</v>
          </cell>
          <cell r="U1916"/>
          <cell r="V1916">
            <v>1010000</v>
          </cell>
          <cell r="W1916"/>
          <cell r="X1916">
            <v>1010000</v>
          </cell>
          <cell r="Y1916"/>
          <cell r="Z1916">
            <v>1010000</v>
          </cell>
          <cell r="AA1916"/>
          <cell r="AB1916"/>
          <cell r="AC1916"/>
          <cell r="AD1916">
            <v>3.63</v>
          </cell>
          <cell r="AE1916"/>
          <cell r="AF1916"/>
          <cell r="AG1916"/>
          <cell r="AH1916"/>
          <cell r="AI1916"/>
          <cell r="AJ1916"/>
          <cell r="AK1916"/>
          <cell r="AL1916"/>
        </row>
        <row r="1917">
          <cell r="E1917" t="str">
            <v>50Hz SR400 Kvar 13%</v>
          </cell>
          <cell r="F1917" t="str">
            <v>台</v>
          </cell>
          <cell r="G1917"/>
          <cell r="H1917">
            <v>1270000</v>
          </cell>
          <cell r="I1917"/>
          <cell r="J1917">
            <v>1270000</v>
          </cell>
          <cell r="K1917"/>
          <cell r="L1917">
            <v>1270000</v>
          </cell>
          <cell r="M1917"/>
          <cell r="N1917">
            <v>1270000</v>
          </cell>
          <cell r="O1917"/>
          <cell r="P1917">
            <v>1270000</v>
          </cell>
          <cell r="Q1917"/>
          <cell r="R1917">
            <v>1270000</v>
          </cell>
          <cell r="S1917"/>
          <cell r="T1917">
            <v>1270000</v>
          </cell>
          <cell r="U1917"/>
          <cell r="V1917">
            <v>1270000</v>
          </cell>
          <cell r="W1917"/>
          <cell r="X1917">
            <v>1270000</v>
          </cell>
          <cell r="Y1917"/>
          <cell r="Z1917">
            <v>1270000</v>
          </cell>
          <cell r="AA1917"/>
          <cell r="AB1917"/>
          <cell r="AC1917"/>
          <cell r="AD1917"/>
          <cell r="AE1917"/>
          <cell r="AF1917"/>
          <cell r="AG1917"/>
          <cell r="AH1917"/>
          <cell r="AI1917"/>
          <cell r="AJ1917"/>
          <cell r="AK1917"/>
          <cell r="AL1917"/>
        </row>
        <row r="1918">
          <cell r="E1918" t="str">
            <v>50Hz SR500 Kvar 13%</v>
          </cell>
          <cell r="F1918" t="str">
            <v>台</v>
          </cell>
          <cell r="G1918"/>
          <cell r="H1918">
            <v>1530000</v>
          </cell>
          <cell r="I1918"/>
          <cell r="J1918">
            <v>1530000</v>
          </cell>
          <cell r="K1918"/>
          <cell r="L1918">
            <v>1530000</v>
          </cell>
          <cell r="M1918"/>
          <cell r="N1918">
            <v>1530000</v>
          </cell>
          <cell r="O1918"/>
          <cell r="P1918">
            <v>1530000</v>
          </cell>
          <cell r="Q1918"/>
          <cell r="R1918">
            <v>1530000</v>
          </cell>
          <cell r="S1918"/>
          <cell r="T1918">
            <v>1530000</v>
          </cell>
          <cell r="U1918"/>
          <cell r="V1918">
            <v>1530000</v>
          </cell>
          <cell r="W1918"/>
          <cell r="X1918">
            <v>1530000</v>
          </cell>
          <cell r="Y1918"/>
          <cell r="Z1918">
            <v>1530000</v>
          </cell>
          <cell r="AA1918"/>
          <cell r="AB1918"/>
          <cell r="AC1918"/>
          <cell r="AD1918">
            <v>3.9369999999999998</v>
          </cell>
          <cell r="AE1918"/>
          <cell r="AF1918"/>
          <cell r="AG1918"/>
          <cell r="AH1918"/>
          <cell r="AI1918"/>
          <cell r="AJ1918"/>
          <cell r="AK1918"/>
          <cell r="AL1918"/>
        </row>
        <row r="1919">
          <cell r="E1919" t="str">
            <v>60Hz SR 12 Kvar 13%</v>
          </cell>
          <cell r="F1919" t="str">
            <v>台</v>
          </cell>
          <cell r="G1919"/>
          <cell r="H1919">
            <v>515000</v>
          </cell>
          <cell r="I1919"/>
          <cell r="J1919">
            <v>515000</v>
          </cell>
          <cell r="K1919"/>
          <cell r="L1919">
            <v>515000</v>
          </cell>
          <cell r="M1919"/>
          <cell r="N1919">
            <v>515000</v>
          </cell>
          <cell r="O1919"/>
          <cell r="P1919">
            <v>515000</v>
          </cell>
          <cell r="Q1919"/>
          <cell r="R1919">
            <v>515000</v>
          </cell>
          <cell r="S1919"/>
          <cell r="T1919">
            <v>515000</v>
          </cell>
          <cell r="U1919"/>
          <cell r="V1919">
            <v>515000</v>
          </cell>
          <cell r="W1919"/>
          <cell r="X1919">
            <v>515000</v>
          </cell>
          <cell r="Y1919"/>
          <cell r="Z1919">
            <v>515000</v>
          </cell>
          <cell r="AA1919"/>
          <cell r="AB1919"/>
          <cell r="AC1919"/>
          <cell r="AD1919">
            <v>0.77900000000000003</v>
          </cell>
          <cell r="AE1919"/>
          <cell r="AF1919"/>
          <cell r="AG1919"/>
          <cell r="AH1919"/>
          <cell r="AI1919"/>
          <cell r="AJ1919"/>
          <cell r="AK1919"/>
          <cell r="AL1919"/>
        </row>
        <row r="1920">
          <cell r="E1920" t="str">
            <v>60Hz SR 18 Kvar 13%</v>
          </cell>
          <cell r="F1920" t="str">
            <v>台</v>
          </cell>
          <cell r="G1920"/>
          <cell r="H1920">
            <v>515000</v>
          </cell>
          <cell r="I1920"/>
          <cell r="J1920">
            <v>562000</v>
          </cell>
          <cell r="K1920"/>
          <cell r="L1920">
            <v>562000</v>
          </cell>
          <cell r="M1920"/>
          <cell r="N1920">
            <v>515000</v>
          </cell>
          <cell r="O1920"/>
          <cell r="P1920">
            <v>515000</v>
          </cell>
          <cell r="Q1920"/>
          <cell r="R1920">
            <v>515000</v>
          </cell>
          <cell r="S1920"/>
          <cell r="T1920">
            <v>515000</v>
          </cell>
          <cell r="U1920"/>
          <cell r="V1920">
            <v>515000</v>
          </cell>
          <cell r="W1920"/>
          <cell r="X1920">
            <v>515000</v>
          </cell>
          <cell r="Y1920"/>
          <cell r="Z1920">
            <v>515000</v>
          </cell>
          <cell r="AA1920"/>
          <cell r="AB1920"/>
          <cell r="AC1920"/>
          <cell r="AD1920">
            <v>0.84399999999999997</v>
          </cell>
          <cell r="AE1920"/>
          <cell r="AF1920"/>
          <cell r="AG1920"/>
          <cell r="AH1920"/>
          <cell r="AI1920"/>
          <cell r="AJ1920"/>
          <cell r="AK1920"/>
          <cell r="AL1920"/>
        </row>
        <row r="1921">
          <cell r="E1921" t="str">
            <v>60Hz SR 24 Kvar 13%</v>
          </cell>
          <cell r="F1921" t="str">
            <v>台</v>
          </cell>
          <cell r="G1921"/>
          <cell r="H1921">
            <v>515000</v>
          </cell>
          <cell r="I1921"/>
          <cell r="J1921">
            <v>604000</v>
          </cell>
          <cell r="K1921"/>
          <cell r="L1921">
            <v>604000</v>
          </cell>
          <cell r="M1921"/>
          <cell r="N1921">
            <v>515000</v>
          </cell>
          <cell r="O1921"/>
          <cell r="P1921">
            <v>515000</v>
          </cell>
          <cell r="Q1921"/>
          <cell r="R1921">
            <v>515000</v>
          </cell>
          <cell r="S1921"/>
          <cell r="T1921">
            <v>515000</v>
          </cell>
          <cell r="U1921"/>
          <cell r="V1921">
            <v>515000</v>
          </cell>
          <cell r="W1921"/>
          <cell r="X1921">
            <v>515000</v>
          </cell>
          <cell r="Y1921"/>
          <cell r="Z1921">
            <v>515000</v>
          </cell>
          <cell r="AA1921"/>
          <cell r="AB1921"/>
          <cell r="AC1921"/>
          <cell r="AD1921">
            <v>1.0189999999999999</v>
          </cell>
          <cell r="AE1921"/>
          <cell r="AF1921"/>
          <cell r="AG1921"/>
          <cell r="AH1921"/>
          <cell r="AI1921"/>
          <cell r="AJ1921"/>
          <cell r="AK1921"/>
          <cell r="AL1921"/>
        </row>
        <row r="1922">
          <cell r="E1922" t="str">
            <v>60Hz SR 30 Kvar 13%</v>
          </cell>
          <cell r="F1922" t="str">
            <v>台</v>
          </cell>
          <cell r="G1922"/>
          <cell r="H1922">
            <v>515000</v>
          </cell>
          <cell r="I1922"/>
          <cell r="J1922">
            <v>642000</v>
          </cell>
          <cell r="K1922"/>
          <cell r="L1922">
            <v>642000</v>
          </cell>
          <cell r="M1922"/>
          <cell r="N1922">
            <v>515000</v>
          </cell>
          <cell r="O1922"/>
          <cell r="P1922">
            <v>515000</v>
          </cell>
          <cell r="Q1922"/>
          <cell r="R1922">
            <v>515000</v>
          </cell>
          <cell r="S1922"/>
          <cell r="T1922">
            <v>515000</v>
          </cell>
          <cell r="U1922"/>
          <cell r="V1922">
            <v>515000</v>
          </cell>
          <cell r="W1922"/>
          <cell r="X1922">
            <v>515000</v>
          </cell>
          <cell r="Y1922"/>
          <cell r="Z1922">
            <v>515000</v>
          </cell>
          <cell r="AA1922"/>
          <cell r="AB1922"/>
          <cell r="AC1922"/>
          <cell r="AD1922">
            <v>1.23</v>
          </cell>
          <cell r="AE1922"/>
          <cell r="AF1922"/>
          <cell r="AG1922"/>
          <cell r="AH1922"/>
          <cell r="AI1922"/>
          <cell r="AJ1922"/>
          <cell r="AK1922"/>
          <cell r="AL1922"/>
        </row>
        <row r="1923">
          <cell r="E1923" t="str">
            <v>60Hz SR 36 Kvar 13%</v>
          </cell>
          <cell r="F1923" t="str">
            <v>台</v>
          </cell>
          <cell r="G1923"/>
          <cell r="H1923">
            <v>562000</v>
          </cell>
          <cell r="I1923"/>
          <cell r="J1923">
            <v>680000</v>
          </cell>
          <cell r="K1923"/>
          <cell r="L1923">
            <v>680000</v>
          </cell>
          <cell r="M1923"/>
          <cell r="N1923">
            <v>562000</v>
          </cell>
          <cell r="O1923"/>
          <cell r="P1923">
            <v>562000</v>
          </cell>
          <cell r="Q1923"/>
          <cell r="R1923">
            <v>562000</v>
          </cell>
          <cell r="S1923"/>
          <cell r="T1923">
            <v>562000</v>
          </cell>
          <cell r="U1923"/>
          <cell r="V1923">
            <v>562000</v>
          </cell>
          <cell r="W1923"/>
          <cell r="X1923">
            <v>562000</v>
          </cell>
          <cell r="Y1923"/>
          <cell r="Z1923">
            <v>562000</v>
          </cell>
          <cell r="AA1923"/>
          <cell r="AB1923"/>
          <cell r="AC1923"/>
          <cell r="AD1923">
            <v>1.4850000000000001</v>
          </cell>
          <cell r="AE1923"/>
          <cell r="AF1923"/>
          <cell r="AG1923"/>
          <cell r="AH1923"/>
          <cell r="AI1923"/>
          <cell r="AJ1923"/>
          <cell r="AK1923"/>
          <cell r="AL1923"/>
        </row>
        <row r="1924">
          <cell r="E1924" t="str">
            <v>60Hz SR 50 Kvar 13%</v>
          </cell>
          <cell r="F1924" t="str">
            <v>台</v>
          </cell>
          <cell r="G1924"/>
          <cell r="H1924">
            <v>604000</v>
          </cell>
          <cell r="I1924"/>
          <cell r="J1924">
            <v>756000</v>
          </cell>
          <cell r="K1924"/>
          <cell r="L1924">
            <v>756000</v>
          </cell>
          <cell r="M1924"/>
          <cell r="N1924">
            <v>604000</v>
          </cell>
          <cell r="O1924"/>
          <cell r="P1924">
            <v>604000</v>
          </cell>
          <cell r="Q1924"/>
          <cell r="R1924">
            <v>604000</v>
          </cell>
          <cell r="S1924"/>
          <cell r="T1924">
            <v>604000</v>
          </cell>
          <cell r="U1924"/>
          <cell r="V1924">
            <v>604000</v>
          </cell>
          <cell r="W1924"/>
          <cell r="X1924">
            <v>604000</v>
          </cell>
          <cell r="Y1924"/>
          <cell r="Z1924">
            <v>604000</v>
          </cell>
          <cell r="AA1924"/>
          <cell r="AB1924"/>
          <cell r="AC1924"/>
          <cell r="AD1924">
            <v>1.611</v>
          </cell>
          <cell r="AE1924"/>
          <cell r="AF1924"/>
          <cell r="AG1924"/>
          <cell r="AH1924"/>
          <cell r="AI1924"/>
          <cell r="AJ1924"/>
          <cell r="AK1924"/>
          <cell r="AL1924"/>
        </row>
        <row r="1925">
          <cell r="E1925" t="str">
            <v>60Hz SR 75 Kvar 13%</v>
          </cell>
          <cell r="F1925" t="str">
            <v>台</v>
          </cell>
          <cell r="G1925"/>
          <cell r="H1925">
            <v>642000</v>
          </cell>
          <cell r="I1925"/>
          <cell r="J1925">
            <v>826000</v>
          </cell>
          <cell r="K1925"/>
          <cell r="L1925">
            <v>826000</v>
          </cell>
          <cell r="M1925"/>
          <cell r="N1925">
            <v>642000</v>
          </cell>
          <cell r="O1925"/>
          <cell r="P1925">
            <v>642000</v>
          </cell>
          <cell r="Q1925"/>
          <cell r="R1925">
            <v>642000</v>
          </cell>
          <cell r="S1925"/>
          <cell r="T1925">
            <v>642000</v>
          </cell>
          <cell r="U1925"/>
          <cell r="V1925">
            <v>642000</v>
          </cell>
          <cell r="W1925"/>
          <cell r="X1925">
            <v>642000</v>
          </cell>
          <cell r="Y1925"/>
          <cell r="Z1925">
            <v>642000</v>
          </cell>
          <cell r="AA1925"/>
          <cell r="AB1925"/>
          <cell r="AC1925"/>
          <cell r="AD1925">
            <v>1.7470000000000001</v>
          </cell>
          <cell r="AE1925"/>
          <cell r="AF1925"/>
          <cell r="AG1925"/>
          <cell r="AH1925"/>
          <cell r="AI1925"/>
          <cell r="AJ1925"/>
          <cell r="AK1925"/>
          <cell r="AL1925"/>
        </row>
        <row r="1926">
          <cell r="E1926" t="str">
            <v>60Hz SR100 Kvar 13%</v>
          </cell>
          <cell r="F1926" t="str">
            <v>台</v>
          </cell>
          <cell r="G1926"/>
          <cell r="H1926">
            <v>680000</v>
          </cell>
          <cell r="I1926"/>
          <cell r="J1926">
            <v>928000</v>
          </cell>
          <cell r="K1926"/>
          <cell r="L1926">
            <v>928000</v>
          </cell>
          <cell r="M1926"/>
          <cell r="N1926">
            <v>680000</v>
          </cell>
          <cell r="O1926"/>
          <cell r="P1926">
            <v>680000</v>
          </cell>
          <cell r="Q1926"/>
          <cell r="R1926">
            <v>680000</v>
          </cell>
          <cell r="S1926"/>
          <cell r="T1926">
            <v>680000</v>
          </cell>
          <cell r="U1926"/>
          <cell r="V1926">
            <v>680000</v>
          </cell>
          <cell r="W1926"/>
          <cell r="X1926">
            <v>680000</v>
          </cell>
          <cell r="Y1926"/>
          <cell r="Z1926">
            <v>680000</v>
          </cell>
          <cell r="AA1926"/>
          <cell r="AB1926"/>
          <cell r="AC1926"/>
          <cell r="AD1926">
            <v>2.1080000000000001</v>
          </cell>
          <cell r="AE1926"/>
          <cell r="AF1926"/>
          <cell r="AG1926"/>
          <cell r="AH1926"/>
          <cell r="AI1926"/>
          <cell r="AJ1926"/>
          <cell r="AK1926"/>
          <cell r="AL1926"/>
        </row>
        <row r="1927">
          <cell r="E1927" t="str">
            <v>60Hz SR150 Kvar 13%</v>
          </cell>
          <cell r="F1927" t="str">
            <v>台</v>
          </cell>
          <cell r="G1927"/>
          <cell r="H1927">
            <v>756000</v>
          </cell>
          <cell r="I1927"/>
          <cell r="J1927">
            <v>998000</v>
          </cell>
          <cell r="K1927"/>
          <cell r="L1927">
            <v>998000</v>
          </cell>
          <cell r="M1927"/>
          <cell r="N1927">
            <v>756000</v>
          </cell>
          <cell r="O1927"/>
          <cell r="P1927">
            <v>756000</v>
          </cell>
          <cell r="Q1927"/>
          <cell r="R1927">
            <v>756000</v>
          </cell>
          <cell r="S1927"/>
          <cell r="T1927">
            <v>756000</v>
          </cell>
          <cell r="U1927"/>
          <cell r="V1927">
            <v>756000</v>
          </cell>
          <cell r="W1927"/>
          <cell r="X1927">
            <v>756000</v>
          </cell>
          <cell r="Y1927"/>
          <cell r="Z1927">
            <v>756000</v>
          </cell>
          <cell r="AA1927"/>
          <cell r="AB1927"/>
          <cell r="AC1927"/>
          <cell r="AD1927">
            <v>2.3330000000000002</v>
          </cell>
          <cell r="AE1927"/>
          <cell r="AF1927"/>
          <cell r="AG1927"/>
          <cell r="AH1927"/>
          <cell r="AI1927"/>
          <cell r="AJ1927"/>
          <cell r="AK1927"/>
          <cell r="AL1927"/>
        </row>
        <row r="1928">
          <cell r="E1928" t="str">
            <v>60Hz SR200 Kvar 13%</v>
          </cell>
          <cell r="F1928" t="str">
            <v>台</v>
          </cell>
          <cell r="G1928"/>
          <cell r="H1928">
            <v>826000</v>
          </cell>
          <cell r="I1928"/>
          <cell r="J1928">
            <v>1490000</v>
          </cell>
          <cell r="K1928"/>
          <cell r="L1928">
            <v>1490000</v>
          </cell>
          <cell r="M1928"/>
          <cell r="N1928">
            <v>826000</v>
          </cell>
          <cell r="O1928"/>
          <cell r="P1928">
            <v>826000</v>
          </cell>
          <cell r="Q1928"/>
          <cell r="R1928">
            <v>826000</v>
          </cell>
          <cell r="S1928"/>
          <cell r="T1928">
            <v>826000</v>
          </cell>
          <cell r="U1928"/>
          <cell r="V1928">
            <v>826000</v>
          </cell>
          <cell r="W1928"/>
          <cell r="X1928">
            <v>826000</v>
          </cell>
          <cell r="Y1928"/>
          <cell r="Z1928">
            <v>826000</v>
          </cell>
          <cell r="AA1928"/>
          <cell r="AB1928"/>
          <cell r="AC1928"/>
          <cell r="AD1928">
            <v>2.492</v>
          </cell>
          <cell r="AE1928"/>
          <cell r="AF1928"/>
          <cell r="AG1928"/>
          <cell r="AH1928"/>
          <cell r="AI1928"/>
          <cell r="AJ1928"/>
          <cell r="AK1928"/>
          <cell r="AL1928"/>
        </row>
        <row r="1929">
          <cell r="E1929" t="str">
            <v>60Hz SR250 Kvar 13%</v>
          </cell>
          <cell r="F1929" t="str">
            <v>台</v>
          </cell>
          <cell r="G1929"/>
          <cell r="H1929">
            <v>928000</v>
          </cell>
          <cell r="I1929"/>
          <cell r="J1929">
            <v>928000</v>
          </cell>
          <cell r="K1929"/>
          <cell r="L1929">
            <v>928000</v>
          </cell>
          <cell r="M1929"/>
          <cell r="N1929">
            <v>928000</v>
          </cell>
          <cell r="O1929"/>
          <cell r="P1929">
            <v>928000</v>
          </cell>
          <cell r="Q1929"/>
          <cell r="R1929">
            <v>928000</v>
          </cell>
          <cell r="S1929"/>
          <cell r="T1929">
            <v>928000</v>
          </cell>
          <cell r="U1929"/>
          <cell r="V1929">
            <v>928000</v>
          </cell>
          <cell r="W1929"/>
          <cell r="X1929">
            <v>928000</v>
          </cell>
          <cell r="Y1929"/>
          <cell r="Z1929">
            <v>928000</v>
          </cell>
          <cell r="AA1929"/>
          <cell r="AB1929"/>
          <cell r="AC1929"/>
          <cell r="AD1929">
            <v>3.008</v>
          </cell>
          <cell r="AE1929"/>
          <cell r="AF1929"/>
          <cell r="AG1929"/>
          <cell r="AH1929"/>
          <cell r="AI1929"/>
          <cell r="AJ1929"/>
          <cell r="AK1929"/>
          <cell r="AL1929"/>
        </row>
        <row r="1930">
          <cell r="E1930" t="str">
            <v>60Hz SR300 Kvar 13%</v>
          </cell>
          <cell r="F1930" t="str">
            <v>台</v>
          </cell>
          <cell r="G1930"/>
          <cell r="H1930">
            <v>998000</v>
          </cell>
          <cell r="I1930"/>
          <cell r="J1930">
            <v>368000</v>
          </cell>
          <cell r="K1930"/>
          <cell r="L1930">
            <v>368000</v>
          </cell>
          <cell r="M1930"/>
          <cell r="N1930">
            <v>998000</v>
          </cell>
          <cell r="O1930"/>
          <cell r="P1930">
            <v>998000</v>
          </cell>
          <cell r="Q1930"/>
          <cell r="R1930">
            <v>998000</v>
          </cell>
          <cell r="S1930"/>
          <cell r="T1930">
            <v>998000</v>
          </cell>
          <cell r="U1930"/>
          <cell r="V1930">
            <v>998000</v>
          </cell>
          <cell r="W1930"/>
          <cell r="X1930">
            <v>998000</v>
          </cell>
          <cell r="Y1930"/>
          <cell r="Z1930">
            <v>998000</v>
          </cell>
          <cell r="AA1930"/>
          <cell r="AB1930"/>
          <cell r="AC1930"/>
          <cell r="AD1930">
            <v>3.63</v>
          </cell>
          <cell r="AE1930"/>
          <cell r="AF1930"/>
          <cell r="AG1930"/>
          <cell r="AH1930"/>
          <cell r="AI1930"/>
          <cell r="AJ1930"/>
          <cell r="AK1930"/>
          <cell r="AL1930"/>
        </row>
        <row r="1931">
          <cell r="E1931" t="str">
            <v>60Hz SR400 Kvar 13%</v>
          </cell>
          <cell r="F1931" t="str">
            <v>台</v>
          </cell>
          <cell r="G1931"/>
          <cell r="H1931"/>
          <cell r="I1931"/>
          <cell r="J1931"/>
          <cell r="K1931"/>
          <cell r="L1931"/>
          <cell r="M1931"/>
          <cell r="N1931"/>
          <cell r="O1931"/>
          <cell r="P1931"/>
          <cell r="Q1931"/>
          <cell r="R1931"/>
          <cell r="S1931"/>
          <cell r="T1931"/>
          <cell r="U1931"/>
          <cell r="V1931"/>
          <cell r="W1931"/>
          <cell r="X1931"/>
          <cell r="Y1931"/>
          <cell r="Z1931"/>
          <cell r="AA1931"/>
          <cell r="AB1931"/>
          <cell r="AC1931"/>
          <cell r="AD1931"/>
          <cell r="AE1931"/>
          <cell r="AF1931"/>
          <cell r="AG1931"/>
          <cell r="AH1931"/>
          <cell r="AI1931"/>
          <cell r="AJ1931"/>
          <cell r="AK1931"/>
          <cell r="AL1931"/>
        </row>
        <row r="1932">
          <cell r="E1932" t="str">
            <v>60Hz SR500 Kvar 13%</v>
          </cell>
          <cell r="F1932" t="str">
            <v>台</v>
          </cell>
          <cell r="G1932"/>
          <cell r="H1932">
            <v>1490000</v>
          </cell>
          <cell r="I1932"/>
          <cell r="J1932">
            <v>1490000</v>
          </cell>
          <cell r="K1932"/>
          <cell r="L1932">
            <v>1490000</v>
          </cell>
          <cell r="M1932"/>
          <cell r="N1932">
            <v>1490000</v>
          </cell>
          <cell r="O1932"/>
          <cell r="P1932">
            <v>1490000</v>
          </cell>
          <cell r="Q1932"/>
          <cell r="R1932">
            <v>1490000</v>
          </cell>
          <cell r="S1932"/>
          <cell r="T1932">
            <v>1490000</v>
          </cell>
          <cell r="U1932"/>
          <cell r="V1932">
            <v>1490000</v>
          </cell>
          <cell r="W1932"/>
          <cell r="X1932">
            <v>1490000</v>
          </cell>
          <cell r="Y1932"/>
          <cell r="Z1932">
            <v>1490000</v>
          </cell>
          <cell r="AA1932"/>
          <cell r="AB1932"/>
          <cell r="AC1932"/>
          <cell r="AD1932">
            <v>3.9369999999999998</v>
          </cell>
          <cell r="AE1932"/>
          <cell r="AF1932"/>
          <cell r="AG1932"/>
          <cell r="AH1932"/>
          <cell r="AI1932"/>
          <cell r="AJ1932"/>
          <cell r="AK1932"/>
          <cell r="AL1932"/>
        </row>
        <row r="1933">
          <cell r="E1933" t="str">
            <v>LBS7.2KV200A(PF付)</v>
          </cell>
          <cell r="F1933" t="str">
            <v>台</v>
          </cell>
          <cell r="G1933"/>
          <cell r="H1933">
            <v>82300</v>
          </cell>
          <cell r="I1933"/>
          <cell r="J1933">
            <v>82300</v>
          </cell>
          <cell r="K1933"/>
          <cell r="L1933">
            <v>82300</v>
          </cell>
          <cell r="M1933"/>
          <cell r="N1933">
            <v>82300</v>
          </cell>
          <cell r="O1933"/>
          <cell r="P1933">
            <v>82300</v>
          </cell>
          <cell r="Q1933"/>
          <cell r="R1933">
            <v>82300</v>
          </cell>
          <cell r="S1933"/>
          <cell r="T1933">
            <v>82300</v>
          </cell>
          <cell r="U1933"/>
          <cell r="V1933">
            <v>82300</v>
          </cell>
          <cell r="W1933"/>
          <cell r="X1933">
            <v>82300</v>
          </cell>
          <cell r="Y1933"/>
          <cell r="Z1933">
            <v>82300</v>
          </cell>
          <cell r="AA1933"/>
          <cell r="AB1933"/>
          <cell r="AC1933"/>
          <cell r="AD1933">
            <v>0.82299999999999995</v>
          </cell>
          <cell r="AE1933"/>
          <cell r="AF1933"/>
          <cell r="AG1933"/>
          <cell r="AH1933"/>
          <cell r="AI1933"/>
          <cell r="AJ1933"/>
          <cell r="AK1933"/>
          <cell r="AL1933"/>
        </row>
        <row r="1934">
          <cell r="E1934" t="str">
            <v>VMC 7.2KV 200A</v>
          </cell>
          <cell r="F1934" t="str">
            <v>台</v>
          </cell>
          <cell r="G1934"/>
          <cell r="H1934">
            <v>368000</v>
          </cell>
          <cell r="I1934"/>
          <cell r="J1934">
            <v>368000</v>
          </cell>
          <cell r="K1934"/>
          <cell r="L1934">
            <v>368000</v>
          </cell>
          <cell r="M1934"/>
          <cell r="N1934">
            <v>368000</v>
          </cell>
          <cell r="O1934"/>
          <cell r="P1934">
            <v>368000</v>
          </cell>
          <cell r="Q1934"/>
          <cell r="R1934">
            <v>368000</v>
          </cell>
          <cell r="S1934"/>
          <cell r="T1934">
            <v>368000</v>
          </cell>
          <cell r="U1934"/>
          <cell r="V1934">
            <v>368000</v>
          </cell>
          <cell r="W1934"/>
          <cell r="X1934">
            <v>368000</v>
          </cell>
          <cell r="Y1934"/>
          <cell r="Z1934">
            <v>368000</v>
          </cell>
          <cell r="AA1934"/>
          <cell r="AB1934"/>
          <cell r="AC1934"/>
          <cell r="AD1934">
            <v>0.94599999999999995</v>
          </cell>
          <cell r="AE1934"/>
          <cell r="AF1934"/>
          <cell r="AG1934"/>
          <cell r="AH1934"/>
          <cell r="AI1934"/>
          <cell r="AJ1934"/>
          <cell r="AK1934"/>
          <cell r="AL1934"/>
        </row>
        <row r="1935">
          <cell r="E1935" t="str">
            <v>PAS 7.2KV200A 重</v>
          </cell>
          <cell r="F1935" t="str">
            <v>台</v>
          </cell>
          <cell r="G1935"/>
          <cell r="H1935">
            <v>90000</v>
          </cell>
          <cell r="I1935"/>
          <cell r="J1935">
            <v>90000</v>
          </cell>
          <cell r="K1935"/>
          <cell r="L1935">
            <v>90000</v>
          </cell>
          <cell r="M1935"/>
          <cell r="N1935">
            <v>90000</v>
          </cell>
          <cell r="O1935"/>
          <cell r="P1935">
            <v>90000</v>
          </cell>
          <cell r="Q1935"/>
          <cell r="R1935">
            <v>90000</v>
          </cell>
          <cell r="S1935"/>
          <cell r="T1935">
            <v>90000</v>
          </cell>
          <cell r="U1935"/>
          <cell r="V1935">
            <v>90000</v>
          </cell>
          <cell r="W1935"/>
          <cell r="X1935">
            <v>90000</v>
          </cell>
          <cell r="Y1935"/>
          <cell r="Z1935">
            <v>90000</v>
          </cell>
          <cell r="AA1935"/>
          <cell r="AB1935"/>
          <cell r="AC1935"/>
          <cell r="AD1935">
            <v>1.1499999999999999</v>
          </cell>
          <cell r="AE1935"/>
          <cell r="AF1935"/>
          <cell r="AG1935"/>
          <cell r="AH1935"/>
          <cell r="AI1935"/>
          <cell r="AJ1935"/>
          <cell r="AK1935"/>
          <cell r="AL1935">
            <v>0.57899999999999996</v>
          </cell>
        </row>
        <row r="1936">
          <cell r="E1936" t="str">
            <v>PAS 7.2KV300A 重</v>
          </cell>
          <cell r="F1936" t="str">
            <v>台</v>
          </cell>
          <cell r="G1936"/>
          <cell r="H1936">
            <v>129000</v>
          </cell>
          <cell r="I1936"/>
          <cell r="J1936">
            <v>129000</v>
          </cell>
          <cell r="K1936"/>
          <cell r="L1936">
            <v>129000</v>
          </cell>
          <cell r="M1936"/>
          <cell r="N1936">
            <v>129000</v>
          </cell>
          <cell r="O1936"/>
          <cell r="P1936">
            <v>129000</v>
          </cell>
          <cell r="Q1936"/>
          <cell r="R1936">
            <v>129000</v>
          </cell>
          <cell r="S1936"/>
          <cell r="T1936">
            <v>129000</v>
          </cell>
          <cell r="U1936"/>
          <cell r="V1936">
            <v>129000</v>
          </cell>
          <cell r="W1936"/>
          <cell r="X1936">
            <v>129000</v>
          </cell>
          <cell r="Y1936"/>
          <cell r="Z1936">
            <v>129000</v>
          </cell>
          <cell r="AA1936"/>
          <cell r="AB1936"/>
          <cell r="AC1936"/>
          <cell r="AD1936">
            <v>1.28</v>
          </cell>
          <cell r="AE1936"/>
          <cell r="AF1936"/>
          <cell r="AG1936"/>
          <cell r="AH1936"/>
          <cell r="AI1936"/>
          <cell r="AJ1936"/>
          <cell r="AK1936"/>
          <cell r="AL1936">
            <v>0.64400000000000002</v>
          </cell>
        </row>
        <row r="1937">
          <cell r="E1937" t="str">
            <v>PAS 7.2KV400A 重</v>
          </cell>
          <cell r="F1937" t="str">
            <v>台</v>
          </cell>
          <cell r="G1937"/>
          <cell r="H1937">
            <v>155000</v>
          </cell>
          <cell r="I1937"/>
          <cell r="J1937">
            <v>155000</v>
          </cell>
          <cell r="K1937"/>
          <cell r="L1937">
            <v>155000</v>
          </cell>
          <cell r="M1937"/>
          <cell r="N1937">
            <v>155000</v>
          </cell>
          <cell r="O1937"/>
          <cell r="P1937">
            <v>155000</v>
          </cell>
          <cell r="Q1937"/>
          <cell r="R1937">
            <v>155000</v>
          </cell>
          <cell r="S1937"/>
          <cell r="T1937">
            <v>155000</v>
          </cell>
          <cell r="U1937"/>
          <cell r="V1937">
            <v>155000</v>
          </cell>
          <cell r="W1937"/>
          <cell r="X1937">
            <v>155000</v>
          </cell>
          <cell r="Y1937"/>
          <cell r="Z1937">
            <v>155000</v>
          </cell>
          <cell r="AA1937"/>
          <cell r="AB1937"/>
          <cell r="AC1937"/>
          <cell r="AD1937">
            <v>1.32</v>
          </cell>
          <cell r="AE1937"/>
          <cell r="AF1937"/>
          <cell r="AG1937"/>
          <cell r="AH1937"/>
          <cell r="AI1937"/>
          <cell r="AJ1937"/>
          <cell r="AK1937"/>
          <cell r="AL1937">
            <v>0.66100000000000003</v>
          </cell>
        </row>
        <row r="1938">
          <cell r="E1938" t="str">
            <v>PAS 7.2KV200A GR</v>
          </cell>
          <cell r="F1938" t="str">
            <v>台</v>
          </cell>
          <cell r="G1938"/>
          <cell r="H1938">
            <v>129000</v>
          </cell>
          <cell r="I1938"/>
          <cell r="J1938">
            <v>129000</v>
          </cell>
          <cell r="K1938"/>
          <cell r="L1938">
            <v>129000</v>
          </cell>
          <cell r="M1938"/>
          <cell r="N1938">
            <v>129000</v>
          </cell>
          <cell r="O1938"/>
          <cell r="P1938">
            <v>129000</v>
          </cell>
          <cell r="Q1938"/>
          <cell r="R1938">
            <v>129000</v>
          </cell>
          <cell r="S1938"/>
          <cell r="T1938">
            <v>129000</v>
          </cell>
          <cell r="U1938"/>
          <cell r="V1938">
            <v>129000</v>
          </cell>
          <cell r="W1938"/>
          <cell r="X1938">
            <v>129000</v>
          </cell>
          <cell r="Y1938"/>
          <cell r="Z1938">
            <v>129000</v>
          </cell>
          <cell r="AA1938"/>
          <cell r="AB1938"/>
          <cell r="AC1938"/>
          <cell r="AD1938">
            <v>1.32</v>
          </cell>
          <cell r="AE1938"/>
          <cell r="AF1938"/>
          <cell r="AG1938"/>
          <cell r="AH1938"/>
          <cell r="AI1938"/>
          <cell r="AJ1938"/>
          <cell r="AK1938"/>
          <cell r="AL1938">
            <v>0.66200000000000003</v>
          </cell>
        </row>
        <row r="1939">
          <cell r="E1939" t="str">
            <v>PAS 7.2KV300A GR</v>
          </cell>
          <cell r="F1939" t="str">
            <v>台</v>
          </cell>
          <cell r="G1939"/>
          <cell r="H1939">
            <v>204000</v>
          </cell>
          <cell r="I1939"/>
          <cell r="J1939">
            <v>204000</v>
          </cell>
          <cell r="K1939"/>
          <cell r="L1939">
            <v>204000</v>
          </cell>
          <cell r="M1939"/>
          <cell r="N1939">
            <v>204000</v>
          </cell>
          <cell r="O1939"/>
          <cell r="P1939">
            <v>204000</v>
          </cell>
          <cell r="Q1939"/>
          <cell r="R1939">
            <v>204000</v>
          </cell>
          <cell r="S1939"/>
          <cell r="T1939">
            <v>204000</v>
          </cell>
          <cell r="U1939"/>
          <cell r="V1939">
            <v>204000</v>
          </cell>
          <cell r="W1939"/>
          <cell r="X1939">
            <v>204000</v>
          </cell>
          <cell r="Y1939"/>
          <cell r="Z1939">
            <v>204000</v>
          </cell>
          <cell r="AA1939"/>
          <cell r="AB1939"/>
          <cell r="AC1939"/>
          <cell r="AD1939">
            <v>1.48</v>
          </cell>
          <cell r="AE1939"/>
          <cell r="AF1939"/>
          <cell r="AG1939"/>
          <cell r="AH1939"/>
          <cell r="AI1939"/>
          <cell r="AJ1939"/>
          <cell r="AK1939"/>
          <cell r="AL1939">
            <v>0.74</v>
          </cell>
        </row>
        <row r="1940">
          <cell r="E1940" t="str">
            <v>PAS 7.2KV400A GR</v>
          </cell>
          <cell r="F1940" t="str">
            <v>台</v>
          </cell>
          <cell r="G1940"/>
          <cell r="H1940">
            <v>234000</v>
          </cell>
          <cell r="I1940"/>
          <cell r="J1940">
            <v>234000</v>
          </cell>
          <cell r="K1940"/>
          <cell r="L1940">
            <v>234000</v>
          </cell>
          <cell r="M1940"/>
          <cell r="N1940">
            <v>234000</v>
          </cell>
          <cell r="O1940"/>
          <cell r="P1940">
            <v>234000</v>
          </cell>
          <cell r="Q1940"/>
          <cell r="R1940">
            <v>234000</v>
          </cell>
          <cell r="S1940"/>
          <cell r="T1940">
            <v>234000</v>
          </cell>
          <cell r="U1940"/>
          <cell r="V1940">
            <v>234000</v>
          </cell>
          <cell r="W1940"/>
          <cell r="X1940">
            <v>234000</v>
          </cell>
          <cell r="Y1940"/>
          <cell r="Z1940">
            <v>234000</v>
          </cell>
          <cell r="AA1940"/>
          <cell r="AB1940"/>
          <cell r="AC1940"/>
          <cell r="AD1940">
            <v>1.52</v>
          </cell>
          <cell r="AE1940"/>
          <cell r="AF1940"/>
          <cell r="AG1940"/>
          <cell r="AH1940"/>
          <cell r="AI1940"/>
          <cell r="AJ1940"/>
          <cell r="AK1940"/>
          <cell r="AL1940">
            <v>0.76</v>
          </cell>
        </row>
        <row r="1941">
          <cell r="E1941" t="str">
            <v>PAS 7.2KV200A DGR</v>
          </cell>
          <cell r="F1941" t="str">
            <v>台</v>
          </cell>
          <cell r="G1941"/>
          <cell r="H1941">
            <v>247000</v>
          </cell>
          <cell r="I1941"/>
          <cell r="J1941">
            <v>242000</v>
          </cell>
          <cell r="K1941"/>
          <cell r="L1941">
            <v>242000</v>
          </cell>
          <cell r="M1941"/>
          <cell r="N1941">
            <v>247000</v>
          </cell>
          <cell r="O1941"/>
          <cell r="P1941">
            <v>247000</v>
          </cell>
          <cell r="Q1941"/>
          <cell r="R1941">
            <v>247000</v>
          </cell>
          <cell r="S1941"/>
          <cell r="T1941">
            <v>247000</v>
          </cell>
          <cell r="U1941"/>
          <cell r="V1941">
            <v>247000</v>
          </cell>
          <cell r="W1941"/>
          <cell r="X1941">
            <v>247000</v>
          </cell>
          <cell r="Y1941"/>
          <cell r="Z1941">
            <v>247000</v>
          </cell>
          <cell r="AA1941"/>
          <cell r="AB1941"/>
          <cell r="AC1941"/>
          <cell r="AD1941">
            <v>1.32</v>
          </cell>
          <cell r="AE1941"/>
          <cell r="AF1941"/>
          <cell r="AG1941"/>
          <cell r="AH1941"/>
          <cell r="AI1941"/>
          <cell r="AJ1941"/>
          <cell r="AK1941"/>
          <cell r="AL1941">
            <v>0.66200000000000003</v>
          </cell>
        </row>
        <row r="1942">
          <cell r="E1942" t="str">
            <v>PAS 7.2KV300A DGR</v>
          </cell>
          <cell r="F1942" t="str">
            <v>台</v>
          </cell>
          <cell r="G1942"/>
          <cell r="H1942">
            <v>362000</v>
          </cell>
          <cell r="I1942"/>
          <cell r="J1942">
            <v>362000</v>
          </cell>
          <cell r="K1942"/>
          <cell r="L1942">
            <v>362000</v>
          </cell>
          <cell r="M1942"/>
          <cell r="N1942">
            <v>362000</v>
          </cell>
          <cell r="O1942"/>
          <cell r="P1942">
            <v>362000</v>
          </cell>
          <cell r="Q1942"/>
          <cell r="R1942">
            <v>362000</v>
          </cell>
          <cell r="S1942"/>
          <cell r="T1942">
            <v>362000</v>
          </cell>
          <cell r="U1942"/>
          <cell r="V1942">
            <v>362000</v>
          </cell>
          <cell r="W1942"/>
          <cell r="X1942">
            <v>362000</v>
          </cell>
          <cell r="Y1942"/>
          <cell r="Z1942">
            <v>362000</v>
          </cell>
          <cell r="AA1942"/>
          <cell r="AB1942"/>
          <cell r="AC1942"/>
          <cell r="AD1942">
            <v>1.48</v>
          </cell>
          <cell r="AE1942"/>
          <cell r="AF1942"/>
          <cell r="AG1942"/>
          <cell r="AH1942"/>
          <cell r="AI1942"/>
          <cell r="AJ1942"/>
          <cell r="AK1942"/>
          <cell r="AL1942">
            <v>0.74</v>
          </cell>
        </row>
        <row r="1943">
          <cell r="E1943" t="str">
            <v>PAS 7.2KV200A 重GR</v>
          </cell>
          <cell r="F1943" t="str">
            <v>台</v>
          </cell>
          <cell r="G1943"/>
          <cell r="H1943">
            <v>125000</v>
          </cell>
          <cell r="I1943"/>
          <cell r="J1943">
            <v>125000</v>
          </cell>
          <cell r="K1943"/>
          <cell r="L1943">
            <v>125000</v>
          </cell>
          <cell r="M1943"/>
          <cell r="N1943">
            <v>125000</v>
          </cell>
          <cell r="O1943"/>
          <cell r="P1943">
            <v>125000</v>
          </cell>
          <cell r="Q1943"/>
          <cell r="R1943">
            <v>125000</v>
          </cell>
          <cell r="S1943"/>
          <cell r="T1943">
            <v>125000</v>
          </cell>
          <cell r="U1943"/>
          <cell r="V1943">
            <v>125000</v>
          </cell>
          <cell r="W1943"/>
          <cell r="X1943">
            <v>125000</v>
          </cell>
          <cell r="Y1943"/>
          <cell r="Z1943">
            <v>125000</v>
          </cell>
          <cell r="AA1943"/>
          <cell r="AB1943"/>
          <cell r="AC1943"/>
          <cell r="AD1943">
            <v>1.32</v>
          </cell>
          <cell r="AE1943"/>
          <cell r="AF1943"/>
          <cell r="AG1943"/>
          <cell r="AH1943"/>
          <cell r="AI1943"/>
          <cell r="AJ1943"/>
          <cell r="AK1943"/>
          <cell r="AL1943">
            <v>0.66200000000000003</v>
          </cell>
        </row>
        <row r="1944">
          <cell r="E1944" t="str">
            <v>PAS 7.2KV200A 重DGR</v>
          </cell>
          <cell r="F1944" t="str">
            <v>台</v>
          </cell>
          <cell r="G1944"/>
          <cell r="H1944">
            <v>242000</v>
          </cell>
          <cell r="I1944"/>
          <cell r="J1944">
            <v>445000</v>
          </cell>
          <cell r="K1944"/>
          <cell r="L1944">
            <v>445000</v>
          </cell>
          <cell r="M1944"/>
          <cell r="N1944">
            <v>242000</v>
          </cell>
          <cell r="O1944"/>
          <cell r="P1944">
            <v>242000</v>
          </cell>
          <cell r="Q1944"/>
          <cell r="R1944">
            <v>242000</v>
          </cell>
          <cell r="S1944"/>
          <cell r="T1944">
            <v>242000</v>
          </cell>
          <cell r="U1944"/>
          <cell r="V1944">
            <v>242000</v>
          </cell>
          <cell r="W1944"/>
          <cell r="X1944">
            <v>242000</v>
          </cell>
          <cell r="Y1944"/>
          <cell r="Z1944">
            <v>242000</v>
          </cell>
          <cell r="AA1944"/>
          <cell r="AB1944"/>
          <cell r="AC1944"/>
          <cell r="AD1944">
            <v>1.32</v>
          </cell>
          <cell r="AE1944"/>
          <cell r="AF1944"/>
          <cell r="AG1944"/>
          <cell r="AH1944"/>
          <cell r="AI1944"/>
          <cell r="AJ1944"/>
          <cell r="AK1944"/>
          <cell r="AL1944">
            <v>0.66200000000000003</v>
          </cell>
        </row>
        <row r="1945">
          <cell r="E1945" t="str">
            <v>PAS 7.2KV300A 重GR</v>
          </cell>
          <cell r="F1945" t="str">
            <v>台</v>
          </cell>
          <cell r="G1945"/>
          <cell r="H1945">
            <v>249000</v>
          </cell>
          <cell r="I1945"/>
          <cell r="J1945">
            <v>249000</v>
          </cell>
          <cell r="K1945"/>
          <cell r="L1945">
            <v>249000</v>
          </cell>
          <cell r="M1945"/>
          <cell r="N1945">
            <v>249000</v>
          </cell>
          <cell r="O1945"/>
          <cell r="P1945">
            <v>249000</v>
          </cell>
          <cell r="Q1945"/>
          <cell r="R1945">
            <v>249000</v>
          </cell>
          <cell r="S1945"/>
          <cell r="T1945">
            <v>249000</v>
          </cell>
          <cell r="U1945"/>
          <cell r="V1945">
            <v>249000</v>
          </cell>
          <cell r="W1945"/>
          <cell r="X1945">
            <v>249000</v>
          </cell>
          <cell r="Y1945"/>
          <cell r="Z1945">
            <v>249000</v>
          </cell>
          <cell r="AA1945"/>
          <cell r="AB1945"/>
          <cell r="AC1945"/>
          <cell r="AD1945">
            <v>1.48</v>
          </cell>
          <cell r="AE1945"/>
          <cell r="AF1945"/>
          <cell r="AG1945"/>
          <cell r="AH1945"/>
          <cell r="AI1945"/>
          <cell r="AJ1945"/>
          <cell r="AK1945"/>
          <cell r="AL1945">
            <v>0.74</v>
          </cell>
        </row>
        <row r="1946">
          <cell r="E1946" t="str">
            <v>PAS 7.2KV300A 重DGR</v>
          </cell>
          <cell r="F1946" t="str">
            <v>台</v>
          </cell>
          <cell r="G1946"/>
          <cell r="H1946">
            <v>405000</v>
          </cell>
          <cell r="I1946"/>
          <cell r="J1946">
            <v>405000</v>
          </cell>
          <cell r="K1946"/>
          <cell r="L1946">
            <v>405000</v>
          </cell>
          <cell r="M1946"/>
          <cell r="N1946">
            <v>405000</v>
          </cell>
          <cell r="O1946"/>
          <cell r="P1946">
            <v>405000</v>
          </cell>
          <cell r="Q1946"/>
          <cell r="R1946">
            <v>405000</v>
          </cell>
          <cell r="S1946"/>
          <cell r="T1946">
            <v>405000</v>
          </cell>
          <cell r="U1946"/>
          <cell r="V1946">
            <v>405000</v>
          </cell>
          <cell r="W1946"/>
          <cell r="X1946">
            <v>405000</v>
          </cell>
          <cell r="Y1946"/>
          <cell r="Z1946">
            <v>405000</v>
          </cell>
          <cell r="AA1946"/>
          <cell r="AB1946"/>
          <cell r="AC1946"/>
          <cell r="AD1946">
            <v>1.48</v>
          </cell>
          <cell r="AE1946"/>
          <cell r="AF1946"/>
          <cell r="AG1946"/>
          <cell r="AH1946"/>
          <cell r="AI1946"/>
          <cell r="AJ1946"/>
          <cell r="AK1946"/>
          <cell r="AL1946">
            <v>0.74</v>
          </cell>
        </row>
        <row r="1947">
          <cell r="E1947" t="str">
            <v>PAS 7.2KV300A 重DGR・LA</v>
          </cell>
          <cell r="F1947" t="str">
            <v>台</v>
          </cell>
          <cell r="G1947"/>
          <cell r="H1947">
            <v>445000</v>
          </cell>
          <cell r="I1947"/>
          <cell r="J1947">
            <v>445000</v>
          </cell>
          <cell r="K1947"/>
          <cell r="L1947">
            <v>445000</v>
          </cell>
          <cell r="M1947"/>
          <cell r="N1947">
            <v>445000</v>
          </cell>
          <cell r="O1947"/>
          <cell r="P1947">
            <v>445000</v>
          </cell>
          <cell r="Q1947"/>
          <cell r="R1947">
            <v>445000</v>
          </cell>
          <cell r="S1947"/>
          <cell r="T1947">
            <v>445000</v>
          </cell>
          <cell r="U1947"/>
          <cell r="V1947">
            <v>445000</v>
          </cell>
          <cell r="W1947"/>
          <cell r="X1947">
            <v>445000</v>
          </cell>
          <cell r="Y1947"/>
          <cell r="Z1947">
            <v>445000</v>
          </cell>
          <cell r="AA1947"/>
          <cell r="AB1947"/>
          <cell r="AC1947"/>
          <cell r="AD1947">
            <v>1.48</v>
          </cell>
          <cell r="AE1947"/>
          <cell r="AF1947"/>
          <cell r="AG1947"/>
          <cell r="AH1947"/>
          <cell r="AI1947"/>
          <cell r="AJ1947"/>
          <cell r="AK1947"/>
          <cell r="AL1947">
            <v>0.74</v>
          </cell>
        </row>
        <row r="1948">
          <cell r="E1948" t="str">
            <v>PAS 7.2KV200A 塩GR</v>
          </cell>
          <cell r="F1948" t="str">
            <v>台</v>
          </cell>
          <cell r="G1948"/>
          <cell r="H1948">
            <v>132000</v>
          </cell>
          <cell r="I1948"/>
          <cell r="J1948">
            <v>132000</v>
          </cell>
          <cell r="K1948"/>
          <cell r="L1948">
            <v>132000</v>
          </cell>
          <cell r="M1948"/>
          <cell r="N1948">
            <v>132000</v>
          </cell>
          <cell r="O1948"/>
          <cell r="P1948">
            <v>132000</v>
          </cell>
          <cell r="Q1948"/>
          <cell r="R1948">
            <v>132000</v>
          </cell>
          <cell r="S1948"/>
          <cell r="T1948">
            <v>132000</v>
          </cell>
          <cell r="U1948"/>
          <cell r="V1948">
            <v>132000</v>
          </cell>
          <cell r="W1948"/>
          <cell r="X1948">
            <v>132000</v>
          </cell>
          <cell r="Y1948"/>
          <cell r="Z1948">
            <v>132000</v>
          </cell>
          <cell r="AA1948"/>
          <cell r="AB1948"/>
          <cell r="AC1948"/>
          <cell r="AD1948">
            <v>1.32</v>
          </cell>
          <cell r="AE1948"/>
          <cell r="AF1948"/>
          <cell r="AG1948"/>
          <cell r="AH1948"/>
          <cell r="AI1948"/>
          <cell r="AJ1948"/>
          <cell r="AK1948"/>
          <cell r="AL1948">
            <v>0.66200000000000003</v>
          </cell>
        </row>
        <row r="1949">
          <cell r="E1949" t="str">
            <v>PAS 7.2KV300A 塩GR</v>
          </cell>
          <cell r="F1949" t="str">
            <v>台</v>
          </cell>
          <cell r="G1949"/>
          <cell r="H1949">
            <v>227000</v>
          </cell>
          <cell r="I1949"/>
          <cell r="J1949">
            <v>227000</v>
          </cell>
          <cell r="K1949"/>
          <cell r="L1949">
            <v>227000</v>
          </cell>
          <cell r="M1949"/>
          <cell r="N1949">
            <v>227000</v>
          </cell>
          <cell r="O1949"/>
          <cell r="P1949">
            <v>227000</v>
          </cell>
          <cell r="Q1949"/>
          <cell r="R1949">
            <v>227000</v>
          </cell>
          <cell r="S1949"/>
          <cell r="T1949">
            <v>227000</v>
          </cell>
          <cell r="U1949"/>
          <cell r="V1949">
            <v>227000</v>
          </cell>
          <cell r="W1949"/>
          <cell r="X1949">
            <v>227000</v>
          </cell>
          <cell r="Y1949"/>
          <cell r="Z1949">
            <v>227000</v>
          </cell>
          <cell r="AA1949"/>
          <cell r="AB1949"/>
          <cell r="AC1949"/>
          <cell r="AD1949">
            <v>1.48</v>
          </cell>
          <cell r="AE1949"/>
          <cell r="AF1949"/>
          <cell r="AG1949"/>
          <cell r="AH1949"/>
          <cell r="AI1949"/>
          <cell r="AJ1949"/>
          <cell r="AK1949"/>
          <cell r="AL1949">
            <v>0.74</v>
          </cell>
        </row>
        <row r="1950">
          <cell r="E1950" t="str">
            <v>PAS 7.2KV200A 塩DGR</v>
          </cell>
          <cell r="F1950" t="str">
            <v>台</v>
          </cell>
          <cell r="G1950"/>
          <cell r="H1950">
            <v>254000</v>
          </cell>
          <cell r="I1950"/>
          <cell r="J1950">
            <v>254000</v>
          </cell>
          <cell r="K1950"/>
          <cell r="L1950">
            <v>254000</v>
          </cell>
          <cell r="M1950"/>
          <cell r="N1950">
            <v>254000</v>
          </cell>
          <cell r="O1950"/>
          <cell r="P1950">
            <v>254000</v>
          </cell>
          <cell r="Q1950"/>
          <cell r="R1950">
            <v>254000</v>
          </cell>
          <cell r="S1950"/>
          <cell r="T1950">
            <v>254000</v>
          </cell>
          <cell r="U1950"/>
          <cell r="V1950">
            <v>254000</v>
          </cell>
          <cell r="W1950"/>
          <cell r="X1950">
            <v>254000</v>
          </cell>
          <cell r="Y1950"/>
          <cell r="Z1950">
            <v>254000</v>
          </cell>
          <cell r="AA1950"/>
          <cell r="AB1950"/>
          <cell r="AC1950"/>
          <cell r="AD1950">
            <v>1.32</v>
          </cell>
          <cell r="AE1950"/>
          <cell r="AF1950"/>
          <cell r="AG1950"/>
          <cell r="AH1950"/>
          <cell r="AI1950"/>
          <cell r="AJ1950"/>
          <cell r="AK1950"/>
          <cell r="AL1950">
            <v>0.66200000000000003</v>
          </cell>
        </row>
        <row r="1951">
          <cell r="E1951" t="str">
            <v>PAS 7.2KV300A 塩DGR</v>
          </cell>
          <cell r="F1951" t="str">
            <v>台</v>
          </cell>
          <cell r="G1951"/>
          <cell r="H1951">
            <v>415000</v>
          </cell>
          <cell r="I1951"/>
          <cell r="J1951">
            <v>415000</v>
          </cell>
          <cell r="K1951"/>
          <cell r="L1951">
            <v>415000</v>
          </cell>
          <cell r="M1951"/>
          <cell r="N1951">
            <v>415000</v>
          </cell>
          <cell r="O1951"/>
          <cell r="P1951">
            <v>415000</v>
          </cell>
          <cell r="Q1951"/>
          <cell r="R1951">
            <v>415000</v>
          </cell>
          <cell r="S1951"/>
          <cell r="T1951">
            <v>415000</v>
          </cell>
          <cell r="U1951"/>
          <cell r="V1951">
            <v>415000</v>
          </cell>
          <cell r="W1951"/>
          <cell r="X1951">
            <v>415000</v>
          </cell>
          <cell r="Y1951"/>
          <cell r="Z1951">
            <v>415000</v>
          </cell>
          <cell r="AA1951"/>
          <cell r="AB1951"/>
          <cell r="AC1951"/>
          <cell r="AD1951">
            <v>1.48</v>
          </cell>
          <cell r="AE1951"/>
          <cell r="AF1951"/>
          <cell r="AG1951"/>
          <cell r="AH1951"/>
          <cell r="AI1951"/>
          <cell r="AJ1951"/>
          <cell r="AK1951"/>
          <cell r="AL1951">
            <v>0.74</v>
          </cell>
        </row>
        <row r="1952">
          <cell r="E1952" t="str">
            <v>自立型UGS7.2KV200ADGR</v>
          </cell>
          <cell r="F1952" t="str">
            <v>台</v>
          </cell>
          <cell r="G1952"/>
          <cell r="H1952">
            <v>800000</v>
          </cell>
          <cell r="I1952"/>
          <cell r="J1952">
            <v>800000</v>
          </cell>
          <cell r="K1952"/>
          <cell r="L1952">
            <v>800000</v>
          </cell>
          <cell r="M1952"/>
          <cell r="N1952">
            <v>800000</v>
          </cell>
          <cell r="O1952"/>
          <cell r="P1952">
            <v>800000</v>
          </cell>
          <cell r="Q1952"/>
          <cell r="R1952">
            <v>800000</v>
          </cell>
          <cell r="S1952"/>
          <cell r="T1952">
            <v>800000</v>
          </cell>
          <cell r="U1952"/>
          <cell r="V1952">
            <v>800000</v>
          </cell>
          <cell r="W1952"/>
          <cell r="X1952">
            <v>800000</v>
          </cell>
          <cell r="Y1952"/>
          <cell r="Z1952">
            <v>800000</v>
          </cell>
          <cell r="AA1952"/>
          <cell r="AB1952"/>
          <cell r="AC1952"/>
          <cell r="AD1952">
            <v>4</v>
          </cell>
          <cell r="AE1952"/>
          <cell r="AF1952"/>
          <cell r="AG1952"/>
          <cell r="AH1952"/>
          <cell r="AI1952"/>
          <cell r="AJ1952"/>
          <cell r="AK1952"/>
          <cell r="AL1952"/>
        </row>
        <row r="1953">
          <cell r="E1953" t="str">
            <v>自立型UGS7.2KV300ADGR</v>
          </cell>
          <cell r="F1953" t="str">
            <v>台</v>
          </cell>
          <cell r="G1953"/>
          <cell r="H1953">
            <v>900000</v>
          </cell>
          <cell r="I1953"/>
          <cell r="J1953">
            <v>900000</v>
          </cell>
          <cell r="K1953"/>
          <cell r="L1953">
            <v>900000</v>
          </cell>
          <cell r="M1953"/>
          <cell r="N1953">
            <v>900000</v>
          </cell>
          <cell r="O1953"/>
          <cell r="P1953">
            <v>900000</v>
          </cell>
          <cell r="Q1953"/>
          <cell r="R1953">
            <v>900000</v>
          </cell>
          <cell r="S1953"/>
          <cell r="T1953">
            <v>900000</v>
          </cell>
          <cell r="U1953"/>
          <cell r="V1953">
            <v>900000</v>
          </cell>
          <cell r="W1953"/>
          <cell r="X1953">
            <v>900000</v>
          </cell>
          <cell r="Y1953"/>
          <cell r="Z1953">
            <v>900000</v>
          </cell>
          <cell r="AA1953"/>
          <cell r="AB1953"/>
          <cell r="AC1953"/>
          <cell r="AD1953">
            <v>4.5</v>
          </cell>
          <cell r="AE1953"/>
          <cell r="AF1953"/>
          <cell r="AG1953"/>
          <cell r="AH1953"/>
          <cell r="AI1953"/>
          <cell r="AJ1953"/>
          <cell r="AK1953"/>
          <cell r="AL1953"/>
        </row>
        <row r="1954">
          <cell r="E1954" t="str">
            <v>自立型UGS7.2KV400ADGR</v>
          </cell>
          <cell r="F1954" t="str">
            <v>台</v>
          </cell>
          <cell r="G1954"/>
          <cell r="H1954">
            <v>1000000</v>
          </cell>
          <cell r="I1954"/>
          <cell r="J1954">
            <v>1000000</v>
          </cell>
          <cell r="K1954"/>
          <cell r="L1954">
            <v>1000000</v>
          </cell>
          <cell r="M1954"/>
          <cell r="N1954">
            <v>1000000</v>
          </cell>
          <cell r="O1954"/>
          <cell r="P1954">
            <v>1000000</v>
          </cell>
          <cell r="Q1954"/>
          <cell r="R1954">
            <v>1000000</v>
          </cell>
          <cell r="S1954"/>
          <cell r="T1954">
            <v>1000000</v>
          </cell>
          <cell r="U1954"/>
          <cell r="V1954">
            <v>1000000</v>
          </cell>
          <cell r="W1954"/>
          <cell r="X1954">
            <v>1000000</v>
          </cell>
          <cell r="Y1954"/>
          <cell r="Z1954">
            <v>1000000</v>
          </cell>
          <cell r="AA1954"/>
          <cell r="AB1954"/>
          <cell r="AC1954"/>
          <cell r="AD1954">
            <v>5</v>
          </cell>
          <cell r="AE1954"/>
          <cell r="AF1954"/>
          <cell r="AG1954"/>
          <cell r="AH1954"/>
          <cell r="AI1954"/>
          <cell r="AJ1954"/>
          <cell r="AK1954"/>
          <cell r="AL1954"/>
        </row>
        <row r="1955">
          <cell r="E1955"/>
          <cell r="F1955"/>
          <cell r="G1955"/>
          <cell r="H1955"/>
          <cell r="I1955"/>
          <cell r="J1955"/>
          <cell r="K1955"/>
          <cell r="L1955"/>
          <cell r="M1955"/>
          <cell r="N1955"/>
          <cell r="O1955"/>
          <cell r="P1955"/>
          <cell r="Q1955"/>
          <cell r="R1955"/>
          <cell r="S1955"/>
          <cell r="T1955"/>
          <cell r="U1955"/>
          <cell r="V1955"/>
          <cell r="W1955"/>
          <cell r="X1955"/>
          <cell r="Y1955"/>
          <cell r="Z1955"/>
          <cell r="AA1955"/>
          <cell r="AB1955"/>
          <cell r="AC1955"/>
          <cell r="AD1955"/>
          <cell r="AE1955"/>
          <cell r="AF1955"/>
          <cell r="AG1955"/>
          <cell r="AH1955"/>
          <cell r="AI1955"/>
          <cell r="AJ1955"/>
          <cell r="AK1955"/>
          <cell r="AL1955"/>
        </row>
        <row r="1956">
          <cell r="E1956"/>
          <cell r="F1956"/>
          <cell r="G1956"/>
          <cell r="H1956"/>
          <cell r="I1956"/>
          <cell r="J1956"/>
          <cell r="K1956"/>
          <cell r="L1956"/>
          <cell r="M1956"/>
          <cell r="N1956"/>
          <cell r="O1956"/>
          <cell r="P1956"/>
          <cell r="Q1956"/>
          <cell r="R1956"/>
          <cell r="S1956"/>
          <cell r="T1956"/>
          <cell r="U1956"/>
          <cell r="V1956"/>
          <cell r="W1956"/>
          <cell r="X1956"/>
          <cell r="Y1956"/>
          <cell r="Z1956"/>
          <cell r="AA1956"/>
          <cell r="AB1956"/>
          <cell r="AC1956"/>
          <cell r="AD1956"/>
          <cell r="AE1956"/>
          <cell r="AF1956"/>
          <cell r="AG1956"/>
          <cell r="AH1956"/>
          <cell r="AI1956"/>
          <cell r="AJ1956"/>
          <cell r="AK1956"/>
          <cell r="AL1956"/>
        </row>
        <row r="1957">
          <cell r="E1957" t="str">
            <v>11_Users</v>
          </cell>
          <cell r="F1957"/>
          <cell r="G1957"/>
          <cell r="H1957"/>
          <cell r="I1957"/>
          <cell r="J1957"/>
          <cell r="K1957"/>
          <cell r="L1957"/>
          <cell r="M1957"/>
          <cell r="N1957"/>
          <cell r="O1957"/>
          <cell r="P1957"/>
          <cell r="Q1957"/>
          <cell r="R1957"/>
          <cell r="S1957"/>
          <cell r="T1957"/>
          <cell r="U1957"/>
          <cell r="V1957"/>
          <cell r="W1957"/>
          <cell r="X1957"/>
          <cell r="Y1957"/>
          <cell r="Z1957"/>
          <cell r="AA1957"/>
          <cell r="AB1957"/>
          <cell r="AC1957"/>
          <cell r="AD1957"/>
          <cell r="AE1957"/>
          <cell r="AF1957"/>
          <cell r="AG1957"/>
          <cell r="AH1957"/>
          <cell r="AI1957"/>
          <cell r="AJ1957"/>
          <cell r="AK1957"/>
          <cell r="AL1957"/>
        </row>
        <row r="1958">
          <cell r="E1958" t="str">
            <v>11_Users</v>
          </cell>
          <cell r="F1958"/>
          <cell r="G1958"/>
          <cell r="H1958"/>
          <cell r="I1958"/>
          <cell r="J1958"/>
          <cell r="K1958"/>
          <cell r="L1958"/>
          <cell r="M1958"/>
          <cell r="N1958"/>
          <cell r="O1958"/>
          <cell r="P1958"/>
          <cell r="Q1958"/>
          <cell r="R1958"/>
          <cell r="S1958"/>
          <cell r="T1958"/>
          <cell r="U1958"/>
          <cell r="V1958"/>
          <cell r="W1958"/>
          <cell r="X1958"/>
          <cell r="Y1958"/>
          <cell r="Z1958"/>
          <cell r="AA1958"/>
          <cell r="AB1958"/>
          <cell r="AC1958"/>
          <cell r="AD1958"/>
          <cell r="AE1958"/>
          <cell r="AF1958"/>
          <cell r="AG1958"/>
          <cell r="AH1958"/>
          <cell r="AI1958"/>
          <cell r="AJ1958"/>
          <cell r="AK1958"/>
          <cell r="AL1958"/>
        </row>
        <row r="1959">
          <cell r="E1959" t="str">
            <v>11_Users</v>
          </cell>
          <cell r="F1959"/>
          <cell r="G1959"/>
          <cell r="H1959"/>
          <cell r="I1959"/>
          <cell r="J1959"/>
          <cell r="K1959"/>
          <cell r="L1959"/>
          <cell r="M1959"/>
          <cell r="N1959"/>
          <cell r="O1959"/>
          <cell r="P1959"/>
          <cell r="Q1959"/>
          <cell r="R1959"/>
          <cell r="S1959"/>
          <cell r="T1959"/>
          <cell r="U1959"/>
          <cell r="V1959"/>
          <cell r="W1959"/>
          <cell r="X1959"/>
          <cell r="Y1959"/>
          <cell r="Z1959"/>
          <cell r="AA1959"/>
          <cell r="AB1959"/>
          <cell r="AC1959"/>
          <cell r="AD1959"/>
          <cell r="AE1959"/>
          <cell r="AF1959"/>
          <cell r="AG1959"/>
          <cell r="AH1959"/>
          <cell r="AI1959"/>
          <cell r="AJ1959"/>
          <cell r="AK1959"/>
          <cell r="AL1959"/>
        </row>
        <row r="1960">
          <cell r="E1960" t="str">
            <v>11_Users</v>
          </cell>
          <cell r="F1960"/>
          <cell r="G1960"/>
          <cell r="H1960"/>
          <cell r="I1960"/>
          <cell r="J1960"/>
          <cell r="K1960"/>
          <cell r="L1960"/>
          <cell r="M1960"/>
          <cell r="N1960"/>
          <cell r="O1960"/>
          <cell r="P1960"/>
          <cell r="Q1960"/>
          <cell r="R1960"/>
          <cell r="S1960"/>
          <cell r="T1960"/>
          <cell r="U1960"/>
          <cell r="V1960"/>
          <cell r="W1960"/>
          <cell r="X1960"/>
          <cell r="Y1960"/>
          <cell r="Z1960"/>
          <cell r="AA1960"/>
          <cell r="AB1960"/>
          <cell r="AC1960"/>
          <cell r="AD1960"/>
          <cell r="AE1960"/>
          <cell r="AF1960"/>
          <cell r="AG1960"/>
          <cell r="AH1960"/>
          <cell r="AI1960"/>
          <cell r="AJ1960"/>
          <cell r="AK1960"/>
          <cell r="AL1960"/>
        </row>
        <row r="1961">
          <cell r="E1961" t="str">
            <v>11_Users</v>
          </cell>
          <cell r="F1961"/>
          <cell r="G1961"/>
          <cell r="H1961"/>
          <cell r="I1961"/>
          <cell r="J1961"/>
          <cell r="K1961"/>
          <cell r="L1961"/>
          <cell r="M1961"/>
          <cell r="N1961"/>
          <cell r="O1961"/>
          <cell r="P1961"/>
          <cell r="Q1961"/>
          <cell r="R1961"/>
          <cell r="S1961"/>
          <cell r="T1961"/>
          <cell r="U1961"/>
          <cell r="V1961"/>
          <cell r="W1961"/>
          <cell r="X1961"/>
          <cell r="Y1961"/>
          <cell r="Z1961"/>
          <cell r="AA1961"/>
          <cell r="AB1961"/>
          <cell r="AC1961"/>
          <cell r="AD1961"/>
          <cell r="AE1961"/>
          <cell r="AF1961"/>
          <cell r="AG1961"/>
          <cell r="AH1961"/>
          <cell r="AI1961"/>
          <cell r="AJ1961"/>
          <cell r="AK1961"/>
          <cell r="AL1961"/>
        </row>
        <row r="1962">
          <cell r="E1962" t="str">
            <v>11_Users</v>
          </cell>
          <cell r="F1962"/>
          <cell r="G1962"/>
          <cell r="H1962"/>
          <cell r="I1962"/>
          <cell r="J1962"/>
          <cell r="K1962"/>
          <cell r="L1962"/>
          <cell r="M1962"/>
          <cell r="N1962"/>
          <cell r="O1962"/>
          <cell r="P1962"/>
          <cell r="Q1962"/>
          <cell r="R1962"/>
          <cell r="S1962"/>
          <cell r="T1962"/>
          <cell r="U1962"/>
          <cell r="V1962"/>
          <cell r="W1962"/>
          <cell r="X1962"/>
          <cell r="Y1962"/>
          <cell r="Z1962"/>
          <cell r="AA1962"/>
          <cell r="AB1962"/>
          <cell r="AC1962"/>
          <cell r="AD1962"/>
          <cell r="AE1962"/>
          <cell r="AF1962"/>
          <cell r="AG1962"/>
          <cell r="AH1962"/>
          <cell r="AI1962"/>
          <cell r="AJ1962"/>
          <cell r="AK1962"/>
          <cell r="AL1962"/>
        </row>
        <row r="1963">
          <cell r="E1963" t="str">
            <v>11_Users</v>
          </cell>
          <cell r="F1963"/>
          <cell r="G1963"/>
          <cell r="H1963"/>
          <cell r="I1963"/>
          <cell r="J1963"/>
          <cell r="K1963"/>
          <cell r="L1963"/>
          <cell r="M1963"/>
          <cell r="N1963"/>
          <cell r="O1963"/>
          <cell r="P1963"/>
          <cell r="Q1963"/>
          <cell r="R1963"/>
          <cell r="S1963"/>
          <cell r="T1963"/>
          <cell r="U1963"/>
          <cell r="V1963"/>
          <cell r="W1963"/>
          <cell r="X1963"/>
          <cell r="Y1963"/>
          <cell r="Z1963"/>
          <cell r="AA1963"/>
          <cell r="AB1963"/>
          <cell r="AC1963"/>
          <cell r="AD1963"/>
          <cell r="AE1963"/>
          <cell r="AF1963"/>
          <cell r="AG1963"/>
          <cell r="AH1963"/>
          <cell r="AI1963"/>
          <cell r="AJ1963"/>
          <cell r="AK1963"/>
          <cell r="AL1963"/>
        </row>
        <row r="1964">
          <cell r="E1964" t="str">
            <v>11_Users</v>
          </cell>
          <cell r="F1964"/>
          <cell r="G1964"/>
          <cell r="H1964"/>
          <cell r="I1964"/>
          <cell r="J1964"/>
          <cell r="K1964"/>
          <cell r="L1964"/>
          <cell r="M1964"/>
          <cell r="N1964"/>
          <cell r="O1964"/>
          <cell r="P1964"/>
          <cell r="Q1964"/>
          <cell r="R1964"/>
          <cell r="S1964"/>
          <cell r="T1964"/>
          <cell r="U1964"/>
          <cell r="V1964"/>
          <cell r="W1964"/>
          <cell r="X1964"/>
          <cell r="Y1964"/>
          <cell r="Z1964"/>
          <cell r="AA1964"/>
          <cell r="AB1964"/>
          <cell r="AC1964"/>
          <cell r="AD1964"/>
          <cell r="AE1964"/>
          <cell r="AF1964"/>
          <cell r="AG1964"/>
          <cell r="AH1964"/>
          <cell r="AI1964"/>
          <cell r="AJ1964"/>
          <cell r="AK1964"/>
          <cell r="AL1964"/>
        </row>
        <row r="1965">
          <cell r="E1965" t="str">
            <v>11_Users</v>
          </cell>
          <cell r="F1965"/>
          <cell r="G1965"/>
          <cell r="H1965"/>
          <cell r="I1965"/>
          <cell r="J1965"/>
          <cell r="K1965"/>
          <cell r="L1965"/>
          <cell r="M1965"/>
          <cell r="N1965"/>
          <cell r="O1965"/>
          <cell r="P1965"/>
          <cell r="Q1965"/>
          <cell r="R1965"/>
          <cell r="S1965"/>
          <cell r="T1965"/>
          <cell r="U1965"/>
          <cell r="V1965"/>
          <cell r="W1965"/>
          <cell r="X1965"/>
          <cell r="Y1965"/>
          <cell r="Z1965"/>
          <cell r="AA1965"/>
          <cell r="AB1965"/>
          <cell r="AC1965"/>
          <cell r="AD1965"/>
          <cell r="AE1965"/>
          <cell r="AF1965"/>
          <cell r="AG1965"/>
          <cell r="AH1965"/>
          <cell r="AI1965"/>
          <cell r="AJ1965"/>
          <cell r="AK1965"/>
          <cell r="AL1965"/>
        </row>
        <row r="1966">
          <cell r="E1966" t="str">
            <v>11_Users</v>
          </cell>
          <cell r="F1966"/>
          <cell r="G1966"/>
          <cell r="H1966"/>
          <cell r="I1966"/>
          <cell r="J1966"/>
          <cell r="K1966"/>
          <cell r="L1966"/>
          <cell r="M1966"/>
          <cell r="N1966"/>
          <cell r="O1966"/>
          <cell r="P1966"/>
          <cell r="Q1966"/>
          <cell r="R1966"/>
          <cell r="S1966"/>
          <cell r="T1966"/>
          <cell r="U1966"/>
          <cell r="V1966"/>
          <cell r="W1966"/>
          <cell r="X1966"/>
          <cell r="Y1966"/>
          <cell r="Z1966"/>
          <cell r="AA1966"/>
          <cell r="AB1966"/>
          <cell r="AC1966"/>
          <cell r="AD1966"/>
          <cell r="AE1966"/>
          <cell r="AF1966"/>
          <cell r="AG1966"/>
          <cell r="AH1966"/>
          <cell r="AI1966"/>
          <cell r="AJ1966"/>
          <cell r="AK1966"/>
          <cell r="AL1966"/>
        </row>
        <row r="1967">
          <cell r="E1967" t="str">
            <v>11_Users</v>
          </cell>
          <cell r="F1967"/>
          <cell r="G1967"/>
          <cell r="H1967"/>
          <cell r="I1967"/>
          <cell r="J1967"/>
          <cell r="K1967"/>
          <cell r="L1967"/>
          <cell r="M1967"/>
          <cell r="N1967"/>
          <cell r="O1967"/>
          <cell r="P1967"/>
          <cell r="Q1967"/>
          <cell r="R1967"/>
          <cell r="S1967"/>
          <cell r="T1967"/>
          <cell r="U1967"/>
          <cell r="V1967"/>
          <cell r="W1967"/>
          <cell r="X1967"/>
          <cell r="Y1967"/>
          <cell r="Z1967"/>
          <cell r="AA1967"/>
          <cell r="AB1967"/>
          <cell r="AC1967"/>
          <cell r="AD1967"/>
          <cell r="AE1967"/>
          <cell r="AF1967"/>
          <cell r="AG1967"/>
          <cell r="AH1967"/>
          <cell r="AI1967"/>
          <cell r="AJ1967"/>
          <cell r="AK1967"/>
          <cell r="AL1967"/>
        </row>
        <row r="1968">
          <cell r="E1968" t="str">
            <v>11_Users</v>
          </cell>
          <cell r="F1968"/>
          <cell r="G1968"/>
          <cell r="H1968"/>
          <cell r="I1968"/>
          <cell r="J1968"/>
          <cell r="K1968"/>
          <cell r="L1968"/>
          <cell r="M1968"/>
          <cell r="N1968"/>
          <cell r="O1968"/>
          <cell r="P1968"/>
          <cell r="Q1968"/>
          <cell r="R1968"/>
          <cell r="S1968"/>
          <cell r="T1968"/>
          <cell r="U1968"/>
          <cell r="V1968"/>
          <cell r="W1968"/>
          <cell r="X1968"/>
          <cell r="Y1968"/>
          <cell r="Z1968"/>
          <cell r="AA1968"/>
          <cell r="AB1968"/>
          <cell r="AC1968"/>
          <cell r="AD1968"/>
          <cell r="AE1968"/>
          <cell r="AF1968"/>
          <cell r="AG1968"/>
          <cell r="AH1968"/>
          <cell r="AI1968"/>
          <cell r="AJ1968"/>
          <cell r="AK1968"/>
          <cell r="AL1968"/>
        </row>
        <row r="1969">
          <cell r="E1969" t="str">
            <v>11_Users</v>
          </cell>
          <cell r="F1969"/>
          <cell r="G1969"/>
          <cell r="H1969"/>
          <cell r="I1969"/>
          <cell r="J1969"/>
          <cell r="K1969"/>
          <cell r="L1969"/>
          <cell r="M1969"/>
          <cell r="N1969"/>
          <cell r="O1969"/>
          <cell r="P1969"/>
          <cell r="Q1969"/>
          <cell r="R1969"/>
          <cell r="S1969"/>
          <cell r="T1969"/>
          <cell r="U1969"/>
          <cell r="V1969"/>
          <cell r="W1969"/>
          <cell r="X1969"/>
          <cell r="Y1969"/>
          <cell r="Z1969"/>
          <cell r="AA1969"/>
          <cell r="AB1969"/>
          <cell r="AC1969"/>
          <cell r="AD1969"/>
          <cell r="AE1969"/>
          <cell r="AF1969"/>
          <cell r="AG1969"/>
          <cell r="AH1969"/>
          <cell r="AI1969"/>
          <cell r="AJ1969"/>
          <cell r="AK1969"/>
          <cell r="AL1969"/>
        </row>
        <row r="1970">
          <cell r="E1970" t="str">
            <v>11_Users</v>
          </cell>
          <cell r="F1970"/>
          <cell r="G1970"/>
          <cell r="H1970"/>
          <cell r="I1970"/>
          <cell r="J1970"/>
          <cell r="K1970"/>
          <cell r="L1970"/>
          <cell r="M1970"/>
          <cell r="N1970"/>
          <cell r="O1970"/>
          <cell r="P1970"/>
          <cell r="Q1970"/>
          <cell r="R1970"/>
          <cell r="S1970"/>
          <cell r="T1970"/>
          <cell r="U1970"/>
          <cell r="V1970"/>
          <cell r="W1970"/>
          <cell r="X1970"/>
          <cell r="Y1970"/>
          <cell r="Z1970"/>
          <cell r="AA1970"/>
          <cell r="AB1970"/>
          <cell r="AC1970"/>
          <cell r="AD1970"/>
          <cell r="AE1970"/>
          <cell r="AF1970"/>
          <cell r="AG1970"/>
          <cell r="AH1970"/>
          <cell r="AI1970"/>
          <cell r="AJ1970"/>
          <cell r="AK1970"/>
          <cell r="AL1970"/>
        </row>
        <row r="1971">
          <cell r="E1971" t="str">
            <v>11_Users</v>
          </cell>
          <cell r="F1971"/>
          <cell r="G1971"/>
          <cell r="H1971"/>
          <cell r="I1971"/>
          <cell r="J1971"/>
          <cell r="K1971"/>
          <cell r="L1971"/>
          <cell r="M1971"/>
          <cell r="N1971"/>
          <cell r="O1971"/>
          <cell r="P1971"/>
          <cell r="Q1971"/>
          <cell r="R1971"/>
          <cell r="S1971"/>
          <cell r="T1971"/>
          <cell r="U1971"/>
          <cell r="V1971"/>
          <cell r="W1971"/>
          <cell r="X1971"/>
          <cell r="Y1971"/>
          <cell r="Z1971"/>
          <cell r="AA1971"/>
          <cell r="AB1971"/>
          <cell r="AC1971"/>
          <cell r="AD1971"/>
          <cell r="AE1971"/>
          <cell r="AF1971"/>
          <cell r="AG1971"/>
          <cell r="AH1971"/>
          <cell r="AI1971"/>
          <cell r="AJ1971"/>
          <cell r="AK1971"/>
          <cell r="AL1971"/>
        </row>
        <row r="1972">
          <cell r="E1972" t="str">
            <v>11_Users</v>
          </cell>
          <cell r="F1972"/>
          <cell r="G1972"/>
          <cell r="H1972"/>
          <cell r="I1972"/>
          <cell r="J1972"/>
          <cell r="K1972"/>
          <cell r="L1972"/>
          <cell r="M1972"/>
          <cell r="N1972"/>
          <cell r="O1972"/>
          <cell r="P1972"/>
          <cell r="Q1972"/>
          <cell r="R1972"/>
          <cell r="S1972"/>
          <cell r="T1972"/>
          <cell r="U1972"/>
          <cell r="V1972"/>
          <cell r="W1972"/>
          <cell r="X1972"/>
          <cell r="Y1972"/>
          <cell r="Z1972"/>
          <cell r="AA1972"/>
          <cell r="AB1972"/>
          <cell r="AC1972"/>
          <cell r="AD1972"/>
          <cell r="AE1972"/>
          <cell r="AF1972"/>
          <cell r="AG1972"/>
          <cell r="AH1972"/>
          <cell r="AI1972"/>
          <cell r="AJ1972"/>
          <cell r="AK1972"/>
          <cell r="AL1972"/>
        </row>
        <row r="1973">
          <cell r="E1973" t="str">
            <v>11_Users</v>
          </cell>
          <cell r="F1973"/>
          <cell r="G1973"/>
          <cell r="H1973"/>
          <cell r="I1973"/>
          <cell r="J1973"/>
          <cell r="K1973"/>
          <cell r="L1973"/>
          <cell r="M1973"/>
          <cell r="N1973"/>
          <cell r="O1973"/>
          <cell r="P1973"/>
          <cell r="Q1973"/>
          <cell r="R1973"/>
          <cell r="S1973"/>
          <cell r="T1973"/>
          <cell r="U1973"/>
          <cell r="V1973"/>
          <cell r="W1973"/>
          <cell r="X1973"/>
          <cell r="Y1973"/>
          <cell r="Z1973"/>
          <cell r="AA1973"/>
          <cell r="AB1973"/>
          <cell r="AC1973"/>
          <cell r="AD1973"/>
          <cell r="AE1973"/>
          <cell r="AF1973"/>
          <cell r="AG1973"/>
          <cell r="AH1973"/>
          <cell r="AI1973"/>
          <cell r="AJ1973"/>
          <cell r="AK1973"/>
          <cell r="AL1973"/>
        </row>
        <row r="1974">
          <cell r="E1974" t="str">
            <v>11_Users</v>
          </cell>
          <cell r="F1974"/>
          <cell r="G1974"/>
          <cell r="H1974"/>
          <cell r="I1974"/>
          <cell r="J1974"/>
          <cell r="K1974"/>
          <cell r="L1974"/>
          <cell r="M1974"/>
          <cell r="N1974"/>
          <cell r="O1974"/>
          <cell r="P1974"/>
          <cell r="Q1974"/>
          <cell r="R1974"/>
          <cell r="S1974"/>
          <cell r="T1974"/>
          <cell r="U1974"/>
          <cell r="V1974"/>
          <cell r="W1974"/>
          <cell r="X1974"/>
          <cell r="Y1974"/>
          <cell r="Z1974"/>
          <cell r="AA1974"/>
          <cell r="AB1974"/>
          <cell r="AC1974"/>
          <cell r="AD1974"/>
          <cell r="AE1974"/>
          <cell r="AF1974"/>
          <cell r="AG1974"/>
          <cell r="AH1974"/>
          <cell r="AI1974"/>
          <cell r="AJ1974"/>
          <cell r="AK1974"/>
          <cell r="AL1974"/>
        </row>
        <row r="1975">
          <cell r="E1975" t="str">
            <v>11_Users</v>
          </cell>
          <cell r="F1975"/>
          <cell r="G1975"/>
          <cell r="H1975"/>
          <cell r="I1975"/>
          <cell r="J1975"/>
          <cell r="K1975"/>
          <cell r="L1975"/>
          <cell r="M1975"/>
          <cell r="N1975"/>
          <cell r="O1975"/>
          <cell r="P1975"/>
          <cell r="Q1975"/>
          <cell r="R1975"/>
          <cell r="S1975"/>
          <cell r="T1975"/>
          <cell r="U1975"/>
          <cell r="V1975"/>
          <cell r="W1975"/>
          <cell r="X1975"/>
          <cell r="Y1975"/>
          <cell r="Z1975"/>
          <cell r="AA1975"/>
          <cell r="AB1975"/>
          <cell r="AC1975"/>
          <cell r="AD1975"/>
          <cell r="AE1975"/>
          <cell r="AF1975"/>
          <cell r="AG1975"/>
          <cell r="AH1975"/>
          <cell r="AI1975"/>
          <cell r="AJ1975"/>
          <cell r="AK1975"/>
          <cell r="AL1975"/>
        </row>
        <row r="1976">
          <cell r="E1976" t="str">
            <v>11_Users</v>
          </cell>
          <cell r="F1976"/>
          <cell r="G1976"/>
          <cell r="H1976"/>
          <cell r="I1976"/>
          <cell r="J1976"/>
          <cell r="K1976"/>
          <cell r="L1976"/>
          <cell r="M1976"/>
          <cell r="N1976"/>
          <cell r="O1976"/>
          <cell r="P1976"/>
          <cell r="Q1976"/>
          <cell r="R1976"/>
          <cell r="S1976"/>
          <cell r="T1976"/>
          <cell r="U1976"/>
          <cell r="V1976"/>
          <cell r="W1976"/>
          <cell r="X1976"/>
          <cell r="Y1976"/>
          <cell r="Z1976"/>
          <cell r="AA1976"/>
          <cell r="AB1976"/>
          <cell r="AC1976"/>
          <cell r="AD1976"/>
          <cell r="AE1976"/>
          <cell r="AF1976"/>
          <cell r="AG1976"/>
          <cell r="AH1976"/>
          <cell r="AI1976"/>
          <cell r="AJ1976"/>
          <cell r="AK1976"/>
          <cell r="AL1976"/>
        </row>
        <row r="1977">
          <cell r="E1977" t="str">
            <v>11_Users</v>
          </cell>
          <cell r="F1977"/>
          <cell r="G1977"/>
          <cell r="H1977"/>
          <cell r="I1977"/>
          <cell r="J1977"/>
          <cell r="K1977"/>
          <cell r="L1977"/>
          <cell r="M1977"/>
          <cell r="N1977"/>
          <cell r="O1977"/>
          <cell r="P1977"/>
          <cell r="Q1977"/>
          <cell r="R1977"/>
          <cell r="S1977"/>
          <cell r="T1977"/>
          <cell r="U1977"/>
          <cell r="V1977"/>
          <cell r="W1977"/>
          <cell r="X1977"/>
          <cell r="Y1977"/>
          <cell r="Z1977"/>
          <cell r="AA1977"/>
          <cell r="AB1977"/>
          <cell r="AC1977"/>
          <cell r="AD1977"/>
          <cell r="AE1977"/>
          <cell r="AF1977"/>
          <cell r="AG1977"/>
          <cell r="AH1977"/>
          <cell r="AI1977"/>
          <cell r="AJ1977"/>
          <cell r="AK1977"/>
          <cell r="AL1977"/>
        </row>
        <row r="1978">
          <cell r="E1978" t="str">
            <v>11_Users</v>
          </cell>
          <cell r="F1978"/>
          <cell r="G1978"/>
          <cell r="H1978"/>
          <cell r="I1978"/>
          <cell r="J1978"/>
          <cell r="K1978"/>
          <cell r="L1978"/>
          <cell r="M1978"/>
          <cell r="N1978"/>
          <cell r="O1978"/>
          <cell r="P1978"/>
          <cell r="Q1978"/>
          <cell r="R1978"/>
          <cell r="S1978"/>
          <cell r="T1978"/>
          <cell r="U1978"/>
          <cell r="V1978"/>
          <cell r="W1978"/>
          <cell r="X1978"/>
          <cell r="Y1978"/>
          <cell r="Z1978"/>
          <cell r="AA1978"/>
          <cell r="AB1978"/>
          <cell r="AC1978"/>
          <cell r="AD1978"/>
          <cell r="AE1978"/>
          <cell r="AF1978"/>
          <cell r="AG1978"/>
          <cell r="AH1978"/>
          <cell r="AI1978"/>
          <cell r="AJ1978"/>
          <cell r="AK1978"/>
          <cell r="AL1978"/>
        </row>
        <row r="1979">
          <cell r="E1979" t="str">
            <v>11_Users</v>
          </cell>
          <cell r="F1979"/>
          <cell r="G1979"/>
          <cell r="H1979"/>
          <cell r="I1979"/>
          <cell r="J1979"/>
          <cell r="K1979"/>
          <cell r="L1979"/>
          <cell r="M1979"/>
          <cell r="N1979"/>
          <cell r="O1979"/>
          <cell r="P1979"/>
          <cell r="Q1979"/>
          <cell r="R1979"/>
          <cell r="S1979"/>
          <cell r="T1979"/>
          <cell r="U1979"/>
          <cell r="V1979"/>
          <cell r="W1979"/>
          <cell r="X1979"/>
          <cell r="Y1979"/>
          <cell r="Z1979"/>
          <cell r="AA1979"/>
          <cell r="AB1979"/>
          <cell r="AC1979"/>
          <cell r="AD1979"/>
          <cell r="AE1979"/>
          <cell r="AF1979"/>
          <cell r="AG1979"/>
          <cell r="AH1979"/>
          <cell r="AI1979"/>
          <cell r="AJ1979"/>
          <cell r="AK1979"/>
          <cell r="AL1979"/>
        </row>
        <row r="1980">
          <cell r="E1980" t="str">
            <v>11_Users</v>
          </cell>
          <cell r="F1980"/>
          <cell r="G1980"/>
          <cell r="H1980"/>
          <cell r="I1980"/>
          <cell r="J1980"/>
          <cell r="K1980"/>
          <cell r="L1980"/>
          <cell r="M1980"/>
          <cell r="N1980"/>
          <cell r="O1980"/>
          <cell r="P1980"/>
          <cell r="Q1980"/>
          <cell r="R1980"/>
          <cell r="S1980"/>
          <cell r="T1980"/>
          <cell r="U1980"/>
          <cell r="V1980"/>
          <cell r="W1980"/>
          <cell r="X1980"/>
          <cell r="Y1980"/>
          <cell r="Z1980"/>
          <cell r="AA1980"/>
          <cell r="AB1980"/>
          <cell r="AC1980"/>
          <cell r="AD1980"/>
          <cell r="AE1980"/>
          <cell r="AF1980"/>
          <cell r="AG1980"/>
          <cell r="AH1980"/>
          <cell r="AI1980"/>
          <cell r="AJ1980"/>
          <cell r="AK1980"/>
          <cell r="AL1980"/>
        </row>
        <row r="1981">
          <cell r="E1981" t="str">
            <v>11_Users</v>
          </cell>
          <cell r="F1981"/>
          <cell r="G1981"/>
          <cell r="H1981"/>
          <cell r="I1981"/>
          <cell r="J1981"/>
          <cell r="K1981"/>
          <cell r="L1981"/>
          <cell r="M1981"/>
          <cell r="N1981"/>
          <cell r="O1981"/>
          <cell r="P1981"/>
          <cell r="Q1981"/>
          <cell r="R1981"/>
          <cell r="S1981"/>
          <cell r="T1981"/>
          <cell r="U1981"/>
          <cell r="V1981"/>
          <cell r="W1981"/>
          <cell r="X1981"/>
          <cell r="Y1981"/>
          <cell r="Z1981"/>
          <cell r="AA1981"/>
          <cell r="AB1981"/>
          <cell r="AC1981"/>
          <cell r="AD1981"/>
          <cell r="AE1981"/>
          <cell r="AF1981"/>
          <cell r="AG1981"/>
          <cell r="AH1981"/>
          <cell r="AI1981"/>
          <cell r="AJ1981"/>
          <cell r="AK1981"/>
          <cell r="AL1981"/>
        </row>
        <row r="1982">
          <cell r="E1982" t="str">
            <v>11_Users</v>
          </cell>
          <cell r="F1982"/>
          <cell r="G1982"/>
          <cell r="H1982"/>
          <cell r="I1982"/>
          <cell r="J1982"/>
          <cell r="K1982"/>
          <cell r="L1982"/>
          <cell r="M1982"/>
          <cell r="N1982"/>
          <cell r="O1982"/>
          <cell r="P1982"/>
          <cell r="Q1982"/>
          <cell r="R1982"/>
          <cell r="S1982"/>
          <cell r="T1982"/>
          <cell r="U1982"/>
          <cell r="V1982"/>
          <cell r="W1982"/>
          <cell r="X1982"/>
          <cell r="Y1982"/>
          <cell r="Z1982"/>
          <cell r="AA1982"/>
          <cell r="AB1982"/>
          <cell r="AC1982"/>
          <cell r="AD1982"/>
          <cell r="AE1982"/>
          <cell r="AF1982"/>
          <cell r="AG1982"/>
          <cell r="AH1982"/>
          <cell r="AI1982"/>
          <cell r="AJ1982"/>
          <cell r="AK1982"/>
          <cell r="AL1982"/>
        </row>
        <row r="1983">
          <cell r="E1983" t="str">
            <v>11_Users</v>
          </cell>
          <cell r="F1983"/>
          <cell r="G1983"/>
          <cell r="H1983"/>
          <cell r="I1983"/>
          <cell r="J1983"/>
          <cell r="K1983"/>
          <cell r="L1983"/>
          <cell r="M1983"/>
          <cell r="N1983"/>
          <cell r="O1983"/>
          <cell r="P1983"/>
          <cell r="Q1983"/>
          <cell r="R1983"/>
          <cell r="S1983"/>
          <cell r="T1983"/>
          <cell r="U1983"/>
          <cell r="V1983"/>
          <cell r="W1983"/>
          <cell r="X1983"/>
          <cell r="Y1983"/>
          <cell r="Z1983"/>
          <cell r="AA1983"/>
          <cell r="AB1983"/>
          <cell r="AC1983"/>
          <cell r="AD1983"/>
          <cell r="AE1983"/>
          <cell r="AF1983"/>
          <cell r="AG1983"/>
          <cell r="AH1983"/>
          <cell r="AI1983"/>
          <cell r="AJ1983"/>
          <cell r="AK1983"/>
          <cell r="AL1983"/>
        </row>
        <row r="1984">
          <cell r="E1984" t="str">
            <v>11_Users</v>
          </cell>
          <cell r="F1984"/>
          <cell r="G1984"/>
          <cell r="H1984"/>
          <cell r="I1984"/>
          <cell r="J1984"/>
          <cell r="K1984"/>
          <cell r="L1984"/>
          <cell r="M1984"/>
          <cell r="N1984"/>
          <cell r="O1984"/>
          <cell r="P1984"/>
          <cell r="Q1984"/>
          <cell r="R1984"/>
          <cell r="S1984"/>
          <cell r="T1984"/>
          <cell r="U1984"/>
          <cell r="V1984"/>
          <cell r="W1984"/>
          <cell r="X1984"/>
          <cell r="Y1984"/>
          <cell r="Z1984"/>
          <cell r="AA1984"/>
          <cell r="AB1984"/>
          <cell r="AC1984"/>
          <cell r="AD1984"/>
          <cell r="AE1984"/>
          <cell r="AF1984"/>
          <cell r="AG1984"/>
          <cell r="AH1984"/>
          <cell r="AI1984"/>
          <cell r="AJ1984"/>
          <cell r="AK1984"/>
          <cell r="AL1984"/>
        </row>
        <row r="1985">
          <cell r="E1985" t="str">
            <v>11_Users</v>
          </cell>
          <cell r="F1985"/>
          <cell r="G1985"/>
          <cell r="H1985"/>
          <cell r="I1985"/>
          <cell r="J1985"/>
          <cell r="K1985"/>
          <cell r="L1985"/>
          <cell r="M1985"/>
          <cell r="N1985"/>
          <cell r="O1985"/>
          <cell r="P1985"/>
          <cell r="Q1985"/>
          <cell r="R1985"/>
          <cell r="S1985"/>
          <cell r="T1985"/>
          <cell r="U1985"/>
          <cell r="V1985"/>
          <cell r="W1985"/>
          <cell r="X1985"/>
          <cell r="Y1985"/>
          <cell r="Z1985"/>
          <cell r="AA1985"/>
          <cell r="AB1985"/>
          <cell r="AC1985"/>
          <cell r="AD1985"/>
          <cell r="AE1985"/>
          <cell r="AF1985"/>
          <cell r="AG1985"/>
          <cell r="AH1985"/>
          <cell r="AI1985"/>
          <cell r="AJ1985"/>
          <cell r="AK1985"/>
          <cell r="AL1985"/>
        </row>
        <row r="1986">
          <cell r="E1986" t="str">
            <v>11_Users</v>
          </cell>
          <cell r="F1986"/>
          <cell r="G1986"/>
          <cell r="H1986"/>
          <cell r="I1986"/>
          <cell r="J1986"/>
          <cell r="K1986"/>
          <cell r="L1986"/>
          <cell r="M1986"/>
          <cell r="N1986"/>
          <cell r="O1986"/>
          <cell r="P1986"/>
          <cell r="Q1986"/>
          <cell r="R1986"/>
          <cell r="S1986"/>
          <cell r="T1986"/>
          <cell r="U1986"/>
          <cell r="V1986"/>
          <cell r="W1986"/>
          <cell r="X1986"/>
          <cell r="Y1986"/>
          <cell r="Z1986"/>
          <cell r="AA1986"/>
          <cell r="AB1986"/>
          <cell r="AC1986"/>
          <cell r="AD1986"/>
          <cell r="AE1986"/>
          <cell r="AF1986"/>
          <cell r="AG1986"/>
          <cell r="AH1986"/>
          <cell r="AI1986"/>
          <cell r="AJ1986"/>
          <cell r="AK1986"/>
          <cell r="AL1986"/>
        </row>
        <row r="1987">
          <cell r="E1987" t="str">
            <v>11_Users</v>
          </cell>
          <cell r="F1987"/>
          <cell r="G1987"/>
          <cell r="H1987"/>
          <cell r="I1987"/>
          <cell r="J1987"/>
          <cell r="K1987"/>
          <cell r="L1987"/>
          <cell r="M1987"/>
          <cell r="N1987"/>
          <cell r="O1987"/>
          <cell r="P1987"/>
          <cell r="Q1987"/>
          <cell r="R1987"/>
          <cell r="S1987"/>
          <cell r="T1987"/>
          <cell r="U1987"/>
          <cell r="V1987"/>
          <cell r="W1987"/>
          <cell r="X1987"/>
          <cell r="Y1987"/>
          <cell r="Z1987"/>
          <cell r="AA1987"/>
          <cell r="AB1987"/>
          <cell r="AC1987"/>
          <cell r="AD1987"/>
          <cell r="AE1987"/>
          <cell r="AF1987"/>
          <cell r="AG1987"/>
          <cell r="AH1987"/>
          <cell r="AI1987"/>
          <cell r="AJ1987"/>
          <cell r="AK1987"/>
          <cell r="AL1987"/>
        </row>
        <row r="1988">
          <cell r="E1988" t="str">
            <v>11_Users</v>
          </cell>
          <cell r="F1988"/>
          <cell r="G1988"/>
          <cell r="H1988"/>
          <cell r="I1988"/>
          <cell r="J1988"/>
          <cell r="K1988"/>
          <cell r="L1988"/>
          <cell r="M1988"/>
          <cell r="N1988"/>
          <cell r="O1988"/>
          <cell r="P1988"/>
          <cell r="Q1988"/>
          <cell r="R1988"/>
          <cell r="S1988"/>
          <cell r="T1988"/>
          <cell r="U1988"/>
          <cell r="V1988"/>
          <cell r="W1988"/>
          <cell r="X1988"/>
          <cell r="Y1988"/>
          <cell r="Z1988"/>
          <cell r="AA1988"/>
          <cell r="AB1988"/>
          <cell r="AC1988"/>
          <cell r="AD1988"/>
          <cell r="AE1988"/>
          <cell r="AF1988"/>
          <cell r="AG1988"/>
          <cell r="AH1988"/>
          <cell r="AI1988"/>
          <cell r="AJ1988"/>
          <cell r="AK1988"/>
          <cell r="AL1988"/>
        </row>
        <row r="1989">
          <cell r="E1989" t="str">
            <v>11_Users</v>
          </cell>
          <cell r="F1989"/>
          <cell r="G1989"/>
          <cell r="H1989"/>
          <cell r="I1989"/>
          <cell r="J1989"/>
          <cell r="K1989"/>
          <cell r="L1989"/>
          <cell r="M1989"/>
          <cell r="N1989"/>
          <cell r="O1989"/>
          <cell r="P1989"/>
          <cell r="Q1989"/>
          <cell r="R1989"/>
          <cell r="S1989"/>
          <cell r="T1989"/>
          <cell r="U1989"/>
          <cell r="V1989"/>
          <cell r="W1989"/>
          <cell r="X1989"/>
          <cell r="Y1989"/>
          <cell r="Z1989"/>
          <cell r="AA1989"/>
          <cell r="AB1989"/>
          <cell r="AC1989"/>
          <cell r="AD1989"/>
          <cell r="AE1989"/>
          <cell r="AF1989"/>
          <cell r="AG1989"/>
          <cell r="AH1989"/>
          <cell r="AI1989"/>
          <cell r="AJ1989"/>
          <cell r="AK1989"/>
          <cell r="AL1989"/>
        </row>
        <row r="1990">
          <cell r="E1990" t="str">
            <v>11_Users</v>
          </cell>
          <cell r="F1990"/>
          <cell r="G1990"/>
          <cell r="H1990"/>
          <cell r="I1990"/>
          <cell r="J1990"/>
          <cell r="K1990"/>
          <cell r="L1990"/>
          <cell r="M1990"/>
          <cell r="N1990"/>
          <cell r="O1990"/>
          <cell r="P1990"/>
          <cell r="Q1990"/>
          <cell r="R1990"/>
          <cell r="S1990"/>
          <cell r="T1990"/>
          <cell r="U1990"/>
          <cell r="V1990"/>
          <cell r="W1990"/>
          <cell r="X1990"/>
          <cell r="Y1990"/>
          <cell r="Z1990"/>
          <cell r="AA1990"/>
          <cell r="AB1990"/>
          <cell r="AC1990"/>
          <cell r="AD1990"/>
          <cell r="AE1990"/>
          <cell r="AF1990"/>
          <cell r="AG1990"/>
          <cell r="AH1990"/>
          <cell r="AI1990"/>
          <cell r="AJ1990"/>
          <cell r="AK1990"/>
          <cell r="AL1990"/>
        </row>
        <row r="1991">
          <cell r="E1991" t="str">
            <v>11_Users</v>
          </cell>
          <cell r="F1991"/>
          <cell r="G1991"/>
          <cell r="H1991"/>
          <cell r="I1991"/>
          <cell r="J1991"/>
          <cell r="K1991"/>
          <cell r="L1991"/>
          <cell r="M1991"/>
          <cell r="N1991"/>
          <cell r="O1991"/>
          <cell r="P1991"/>
          <cell r="Q1991"/>
          <cell r="R1991"/>
          <cell r="S1991"/>
          <cell r="T1991"/>
          <cell r="U1991"/>
          <cell r="V1991"/>
          <cell r="W1991"/>
          <cell r="X1991"/>
          <cell r="Y1991"/>
          <cell r="Z1991"/>
          <cell r="AA1991"/>
          <cell r="AB1991"/>
          <cell r="AC1991"/>
          <cell r="AD1991"/>
          <cell r="AE1991"/>
          <cell r="AF1991"/>
          <cell r="AG1991"/>
          <cell r="AH1991"/>
          <cell r="AI1991"/>
          <cell r="AJ1991"/>
          <cell r="AK1991"/>
          <cell r="AL1991"/>
        </row>
        <row r="1992">
          <cell r="E1992" t="str">
            <v>11_Users</v>
          </cell>
          <cell r="F1992"/>
          <cell r="G1992"/>
          <cell r="H1992"/>
          <cell r="I1992"/>
          <cell r="J1992"/>
          <cell r="K1992"/>
          <cell r="L1992"/>
          <cell r="M1992"/>
          <cell r="N1992"/>
          <cell r="O1992"/>
          <cell r="P1992"/>
          <cell r="Q1992"/>
          <cell r="R1992"/>
          <cell r="S1992"/>
          <cell r="T1992"/>
          <cell r="U1992"/>
          <cell r="V1992"/>
          <cell r="W1992"/>
          <cell r="X1992"/>
          <cell r="Y1992"/>
          <cell r="Z1992"/>
          <cell r="AA1992"/>
          <cell r="AB1992"/>
          <cell r="AC1992"/>
          <cell r="AD1992"/>
          <cell r="AE1992"/>
          <cell r="AF1992"/>
          <cell r="AG1992"/>
          <cell r="AH1992"/>
          <cell r="AI1992"/>
          <cell r="AJ1992"/>
          <cell r="AK1992"/>
          <cell r="AL1992"/>
        </row>
        <row r="1993">
          <cell r="E1993" t="str">
            <v>11_Users</v>
          </cell>
          <cell r="F1993"/>
          <cell r="G1993"/>
          <cell r="H1993"/>
          <cell r="I1993"/>
          <cell r="J1993"/>
          <cell r="K1993"/>
          <cell r="L1993"/>
          <cell r="M1993"/>
          <cell r="N1993"/>
          <cell r="O1993"/>
          <cell r="P1993"/>
          <cell r="Q1993"/>
          <cell r="R1993"/>
          <cell r="S1993"/>
          <cell r="T1993"/>
          <cell r="U1993"/>
          <cell r="V1993"/>
          <cell r="W1993"/>
          <cell r="X1993"/>
          <cell r="Y1993"/>
          <cell r="Z1993"/>
          <cell r="AA1993"/>
          <cell r="AB1993"/>
          <cell r="AC1993"/>
          <cell r="AD1993"/>
          <cell r="AE1993"/>
          <cell r="AF1993"/>
          <cell r="AG1993"/>
          <cell r="AH1993"/>
          <cell r="AI1993"/>
          <cell r="AJ1993"/>
          <cell r="AK1993"/>
          <cell r="AL1993"/>
        </row>
        <row r="1994">
          <cell r="E1994" t="str">
            <v>11_Users</v>
          </cell>
          <cell r="F1994"/>
          <cell r="G1994"/>
          <cell r="H1994"/>
          <cell r="I1994"/>
          <cell r="J1994"/>
          <cell r="K1994"/>
          <cell r="L1994"/>
          <cell r="M1994"/>
          <cell r="N1994"/>
          <cell r="O1994"/>
          <cell r="P1994"/>
          <cell r="Q1994"/>
          <cell r="R1994"/>
          <cell r="S1994"/>
          <cell r="T1994"/>
          <cell r="U1994"/>
          <cell r="V1994"/>
          <cell r="W1994"/>
          <cell r="X1994"/>
          <cell r="Y1994"/>
          <cell r="Z1994"/>
          <cell r="AA1994"/>
          <cell r="AB1994"/>
          <cell r="AC1994"/>
          <cell r="AD1994"/>
          <cell r="AE1994"/>
          <cell r="AF1994"/>
          <cell r="AG1994"/>
          <cell r="AH1994"/>
          <cell r="AI1994"/>
          <cell r="AJ1994"/>
          <cell r="AK1994"/>
          <cell r="AL1994"/>
        </row>
        <row r="1995">
          <cell r="E1995" t="str">
            <v>11_Users</v>
          </cell>
          <cell r="F1995"/>
          <cell r="G1995"/>
          <cell r="H1995"/>
          <cell r="I1995"/>
          <cell r="J1995"/>
          <cell r="K1995"/>
          <cell r="L1995"/>
          <cell r="M1995"/>
          <cell r="N1995"/>
          <cell r="O1995"/>
          <cell r="P1995"/>
          <cell r="Q1995"/>
          <cell r="R1995"/>
          <cell r="S1995"/>
          <cell r="T1995"/>
          <cell r="U1995"/>
          <cell r="V1995"/>
          <cell r="W1995"/>
          <cell r="X1995"/>
          <cell r="Y1995"/>
          <cell r="Z1995"/>
          <cell r="AA1995"/>
          <cell r="AB1995"/>
          <cell r="AC1995"/>
          <cell r="AD1995"/>
          <cell r="AE1995"/>
          <cell r="AF1995"/>
          <cell r="AG1995"/>
          <cell r="AH1995"/>
          <cell r="AI1995"/>
          <cell r="AJ1995"/>
          <cell r="AK1995"/>
          <cell r="AL1995"/>
        </row>
        <row r="1996">
          <cell r="E1996" t="str">
            <v>11_Users</v>
          </cell>
          <cell r="F1996"/>
          <cell r="G1996"/>
          <cell r="H1996"/>
          <cell r="I1996"/>
          <cell r="J1996"/>
          <cell r="K1996"/>
          <cell r="L1996"/>
          <cell r="M1996"/>
          <cell r="N1996"/>
          <cell r="O1996"/>
          <cell r="P1996"/>
          <cell r="Q1996"/>
          <cell r="R1996"/>
          <cell r="S1996"/>
          <cell r="T1996"/>
          <cell r="U1996"/>
          <cell r="V1996"/>
          <cell r="W1996"/>
          <cell r="X1996"/>
          <cell r="Y1996"/>
          <cell r="Z1996"/>
          <cell r="AA1996"/>
          <cell r="AB1996"/>
          <cell r="AC1996"/>
          <cell r="AD1996"/>
          <cell r="AE1996"/>
          <cell r="AF1996"/>
          <cell r="AG1996"/>
          <cell r="AH1996"/>
          <cell r="AI1996"/>
          <cell r="AJ1996"/>
          <cell r="AK1996"/>
          <cell r="AL1996"/>
        </row>
        <row r="1997">
          <cell r="E1997"/>
          <cell r="F1997"/>
          <cell r="G1997"/>
          <cell r="H1997"/>
          <cell r="I1997"/>
          <cell r="J1997"/>
          <cell r="K1997"/>
          <cell r="L1997"/>
          <cell r="M1997"/>
          <cell r="N1997"/>
          <cell r="O1997"/>
          <cell r="P1997"/>
          <cell r="Q1997"/>
          <cell r="R1997"/>
          <cell r="S1997"/>
          <cell r="T1997"/>
          <cell r="U1997"/>
          <cell r="V1997"/>
          <cell r="W1997"/>
          <cell r="X1997"/>
          <cell r="Y1997"/>
          <cell r="Z1997"/>
          <cell r="AA1997"/>
          <cell r="AB1997"/>
          <cell r="AC1997"/>
          <cell r="AD1997"/>
          <cell r="AE1997"/>
          <cell r="AF1997"/>
          <cell r="AG1997"/>
          <cell r="AH1997"/>
          <cell r="AI1997"/>
          <cell r="AJ1997"/>
          <cell r="AK1997"/>
          <cell r="AL1997"/>
        </row>
        <row r="1998">
          <cell r="E1998"/>
          <cell r="F1998"/>
          <cell r="G1998"/>
          <cell r="H1998"/>
          <cell r="I1998"/>
          <cell r="J1998"/>
          <cell r="K1998"/>
          <cell r="L1998"/>
          <cell r="M1998"/>
          <cell r="N1998"/>
          <cell r="O1998"/>
          <cell r="P1998"/>
          <cell r="Q1998"/>
          <cell r="R1998"/>
          <cell r="S1998"/>
          <cell r="T1998"/>
          <cell r="U1998"/>
          <cell r="V1998"/>
          <cell r="W1998"/>
          <cell r="X1998"/>
          <cell r="Y1998"/>
          <cell r="Z1998"/>
          <cell r="AA1998"/>
          <cell r="AB1998"/>
          <cell r="AC1998"/>
          <cell r="AD1998"/>
          <cell r="AE1998"/>
          <cell r="AF1998"/>
          <cell r="AG1998"/>
          <cell r="AH1998"/>
          <cell r="AI1998"/>
          <cell r="AJ1998"/>
          <cell r="AK1998"/>
          <cell r="AL1998"/>
        </row>
        <row r="1999">
          <cell r="E1999" t="str">
            <v>■Ｈｆウォールライト</v>
          </cell>
          <cell r="F1999"/>
          <cell r="G1999"/>
          <cell r="H1999"/>
          <cell r="I1999"/>
          <cell r="J1999"/>
          <cell r="K1999"/>
          <cell r="L1999"/>
          <cell r="M1999"/>
          <cell r="N1999"/>
          <cell r="O1999"/>
          <cell r="P1999"/>
          <cell r="Q1999"/>
          <cell r="R1999"/>
          <cell r="S1999"/>
          <cell r="T1999"/>
          <cell r="U1999"/>
          <cell r="V1999"/>
          <cell r="W1999"/>
          <cell r="X1999"/>
          <cell r="Y1999"/>
          <cell r="Z1999"/>
          <cell r="AA1999"/>
          <cell r="AB1999"/>
          <cell r="AC1999"/>
          <cell r="AD1999"/>
          <cell r="AE1999"/>
          <cell r="AF1999"/>
          <cell r="AG1999"/>
          <cell r="AH1999"/>
          <cell r="AI1999"/>
          <cell r="AJ1999"/>
          <cell r="AK1999"/>
          <cell r="AL1999"/>
        </row>
        <row r="2000">
          <cell r="E2000" t="str">
            <v>B7-321PH</v>
          </cell>
          <cell r="F2000" t="str">
            <v>台</v>
          </cell>
          <cell r="G2000"/>
          <cell r="H2000">
            <v>29000</v>
          </cell>
          <cell r="I2000"/>
          <cell r="J2000">
            <v>29000</v>
          </cell>
          <cell r="K2000"/>
          <cell r="L2000">
            <v>29000</v>
          </cell>
          <cell r="M2000"/>
          <cell r="N2000">
            <v>29000</v>
          </cell>
          <cell r="O2000"/>
          <cell r="P2000">
            <v>29000</v>
          </cell>
          <cell r="Q2000"/>
          <cell r="R2000">
            <v>29000</v>
          </cell>
          <cell r="S2000"/>
          <cell r="T2000">
            <v>29000</v>
          </cell>
          <cell r="U2000"/>
          <cell r="V2000">
            <v>29000</v>
          </cell>
          <cell r="W2000"/>
          <cell r="X2000">
            <v>29000</v>
          </cell>
          <cell r="Y2000"/>
          <cell r="Z2000">
            <v>29000</v>
          </cell>
          <cell r="AA2000"/>
          <cell r="AB2000"/>
          <cell r="AC2000"/>
          <cell r="AD2000">
            <v>0.20899999999999999</v>
          </cell>
          <cell r="AE2000"/>
          <cell r="AF2000"/>
          <cell r="AG2000">
            <v>4950</v>
          </cell>
          <cell r="AH2000">
            <v>48</v>
          </cell>
          <cell r="AI2000">
            <v>0.97899999999999998</v>
          </cell>
          <cell r="AJ2000">
            <v>1</v>
          </cell>
          <cell r="AK2000">
            <v>49.02</v>
          </cell>
          <cell r="AL2000"/>
        </row>
        <row r="2001">
          <cell r="E2001" t="str">
            <v>■Ｈｆ片反射笠</v>
          </cell>
          <cell r="F2001"/>
          <cell r="G2001"/>
          <cell r="H2001"/>
          <cell r="I2001"/>
          <cell r="J2001"/>
          <cell r="K2001"/>
          <cell r="L2001"/>
          <cell r="M2001"/>
          <cell r="N2001"/>
          <cell r="O2001"/>
          <cell r="P2001"/>
          <cell r="Q2001"/>
          <cell r="R2001"/>
          <cell r="S2001"/>
          <cell r="T2001"/>
          <cell r="U2001"/>
          <cell r="V2001"/>
          <cell r="W2001"/>
          <cell r="X2001"/>
          <cell r="Y2001"/>
          <cell r="Z2001"/>
          <cell r="AA2001"/>
          <cell r="AB2001"/>
          <cell r="AC2001"/>
          <cell r="AD2001"/>
          <cell r="AE2001"/>
          <cell r="AF2001"/>
          <cell r="AG2001"/>
          <cell r="AH2001"/>
          <cell r="AI2001"/>
          <cell r="AJ2001"/>
          <cell r="AK2001"/>
          <cell r="AL2001"/>
        </row>
        <row r="2002">
          <cell r="E2002" t="str">
            <v>S5-321PN</v>
          </cell>
          <cell r="F2002" t="str">
            <v>台</v>
          </cell>
          <cell r="G2002"/>
          <cell r="H2002">
            <v>3460</v>
          </cell>
          <cell r="I2002"/>
          <cell r="J2002">
            <v>3460</v>
          </cell>
          <cell r="K2002"/>
          <cell r="L2002">
            <v>3460</v>
          </cell>
          <cell r="M2002"/>
          <cell r="N2002">
            <v>3460</v>
          </cell>
          <cell r="O2002"/>
          <cell r="P2002">
            <v>3460</v>
          </cell>
          <cell r="Q2002"/>
          <cell r="R2002">
            <v>3460</v>
          </cell>
          <cell r="S2002"/>
          <cell r="T2002">
            <v>3460</v>
          </cell>
          <cell r="U2002"/>
          <cell r="V2002">
            <v>3460</v>
          </cell>
          <cell r="W2002"/>
          <cell r="X2002">
            <v>3460</v>
          </cell>
          <cell r="Y2002"/>
          <cell r="Z2002">
            <v>3460</v>
          </cell>
          <cell r="AA2002"/>
          <cell r="AB2002"/>
          <cell r="AC2002"/>
          <cell r="AD2002">
            <v>0.20899999999999999</v>
          </cell>
          <cell r="AE2002"/>
          <cell r="AF2002"/>
          <cell r="AG2002">
            <v>4950</v>
          </cell>
          <cell r="AH2002">
            <v>48</v>
          </cell>
          <cell r="AI2002">
            <v>0.97899999999999998</v>
          </cell>
          <cell r="AJ2002">
            <v>1</v>
          </cell>
          <cell r="AK2002">
            <v>49.02</v>
          </cell>
          <cell r="AL2002"/>
        </row>
        <row r="2003">
          <cell r="E2003" t="str">
            <v>S5-321PH</v>
          </cell>
          <cell r="F2003" t="str">
            <v>台</v>
          </cell>
          <cell r="G2003"/>
          <cell r="H2003">
            <v>4420</v>
          </cell>
          <cell r="I2003"/>
          <cell r="J2003">
            <v>4420</v>
          </cell>
          <cell r="K2003"/>
          <cell r="L2003">
            <v>4420</v>
          </cell>
          <cell r="M2003"/>
          <cell r="N2003">
            <v>4420</v>
          </cell>
          <cell r="O2003"/>
          <cell r="P2003">
            <v>4420</v>
          </cell>
          <cell r="Q2003"/>
          <cell r="R2003">
            <v>4420</v>
          </cell>
          <cell r="S2003"/>
          <cell r="T2003">
            <v>4420</v>
          </cell>
          <cell r="U2003"/>
          <cell r="V2003">
            <v>4420</v>
          </cell>
          <cell r="W2003"/>
          <cell r="X2003">
            <v>4420</v>
          </cell>
          <cell r="Y2003"/>
          <cell r="Z2003">
            <v>4420</v>
          </cell>
          <cell r="AA2003"/>
          <cell r="AB2003"/>
          <cell r="AC2003"/>
          <cell r="AD2003">
            <v>0.20899999999999999</v>
          </cell>
          <cell r="AE2003"/>
          <cell r="AF2003"/>
          <cell r="AG2003">
            <v>4950</v>
          </cell>
          <cell r="AH2003">
            <v>48</v>
          </cell>
          <cell r="AI2003">
            <v>0.97899999999999998</v>
          </cell>
          <cell r="AJ2003">
            <v>1</v>
          </cell>
          <cell r="AK2003">
            <v>49.02</v>
          </cell>
          <cell r="AL2003"/>
        </row>
        <row r="2004">
          <cell r="E2004" t="str">
            <v>S5-321PK</v>
          </cell>
          <cell r="F2004" t="str">
            <v>台</v>
          </cell>
          <cell r="G2004"/>
          <cell r="H2004">
            <v>6460</v>
          </cell>
          <cell r="I2004"/>
          <cell r="J2004">
            <v>6460</v>
          </cell>
          <cell r="K2004"/>
          <cell r="L2004">
            <v>6460</v>
          </cell>
          <cell r="M2004"/>
          <cell r="N2004">
            <v>6460</v>
          </cell>
          <cell r="O2004"/>
          <cell r="P2004">
            <v>6460</v>
          </cell>
          <cell r="Q2004"/>
          <cell r="R2004">
            <v>6460</v>
          </cell>
          <cell r="S2004"/>
          <cell r="T2004">
            <v>6460</v>
          </cell>
          <cell r="U2004"/>
          <cell r="V2004">
            <v>6460</v>
          </cell>
          <cell r="W2004"/>
          <cell r="X2004">
            <v>6460</v>
          </cell>
          <cell r="Y2004"/>
          <cell r="Z2004">
            <v>6460</v>
          </cell>
          <cell r="AA2004"/>
          <cell r="AB2004"/>
          <cell r="AC2004"/>
          <cell r="AD2004">
            <v>0.20899999999999999</v>
          </cell>
          <cell r="AE2004"/>
          <cell r="AF2004"/>
          <cell r="AG2004">
            <v>4950</v>
          </cell>
          <cell r="AH2004">
            <v>48</v>
          </cell>
          <cell r="AI2004">
            <v>0.97899999999999998</v>
          </cell>
          <cell r="AJ2004">
            <v>1</v>
          </cell>
          <cell r="AK2004">
            <v>49.02</v>
          </cell>
          <cell r="AL2004"/>
        </row>
        <row r="2005">
          <cell r="E2005" t="str">
            <v>■Ｈｆコーナー</v>
          </cell>
          <cell r="F2005"/>
          <cell r="G2005"/>
          <cell r="H2005"/>
          <cell r="I2005"/>
          <cell r="J2005"/>
          <cell r="K2005"/>
          <cell r="L2005"/>
          <cell r="M2005"/>
          <cell r="N2005"/>
          <cell r="O2005"/>
          <cell r="P2005"/>
          <cell r="Q2005"/>
          <cell r="R2005"/>
          <cell r="S2005"/>
          <cell r="T2005"/>
          <cell r="U2005"/>
          <cell r="V2005"/>
          <cell r="W2005"/>
          <cell r="X2005"/>
          <cell r="Y2005"/>
          <cell r="Z2005"/>
          <cell r="AA2005"/>
          <cell r="AB2005"/>
          <cell r="AC2005"/>
          <cell r="AD2005"/>
          <cell r="AE2005"/>
          <cell r="AF2005"/>
          <cell r="AG2005"/>
          <cell r="AH2005"/>
          <cell r="AI2005"/>
          <cell r="AJ2005"/>
          <cell r="AK2005"/>
          <cell r="AL2005"/>
        </row>
        <row r="2006">
          <cell r="E2006" t="str">
            <v>B6-321PN</v>
          </cell>
          <cell r="F2006" t="str">
            <v>台</v>
          </cell>
          <cell r="G2006"/>
          <cell r="H2006">
            <v>8500</v>
          </cell>
          <cell r="I2006"/>
          <cell r="J2006">
            <v>8500</v>
          </cell>
          <cell r="K2006"/>
          <cell r="L2006">
            <v>8500</v>
          </cell>
          <cell r="M2006"/>
          <cell r="N2006">
            <v>8500</v>
          </cell>
          <cell r="O2006"/>
          <cell r="P2006">
            <v>8500</v>
          </cell>
          <cell r="Q2006"/>
          <cell r="R2006">
            <v>8500</v>
          </cell>
          <cell r="S2006"/>
          <cell r="T2006">
            <v>8500</v>
          </cell>
          <cell r="U2006"/>
          <cell r="V2006">
            <v>8500</v>
          </cell>
          <cell r="W2006"/>
          <cell r="X2006">
            <v>8500</v>
          </cell>
          <cell r="Y2006"/>
          <cell r="Z2006">
            <v>8500</v>
          </cell>
          <cell r="AA2006"/>
          <cell r="AB2006"/>
          <cell r="AC2006"/>
          <cell r="AD2006">
            <v>0.20899999999999999</v>
          </cell>
          <cell r="AE2006"/>
          <cell r="AF2006"/>
          <cell r="AG2006">
            <v>4950</v>
          </cell>
          <cell r="AH2006">
            <v>48</v>
          </cell>
          <cell r="AI2006">
            <v>0.97899999999999998</v>
          </cell>
          <cell r="AJ2006">
            <v>1</v>
          </cell>
          <cell r="AK2006">
            <v>49.02</v>
          </cell>
          <cell r="AL2006"/>
        </row>
        <row r="2007">
          <cell r="E2007" t="str">
            <v>B6-321PH</v>
          </cell>
          <cell r="F2007" t="str">
            <v>台</v>
          </cell>
          <cell r="G2007"/>
          <cell r="H2007">
            <v>9620</v>
          </cell>
          <cell r="I2007"/>
          <cell r="J2007">
            <v>9620</v>
          </cell>
          <cell r="K2007"/>
          <cell r="L2007">
            <v>9620</v>
          </cell>
          <cell r="M2007"/>
          <cell r="N2007">
            <v>9620</v>
          </cell>
          <cell r="O2007"/>
          <cell r="P2007">
            <v>9620</v>
          </cell>
          <cell r="Q2007"/>
          <cell r="R2007">
            <v>9620</v>
          </cell>
          <cell r="S2007"/>
          <cell r="T2007">
            <v>9620</v>
          </cell>
          <cell r="U2007"/>
          <cell r="V2007">
            <v>9620</v>
          </cell>
          <cell r="W2007"/>
          <cell r="X2007">
            <v>9620</v>
          </cell>
          <cell r="Y2007"/>
          <cell r="Z2007">
            <v>9620</v>
          </cell>
          <cell r="AA2007"/>
          <cell r="AB2007"/>
          <cell r="AC2007"/>
          <cell r="AD2007">
            <v>0.20899999999999999</v>
          </cell>
          <cell r="AE2007"/>
          <cell r="AF2007"/>
          <cell r="AG2007">
            <v>4950</v>
          </cell>
          <cell r="AH2007">
            <v>48</v>
          </cell>
          <cell r="AI2007">
            <v>0.97899999999999998</v>
          </cell>
          <cell r="AJ2007">
            <v>1</v>
          </cell>
          <cell r="AK2007">
            <v>49.02</v>
          </cell>
          <cell r="AL2007"/>
        </row>
        <row r="2008">
          <cell r="E2008" t="str">
            <v>B6-321PK</v>
          </cell>
          <cell r="F2008" t="str">
            <v>台</v>
          </cell>
          <cell r="G2008"/>
          <cell r="H2008">
            <v>10600</v>
          </cell>
          <cell r="I2008"/>
          <cell r="J2008">
            <v>10600</v>
          </cell>
          <cell r="K2008"/>
          <cell r="L2008">
            <v>10600</v>
          </cell>
          <cell r="M2008"/>
          <cell r="N2008">
            <v>10600</v>
          </cell>
          <cell r="O2008"/>
          <cell r="P2008">
            <v>10600</v>
          </cell>
          <cell r="Q2008"/>
          <cell r="R2008">
            <v>10600</v>
          </cell>
          <cell r="S2008"/>
          <cell r="T2008">
            <v>10600</v>
          </cell>
          <cell r="U2008"/>
          <cell r="V2008">
            <v>10600</v>
          </cell>
          <cell r="W2008"/>
          <cell r="X2008">
            <v>10600</v>
          </cell>
          <cell r="Y2008"/>
          <cell r="Z2008">
            <v>10600</v>
          </cell>
          <cell r="AA2008"/>
          <cell r="AB2008"/>
          <cell r="AC2008"/>
          <cell r="AD2008">
            <v>0.20899999999999999</v>
          </cell>
          <cell r="AE2008"/>
          <cell r="AF2008"/>
          <cell r="AG2008">
            <v>4950</v>
          </cell>
          <cell r="AH2008">
            <v>48</v>
          </cell>
          <cell r="AI2008">
            <v>0.97899999999999998</v>
          </cell>
          <cell r="AJ2008">
            <v>1</v>
          </cell>
          <cell r="AK2008">
            <v>49.02</v>
          </cell>
          <cell r="AL2008"/>
        </row>
        <row r="2009">
          <cell r="E2009" t="str">
            <v>■センサ付Ｈｆ開放埋込形</v>
          </cell>
          <cell r="F2009"/>
          <cell r="G2009"/>
          <cell r="H2009"/>
          <cell r="I2009"/>
          <cell r="J2009"/>
          <cell r="K2009"/>
          <cell r="L2009"/>
          <cell r="M2009"/>
          <cell r="N2009"/>
          <cell r="O2009"/>
          <cell r="P2009"/>
          <cell r="Q2009"/>
          <cell r="R2009"/>
          <cell r="S2009"/>
          <cell r="T2009"/>
          <cell r="U2009"/>
          <cell r="V2009"/>
          <cell r="W2009"/>
          <cell r="X2009"/>
          <cell r="Y2009"/>
          <cell r="Z2009"/>
          <cell r="AA2009"/>
          <cell r="AB2009"/>
          <cell r="AC2009"/>
          <cell r="AD2009"/>
          <cell r="AE2009"/>
          <cell r="AF2009"/>
          <cell r="AG2009"/>
          <cell r="AH2009"/>
          <cell r="AI2009"/>
          <cell r="AJ2009"/>
          <cell r="AK2009"/>
          <cell r="AL2009"/>
        </row>
        <row r="2010">
          <cell r="E2010" t="str">
            <v>A26D-322PH</v>
          </cell>
          <cell r="F2010" t="str">
            <v>台</v>
          </cell>
          <cell r="G2010"/>
          <cell r="H2010">
            <v>12700</v>
          </cell>
          <cell r="I2010"/>
          <cell r="J2010">
            <v>12700</v>
          </cell>
          <cell r="K2010"/>
          <cell r="L2010">
            <v>12700</v>
          </cell>
          <cell r="M2010"/>
          <cell r="N2010">
            <v>12700</v>
          </cell>
          <cell r="O2010"/>
          <cell r="P2010">
            <v>12700</v>
          </cell>
          <cell r="Q2010"/>
          <cell r="R2010">
            <v>12700</v>
          </cell>
          <cell r="S2010"/>
          <cell r="T2010">
            <v>12700</v>
          </cell>
          <cell r="U2010"/>
          <cell r="V2010">
            <v>12700</v>
          </cell>
          <cell r="W2010"/>
          <cell r="X2010">
            <v>12700</v>
          </cell>
          <cell r="Y2010"/>
          <cell r="Z2010">
            <v>12700</v>
          </cell>
          <cell r="AA2010"/>
          <cell r="AB2010"/>
          <cell r="AC2010"/>
          <cell r="AD2010">
            <v>0.39100000000000001</v>
          </cell>
          <cell r="AE2010"/>
          <cell r="AF2010"/>
          <cell r="AG2010">
            <v>9900</v>
          </cell>
          <cell r="AH2010">
            <v>96</v>
          </cell>
          <cell r="AI2010">
            <v>0.98899999999999999</v>
          </cell>
          <cell r="AJ2010">
            <v>1</v>
          </cell>
          <cell r="AK2010">
            <v>97.06</v>
          </cell>
          <cell r="AL2010"/>
        </row>
        <row r="2011">
          <cell r="E2011" t="str">
            <v>■センサ付Ｈｆ反射笠埋込形</v>
          </cell>
          <cell r="F2011"/>
          <cell r="G2011"/>
          <cell r="H2011"/>
          <cell r="I2011"/>
          <cell r="J2011"/>
          <cell r="K2011"/>
          <cell r="L2011"/>
          <cell r="M2011"/>
          <cell r="N2011"/>
          <cell r="O2011"/>
          <cell r="P2011"/>
          <cell r="Q2011"/>
          <cell r="R2011"/>
          <cell r="S2011"/>
          <cell r="T2011"/>
          <cell r="U2011"/>
          <cell r="V2011"/>
          <cell r="W2011"/>
          <cell r="X2011"/>
          <cell r="Y2011"/>
          <cell r="Z2011"/>
          <cell r="AA2011"/>
          <cell r="AB2011"/>
          <cell r="AC2011"/>
          <cell r="AD2011"/>
          <cell r="AE2011"/>
          <cell r="AF2011"/>
          <cell r="AG2011"/>
          <cell r="AH2011"/>
          <cell r="AI2011"/>
          <cell r="AJ2011"/>
          <cell r="AK2011"/>
          <cell r="AL2011"/>
        </row>
        <row r="2012">
          <cell r="E2012" t="str">
            <v>A2D-321PH</v>
          </cell>
          <cell r="F2012" t="str">
            <v>台</v>
          </cell>
          <cell r="G2012"/>
          <cell r="H2012">
            <v>9350</v>
          </cell>
          <cell r="I2012"/>
          <cell r="J2012">
            <v>9350</v>
          </cell>
          <cell r="K2012"/>
          <cell r="L2012">
            <v>9350</v>
          </cell>
          <cell r="M2012"/>
          <cell r="N2012">
            <v>9350</v>
          </cell>
          <cell r="O2012"/>
          <cell r="P2012">
            <v>9350</v>
          </cell>
          <cell r="Q2012"/>
          <cell r="R2012">
            <v>9350</v>
          </cell>
          <cell r="S2012"/>
          <cell r="T2012">
            <v>9350</v>
          </cell>
          <cell r="U2012"/>
          <cell r="V2012">
            <v>9350</v>
          </cell>
          <cell r="W2012"/>
          <cell r="X2012">
            <v>9350</v>
          </cell>
          <cell r="Y2012"/>
          <cell r="Z2012">
            <v>9350</v>
          </cell>
          <cell r="AA2012"/>
          <cell r="AB2012"/>
          <cell r="AC2012"/>
          <cell r="AD2012">
            <v>0.39100000000000001</v>
          </cell>
          <cell r="AE2012"/>
          <cell r="AF2012"/>
          <cell r="AG2012">
            <v>9900</v>
          </cell>
          <cell r="AH2012">
            <v>96</v>
          </cell>
          <cell r="AI2012">
            <v>0.98899999999999999</v>
          </cell>
          <cell r="AJ2012">
            <v>1</v>
          </cell>
          <cell r="AK2012">
            <v>97.06</v>
          </cell>
          <cell r="AL2012"/>
        </row>
        <row r="2013">
          <cell r="E2013" t="str">
            <v>A2D-322PH</v>
          </cell>
          <cell r="F2013" t="str">
            <v>台</v>
          </cell>
          <cell r="G2013"/>
          <cell r="H2013">
            <v>11400</v>
          </cell>
          <cell r="I2013"/>
          <cell r="J2013">
            <v>11400</v>
          </cell>
          <cell r="K2013"/>
          <cell r="L2013">
            <v>11400</v>
          </cell>
          <cell r="M2013"/>
          <cell r="N2013">
            <v>11400</v>
          </cell>
          <cell r="O2013"/>
          <cell r="P2013">
            <v>11400</v>
          </cell>
          <cell r="Q2013"/>
          <cell r="R2013">
            <v>11400</v>
          </cell>
          <cell r="S2013"/>
          <cell r="T2013">
            <v>11400</v>
          </cell>
          <cell r="U2013"/>
          <cell r="V2013">
            <v>11400</v>
          </cell>
          <cell r="W2013"/>
          <cell r="X2013">
            <v>11400</v>
          </cell>
          <cell r="Y2013"/>
          <cell r="Z2013">
            <v>11400</v>
          </cell>
          <cell r="AA2013"/>
          <cell r="AB2013"/>
          <cell r="AC2013"/>
          <cell r="AD2013">
            <v>0.39100000000000001</v>
          </cell>
          <cell r="AE2013"/>
          <cell r="AF2013"/>
          <cell r="AG2013">
            <v>9900</v>
          </cell>
          <cell r="AH2013">
            <v>96</v>
          </cell>
          <cell r="AI2013">
            <v>0.98899999999999999</v>
          </cell>
          <cell r="AJ2013">
            <v>1</v>
          </cell>
          <cell r="AK2013">
            <v>97.06</v>
          </cell>
          <cell r="AL2013"/>
        </row>
        <row r="2014">
          <cell r="E2014" t="str">
            <v>■センサ付Ｈｆ開放直付形</v>
          </cell>
          <cell r="F2014"/>
          <cell r="G2014"/>
          <cell r="H2014"/>
          <cell r="I2014"/>
          <cell r="J2014"/>
          <cell r="K2014"/>
          <cell r="L2014"/>
          <cell r="M2014"/>
          <cell r="N2014"/>
          <cell r="O2014"/>
          <cell r="P2014"/>
          <cell r="Q2014"/>
          <cell r="R2014"/>
          <cell r="S2014"/>
          <cell r="T2014"/>
          <cell r="U2014"/>
          <cell r="V2014"/>
          <cell r="W2014"/>
          <cell r="X2014"/>
          <cell r="Y2014"/>
          <cell r="Z2014"/>
          <cell r="AA2014"/>
          <cell r="AB2014"/>
          <cell r="AC2014"/>
          <cell r="AD2014"/>
          <cell r="AE2014"/>
          <cell r="AF2014"/>
          <cell r="AG2014"/>
          <cell r="AH2014"/>
          <cell r="AI2014"/>
          <cell r="AJ2014"/>
          <cell r="AK2014"/>
          <cell r="AL2014"/>
        </row>
        <row r="2015">
          <cell r="E2015" t="str">
            <v>As6D-322PH</v>
          </cell>
          <cell r="F2015" t="str">
            <v>台</v>
          </cell>
          <cell r="G2015"/>
          <cell r="H2015">
            <v>12900</v>
          </cell>
          <cell r="I2015"/>
          <cell r="J2015">
            <v>12900</v>
          </cell>
          <cell r="K2015"/>
          <cell r="L2015">
            <v>12900</v>
          </cell>
          <cell r="M2015"/>
          <cell r="N2015">
            <v>12900</v>
          </cell>
          <cell r="O2015"/>
          <cell r="P2015">
            <v>12900</v>
          </cell>
          <cell r="Q2015"/>
          <cell r="R2015">
            <v>12900</v>
          </cell>
          <cell r="S2015"/>
          <cell r="T2015">
            <v>12900</v>
          </cell>
          <cell r="U2015"/>
          <cell r="V2015">
            <v>12900</v>
          </cell>
          <cell r="W2015"/>
          <cell r="X2015">
            <v>12900</v>
          </cell>
          <cell r="Y2015"/>
          <cell r="Z2015">
            <v>12900</v>
          </cell>
          <cell r="AA2015"/>
          <cell r="AB2015"/>
          <cell r="AC2015"/>
          <cell r="AD2015">
            <v>0.26100000000000001</v>
          </cell>
          <cell r="AE2015"/>
          <cell r="AF2015"/>
          <cell r="AG2015">
            <v>9900</v>
          </cell>
          <cell r="AH2015">
            <v>96</v>
          </cell>
          <cell r="AI2015">
            <v>0.98899999999999999</v>
          </cell>
          <cell r="AJ2015">
            <v>1</v>
          </cell>
          <cell r="AK2015">
            <v>97.06</v>
          </cell>
          <cell r="AL2015"/>
        </row>
        <row r="2016">
          <cell r="E2016" t="str">
            <v>■センサ付Ｈｆ開放直付形</v>
          </cell>
          <cell r="F2016"/>
          <cell r="G2016"/>
          <cell r="H2016"/>
          <cell r="I2016"/>
          <cell r="J2016"/>
          <cell r="K2016"/>
          <cell r="L2016"/>
          <cell r="M2016"/>
          <cell r="N2016"/>
          <cell r="O2016"/>
          <cell r="P2016"/>
          <cell r="Q2016"/>
          <cell r="R2016"/>
          <cell r="S2016"/>
          <cell r="T2016"/>
          <cell r="U2016"/>
          <cell r="V2016"/>
          <cell r="W2016"/>
          <cell r="X2016"/>
          <cell r="Y2016"/>
          <cell r="Z2016"/>
          <cell r="AA2016"/>
          <cell r="AB2016"/>
          <cell r="AC2016"/>
          <cell r="AD2016"/>
          <cell r="AE2016"/>
          <cell r="AF2016"/>
          <cell r="AG2016"/>
          <cell r="AH2016"/>
          <cell r="AI2016"/>
          <cell r="AJ2016"/>
          <cell r="AK2016"/>
          <cell r="AL2016"/>
        </row>
        <row r="2017">
          <cell r="E2017" t="str">
            <v>V9D-321PH</v>
          </cell>
          <cell r="F2017" t="str">
            <v>台</v>
          </cell>
          <cell r="G2017"/>
          <cell r="H2017">
            <v>9380</v>
          </cell>
          <cell r="I2017"/>
          <cell r="J2017">
            <v>9380</v>
          </cell>
          <cell r="K2017"/>
          <cell r="L2017">
            <v>9380</v>
          </cell>
          <cell r="M2017"/>
          <cell r="N2017">
            <v>9380</v>
          </cell>
          <cell r="O2017"/>
          <cell r="P2017">
            <v>9380</v>
          </cell>
          <cell r="Q2017"/>
          <cell r="R2017">
            <v>9380</v>
          </cell>
          <cell r="S2017"/>
          <cell r="T2017">
            <v>9380</v>
          </cell>
          <cell r="U2017"/>
          <cell r="V2017">
            <v>9380</v>
          </cell>
          <cell r="W2017"/>
          <cell r="X2017">
            <v>9380</v>
          </cell>
          <cell r="Y2017"/>
          <cell r="Z2017">
            <v>9380</v>
          </cell>
          <cell r="AA2017"/>
          <cell r="AB2017"/>
          <cell r="AC2017"/>
          <cell r="AD2017">
            <v>0.20899999999999999</v>
          </cell>
          <cell r="AE2017"/>
          <cell r="AF2017"/>
          <cell r="AG2017">
            <v>4950</v>
          </cell>
          <cell r="AH2017">
            <v>48</v>
          </cell>
          <cell r="AI2017">
            <v>0.97899999999999998</v>
          </cell>
          <cell r="AJ2017">
            <v>1</v>
          </cell>
          <cell r="AK2017">
            <v>49.02</v>
          </cell>
          <cell r="AL2017"/>
        </row>
        <row r="2018">
          <cell r="E2018" t="str">
            <v>V9D-322PH</v>
          </cell>
          <cell r="F2018" t="str">
            <v>台</v>
          </cell>
          <cell r="G2018"/>
          <cell r="H2018">
            <v>10500</v>
          </cell>
          <cell r="I2018"/>
          <cell r="J2018">
            <v>10500</v>
          </cell>
          <cell r="K2018"/>
          <cell r="L2018">
            <v>10500</v>
          </cell>
          <cell r="M2018"/>
          <cell r="N2018">
            <v>10500</v>
          </cell>
          <cell r="O2018"/>
          <cell r="P2018">
            <v>10500</v>
          </cell>
          <cell r="Q2018"/>
          <cell r="R2018">
            <v>10500</v>
          </cell>
          <cell r="S2018"/>
          <cell r="T2018">
            <v>10500</v>
          </cell>
          <cell r="U2018"/>
          <cell r="V2018">
            <v>10500</v>
          </cell>
          <cell r="W2018"/>
          <cell r="X2018">
            <v>10500</v>
          </cell>
          <cell r="Y2018"/>
          <cell r="Z2018">
            <v>10500</v>
          </cell>
          <cell r="AA2018"/>
          <cell r="AB2018"/>
          <cell r="AC2018"/>
          <cell r="AD2018">
            <v>0.20899999999999999</v>
          </cell>
          <cell r="AE2018"/>
          <cell r="AF2018"/>
          <cell r="AG2018">
            <v>9900</v>
          </cell>
          <cell r="AH2018">
            <v>96</v>
          </cell>
          <cell r="AI2018">
            <v>0.98899999999999999</v>
          </cell>
          <cell r="AJ2018">
            <v>1</v>
          </cell>
          <cell r="AK2018">
            <v>97.06</v>
          </cell>
          <cell r="AL2018"/>
        </row>
        <row r="2019">
          <cell r="E2019" t="str">
            <v>■センサ付Ｈｆダウンライト</v>
          </cell>
          <cell r="F2019"/>
          <cell r="G2019"/>
          <cell r="H2019"/>
          <cell r="I2019"/>
          <cell r="J2019"/>
          <cell r="K2019"/>
          <cell r="L2019"/>
          <cell r="M2019"/>
          <cell r="N2019"/>
          <cell r="O2019"/>
          <cell r="P2019"/>
          <cell r="Q2019"/>
          <cell r="R2019"/>
          <cell r="S2019"/>
          <cell r="T2019"/>
          <cell r="U2019"/>
          <cell r="V2019"/>
          <cell r="W2019"/>
          <cell r="X2019"/>
          <cell r="Y2019"/>
          <cell r="Z2019"/>
          <cell r="AA2019"/>
          <cell r="AB2019"/>
          <cell r="AC2019"/>
          <cell r="AD2019"/>
          <cell r="AE2019"/>
          <cell r="AF2019"/>
          <cell r="AG2019"/>
          <cell r="AH2019"/>
          <cell r="AI2019"/>
          <cell r="AJ2019"/>
          <cell r="AK2019"/>
          <cell r="AL2019"/>
        </row>
        <row r="2020">
          <cell r="E2020" t="str">
            <v>d2D-321PX</v>
          </cell>
          <cell r="F2020" t="str">
            <v>台</v>
          </cell>
          <cell r="G2020"/>
          <cell r="H2020">
            <v>10900</v>
          </cell>
          <cell r="I2020"/>
          <cell r="J2020">
            <v>10900</v>
          </cell>
          <cell r="K2020"/>
          <cell r="L2020">
            <v>10900</v>
          </cell>
          <cell r="M2020"/>
          <cell r="N2020">
            <v>10900</v>
          </cell>
          <cell r="O2020"/>
          <cell r="P2020">
            <v>10900</v>
          </cell>
          <cell r="Q2020"/>
          <cell r="R2020">
            <v>10900</v>
          </cell>
          <cell r="S2020"/>
          <cell r="T2020">
            <v>10900</v>
          </cell>
          <cell r="U2020"/>
          <cell r="V2020">
            <v>10900</v>
          </cell>
          <cell r="W2020"/>
          <cell r="X2020">
            <v>10900</v>
          </cell>
          <cell r="Y2020"/>
          <cell r="Z2020">
            <v>10900</v>
          </cell>
          <cell r="AA2020"/>
          <cell r="AB2020"/>
          <cell r="AC2020"/>
          <cell r="AD2020">
            <v>0.20899999999999999</v>
          </cell>
          <cell r="AE2020"/>
          <cell r="AF2020"/>
          <cell r="AG2020">
            <v>1800</v>
          </cell>
          <cell r="AH2020">
            <v>24</v>
          </cell>
          <cell r="AI2020">
            <v>0.98</v>
          </cell>
          <cell r="AJ2020">
            <v>1</v>
          </cell>
          <cell r="AK2020">
            <v>24.48</v>
          </cell>
          <cell r="AL2020"/>
        </row>
        <row r="2021">
          <cell r="E2021" t="str">
            <v>d2D-322PX</v>
          </cell>
          <cell r="F2021" t="str">
            <v>台</v>
          </cell>
          <cell r="G2021"/>
          <cell r="H2021">
            <v>12100</v>
          </cell>
          <cell r="I2021"/>
          <cell r="J2021">
            <v>12100</v>
          </cell>
          <cell r="K2021"/>
          <cell r="L2021">
            <v>12100</v>
          </cell>
          <cell r="M2021"/>
          <cell r="N2021">
            <v>12100</v>
          </cell>
          <cell r="O2021"/>
          <cell r="P2021">
            <v>12100</v>
          </cell>
          <cell r="Q2021"/>
          <cell r="R2021">
            <v>12100</v>
          </cell>
          <cell r="S2021"/>
          <cell r="T2021">
            <v>12100</v>
          </cell>
          <cell r="U2021"/>
          <cell r="V2021">
            <v>12100</v>
          </cell>
          <cell r="W2021"/>
          <cell r="X2021">
            <v>12100</v>
          </cell>
          <cell r="Y2021"/>
          <cell r="Z2021">
            <v>12100</v>
          </cell>
          <cell r="AA2021"/>
          <cell r="AB2021"/>
          <cell r="AC2021"/>
          <cell r="AD2021">
            <v>0.20899999999999999</v>
          </cell>
          <cell r="AE2021"/>
          <cell r="AF2021"/>
          <cell r="AG2021">
            <v>2400</v>
          </cell>
          <cell r="AH2021">
            <v>32</v>
          </cell>
          <cell r="AI2021">
            <v>0.98</v>
          </cell>
          <cell r="AJ2021">
            <v>1</v>
          </cell>
          <cell r="AK2021">
            <v>32.65</v>
          </cell>
          <cell r="AL2021"/>
        </row>
        <row r="2022">
          <cell r="E2022" t="str">
            <v>■センサ付Ｈｆ開放直付形</v>
          </cell>
          <cell r="F2022"/>
          <cell r="G2022"/>
          <cell r="H2022"/>
          <cell r="I2022"/>
          <cell r="J2022"/>
          <cell r="K2022"/>
          <cell r="L2022"/>
          <cell r="M2022"/>
          <cell r="N2022"/>
          <cell r="O2022"/>
          <cell r="P2022"/>
          <cell r="Q2022"/>
          <cell r="R2022"/>
          <cell r="S2022"/>
          <cell r="T2022"/>
          <cell r="U2022"/>
          <cell r="V2022"/>
          <cell r="W2022"/>
          <cell r="X2022"/>
          <cell r="Y2022"/>
          <cell r="Z2022"/>
          <cell r="AA2022"/>
          <cell r="AB2022"/>
          <cell r="AC2022"/>
          <cell r="AD2022"/>
          <cell r="AE2022"/>
          <cell r="AF2022"/>
          <cell r="AG2022"/>
          <cell r="AH2022"/>
          <cell r="AI2022"/>
          <cell r="AJ2022"/>
          <cell r="AK2022"/>
          <cell r="AL2022"/>
        </row>
        <row r="2023">
          <cell r="E2023" t="str">
            <v>V6D-322PX</v>
          </cell>
          <cell r="F2023" t="str">
            <v>台</v>
          </cell>
          <cell r="G2023"/>
          <cell r="H2023">
            <v>14100</v>
          </cell>
          <cell r="I2023"/>
          <cell r="J2023">
            <v>14100</v>
          </cell>
          <cell r="K2023"/>
          <cell r="L2023">
            <v>14100</v>
          </cell>
          <cell r="M2023"/>
          <cell r="N2023">
            <v>14100</v>
          </cell>
          <cell r="O2023"/>
          <cell r="P2023">
            <v>14100</v>
          </cell>
          <cell r="Q2023"/>
          <cell r="R2023">
            <v>14100</v>
          </cell>
          <cell r="S2023"/>
          <cell r="T2023">
            <v>14100</v>
          </cell>
          <cell r="U2023"/>
          <cell r="V2023">
            <v>14100</v>
          </cell>
          <cell r="W2023"/>
          <cell r="X2023">
            <v>14100</v>
          </cell>
          <cell r="Y2023"/>
          <cell r="Z2023">
            <v>14100</v>
          </cell>
          <cell r="AA2023"/>
          <cell r="AB2023"/>
          <cell r="AC2023"/>
          <cell r="AD2023">
            <v>0.20899999999999999</v>
          </cell>
          <cell r="AE2023"/>
          <cell r="AF2023"/>
          <cell r="AG2023">
            <v>3200</v>
          </cell>
          <cell r="AH2023">
            <v>42</v>
          </cell>
          <cell r="AI2023">
            <v>0.98</v>
          </cell>
          <cell r="AJ2023">
            <v>1</v>
          </cell>
          <cell r="AK2023">
            <v>42.85</v>
          </cell>
          <cell r="AL2023"/>
        </row>
        <row r="2024">
          <cell r="E2024" t="str">
            <v>■センサ付Ｈｆ反射笠埋込形</v>
          </cell>
          <cell r="F2024"/>
          <cell r="G2024"/>
          <cell r="H2024"/>
          <cell r="I2024"/>
          <cell r="J2024"/>
          <cell r="K2024"/>
          <cell r="L2024"/>
          <cell r="M2024"/>
          <cell r="N2024"/>
          <cell r="O2024"/>
          <cell r="P2024"/>
          <cell r="Q2024"/>
          <cell r="R2024"/>
          <cell r="S2024"/>
          <cell r="T2024"/>
          <cell r="U2024"/>
          <cell r="V2024"/>
          <cell r="W2024"/>
          <cell r="X2024"/>
          <cell r="Y2024"/>
          <cell r="Z2024"/>
          <cell r="AA2024"/>
          <cell r="AB2024"/>
          <cell r="AC2024"/>
          <cell r="AD2024"/>
          <cell r="AE2024"/>
          <cell r="AF2024"/>
          <cell r="AG2024"/>
          <cell r="AH2024"/>
          <cell r="AI2024"/>
          <cell r="AJ2024"/>
          <cell r="AK2024"/>
          <cell r="AL2024"/>
        </row>
        <row r="2025">
          <cell r="E2025" t="str">
            <v>R2D-321PX</v>
          </cell>
          <cell r="F2025" t="str">
            <v>台</v>
          </cell>
          <cell r="G2025"/>
          <cell r="H2025">
            <v>10900</v>
          </cell>
          <cell r="I2025"/>
          <cell r="J2025">
            <v>10900</v>
          </cell>
          <cell r="K2025"/>
          <cell r="L2025">
            <v>10900</v>
          </cell>
          <cell r="M2025"/>
          <cell r="N2025">
            <v>10900</v>
          </cell>
          <cell r="O2025"/>
          <cell r="P2025">
            <v>10900</v>
          </cell>
          <cell r="Q2025"/>
          <cell r="R2025">
            <v>10900</v>
          </cell>
          <cell r="S2025"/>
          <cell r="T2025">
            <v>10900</v>
          </cell>
          <cell r="U2025"/>
          <cell r="V2025">
            <v>10900</v>
          </cell>
          <cell r="W2025"/>
          <cell r="X2025">
            <v>10900</v>
          </cell>
          <cell r="Y2025"/>
          <cell r="Z2025">
            <v>10900</v>
          </cell>
          <cell r="AA2025"/>
          <cell r="AB2025"/>
          <cell r="AC2025"/>
          <cell r="AD2025">
            <v>0.20899999999999999</v>
          </cell>
          <cell r="AE2025"/>
          <cell r="AF2025"/>
          <cell r="AG2025">
            <v>4950</v>
          </cell>
          <cell r="AH2025">
            <v>48</v>
          </cell>
          <cell r="AI2025">
            <v>0.97899999999999998</v>
          </cell>
          <cell r="AJ2025">
            <v>1</v>
          </cell>
          <cell r="AK2025">
            <v>49.02</v>
          </cell>
          <cell r="AL2025"/>
        </row>
        <row r="2026">
          <cell r="E2026" t="str">
            <v>R2D-322PX</v>
          </cell>
          <cell r="F2026" t="str">
            <v>台</v>
          </cell>
          <cell r="G2026"/>
          <cell r="H2026">
            <v>12100</v>
          </cell>
          <cell r="I2026"/>
          <cell r="J2026">
            <v>12100</v>
          </cell>
          <cell r="K2026"/>
          <cell r="L2026">
            <v>12100</v>
          </cell>
          <cell r="M2026"/>
          <cell r="N2026">
            <v>12100</v>
          </cell>
          <cell r="O2026"/>
          <cell r="P2026">
            <v>12100</v>
          </cell>
          <cell r="Q2026"/>
          <cell r="R2026">
            <v>12100</v>
          </cell>
          <cell r="S2026"/>
          <cell r="T2026">
            <v>12100</v>
          </cell>
          <cell r="U2026"/>
          <cell r="V2026">
            <v>12100</v>
          </cell>
          <cell r="W2026"/>
          <cell r="X2026">
            <v>12100</v>
          </cell>
          <cell r="Y2026"/>
          <cell r="Z2026">
            <v>12100</v>
          </cell>
          <cell r="AA2026"/>
          <cell r="AB2026"/>
          <cell r="AC2026"/>
          <cell r="AD2026">
            <v>0.20899999999999999</v>
          </cell>
          <cell r="AE2026"/>
          <cell r="AF2026"/>
          <cell r="AG2026">
            <v>9900</v>
          </cell>
          <cell r="AH2026">
            <v>96</v>
          </cell>
          <cell r="AI2026">
            <v>0.98899999999999999</v>
          </cell>
          <cell r="AJ2026">
            <v>1</v>
          </cell>
          <cell r="AK2026">
            <v>97.06</v>
          </cell>
          <cell r="AL2026"/>
        </row>
        <row r="2027">
          <cell r="E2027" t="str">
            <v>■センサ付Ｈｆ開放直付形</v>
          </cell>
          <cell r="F2027"/>
          <cell r="G2027"/>
          <cell r="H2027"/>
          <cell r="I2027"/>
          <cell r="J2027"/>
          <cell r="K2027"/>
          <cell r="L2027"/>
          <cell r="M2027"/>
          <cell r="N2027"/>
          <cell r="O2027"/>
          <cell r="P2027"/>
          <cell r="Q2027"/>
          <cell r="R2027"/>
          <cell r="S2027"/>
          <cell r="T2027"/>
          <cell r="U2027"/>
          <cell r="V2027"/>
          <cell r="W2027"/>
          <cell r="X2027"/>
          <cell r="Y2027"/>
          <cell r="Z2027"/>
          <cell r="AA2027"/>
          <cell r="AB2027"/>
          <cell r="AC2027"/>
          <cell r="AD2027"/>
          <cell r="AE2027"/>
          <cell r="AF2027"/>
          <cell r="AG2027"/>
          <cell r="AH2027"/>
          <cell r="AI2027"/>
          <cell r="AJ2027"/>
          <cell r="AK2027"/>
          <cell r="AL2027"/>
        </row>
        <row r="2028">
          <cell r="E2028" t="str">
            <v>As6D-322PX</v>
          </cell>
          <cell r="F2028" t="str">
            <v>台</v>
          </cell>
          <cell r="G2028"/>
          <cell r="H2028">
            <v>14100</v>
          </cell>
          <cell r="I2028"/>
          <cell r="J2028">
            <v>14100</v>
          </cell>
          <cell r="K2028"/>
          <cell r="L2028">
            <v>14100</v>
          </cell>
          <cell r="M2028"/>
          <cell r="N2028">
            <v>14100</v>
          </cell>
          <cell r="O2028"/>
          <cell r="P2028">
            <v>14100</v>
          </cell>
          <cell r="Q2028"/>
          <cell r="R2028">
            <v>14100</v>
          </cell>
          <cell r="S2028"/>
          <cell r="T2028">
            <v>14100</v>
          </cell>
          <cell r="U2028"/>
          <cell r="V2028">
            <v>14100</v>
          </cell>
          <cell r="W2028"/>
          <cell r="X2028">
            <v>14100</v>
          </cell>
          <cell r="Y2028"/>
          <cell r="Z2028">
            <v>14100</v>
          </cell>
          <cell r="AA2028"/>
          <cell r="AB2028"/>
          <cell r="AC2028"/>
          <cell r="AD2028">
            <v>0.26100000000000001</v>
          </cell>
          <cell r="AE2028"/>
          <cell r="AF2028"/>
          <cell r="AG2028">
            <v>9900</v>
          </cell>
          <cell r="AH2028">
            <v>96</v>
          </cell>
          <cell r="AI2028">
            <v>0.98899999999999999</v>
          </cell>
          <cell r="AJ2028">
            <v>1</v>
          </cell>
          <cell r="AK2028">
            <v>97.06</v>
          </cell>
          <cell r="AL2028"/>
        </row>
        <row r="2029">
          <cell r="E2029" t="str">
            <v>■センサ付Ｈｆ逆富士</v>
          </cell>
          <cell r="F2029"/>
          <cell r="G2029"/>
          <cell r="H2029"/>
          <cell r="I2029"/>
          <cell r="J2029"/>
          <cell r="K2029"/>
          <cell r="L2029"/>
          <cell r="M2029"/>
          <cell r="N2029"/>
          <cell r="O2029"/>
          <cell r="P2029"/>
          <cell r="Q2029"/>
          <cell r="R2029"/>
          <cell r="S2029"/>
          <cell r="T2029"/>
          <cell r="U2029"/>
          <cell r="V2029"/>
          <cell r="W2029"/>
          <cell r="X2029"/>
          <cell r="Y2029"/>
          <cell r="Z2029"/>
          <cell r="AA2029"/>
          <cell r="AB2029"/>
          <cell r="AC2029"/>
          <cell r="AD2029"/>
          <cell r="AE2029"/>
          <cell r="AF2029"/>
          <cell r="AG2029"/>
          <cell r="AH2029"/>
          <cell r="AI2029"/>
          <cell r="AJ2029"/>
          <cell r="AK2029"/>
          <cell r="AL2029"/>
        </row>
        <row r="2030">
          <cell r="E2030" t="str">
            <v>V29D-321PH</v>
          </cell>
          <cell r="F2030" t="str">
            <v>台</v>
          </cell>
          <cell r="G2030"/>
          <cell r="H2030">
            <v>11100</v>
          </cell>
          <cell r="I2030"/>
          <cell r="J2030">
            <v>11100</v>
          </cell>
          <cell r="K2030"/>
          <cell r="L2030">
            <v>11100</v>
          </cell>
          <cell r="M2030"/>
          <cell r="N2030">
            <v>11100</v>
          </cell>
          <cell r="O2030"/>
          <cell r="P2030">
            <v>11100</v>
          </cell>
          <cell r="Q2030"/>
          <cell r="R2030">
            <v>11100</v>
          </cell>
          <cell r="S2030"/>
          <cell r="T2030">
            <v>11100</v>
          </cell>
          <cell r="U2030"/>
          <cell r="V2030">
            <v>11100</v>
          </cell>
          <cell r="W2030"/>
          <cell r="X2030">
            <v>11100</v>
          </cell>
          <cell r="Y2030"/>
          <cell r="Z2030">
            <v>11100</v>
          </cell>
          <cell r="AA2030"/>
          <cell r="AB2030"/>
          <cell r="AC2030"/>
          <cell r="AD2030">
            <v>0.26100000000000001</v>
          </cell>
          <cell r="AE2030"/>
          <cell r="AF2030"/>
          <cell r="AG2030">
            <v>4950</v>
          </cell>
          <cell r="AH2030">
            <v>48</v>
          </cell>
          <cell r="AI2030">
            <v>0.97899999999999998</v>
          </cell>
          <cell r="AJ2030">
            <v>1</v>
          </cell>
          <cell r="AK2030">
            <v>49.02</v>
          </cell>
          <cell r="AL2030"/>
        </row>
        <row r="2031">
          <cell r="E2031" t="str">
            <v>V29D-322PH</v>
          </cell>
          <cell r="F2031" t="str">
            <v>台</v>
          </cell>
          <cell r="G2031"/>
          <cell r="H2031">
            <v>11700</v>
          </cell>
          <cell r="I2031"/>
          <cell r="J2031">
            <v>11700</v>
          </cell>
          <cell r="K2031"/>
          <cell r="L2031">
            <v>11700</v>
          </cell>
          <cell r="M2031"/>
          <cell r="N2031">
            <v>11700</v>
          </cell>
          <cell r="O2031"/>
          <cell r="P2031">
            <v>11700</v>
          </cell>
          <cell r="Q2031"/>
          <cell r="R2031">
            <v>11700</v>
          </cell>
          <cell r="S2031"/>
          <cell r="T2031">
            <v>11700</v>
          </cell>
          <cell r="U2031"/>
          <cell r="V2031">
            <v>11700</v>
          </cell>
          <cell r="W2031"/>
          <cell r="X2031">
            <v>11700</v>
          </cell>
          <cell r="Y2031"/>
          <cell r="Z2031">
            <v>11700</v>
          </cell>
          <cell r="AA2031"/>
          <cell r="AB2031"/>
          <cell r="AC2031"/>
          <cell r="AD2031">
            <v>0.26100000000000001</v>
          </cell>
          <cell r="AE2031"/>
          <cell r="AF2031"/>
          <cell r="AG2031">
            <v>9900</v>
          </cell>
          <cell r="AH2031">
            <v>96</v>
          </cell>
          <cell r="AI2031">
            <v>0.98899999999999999</v>
          </cell>
          <cell r="AJ2031">
            <v>1</v>
          </cell>
          <cell r="AK2031">
            <v>97.06</v>
          </cell>
          <cell r="AL2031"/>
        </row>
        <row r="2032">
          <cell r="E2032" t="str">
            <v>■Ｈｆカバー埋込形</v>
          </cell>
          <cell r="F2032"/>
          <cell r="G2032"/>
          <cell r="H2032"/>
          <cell r="I2032"/>
          <cell r="J2032"/>
          <cell r="K2032"/>
          <cell r="L2032"/>
          <cell r="M2032"/>
          <cell r="N2032"/>
          <cell r="O2032"/>
          <cell r="P2032"/>
          <cell r="Q2032"/>
          <cell r="R2032"/>
          <cell r="S2032"/>
          <cell r="T2032"/>
          <cell r="U2032"/>
          <cell r="V2032"/>
          <cell r="W2032"/>
          <cell r="X2032"/>
          <cell r="Y2032"/>
          <cell r="Z2032"/>
          <cell r="AA2032"/>
          <cell r="AB2032"/>
          <cell r="AC2032"/>
          <cell r="AD2032"/>
          <cell r="AE2032"/>
          <cell r="AF2032"/>
          <cell r="AG2032"/>
          <cell r="AH2032"/>
          <cell r="AI2032"/>
          <cell r="AJ2032"/>
          <cell r="AK2032"/>
          <cell r="AL2032"/>
        </row>
        <row r="2033">
          <cell r="E2033" t="str">
            <v>C5-321PN</v>
          </cell>
          <cell r="F2033" t="str">
            <v>台</v>
          </cell>
          <cell r="G2033"/>
          <cell r="H2033">
            <v>12500</v>
          </cell>
          <cell r="I2033"/>
          <cell r="J2033">
            <v>12500</v>
          </cell>
          <cell r="K2033"/>
          <cell r="L2033">
            <v>12500</v>
          </cell>
          <cell r="M2033"/>
          <cell r="N2033">
            <v>12500</v>
          </cell>
          <cell r="O2033"/>
          <cell r="P2033">
            <v>12500</v>
          </cell>
          <cell r="Q2033"/>
          <cell r="R2033">
            <v>12500</v>
          </cell>
          <cell r="S2033"/>
          <cell r="T2033">
            <v>12500</v>
          </cell>
          <cell r="U2033"/>
          <cell r="V2033">
            <v>12500</v>
          </cell>
          <cell r="W2033"/>
          <cell r="X2033">
            <v>12500</v>
          </cell>
          <cell r="Y2033"/>
          <cell r="Z2033">
            <v>12500</v>
          </cell>
          <cell r="AA2033"/>
          <cell r="AB2033"/>
          <cell r="AC2033"/>
          <cell r="AD2033">
            <v>0.2</v>
          </cell>
          <cell r="AE2033"/>
          <cell r="AF2033"/>
          <cell r="AG2033">
            <v>4950</v>
          </cell>
          <cell r="AH2033">
            <v>48</v>
          </cell>
          <cell r="AI2033">
            <v>0.97899999999999998</v>
          </cell>
          <cell r="AJ2033">
            <v>1</v>
          </cell>
          <cell r="AK2033">
            <v>49.02</v>
          </cell>
          <cell r="AL2033"/>
        </row>
        <row r="2034">
          <cell r="E2034" t="str">
            <v>C5-321PH</v>
          </cell>
          <cell r="F2034" t="str">
            <v>台</v>
          </cell>
          <cell r="G2034"/>
          <cell r="H2034">
            <v>13700</v>
          </cell>
          <cell r="I2034"/>
          <cell r="J2034">
            <v>13700</v>
          </cell>
          <cell r="K2034"/>
          <cell r="L2034">
            <v>13700</v>
          </cell>
          <cell r="M2034"/>
          <cell r="N2034">
            <v>13700</v>
          </cell>
          <cell r="O2034"/>
          <cell r="P2034">
            <v>13700</v>
          </cell>
          <cell r="Q2034"/>
          <cell r="R2034">
            <v>13700</v>
          </cell>
          <cell r="S2034"/>
          <cell r="T2034">
            <v>13700</v>
          </cell>
          <cell r="U2034"/>
          <cell r="V2034">
            <v>13700</v>
          </cell>
          <cell r="W2034"/>
          <cell r="X2034">
            <v>13700</v>
          </cell>
          <cell r="Y2034"/>
          <cell r="Z2034">
            <v>13700</v>
          </cell>
          <cell r="AA2034"/>
          <cell r="AB2034"/>
          <cell r="AC2034"/>
          <cell r="AD2034">
            <v>0.2</v>
          </cell>
          <cell r="AE2034"/>
          <cell r="AF2034"/>
          <cell r="AG2034">
            <v>4950</v>
          </cell>
          <cell r="AH2034">
            <v>48</v>
          </cell>
          <cell r="AI2034">
            <v>0.97899999999999998</v>
          </cell>
          <cell r="AJ2034">
            <v>1</v>
          </cell>
          <cell r="AK2034">
            <v>49.02</v>
          </cell>
          <cell r="AL2034"/>
        </row>
        <row r="2035">
          <cell r="E2035" t="str">
            <v>C9-323PR</v>
          </cell>
          <cell r="F2035" t="str">
            <v>台</v>
          </cell>
          <cell r="G2035"/>
          <cell r="H2035">
            <v>15000</v>
          </cell>
          <cell r="I2035"/>
          <cell r="J2035">
            <v>15000</v>
          </cell>
          <cell r="K2035"/>
          <cell r="L2035">
            <v>15000</v>
          </cell>
          <cell r="M2035"/>
          <cell r="N2035">
            <v>15000</v>
          </cell>
          <cell r="O2035"/>
          <cell r="P2035">
            <v>15000</v>
          </cell>
          <cell r="Q2035"/>
          <cell r="R2035">
            <v>15000</v>
          </cell>
          <cell r="S2035"/>
          <cell r="T2035">
            <v>15000</v>
          </cell>
          <cell r="U2035"/>
          <cell r="V2035">
            <v>15000</v>
          </cell>
          <cell r="W2035"/>
          <cell r="X2035">
            <v>15000</v>
          </cell>
          <cell r="Y2035"/>
          <cell r="Z2035">
            <v>15000</v>
          </cell>
          <cell r="AA2035"/>
          <cell r="AB2035"/>
          <cell r="AC2035"/>
          <cell r="AD2035">
            <v>0.313</v>
          </cell>
          <cell r="AE2035"/>
          <cell r="AF2035"/>
          <cell r="AG2035">
            <v>8700</v>
          </cell>
          <cell r="AH2035">
            <v>144</v>
          </cell>
          <cell r="AI2035">
            <v>0.98</v>
          </cell>
          <cell r="AJ2035">
            <v>1</v>
          </cell>
          <cell r="AK2035">
            <v>146.93</v>
          </cell>
          <cell r="AL2035"/>
        </row>
        <row r="2036">
          <cell r="E2036" t="str">
            <v>C9-454PN</v>
          </cell>
          <cell r="F2036" t="str">
            <v>台</v>
          </cell>
          <cell r="G2036"/>
          <cell r="H2036">
            <v>25100</v>
          </cell>
          <cell r="I2036"/>
          <cell r="J2036">
            <v>25100</v>
          </cell>
          <cell r="K2036"/>
          <cell r="L2036">
            <v>25100</v>
          </cell>
          <cell r="M2036"/>
          <cell r="N2036">
            <v>25100</v>
          </cell>
          <cell r="O2036"/>
          <cell r="P2036">
            <v>25100</v>
          </cell>
          <cell r="Q2036"/>
          <cell r="R2036">
            <v>25100</v>
          </cell>
          <cell r="S2036"/>
          <cell r="T2036">
            <v>25100</v>
          </cell>
          <cell r="U2036"/>
          <cell r="V2036">
            <v>25100</v>
          </cell>
          <cell r="W2036"/>
          <cell r="X2036">
            <v>25100</v>
          </cell>
          <cell r="Y2036"/>
          <cell r="Z2036">
            <v>25100</v>
          </cell>
          <cell r="AA2036"/>
          <cell r="AB2036"/>
          <cell r="AC2036"/>
          <cell r="AD2036">
            <v>0.46100000000000002</v>
          </cell>
          <cell r="AE2036"/>
          <cell r="AF2036"/>
          <cell r="AG2036">
            <v>17400</v>
          </cell>
          <cell r="AH2036">
            <v>192</v>
          </cell>
          <cell r="AI2036">
            <v>0.97</v>
          </cell>
          <cell r="AJ2036">
            <v>1</v>
          </cell>
          <cell r="AK2036">
            <v>197.93</v>
          </cell>
          <cell r="AL2036"/>
        </row>
        <row r="2037">
          <cell r="E2037" t="str">
            <v>C9-454PW</v>
          </cell>
          <cell r="F2037" t="str">
            <v>台</v>
          </cell>
          <cell r="G2037"/>
          <cell r="H2037">
            <v>27800</v>
          </cell>
          <cell r="I2037"/>
          <cell r="J2037">
            <v>27800</v>
          </cell>
          <cell r="K2037"/>
          <cell r="L2037">
            <v>27800</v>
          </cell>
          <cell r="M2037"/>
          <cell r="N2037">
            <v>27800</v>
          </cell>
          <cell r="O2037"/>
          <cell r="P2037">
            <v>27800</v>
          </cell>
          <cell r="Q2037"/>
          <cell r="R2037">
            <v>27800</v>
          </cell>
          <cell r="S2037"/>
          <cell r="T2037">
            <v>27800</v>
          </cell>
          <cell r="U2037"/>
          <cell r="V2037">
            <v>27800</v>
          </cell>
          <cell r="W2037"/>
          <cell r="X2037">
            <v>27800</v>
          </cell>
          <cell r="Y2037"/>
          <cell r="Z2037">
            <v>27800</v>
          </cell>
          <cell r="AA2037"/>
          <cell r="AB2037"/>
          <cell r="AC2037"/>
          <cell r="AD2037">
            <v>0.46100000000000002</v>
          </cell>
          <cell r="AE2037"/>
          <cell r="AF2037"/>
          <cell r="AG2037">
            <v>17400</v>
          </cell>
          <cell r="AH2037">
            <v>192</v>
          </cell>
          <cell r="AI2037">
            <v>0.97</v>
          </cell>
          <cell r="AJ2037">
            <v>1</v>
          </cell>
          <cell r="AK2037">
            <v>197.93</v>
          </cell>
          <cell r="AL2037"/>
        </row>
        <row r="2038">
          <cell r="E2038" t="str">
            <v>■Ｈｆルーバ埋込形</v>
          </cell>
          <cell r="F2038"/>
          <cell r="G2038"/>
          <cell r="H2038"/>
          <cell r="I2038"/>
          <cell r="J2038"/>
          <cell r="K2038"/>
          <cell r="L2038"/>
          <cell r="M2038"/>
          <cell r="N2038"/>
          <cell r="O2038"/>
          <cell r="P2038"/>
          <cell r="Q2038"/>
          <cell r="R2038"/>
          <cell r="S2038"/>
          <cell r="T2038"/>
          <cell r="U2038"/>
          <cell r="V2038"/>
          <cell r="W2038"/>
          <cell r="X2038"/>
          <cell r="Y2038"/>
          <cell r="Z2038"/>
          <cell r="AA2038"/>
          <cell r="AB2038"/>
          <cell r="AC2038"/>
          <cell r="AD2038"/>
          <cell r="AE2038"/>
          <cell r="AF2038"/>
          <cell r="AG2038"/>
          <cell r="AH2038"/>
          <cell r="AI2038"/>
          <cell r="AJ2038"/>
          <cell r="AK2038"/>
          <cell r="AL2038"/>
        </row>
        <row r="2039">
          <cell r="E2039" t="str">
            <v>D9-321PN</v>
          </cell>
          <cell r="F2039" t="str">
            <v>台</v>
          </cell>
          <cell r="G2039"/>
          <cell r="H2039">
            <v>8090</v>
          </cell>
          <cell r="I2039"/>
          <cell r="J2039">
            <v>8090</v>
          </cell>
          <cell r="K2039"/>
          <cell r="L2039">
            <v>8090</v>
          </cell>
          <cell r="M2039"/>
          <cell r="N2039">
            <v>8090</v>
          </cell>
          <cell r="O2039"/>
          <cell r="P2039">
            <v>8090</v>
          </cell>
          <cell r="Q2039"/>
          <cell r="R2039">
            <v>8090</v>
          </cell>
          <cell r="S2039"/>
          <cell r="T2039">
            <v>8090</v>
          </cell>
          <cell r="U2039"/>
          <cell r="V2039">
            <v>8090</v>
          </cell>
          <cell r="W2039"/>
          <cell r="X2039">
            <v>8090</v>
          </cell>
          <cell r="Y2039"/>
          <cell r="Z2039">
            <v>8090</v>
          </cell>
          <cell r="AA2039"/>
          <cell r="AB2039"/>
          <cell r="AC2039"/>
          <cell r="AD2039">
            <v>0.2</v>
          </cell>
          <cell r="AE2039"/>
          <cell r="AF2039"/>
          <cell r="AG2039">
            <v>4950</v>
          </cell>
          <cell r="AH2039">
            <v>48</v>
          </cell>
          <cell r="AI2039">
            <v>0.97899999999999998</v>
          </cell>
          <cell r="AJ2039">
            <v>1</v>
          </cell>
          <cell r="AK2039">
            <v>49.02</v>
          </cell>
          <cell r="AL2039"/>
        </row>
        <row r="2040">
          <cell r="E2040" t="str">
            <v>D9-321PH</v>
          </cell>
          <cell r="F2040" t="str">
            <v>台</v>
          </cell>
          <cell r="G2040"/>
          <cell r="H2040">
            <v>10100</v>
          </cell>
          <cell r="I2040"/>
          <cell r="J2040">
            <v>10100</v>
          </cell>
          <cell r="K2040"/>
          <cell r="L2040">
            <v>10100</v>
          </cell>
          <cell r="M2040"/>
          <cell r="N2040">
            <v>10100</v>
          </cell>
          <cell r="O2040"/>
          <cell r="P2040">
            <v>10100</v>
          </cell>
          <cell r="Q2040"/>
          <cell r="R2040">
            <v>10100</v>
          </cell>
          <cell r="S2040"/>
          <cell r="T2040">
            <v>10100</v>
          </cell>
          <cell r="U2040"/>
          <cell r="V2040">
            <v>10100</v>
          </cell>
          <cell r="W2040"/>
          <cell r="X2040">
            <v>10100</v>
          </cell>
          <cell r="Y2040"/>
          <cell r="Z2040">
            <v>10100</v>
          </cell>
          <cell r="AA2040"/>
          <cell r="AB2040"/>
          <cell r="AC2040"/>
          <cell r="AD2040">
            <v>0.2</v>
          </cell>
          <cell r="AE2040"/>
          <cell r="AF2040"/>
          <cell r="AG2040">
            <v>4950</v>
          </cell>
          <cell r="AH2040">
            <v>48</v>
          </cell>
          <cell r="AI2040">
            <v>0.97899999999999998</v>
          </cell>
          <cell r="AJ2040">
            <v>1</v>
          </cell>
          <cell r="AK2040">
            <v>49.02</v>
          </cell>
          <cell r="AL2040"/>
        </row>
        <row r="2041">
          <cell r="E2041" t="str">
            <v>D9-321PX</v>
          </cell>
          <cell r="F2041" t="str">
            <v>台</v>
          </cell>
          <cell r="G2041"/>
          <cell r="H2041">
            <v>11300</v>
          </cell>
          <cell r="I2041"/>
          <cell r="J2041">
            <v>11300</v>
          </cell>
          <cell r="K2041"/>
          <cell r="L2041">
            <v>11300</v>
          </cell>
          <cell r="M2041"/>
          <cell r="N2041">
            <v>11300</v>
          </cell>
          <cell r="O2041"/>
          <cell r="P2041">
            <v>11300</v>
          </cell>
          <cell r="Q2041"/>
          <cell r="R2041">
            <v>11300</v>
          </cell>
          <cell r="S2041"/>
          <cell r="T2041">
            <v>11300</v>
          </cell>
          <cell r="U2041"/>
          <cell r="V2041">
            <v>11300</v>
          </cell>
          <cell r="W2041"/>
          <cell r="X2041">
            <v>11300</v>
          </cell>
          <cell r="Y2041"/>
          <cell r="Z2041">
            <v>11300</v>
          </cell>
          <cell r="AA2041"/>
          <cell r="AB2041"/>
          <cell r="AC2041"/>
          <cell r="AD2041">
            <v>0.2</v>
          </cell>
          <cell r="AE2041"/>
          <cell r="AF2041"/>
          <cell r="AG2041">
            <v>4950</v>
          </cell>
          <cell r="AH2041">
            <v>48</v>
          </cell>
          <cell r="AI2041">
            <v>0.97899999999999998</v>
          </cell>
          <cell r="AJ2041">
            <v>1</v>
          </cell>
          <cell r="AK2041">
            <v>49.02</v>
          </cell>
          <cell r="AL2041"/>
        </row>
        <row r="2042">
          <cell r="E2042" t="str">
            <v>D9-321PK</v>
          </cell>
          <cell r="F2042" t="str">
            <v>台</v>
          </cell>
          <cell r="G2042"/>
          <cell r="H2042">
            <v>11300</v>
          </cell>
          <cell r="I2042"/>
          <cell r="J2042">
            <v>11300</v>
          </cell>
          <cell r="K2042"/>
          <cell r="L2042">
            <v>11300</v>
          </cell>
          <cell r="M2042"/>
          <cell r="N2042">
            <v>11300</v>
          </cell>
          <cell r="O2042"/>
          <cell r="P2042">
            <v>11300</v>
          </cell>
          <cell r="Q2042"/>
          <cell r="R2042">
            <v>11300</v>
          </cell>
          <cell r="S2042"/>
          <cell r="T2042">
            <v>11300</v>
          </cell>
          <cell r="U2042"/>
          <cell r="V2042">
            <v>11300</v>
          </cell>
          <cell r="W2042"/>
          <cell r="X2042">
            <v>11300</v>
          </cell>
          <cell r="Y2042"/>
          <cell r="Z2042">
            <v>11300</v>
          </cell>
          <cell r="AA2042"/>
          <cell r="AB2042"/>
          <cell r="AC2042"/>
          <cell r="AD2042">
            <v>0.2</v>
          </cell>
          <cell r="AE2042"/>
          <cell r="AF2042"/>
          <cell r="AG2042">
            <v>4950</v>
          </cell>
          <cell r="AH2042">
            <v>48</v>
          </cell>
          <cell r="AI2042">
            <v>0.97899999999999998</v>
          </cell>
          <cell r="AJ2042">
            <v>1</v>
          </cell>
          <cell r="AK2042">
            <v>49.02</v>
          </cell>
          <cell r="AL2042"/>
        </row>
        <row r="2043">
          <cell r="E2043" t="str">
            <v>D10-322PN</v>
          </cell>
          <cell r="F2043" t="str">
            <v>台</v>
          </cell>
          <cell r="G2043"/>
          <cell r="H2043">
            <v>10000</v>
          </cell>
          <cell r="I2043"/>
          <cell r="J2043">
            <v>10000</v>
          </cell>
          <cell r="K2043"/>
          <cell r="L2043">
            <v>10000</v>
          </cell>
          <cell r="M2043"/>
          <cell r="N2043">
            <v>10000</v>
          </cell>
          <cell r="O2043"/>
          <cell r="P2043">
            <v>10000</v>
          </cell>
          <cell r="Q2043"/>
          <cell r="R2043">
            <v>10000</v>
          </cell>
          <cell r="S2043"/>
          <cell r="T2043">
            <v>10000</v>
          </cell>
          <cell r="U2043"/>
          <cell r="V2043">
            <v>10000</v>
          </cell>
          <cell r="W2043"/>
          <cell r="X2043">
            <v>10000</v>
          </cell>
          <cell r="Y2043"/>
          <cell r="Z2043">
            <v>10000</v>
          </cell>
          <cell r="AA2043"/>
          <cell r="AB2043"/>
          <cell r="AC2043"/>
          <cell r="AD2043">
            <v>0.252</v>
          </cell>
          <cell r="AE2043"/>
          <cell r="AF2043"/>
          <cell r="AG2043">
            <v>9900</v>
          </cell>
          <cell r="AH2043">
            <v>96</v>
          </cell>
          <cell r="AI2043">
            <v>0.98899999999999999</v>
          </cell>
          <cell r="AJ2043">
            <v>1</v>
          </cell>
          <cell r="AK2043">
            <v>97.06</v>
          </cell>
          <cell r="AL2043"/>
        </row>
        <row r="2044">
          <cell r="E2044" t="str">
            <v>D10-322PH</v>
          </cell>
          <cell r="F2044" t="str">
            <v>台</v>
          </cell>
          <cell r="G2044"/>
          <cell r="H2044">
            <v>10700</v>
          </cell>
          <cell r="I2044"/>
          <cell r="J2044">
            <v>10700</v>
          </cell>
          <cell r="K2044"/>
          <cell r="L2044">
            <v>10700</v>
          </cell>
          <cell r="M2044"/>
          <cell r="N2044">
            <v>10700</v>
          </cell>
          <cell r="O2044"/>
          <cell r="P2044">
            <v>10700</v>
          </cell>
          <cell r="Q2044"/>
          <cell r="R2044">
            <v>10700</v>
          </cell>
          <cell r="S2044"/>
          <cell r="T2044">
            <v>10700</v>
          </cell>
          <cell r="U2044"/>
          <cell r="V2044">
            <v>10700</v>
          </cell>
          <cell r="W2044"/>
          <cell r="X2044">
            <v>10700</v>
          </cell>
          <cell r="Y2044"/>
          <cell r="Z2044">
            <v>10700</v>
          </cell>
          <cell r="AA2044"/>
          <cell r="AB2044"/>
          <cell r="AC2044"/>
          <cell r="AD2044">
            <v>0.252</v>
          </cell>
          <cell r="AE2044"/>
          <cell r="AF2044"/>
          <cell r="AG2044">
            <v>9900</v>
          </cell>
          <cell r="AH2044">
            <v>96</v>
          </cell>
          <cell r="AI2044">
            <v>0.98899999999999999</v>
          </cell>
          <cell r="AJ2044">
            <v>1</v>
          </cell>
          <cell r="AK2044">
            <v>97.06</v>
          </cell>
          <cell r="AL2044"/>
        </row>
        <row r="2045">
          <cell r="E2045" t="str">
            <v>D10-322PX</v>
          </cell>
          <cell r="F2045" t="str">
            <v>台</v>
          </cell>
          <cell r="G2045"/>
          <cell r="H2045">
            <v>11700</v>
          </cell>
          <cell r="I2045"/>
          <cell r="J2045">
            <v>11700</v>
          </cell>
          <cell r="K2045"/>
          <cell r="L2045">
            <v>11700</v>
          </cell>
          <cell r="M2045"/>
          <cell r="N2045">
            <v>11700</v>
          </cell>
          <cell r="O2045"/>
          <cell r="P2045">
            <v>11700</v>
          </cell>
          <cell r="Q2045"/>
          <cell r="R2045">
            <v>11700</v>
          </cell>
          <cell r="S2045"/>
          <cell r="T2045">
            <v>11700</v>
          </cell>
          <cell r="U2045"/>
          <cell r="V2045">
            <v>11700</v>
          </cell>
          <cell r="W2045"/>
          <cell r="X2045">
            <v>11700</v>
          </cell>
          <cell r="Y2045"/>
          <cell r="Z2045">
            <v>11700</v>
          </cell>
          <cell r="AA2045"/>
          <cell r="AB2045"/>
          <cell r="AC2045"/>
          <cell r="AD2045">
            <v>0.252</v>
          </cell>
          <cell r="AE2045"/>
          <cell r="AF2045"/>
          <cell r="AG2045">
            <v>9900</v>
          </cell>
          <cell r="AH2045">
            <v>96</v>
          </cell>
          <cell r="AI2045">
            <v>0.98899999999999999</v>
          </cell>
          <cell r="AJ2045">
            <v>1</v>
          </cell>
          <cell r="AK2045">
            <v>97.06</v>
          </cell>
          <cell r="AL2045"/>
        </row>
        <row r="2046">
          <cell r="E2046" t="str">
            <v>D10-322PK</v>
          </cell>
          <cell r="F2046" t="str">
            <v>台</v>
          </cell>
          <cell r="G2046"/>
          <cell r="H2046">
            <v>11700</v>
          </cell>
          <cell r="I2046"/>
          <cell r="J2046">
            <v>11700</v>
          </cell>
          <cell r="K2046"/>
          <cell r="L2046">
            <v>11700</v>
          </cell>
          <cell r="M2046"/>
          <cell r="N2046">
            <v>11700</v>
          </cell>
          <cell r="O2046"/>
          <cell r="P2046">
            <v>11700</v>
          </cell>
          <cell r="Q2046"/>
          <cell r="R2046">
            <v>11700</v>
          </cell>
          <cell r="S2046"/>
          <cell r="T2046">
            <v>11700</v>
          </cell>
          <cell r="U2046"/>
          <cell r="V2046">
            <v>11700</v>
          </cell>
          <cell r="W2046"/>
          <cell r="X2046">
            <v>11700</v>
          </cell>
          <cell r="Y2046"/>
          <cell r="Z2046">
            <v>11700</v>
          </cell>
          <cell r="AA2046"/>
          <cell r="AB2046"/>
          <cell r="AC2046"/>
          <cell r="AD2046">
            <v>0.252</v>
          </cell>
          <cell r="AE2046"/>
          <cell r="AF2046"/>
          <cell r="AG2046">
            <v>9900</v>
          </cell>
          <cell r="AH2046">
            <v>96</v>
          </cell>
          <cell r="AI2046">
            <v>0.98899999999999999</v>
          </cell>
          <cell r="AJ2046">
            <v>1</v>
          </cell>
          <cell r="AK2046">
            <v>97.06</v>
          </cell>
          <cell r="AL2046"/>
        </row>
        <row r="2047">
          <cell r="E2047" t="str">
            <v>D11-323PR</v>
          </cell>
          <cell r="F2047" t="str">
            <v>台</v>
          </cell>
          <cell r="G2047"/>
          <cell r="H2047">
            <v>17000</v>
          </cell>
          <cell r="I2047"/>
          <cell r="J2047">
            <v>17000</v>
          </cell>
          <cell r="K2047"/>
          <cell r="L2047">
            <v>17000</v>
          </cell>
          <cell r="M2047"/>
          <cell r="N2047">
            <v>17000</v>
          </cell>
          <cell r="O2047"/>
          <cell r="P2047">
            <v>17000</v>
          </cell>
          <cell r="Q2047"/>
          <cell r="R2047">
            <v>17000</v>
          </cell>
          <cell r="S2047"/>
          <cell r="T2047">
            <v>17000</v>
          </cell>
          <cell r="U2047"/>
          <cell r="V2047">
            <v>17000</v>
          </cell>
          <cell r="W2047"/>
          <cell r="X2047">
            <v>17000</v>
          </cell>
          <cell r="Y2047"/>
          <cell r="Z2047">
            <v>17000</v>
          </cell>
          <cell r="AA2047"/>
          <cell r="AB2047"/>
          <cell r="AC2047"/>
          <cell r="AD2047">
            <v>0.252</v>
          </cell>
          <cell r="AE2047"/>
          <cell r="AF2047"/>
          <cell r="AG2047">
            <v>8700</v>
          </cell>
          <cell r="AH2047">
            <v>144</v>
          </cell>
          <cell r="AI2047">
            <v>0.98</v>
          </cell>
          <cell r="AJ2047">
            <v>1</v>
          </cell>
          <cell r="AK2047">
            <v>146.93</v>
          </cell>
          <cell r="AL2047"/>
        </row>
        <row r="2048">
          <cell r="E2048" t="str">
            <v>D11-454PN</v>
          </cell>
          <cell r="F2048" t="str">
            <v>台</v>
          </cell>
          <cell r="G2048"/>
          <cell r="H2048">
            <v>26700</v>
          </cell>
          <cell r="I2048"/>
          <cell r="J2048">
            <v>26700</v>
          </cell>
          <cell r="K2048"/>
          <cell r="L2048">
            <v>26700</v>
          </cell>
          <cell r="M2048"/>
          <cell r="N2048">
            <v>26700</v>
          </cell>
          <cell r="O2048"/>
          <cell r="P2048">
            <v>26700</v>
          </cell>
          <cell r="Q2048"/>
          <cell r="R2048">
            <v>26700</v>
          </cell>
          <cell r="S2048"/>
          <cell r="T2048">
            <v>26700</v>
          </cell>
          <cell r="U2048"/>
          <cell r="V2048">
            <v>26700</v>
          </cell>
          <cell r="W2048"/>
          <cell r="X2048">
            <v>26700</v>
          </cell>
          <cell r="Y2048"/>
          <cell r="Z2048">
            <v>26700</v>
          </cell>
          <cell r="AA2048"/>
          <cell r="AB2048"/>
          <cell r="AC2048"/>
          <cell r="AD2048">
            <v>0.46100000000000002</v>
          </cell>
          <cell r="AE2048"/>
          <cell r="AF2048"/>
          <cell r="AG2048">
            <v>17400</v>
          </cell>
          <cell r="AH2048">
            <v>192</v>
          </cell>
          <cell r="AI2048">
            <v>0.97</v>
          </cell>
          <cell r="AJ2048">
            <v>1</v>
          </cell>
          <cell r="AK2048">
            <v>197.93</v>
          </cell>
          <cell r="AL2048"/>
        </row>
        <row r="2049">
          <cell r="E2049" t="str">
            <v>D11-323PR</v>
          </cell>
          <cell r="F2049" t="str">
            <v>台</v>
          </cell>
          <cell r="G2049"/>
          <cell r="H2049">
            <v>17700</v>
          </cell>
          <cell r="I2049"/>
          <cell r="J2049">
            <v>17700</v>
          </cell>
          <cell r="K2049"/>
          <cell r="L2049">
            <v>17700</v>
          </cell>
          <cell r="M2049"/>
          <cell r="N2049">
            <v>17700</v>
          </cell>
          <cell r="O2049"/>
          <cell r="P2049">
            <v>17700</v>
          </cell>
          <cell r="Q2049"/>
          <cell r="R2049">
            <v>17700</v>
          </cell>
          <cell r="S2049"/>
          <cell r="T2049">
            <v>17700</v>
          </cell>
          <cell r="U2049"/>
          <cell r="V2049">
            <v>17700</v>
          </cell>
          <cell r="W2049"/>
          <cell r="X2049">
            <v>17700</v>
          </cell>
          <cell r="Y2049"/>
          <cell r="Z2049">
            <v>17700</v>
          </cell>
          <cell r="AA2049"/>
          <cell r="AB2049"/>
          <cell r="AC2049"/>
          <cell r="AD2049">
            <v>0.313</v>
          </cell>
          <cell r="AE2049"/>
          <cell r="AF2049"/>
          <cell r="AG2049">
            <v>8700</v>
          </cell>
          <cell r="AH2049">
            <v>144</v>
          </cell>
          <cell r="AI2049">
            <v>0.98</v>
          </cell>
          <cell r="AJ2049">
            <v>1</v>
          </cell>
          <cell r="AK2049">
            <v>146.93</v>
          </cell>
          <cell r="AL2049"/>
        </row>
        <row r="2050">
          <cell r="E2050" t="str">
            <v>D11-454PN</v>
          </cell>
          <cell r="F2050" t="str">
            <v>台</v>
          </cell>
          <cell r="G2050"/>
          <cell r="H2050">
            <v>27800</v>
          </cell>
          <cell r="I2050"/>
          <cell r="J2050">
            <v>27800</v>
          </cell>
          <cell r="K2050"/>
          <cell r="L2050">
            <v>27800</v>
          </cell>
          <cell r="M2050"/>
          <cell r="N2050">
            <v>27800</v>
          </cell>
          <cell r="O2050"/>
          <cell r="P2050">
            <v>27800</v>
          </cell>
          <cell r="Q2050"/>
          <cell r="R2050">
            <v>27800</v>
          </cell>
          <cell r="S2050"/>
          <cell r="T2050">
            <v>27800</v>
          </cell>
          <cell r="U2050"/>
          <cell r="V2050">
            <v>27800</v>
          </cell>
          <cell r="W2050"/>
          <cell r="X2050">
            <v>27800</v>
          </cell>
          <cell r="Y2050"/>
          <cell r="Z2050">
            <v>27800</v>
          </cell>
          <cell r="AA2050"/>
          <cell r="AB2050"/>
          <cell r="AC2050"/>
          <cell r="AD2050">
            <v>0.46100000000000002</v>
          </cell>
          <cell r="AE2050"/>
          <cell r="AF2050"/>
          <cell r="AG2050">
            <v>17400</v>
          </cell>
          <cell r="AH2050">
            <v>192</v>
          </cell>
          <cell r="AI2050">
            <v>0.97</v>
          </cell>
          <cell r="AJ2050">
            <v>1</v>
          </cell>
          <cell r="AK2050">
            <v>197.93</v>
          </cell>
          <cell r="AL2050"/>
        </row>
        <row r="2051">
          <cell r="E2051" t="str">
            <v>D12-323PR</v>
          </cell>
          <cell r="F2051" t="str">
            <v>台</v>
          </cell>
          <cell r="G2051"/>
          <cell r="H2051">
            <v>13200</v>
          </cell>
          <cell r="I2051"/>
          <cell r="J2051">
            <v>13200</v>
          </cell>
          <cell r="K2051"/>
          <cell r="L2051">
            <v>13200</v>
          </cell>
          <cell r="M2051"/>
          <cell r="N2051">
            <v>13200</v>
          </cell>
          <cell r="O2051"/>
          <cell r="P2051">
            <v>13200</v>
          </cell>
          <cell r="Q2051"/>
          <cell r="R2051">
            <v>13200</v>
          </cell>
          <cell r="S2051"/>
          <cell r="T2051">
            <v>13200</v>
          </cell>
          <cell r="U2051"/>
          <cell r="V2051">
            <v>13200</v>
          </cell>
          <cell r="W2051"/>
          <cell r="X2051">
            <v>13200</v>
          </cell>
          <cell r="Y2051"/>
          <cell r="Z2051">
            <v>13200</v>
          </cell>
          <cell r="AA2051"/>
          <cell r="AB2051"/>
          <cell r="AC2051"/>
          <cell r="AD2051">
            <v>0.313</v>
          </cell>
          <cell r="AE2051"/>
          <cell r="AF2051"/>
          <cell r="AG2051">
            <v>8700</v>
          </cell>
          <cell r="AH2051">
            <v>144</v>
          </cell>
          <cell r="AI2051">
            <v>0.98</v>
          </cell>
          <cell r="AJ2051">
            <v>1</v>
          </cell>
          <cell r="AK2051">
            <v>146.93</v>
          </cell>
          <cell r="AL2051"/>
        </row>
        <row r="2052">
          <cell r="E2052" t="str">
            <v>D12-323PW</v>
          </cell>
          <cell r="F2052" t="str">
            <v>台</v>
          </cell>
          <cell r="G2052"/>
          <cell r="H2052">
            <v>15300</v>
          </cell>
          <cell r="I2052"/>
          <cell r="J2052">
            <v>15300</v>
          </cell>
          <cell r="K2052"/>
          <cell r="L2052">
            <v>15300</v>
          </cell>
          <cell r="M2052"/>
          <cell r="N2052">
            <v>15300</v>
          </cell>
          <cell r="O2052"/>
          <cell r="P2052">
            <v>15300</v>
          </cell>
          <cell r="Q2052"/>
          <cell r="R2052">
            <v>15300</v>
          </cell>
          <cell r="S2052"/>
          <cell r="T2052">
            <v>15300</v>
          </cell>
          <cell r="U2052"/>
          <cell r="V2052">
            <v>15300</v>
          </cell>
          <cell r="W2052"/>
          <cell r="X2052">
            <v>15300</v>
          </cell>
          <cell r="Y2052"/>
          <cell r="Z2052">
            <v>15300</v>
          </cell>
          <cell r="AA2052"/>
          <cell r="AB2052"/>
          <cell r="AC2052"/>
          <cell r="AD2052">
            <v>0.313</v>
          </cell>
          <cell r="AE2052"/>
          <cell r="AF2052"/>
          <cell r="AG2052">
            <v>8700</v>
          </cell>
          <cell r="AH2052">
            <v>144</v>
          </cell>
          <cell r="AI2052">
            <v>0.98</v>
          </cell>
          <cell r="AJ2052">
            <v>1</v>
          </cell>
          <cell r="AK2052">
            <v>146.93</v>
          </cell>
          <cell r="AL2052"/>
        </row>
        <row r="2053">
          <cell r="E2053" t="str">
            <v>D12-454PN</v>
          </cell>
          <cell r="F2053" t="str">
            <v>台</v>
          </cell>
          <cell r="G2053"/>
          <cell r="H2053">
            <v>23000</v>
          </cell>
          <cell r="I2053"/>
          <cell r="J2053">
            <v>23000</v>
          </cell>
          <cell r="K2053"/>
          <cell r="L2053">
            <v>23000</v>
          </cell>
          <cell r="M2053"/>
          <cell r="N2053">
            <v>23000</v>
          </cell>
          <cell r="O2053"/>
          <cell r="P2053">
            <v>23000</v>
          </cell>
          <cell r="Q2053"/>
          <cell r="R2053">
            <v>23000</v>
          </cell>
          <cell r="S2053"/>
          <cell r="T2053">
            <v>23000</v>
          </cell>
          <cell r="U2053"/>
          <cell r="V2053">
            <v>23000</v>
          </cell>
          <cell r="W2053"/>
          <cell r="X2053">
            <v>23000</v>
          </cell>
          <cell r="Y2053"/>
          <cell r="Z2053">
            <v>23000</v>
          </cell>
          <cell r="AA2053"/>
          <cell r="AB2053"/>
          <cell r="AC2053"/>
          <cell r="AD2053">
            <v>0.46100000000000002</v>
          </cell>
          <cell r="AE2053"/>
          <cell r="AF2053"/>
          <cell r="AG2053">
            <v>17400</v>
          </cell>
          <cell r="AH2053">
            <v>192</v>
          </cell>
          <cell r="AI2053">
            <v>0.97</v>
          </cell>
          <cell r="AJ2053">
            <v>1</v>
          </cell>
          <cell r="AK2053">
            <v>197.93</v>
          </cell>
          <cell r="AL2053"/>
        </row>
        <row r="2054">
          <cell r="E2054" t="str">
            <v>■Ｈｆ開放埋込形</v>
          </cell>
          <cell r="F2054"/>
          <cell r="G2054"/>
          <cell r="H2054"/>
          <cell r="I2054"/>
          <cell r="J2054"/>
          <cell r="K2054"/>
          <cell r="L2054"/>
          <cell r="M2054"/>
          <cell r="N2054"/>
          <cell r="O2054"/>
          <cell r="P2054"/>
          <cell r="Q2054"/>
          <cell r="R2054"/>
          <cell r="S2054"/>
          <cell r="T2054"/>
          <cell r="U2054"/>
          <cell r="V2054"/>
          <cell r="W2054"/>
          <cell r="X2054"/>
          <cell r="Y2054"/>
          <cell r="Z2054"/>
          <cell r="AA2054"/>
          <cell r="AB2054"/>
          <cell r="AC2054"/>
          <cell r="AD2054"/>
          <cell r="AE2054"/>
          <cell r="AF2054"/>
          <cell r="AG2054"/>
          <cell r="AH2054"/>
          <cell r="AI2054"/>
          <cell r="AJ2054"/>
          <cell r="AK2054"/>
          <cell r="AL2054"/>
        </row>
        <row r="2055">
          <cell r="E2055" t="str">
            <v>A15-162PX</v>
          </cell>
          <cell r="F2055" t="str">
            <v>台</v>
          </cell>
          <cell r="G2055"/>
          <cell r="H2055">
            <v>10900</v>
          </cell>
          <cell r="I2055"/>
          <cell r="J2055">
            <v>10900</v>
          </cell>
          <cell r="K2055"/>
          <cell r="L2055">
            <v>10900</v>
          </cell>
          <cell r="M2055"/>
          <cell r="N2055">
            <v>10900</v>
          </cell>
          <cell r="O2055"/>
          <cell r="P2055">
            <v>10900</v>
          </cell>
          <cell r="Q2055"/>
          <cell r="R2055">
            <v>10900</v>
          </cell>
          <cell r="S2055"/>
          <cell r="T2055">
            <v>10900</v>
          </cell>
          <cell r="U2055"/>
          <cell r="V2055">
            <v>10900</v>
          </cell>
          <cell r="W2055"/>
          <cell r="X2055">
            <v>10900</v>
          </cell>
          <cell r="Y2055"/>
          <cell r="Z2055">
            <v>10900</v>
          </cell>
          <cell r="AA2055"/>
          <cell r="AB2055"/>
          <cell r="AC2055"/>
          <cell r="AD2055">
            <v>0.252</v>
          </cell>
          <cell r="AE2055"/>
          <cell r="AF2055"/>
          <cell r="AG2055">
            <v>4200</v>
          </cell>
          <cell r="AH2055">
            <v>50</v>
          </cell>
          <cell r="AI2055">
            <v>0.98</v>
          </cell>
          <cell r="AJ2055">
            <v>1</v>
          </cell>
          <cell r="AK2055">
            <v>51.02</v>
          </cell>
          <cell r="AL2055"/>
        </row>
        <row r="2056">
          <cell r="E2056" t="str">
            <v>A15-321PN</v>
          </cell>
          <cell r="F2056" t="str">
            <v>台</v>
          </cell>
          <cell r="G2056"/>
          <cell r="H2056">
            <v>7240</v>
          </cell>
          <cell r="I2056"/>
          <cell r="J2056">
            <v>7240</v>
          </cell>
          <cell r="K2056"/>
          <cell r="L2056">
            <v>7240</v>
          </cell>
          <cell r="M2056"/>
          <cell r="N2056">
            <v>7240</v>
          </cell>
          <cell r="O2056"/>
          <cell r="P2056">
            <v>7240</v>
          </cell>
          <cell r="Q2056"/>
          <cell r="R2056">
            <v>7240</v>
          </cell>
          <cell r="S2056"/>
          <cell r="T2056">
            <v>7240</v>
          </cell>
          <cell r="U2056"/>
          <cell r="V2056">
            <v>7240</v>
          </cell>
          <cell r="W2056"/>
          <cell r="X2056">
            <v>7240</v>
          </cell>
          <cell r="Y2056"/>
          <cell r="Z2056">
            <v>7240</v>
          </cell>
          <cell r="AA2056"/>
          <cell r="AB2056"/>
          <cell r="AC2056"/>
          <cell r="AD2056">
            <v>0.20899999999999999</v>
          </cell>
          <cell r="AE2056"/>
          <cell r="AF2056"/>
          <cell r="AG2056">
            <v>4950</v>
          </cell>
          <cell r="AH2056">
            <v>48</v>
          </cell>
          <cell r="AI2056">
            <v>0.97899999999999998</v>
          </cell>
          <cell r="AJ2056">
            <v>1</v>
          </cell>
          <cell r="AK2056">
            <v>49.02</v>
          </cell>
          <cell r="AL2056"/>
        </row>
        <row r="2057">
          <cell r="E2057" t="str">
            <v>A15-321PH</v>
          </cell>
          <cell r="F2057" t="str">
            <v>台</v>
          </cell>
          <cell r="G2057"/>
          <cell r="H2057">
            <v>9280</v>
          </cell>
          <cell r="I2057"/>
          <cell r="J2057">
            <v>9280</v>
          </cell>
          <cell r="K2057"/>
          <cell r="L2057">
            <v>9280</v>
          </cell>
          <cell r="M2057"/>
          <cell r="N2057">
            <v>9280</v>
          </cell>
          <cell r="O2057"/>
          <cell r="P2057">
            <v>9280</v>
          </cell>
          <cell r="Q2057"/>
          <cell r="R2057">
            <v>9280</v>
          </cell>
          <cell r="S2057"/>
          <cell r="T2057">
            <v>9280</v>
          </cell>
          <cell r="U2057"/>
          <cell r="V2057">
            <v>9280</v>
          </cell>
          <cell r="W2057"/>
          <cell r="X2057">
            <v>9280</v>
          </cell>
          <cell r="Y2057"/>
          <cell r="Z2057">
            <v>9280</v>
          </cell>
          <cell r="AA2057"/>
          <cell r="AB2057"/>
          <cell r="AC2057"/>
          <cell r="AD2057">
            <v>0.313</v>
          </cell>
          <cell r="AE2057"/>
          <cell r="AF2057"/>
          <cell r="AG2057">
            <v>4950</v>
          </cell>
          <cell r="AH2057">
            <v>48</v>
          </cell>
          <cell r="AI2057">
            <v>0.97899999999999998</v>
          </cell>
          <cell r="AJ2057">
            <v>1</v>
          </cell>
          <cell r="AK2057">
            <v>49.02</v>
          </cell>
          <cell r="AL2057"/>
        </row>
        <row r="2058">
          <cell r="E2058" t="str">
            <v>A15-321PX</v>
          </cell>
          <cell r="F2058" t="str">
            <v>台</v>
          </cell>
          <cell r="G2058"/>
          <cell r="H2058">
            <v>10400</v>
          </cell>
          <cell r="I2058"/>
          <cell r="J2058">
            <v>10400</v>
          </cell>
          <cell r="K2058"/>
          <cell r="L2058">
            <v>10400</v>
          </cell>
          <cell r="M2058"/>
          <cell r="N2058">
            <v>10400</v>
          </cell>
          <cell r="O2058"/>
          <cell r="P2058">
            <v>10400</v>
          </cell>
          <cell r="Q2058"/>
          <cell r="R2058">
            <v>10400</v>
          </cell>
          <cell r="S2058"/>
          <cell r="T2058">
            <v>10400</v>
          </cell>
          <cell r="U2058"/>
          <cell r="V2058">
            <v>10400</v>
          </cell>
          <cell r="W2058"/>
          <cell r="X2058">
            <v>10400</v>
          </cell>
          <cell r="Y2058"/>
          <cell r="Z2058">
            <v>10400</v>
          </cell>
          <cell r="AA2058"/>
          <cell r="AB2058"/>
          <cell r="AC2058"/>
          <cell r="AD2058">
            <v>0.313</v>
          </cell>
          <cell r="AE2058"/>
          <cell r="AF2058"/>
          <cell r="AG2058">
            <v>4950</v>
          </cell>
          <cell r="AH2058">
            <v>48</v>
          </cell>
          <cell r="AI2058">
            <v>0.97899999999999998</v>
          </cell>
          <cell r="AJ2058">
            <v>1</v>
          </cell>
          <cell r="AK2058">
            <v>49.02</v>
          </cell>
          <cell r="AL2058"/>
        </row>
        <row r="2059">
          <cell r="E2059" t="str">
            <v>A15-321PK</v>
          </cell>
          <cell r="F2059" t="str">
            <v>台</v>
          </cell>
          <cell r="G2059"/>
          <cell r="H2059">
            <v>10400</v>
          </cell>
          <cell r="I2059"/>
          <cell r="J2059">
            <v>10400</v>
          </cell>
          <cell r="K2059"/>
          <cell r="L2059">
            <v>10400</v>
          </cell>
          <cell r="M2059"/>
          <cell r="N2059">
            <v>10400</v>
          </cell>
          <cell r="O2059"/>
          <cell r="P2059">
            <v>10400</v>
          </cell>
          <cell r="Q2059"/>
          <cell r="R2059">
            <v>10400</v>
          </cell>
          <cell r="S2059"/>
          <cell r="T2059">
            <v>10400</v>
          </cell>
          <cell r="U2059"/>
          <cell r="V2059">
            <v>10400</v>
          </cell>
          <cell r="W2059"/>
          <cell r="X2059">
            <v>10400</v>
          </cell>
          <cell r="Y2059"/>
          <cell r="Z2059">
            <v>10400</v>
          </cell>
          <cell r="AA2059"/>
          <cell r="AB2059"/>
          <cell r="AC2059"/>
          <cell r="AD2059">
            <v>0.313</v>
          </cell>
          <cell r="AE2059"/>
          <cell r="AF2059"/>
          <cell r="AG2059">
            <v>4950</v>
          </cell>
          <cell r="AH2059">
            <v>48</v>
          </cell>
          <cell r="AI2059">
            <v>0.97899999999999998</v>
          </cell>
          <cell r="AJ2059">
            <v>1</v>
          </cell>
          <cell r="AK2059">
            <v>49.02</v>
          </cell>
          <cell r="AL2059"/>
        </row>
        <row r="2060">
          <cell r="E2060" t="str">
            <v>A15-322PN</v>
          </cell>
          <cell r="F2060" t="str">
            <v>台</v>
          </cell>
          <cell r="G2060"/>
          <cell r="H2060">
            <v>8630</v>
          </cell>
          <cell r="I2060"/>
          <cell r="J2060">
            <v>8630</v>
          </cell>
          <cell r="K2060"/>
          <cell r="L2060">
            <v>8630</v>
          </cell>
          <cell r="M2060"/>
          <cell r="N2060">
            <v>8630</v>
          </cell>
          <cell r="O2060"/>
          <cell r="P2060">
            <v>8630</v>
          </cell>
          <cell r="Q2060"/>
          <cell r="R2060">
            <v>8630</v>
          </cell>
          <cell r="S2060"/>
          <cell r="T2060">
            <v>8630</v>
          </cell>
          <cell r="U2060"/>
          <cell r="V2060">
            <v>8630</v>
          </cell>
          <cell r="W2060"/>
          <cell r="X2060">
            <v>8630</v>
          </cell>
          <cell r="Y2060"/>
          <cell r="Z2060">
            <v>8630</v>
          </cell>
          <cell r="AA2060"/>
          <cell r="AB2060"/>
          <cell r="AC2060"/>
          <cell r="AD2060">
            <v>0.39100000000000001</v>
          </cell>
          <cell r="AE2060"/>
          <cell r="AF2060"/>
          <cell r="AG2060">
            <v>9900</v>
          </cell>
          <cell r="AH2060">
            <v>96</v>
          </cell>
          <cell r="AI2060">
            <v>0.98899999999999999</v>
          </cell>
          <cell r="AJ2060">
            <v>1</v>
          </cell>
          <cell r="AK2060">
            <v>97.06</v>
          </cell>
          <cell r="AL2060"/>
        </row>
        <row r="2061">
          <cell r="E2061" t="str">
            <v>A15-322PH</v>
          </cell>
          <cell r="F2061" t="str">
            <v>台</v>
          </cell>
          <cell r="G2061"/>
          <cell r="H2061">
            <v>10000</v>
          </cell>
          <cell r="I2061"/>
          <cell r="J2061">
            <v>10000</v>
          </cell>
          <cell r="K2061"/>
          <cell r="L2061">
            <v>10000</v>
          </cell>
          <cell r="M2061"/>
          <cell r="N2061">
            <v>10000</v>
          </cell>
          <cell r="O2061"/>
          <cell r="P2061">
            <v>10000</v>
          </cell>
          <cell r="Q2061"/>
          <cell r="R2061">
            <v>10000</v>
          </cell>
          <cell r="S2061"/>
          <cell r="T2061">
            <v>10000</v>
          </cell>
          <cell r="U2061"/>
          <cell r="V2061">
            <v>10000</v>
          </cell>
          <cell r="W2061"/>
          <cell r="X2061">
            <v>10000</v>
          </cell>
          <cell r="Y2061"/>
          <cell r="Z2061">
            <v>10000</v>
          </cell>
          <cell r="AA2061"/>
          <cell r="AB2061"/>
          <cell r="AC2061"/>
          <cell r="AD2061">
            <v>0.39100000000000001</v>
          </cell>
          <cell r="AE2061"/>
          <cell r="AF2061"/>
          <cell r="AG2061">
            <v>9900</v>
          </cell>
          <cell r="AH2061">
            <v>96</v>
          </cell>
          <cell r="AI2061">
            <v>0.98899999999999999</v>
          </cell>
          <cell r="AJ2061">
            <v>1</v>
          </cell>
          <cell r="AK2061">
            <v>97.06</v>
          </cell>
          <cell r="AL2061"/>
        </row>
        <row r="2062">
          <cell r="E2062" t="str">
            <v>A15-322PX</v>
          </cell>
          <cell r="F2062" t="str">
            <v>台</v>
          </cell>
          <cell r="G2062"/>
          <cell r="H2062">
            <v>11000</v>
          </cell>
          <cell r="I2062"/>
          <cell r="J2062">
            <v>11000</v>
          </cell>
          <cell r="K2062"/>
          <cell r="L2062">
            <v>11000</v>
          </cell>
          <cell r="M2062"/>
          <cell r="N2062">
            <v>11000</v>
          </cell>
          <cell r="O2062"/>
          <cell r="P2062">
            <v>11000</v>
          </cell>
          <cell r="Q2062"/>
          <cell r="R2062">
            <v>11000</v>
          </cell>
          <cell r="S2062"/>
          <cell r="T2062">
            <v>11000</v>
          </cell>
          <cell r="U2062"/>
          <cell r="V2062">
            <v>11000</v>
          </cell>
          <cell r="W2062"/>
          <cell r="X2062">
            <v>11000</v>
          </cell>
          <cell r="Y2062"/>
          <cell r="Z2062">
            <v>11000</v>
          </cell>
          <cell r="AA2062"/>
          <cell r="AB2062"/>
          <cell r="AC2062"/>
          <cell r="AD2062">
            <v>0.39100000000000001</v>
          </cell>
          <cell r="AE2062"/>
          <cell r="AF2062"/>
          <cell r="AG2062">
            <v>9900</v>
          </cell>
          <cell r="AH2062">
            <v>96</v>
          </cell>
          <cell r="AI2062">
            <v>0.98899999999999999</v>
          </cell>
          <cell r="AJ2062">
            <v>1</v>
          </cell>
          <cell r="AK2062">
            <v>97.06</v>
          </cell>
          <cell r="AL2062"/>
        </row>
        <row r="2063">
          <cell r="E2063" t="str">
            <v>A15-322PZ</v>
          </cell>
          <cell r="F2063" t="str">
            <v>台</v>
          </cell>
          <cell r="G2063"/>
          <cell r="H2063">
            <v>14100</v>
          </cell>
          <cell r="I2063"/>
          <cell r="J2063">
            <v>14100</v>
          </cell>
          <cell r="K2063"/>
          <cell r="L2063">
            <v>14100</v>
          </cell>
          <cell r="M2063"/>
          <cell r="N2063">
            <v>14100</v>
          </cell>
          <cell r="O2063"/>
          <cell r="P2063">
            <v>14100</v>
          </cell>
          <cell r="Q2063"/>
          <cell r="R2063">
            <v>14100</v>
          </cell>
          <cell r="S2063"/>
          <cell r="T2063">
            <v>14100</v>
          </cell>
          <cell r="U2063"/>
          <cell r="V2063">
            <v>14100</v>
          </cell>
          <cell r="W2063"/>
          <cell r="X2063">
            <v>14100</v>
          </cell>
          <cell r="Y2063"/>
          <cell r="Z2063">
            <v>14100</v>
          </cell>
          <cell r="AA2063"/>
          <cell r="AB2063"/>
          <cell r="AC2063"/>
          <cell r="AD2063">
            <v>0.39100000000000001</v>
          </cell>
          <cell r="AE2063"/>
          <cell r="AF2063"/>
          <cell r="AG2063">
            <v>9900</v>
          </cell>
          <cell r="AH2063">
            <v>96</v>
          </cell>
          <cell r="AI2063">
            <v>0.98899999999999999</v>
          </cell>
          <cell r="AJ2063">
            <v>1</v>
          </cell>
          <cell r="AK2063">
            <v>97.06</v>
          </cell>
          <cell r="AL2063"/>
        </row>
        <row r="2064">
          <cell r="E2064" t="str">
            <v>A15-322PK</v>
          </cell>
          <cell r="F2064" t="str">
            <v>台</v>
          </cell>
          <cell r="G2064"/>
          <cell r="H2064">
            <v>11000</v>
          </cell>
          <cell r="I2064"/>
          <cell r="J2064">
            <v>11000</v>
          </cell>
          <cell r="K2064"/>
          <cell r="L2064">
            <v>11000</v>
          </cell>
          <cell r="M2064"/>
          <cell r="N2064">
            <v>11000</v>
          </cell>
          <cell r="O2064"/>
          <cell r="P2064">
            <v>11000</v>
          </cell>
          <cell r="Q2064"/>
          <cell r="R2064">
            <v>11000</v>
          </cell>
          <cell r="S2064"/>
          <cell r="T2064">
            <v>11000</v>
          </cell>
          <cell r="U2064"/>
          <cell r="V2064">
            <v>11000</v>
          </cell>
          <cell r="W2064"/>
          <cell r="X2064">
            <v>11000</v>
          </cell>
          <cell r="Y2064"/>
          <cell r="Z2064">
            <v>11000</v>
          </cell>
          <cell r="AA2064"/>
          <cell r="AB2064"/>
          <cell r="AC2064"/>
          <cell r="AD2064">
            <v>0.39100000000000001</v>
          </cell>
          <cell r="AE2064"/>
          <cell r="AF2064"/>
          <cell r="AG2064">
            <v>9900</v>
          </cell>
          <cell r="AH2064">
            <v>96</v>
          </cell>
          <cell r="AI2064">
            <v>0.98899999999999999</v>
          </cell>
          <cell r="AJ2064">
            <v>1</v>
          </cell>
          <cell r="AK2064">
            <v>97.06</v>
          </cell>
          <cell r="AL2064"/>
        </row>
        <row r="2065">
          <cell r="E2065" t="str">
            <v>■Ｈｆカバー埋込形</v>
          </cell>
          <cell r="F2065"/>
          <cell r="G2065"/>
          <cell r="H2065"/>
          <cell r="I2065"/>
          <cell r="J2065"/>
          <cell r="K2065"/>
          <cell r="L2065"/>
          <cell r="M2065"/>
          <cell r="N2065"/>
          <cell r="O2065"/>
          <cell r="P2065"/>
          <cell r="Q2065"/>
          <cell r="R2065"/>
          <cell r="S2065"/>
          <cell r="T2065"/>
          <cell r="U2065"/>
          <cell r="V2065"/>
          <cell r="W2065"/>
          <cell r="X2065"/>
          <cell r="Y2065"/>
          <cell r="Z2065"/>
          <cell r="AA2065"/>
          <cell r="AB2065"/>
          <cell r="AC2065"/>
          <cell r="AD2065"/>
          <cell r="AE2065"/>
          <cell r="AF2065"/>
          <cell r="AG2065"/>
          <cell r="AH2065"/>
          <cell r="AI2065"/>
          <cell r="AJ2065"/>
          <cell r="AK2065"/>
          <cell r="AL2065"/>
        </row>
        <row r="2066">
          <cell r="E2066" t="str">
            <v>C15F1-321PN</v>
          </cell>
          <cell r="F2066" t="str">
            <v>台</v>
          </cell>
          <cell r="G2066"/>
          <cell r="H2066">
            <v>9960</v>
          </cell>
          <cell r="I2066"/>
          <cell r="J2066">
            <v>9960</v>
          </cell>
          <cell r="K2066"/>
          <cell r="L2066">
            <v>9960</v>
          </cell>
          <cell r="M2066"/>
          <cell r="N2066">
            <v>9960</v>
          </cell>
          <cell r="O2066"/>
          <cell r="P2066">
            <v>9960</v>
          </cell>
          <cell r="Q2066"/>
          <cell r="R2066">
            <v>9960</v>
          </cell>
          <cell r="S2066"/>
          <cell r="T2066">
            <v>9960</v>
          </cell>
          <cell r="U2066"/>
          <cell r="V2066">
            <v>9960</v>
          </cell>
          <cell r="W2066"/>
          <cell r="X2066">
            <v>9960</v>
          </cell>
          <cell r="Y2066"/>
          <cell r="Z2066">
            <v>9960</v>
          </cell>
          <cell r="AA2066"/>
          <cell r="AB2066"/>
          <cell r="AC2066"/>
          <cell r="AD2066">
            <v>0.313</v>
          </cell>
          <cell r="AE2066"/>
          <cell r="AF2066"/>
          <cell r="AG2066">
            <v>4950</v>
          </cell>
          <cell r="AH2066">
            <v>48</v>
          </cell>
          <cell r="AI2066">
            <v>0.97899999999999998</v>
          </cell>
          <cell r="AJ2066">
            <v>1</v>
          </cell>
          <cell r="AK2066">
            <v>49.02</v>
          </cell>
          <cell r="AL2066"/>
        </row>
        <row r="2067">
          <cell r="E2067" t="str">
            <v>C15F1-321PH</v>
          </cell>
          <cell r="F2067" t="str">
            <v>台</v>
          </cell>
          <cell r="G2067"/>
          <cell r="H2067">
            <v>12000</v>
          </cell>
          <cell r="I2067"/>
          <cell r="J2067">
            <v>12000</v>
          </cell>
          <cell r="K2067"/>
          <cell r="L2067">
            <v>12000</v>
          </cell>
          <cell r="M2067"/>
          <cell r="N2067">
            <v>12000</v>
          </cell>
          <cell r="O2067"/>
          <cell r="P2067">
            <v>12000</v>
          </cell>
          <cell r="Q2067"/>
          <cell r="R2067">
            <v>12000</v>
          </cell>
          <cell r="S2067"/>
          <cell r="T2067">
            <v>12000</v>
          </cell>
          <cell r="U2067"/>
          <cell r="V2067">
            <v>12000</v>
          </cell>
          <cell r="W2067"/>
          <cell r="X2067">
            <v>12000</v>
          </cell>
          <cell r="Y2067"/>
          <cell r="Z2067">
            <v>12000</v>
          </cell>
          <cell r="AA2067"/>
          <cell r="AB2067"/>
          <cell r="AC2067"/>
          <cell r="AD2067">
            <v>0.313</v>
          </cell>
          <cell r="AE2067"/>
          <cell r="AF2067"/>
          <cell r="AG2067">
            <v>4950</v>
          </cell>
          <cell r="AH2067">
            <v>48</v>
          </cell>
          <cell r="AI2067">
            <v>0.97899999999999998</v>
          </cell>
          <cell r="AJ2067">
            <v>1</v>
          </cell>
          <cell r="AK2067">
            <v>49.02</v>
          </cell>
          <cell r="AL2067"/>
        </row>
        <row r="2068">
          <cell r="E2068" t="str">
            <v>C15F1-321PX</v>
          </cell>
          <cell r="F2068" t="str">
            <v>台</v>
          </cell>
          <cell r="G2068"/>
          <cell r="H2068">
            <v>13100</v>
          </cell>
          <cell r="I2068"/>
          <cell r="J2068">
            <v>13100</v>
          </cell>
          <cell r="K2068"/>
          <cell r="L2068">
            <v>13100</v>
          </cell>
          <cell r="M2068"/>
          <cell r="N2068">
            <v>13100</v>
          </cell>
          <cell r="O2068"/>
          <cell r="P2068">
            <v>13100</v>
          </cell>
          <cell r="Q2068"/>
          <cell r="R2068">
            <v>13100</v>
          </cell>
          <cell r="S2068"/>
          <cell r="T2068">
            <v>13100</v>
          </cell>
          <cell r="U2068"/>
          <cell r="V2068">
            <v>13100</v>
          </cell>
          <cell r="W2068"/>
          <cell r="X2068">
            <v>13100</v>
          </cell>
          <cell r="Y2068"/>
          <cell r="Z2068">
            <v>13100</v>
          </cell>
          <cell r="AA2068"/>
          <cell r="AB2068"/>
          <cell r="AC2068"/>
          <cell r="AD2068">
            <v>0.313</v>
          </cell>
          <cell r="AE2068"/>
          <cell r="AF2068"/>
          <cell r="AG2068">
            <v>4950</v>
          </cell>
          <cell r="AH2068">
            <v>48</v>
          </cell>
          <cell r="AI2068">
            <v>0.97899999999999998</v>
          </cell>
          <cell r="AJ2068">
            <v>1</v>
          </cell>
          <cell r="AK2068">
            <v>49.02</v>
          </cell>
          <cell r="AL2068"/>
        </row>
        <row r="2069">
          <cell r="E2069" t="str">
            <v>C15F1-321PK</v>
          </cell>
          <cell r="F2069" t="str">
            <v>台</v>
          </cell>
          <cell r="G2069"/>
          <cell r="H2069">
            <v>13100</v>
          </cell>
          <cell r="I2069"/>
          <cell r="J2069">
            <v>13100</v>
          </cell>
          <cell r="K2069"/>
          <cell r="L2069">
            <v>13100</v>
          </cell>
          <cell r="M2069"/>
          <cell r="N2069">
            <v>13100</v>
          </cell>
          <cell r="O2069"/>
          <cell r="P2069">
            <v>13100</v>
          </cell>
          <cell r="Q2069"/>
          <cell r="R2069">
            <v>13100</v>
          </cell>
          <cell r="S2069"/>
          <cell r="T2069">
            <v>13100</v>
          </cell>
          <cell r="U2069"/>
          <cell r="V2069">
            <v>13100</v>
          </cell>
          <cell r="W2069"/>
          <cell r="X2069">
            <v>13100</v>
          </cell>
          <cell r="Y2069"/>
          <cell r="Z2069">
            <v>13100</v>
          </cell>
          <cell r="AA2069"/>
          <cell r="AB2069"/>
          <cell r="AC2069"/>
          <cell r="AD2069">
            <v>0.313</v>
          </cell>
          <cell r="AE2069"/>
          <cell r="AF2069"/>
          <cell r="AG2069">
            <v>4950</v>
          </cell>
          <cell r="AH2069">
            <v>48</v>
          </cell>
          <cell r="AI2069">
            <v>0.97899999999999998</v>
          </cell>
          <cell r="AJ2069">
            <v>1</v>
          </cell>
          <cell r="AK2069">
            <v>49.02</v>
          </cell>
          <cell r="AL2069"/>
        </row>
        <row r="2070">
          <cell r="E2070" t="str">
            <v>C15F1-322PN</v>
          </cell>
          <cell r="F2070" t="str">
            <v>台</v>
          </cell>
          <cell r="G2070"/>
          <cell r="H2070">
            <v>11600</v>
          </cell>
          <cell r="I2070"/>
          <cell r="J2070">
            <v>11600</v>
          </cell>
          <cell r="K2070"/>
          <cell r="L2070">
            <v>11600</v>
          </cell>
          <cell r="M2070"/>
          <cell r="N2070">
            <v>11600</v>
          </cell>
          <cell r="O2070"/>
          <cell r="P2070">
            <v>11600</v>
          </cell>
          <cell r="Q2070"/>
          <cell r="R2070">
            <v>11600</v>
          </cell>
          <cell r="S2070"/>
          <cell r="T2070">
            <v>11600</v>
          </cell>
          <cell r="U2070"/>
          <cell r="V2070">
            <v>11600</v>
          </cell>
          <cell r="W2070"/>
          <cell r="X2070">
            <v>11600</v>
          </cell>
          <cell r="Y2070"/>
          <cell r="Z2070">
            <v>11600</v>
          </cell>
          <cell r="AA2070"/>
          <cell r="AB2070"/>
          <cell r="AC2070"/>
          <cell r="AD2070">
            <v>0.39100000000000001</v>
          </cell>
          <cell r="AE2070"/>
          <cell r="AF2070"/>
          <cell r="AG2070">
            <v>9900</v>
          </cell>
          <cell r="AH2070">
            <v>96</v>
          </cell>
          <cell r="AI2070">
            <v>0.98899999999999999</v>
          </cell>
          <cell r="AJ2070">
            <v>1</v>
          </cell>
          <cell r="AK2070">
            <v>97.06</v>
          </cell>
          <cell r="AL2070"/>
        </row>
        <row r="2071">
          <cell r="E2071" t="str">
            <v>C15F1-322PH</v>
          </cell>
          <cell r="F2071" t="str">
            <v>台</v>
          </cell>
          <cell r="G2071"/>
          <cell r="H2071">
            <v>13100</v>
          </cell>
          <cell r="I2071"/>
          <cell r="J2071">
            <v>13100</v>
          </cell>
          <cell r="K2071"/>
          <cell r="L2071">
            <v>13100</v>
          </cell>
          <cell r="M2071"/>
          <cell r="N2071">
            <v>13100</v>
          </cell>
          <cell r="O2071"/>
          <cell r="P2071">
            <v>13100</v>
          </cell>
          <cell r="Q2071"/>
          <cell r="R2071">
            <v>13100</v>
          </cell>
          <cell r="S2071"/>
          <cell r="T2071">
            <v>13100</v>
          </cell>
          <cell r="U2071"/>
          <cell r="V2071">
            <v>13100</v>
          </cell>
          <cell r="W2071"/>
          <cell r="X2071">
            <v>13100</v>
          </cell>
          <cell r="Y2071"/>
          <cell r="Z2071">
            <v>13100</v>
          </cell>
          <cell r="AA2071"/>
          <cell r="AB2071"/>
          <cell r="AC2071"/>
          <cell r="AD2071">
            <v>0.39100000000000001</v>
          </cell>
          <cell r="AE2071"/>
          <cell r="AF2071"/>
          <cell r="AG2071">
            <v>9900</v>
          </cell>
          <cell r="AH2071">
            <v>96</v>
          </cell>
          <cell r="AI2071">
            <v>0.98899999999999999</v>
          </cell>
          <cell r="AJ2071">
            <v>1</v>
          </cell>
          <cell r="AK2071">
            <v>97.06</v>
          </cell>
          <cell r="AL2071"/>
        </row>
        <row r="2072">
          <cell r="E2072" t="str">
            <v>C15F1-322PX</v>
          </cell>
          <cell r="F2072" t="str">
            <v>台</v>
          </cell>
          <cell r="G2072"/>
          <cell r="H2072">
            <v>14100</v>
          </cell>
          <cell r="I2072"/>
          <cell r="J2072">
            <v>14100</v>
          </cell>
          <cell r="K2072"/>
          <cell r="L2072">
            <v>14100</v>
          </cell>
          <cell r="M2072"/>
          <cell r="N2072">
            <v>14100</v>
          </cell>
          <cell r="O2072"/>
          <cell r="P2072">
            <v>14100</v>
          </cell>
          <cell r="Q2072"/>
          <cell r="R2072">
            <v>14100</v>
          </cell>
          <cell r="S2072"/>
          <cell r="T2072">
            <v>14100</v>
          </cell>
          <cell r="U2072"/>
          <cell r="V2072">
            <v>14100</v>
          </cell>
          <cell r="W2072"/>
          <cell r="X2072">
            <v>14100</v>
          </cell>
          <cell r="Y2072"/>
          <cell r="Z2072">
            <v>14100</v>
          </cell>
          <cell r="AA2072"/>
          <cell r="AB2072"/>
          <cell r="AC2072"/>
          <cell r="AD2072">
            <v>0.39100000000000001</v>
          </cell>
          <cell r="AE2072"/>
          <cell r="AF2072"/>
          <cell r="AG2072">
            <v>9900</v>
          </cell>
          <cell r="AH2072">
            <v>96</v>
          </cell>
          <cell r="AI2072">
            <v>0.98899999999999999</v>
          </cell>
          <cell r="AJ2072">
            <v>1</v>
          </cell>
          <cell r="AK2072">
            <v>97.06</v>
          </cell>
          <cell r="AL2072"/>
        </row>
        <row r="2073">
          <cell r="E2073" t="str">
            <v>C15F1-322PZ</v>
          </cell>
          <cell r="F2073" t="str">
            <v>台</v>
          </cell>
          <cell r="G2073"/>
          <cell r="H2073">
            <v>17200</v>
          </cell>
          <cell r="I2073"/>
          <cell r="J2073">
            <v>17200</v>
          </cell>
          <cell r="K2073"/>
          <cell r="L2073">
            <v>17200</v>
          </cell>
          <cell r="M2073"/>
          <cell r="N2073">
            <v>17200</v>
          </cell>
          <cell r="O2073"/>
          <cell r="P2073">
            <v>17200</v>
          </cell>
          <cell r="Q2073"/>
          <cell r="R2073">
            <v>17200</v>
          </cell>
          <cell r="S2073"/>
          <cell r="T2073">
            <v>17200</v>
          </cell>
          <cell r="U2073"/>
          <cell r="V2073">
            <v>17200</v>
          </cell>
          <cell r="W2073"/>
          <cell r="X2073">
            <v>17200</v>
          </cell>
          <cell r="Y2073"/>
          <cell r="Z2073">
            <v>17200</v>
          </cell>
          <cell r="AA2073"/>
          <cell r="AB2073"/>
          <cell r="AC2073"/>
          <cell r="AD2073">
            <v>0.39100000000000001</v>
          </cell>
          <cell r="AE2073"/>
          <cell r="AF2073"/>
          <cell r="AG2073">
            <v>9900</v>
          </cell>
          <cell r="AH2073">
            <v>96</v>
          </cell>
          <cell r="AI2073">
            <v>0.98899999999999999</v>
          </cell>
          <cell r="AJ2073">
            <v>1</v>
          </cell>
          <cell r="AK2073">
            <v>97.06</v>
          </cell>
          <cell r="AL2073"/>
        </row>
        <row r="2074">
          <cell r="E2074" t="str">
            <v>C15F1-322PK</v>
          </cell>
          <cell r="F2074" t="str">
            <v>台</v>
          </cell>
          <cell r="G2074"/>
          <cell r="H2074">
            <v>14100</v>
          </cell>
          <cell r="I2074"/>
          <cell r="J2074">
            <v>14100</v>
          </cell>
          <cell r="K2074"/>
          <cell r="L2074">
            <v>14100</v>
          </cell>
          <cell r="M2074"/>
          <cell r="N2074">
            <v>14100</v>
          </cell>
          <cell r="O2074"/>
          <cell r="P2074">
            <v>14100</v>
          </cell>
          <cell r="Q2074"/>
          <cell r="R2074">
            <v>14100</v>
          </cell>
          <cell r="S2074"/>
          <cell r="T2074">
            <v>14100</v>
          </cell>
          <cell r="U2074"/>
          <cell r="V2074">
            <v>14100</v>
          </cell>
          <cell r="W2074"/>
          <cell r="X2074">
            <v>14100</v>
          </cell>
          <cell r="Y2074"/>
          <cell r="Z2074">
            <v>14100</v>
          </cell>
          <cell r="AA2074"/>
          <cell r="AB2074"/>
          <cell r="AC2074"/>
          <cell r="AD2074">
            <v>0.39100000000000001</v>
          </cell>
          <cell r="AE2074"/>
          <cell r="AF2074"/>
          <cell r="AG2074">
            <v>9900</v>
          </cell>
          <cell r="AH2074">
            <v>96</v>
          </cell>
          <cell r="AI2074">
            <v>0.98899999999999999</v>
          </cell>
          <cell r="AJ2074">
            <v>1</v>
          </cell>
          <cell r="AK2074">
            <v>97.06</v>
          </cell>
          <cell r="AL2074"/>
        </row>
        <row r="2075">
          <cell r="E2075" t="str">
            <v>■Ｈｆルーバ埋込形</v>
          </cell>
          <cell r="F2075"/>
          <cell r="G2075"/>
          <cell r="H2075"/>
          <cell r="I2075"/>
          <cell r="J2075"/>
          <cell r="K2075"/>
          <cell r="L2075"/>
          <cell r="M2075"/>
          <cell r="N2075"/>
          <cell r="O2075"/>
          <cell r="P2075"/>
          <cell r="Q2075"/>
          <cell r="R2075"/>
          <cell r="S2075"/>
          <cell r="T2075"/>
          <cell r="U2075"/>
          <cell r="V2075"/>
          <cell r="W2075"/>
          <cell r="X2075"/>
          <cell r="Y2075"/>
          <cell r="Z2075"/>
          <cell r="AA2075"/>
          <cell r="AB2075"/>
          <cell r="AC2075"/>
          <cell r="AD2075"/>
          <cell r="AE2075"/>
          <cell r="AF2075"/>
          <cell r="AG2075"/>
          <cell r="AH2075"/>
          <cell r="AI2075"/>
          <cell r="AJ2075"/>
          <cell r="AK2075"/>
          <cell r="AL2075"/>
        </row>
        <row r="2076">
          <cell r="E2076" t="str">
            <v>D15-162PH</v>
          </cell>
          <cell r="F2076" t="str">
            <v>台</v>
          </cell>
          <cell r="G2076"/>
          <cell r="H2076">
            <v>15700</v>
          </cell>
          <cell r="I2076"/>
          <cell r="J2076">
            <v>15700</v>
          </cell>
          <cell r="K2076"/>
          <cell r="L2076">
            <v>15700</v>
          </cell>
          <cell r="M2076"/>
          <cell r="N2076">
            <v>15700</v>
          </cell>
          <cell r="O2076"/>
          <cell r="P2076">
            <v>15700</v>
          </cell>
          <cell r="Q2076"/>
          <cell r="R2076">
            <v>15700</v>
          </cell>
          <cell r="S2076"/>
          <cell r="T2076">
            <v>15700</v>
          </cell>
          <cell r="U2076"/>
          <cell r="V2076">
            <v>15700</v>
          </cell>
          <cell r="W2076"/>
          <cell r="X2076">
            <v>15700</v>
          </cell>
          <cell r="Y2076"/>
          <cell r="Z2076">
            <v>15700</v>
          </cell>
          <cell r="AA2076"/>
          <cell r="AB2076"/>
          <cell r="AC2076"/>
          <cell r="AD2076">
            <v>0.252</v>
          </cell>
          <cell r="AE2076"/>
          <cell r="AF2076"/>
          <cell r="AG2076">
            <v>4200</v>
          </cell>
          <cell r="AH2076">
            <v>50</v>
          </cell>
          <cell r="AI2076">
            <v>0.98</v>
          </cell>
          <cell r="AJ2076">
            <v>1</v>
          </cell>
          <cell r="AK2076">
            <v>51.02</v>
          </cell>
          <cell r="AL2076"/>
        </row>
        <row r="2077">
          <cell r="E2077" t="str">
            <v>D15-162PX</v>
          </cell>
          <cell r="F2077" t="str">
            <v>台</v>
          </cell>
          <cell r="G2077"/>
          <cell r="H2077">
            <v>16700</v>
          </cell>
          <cell r="I2077"/>
          <cell r="J2077">
            <v>16700</v>
          </cell>
          <cell r="K2077"/>
          <cell r="L2077">
            <v>16700</v>
          </cell>
          <cell r="M2077"/>
          <cell r="N2077">
            <v>16700</v>
          </cell>
          <cell r="O2077"/>
          <cell r="P2077">
            <v>16700</v>
          </cell>
          <cell r="Q2077"/>
          <cell r="R2077">
            <v>16700</v>
          </cell>
          <cell r="S2077"/>
          <cell r="T2077">
            <v>16700</v>
          </cell>
          <cell r="U2077"/>
          <cell r="V2077">
            <v>16700</v>
          </cell>
          <cell r="W2077"/>
          <cell r="X2077">
            <v>16700</v>
          </cell>
          <cell r="Y2077"/>
          <cell r="Z2077">
            <v>16700</v>
          </cell>
          <cell r="AA2077"/>
          <cell r="AB2077"/>
          <cell r="AC2077"/>
          <cell r="AD2077">
            <v>0.252</v>
          </cell>
          <cell r="AE2077"/>
          <cell r="AF2077"/>
          <cell r="AG2077">
            <v>4200</v>
          </cell>
          <cell r="AH2077">
            <v>50</v>
          </cell>
          <cell r="AI2077">
            <v>0.98</v>
          </cell>
          <cell r="AJ2077">
            <v>1</v>
          </cell>
          <cell r="AK2077">
            <v>51.02</v>
          </cell>
          <cell r="AL2077"/>
        </row>
        <row r="2078">
          <cell r="E2078" t="str">
            <v>D15-321PN</v>
          </cell>
          <cell r="F2078" t="str">
            <v>台</v>
          </cell>
          <cell r="G2078"/>
          <cell r="H2078">
            <v>13800</v>
          </cell>
          <cell r="I2078"/>
          <cell r="J2078">
            <v>13800</v>
          </cell>
          <cell r="K2078"/>
          <cell r="L2078">
            <v>13800</v>
          </cell>
          <cell r="M2078"/>
          <cell r="N2078">
            <v>13800</v>
          </cell>
          <cell r="O2078"/>
          <cell r="P2078">
            <v>13800</v>
          </cell>
          <cell r="Q2078"/>
          <cell r="R2078">
            <v>13800</v>
          </cell>
          <cell r="S2078"/>
          <cell r="T2078">
            <v>13800</v>
          </cell>
          <cell r="U2078"/>
          <cell r="V2078">
            <v>13800</v>
          </cell>
          <cell r="W2078"/>
          <cell r="X2078">
            <v>13800</v>
          </cell>
          <cell r="Y2078"/>
          <cell r="Z2078">
            <v>13800</v>
          </cell>
          <cell r="AA2078"/>
          <cell r="AB2078"/>
          <cell r="AC2078"/>
          <cell r="AD2078">
            <v>0.313</v>
          </cell>
          <cell r="AE2078"/>
          <cell r="AF2078"/>
          <cell r="AG2078">
            <v>4950</v>
          </cell>
          <cell r="AH2078">
            <v>48</v>
          </cell>
          <cell r="AI2078">
            <v>0.97899999999999998</v>
          </cell>
          <cell r="AJ2078">
            <v>1</v>
          </cell>
          <cell r="AK2078">
            <v>49.02</v>
          </cell>
          <cell r="AL2078"/>
        </row>
        <row r="2079">
          <cell r="E2079" t="str">
            <v>D15-321PH</v>
          </cell>
          <cell r="F2079" t="str">
            <v>台</v>
          </cell>
          <cell r="G2079"/>
          <cell r="H2079">
            <v>15900</v>
          </cell>
          <cell r="I2079"/>
          <cell r="J2079">
            <v>15900</v>
          </cell>
          <cell r="K2079"/>
          <cell r="L2079">
            <v>15900</v>
          </cell>
          <cell r="M2079"/>
          <cell r="N2079">
            <v>15900</v>
          </cell>
          <cell r="O2079"/>
          <cell r="P2079">
            <v>15900</v>
          </cell>
          <cell r="Q2079"/>
          <cell r="R2079">
            <v>15900</v>
          </cell>
          <cell r="S2079"/>
          <cell r="T2079">
            <v>15900</v>
          </cell>
          <cell r="U2079"/>
          <cell r="V2079">
            <v>15900</v>
          </cell>
          <cell r="W2079"/>
          <cell r="X2079">
            <v>15900</v>
          </cell>
          <cell r="Y2079"/>
          <cell r="Z2079">
            <v>15900</v>
          </cell>
          <cell r="AA2079"/>
          <cell r="AB2079"/>
          <cell r="AC2079"/>
          <cell r="AD2079">
            <v>0.313</v>
          </cell>
          <cell r="AE2079"/>
          <cell r="AF2079"/>
          <cell r="AG2079">
            <v>4950</v>
          </cell>
          <cell r="AH2079">
            <v>48</v>
          </cell>
          <cell r="AI2079">
            <v>0.97899999999999998</v>
          </cell>
          <cell r="AJ2079">
            <v>1</v>
          </cell>
          <cell r="AK2079">
            <v>49.02</v>
          </cell>
          <cell r="AL2079"/>
        </row>
        <row r="2080">
          <cell r="E2080" t="str">
            <v>D15-321PX</v>
          </cell>
          <cell r="F2080" t="str">
            <v>台</v>
          </cell>
          <cell r="G2080"/>
          <cell r="H2080">
            <v>17100</v>
          </cell>
          <cell r="I2080"/>
          <cell r="J2080">
            <v>17100</v>
          </cell>
          <cell r="K2080"/>
          <cell r="L2080">
            <v>17100</v>
          </cell>
          <cell r="M2080"/>
          <cell r="N2080">
            <v>17100</v>
          </cell>
          <cell r="O2080"/>
          <cell r="P2080">
            <v>17100</v>
          </cell>
          <cell r="Q2080"/>
          <cell r="R2080">
            <v>17100</v>
          </cell>
          <cell r="S2080"/>
          <cell r="T2080">
            <v>17100</v>
          </cell>
          <cell r="U2080"/>
          <cell r="V2080">
            <v>17100</v>
          </cell>
          <cell r="W2080"/>
          <cell r="X2080">
            <v>17100</v>
          </cell>
          <cell r="Y2080"/>
          <cell r="Z2080">
            <v>17100</v>
          </cell>
          <cell r="AA2080"/>
          <cell r="AB2080"/>
          <cell r="AC2080"/>
          <cell r="AD2080">
            <v>0.313</v>
          </cell>
          <cell r="AE2080"/>
          <cell r="AF2080"/>
          <cell r="AG2080">
            <v>4950</v>
          </cell>
          <cell r="AH2080">
            <v>48</v>
          </cell>
          <cell r="AI2080">
            <v>0.97899999999999998</v>
          </cell>
          <cell r="AJ2080">
            <v>1</v>
          </cell>
          <cell r="AK2080">
            <v>49.02</v>
          </cell>
          <cell r="AL2080"/>
        </row>
        <row r="2081">
          <cell r="E2081" t="str">
            <v>D15-321PK</v>
          </cell>
          <cell r="F2081" t="str">
            <v>台</v>
          </cell>
          <cell r="G2081"/>
          <cell r="H2081">
            <v>17100</v>
          </cell>
          <cell r="I2081"/>
          <cell r="J2081">
            <v>17100</v>
          </cell>
          <cell r="K2081"/>
          <cell r="L2081">
            <v>17100</v>
          </cell>
          <cell r="M2081"/>
          <cell r="N2081">
            <v>17100</v>
          </cell>
          <cell r="O2081"/>
          <cell r="P2081">
            <v>17100</v>
          </cell>
          <cell r="Q2081"/>
          <cell r="R2081">
            <v>17100</v>
          </cell>
          <cell r="S2081"/>
          <cell r="T2081">
            <v>17100</v>
          </cell>
          <cell r="U2081"/>
          <cell r="V2081">
            <v>17100</v>
          </cell>
          <cell r="W2081"/>
          <cell r="X2081">
            <v>17100</v>
          </cell>
          <cell r="Y2081"/>
          <cell r="Z2081">
            <v>17100</v>
          </cell>
          <cell r="AA2081"/>
          <cell r="AB2081"/>
          <cell r="AC2081"/>
          <cell r="AD2081">
            <v>0.313</v>
          </cell>
          <cell r="AE2081"/>
          <cell r="AF2081"/>
          <cell r="AG2081">
            <v>4950</v>
          </cell>
          <cell r="AH2081">
            <v>48</v>
          </cell>
          <cell r="AI2081">
            <v>0.97899999999999998</v>
          </cell>
          <cell r="AJ2081">
            <v>1</v>
          </cell>
          <cell r="AK2081">
            <v>49.02</v>
          </cell>
          <cell r="AL2081"/>
        </row>
        <row r="2082">
          <cell r="E2082" t="str">
            <v>D15-322PN</v>
          </cell>
          <cell r="F2082" t="str">
            <v>台</v>
          </cell>
          <cell r="G2082"/>
          <cell r="H2082">
            <v>16400</v>
          </cell>
          <cell r="I2082"/>
          <cell r="J2082">
            <v>16400</v>
          </cell>
          <cell r="K2082"/>
          <cell r="L2082">
            <v>16400</v>
          </cell>
          <cell r="M2082"/>
          <cell r="N2082">
            <v>16400</v>
          </cell>
          <cell r="O2082"/>
          <cell r="P2082">
            <v>16400</v>
          </cell>
          <cell r="Q2082"/>
          <cell r="R2082">
            <v>16400</v>
          </cell>
          <cell r="S2082"/>
          <cell r="T2082">
            <v>16400</v>
          </cell>
          <cell r="U2082"/>
          <cell r="V2082">
            <v>16400</v>
          </cell>
          <cell r="W2082"/>
          <cell r="X2082">
            <v>16400</v>
          </cell>
          <cell r="Y2082"/>
          <cell r="Z2082">
            <v>16400</v>
          </cell>
          <cell r="AA2082"/>
          <cell r="AB2082"/>
          <cell r="AC2082"/>
          <cell r="AD2082">
            <v>0.39100000000000001</v>
          </cell>
          <cell r="AE2082"/>
          <cell r="AF2082"/>
          <cell r="AG2082">
            <v>9900</v>
          </cell>
          <cell r="AH2082">
            <v>96</v>
          </cell>
          <cell r="AI2082">
            <v>0.98899999999999999</v>
          </cell>
          <cell r="AJ2082">
            <v>1</v>
          </cell>
          <cell r="AK2082">
            <v>97.06</v>
          </cell>
          <cell r="AL2082"/>
        </row>
        <row r="2083">
          <cell r="E2083" t="str">
            <v>D15-322PH</v>
          </cell>
          <cell r="F2083" t="str">
            <v>台</v>
          </cell>
          <cell r="G2083"/>
          <cell r="H2083">
            <v>17800</v>
          </cell>
          <cell r="I2083"/>
          <cell r="J2083">
            <v>17800</v>
          </cell>
          <cell r="K2083"/>
          <cell r="L2083">
            <v>17800</v>
          </cell>
          <cell r="M2083"/>
          <cell r="N2083">
            <v>17800</v>
          </cell>
          <cell r="O2083"/>
          <cell r="P2083">
            <v>17800</v>
          </cell>
          <cell r="Q2083"/>
          <cell r="R2083">
            <v>17800</v>
          </cell>
          <cell r="S2083"/>
          <cell r="T2083">
            <v>17800</v>
          </cell>
          <cell r="U2083"/>
          <cell r="V2083">
            <v>17800</v>
          </cell>
          <cell r="W2083"/>
          <cell r="X2083">
            <v>17800</v>
          </cell>
          <cell r="Y2083"/>
          <cell r="Z2083">
            <v>17800</v>
          </cell>
          <cell r="AA2083"/>
          <cell r="AB2083"/>
          <cell r="AC2083"/>
          <cell r="AD2083">
            <v>0.39100000000000001</v>
          </cell>
          <cell r="AE2083"/>
          <cell r="AF2083"/>
          <cell r="AG2083">
            <v>9900</v>
          </cell>
          <cell r="AH2083">
            <v>96</v>
          </cell>
          <cell r="AI2083">
            <v>0.98899999999999999</v>
          </cell>
          <cell r="AJ2083">
            <v>1</v>
          </cell>
          <cell r="AK2083">
            <v>97.06</v>
          </cell>
          <cell r="AL2083"/>
        </row>
        <row r="2084">
          <cell r="E2084" t="str">
            <v>D15-322PX</v>
          </cell>
          <cell r="F2084" t="str">
            <v>台</v>
          </cell>
          <cell r="G2084"/>
          <cell r="H2084">
            <v>18900</v>
          </cell>
          <cell r="I2084"/>
          <cell r="J2084">
            <v>18900</v>
          </cell>
          <cell r="K2084"/>
          <cell r="L2084">
            <v>18900</v>
          </cell>
          <cell r="M2084"/>
          <cell r="N2084">
            <v>18900</v>
          </cell>
          <cell r="O2084"/>
          <cell r="P2084">
            <v>18900</v>
          </cell>
          <cell r="Q2084"/>
          <cell r="R2084">
            <v>18900</v>
          </cell>
          <cell r="S2084"/>
          <cell r="T2084">
            <v>18900</v>
          </cell>
          <cell r="U2084"/>
          <cell r="V2084">
            <v>18900</v>
          </cell>
          <cell r="W2084"/>
          <cell r="X2084">
            <v>18900</v>
          </cell>
          <cell r="Y2084"/>
          <cell r="Z2084">
            <v>18900</v>
          </cell>
          <cell r="AA2084"/>
          <cell r="AB2084"/>
          <cell r="AC2084"/>
          <cell r="AD2084">
            <v>0.39100000000000001</v>
          </cell>
          <cell r="AE2084"/>
          <cell r="AF2084"/>
          <cell r="AG2084">
            <v>9900</v>
          </cell>
          <cell r="AH2084">
            <v>96</v>
          </cell>
          <cell r="AI2084">
            <v>0.98899999999999999</v>
          </cell>
          <cell r="AJ2084">
            <v>1</v>
          </cell>
          <cell r="AK2084">
            <v>97.06</v>
          </cell>
          <cell r="AL2084"/>
        </row>
        <row r="2085">
          <cell r="E2085" t="str">
            <v>D15-322PZ</v>
          </cell>
          <cell r="F2085" t="str">
            <v>台</v>
          </cell>
          <cell r="G2085"/>
          <cell r="H2085">
            <v>21900</v>
          </cell>
          <cell r="I2085"/>
          <cell r="J2085">
            <v>21900</v>
          </cell>
          <cell r="K2085"/>
          <cell r="L2085">
            <v>21900</v>
          </cell>
          <cell r="M2085"/>
          <cell r="N2085">
            <v>21900</v>
          </cell>
          <cell r="O2085"/>
          <cell r="P2085">
            <v>21900</v>
          </cell>
          <cell r="Q2085"/>
          <cell r="R2085">
            <v>21900</v>
          </cell>
          <cell r="S2085"/>
          <cell r="T2085">
            <v>21900</v>
          </cell>
          <cell r="U2085"/>
          <cell r="V2085">
            <v>21900</v>
          </cell>
          <cell r="W2085"/>
          <cell r="X2085">
            <v>21900</v>
          </cell>
          <cell r="Y2085"/>
          <cell r="Z2085">
            <v>21900</v>
          </cell>
          <cell r="AA2085"/>
          <cell r="AB2085"/>
          <cell r="AC2085"/>
          <cell r="AD2085">
            <v>0.39100000000000001</v>
          </cell>
          <cell r="AE2085"/>
          <cell r="AF2085"/>
          <cell r="AG2085">
            <v>9900</v>
          </cell>
          <cell r="AH2085">
            <v>96</v>
          </cell>
          <cell r="AI2085">
            <v>0.98899999999999999</v>
          </cell>
          <cell r="AJ2085">
            <v>1</v>
          </cell>
          <cell r="AK2085">
            <v>97.06</v>
          </cell>
          <cell r="AL2085"/>
        </row>
        <row r="2086">
          <cell r="E2086" t="str">
            <v>D15-322PK</v>
          </cell>
          <cell r="F2086" t="str">
            <v>台</v>
          </cell>
          <cell r="G2086"/>
          <cell r="H2086">
            <v>18900</v>
          </cell>
          <cell r="I2086"/>
          <cell r="J2086">
            <v>18900</v>
          </cell>
          <cell r="K2086"/>
          <cell r="L2086">
            <v>18900</v>
          </cell>
          <cell r="M2086"/>
          <cell r="N2086">
            <v>18900</v>
          </cell>
          <cell r="O2086"/>
          <cell r="P2086">
            <v>18900</v>
          </cell>
          <cell r="Q2086"/>
          <cell r="R2086">
            <v>18900</v>
          </cell>
          <cell r="S2086"/>
          <cell r="T2086">
            <v>18900</v>
          </cell>
          <cell r="U2086"/>
          <cell r="V2086">
            <v>18900</v>
          </cell>
          <cell r="W2086"/>
          <cell r="X2086">
            <v>18900</v>
          </cell>
          <cell r="Y2086"/>
          <cell r="Z2086">
            <v>18900</v>
          </cell>
          <cell r="AA2086"/>
          <cell r="AB2086"/>
          <cell r="AC2086"/>
          <cell r="AD2086">
            <v>0.39100000000000001</v>
          </cell>
          <cell r="AE2086"/>
          <cell r="AF2086"/>
          <cell r="AG2086">
            <v>9900</v>
          </cell>
          <cell r="AH2086">
            <v>96</v>
          </cell>
          <cell r="AI2086">
            <v>0.98899999999999999</v>
          </cell>
          <cell r="AJ2086">
            <v>1</v>
          </cell>
          <cell r="AK2086">
            <v>97.06</v>
          </cell>
          <cell r="AL2086"/>
        </row>
        <row r="2087">
          <cell r="E2087" t="str">
            <v>D15L3-162PH</v>
          </cell>
          <cell r="F2087" t="str">
            <v>台</v>
          </cell>
          <cell r="G2087"/>
          <cell r="H2087">
            <v>15700</v>
          </cell>
          <cell r="I2087"/>
          <cell r="J2087">
            <v>15700</v>
          </cell>
          <cell r="K2087"/>
          <cell r="L2087">
            <v>15700</v>
          </cell>
          <cell r="M2087"/>
          <cell r="N2087">
            <v>15700</v>
          </cell>
          <cell r="O2087"/>
          <cell r="P2087">
            <v>15700</v>
          </cell>
          <cell r="Q2087"/>
          <cell r="R2087">
            <v>15700</v>
          </cell>
          <cell r="S2087"/>
          <cell r="T2087">
            <v>15700</v>
          </cell>
          <cell r="U2087"/>
          <cell r="V2087">
            <v>15700</v>
          </cell>
          <cell r="W2087"/>
          <cell r="X2087">
            <v>15700</v>
          </cell>
          <cell r="Y2087"/>
          <cell r="Z2087">
            <v>15700</v>
          </cell>
          <cell r="AA2087"/>
          <cell r="AB2087"/>
          <cell r="AC2087"/>
          <cell r="AD2087">
            <v>0.252</v>
          </cell>
          <cell r="AE2087"/>
          <cell r="AF2087"/>
          <cell r="AG2087">
            <v>4200</v>
          </cell>
          <cell r="AH2087">
            <v>50</v>
          </cell>
          <cell r="AI2087">
            <v>0.98</v>
          </cell>
          <cell r="AJ2087">
            <v>1</v>
          </cell>
          <cell r="AK2087">
            <v>51.02</v>
          </cell>
          <cell r="AL2087"/>
        </row>
        <row r="2088">
          <cell r="E2088" t="str">
            <v>D15L3-162PX</v>
          </cell>
          <cell r="F2088" t="str">
            <v>台</v>
          </cell>
          <cell r="G2088"/>
          <cell r="H2088">
            <v>16700</v>
          </cell>
          <cell r="I2088"/>
          <cell r="J2088">
            <v>16700</v>
          </cell>
          <cell r="K2088"/>
          <cell r="L2088">
            <v>16700</v>
          </cell>
          <cell r="M2088"/>
          <cell r="N2088">
            <v>16700</v>
          </cell>
          <cell r="O2088"/>
          <cell r="P2088">
            <v>16700</v>
          </cell>
          <cell r="Q2088"/>
          <cell r="R2088">
            <v>16700</v>
          </cell>
          <cell r="S2088"/>
          <cell r="T2088">
            <v>16700</v>
          </cell>
          <cell r="U2088"/>
          <cell r="V2088">
            <v>16700</v>
          </cell>
          <cell r="W2088"/>
          <cell r="X2088">
            <v>16700</v>
          </cell>
          <cell r="Y2088"/>
          <cell r="Z2088">
            <v>16700</v>
          </cell>
          <cell r="AA2088"/>
          <cell r="AB2088"/>
          <cell r="AC2088"/>
          <cell r="AD2088">
            <v>0.252</v>
          </cell>
          <cell r="AE2088"/>
          <cell r="AF2088"/>
          <cell r="AG2088">
            <v>4200</v>
          </cell>
          <cell r="AH2088">
            <v>50</v>
          </cell>
          <cell r="AI2088">
            <v>0.98</v>
          </cell>
          <cell r="AJ2088">
            <v>1</v>
          </cell>
          <cell r="AK2088">
            <v>51.02</v>
          </cell>
          <cell r="AL2088"/>
        </row>
        <row r="2089">
          <cell r="E2089" t="str">
            <v>D15L3-321PN</v>
          </cell>
          <cell r="F2089" t="str">
            <v>台</v>
          </cell>
          <cell r="G2089"/>
          <cell r="H2089">
            <v>13800</v>
          </cell>
          <cell r="I2089"/>
          <cell r="J2089">
            <v>13800</v>
          </cell>
          <cell r="K2089"/>
          <cell r="L2089">
            <v>13800</v>
          </cell>
          <cell r="M2089"/>
          <cell r="N2089">
            <v>13800</v>
          </cell>
          <cell r="O2089"/>
          <cell r="P2089">
            <v>13800</v>
          </cell>
          <cell r="Q2089"/>
          <cell r="R2089">
            <v>13800</v>
          </cell>
          <cell r="S2089"/>
          <cell r="T2089">
            <v>13800</v>
          </cell>
          <cell r="U2089"/>
          <cell r="V2089">
            <v>13800</v>
          </cell>
          <cell r="W2089"/>
          <cell r="X2089">
            <v>13800</v>
          </cell>
          <cell r="Y2089"/>
          <cell r="Z2089">
            <v>13800</v>
          </cell>
          <cell r="AA2089"/>
          <cell r="AB2089"/>
          <cell r="AC2089"/>
          <cell r="AD2089">
            <v>0.313</v>
          </cell>
          <cell r="AE2089"/>
          <cell r="AF2089"/>
          <cell r="AG2089">
            <v>4950</v>
          </cell>
          <cell r="AH2089">
            <v>48</v>
          </cell>
          <cell r="AI2089">
            <v>0.97899999999999998</v>
          </cell>
          <cell r="AJ2089">
            <v>1</v>
          </cell>
          <cell r="AK2089">
            <v>49.02</v>
          </cell>
          <cell r="AL2089"/>
        </row>
        <row r="2090">
          <cell r="E2090" t="str">
            <v>D15L3-321PH</v>
          </cell>
          <cell r="F2090" t="str">
            <v>台</v>
          </cell>
          <cell r="G2090"/>
          <cell r="H2090">
            <v>15900</v>
          </cell>
          <cell r="I2090"/>
          <cell r="J2090">
            <v>15900</v>
          </cell>
          <cell r="K2090"/>
          <cell r="L2090">
            <v>15900</v>
          </cell>
          <cell r="M2090"/>
          <cell r="N2090">
            <v>15900</v>
          </cell>
          <cell r="O2090"/>
          <cell r="P2090">
            <v>15900</v>
          </cell>
          <cell r="Q2090"/>
          <cell r="R2090">
            <v>15900</v>
          </cell>
          <cell r="S2090"/>
          <cell r="T2090">
            <v>15900</v>
          </cell>
          <cell r="U2090"/>
          <cell r="V2090">
            <v>15900</v>
          </cell>
          <cell r="W2090"/>
          <cell r="X2090">
            <v>15900</v>
          </cell>
          <cell r="Y2090"/>
          <cell r="Z2090">
            <v>15900</v>
          </cell>
          <cell r="AA2090"/>
          <cell r="AB2090"/>
          <cell r="AC2090"/>
          <cell r="AD2090">
            <v>0.313</v>
          </cell>
          <cell r="AE2090"/>
          <cell r="AF2090"/>
          <cell r="AG2090">
            <v>4950</v>
          </cell>
          <cell r="AH2090">
            <v>48</v>
          </cell>
          <cell r="AI2090">
            <v>0.97899999999999998</v>
          </cell>
          <cell r="AJ2090">
            <v>1</v>
          </cell>
          <cell r="AK2090">
            <v>49.02</v>
          </cell>
          <cell r="AL2090"/>
        </row>
        <row r="2091">
          <cell r="E2091" t="str">
            <v>D15L3-321PX</v>
          </cell>
          <cell r="F2091" t="str">
            <v>台</v>
          </cell>
          <cell r="G2091"/>
          <cell r="H2091">
            <v>17100</v>
          </cell>
          <cell r="I2091"/>
          <cell r="J2091">
            <v>17100</v>
          </cell>
          <cell r="K2091"/>
          <cell r="L2091">
            <v>17100</v>
          </cell>
          <cell r="M2091"/>
          <cell r="N2091">
            <v>17100</v>
          </cell>
          <cell r="O2091"/>
          <cell r="P2091">
            <v>17100</v>
          </cell>
          <cell r="Q2091"/>
          <cell r="R2091">
            <v>17100</v>
          </cell>
          <cell r="S2091"/>
          <cell r="T2091">
            <v>17100</v>
          </cell>
          <cell r="U2091"/>
          <cell r="V2091">
            <v>17100</v>
          </cell>
          <cell r="W2091"/>
          <cell r="X2091">
            <v>17100</v>
          </cell>
          <cell r="Y2091"/>
          <cell r="Z2091">
            <v>17100</v>
          </cell>
          <cell r="AA2091"/>
          <cell r="AB2091"/>
          <cell r="AC2091"/>
          <cell r="AD2091">
            <v>0.313</v>
          </cell>
          <cell r="AE2091"/>
          <cell r="AF2091"/>
          <cell r="AG2091">
            <v>4950</v>
          </cell>
          <cell r="AH2091">
            <v>48</v>
          </cell>
          <cell r="AI2091">
            <v>0.97899999999999998</v>
          </cell>
          <cell r="AJ2091">
            <v>1</v>
          </cell>
          <cell r="AK2091">
            <v>49.02</v>
          </cell>
          <cell r="AL2091"/>
        </row>
        <row r="2092">
          <cell r="E2092" t="str">
            <v>D15L3-321PK</v>
          </cell>
          <cell r="F2092" t="str">
            <v>台</v>
          </cell>
          <cell r="G2092"/>
          <cell r="H2092">
            <v>17100</v>
          </cell>
          <cell r="I2092"/>
          <cell r="J2092">
            <v>17100</v>
          </cell>
          <cell r="K2092"/>
          <cell r="L2092">
            <v>17100</v>
          </cell>
          <cell r="M2092"/>
          <cell r="N2092">
            <v>17100</v>
          </cell>
          <cell r="O2092"/>
          <cell r="P2092">
            <v>17100</v>
          </cell>
          <cell r="Q2092"/>
          <cell r="R2092">
            <v>17100</v>
          </cell>
          <cell r="S2092"/>
          <cell r="T2092">
            <v>17100</v>
          </cell>
          <cell r="U2092"/>
          <cell r="V2092">
            <v>17100</v>
          </cell>
          <cell r="W2092"/>
          <cell r="X2092">
            <v>17100</v>
          </cell>
          <cell r="Y2092"/>
          <cell r="Z2092">
            <v>17100</v>
          </cell>
          <cell r="AA2092"/>
          <cell r="AB2092"/>
          <cell r="AC2092"/>
          <cell r="AD2092">
            <v>0.313</v>
          </cell>
          <cell r="AE2092"/>
          <cell r="AF2092"/>
          <cell r="AG2092">
            <v>4950</v>
          </cell>
          <cell r="AH2092">
            <v>48</v>
          </cell>
          <cell r="AI2092">
            <v>0.97899999999999998</v>
          </cell>
          <cell r="AJ2092">
            <v>1</v>
          </cell>
          <cell r="AK2092">
            <v>49.02</v>
          </cell>
          <cell r="AL2092"/>
        </row>
        <row r="2093">
          <cell r="E2093" t="str">
            <v>D15L3-322PN</v>
          </cell>
          <cell r="F2093" t="str">
            <v>台</v>
          </cell>
          <cell r="G2093"/>
          <cell r="H2093">
            <v>16400</v>
          </cell>
          <cell r="I2093"/>
          <cell r="J2093">
            <v>16400</v>
          </cell>
          <cell r="K2093"/>
          <cell r="L2093">
            <v>16400</v>
          </cell>
          <cell r="M2093"/>
          <cell r="N2093">
            <v>16400</v>
          </cell>
          <cell r="O2093"/>
          <cell r="P2093">
            <v>16400</v>
          </cell>
          <cell r="Q2093"/>
          <cell r="R2093">
            <v>16400</v>
          </cell>
          <cell r="S2093"/>
          <cell r="T2093">
            <v>16400</v>
          </cell>
          <cell r="U2093"/>
          <cell r="V2093">
            <v>16400</v>
          </cell>
          <cell r="W2093"/>
          <cell r="X2093">
            <v>16400</v>
          </cell>
          <cell r="Y2093"/>
          <cell r="Z2093">
            <v>16400</v>
          </cell>
          <cell r="AA2093"/>
          <cell r="AB2093"/>
          <cell r="AC2093"/>
          <cell r="AD2093">
            <v>0.39100000000000001</v>
          </cell>
          <cell r="AE2093"/>
          <cell r="AF2093"/>
          <cell r="AG2093">
            <v>9900</v>
          </cell>
          <cell r="AH2093">
            <v>96</v>
          </cell>
          <cell r="AI2093">
            <v>0.98899999999999999</v>
          </cell>
          <cell r="AJ2093">
            <v>1</v>
          </cell>
          <cell r="AK2093">
            <v>97.06</v>
          </cell>
          <cell r="AL2093"/>
        </row>
        <row r="2094">
          <cell r="E2094" t="str">
            <v>D15L3-322PH</v>
          </cell>
          <cell r="F2094" t="str">
            <v>台</v>
          </cell>
          <cell r="G2094"/>
          <cell r="H2094">
            <v>17800</v>
          </cell>
          <cell r="I2094"/>
          <cell r="J2094">
            <v>17800</v>
          </cell>
          <cell r="K2094"/>
          <cell r="L2094">
            <v>17800</v>
          </cell>
          <cell r="M2094"/>
          <cell r="N2094">
            <v>17800</v>
          </cell>
          <cell r="O2094"/>
          <cell r="P2094">
            <v>17800</v>
          </cell>
          <cell r="Q2094"/>
          <cell r="R2094">
            <v>17800</v>
          </cell>
          <cell r="S2094"/>
          <cell r="T2094">
            <v>17800</v>
          </cell>
          <cell r="U2094"/>
          <cell r="V2094">
            <v>17800</v>
          </cell>
          <cell r="W2094"/>
          <cell r="X2094">
            <v>17800</v>
          </cell>
          <cell r="Y2094"/>
          <cell r="Z2094">
            <v>17800</v>
          </cell>
          <cell r="AA2094"/>
          <cell r="AB2094"/>
          <cell r="AC2094"/>
          <cell r="AD2094">
            <v>0.39100000000000001</v>
          </cell>
          <cell r="AE2094"/>
          <cell r="AF2094"/>
          <cell r="AG2094">
            <v>9900</v>
          </cell>
          <cell r="AH2094">
            <v>96</v>
          </cell>
          <cell r="AI2094">
            <v>0.98899999999999999</v>
          </cell>
          <cell r="AJ2094">
            <v>1</v>
          </cell>
          <cell r="AK2094">
            <v>97.06</v>
          </cell>
          <cell r="AL2094"/>
        </row>
        <row r="2095">
          <cell r="E2095" t="str">
            <v>D15L3-322PX</v>
          </cell>
          <cell r="F2095" t="str">
            <v>台</v>
          </cell>
          <cell r="G2095"/>
          <cell r="H2095">
            <v>18900</v>
          </cell>
          <cell r="I2095"/>
          <cell r="J2095">
            <v>18900</v>
          </cell>
          <cell r="K2095"/>
          <cell r="L2095">
            <v>18900</v>
          </cell>
          <cell r="M2095"/>
          <cell r="N2095">
            <v>18900</v>
          </cell>
          <cell r="O2095"/>
          <cell r="P2095">
            <v>18900</v>
          </cell>
          <cell r="Q2095"/>
          <cell r="R2095">
            <v>18900</v>
          </cell>
          <cell r="S2095"/>
          <cell r="T2095">
            <v>18900</v>
          </cell>
          <cell r="U2095"/>
          <cell r="V2095">
            <v>18900</v>
          </cell>
          <cell r="W2095"/>
          <cell r="X2095">
            <v>18900</v>
          </cell>
          <cell r="Y2095"/>
          <cell r="Z2095">
            <v>18900</v>
          </cell>
          <cell r="AA2095"/>
          <cell r="AB2095"/>
          <cell r="AC2095"/>
          <cell r="AD2095">
            <v>0.39100000000000001</v>
          </cell>
          <cell r="AE2095"/>
          <cell r="AF2095"/>
          <cell r="AG2095">
            <v>9900</v>
          </cell>
          <cell r="AH2095">
            <v>96</v>
          </cell>
          <cell r="AI2095">
            <v>0.98899999999999999</v>
          </cell>
          <cell r="AJ2095">
            <v>1</v>
          </cell>
          <cell r="AK2095">
            <v>97.06</v>
          </cell>
          <cell r="AL2095"/>
        </row>
        <row r="2096">
          <cell r="E2096" t="str">
            <v>D15L3-322PZ</v>
          </cell>
          <cell r="F2096" t="str">
            <v>台</v>
          </cell>
          <cell r="G2096"/>
          <cell r="H2096">
            <v>21900</v>
          </cell>
          <cell r="I2096"/>
          <cell r="J2096">
            <v>21900</v>
          </cell>
          <cell r="K2096"/>
          <cell r="L2096">
            <v>21900</v>
          </cell>
          <cell r="M2096"/>
          <cell r="N2096">
            <v>21900</v>
          </cell>
          <cell r="O2096"/>
          <cell r="P2096">
            <v>21900</v>
          </cell>
          <cell r="Q2096"/>
          <cell r="R2096">
            <v>21900</v>
          </cell>
          <cell r="S2096"/>
          <cell r="T2096">
            <v>21900</v>
          </cell>
          <cell r="U2096"/>
          <cell r="V2096">
            <v>21900</v>
          </cell>
          <cell r="W2096"/>
          <cell r="X2096">
            <v>21900</v>
          </cell>
          <cell r="Y2096"/>
          <cell r="Z2096">
            <v>21900</v>
          </cell>
          <cell r="AA2096"/>
          <cell r="AB2096"/>
          <cell r="AC2096"/>
          <cell r="AD2096">
            <v>0.39100000000000001</v>
          </cell>
          <cell r="AE2096"/>
          <cell r="AF2096"/>
          <cell r="AG2096">
            <v>9900</v>
          </cell>
          <cell r="AH2096">
            <v>96</v>
          </cell>
          <cell r="AI2096">
            <v>0.98899999999999999</v>
          </cell>
          <cell r="AJ2096">
            <v>1</v>
          </cell>
          <cell r="AK2096">
            <v>97.06</v>
          </cell>
          <cell r="AL2096"/>
        </row>
        <row r="2097">
          <cell r="E2097" t="str">
            <v>D15L3-322PK</v>
          </cell>
          <cell r="F2097" t="str">
            <v>台</v>
          </cell>
          <cell r="G2097"/>
          <cell r="H2097">
            <v>18900</v>
          </cell>
          <cell r="I2097"/>
          <cell r="J2097">
            <v>18900</v>
          </cell>
          <cell r="K2097"/>
          <cell r="L2097">
            <v>18900</v>
          </cell>
          <cell r="M2097"/>
          <cell r="N2097">
            <v>18900</v>
          </cell>
          <cell r="O2097"/>
          <cell r="P2097">
            <v>18900</v>
          </cell>
          <cell r="Q2097"/>
          <cell r="R2097">
            <v>18900</v>
          </cell>
          <cell r="S2097"/>
          <cell r="T2097">
            <v>18900</v>
          </cell>
          <cell r="U2097"/>
          <cell r="V2097">
            <v>18900</v>
          </cell>
          <cell r="W2097"/>
          <cell r="X2097">
            <v>18900</v>
          </cell>
          <cell r="Y2097"/>
          <cell r="Z2097">
            <v>18900</v>
          </cell>
          <cell r="AA2097"/>
          <cell r="AB2097"/>
          <cell r="AC2097"/>
          <cell r="AD2097">
            <v>0.39100000000000001</v>
          </cell>
          <cell r="AE2097"/>
          <cell r="AF2097"/>
          <cell r="AG2097">
            <v>9900</v>
          </cell>
          <cell r="AH2097">
            <v>96</v>
          </cell>
          <cell r="AI2097">
            <v>0.98899999999999999</v>
          </cell>
          <cell r="AJ2097">
            <v>1</v>
          </cell>
          <cell r="AK2097">
            <v>97.06</v>
          </cell>
          <cell r="AL2097"/>
        </row>
        <row r="2098">
          <cell r="E2098" t="str">
            <v>D15L5-162PH</v>
          </cell>
          <cell r="F2098" t="str">
            <v>台</v>
          </cell>
          <cell r="G2098"/>
          <cell r="H2098">
            <v>12400</v>
          </cell>
          <cell r="I2098"/>
          <cell r="J2098">
            <v>12400</v>
          </cell>
          <cell r="K2098"/>
          <cell r="L2098">
            <v>12400</v>
          </cell>
          <cell r="M2098"/>
          <cell r="N2098">
            <v>12400</v>
          </cell>
          <cell r="O2098"/>
          <cell r="P2098">
            <v>12400</v>
          </cell>
          <cell r="Q2098"/>
          <cell r="R2098">
            <v>12400</v>
          </cell>
          <cell r="S2098"/>
          <cell r="T2098">
            <v>12400</v>
          </cell>
          <cell r="U2098"/>
          <cell r="V2098">
            <v>12400</v>
          </cell>
          <cell r="W2098"/>
          <cell r="X2098">
            <v>12400</v>
          </cell>
          <cell r="Y2098"/>
          <cell r="Z2098">
            <v>12400</v>
          </cell>
          <cell r="AA2098"/>
          <cell r="AB2098"/>
          <cell r="AC2098"/>
          <cell r="AD2098">
            <v>0.252</v>
          </cell>
          <cell r="AE2098"/>
          <cell r="AF2098"/>
          <cell r="AG2098">
            <v>4200</v>
          </cell>
          <cell r="AH2098">
            <v>50</v>
          </cell>
          <cell r="AI2098">
            <v>0.98</v>
          </cell>
          <cell r="AJ2098">
            <v>1</v>
          </cell>
          <cell r="AK2098">
            <v>51.02</v>
          </cell>
          <cell r="AL2098"/>
        </row>
        <row r="2099">
          <cell r="E2099" t="str">
            <v>D15L5-162PX</v>
          </cell>
          <cell r="F2099" t="str">
            <v>台</v>
          </cell>
          <cell r="G2099"/>
          <cell r="H2099">
            <v>13400</v>
          </cell>
          <cell r="I2099"/>
          <cell r="J2099">
            <v>13400</v>
          </cell>
          <cell r="K2099"/>
          <cell r="L2099">
            <v>13400</v>
          </cell>
          <cell r="M2099"/>
          <cell r="N2099">
            <v>13400</v>
          </cell>
          <cell r="O2099"/>
          <cell r="P2099">
            <v>13400</v>
          </cell>
          <cell r="Q2099"/>
          <cell r="R2099">
            <v>13400</v>
          </cell>
          <cell r="S2099"/>
          <cell r="T2099">
            <v>13400</v>
          </cell>
          <cell r="U2099"/>
          <cell r="V2099">
            <v>13400</v>
          </cell>
          <cell r="W2099"/>
          <cell r="X2099">
            <v>13400</v>
          </cell>
          <cell r="Y2099"/>
          <cell r="Z2099">
            <v>13400</v>
          </cell>
          <cell r="AA2099"/>
          <cell r="AB2099"/>
          <cell r="AC2099"/>
          <cell r="AD2099">
            <v>0.252</v>
          </cell>
          <cell r="AE2099"/>
          <cell r="AF2099"/>
          <cell r="AG2099">
            <v>4200</v>
          </cell>
          <cell r="AH2099">
            <v>50</v>
          </cell>
          <cell r="AI2099">
            <v>0.98</v>
          </cell>
          <cell r="AJ2099">
            <v>1</v>
          </cell>
          <cell r="AK2099">
            <v>51.02</v>
          </cell>
          <cell r="AL2099"/>
        </row>
        <row r="2100">
          <cell r="E2100" t="str">
            <v>D15L5-321PN</v>
          </cell>
          <cell r="F2100" t="str">
            <v>台</v>
          </cell>
          <cell r="G2100"/>
          <cell r="H2100">
            <v>10100</v>
          </cell>
          <cell r="I2100"/>
          <cell r="J2100">
            <v>10100</v>
          </cell>
          <cell r="K2100"/>
          <cell r="L2100">
            <v>10100</v>
          </cell>
          <cell r="M2100"/>
          <cell r="N2100">
            <v>10100</v>
          </cell>
          <cell r="O2100"/>
          <cell r="P2100">
            <v>10100</v>
          </cell>
          <cell r="Q2100"/>
          <cell r="R2100">
            <v>10100</v>
          </cell>
          <cell r="S2100"/>
          <cell r="T2100">
            <v>10100</v>
          </cell>
          <cell r="U2100"/>
          <cell r="V2100">
            <v>10100</v>
          </cell>
          <cell r="W2100"/>
          <cell r="X2100">
            <v>10100</v>
          </cell>
          <cell r="Y2100"/>
          <cell r="Z2100">
            <v>10100</v>
          </cell>
          <cell r="AA2100"/>
          <cell r="AB2100"/>
          <cell r="AC2100"/>
          <cell r="AD2100">
            <v>0.313</v>
          </cell>
          <cell r="AE2100"/>
          <cell r="AF2100"/>
          <cell r="AG2100">
            <v>4950</v>
          </cell>
          <cell r="AH2100">
            <v>48</v>
          </cell>
          <cell r="AI2100">
            <v>0.97899999999999998</v>
          </cell>
          <cell r="AJ2100">
            <v>1</v>
          </cell>
          <cell r="AK2100">
            <v>49.02</v>
          </cell>
          <cell r="AL2100"/>
        </row>
        <row r="2101">
          <cell r="E2101" t="str">
            <v>D15L5-321PH</v>
          </cell>
          <cell r="F2101" t="str">
            <v>台</v>
          </cell>
          <cell r="G2101"/>
          <cell r="H2101">
            <v>12100</v>
          </cell>
          <cell r="I2101"/>
          <cell r="J2101">
            <v>12100</v>
          </cell>
          <cell r="K2101"/>
          <cell r="L2101">
            <v>12100</v>
          </cell>
          <cell r="M2101"/>
          <cell r="N2101">
            <v>12100</v>
          </cell>
          <cell r="O2101"/>
          <cell r="P2101">
            <v>12100</v>
          </cell>
          <cell r="Q2101"/>
          <cell r="R2101">
            <v>12100</v>
          </cell>
          <cell r="S2101"/>
          <cell r="T2101">
            <v>12100</v>
          </cell>
          <cell r="U2101"/>
          <cell r="V2101">
            <v>12100</v>
          </cell>
          <cell r="W2101"/>
          <cell r="X2101">
            <v>12100</v>
          </cell>
          <cell r="Y2101"/>
          <cell r="Z2101">
            <v>12100</v>
          </cell>
          <cell r="AA2101"/>
          <cell r="AB2101"/>
          <cell r="AC2101"/>
          <cell r="AD2101">
            <v>0.313</v>
          </cell>
          <cell r="AE2101"/>
          <cell r="AF2101"/>
          <cell r="AG2101">
            <v>4950</v>
          </cell>
          <cell r="AH2101">
            <v>48</v>
          </cell>
          <cell r="AI2101">
            <v>0.97899999999999998</v>
          </cell>
          <cell r="AJ2101">
            <v>1</v>
          </cell>
          <cell r="AK2101">
            <v>49.02</v>
          </cell>
          <cell r="AL2101"/>
        </row>
        <row r="2102">
          <cell r="E2102" t="str">
            <v>D15L5-321PX</v>
          </cell>
          <cell r="F2102" t="str">
            <v>台</v>
          </cell>
          <cell r="G2102"/>
          <cell r="H2102">
            <v>13300</v>
          </cell>
          <cell r="I2102"/>
          <cell r="J2102">
            <v>13300</v>
          </cell>
          <cell r="K2102"/>
          <cell r="L2102">
            <v>13300</v>
          </cell>
          <cell r="M2102"/>
          <cell r="N2102">
            <v>13300</v>
          </cell>
          <cell r="O2102"/>
          <cell r="P2102">
            <v>13300</v>
          </cell>
          <cell r="Q2102"/>
          <cell r="R2102">
            <v>13300</v>
          </cell>
          <cell r="S2102"/>
          <cell r="T2102">
            <v>13300</v>
          </cell>
          <cell r="U2102"/>
          <cell r="V2102">
            <v>13300</v>
          </cell>
          <cell r="W2102"/>
          <cell r="X2102">
            <v>13300</v>
          </cell>
          <cell r="Y2102"/>
          <cell r="Z2102">
            <v>13300</v>
          </cell>
          <cell r="AA2102"/>
          <cell r="AB2102"/>
          <cell r="AC2102"/>
          <cell r="AD2102">
            <v>0.313</v>
          </cell>
          <cell r="AE2102"/>
          <cell r="AF2102"/>
          <cell r="AG2102">
            <v>4950</v>
          </cell>
          <cell r="AH2102">
            <v>48</v>
          </cell>
          <cell r="AI2102">
            <v>0.97899999999999998</v>
          </cell>
          <cell r="AJ2102">
            <v>1</v>
          </cell>
          <cell r="AK2102">
            <v>49.02</v>
          </cell>
          <cell r="AL2102"/>
        </row>
        <row r="2103">
          <cell r="E2103" t="str">
            <v>D15L5-321PK</v>
          </cell>
          <cell r="F2103" t="str">
            <v>台</v>
          </cell>
          <cell r="G2103"/>
          <cell r="H2103">
            <v>13300</v>
          </cell>
          <cell r="I2103"/>
          <cell r="J2103">
            <v>13300</v>
          </cell>
          <cell r="K2103"/>
          <cell r="L2103">
            <v>13300</v>
          </cell>
          <cell r="M2103"/>
          <cell r="N2103">
            <v>13300</v>
          </cell>
          <cell r="O2103"/>
          <cell r="P2103">
            <v>13300</v>
          </cell>
          <cell r="Q2103"/>
          <cell r="R2103">
            <v>13300</v>
          </cell>
          <cell r="S2103"/>
          <cell r="T2103">
            <v>13300</v>
          </cell>
          <cell r="U2103"/>
          <cell r="V2103">
            <v>13300</v>
          </cell>
          <cell r="W2103"/>
          <cell r="X2103">
            <v>13300</v>
          </cell>
          <cell r="Y2103"/>
          <cell r="Z2103">
            <v>13300</v>
          </cell>
          <cell r="AA2103"/>
          <cell r="AB2103"/>
          <cell r="AC2103"/>
          <cell r="AD2103">
            <v>0.313</v>
          </cell>
          <cell r="AE2103"/>
          <cell r="AF2103"/>
          <cell r="AG2103">
            <v>4950</v>
          </cell>
          <cell r="AH2103">
            <v>48</v>
          </cell>
          <cell r="AI2103">
            <v>0.97899999999999998</v>
          </cell>
          <cell r="AJ2103">
            <v>1</v>
          </cell>
          <cell r="AK2103">
            <v>49.02</v>
          </cell>
          <cell r="AL2103"/>
        </row>
        <row r="2104">
          <cell r="E2104" t="str">
            <v>D15L5-322PN</v>
          </cell>
          <cell r="F2104" t="str">
            <v>台</v>
          </cell>
          <cell r="G2104"/>
          <cell r="H2104">
            <v>11800</v>
          </cell>
          <cell r="I2104"/>
          <cell r="J2104">
            <v>11800</v>
          </cell>
          <cell r="K2104"/>
          <cell r="L2104">
            <v>11800</v>
          </cell>
          <cell r="M2104"/>
          <cell r="N2104">
            <v>11800</v>
          </cell>
          <cell r="O2104"/>
          <cell r="P2104">
            <v>11800</v>
          </cell>
          <cell r="Q2104"/>
          <cell r="R2104">
            <v>11800</v>
          </cell>
          <cell r="S2104"/>
          <cell r="T2104">
            <v>11800</v>
          </cell>
          <cell r="U2104"/>
          <cell r="V2104">
            <v>11800</v>
          </cell>
          <cell r="W2104"/>
          <cell r="X2104">
            <v>11800</v>
          </cell>
          <cell r="Y2104"/>
          <cell r="Z2104">
            <v>11800</v>
          </cell>
          <cell r="AA2104"/>
          <cell r="AB2104"/>
          <cell r="AC2104"/>
          <cell r="AD2104">
            <v>0.39100000000000001</v>
          </cell>
          <cell r="AE2104"/>
          <cell r="AF2104"/>
          <cell r="AG2104">
            <v>9900</v>
          </cell>
          <cell r="AH2104">
            <v>96</v>
          </cell>
          <cell r="AI2104">
            <v>0.98899999999999999</v>
          </cell>
          <cell r="AJ2104">
            <v>1</v>
          </cell>
          <cell r="AK2104">
            <v>97.06</v>
          </cell>
          <cell r="AL2104"/>
        </row>
        <row r="2105">
          <cell r="E2105" t="str">
            <v>D15L5-322PH</v>
          </cell>
          <cell r="F2105" t="str">
            <v>台</v>
          </cell>
          <cell r="G2105"/>
          <cell r="H2105">
            <v>13200</v>
          </cell>
          <cell r="I2105"/>
          <cell r="J2105">
            <v>13200</v>
          </cell>
          <cell r="K2105"/>
          <cell r="L2105">
            <v>13200</v>
          </cell>
          <cell r="M2105"/>
          <cell r="N2105">
            <v>13200</v>
          </cell>
          <cell r="O2105"/>
          <cell r="P2105">
            <v>13200</v>
          </cell>
          <cell r="Q2105"/>
          <cell r="R2105">
            <v>13200</v>
          </cell>
          <cell r="S2105"/>
          <cell r="T2105">
            <v>13200</v>
          </cell>
          <cell r="U2105"/>
          <cell r="V2105">
            <v>13200</v>
          </cell>
          <cell r="W2105"/>
          <cell r="X2105">
            <v>13200</v>
          </cell>
          <cell r="Y2105"/>
          <cell r="Z2105">
            <v>13200</v>
          </cell>
          <cell r="AA2105"/>
          <cell r="AB2105"/>
          <cell r="AC2105"/>
          <cell r="AD2105">
            <v>0.39100000000000001</v>
          </cell>
          <cell r="AE2105"/>
          <cell r="AF2105"/>
          <cell r="AG2105">
            <v>9900</v>
          </cell>
          <cell r="AH2105">
            <v>96</v>
          </cell>
          <cell r="AI2105">
            <v>0.98899999999999999</v>
          </cell>
          <cell r="AJ2105">
            <v>1</v>
          </cell>
          <cell r="AK2105">
            <v>97.06</v>
          </cell>
          <cell r="AL2105"/>
        </row>
        <row r="2106">
          <cell r="E2106" t="str">
            <v>D15L5-322PX</v>
          </cell>
          <cell r="F2106" t="str">
            <v>台</v>
          </cell>
          <cell r="G2106"/>
          <cell r="H2106">
            <v>14300</v>
          </cell>
          <cell r="I2106"/>
          <cell r="J2106">
            <v>14300</v>
          </cell>
          <cell r="K2106"/>
          <cell r="L2106">
            <v>14300</v>
          </cell>
          <cell r="M2106"/>
          <cell r="N2106">
            <v>14300</v>
          </cell>
          <cell r="O2106"/>
          <cell r="P2106">
            <v>14300</v>
          </cell>
          <cell r="Q2106"/>
          <cell r="R2106">
            <v>14300</v>
          </cell>
          <cell r="S2106"/>
          <cell r="T2106">
            <v>14300</v>
          </cell>
          <cell r="U2106"/>
          <cell r="V2106">
            <v>14300</v>
          </cell>
          <cell r="W2106"/>
          <cell r="X2106">
            <v>14300</v>
          </cell>
          <cell r="Y2106"/>
          <cell r="Z2106">
            <v>14300</v>
          </cell>
          <cell r="AA2106"/>
          <cell r="AB2106"/>
          <cell r="AC2106"/>
          <cell r="AD2106">
            <v>0.39100000000000001</v>
          </cell>
          <cell r="AE2106"/>
          <cell r="AF2106"/>
          <cell r="AG2106">
            <v>9900</v>
          </cell>
          <cell r="AH2106">
            <v>96</v>
          </cell>
          <cell r="AI2106">
            <v>0.98899999999999999</v>
          </cell>
          <cell r="AJ2106">
            <v>1</v>
          </cell>
          <cell r="AK2106">
            <v>97.06</v>
          </cell>
          <cell r="AL2106"/>
        </row>
        <row r="2107">
          <cell r="E2107" t="str">
            <v>D15L5-322PZ</v>
          </cell>
          <cell r="F2107" t="str">
            <v>台</v>
          </cell>
          <cell r="G2107"/>
          <cell r="H2107">
            <v>17300</v>
          </cell>
          <cell r="I2107"/>
          <cell r="J2107">
            <v>17300</v>
          </cell>
          <cell r="K2107"/>
          <cell r="L2107">
            <v>17300</v>
          </cell>
          <cell r="M2107"/>
          <cell r="N2107">
            <v>17300</v>
          </cell>
          <cell r="O2107"/>
          <cell r="P2107">
            <v>17300</v>
          </cell>
          <cell r="Q2107"/>
          <cell r="R2107">
            <v>17300</v>
          </cell>
          <cell r="S2107"/>
          <cell r="T2107">
            <v>17300</v>
          </cell>
          <cell r="U2107"/>
          <cell r="V2107">
            <v>17300</v>
          </cell>
          <cell r="W2107"/>
          <cell r="X2107">
            <v>17300</v>
          </cell>
          <cell r="Y2107"/>
          <cell r="Z2107">
            <v>17300</v>
          </cell>
          <cell r="AA2107"/>
          <cell r="AB2107"/>
          <cell r="AC2107"/>
          <cell r="AD2107">
            <v>0.39100000000000001</v>
          </cell>
          <cell r="AE2107"/>
          <cell r="AF2107"/>
          <cell r="AG2107">
            <v>9900</v>
          </cell>
          <cell r="AH2107">
            <v>96</v>
          </cell>
          <cell r="AI2107">
            <v>0.98899999999999999</v>
          </cell>
          <cell r="AJ2107">
            <v>1</v>
          </cell>
          <cell r="AK2107">
            <v>97.06</v>
          </cell>
          <cell r="AL2107"/>
        </row>
        <row r="2108">
          <cell r="E2108" t="str">
            <v>D15L5-322PK</v>
          </cell>
          <cell r="F2108" t="str">
            <v>台</v>
          </cell>
          <cell r="G2108"/>
          <cell r="H2108">
            <v>14300</v>
          </cell>
          <cell r="I2108"/>
          <cell r="J2108">
            <v>14300</v>
          </cell>
          <cell r="K2108"/>
          <cell r="L2108">
            <v>14300</v>
          </cell>
          <cell r="M2108"/>
          <cell r="N2108">
            <v>14300</v>
          </cell>
          <cell r="O2108"/>
          <cell r="P2108">
            <v>14300</v>
          </cell>
          <cell r="Q2108"/>
          <cell r="R2108">
            <v>14300</v>
          </cell>
          <cell r="S2108"/>
          <cell r="T2108">
            <v>14300</v>
          </cell>
          <cell r="U2108"/>
          <cell r="V2108">
            <v>14300</v>
          </cell>
          <cell r="W2108"/>
          <cell r="X2108">
            <v>14300</v>
          </cell>
          <cell r="Y2108"/>
          <cell r="Z2108">
            <v>14300</v>
          </cell>
          <cell r="AA2108"/>
          <cell r="AB2108"/>
          <cell r="AC2108"/>
          <cell r="AD2108">
            <v>0.39100000000000001</v>
          </cell>
          <cell r="AE2108"/>
          <cell r="AF2108"/>
          <cell r="AG2108">
            <v>9900</v>
          </cell>
          <cell r="AH2108">
            <v>96</v>
          </cell>
          <cell r="AI2108">
            <v>0.98899999999999999</v>
          </cell>
          <cell r="AJ2108">
            <v>1</v>
          </cell>
          <cell r="AK2108">
            <v>97.06</v>
          </cell>
          <cell r="AL2108"/>
        </row>
        <row r="2109">
          <cell r="E2109" t="str">
            <v>■Ｈｆ開放埋込形</v>
          </cell>
          <cell r="F2109"/>
          <cell r="G2109"/>
          <cell r="H2109"/>
          <cell r="I2109"/>
          <cell r="J2109"/>
          <cell r="K2109"/>
          <cell r="L2109"/>
          <cell r="M2109"/>
          <cell r="N2109"/>
          <cell r="O2109"/>
          <cell r="P2109"/>
          <cell r="Q2109"/>
          <cell r="R2109"/>
          <cell r="S2109"/>
          <cell r="T2109"/>
          <cell r="U2109"/>
          <cell r="V2109"/>
          <cell r="W2109"/>
          <cell r="X2109"/>
          <cell r="Y2109"/>
          <cell r="Z2109"/>
          <cell r="AA2109"/>
          <cell r="AB2109"/>
          <cell r="AC2109"/>
          <cell r="AD2109"/>
          <cell r="AE2109"/>
          <cell r="AF2109"/>
          <cell r="AG2109"/>
          <cell r="AH2109"/>
          <cell r="AI2109"/>
          <cell r="AJ2109"/>
          <cell r="AK2109"/>
          <cell r="AL2109"/>
        </row>
        <row r="2110">
          <cell r="E2110" t="str">
            <v>A18-322PN</v>
          </cell>
          <cell r="F2110" t="str">
            <v>台</v>
          </cell>
          <cell r="G2110"/>
          <cell r="H2110">
            <v>9040</v>
          </cell>
          <cell r="I2110"/>
          <cell r="J2110">
            <v>9040</v>
          </cell>
          <cell r="K2110"/>
          <cell r="L2110">
            <v>9040</v>
          </cell>
          <cell r="M2110"/>
          <cell r="N2110">
            <v>9040</v>
          </cell>
          <cell r="O2110"/>
          <cell r="P2110">
            <v>9040</v>
          </cell>
          <cell r="Q2110"/>
          <cell r="R2110">
            <v>9040</v>
          </cell>
          <cell r="S2110"/>
          <cell r="T2110">
            <v>9040</v>
          </cell>
          <cell r="U2110"/>
          <cell r="V2110">
            <v>9040</v>
          </cell>
          <cell r="W2110"/>
          <cell r="X2110">
            <v>9040</v>
          </cell>
          <cell r="Y2110"/>
          <cell r="Z2110">
            <v>9040</v>
          </cell>
          <cell r="AA2110"/>
          <cell r="AB2110"/>
          <cell r="AC2110"/>
          <cell r="AD2110">
            <v>0.39100000000000001</v>
          </cell>
          <cell r="AE2110"/>
          <cell r="AF2110"/>
          <cell r="AG2110">
            <v>9900</v>
          </cell>
          <cell r="AH2110">
            <v>96</v>
          </cell>
          <cell r="AI2110">
            <v>0.98899999999999999</v>
          </cell>
          <cell r="AJ2110">
            <v>1</v>
          </cell>
          <cell r="AK2110">
            <v>97.06</v>
          </cell>
          <cell r="AL2110"/>
        </row>
        <row r="2111">
          <cell r="E2111" t="str">
            <v>A18-322PH</v>
          </cell>
          <cell r="F2111" t="str">
            <v>台</v>
          </cell>
          <cell r="G2111"/>
          <cell r="H2111">
            <v>10200</v>
          </cell>
          <cell r="I2111"/>
          <cell r="J2111">
            <v>10200</v>
          </cell>
          <cell r="K2111"/>
          <cell r="L2111">
            <v>10200</v>
          </cell>
          <cell r="M2111"/>
          <cell r="N2111">
            <v>10200</v>
          </cell>
          <cell r="O2111"/>
          <cell r="P2111">
            <v>10200</v>
          </cell>
          <cell r="Q2111"/>
          <cell r="R2111">
            <v>10200</v>
          </cell>
          <cell r="S2111"/>
          <cell r="T2111">
            <v>10200</v>
          </cell>
          <cell r="U2111"/>
          <cell r="V2111">
            <v>10200</v>
          </cell>
          <cell r="W2111"/>
          <cell r="X2111">
            <v>10200</v>
          </cell>
          <cell r="Y2111"/>
          <cell r="Z2111">
            <v>10200</v>
          </cell>
          <cell r="AA2111"/>
          <cell r="AB2111"/>
          <cell r="AC2111"/>
          <cell r="AD2111">
            <v>0.39100000000000001</v>
          </cell>
          <cell r="AE2111"/>
          <cell r="AF2111"/>
          <cell r="AG2111">
            <v>9900</v>
          </cell>
          <cell r="AH2111">
            <v>96</v>
          </cell>
          <cell r="AI2111">
            <v>0.98899999999999999</v>
          </cell>
          <cell r="AJ2111">
            <v>1</v>
          </cell>
          <cell r="AK2111">
            <v>97.06</v>
          </cell>
          <cell r="AL2111"/>
        </row>
        <row r="2112">
          <cell r="E2112" t="str">
            <v>A18-322PX</v>
          </cell>
          <cell r="F2112" t="str">
            <v>台</v>
          </cell>
          <cell r="G2112"/>
          <cell r="H2112">
            <v>11200</v>
          </cell>
          <cell r="I2112"/>
          <cell r="J2112">
            <v>11200</v>
          </cell>
          <cell r="K2112"/>
          <cell r="L2112">
            <v>11200</v>
          </cell>
          <cell r="M2112"/>
          <cell r="N2112">
            <v>11200</v>
          </cell>
          <cell r="O2112"/>
          <cell r="P2112">
            <v>11200</v>
          </cell>
          <cell r="Q2112"/>
          <cell r="R2112">
            <v>11200</v>
          </cell>
          <cell r="S2112"/>
          <cell r="T2112">
            <v>11200</v>
          </cell>
          <cell r="U2112"/>
          <cell r="V2112">
            <v>11200</v>
          </cell>
          <cell r="W2112"/>
          <cell r="X2112">
            <v>11200</v>
          </cell>
          <cell r="Y2112"/>
          <cell r="Z2112">
            <v>11200</v>
          </cell>
          <cell r="AA2112"/>
          <cell r="AB2112"/>
          <cell r="AC2112"/>
          <cell r="AD2112">
            <v>0.39100000000000001</v>
          </cell>
          <cell r="AE2112"/>
          <cell r="AF2112"/>
          <cell r="AG2112">
            <v>9900</v>
          </cell>
          <cell r="AH2112">
            <v>96</v>
          </cell>
          <cell r="AI2112">
            <v>0.98899999999999999</v>
          </cell>
          <cell r="AJ2112">
            <v>1</v>
          </cell>
          <cell r="AK2112">
            <v>97.06</v>
          </cell>
          <cell r="AL2112"/>
        </row>
        <row r="2113">
          <cell r="E2113" t="str">
            <v>A18-322PK</v>
          </cell>
          <cell r="F2113" t="str">
            <v>台</v>
          </cell>
          <cell r="G2113"/>
          <cell r="H2113">
            <v>11200</v>
          </cell>
          <cell r="I2113"/>
          <cell r="J2113">
            <v>11200</v>
          </cell>
          <cell r="K2113"/>
          <cell r="L2113">
            <v>11200</v>
          </cell>
          <cell r="M2113"/>
          <cell r="N2113">
            <v>11200</v>
          </cell>
          <cell r="O2113"/>
          <cell r="P2113">
            <v>11200</v>
          </cell>
          <cell r="Q2113"/>
          <cell r="R2113">
            <v>11200</v>
          </cell>
          <cell r="S2113"/>
          <cell r="T2113">
            <v>11200</v>
          </cell>
          <cell r="U2113"/>
          <cell r="V2113">
            <v>11200</v>
          </cell>
          <cell r="W2113"/>
          <cell r="X2113">
            <v>11200</v>
          </cell>
          <cell r="Y2113"/>
          <cell r="Z2113">
            <v>11200</v>
          </cell>
          <cell r="AA2113"/>
          <cell r="AB2113"/>
          <cell r="AC2113"/>
          <cell r="AD2113">
            <v>0.39100000000000001</v>
          </cell>
          <cell r="AE2113"/>
          <cell r="AF2113"/>
          <cell r="AG2113">
            <v>9900</v>
          </cell>
          <cell r="AH2113">
            <v>96</v>
          </cell>
          <cell r="AI2113">
            <v>0.98899999999999999</v>
          </cell>
          <cell r="AJ2113">
            <v>1</v>
          </cell>
          <cell r="AK2113">
            <v>97.06</v>
          </cell>
          <cell r="AL2113"/>
        </row>
        <row r="2114">
          <cell r="E2114" t="str">
            <v>■Ｈｆカバー埋込形</v>
          </cell>
          <cell r="F2114"/>
          <cell r="G2114"/>
          <cell r="H2114"/>
          <cell r="I2114"/>
          <cell r="J2114"/>
          <cell r="K2114"/>
          <cell r="L2114"/>
          <cell r="M2114"/>
          <cell r="N2114"/>
          <cell r="O2114"/>
          <cell r="P2114"/>
          <cell r="Q2114"/>
          <cell r="R2114"/>
          <cell r="S2114"/>
          <cell r="T2114"/>
          <cell r="U2114"/>
          <cell r="V2114"/>
          <cell r="W2114"/>
          <cell r="X2114"/>
          <cell r="Y2114"/>
          <cell r="Z2114"/>
          <cell r="AA2114"/>
          <cell r="AB2114"/>
          <cell r="AC2114"/>
          <cell r="AD2114"/>
          <cell r="AE2114"/>
          <cell r="AF2114"/>
          <cell r="AG2114"/>
          <cell r="AH2114"/>
          <cell r="AI2114"/>
          <cell r="AJ2114"/>
          <cell r="AK2114"/>
          <cell r="AL2114"/>
        </row>
        <row r="2115">
          <cell r="E2115" t="str">
            <v>C18-322PN</v>
          </cell>
          <cell r="F2115" t="str">
            <v>台</v>
          </cell>
          <cell r="G2115"/>
          <cell r="H2115">
            <v>12300</v>
          </cell>
          <cell r="I2115"/>
          <cell r="J2115">
            <v>12300</v>
          </cell>
          <cell r="K2115"/>
          <cell r="L2115">
            <v>12300</v>
          </cell>
          <cell r="M2115"/>
          <cell r="N2115">
            <v>12300</v>
          </cell>
          <cell r="O2115"/>
          <cell r="P2115">
            <v>12300</v>
          </cell>
          <cell r="Q2115"/>
          <cell r="R2115">
            <v>12300</v>
          </cell>
          <cell r="S2115"/>
          <cell r="T2115">
            <v>12300</v>
          </cell>
          <cell r="U2115"/>
          <cell r="V2115">
            <v>12300</v>
          </cell>
          <cell r="W2115"/>
          <cell r="X2115">
            <v>12300</v>
          </cell>
          <cell r="Y2115"/>
          <cell r="Z2115">
            <v>12300</v>
          </cell>
          <cell r="AA2115"/>
          <cell r="AB2115"/>
          <cell r="AC2115"/>
          <cell r="AD2115">
            <v>0.39100000000000001</v>
          </cell>
          <cell r="AE2115"/>
          <cell r="AF2115"/>
          <cell r="AG2115">
            <v>9900</v>
          </cell>
          <cell r="AH2115">
            <v>96</v>
          </cell>
          <cell r="AI2115">
            <v>0.98899999999999999</v>
          </cell>
          <cell r="AJ2115">
            <v>1</v>
          </cell>
          <cell r="AK2115">
            <v>97.06</v>
          </cell>
          <cell r="AL2115"/>
        </row>
        <row r="2116">
          <cell r="E2116" t="str">
            <v>C18-322PH</v>
          </cell>
          <cell r="F2116" t="str">
            <v>台</v>
          </cell>
          <cell r="G2116"/>
          <cell r="H2116">
            <v>13500</v>
          </cell>
          <cell r="I2116"/>
          <cell r="J2116">
            <v>13500</v>
          </cell>
          <cell r="K2116"/>
          <cell r="L2116">
            <v>13500</v>
          </cell>
          <cell r="M2116"/>
          <cell r="N2116">
            <v>13500</v>
          </cell>
          <cell r="O2116"/>
          <cell r="P2116">
            <v>13500</v>
          </cell>
          <cell r="Q2116"/>
          <cell r="R2116">
            <v>13500</v>
          </cell>
          <cell r="S2116"/>
          <cell r="T2116">
            <v>13500</v>
          </cell>
          <cell r="U2116"/>
          <cell r="V2116">
            <v>13500</v>
          </cell>
          <cell r="W2116"/>
          <cell r="X2116">
            <v>13500</v>
          </cell>
          <cell r="Y2116"/>
          <cell r="Z2116">
            <v>13500</v>
          </cell>
          <cell r="AA2116"/>
          <cell r="AB2116"/>
          <cell r="AC2116"/>
          <cell r="AD2116">
            <v>0.39100000000000001</v>
          </cell>
          <cell r="AE2116"/>
          <cell r="AF2116"/>
          <cell r="AG2116">
            <v>9900</v>
          </cell>
          <cell r="AH2116">
            <v>96</v>
          </cell>
          <cell r="AI2116">
            <v>0.98899999999999999</v>
          </cell>
          <cell r="AJ2116">
            <v>1</v>
          </cell>
          <cell r="AK2116">
            <v>97.06</v>
          </cell>
          <cell r="AL2116"/>
        </row>
        <row r="2117">
          <cell r="E2117" t="str">
            <v>C18-322PX</v>
          </cell>
          <cell r="F2117" t="str">
            <v>台</v>
          </cell>
          <cell r="G2117"/>
          <cell r="H2117">
            <v>14500</v>
          </cell>
          <cell r="I2117"/>
          <cell r="J2117">
            <v>14500</v>
          </cell>
          <cell r="K2117"/>
          <cell r="L2117">
            <v>14500</v>
          </cell>
          <cell r="M2117"/>
          <cell r="N2117">
            <v>14500</v>
          </cell>
          <cell r="O2117"/>
          <cell r="P2117">
            <v>14500</v>
          </cell>
          <cell r="Q2117"/>
          <cell r="R2117">
            <v>14500</v>
          </cell>
          <cell r="S2117"/>
          <cell r="T2117">
            <v>14500</v>
          </cell>
          <cell r="U2117"/>
          <cell r="V2117">
            <v>14500</v>
          </cell>
          <cell r="W2117"/>
          <cell r="X2117">
            <v>14500</v>
          </cell>
          <cell r="Y2117"/>
          <cell r="Z2117">
            <v>14500</v>
          </cell>
          <cell r="AA2117"/>
          <cell r="AB2117"/>
          <cell r="AC2117"/>
          <cell r="AD2117">
            <v>0.39100000000000001</v>
          </cell>
          <cell r="AE2117"/>
          <cell r="AF2117"/>
          <cell r="AG2117">
            <v>9900</v>
          </cell>
          <cell r="AH2117">
            <v>96</v>
          </cell>
          <cell r="AI2117">
            <v>0.98899999999999999</v>
          </cell>
          <cell r="AJ2117">
            <v>1</v>
          </cell>
          <cell r="AK2117">
            <v>97.06</v>
          </cell>
          <cell r="AL2117"/>
        </row>
        <row r="2118">
          <cell r="E2118" t="str">
            <v>C18-322PK</v>
          </cell>
          <cell r="F2118" t="str">
            <v>台</v>
          </cell>
          <cell r="G2118"/>
          <cell r="H2118">
            <v>14500</v>
          </cell>
          <cell r="I2118"/>
          <cell r="J2118">
            <v>14500</v>
          </cell>
          <cell r="K2118"/>
          <cell r="L2118">
            <v>14500</v>
          </cell>
          <cell r="M2118"/>
          <cell r="N2118">
            <v>14500</v>
          </cell>
          <cell r="O2118"/>
          <cell r="P2118">
            <v>14500</v>
          </cell>
          <cell r="Q2118"/>
          <cell r="R2118">
            <v>14500</v>
          </cell>
          <cell r="S2118"/>
          <cell r="T2118">
            <v>14500</v>
          </cell>
          <cell r="U2118"/>
          <cell r="V2118">
            <v>14500</v>
          </cell>
          <cell r="W2118"/>
          <cell r="X2118">
            <v>14500</v>
          </cell>
          <cell r="Y2118"/>
          <cell r="Z2118">
            <v>14500</v>
          </cell>
          <cell r="AA2118"/>
          <cell r="AB2118"/>
          <cell r="AC2118"/>
          <cell r="AD2118">
            <v>0.39100000000000001</v>
          </cell>
          <cell r="AE2118"/>
          <cell r="AF2118"/>
          <cell r="AG2118">
            <v>9900</v>
          </cell>
          <cell r="AH2118">
            <v>96</v>
          </cell>
          <cell r="AI2118">
            <v>0.98899999999999999</v>
          </cell>
          <cell r="AJ2118">
            <v>1</v>
          </cell>
          <cell r="AK2118">
            <v>97.06</v>
          </cell>
          <cell r="AL2118"/>
        </row>
        <row r="2119">
          <cell r="E2119" t="str">
            <v>■Ｈｆルーバ埋込形</v>
          </cell>
          <cell r="F2119"/>
          <cell r="G2119"/>
          <cell r="H2119"/>
          <cell r="I2119"/>
          <cell r="J2119"/>
          <cell r="K2119"/>
          <cell r="L2119"/>
          <cell r="M2119"/>
          <cell r="N2119"/>
          <cell r="O2119"/>
          <cell r="P2119"/>
          <cell r="Q2119"/>
          <cell r="R2119"/>
          <cell r="S2119"/>
          <cell r="T2119"/>
          <cell r="U2119"/>
          <cell r="V2119"/>
          <cell r="W2119"/>
          <cell r="X2119"/>
          <cell r="Y2119"/>
          <cell r="Z2119"/>
          <cell r="AA2119"/>
          <cell r="AB2119"/>
          <cell r="AC2119"/>
          <cell r="AD2119"/>
          <cell r="AE2119"/>
          <cell r="AF2119"/>
          <cell r="AG2119"/>
          <cell r="AH2119"/>
          <cell r="AI2119"/>
          <cell r="AJ2119"/>
          <cell r="AK2119"/>
          <cell r="AL2119"/>
        </row>
        <row r="2120">
          <cell r="E2120" t="str">
            <v>D18-322PN</v>
          </cell>
          <cell r="F2120" t="str">
            <v>台</v>
          </cell>
          <cell r="G2120"/>
          <cell r="H2120">
            <v>22900</v>
          </cell>
          <cell r="I2120"/>
          <cell r="J2120">
            <v>22900</v>
          </cell>
          <cell r="K2120"/>
          <cell r="L2120">
            <v>22900</v>
          </cell>
          <cell r="M2120"/>
          <cell r="N2120">
            <v>22900</v>
          </cell>
          <cell r="O2120"/>
          <cell r="P2120">
            <v>22900</v>
          </cell>
          <cell r="Q2120"/>
          <cell r="R2120">
            <v>22900</v>
          </cell>
          <cell r="S2120"/>
          <cell r="T2120">
            <v>22900</v>
          </cell>
          <cell r="U2120"/>
          <cell r="V2120">
            <v>22900</v>
          </cell>
          <cell r="W2120"/>
          <cell r="X2120">
            <v>22900</v>
          </cell>
          <cell r="Y2120"/>
          <cell r="Z2120">
            <v>22900</v>
          </cell>
          <cell r="AA2120"/>
          <cell r="AB2120"/>
          <cell r="AC2120"/>
          <cell r="AD2120">
            <v>0.39100000000000001</v>
          </cell>
          <cell r="AE2120"/>
          <cell r="AF2120"/>
          <cell r="AG2120">
            <v>9900</v>
          </cell>
          <cell r="AH2120">
            <v>96</v>
          </cell>
          <cell r="AI2120">
            <v>0.98899999999999999</v>
          </cell>
          <cell r="AJ2120">
            <v>1</v>
          </cell>
          <cell r="AK2120">
            <v>97.06</v>
          </cell>
          <cell r="AL2120"/>
        </row>
        <row r="2121">
          <cell r="E2121" t="str">
            <v>D18-322PH</v>
          </cell>
          <cell r="F2121" t="str">
            <v>台</v>
          </cell>
          <cell r="G2121"/>
          <cell r="H2121">
            <v>24100</v>
          </cell>
          <cell r="I2121"/>
          <cell r="J2121">
            <v>24100</v>
          </cell>
          <cell r="K2121"/>
          <cell r="L2121">
            <v>24100</v>
          </cell>
          <cell r="M2121"/>
          <cell r="N2121">
            <v>24100</v>
          </cell>
          <cell r="O2121"/>
          <cell r="P2121">
            <v>24100</v>
          </cell>
          <cell r="Q2121"/>
          <cell r="R2121">
            <v>24100</v>
          </cell>
          <cell r="S2121"/>
          <cell r="T2121">
            <v>24100</v>
          </cell>
          <cell r="U2121"/>
          <cell r="V2121">
            <v>24100</v>
          </cell>
          <cell r="W2121"/>
          <cell r="X2121">
            <v>24100</v>
          </cell>
          <cell r="Y2121"/>
          <cell r="Z2121">
            <v>24100</v>
          </cell>
          <cell r="AA2121"/>
          <cell r="AB2121"/>
          <cell r="AC2121"/>
          <cell r="AD2121">
            <v>0.39100000000000001</v>
          </cell>
          <cell r="AE2121"/>
          <cell r="AF2121"/>
          <cell r="AG2121">
            <v>9900</v>
          </cell>
          <cell r="AH2121">
            <v>96</v>
          </cell>
          <cell r="AI2121">
            <v>0.98899999999999999</v>
          </cell>
          <cell r="AJ2121">
            <v>1</v>
          </cell>
          <cell r="AK2121">
            <v>97.06</v>
          </cell>
          <cell r="AL2121"/>
        </row>
        <row r="2122">
          <cell r="E2122" t="str">
            <v>D18-322PX</v>
          </cell>
          <cell r="F2122" t="str">
            <v>台</v>
          </cell>
          <cell r="G2122"/>
          <cell r="H2122">
            <v>25100</v>
          </cell>
          <cell r="I2122"/>
          <cell r="J2122">
            <v>25100</v>
          </cell>
          <cell r="K2122"/>
          <cell r="L2122">
            <v>25100</v>
          </cell>
          <cell r="M2122"/>
          <cell r="N2122">
            <v>25100</v>
          </cell>
          <cell r="O2122"/>
          <cell r="P2122">
            <v>25100</v>
          </cell>
          <cell r="Q2122"/>
          <cell r="R2122">
            <v>25100</v>
          </cell>
          <cell r="S2122"/>
          <cell r="T2122">
            <v>25100</v>
          </cell>
          <cell r="U2122"/>
          <cell r="V2122">
            <v>25100</v>
          </cell>
          <cell r="W2122"/>
          <cell r="X2122">
            <v>25100</v>
          </cell>
          <cell r="Y2122"/>
          <cell r="Z2122">
            <v>25100</v>
          </cell>
          <cell r="AA2122"/>
          <cell r="AB2122"/>
          <cell r="AC2122"/>
          <cell r="AD2122">
            <v>0.39100000000000001</v>
          </cell>
          <cell r="AE2122"/>
          <cell r="AF2122"/>
          <cell r="AG2122">
            <v>9900</v>
          </cell>
          <cell r="AH2122">
            <v>96</v>
          </cell>
          <cell r="AI2122">
            <v>0.98899999999999999</v>
          </cell>
          <cell r="AJ2122">
            <v>1</v>
          </cell>
          <cell r="AK2122">
            <v>97.06</v>
          </cell>
          <cell r="AL2122"/>
        </row>
        <row r="2123">
          <cell r="E2123" t="str">
            <v>D18-322PK</v>
          </cell>
          <cell r="F2123" t="str">
            <v>台</v>
          </cell>
          <cell r="G2123"/>
          <cell r="H2123">
            <v>25100</v>
          </cell>
          <cell r="I2123"/>
          <cell r="J2123">
            <v>25100</v>
          </cell>
          <cell r="K2123"/>
          <cell r="L2123">
            <v>25100</v>
          </cell>
          <cell r="M2123"/>
          <cell r="N2123">
            <v>25100</v>
          </cell>
          <cell r="O2123"/>
          <cell r="P2123">
            <v>25100</v>
          </cell>
          <cell r="Q2123"/>
          <cell r="R2123">
            <v>25100</v>
          </cell>
          <cell r="S2123"/>
          <cell r="T2123">
            <v>25100</v>
          </cell>
          <cell r="U2123"/>
          <cell r="V2123">
            <v>25100</v>
          </cell>
          <cell r="W2123"/>
          <cell r="X2123">
            <v>25100</v>
          </cell>
          <cell r="Y2123"/>
          <cell r="Z2123">
            <v>25100</v>
          </cell>
          <cell r="AA2123"/>
          <cell r="AB2123"/>
          <cell r="AC2123"/>
          <cell r="AD2123">
            <v>0.39100000000000001</v>
          </cell>
          <cell r="AE2123"/>
          <cell r="AF2123"/>
          <cell r="AG2123">
            <v>9900</v>
          </cell>
          <cell r="AH2123">
            <v>96</v>
          </cell>
          <cell r="AI2123">
            <v>0.98899999999999999</v>
          </cell>
          <cell r="AJ2123">
            <v>1</v>
          </cell>
          <cell r="AK2123">
            <v>97.06</v>
          </cell>
          <cell r="AL2123"/>
        </row>
        <row r="2124">
          <cell r="E2124" t="str">
            <v>D18V-322PN</v>
          </cell>
          <cell r="F2124" t="str">
            <v>台</v>
          </cell>
          <cell r="G2124"/>
          <cell r="H2124">
            <v>22900</v>
          </cell>
          <cell r="I2124"/>
          <cell r="J2124">
            <v>22900</v>
          </cell>
          <cell r="K2124"/>
          <cell r="L2124">
            <v>22900</v>
          </cell>
          <cell r="M2124"/>
          <cell r="N2124">
            <v>22900</v>
          </cell>
          <cell r="O2124"/>
          <cell r="P2124">
            <v>22900</v>
          </cell>
          <cell r="Q2124"/>
          <cell r="R2124">
            <v>22900</v>
          </cell>
          <cell r="S2124"/>
          <cell r="T2124">
            <v>22900</v>
          </cell>
          <cell r="U2124"/>
          <cell r="V2124">
            <v>22900</v>
          </cell>
          <cell r="W2124"/>
          <cell r="X2124">
            <v>22900</v>
          </cell>
          <cell r="Y2124"/>
          <cell r="Z2124">
            <v>22900</v>
          </cell>
          <cell r="AA2124"/>
          <cell r="AB2124"/>
          <cell r="AC2124"/>
          <cell r="AD2124">
            <v>0.39100000000000001</v>
          </cell>
          <cell r="AE2124"/>
          <cell r="AF2124"/>
          <cell r="AG2124">
            <v>9900</v>
          </cell>
          <cell r="AH2124">
            <v>96</v>
          </cell>
          <cell r="AI2124">
            <v>0.98899999999999999</v>
          </cell>
          <cell r="AJ2124">
            <v>1</v>
          </cell>
          <cell r="AK2124">
            <v>97.06</v>
          </cell>
          <cell r="AL2124"/>
        </row>
        <row r="2125">
          <cell r="E2125" t="str">
            <v>D18V-322PH</v>
          </cell>
          <cell r="F2125" t="str">
            <v>台</v>
          </cell>
          <cell r="G2125"/>
          <cell r="H2125">
            <v>24100</v>
          </cell>
          <cell r="I2125"/>
          <cell r="J2125">
            <v>24100</v>
          </cell>
          <cell r="K2125"/>
          <cell r="L2125">
            <v>24100</v>
          </cell>
          <cell r="M2125"/>
          <cell r="N2125">
            <v>24100</v>
          </cell>
          <cell r="O2125"/>
          <cell r="P2125">
            <v>24100</v>
          </cell>
          <cell r="Q2125"/>
          <cell r="R2125">
            <v>24100</v>
          </cell>
          <cell r="S2125"/>
          <cell r="T2125">
            <v>24100</v>
          </cell>
          <cell r="U2125"/>
          <cell r="V2125">
            <v>24100</v>
          </cell>
          <cell r="W2125"/>
          <cell r="X2125">
            <v>24100</v>
          </cell>
          <cell r="Y2125"/>
          <cell r="Z2125">
            <v>24100</v>
          </cell>
          <cell r="AA2125"/>
          <cell r="AB2125"/>
          <cell r="AC2125"/>
          <cell r="AD2125">
            <v>0.39100000000000001</v>
          </cell>
          <cell r="AE2125"/>
          <cell r="AF2125"/>
          <cell r="AG2125">
            <v>9900</v>
          </cell>
          <cell r="AH2125">
            <v>96</v>
          </cell>
          <cell r="AI2125">
            <v>0.98899999999999999</v>
          </cell>
          <cell r="AJ2125">
            <v>1</v>
          </cell>
          <cell r="AK2125">
            <v>97.06</v>
          </cell>
          <cell r="AL2125"/>
        </row>
        <row r="2126">
          <cell r="E2126" t="str">
            <v>D18V-322PX</v>
          </cell>
          <cell r="F2126" t="str">
            <v>台</v>
          </cell>
          <cell r="G2126"/>
          <cell r="H2126">
            <v>25100</v>
          </cell>
          <cell r="I2126"/>
          <cell r="J2126">
            <v>25100</v>
          </cell>
          <cell r="K2126"/>
          <cell r="L2126">
            <v>25100</v>
          </cell>
          <cell r="M2126"/>
          <cell r="N2126">
            <v>25100</v>
          </cell>
          <cell r="O2126"/>
          <cell r="P2126">
            <v>25100</v>
          </cell>
          <cell r="Q2126"/>
          <cell r="R2126">
            <v>25100</v>
          </cell>
          <cell r="S2126"/>
          <cell r="T2126">
            <v>25100</v>
          </cell>
          <cell r="U2126"/>
          <cell r="V2126">
            <v>25100</v>
          </cell>
          <cell r="W2126"/>
          <cell r="X2126">
            <v>25100</v>
          </cell>
          <cell r="Y2126"/>
          <cell r="Z2126">
            <v>25100</v>
          </cell>
          <cell r="AA2126"/>
          <cell r="AB2126"/>
          <cell r="AC2126"/>
          <cell r="AD2126">
            <v>0.39100000000000001</v>
          </cell>
          <cell r="AE2126"/>
          <cell r="AF2126"/>
          <cell r="AG2126">
            <v>9900</v>
          </cell>
          <cell r="AH2126">
            <v>96</v>
          </cell>
          <cell r="AI2126">
            <v>0.98899999999999999</v>
          </cell>
          <cell r="AJ2126">
            <v>1</v>
          </cell>
          <cell r="AK2126">
            <v>97.06</v>
          </cell>
          <cell r="AL2126"/>
        </row>
        <row r="2127">
          <cell r="E2127" t="str">
            <v>D18V-322PK</v>
          </cell>
          <cell r="F2127" t="str">
            <v>台</v>
          </cell>
          <cell r="G2127"/>
          <cell r="H2127">
            <v>25100</v>
          </cell>
          <cell r="I2127"/>
          <cell r="J2127">
            <v>25100</v>
          </cell>
          <cell r="K2127"/>
          <cell r="L2127">
            <v>25100</v>
          </cell>
          <cell r="M2127"/>
          <cell r="N2127">
            <v>25100</v>
          </cell>
          <cell r="O2127"/>
          <cell r="P2127">
            <v>25100</v>
          </cell>
          <cell r="Q2127"/>
          <cell r="R2127">
            <v>25100</v>
          </cell>
          <cell r="S2127"/>
          <cell r="T2127">
            <v>25100</v>
          </cell>
          <cell r="U2127"/>
          <cell r="V2127">
            <v>25100</v>
          </cell>
          <cell r="W2127"/>
          <cell r="X2127">
            <v>25100</v>
          </cell>
          <cell r="Y2127"/>
          <cell r="Z2127">
            <v>25100</v>
          </cell>
          <cell r="AA2127"/>
          <cell r="AB2127"/>
          <cell r="AC2127"/>
          <cell r="AD2127">
            <v>0.39100000000000001</v>
          </cell>
          <cell r="AE2127"/>
          <cell r="AF2127"/>
          <cell r="AG2127">
            <v>9900</v>
          </cell>
          <cell r="AH2127">
            <v>96</v>
          </cell>
          <cell r="AI2127">
            <v>0.98899999999999999</v>
          </cell>
          <cell r="AJ2127">
            <v>1</v>
          </cell>
          <cell r="AK2127">
            <v>97.06</v>
          </cell>
          <cell r="AL2127"/>
        </row>
        <row r="2128">
          <cell r="E2128" t="str">
            <v>D18L-322PN</v>
          </cell>
          <cell r="F2128" t="str">
            <v>台</v>
          </cell>
          <cell r="G2128"/>
          <cell r="H2128">
            <v>11300</v>
          </cell>
          <cell r="I2128"/>
          <cell r="J2128">
            <v>11300</v>
          </cell>
          <cell r="K2128"/>
          <cell r="L2128">
            <v>11300</v>
          </cell>
          <cell r="M2128"/>
          <cell r="N2128">
            <v>11300</v>
          </cell>
          <cell r="O2128"/>
          <cell r="P2128">
            <v>11300</v>
          </cell>
          <cell r="Q2128"/>
          <cell r="R2128">
            <v>11300</v>
          </cell>
          <cell r="S2128"/>
          <cell r="T2128">
            <v>11300</v>
          </cell>
          <cell r="U2128"/>
          <cell r="V2128">
            <v>11300</v>
          </cell>
          <cell r="W2128"/>
          <cell r="X2128">
            <v>11300</v>
          </cell>
          <cell r="Y2128"/>
          <cell r="Z2128">
            <v>11300</v>
          </cell>
          <cell r="AA2128"/>
          <cell r="AB2128"/>
          <cell r="AC2128"/>
          <cell r="AD2128">
            <v>0.39100000000000001</v>
          </cell>
          <cell r="AE2128"/>
          <cell r="AF2128"/>
          <cell r="AG2128">
            <v>9900</v>
          </cell>
          <cell r="AH2128">
            <v>96</v>
          </cell>
          <cell r="AI2128">
            <v>0.98899999999999999</v>
          </cell>
          <cell r="AJ2128">
            <v>1</v>
          </cell>
          <cell r="AK2128">
            <v>97.06</v>
          </cell>
          <cell r="AL2128"/>
        </row>
        <row r="2129">
          <cell r="E2129" t="str">
            <v>D18L-322PH</v>
          </cell>
          <cell r="F2129" t="str">
            <v>台</v>
          </cell>
          <cell r="G2129"/>
          <cell r="H2129">
            <v>12500</v>
          </cell>
          <cell r="I2129"/>
          <cell r="J2129">
            <v>12500</v>
          </cell>
          <cell r="K2129"/>
          <cell r="L2129">
            <v>12500</v>
          </cell>
          <cell r="M2129"/>
          <cell r="N2129">
            <v>12500</v>
          </cell>
          <cell r="O2129"/>
          <cell r="P2129">
            <v>12500</v>
          </cell>
          <cell r="Q2129"/>
          <cell r="R2129">
            <v>12500</v>
          </cell>
          <cell r="S2129"/>
          <cell r="T2129">
            <v>12500</v>
          </cell>
          <cell r="U2129"/>
          <cell r="V2129">
            <v>12500</v>
          </cell>
          <cell r="W2129"/>
          <cell r="X2129">
            <v>12500</v>
          </cell>
          <cell r="Y2129"/>
          <cell r="Z2129">
            <v>12500</v>
          </cell>
          <cell r="AA2129"/>
          <cell r="AB2129"/>
          <cell r="AC2129"/>
          <cell r="AD2129">
            <v>0.39100000000000001</v>
          </cell>
          <cell r="AE2129"/>
          <cell r="AF2129"/>
          <cell r="AG2129">
            <v>9900</v>
          </cell>
          <cell r="AH2129">
            <v>96</v>
          </cell>
          <cell r="AI2129">
            <v>0.98899999999999999</v>
          </cell>
          <cell r="AJ2129">
            <v>1</v>
          </cell>
          <cell r="AK2129">
            <v>97.06</v>
          </cell>
          <cell r="AL2129"/>
        </row>
        <row r="2130">
          <cell r="E2130" t="str">
            <v>D18L-322PX</v>
          </cell>
          <cell r="F2130" t="str">
            <v>台</v>
          </cell>
          <cell r="G2130"/>
          <cell r="H2130">
            <v>13500</v>
          </cell>
          <cell r="I2130"/>
          <cell r="J2130">
            <v>13500</v>
          </cell>
          <cell r="K2130"/>
          <cell r="L2130">
            <v>13500</v>
          </cell>
          <cell r="M2130"/>
          <cell r="N2130">
            <v>13500</v>
          </cell>
          <cell r="O2130"/>
          <cell r="P2130">
            <v>13500</v>
          </cell>
          <cell r="Q2130"/>
          <cell r="R2130">
            <v>13500</v>
          </cell>
          <cell r="S2130"/>
          <cell r="T2130">
            <v>13500</v>
          </cell>
          <cell r="U2130"/>
          <cell r="V2130">
            <v>13500</v>
          </cell>
          <cell r="W2130"/>
          <cell r="X2130">
            <v>13500</v>
          </cell>
          <cell r="Y2130"/>
          <cell r="Z2130">
            <v>13500</v>
          </cell>
          <cell r="AA2130"/>
          <cell r="AB2130"/>
          <cell r="AC2130"/>
          <cell r="AD2130">
            <v>0.39100000000000001</v>
          </cell>
          <cell r="AE2130"/>
          <cell r="AF2130"/>
          <cell r="AG2130">
            <v>9900</v>
          </cell>
          <cell r="AH2130">
            <v>96</v>
          </cell>
          <cell r="AI2130">
            <v>0.98899999999999999</v>
          </cell>
          <cell r="AJ2130">
            <v>1</v>
          </cell>
          <cell r="AK2130">
            <v>97.06</v>
          </cell>
          <cell r="AL2130"/>
        </row>
        <row r="2131">
          <cell r="E2131" t="str">
            <v>D18L-322PK</v>
          </cell>
          <cell r="F2131" t="str">
            <v>台</v>
          </cell>
          <cell r="G2131"/>
          <cell r="H2131">
            <v>13500</v>
          </cell>
          <cell r="I2131"/>
          <cell r="J2131">
            <v>13500</v>
          </cell>
          <cell r="K2131"/>
          <cell r="L2131">
            <v>13500</v>
          </cell>
          <cell r="M2131"/>
          <cell r="N2131">
            <v>13500</v>
          </cell>
          <cell r="O2131"/>
          <cell r="P2131">
            <v>13500</v>
          </cell>
          <cell r="Q2131"/>
          <cell r="R2131">
            <v>13500</v>
          </cell>
          <cell r="S2131"/>
          <cell r="T2131">
            <v>13500</v>
          </cell>
          <cell r="U2131"/>
          <cell r="V2131">
            <v>13500</v>
          </cell>
          <cell r="W2131"/>
          <cell r="X2131">
            <v>13500</v>
          </cell>
          <cell r="Y2131"/>
          <cell r="Z2131">
            <v>13500</v>
          </cell>
          <cell r="AA2131"/>
          <cell r="AB2131"/>
          <cell r="AC2131"/>
          <cell r="AD2131">
            <v>0.39100000000000001</v>
          </cell>
          <cell r="AE2131"/>
          <cell r="AF2131"/>
          <cell r="AG2131">
            <v>9900</v>
          </cell>
          <cell r="AH2131">
            <v>96</v>
          </cell>
          <cell r="AI2131">
            <v>0.98899999999999999</v>
          </cell>
          <cell r="AJ2131">
            <v>1</v>
          </cell>
          <cell r="AK2131">
            <v>97.06</v>
          </cell>
          <cell r="AL2131"/>
        </row>
        <row r="2132">
          <cell r="E2132" t="str">
            <v>■Ｈｆダウンライト</v>
          </cell>
          <cell r="F2132"/>
          <cell r="G2132"/>
          <cell r="H2132"/>
          <cell r="I2132"/>
          <cell r="J2132"/>
          <cell r="K2132"/>
          <cell r="L2132"/>
          <cell r="M2132"/>
          <cell r="N2132"/>
          <cell r="O2132"/>
          <cell r="P2132"/>
          <cell r="Q2132"/>
          <cell r="R2132"/>
          <cell r="S2132"/>
          <cell r="T2132"/>
          <cell r="U2132"/>
          <cell r="V2132"/>
          <cell r="W2132"/>
          <cell r="X2132"/>
          <cell r="Y2132"/>
          <cell r="Z2132"/>
          <cell r="AA2132"/>
          <cell r="AB2132"/>
          <cell r="AC2132"/>
          <cell r="AD2132"/>
          <cell r="AE2132"/>
          <cell r="AF2132"/>
          <cell r="AG2132"/>
          <cell r="AH2132"/>
          <cell r="AI2132"/>
          <cell r="AJ2132"/>
          <cell r="AK2132"/>
          <cell r="AL2132"/>
        </row>
        <row r="2133">
          <cell r="E2133" t="str">
            <v>d21-241PN</v>
          </cell>
          <cell r="F2133" t="str">
            <v>台</v>
          </cell>
          <cell r="G2133"/>
          <cell r="H2133">
            <v>6450</v>
          </cell>
          <cell r="I2133"/>
          <cell r="J2133">
            <v>6450</v>
          </cell>
          <cell r="K2133"/>
          <cell r="L2133">
            <v>6450</v>
          </cell>
          <cell r="M2133"/>
          <cell r="N2133">
            <v>6450</v>
          </cell>
          <cell r="O2133"/>
          <cell r="P2133">
            <v>6450</v>
          </cell>
          <cell r="Q2133"/>
          <cell r="R2133">
            <v>6450</v>
          </cell>
          <cell r="S2133"/>
          <cell r="T2133">
            <v>6450</v>
          </cell>
          <cell r="U2133"/>
          <cell r="V2133">
            <v>6450</v>
          </cell>
          <cell r="W2133"/>
          <cell r="X2133">
            <v>6450</v>
          </cell>
          <cell r="Y2133"/>
          <cell r="Z2133">
            <v>6450</v>
          </cell>
          <cell r="AA2133"/>
          <cell r="AB2133"/>
          <cell r="AC2133"/>
          <cell r="AD2133">
            <v>0.20899999999999999</v>
          </cell>
          <cell r="AE2133"/>
          <cell r="AF2133"/>
          <cell r="AG2133">
            <v>1800</v>
          </cell>
          <cell r="AH2133">
            <v>24</v>
          </cell>
          <cell r="AI2133">
            <v>0.98</v>
          </cell>
          <cell r="AJ2133">
            <v>1</v>
          </cell>
          <cell r="AK2133">
            <v>24.48</v>
          </cell>
          <cell r="AL2133"/>
        </row>
        <row r="2134">
          <cell r="E2134" t="str">
            <v>d21-241PX</v>
          </cell>
          <cell r="F2134" t="str">
            <v>台</v>
          </cell>
          <cell r="G2134"/>
          <cell r="H2134">
            <v>9310</v>
          </cell>
          <cell r="I2134"/>
          <cell r="J2134">
            <v>9310</v>
          </cell>
          <cell r="K2134"/>
          <cell r="L2134">
            <v>9310</v>
          </cell>
          <cell r="M2134"/>
          <cell r="N2134">
            <v>9310</v>
          </cell>
          <cell r="O2134"/>
          <cell r="P2134">
            <v>9310</v>
          </cell>
          <cell r="Q2134"/>
          <cell r="R2134">
            <v>9310</v>
          </cell>
          <cell r="S2134"/>
          <cell r="T2134">
            <v>9310</v>
          </cell>
          <cell r="U2134"/>
          <cell r="V2134">
            <v>9310</v>
          </cell>
          <cell r="W2134"/>
          <cell r="X2134">
            <v>9310</v>
          </cell>
          <cell r="Y2134"/>
          <cell r="Z2134">
            <v>9310</v>
          </cell>
          <cell r="AA2134"/>
          <cell r="AB2134"/>
          <cell r="AC2134"/>
          <cell r="AD2134">
            <v>0.20899999999999999</v>
          </cell>
          <cell r="AE2134"/>
          <cell r="AF2134"/>
          <cell r="AG2134">
            <v>1800</v>
          </cell>
          <cell r="AH2134">
            <v>24</v>
          </cell>
          <cell r="AI2134">
            <v>0.98</v>
          </cell>
          <cell r="AJ2134">
            <v>1</v>
          </cell>
          <cell r="AK2134">
            <v>24.48</v>
          </cell>
          <cell r="AL2134"/>
        </row>
        <row r="2135">
          <cell r="E2135" t="str">
            <v>d21-321PN</v>
          </cell>
          <cell r="F2135" t="str">
            <v>台</v>
          </cell>
          <cell r="G2135"/>
          <cell r="H2135">
            <v>6620</v>
          </cell>
          <cell r="I2135"/>
          <cell r="J2135">
            <v>6620</v>
          </cell>
          <cell r="K2135"/>
          <cell r="L2135">
            <v>6620</v>
          </cell>
          <cell r="M2135"/>
          <cell r="N2135">
            <v>6620</v>
          </cell>
          <cell r="O2135"/>
          <cell r="P2135">
            <v>6620</v>
          </cell>
          <cell r="Q2135"/>
          <cell r="R2135">
            <v>6620</v>
          </cell>
          <cell r="S2135"/>
          <cell r="T2135">
            <v>6620</v>
          </cell>
          <cell r="U2135"/>
          <cell r="V2135">
            <v>6620</v>
          </cell>
          <cell r="W2135"/>
          <cell r="X2135">
            <v>6620</v>
          </cell>
          <cell r="Y2135"/>
          <cell r="Z2135">
            <v>6620</v>
          </cell>
          <cell r="AA2135"/>
          <cell r="AB2135"/>
          <cell r="AC2135"/>
          <cell r="AD2135">
            <v>0.20899999999999999</v>
          </cell>
          <cell r="AE2135"/>
          <cell r="AF2135"/>
          <cell r="AG2135">
            <v>2400</v>
          </cell>
          <cell r="AH2135">
            <v>32</v>
          </cell>
          <cell r="AI2135">
            <v>0.98</v>
          </cell>
          <cell r="AJ2135">
            <v>1</v>
          </cell>
          <cell r="AK2135">
            <v>32.65</v>
          </cell>
          <cell r="AL2135"/>
        </row>
        <row r="2136">
          <cell r="E2136" t="str">
            <v>d21-321PX</v>
          </cell>
          <cell r="F2136" t="str">
            <v>台</v>
          </cell>
          <cell r="G2136"/>
          <cell r="H2136">
            <v>9680</v>
          </cell>
          <cell r="I2136"/>
          <cell r="J2136">
            <v>9680</v>
          </cell>
          <cell r="K2136"/>
          <cell r="L2136">
            <v>9680</v>
          </cell>
          <cell r="M2136"/>
          <cell r="N2136">
            <v>9680</v>
          </cell>
          <cell r="O2136"/>
          <cell r="P2136">
            <v>9680</v>
          </cell>
          <cell r="Q2136"/>
          <cell r="R2136">
            <v>9680</v>
          </cell>
          <cell r="S2136"/>
          <cell r="T2136">
            <v>9680</v>
          </cell>
          <cell r="U2136"/>
          <cell r="V2136">
            <v>9680</v>
          </cell>
          <cell r="W2136"/>
          <cell r="X2136">
            <v>9680</v>
          </cell>
          <cell r="Y2136"/>
          <cell r="Z2136">
            <v>9680</v>
          </cell>
          <cell r="AA2136"/>
          <cell r="AB2136"/>
          <cell r="AC2136"/>
          <cell r="AD2136">
            <v>0.20899999999999999</v>
          </cell>
          <cell r="AE2136"/>
          <cell r="AF2136"/>
          <cell r="AG2136">
            <v>2400</v>
          </cell>
          <cell r="AH2136">
            <v>32</v>
          </cell>
          <cell r="AI2136">
            <v>0.98</v>
          </cell>
          <cell r="AJ2136">
            <v>1</v>
          </cell>
          <cell r="AK2136">
            <v>32.65</v>
          </cell>
          <cell r="AL2136"/>
        </row>
        <row r="2137">
          <cell r="E2137" t="str">
            <v>d21-421PN</v>
          </cell>
          <cell r="F2137" t="str">
            <v>台</v>
          </cell>
          <cell r="G2137"/>
          <cell r="H2137">
            <v>7400</v>
          </cell>
          <cell r="I2137"/>
          <cell r="J2137">
            <v>7400</v>
          </cell>
          <cell r="K2137"/>
          <cell r="L2137">
            <v>7400</v>
          </cell>
          <cell r="M2137"/>
          <cell r="N2137">
            <v>7400</v>
          </cell>
          <cell r="O2137"/>
          <cell r="P2137">
            <v>7400</v>
          </cell>
          <cell r="Q2137"/>
          <cell r="R2137">
            <v>7400</v>
          </cell>
          <cell r="S2137"/>
          <cell r="T2137">
            <v>7400</v>
          </cell>
          <cell r="U2137"/>
          <cell r="V2137">
            <v>7400</v>
          </cell>
          <cell r="W2137"/>
          <cell r="X2137">
            <v>7400</v>
          </cell>
          <cell r="Y2137"/>
          <cell r="Z2137">
            <v>7400</v>
          </cell>
          <cell r="AA2137"/>
          <cell r="AB2137"/>
          <cell r="AC2137"/>
          <cell r="AD2137">
            <v>0.20899999999999999</v>
          </cell>
          <cell r="AE2137"/>
          <cell r="AF2137"/>
          <cell r="AG2137">
            <v>3200</v>
          </cell>
          <cell r="AH2137">
            <v>42</v>
          </cell>
          <cell r="AI2137">
            <v>0.98</v>
          </cell>
          <cell r="AJ2137">
            <v>1</v>
          </cell>
          <cell r="AK2137">
            <v>42.85</v>
          </cell>
          <cell r="AL2137"/>
        </row>
        <row r="2138">
          <cell r="E2138" t="str">
            <v>d21-421PN</v>
          </cell>
          <cell r="F2138" t="str">
            <v>台</v>
          </cell>
          <cell r="G2138"/>
          <cell r="H2138">
            <v>10400</v>
          </cell>
          <cell r="I2138"/>
          <cell r="J2138">
            <v>10400</v>
          </cell>
          <cell r="K2138"/>
          <cell r="L2138">
            <v>10400</v>
          </cell>
          <cell r="M2138"/>
          <cell r="N2138">
            <v>10400</v>
          </cell>
          <cell r="O2138"/>
          <cell r="P2138">
            <v>10400</v>
          </cell>
          <cell r="Q2138"/>
          <cell r="R2138">
            <v>10400</v>
          </cell>
          <cell r="S2138"/>
          <cell r="T2138">
            <v>10400</v>
          </cell>
          <cell r="U2138"/>
          <cell r="V2138">
            <v>10400</v>
          </cell>
          <cell r="W2138"/>
          <cell r="X2138">
            <v>10400</v>
          </cell>
          <cell r="Y2138"/>
          <cell r="Z2138">
            <v>10400</v>
          </cell>
          <cell r="AA2138"/>
          <cell r="AB2138"/>
          <cell r="AC2138"/>
          <cell r="AD2138">
            <v>0.20899999999999999</v>
          </cell>
          <cell r="AE2138"/>
          <cell r="AF2138"/>
          <cell r="AG2138">
            <v>6400</v>
          </cell>
          <cell r="AH2138">
            <v>84</v>
          </cell>
          <cell r="AI2138">
            <v>0.98</v>
          </cell>
          <cell r="AJ2138">
            <v>1</v>
          </cell>
          <cell r="AK2138">
            <v>85.71</v>
          </cell>
          <cell r="AL2138"/>
        </row>
        <row r="2139">
          <cell r="E2139" t="str">
            <v>d21-422PX</v>
          </cell>
          <cell r="F2139" t="str">
            <v>台</v>
          </cell>
          <cell r="G2139"/>
          <cell r="H2139">
            <v>13100</v>
          </cell>
          <cell r="I2139"/>
          <cell r="J2139">
            <v>13100</v>
          </cell>
          <cell r="K2139"/>
          <cell r="L2139">
            <v>13100</v>
          </cell>
          <cell r="M2139"/>
          <cell r="N2139">
            <v>13100</v>
          </cell>
          <cell r="O2139"/>
          <cell r="P2139">
            <v>13100</v>
          </cell>
          <cell r="Q2139"/>
          <cell r="R2139">
            <v>13100</v>
          </cell>
          <cell r="S2139"/>
          <cell r="T2139">
            <v>13100</v>
          </cell>
          <cell r="U2139"/>
          <cell r="V2139">
            <v>13100</v>
          </cell>
          <cell r="W2139"/>
          <cell r="X2139">
            <v>13100</v>
          </cell>
          <cell r="Y2139"/>
          <cell r="Z2139">
            <v>13100</v>
          </cell>
          <cell r="AA2139"/>
          <cell r="AB2139"/>
          <cell r="AC2139"/>
          <cell r="AD2139">
            <v>0.20899999999999999</v>
          </cell>
          <cell r="AE2139"/>
          <cell r="AF2139"/>
          <cell r="AG2139">
            <v>6400</v>
          </cell>
          <cell r="AH2139">
            <v>84</v>
          </cell>
          <cell r="AI2139">
            <v>0.98</v>
          </cell>
          <cell r="AJ2139">
            <v>1</v>
          </cell>
          <cell r="AK2139">
            <v>85.71</v>
          </cell>
          <cell r="AL2139"/>
        </row>
        <row r="2140">
          <cell r="E2140" t="str">
            <v>d21-423PN</v>
          </cell>
          <cell r="F2140" t="str">
            <v>台</v>
          </cell>
          <cell r="G2140"/>
          <cell r="H2140">
            <v>15700</v>
          </cell>
          <cell r="I2140"/>
          <cell r="J2140">
            <v>15700</v>
          </cell>
          <cell r="K2140"/>
          <cell r="L2140">
            <v>15700</v>
          </cell>
          <cell r="M2140"/>
          <cell r="N2140">
            <v>15700</v>
          </cell>
          <cell r="O2140"/>
          <cell r="P2140">
            <v>15700</v>
          </cell>
          <cell r="Q2140"/>
          <cell r="R2140">
            <v>15700</v>
          </cell>
          <cell r="S2140"/>
          <cell r="T2140">
            <v>15700</v>
          </cell>
          <cell r="U2140"/>
          <cell r="V2140">
            <v>15700</v>
          </cell>
          <cell r="W2140"/>
          <cell r="X2140">
            <v>15700</v>
          </cell>
          <cell r="Y2140"/>
          <cell r="Z2140">
            <v>15700</v>
          </cell>
          <cell r="AA2140"/>
          <cell r="AB2140"/>
          <cell r="AC2140"/>
          <cell r="AD2140">
            <v>0.20899999999999999</v>
          </cell>
          <cell r="AE2140"/>
          <cell r="AF2140"/>
          <cell r="AG2140">
            <v>9600</v>
          </cell>
          <cell r="AH2140">
            <v>126</v>
          </cell>
          <cell r="AI2140">
            <v>0.98</v>
          </cell>
          <cell r="AJ2140">
            <v>1</v>
          </cell>
          <cell r="AK2140">
            <v>128.57</v>
          </cell>
          <cell r="AL2140"/>
        </row>
        <row r="2141">
          <cell r="E2141" t="str">
            <v>d21-424PN</v>
          </cell>
          <cell r="F2141" t="str">
            <v>台</v>
          </cell>
          <cell r="G2141"/>
          <cell r="H2141">
            <v>21100</v>
          </cell>
          <cell r="I2141"/>
          <cell r="J2141">
            <v>21100</v>
          </cell>
          <cell r="K2141"/>
          <cell r="L2141">
            <v>21100</v>
          </cell>
          <cell r="M2141"/>
          <cell r="N2141">
            <v>21100</v>
          </cell>
          <cell r="O2141"/>
          <cell r="P2141">
            <v>21100</v>
          </cell>
          <cell r="Q2141"/>
          <cell r="R2141">
            <v>21100</v>
          </cell>
          <cell r="S2141"/>
          <cell r="T2141">
            <v>21100</v>
          </cell>
          <cell r="U2141"/>
          <cell r="V2141">
            <v>21100</v>
          </cell>
          <cell r="W2141"/>
          <cell r="X2141">
            <v>21100</v>
          </cell>
          <cell r="Y2141"/>
          <cell r="Z2141">
            <v>21100</v>
          </cell>
          <cell r="AA2141"/>
          <cell r="AB2141"/>
          <cell r="AC2141"/>
          <cell r="AD2141">
            <v>0.20899999999999999</v>
          </cell>
          <cell r="AE2141"/>
          <cell r="AF2141"/>
          <cell r="AG2141">
            <v>12800</v>
          </cell>
          <cell r="AH2141">
            <v>168</v>
          </cell>
          <cell r="AI2141">
            <v>0.98</v>
          </cell>
          <cell r="AJ2141">
            <v>1</v>
          </cell>
          <cell r="AK2141">
            <v>171.42</v>
          </cell>
          <cell r="AL2141"/>
        </row>
        <row r="2142">
          <cell r="E2142" t="str">
            <v>d22-241PN</v>
          </cell>
          <cell r="F2142" t="str">
            <v>台</v>
          </cell>
          <cell r="G2142"/>
          <cell r="H2142">
            <v>27300</v>
          </cell>
          <cell r="I2142"/>
          <cell r="J2142">
            <v>27300</v>
          </cell>
          <cell r="K2142"/>
          <cell r="L2142">
            <v>27300</v>
          </cell>
          <cell r="M2142"/>
          <cell r="N2142">
            <v>27300</v>
          </cell>
          <cell r="O2142"/>
          <cell r="P2142">
            <v>27300</v>
          </cell>
          <cell r="Q2142"/>
          <cell r="R2142">
            <v>27300</v>
          </cell>
          <cell r="S2142"/>
          <cell r="T2142">
            <v>27300</v>
          </cell>
          <cell r="U2142"/>
          <cell r="V2142">
            <v>27300</v>
          </cell>
          <cell r="W2142"/>
          <cell r="X2142">
            <v>27300</v>
          </cell>
          <cell r="Y2142"/>
          <cell r="Z2142">
            <v>27300</v>
          </cell>
          <cell r="AA2142"/>
          <cell r="AB2142"/>
          <cell r="AC2142"/>
          <cell r="AD2142">
            <v>0.20899999999999999</v>
          </cell>
          <cell r="AE2142"/>
          <cell r="AF2142"/>
          <cell r="AG2142">
            <v>1800</v>
          </cell>
          <cell r="AH2142">
            <v>24</v>
          </cell>
          <cell r="AI2142">
            <v>0.98</v>
          </cell>
          <cell r="AJ2142">
            <v>1</v>
          </cell>
          <cell r="AK2142">
            <v>24.48</v>
          </cell>
          <cell r="AL2142"/>
        </row>
        <row r="2143">
          <cell r="E2143" t="str">
            <v>d22-321PN</v>
          </cell>
          <cell r="F2143" t="str">
            <v>台</v>
          </cell>
          <cell r="G2143"/>
          <cell r="H2143">
            <v>7440</v>
          </cell>
          <cell r="I2143"/>
          <cell r="J2143">
            <v>7440</v>
          </cell>
          <cell r="K2143"/>
          <cell r="L2143">
            <v>7440</v>
          </cell>
          <cell r="M2143"/>
          <cell r="N2143">
            <v>7440</v>
          </cell>
          <cell r="O2143"/>
          <cell r="P2143">
            <v>7440</v>
          </cell>
          <cell r="Q2143"/>
          <cell r="R2143">
            <v>7440</v>
          </cell>
          <cell r="S2143"/>
          <cell r="T2143">
            <v>7440</v>
          </cell>
          <cell r="U2143"/>
          <cell r="V2143">
            <v>7440</v>
          </cell>
          <cell r="W2143"/>
          <cell r="X2143">
            <v>7440</v>
          </cell>
          <cell r="Y2143"/>
          <cell r="Z2143">
            <v>7440</v>
          </cell>
          <cell r="AA2143"/>
          <cell r="AB2143"/>
          <cell r="AC2143"/>
          <cell r="AD2143">
            <v>0.20899999999999999</v>
          </cell>
          <cell r="AE2143"/>
          <cell r="AF2143"/>
          <cell r="AG2143">
            <v>2400</v>
          </cell>
          <cell r="AH2143">
            <v>32</v>
          </cell>
          <cell r="AI2143">
            <v>0.98</v>
          </cell>
          <cell r="AJ2143">
            <v>1</v>
          </cell>
          <cell r="AK2143">
            <v>32.65</v>
          </cell>
          <cell r="AL2143"/>
        </row>
        <row r="2144">
          <cell r="E2144" t="str">
            <v>d22-421PN</v>
          </cell>
          <cell r="F2144" t="str">
            <v>台</v>
          </cell>
          <cell r="G2144"/>
          <cell r="H2144">
            <v>7610</v>
          </cell>
          <cell r="I2144"/>
          <cell r="J2144">
            <v>7610</v>
          </cell>
          <cell r="K2144"/>
          <cell r="L2144">
            <v>7610</v>
          </cell>
          <cell r="M2144"/>
          <cell r="N2144">
            <v>7610</v>
          </cell>
          <cell r="O2144"/>
          <cell r="P2144">
            <v>7610</v>
          </cell>
          <cell r="Q2144"/>
          <cell r="R2144">
            <v>7610</v>
          </cell>
          <cell r="S2144"/>
          <cell r="T2144">
            <v>7610</v>
          </cell>
          <cell r="U2144"/>
          <cell r="V2144">
            <v>7610</v>
          </cell>
          <cell r="W2144"/>
          <cell r="X2144">
            <v>7610</v>
          </cell>
          <cell r="Y2144"/>
          <cell r="Z2144">
            <v>7610</v>
          </cell>
          <cell r="AA2144"/>
          <cell r="AB2144"/>
          <cell r="AC2144"/>
          <cell r="AD2144">
            <v>0.20899999999999999</v>
          </cell>
          <cell r="AE2144"/>
          <cell r="AF2144"/>
          <cell r="AG2144">
            <v>3200</v>
          </cell>
          <cell r="AH2144">
            <v>42</v>
          </cell>
          <cell r="AI2144">
            <v>0.98</v>
          </cell>
          <cell r="AJ2144">
            <v>1</v>
          </cell>
          <cell r="AK2144">
            <v>42.85</v>
          </cell>
          <cell r="AL2144"/>
        </row>
        <row r="2145">
          <cell r="E2145" t="str">
            <v>d23-241PN</v>
          </cell>
          <cell r="F2145" t="str">
            <v>台</v>
          </cell>
          <cell r="G2145"/>
          <cell r="H2145">
            <v>7740</v>
          </cell>
          <cell r="I2145"/>
          <cell r="J2145">
            <v>7740</v>
          </cell>
          <cell r="K2145"/>
          <cell r="L2145">
            <v>7740</v>
          </cell>
          <cell r="M2145"/>
          <cell r="N2145">
            <v>7740</v>
          </cell>
          <cell r="O2145"/>
          <cell r="P2145">
            <v>7740</v>
          </cell>
          <cell r="Q2145"/>
          <cell r="R2145">
            <v>7740</v>
          </cell>
          <cell r="S2145"/>
          <cell r="T2145">
            <v>7740</v>
          </cell>
          <cell r="U2145"/>
          <cell r="V2145">
            <v>7740</v>
          </cell>
          <cell r="W2145"/>
          <cell r="X2145">
            <v>7740</v>
          </cell>
          <cell r="Y2145"/>
          <cell r="Z2145">
            <v>7740</v>
          </cell>
          <cell r="AA2145"/>
          <cell r="AB2145"/>
          <cell r="AC2145"/>
          <cell r="AD2145">
            <v>0.20899999999999999</v>
          </cell>
          <cell r="AE2145"/>
          <cell r="AF2145"/>
          <cell r="AG2145">
            <v>1800</v>
          </cell>
          <cell r="AH2145">
            <v>24</v>
          </cell>
          <cell r="AI2145">
            <v>0.98</v>
          </cell>
          <cell r="AJ2145">
            <v>1</v>
          </cell>
          <cell r="AK2145">
            <v>24.48</v>
          </cell>
          <cell r="AL2145"/>
        </row>
        <row r="2146">
          <cell r="E2146" t="str">
            <v>d23-241PX</v>
          </cell>
          <cell r="F2146" t="str">
            <v>台</v>
          </cell>
          <cell r="G2146"/>
          <cell r="H2146">
            <v>6790</v>
          </cell>
          <cell r="I2146"/>
          <cell r="J2146">
            <v>6790</v>
          </cell>
          <cell r="K2146"/>
          <cell r="L2146">
            <v>6790</v>
          </cell>
          <cell r="M2146"/>
          <cell r="N2146">
            <v>6790</v>
          </cell>
          <cell r="O2146"/>
          <cell r="P2146">
            <v>6790</v>
          </cell>
          <cell r="Q2146"/>
          <cell r="R2146">
            <v>6790</v>
          </cell>
          <cell r="S2146"/>
          <cell r="T2146">
            <v>6790</v>
          </cell>
          <cell r="U2146"/>
          <cell r="V2146">
            <v>6790</v>
          </cell>
          <cell r="W2146"/>
          <cell r="X2146">
            <v>6790</v>
          </cell>
          <cell r="Y2146"/>
          <cell r="Z2146">
            <v>6790</v>
          </cell>
          <cell r="AA2146"/>
          <cell r="AB2146"/>
          <cell r="AC2146"/>
          <cell r="AD2146">
            <v>0.20899999999999999</v>
          </cell>
          <cell r="AE2146"/>
          <cell r="AF2146"/>
          <cell r="AG2146">
            <v>1800</v>
          </cell>
          <cell r="AH2146">
            <v>24</v>
          </cell>
          <cell r="AI2146">
            <v>0.98</v>
          </cell>
          <cell r="AJ2146">
            <v>1</v>
          </cell>
          <cell r="AK2146">
            <v>24.48</v>
          </cell>
          <cell r="AL2146"/>
        </row>
        <row r="2147">
          <cell r="E2147" t="str">
            <v>d23-321PN</v>
          </cell>
          <cell r="F2147" t="str">
            <v>台</v>
          </cell>
          <cell r="G2147"/>
          <cell r="H2147">
            <v>9580</v>
          </cell>
          <cell r="I2147"/>
          <cell r="J2147">
            <v>9580</v>
          </cell>
          <cell r="K2147"/>
          <cell r="L2147">
            <v>9580</v>
          </cell>
          <cell r="M2147"/>
          <cell r="N2147">
            <v>9580</v>
          </cell>
          <cell r="O2147"/>
          <cell r="P2147">
            <v>9580</v>
          </cell>
          <cell r="Q2147"/>
          <cell r="R2147">
            <v>9580</v>
          </cell>
          <cell r="S2147"/>
          <cell r="T2147">
            <v>9580</v>
          </cell>
          <cell r="U2147"/>
          <cell r="V2147">
            <v>9580</v>
          </cell>
          <cell r="W2147"/>
          <cell r="X2147">
            <v>9580</v>
          </cell>
          <cell r="Y2147"/>
          <cell r="Z2147">
            <v>9580</v>
          </cell>
          <cell r="AA2147"/>
          <cell r="AB2147"/>
          <cell r="AC2147"/>
          <cell r="AD2147">
            <v>0.20899999999999999</v>
          </cell>
          <cell r="AE2147"/>
          <cell r="AF2147"/>
          <cell r="AG2147">
            <v>2400</v>
          </cell>
          <cell r="AH2147">
            <v>32</v>
          </cell>
          <cell r="AI2147">
            <v>0.98</v>
          </cell>
          <cell r="AJ2147">
            <v>1</v>
          </cell>
          <cell r="AK2147">
            <v>32.65</v>
          </cell>
          <cell r="AL2147"/>
        </row>
        <row r="2148">
          <cell r="E2148" t="str">
            <v>d23-321PX</v>
          </cell>
          <cell r="F2148" t="str">
            <v>台</v>
          </cell>
          <cell r="G2148"/>
          <cell r="H2148">
            <v>6900</v>
          </cell>
          <cell r="I2148"/>
          <cell r="J2148">
            <v>6900</v>
          </cell>
          <cell r="K2148"/>
          <cell r="L2148">
            <v>6900</v>
          </cell>
          <cell r="M2148"/>
          <cell r="N2148">
            <v>6900</v>
          </cell>
          <cell r="O2148"/>
          <cell r="P2148">
            <v>6900</v>
          </cell>
          <cell r="Q2148"/>
          <cell r="R2148">
            <v>6900</v>
          </cell>
          <cell r="S2148"/>
          <cell r="T2148">
            <v>6900</v>
          </cell>
          <cell r="U2148"/>
          <cell r="V2148">
            <v>6900</v>
          </cell>
          <cell r="W2148"/>
          <cell r="X2148">
            <v>6900</v>
          </cell>
          <cell r="Y2148"/>
          <cell r="Z2148">
            <v>6900</v>
          </cell>
          <cell r="AA2148"/>
          <cell r="AB2148"/>
          <cell r="AC2148"/>
          <cell r="AD2148">
            <v>0.20899999999999999</v>
          </cell>
          <cell r="AE2148"/>
          <cell r="AF2148"/>
          <cell r="AG2148">
            <v>2400</v>
          </cell>
          <cell r="AH2148">
            <v>32</v>
          </cell>
          <cell r="AI2148">
            <v>0.98</v>
          </cell>
          <cell r="AJ2148">
            <v>1</v>
          </cell>
          <cell r="AK2148">
            <v>32.65</v>
          </cell>
          <cell r="AL2148"/>
        </row>
        <row r="2149">
          <cell r="E2149" t="str">
            <v>d23-421PN</v>
          </cell>
          <cell r="F2149" t="str">
            <v>台</v>
          </cell>
          <cell r="G2149"/>
          <cell r="H2149">
            <v>10020</v>
          </cell>
          <cell r="I2149"/>
          <cell r="J2149">
            <v>10020</v>
          </cell>
          <cell r="K2149"/>
          <cell r="L2149">
            <v>10020</v>
          </cell>
          <cell r="M2149"/>
          <cell r="N2149">
            <v>10020</v>
          </cell>
          <cell r="O2149"/>
          <cell r="P2149">
            <v>10020</v>
          </cell>
          <cell r="Q2149"/>
          <cell r="R2149">
            <v>10020</v>
          </cell>
          <cell r="S2149"/>
          <cell r="T2149">
            <v>10020</v>
          </cell>
          <cell r="U2149"/>
          <cell r="V2149">
            <v>10020</v>
          </cell>
          <cell r="W2149"/>
          <cell r="X2149">
            <v>10020</v>
          </cell>
          <cell r="Y2149"/>
          <cell r="Z2149">
            <v>10020</v>
          </cell>
          <cell r="AA2149"/>
          <cell r="AB2149"/>
          <cell r="AC2149"/>
          <cell r="AD2149">
            <v>0.20899999999999999</v>
          </cell>
          <cell r="AE2149"/>
          <cell r="AF2149"/>
          <cell r="AG2149">
            <v>3200</v>
          </cell>
          <cell r="AH2149">
            <v>42</v>
          </cell>
          <cell r="AI2149">
            <v>0.98</v>
          </cell>
          <cell r="AJ2149">
            <v>1</v>
          </cell>
          <cell r="AK2149">
            <v>42.85</v>
          </cell>
          <cell r="AL2149"/>
        </row>
        <row r="2150">
          <cell r="E2150" t="str">
            <v>d23-422PN</v>
          </cell>
          <cell r="F2150" t="str">
            <v>台</v>
          </cell>
          <cell r="G2150"/>
          <cell r="H2150">
            <v>8390</v>
          </cell>
          <cell r="I2150"/>
          <cell r="J2150">
            <v>8390</v>
          </cell>
          <cell r="K2150"/>
          <cell r="L2150">
            <v>8390</v>
          </cell>
          <cell r="M2150"/>
          <cell r="N2150">
            <v>8390</v>
          </cell>
          <cell r="O2150"/>
          <cell r="P2150">
            <v>8390</v>
          </cell>
          <cell r="Q2150"/>
          <cell r="R2150">
            <v>8390</v>
          </cell>
          <cell r="S2150"/>
          <cell r="T2150">
            <v>8390</v>
          </cell>
          <cell r="U2150"/>
          <cell r="V2150">
            <v>8390</v>
          </cell>
          <cell r="W2150"/>
          <cell r="X2150">
            <v>8390</v>
          </cell>
          <cell r="Y2150"/>
          <cell r="Z2150">
            <v>8390</v>
          </cell>
          <cell r="AA2150"/>
          <cell r="AB2150"/>
          <cell r="AC2150"/>
          <cell r="AD2150">
            <v>0.20899999999999999</v>
          </cell>
          <cell r="AE2150"/>
          <cell r="AF2150"/>
          <cell r="AG2150">
            <v>6400</v>
          </cell>
          <cell r="AH2150">
            <v>84</v>
          </cell>
          <cell r="AI2150">
            <v>0.98</v>
          </cell>
          <cell r="AJ2150">
            <v>1</v>
          </cell>
          <cell r="AK2150">
            <v>85.71</v>
          </cell>
          <cell r="AL2150"/>
        </row>
        <row r="2151">
          <cell r="E2151" t="str">
            <v>■Ｈｆ黒板灯埋込形</v>
          </cell>
          <cell r="F2151"/>
          <cell r="G2151"/>
          <cell r="H2151"/>
          <cell r="I2151"/>
          <cell r="J2151"/>
          <cell r="K2151"/>
          <cell r="L2151"/>
          <cell r="M2151"/>
          <cell r="N2151"/>
          <cell r="O2151"/>
          <cell r="P2151"/>
          <cell r="Q2151"/>
          <cell r="R2151"/>
          <cell r="S2151"/>
          <cell r="T2151"/>
          <cell r="U2151"/>
          <cell r="V2151"/>
          <cell r="W2151"/>
          <cell r="X2151"/>
          <cell r="Y2151"/>
          <cell r="Z2151"/>
          <cell r="AA2151"/>
          <cell r="AB2151"/>
          <cell r="AC2151"/>
          <cell r="AD2151"/>
          <cell r="AE2151"/>
          <cell r="AF2151"/>
          <cell r="AG2151"/>
          <cell r="AH2151"/>
          <cell r="AI2151"/>
          <cell r="AJ2151"/>
          <cell r="AK2151"/>
          <cell r="AL2151"/>
        </row>
        <row r="2152">
          <cell r="E2152" t="str">
            <v>J24-321PH</v>
          </cell>
          <cell r="F2152" t="str">
            <v>台</v>
          </cell>
          <cell r="G2152"/>
          <cell r="H2152">
            <v>14000</v>
          </cell>
          <cell r="I2152"/>
          <cell r="J2152">
            <v>14000</v>
          </cell>
          <cell r="K2152"/>
          <cell r="L2152">
            <v>14000</v>
          </cell>
          <cell r="M2152"/>
          <cell r="N2152">
            <v>14000</v>
          </cell>
          <cell r="O2152"/>
          <cell r="P2152">
            <v>14000</v>
          </cell>
          <cell r="Q2152"/>
          <cell r="R2152">
            <v>14000</v>
          </cell>
          <cell r="S2152"/>
          <cell r="T2152">
            <v>14000</v>
          </cell>
          <cell r="U2152"/>
          <cell r="V2152">
            <v>14000</v>
          </cell>
          <cell r="W2152"/>
          <cell r="X2152">
            <v>14000</v>
          </cell>
          <cell r="Y2152"/>
          <cell r="Z2152">
            <v>14000</v>
          </cell>
          <cell r="AA2152"/>
          <cell r="AB2152"/>
          <cell r="AC2152"/>
          <cell r="AD2152">
            <v>0.313</v>
          </cell>
          <cell r="AE2152"/>
          <cell r="AF2152"/>
          <cell r="AG2152">
            <v>4950</v>
          </cell>
          <cell r="AH2152">
            <v>48</v>
          </cell>
          <cell r="AI2152">
            <v>0.97899999999999998</v>
          </cell>
          <cell r="AJ2152">
            <v>1</v>
          </cell>
          <cell r="AK2152">
            <v>49.02</v>
          </cell>
          <cell r="AL2152"/>
        </row>
        <row r="2153">
          <cell r="E2153" t="str">
            <v>J24-321PK</v>
          </cell>
          <cell r="F2153" t="str">
            <v>台</v>
          </cell>
          <cell r="G2153"/>
          <cell r="H2153">
            <v>16000</v>
          </cell>
          <cell r="I2153"/>
          <cell r="J2153">
            <v>16000</v>
          </cell>
          <cell r="K2153"/>
          <cell r="L2153">
            <v>16000</v>
          </cell>
          <cell r="M2153"/>
          <cell r="N2153">
            <v>16000</v>
          </cell>
          <cell r="O2153"/>
          <cell r="P2153">
            <v>16000</v>
          </cell>
          <cell r="Q2153"/>
          <cell r="R2153">
            <v>16000</v>
          </cell>
          <cell r="S2153"/>
          <cell r="T2153">
            <v>16000</v>
          </cell>
          <cell r="U2153"/>
          <cell r="V2153">
            <v>16000</v>
          </cell>
          <cell r="W2153"/>
          <cell r="X2153">
            <v>16000</v>
          </cell>
          <cell r="Y2153"/>
          <cell r="Z2153">
            <v>16000</v>
          </cell>
          <cell r="AA2153"/>
          <cell r="AB2153"/>
          <cell r="AC2153"/>
          <cell r="AD2153">
            <v>0.313</v>
          </cell>
          <cell r="AE2153"/>
          <cell r="AF2153"/>
          <cell r="AG2153">
            <v>4950</v>
          </cell>
          <cell r="AH2153">
            <v>48</v>
          </cell>
          <cell r="AI2153">
            <v>0.97899999999999998</v>
          </cell>
          <cell r="AJ2153">
            <v>1</v>
          </cell>
          <cell r="AK2153">
            <v>49.02</v>
          </cell>
          <cell r="AL2153"/>
        </row>
        <row r="2154">
          <cell r="E2154" t="str">
            <v>J24A-321PH</v>
          </cell>
          <cell r="F2154" t="str">
            <v>台</v>
          </cell>
          <cell r="G2154"/>
          <cell r="H2154">
            <v>14000</v>
          </cell>
          <cell r="I2154"/>
          <cell r="J2154">
            <v>14000</v>
          </cell>
          <cell r="K2154"/>
          <cell r="L2154">
            <v>14000</v>
          </cell>
          <cell r="M2154"/>
          <cell r="N2154">
            <v>14000</v>
          </cell>
          <cell r="O2154"/>
          <cell r="P2154">
            <v>14000</v>
          </cell>
          <cell r="Q2154"/>
          <cell r="R2154">
            <v>14000</v>
          </cell>
          <cell r="S2154"/>
          <cell r="T2154">
            <v>14000</v>
          </cell>
          <cell r="U2154"/>
          <cell r="V2154">
            <v>14000</v>
          </cell>
          <cell r="W2154"/>
          <cell r="X2154">
            <v>14000</v>
          </cell>
          <cell r="Y2154"/>
          <cell r="Z2154">
            <v>14000</v>
          </cell>
          <cell r="AA2154"/>
          <cell r="AB2154"/>
          <cell r="AC2154"/>
          <cell r="AD2154">
            <v>0.313</v>
          </cell>
          <cell r="AE2154"/>
          <cell r="AF2154"/>
          <cell r="AG2154">
            <v>4950</v>
          </cell>
          <cell r="AH2154">
            <v>48</v>
          </cell>
          <cell r="AI2154">
            <v>0.97899999999999998</v>
          </cell>
          <cell r="AJ2154">
            <v>1</v>
          </cell>
          <cell r="AK2154">
            <v>49.02</v>
          </cell>
          <cell r="AL2154"/>
        </row>
        <row r="2155">
          <cell r="E2155" t="str">
            <v>J24A-321PK</v>
          </cell>
          <cell r="F2155" t="str">
            <v>台</v>
          </cell>
          <cell r="G2155"/>
          <cell r="H2155">
            <v>16000</v>
          </cell>
          <cell r="I2155"/>
          <cell r="J2155">
            <v>16000</v>
          </cell>
          <cell r="K2155"/>
          <cell r="L2155">
            <v>16000</v>
          </cell>
          <cell r="M2155"/>
          <cell r="N2155">
            <v>16000</v>
          </cell>
          <cell r="O2155"/>
          <cell r="P2155">
            <v>16000</v>
          </cell>
          <cell r="Q2155"/>
          <cell r="R2155">
            <v>16000</v>
          </cell>
          <cell r="S2155"/>
          <cell r="T2155">
            <v>16000</v>
          </cell>
          <cell r="U2155"/>
          <cell r="V2155">
            <v>16000</v>
          </cell>
          <cell r="W2155"/>
          <cell r="X2155">
            <v>16000</v>
          </cell>
          <cell r="Y2155"/>
          <cell r="Z2155">
            <v>16000</v>
          </cell>
          <cell r="AA2155"/>
          <cell r="AB2155"/>
          <cell r="AC2155"/>
          <cell r="AD2155">
            <v>0.313</v>
          </cell>
          <cell r="AE2155"/>
          <cell r="AF2155"/>
          <cell r="AG2155">
            <v>4950</v>
          </cell>
          <cell r="AH2155">
            <v>48</v>
          </cell>
          <cell r="AI2155">
            <v>0.97899999999999998</v>
          </cell>
          <cell r="AJ2155">
            <v>1</v>
          </cell>
          <cell r="AK2155">
            <v>49.02</v>
          </cell>
          <cell r="AL2155"/>
        </row>
        <row r="2156">
          <cell r="E2156" t="str">
            <v>■Ｈｆ開放埋込形</v>
          </cell>
          <cell r="F2156"/>
          <cell r="G2156"/>
          <cell r="H2156"/>
          <cell r="I2156"/>
          <cell r="J2156"/>
          <cell r="K2156"/>
          <cell r="L2156"/>
          <cell r="M2156"/>
          <cell r="N2156"/>
          <cell r="O2156"/>
          <cell r="P2156"/>
          <cell r="Q2156"/>
          <cell r="R2156"/>
          <cell r="S2156"/>
          <cell r="T2156"/>
          <cell r="U2156"/>
          <cell r="V2156"/>
          <cell r="W2156"/>
          <cell r="X2156"/>
          <cell r="Y2156"/>
          <cell r="Z2156"/>
          <cell r="AA2156"/>
          <cell r="AB2156"/>
          <cell r="AC2156"/>
          <cell r="AD2156"/>
          <cell r="AE2156"/>
          <cell r="AF2156"/>
          <cell r="AG2156"/>
          <cell r="AH2156"/>
          <cell r="AI2156"/>
          <cell r="AJ2156"/>
          <cell r="AK2156"/>
          <cell r="AL2156"/>
        </row>
        <row r="2157">
          <cell r="E2157" t="str">
            <v>A26-162PH</v>
          </cell>
          <cell r="F2157" t="str">
            <v>台</v>
          </cell>
          <cell r="G2157"/>
          <cell r="H2157">
            <v>8290</v>
          </cell>
          <cell r="I2157"/>
          <cell r="J2157">
            <v>8290</v>
          </cell>
          <cell r="K2157"/>
          <cell r="L2157">
            <v>8290</v>
          </cell>
          <cell r="M2157"/>
          <cell r="N2157">
            <v>8290</v>
          </cell>
          <cell r="O2157"/>
          <cell r="P2157">
            <v>8290</v>
          </cell>
          <cell r="Q2157"/>
          <cell r="R2157">
            <v>8290</v>
          </cell>
          <cell r="S2157"/>
          <cell r="T2157">
            <v>8290</v>
          </cell>
          <cell r="U2157"/>
          <cell r="V2157">
            <v>8290</v>
          </cell>
          <cell r="W2157"/>
          <cell r="X2157">
            <v>8290</v>
          </cell>
          <cell r="Y2157"/>
          <cell r="Z2157">
            <v>8290</v>
          </cell>
          <cell r="AA2157"/>
          <cell r="AB2157"/>
          <cell r="AC2157"/>
          <cell r="AD2157">
            <v>0.252</v>
          </cell>
          <cell r="AE2157"/>
          <cell r="AF2157"/>
          <cell r="AG2157">
            <v>4200</v>
          </cell>
          <cell r="AH2157">
            <v>50</v>
          </cell>
          <cell r="AI2157">
            <v>0.98</v>
          </cell>
          <cell r="AJ2157">
            <v>1</v>
          </cell>
          <cell r="AK2157">
            <v>51.02</v>
          </cell>
          <cell r="AL2157"/>
        </row>
        <row r="2158">
          <cell r="E2158" t="str">
            <v>A26-162PX</v>
          </cell>
          <cell r="F2158" t="str">
            <v>台</v>
          </cell>
          <cell r="G2158"/>
          <cell r="H2158">
            <v>9450</v>
          </cell>
          <cell r="I2158"/>
          <cell r="J2158">
            <v>9450</v>
          </cell>
          <cell r="K2158"/>
          <cell r="L2158">
            <v>9450</v>
          </cell>
          <cell r="M2158"/>
          <cell r="N2158">
            <v>9450</v>
          </cell>
          <cell r="O2158"/>
          <cell r="P2158">
            <v>9450</v>
          </cell>
          <cell r="Q2158"/>
          <cell r="R2158">
            <v>9450</v>
          </cell>
          <cell r="S2158"/>
          <cell r="T2158">
            <v>9450</v>
          </cell>
          <cell r="U2158"/>
          <cell r="V2158">
            <v>9450</v>
          </cell>
          <cell r="W2158"/>
          <cell r="X2158">
            <v>9450</v>
          </cell>
          <cell r="Y2158"/>
          <cell r="Z2158">
            <v>9450</v>
          </cell>
          <cell r="AA2158"/>
          <cell r="AB2158"/>
          <cell r="AC2158"/>
          <cell r="AD2158">
            <v>0.252</v>
          </cell>
          <cell r="AE2158"/>
          <cell r="AF2158"/>
          <cell r="AG2158">
            <v>4200</v>
          </cell>
          <cell r="AH2158">
            <v>50</v>
          </cell>
          <cell r="AI2158">
            <v>0.98</v>
          </cell>
          <cell r="AJ2158">
            <v>1</v>
          </cell>
          <cell r="AK2158">
            <v>51.02</v>
          </cell>
          <cell r="AL2158"/>
        </row>
        <row r="2159">
          <cell r="E2159" t="str">
            <v>A26-322PN</v>
          </cell>
          <cell r="F2159" t="str">
            <v>台</v>
          </cell>
          <cell r="G2159"/>
          <cell r="H2159">
            <v>6930</v>
          </cell>
          <cell r="I2159"/>
          <cell r="J2159">
            <v>6930</v>
          </cell>
          <cell r="K2159"/>
          <cell r="L2159">
            <v>6930</v>
          </cell>
          <cell r="M2159"/>
          <cell r="N2159">
            <v>6930</v>
          </cell>
          <cell r="O2159"/>
          <cell r="P2159">
            <v>6930</v>
          </cell>
          <cell r="Q2159"/>
          <cell r="R2159">
            <v>6930</v>
          </cell>
          <cell r="S2159"/>
          <cell r="T2159">
            <v>6930</v>
          </cell>
          <cell r="U2159"/>
          <cell r="V2159">
            <v>6930</v>
          </cell>
          <cell r="W2159"/>
          <cell r="X2159">
            <v>6930</v>
          </cell>
          <cell r="Y2159"/>
          <cell r="Z2159">
            <v>6930</v>
          </cell>
          <cell r="AA2159"/>
          <cell r="AB2159"/>
          <cell r="AC2159"/>
          <cell r="AD2159">
            <v>0.39100000000000001</v>
          </cell>
          <cell r="AE2159"/>
          <cell r="AF2159"/>
          <cell r="AG2159">
            <v>9900</v>
          </cell>
          <cell r="AH2159">
            <v>96</v>
          </cell>
          <cell r="AI2159">
            <v>0.98899999999999999</v>
          </cell>
          <cell r="AJ2159">
            <v>1</v>
          </cell>
          <cell r="AK2159">
            <v>97.06</v>
          </cell>
          <cell r="AL2159"/>
        </row>
        <row r="2160">
          <cell r="E2160" t="str">
            <v>A26-322PH</v>
          </cell>
          <cell r="F2160" t="str">
            <v>台</v>
          </cell>
          <cell r="G2160"/>
          <cell r="H2160">
            <v>8500</v>
          </cell>
          <cell r="I2160"/>
          <cell r="J2160">
            <v>8500</v>
          </cell>
          <cell r="K2160"/>
          <cell r="L2160">
            <v>8500</v>
          </cell>
          <cell r="M2160"/>
          <cell r="N2160">
            <v>8500</v>
          </cell>
          <cell r="O2160"/>
          <cell r="P2160">
            <v>8500</v>
          </cell>
          <cell r="Q2160"/>
          <cell r="R2160">
            <v>8500</v>
          </cell>
          <cell r="S2160"/>
          <cell r="T2160">
            <v>8500</v>
          </cell>
          <cell r="U2160"/>
          <cell r="V2160">
            <v>8500</v>
          </cell>
          <cell r="W2160"/>
          <cell r="X2160">
            <v>8500</v>
          </cell>
          <cell r="Y2160"/>
          <cell r="Z2160">
            <v>8500</v>
          </cell>
          <cell r="AA2160"/>
          <cell r="AB2160"/>
          <cell r="AC2160"/>
          <cell r="AD2160">
            <v>0.39100000000000001</v>
          </cell>
          <cell r="AE2160"/>
          <cell r="AF2160"/>
          <cell r="AG2160">
            <v>9900</v>
          </cell>
          <cell r="AH2160">
            <v>96</v>
          </cell>
          <cell r="AI2160">
            <v>0.98899999999999999</v>
          </cell>
          <cell r="AJ2160">
            <v>1</v>
          </cell>
          <cell r="AK2160">
            <v>97.06</v>
          </cell>
          <cell r="AL2160"/>
        </row>
        <row r="2161">
          <cell r="E2161" t="str">
            <v>A26-322PX</v>
          </cell>
          <cell r="F2161" t="str">
            <v>台</v>
          </cell>
          <cell r="G2161"/>
          <cell r="H2161">
            <v>9520</v>
          </cell>
          <cell r="I2161"/>
          <cell r="J2161">
            <v>9520</v>
          </cell>
          <cell r="K2161"/>
          <cell r="L2161">
            <v>9520</v>
          </cell>
          <cell r="M2161"/>
          <cell r="N2161">
            <v>9520</v>
          </cell>
          <cell r="O2161"/>
          <cell r="P2161">
            <v>9520</v>
          </cell>
          <cell r="Q2161"/>
          <cell r="R2161">
            <v>9520</v>
          </cell>
          <cell r="S2161"/>
          <cell r="T2161">
            <v>9520</v>
          </cell>
          <cell r="U2161"/>
          <cell r="V2161">
            <v>9520</v>
          </cell>
          <cell r="W2161"/>
          <cell r="X2161">
            <v>9520</v>
          </cell>
          <cell r="Y2161"/>
          <cell r="Z2161">
            <v>9520</v>
          </cell>
          <cell r="AA2161"/>
          <cell r="AB2161"/>
          <cell r="AC2161"/>
          <cell r="AD2161">
            <v>0.39100000000000001</v>
          </cell>
          <cell r="AE2161"/>
          <cell r="AF2161"/>
          <cell r="AG2161">
            <v>9900</v>
          </cell>
          <cell r="AH2161">
            <v>96</v>
          </cell>
          <cell r="AI2161">
            <v>0.98899999999999999</v>
          </cell>
          <cell r="AJ2161">
            <v>1</v>
          </cell>
          <cell r="AK2161">
            <v>97.06</v>
          </cell>
          <cell r="AL2161"/>
        </row>
        <row r="2162">
          <cell r="E2162" t="str">
            <v>A26-322PK</v>
          </cell>
          <cell r="F2162" t="str">
            <v>台</v>
          </cell>
          <cell r="G2162"/>
          <cell r="H2162">
            <v>9520</v>
          </cell>
          <cell r="I2162"/>
          <cell r="J2162">
            <v>9520</v>
          </cell>
          <cell r="K2162"/>
          <cell r="L2162">
            <v>9520</v>
          </cell>
          <cell r="M2162"/>
          <cell r="N2162">
            <v>9520</v>
          </cell>
          <cell r="O2162"/>
          <cell r="P2162">
            <v>9520</v>
          </cell>
          <cell r="Q2162"/>
          <cell r="R2162">
            <v>9520</v>
          </cell>
          <cell r="S2162"/>
          <cell r="T2162">
            <v>9520</v>
          </cell>
          <cell r="U2162"/>
          <cell r="V2162">
            <v>9520</v>
          </cell>
          <cell r="W2162"/>
          <cell r="X2162">
            <v>9520</v>
          </cell>
          <cell r="Y2162"/>
          <cell r="Z2162">
            <v>9520</v>
          </cell>
          <cell r="AA2162"/>
          <cell r="AB2162"/>
          <cell r="AC2162"/>
          <cell r="AD2162">
            <v>0.39100000000000001</v>
          </cell>
          <cell r="AE2162"/>
          <cell r="AF2162"/>
          <cell r="AG2162">
            <v>9900</v>
          </cell>
          <cell r="AH2162">
            <v>96</v>
          </cell>
          <cell r="AI2162">
            <v>0.98899999999999999</v>
          </cell>
          <cell r="AJ2162">
            <v>1</v>
          </cell>
          <cell r="AK2162">
            <v>97.06</v>
          </cell>
          <cell r="AL2162"/>
        </row>
        <row r="2163">
          <cell r="E2163" t="str">
            <v>A27-321PN</v>
          </cell>
          <cell r="F2163" t="str">
            <v>台</v>
          </cell>
          <cell r="G2163"/>
          <cell r="H2163">
            <v>5710</v>
          </cell>
          <cell r="I2163"/>
          <cell r="J2163">
            <v>5710</v>
          </cell>
          <cell r="K2163"/>
          <cell r="L2163">
            <v>5710</v>
          </cell>
          <cell r="M2163"/>
          <cell r="N2163">
            <v>5710</v>
          </cell>
          <cell r="O2163"/>
          <cell r="P2163">
            <v>5710</v>
          </cell>
          <cell r="Q2163"/>
          <cell r="R2163">
            <v>5710</v>
          </cell>
          <cell r="S2163"/>
          <cell r="T2163">
            <v>5710</v>
          </cell>
          <cell r="U2163"/>
          <cell r="V2163">
            <v>5710</v>
          </cell>
          <cell r="W2163"/>
          <cell r="X2163">
            <v>5710</v>
          </cell>
          <cell r="Y2163"/>
          <cell r="Z2163">
            <v>5710</v>
          </cell>
          <cell r="AA2163"/>
          <cell r="AB2163"/>
          <cell r="AC2163"/>
          <cell r="AD2163">
            <v>0.313</v>
          </cell>
          <cell r="AE2163"/>
          <cell r="AF2163"/>
          <cell r="AG2163">
            <v>4950</v>
          </cell>
          <cell r="AH2163">
            <v>48</v>
          </cell>
          <cell r="AI2163">
            <v>0.97899999999999998</v>
          </cell>
          <cell r="AJ2163">
            <v>1</v>
          </cell>
          <cell r="AK2163">
            <v>49.02</v>
          </cell>
          <cell r="AL2163"/>
        </row>
        <row r="2164">
          <cell r="E2164" t="str">
            <v>A27-321PH</v>
          </cell>
          <cell r="F2164" t="str">
            <v>台</v>
          </cell>
          <cell r="G2164"/>
          <cell r="H2164">
            <v>7750</v>
          </cell>
          <cell r="I2164"/>
          <cell r="J2164">
            <v>7750</v>
          </cell>
          <cell r="K2164"/>
          <cell r="L2164">
            <v>7750</v>
          </cell>
          <cell r="M2164"/>
          <cell r="N2164">
            <v>7750</v>
          </cell>
          <cell r="O2164"/>
          <cell r="P2164">
            <v>7750</v>
          </cell>
          <cell r="Q2164"/>
          <cell r="R2164">
            <v>7750</v>
          </cell>
          <cell r="S2164"/>
          <cell r="T2164">
            <v>7750</v>
          </cell>
          <cell r="U2164"/>
          <cell r="V2164">
            <v>7750</v>
          </cell>
          <cell r="W2164"/>
          <cell r="X2164">
            <v>7750</v>
          </cell>
          <cell r="Y2164"/>
          <cell r="Z2164">
            <v>7750</v>
          </cell>
          <cell r="AA2164"/>
          <cell r="AB2164"/>
          <cell r="AC2164"/>
          <cell r="AD2164">
            <v>0.313</v>
          </cell>
          <cell r="AE2164"/>
          <cell r="AF2164"/>
          <cell r="AG2164">
            <v>4950</v>
          </cell>
          <cell r="AH2164">
            <v>48</v>
          </cell>
          <cell r="AI2164">
            <v>0.97899999999999998</v>
          </cell>
          <cell r="AJ2164">
            <v>1</v>
          </cell>
          <cell r="AK2164">
            <v>49.02</v>
          </cell>
          <cell r="AL2164"/>
        </row>
        <row r="2165">
          <cell r="E2165" t="str">
            <v>A27-321PX</v>
          </cell>
          <cell r="F2165" t="str">
            <v>台</v>
          </cell>
          <cell r="G2165"/>
          <cell r="H2165">
            <v>8940</v>
          </cell>
          <cell r="I2165"/>
          <cell r="J2165">
            <v>8940</v>
          </cell>
          <cell r="K2165"/>
          <cell r="L2165">
            <v>8940</v>
          </cell>
          <cell r="M2165"/>
          <cell r="N2165">
            <v>8940</v>
          </cell>
          <cell r="O2165"/>
          <cell r="P2165">
            <v>8940</v>
          </cell>
          <cell r="Q2165"/>
          <cell r="R2165">
            <v>8940</v>
          </cell>
          <cell r="S2165"/>
          <cell r="T2165">
            <v>8940</v>
          </cell>
          <cell r="U2165"/>
          <cell r="V2165">
            <v>8940</v>
          </cell>
          <cell r="W2165"/>
          <cell r="X2165">
            <v>8940</v>
          </cell>
          <cell r="Y2165"/>
          <cell r="Z2165">
            <v>8940</v>
          </cell>
          <cell r="AA2165"/>
          <cell r="AB2165"/>
          <cell r="AC2165"/>
          <cell r="AD2165">
            <v>0.313</v>
          </cell>
          <cell r="AE2165"/>
          <cell r="AF2165"/>
          <cell r="AG2165">
            <v>4950</v>
          </cell>
          <cell r="AH2165">
            <v>48</v>
          </cell>
          <cell r="AI2165">
            <v>0.97899999999999998</v>
          </cell>
          <cell r="AJ2165">
            <v>1</v>
          </cell>
          <cell r="AK2165">
            <v>49.02</v>
          </cell>
          <cell r="AL2165"/>
        </row>
        <row r="2166">
          <cell r="E2166" t="str">
            <v>A27-321PK</v>
          </cell>
          <cell r="F2166" t="str">
            <v>台</v>
          </cell>
          <cell r="G2166"/>
          <cell r="H2166">
            <v>8940</v>
          </cell>
          <cell r="I2166"/>
          <cell r="J2166">
            <v>8940</v>
          </cell>
          <cell r="K2166"/>
          <cell r="L2166">
            <v>8940</v>
          </cell>
          <cell r="M2166"/>
          <cell r="N2166">
            <v>8940</v>
          </cell>
          <cell r="O2166"/>
          <cell r="P2166">
            <v>8940</v>
          </cell>
          <cell r="Q2166"/>
          <cell r="R2166">
            <v>8940</v>
          </cell>
          <cell r="S2166"/>
          <cell r="T2166">
            <v>8940</v>
          </cell>
          <cell r="U2166"/>
          <cell r="V2166">
            <v>8940</v>
          </cell>
          <cell r="W2166"/>
          <cell r="X2166">
            <v>8940</v>
          </cell>
          <cell r="Y2166"/>
          <cell r="Z2166">
            <v>8940</v>
          </cell>
          <cell r="AA2166"/>
          <cell r="AB2166"/>
          <cell r="AC2166"/>
          <cell r="AD2166">
            <v>0.313</v>
          </cell>
          <cell r="AE2166"/>
          <cell r="AF2166"/>
          <cell r="AG2166">
            <v>4950</v>
          </cell>
          <cell r="AH2166">
            <v>48</v>
          </cell>
          <cell r="AI2166">
            <v>0.97899999999999998</v>
          </cell>
          <cell r="AJ2166">
            <v>1</v>
          </cell>
          <cell r="AK2166">
            <v>49.02</v>
          </cell>
          <cell r="AL2166"/>
        </row>
        <row r="2167">
          <cell r="E2167" t="str">
            <v>A27-322PN</v>
          </cell>
          <cell r="F2167" t="str">
            <v>台</v>
          </cell>
          <cell r="G2167"/>
          <cell r="H2167">
            <v>8120</v>
          </cell>
          <cell r="I2167"/>
          <cell r="J2167">
            <v>8120</v>
          </cell>
          <cell r="K2167"/>
          <cell r="L2167">
            <v>8120</v>
          </cell>
          <cell r="M2167"/>
          <cell r="N2167">
            <v>8120</v>
          </cell>
          <cell r="O2167"/>
          <cell r="P2167">
            <v>8120</v>
          </cell>
          <cell r="Q2167"/>
          <cell r="R2167">
            <v>8120</v>
          </cell>
          <cell r="S2167"/>
          <cell r="T2167">
            <v>8120</v>
          </cell>
          <cell r="U2167"/>
          <cell r="V2167">
            <v>8120</v>
          </cell>
          <cell r="W2167"/>
          <cell r="X2167">
            <v>8120</v>
          </cell>
          <cell r="Y2167"/>
          <cell r="Z2167">
            <v>8120</v>
          </cell>
          <cell r="AA2167"/>
          <cell r="AB2167"/>
          <cell r="AC2167"/>
          <cell r="AD2167">
            <v>0.39100000000000001</v>
          </cell>
          <cell r="AE2167"/>
          <cell r="AF2167"/>
          <cell r="AG2167">
            <v>9900</v>
          </cell>
          <cell r="AH2167">
            <v>96</v>
          </cell>
          <cell r="AI2167">
            <v>0.98899999999999999</v>
          </cell>
          <cell r="AJ2167">
            <v>1</v>
          </cell>
          <cell r="AK2167">
            <v>97.06</v>
          </cell>
          <cell r="AL2167"/>
        </row>
        <row r="2168">
          <cell r="E2168" t="str">
            <v>A27-322PH</v>
          </cell>
          <cell r="F2168" t="str">
            <v>台</v>
          </cell>
          <cell r="G2168"/>
          <cell r="H2168">
            <v>9720</v>
          </cell>
          <cell r="I2168"/>
          <cell r="J2168">
            <v>9720</v>
          </cell>
          <cell r="K2168"/>
          <cell r="L2168">
            <v>9720</v>
          </cell>
          <cell r="M2168"/>
          <cell r="N2168">
            <v>9720</v>
          </cell>
          <cell r="O2168"/>
          <cell r="P2168">
            <v>9720</v>
          </cell>
          <cell r="Q2168"/>
          <cell r="R2168">
            <v>9720</v>
          </cell>
          <cell r="S2168"/>
          <cell r="T2168">
            <v>9720</v>
          </cell>
          <cell r="U2168"/>
          <cell r="V2168">
            <v>9720</v>
          </cell>
          <cell r="W2168"/>
          <cell r="X2168">
            <v>9720</v>
          </cell>
          <cell r="Y2168"/>
          <cell r="Z2168">
            <v>9720</v>
          </cell>
          <cell r="AA2168"/>
          <cell r="AB2168"/>
          <cell r="AC2168"/>
          <cell r="AD2168">
            <v>0.39100000000000001</v>
          </cell>
          <cell r="AE2168"/>
          <cell r="AF2168"/>
          <cell r="AG2168">
            <v>9900</v>
          </cell>
          <cell r="AH2168">
            <v>96</v>
          </cell>
          <cell r="AI2168">
            <v>0.98899999999999999</v>
          </cell>
          <cell r="AJ2168">
            <v>1</v>
          </cell>
          <cell r="AK2168">
            <v>97.06</v>
          </cell>
          <cell r="AL2168"/>
        </row>
        <row r="2169">
          <cell r="E2169" t="str">
            <v>A27MP-321PN</v>
          </cell>
          <cell r="F2169" t="str">
            <v>台</v>
          </cell>
          <cell r="G2169"/>
          <cell r="H2169">
            <v>19100</v>
          </cell>
          <cell r="I2169"/>
          <cell r="J2169">
            <v>19100</v>
          </cell>
          <cell r="K2169"/>
          <cell r="L2169">
            <v>19100</v>
          </cell>
          <cell r="M2169"/>
          <cell r="N2169">
            <v>19100</v>
          </cell>
          <cell r="O2169"/>
          <cell r="P2169">
            <v>19100</v>
          </cell>
          <cell r="Q2169"/>
          <cell r="R2169">
            <v>19100</v>
          </cell>
          <cell r="S2169"/>
          <cell r="T2169">
            <v>19100</v>
          </cell>
          <cell r="U2169"/>
          <cell r="V2169">
            <v>19100</v>
          </cell>
          <cell r="W2169"/>
          <cell r="X2169">
            <v>19100</v>
          </cell>
          <cell r="Y2169"/>
          <cell r="Z2169">
            <v>19100</v>
          </cell>
          <cell r="AA2169"/>
          <cell r="AB2169"/>
          <cell r="AC2169"/>
          <cell r="AD2169">
            <v>0.313</v>
          </cell>
          <cell r="AE2169"/>
          <cell r="AF2169"/>
          <cell r="AG2169">
            <v>4950</v>
          </cell>
          <cell r="AH2169">
            <v>48</v>
          </cell>
          <cell r="AI2169">
            <v>0.97899999999999998</v>
          </cell>
          <cell r="AJ2169">
            <v>1</v>
          </cell>
          <cell r="AK2169">
            <v>49.02</v>
          </cell>
          <cell r="AL2169"/>
        </row>
        <row r="2170">
          <cell r="E2170" t="str">
            <v>A27MP-321PH</v>
          </cell>
          <cell r="F2170" t="str">
            <v>台</v>
          </cell>
          <cell r="G2170"/>
          <cell r="H2170">
            <v>25600</v>
          </cell>
          <cell r="I2170"/>
          <cell r="J2170">
            <v>25600</v>
          </cell>
          <cell r="K2170"/>
          <cell r="L2170">
            <v>25600</v>
          </cell>
          <cell r="M2170"/>
          <cell r="N2170">
            <v>25600</v>
          </cell>
          <cell r="O2170"/>
          <cell r="P2170">
            <v>25600</v>
          </cell>
          <cell r="Q2170"/>
          <cell r="R2170">
            <v>25600</v>
          </cell>
          <cell r="S2170"/>
          <cell r="T2170">
            <v>25600</v>
          </cell>
          <cell r="U2170"/>
          <cell r="V2170">
            <v>25600</v>
          </cell>
          <cell r="W2170"/>
          <cell r="X2170">
            <v>25600</v>
          </cell>
          <cell r="Y2170"/>
          <cell r="Z2170">
            <v>25600</v>
          </cell>
          <cell r="AA2170"/>
          <cell r="AB2170"/>
          <cell r="AC2170"/>
          <cell r="AD2170">
            <v>0.313</v>
          </cell>
          <cell r="AE2170"/>
          <cell r="AF2170"/>
          <cell r="AG2170">
            <v>4950</v>
          </cell>
          <cell r="AH2170">
            <v>48</v>
          </cell>
          <cell r="AI2170">
            <v>0.97899999999999998</v>
          </cell>
          <cell r="AJ2170">
            <v>1</v>
          </cell>
          <cell r="AK2170">
            <v>49.02</v>
          </cell>
          <cell r="AL2170"/>
        </row>
        <row r="2171">
          <cell r="E2171" t="str">
            <v>A27MP-322PN</v>
          </cell>
          <cell r="F2171" t="str">
            <v>台</v>
          </cell>
          <cell r="G2171"/>
          <cell r="H2171">
            <v>22300</v>
          </cell>
          <cell r="I2171"/>
          <cell r="J2171">
            <v>22300</v>
          </cell>
          <cell r="K2171"/>
          <cell r="L2171">
            <v>22300</v>
          </cell>
          <cell r="M2171"/>
          <cell r="N2171">
            <v>22300</v>
          </cell>
          <cell r="O2171"/>
          <cell r="P2171">
            <v>22300</v>
          </cell>
          <cell r="Q2171"/>
          <cell r="R2171">
            <v>22300</v>
          </cell>
          <cell r="S2171"/>
          <cell r="T2171">
            <v>22300</v>
          </cell>
          <cell r="U2171"/>
          <cell r="V2171">
            <v>22300</v>
          </cell>
          <cell r="W2171"/>
          <cell r="X2171">
            <v>22300</v>
          </cell>
          <cell r="Y2171"/>
          <cell r="Z2171">
            <v>22300</v>
          </cell>
          <cell r="AA2171"/>
          <cell r="AB2171"/>
          <cell r="AC2171"/>
          <cell r="AD2171">
            <v>0.39100000000000001</v>
          </cell>
          <cell r="AE2171"/>
          <cell r="AF2171"/>
          <cell r="AG2171">
            <v>9900</v>
          </cell>
          <cell r="AH2171">
            <v>96</v>
          </cell>
          <cell r="AI2171">
            <v>0.98899999999999999</v>
          </cell>
          <cell r="AJ2171">
            <v>1</v>
          </cell>
          <cell r="AK2171">
            <v>97.06</v>
          </cell>
          <cell r="AL2171"/>
        </row>
        <row r="2172">
          <cell r="E2172" t="str">
            <v>A27MP-322PH</v>
          </cell>
          <cell r="F2172" t="str">
            <v>台</v>
          </cell>
          <cell r="G2172"/>
          <cell r="H2172">
            <v>27400</v>
          </cell>
          <cell r="I2172"/>
          <cell r="J2172">
            <v>27400</v>
          </cell>
          <cell r="K2172"/>
          <cell r="L2172">
            <v>27400</v>
          </cell>
          <cell r="M2172"/>
          <cell r="N2172">
            <v>27400</v>
          </cell>
          <cell r="O2172"/>
          <cell r="P2172">
            <v>27400</v>
          </cell>
          <cell r="Q2172"/>
          <cell r="R2172">
            <v>27400</v>
          </cell>
          <cell r="S2172"/>
          <cell r="T2172">
            <v>27400</v>
          </cell>
          <cell r="U2172"/>
          <cell r="V2172">
            <v>27400</v>
          </cell>
          <cell r="W2172"/>
          <cell r="X2172">
            <v>27400</v>
          </cell>
          <cell r="Y2172"/>
          <cell r="Z2172">
            <v>27400</v>
          </cell>
          <cell r="AA2172"/>
          <cell r="AB2172"/>
          <cell r="AC2172"/>
          <cell r="AD2172">
            <v>0.39100000000000001</v>
          </cell>
          <cell r="AE2172"/>
          <cell r="AF2172"/>
          <cell r="AG2172">
            <v>9900</v>
          </cell>
          <cell r="AH2172">
            <v>96</v>
          </cell>
          <cell r="AI2172">
            <v>0.98899999999999999</v>
          </cell>
          <cell r="AJ2172">
            <v>1</v>
          </cell>
          <cell r="AK2172">
            <v>97.06</v>
          </cell>
          <cell r="AL2172"/>
        </row>
        <row r="2173">
          <cell r="E2173" t="str">
            <v>■Ｈｆルーバー直付形</v>
          </cell>
          <cell r="F2173"/>
          <cell r="G2173"/>
          <cell r="H2173"/>
          <cell r="I2173"/>
          <cell r="J2173"/>
          <cell r="K2173"/>
          <cell r="L2173"/>
          <cell r="M2173"/>
          <cell r="N2173"/>
          <cell r="O2173"/>
          <cell r="P2173"/>
          <cell r="Q2173"/>
          <cell r="R2173"/>
          <cell r="S2173"/>
          <cell r="T2173"/>
          <cell r="U2173"/>
          <cell r="V2173"/>
          <cell r="W2173"/>
          <cell r="X2173"/>
          <cell r="Y2173"/>
          <cell r="Z2173"/>
          <cell r="AA2173"/>
          <cell r="AB2173"/>
          <cell r="AC2173"/>
          <cell r="AD2173"/>
          <cell r="AE2173"/>
          <cell r="AF2173"/>
          <cell r="AG2173"/>
          <cell r="AH2173"/>
          <cell r="AI2173"/>
          <cell r="AJ2173"/>
          <cell r="AK2173"/>
          <cell r="AL2173"/>
        </row>
        <row r="2174">
          <cell r="E2174" t="str">
            <v>Ds1-162PH</v>
          </cell>
          <cell r="F2174" t="str">
            <v>台</v>
          </cell>
          <cell r="G2174"/>
          <cell r="H2174">
            <v>9920</v>
          </cell>
          <cell r="I2174"/>
          <cell r="J2174">
            <v>9920</v>
          </cell>
          <cell r="K2174"/>
          <cell r="L2174">
            <v>9920</v>
          </cell>
          <cell r="M2174"/>
          <cell r="N2174">
            <v>9920</v>
          </cell>
          <cell r="O2174"/>
          <cell r="P2174">
            <v>9920</v>
          </cell>
          <cell r="Q2174"/>
          <cell r="R2174">
            <v>9920</v>
          </cell>
          <cell r="S2174"/>
          <cell r="T2174">
            <v>9920</v>
          </cell>
          <cell r="U2174"/>
          <cell r="V2174">
            <v>9920</v>
          </cell>
          <cell r="W2174"/>
          <cell r="X2174">
            <v>9920</v>
          </cell>
          <cell r="Y2174"/>
          <cell r="Z2174">
            <v>9920</v>
          </cell>
          <cell r="AA2174"/>
          <cell r="AB2174"/>
          <cell r="AC2174"/>
          <cell r="AD2174">
            <v>0.16500000000000001</v>
          </cell>
          <cell r="AE2174"/>
          <cell r="AF2174"/>
          <cell r="AG2174">
            <v>4200</v>
          </cell>
          <cell r="AH2174">
            <v>50</v>
          </cell>
          <cell r="AI2174">
            <v>0.98</v>
          </cell>
          <cell r="AJ2174">
            <v>1</v>
          </cell>
          <cell r="AK2174">
            <v>51.02</v>
          </cell>
          <cell r="AL2174"/>
        </row>
        <row r="2175">
          <cell r="E2175" t="str">
            <v>Ds1-322PN</v>
          </cell>
          <cell r="F2175" t="str">
            <v>台</v>
          </cell>
          <cell r="G2175"/>
          <cell r="H2175">
            <v>9720</v>
          </cell>
          <cell r="I2175"/>
          <cell r="J2175">
            <v>9720</v>
          </cell>
          <cell r="K2175"/>
          <cell r="L2175">
            <v>9720</v>
          </cell>
          <cell r="M2175"/>
          <cell r="N2175">
            <v>9720</v>
          </cell>
          <cell r="O2175"/>
          <cell r="P2175">
            <v>9720</v>
          </cell>
          <cell r="Q2175"/>
          <cell r="R2175">
            <v>9720</v>
          </cell>
          <cell r="S2175"/>
          <cell r="T2175">
            <v>9720</v>
          </cell>
          <cell r="U2175"/>
          <cell r="V2175">
            <v>9720</v>
          </cell>
          <cell r="W2175"/>
          <cell r="X2175">
            <v>9720</v>
          </cell>
          <cell r="Y2175"/>
          <cell r="Z2175">
            <v>9720</v>
          </cell>
          <cell r="AA2175"/>
          <cell r="AB2175"/>
          <cell r="AC2175"/>
          <cell r="AD2175">
            <v>0.26100000000000001</v>
          </cell>
          <cell r="AE2175"/>
          <cell r="AF2175"/>
          <cell r="AG2175">
            <v>9900</v>
          </cell>
          <cell r="AH2175">
            <v>96</v>
          </cell>
          <cell r="AI2175">
            <v>0.98899999999999999</v>
          </cell>
          <cell r="AJ2175">
            <v>1</v>
          </cell>
          <cell r="AK2175">
            <v>97.06</v>
          </cell>
          <cell r="AL2175"/>
        </row>
        <row r="2176">
          <cell r="E2176" t="str">
            <v>Ds1-322PH</v>
          </cell>
          <cell r="F2176" t="str">
            <v>台</v>
          </cell>
          <cell r="G2176"/>
          <cell r="H2176">
            <v>10000</v>
          </cell>
          <cell r="I2176"/>
          <cell r="J2176">
            <v>10000</v>
          </cell>
          <cell r="K2176"/>
          <cell r="L2176">
            <v>10000</v>
          </cell>
          <cell r="M2176"/>
          <cell r="N2176">
            <v>10000</v>
          </cell>
          <cell r="O2176"/>
          <cell r="P2176">
            <v>10000</v>
          </cell>
          <cell r="Q2176"/>
          <cell r="R2176">
            <v>10000</v>
          </cell>
          <cell r="S2176"/>
          <cell r="T2176">
            <v>10000</v>
          </cell>
          <cell r="U2176"/>
          <cell r="V2176">
            <v>10000</v>
          </cell>
          <cell r="W2176"/>
          <cell r="X2176">
            <v>10000</v>
          </cell>
          <cell r="Y2176"/>
          <cell r="Z2176">
            <v>10000</v>
          </cell>
          <cell r="AA2176"/>
          <cell r="AB2176"/>
          <cell r="AC2176"/>
          <cell r="AD2176">
            <v>0.26100000000000001</v>
          </cell>
          <cell r="AE2176"/>
          <cell r="AF2176"/>
          <cell r="AG2176">
            <v>9900</v>
          </cell>
          <cell r="AH2176">
            <v>96</v>
          </cell>
          <cell r="AI2176">
            <v>0.98899999999999999</v>
          </cell>
          <cell r="AJ2176">
            <v>1</v>
          </cell>
          <cell r="AK2176">
            <v>97.06</v>
          </cell>
          <cell r="AL2176"/>
        </row>
        <row r="2177">
          <cell r="E2177" t="str">
            <v>Ds1-322PX</v>
          </cell>
          <cell r="F2177" t="str">
            <v>台</v>
          </cell>
          <cell r="G2177"/>
          <cell r="H2177">
            <v>11000</v>
          </cell>
          <cell r="I2177"/>
          <cell r="J2177">
            <v>11000</v>
          </cell>
          <cell r="K2177"/>
          <cell r="L2177">
            <v>11000</v>
          </cell>
          <cell r="M2177"/>
          <cell r="N2177">
            <v>11000</v>
          </cell>
          <cell r="O2177"/>
          <cell r="P2177">
            <v>11000</v>
          </cell>
          <cell r="Q2177"/>
          <cell r="R2177">
            <v>11000</v>
          </cell>
          <cell r="S2177"/>
          <cell r="T2177">
            <v>11000</v>
          </cell>
          <cell r="U2177"/>
          <cell r="V2177">
            <v>11000</v>
          </cell>
          <cell r="W2177"/>
          <cell r="X2177">
            <v>11000</v>
          </cell>
          <cell r="Y2177"/>
          <cell r="Z2177">
            <v>11000</v>
          </cell>
          <cell r="AA2177"/>
          <cell r="AB2177"/>
          <cell r="AC2177"/>
          <cell r="AD2177">
            <v>0.26100000000000001</v>
          </cell>
          <cell r="AE2177"/>
          <cell r="AF2177"/>
          <cell r="AG2177">
            <v>9900</v>
          </cell>
          <cell r="AH2177">
            <v>96</v>
          </cell>
          <cell r="AI2177">
            <v>0.98899999999999999</v>
          </cell>
          <cell r="AJ2177">
            <v>1</v>
          </cell>
          <cell r="AK2177">
            <v>97.06</v>
          </cell>
          <cell r="AL2177"/>
        </row>
        <row r="2178">
          <cell r="E2178" t="str">
            <v>Ds1-322PK</v>
          </cell>
          <cell r="F2178" t="str">
            <v>台</v>
          </cell>
          <cell r="G2178"/>
          <cell r="H2178">
            <v>11000</v>
          </cell>
          <cell r="I2178"/>
          <cell r="J2178">
            <v>11000</v>
          </cell>
          <cell r="K2178"/>
          <cell r="L2178">
            <v>11000</v>
          </cell>
          <cell r="M2178"/>
          <cell r="N2178">
            <v>11000</v>
          </cell>
          <cell r="O2178"/>
          <cell r="P2178">
            <v>11000</v>
          </cell>
          <cell r="Q2178"/>
          <cell r="R2178">
            <v>11000</v>
          </cell>
          <cell r="S2178"/>
          <cell r="T2178">
            <v>11000</v>
          </cell>
          <cell r="U2178"/>
          <cell r="V2178">
            <v>11000</v>
          </cell>
          <cell r="W2178"/>
          <cell r="X2178">
            <v>11000</v>
          </cell>
          <cell r="Y2178"/>
          <cell r="Z2178">
            <v>11000</v>
          </cell>
          <cell r="AA2178"/>
          <cell r="AB2178"/>
          <cell r="AC2178"/>
          <cell r="AD2178">
            <v>0.26100000000000001</v>
          </cell>
          <cell r="AE2178"/>
          <cell r="AF2178"/>
          <cell r="AG2178">
            <v>9900</v>
          </cell>
          <cell r="AH2178">
            <v>96</v>
          </cell>
          <cell r="AI2178">
            <v>0.98899999999999999</v>
          </cell>
          <cell r="AJ2178">
            <v>1</v>
          </cell>
          <cell r="AK2178">
            <v>97.06</v>
          </cell>
          <cell r="AL2178"/>
        </row>
        <row r="2179">
          <cell r="E2179" t="str">
            <v>Ds2-322PH</v>
          </cell>
          <cell r="F2179" t="str">
            <v>台</v>
          </cell>
          <cell r="G2179"/>
          <cell r="H2179">
            <v>18000</v>
          </cell>
          <cell r="I2179"/>
          <cell r="J2179">
            <v>18000</v>
          </cell>
          <cell r="K2179"/>
          <cell r="L2179">
            <v>18000</v>
          </cell>
          <cell r="M2179"/>
          <cell r="N2179">
            <v>18000</v>
          </cell>
          <cell r="O2179"/>
          <cell r="P2179">
            <v>18000</v>
          </cell>
          <cell r="Q2179"/>
          <cell r="R2179">
            <v>18000</v>
          </cell>
          <cell r="S2179"/>
          <cell r="T2179">
            <v>18000</v>
          </cell>
          <cell r="U2179"/>
          <cell r="V2179">
            <v>18000</v>
          </cell>
          <cell r="W2179"/>
          <cell r="X2179">
            <v>18000</v>
          </cell>
          <cell r="Y2179"/>
          <cell r="Z2179">
            <v>18000</v>
          </cell>
          <cell r="AA2179"/>
          <cell r="AB2179"/>
          <cell r="AC2179"/>
          <cell r="AD2179">
            <v>0.26100000000000001</v>
          </cell>
          <cell r="AE2179"/>
          <cell r="AF2179"/>
          <cell r="AG2179">
            <v>9900</v>
          </cell>
          <cell r="AH2179">
            <v>96</v>
          </cell>
          <cell r="AI2179">
            <v>0.98899999999999999</v>
          </cell>
          <cell r="AJ2179">
            <v>1</v>
          </cell>
          <cell r="AK2179">
            <v>97.06</v>
          </cell>
          <cell r="AL2179"/>
        </row>
        <row r="2180">
          <cell r="E2180" t="str">
            <v>Ds2-322PK</v>
          </cell>
          <cell r="F2180" t="str">
            <v>台</v>
          </cell>
          <cell r="G2180"/>
          <cell r="H2180">
            <v>19000</v>
          </cell>
          <cell r="I2180"/>
          <cell r="J2180">
            <v>19000</v>
          </cell>
          <cell r="K2180"/>
          <cell r="L2180">
            <v>19000</v>
          </cell>
          <cell r="M2180"/>
          <cell r="N2180">
            <v>19000</v>
          </cell>
          <cell r="O2180"/>
          <cell r="P2180">
            <v>19000</v>
          </cell>
          <cell r="Q2180"/>
          <cell r="R2180">
            <v>19000</v>
          </cell>
          <cell r="S2180"/>
          <cell r="T2180">
            <v>19000</v>
          </cell>
          <cell r="U2180"/>
          <cell r="V2180">
            <v>19000</v>
          </cell>
          <cell r="W2180"/>
          <cell r="X2180">
            <v>19000</v>
          </cell>
          <cell r="Y2180"/>
          <cell r="Z2180">
            <v>19000</v>
          </cell>
          <cell r="AA2180"/>
          <cell r="AB2180"/>
          <cell r="AC2180"/>
          <cell r="AD2180">
            <v>0.26100000000000001</v>
          </cell>
          <cell r="AE2180"/>
          <cell r="AF2180"/>
          <cell r="AG2180">
            <v>9900</v>
          </cell>
          <cell r="AH2180">
            <v>96</v>
          </cell>
          <cell r="AI2180">
            <v>0.98899999999999999</v>
          </cell>
          <cell r="AJ2180">
            <v>1</v>
          </cell>
          <cell r="AK2180">
            <v>97.06</v>
          </cell>
          <cell r="AL2180"/>
        </row>
        <row r="2181">
          <cell r="E2181" t="str">
            <v>Ds2V-322PH</v>
          </cell>
          <cell r="F2181" t="str">
            <v>台</v>
          </cell>
          <cell r="G2181"/>
          <cell r="H2181">
            <v>18000</v>
          </cell>
          <cell r="I2181"/>
          <cell r="J2181">
            <v>18000</v>
          </cell>
          <cell r="K2181"/>
          <cell r="L2181">
            <v>18000</v>
          </cell>
          <cell r="M2181"/>
          <cell r="N2181">
            <v>18000</v>
          </cell>
          <cell r="O2181"/>
          <cell r="P2181">
            <v>18000</v>
          </cell>
          <cell r="Q2181"/>
          <cell r="R2181">
            <v>18000</v>
          </cell>
          <cell r="S2181"/>
          <cell r="T2181">
            <v>18000</v>
          </cell>
          <cell r="U2181"/>
          <cell r="V2181">
            <v>18000</v>
          </cell>
          <cell r="W2181"/>
          <cell r="X2181">
            <v>18000</v>
          </cell>
          <cell r="Y2181"/>
          <cell r="Z2181">
            <v>18000</v>
          </cell>
          <cell r="AA2181"/>
          <cell r="AB2181"/>
          <cell r="AC2181"/>
          <cell r="AD2181">
            <v>0.26100000000000001</v>
          </cell>
          <cell r="AE2181"/>
          <cell r="AF2181"/>
          <cell r="AG2181">
            <v>9900</v>
          </cell>
          <cell r="AH2181">
            <v>96</v>
          </cell>
          <cell r="AI2181">
            <v>0.98899999999999999</v>
          </cell>
          <cell r="AJ2181">
            <v>1</v>
          </cell>
          <cell r="AK2181">
            <v>97.06</v>
          </cell>
          <cell r="AL2181"/>
        </row>
        <row r="2182">
          <cell r="E2182" t="str">
            <v>Ds2V-322PK</v>
          </cell>
          <cell r="F2182" t="str">
            <v>台</v>
          </cell>
          <cell r="G2182"/>
          <cell r="H2182">
            <v>19000</v>
          </cell>
          <cell r="I2182"/>
          <cell r="J2182">
            <v>19000</v>
          </cell>
          <cell r="K2182"/>
          <cell r="L2182">
            <v>19000</v>
          </cell>
          <cell r="M2182"/>
          <cell r="N2182">
            <v>19000</v>
          </cell>
          <cell r="O2182"/>
          <cell r="P2182">
            <v>19000</v>
          </cell>
          <cell r="Q2182"/>
          <cell r="R2182">
            <v>19000</v>
          </cell>
          <cell r="S2182"/>
          <cell r="T2182">
            <v>19000</v>
          </cell>
          <cell r="U2182"/>
          <cell r="V2182">
            <v>19000</v>
          </cell>
          <cell r="W2182"/>
          <cell r="X2182">
            <v>19000</v>
          </cell>
          <cell r="Y2182"/>
          <cell r="Z2182">
            <v>19000</v>
          </cell>
          <cell r="AA2182"/>
          <cell r="AB2182"/>
          <cell r="AC2182"/>
          <cell r="AD2182">
            <v>0.26100000000000001</v>
          </cell>
          <cell r="AE2182"/>
          <cell r="AF2182"/>
          <cell r="AG2182">
            <v>9900</v>
          </cell>
          <cell r="AH2182">
            <v>96</v>
          </cell>
          <cell r="AI2182">
            <v>0.98899999999999999</v>
          </cell>
          <cell r="AJ2182">
            <v>1</v>
          </cell>
          <cell r="AK2182">
            <v>97.06</v>
          </cell>
          <cell r="AL2182"/>
        </row>
        <row r="2183">
          <cell r="E2183" t="str">
            <v>■Ｈｆ反射笠</v>
          </cell>
          <cell r="F2183"/>
          <cell r="G2183"/>
          <cell r="H2183"/>
          <cell r="I2183"/>
          <cell r="J2183"/>
          <cell r="K2183"/>
          <cell r="L2183"/>
          <cell r="M2183"/>
          <cell r="N2183"/>
          <cell r="O2183"/>
          <cell r="P2183"/>
          <cell r="Q2183"/>
          <cell r="R2183"/>
          <cell r="S2183"/>
          <cell r="T2183"/>
          <cell r="U2183"/>
          <cell r="V2183"/>
          <cell r="W2183"/>
          <cell r="X2183"/>
          <cell r="Y2183"/>
          <cell r="Z2183"/>
          <cell r="AA2183"/>
          <cell r="AB2183"/>
          <cell r="AC2183"/>
          <cell r="AD2183"/>
          <cell r="AE2183"/>
          <cell r="AF2183"/>
          <cell r="AG2183"/>
          <cell r="AH2183"/>
          <cell r="AI2183"/>
          <cell r="AJ2183"/>
          <cell r="AK2183"/>
          <cell r="AL2183"/>
        </row>
        <row r="2184">
          <cell r="E2184" t="str">
            <v>R2-161PH</v>
          </cell>
          <cell r="F2184" t="str">
            <v>台</v>
          </cell>
          <cell r="G2184"/>
          <cell r="H2184">
            <v>4310</v>
          </cell>
          <cell r="I2184"/>
          <cell r="J2184">
            <v>4310</v>
          </cell>
          <cell r="K2184"/>
          <cell r="L2184">
            <v>4310</v>
          </cell>
          <cell r="M2184"/>
          <cell r="N2184">
            <v>4310</v>
          </cell>
          <cell r="O2184"/>
          <cell r="P2184">
            <v>4310</v>
          </cell>
          <cell r="Q2184"/>
          <cell r="R2184">
            <v>4310</v>
          </cell>
          <cell r="S2184"/>
          <cell r="T2184">
            <v>4310</v>
          </cell>
          <cell r="U2184"/>
          <cell r="V2184">
            <v>4310</v>
          </cell>
          <cell r="W2184"/>
          <cell r="X2184">
            <v>4310</v>
          </cell>
          <cell r="Y2184"/>
          <cell r="Z2184">
            <v>4310</v>
          </cell>
          <cell r="AA2184"/>
          <cell r="AB2184"/>
          <cell r="AC2184"/>
          <cell r="AD2184">
            <v>0.13</v>
          </cell>
          <cell r="AE2184"/>
          <cell r="AF2184"/>
          <cell r="AG2184">
            <v>2100</v>
          </cell>
          <cell r="AH2184">
            <v>26</v>
          </cell>
          <cell r="AI2184">
            <v>0.96299999999999997</v>
          </cell>
          <cell r="AJ2184">
            <v>1</v>
          </cell>
          <cell r="AK2184">
            <v>26.99</v>
          </cell>
          <cell r="AL2184"/>
        </row>
        <row r="2185">
          <cell r="E2185" t="str">
            <v>R2-321PN</v>
          </cell>
          <cell r="F2185" t="str">
            <v>台</v>
          </cell>
          <cell r="G2185"/>
          <cell r="H2185">
            <v>3460</v>
          </cell>
          <cell r="I2185"/>
          <cell r="J2185">
            <v>3460</v>
          </cell>
          <cell r="K2185"/>
          <cell r="L2185">
            <v>3460</v>
          </cell>
          <cell r="M2185"/>
          <cell r="N2185">
            <v>3460</v>
          </cell>
          <cell r="O2185"/>
          <cell r="P2185">
            <v>3460</v>
          </cell>
          <cell r="Q2185"/>
          <cell r="R2185">
            <v>3460</v>
          </cell>
          <cell r="S2185"/>
          <cell r="T2185">
            <v>3460</v>
          </cell>
          <cell r="U2185"/>
          <cell r="V2185">
            <v>3460</v>
          </cell>
          <cell r="W2185"/>
          <cell r="X2185">
            <v>3460</v>
          </cell>
          <cell r="Y2185"/>
          <cell r="Z2185">
            <v>3460</v>
          </cell>
          <cell r="AA2185"/>
          <cell r="AB2185"/>
          <cell r="AC2185"/>
          <cell r="AD2185">
            <v>0.20899999999999999</v>
          </cell>
          <cell r="AE2185"/>
          <cell r="AF2185"/>
          <cell r="AG2185">
            <v>4950</v>
          </cell>
          <cell r="AH2185">
            <v>48</v>
          </cell>
          <cell r="AI2185">
            <v>0.97899999999999998</v>
          </cell>
          <cell r="AJ2185">
            <v>1</v>
          </cell>
          <cell r="AK2185">
            <v>49.02</v>
          </cell>
          <cell r="AL2185"/>
        </row>
        <row r="2186">
          <cell r="E2186" t="str">
            <v>R2-321PH</v>
          </cell>
          <cell r="F2186" t="str">
            <v>台</v>
          </cell>
          <cell r="G2186"/>
          <cell r="H2186">
            <v>4420</v>
          </cell>
          <cell r="I2186"/>
          <cell r="J2186">
            <v>4420</v>
          </cell>
          <cell r="K2186"/>
          <cell r="L2186">
            <v>4420</v>
          </cell>
          <cell r="M2186"/>
          <cell r="N2186">
            <v>4420</v>
          </cell>
          <cell r="O2186"/>
          <cell r="P2186">
            <v>4420</v>
          </cell>
          <cell r="Q2186"/>
          <cell r="R2186">
            <v>4420</v>
          </cell>
          <cell r="S2186"/>
          <cell r="T2186">
            <v>4420</v>
          </cell>
          <cell r="U2186"/>
          <cell r="V2186">
            <v>4420</v>
          </cell>
          <cell r="W2186"/>
          <cell r="X2186">
            <v>4420</v>
          </cell>
          <cell r="Y2186"/>
          <cell r="Z2186">
            <v>4420</v>
          </cell>
          <cell r="AA2186"/>
          <cell r="AB2186"/>
          <cell r="AC2186"/>
          <cell r="AD2186">
            <v>0.20899999999999999</v>
          </cell>
          <cell r="AE2186"/>
          <cell r="AF2186"/>
          <cell r="AG2186">
            <v>4950</v>
          </cell>
          <cell r="AH2186">
            <v>48</v>
          </cell>
          <cell r="AI2186">
            <v>0.97899999999999998</v>
          </cell>
          <cell r="AJ2186">
            <v>1</v>
          </cell>
          <cell r="AK2186">
            <v>49.02</v>
          </cell>
          <cell r="AL2186"/>
        </row>
        <row r="2187">
          <cell r="E2187" t="str">
            <v>R2-321PX</v>
          </cell>
          <cell r="F2187" t="str">
            <v>台</v>
          </cell>
          <cell r="G2187"/>
          <cell r="H2187">
            <v>6460</v>
          </cell>
          <cell r="I2187"/>
          <cell r="J2187">
            <v>6460</v>
          </cell>
          <cell r="K2187"/>
          <cell r="L2187">
            <v>6460</v>
          </cell>
          <cell r="M2187"/>
          <cell r="N2187">
            <v>6460</v>
          </cell>
          <cell r="O2187"/>
          <cell r="P2187">
            <v>6460</v>
          </cell>
          <cell r="Q2187"/>
          <cell r="R2187">
            <v>6460</v>
          </cell>
          <cell r="S2187"/>
          <cell r="T2187">
            <v>6460</v>
          </cell>
          <cell r="U2187"/>
          <cell r="V2187">
            <v>6460</v>
          </cell>
          <cell r="W2187"/>
          <cell r="X2187">
            <v>6460</v>
          </cell>
          <cell r="Y2187"/>
          <cell r="Z2187">
            <v>6460</v>
          </cell>
          <cell r="AA2187"/>
          <cell r="AB2187"/>
          <cell r="AC2187"/>
          <cell r="AD2187">
            <v>0.20899999999999999</v>
          </cell>
          <cell r="AE2187"/>
          <cell r="AF2187"/>
          <cell r="AG2187">
            <v>4950</v>
          </cell>
          <cell r="AH2187">
            <v>48</v>
          </cell>
          <cell r="AI2187">
            <v>0.97899999999999998</v>
          </cell>
          <cell r="AJ2187">
            <v>1</v>
          </cell>
          <cell r="AK2187">
            <v>49.02</v>
          </cell>
          <cell r="AL2187"/>
        </row>
        <row r="2188">
          <cell r="E2188" t="str">
            <v>R2-321PK</v>
          </cell>
          <cell r="F2188" t="str">
            <v>台</v>
          </cell>
          <cell r="G2188"/>
          <cell r="H2188">
            <v>6460</v>
          </cell>
          <cell r="I2188"/>
          <cell r="J2188">
            <v>6460</v>
          </cell>
          <cell r="K2188"/>
          <cell r="L2188">
            <v>6460</v>
          </cell>
          <cell r="M2188"/>
          <cell r="N2188">
            <v>6460</v>
          </cell>
          <cell r="O2188"/>
          <cell r="P2188">
            <v>6460</v>
          </cell>
          <cell r="Q2188"/>
          <cell r="R2188">
            <v>6460</v>
          </cell>
          <cell r="S2188"/>
          <cell r="T2188">
            <v>6460</v>
          </cell>
          <cell r="U2188"/>
          <cell r="V2188">
            <v>6460</v>
          </cell>
          <cell r="W2188"/>
          <cell r="X2188">
            <v>6460</v>
          </cell>
          <cell r="Y2188"/>
          <cell r="Z2188">
            <v>6460</v>
          </cell>
          <cell r="AA2188"/>
          <cell r="AB2188"/>
          <cell r="AC2188"/>
          <cell r="AD2188">
            <v>0.20899999999999999</v>
          </cell>
          <cell r="AE2188"/>
          <cell r="AF2188"/>
          <cell r="AG2188">
            <v>4950</v>
          </cell>
          <cell r="AH2188">
            <v>48</v>
          </cell>
          <cell r="AI2188">
            <v>0.97899999999999998</v>
          </cell>
          <cell r="AJ2188">
            <v>1</v>
          </cell>
          <cell r="AK2188">
            <v>49.02</v>
          </cell>
          <cell r="AL2188"/>
        </row>
        <row r="2189">
          <cell r="E2189" t="str">
            <v>R2-322PN</v>
          </cell>
          <cell r="F2189" t="str">
            <v>台</v>
          </cell>
          <cell r="G2189"/>
          <cell r="H2189">
            <v>4590</v>
          </cell>
          <cell r="I2189"/>
          <cell r="J2189">
            <v>4590</v>
          </cell>
          <cell r="K2189"/>
          <cell r="L2189">
            <v>4590</v>
          </cell>
          <cell r="M2189"/>
          <cell r="N2189">
            <v>4590</v>
          </cell>
          <cell r="O2189"/>
          <cell r="P2189">
            <v>4590</v>
          </cell>
          <cell r="Q2189"/>
          <cell r="R2189">
            <v>4590</v>
          </cell>
          <cell r="S2189"/>
          <cell r="T2189">
            <v>4590</v>
          </cell>
          <cell r="U2189"/>
          <cell r="V2189">
            <v>4590</v>
          </cell>
          <cell r="W2189"/>
          <cell r="X2189">
            <v>4590</v>
          </cell>
          <cell r="Y2189"/>
          <cell r="Z2189">
            <v>4590</v>
          </cell>
          <cell r="AA2189"/>
          <cell r="AB2189"/>
          <cell r="AC2189"/>
          <cell r="AD2189">
            <v>0.26100000000000001</v>
          </cell>
          <cell r="AE2189"/>
          <cell r="AF2189"/>
          <cell r="AG2189">
            <v>9900</v>
          </cell>
          <cell r="AH2189">
            <v>96</v>
          </cell>
          <cell r="AI2189">
            <v>0.98899999999999999</v>
          </cell>
          <cell r="AJ2189">
            <v>1</v>
          </cell>
          <cell r="AK2189">
            <v>97.06</v>
          </cell>
          <cell r="AL2189"/>
        </row>
        <row r="2190">
          <cell r="E2190" t="str">
            <v>R2-322PH</v>
          </cell>
          <cell r="F2190" t="str">
            <v>台</v>
          </cell>
          <cell r="G2190"/>
          <cell r="H2190">
            <v>6080</v>
          </cell>
          <cell r="I2190"/>
          <cell r="J2190">
            <v>6080</v>
          </cell>
          <cell r="K2190"/>
          <cell r="L2190">
            <v>6080</v>
          </cell>
          <cell r="M2190"/>
          <cell r="N2190">
            <v>6080</v>
          </cell>
          <cell r="O2190"/>
          <cell r="P2190">
            <v>6080</v>
          </cell>
          <cell r="Q2190"/>
          <cell r="R2190">
            <v>6080</v>
          </cell>
          <cell r="S2190"/>
          <cell r="T2190">
            <v>6080</v>
          </cell>
          <cell r="U2190"/>
          <cell r="V2190">
            <v>6080</v>
          </cell>
          <cell r="W2190"/>
          <cell r="X2190">
            <v>6080</v>
          </cell>
          <cell r="Y2190"/>
          <cell r="Z2190">
            <v>6080</v>
          </cell>
          <cell r="AA2190"/>
          <cell r="AB2190"/>
          <cell r="AC2190"/>
          <cell r="AD2190">
            <v>0.26100000000000001</v>
          </cell>
          <cell r="AE2190"/>
          <cell r="AF2190"/>
          <cell r="AG2190">
            <v>9900</v>
          </cell>
          <cell r="AH2190">
            <v>96</v>
          </cell>
          <cell r="AI2190">
            <v>0.98899999999999999</v>
          </cell>
          <cell r="AJ2190">
            <v>1</v>
          </cell>
          <cell r="AK2190">
            <v>97.06</v>
          </cell>
          <cell r="AL2190"/>
        </row>
        <row r="2191">
          <cell r="E2191" t="str">
            <v>R2-322PX</v>
          </cell>
          <cell r="F2191" t="str">
            <v>台</v>
          </cell>
          <cell r="G2191"/>
          <cell r="H2191">
            <v>7780</v>
          </cell>
          <cell r="I2191"/>
          <cell r="J2191">
            <v>7780</v>
          </cell>
          <cell r="K2191"/>
          <cell r="L2191">
            <v>7780</v>
          </cell>
          <cell r="M2191"/>
          <cell r="N2191">
            <v>7780</v>
          </cell>
          <cell r="O2191"/>
          <cell r="P2191">
            <v>7780</v>
          </cell>
          <cell r="Q2191"/>
          <cell r="R2191">
            <v>7780</v>
          </cell>
          <cell r="S2191"/>
          <cell r="T2191">
            <v>7780</v>
          </cell>
          <cell r="U2191"/>
          <cell r="V2191">
            <v>7780</v>
          </cell>
          <cell r="W2191"/>
          <cell r="X2191">
            <v>7780</v>
          </cell>
          <cell r="Y2191"/>
          <cell r="Z2191">
            <v>7780</v>
          </cell>
          <cell r="AA2191"/>
          <cell r="AB2191"/>
          <cell r="AC2191"/>
          <cell r="AD2191">
            <v>0.26100000000000001</v>
          </cell>
          <cell r="AE2191"/>
          <cell r="AF2191"/>
          <cell r="AG2191">
            <v>9900</v>
          </cell>
          <cell r="AH2191">
            <v>96</v>
          </cell>
          <cell r="AI2191">
            <v>0.98899999999999999</v>
          </cell>
          <cell r="AJ2191">
            <v>1</v>
          </cell>
          <cell r="AK2191">
            <v>97.06</v>
          </cell>
          <cell r="AL2191"/>
        </row>
        <row r="2192">
          <cell r="E2192" t="str">
            <v>R2-322PK</v>
          </cell>
          <cell r="F2192" t="str">
            <v>台</v>
          </cell>
          <cell r="G2192"/>
          <cell r="H2192">
            <v>7780</v>
          </cell>
          <cell r="I2192"/>
          <cell r="J2192">
            <v>7780</v>
          </cell>
          <cell r="K2192"/>
          <cell r="L2192">
            <v>7780</v>
          </cell>
          <cell r="M2192"/>
          <cell r="N2192">
            <v>7780</v>
          </cell>
          <cell r="O2192"/>
          <cell r="P2192">
            <v>7780</v>
          </cell>
          <cell r="Q2192"/>
          <cell r="R2192">
            <v>7780</v>
          </cell>
          <cell r="S2192"/>
          <cell r="T2192">
            <v>7780</v>
          </cell>
          <cell r="U2192"/>
          <cell r="V2192">
            <v>7780</v>
          </cell>
          <cell r="W2192"/>
          <cell r="X2192">
            <v>7780</v>
          </cell>
          <cell r="Y2192"/>
          <cell r="Z2192">
            <v>7780</v>
          </cell>
          <cell r="AA2192"/>
          <cell r="AB2192"/>
          <cell r="AC2192"/>
          <cell r="AD2192">
            <v>0.26100000000000001</v>
          </cell>
          <cell r="AE2192"/>
          <cell r="AF2192"/>
          <cell r="AG2192">
            <v>9900</v>
          </cell>
          <cell r="AH2192">
            <v>96</v>
          </cell>
          <cell r="AI2192">
            <v>0.98899999999999999</v>
          </cell>
          <cell r="AJ2192">
            <v>1</v>
          </cell>
          <cell r="AK2192">
            <v>97.06</v>
          </cell>
          <cell r="AL2192"/>
        </row>
        <row r="2193">
          <cell r="E2193" t="str">
            <v>R2RP-322PN</v>
          </cell>
          <cell r="F2193" t="str">
            <v>台</v>
          </cell>
          <cell r="G2193"/>
          <cell r="H2193">
            <v>8220</v>
          </cell>
          <cell r="I2193"/>
          <cell r="J2193">
            <v>8220</v>
          </cell>
          <cell r="K2193"/>
          <cell r="L2193">
            <v>8220</v>
          </cell>
          <cell r="M2193"/>
          <cell r="N2193">
            <v>8220</v>
          </cell>
          <cell r="O2193"/>
          <cell r="P2193">
            <v>8220</v>
          </cell>
          <cell r="Q2193"/>
          <cell r="R2193">
            <v>8220</v>
          </cell>
          <cell r="S2193"/>
          <cell r="T2193">
            <v>8220</v>
          </cell>
          <cell r="U2193"/>
          <cell r="V2193">
            <v>8220</v>
          </cell>
          <cell r="W2193"/>
          <cell r="X2193">
            <v>8220</v>
          </cell>
          <cell r="Y2193"/>
          <cell r="Z2193">
            <v>8220</v>
          </cell>
          <cell r="AA2193"/>
          <cell r="AB2193"/>
          <cell r="AC2193"/>
          <cell r="AD2193">
            <v>0.26100000000000001</v>
          </cell>
          <cell r="AE2193"/>
          <cell r="AF2193"/>
          <cell r="AG2193">
            <v>9900</v>
          </cell>
          <cell r="AH2193">
            <v>96</v>
          </cell>
          <cell r="AI2193">
            <v>0.98899999999999999</v>
          </cell>
          <cell r="AJ2193">
            <v>1</v>
          </cell>
          <cell r="AK2193">
            <v>97.06</v>
          </cell>
          <cell r="AL2193"/>
        </row>
        <row r="2194">
          <cell r="E2194" t="str">
            <v>R2RP-322PH</v>
          </cell>
          <cell r="F2194" t="str">
            <v>台</v>
          </cell>
          <cell r="G2194"/>
          <cell r="H2194">
            <v>13400</v>
          </cell>
          <cell r="I2194"/>
          <cell r="J2194">
            <v>13400</v>
          </cell>
          <cell r="K2194"/>
          <cell r="L2194">
            <v>13400</v>
          </cell>
          <cell r="M2194"/>
          <cell r="N2194">
            <v>13400</v>
          </cell>
          <cell r="O2194"/>
          <cell r="P2194">
            <v>13400</v>
          </cell>
          <cell r="Q2194"/>
          <cell r="R2194">
            <v>13400</v>
          </cell>
          <cell r="S2194"/>
          <cell r="T2194">
            <v>13400</v>
          </cell>
          <cell r="U2194"/>
          <cell r="V2194">
            <v>13400</v>
          </cell>
          <cell r="W2194"/>
          <cell r="X2194">
            <v>13400</v>
          </cell>
          <cell r="Y2194"/>
          <cell r="Z2194">
            <v>13400</v>
          </cell>
          <cell r="AA2194"/>
          <cell r="AB2194"/>
          <cell r="AC2194"/>
          <cell r="AD2194">
            <v>0.26100000000000001</v>
          </cell>
          <cell r="AE2194"/>
          <cell r="AF2194"/>
          <cell r="AG2194">
            <v>9900</v>
          </cell>
          <cell r="AH2194">
            <v>96</v>
          </cell>
          <cell r="AI2194">
            <v>0.98899999999999999</v>
          </cell>
          <cell r="AJ2194">
            <v>1</v>
          </cell>
          <cell r="AK2194">
            <v>97.06</v>
          </cell>
          <cell r="AL2194"/>
        </row>
        <row r="2195">
          <cell r="E2195" t="str">
            <v>R2RPA-322PN</v>
          </cell>
          <cell r="F2195" t="str">
            <v>台</v>
          </cell>
          <cell r="G2195"/>
          <cell r="H2195">
            <v>16300</v>
          </cell>
          <cell r="I2195"/>
          <cell r="J2195">
            <v>16300</v>
          </cell>
          <cell r="K2195"/>
          <cell r="L2195">
            <v>16300</v>
          </cell>
          <cell r="M2195"/>
          <cell r="N2195">
            <v>16300</v>
          </cell>
          <cell r="O2195"/>
          <cell r="P2195">
            <v>16300</v>
          </cell>
          <cell r="Q2195"/>
          <cell r="R2195">
            <v>16300</v>
          </cell>
          <cell r="S2195"/>
          <cell r="T2195">
            <v>16300</v>
          </cell>
          <cell r="U2195"/>
          <cell r="V2195">
            <v>16300</v>
          </cell>
          <cell r="W2195"/>
          <cell r="X2195">
            <v>16300</v>
          </cell>
          <cell r="Y2195"/>
          <cell r="Z2195">
            <v>16300</v>
          </cell>
          <cell r="AA2195"/>
          <cell r="AB2195"/>
          <cell r="AC2195"/>
          <cell r="AD2195">
            <v>0.26100000000000001</v>
          </cell>
          <cell r="AE2195"/>
          <cell r="AF2195"/>
          <cell r="AG2195">
            <v>9900</v>
          </cell>
          <cell r="AH2195">
            <v>96</v>
          </cell>
          <cell r="AI2195">
            <v>0.98899999999999999</v>
          </cell>
          <cell r="AJ2195">
            <v>1</v>
          </cell>
          <cell r="AK2195">
            <v>97.06</v>
          </cell>
          <cell r="AL2195"/>
        </row>
        <row r="2196">
          <cell r="E2196" t="str">
            <v>R2RPA-322PH</v>
          </cell>
          <cell r="F2196" t="str">
            <v>台</v>
          </cell>
          <cell r="G2196"/>
          <cell r="H2196">
            <v>20600</v>
          </cell>
          <cell r="I2196"/>
          <cell r="J2196">
            <v>20600</v>
          </cell>
          <cell r="K2196"/>
          <cell r="L2196">
            <v>20600</v>
          </cell>
          <cell r="M2196"/>
          <cell r="N2196">
            <v>20600</v>
          </cell>
          <cell r="O2196"/>
          <cell r="P2196">
            <v>20600</v>
          </cell>
          <cell r="Q2196"/>
          <cell r="R2196">
            <v>20600</v>
          </cell>
          <cell r="S2196"/>
          <cell r="T2196">
            <v>20600</v>
          </cell>
          <cell r="U2196"/>
          <cell r="V2196">
            <v>20600</v>
          </cell>
          <cell r="W2196"/>
          <cell r="X2196">
            <v>20600</v>
          </cell>
          <cell r="Y2196"/>
          <cell r="Z2196">
            <v>20600</v>
          </cell>
          <cell r="AA2196"/>
          <cell r="AB2196"/>
          <cell r="AC2196"/>
          <cell r="AD2196">
            <v>0.26100000000000001</v>
          </cell>
          <cell r="AE2196"/>
          <cell r="AF2196"/>
          <cell r="AG2196">
            <v>9900</v>
          </cell>
          <cell r="AH2196">
            <v>96</v>
          </cell>
          <cell r="AI2196">
            <v>0.98899999999999999</v>
          </cell>
          <cell r="AJ2196">
            <v>1</v>
          </cell>
          <cell r="AK2196">
            <v>97.06</v>
          </cell>
          <cell r="AL2196"/>
        </row>
        <row r="2197">
          <cell r="E2197" t="str">
            <v>R2RPB-322PN</v>
          </cell>
          <cell r="F2197" t="str">
            <v>台</v>
          </cell>
          <cell r="G2197"/>
          <cell r="H2197">
            <v>16300</v>
          </cell>
          <cell r="I2197"/>
          <cell r="J2197">
            <v>16300</v>
          </cell>
          <cell r="K2197"/>
          <cell r="L2197">
            <v>16300</v>
          </cell>
          <cell r="M2197"/>
          <cell r="N2197">
            <v>16300</v>
          </cell>
          <cell r="O2197"/>
          <cell r="P2197">
            <v>16300</v>
          </cell>
          <cell r="Q2197"/>
          <cell r="R2197">
            <v>16300</v>
          </cell>
          <cell r="S2197"/>
          <cell r="T2197">
            <v>16300</v>
          </cell>
          <cell r="U2197"/>
          <cell r="V2197">
            <v>16300</v>
          </cell>
          <cell r="W2197"/>
          <cell r="X2197">
            <v>16300</v>
          </cell>
          <cell r="Y2197"/>
          <cell r="Z2197">
            <v>16300</v>
          </cell>
          <cell r="AA2197"/>
          <cell r="AB2197"/>
          <cell r="AC2197"/>
          <cell r="AD2197">
            <v>0.26100000000000001</v>
          </cell>
          <cell r="AE2197"/>
          <cell r="AF2197"/>
          <cell r="AG2197">
            <v>9900</v>
          </cell>
          <cell r="AH2197">
            <v>96</v>
          </cell>
          <cell r="AI2197">
            <v>0.98899999999999999</v>
          </cell>
          <cell r="AJ2197">
            <v>1</v>
          </cell>
          <cell r="AK2197">
            <v>97.06</v>
          </cell>
          <cell r="AL2197"/>
        </row>
        <row r="2198">
          <cell r="E2198" t="str">
            <v>R2RPB-322PH</v>
          </cell>
          <cell r="F2198" t="str">
            <v>台</v>
          </cell>
          <cell r="G2198"/>
          <cell r="H2198">
            <v>20600</v>
          </cell>
          <cell r="I2198"/>
          <cell r="J2198">
            <v>20600</v>
          </cell>
          <cell r="K2198"/>
          <cell r="L2198">
            <v>20600</v>
          </cell>
          <cell r="M2198"/>
          <cell r="N2198">
            <v>20600</v>
          </cell>
          <cell r="O2198"/>
          <cell r="P2198">
            <v>20600</v>
          </cell>
          <cell r="Q2198"/>
          <cell r="R2198">
            <v>20600</v>
          </cell>
          <cell r="S2198"/>
          <cell r="T2198">
            <v>20600</v>
          </cell>
          <cell r="U2198"/>
          <cell r="V2198">
            <v>20600</v>
          </cell>
          <cell r="W2198"/>
          <cell r="X2198">
            <v>20600</v>
          </cell>
          <cell r="Y2198"/>
          <cell r="Z2198">
            <v>20600</v>
          </cell>
          <cell r="AA2198"/>
          <cell r="AB2198"/>
          <cell r="AC2198"/>
          <cell r="AD2198">
            <v>0.26100000000000001</v>
          </cell>
          <cell r="AE2198"/>
          <cell r="AF2198"/>
          <cell r="AG2198">
            <v>9900</v>
          </cell>
          <cell r="AH2198">
            <v>96</v>
          </cell>
          <cell r="AI2198">
            <v>0.98899999999999999</v>
          </cell>
          <cell r="AJ2198">
            <v>1</v>
          </cell>
          <cell r="AK2198">
            <v>97.06</v>
          </cell>
          <cell r="AL2198"/>
        </row>
        <row r="2199">
          <cell r="E2199" t="str">
            <v>■Ｈｆ反射笠可動形</v>
          </cell>
          <cell r="F2199"/>
          <cell r="G2199"/>
          <cell r="H2199"/>
          <cell r="I2199"/>
          <cell r="J2199"/>
          <cell r="K2199"/>
          <cell r="L2199"/>
          <cell r="M2199"/>
          <cell r="N2199"/>
          <cell r="O2199"/>
          <cell r="P2199"/>
          <cell r="Q2199"/>
          <cell r="R2199"/>
          <cell r="S2199"/>
          <cell r="T2199"/>
          <cell r="U2199"/>
          <cell r="V2199"/>
          <cell r="W2199"/>
          <cell r="X2199"/>
          <cell r="Y2199"/>
          <cell r="Z2199"/>
          <cell r="AA2199"/>
          <cell r="AB2199"/>
          <cell r="AC2199"/>
          <cell r="AD2199"/>
          <cell r="AE2199"/>
          <cell r="AF2199"/>
          <cell r="AG2199"/>
          <cell r="AH2199"/>
          <cell r="AI2199"/>
          <cell r="AJ2199"/>
          <cell r="AK2199"/>
          <cell r="AL2199"/>
        </row>
        <row r="2200">
          <cell r="E2200" t="str">
            <v>R12-321PH</v>
          </cell>
          <cell r="F2200" t="str">
            <v>台</v>
          </cell>
          <cell r="G2200"/>
          <cell r="H2200">
            <v>12300</v>
          </cell>
          <cell r="I2200"/>
          <cell r="J2200">
            <v>12300</v>
          </cell>
          <cell r="K2200"/>
          <cell r="L2200">
            <v>12300</v>
          </cell>
          <cell r="M2200"/>
          <cell r="N2200">
            <v>12300</v>
          </cell>
          <cell r="O2200"/>
          <cell r="P2200">
            <v>12300</v>
          </cell>
          <cell r="Q2200"/>
          <cell r="R2200">
            <v>12300</v>
          </cell>
          <cell r="S2200"/>
          <cell r="T2200">
            <v>12300</v>
          </cell>
          <cell r="U2200"/>
          <cell r="V2200">
            <v>12300</v>
          </cell>
          <cell r="W2200"/>
          <cell r="X2200">
            <v>12300</v>
          </cell>
          <cell r="Y2200"/>
          <cell r="Z2200">
            <v>12300</v>
          </cell>
          <cell r="AA2200"/>
          <cell r="AB2200"/>
          <cell r="AC2200"/>
          <cell r="AD2200">
            <v>0.20899999999999999</v>
          </cell>
          <cell r="AE2200"/>
          <cell r="AF2200"/>
          <cell r="AG2200">
            <v>4950</v>
          </cell>
          <cell r="AH2200">
            <v>48</v>
          </cell>
          <cell r="AI2200">
            <v>0.97899999999999998</v>
          </cell>
          <cell r="AJ2200">
            <v>1</v>
          </cell>
          <cell r="AK2200">
            <v>49.02</v>
          </cell>
          <cell r="AL2200"/>
        </row>
        <row r="2201">
          <cell r="E2201" t="str">
            <v>R12-321PK</v>
          </cell>
          <cell r="F2201" t="str">
            <v>台</v>
          </cell>
          <cell r="G2201"/>
          <cell r="H2201">
            <v>14300</v>
          </cell>
          <cell r="I2201"/>
          <cell r="J2201">
            <v>14300</v>
          </cell>
          <cell r="K2201"/>
          <cell r="L2201">
            <v>14300</v>
          </cell>
          <cell r="M2201"/>
          <cell r="N2201">
            <v>14300</v>
          </cell>
          <cell r="O2201"/>
          <cell r="P2201">
            <v>14300</v>
          </cell>
          <cell r="Q2201"/>
          <cell r="R2201">
            <v>14300</v>
          </cell>
          <cell r="S2201"/>
          <cell r="T2201">
            <v>14300</v>
          </cell>
          <cell r="U2201"/>
          <cell r="V2201">
            <v>14300</v>
          </cell>
          <cell r="W2201"/>
          <cell r="X2201">
            <v>14300</v>
          </cell>
          <cell r="Y2201"/>
          <cell r="Z2201">
            <v>14300</v>
          </cell>
          <cell r="AA2201"/>
          <cell r="AB2201"/>
          <cell r="AC2201"/>
          <cell r="AD2201">
            <v>0.20899999999999999</v>
          </cell>
          <cell r="AE2201"/>
          <cell r="AF2201"/>
          <cell r="AG2201">
            <v>4950</v>
          </cell>
          <cell r="AH2201">
            <v>48</v>
          </cell>
          <cell r="AI2201">
            <v>0.97899999999999998</v>
          </cell>
          <cell r="AJ2201">
            <v>1</v>
          </cell>
          <cell r="AK2201">
            <v>49.02</v>
          </cell>
          <cell r="AL2201"/>
        </row>
        <row r="2202">
          <cell r="E2202" t="str">
            <v>■Ｈｆ開放直付形</v>
          </cell>
          <cell r="F2202"/>
          <cell r="G2202"/>
          <cell r="H2202"/>
          <cell r="I2202"/>
          <cell r="J2202"/>
          <cell r="K2202"/>
          <cell r="L2202"/>
          <cell r="M2202"/>
          <cell r="N2202"/>
          <cell r="O2202"/>
          <cell r="P2202"/>
          <cell r="Q2202"/>
          <cell r="R2202"/>
          <cell r="S2202"/>
          <cell r="T2202"/>
          <cell r="U2202"/>
          <cell r="V2202"/>
          <cell r="W2202"/>
          <cell r="X2202"/>
          <cell r="Y2202"/>
          <cell r="Z2202"/>
          <cell r="AA2202"/>
          <cell r="AB2202"/>
          <cell r="AC2202"/>
          <cell r="AD2202"/>
          <cell r="AE2202"/>
          <cell r="AF2202"/>
          <cell r="AG2202"/>
          <cell r="AH2202"/>
          <cell r="AI2202"/>
          <cell r="AJ2202"/>
          <cell r="AK2202"/>
          <cell r="AL2202"/>
        </row>
        <row r="2203">
          <cell r="E2203" t="str">
            <v>As6-162PH</v>
          </cell>
          <cell r="F2203" t="str">
            <v>台</v>
          </cell>
          <cell r="G2203"/>
          <cell r="H2203">
            <v>8530</v>
          </cell>
          <cell r="I2203"/>
          <cell r="J2203">
            <v>8530</v>
          </cell>
          <cell r="K2203"/>
          <cell r="L2203">
            <v>8530</v>
          </cell>
          <cell r="M2203"/>
          <cell r="N2203">
            <v>8530</v>
          </cell>
          <cell r="O2203"/>
          <cell r="P2203">
            <v>8530</v>
          </cell>
          <cell r="Q2203"/>
          <cell r="R2203">
            <v>8530</v>
          </cell>
          <cell r="S2203"/>
          <cell r="T2203">
            <v>8530</v>
          </cell>
          <cell r="U2203"/>
          <cell r="V2203">
            <v>8530</v>
          </cell>
          <cell r="W2203"/>
          <cell r="X2203">
            <v>8530</v>
          </cell>
          <cell r="Y2203"/>
          <cell r="Z2203">
            <v>8530</v>
          </cell>
          <cell r="AA2203"/>
          <cell r="AB2203"/>
          <cell r="AC2203"/>
          <cell r="AD2203">
            <v>0.16500000000000001</v>
          </cell>
          <cell r="AE2203"/>
          <cell r="AF2203"/>
          <cell r="AG2203">
            <v>4200</v>
          </cell>
          <cell r="AH2203">
            <v>50</v>
          </cell>
          <cell r="AI2203">
            <v>0.98</v>
          </cell>
          <cell r="AJ2203">
            <v>1</v>
          </cell>
          <cell r="AK2203">
            <v>51.02</v>
          </cell>
          <cell r="AL2203"/>
        </row>
        <row r="2204">
          <cell r="E2204" t="str">
            <v>As6-162PX</v>
          </cell>
          <cell r="F2204" t="str">
            <v>台</v>
          </cell>
          <cell r="G2204"/>
          <cell r="H2204">
            <v>9620</v>
          </cell>
          <cell r="I2204"/>
          <cell r="J2204">
            <v>9620</v>
          </cell>
          <cell r="K2204"/>
          <cell r="L2204">
            <v>9620</v>
          </cell>
          <cell r="M2204"/>
          <cell r="N2204">
            <v>9620</v>
          </cell>
          <cell r="O2204"/>
          <cell r="P2204">
            <v>9620</v>
          </cell>
          <cell r="Q2204"/>
          <cell r="R2204">
            <v>9620</v>
          </cell>
          <cell r="S2204"/>
          <cell r="T2204">
            <v>9620</v>
          </cell>
          <cell r="U2204"/>
          <cell r="V2204">
            <v>9620</v>
          </cell>
          <cell r="W2204"/>
          <cell r="X2204">
            <v>9620</v>
          </cell>
          <cell r="Y2204"/>
          <cell r="Z2204">
            <v>9620</v>
          </cell>
          <cell r="AA2204"/>
          <cell r="AB2204"/>
          <cell r="AC2204"/>
          <cell r="AD2204">
            <v>0.16500000000000001</v>
          </cell>
          <cell r="AE2204"/>
          <cell r="AF2204"/>
          <cell r="AG2204">
            <v>4200</v>
          </cell>
          <cell r="AH2204">
            <v>50</v>
          </cell>
          <cell r="AI2204">
            <v>0.98</v>
          </cell>
          <cell r="AJ2204">
            <v>1</v>
          </cell>
          <cell r="AK2204">
            <v>51.02</v>
          </cell>
          <cell r="AL2204"/>
        </row>
        <row r="2205">
          <cell r="E2205" t="str">
            <v>As6-322PN</v>
          </cell>
          <cell r="F2205" t="str">
            <v>台</v>
          </cell>
          <cell r="G2205"/>
          <cell r="H2205">
            <v>7270</v>
          </cell>
          <cell r="I2205"/>
          <cell r="J2205">
            <v>7270</v>
          </cell>
          <cell r="K2205"/>
          <cell r="L2205">
            <v>7270</v>
          </cell>
          <cell r="M2205"/>
          <cell r="N2205">
            <v>7270</v>
          </cell>
          <cell r="O2205"/>
          <cell r="P2205">
            <v>7270</v>
          </cell>
          <cell r="Q2205"/>
          <cell r="R2205">
            <v>7270</v>
          </cell>
          <cell r="S2205"/>
          <cell r="T2205">
            <v>7270</v>
          </cell>
          <cell r="U2205"/>
          <cell r="V2205">
            <v>7270</v>
          </cell>
          <cell r="W2205"/>
          <cell r="X2205">
            <v>7270</v>
          </cell>
          <cell r="Y2205"/>
          <cell r="Z2205">
            <v>7270</v>
          </cell>
          <cell r="AA2205"/>
          <cell r="AB2205"/>
          <cell r="AC2205"/>
          <cell r="AD2205">
            <v>0.26100000000000001</v>
          </cell>
          <cell r="AE2205"/>
          <cell r="AF2205"/>
          <cell r="AG2205">
            <v>9900</v>
          </cell>
          <cell r="AH2205">
            <v>96</v>
          </cell>
          <cell r="AI2205">
            <v>0.98899999999999999</v>
          </cell>
          <cell r="AJ2205">
            <v>1</v>
          </cell>
          <cell r="AK2205">
            <v>97.06</v>
          </cell>
          <cell r="AL2205"/>
        </row>
        <row r="2206">
          <cell r="E2206" t="str">
            <v>As6-322PH</v>
          </cell>
          <cell r="F2206" t="str">
            <v>台</v>
          </cell>
          <cell r="G2206"/>
          <cell r="H2206">
            <v>8670</v>
          </cell>
          <cell r="I2206"/>
          <cell r="J2206">
            <v>8670</v>
          </cell>
          <cell r="K2206"/>
          <cell r="L2206">
            <v>8670</v>
          </cell>
          <cell r="M2206"/>
          <cell r="N2206">
            <v>8670</v>
          </cell>
          <cell r="O2206"/>
          <cell r="P2206">
            <v>8670</v>
          </cell>
          <cell r="Q2206"/>
          <cell r="R2206">
            <v>8670</v>
          </cell>
          <cell r="S2206"/>
          <cell r="T2206">
            <v>8670</v>
          </cell>
          <cell r="U2206"/>
          <cell r="V2206">
            <v>8670</v>
          </cell>
          <cell r="W2206"/>
          <cell r="X2206">
            <v>8670</v>
          </cell>
          <cell r="Y2206"/>
          <cell r="Z2206">
            <v>8670</v>
          </cell>
          <cell r="AA2206"/>
          <cell r="AB2206"/>
          <cell r="AC2206"/>
          <cell r="AD2206">
            <v>0.26100000000000001</v>
          </cell>
          <cell r="AE2206"/>
          <cell r="AF2206"/>
          <cell r="AG2206">
            <v>9900</v>
          </cell>
          <cell r="AH2206">
            <v>96</v>
          </cell>
          <cell r="AI2206">
            <v>0.98899999999999999</v>
          </cell>
          <cell r="AJ2206">
            <v>1</v>
          </cell>
          <cell r="AK2206">
            <v>97.06</v>
          </cell>
          <cell r="AL2206"/>
        </row>
        <row r="2207">
          <cell r="E2207" t="str">
            <v>As6-322PX</v>
          </cell>
          <cell r="F2207" t="str">
            <v>台</v>
          </cell>
          <cell r="G2207"/>
          <cell r="H2207">
            <v>9690</v>
          </cell>
          <cell r="I2207"/>
          <cell r="J2207">
            <v>9690</v>
          </cell>
          <cell r="K2207"/>
          <cell r="L2207">
            <v>9690</v>
          </cell>
          <cell r="M2207"/>
          <cell r="N2207">
            <v>9690</v>
          </cell>
          <cell r="O2207"/>
          <cell r="P2207">
            <v>9690</v>
          </cell>
          <cell r="Q2207"/>
          <cell r="R2207">
            <v>9690</v>
          </cell>
          <cell r="S2207"/>
          <cell r="T2207">
            <v>9690</v>
          </cell>
          <cell r="U2207"/>
          <cell r="V2207">
            <v>9690</v>
          </cell>
          <cell r="W2207"/>
          <cell r="X2207">
            <v>9690</v>
          </cell>
          <cell r="Y2207"/>
          <cell r="Z2207">
            <v>9690</v>
          </cell>
          <cell r="AA2207"/>
          <cell r="AB2207"/>
          <cell r="AC2207"/>
          <cell r="AD2207">
            <v>0.26100000000000001</v>
          </cell>
          <cell r="AE2207"/>
          <cell r="AF2207"/>
          <cell r="AG2207">
            <v>9900</v>
          </cell>
          <cell r="AH2207">
            <v>96</v>
          </cell>
          <cell r="AI2207">
            <v>0.98899999999999999</v>
          </cell>
          <cell r="AJ2207">
            <v>1</v>
          </cell>
          <cell r="AK2207">
            <v>97.06</v>
          </cell>
          <cell r="AL2207"/>
        </row>
        <row r="2208">
          <cell r="E2208" t="str">
            <v>As6-322PK</v>
          </cell>
          <cell r="F2208" t="str">
            <v>台</v>
          </cell>
          <cell r="G2208"/>
          <cell r="H2208">
            <v>9690</v>
          </cell>
          <cell r="I2208"/>
          <cell r="J2208">
            <v>9690</v>
          </cell>
          <cell r="K2208"/>
          <cell r="L2208">
            <v>9690</v>
          </cell>
          <cell r="M2208"/>
          <cell r="N2208">
            <v>9690</v>
          </cell>
          <cell r="O2208"/>
          <cell r="P2208">
            <v>9690</v>
          </cell>
          <cell r="Q2208"/>
          <cell r="R2208">
            <v>9690</v>
          </cell>
          <cell r="S2208"/>
          <cell r="T2208">
            <v>9690</v>
          </cell>
          <cell r="U2208"/>
          <cell r="V2208">
            <v>9690</v>
          </cell>
          <cell r="W2208"/>
          <cell r="X2208">
            <v>9690</v>
          </cell>
          <cell r="Y2208"/>
          <cell r="Z2208">
            <v>9690</v>
          </cell>
          <cell r="AA2208"/>
          <cell r="AB2208"/>
          <cell r="AC2208"/>
          <cell r="AD2208">
            <v>0.26100000000000001</v>
          </cell>
          <cell r="AE2208"/>
          <cell r="AF2208"/>
          <cell r="AG2208">
            <v>9900</v>
          </cell>
          <cell r="AH2208">
            <v>96</v>
          </cell>
          <cell r="AI2208">
            <v>0.98899999999999999</v>
          </cell>
          <cell r="AJ2208">
            <v>1</v>
          </cell>
          <cell r="AK2208">
            <v>97.06</v>
          </cell>
          <cell r="AL2208"/>
        </row>
        <row r="2209">
          <cell r="E2209" t="str">
            <v>As7-322PN</v>
          </cell>
          <cell r="F2209" t="str">
            <v>台</v>
          </cell>
          <cell r="G2209"/>
          <cell r="H2209">
            <v>6150</v>
          </cell>
          <cell r="I2209"/>
          <cell r="J2209">
            <v>6150</v>
          </cell>
          <cell r="K2209"/>
          <cell r="L2209">
            <v>6150</v>
          </cell>
          <cell r="M2209"/>
          <cell r="N2209">
            <v>6150</v>
          </cell>
          <cell r="O2209"/>
          <cell r="P2209">
            <v>6150</v>
          </cell>
          <cell r="Q2209"/>
          <cell r="R2209">
            <v>6150</v>
          </cell>
          <cell r="S2209"/>
          <cell r="T2209">
            <v>6150</v>
          </cell>
          <cell r="U2209"/>
          <cell r="V2209">
            <v>6150</v>
          </cell>
          <cell r="W2209"/>
          <cell r="X2209">
            <v>6150</v>
          </cell>
          <cell r="Y2209"/>
          <cell r="Z2209">
            <v>6150</v>
          </cell>
          <cell r="AA2209"/>
          <cell r="AB2209"/>
          <cell r="AC2209"/>
          <cell r="AD2209">
            <v>0.26100000000000001</v>
          </cell>
          <cell r="AE2209"/>
          <cell r="AF2209"/>
          <cell r="AG2209">
            <v>9900</v>
          </cell>
          <cell r="AH2209">
            <v>96</v>
          </cell>
          <cell r="AI2209">
            <v>0.98899999999999999</v>
          </cell>
          <cell r="AJ2209">
            <v>1</v>
          </cell>
          <cell r="AK2209">
            <v>97.06</v>
          </cell>
          <cell r="AL2209"/>
        </row>
        <row r="2210">
          <cell r="E2210" t="str">
            <v>As7-322PH</v>
          </cell>
          <cell r="F2210" t="str">
            <v>台</v>
          </cell>
          <cell r="G2210"/>
          <cell r="H2210">
            <v>8330</v>
          </cell>
          <cell r="I2210"/>
          <cell r="J2210">
            <v>8330</v>
          </cell>
          <cell r="K2210"/>
          <cell r="L2210">
            <v>8330</v>
          </cell>
          <cell r="M2210"/>
          <cell r="N2210">
            <v>8330</v>
          </cell>
          <cell r="O2210"/>
          <cell r="P2210">
            <v>8330</v>
          </cell>
          <cell r="Q2210"/>
          <cell r="R2210">
            <v>8330</v>
          </cell>
          <cell r="S2210"/>
          <cell r="T2210">
            <v>8330</v>
          </cell>
          <cell r="U2210"/>
          <cell r="V2210">
            <v>8330</v>
          </cell>
          <cell r="W2210"/>
          <cell r="X2210">
            <v>8330</v>
          </cell>
          <cell r="Y2210"/>
          <cell r="Z2210">
            <v>8330</v>
          </cell>
          <cell r="AA2210"/>
          <cell r="AB2210"/>
          <cell r="AC2210"/>
          <cell r="AD2210">
            <v>0.26100000000000001</v>
          </cell>
          <cell r="AE2210"/>
          <cell r="AF2210"/>
          <cell r="AG2210">
            <v>9900</v>
          </cell>
          <cell r="AH2210">
            <v>96</v>
          </cell>
          <cell r="AI2210">
            <v>0.98899999999999999</v>
          </cell>
          <cell r="AJ2210">
            <v>1</v>
          </cell>
          <cell r="AK2210">
            <v>97.06</v>
          </cell>
          <cell r="AL2210"/>
        </row>
        <row r="2211">
          <cell r="E2211" t="str">
            <v>As7-322PX</v>
          </cell>
          <cell r="F2211" t="str">
            <v>台</v>
          </cell>
          <cell r="G2211"/>
          <cell r="H2211">
            <v>9350</v>
          </cell>
          <cell r="I2211"/>
          <cell r="J2211">
            <v>9350</v>
          </cell>
          <cell r="K2211"/>
          <cell r="L2211">
            <v>9350</v>
          </cell>
          <cell r="M2211"/>
          <cell r="N2211">
            <v>9350</v>
          </cell>
          <cell r="O2211"/>
          <cell r="P2211">
            <v>9350</v>
          </cell>
          <cell r="Q2211"/>
          <cell r="R2211">
            <v>9350</v>
          </cell>
          <cell r="S2211"/>
          <cell r="T2211">
            <v>9350</v>
          </cell>
          <cell r="U2211"/>
          <cell r="V2211">
            <v>9350</v>
          </cell>
          <cell r="W2211"/>
          <cell r="X2211">
            <v>9350</v>
          </cell>
          <cell r="Y2211"/>
          <cell r="Z2211">
            <v>9350</v>
          </cell>
          <cell r="AA2211"/>
          <cell r="AB2211"/>
          <cell r="AC2211"/>
          <cell r="AD2211">
            <v>0.26100000000000001</v>
          </cell>
          <cell r="AE2211"/>
          <cell r="AF2211"/>
          <cell r="AG2211">
            <v>9900</v>
          </cell>
          <cell r="AH2211">
            <v>96</v>
          </cell>
          <cell r="AI2211">
            <v>0.98899999999999999</v>
          </cell>
          <cell r="AJ2211">
            <v>1</v>
          </cell>
          <cell r="AK2211">
            <v>97.06</v>
          </cell>
          <cell r="AL2211"/>
        </row>
        <row r="2212">
          <cell r="E2212" t="str">
            <v>As7-322PK</v>
          </cell>
          <cell r="F2212" t="str">
            <v>台</v>
          </cell>
          <cell r="G2212"/>
          <cell r="H2212">
            <v>9350</v>
          </cell>
          <cell r="I2212"/>
          <cell r="J2212">
            <v>9350</v>
          </cell>
          <cell r="K2212"/>
          <cell r="L2212">
            <v>9350</v>
          </cell>
          <cell r="M2212"/>
          <cell r="N2212">
            <v>9350</v>
          </cell>
          <cell r="O2212"/>
          <cell r="P2212">
            <v>9350</v>
          </cell>
          <cell r="Q2212"/>
          <cell r="R2212">
            <v>9350</v>
          </cell>
          <cell r="S2212"/>
          <cell r="T2212">
            <v>9350</v>
          </cell>
          <cell r="U2212"/>
          <cell r="V2212">
            <v>9350</v>
          </cell>
          <cell r="W2212"/>
          <cell r="X2212">
            <v>9350</v>
          </cell>
          <cell r="Y2212"/>
          <cell r="Z2212">
            <v>9350</v>
          </cell>
          <cell r="AA2212"/>
          <cell r="AB2212"/>
          <cell r="AC2212"/>
          <cell r="AD2212">
            <v>0.26100000000000001</v>
          </cell>
          <cell r="AE2212"/>
          <cell r="AF2212"/>
          <cell r="AG2212">
            <v>9900</v>
          </cell>
          <cell r="AH2212">
            <v>96</v>
          </cell>
          <cell r="AI2212">
            <v>0.98899999999999999</v>
          </cell>
          <cell r="AJ2212">
            <v>1</v>
          </cell>
          <cell r="AK2212">
            <v>97.06</v>
          </cell>
          <cell r="AL2212"/>
        </row>
        <row r="2213">
          <cell r="E2213" t="str">
            <v>■Ｈｆ笠なし</v>
          </cell>
          <cell r="F2213"/>
          <cell r="G2213"/>
          <cell r="H2213"/>
          <cell r="I2213"/>
          <cell r="J2213"/>
          <cell r="K2213"/>
          <cell r="L2213"/>
          <cell r="M2213"/>
          <cell r="N2213"/>
          <cell r="O2213"/>
          <cell r="P2213"/>
          <cell r="Q2213"/>
          <cell r="R2213"/>
          <cell r="S2213"/>
          <cell r="T2213"/>
          <cell r="U2213"/>
          <cell r="V2213"/>
          <cell r="W2213"/>
          <cell r="X2213"/>
          <cell r="Y2213"/>
          <cell r="Z2213"/>
          <cell r="AA2213"/>
          <cell r="AB2213"/>
          <cell r="AC2213"/>
          <cell r="AD2213"/>
          <cell r="AE2213"/>
          <cell r="AF2213"/>
          <cell r="AG2213"/>
          <cell r="AH2213"/>
          <cell r="AI2213"/>
          <cell r="AJ2213"/>
          <cell r="AK2213"/>
          <cell r="AL2213"/>
        </row>
        <row r="2214">
          <cell r="E2214" t="str">
            <v>T8-161PH</v>
          </cell>
          <cell r="F2214" t="str">
            <v>台</v>
          </cell>
          <cell r="G2214"/>
          <cell r="H2214">
            <v>4140</v>
          </cell>
          <cell r="I2214"/>
          <cell r="J2214">
            <v>4140</v>
          </cell>
          <cell r="K2214"/>
          <cell r="L2214">
            <v>4140</v>
          </cell>
          <cell r="M2214"/>
          <cell r="N2214">
            <v>4140</v>
          </cell>
          <cell r="O2214"/>
          <cell r="P2214">
            <v>4140</v>
          </cell>
          <cell r="Q2214"/>
          <cell r="R2214">
            <v>4140</v>
          </cell>
          <cell r="S2214"/>
          <cell r="T2214">
            <v>4140</v>
          </cell>
          <cell r="U2214"/>
          <cell r="V2214">
            <v>4140</v>
          </cell>
          <cell r="W2214"/>
          <cell r="X2214">
            <v>4140</v>
          </cell>
          <cell r="Y2214"/>
          <cell r="Z2214">
            <v>4140</v>
          </cell>
          <cell r="AA2214"/>
          <cell r="AB2214"/>
          <cell r="AC2214"/>
          <cell r="AD2214">
            <v>0.13</v>
          </cell>
          <cell r="AE2214"/>
          <cell r="AF2214"/>
          <cell r="AG2214">
            <v>2100</v>
          </cell>
          <cell r="AH2214">
            <v>26</v>
          </cell>
          <cell r="AI2214">
            <v>0.96299999999999997</v>
          </cell>
          <cell r="AJ2214">
            <v>1</v>
          </cell>
          <cell r="AK2214">
            <v>26.99</v>
          </cell>
          <cell r="AL2214"/>
        </row>
        <row r="2215">
          <cell r="E2215" t="str">
            <v>T8-321PN</v>
          </cell>
          <cell r="F2215" t="str">
            <v>台</v>
          </cell>
          <cell r="G2215"/>
          <cell r="H2215">
            <v>3330</v>
          </cell>
          <cell r="I2215"/>
          <cell r="J2215">
            <v>3330</v>
          </cell>
          <cell r="K2215"/>
          <cell r="L2215">
            <v>3330</v>
          </cell>
          <cell r="M2215"/>
          <cell r="N2215">
            <v>3330</v>
          </cell>
          <cell r="O2215"/>
          <cell r="P2215">
            <v>3330</v>
          </cell>
          <cell r="Q2215"/>
          <cell r="R2215">
            <v>3330</v>
          </cell>
          <cell r="S2215"/>
          <cell r="T2215">
            <v>3330</v>
          </cell>
          <cell r="U2215"/>
          <cell r="V2215">
            <v>3330</v>
          </cell>
          <cell r="W2215"/>
          <cell r="X2215">
            <v>3330</v>
          </cell>
          <cell r="Y2215"/>
          <cell r="Z2215">
            <v>3330</v>
          </cell>
          <cell r="AA2215"/>
          <cell r="AB2215"/>
          <cell r="AC2215"/>
          <cell r="AD2215">
            <v>0.20899999999999999</v>
          </cell>
          <cell r="AE2215"/>
          <cell r="AF2215"/>
          <cell r="AG2215">
            <v>4950</v>
          </cell>
          <cell r="AH2215">
            <v>48</v>
          </cell>
          <cell r="AI2215">
            <v>0.97899999999999998</v>
          </cell>
          <cell r="AJ2215">
            <v>1</v>
          </cell>
          <cell r="AK2215">
            <v>49.02</v>
          </cell>
          <cell r="AL2215"/>
        </row>
        <row r="2216">
          <cell r="E2216" t="str">
            <v>T8-321PH</v>
          </cell>
          <cell r="F2216" t="str">
            <v>台</v>
          </cell>
          <cell r="G2216"/>
          <cell r="H2216">
            <v>4250</v>
          </cell>
          <cell r="I2216"/>
          <cell r="J2216">
            <v>4250</v>
          </cell>
          <cell r="K2216"/>
          <cell r="L2216">
            <v>4250</v>
          </cell>
          <cell r="M2216"/>
          <cell r="N2216">
            <v>4250</v>
          </cell>
          <cell r="O2216"/>
          <cell r="P2216">
            <v>4250</v>
          </cell>
          <cell r="Q2216"/>
          <cell r="R2216">
            <v>4250</v>
          </cell>
          <cell r="S2216"/>
          <cell r="T2216">
            <v>4250</v>
          </cell>
          <cell r="U2216"/>
          <cell r="V2216">
            <v>4250</v>
          </cell>
          <cell r="W2216"/>
          <cell r="X2216">
            <v>4250</v>
          </cell>
          <cell r="Y2216"/>
          <cell r="Z2216">
            <v>4250</v>
          </cell>
          <cell r="AA2216"/>
          <cell r="AB2216"/>
          <cell r="AC2216"/>
          <cell r="AD2216">
            <v>0.20899999999999999</v>
          </cell>
          <cell r="AE2216"/>
          <cell r="AF2216"/>
          <cell r="AG2216">
            <v>4950</v>
          </cell>
          <cell r="AH2216">
            <v>48</v>
          </cell>
          <cell r="AI2216">
            <v>0.97899999999999998</v>
          </cell>
          <cell r="AJ2216">
            <v>1</v>
          </cell>
          <cell r="AK2216">
            <v>49.02</v>
          </cell>
          <cell r="AL2216"/>
        </row>
        <row r="2217">
          <cell r="E2217" t="str">
            <v>T8-321PZ</v>
          </cell>
          <cell r="F2217" t="str">
            <v>台</v>
          </cell>
          <cell r="G2217"/>
          <cell r="H2217">
            <v>8330</v>
          </cell>
          <cell r="I2217"/>
          <cell r="J2217">
            <v>8330</v>
          </cell>
          <cell r="K2217"/>
          <cell r="L2217">
            <v>8330</v>
          </cell>
          <cell r="M2217"/>
          <cell r="N2217">
            <v>8330</v>
          </cell>
          <cell r="O2217"/>
          <cell r="P2217">
            <v>8330</v>
          </cell>
          <cell r="Q2217"/>
          <cell r="R2217">
            <v>8330</v>
          </cell>
          <cell r="S2217"/>
          <cell r="T2217">
            <v>8330</v>
          </cell>
          <cell r="U2217"/>
          <cell r="V2217">
            <v>8330</v>
          </cell>
          <cell r="W2217"/>
          <cell r="X2217">
            <v>8330</v>
          </cell>
          <cell r="Y2217"/>
          <cell r="Z2217">
            <v>8330</v>
          </cell>
          <cell r="AA2217"/>
          <cell r="AB2217"/>
          <cell r="AC2217"/>
          <cell r="AD2217">
            <v>0.20899999999999999</v>
          </cell>
          <cell r="AE2217"/>
          <cell r="AF2217"/>
          <cell r="AG2217">
            <v>4950</v>
          </cell>
          <cell r="AH2217">
            <v>48</v>
          </cell>
          <cell r="AI2217">
            <v>0.97899999999999998</v>
          </cell>
          <cell r="AJ2217">
            <v>1</v>
          </cell>
          <cell r="AK2217">
            <v>49.02</v>
          </cell>
          <cell r="AL2217"/>
        </row>
        <row r="2218">
          <cell r="E2218" t="str">
            <v>T8-321PK</v>
          </cell>
          <cell r="F2218" t="str">
            <v>台</v>
          </cell>
          <cell r="G2218"/>
          <cell r="H2218">
            <v>6290</v>
          </cell>
          <cell r="I2218"/>
          <cell r="J2218">
            <v>6290</v>
          </cell>
          <cell r="K2218"/>
          <cell r="L2218">
            <v>6290</v>
          </cell>
          <cell r="M2218"/>
          <cell r="N2218">
            <v>6290</v>
          </cell>
          <cell r="O2218"/>
          <cell r="P2218">
            <v>6290</v>
          </cell>
          <cell r="Q2218"/>
          <cell r="R2218">
            <v>6290</v>
          </cell>
          <cell r="S2218"/>
          <cell r="T2218">
            <v>6290</v>
          </cell>
          <cell r="U2218"/>
          <cell r="V2218">
            <v>6290</v>
          </cell>
          <cell r="W2218"/>
          <cell r="X2218">
            <v>6290</v>
          </cell>
          <cell r="Y2218"/>
          <cell r="Z2218">
            <v>6290</v>
          </cell>
          <cell r="AA2218"/>
          <cell r="AB2218"/>
          <cell r="AC2218"/>
          <cell r="AD2218">
            <v>0.20899999999999999</v>
          </cell>
          <cell r="AE2218"/>
          <cell r="AF2218"/>
          <cell r="AG2218">
            <v>4950</v>
          </cell>
          <cell r="AH2218">
            <v>48</v>
          </cell>
          <cell r="AI2218">
            <v>0.97899999999999998</v>
          </cell>
          <cell r="AJ2218">
            <v>1</v>
          </cell>
          <cell r="AK2218">
            <v>49.02</v>
          </cell>
          <cell r="AL2218"/>
        </row>
        <row r="2219">
          <cell r="E2219" t="str">
            <v>T8-861PN</v>
          </cell>
          <cell r="F2219" t="str">
            <v>台</v>
          </cell>
          <cell r="G2219"/>
          <cell r="H2219">
            <v>10000</v>
          </cell>
          <cell r="I2219"/>
          <cell r="J2219">
            <v>10000</v>
          </cell>
          <cell r="K2219"/>
          <cell r="L2219">
            <v>10000</v>
          </cell>
          <cell r="M2219"/>
          <cell r="N2219">
            <v>10000</v>
          </cell>
          <cell r="O2219"/>
          <cell r="P2219">
            <v>10000</v>
          </cell>
          <cell r="Q2219"/>
          <cell r="R2219">
            <v>10000</v>
          </cell>
          <cell r="S2219"/>
          <cell r="T2219">
            <v>10000</v>
          </cell>
          <cell r="U2219"/>
          <cell r="V2219">
            <v>10000</v>
          </cell>
          <cell r="W2219"/>
          <cell r="X2219">
            <v>10000</v>
          </cell>
          <cell r="Y2219"/>
          <cell r="Z2219">
            <v>10000</v>
          </cell>
          <cell r="AA2219"/>
          <cell r="AB2219"/>
          <cell r="AC2219"/>
          <cell r="AD2219">
            <v>0.39100000000000001</v>
          </cell>
          <cell r="AE2219"/>
          <cell r="AF2219"/>
          <cell r="AG2219">
            <v>9200</v>
          </cell>
          <cell r="AH2219">
            <v>89</v>
          </cell>
          <cell r="AI2219">
            <v>0.98899999999999999</v>
          </cell>
          <cell r="AJ2219">
            <v>1</v>
          </cell>
          <cell r="AK2219">
            <v>89.98</v>
          </cell>
          <cell r="AL2219"/>
        </row>
        <row r="2220">
          <cell r="E2220" t="str">
            <v>T8RP-321PN</v>
          </cell>
          <cell r="F2220" t="str">
            <v>台</v>
          </cell>
          <cell r="G2220"/>
          <cell r="H2220">
            <v>5060</v>
          </cell>
          <cell r="I2220"/>
          <cell r="J2220">
            <v>5060</v>
          </cell>
          <cell r="K2220"/>
          <cell r="L2220">
            <v>5060</v>
          </cell>
          <cell r="M2220"/>
          <cell r="N2220">
            <v>5060</v>
          </cell>
          <cell r="O2220"/>
          <cell r="P2220">
            <v>5060</v>
          </cell>
          <cell r="Q2220"/>
          <cell r="R2220">
            <v>5060</v>
          </cell>
          <cell r="S2220"/>
          <cell r="T2220">
            <v>5060</v>
          </cell>
          <cell r="U2220"/>
          <cell r="V2220">
            <v>5060</v>
          </cell>
          <cell r="W2220"/>
          <cell r="X2220">
            <v>5060</v>
          </cell>
          <cell r="Y2220"/>
          <cell r="Z2220">
            <v>5060</v>
          </cell>
          <cell r="AA2220"/>
          <cell r="AB2220"/>
          <cell r="AC2220"/>
          <cell r="AD2220">
            <v>0.20899999999999999</v>
          </cell>
          <cell r="AE2220"/>
          <cell r="AF2220"/>
          <cell r="AG2220">
            <v>4950</v>
          </cell>
          <cell r="AH2220">
            <v>48</v>
          </cell>
          <cell r="AI2220">
            <v>0.97899999999999998</v>
          </cell>
          <cell r="AJ2220">
            <v>1</v>
          </cell>
          <cell r="AK2220">
            <v>49.02</v>
          </cell>
          <cell r="AL2220"/>
        </row>
        <row r="2221">
          <cell r="E2221" t="str">
            <v>T8RP-321PH</v>
          </cell>
          <cell r="F2221" t="str">
            <v>台</v>
          </cell>
          <cell r="G2221"/>
          <cell r="H2221">
            <v>10800</v>
          </cell>
          <cell r="I2221"/>
          <cell r="J2221">
            <v>10800</v>
          </cell>
          <cell r="K2221"/>
          <cell r="L2221">
            <v>10800</v>
          </cell>
          <cell r="M2221"/>
          <cell r="N2221">
            <v>10800</v>
          </cell>
          <cell r="O2221"/>
          <cell r="P2221">
            <v>10800</v>
          </cell>
          <cell r="Q2221"/>
          <cell r="R2221">
            <v>10800</v>
          </cell>
          <cell r="S2221"/>
          <cell r="T2221">
            <v>10800</v>
          </cell>
          <cell r="U2221"/>
          <cell r="V2221">
            <v>10800</v>
          </cell>
          <cell r="W2221"/>
          <cell r="X2221">
            <v>10800</v>
          </cell>
          <cell r="Y2221"/>
          <cell r="Z2221">
            <v>10800</v>
          </cell>
          <cell r="AA2221"/>
          <cell r="AB2221"/>
          <cell r="AC2221"/>
          <cell r="AD2221">
            <v>0.20899999999999999</v>
          </cell>
          <cell r="AE2221"/>
          <cell r="AF2221"/>
          <cell r="AG2221">
            <v>4950</v>
          </cell>
          <cell r="AH2221">
            <v>48</v>
          </cell>
          <cell r="AI2221">
            <v>0.97899999999999998</v>
          </cell>
          <cell r="AJ2221">
            <v>1</v>
          </cell>
          <cell r="AK2221">
            <v>49.02</v>
          </cell>
          <cell r="AL2221"/>
        </row>
        <row r="2222">
          <cell r="E2222" t="str">
            <v>T8RAP-321PN</v>
          </cell>
          <cell r="F2222" t="str">
            <v>台</v>
          </cell>
          <cell r="G2222"/>
          <cell r="H2222">
            <v>11300</v>
          </cell>
          <cell r="I2222"/>
          <cell r="J2222">
            <v>11300</v>
          </cell>
          <cell r="K2222"/>
          <cell r="L2222">
            <v>11300</v>
          </cell>
          <cell r="M2222"/>
          <cell r="N2222">
            <v>11300</v>
          </cell>
          <cell r="O2222"/>
          <cell r="P2222">
            <v>11300</v>
          </cell>
          <cell r="Q2222"/>
          <cell r="R2222">
            <v>11300</v>
          </cell>
          <cell r="S2222"/>
          <cell r="T2222">
            <v>11300</v>
          </cell>
          <cell r="U2222"/>
          <cell r="V2222">
            <v>11300</v>
          </cell>
          <cell r="W2222"/>
          <cell r="X2222">
            <v>11300</v>
          </cell>
          <cell r="Y2222"/>
          <cell r="Z2222">
            <v>11300</v>
          </cell>
          <cell r="AA2222"/>
          <cell r="AB2222"/>
          <cell r="AC2222"/>
          <cell r="AD2222">
            <v>0.20899999999999999</v>
          </cell>
          <cell r="AE2222"/>
          <cell r="AF2222"/>
          <cell r="AG2222">
            <v>4950</v>
          </cell>
          <cell r="AH2222">
            <v>48</v>
          </cell>
          <cell r="AI2222">
            <v>0.97899999999999998</v>
          </cell>
          <cell r="AJ2222">
            <v>1</v>
          </cell>
          <cell r="AK2222">
            <v>49.02</v>
          </cell>
          <cell r="AL2222"/>
        </row>
        <row r="2223">
          <cell r="E2223" t="str">
            <v>T8RPA-321PH</v>
          </cell>
          <cell r="F2223" t="str">
            <v>台</v>
          </cell>
          <cell r="G2223"/>
          <cell r="H2223">
            <v>16000</v>
          </cell>
          <cell r="I2223"/>
          <cell r="J2223">
            <v>16000</v>
          </cell>
          <cell r="K2223"/>
          <cell r="L2223">
            <v>16000</v>
          </cell>
          <cell r="M2223"/>
          <cell r="N2223">
            <v>16000</v>
          </cell>
          <cell r="O2223"/>
          <cell r="P2223">
            <v>16000</v>
          </cell>
          <cell r="Q2223"/>
          <cell r="R2223">
            <v>16000</v>
          </cell>
          <cell r="S2223"/>
          <cell r="T2223">
            <v>16000</v>
          </cell>
          <cell r="U2223"/>
          <cell r="V2223">
            <v>16000</v>
          </cell>
          <cell r="W2223"/>
          <cell r="X2223">
            <v>16000</v>
          </cell>
          <cell r="Y2223"/>
          <cell r="Z2223">
            <v>16000</v>
          </cell>
          <cell r="AA2223"/>
          <cell r="AB2223"/>
          <cell r="AC2223"/>
          <cell r="AD2223">
            <v>0.20899999999999999</v>
          </cell>
          <cell r="AE2223"/>
          <cell r="AF2223"/>
          <cell r="AG2223">
            <v>4950</v>
          </cell>
          <cell r="AH2223">
            <v>48</v>
          </cell>
          <cell r="AI2223">
            <v>0.97899999999999998</v>
          </cell>
          <cell r="AJ2223">
            <v>1</v>
          </cell>
          <cell r="AK2223">
            <v>49.02</v>
          </cell>
          <cell r="AL2223"/>
        </row>
        <row r="2224">
          <cell r="E2224" t="str">
            <v>T8BPB-321PN</v>
          </cell>
          <cell r="F2224" t="str">
            <v>台</v>
          </cell>
          <cell r="G2224"/>
          <cell r="H2224">
            <v>11300</v>
          </cell>
          <cell r="I2224"/>
          <cell r="J2224">
            <v>11300</v>
          </cell>
          <cell r="K2224"/>
          <cell r="L2224">
            <v>11300</v>
          </cell>
          <cell r="M2224"/>
          <cell r="N2224">
            <v>11300</v>
          </cell>
          <cell r="O2224"/>
          <cell r="P2224">
            <v>11300</v>
          </cell>
          <cell r="Q2224"/>
          <cell r="R2224">
            <v>11300</v>
          </cell>
          <cell r="S2224"/>
          <cell r="T2224">
            <v>11300</v>
          </cell>
          <cell r="U2224"/>
          <cell r="V2224">
            <v>11300</v>
          </cell>
          <cell r="W2224"/>
          <cell r="X2224">
            <v>11300</v>
          </cell>
          <cell r="Y2224"/>
          <cell r="Z2224">
            <v>11300</v>
          </cell>
          <cell r="AA2224"/>
          <cell r="AB2224"/>
          <cell r="AC2224"/>
          <cell r="AD2224">
            <v>0.20899999999999999</v>
          </cell>
          <cell r="AE2224"/>
          <cell r="AF2224"/>
          <cell r="AG2224">
            <v>4950</v>
          </cell>
          <cell r="AH2224">
            <v>48</v>
          </cell>
          <cell r="AI2224">
            <v>0.97899999999999998</v>
          </cell>
          <cell r="AJ2224">
            <v>1</v>
          </cell>
          <cell r="AK2224">
            <v>49.02</v>
          </cell>
          <cell r="AL2224"/>
        </row>
        <row r="2225">
          <cell r="E2225" t="str">
            <v>T8RPB-321PH</v>
          </cell>
          <cell r="F2225" t="str">
            <v>台</v>
          </cell>
          <cell r="G2225"/>
          <cell r="H2225">
            <v>16000</v>
          </cell>
          <cell r="I2225"/>
          <cell r="J2225">
            <v>16000</v>
          </cell>
          <cell r="K2225"/>
          <cell r="L2225">
            <v>16000</v>
          </cell>
          <cell r="M2225"/>
          <cell r="N2225">
            <v>16000</v>
          </cell>
          <cell r="O2225"/>
          <cell r="P2225">
            <v>16000</v>
          </cell>
          <cell r="Q2225"/>
          <cell r="R2225">
            <v>16000</v>
          </cell>
          <cell r="S2225"/>
          <cell r="T2225">
            <v>16000</v>
          </cell>
          <cell r="U2225"/>
          <cell r="V2225">
            <v>16000</v>
          </cell>
          <cell r="W2225"/>
          <cell r="X2225">
            <v>16000</v>
          </cell>
          <cell r="Y2225"/>
          <cell r="Z2225">
            <v>16000</v>
          </cell>
          <cell r="AA2225"/>
          <cell r="AB2225"/>
          <cell r="AC2225"/>
          <cell r="AD2225">
            <v>0.20899999999999999</v>
          </cell>
          <cell r="AE2225"/>
          <cell r="AF2225"/>
          <cell r="AG2225">
            <v>4950</v>
          </cell>
          <cell r="AH2225">
            <v>48</v>
          </cell>
          <cell r="AI2225">
            <v>0.97899999999999998</v>
          </cell>
          <cell r="AJ2225">
            <v>1</v>
          </cell>
          <cell r="AK2225">
            <v>49.02</v>
          </cell>
          <cell r="AL2225"/>
        </row>
        <row r="2226">
          <cell r="E2226" t="str">
            <v>■Ｈｆ逆富士</v>
          </cell>
          <cell r="F2226"/>
          <cell r="G2226"/>
          <cell r="H2226"/>
          <cell r="I2226"/>
          <cell r="J2226"/>
          <cell r="K2226"/>
          <cell r="L2226"/>
          <cell r="M2226"/>
          <cell r="N2226"/>
          <cell r="O2226"/>
          <cell r="P2226"/>
          <cell r="Q2226"/>
          <cell r="R2226"/>
          <cell r="S2226"/>
          <cell r="T2226"/>
          <cell r="U2226"/>
          <cell r="V2226"/>
          <cell r="W2226"/>
          <cell r="X2226"/>
          <cell r="Y2226"/>
          <cell r="Z2226"/>
          <cell r="AA2226"/>
          <cell r="AB2226"/>
          <cell r="AC2226"/>
          <cell r="AD2226"/>
          <cell r="AE2226"/>
          <cell r="AF2226"/>
          <cell r="AG2226"/>
          <cell r="AH2226"/>
          <cell r="AI2226"/>
          <cell r="AJ2226"/>
          <cell r="AK2226"/>
          <cell r="AL2226"/>
        </row>
        <row r="2227">
          <cell r="E2227" t="str">
            <v>V9-161PH</v>
          </cell>
          <cell r="F2227" t="str">
            <v>台</v>
          </cell>
          <cell r="G2227"/>
          <cell r="H2227">
            <v>4350</v>
          </cell>
          <cell r="I2227"/>
          <cell r="J2227">
            <v>4350</v>
          </cell>
          <cell r="K2227"/>
          <cell r="L2227">
            <v>4350</v>
          </cell>
          <cell r="M2227"/>
          <cell r="N2227">
            <v>4350</v>
          </cell>
          <cell r="O2227"/>
          <cell r="P2227">
            <v>4350</v>
          </cell>
          <cell r="Q2227"/>
          <cell r="R2227">
            <v>4350</v>
          </cell>
          <cell r="S2227"/>
          <cell r="T2227">
            <v>4350</v>
          </cell>
          <cell r="U2227"/>
          <cell r="V2227">
            <v>4350</v>
          </cell>
          <cell r="W2227"/>
          <cell r="X2227">
            <v>4350</v>
          </cell>
          <cell r="Y2227"/>
          <cell r="Z2227">
            <v>4350</v>
          </cell>
          <cell r="AA2227"/>
          <cell r="AB2227"/>
          <cell r="AC2227"/>
          <cell r="AD2227">
            <v>0.13</v>
          </cell>
          <cell r="AE2227"/>
          <cell r="AF2227"/>
          <cell r="AG2227">
            <v>2100</v>
          </cell>
          <cell r="AH2227">
            <v>26</v>
          </cell>
          <cell r="AI2227">
            <v>0.96299999999999997</v>
          </cell>
          <cell r="AJ2227">
            <v>1</v>
          </cell>
          <cell r="AK2227">
            <v>26.99</v>
          </cell>
          <cell r="AL2227"/>
        </row>
        <row r="2228">
          <cell r="E2228" t="str">
            <v>V9-162PH</v>
          </cell>
          <cell r="F2228" t="str">
            <v>台</v>
          </cell>
          <cell r="G2228"/>
          <cell r="H2228">
            <v>6630</v>
          </cell>
          <cell r="I2228"/>
          <cell r="J2228">
            <v>6630</v>
          </cell>
          <cell r="K2228"/>
          <cell r="L2228">
            <v>6630</v>
          </cell>
          <cell r="M2228"/>
          <cell r="N2228">
            <v>6630</v>
          </cell>
          <cell r="O2228"/>
          <cell r="P2228">
            <v>6630</v>
          </cell>
          <cell r="Q2228"/>
          <cell r="R2228">
            <v>6630</v>
          </cell>
          <cell r="S2228"/>
          <cell r="T2228">
            <v>6630</v>
          </cell>
          <cell r="U2228"/>
          <cell r="V2228">
            <v>6630</v>
          </cell>
          <cell r="W2228"/>
          <cell r="X2228">
            <v>6630</v>
          </cell>
          <cell r="Y2228"/>
          <cell r="Z2228">
            <v>6630</v>
          </cell>
          <cell r="AA2228"/>
          <cell r="AB2228"/>
          <cell r="AC2228"/>
          <cell r="AD2228">
            <v>0.16500000000000001</v>
          </cell>
          <cell r="AE2228"/>
          <cell r="AF2228"/>
          <cell r="AG2228">
            <v>4200</v>
          </cell>
          <cell r="AH2228">
            <v>50</v>
          </cell>
          <cell r="AI2228">
            <v>0.98</v>
          </cell>
          <cell r="AJ2228">
            <v>1</v>
          </cell>
          <cell r="AK2228">
            <v>51.02</v>
          </cell>
          <cell r="AL2228"/>
        </row>
        <row r="2229">
          <cell r="E2229" t="str">
            <v>V9-162PX</v>
          </cell>
          <cell r="F2229" t="str">
            <v>台</v>
          </cell>
          <cell r="G2229"/>
          <cell r="H2229">
            <v>7710</v>
          </cell>
          <cell r="I2229"/>
          <cell r="J2229">
            <v>7710</v>
          </cell>
          <cell r="K2229"/>
          <cell r="L2229">
            <v>7710</v>
          </cell>
          <cell r="M2229"/>
          <cell r="N2229">
            <v>7710</v>
          </cell>
          <cell r="O2229"/>
          <cell r="P2229">
            <v>7710</v>
          </cell>
          <cell r="Q2229"/>
          <cell r="R2229">
            <v>7710</v>
          </cell>
          <cell r="S2229"/>
          <cell r="T2229">
            <v>7710</v>
          </cell>
          <cell r="U2229"/>
          <cell r="V2229">
            <v>7710</v>
          </cell>
          <cell r="W2229"/>
          <cell r="X2229">
            <v>7710</v>
          </cell>
          <cell r="Y2229"/>
          <cell r="Z2229">
            <v>7710</v>
          </cell>
          <cell r="AA2229"/>
          <cell r="AB2229"/>
          <cell r="AC2229"/>
          <cell r="AD2229">
            <v>0.16500000000000001</v>
          </cell>
          <cell r="AE2229"/>
          <cell r="AF2229"/>
          <cell r="AG2229">
            <v>4200</v>
          </cell>
          <cell r="AH2229">
            <v>50</v>
          </cell>
          <cell r="AI2229">
            <v>0.98</v>
          </cell>
          <cell r="AJ2229">
            <v>1</v>
          </cell>
          <cell r="AK2229">
            <v>51.02</v>
          </cell>
          <cell r="AL2229"/>
        </row>
        <row r="2230">
          <cell r="E2230" t="str">
            <v>V9-321PN</v>
          </cell>
          <cell r="F2230" t="str">
            <v>台</v>
          </cell>
          <cell r="G2230"/>
          <cell r="H2230">
            <v>3600</v>
          </cell>
          <cell r="I2230"/>
          <cell r="J2230">
            <v>3600</v>
          </cell>
          <cell r="K2230"/>
          <cell r="L2230">
            <v>3600</v>
          </cell>
          <cell r="M2230"/>
          <cell r="N2230">
            <v>3600</v>
          </cell>
          <cell r="O2230"/>
          <cell r="P2230">
            <v>3600</v>
          </cell>
          <cell r="Q2230"/>
          <cell r="R2230">
            <v>3600</v>
          </cell>
          <cell r="S2230"/>
          <cell r="T2230">
            <v>3600</v>
          </cell>
          <cell r="U2230"/>
          <cell r="V2230">
            <v>3600</v>
          </cell>
          <cell r="W2230"/>
          <cell r="X2230">
            <v>3600</v>
          </cell>
          <cell r="Y2230"/>
          <cell r="Z2230">
            <v>3600</v>
          </cell>
          <cell r="AA2230"/>
          <cell r="AB2230"/>
          <cell r="AC2230"/>
          <cell r="AD2230">
            <v>0.20899999999999999</v>
          </cell>
          <cell r="AE2230"/>
          <cell r="AF2230"/>
          <cell r="AG2230">
            <v>4950</v>
          </cell>
          <cell r="AH2230">
            <v>48</v>
          </cell>
          <cell r="AI2230">
            <v>0.97899999999999998</v>
          </cell>
          <cell r="AJ2230">
            <v>1</v>
          </cell>
          <cell r="AK2230">
            <v>49.02</v>
          </cell>
          <cell r="AL2230"/>
        </row>
        <row r="2231">
          <cell r="E2231" t="str">
            <v>V9-321PH</v>
          </cell>
          <cell r="F2231" t="str">
            <v>台</v>
          </cell>
          <cell r="G2231"/>
          <cell r="H2231">
            <v>4450</v>
          </cell>
          <cell r="I2231"/>
          <cell r="J2231">
            <v>4450</v>
          </cell>
          <cell r="K2231"/>
          <cell r="L2231">
            <v>4450</v>
          </cell>
          <cell r="M2231"/>
          <cell r="N2231">
            <v>4450</v>
          </cell>
          <cell r="O2231"/>
          <cell r="P2231">
            <v>4450</v>
          </cell>
          <cell r="Q2231"/>
          <cell r="R2231">
            <v>4450</v>
          </cell>
          <cell r="S2231"/>
          <cell r="T2231">
            <v>4450</v>
          </cell>
          <cell r="U2231"/>
          <cell r="V2231">
            <v>4450</v>
          </cell>
          <cell r="W2231"/>
          <cell r="X2231">
            <v>4450</v>
          </cell>
          <cell r="Y2231"/>
          <cell r="Z2231">
            <v>4450</v>
          </cell>
          <cell r="AA2231"/>
          <cell r="AB2231"/>
          <cell r="AC2231"/>
          <cell r="AD2231">
            <v>0.20899999999999999</v>
          </cell>
          <cell r="AE2231"/>
          <cell r="AF2231"/>
          <cell r="AG2231">
            <v>4950</v>
          </cell>
          <cell r="AH2231">
            <v>48</v>
          </cell>
          <cell r="AI2231">
            <v>0.97899999999999998</v>
          </cell>
          <cell r="AJ2231">
            <v>1</v>
          </cell>
          <cell r="AK2231">
            <v>49.02</v>
          </cell>
          <cell r="AL2231"/>
        </row>
        <row r="2232">
          <cell r="E2232" t="str">
            <v>V9-321PX</v>
          </cell>
          <cell r="F2232" t="str">
            <v>台</v>
          </cell>
          <cell r="G2232"/>
          <cell r="H2232">
            <v>6490</v>
          </cell>
          <cell r="I2232"/>
          <cell r="J2232">
            <v>6490</v>
          </cell>
          <cell r="K2232"/>
          <cell r="L2232">
            <v>6490</v>
          </cell>
          <cell r="M2232"/>
          <cell r="N2232">
            <v>6490</v>
          </cell>
          <cell r="O2232"/>
          <cell r="P2232">
            <v>6490</v>
          </cell>
          <cell r="Q2232"/>
          <cell r="R2232">
            <v>6490</v>
          </cell>
          <cell r="S2232"/>
          <cell r="T2232">
            <v>6490</v>
          </cell>
          <cell r="U2232"/>
          <cell r="V2232">
            <v>6490</v>
          </cell>
          <cell r="W2232"/>
          <cell r="X2232">
            <v>6490</v>
          </cell>
          <cell r="Y2232"/>
          <cell r="Z2232">
            <v>6490</v>
          </cell>
          <cell r="AA2232"/>
          <cell r="AB2232"/>
          <cell r="AC2232"/>
          <cell r="AD2232">
            <v>0.20899999999999999</v>
          </cell>
          <cell r="AE2232"/>
          <cell r="AF2232"/>
          <cell r="AG2232">
            <v>4950</v>
          </cell>
          <cell r="AH2232">
            <v>48</v>
          </cell>
          <cell r="AI2232">
            <v>0.97899999999999998</v>
          </cell>
          <cell r="AJ2232">
            <v>1</v>
          </cell>
          <cell r="AK2232">
            <v>49.02</v>
          </cell>
          <cell r="AL2232"/>
        </row>
        <row r="2233">
          <cell r="E2233" t="str">
            <v>V9-321PK</v>
          </cell>
          <cell r="F2233" t="str">
            <v>台</v>
          </cell>
          <cell r="G2233"/>
          <cell r="H2233">
            <v>6490</v>
          </cell>
          <cell r="I2233"/>
          <cell r="J2233">
            <v>6490</v>
          </cell>
          <cell r="K2233"/>
          <cell r="L2233">
            <v>6490</v>
          </cell>
          <cell r="M2233"/>
          <cell r="N2233">
            <v>6490</v>
          </cell>
          <cell r="O2233"/>
          <cell r="P2233">
            <v>6490</v>
          </cell>
          <cell r="Q2233"/>
          <cell r="R2233">
            <v>6490</v>
          </cell>
          <cell r="S2233"/>
          <cell r="T2233">
            <v>6490</v>
          </cell>
          <cell r="U2233"/>
          <cell r="V2233">
            <v>6490</v>
          </cell>
          <cell r="W2233"/>
          <cell r="X2233">
            <v>6490</v>
          </cell>
          <cell r="Y2233"/>
          <cell r="Z2233">
            <v>6490</v>
          </cell>
          <cell r="AA2233"/>
          <cell r="AB2233"/>
          <cell r="AC2233"/>
          <cell r="AD2233">
            <v>0.20899999999999999</v>
          </cell>
          <cell r="AE2233"/>
          <cell r="AF2233"/>
          <cell r="AG2233">
            <v>4950</v>
          </cell>
          <cell r="AH2233">
            <v>48</v>
          </cell>
          <cell r="AI2233">
            <v>0.97899999999999998</v>
          </cell>
          <cell r="AJ2233">
            <v>1</v>
          </cell>
          <cell r="AK2233">
            <v>49.02</v>
          </cell>
          <cell r="AL2233"/>
        </row>
        <row r="2234">
          <cell r="E2234" t="str">
            <v>V9-322PN</v>
          </cell>
          <cell r="F2234" t="str">
            <v>台</v>
          </cell>
          <cell r="G2234"/>
          <cell r="H2234">
            <v>5400</v>
          </cell>
          <cell r="I2234"/>
          <cell r="J2234">
            <v>5400</v>
          </cell>
          <cell r="K2234"/>
          <cell r="L2234">
            <v>5400</v>
          </cell>
          <cell r="M2234"/>
          <cell r="N2234">
            <v>5400</v>
          </cell>
          <cell r="O2234"/>
          <cell r="P2234">
            <v>5400</v>
          </cell>
          <cell r="Q2234"/>
          <cell r="R2234">
            <v>5400</v>
          </cell>
          <cell r="S2234"/>
          <cell r="T2234">
            <v>5400</v>
          </cell>
          <cell r="U2234"/>
          <cell r="V2234">
            <v>5400</v>
          </cell>
          <cell r="W2234"/>
          <cell r="X2234">
            <v>5400</v>
          </cell>
          <cell r="Y2234"/>
          <cell r="Z2234">
            <v>5400</v>
          </cell>
          <cell r="AA2234"/>
          <cell r="AB2234"/>
          <cell r="AC2234"/>
          <cell r="AD2234">
            <v>0.26100000000000001</v>
          </cell>
          <cell r="AE2234"/>
          <cell r="AF2234"/>
          <cell r="AG2234">
            <v>9900</v>
          </cell>
          <cell r="AH2234">
            <v>96</v>
          </cell>
          <cell r="AI2234">
            <v>0.98899999999999999</v>
          </cell>
          <cell r="AJ2234">
            <v>1</v>
          </cell>
          <cell r="AK2234">
            <v>97.06</v>
          </cell>
          <cell r="AL2234"/>
        </row>
        <row r="2235">
          <cell r="E2235" t="str">
            <v>V9-322PH</v>
          </cell>
          <cell r="F2235" t="str">
            <v>台</v>
          </cell>
          <cell r="G2235"/>
          <cell r="H2235">
            <v>6760</v>
          </cell>
          <cell r="I2235"/>
          <cell r="J2235">
            <v>6760</v>
          </cell>
          <cell r="K2235"/>
          <cell r="L2235">
            <v>6760</v>
          </cell>
          <cell r="M2235"/>
          <cell r="N2235">
            <v>6760</v>
          </cell>
          <cell r="O2235"/>
          <cell r="P2235">
            <v>6760</v>
          </cell>
          <cell r="Q2235"/>
          <cell r="R2235">
            <v>6760</v>
          </cell>
          <cell r="S2235"/>
          <cell r="T2235">
            <v>6760</v>
          </cell>
          <cell r="U2235"/>
          <cell r="V2235">
            <v>6760</v>
          </cell>
          <cell r="W2235"/>
          <cell r="X2235">
            <v>6760</v>
          </cell>
          <cell r="Y2235"/>
          <cell r="Z2235">
            <v>6760</v>
          </cell>
          <cell r="AA2235"/>
          <cell r="AB2235"/>
          <cell r="AC2235"/>
          <cell r="AD2235">
            <v>0.26100000000000001</v>
          </cell>
          <cell r="AE2235"/>
          <cell r="AF2235"/>
          <cell r="AG2235">
            <v>9900</v>
          </cell>
          <cell r="AH2235">
            <v>96</v>
          </cell>
          <cell r="AI2235">
            <v>0.98899999999999999</v>
          </cell>
          <cell r="AJ2235">
            <v>1</v>
          </cell>
          <cell r="AK2235">
            <v>97.06</v>
          </cell>
          <cell r="AL2235"/>
        </row>
        <row r="2236">
          <cell r="E2236" t="str">
            <v>V9-322PX</v>
          </cell>
          <cell r="F2236" t="str">
            <v>台</v>
          </cell>
          <cell r="G2236"/>
          <cell r="H2236">
            <v>7780</v>
          </cell>
          <cell r="I2236"/>
          <cell r="J2236">
            <v>7780</v>
          </cell>
          <cell r="K2236"/>
          <cell r="L2236">
            <v>7780</v>
          </cell>
          <cell r="M2236"/>
          <cell r="N2236">
            <v>7780</v>
          </cell>
          <cell r="O2236"/>
          <cell r="P2236">
            <v>7780</v>
          </cell>
          <cell r="Q2236"/>
          <cell r="R2236">
            <v>7780</v>
          </cell>
          <cell r="S2236"/>
          <cell r="T2236">
            <v>7780</v>
          </cell>
          <cell r="U2236"/>
          <cell r="V2236">
            <v>7780</v>
          </cell>
          <cell r="W2236"/>
          <cell r="X2236">
            <v>7780</v>
          </cell>
          <cell r="Y2236"/>
          <cell r="Z2236">
            <v>7780</v>
          </cell>
          <cell r="AA2236"/>
          <cell r="AB2236"/>
          <cell r="AC2236"/>
          <cell r="AD2236">
            <v>0.26100000000000001</v>
          </cell>
          <cell r="AE2236"/>
          <cell r="AF2236"/>
          <cell r="AG2236">
            <v>9900</v>
          </cell>
          <cell r="AH2236">
            <v>96</v>
          </cell>
          <cell r="AI2236">
            <v>0.98899999999999999</v>
          </cell>
          <cell r="AJ2236">
            <v>1</v>
          </cell>
          <cell r="AK2236">
            <v>97.06</v>
          </cell>
          <cell r="AL2236"/>
        </row>
        <row r="2237">
          <cell r="E2237" t="str">
            <v>V9-322PK</v>
          </cell>
          <cell r="F2237" t="str">
            <v>台</v>
          </cell>
          <cell r="G2237"/>
          <cell r="H2237">
            <v>7780</v>
          </cell>
          <cell r="I2237"/>
          <cell r="J2237">
            <v>7780</v>
          </cell>
          <cell r="K2237"/>
          <cell r="L2237">
            <v>7780</v>
          </cell>
          <cell r="M2237"/>
          <cell r="N2237">
            <v>7780</v>
          </cell>
          <cell r="O2237"/>
          <cell r="P2237">
            <v>7780</v>
          </cell>
          <cell r="Q2237"/>
          <cell r="R2237">
            <v>7780</v>
          </cell>
          <cell r="S2237"/>
          <cell r="T2237">
            <v>7780</v>
          </cell>
          <cell r="U2237"/>
          <cell r="V2237">
            <v>7780</v>
          </cell>
          <cell r="W2237"/>
          <cell r="X2237">
            <v>7780</v>
          </cell>
          <cell r="Y2237"/>
          <cell r="Z2237">
            <v>7780</v>
          </cell>
          <cell r="AA2237"/>
          <cell r="AB2237"/>
          <cell r="AC2237"/>
          <cell r="AD2237">
            <v>0.26100000000000001</v>
          </cell>
          <cell r="AE2237"/>
          <cell r="AF2237"/>
          <cell r="AG2237">
            <v>9900</v>
          </cell>
          <cell r="AH2237">
            <v>96</v>
          </cell>
          <cell r="AI2237">
            <v>0.98899999999999999</v>
          </cell>
          <cell r="AJ2237">
            <v>1</v>
          </cell>
          <cell r="AK2237">
            <v>97.06</v>
          </cell>
          <cell r="AL2237"/>
        </row>
        <row r="2238">
          <cell r="E2238" t="str">
            <v>V9MP-321PN</v>
          </cell>
          <cell r="F2238" t="str">
            <v>台</v>
          </cell>
          <cell r="G2238"/>
          <cell r="H2238">
            <v>6730</v>
          </cell>
          <cell r="I2238"/>
          <cell r="J2238">
            <v>6730</v>
          </cell>
          <cell r="K2238"/>
          <cell r="L2238">
            <v>6730</v>
          </cell>
          <cell r="M2238"/>
          <cell r="N2238">
            <v>6730</v>
          </cell>
          <cell r="O2238"/>
          <cell r="P2238">
            <v>6730</v>
          </cell>
          <cell r="Q2238"/>
          <cell r="R2238">
            <v>6730</v>
          </cell>
          <cell r="S2238"/>
          <cell r="T2238">
            <v>6730</v>
          </cell>
          <cell r="U2238"/>
          <cell r="V2238">
            <v>6730</v>
          </cell>
          <cell r="W2238"/>
          <cell r="X2238">
            <v>6730</v>
          </cell>
          <cell r="Y2238"/>
          <cell r="Z2238">
            <v>6730</v>
          </cell>
          <cell r="AA2238"/>
          <cell r="AB2238"/>
          <cell r="AC2238"/>
          <cell r="AD2238">
            <v>0.20899999999999999</v>
          </cell>
          <cell r="AE2238"/>
          <cell r="AF2238"/>
          <cell r="AG2238">
            <v>4950</v>
          </cell>
          <cell r="AH2238">
            <v>48</v>
          </cell>
          <cell r="AI2238">
            <v>0.97899999999999998</v>
          </cell>
          <cell r="AJ2238">
            <v>1</v>
          </cell>
          <cell r="AK2238">
            <v>49.02</v>
          </cell>
          <cell r="AL2238"/>
        </row>
        <row r="2239">
          <cell r="E2239" t="str">
            <v>V9MP-321PH</v>
          </cell>
          <cell r="F2239" t="str">
            <v>台</v>
          </cell>
          <cell r="G2239"/>
          <cell r="H2239">
            <v>10300</v>
          </cell>
          <cell r="I2239"/>
          <cell r="J2239">
            <v>10300</v>
          </cell>
          <cell r="K2239"/>
          <cell r="L2239">
            <v>10300</v>
          </cell>
          <cell r="M2239"/>
          <cell r="N2239">
            <v>10300</v>
          </cell>
          <cell r="O2239"/>
          <cell r="P2239">
            <v>10300</v>
          </cell>
          <cell r="Q2239"/>
          <cell r="R2239">
            <v>10300</v>
          </cell>
          <cell r="S2239"/>
          <cell r="T2239">
            <v>10300</v>
          </cell>
          <cell r="U2239"/>
          <cell r="V2239">
            <v>10300</v>
          </cell>
          <cell r="W2239"/>
          <cell r="X2239">
            <v>10300</v>
          </cell>
          <cell r="Y2239"/>
          <cell r="Z2239">
            <v>10300</v>
          </cell>
          <cell r="AA2239"/>
          <cell r="AB2239"/>
          <cell r="AC2239"/>
          <cell r="AD2239">
            <v>0.20899999999999999</v>
          </cell>
          <cell r="AE2239"/>
          <cell r="AF2239"/>
          <cell r="AG2239">
            <v>4950</v>
          </cell>
          <cell r="AH2239">
            <v>48</v>
          </cell>
          <cell r="AI2239">
            <v>0.97899999999999998</v>
          </cell>
          <cell r="AJ2239">
            <v>1</v>
          </cell>
          <cell r="AK2239">
            <v>49.02</v>
          </cell>
          <cell r="AL2239"/>
        </row>
        <row r="2240">
          <cell r="E2240" t="str">
            <v>V9MP-322PN</v>
          </cell>
          <cell r="F2240" t="str">
            <v>台</v>
          </cell>
          <cell r="G2240"/>
          <cell r="H2240">
            <v>9210</v>
          </cell>
          <cell r="I2240"/>
          <cell r="J2240">
            <v>9210</v>
          </cell>
          <cell r="K2240"/>
          <cell r="L2240">
            <v>9210</v>
          </cell>
          <cell r="M2240"/>
          <cell r="N2240">
            <v>9210</v>
          </cell>
          <cell r="O2240"/>
          <cell r="P2240">
            <v>9210</v>
          </cell>
          <cell r="Q2240"/>
          <cell r="R2240">
            <v>9210</v>
          </cell>
          <cell r="S2240"/>
          <cell r="T2240">
            <v>9210</v>
          </cell>
          <cell r="U2240"/>
          <cell r="V2240">
            <v>9210</v>
          </cell>
          <cell r="W2240"/>
          <cell r="X2240">
            <v>9210</v>
          </cell>
          <cell r="Y2240"/>
          <cell r="Z2240">
            <v>9210</v>
          </cell>
          <cell r="AA2240"/>
          <cell r="AB2240"/>
          <cell r="AC2240"/>
          <cell r="AD2240">
            <v>0.26100000000000001</v>
          </cell>
          <cell r="AE2240"/>
          <cell r="AF2240"/>
          <cell r="AG2240">
            <v>9900</v>
          </cell>
          <cell r="AH2240">
            <v>96</v>
          </cell>
          <cell r="AI2240">
            <v>0.98899999999999999</v>
          </cell>
          <cell r="AJ2240">
            <v>1</v>
          </cell>
          <cell r="AK2240">
            <v>97.06</v>
          </cell>
          <cell r="AL2240"/>
        </row>
        <row r="2241">
          <cell r="E2241" t="str">
            <v>V9MP-322PH</v>
          </cell>
          <cell r="F2241" t="str">
            <v>台</v>
          </cell>
          <cell r="G2241"/>
          <cell r="H2241">
            <v>12700</v>
          </cell>
          <cell r="I2241"/>
          <cell r="J2241">
            <v>12700</v>
          </cell>
          <cell r="K2241"/>
          <cell r="L2241">
            <v>12700</v>
          </cell>
          <cell r="M2241"/>
          <cell r="N2241">
            <v>12700</v>
          </cell>
          <cell r="O2241"/>
          <cell r="P2241">
            <v>12700</v>
          </cell>
          <cell r="Q2241"/>
          <cell r="R2241">
            <v>12700</v>
          </cell>
          <cell r="S2241"/>
          <cell r="T2241">
            <v>12700</v>
          </cell>
          <cell r="U2241"/>
          <cell r="V2241">
            <v>12700</v>
          </cell>
          <cell r="W2241"/>
          <cell r="X2241">
            <v>12700</v>
          </cell>
          <cell r="Y2241"/>
          <cell r="Z2241">
            <v>12700</v>
          </cell>
          <cell r="AA2241"/>
          <cell r="AB2241"/>
          <cell r="AC2241"/>
          <cell r="AD2241">
            <v>0.26100000000000001</v>
          </cell>
          <cell r="AE2241"/>
          <cell r="AF2241"/>
          <cell r="AG2241">
            <v>9900</v>
          </cell>
          <cell r="AH2241">
            <v>96</v>
          </cell>
          <cell r="AI2241">
            <v>0.98899999999999999</v>
          </cell>
          <cell r="AJ2241">
            <v>1</v>
          </cell>
          <cell r="AK2241">
            <v>97.06</v>
          </cell>
          <cell r="AL2241"/>
        </row>
        <row r="2242">
          <cell r="E2242" t="str">
            <v>V9MPA-321PN</v>
          </cell>
          <cell r="F2242" t="str">
            <v>台</v>
          </cell>
          <cell r="G2242"/>
          <cell r="H2242">
            <v>14700</v>
          </cell>
          <cell r="I2242"/>
          <cell r="J2242">
            <v>14700</v>
          </cell>
          <cell r="K2242"/>
          <cell r="L2242">
            <v>14700</v>
          </cell>
          <cell r="M2242"/>
          <cell r="N2242">
            <v>14700</v>
          </cell>
          <cell r="O2242"/>
          <cell r="P2242">
            <v>14700</v>
          </cell>
          <cell r="Q2242"/>
          <cell r="R2242">
            <v>14700</v>
          </cell>
          <cell r="S2242"/>
          <cell r="T2242">
            <v>14700</v>
          </cell>
          <cell r="U2242"/>
          <cell r="V2242">
            <v>14700</v>
          </cell>
          <cell r="W2242"/>
          <cell r="X2242">
            <v>14700</v>
          </cell>
          <cell r="Y2242"/>
          <cell r="Z2242">
            <v>14700</v>
          </cell>
          <cell r="AA2242"/>
          <cell r="AB2242"/>
          <cell r="AC2242"/>
          <cell r="AD2242">
            <v>0.20899999999999999</v>
          </cell>
          <cell r="AE2242"/>
          <cell r="AF2242"/>
          <cell r="AG2242">
            <v>4950</v>
          </cell>
          <cell r="AH2242">
            <v>48</v>
          </cell>
          <cell r="AI2242">
            <v>0.97899999999999998</v>
          </cell>
          <cell r="AJ2242">
            <v>1</v>
          </cell>
          <cell r="AK2242">
            <v>49.02</v>
          </cell>
          <cell r="AL2242"/>
        </row>
        <row r="2243">
          <cell r="E2243" t="str">
            <v>V9MPA-321PH</v>
          </cell>
          <cell r="F2243" t="str">
            <v>台</v>
          </cell>
          <cell r="G2243"/>
          <cell r="H2243">
            <v>17100</v>
          </cell>
          <cell r="I2243"/>
          <cell r="J2243">
            <v>17100</v>
          </cell>
          <cell r="K2243"/>
          <cell r="L2243">
            <v>17100</v>
          </cell>
          <cell r="M2243"/>
          <cell r="N2243">
            <v>17100</v>
          </cell>
          <cell r="O2243"/>
          <cell r="P2243">
            <v>17100</v>
          </cell>
          <cell r="Q2243"/>
          <cell r="R2243">
            <v>17100</v>
          </cell>
          <cell r="S2243"/>
          <cell r="T2243">
            <v>17100</v>
          </cell>
          <cell r="U2243"/>
          <cell r="V2243">
            <v>17100</v>
          </cell>
          <cell r="W2243"/>
          <cell r="X2243">
            <v>17100</v>
          </cell>
          <cell r="Y2243"/>
          <cell r="Z2243">
            <v>17100</v>
          </cell>
          <cell r="AA2243"/>
          <cell r="AB2243"/>
          <cell r="AC2243"/>
          <cell r="AD2243">
            <v>0.20899999999999999</v>
          </cell>
          <cell r="AE2243"/>
          <cell r="AF2243"/>
          <cell r="AG2243">
            <v>4950</v>
          </cell>
          <cell r="AH2243">
            <v>48</v>
          </cell>
          <cell r="AI2243">
            <v>0.97899999999999998</v>
          </cell>
          <cell r="AJ2243">
            <v>1</v>
          </cell>
          <cell r="AK2243">
            <v>49.02</v>
          </cell>
          <cell r="AL2243"/>
        </row>
        <row r="2244">
          <cell r="E2244" t="str">
            <v>V9MPA-322PN</v>
          </cell>
          <cell r="F2244" t="str">
            <v>台</v>
          </cell>
          <cell r="G2244"/>
          <cell r="H2244">
            <v>18500</v>
          </cell>
          <cell r="I2244"/>
          <cell r="J2244">
            <v>18500</v>
          </cell>
          <cell r="K2244"/>
          <cell r="L2244">
            <v>18500</v>
          </cell>
          <cell r="M2244"/>
          <cell r="N2244">
            <v>18500</v>
          </cell>
          <cell r="O2244"/>
          <cell r="P2244">
            <v>18500</v>
          </cell>
          <cell r="Q2244"/>
          <cell r="R2244">
            <v>18500</v>
          </cell>
          <cell r="S2244"/>
          <cell r="T2244">
            <v>18500</v>
          </cell>
          <cell r="U2244"/>
          <cell r="V2244">
            <v>18500</v>
          </cell>
          <cell r="W2244"/>
          <cell r="X2244">
            <v>18500</v>
          </cell>
          <cell r="Y2244"/>
          <cell r="Z2244">
            <v>18500</v>
          </cell>
          <cell r="AA2244"/>
          <cell r="AB2244"/>
          <cell r="AC2244"/>
          <cell r="AD2244">
            <v>0.26100000000000001</v>
          </cell>
          <cell r="AE2244"/>
          <cell r="AF2244"/>
          <cell r="AG2244">
            <v>9900</v>
          </cell>
          <cell r="AH2244">
            <v>96</v>
          </cell>
          <cell r="AI2244">
            <v>0.98899999999999999</v>
          </cell>
          <cell r="AJ2244">
            <v>1</v>
          </cell>
          <cell r="AK2244">
            <v>97.06</v>
          </cell>
          <cell r="AL2244"/>
        </row>
        <row r="2245">
          <cell r="E2245" t="str">
            <v>V9MPA-322PH</v>
          </cell>
          <cell r="F2245" t="str">
            <v>台</v>
          </cell>
          <cell r="G2245"/>
          <cell r="H2245">
            <v>21600</v>
          </cell>
          <cell r="I2245"/>
          <cell r="J2245">
            <v>21600</v>
          </cell>
          <cell r="K2245"/>
          <cell r="L2245">
            <v>21600</v>
          </cell>
          <cell r="M2245"/>
          <cell r="N2245">
            <v>21600</v>
          </cell>
          <cell r="O2245"/>
          <cell r="P2245">
            <v>21600</v>
          </cell>
          <cell r="Q2245"/>
          <cell r="R2245">
            <v>21600</v>
          </cell>
          <cell r="S2245"/>
          <cell r="T2245">
            <v>21600</v>
          </cell>
          <cell r="U2245"/>
          <cell r="V2245">
            <v>21600</v>
          </cell>
          <cell r="W2245"/>
          <cell r="X2245">
            <v>21600</v>
          </cell>
          <cell r="Y2245"/>
          <cell r="Z2245">
            <v>21600</v>
          </cell>
          <cell r="AA2245"/>
          <cell r="AB2245"/>
          <cell r="AC2245"/>
          <cell r="AD2245">
            <v>0.26100000000000001</v>
          </cell>
          <cell r="AE2245"/>
          <cell r="AF2245"/>
          <cell r="AG2245">
            <v>9900</v>
          </cell>
          <cell r="AH2245">
            <v>96</v>
          </cell>
          <cell r="AI2245">
            <v>0.98899999999999999</v>
          </cell>
          <cell r="AJ2245">
            <v>1</v>
          </cell>
          <cell r="AK2245">
            <v>97.06</v>
          </cell>
          <cell r="AL2245"/>
        </row>
        <row r="2246">
          <cell r="E2246" t="str">
            <v>V9MPB-321PN</v>
          </cell>
          <cell r="F2246" t="str">
            <v>台</v>
          </cell>
          <cell r="G2246"/>
          <cell r="H2246">
            <v>14700</v>
          </cell>
          <cell r="I2246"/>
          <cell r="J2246">
            <v>14700</v>
          </cell>
          <cell r="K2246"/>
          <cell r="L2246">
            <v>14700</v>
          </cell>
          <cell r="M2246"/>
          <cell r="N2246">
            <v>14700</v>
          </cell>
          <cell r="O2246"/>
          <cell r="P2246">
            <v>14700</v>
          </cell>
          <cell r="Q2246"/>
          <cell r="R2246">
            <v>14700</v>
          </cell>
          <cell r="S2246"/>
          <cell r="T2246">
            <v>14700</v>
          </cell>
          <cell r="U2246"/>
          <cell r="V2246">
            <v>14700</v>
          </cell>
          <cell r="W2246"/>
          <cell r="X2246">
            <v>14700</v>
          </cell>
          <cell r="Y2246"/>
          <cell r="Z2246">
            <v>14700</v>
          </cell>
          <cell r="AA2246"/>
          <cell r="AB2246"/>
          <cell r="AC2246"/>
          <cell r="AD2246">
            <v>0.20899999999999999</v>
          </cell>
          <cell r="AE2246"/>
          <cell r="AF2246"/>
          <cell r="AG2246">
            <v>4950</v>
          </cell>
          <cell r="AH2246">
            <v>48</v>
          </cell>
          <cell r="AI2246">
            <v>0.97899999999999998</v>
          </cell>
          <cell r="AJ2246">
            <v>1</v>
          </cell>
          <cell r="AK2246">
            <v>49.02</v>
          </cell>
          <cell r="AL2246"/>
        </row>
        <row r="2247">
          <cell r="E2247" t="str">
            <v>V9MPB-321PH</v>
          </cell>
          <cell r="F2247" t="str">
            <v>台</v>
          </cell>
          <cell r="G2247"/>
          <cell r="H2247">
            <v>17100</v>
          </cell>
          <cell r="I2247"/>
          <cell r="J2247">
            <v>17100</v>
          </cell>
          <cell r="K2247"/>
          <cell r="L2247">
            <v>17100</v>
          </cell>
          <cell r="M2247"/>
          <cell r="N2247">
            <v>17100</v>
          </cell>
          <cell r="O2247"/>
          <cell r="P2247">
            <v>17100</v>
          </cell>
          <cell r="Q2247"/>
          <cell r="R2247">
            <v>17100</v>
          </cell>
          <cell r="S2247"/>
          <cell r="T2247">
            <v>17100</v>
          </cell>
          <cell r="U2247"/>
          <cell r="V2247">
            <v>17100</v>
          </cell>
          <cell r="W2247"/>
          <cell r="X2247">
            <v>17100</v>
          </cell>
          <cell r="Y2247"/>
          <cell r="Z2247">
            <v>17100</v>
          </cell>
          <cell r="AA2247"/>
          <cell r="AB2247"/>
          <cell r="AC2247"/>
          <cell r="AD2247">
            <v>0.20899999999999999</v>
          </cell>
          <cell r="AE2247"/>
          <cell r="AF2247"/>
          <cell r="AG2247">
            <v>4950</v>
          </cell>
          <cell r="AH2247">
            <v>48</v>
          </cell>
          <cell r="AI2247">
            <v>0.97899999999999998</v>
          </cell>
          <cell r="AJ2247">
            <v>1</v>
          </cell>
          <cell r="AK2247">
            <v>49.02</v>
          </cell>
          <cell r="AL2247"/>
        </row>
        <row r="2248">
          <cell r="E2248" t="str">
            <v>V9MPB-322PN</v>
          </cell>
          <cell r="F2248" t="str">
            <v>台</v>
          </cell>
          <cell r="G2248"/>
          <cell r="H2248">
            <v>18500</v>
          </cell>
          <cell r="I2248"/>
          <cell r="J2248">
            <v>18500</v>
          </cell>
          <cell r="K2248"/>
          <cell r="L2248">
            <v>18500</v>
          </cell>
          <cell r="M2248"/>
          <cell r="N2248">
            <v>18500</v>
          </cell>
          <cell r="O2248"/>
          <cell r="P2248">
            <v>18500</v>
          </cell>
          <cell r="Q2248"/>
          <cell r="R2248">
            <v>18500</v>
          </cell>
          <cell r="S2248"/>
          <cell r="T2248">
            <v>18500</v>
          </cell>
          <cell r="U2248"/>
          <cell r="V2248">
            <v>18500</v>
          </cell>
          <cell r="W2248"/>
          <cell r="X2248">
            <v>18500</v>
          </cell>
          <cell r="Y2248"/>
          <cell r="Z2248">
            <v>18500</v>
          </cell>
          <cell r="AA2248"/>
          <cell r="AB2248"/>
          <cell r="AC2248"/>
          <cell r="AD2248">
            <v>0.26100000000000001</v>
          </cell>
          <cell r="AE2248"/>
          <cell r="AF2248"/>
          <cell r="AG2248">
            <v>9900</v>
          </cell>
          <cell r="AH2248">
            <v>96</v>
          </cell>
          <cell r="AI2248">
            <v>0.98899999999999999</v>
          </cell>
          <cell r="AJ2248">
            <v>1</v>
          </cell>
          <cell r="AK2248">
            <v>97.06</v>
          </cell>
          <cell r="AL2248"/>
        </row>
        <row r="2249">
          <cell r="E2249" t="str">
            <v>V9MPB-322PH</v>
          </cell>
          <cell r="F2249" t="str">
            <v>台</v>
          </cell>
          <cell r="G2249"/>
          <cell r="H2249">
            <v>21600</v>
          </cell>
          <cell r="I2249"/>
          <cell r="J2249">
            <v>21600</v>
          </cell>
          <cell r="K2249"/>
          <cell r="L2249">
            <v>21600</v>
          </cell>
          <cell r="M2249"/>
          <cell r="N2249">
            <v>21600</v>
          </cell>
          <cell r="O2249"/>
          <cell r="P2249">
            <v>21600</v>
          </cell>
          <cell r="Q2249"/>
          <cell r="R2249">
            <v>21600</v>
          </cell>
          <cell r="S2249"/>
          <cell r="T2249">
            <v>21600</v>
          </cell>
          <cell r="U2249"/>
          <cell r="V2249">
            <v>21600</v>
          </cell>
          <cell r="W2249"/>
          <cell r="X2249">
            <v>21600</v>
          </cell>
          <cell r="Y2249"/>
          <cell r="Z2249">
            <v>21600</v>
          </cell>
          <cell r="AA2249"/>
          <cell r="AB2249"/>
          <cell r="AC2249"/>
          <cell r="AD2249">
            <v>0.26100000000000001</v>
          </cell>
          <cell r="AE2249"/>
          <cell r="AF2249"/>
          <cell r="AG2249">
            <v>9900</v>
          </cell>
          <cell r="AH2249">
            <v>96</v>
          </cell>
          <cell r="AI2249">
            <v>0.98899999999999999</v>
          </cell>
          <cell r="AJ2249">
            <v>1</v>
          </cell>
          <cell r="AK2249">
            <v>97.06</v>
          </cell>
          <cell r="AL2249"/>
        </row>
        <row r="2250">
          <cell r="E2250" t="str">
            <v>■Ｈｆトラフ</v>
          </cell>
          <cell r="F2250"/>
          <cell r="G2250"/>
          <cell r="H2250"/>
          <cell r="I2250"/>
          <cell r="J2250"/>
          <cell r="K2250"/>
          <cell r="L2250"/>
          <cell r="M2250"/>
          <cell r="N2250"/>
          <cell r="O2250"/>
          <cell r="P2250"/>
          <cell r="Q2250"/>
          <cell r="R2250"/>
          <cell r="S2250"/>
          <cell r="T2250"/>
          <cell r="U2250"/>
          <cell r="V2250"/>
          <cell r="W2250"/>
          <cell r="X2250"/>
          <cell r="Y2250"/>
          <cell r="Z2250"/>
          <cell r="AA2250"/>
          <cell r="AB2250"/>
          <cell r="AC2250"/>
          <cell r="AD2250"/>
          <cell r="AE2250"/>
          <cell r="AF2250"/>
          <cell r="AG2250"/>
          <cell r="AH2250"/>
          <cell r="AI2250"/>
          <cell r="AJ2250"/>
          <cell r="AK2250"/>
          <cell r="AL2250"/>
        </row>
        <row r="2251">
          <cell r="E2251" t="str">
            <v>T10-321PH</v>
          </cell>
          <cell r="F2251" t="str">
            <v>台</v>
          </cell>
          <cell r="G2251"/>
          <cell r="H2251">
            <v>6220</v>
          </cell>
          <cell r="I2251"/>
          <cell r="J2251">
            <v>6220</v>
          </cell>
          <cell r="K2251"/>
          <cell r="L2251">
            <v>6220</v>
          </cell>
          <cell r="M2251"/>
          <cell r="N2251">
            <v>6220</v>
          </cell>
          <cell r="O2251"/>
          <cell r="P2251">
            <v>6220</v>
          </cell>
          <cell r="Q2251"/>
          <cell r="R2251">
            <v>6220</v>
          </cell>
          <cell r="S2251"/>
          <cell r="T2251">
            <v>6220</v>
          </cell>
          <cell r="U2251"/>
          <cell r="V2251">
            <v>6220</v>
          </cell>
          <cell r="W2251"/>
          <cell r="X2251">
            <v>6220</v>
          </cell>
          <cell r="Y2251"/>
          <cell r="Z2251">
            <v>6220</v>
          </cell>
          <cell r="AA2251"/>
          <cell r="AB2251"/>
          <cell r="AC2251"/>
          <cell r="AD2251">
            <v>0.20899999999999999</v>
          </cell>
          <cell r="AE2251"/>
          <cell r="AF2251"/>
          <cell r="AG2251">
            <v>4950</v>
          </cell>
          <cell r="AH2251">
            <v>48</v>
          </cell>
          <cell r="AI2251">
            <v>0.97899999999999998</v>
          </cell>
          <cell r="AJ2251">
            <v>1</v>
          </cell>
          <cell r="AK2251">
            <v>49.02</v>
          </cell>
          <cell r="AL2251"/>
        </row>
        <row r="2252">
          <cell r="E2252" t="str">
            <v>T10-321PZ</v>
          </cell>
          <cell r="F2252" t="str">
            <v>台</v>
          </cell>
          <cell r="G2252"/>
          <cell r="H2252">
            <v>10700</v>
          </cell>
          <cell r="I2252"/>
          <cell r="J2252">
            <v>10700</v>
          </cell>
          <cell r="K2252"/>
          <cell r="L2252">
            <v>10700</v>
          </cell>
          <cell r="M2252"/>
          <cell r="N2252">
            <v>10700</v>
          </cell>
          <cell r="O2252"/>
          <cell r="P2252">
            <v>10700</v>
          </cell>
          <cell r="Q2252"/>
          <cell r="R2252">
            <v>10700</v>
          </cell>
          <cell r="S2252"/>
          <cell r="T2252">
            <v>10700</v>
          </cell>
          <cell r="U2252"/>
          <cell r="V2252">
            <v>10700</v>
          </cell>
          <cell r="W2252"/>
          <cell r="X2252">
            <v>10700</v>
          </cell>
          <cell r="Y2252"/>
          <cell r="Z2252">
            <v>10700</v>
          </cell>
          <cell r="AA2252"/>
          <cell r="AB2252"/>
          <cell r="AC2252"/>
          <cell r="AD2252">
            <v>0.20899999999999999</v>
          </cell>
          <cell r="AE2252"/>
          <cell r="AF2252"/>
          <cell r="AG2252">
            <v>4950</v>
          </cell>
          <cell r="AH2252">
            <v>48</v>
          </cell>
          <cell r="AI2252">
            <v>0.97899999999999998</v>
          </cell>
          <cell r="AJ2252">
            <v>1</v>
          </cell>
          <cell r="AK2252">
            <v>49.02</v>
          </cell>
          <cell r="AL2252"/>
        </row>
        <row r="2253">
          <cell r="E2253"/>
          <cell r="F2253"/>
          <cell r="G2253"/>
          <cell r="H2253"/>
          <cell r="I2253"/>
          <cell r="J2253"/>
          <cell r="K2253"/>
          <cell r="L2253"/>
          <cell r="M2253"/>
          <cell r="N2253"/>
          <cell r="O2253"/>
          <cell r="P2253"/>
          <cell r="Q2253"/>
          <cell r="R2253"/>
          <cell r="S2253"/>
          <cell r="T2253"/>
          <cell r="U2253"/>
          <cell r="V2253"/>
          <cell r="W2253"/>
          <cell r="X2253"/>
          <cell r="Y2253"/>
          <cell r="Z2253"/>
          <cell r="AA2253"/>
          <cell r="AB2253"/>
          <cell r="AC2253"/>
          <cell r="AD2253"/>
          <cell r="AE2253"/>
          <cell r="AF2253"/>
          <cell r="AG2253"/>
          <cell r="AH2253"/>
          <cell r="AI2253"/>
          <cell r="AJ2253"/>
          <cell r="AK2253"/>
          <cell r="AL2253"/>
        </row>
        <row r="2254">
          <cell r="E2254"/>
          <cell r="F2254"/>
          <cell r="G2254"/>
          <cell r="H2254"/>
          <cell r="I2254"/>
          <cell r="J2254"/>
          <cell r="K2254"/>
          <cell r="L2254"/>
          <cell r="M2254"/>
          <cell r="N2254"/>
          <cell r="O2254"/>
          <cell r="P2254"/>
          <cell r="Q2254"/>
          <cell r="R2254"/>
          <cell r="S2254"/>
          <cell r="T2254"/>
          <cell r="U2254"/>
          <cell r="V2254"/>
          <cell r="W2254"/>
          <cell r="X2254"/>
          <cell r="Y2254"/>
          <cell r="Z2254"/>
          <cell r="AA2254"/>
          <cell r="AB2254"/>
          <cell r="AC2254"/>
          <cell r="AD2254"/>
          <cell r="AE2254"/>
          <cell r="AF2254"/>
          <cell r="AG2254"/>
          <cell r="AH2254"/>
          <cell r="AI2254"/>
          <cell r="AJ2254"/>
          <cell r="AK2254"/>
          <cell r="AL2254"/>
        </row>
        <row r="2255">
          <cell r="E2255"/>
          <cell r="F2255"/>
          <cell r="G2255"/>
          <cell r="H2255"/>
          <cell r="I2255"/>
          <cell r="J2255"/>
          <cell r="K2255"/>
          <cell r="L2255"/>
          <cell r="M2255"/>
          <cell r="N2255"/>
          <cell r="O2255"/>
          <cell r="P2255"/>
          <cell r="Q2255"/>
          <cell r="R2255"/>
          <cell r="S2255"/>
          <cell r="T2255"/>
          <cell r="U2255"/>
          <cell r="V2255"/>
          <cell r="W2255"/>
          <cell r="X2255"/>
          <cell r="Y2255"/>
          <cell r="Z2255"/>
          <cell r="AA2255"/>
          <cell r="AB2255"/>
          <cell r="AC2255"/>
          <cell r="AD2255"/>
          <cell r="AE2255"/>
          <cell r="AF2255"/>
          <cell r="AG2255"/>
          <cell r="AH2255"/>
          <cell r="AI2255"/>
          <cell r="AJ2255"/>
          <cell r="AK2255"/>
          <cell r="AL2255"/>
        </row>
        <row r="2256">
          <cell r="E2256"/>
          <cell r="F2256"/>
          <cell r="G2256"/>
          <cell r="H2256"/>
          <cell r="I2256"/>
          <cell r="J2256"/>
          <cell r="K2256"/>
          <cell r="L2256"/>
          <cell r="M2256"/>
          <cell r="N2256"/>
          <cell r="O2256"/>
          <cell r="P2256"/>
          <cell r="Q2256"/>
          <cell r="R2256"/>
          <cell r="S2256"/>
          <cell r="T2256"/>
          <cell r="U2256"/>
          <cell r="V2256"/>
          <cell r="W2256"/>
          <cell r="X2256"/>
          <cell r="Y2256"/>
          <cell r="Z2256"/>
          <cell r="AA2256"/>
          <cell r="AB2256"/>
          <cell r="AC2256"/>
          <cell r="AD2256"/>
          <cell r="AE2256"/>
          <cell r="AF2256"/>
          <cell r="AG2256"/>
          <cell r="AH2256"/>
          <cell r="AI2256"/>
          <cell r="AJ2256"/>
          <cell r="AK2256"/>
          <cell r="AL2256"/>
        </row>
        <row r="2257">
          <cell r="E2257"/>
          <cell r="F2257"/>
          <cell r="G2257"/>
          <cell r="H2257"/>
          <cell r="I2257"/>
          <cell r="J2257"/>
          <cell r="K2257"/>
          <cell r="L2257"/>
          <cell r="M2257"/>
          <cell r="N2257"/>
          <cell r="O2257"/>
          <cell r="P2257"/>
          <cell r="Q2257"/>
          <cell r="R2257"/>
          <cell r="S2257"/>
          <cell r="T2257"/>
          <cell r="U2257"/>
          <cell r="V2257"/>
          <cell r="W2257"/>
          <cell r="X2257"/>
          <cell r="Y2257"/>
          <cell r="Z2257"/>
          <cell r="AA2257"/>
          <cell r="AB2257"/>
          <cell r="AC2257"/>
          <cell r="AD2257"/>
          <cell r="AE2257"/>
          <cell r="AF2257"/>
          <cell r="AG2257"/>
          <cell r="AH2257"/>
          <cell r="AI2257"/>
          <cell r="AJ2257"/>
          <cell r="AK2257"/>
          <cell r="AL2257"/>
        </row>
        <row r="2258">
          <cell r="E2258"/>
          <cell r="F2258"/>
          <cell r="G2258"/>
          <cell r="H2258"/>
          <cell r="I2258"/>
          <cell r="J2258"/>
          <cell r="K2258"/>
          <cell r="L2258"/>
          <cell r="M2258"/>
          <cell r="N2258"/>
          <cell r="O2258"/>
          <cell r="P2258"/>
          <cell r="Q2258"/>
          <cell r="R2258"/>
          <cell r="S2258"/>
          <cell r="T2258"/>
          <cell r="U2258"/>
          <cell r="V2258"/>
          <cell r="W2258"/>
          <cell r="X2258"/>
          <cell r="Y2258"/>
          <cell r="Z2258"/>
          <cell r="AA2258"/>
          <cell r="AB2258"/>
          <cell r="AC2258"/>
          <cell r="AD2258"/>
          <cell r="AE2258"/>
          <cell r="AF2258"/>
          <cell r="AG2258"/>
          <cell r="AH2258"/>
          <cell r="AI2258"/>
          <cell r="AJ2258"/>
          <cell r="AK2258"/>
          <cell r="AL2258"/>
        </row>
        <row r="2259">
          <cell r="E2259"/>
          <cell r="F2259"/>
          <cell r="G2259"/>
          <cell r="H2259"/>
          <cell r="I2259"/>
          <cell r="J2259"/>
          <cell r="K2259"/>
          <cell r="L2259"/>
          <cell r="M2259"/>
          <cell r="N2259"/>
          <cell r="O2259"/>
          <cell r="P2259"/>
          <cell r="Q2259"/>
          <cell r="R2259"/>
          <cell r="S2259"/>
          <cell r="T2259"/>
          <cell r="U2259"/>
          <cell r="V2259"/>
          <cell r="W2259"/>
          <cell r="X2259"/>
          <cell r="Y2259"/>
          <cell r="Z2259"/>
          <cell r="AA2259"/>
          <cell r="AB2259"/>
          <cell r="AC2259"/>
          <cell r="AD2259"/>
          <cell r="AE2259"/>
          <cell r="AF2259"/>
          <cell r="AG2259"/>
          <cell r="AH2259"/>
          <cell r="AI2259"/>
          <cell r="AJ2259"/>
          <cell r="AK2259"/>
          <cell r="AL2259"/>
        </row>
        <row r="2260">
          <cell r="E2260"/>
          <cell r="F2260"/>
          <cell r="G2260"/>
          <cell r="H2260"/>
          <cell r="I2260"/>
          <cell r="J2260"/>
          <cell r="K2260"/>
          <cell r="L2260"/>
          <cell r="M2260"/>
          <cell r="N2260"/>
          <cell r="O2260"/>
          <cell r="P2260"/>
          <cell r="Q2260"/>
          <cell r="R2260"/>
          <cell r="S2260"/>
          <cell r="T2260"/>
          <cell r="U2260"/>
          <cell r="V2260"/>
          <cell r="W2260"/>
          <cell r="X2260"/>
          <cell r="Y2260"/>
          <cell r="Z2260"/>
          <cell r="AA2260"/>
          <cell r="AB2260"/>
          <cell r="AC2260"/>
          <cell r="AD2260"/>
          <cell r="AE2260"/>
          <cell r="AF2260"/>
          <cell r="AG2260"/>
          <cell r="AH2260"/>
          <cell r="AI2260"/>
          <cell r="AJ2260"/>
          <cell r="AK2260"/>
          <cell r="AL2260"/>
        </row>
        <row r="2261">
          <cell r="E2261"/>
          <cell r="F2261"/>
          <cell r="G2261"/>
          <cell r="H2261"/>
          <cell r="I2261"/>
          <cell r="J2261"/>
          <cell r="K2261"/>
          <cell r="L2261"/>
          <cell r="M2261"/>
          <cell r="N2261"/>
          <cell r="O2261"/>
          <cell r="P2261"/>
          <cell r="Q2261"/>
          <cell r="R2261"/>
          <cell r="S2261"/>
          <cell r="T2261"/>
          <cell r="U2261"/>
          <cell r="V2261"/>
          <cell r="W2261"/>
          <cell r="X2261"/>
          <cell r="Y2261"/>
          <cell r="Z2261"/>
          <cell r="AA2261"/>
          <cell r="AB2261"/>
          <cell r="AC2261"/>
          <cell r="AD2261"/>
          <cell r="AE2261"/>
          <cell r="AF2261"/>
          <cell r="AG2261"/>
          <cell r="AH2261"/>
          <cell r="AI2261"/>
          <cell r="AJ2261"/>
          <cell r="AK2261"/>
          <cell r="AL2261"/>
        </row>
        <row r="2262">
          <cell r="E2262"/>
          <cell r="F2262"/>
          <cell r="G2262"/>
          <cell r="H2262"/>
          <cell r="I2262"/>
          <cell r="J2262"/>
          <cell r="K2262"/>
          <cell r="L2262"/>
          <cell r="M2262"/>
          <cell r="N2262"/>
          <cell r="O2262"/>
          <cell r="P2262"/>
          <cell r="Q2262"/>
          <cell r="R2262"/>
          <cell r="S2262"/>
          <cell r="T2262"/>
          <cell r="U2262"/>
          <cell r="V2262"/>
          <cell r="W2262"/>
          <cell r="X2262"/>
          <cell r="Y2262"/>
          <cell r="Z2262"/>
          <cell r="AA2262"/>
          <cell r="AB2262"/>
          <cell r="AC2262"/>
          <cell r="AD2262"/>
          <cell r="AE2262"/>
          <cell r="AF2262"/>
          <cell r="AG2262"/>
          <cell r="AH2262"/>
          <cell r="AI2262"/>
          <cell r="AJ2262"/>
          <cell r="AK2262"/>
          <cell r="AL2262"/>
        </row>
        <row r="2263">
          <cell r="E2263"/>
          <cell r="F2263"/>
          <cell r="G2263"/>
          <cell r="H2263"/>
          <cell r="I2263"/>
          <cell r="J2263"/>
          <cell r="K2263"/>
          <cell r="L2263"/>
          <cell r="M2263"/>
          <cell r="N2263"/>
          <cell r="O2263"/>
          <cell r="P2263"/>
          <cell r="Q2263"/>
          <cell r="R2263"/>
          <cell r="S2263"/>
          <cell r="T2263"/>
          <cell r="U2263"/>
          <cell r="V2263"/>
          <cell r="W2263"/>
          <cell r="X2263"/>
          <cell r="Y2263"/>
          <cell r="Z2263"/>
          <cell r="AA2263"/>
          <cell r="AB2263"/>
          <cell r="AC2263"/>
          <cell r="AD2263"/>
          <cell r="AE2263"/>
          <cell r="AF2263"/>
          <cell r="AG2263"/>
          <cell r="AH2263"/>
          <cell r="AI2263"/>
          <cell r="AJ2263"/>
          <cell r="AK2263"/>
          <cell r="AL2263"/>
        </row>
        <row r="2264">
          <cell r="E2264"/>
          <cell r="F2264"/>
          <cell r="G2264"/>
          <cell r="H2264"/>
          <cell r="I2264"/>
          <cell r="J2264"/>
          <cell r="K2264"/>
          <cell r="L2264"/>
          <cell r="M2264"/>
          <cell r="N2264"/>
          <cell r="O2264"/>
          <cell r="P2264"/>
          <cell r="Q2264"/>
          <cell r="R2264"/>
          <cell r="S2264"/>
          <cell r="T2264"/>
          <cell r="U2264"/>
          <cell r="V2264"/>
          <cell r="W2264"/>
          <cell r="X2264"/>
          <cell r="Y2264"/>
          <cell r="Z2264"/>
          <cell r="AA2264"/>
          <cell r="AB2264"/>
          <cell r="AC2264"/>
          <cell r="AD2264"/>
          <cell r="AE2264"/>
          <cell r="AF2264"/>
          <cell r="AG2264"/>
          <cell r="AH2264"/>
          <cell r="AI2264"/>
          <cell r="AJ2264"/>
          <cell r="AK2264"/>
          <cell r="AL2264"/>
        </row>
        <row r="2265">
          <cell r="E2265"/>
          <cell r="F2265"/>
          <cell r="G2265"/>
          <cell r="H2265"/>
          <cell r="I2265"/>
          <cell r="J2265"/>
          <cell r="K2265"/>
          <cell r="L2265"/>
          <cell r="M2265"/>
          <cell r="N2265"/>
          <cell r="O2265"/>
          <cell r="P2265"/>
          <cell r="Q2265"/>
          <cell r="R2265"/>
          <cell r="S2265"/>
          <cell r="T2265"/>
          <cell r="U2265"/>
          <cell r="V2265"/>
          <cell r="W2265"/>
          <cell r="X2265"/>
          <cell r="Y2265"/>
          <cell r="Z2265"/>
          <cell r="AA2265"/>
          <cell r="AB2265"/>
          <cell r="AC2265"/>
          <cell r="AD2265"/>
          <cell r="AE2265"/>
          <cell r="AF2265"/>
          <cell r="AG2265"/>
          <cell r="AH2265"/>
          <cell r="AI2265"/>
          <cell r="AJ2265"/>
          <cell r="AK2265"/>
          <cell r="AL2265"/>
        </row>
        <row r="2266">
          <cell r="E2266"/>
          <cell r="F2266"/>
          <cell r="G2266"/>
          <cell r="H2266"/>
          <cell r="I2266"/>
          <cell r="J2266"/>
          <cell r="K2266"/>
          <cell r="L2266"/>
          <cell r="M2266"/>
          <cell r="N2266"/>
          <cell r="O2266"/>
          <cell r="P2266"/>
          <cell r="Q2266"/>
          <cell r="R2266"/>
          <cell r="S2266"/>
          <cell r="T2266"/>
          <cell r="U2266"/>
          <cell r="V2266"/>
          <cell r="W2266"/>
          <cell r="X2266"/>
          <cell r="Y2266"/>
          <cell r="Z2266"/>
          <cell r="AA2266"/>
          <cell r="AB2266"/>
          <cell r="AC2266"/>
          <cell r="AD2266"/>
          <cell r="AE2266"/>
          <cell r="AF2266"/>
          <cell r="AG2266"/>
          <cell r="AH2266"/>
          <cell r="AI2266"/>
          <cell r="AJ2266"/>
          <cell r="AK2266"/>
          <cell r="AL2266"/>
        </row>
        <row r="2267">
          <cell r="E2267"/>
          <cell r="F2267"/>
          <cell r="G2267"/>
          <cell r="H2267"/>
          <cell r="I2267"/>
          <cell r="J2267"/>
          <cell r="K2267"/>
          <cell r="L2267"/>
          <cell r="M2267"/>
          <cell r="N2267"/>
          <cell r="O2267"/>
          <cell r="P2267"/>
          <cell r="Q2267"/>
          <cell r="R2267"/>
          <cell r="S2267"/>
          <cell r="T2267"/>
          <cell r="U2267"/>
          <cell r="V2267"/>
          <cell r="W2267"/>
          <cell r="X2267"/>
          <cell r="Y2267"/>
          <cell r="Z2267"/>
          <cell r="AA2267"/>
          <cell r="AB2267"/>
          <cell r="AC2267"/>
          <cell r="AD2267"/>
          <cell r="AE2267"/>
          <cell r="AF2267"/>
          <cell r="AG2267"/>
          <cell r="AH2267"/>
          <cell r="AI2267"/>
          <cell r="AJ2267"/>
          <cell r="AK2267"/>
          <cell r="AL2267"/>
        </row>
        <row r="2268">
          <cell r="E2268"/>
          <cell r="F2268"/>
          <cell r="G2268"/>
          <cell r="H2268"/>
          <cell r="I2268"/>
          <cell r="J2268"/>
          <cell r="K2268"/>
          <cell r="L2268"/>
          <cell r="M2268"/>
          <cell r="N2268"/>
          <cell r="O2268"/>
          <cell r="P2268"/>
          <cell r="Q2268"/>
          <cell r="R2268"/>
          <cell r="S2268"/>
          <cell r="T2268"/>
          <cell r="U2268"/>
          <cell r="V2268"/>
          <cell r="W2268"/>
          <cell r="X2268"/>
          <cell r="Y2268"/>
          <cell r="Z2268"/>
          <cell r="AA2268"/>
          <cell r="AB2268"/>
          <cell r="AC2268"/>
          <cell r="AD2268"/>
          <cell r="AE2268"/>
          <cell r="AF2268"/>
          <cell r="AG2268"/>
          <cell r="AH2268"/>
          <cell r="AI2268"/>
          <cell r="AJ2268"/>
          <cell r="AK2268"/>
          <cell r="AL2268"/>
        </row>
        <row r="2269">
          <cell r="E2269"/>
          <cell r="F2269"/>
          <cell r="G2269"/>
          <cell r="H2269"/>
          <cell r="I2269"/>
          <cell r="J2269"/>
          <cell r="K2269"/>
          <cell r="L2269"/>
          <cell r="M2269"/>
          <cell r="N2269"/>
          <cell r="O2269"/>
          <cell r="P2269"/>
          <cell r="Q2269"/>
          <cell r="R2269"/>
          <cell r="S2269"/>
          <cell r="T2269"/>
          <cell r="U2269"/>
          <cell r="V2269"/>
          <cell r="W2269"/>
          <cell r="X2269"/>
          <cell r="Y2269"/>
          <cell r="Z2269"/>
          <cell r="AA2269"/>
          <cell r="AB2269"/>
          <cell r="AC2269"/>
          <cell r="AD2269"/>
          <cell r="AE2269"/>
          <cell r="AF2269"/>
          <cell r="AG2269"/>
          <cell r="AH2269"/>
          <cell r="AI2269"/>
          <cell r="AJ2269"/>
          <cell r="AK2269"/>
          <cell r="AL2269"/>
        </row>
        <row r="2270">
          <cell r="E2270"/>
          <cell r="F2270"/>
          <cell r="G2270"/>
          <cell r="H2270"/>
          <cell r="I2270"/>
          <cell r="J2270"/>
          <cell r="K2270"/>
          <cell r="L2270"/>
          <cell r="M2270"/>
          <cell r="N2270"/>
          <cell r="O2270"/>
          <cell r="P2270"/>
          <cell r="Q2270"/>
          <cell r="R2270"/>
          <cell r="S2270"/>
          <cell r="T2270"/>
          <cell r="U2270"/>
          <cell r="V2270"/>
          <cell r="W2270"/>
          <cell r="X2270"/>
          <cell r="Y2270"/>
          <cell r="Z2270"/>
          <cell r="AA2270"/>
          <cell r="AB2270"/>
          <cell r="AC2270"/>
          <cell r="AD2270"/>
          <cell r="AE2270"/>
          <cell r="AF2270"/>
          <cell r="AG2270"/>
          <cell r="AH2270"/>
          <cell r="AI2270"/>
          <cell r="AJ2270"/>
          <cell r="AK2270"/>
          <cell r="AL2270"/>
        </row>
        <row r="2271">
          <cell r="E2271"/>
          <cell r="F2271"/>
          <cell r="G2271"/>
          <cell r="H2271"/>
          <cell r="I2271"/>
          <cell r="J2271"/>
          <cell r="K2271"/>
          <cell r="L2271"/>
          <cell r="M2271"/>
          <cell r="N2271"/>
          <cell r="O2271"/>
          <cell r="P2271"/>
          <cell r="Q2271"/>
          <cell r="R2271"/>
          <cell r="S2271"/>
          <cell r="T2271"/>
          <cell r="U2271"/>
          <cell r="V2271"/>
          <cell r="W2271"/>
          <cell r="X2271"/>
          <cell r="Y2271"/>
          <cell r="Z2271"/>
          <cell r="AA2271"/>
          <cell r="AB2271"/>
          <cell r="AC2271"/>
          <cell r="AD2271"/>
          <cell r="AE2271"/>
          <cell r="AF2271"/>
          <cell r="AG2271"/>
          <cell r="AH2271"/>
          <cell r="AI2271"/>
          <cell r="AJ2271"/>
          <cell r="AK2271"/>
          <cell r="AL2271"/>
        </row>
        <row r="2272">
          <cell r="E2272"/>
          <cell r="F2272"/>
          <cell r="G2272"/>
          <cell r="H2272"/>
          <cell r="I2272"/>
          <cell r="J2272"/>
          <cell r="K2272"/>
          <cell r="L2272"/>
          <cell r="M2272"/>
          <cell r="N2272"/>
          <cell r="O2272"/>
          <cell r="P2272"/>
          <cell r="Q2272"/>
          <cell r="R2272"/>
          <cell r="S2272"/>
          <cell r="T2272"/>
          <cell r="U2272"/>
          <cell r="V2272"/>
          <cell r="W2272"/>
          <cell r="X2272"/>
          <cell r="Y2272"/>
          <cell r="Z2272"/>
          <cell r="AA2272"/>
          <cell r="AB2272"/>
          <cell r="AC2272"/>
          <cell r="AD2272"/>
          <cell r="AE2272"/>
          <cell r="AF2272"/>
          <cell r="AG2272"/>
          <cell r="AH2272"/>
          <cell r="AI2272"/>
          <cell r="AJ2272"/>
          <cell r="AK2272"/>
          <cell r="AL2272"/>
        </row>
        <row r="2273">
          <cell r="E2273"/>
          <cell r="F2273"/>
          <cell r="G2273"/>
          <cell r="H2273"/>
          <cell r="I2273"/>
          <cell r="J2273"/>
          <cell r="K2273"/>
          <cell r="L2273"/>
          <cell r="M2273"/>
          <cell r="N2273"/>
          <cell r="O2273"/>
          <cell r="P2273"/>
          <cell r="Q2273"/>
          <cell r="R2273"/>
          <cell r="S2273"/>
          <cell r="T2273"/>
          <cell r="U2273"/>
          <cell r="V2273"/>
          <cell r="W2273"/>
          <cell r="X2273"/>
          <cell r="Y2273"/>
          <cell r="Z2273"/>
          <cell r="AA2273"/>
          <cell r="AB2273"/>
          <cell r="AC2273"/>
          <cell r="AD2273"/>
          <cell r="AE2273"/>
          <cell r="AF2273"/>
          <cell r="AG2273"/>
          <cell r="AH2273"/>
          <cell r="AI2273"/>
          <cell r="AJ2273"/>
          <cell r="AK2273"/>
          <cell r="AL2273"/>
        </row>
        <row r="2274">
          <cell r="E2274"/>
          <cell r="F2274"/>
          <cell r="G2274"/>
          <cell r="H2274"/>
          <cell r="I2274"/>
          <cell r="J2274"/>
          <cell r="K2274"/>
          <cell r="L2274"/>
          <cell r="M2274"/>
          <cell r="N2274"/>
          <cell r="O2274"/>
          <cell r="P2274"/>
          <cell r="Q2274"/>
          <cell r="R2274"/>
          <cell r="S2274"/>
          <cell r="T2274"/>
          <cell r="U2274"/>
          <cell r="V2274"/>
          <cell r="W2274"/>
          <cell r="X2274"/>
          <cell r="Y2274"/>
          <cell r="Z2274"/>
          <cell r="AA2274"/>
          <cell r="AB2274"/>
          <cell r="AC2274"/>
          <cell r="AD2274"/>
          <cell r="AE2274"/>
          <cell r="AF2274"/>
          <cell r="AG2274"/>
          <cell r="AH2274"/>
          <cell r="AI2274"/>
          <cell r="AJ2274"/>
          <cell r="AK2274"/>
          <cell r="AL2274"/>
        </row>
        <row r="2275">
          <cell r="E2275"/>
          <cell r="F2275"/>
          <cell r="G2275"/>
          <cell r="H2275"/>
          <cell r="I2275"/>
          <cell r="J2275"/>
          <cell r="K2275"/>
          <cell r="L2275"/>
          <cell r="M2275"/>
          <cell r="N2275"/>
          <cell r="O2275"/>
          <cell r="P2275"/>
          <cell r="Q2275"/>
          <cell r="R2275"/>
          <cell r="S2275"/>
          <cell r="T2275"/>
          <cell r="U2275"/>
          <cell r="V2275"/>
          <cell r="W2275"/>
          <cell r="X2275"/>
          <cell r="Y2275"/>
          <cell r="Z2275"/>
          <cell r="AA2275"/>
          <cell r="AB2275"/>
          <cell r="AC2275"/>
          <cell r="AD2275"/>
          <cell r="AE2275"/>
          <cell r="AF2275"/>
          <cell r="AG2275"/>
          <cell r="AH2275"/>
          <cell r="AI2275"/>
          <cell r="AJ2275"/>
          <cell r="AK2275"/>
          <cell r="AL2275"/>
        </row>
        <row r="2276">
          <cell r="E2276"/>
          <cell r="F2276"/>
          <cell r="G2276"/>
          <cell r="H2276"/>
          <cell r="I2276"/>
          <cell r="J2276"/>
          <cell r="K2276"/>
          <cell r="L2276"/>
          <cell r="M2276"/>
          <cell r="N2276"/>
          <cell r="O2276"/>
          <cell r="P2276"/>
          <cell r="Q2276"/>
          <cell r="R2276"/>
          <cell r="S2276"/>
          <cell r="T2276"/>
          <cell r="U2276"/>
          <cell r="V2276"/>
          <cell r="W2276"/>
          <cell r="X2276"/>
          <cell r="Y2276"/>
          <cell r="Z2276"/>
          <cell r="AA2276"/>
          <cell r="AB2276"/>
          <cell r="AC2276"/>
          <cell r="AD2276"/>
          <cell r="AE2276"/>
          <cell r="AF2276"/>
          <cell r="AG2276"/>
          <cell r="AH2276"/>
          <cell r="AI2276"/>
          <cell r="AJ2276"/>
          <cell r="AK2276"/>
          <cell r="AL2276"/>
        </row>
        <row r="2277">
          <cell r="E2277"/>
          <cell r="F2277"/>
          <cell r="G2277"/>
          <cell r="H2277"/>
          <cell r="I2277"/>
          <cell r="J2277"/>
          <cell r="K2277"/>
          <cell r="L2277"/>
          <cell r="M2277"/>
          <cell r="N2277"/>
          <cell r="O2277"/>
          <cell r="P2277"/>
          <cell r="Q2277"/>
          <cell r="R2277"/>
          <cell r="S2277"/>
          <cell r="T2277"/>
          <cell r="U2277"/>
          <cell r="V2277"/>
          <cell r="W2277"/>
          <cell r="X2277"/>
          <cell r="Y2277"/>
          <cell r="Z2277"/>
          <cell r="AA2277"/>
          <cell r="AB2277"/>
          <cell r="AC2277"/>
          <cell r="AD2277"/>
          <cell r="AE2277"/>
          <cell r="AF2277"/>
          <cell r="AG2277"/>
          <cell r="AH2277"/>
          <cell r="AI2277"/>
          <cell r="AJ2277"/>
          <cell r="AK2277"/>
          <cell r="AL2277"/>
        </row>
        <row r="2278">
          <cell r="E2278"/>
          <cell r="F2278"/>
          <cell r="G2278"/>
          <cell r="H2278"/>
          <cell r="I2278"/>
          <cell r="J2278"/>
          <cell r="K2278"/>
          <cell r="L2278"/>
          <cell r="M2278"/>
          <cell r="N2278"/>
          <cell r="O2278"/>
          <cell r="P2278"/>
          <cell r="Q2278"/>
          <cell r="R2278"/>
          <cell r="S2278"/>
          <cell r="T2278"/>
          <cell r="U2278"/>
          <cell r="V2278"/>
          <cell r="W2278"/>
          <cell r="X2278"/>
          <cell r="Y2278"/>
          <cell r="Z2278"/>
          <cell r="AA2278"/>
          <cell r="AB2278"/>
          <cell r="AC2278"/>
          <cell r="AD2278"/>
          <cell r="AE2278"/>
          <cell r="AF2278"/>
          <cell r="AG2278"/>
          <cell r="AH2278"/>
          <cell r="AI2278"/>
          <cell r="AJ2278"/>
          <cell r="AK2278"/>
          <cell r="AL2278"/>
        </row>
        <row r="2279">
          <cell r="E2279"/>
          <cell r="F2279"/>
          <cell r="G2279"/>
          <cell r="H2279"/>
          <cell r="I2279"/>
          <cell r="J2279"/>
          <cell r="K2279"/>
          <cell r="L2279"/>
          <cell r="M2279"/>
          <cell r="N2279"/>
          <cell r="O2279"/>
          <cell r="P2279"/>
          <cell r="Q2279"/>
          <cell r="R2279"/>
          <cell r="S2279"/>
          <cell r="T2279"/>
          <cell r="U2279"/>
          <cell r="V2279"/>
          <cell r="W2279"/>
          <cell r="X2279"/>
          <cell r="Y2279"/>
          <cell r="Z2279"/>
          <cell r="AA2279"/>
          <cell r="AB2279"/>
          <cell r="AC2279"/>
          <cell r="AD2279"/>
          <cell r="AE2279"/>
          <cell r="AF2279"/>
          <cell r="AG2279"/>
          <cell r="AH2279"/>
          <cell r="AI2279"/>
          <cell r="AJ2279"/>
          <cell r="AK2279"/>
          <cell r="AL2279"/>
        </row>
        <row r="2280">
          <cell r="E2280"/>
          <cell r="F2280"/>
          <cell r="G2280"/>
          <cell r="H2280"/>
          <cell r="I2280"/>
          <cell r="J2280"/>
          <cell r="K2280"/>
          <cell r="L2280"/>
          <cell r="M2280"/>
          <cell r="N2280"/>
          <cell r="O2280"/>
          <cell r="P2280"/>
          <cell r="Q2280"/>
          <cell r="R2280"/>
          <cell r="S2280"/>
          <cell r="T2280"/>
          <cell r="U2280"/>
          <cell r="V2280"/>
          <cell r="W2280"/>
          <cell r="X2280"/>
          <cell r="Y2280"/>
          <cell r="Z2280"/>
          <cell r="AA2280"/>
          <cell r="AB2280"/>
          <cell r="AC2280"/>
          <cell r="AD2280"/>
          <cell r="AE2280"/>
          <cell r="AF2280"/>
          <cell r="AG2280"/>
          <cell r="AH2280"/>
          <cell r="AI2280"/>
          <cell r="AJ2280"/>
          <cell r="AK2280"/>
          <cell r="AL2280"/>
        </row>
        <row r="2281">
          <cell r="E2281"/>
          <cell r="F2281"/>
          <cell r="G2281"/>
          <cell r="H2281"/>
          <cell r="I2281"/>
          <cell r="J2281"/>
          <cell r="K2281"/>
          <cell r="L2281"/>
          <cell r="M2281"/>
          <cell r="N2281"/>
          <cell r="O2281"/>
          <cell r="P2281"/>
          <cell r="Q2281"/>
          <cell r="R2281"/>
          <cell r="S2281"/>
          <cell r="T2281"/>
          <cell r="U2281"/>
          <cell r="V2281"/>
          <cell r="W2281"/>
          <cell r="X2281"/>
          <cell r="Y2281"/>
          <cell r="Z2281"/>
          <cell r="AA2281"/>
          <cell r="AB2281"/>
          <cell r="AC2281"/>
          <cell r="AD2281"/>
          <cell r="AE2281"/>
          <cell r="AF2281"/>
          <cell r="AG2281"/>
          <cell r="AH2281"/>
          <cell r="AI2281"/>
          <cell r="AJ2281"/>
          <cell r="AK2281"/>
          <cell r="AL2281"/>
        </row>
        <row r="2282">
          <cell r="E2282"/>
          <cell r="F2282"/>
          <cell r="G2282"/>
          <cell r="H2282"/>
          <cell r="I2282"/>
          <cell r="J2282"/>
          <cell r="K2282"/>
          <cell r="L2282"/>
          <cell r="M2282"/>
          <cell r="N2282"/>
          <cell r="O2282"/>
          <cell r="P2282"/>
          <cell r="Q2282"/>
          <cell r="R2282"/>
          <cell r="S2282"/>
          <cell r="T2282"/>
          <cell r="U2282"/>
          <cell r="V2282"/>
          <cell r="W2282"/>
          <cell r="X2282"/>
          <cell r="Y2282"/>
          <cell r="Z2282"/>
          <cell r="AA2282"/>
          <cell r="AB2282"/>
          <cell r="AC2282"/>
          <cell r="AD2282"/>
          <cell r="AE2282"/>
          <cell r="AF2282"/>
          <cell r="AG2282"/>
          <cell r="AH2282"/>
          <cell r="AI2282"/>
          <cell r="AJ2282"/>
          <cell r="AK2282"/>
          <cell r="AL2282"/>
        </row>
        <row r="2283">
          <cell r="E2283"/>
          <cell r="F2283"/>
          <cell r="G2283"/>
          <cell r="H2283"/>
          <cell r="I2283"/>
          <cell r="J2283"/>
          <cell r="K2283"/>
          <cell r="L2283"/>
          <cell r="M2283"/>
          <cell r="N2283"/>
          <cell r="O2283"/>
          <cell r="P2283"/>
          <cell r="Q2283"/>
          <cell r="R2283"/>
          <cell r="S2283"/>
          <cell r="T2283"/>
          <cell r="U2283"/>
          <cell r="V2283"/>
          <cell r="W2283"/>
          <cell r="X2283"/>
          <cell r="Y2283"/>
          <cell r="Z2283"/>
          <cell r="AA2283"/>
          <cell r="AB2283"/>
          <cell r="AC2283"/>
          <cell r="AD2283"/>
          <cell r="AE2283"/>
          <cell r="AF2283"/>
          <cell r="AG2283"/>
          <cell r="AH2283"/>
          <cell r="AI2283"/>
          <cell r="AJ2283"/>
          <cell r="AK2283"/>
          <cell r="AL2283"/>
        </row>
        <row r="2284">
          <cell r="E2284"/>
          <cell r="F2284"/>
          <cell r="G2284"/>
          <cell r="H2284"/>
          <cell r="I2284"/>
          <cell r="J2284"/>
          <cell r="K2284"/>
          <cell r="L2284"/>
          <cell r="M2284"/>
          <cell r="N2284"/>
          <cell r="O2284"/>
          <cell r="P2284"/>
          <cell r="Q2284"/>
          <cell r="R2284"/>
          <cell r="S2284"/>
          <cell r="T2284"/>
          <cell r="U2284"/>
          <cell r="V2284"/>
          <cell r="W2284"/>
          <cell r="X2284"/>
          <cell r="Y2284"/>
          <cell r="Z2284"/>
          <cell r="AA2284"/>
          <cell r="AB2284"/>
          <cell r="AC2284"/>
          <cell r="AD2284"/>
          <cell r="AE2284"/>
          <cell r="AF2284"/>
          <cell r="AG2284"/>
          <cell r="AH2284"/>
          <cell r="AI2284"/>
          <cell r="AJ2284"/>
          <cell r="AK2284"/>
          <cell r="AL2284"/>
        </row>
        <row r="2285">
          <cell r="E2285"/>
          <cell r="F2285"/>
          <cell r="G2285"/>
          <cell r="H2285"/>
          <cell r="I2285"/>
          <cell r="J2285"/>
          <cell r="K2285"/>
          <cell r="L2285"/>
          <cell r="M2285"/>
          <cell r="N2285"/>
          <cell r="O2285"/>
          <cell r="P2285"/>
          <cell r="Q2285"/>
          <cell r="R2285"/>
          <cell r="S2285"/>
          <cell r="T2285"/>
          <cell r="U2285"/>
          <cell r="V2285"/>
          <cell r="W2285"/>
          <cell r="X2285"/>
          <cell r="Y2285"/>
          <cell r="Z2285"/>
          <cell r="AA2285"/>
          <cell r="AB2285"/>
          <cell r="AC2285"/>
          <cell r="AD2285"/>
          <cell r="AE2285"/>
          <cell r="AF2285"/>
          <cell r="AG2285"/>
          <cell r="AH2285"/>
          <cell r="AI2285"/>
          <cell r="AJ2285"/>
          <cell r="AK2285"/>
          <cell r="AL2285"/>
        </row>
        <row r="2286">
          <cell r="E2286"/>
          <cell r="F2286"/>
          <cell r="G2286"/>
          <cell r="H2286"/>
          <cell r="I2286"/>
          <cell r="J2286"/>
          <cell r="K2286"/>
          <cell r="L2286"/>
          <cell r="M2286"/>
          <cell r="N2286"/>
          <cell r="O2286"/>
          <cell r="P2286"/>
          <cell r="Q2286"/>
          <cell r="R2286"/>
          <cell r="S2286"/>
          <cell r="T2286"/>
          <cell r="U2286"/>
          <cell r="V2286"/>
          <cell r="W2286"/>
          <cell r="X2286"/>
          <cell r="Y2286"/>
          <cell r="Z2286"/>
          <cell r="AA2286"/>
          <cell r="AB2286"/>
          <cell r="AC2286"/>
          <cell r="AD2286"/>
          <cell r="AE2286"/>
          <cell r="AF2286"/>
          <cell r="AG2286"/>
          <cell r="AH2286"/>
          <cell r="AI2286"/>
          <cell r="AJ2286"/>
          <cell r="AK2286"/>
          <cell r="AL2286"/>
        </row>
        <row r="2287">
          <cell r="E2287"/>
          <cell r="F2287"/>
          <cell r="G2287"/>
          <cell r="H2287"/>
          <cell r="I2287"/>
          <cell r="J2287"/>
          <cell r="K2287"/>
          <cell r="L2287"/>
          <cell r="M2287"/>
          <cell r="N2287"/>
          <cell r="O2287"/>
          <cell r="P2287"/>
          <cell r="Q2287"/>
          <cell r="R2287"/>
          <cell r="S2287"/>
          <cell r="T2287"/>
          <cell r="U2287"/>
          <cell r="V2287"/>
          <cell r="W2287"/>
          <cell r="X2287"/>
          <cell r="Y2287"/>
          <cell r="Z2287"/>
          <cell r="AA2287"/>
          <cell r="AB2287"/>
          <cell r="AC2287"/>
          <cell r="AD2287"/>
          <cell r="AE2287"/>
          <cell r="AF2287"/>
          <cell r="AG2287"/>
          <cell r="AH2287"/>
          <cell r="AI2287"/>
          <cell r="AJ2287"/>
          <cell r="AK2287"/>
          <cell r="AL2287"/>
        </row>
        <row r="2288">
          <cell r="E2288" t="str">
            <v>■Ｈｆ開放埋込形</v>
          </cell>
          <cell r="F2288"/>
          <cell r="G2288"/>
          <cell r="H2288"/>
          <cell r="I2288"/>
          <cell r="J2288"/>
          <cell r="K2288"/>
          <cell r="L2288"/>
          <cell r="M2288"/>
          <cell r="N2288"/>
          <cell r="O2288"/>
          <cell r="P2288"/>
          <cell r="Q2288"/>
          <cell r="R2288"/>
          <cell r="S2288"/>
          <cell r="T2288"/>
          <cell r="U2288"/>
          <cell r="V2288"/>
          <cell r="W2288"/>
          <cell r="X2288"/>
          <cell r="Y2288"/>
          <cell r="Z2288"/>
          <cell r="AA2288"/>
          <cell r="AB2288"/>
          <cell r="AC2288"/>
          <cell r="AD2288"/>
          <cell r="AE2288"/>
          <cell r="AF2288"/>
          <cell r="AG2288"/>
          <cell r="AH2288"/>
          <cell r="AI2288"/>
          <cell r="AJ2288"/>
          <cell r="AK2288"/>
          <cell r="AL2288"/>
        </row>
        <row r="2289">
          <cell r="E2289" t="str">
            <v>A26-322PH+40eB</v>
          </cell>
          <cell r="F2289" t="str">
            <v>台</v>
          </cell>
          <cell r="G2289"/>
          <cell r="H2289">
            <v>9180</v>
          </cell>
          <cell r="I2289"/>
          <cell r="J2289">
            <v>9180</v>
          </cell>
          <cell r="K2289"/>
          <cell r="L2289">
            <v>9180</v>
          </cell>
          <cell r="M2289"/>
          <cell r="N2289">
            <v>9180</v>
          </cell>
          <cell r="O2289"/>
          <cell r="P2289">
            <v>9180</v>
          </cell>
          <cell r="Q2289"/>
          <cell r="R2289">
            <v>9180</v>
          </cell>
          <cell r="S2289"/>
          <cell r="T2289">
            <v>9180</v>
          </cell>
          <cell r="U2289"/>
          <cell r="V2289">
            <v>9180</v>
          </cell>
          <cell r="W2289"/>
          <cell r="X2289">
            <v>9180</v>
          </cell>
          <cell r="Y2289"/>
          <cell r="Z2289">
            <v>9180</v>
          </cell>
          <cell r="AA2289"/>
          <cell r="AB2289"/>
          <cell r="AC2289"/>
          <cell r="AD2289">
            <v>0.48799999999999999</v>
          </cell>
          <cell r="AE2289"/>
          <cell r="AF2289"/>
          <cell r="AG2289">
            <v>4950</v>
          </cell>
          <cell r="AH2289">
            <v>48</v>
          </cell>
          <cell r="AI2289">
            <v>0.97899999999999998</v>
          </cell>
          <cell r="AJ2289">
            <v>1</v>
          </cell>
          <cell r="AK2289">
            <v>49.02</v>
          </cell>
          <cell r="AL2289" t="str">
            <v>電池別置型</v>
          </cell>
        </row>
        <row r="2290">
          <cell r="E2290" t="str">
            <v>■Ｈｆルーバー直付形</v>
          </cell>
          <cell r="F2290"/>
          <cell r="G2290"/>
          <cell r="H2290"/>
          <cell r="I2290"/>
          <cell r="J2290"/>
          <cell r="K2290"/>
          <cell r="L2290"/>
          <cell r="M2290"/>
          <cell r="N2290"/>
          <cell r="O2290"/>
          <cell r="P2290"/>
          <cell r="Q2290"/>
          <cell r="R2290"/>
          <cell r="S2290"/>
          <cell r="T2290"/>
          <cell r="U2290"/>
          <cell r="V2290"/>
          <cell r="W2290"/>
          <cell r="X2290"/>
          <cell r="Y2290"/>
          <cell r="Z2290"/>
          <cell r="AA2290"/>
          <cell r="AB2290"/>
          <cell r="AC2290"/>
          <cell r="AD2290"/>
          <cell r="AE2290"/>
          <cell r="AF2290"/>
          <cell r="AG2290"/>
          <cell r="AH2290"/>
          <cell r="AI2290"/>
          <cell r="AJ2290"/>
          <cell r="AK2290"/>
          <cell r="AL2290"/>
        </row>
        <row r="2291">
          <cell r="E2291" t="str">
            <v>Ds1-322PH+40eB</v>
          </cell>
          <cell r="F2291" t="str">
            <v>台</v>
          </cell>
          <cell r="G2291"/>
          <cell r="H2291">
            <v>10700</v>
          </cell>
          <cell r="I2291"/>
          <cell r="J2291">
            <v>10700</v>
          </cell>
          <cell r="K2291"/>
          <cell r="L2291">
            <v>10700</v>
          </cell>
          <cell r="M2291"/>
          <cell r="N2291">
            <v>10700</v>
          </cell>
          <cell r="O2291"/>
          <cell r="P2291">
            <v>10700</v>
          </cell>
          <cell r="Q2291"/>
          <cell r="R2291">
            <v>10700</v>
          </cell>
          <cell r="S2291"/>
          <cell r="T2291">
            <v>10700</v>
          </cell>
          <cell r="U2291"/>
          <cell r="V2291">
            <v>10700</v>
          </cell>
          <cell r="W2291"/>
          <cell r="X2291">
            <v>10700</v>
          </cell>
          <cell r="Y2291"/>
          <cell r="Z2291">
            <v>10700</v>
          </cell>
          <cell r="AA2291"/>
          <cell r="AB2291"/>
          <cell r="AC2291"/>
          <cell r="AD2291">
            <v>0.32600000000000001</v>
          </cell>
          <cell r="AE2291"/>
          <cell r="AF2291"/>
          <cell r="AG2291">
            <v>9900</v>
          </cell>
          <cell r="AH2291">
            <v>96</v>
          </cell>
          <cell r="AI2291">
            <v>0.98899999999999999</v>
          </cell>
          <cell r="AJ2291">
            <v>1</v>
          </cell>
          <cell r="AK2291">
            <v>97.06</v>
          </cell>
          <cell r="AL2291" t="str">
            <v>電池別置型</v>
          </cell>
        </row>
        <row r="2292">
          <cell r="E2292" t="str">
            <v>■Ｈｆ開放直付形</v>
          </cell>
          <cell r="F2292"/>
          <cell r="G2292"/>
          <cell r="H2292"/>
          <cell r="I2292"/>
          <cell r="J2292"/>
          <cell r="K2292"/>
          <cell r="L2292"/>
          <cell r="M2292"/>
          <cell r="N2292"/>
          <cell r="O2292"/>
          <cell r="P2292"/>
          <cell r="Q2292"/>
          <cell r="R2292"/>
          <cell r="S2292"/>
          <cell r="T2292"/>
          <cell r="U2292"/>
          <cell r="V2292"/>
          <cell r="W2292"/>
          <cell r="X2292"/>
          <cell r="Y2292"/>
          <cell r="Z2292"/>
          <cell r="AA2292"/>
          <cell r="AB2292"/>
          <cell r="AC2292"/>
          <cell r="AD2292"/>
          <cell r="AE2292"/>
          <cell r="AF2292"/>
          <cell r="AG2292"/>
          <cell r="AH2292"/>
          <cell r="AI2292"/>
          <cell r="AJ2292"/>
          <cell r="AK2292"/>
          <cell r="AL2292"/>
        </row>
        <row r="2293">
          <cell r="E2293" t="str">
            <v>As6-322PN+40eB</v>
          </cell>
          <cell r="F2293" t="str">
            <v>台</v>
          </cell>
          <cell r="G2293"/>
          <cell r="H2293">
            <v>7950</v>
          </cell>
          <cell r="I2293"/>
          <cell r="J2293">
            <v>7950</v>
          </cell>
          <cell r="K2293"/>
          <cell r="L2293">
            <v>7950</v>
          </cell>
          <cell r="M2293"/>
          <cell r="N2293">
            <v>7950</v>
          </cell>
          <cell r="O2293"/>
          <cell r="P2293">
            <v>7950</v>
          </cell>
          <cell r="Q2293"/>
          <cell r="R2293">
            <v>7950</v>
          </cell>
          <cell r="S2293"/>
          <cell r="T2293">
            <v>7950</v>
          </cell>
          <cell r="U2293"/>
          <cell r="V2293">
            <v>7950</v>
          </cell>
          <cell r="W2293"/>
          <cell r="X2293">
            <v>7950</v>
          </cell>
          <cell r="Y2293"/>
          <cell r="Z2293">
            <v>7950</v>
          </cell>
          <cell r="AA2293"/>
          <cell r="AB2293"/>
          <cell r="AC2293"/>
          <cell r="AD2293">
            <v>0.32600000000000001</v>
          </cell>
          <cell r="AE2293"/>
          <cell r="AF2293"/>
          <cell r="AG2293">
            <v>9900</v>
          </cell>
          <cell r="AH2293">
            <v>96</v>
          </cell>
          <cell r="AI2293">
            <v>0.98899999999999999</v>
          </cell>
          <cell r="AJ2293">
            <v>1</v>
          </cell>
          <cell r="AK2293">
            <v>97.06</v>
          </cell>
          <cell r="AL2293" t="str">
            <v>電池別置型</v>
          </cell>
        </row>
        <row r="2294">
          <cell r="E2294" t="str">
            <v>As6-322PH+40eB</v>
          </cell>
          <cell r="F2294" t="str">
            <v>台</v>
          </cell>
          <cell r="G2294"/>
          <cell r="H2294">
            <v>9350</v>
          </cell>
          <cell r="I2294"/>
          <cell r="J2294">
            <v>9350</v>
          </cell>
          <cell r="K2294"/>
          <cell r="L2294">
            <v>9350</v>
          </cell>
          <cell r="M2294"/>
          <cell r="N2294">
            <v>9350</v>
          </cell>
          <cell r="O2294"/>
          <cell r="P2294">
            <v>9350</v>
          </cell>
          <cell r="Q2294"/>
          <cell r="R2294">
            <v>9350</v>
          </cell>
          <cell r="S2294"/>
          <cell r="T2294">
            <v>9350</v>
          </cell>
          <cell r="U2294"/>
          <cell r="V2294">
            <v>9350</v>
          </cell>
          <cell r="W2294"/>
          <cell r="X2294">
            <v>9350</v>
          </cell>
          <cell r="Y2294"/>
          <cell r="Z2294">
            <v>9350</v>
          </cell>
          <cell r="AA2294"/>
          <cell r="AB2294"/>
          <cell r="AC2294"/>
          <cell r="AD2294">
            <v>0.32600000000000001</v>
          </cell>
          <cell r="AE2294"/>
          <cell r="AF2294"/>
          <cell r="AG2294">
            <v>9900</v>
          </cell>
          <cell r="AH2294">
            <v>96</v>
          </cell>
          <cell r="AI2294">
            <v>0.98899999999999999</v>
          </cell>
          <cell r="AJ2294">
            <v>1</v>
          </cell>
          <cell r="AK2294">
            <v>97.06</v>
          </cell>
          <cell r="AL2294" t="str">
            <v>電池別置型</v>
          </cell>
        </row>
        <row r="2295">
          <cell r="E2295" t="str">
            <v>■Ｈｆ逆富士</v>
          </cell>
          <cell r="F2295"/>
          <cell r="G2295"/>
          <cell r="H2295"/>
          <cell r="I2295"/>
          <cell r="J2295"/>
          <cell r="K2295"/>
          <cell r="L2295"/>
          <cell r="M2295"/>
          <cell r="N2295"/>
          <cell r="O2295"/>
          <cell r="P2295"/>
          <cell r="Q2295"/>
          <cell r="R2295"/>
          <cell r="S2295"/>
          <cell r="T2295"/>
          <cell r="U2295"/>
          <cell r="V2295"/>
          <cell r="W2295"/>
          <cell r="X2295"/>
          <cell r="Y2295"/>
          <cell r="Z2295"/>
          <cell r="AA2295"/>
          <cell r="AB2295"/>
          <cell r="AC2295"/>
          <cell r="AD2295"/>
          <cell r="AE2295"/>
          <cell r="AF2295"/>
          <cell r="AG2295"/>
          <cell r="AH2295"/>
          <cell r="AI2295"/>
          <cell r="AJ2295"/>
          <cell r="AK2295"/>
          <cell r="AL2295"/>
        </row>
        <row r="2296">
          <cell r="E2296" t="str">
            <v>V9-322PN+40eB</v>
          </cell>
          <cell r="F2296" t="str">
            <v>台</v>
          </cell>
          <cell r="G2296"/>
          <cell r="H2296">
            <v>6830</v>
          </cell>
          <cell r="I2296"/>
          <cell r="J2296">
            <v>6830</v>
          </cell>
          <cell r="K2296"/>
          <cell r="L2296">
            <v>6830</v>
          </cell>
          <cell r="M2296"/>
          <cell r="N2296">
            <v>6830</v>
          </cell>
          <cell r="O2296"/>
          <cell r="P2296">
            <v>6830</v>
          </cell>
          <cell r="Q2296"/>
          <cell r="R2296">
            <v>6830</v>
          </cell>
          <cell r="S2296"/>
          <cell r="T2296">
            <v>6830</v>
          </cell>
          <cell r="U2296"/>
          <cell r="V2296">
            <v>6830</v>
          </cell>
          <cell r="W2296"/>
          <cell r="X2296">
            <v>6830</v>
          </cell>
          <cell r="Y2296"/>
          <cell r="Z2296">
            <v>6830</v>
          </cell>
          <cell r="AA2296"/>
          <cell r="AB2296"/>
          <cell r="AC2296"/>
          <cell r="AD2296">
            <v>0.32600000000000001</v>
          </cell>
          <cell r="AE2296"/>
          <cell r="AF2296"/>
          <cell r="AG2296">
            <v>9900</v>
          </cell>
          <cell r="AH2296">
            <v>96</v>
          </cell>
          <cell r="AI2296">
            <v>0.98899999999999999</v>
          </cell>
          <cell r="AJ2296">
            <v>1</v>
          </cell>
          <cell r="AK2296">
            <v>97.06</v>
          </cell>
          <cell r="AL2296" t="str">
            <v>電池別置型</v>
          </cell>
        </row>
        <row r="2297">
          <cell r="E2297" t="str">
            <v>V9-322PH+40eB</v>
          </cell>
          <cell r="F2297" t="str">
            <v>台</v>
          </cell>
          <cell r="G2297"/>
          <cell r="H2297">
            <v>8090</v>
          </cell>
          <cell r="I2297"/>
          <cell r="J2297">
            <v>8090</v>
          </cell>
          <cell r="K2297"/>
          <cell r="L2297">
            <v>8090</v>
          </cell>
          <cell r="M2297"/>
          <cell r="N2297">
            <v>8090</v>
          </cell>
          <cell r="O2297"/>
          <cell r="P2297">
            <v>8090</v>
          </cell>
          <cell r="Q2297"/>
          <cell r="R2297">
            <v>8090</v>
          </cell>
          <cell r="S2297"/>
          <cell r="T2297">
            <v>8090</v>
          </cell>
          <cell r="U2297"/>
          <cell r="V2297">
            <v>8090</v>
          </cell>
          <cell r="W2297"/>
          <cell r="X2297">
            <v>8090</v>
          </cell>
          <cell r="Y2297"/>
          <cell r="Z2297">
            <v>8090</v>
          </cell>
          <cell r="AA2297"/>
          <cell r="AB2297"/>
          <cell r="AC2297"/>
          <cell r="AD2297">
            <v>0.32600000000000001</v>
          </cell>
          <cell r="AE2297"/>
          <cell r="AF2297"/>
          <cell r="AG2297">
            <v>9900</v>
          </cell>
          <cell r="AH2297">
            <v>96</v>
          </cell>
          <cell r="AI2297">
            <v>0.98899999999999999</v>
          </cell>
          <cell r="AJ2297">
            <v>1</v>
          </cell>
          <cell r="AK2297">
            <v>97.06</v>
          </cell>
          <cell r="AL2297" t="str">
            <v>電池別置型</v>
          </cell>
        </row>
        <row r="2298">
          <cell r="E2298" t="str">
            <v>■ダウンライト</v>
          </cell>
          <cell r="F2298"/>
          <cell r="G2298"/>
          <cell r="H2298"/>
          <cell r="I2298"/>
          <cell r="J2298"/>
          <cell r="K2298"/>
          <cell r="L2298"/>
          <cell r="M2298"/>
          <cell r="N2298"/>
          <cell r="O2298"/>
          <cell r="P2298"/>
          <cell r="Q2298"/>
          <cell r="R2298"/>
          <cell r="S2298"/>
          <cell r="T2298"/>
          <cell r="U2298"/>
          <cell r="V2298"/>
          <cell r="W2298"/>
          <cell r="X2298"/>
          <cell r="Y2298"/>
          <cell r="Z2298"/>
          <cell r="AA2298"/>
          <cell r="AB2298"/>
          <cell r="AC2298"/>
          <cell r="AD2298"/>
          <cell r="AE2298"/>
          <cell r="AF2298"/>
          <cell r="AG2298"/>
          <cell r="AH2298"/>
          <cell r="AI2298"/>
          <cell r="AJ2298"/>
          <cell r="AK2298"/>
          <cell r="AL2298"/>
        </row>
        <row r="2299">
          <cell r="E2299" t="str">
            <v>d5-40eB</v>
          </cell>
          <cell r="F2299" t="str">
            <v>台</v>
          </cell>
          <cell r="G2299"/>
          <cell r="H2299">
            <v>1370</v>
          </cell>
          <cell r="I2299"/>
          <cell r="J2299">
            <v>1370</v>
          </cell>
          <cell r="K2299"/>
          <cell r="L2299">
            <v>1370</v>
          </cell>
          <cell r="M2299"/>
          <cell r="N2299">
            <v>1370</v>
          </cell>
          <cell r="O2299"/>
          <cell r="P2299">
            <v>1370</v>
          </cell>
          <cell r="Q2299"/>
          <cell r="R2299">
            <v>1370</v>
          </cell>
          <cell r="S2299"/>
          <cell r="T2299">
            <v>1370</v>
          </cell>
          <cell r="U2299"/>
          <cell r="V2299">
            <v>1370</v>
          </cell>
          <cell r="W2299"/>
          <cell r="X2299">
            <v>1370</v>
          </cell>
          <cell r="Y2299"/>
          <cell r="Z2299">
            <v>1370</v>
          </cell>
          <cell r="AA2299"/>
          <cell r="AB2299"/>
          <cell r="AC2299"/>
          <cell r="AD2299">
            <v>0.20899999999999999</v>
          </cell>
          <cell r="AE2299"/>
          <cell r="AF2299"/>
          <cell r="AG2299"/>
          <cell r="AH2299"/>
          <cell r="AI2299"/>
          <cell r="AJ2299"/>
          <cell r="AK2299"/>
          <cell r="AL2299" t="str">
            <v>電池別置型</v>
          </cell>
        </row>
        <row r="2300">
          <cell r="E2300" t="str">
            <v>■Ｈｆウォールライト</v>
          </cell>
          <cell r="F2300"/>
          <cell r="G2300"/>
          <cell r="H2300"/>
          <cell r="I2300"/>
          <cell r="J2300"/>
          <cell r="K2300"/>
          <cell r="L2300"/>
          <cell r="M2300"/>
          <cell r="N2300"/>
          <cell r="O2300"/>
          <cell r="P2300"/>
          <cell r="Q2300"/>
          <cell r="R2300"/>
          <cell r="S2300"/>
          <cell r="T2300"/>
          <cell r="U2300"/>
          <cell r="V2300"/>
          <cell r="W2300"/>
          <cell r="X2300"/>
          <cell r="Y2300"/>
          <cell r="Z2300"/>
          <cell r="AA2300"/>
          <cell r="AB2300"/>
          <cell r="AC2300"/>
          <cell r="AD2300"/>
          <cell r="AE2300"/>
          <cell r="AF2300"/>
          <cell r="AG2300"/>
          <cell r="AH2300"/>
          <cell r="AI2300"/>
          <cell r="AJ2300"/>
          <cell r="AK2300"/>
          <cell r="AL2300"/>
        </row>
        <row r="2301">
          <cell r="E2301" t="str">
            <v>B15-321PHe</v>
          </cell>
          <cell r="F2301" t="str">
            <v>台</v>
          </cell>
          <cell r="G2301"/>
          <cell r="H2301">
            <v>35400</v>
          </cell>
          <cell r="I2301"/>
          <cell r="J2301">
            <v>35400</v>
          </cell>
          <cell r="K2301"/>
          <cell r="L2301">
            <v>35400</v>
          </cell>
          <cell r="M2301"/>
          <cell r="N2301">
            <v>35400</v>
          </cell>
          <cell r="O2301"/>
          <cell r="P2301">
            <v>35400</v>
          </cell>
          <cell r="Q2301"/>
          <cell r="R2301">
            <v>35400</v>
          </cell>
          <cell r="S2301"/>
          <cell r="T2301">
            <v>35400</v>
          </cell>
          <cell r="U2301"/>
          <cell r="V2301">
            <v>35400</v>
          </cell>
          <cell r="W2301"/>
          <cell r="X2301">
            <v>35400</v>
          </cell>
          <cell r="Y2301"/>
          <cell r="Z2301">
            <v>35400</v>
          </cell>
          <cell r="AA2301"/>
          <cell r="AB2301"/>
          <cell r="AC2301"/>
          <cell r="AD2301">
            <v>0.26100000000000001</v>
          </cell>
          <cell r="AE2301"/>
          <cell r="AF2301"/>
          <cell r="AG2301">
            <v>4950</v>
          </cell>
          <cell r="AH2301">
            <v>48</v>
          </cell>
          <cell r="AI2301">
            <v>0.97899999999999998</v>
          </cell>
          <cell r="AJ2301">
            <v>1</v>
          </cell>
          <cell r="AK2301">
            <v>49.02</v>
          </cell>
          <cell r="AL2301"/>
        </row>
        <row r="2302">
          <cell r="E2302" t="str">
            <v>■Ｈｆルーバ埋込形</v>
          </cell>
          <cell r="F2302"/>
          <cell r="G2302"/>
          <cell r="H2302"/>
          <cell r="I2302"/>
          <cell r="J2302"/>
          <cell r="K2302"/>
          <cell r="L2302"/>
          <cell r="M2302"/>
          <cell r="N2302"/>
          <cell r="O2302"/>
          <cell r="P2302"/>
          <cell r="Q2302"/>
          <cell r="R2302"/>
          <cell r="S2302"/>
          <cell r="T2302"/>
          <cell r="U2302"/>
          <cell r="V2302"/>
          <cell r="W2302"/>
          <cell r="X2302"/>
          <cell r="Y2302"/>
          <cell r="Z2302"/>
          <cell r="AA2302"/>
          <cell r="AB2302"/>
          <cell r="AC2302"/>
          <cell r="AD2302"/>
          <cell r="AE2302"/>
          <cell r="AF2302"/>
          <cell r="AG2302"/>
          <cell r="AH2302"/>
          <cell r="AI2302"/>
          <cell r="AJ2302"/>
          <cell r="AK2302"/>
          <cell r="AL2302"/>
        </row>
        <row r="2303">
          <cell r="E2303" t="str">
            <v>D9-321PNe</v>
          </cell>
          <cell r="F2303" t="str">
            <v>台</v>
          </cell>
          <cell r="G2303"/>
          <cell r="H2303">
            <v>30600</v>
          </cell>
          <cell r="I2303"/>
          <cell r="J2303">
            <v>30600</v>
          </cell>
          <cell r="K2303"/>
          <cell r="L2303">
            <v>30600</v>
          </cell>
          <cell r="M2303"/>
          <cell r="N2303">
            <v>30600</v>
          </cell>
          <cell r="O2303"/>
          <cell r="P2303">
            <v>30600</v>
          </cell>
          <cell r="Q2303"/>
          <cell r="R2303">
            <v>30600</v>
          </cell>
          <cell r="S2303"/>
          <cell r="T2303">
            <v>30600</v>
          </cell>
          <cell r="U2303"/>
          <cell r="V2303">
            <v>30600</v>
          </cell>
          <cell r="W2303"/>
          <cell r="X2303">
            <v>30600</v>
          </cell>
          <cell r="Y2303"/>
          <cell r="Z2303">
            <v>30600</v>
          </cell>
          <cell r="AA2303"/>
          <cell r="AB2303"/>
          <cell r="AC2303"/>
          <cell r="AD2303">
            <v>0.39100000000000001</v>
          </cell>
          <cell r="AE2303"/>
          <cell r="AF2303"/>
          <cell r="AG2303">
            <v>4950</v>
          </cell>
          <cell r="AH2303">
            <v>48</v>
          </cell>
          <cell r="AI2303">
            <v>0.97899999999999998</v>
          </cell>
          <cell r="AJ2303">
            <v>1</v>
          </cell>
          <cell r="AK2303">
            <v>49.02</v>
          </cell>
          <cell r="AL2303"/>
        </row>
        <row r="2304">
          <cell r="E2304" t="str">
            <v>D9-321PHe</v>
          </cell>
          <cell r="F2304" t="str">
            <v>台</v>
          </cell>
          <cell r="G2304"/>
          <cell r="H2304">
            <v>32600</v>
          </cell>
          <cell r="I2304"/>
          <cell r="J2304">
            <v>32600</v>
          </cell>
          <cell r="K2304"/>
          <cell r="L2304">
            <v>32600</v>
          </cell>
          <cell r="M2304"/>
          <cell r="N2304">
            <v>32600</v>
          </cell>
          <cell r="O2304"/>
          <cell r="P2304">
            <v>32600</v>
          </cell>
          <cell r="Q2304"/>
          <cell r="R2304">
            <v>32600</v>
          </cell>
          <cell r="S2304"/>
          <cell r="T2304">
            <v>32600</v>
          </cell>
          <cell r="U2304"/>
          <cell r="V2304">
            <v>32600</v>
          </cell>
          <cell r="W2304"/>
          <cell r="X2304">
            <v>32600</v>
          </cell>
          <cell r="Y2304"/>
          <cell r="Z2304">
            <v>32600</v>
          </cell>
          <cell r="AA2304"/>
          <cell r="AB2304"/>
          <cell r="AC2304"/>
          <cell r="AD2304">
            <v>0.39100000000000001</v>
          </cell>
          <cell r="AE2304"/>
          <cell r="AF2304"/>
          <cell r="AG2304">
            <v>4950</v>
          </cell>
          <cell r="AH2304">
            <v>48</v>
          </cell>
          <cell r="AI2304">
            <v>0.97899999999999998</v>
          </cell>
          <cell r="AJ2304">
            <v>1</v>
          </cell>
          <cell r="AK2304">
            <v>49.02</v>
          </cell>
          <cell r="AL2304"/>
        </row>
        <row r="2305">
          <cell r="E2305" t="str">
            <v>D10-322PNe</v>
          </cell>
          <cell r="F2305" t="str">
            <v>台</v>
          </cell>
          <cell r="G2305"/>
          <cell r="H2305">
            <v>30600</v>
          </cell>
          <cell r="I2305"/>
          <cell r="J2305">
            <v>30600</v>
          </cell>
          <cell r="K2305"/>
          <cell r="L2305">
            <v>30600</v>
          </cell>
          <cell r="M2305"/>
          <cell r="N2305">
            <v>30600</v>
          </cell>
          <cell r="O2305"/>
          <cell r="P2305">
            <v>30600</v>
          </cell>
          <cell r="Q2305"/>
          <cell r="R2305">
            <v>30600</v>
          </cell>
          <cell r="S2305"/>
          <cell r="T2305">
            <v>30600</v>
          </cell>
          <cell r="U2305"/>
          <cell r="V2305">
            <v>30600</v>
          </cell>
          <cell r="W2305"/>
          <cell r="X2305">
            <v>30600</v>
          </cell>
          <cell r="Y2305"/>
          <cell r="Z2305">
            <v>30600</v>
          </cell>
          <cell r="AA2305"/>
          <cell r="AB2305"/>
          <cell r="AC2305"/>
          <cell r="AD2305">
            <v>0.48799999999999999</v>
          </cell>
          <cell r="AE2305"/>
          <cell r="AF2305"/>
          <cell r="AG2305">
            <v>9900</v>
          </cell>
          <cell r="AH2305">
            <v>96</v>
          </cell>
          <cell r="AI2305">
            <v>0.98899999999999999</v>
          </cell>
          <cell r="AJ2305">
            <v>1</v>
          </cell>
          <cell r="AK2305">
            <v>97.06</v>
          </cell>
          <cell r="AL2305"/>
        </row>
        <row r="2306">
          <cell r="E2306" t="str">
            <v>D10-322PHe</v>
          </cell>
          <cell r="F2306" t="str">
            <v>台</v>
          </cell>
          <cell r="G2306"/>
          <cell r="H2306">
            <v>31200</v>
          </cell>
          <cell r="I2306"/>
          <cell r="J2306">
            <v>31200</v>
          </cell>
          <cell r="K2306"/>
          <cell r="L2306">
            <v>31200</v>
          </cell>
          <cell r="M2306"/>
          <cell r="N2306">
            <v>31200</v>
          </cell>
          <cell r="O2306"/>
          <cell r="P2306">
            <v>31200</v>
          </cell>
          <cell r="Q2306"/>
          <cell r="R2306">
            <v>31200</v>
          </cell>
          <cell r="S2306"/>
          <cell r="T2306">
            <v>31200</v>
          </cell>
          <cell r="U2306"/>
          <cell r="V2306">
            <v>31200</v>
          </cell>
          <cell r="W2306"/>
          <cell r="X2306">
            <v>31200</v>
          </cell>
          <cell r="Y2306"/>
          <cell r="Z2306">
            <v>31200</v>
          </cell>
          <cell r="AA2306"/>
          <cell r="AB2306"/>
          <cell r="AC2306"/>
          <cell r="AD2306">
            <v>0.48799999999999999</v>
          </cell>
          <cell r="AE2306"/>
          <cell r="AF2306"/>
          <cell r="AG2306">
            <v>9900</v>
          </cell>
          <cell r="AH2306">
            <v>96</v>
          </cell>
          <cell r="AI2306">
            <v>0.98899999999999999</v>
          </cell>
          <cell r="AJ2306">
            <v>1</v>
          </cell>
          <cell r="AK2306">
            <v>97.06</v>
          </cell>
          <cell r="AL2306"/>
        </row>
        <row r="2307">
          <cell r="E2307" t="str">
            <v>■Ｈｆ開放埋込形</v>
          </cell>
          <cell r="F2307"/>
          <cell r="G2307"/>
          <cell r="H2307"/>
          <cell r="I2307"/>
          <cell r="J2307"/>
          <cell r="K2307"/>
          <cell r="L2307"/>
          <cell r="M2307"/>
          <cell r="N2307"/>
          <cell r="O2307"/>
          <cell r="P2307"/>
          <cell r="Q2307"/>
          <cell r="R2307"/>
          <cell r="S2307"/>
          <cell r="T2307"/>
          <cell r="U2307"/>
          <cell r="V2307"/>
          <cell r="W2307"/>
          <cell r="X2307"/>
          <cell r="Y2307"/>
          <cell r="Z2307"/>
          <cell r="AA2307"/>
          <cell r="AB2307"/>
          <cell r="AC2307"/>
          <cell r="AD2307"/>
          <cell r="AE2307"/>
          <cell r="AF2307"/>
          <cell r="AG2307"/>
          <cell r="AH2307"/>
          <cell r="AI2307"/>
          <cell r="AJ2307"/>
          <cell r="AK2307"/>
          <cell r="AL2307"/>
        </row>
        <row r="2308">
          <cell r="E2308" t="str">
            <v>A15-321PNe</v>
          </cell>
          <cell r="F2308" t="str">
            <v>台</v>
          </cell>
          <cell r="G2308"/>
          <cell r="H2308">
            <v>27900</v>
          </cell>
          <cell r="I2308"/>
          <cell r="J2308">
            <v>27900</v>
          </cell>
          <cell r="K2308"/>
          <cell r="L2308">
            <v>27900</v>
          </cell>
          <cell r="M2308"/>
          <cell r="N2308">
            <v>27900</v>
          </cell>
          <cell r="O2308"/>
          <cell r="P2308">
            <v>27900</v>
          </cell>
          <cell r="Q2308"/>
          <cell r="R2308">
            <v>27900</v>
          </cell>
          <cell r="S2308"/>
          <cell r="T2308">
            <v>27900</v>
          </cell>
          <cell r="U2308"/>
          <cell r="V2308">
            <v>27900</v>
          </cell>
          <cell r="W2308"/>
          <cell r="X2308">
            <v>27900</v>
          </cell>
          <cell r="Y2308"/>
          <cell r="Z2308">
            <v>27900</v>
          </cell>
          <cell r="AA2308"/>
          <cell r="AB2308"/>
          <cell r="AC2308"/>
          <cell r="AD2308">
            <v>0.39100000000000001</v>
          </cell>
          <cell r="AE2308"/>
          <cell r="AF2308"/>
          <cell r="AG2308">
            <v>4950</v>
          </cell>
          <cell r="AH2308">
            <v>48</v>
          </cell>
          <cell r="AI2308">
            <v>0.97899999999999998</v>
          </cell>
          <cell r="AJ2308">
            <v>1</v>
          </cell>
          <cell r="AK2308">
            <v>49.02</v>
          </cell>
          <cell r="AL2308"/>
        </row>
        <row r="2309">
          <cell r="E2309" t="str">
            <v>A15-321PHe</v>
          </cell>
          <cell r="F2309" t="str">
            <v>台</v>
          </cell>
          <cell r="G2309"/>
          <cell r="H2309">
            <v>29900</v>
          </cell>
          <cell r="I2309"/>
          <cell r="J2309">
            <v>29900</v>
          </cell>
          <cell r="K2309"/>
          <cell r="L2309">
            <v>29900</v>
          </cell>
          <cell r="M2309"/>
          <cell r="N2309">
            <v>29900</v>
          </cell>
          <cell r="O2309"/>
          <cell r="P2309">
            <v>29900</v>
          </cell>
          <cell r="Q2309"/>
          <cell r="R2309">
            <v>29900</v>
          </cell>
          <cell r="S2309"/>
          <cell r="T2309">
            <v>29900</v>
          </cell>
          <cell r="U2309"/>
          <cell r="V2309">
            <v>29900</v>
          </cell>
          <cell r="W2309"/>
          <cell r="X2309">
            <v>29900</v>
          </cell>
          <cell r="Y2309"/>
          <cell r="Z2309">
            <v>29900</v>
          </cell>
          <cell r="AA2309"/>
          <cell r="AB2309"/>
          <cell r="AC2309"/>
          <cell r="AD2309">
            <v>0.39100000000000001</v>
          </cell>
          <cell r="AE2309"/>
          <cell r="AF2309"/>
          <cell r="AG2309">
            <v>4950</v>
          </cell>
          <cell r="AH2309">
            <v>48</v>
          </cell>
          <cell r="AI2309">
            <v>0.97899999999999998</v>
          </cell>
          <cell r="AJ2309">
            <v>1</v>
          </cell>
          <cell r="AK2309">
            <v>49.02</v>
          </cell>
          <cell r="AL2309"/>
        </row>
        <row r="2310">
          <cell r="E2310" t="str">
            <v>A15-322PNe</v>
          </cell>
          <cell r="F2310" t="str">
            <v>台</v>
          </cell>
          <cell r="G2310"/>
          <cell r="H2310">
            <v>29300</v>
          </cell>
          <cell r="I2310"/>
          <cell r="J2310">
            <v>29300</v>
          </cell>
          <cell r="K2310"/>
          <cell r="L2310">
            <v>29300</v>
          </cell>
          <cell r="M2310"/>
          <cell r="N2310">
            <v>29300</v>
          </cell>
          <cell r="O2310"/>
          <cell r="P2310">
            <v>29300</v>
          </cell>
          <cell r="Q2310"/>
          <cell r="R2310">
            <v>29300</v>
          </cell>
          <cell r="S2310"/>
          <cell r="T2310">
            <v>29300</v>
          </cell>
          <cell r="U2310"/>
          <cell r="V2310">
            <v>29300</v>
          </cell>
          <cell r="W2310"/>
          <cell r="X2310">
            <v>29300</v>
          </cell>
          <cell r="Y2310"/>
          <cell r="Z2310">
            <v>29300</v>
          </cell>
          <cell r="AA2310"/>
          <cell r="AB2310"/>
          <cell r="AC2310"/>
          <cell r="AD2310">
            <v>0.48799999999999999</v>
          </cell>
          <cell r="AE2310"/>
          <cell r="AF2310"/>
          <cell r="AG2310">
            <v>9900</v>
          </cell>
          <cell r="AH2310">
            <v>96</v>
          </cell>
          <cell r="AI2310">
            <v>0.98899999999999999</v>
          </cell>
          <cell r="AJ2310">
            <v>1</v>
          </cell>
          <cell r="AK2310">
            <v>97.06</v>
          </cell>
          <cell r="AL2310"/>
        </row>
        <row r="2311">
          <cell r="E2311" t="str">
            <v>A15-322PHe</v>
          </cell>
          <cell r="F2311" t="str">
            <v>台</v>
          </cell>
          <cell r="G2311"/>
          <cell r="H2311">
            <v>30700</v>
          </cell>
          <cell r="I2311"/>
          <cell r="J2311">
            <v>30700</v>
          </cell>
          <cell r="K2311"/>
          <cell r="L2311">
            <v>30700</v>
          </cell>
          <cell r="M2311"/>
          <cell r="N2311">
            <v>30700</v>
          </cell>
          <cell r="O2311"/>
          <cell r="P2311">
            <v>30700</v>
          </cell>
          <cell r="Q2311"/>
          <cell r="R2311">
            <v>30700</v>
          </cell>
          <cell r="S2311"/>
          <cell r="T2311">
            <v>30700</v>
          </cell>
          <cell r="U2311"/>
          <cell r="V2311">
            <v>30700</v>
          </cell>
          <cell r="W2311"/>
          <cell r="X2311">
            <v>30700</v>
          </cell>
          <cell r="Y2311"/>
          <cell r="Z2311">
            <v>30700</v>
          </cell>
          <cell r="AA2311"/>
          <cell r="AB2311"/>
          <cell r="AC2311"/>
          <cell r="AD2311">
            <v>0.48799999999999999</v>
          </cell>
          <cell r="AE2311"/>
          <cell r="AF2311"/>
          <cell r="AG2311">
            <v>9900</v>
          </cell>
          <cell r="AH2311">
            <v>96</v>
          </cell>
          <cell r="AI2311">
            <v>0.98899999999999999</v>
          </cell>
          <cell r="AJ2311">
            <v>1</v>
          </cell>
          <cell r="AK2311">
            <v>97.06</v>
          </cell>
          <cell r="AL2311"/>
        </row>
        <row r="2312">
          <cell r="E2312" t="str">
            <v>A15-322PXe</v>
          </cell>
          <cell r="F2312" t="str">
            <v>台</v>
          </cell>
          <cell r="G2312"/>
          <cell r="H2312">
            <v>31700</v>
          </cell>
          <cell r="I2312"/>
          <cell r="J2312">
            <v>31700</v>
          </cell>
          <cell r="K2312"/>
          <cell r="L2312">
            <v>31700</v>
          </cell>
          <cell r="M2312"/>
          <cell r="N2312">
            <v>31700</v>
          </cell>
          <cell r="O2312"/>
          <cell r="P2312">
            <v>31700</v>
          </cell>
          <cell r="Q2312"/>
          <cell r="R2312">
            <v>31700</v>
          </cell>
          <cell r="S2312"/>
          <cell r="T2312">
            <v>31700</v>
          </cell>
          <cell r="U2312"/>
          <cell r="V2312">
            <v>31700</v>
          </cell>
          <cell r="W2312"/>
          <cell r="X2312">
            <v>31700</v>
          </cell>
          <cell r="Y2312"/>
          <cell r="Z2312">
            <v>31700</v>
          </cell>
          <cell r="AA2312"/>
          <cell r="AB2312"/>
          <cell r="AC2312"/>
          <cell r="AD2312">
            <v>0.48799999999999999</v>
          </cell>
          <cell r="AE2312"/>
          <cell r="AF2312"/>
          <cell r="AG2312">
            <v>9900</v>
          </cell>
          <cell r="AH2312">
            <v>96</v>
          </cell>
          <cell r="AI2312">
            <v>0.98899999999999999</v>
          </cell>
          <cell r="AJ2312">
            <v>1</v>
          </cell>
          <cell r="AK2312">
            <v>97.06</v>
          </cell>
          <cell r="AL2312"/>
        </row>
        <row r="2313">
          <cell r="E2313" t="str">
            <v>A15-322PKe</v>
          </cell>
          <cell r="F2313" t="str">
            <v>台</v>
          </cell>
          <cell r="G2313"/>
          <cell r="H2313">
            <v>31700</v>
          </cell>
          <cell r="I2313"/>
          <cell r="J2313">
            <v>31700</v>
          </cell>
          <cell r="K2313"/>
          <cell r="L2313">
            <v>31700</v>
          </cell>
          <cell r="M2313"/>
          <cell r="N2313">
            <v>31700</v>
          </cell>
          <cell r="O2313"/>
          <cell r="P2313">
            <v>31700</v>
          </cell>
          <cell r="Q2313"/>
          <cell r="R2313">
            <v>31700</v>
          </cell>
          <cell r="S2313"/>
          <cell r="T2313">
            <v>31700</v>
          </cell>
          <cell r="U2313"/>
          <cell r="V2313">
            <v>31700</v>
          </cell>
          <cell r="W2313"/>
          <cell r="X2313">
            <v>31700</v>
          </cell>
          <cell r="Y2313"/>
          <cell r="Z2313">
            <v>31700</v>
          </cell>
          <cell r="AA2313"/>
          <cell r="AB2313"/>
          <cell r="AC2313"/>
          <cell r="AD2313">
            <v>0.48799999999999999</v>
          </cell>
          <cell r="AE2313"/>
          <cell r="AF2313"/>
          <cell r="AG2313">
            <v>9900</v>
          </cell>
          <cell r="AH2313">
            <v>96</v>
          </cell>
          <cell r="AI2313">
            <v>0.98899999999999999</v>
          </cell>
          <cell r="AJ2313">
            <v>1</v>
          </cell>
          <cell r="AK2313">
            <v>97.06</v>
          </cell>
          <cell r="AL2313"/>
        </row>
        <row r="2314">
          <cell r="E2314" t="str">
            <v>■Ｈｆルーバー埋込形</v>
          </cell>
          <cell r="F2314"/>
          <cell r="G2314"/>
          <cell r="H2314"/>
          <cell r="I2314"/>
          <cell r="J2314"/>
          <cell r="K2314"/>
          <cell r="L2314"/>
          <cell r="M2314"/>
          <cell r="N2314"/>
          <cell r="O2314"/>
          <cell r="P2314"/>
          <cell r="Q2314"/>
          <cell r="R2314"/>
          <cell r="S2314"/>
          <cell r="T2314"/>
          <cell r="U2314"/>
          <cell r="V2314"/>
          <cell r="W2314"/>
          <cell r="X2314"/>
          <cell r="Y2314"/>
          <cell r="Z2314"/>
          <cell r="AA2314"/>
          <cell r="AB2314"/>
          <cell r="AC2314"/>
          <cell r="AD2314"/>
          <cell r="AE2314"/>
          <cell r="AF2314"/>
          <cell r="AG2314"/>
          <cell r="AH2314"/>
          <cell r="AI2314"/>
          <cell r="AJ2314"/>
          <cell r="AK2314"/>
          <cell r="AL2314"/>
        </row>
        <row r="2315">
          <cell r="E2315" t="str">
            <v>D15-321PNe</v>
          </cell>
          <cell r="F2315" t="str">
            <v>台</v>
          </cell>
          <cell r="G2315"/>
          <cell r="H2315">
            <v>34500</v>
          </cell>
          <cell r="I2315"/>
          <cell r="J2315">
            <v>34500</v>
          </cell>
          <cell r="K2315"/>
          <cell r="L2315">
            <v>34500</v>
          </cell>
          <cell r="M2315"/>
          <cell r="N2315">
            <v>34500</v>
          </cell>
          <cell r="O2315"/>
          <cell r="P2315">
            <v>34500</v>
          </cell>
          <cell r="Q2315"/>
          <cell r="R2315">
            <v>34500</v>
          </cell>
          <cell r="S2315"/>
          <cell r="T2315">
            <v>34500</v>
          </cell>
          <cell r="U2315"/>
          <cell r="V2315">
            <v>34500</v>
          </cell>
          <cell r="W2315"/>
          <cell r="X2315">
            <v>34500</v>
          </cell>
          <cell r="Y2315"/>
          <cell r="Z2315">
            <v>34500</v>
          </cell>
          <cell r="AA2315"/>
          <cell r="AB2315"/>
          <cell r="AC2315"/>
          <cell r="AD2315">
            <v>0.39100000000000001</v>
          </cell>
          <cell r="AE2315"/>
          <cell r="AF2315"/>
          <cell r="AG2315">
            <v>4950</v>
          </cell>
          <cell r="AH2315">
            <v>48</v>
          </cell>
          <cell r="AI2315">
            <v>0.97899999999999998</v>
          </cell>
          <cell r="AJ2315">
            <v>1</v>
          </cell>
          <cell r="AK2315">
            <v>49.02</v>
          </cell>
          <cell r="AL2315"/>
        </row>
        <row r="2316">
          <cell r="E2316" t="str">
            <v>D15-321PHe</v>
          </cell>
          <cell r="F2316" t="str">
            <v>台</v>
          </cell>
          <cell r="G2316"/>
          <cell r="H2316">
            <v>36600</v>
          </cell>
          <cell r="I2316"/>
          <cell r="J2316">
            <v>36600</v>
          </cell>
          <cell r="K2316"/>
          <cell r="L2316">
            <v>36600</v>
          </cell>
          <cell r="M2316"/>
          <cell r="N2316">
            <v>36600</v>
          </cell>
          <cell r="O2316"/>
          <cell r="P2316">
            <v>36600</v>
          </cell>
          <cell r="Q2316"/>
          <cell r="R2316">
            <v>36600</v>
          </cell>
          <cell r="S2316"/>
          <cell r="T2316">
            <v>36600</v>
          </cell>
          <cell r="U2316"/>
          <cell r="V2316">
            <v>36600</v>
          </cell>
          <cell r="W2316"/>
          <cell r="X2316">
            <v>36600</v>
          </cell>
          <cell r="Y2316"/>
          <cell r="Z2316">
            <v>36600</v>
          </cell>
          <cell r="AA2316"/>
          <cell r="AB2316"/>
          <cell r="AC2316"/>
          <cell r="AD2316">
            <v>0.39100000000000001</v>
          </cell>
          <cell r="AE2316"/>
          <cell r="AF2316"/>
          <cell r="AG2316">
            <v>4950</v>
          </cell>
          <cell r="AH2316">
            <v>48</v>
          </cell>
          <cell r="AI2316">
            <v>0.97899999999999998</v>
          </cell>
          <cell r="AJ2316">
            <v>1</v>
          </cell>
          <cell r="AK2316">
            <v>49.02</v>
          </cell>
          <cell r="AL2316"/>
        </row>
        <row r="2317">
          <cell r="E2317" t="str">
            <v>D15-322PNe</v>
          </cell>
          <cell r="F2317" t="str">
            <v>台</v>
          </cell>
          <cell r="G2317"/>
          <cell r="H2317">
            <v>37100</v>
          </cell>
          <cell r="I2317"/>
          <cell r="J2317">
            <v>37100</v>
          </cell>
          <cell r="K2317"/>
          <cell r="L2317">
            <v>37100</v>
          </cell>
          <cell r="M2317"/>
          <cell r="N2317">
            <v>37100</v>
          </cell>
          <cell r="O2317"/>
          <cell r="P2317">
            <v>37100</v>
          </cell>
          <cell r="Q2317"/>
          <cell r="R2317">
            <v>37100</v>
          </cell>
          <cell r="S2317"/>
          <cell r="T2317">
            <v>37100</v>
          </cell>
          <cell r="U2317"/>
          <cell r="V2317">
            <v>37100</v>
          </cell>
          <cell r="W2317"/>
          <cell r="X2317">
            <v>37100</v>
          </cell>
          <cell r="Y2317"/>
          <cell r="Z2317">
            <v>37100</v>
          </cell>
          <cell r="AA2317"/>
          <cell r="AB2317"/>
          <cell r="AC2317"/>
          <cell r="AD2317">
            <v>0.48799999999999999</v>
          </cell>
          <cell r="AE2317"/>
          <cell r="AF2317"/>
          <cell r="AG2317">
            <v>9900</v>
          </cell>
          <cell r="AH2317">
            <v>96</v>
          </cell>
          <cell r="AI2317">
            <v>0.98899999999999999</v>
          </cell>
          <cell r="AJ2317">
            <v>1</v>
          </cell>
          <cell r="AK2317">
            <v>97.06</v>
          </cell>
          <cell r="AL2317"/>
        </row>
        <row r="2318">
          <cell r="E2318" t="str">
            <v>D15-322PHe</v>
          </cell>
          <cell r="F2318" t="str">
            <v>台</v>
          </cell>
          <cell r="G2318"/>
          <cell r="H2318">
            <v>38500</v>
          </cell>
          <cell r="I2318"/>
          <cell r="J2318">
            <v>38500</v>
          </cell>
          <cell r="K2318"/>
          <cell r="L2318">
            <v>38500</v>
          </cell>
          <cell r="M2318"/>
          <cell r="N2318">
            <v>38500</v>
          </cell>
          <cell r="O2318"/>
          <cell r="P2318">
            <v>38500</v>
          </cell>
          <cell r="Q2318"/>
          <cell r="R2318">
            <v>38500</v>
          </cell>
          <cell r="S2318"/>
          <cell r="T2318">
            <v>38500</v>
          </cell>
          <cell r="U2318"/>
          <cell r="V2318">
            <v>38500</v>
          </cell>
          <cell r="W2318"/>
          <cell r="X2318">
            <v>38500</v>
          </cell>
          <cell r="Y2318"/>
          <cell r="Z2318">
            <v>38500</v>
          </cell>
          <cell r="AA2318"/>
          <cell r="AB2318"/>
          <cell r="AC2318"/>
          <cell r="AD2318">
            <v>0.48799999999999999</v>
          </cell>
          <cell r="AE2318"/>
          <cell r="AF2318"/>
          <cell r="AG2318">
            <v>9900</v>
          </cell>
          <cell r="AH2318">
            <v>96</v>
          </cell>
          <cell r="AI2318">
            <v>0.98899999999999999</v>
          </cell>
          <cell r="AJ2318">
            <v>1</v>
          </cell>
          <cell r="AK2318">
            <v>97.06</v>
          </cell>
          <cell r="AL2318"/>
        </row>
        <row r="2319">
          <cell r="E2319" t="str">
            <v>D15-322PKe</v>
          </cell>
          <cell r="F2319" t="str">
            <v>台</v>
          </cell>
          <cell r="G2319"/>
          <cell r="H2319">
            <v>39600</v>
          </cell>
          <cell r="I2319"/>
          <cell r="J2319">
            <v>39600</v>
          </cell>
          <cell r="K2319"/>
          <cell r="L2319">
            <v>39600</v>
          </cell>
          <cell r="M2319"/>
          <cell r="N2319">
            <v>39600</v>
          </cell>
          <cell r="O2319"/>
          <cell r="P2319">
            <v>39600</v>
          </cell>
          <cell r="Q2319"/>
          <cell r="R2319">
            <v>39600</v>
          </cell>
          <cell r="S2319"/>
          <cell r="T2319">
            <v>39600</v>
          </cell>
          <cell r="U2319"/>
          <cell r="V2319">
            <v>39600</v>
          </cell>
          <cell r="W2319"/>
          <cell r="X2319">
            <v>39600</v>
          </cell>
          <cell r="Y2319"/>
          <cell r="Z2319">
            <v>39600</v>
          </cell>
          <cell r="AA2319"/>
          <cell r="AB2319"/>
          <cell r="AC2319"/>
          <cell r="AD2319">
            <v>0.48799999999999999</v>
          </cell>
          <cell r="AE2319"/>
          <cell r="AF2319"/>
          <cell r="AG2319">
            <v>9900</v>
          </cell>
          <cell r="AH2319">
            <v>96</v>
          </cell>
          <cell r="AI2319">
            <v>0.98899999999999999</v>
          </cell>
          <cell r="AJ2319">
            <v>1</v>
          </cell>
          <cell r="AK2319">
            <v>97.06</v>
          </cell>
          <cell r="AL2319"/>
        </row>
        <row r="2320">
          <cell r="E2320" t="str">
            <v>D15V-321PNe</v>
          </cell>
          <cell r="F2320" t="str">
            <v>台</v>
          </cell>
          <cell r="G2320"/>
          <cell r="H2320">
            <v>34500</v>
          </cell>
          <cell r="I2320"/>
          <cell r="J2320">
            <v>34500</v>
          </cell>
          <cell r="K2320"/>
          <cell r="L2320">
            <v>34500</v>
          </cell>
          <cell r="M2320"/>
          <cell r="N2320">
            <v>34500</v>
          </cell>
          <cell r="O2320"/>
          <cell r="P2320">
            <v>34500</v>
          </cell>
          <cell r="Q2320"/>
          <cell r="R2320">
            <v>34500</v>
          </cell>
          <cell r="S2320"/>
          <cell r="T2320">
            <v>34500</v>
          </cell>
          <cell r="U2320"/>
          <cell r="V2320">
            <v>34500</v>
          </cell>
          <cell r="W2320"/>
          <cell r="X2320">
            <v>34500</v>
          </cell>
          <cell r="Y2320"/>
          <cell r="Z2320">
            <v>34500</v>
          </cell>
          <cell r="AA2320"/>
          <cell r="AB2320"/>
          <cell r="AC2320"/>
          <cell r="AD2320">
            <v>0.39100000000000001</v>
          </cell>
          <cell r="AE2320"/>
          <cell r="AF2320"/>
          <cell r="AG2320">
            <v>4950</v>
          </cell>
          <cell r="AH2320">
            <v>48</v>
          </cell>
          <cell r="AI2320">
            <v>0.97899999999999998</v>
          </cell>
          <cell r="AJ2320">
            <v>1</v>
          </cell>
          <cell r="AK2320">
            <v>49.02</v>
          </cell>
          <cell r="AL2320"/>
        </row>
        <row r="2321">
          <cell r="E2321" t="str">
            <v>D15V-321PHe</v>
          </cell>
          <cell r="F2321" t="str">
            <v>台</v>
          </cell>
          <cell r="G2321"/>
          <cell r="H2321">
            <v>36600</v>
          </cell>
          <cell r="I2321"/>
          <cell r="J2321">
            <v>36600</v>
          </cell>
          <cell r="K2321"/>
          <cell r="L2321">
            <v>36600</v>
          </cell>
          <cell r="M2321"/>
          <cell r="N2321">
            <v>36600</v>
          </cell>
          <cell r="O2321"/>
          <cell r="P2321">
            <v>36600</v>
          </cell>
          <cell r="Q2321"/>
          <cell r="R2321">
            <v>36600</v>
          </cell>
          <cell r="S2321"/>
          <cell r="T2321">
            <v>36600</v>
          </cell>
          <cell r="U2321"/>
          <cell r="V2321">
            <v>36600</v>
          </cell>
          <cell r="W2321"/>
          <cell r="X2321">
            <v>36600</v>
          </cell>
          <cell r="Y2321"/>
          <cell r="Z2321">
            <v>36600</v>
          </cell>
          <cell r="AA2321"/>
          <cell r="AB2321"/>
          <cell r="AC2321"/>
          <cell r="AD2321">
            <v>0.39100000000000001</v>
          </cell>
          <cell r="AE2321"/>
          <cell r="AF2321"/>
          <cell r="AG2321">
            <v>4950</v>
          </cell>
          <cell r="AH2321">
            <v>48</v>
          </cell>
          <cell r="AI2321">
            <v>0.97899999999999998</v>
          </cell>
          <cell r="AJ2321">
            <v>1</v>
          </cell>
          <cell r="AK2321">
            <v>49.02</v>
          </cell>
          <cell r="AL2321"/>
        </row>
        <row r="2322">
          <cell r="E2322" t="str">
            <v>D15V-322PNe</v>
          </cell>
          <cell r="F2322" t="str">
            <v>台</v>
          </cell>
          <cell r="G2322"/>
          <cell r="H2322">
            <v>37100</v>
          </cell>
          <cell r="I2322"/>
          <cell r="J2322">
            <v>37100</v>
          </cell>
          <cell r="K2322"/>
          <cell r="L2322">
            <v>37100</v>
          </cell>
          <cell r="M2322"/>
          <cell r="N2322">
            <v>37100</v>
          </cell>
          <cell r="O2322"/>
          <cell r="P2322">
            <v>37100</v>
          </cell>
          <cell r="Q2322"/>
          <cell r="R2322">
            <v>37100</v>
          </cell>
          <cell r="S2322"/>
          <cell r="T2322">
            <v>37100</v>
          </cell>
          <cell r="U2322"/>
          <cell r="V2322">
            <v>37100</v>
          </cell>
          <cell r="W2322"/>
          <cell r="X2322">
            <v>37100</v>
          </cell>
          <cell r="Y2322"/>
          <cell r="Z2322">
            <v>37100</v>
          </cell>
          <cell r="AA2322"/>
          <cell r="AB2322"/>
          <cell r="AC2322"/>
          <cell r="AD2322">
            <v>0.48799999999999999</v>
          </cell>
          <cell r="AE2322"/>
          <cell r="AF2322"/>
          <cell r="AG2322">
            <v>9900</v>
          </cell>
          <cell r="AH2322">
            <v>96</v>
          </cell>
          <cell r="AI2322">
            <v>0.98899999999999999</v>
          </cell>
          <cell r="AJ2322">
            <v>1</v>
          </cell>
          <cell r="AK2322">
            <v>97.06</v>
          </cell>
          <cell r="AL2322"/>
        </row>
        <row r="2323">
          <cell r="E2323" t="str">
            <v>D15V-321PHe</v>
          </cell>
          <cell r="F2323" t="str">
            <v>台</v>
          </cell>
          <cell r="G2323"/>
          <cell r="H2323">
            <v>38500</v>
          </cell>
          <cell r="I2323"/>
          <cell r="J2323">
            <v>38500</v>
          </cell>
          <cell r="K2323"/>
          <cell r="L2323">
            <v>38500</v>
          </cell>
          <cell r="M2323"/>
          <cell r="N2323">
            <v>38500</v>
          </cell>
          <cell r="O2323"/>
          <cell r="P2323">
            <v>38500</v>
          </cell>
          <cell r="Q2323"/>
          <cell r="R2323">
            <v>38500</v>
          </cell>
          <cell r="S2323"/>
          <cell r="T2323">
            <v>38500</v>
          </cell>
          <cell r="U2323"/>
          <cell r="V2323">
            <v>38500</v>
          </cell>
          <cell r="W2323"/>
          <cell r="X2323">
            <v>38500</v>
          </cell>
          <cell r="Y2323"/>
          <cell r="Z2323">
            <v>38500</v>
          </cell>
          <cell r="AA2323"/>
          <cell r="AB2323"/>
          <cell r="AC2323"/>
          <cell r="AD2323">
            <v>0.39100000000000001</v>
          </cell>
          <cell r="AE2323"/>
          <cell r="AF2323"/>
          <cell r="AG2323">
            <v>4950</v>
          </cell>
          <cell r="AH2323">
            <v>48</v>
          </cell>
          <cell r="AI2323">
            <v>0.97899999999999998</v>
          </cell>
          <cell r="AJ2323">
            <v>1</v>
          </cell>
          <cell r="AK2323">
            <v>49.02</v>
          </cell>
          <cell r="AL2323"/>
        </row>
        <row r="2324">
          <cell r="E2324" t="str">
            <v>D15V-321PXe</v>
          </cell>
          <cell r="F2324" t="str">
            <v>台</v>
          </cell>
          <cell r="G2324"/>
          <cell r="H2324">
            <v>39600</v>
          </cell>
          <cell r="I2324"/>
          <cell r="J2324">
            <v>39600</v>
          </cell>
          <cell r="K2324"/>
          <cell r="L2324">
            <v>39600</v>
          </cell>
          <cell r="M2324"/>
          <cell r="N2324">
            <v>39600</v>
          </cell>
          <cell r="O2324"/>
          <cell r="P2324">
            <v>39600</v>
          </cell>
          <cell r="Q2324"/>
          <cell r="R2324">
            <v>39600</v>
          </cell>
          <cell r="S2324"/>
          <cell r="T2324">
            <v>39600</v>
          </cell>
          <cell r="U2324"/>
          <cell r="V2324">
            <v>39600</v>
          </cell>
          <cell r="W2324"/>
          <cell r="X2324">
            <v>39600</v>
          </cell>
          <cell r="Y2324"/>
          <cell r="Z2324">
            <v>39600</v>
          </cell>
          <cell r="AA2324"/>
          <cell r="AB2324"/>
          <cell r="AC2324"/>
          <cell r="AD2324">
            <v>0.39100000000000001</v>
          </cell>
          <cell r="AE2324"/>
          <cell r="AF2324"/>
          <cell r="AG2324">
            <v>4950</v>
          </cell>
          <cell r="AH2324">
            <v>48</v>
          </cell>
          <cell r="AI2324">
            <v>0.97899999999999998</v>
          </cell>
          <cell r="AJ2324">
            <v>1</v>
          </cell>
          <cell r="AK2324">
            <v>49.02</v>
          </cell>
          <cell r="AL2324"/>
        </row>
        <row r="2325">
          <cell r="E2325" t="str">
            <v>D15V-322PKe</v>
          </cell>
          <cell r="F2325" t="str">
            <v>台</v>
          </cell>
          <cell r="G2325"/>
          <cell r="H2325">
            <v>39600</v>
          </cell>
          <cell r="I2325"/>
          <cell r="J2325">
            <v>39600</v>
          </cell>
          <cell r="K2325"/>
          <cell r="L2325">
            <v>39600</v>
          </cell>
          <cell r="M2325"/>
          <cell r="N2325">
            <v>39600</v>
          </cell>
          <cell r="O2325"/>
          <cell r="P2325">
            <v>39600</v>
          </cell>
          <cell r="Q2325"/>
          <cell r="R2325">
            <v>39600</v>
          </cell>
          <cell r="S2325"/>
          <cell r="T2325">
            <v>39600</v>
          </cell>
          <cell r="U2325"/>
          <cell r="V2325">
            <v>39600</v>
          </cell>
          <cell r="W2325"/>
          <cell r="X2325">
            <v>39600</v>
          </cell>
          <cell r="Y2325"/>
          <cell r="Z2325">
            <v>39600</v>
          </cell>
          <cell r="AA2325"/>
          <cell r="AB2325"/>
          <cell r="AC2325"/>
          <cell r="AD2325">
            <v>0.48799999999999999</v>
          </cell>
          <cell r="AE2325"/>
          <cell r="AF2325"/>
          <cell r="AG2325">
            <v>9900</v>
          </cell>
          <cell r="AH2325">
            <v>96</v>
          </cell>
          <cell r="AI2325">
            <v>0.98899999999999999</v>
          </cell>
          <cell r="AJ2325">
            <v>1</v>
          </cell>
          <cell r="AK2325">
            <v>97.06</v>
          </cell>
          <cell r="AL2325"/>
        </row>
        <row r="2326">
          <cell r="E2326" t="str">
            <v>D15L-321PNe</v>
          </cell>
          <cell r="F2326" t="str">
            <v>台</v>
          </cell>
          <cell r="G2326"/>
          <cell r="H2326">
            <v>30800</v>
          </cell>
          <cell r="I2326"/>
          <cell r="J2326">
            <v>30800</v>
          </cell>
          <cell r="K2326"/>
          <cell r="L2326">
            <v>30800</v>
          </cell>
          <cell r="M2326"/>
          <cell r="N2326">
            <v>30800</v>
          </cell>
          <cell r="O2326"/>
          <cell r="P2326">
            <v>30800</v>
          </cell>
          <cell r="Q2326"/>
          <cell r="R2326">
            <v>30800</v>
          </cell>
          <cell r="S2326"/>
          <cell r="T2326">
            <v>30800</v>
          </cell>
          <cell r="U2326"/>
          <cell r="V2326">
            <v>30800</v>
          </cell>
          <cell r="W2326"/>
          <cell r="X2326">
            <v>30800</v>
          </cell>
          <cell r="Y2326"/>
          <cell r="Z2326">
            <v>30800</v>
          </cell>
          <cell r="AA2326"/>
          <cell r="AB2326"/>
          <cell r="AC2326"/>
          <cell r="AD2326">
            <v>0.39100000000000001</v>
          </cell>
          <cell r="AE2326"/>
          <cell r="AF2326"/>
          <cell r="AG2326">
            <v>4950</v>
          </cell>
          <cell r="AH2326">
            <v>48</v>
          </cell>
          <cell r="AI2326">
            <v>0.97899999999999998</v>
          </cell>
          <cell r="AJ2326">
            <v>1</v>
          </cell>
          <cell r="AK2326">
            <v>49.02</v>
          </cell>
          <cell r="AL2326"/>
        </row>
        <row r="2327">
          <cell r="E2327" t="str">
            <v>D15L-321PHe</v>
          </cell>
          <cell r="F2327" t="str">
            <v>台</v>
          </cell>
          <cell r="G2327"/>
          <cell r="H2327">
            <v>32800</v>
          </cell>
          <cell r="I2327"/>
          <cell r="J2327">
            <v>32800</v>
          </cell>
          <cell r="K2327"/>
          <cell r="L2327">
            <v>32800</v>
          </cell>
          <cell r="M2327"/>
          <cell r="N2327">
            <v>32800</v>
          </cell>
          <cell r="O2327"/>
          <cell r="P2327">
            <v>32800</v>
          </cell>
          <cell r="Q2327"/>
          <cell r="R2327">
            <v>32800</v>
          </cell>
          <cell r="S2327"/>
          <cell r="T2327">
            <v>32800</v>
          </cell>
          <cell r="U2327"/>
          <cell r="V2327">
            <v>32800</v>
          </cell>
          <cell r="W2327"/>
          <cell r="X2327">
            <v>32800</v>
          </cell>
          <cell r="Y2327"/>
          <cell r="Z2327">
            <v>32800</v>
          </cell>
          <cell r="AA2327"/>
          <cell r="AB2327"/>
          <cell r="AC2327"/>
          <cell r="AD2327">
            <v>0.39100000000000001</v>
          </cell>
          <cell r="AE2327"/>
          <cell r="AF2327"/>
          <cell r="AG2327">
            <v>4950</v>
          </cell>
          <cell r="AH2327">
            <v>48</v>
          </cell>
          <cell r="AI2327">
            <v>0.97899999999999998</v>
          </cell>
          <cell r="AJ2327">
            <v>1</v>
          </cell>
          <cell r="AK2327">
            <v>49.02</v>
          </cell>
          <cell r="AL2327"/>
        </row>
        <row r="2328">
          <cell r="E2328" t="str">
            <v>D15L-322PNe</v>
          </cell>
          <cell r="F2328" t="str">
            <v>台</v>
          </cell>
          <cell r="G2328"/>
          <cell r="H2328">
            <v>32500</v>
          </cell>
          <cell r="I2328"/>
          <cell r="J2328">
            <v>32500</v>
          </cell>
          <cell r="K2328"/>
          <cell r="L2328">
            <v>32500</v>
          </cell>
          <cell r="M2328"/>
          <cell r="N2328">
            <v>32500</v>
          </cell>
          <cell r="O2328"/>
          <cell r="P2328">
            <v>32500</v>
          </cell>
          <cell r="Q2328"/>
          <cell r="R2328">
            <v>32500</v>
          </cell>
          <cell r="S2328"/>
          <cell r="T2328">
            <v>32500</v>
          </cell>
          <cell r="U2328"/>
          <cell r="V2328">
            <v>32500</v>
          </cell>
          <cell r="W2328"/>
          <cell r="X2328">
            <v>32500</v>
          </cell>
          <cell r="Y2328"/>
          <cell r="Z2328">
            <v>32500</v>
          </cell>
          <cell r="AA2328"/>
          <cell r="AB2328"/>
          <cell r="AC2328"/>
          <cell r="AD2328">
            <v>0.48799999999999999</v>
          </cell>
          <cell r="AE2328"/>
          <cell r="AF2328"/>
          <cell r="AG2328">
            <v>9900</v>
          </cell>
          <cell r="AH2328">
            <v>96</v>
          </cell>
          <cell r="AI2328">
            <v>0.98899999999999999</v>
          </cell>
          <cell r="AJ2328">
            <v>1</v>
          </cell>
          <cell r="AK2328">
            <v>97.06</v>
          </cell>
          <cell r="AL2328"/>
        </row>
        <row r="2329">
          <cell r="E2329" t="str">
            <v>D15L-321PHe</v>
          </cell>
          <cell r="F2329" t="str">
            <v>台</v>
          </cell>
          <cell r="G2329"/>
          <cell r="H2329">
            <v>34000</v>
          </cell>
          <cell r="I2329"/>
          <cell r="J2329">
            <v>34000</v>
          </cell>
          <cell r="K2329"/>
          <cell r="L2329">
            <v>34000</v>
          </cell>
          <cell r="M2329"/>
          <cell r="N2329">
            <v>34000</v>
          </cell>
          <cell r="O2329"/>
          <cell r="P2329">
            <v>34000</v>
          </cell>
          <cell r="Q2329"/>
          <cell r="R2329">
            <v>34000</v>
          </cell>
          <cell r="S2329"/>
          <cell r="T2329">
            <v>34000</v>
          </cell>
          <cell r="U2329"/>
          <cell r="V2329">
            <v>34000</v>
          </cell>
          <cell r="W2329"/>
          <cell r="X2329">
            <v>34000</v>
          </cell>
          <cell r="Y2329"/>
          <cell r="Z2329">
            <v>34000</v>
          </cell>
          <cell r="AA2329"/>
          <cell r="AB2329"/>
          <cell r="AC2329"/>
          <cell r="AD2329">
            <v>0.39100000000000001</v>
          </cell>
          <cell r="AE2329"/>
          <cell r="AF2329"/>
          <cell r="AG2329">
            <v>4950</v>
          </cell>
          <cell r="AH2329">
            <v>48</v>
          </cell>
          <cell r="AI2329">
            <v>0.97899999999999998</v>
          </cell>
          <cell r="AJ2329">
            <v>1</v>
          </cell>
          <cell r="AK2329">
            <v>49.02</v>
          </cell>
          <cell r="AL2329"/>
        </row>
        <row r="2330">
          <cell r="E2330" t="str">
            <v>D15L-321PXe</v>
          </cell>
          <cell r="F2330" t="str">
            <v>台</v>
          </cell>
          <cell r="G2330"/>
          <cell r="H2330">
            <v>35000</v>
          </cell>
          <cell r="I2330"/>
          <cell r="J2330">
            <v>35000</v>
          </cell>
          <cell r="K2330"/>
          <cell r="L2330">
            <v>35000</v>
          </cell>
          <cell r="M2330"/>
          <cell r="N2330">
            <v>35000</v>
          </cell>
          <cell r="O2330"/>
          <cell r="P2330">
            <v>35000</v>
          </cell>
          <cell r="Q2330"/>
          <cell r="R2330">
            <v>35000</v>
          </cell>
          <cell r="S2330"/>
          <cell r="T2330">
            <v>35000</v>
          </cell>
          <cell r="U2330"/>
          <cell r="V2330">
            <v>35000</v>
          </cell>
          <cell r="W2330"/>
          <cell r="X2330">
            <v>35000</v>
          </cell>
          <cell r="Y2330"/>
          <cell r="Z2330">
            <v>35000</v>
          </cell>
          <cell r="AA2330"/>
          <cell r="AB2330"/>
          <cell r="AC2330"/>
          <cell r="AD2330">
            <v>0.39100000000000001</v>
          </cell>
          <cell r="AE2330"/>
          <cell r="AF2330"/>
          <cell r="AG2330">
            <v>4950</v>
          </cell>
          <cell r="AH2330">
            <v>48</v>
          </cell>
          <cell r="AI2330">
            <v>0.97899999999999998</v>
          </cell>
          <cell r="AJ2330">
            <v>1</v>
          </cell>
          <cell r="AK2330">
            <v>49.02</v>
          </cell>
          <cell r="AL2330"/>
        </row>
        <row r="2331">
          <cell r="E2331" t="str">
            <v>D15L-322PKe</v>
          </cell>
          <cell r="F2331" t="str">
            <v>台</v>
          </cell>
          <cell r="G2331"/>
          <cell r="H2331">
            <v>35000</v>
          </cell>
          <cell r="I2331"/>
          <cell r="J2331">
            <v>35000</v>
          </cell>
          <cell r="K2331"/>
          <cell r="L2331">
            <v>35000</v>
          </cell>
          <cell r="M2331"/>
          <cell r="N2331">
            <v>35000</v>
          </cell>
          <cell r="O2331"/>
          <cell r="P2331">
            <v>35000</v>
          </cell>
          <cell r="Q2331"/>
          <cell r="R2331">
            <v>35000</v>
          </cell>
          <cell r="S2331"/>
          <cell r="T2331">
            <v>35000</v>
          </cell>
          <cell r="U2331"/>
          <cell r="V2331">
            <v>35000</v>
          </cell>
          <cell r="W2331"/>
          <cell r="X2331">
            <v>35000</v>
          </cell>
          <cell r="Y2331"/>
          <cell r="Z2331">
            <v>35000</v>
          </cell>
          <cell r="AA2331"/>
          <cell r="AB2331"/>
          <cell r="AC2331"/>
          <cell r="AD2331">
            <v>0.48799999999999999</v>
          </cell>
          <cell r="AE2331"/>
          <cell r="AF2331"/>
          <cell r="AG2331">
            <v>9900</v>
          </cell>
          <cell r="AH2331">
            <v>96</v>
          </cell>
          <cell r="AI2331">
            <v>0.98899999999999999</v>
          </cell>
          <cell r="AJ2331">
            <v>1</v>
          </cell>
          <cell r="AK2331">
            <v>97.06</v>
          </cell>
          <cell r="AL2331"/>
        </row>
        <row r="2332">
          <cell r="E2332" t="str">
            <v>■Ｈｆ開放埋込形</v>
          </cell>
          <cell r="F2332"/>
          <cell r="G2332"/>
          <cell r="H2332"/>
          <cell r="I2332"/>
          <cell r="J2332"/>
          <cell r="K2332"/>
          <cell r="L2332"/>
          <cell r="M2332"/>
          <cell r="N2332"/>
          <cell r="O2332"/>
          <cell r="P2332"/>
          <cell r="Q2332"/>
          <cell r="R2332"/>
          <cell r="S2332"/>
          <cell r="T2332"/>
          <cell r="U2332"/>
          <cell r="V2332"/>
          <cell r="W2332"/>
          <cell r="X2332"/>
          <cell r="Y2332"/>
          <cell r="Z2332"/>
          <cell r="AA2332"/>
          <cell r="AB2332"/>
          <cell r="AC2332"/>
          <cell r="AD2332"/>
          <cell r="AE2332"/>
          <cell r="AF2332"/>
          <cell r="AG2332"/>
          <cell r="AH2332"/>
          <cell r="AI2332"/>
          <cell r="AJ2332"/>
          <cell r="AK2332"/>
          <cell r="AL2332"/>
        </row>
        <row r="2333">
          <cell r="E2333" t="str">
            <v>A18-322PNe</v>
          </cell>
          <cell r="F2333" t="str">
            <v>台</v>
          </cell>
          <cell r="G2333"/>
          <cell r="H2333">
            <v>29700</v>
          </cell>
          <cell r="I2333"/>
          <cell r="J2333">
            <v>29700</v>
          </cell>
          <cell r="K2333"/>
          <cell r="L2333">
            <v>29700</v>
          </cell>
          <cell r="M2333"/>
          <cell r="N2333">
            <v>29700</v>
          </cell>
          <cell r="O2333"/>
          <cell r="P2333">
            <v>29700</v>
          </cell>
          <cell r="Q2333"/>
          <cell r="R2333">
            <v>29700</v>
          </cell>
          <cell r="S2333"/>
          <cell r="T2333">
            <v>29700</v>
          </cell>
          <cell r="U2333"/>
          <cell r="V2333">
            <v>29700</v>
          </cell>
          <cell r="W2333"/>
          <cell r="X2333">
            <v>29700</v>
          </cell>
          <cell r="Y2333"/>
          <cell r="Z2333">
            <v>29700</v>
          </cell>
          <cell r="AA2333"/>
          <cell r="AB2333"/>
          <cell r="AC2333"/>
          <cell r="AD2333">
            <v>0.48799999999999999</v>
          </cell>
          <cell r="AE2333"/>
          <cell r="AF2333"/>
          <cell r="AG2333">
            <v>9900</v>
          </cell>
          <cell r="AH2333">
            <v>96</v>
          </cell>
          <cell r="AI2333">
            <v>0.98899999999999999</v>
          </cell>
          <cell r="AJ2333">
            <v>1</v>
          </cell>
          <cell r="AK2333">
            <v>97.06</v>
          </cell>
          <cell r="AL2333"/>
        </row>
        <row r="2334">
          <cell r="E2334" t="str">
            <v>A18-322PHe</v>
          </cell>
          <cell r="F2334" t="str">
            <v>台</v>
          </cell>
          <cell r="G2334"/>
          <cell r="H2334">
            <v>30900</v>
          </cell>
          <cell r="I2334"/>
          <cell r="J2334">
            <v>30900</v>
          </cell>
          <cell r="K2334"/>
          <cell r="L2334">
            <v>30900</v>
          </cell>
          <cell r="M2334"/>
          <cell r="N2334">
            <v>30900</v>
          </cell>
          <cell r="O2334"/>
          <cell r="P2334">
            <v>30900</v>
          </cell>
          <cell r="Q2334"/>
          <cell r="R2334">
            <v>30900</v>
          </cell>
          <cell r="S2334"/>
          <cell r="T2334">
            <v>30900</v>
          </cell>
          <cell r="U2334"/>
          <cell r="V2334">
            <v>30900</v>
          </cell>
          <cell r="W2334"/>
          <cell r="X2334">
            <v>30900</v>
          </cell>
          <cell r="Y2334"/>
          <cell r="Z2334">
            <v>30900</v>
          </cell>
          <cell r="AA2334"/>
          <cell r="AB2334"/>
          <cell r="AC2334"/>
          <cell r="AD2334">
            <v>0.48799999999999999</v>
          </cell>
          <cell r="AE2334"/>
          <cell r="AF2334"/>
          <cell r="AG2334">
            <v>9900</v>
          </cell>
          <cell r="AH2334">
            <v>96</v>
          </cell>
          <cell r="AI2334">
            <v>0.98899999999999999</v>
          </cell>
          <cell r="AJ2334">
            <v>1</v>
          </cell>
          <cell r="AK2334">
            <v>97.06</v>
          </cell>
          <cell r="AL2334"/>
        </row>
        <row r="2335">
          <cell r="E2335" t="str">
            <v>A18-322PKe</v>
          </cell>
          <cell r="F2335" t="str">
            <v>台</v>
          </cell>
          <cell r="G2335"/>
          <cell r="H2335">
            <v>31900</v>
          </cell>
          <cell r="I2335"/>
          <cell r="J2335">
            <v>31900</v>
          </cell>
          <cell r="K2335"/>
          <cell r="L2335">
            <v>31900</v>
          </cell>
          <cell r="M2335"/>
          <cell r="N2335">
            <v>31900</v>
          </cell>
          <cell r="O2335"/>
          <cell r="P2335">
            <v>31900</v>
          </cell>
          <cell r="Q2335"/>
          <cell r="R2335">
            <v>31900</v>
          </cell>
          <cell r="S2335"/>
          <cell r="T2335">
            <v>31900</v>
          </cell>
          <cell r="U2335"/>
          <cell r="V2335">
            <v>31900</v>
          </cell>
          <cell r="W2335"/>
          <cell r="X2335">
            <v>31900</v>
          </cell>
          <cell r="Y2335"/>
          <cell r="Z2335">
            <v>31900</v>
          </cell>
          <cell r="AA2335"/>
          <cell r="AB2335"/>
          <cell r="AC2335"/>
          <cell r="AD2335">
            <v>0.48799999999999999</v>
          </cell>
          <cell r="AE2335"/>
          <cell r="AF2335"/>
          <cell r="AG2335">
            <v>9900</v>
          </cell>
          <cell r="AH2335">
            <v>96</v>
          </cell>
          <cell r="AI2335">
            <v>0.98899999999999999</v>
          </cell>
          <cell r="AJ2335">
            <v>1</v>
          </cell>
          <cell r="AK2335">
            <v>97.06</v>
          </cell>
          <cell r="AL2335"/>
        </row>
        <row r="2336">
          <cell r="E2336" t="str">
            <v>■Ｈｆルーバー埋込形</v>
          </cell>
          <cell r="F2336"/>
          <cell r="G2336"/>
          <cell r="H2336"/>
          <cell r="I2336"/>
          <cell r="J2336"/>
          <cell r="K2336"/>
          <cell r="L2336"/>
          <cell r="M2336"/>
          <cell r="N2336"/>
          <cell r="O2336"/>
          <cell r="P2336"/>
          <cell r="Q2336"/>
          <cell r="R2336"/>
          <cell r="S2336"/>
          <cell r="T2336"/>
          <cell r="U2336"/>
          <cell r="V2336"/>
          <cell r="W2336"/>
          <cell r="X2336"/>
          <cell r="Y2336"/>
          <cell r="Z2336"/>
          <cell r="AA2336"/>
          <cell r="AB2336"/>
          <cell r="AC2336"/>
          <cell r="AD2336"/>
          <cell r="AE2336"/>
          <cell r="AF2336"/>
          <cell r="AG2336"/>
          <cell r="AH2336"/>
          <cell r="AI2336"/>
          <cell r="AJ2336"/>
          <cell r="AK2336"/>
          <cell r="AL2336"/>
        </row>
        <row r="2337">
          <cell r="E2337" t="str">
            <v>D18-322PNe</v>
          </cell>
          <cell r="F2337" t="str">
            <v>台</v>
          </cell>
          <cell r="G2337"/>
          <cell r="H2337">
            <v>53600</v>
          </cell>
          <cell r="I2337"/>
          <cell r="J2337">
            <v>53600</v>
          </cell>
          <cell r="K2337"/>
          <cell r="L2337">
            <v>53600</v>
          </cell>
          <cell r="M2337"/>
          <cell r="N2337">
            <v>53600</v>
          </cell>
          <cell r="O2337"/>
          <cell r="P2337">
            <v>53600</v>
          </cell>
          <cell r="Q2337"/>
          <cell r="R2337">
            <v>53600</v>
          </cell>
          <cell r="S2337"/>
          <cell r="T2337">
            <v>53600</v>
          </cell>
          <cell r="U2337"/>
          <cell r="V2337">
            <v>53600</v>
          </cell>
          <cell r="W2337"/>
          <cell r="X2337">
            <v>53600</v>
          </cell>
          <cell r="Y2337"/>
          <cell r="Z2337">
            <v>53600</v>
          </cell>
          <cell r="AA2337"/>
          <cell r="AB2337"/>
          <cell r="AC2337"/>
          <cell r="AD2337">
            <v>0.48799999999999999</v>
          </cell>
          <cell r="AE2337"/>
          <cell r="AF2337"/>
          <cell r="AG2337">
            <v>9900</v>
          </cell>
          <cell r="AH2337">
            <v>96</v>
          </cell>
          <cell r="AI2337">
            <v>0.98899999999999999</v>
          </cell>
          <cell r="AJ2337">
            <v>1</v>
          </cell>
          <cell r="AK2337">
            <v>97.06</v>
          </cell>
          <cell r="AL2337"/>
        </row>
        <row r="2338">
          <cell r="E2338" t="str">
            <v>D18-322PHe</v>
          </cell>
          <cell r="F2338" t="str">
            <v>台</v>
          </cell>
          <cell r="G2338"/>
          <cell r="H2338">
            <v>44800</v>
          </cell>
          <cell r="I2338"/>
          <cell r="J2338">
            <v>44800</v>
          </cell>
          <cell r="K2338"/>
          <cell r="L2338">
            <v>44800</v>
          </cell>
          <cell r="M2338"/>
          <cell r="N2338">
            <v>44800</v>
          </cell>
          <cell r="O2338"/>
          <cell r="P2338">
            <v>44800</v>
          </cell>
          <cell r="Q2338"/>
          <cell r="R2338">
            <v>44800</v>
          </cell>
          <cell r="S2338"/>
          <cell r="T2338">
            <v>44800</v>
          </cell>
          <cell r="U2338"/>
          <cell r="V2338">
            <v>44800</v>
          </cell>
          <cell r="W2338"/>
          <cell r="X2338">
            <v>44800</v>
          </cell>
          <cell r="Y2338"/>
          <cell r="Z2338">
            <v>44800</v>
          </cell>
          <cell r="AA2338"/>
          <cell r="AB2338"/>
          <cell r="AC2338"/>
          <cell r="AD2338">
            <v>0.48799999999999999</v>
          </cell>
          <cell r="AE2338"/>
          <cell r="AF2338"/>
          <cell r="AG2338">
            <v>9900</v>
          </cell>
          <cell r="AH2338">
            <v>96</v>
          </cell>
          <cell r="AI2338">
            <v>0.98899999999999999</v>
          </cell>
          <cell r="AJ2338">
            <v>1</v>
          </cell>
          <cell r="AK2338">
            <v>97.06</v>
          </cell>
          <cell r="AL2338"/>
        </row>
        <row r="2339">
          <cell r="E2339" t="str">
            <v>D18-322PKe</v>
          </cell>
          <cell r="F2339" t="str">
            <v>台</v>
          </cell>
          <cell r="G2339"/>
          <cell r="H2339">
            <v>45900</v>
          </cell>
          <cell r="I2339"/>
          <cell r="J2339">
            <v>45900</v>
          </cell>
          <cell r="K2339"/>
          <cell r="L2339">
            <v>45900</v>
          </cell>
          <cell r="M2339"/>
          <cell r="N2339">
            <v>45900</v>
          </cell>
          <cell r="O2339"/>
          <cell r="P2339">
            <v>45900</v>
          </cell>
          <cell r="Q2339"/>
          <cell r="R2339">
            <v>45900</v>
          </cell>
          <cell r="S2339"/>
          <cell r="T2339">
            <v>45900</v>
          </cell>
          <cell r="U2339"/>
          <cell r="V2339">
            <v>45900</v>
          </cell>
          <cell r="W2339"/>
          <cell r="X2339">
            <v>45900</v>
          </cell>
          <cell r="Y2339"/>
          <cell r="Z2339">
            <v>45900</v>
          </cell>
          <cell r="AA2339"/>
          <cell r="AB2339"/>
          <cell r="AC2339"/>
          <cell r="AD2339">
            <v>0.48799999999999999</v>
          </cell>
          <cell r="AE2339"/>
          <cell r="AF2339"/>
          <cell r="AG2339">
            <v>9900</v>
          </cell>
          <cell r="AH2339">
            <v>96</v>
          </cell>
          <cell r="AI2339">
            <v>0.98899999999999999</v>
          </cell>
          <cell r="AJ2339">
            <v>1</v>
          </cell>
          <cell r="AK2339">
            <v>97.06</v>
          </cell>
          <cell r="AL2339"/>
        </row>
        <row r="2340">
          <cell r="E2340" t="str">
            <v>D18L-322PNe</v>
          </cell>
          <cell r="F2340" t="str">
            <v>台</v>
          </cell>
          <cell r="G2340"/>
          <cell r="H2340">
            <v>32000</v>
          </cell>
          <cell r="I2340"/>
          <cell r="J2340">
            <v>32000</v>
          </cell>
          <cell r="K2340"/>
          <cell r="L2340">
            <v>32000</v>
          </cell>
          <cell r="M2340"/>
          <cell r="N2340">
            <v>32000</v>
          </cell>
          <cell r="O2340"/>
          <cell r="P2340">
            <v>32000</v>
          </cell>
          <cell r="Q2340"/>
          <cell r="R2340">
            <v>32000</v>
          </cell>
          <cell r="S2340"/>
          <cell r="T2340">
            <v>32000</v>
          </cell>
          <cell r="U2340"/>
          <cell r="V2340">
            <v>32000</v>
          </cell>
          <cell r="W2340"/>
          <cell r="X2340">
            <v>32000</v>
          </cell>
          <cell r="Y2340"/>
          <cell r="Z2340">
            <v>32000</v>
          </cell>
          <cell r="AA2340"/>
          <cell r="AB2340"/>
          <cell r="AC2340"/>
          <cell r="AD2340">
            <v>0.48799999999999999</v>
          </cell>
          <cell r="AE2340"/>
          <cell r="AF2340"/>
          <cell r="AG2340">
            <v>9900</v>
          </cell>
          <cell r="AH2340">
            <v>96</v>
          </cell>
          <cell r="AI2340">
            <v>0.98899999999999999</v>
          </cell>
          <cell r="AJ2340">
            <v>1</v>
          </cell>
          <cell r="AK2340">
            <v>97.06</v>
          </cell>
          <cell r="AL2340"/>
        </row>
        <row r="2341">
          <cell r="E2341" t="str">
            <v>D18L-322PHe</v>
          </cell>
          <cell r="F2341" t="str">
            <v>台</v>
          </cell>
          <cell r="G2341"/>
          <cell r="H2341">
            <v>33200</v>
          </cell>
          <cell r="I2341"/>
          <cell r="J2341">
            <v>33200</v>
          </cell>
          <cell r="K2341"/>
          <cell r="L2341">
            <v>33200</v>
          </cell>
          <cell r="M2341"/>
          <cell r="N2341">
            <v>33200</v>
          </cell>
          <cell r="O2341"/>
          <cell r="P2341">
            <v>33200</v>
          </cell>
          <cell r="Q2341"/>
          <cell r="R2341">
            <v>33200</v>
          </cell>
          <cell r="S2341"/>
          <cell r="T2341">
            <v>33200</v>
          </cell>
          <cell r="U2341"/>
          <cell r="V2341">
            <v>33200</v>
          </cell>
          <cell r="W2341"/>
          <cell r="X2341">
            <v>33200</v>
          </cell>
          <cell r="Y2341"/>
          <cell r="Z2341">
            <v>33200</v>
          </cell>
          <cell r="AA2341"/>
          <cell r="AB2341"/>
          <cell r="AC2341"/>
          <cell r="AD2341">
            <v>0.48799999999999999</v>
          </cell>
          <cell r="AE2341"/>
          <cell r="AF2341"/>
          <cell r="AG2341">
            <v>9900</v>
          </cell>
          <cell r="AH2341">
            <v>96</v>
          </cell>
          <cell r="AI2341">
            <v>0.98899999999999999</v>
          </cell>
          <cell r="AJ2341">
            <v>1</v>
          </cell>
          <cell r="AK2341">
            <v>97.06</v>
          </cell>
          <cell r="AL2341"/>
        </row>
        <row r="2342">
          <cell r="E2342" t="str">
            <v>D18L-322PKe</v>
          </cell>
          <cell r="F2342" t="str">
            <v>台</v>
          </cell>
          <cell r="G2342"/>
          <cell r="H2342">
            <v>34200</v>
          </cell>
          <cell r="I2342"/>
          <cell r="J2342">
            <v>34200</v>
          </cell>
          <cell r="K2342"/>
          <cell r="L2342">
            <v>34200</v>
          </cell>
          <cell r="M2342"/>
          <cell r="N2342">
            <v>34200</v>
          </cell>
          <cell r="O2342"/>
          <cell r="P2342">
            <v>34200</v>
          </cell>
          <cell r="Q2342"/>
          <cell r="R2342">
            <v>34200</v>
          </cell>
          <cell r="S2342"/>
          <cell r="T2342">
            <v>34200</v>
          </cell>
          <cell r="U2342"/>
          <cell r="V2342">
            <v>34200</v>
          </cell>
          <cell r="W2342"/>
          <cell r="X2342">
            <v>34200</v>
          </cell>
          <cell r="Y2342"/>
          <cell r="Z2342">
            <v>34200</v>
          </cell>
          <cell r="AA2342"/>
          <cell r="AB2342"/>
          <cell r="AC2342"/>
          <cell r="AD2342">
            <v>0.48799999999999999</v>
          </cell>
          <cell r="AE2342"/>
          <cell r="AF2342"/>
          <cell r="AG2342">
            <v>9900</v>
          </cell>
          <cell r="AH2342">
            <v>96</v>
          </cell>
          <cell r="AI2342">
            <v>0.98899999999999999</v>
          </cell>
          <cell r="AJ2342">
            <v>1</v>
          </cell>
          <cell r="AK2342">
            <v>97.06</v>
          </cell>
          <cell r="AL2342"/>
        </row>
        <row r="2343">
          <cell r="E2343" t="str">
            <v>■Ｈｆ開放埋込形</v>
          </cell>
          <cell r="F2343"/>
          <cell r="G2343"/>
          <cell r="H2343"/>
          <cell r="I2343"/>
          <cell r="J2343"/>
          <cell r="K2343"/>
          <cell r="L2343"/>
          <cell r="M2343"/>
          <cell r="N2343"/>
          <cell r="O2343"/>
          <cell r="P2343"/>
          <cell r="Q2343"/>
          <cell r="R2343"/>
          <cell r="S2343"/>
          <cell r="T2343"/>
          <cell r="U2343"/>
          <cell r="V2343"/>
          <cell r="W2343"/>
          <cell r="X2343"/>
          <cell r="Y2343"/>
          <cell r="Z2343"/>
          <cell r="AA2343"/>
          <cell r="AB2343"/>
          <cell r="AC2343"/>
          <cell r="AD2343"/>
          <cell r="AE2343"/>
          <cell r="AF2343"/>
          <cell r="AG2343"/>
          <cell r="AH2343"/>
          <cell r="AI2343"/>
          <cell r="AJ2343"/>
          <cell r="AK2343"/>
          <cell r="AL2343"/>
        </row>
        <row r="2344">
          <cell r="E2344" t="str">
            <v>A26-322PNe</v>
          </cell>
          <cell r="F2344" t="str">
            <v>台</v>
          </cell>
          <cell r="G2344"/>
          <cell r="H2344">
            <v>27200</v>
          </cell>
          <cell r="I2344"/>
          <cell r="J2344">
            <v>27200</v>
          </cell>
          <cell r="K2344"/>
          <cell r="L2344">
            <v>27200</v>
          </cell>
          <cell r="M2344"/>
          <cell r="N2344">
            <v>27200</v>
          </cell>
          <cell r="O2344"/>
          <cell r="P2344">
            <v>27200</v>
          </cell>
          <cell r="Q2344"/>
          <cell r="R2344">
            <v>27200</v>
          </cell>
          <cell r="S2344"/>
          <cell r="T2344">
            <v>27200</v>
          </cell>
          <cell r="U2344"/>
          <cell r="V2344">
            <v>27200</v>
          </cell>
          <cell r="W2344"/>
          <cell r="X2344">
            <v>27200</v>
          </cell>
          <cell r="Y2344"/>
          <cell r="Z2344">
            <v>27200</v>
          </cell>
          <cell r="AA2344"/>
          <cell r="AB2344"/>
          <cell r="AC2344"/>
          <cell r="AD2344">
            <v>0.48799999999999999</v>
          </cell>
          <cell r="AE2344"/>
          <cell r="AF2344"/>
          <cell r="AG2344">
            <v>9900</v>
          </cell>
          <cell r="AH2344">
            <v>96</v>
          </cell>
          <cell r="AI2344">
            <v>0.98899999999999999</v>
          </cell>
          <cell r="AJ2344">
            <v>1</v>
          </cell>
          <cell r="AK2344">
            <v>97.06</v>
          </cell>
          <cell r="AL2344"/>
        </row>
        <row r="2345">
          <cell r="E2345" t="str">
            <v>A26-322PHe</v>
          </cell>
          <cell r="F2345" t="str">
            <v>台</v>
          </cell>
          <cell r="G2345"/>
          <cell r="H2345">
            <v>29200</v>
          </cell>
          <cell r="I2345"/>
          <cell r="J2345">
            <v>29200</v>
          </cell>
          <cell r="K2345"/>
          <cell r="L2345">
            <v>29200</v>
          </cell>
          <cell r="M2345"/>
          <cell r="N2345">
            <v>29200</v>
          </cell>
          <cell r="O2345"/>
          <cell r="P2345">
            <v>29200</v>
          </cell>
          <cell r="Q2345"/>
          <cell r="R2345">
            <v>29200</v>
          </cell>
          <cell r="S2345"/>
          <cell r="T2345">
            <v>29200</v>
          </cell>
          <cell r="U2345"/>
          <cell r="V2345">
            <v>29200</v>
          </cell>
          <cell r="W2345"/>
          <cell r="X2345">
            <v>29200</v>
          </cell>
          <cell r="Y2345"/>
          <cell r="Z2345">
            <v>29200</v>
          </cell>
          <cell r="AA2345"/>
          <cell r="AB2345"/>
          <cell r="AC2345"/>
          <cell r="AD2345">
            <v>0.48799999999999999</v>
          </cell>
          <cell r="AE2345"/>
          <cell r="AF2345"/>
          <cell r="AG2345">
            <v>9900</v>
          </cell>
          <cell r="AH2345">
            <v>96</v>
          </cell>
          <cell r="AI2345">
            <v>0.98899999999999999</v>
          </cell>
          <cell r="AJ2345">
            <v>1</v>
          </cell>
          <cell r="AK2345">
            <v>97.06</v>
          </cell>
          <cell r="AL2345"/>
        </row>
        <row r="2346">
          <cell r="E2346" t="str">
            <v>A26-322PKe</v>
          </cell>
          <cell r="F2346" t="str">
            <v>台</v>
          </cell>
          <cell r="G2346"/>
          <cell r="H2346">
            <v>30200</v>
          </cell>
          <cell r="I2346"/>
          <cell r="J2346">
            <v>30200</v>
          </cell>
          <cell r="K2346"/>
          <cell r="L2346">
            <v>30200</v>
          </cell>
          <cell r="M2346"/>
          <cell r="N2346">
            <v>30200</v>
          </cell>
          <cell r="O2346"/>
          <cell r="P2346">
            <v>30200</v>
          </cell>
          <cell r="Q2346"/>
          <cell r="R2346">
            <v>30200</v>
          </cell>
          <cell r="S2346"/>
          <cell r="T2346">
            <v>30200</v>
          </cell>
          <cell r="U2346"/>
          <cell r="V2346">
            <v>30200</v>
          </cell>
          <cell r="W2346"/>
          <cell r="X2346">
            <v>30200</v>
          </cell>
          <cell r="Y2346"/>
          <cell r="Z2346">
            <v>30200</v>
          </cell>
          <cell r="AA2346"/>
          <cell r="AB2346"/>
          <cell r="AC2346"/>
          <cell r="AD2346">
            <v>0.48799999999999999</v>
          </cell>
          <cell r="AE2346"/>
          <cell r="AF2346"/>
          <cell r="AG2346">
            <v>9900</v>
          </cell>
          <cell r="AH2346">
            <v>96</v>
          </cell>
          <cell r="AI2346">
            <v>0.98899999999999999</v>
          </cell>
          <cell r="AJ2346">
            <v>1</v>
          </cell>
          <cell r="AK2346">
            <v>97.06</v>
          </cell>
          <cell r="AL2346"/>
        </row>
        <row r="2347">
          <cell r="E2347" t="str">
            <v>A27-322PNe</v>
          </cell>
          <cell r="F2347" t="str">
            <v>台</v>
          </cell>
          <cell r="G2347"/>
          <cell r="H2347">
            <v>28800</v>
          </cell>
          <cell r="I2347"/>
          <cell r="J2347">
            <v>28800</v>
          </cell>
          <cell r="K2347"/>
          <cell r="L2347">
            <v>28800</v>
          </cell>
          <cell r="M2347"/>
          <cell r="N2347">
            <v>28800</v>
          </cell>
          <cell r="O2347"/>
          <cell r="P2347">
            <v>28800</v>
          </cell>
          <cell r="Q2347"/>
          <cell r="R2347">
            <v>28800</v>
          </cell>
          <cell r="S2347"/>
          <cell r="T2347">
            <v>28800</v>
          </cell>
          <cell r="U2347"/>
          <cell r="V2347">
            <v>28800</v>
          </cell>
          <cell r="W2347"/>
          <cell r="X2347">
            <v>28800</v>
          </cell>
          <cell r="Y2347"/>
          <cell r="Z2347">
            <v>28800</v>
          </cell>
          <cell r="AA2347"/>
          <cell r="AB2347"/>
          <cell r="AC2347"/>
          <cell r="AD2347">
            <v>0.48799999999999999</v>
          </cell>
          <cell r="AE2347"/>
          <cell r="AF2347"/>
          <cell r="AG2347">
            <v>9900</v>
          </cell>
          <cell r="AH2347">
            <v>96</v>
          </cell>
          <cell r="AI2347">
            <v>0.98899999999999999</v>
          </cell>
          <cell r="AJ2347">
            <v>1</v>
          </cell>
          <cell r="AK2347">
            <v>97.06</v>
          </cell>
          <cell r="AL2347"/>
        </row>
        <row r="2348">
          <cell r="E2348" t="str">
            <v>A27-322PHe</v>
          </cell>
          <cell r="F2348" t="str">
            <v>台</v>
          </cell>
          <cell r="G2348"/>
          <cell r="H2348">
            <v>30400</v>
          </cell>
          <cell r="I2348"/>
          <cell r="J2348">
            <v>30400</v>
          </cell>
          <cell r="K2348"/>
          <cell r="L2348">
            <v>30400</v>
          </cell>
          <cell r="M2348"/>
          <cell r="N2348">
            <v>30400</v>
          </cell>
          <cell r="O2348"/>
          <cell r="P2348">
            <v>30400</v>
          </cell>
          <cell r="Q2348"/>
          <cell r="R2348">
            <v>30400</v>
          </cell>
          <cell r="S2348"/>
          <cell r="T2348">
            <v>30400</v>
          </cell>
          <cell r="U2348"/>
          <cell r="V2348">
            <v>30400</v>
          </cell>
          <cell r="W2348"/>
          <cell r="X2348">
            <v>30400</v>
          </cell>
          <cell r="Y2348"/>
          <cell r="Z2348">
            <v>30400</v>
          </cell>
          <cell r="AA2348"/>
          <cell r="AB2348"/>
          <cell r="AC2348"/>
          <cell r="AD2348">
            <v>0.48799999999999999</v>
          </cell>
          <cell r="AE2348"/>
          <cell r="AF2348"/>
          <cell r="AG2348">
            <v>9900</v>
          </cell>
          <cell r="AH2348">
            <v>96</v>
          </cell>
          <cell r="AI2348">
            <v>0.98899999999999999</v>
          </cell>
          <cell r="AJ2348">
            <v>1</v>
          </cell>
          <cell r="AK2348">
            <v>97.06</v>
          </cell>
          <cell r="AL2348"/>
        </row>
        <row r="2349">
          <cell r="E2349" t="str">
            <v>■Ｈｆルーバー直付形</v>
          </cell>
          <cell r="F2349"/>
          <cell r="G2349"/>
          <cell r="H2349"/>
          <cell r="I2349"/>
          <cell r="J2349"/>
          <cell r="K2349"/>
          <cell r="L2349"/>
          <cell r="M2349"/>
          <cell r="N2349"/>
          <cell r="O2349"/>
          <cell r="P2349"/>
          <cell r="Q2349"/>
          <cell r="R2349"/>
          <cell r="S2349"/>
          <cell r="T2349"/>
          <cell r="U2349"/>
          <cell r="V2349"/>
          <cell r="W2349"/>
          <cell r="X2349"/>
          <cell r="Y2349"/>
          <cell r="Z2349"/>
          <cell r="AA2349"/>
          <cell r="AB2349"/>
          <cell r="AC2349"/>
          <cell r="AD2349"/>
          <cell r="AE2349"/>
          <cell r="AF2349"/>
          <cell r="AG2349"/>
          <cell r="AH2349"/>
          <cell r="AI2349"/>
          <cell r="AJ2349"/>
          <cell r="AK2349"/>
          <cell r="AL2349"/>
        </row>
        <row r="2350">
          <cell r="E2350" t="str">
            <v>D2-322PHe</v>
          </cell>
          <cell r="F2350" t="str">
            <v>台</v>
          </cell>
          <cell r="G2350"/>
          <cell r="H2350">
            <v>38700</v>
          </cell>
          <cell r="I2350"/>
          <cell r="J2350">
            <v>38700</v>
          </cell>
          <cell r="K2350"/>
          <cell r="L2350">
            <v>38700</v>
          </cell>
          <cell r="M2350"/>
          <cell r="N2350">
            <v>38700</v>
          </cell>
          <cell r="O2350"/>
          <cell r="P2350">
            <v>38700</v>
          </cell>
          <cell r="Q2350"/>
          <cell r="R2350">
            <v>38700</v>
          </cell>
          <cell r="S2350"/>
          <cell r="T2350">
            <v>38700</v>
          </cell>
          <cell r="U2350"/>
          <cell r="V2350">
            <v>38700</v>
          </cell>
          <cell r="W2350"/>
          <cell r="X2350">
            <v>38700</v>
          </cell>
          <cell r="Y2350"/>
          <cell r="Z2350">
            <v>38700</v>
          </cell>
          <cell r="AA2350"/>
          <cell r="AB2350"/>
          <cell r="AC2350"/>
          <cell r="AD2350">
            <v>0.32600000000000001</v>
          </cell>
          <cell r="AE2350"/>
          <cell r="AF2350"/>
          <cell r="AG2350">
            <v>9900</v>
          </cell>
          <cell r="AH2350">
            <v>96</v>
          </cell>
          <cell r="AI2350">
            <v>0.98899999999999999</v>
          </cell>
          <cell r="AJ2350">
            <v>1</v>
          </cell>
          <cell r="AK2350">
            <v>97.06</v>
          </cell>
          <cell r="AL2350"/>
        </row>
        <row r="2351">
          <cell r="E2351" t="str">
            <v>D2V-322PHe</v>
          </cell>
          <cell r="F2351" t="str">
            <v>台</v>
          </cell>
          <cell r="G2351"/>
          <cell r="H2351">
            <v>38700</v>
          </cell>
          <cell r="I2351"/>
          <cell r="J2351">
            <v>38700</v>
          </cell>
          <cell r="K2351"/>
          <cell r="L2351">
            <v>38700</v>
          </cell>
          <cell r="M2351"/>
          <cell r="N2351">
            <v>38700</v>
          </cell>
          <cell r="O2351"/>
          <cell r="P2351">
            <v>38700</v>
          </cell>
          <cell r="Q2351"/>
          <cell r="R2351">
            <v>38700</v>
          </cell>
          <cell r="S2351"/>
          <cell r="T2351">
            <v>38700</v>
          </cell>
          <cell r="U2351"/>
          <cell r="V2351">
            <v>38700</v>
          </cell>
          <cell r="W2351"/>
          <cell r="X2351">
            <v>38700</v>
          </cell>
          <cell r="Y2351"/>
          <cell r="Z2351">
            <v>38700</v>
          </cell>
          <cell r="AA2351"/>
          <cell r="AB2351"/>
          <cell r="AC2351"/>
          <cell r="AD2351">
            <v>0.32600000000000001</v>
          </cell>
          <cell r="AE2351"/>
          <cell r="AF2351"/>
          <cell r="AG2351">
            <v>9900</v>
          </cell>
          <cell r="AH2351">
            <v>96</v>
          </cell>
          <cell r="AI2351">
            <v>0.98899999999999999</v>
          </cell>
          <cell r="AJ2351">
            <v>1</v>
          </cell>
          <cell r="AK2351">
            <v>97.06</v>
          </cell>
          <cell r="AL2351"/>
        </row>
        <row r="2352">
          <cell r="E2352" t="str">
            <v>■Ｈｆ反射笠</v>
          </cell>
          <cell r="F2352"/>
          <cell r="G2352"/>
          <cell r="H2352"/>
          <cell r="I2352"/>
          <cell r="J2352"/>
          <cell r="K2352"/>
          <cell r="L2352"/>
          <cell r="M2352"/>
          <cell r="N2352"/>
          <cell r="O2352"/>
          <cell r="P2352"/>
          <cell r="Q2352"/>
          <cell r="R2352"/>
          <cell r="S2352"/>
          <cell r="T2352"/>
          <cell r="U2352"/>
          <cell r="V2352"/>
          <cell r="W2352"/>
          <cell r="X2352"/>
          <cell r="Y2352"/>
          <cell r="Z2352"/>
          <cell r="AA2352"/>
          <cell r="AB2352"/>
          <cell r="AC2352"/>
          <cell r="AD2352"/>
          <cell r="AE2352"/>
          <cell r="AF2352"/>
          <cell r="AG2352"/>
          <cell r="AH2352"/>
          <cell r="AI2352"/>
          <cell r="AJ2352"/>
          <cell r="AK2352"/>
          <cell r="AL2352"/>
        </row>
        <row r="2353">
          <cell r="E2353" t="str">
            <v>R2-321PNe</v>
          </cell>
          <cell r="F2353" t="str">
            <v>台</v>
          </cell>
          <cell r="G2353"/>
          <cell r="H2353">
            <v>24100</v>
          </cell>
          <cell r="I2353"/>
          <cell r="J2353">
            <v>24100</v>
          </cell>
          <cell r="K2353"/>
          <cell r="L2353">
            <v>24100</v>
          </cell>
          <cell r="M2353"/>
          <cell r="N2353">
            <v>24100</v>
          </cell>
          <cell r="O2353"/>
          <cell r="P2353">
            <v>24100</v>
          </cell>
          <cell r="Q2353"/>
          <cell r="R2353">
            <v>24100</v>
          </cell>
          <cell r="S2353"/>
          <cell r="T2353">
            <v>24100</v>
          </cell>
          <cell r="U2353"/>
          <cell r="V2353">
            <v>24100</v>
          </cell>
          <cell r="W2353"/>
          <cell r="X2353">
            <v>24100</v>
          </cell>
          <cell r="Y2353"/>
          <cell r="Z2353">
            <v>24100</v>
          </cell>
          <cell r="AA2353"/>
          <cell r="AB2353"/>
          <cell r="AC2353"/>
          <cell r="AD2353">
            <v>0.26100000000000001</v>
          </cell>
          <cell r="AE2353"/>
          <cell r="AF2353"/>
          <cell r="AG2353">
            <v>4950</v>
          </cell>
          <cell r="AH2353">
            <v>48</v>
          </cell>
          <cell r="AI2353">
            <v>0.97899999999999998</v>
          </cell>
          <cell r="AJ2353">
            <v>1</v>
          </cell>
          <cell r="AK2353">
            <v>49.02</v>
          </cell>
          <cell r="AL2353"/>
        </row>
        <row r="2354">
          <cell r="E2354" t="str">
            <v>R2-321PHe</v>
          </cell>
          <cell r="F2354" t="str">
            <v>台</v>
          </cell>
          <cell r="G2354"/>
          <cell r="H2354">
            <v>25100</v>
          </cell>
          <cell r="I2354"/>
          <cell r="J2354">
            <v>25100</v>
          </cell>
          <cell r="K2354"/>
          <cell r="L2354">
            <v>25100</v>
          </cell>
          <cell r="M2354"/>
          <cell r="N2354">
            <v>25100</v>
          </cell>
          <cell r="O2354"/>
          <cell r="P2354">
            <v>25100</v>
          </cell>
          <cell r="Q2354"/>
          <cell r="R2354">
            <v>25100</v>
          </cell>
          <cell r="S2354"/>
          <cell r="T2354">
            <v>25100</v>
          </cell>
          <cell r="U2354"/>
          <cell r="V2354">
            <v>25100</v>
          </cell>
          <cell r="W2354"/>
          <cell r="X2354">
            <v>25100</v>
          </cell>
          <cell r="Y2354"/>
          <cell r="Z2354">
            <v>25100</v>
          </cell>
          <cell r="AA2354"/>
          <cell r="AB2354"/>
          <cell r="AC2354"/>
          <cell r="AD2354">
            <v>0.26100000000000001</v>
          </cell>
          <cell r="AE2354"/>
          <cell r="AF2354"/>
          <cell r="AG2354">
            <v>4950</v>
          </cell>
          <cell r="AH2354">
            <v>48</v>
          </cell>
          <cell r="AI2354">
            <v>0.97899999999999998</v>
          </cell>
          <cell r="AJ2354">
            <v>1</v>
          </cell>
          <cell r="AK2354">
            <v>49.02</v>
          </cell>
          <cell r="AL2354"/>
        </row>
        <row r="2355">
          <cell r="E2355" t="str">
            <v>R2-321PKe</v>
          </cell>
          <cell r="F2355" t="str">
            <v>台</v>
          </cell>
          <cell r="G2355"/>
          <cell r="H2355">
            <v>27100</v>
          </cell>
          <cell r="I2355"/>
          <cell r="J2355">
            <v>27100</v>
          </cell>
          <cell r="K2355"/>
          <cell r="L2355">
            <v>27100</v>
          </cell>
          <cell r="M2355"/>
          <cell r="N2355">
            <v>27100</v>
          </cell>
          <cell r="O2355"/>
          <cell r="P2355">
            <v>27100</v>
          </cell>
          <cell r="Q2355"/>
          <cell r="R2355">
            <v>27100</v>
          </cell>
          <cell r="S2355"/>
          <cell r="T2355">
            <v>27100</v>
          </cell>
          <cell r="U2355"/>
          <cell r="V2355">
            <v>27100</v>
          </cell>
          <cell r="W2355"/>
          <cell r="X2355">
            <v>27100</v>
          </cell>
          <cell r="Y2355"/>
          <cell r="Z2355">
            <v>27100</v>
          </cell>
          <cell r="AA2355"/>
          <cell r="AB2355"/>
          <cell r="AC2355"/>
          <cell r="AD2355">
            <v>0.26100000000000001</v>
          </cell>
          <cell r="AE2355"/>
          <cell r="AF2355"/>
          <cell r="AG2355">
            <v>4950</v>
          </cell>
          <cell r="AH2355">
            <v>48</v>
          </cell>
          <cell r="AI2355">
            <v>0.97899999999999998</v>
          </cell>
          <cell r="AJ2355">
            <v>1</v>
          </cell>
          <cell r="AK2355">
            <v>49.02</v>
          </cell>
          <cell r="AL2355"/>
        </row>
        <row r="2356">
          <cell r="E2356" t="str">
            <v>R2-322PNe</v>
          </cell>
          <cell r="F2356" t="str">
            <v>台</v>
          </cell>
          <cell r="G2356"/>
          <cell r="H2356">
            <v>25800</v>
          </cell>
          <cell r="I2356"/>
          <cell r="J2356">
            <v>25800</v>
          </cell>
          <cell r="K2356"/>
          <cell r="L2356">
            <v>25800</v>
          </cell>
          <cell r="M2356"/>
          <cell r="N2356">
            <v>25800</v>
          </cell>
          <cell r="O2356"/>
          <cell r="P2356">
            <v>25800</v>
          </cell>
          <cell r="Q2356"/>
          <cell r="R2356">
            <v>25800</v>
          </cell>
          <cell r="S2356"/>
          <cell r="T2356">
            <v>25800</v>
          </cell>
          <cell r="U2356"/>
          <cell r="V2356">
            <v>25800</v>
          </cell>
          <cell r="W2356"/>
          <cell r="X2356">
            <v>25800</v>
          </cell>
          <cell r="Y2356"/>
          <cell r="Z2356">
            <v>25800</v>
          </cell>
          <cell r="AA2356"/>
          <cell r="AB2356"/>
          <cell r="AC2356"/>
          <cell r="AD2356">
            <v>0.32600000000000001</v>
          </cell>
          <cell r="AE2356"/>
          <cell r="AF2356"/>
          <cell r="AG2356">
            <v>9900</v>
          </cell>
          <cell r="AH2356">
            <v>96</v>
          </cell>
          <cell r="AI2356">
            <v>0.98899999999999999</v>
          </cell>
          <cell r="AJ2356">
            <v>1</v>
          </cell>
          <cell r="AK2356">
            <v>97.06</v>
          </cell>
          <cell r="AL2356"/>
        </row>
        <row r="2357">
          <cell r="E2357" t="str">
            <v>R2-322PHe</v>
          </cell>
          <cell r="F2357" t="str">
            <v>台</v>
          </cell>
          <cell r="G2357"/>
          <cell r="H2357">
            <v>26700</v>
          </cell>
          <cell r="I2357"/>
          <cell r="J2357">
            <v>26700</v>
          </cell>
          <cell r="K2357"/>
          <cell r="L2357">
            <v>26700</v>
          </cell>
          <cell r="M2357"/>
          <cell r="N2357">
            <v>26700</v>
          </cell>
          <cell r="O2357"/>
          <cell r="P2357">
            <v>26700</v>
          </cell>
          <cell r="Q2357"/>
          <cell r="R2357">
            <v>26700</v>
          </cell>
          <cell r="S2357"/>
          <cell r="T2357">
            <v>26700</v>
          </cell>
          <cell r="U2357"/>
          <cell r="V2357">
            <v>26700</v>
          </cell>
          <cell r="W2357"/>
          <cell r="X2357">
            <v>26700</v>
          </cell>
          <cell r="Y2357"/>
          <cell r="Z2357">
            <v>26700</v>
          </cell>
          <cell r="AA2357"/>
          <cell r="AB2357"/>
          <cell r="AC2357"/>
          <cell r="AD2357">
            <v>0.32600000000000001</v>
          </cell>
          <cell r="AE2357"/>
          <cell r="AF2357"/>
          <cell r="AG2357">
            <v>9900</v>
          </cell>
          <cell r="AH2357">
            <v>96</v>
          </cell>
          <cell r="AI2357">
            <v>0.98899999999999999</v>
          </cell>
          <cell r="AJ2357">
            <v>1</v>
          </cell>
          <cell r="AK2357">
            <v>97.06</v>
          </cell>
          <cell r="AL2357"/>
        </row>
        <row r="2358">
          <cell r="E2358" t="str">
            <v>R2-322PKe</v>
          </cell>
          <cell r="F2358" t="str">
            <v>台</v>
          </cell>
          <cell r="G2358"/>
          <cell r="H2358">
            <v>28400</v>
          </cell>
          <cell r="I2358"/>
          <cell r="J2358">
            <v>28400</v>
          </cell>
          <cell r="K2358"/>
          <cell r="L2358">
            <v>28400</v>
          </cell>
          <cell r="M2358"/>
          <cell r="N2358">
            <v>28400</v>
          </cell>
          <cell r="O2358"/>
          <cell r="P2358">
            <v>28400</v>
          </cell>
          <cell r="Q2358"/>
          <cell r="R2358">
            <v>28400</v>
          </cell>
          <cell r="S2358"/>
          <cell r="T2358">
            <v>28400</v>
          </cell>
          <cell r="U2358"/>
          <cell r="V2358">
            <v>28400</v>
          </cell>
          <cell r="W2358"/>
          <cell r="X2358">
            <v>28400</v>
          </cell>
          <cell r="Y2358"/>
          <cell r="Z2358">
            <v>28400</v>
          </cell>
          <cell r="AA2358"/>
          <cell r="AB2358"/>
          <cell r="AC2358"/>
          <cell r="AD2358">
            <v>0.32600000000000001</v>
          </cell>
          <cell r="AE2358"/>
          <cell r="AF2358"/>
          <cell r="AG2358">
            <v>9900</v>
          </cell>
          <cell r="AH2358">
            <v>96</v>
          </cell>
          <cell r="AI2358">
            <v>0.98899999999999999</v>
          </cell>
          <cell r="AJ2358">
            <v>1</v>
          </cell>
          <cell r="AK2358">
            <v>97.06</v>
          </cell>
          <cell r="AL2358"/>
        </row>
        <row r="2359">
          <cell r="E2359" t="str">
            <v>■Ｈｆ逆富士</v>
          </cell>
          <cell r="F2359"/>
          <cell r="G2359"/>
          <cell r="H2359"/>
          <cell r="I2359"/>
          <cell r="J2359"/>
          <cell r="K2359"/>
          <cell r="L2359"/>
          <cell r="M2359"/>
          <cell r="N2359"/>
          <cell r="O2359"/>
          <cell r="P2359"/>
          <cell r="Q2359"/>
          <cell r="R2359"/>
          <cell r="S2359"/>
          <cell r="T2359"/>
          <cell r="U2359"/>
          <cell r="V2359"/>
          <cell r="W2359"/>
          <cell r="X2359"/>
          <cell r="Y2359"/>
          <cell r="Z2359"/>
          <cell r="AA2359"/>
          <cell r="AB2359"/>
          <cell r="AC2359"/>
          <cell r="AD2359"/>
          <cell r="AE2359"/>
          <cell r="AF2359"/>
          <cell r="AG2359"/>
          <cell r="AH2359"/>
          <cell r="AI2359"/>
          <cell r="AJ2359"/>
          <cell r="AK2359"/>
          <cell r="AL2359"/>
        </row>
        <row r="2360">
          <cell r="E2360" t="str">
            <v>V9-321PNe</v>
          </cell>
          <cell r="F2360" t="str">
            <v>台</v>
          </cell>
          <cell r="G2360"/>
          <cell r="H2360">
            <v>24300</v>
          </cell>
          <cell r="I2360"/>
          <cell r="J2360">
            <v>24300</v>
          </cell>
          <cell r="K2360"/>
          <cell r="L2360">
            <v>24300</v>
          </cell>
          <cell r="M2360"/>
          <cell r="N2360">
            <v>24300</v>
          </cell>
          <cell r="O2360"/>
          <cell r="P2360">
            <v>24300</v>
          </cell>
          <cell r="Q2360"/>
          <cell r="R2360">
            <v>24300</v>
          </cell>
          <cell r="S2360"/>
          <cell r="T2360">
            <v>24300</v>
          </cell>
          <cell r="U2360"/>
          <cell r="V2360">
            <v>24300</v>
          </cell>
          <cell r="W2360"/>
          <cell r="X2360">
            <v>24300</v>
          </cell>
          <cell r="Y2360"/>
          <cell r="Z2360">
            <v>24300</v>
          </cell>
          <cell r="AA2360"/>
          <cell r="AB2360"/>
          <cell r="AC2360"/>
          <cell r="AD2360">
            <v>0.26100000000000001</v>
          </cell>
          <cell r="AE2360"/>
          <cell r="AF2360"/>
          <cell r="AG2360">
            <v>4950</v>
          </cell>
          <cell r="AH2360">
            <v>48</v>
          </cell>
          <cell r="AI2360">
            <v>0.97899999999999998</v>
          </cell>
          <cell r="AJ2360">
            <v>1</v>
          </cell>
          <cell r="AK2360">
            <v>49.02</v>
          </cell>
          <cell r="AL2360"/>
        </row>
        <row r="2361">
          <cell r="E2361" t="str">
            <v>V9-321PHe</v>
          </cell>
          <cell r="F2361" t="str">
            <v>台</v>
          </cell>
          <cell r="G2361"/>
          <cell r="H2361">
            <v>25100</v>
          </cell>
          <cell r="I2361"/>
          <cell r="J2361">
            <v>25100</v>
          </cell>
          <cell r="K2361"/>
          <cell r="L2361">
            <v>25100</v>
          </cell>
          <cell r="M2361"/>
          <cell r="N2361">
            <v>25100</v>
          </cell>
          <cell r="O2361"/>
          <cell r="P2361">
            <v>25100</v>
          </cell>
          <cell r="Q2361"/>
          <cell r="R2361">
            <v>25100</v>
          </cell>
          <cell r="S2361"/>
          <cell r="T2361">
            <v>25100</v>
          </cell>
          <cell r="U2361"/>
          <cell r="V2361">
            <v>25100</v>
          </cell>
          <cell r="W2361"/>
          <cell r="X2361">
            <v>25100</v>
          </cell>
          <cell r="Y2361"/>
          <cell r="Z2361">
            <v>25100</v>
          </cell>
          <cell r="AA2361"/>
          <cell r="AB2361"/>
          <cell r="AC2361"/>
          <cell r="AD2361">
            <v>0.26100000000000001</v>
          </cell>
          <cell r="AE2361"/>
          <cell r="AF2361"/>
          <cell r="AG2361">
            <v>4950</v>
          </cell>
          <cell r="AH2361">
            <v>48</v>
          </cell>
          <cell r="AI2361">
            <v>0.97899999999999998</v>
          </cell>
          <cell r="AJ2361">
            <v>1</v>
          </cell>
          <cell r="AK2361">
            <v>49.02</v>
          </cell>
          <cell r="AL2361"/>
        </row>
        <row r="2362">
          <cell r="E2362" t="str">
            <v>V9-322PNe</v>
          </cell>
          <cell r="F2362" t="str">
            <v>台</v>
          </cell>
          <cell r="G2362"/>
          <cell r="H2362">
            <v>26600</v>
          </cell>
          <cell r="I2362"/>
          <cell r="J2362">
            <v>26600</v>
          </cell>
          <cell r="K2362"/>
          <cell r="L2362">
            <v>26600</v>
          </cell>
          <cell r="M2362"/>
          <cell r="N2362">
            <v>26600</v>
          </cell>
          <cell r="O2362"/>
          <cell r="P2362">
            <v>26600</v>
          </cell>
          <cell r="Q2362"/>
          <cell r="R2362">
            <v>26600</v>
          </cell>
          <cell r="S2362"/>
          <cell r="T2362">
            <v>26600</v>
          </cell>
          <cell r="U2362"/>
          <cell r="V2362">
            <v>26600</v>
          </cell>
          <cell r="W2362"/>
          <cell r="X2362">
            <v>26600</v>
          </cell>
          <cell r="Y2362"/>
          <cell r="Z2362">
            <v>26600</v>
          </cell>
          <cell r="AA2362"/>
          <cell r="AB2362"/>
          <cell r="AC2362"/>
          <cell r="AD2362">
            <v>0.32600000000000001</v>
          </cell>
          <cell r="AE2362"/>
          <cell r="AF2362"/>
          <cell r="AG2362">
            <v>9900</v>
          </cell>
          <cell r="AH2362">
            <v>96</v>
          </cell>
          <cell r="AI2362">
            <v>0.98899999999999999</v>
          </cell>
          <cell r="AJ2362">
            <v>1</v>
          </cell>
          <cell r="AK2362">
            <v>97.06</v>
          </cell>
          <cell r="AL2362"/>
        </row>
        <row r="2363">
          <cell r="E2363" t="str">
            <v>V9-322PHe</v>
          </cell>
          <cell r="F2363" t="str">
            <v>台</v>
          </cell>
          <cell r="G2363"/>
          <cell r="H2363">
            <v>27900</v>
          </cell>
          <cell r="I2363"/>
          <cell r="J2363">
            <v>27900</v>
          </cell>
          <cell r="K2363"/>
          <cell r="L2363">
            <v>27900</v>
          </cell>
          <cell r="M2363"/>
          <cell r="N2363">
            <v>27900</v>
          </cell>
          <cell r="O2363"/>
          <cell r="P2363">
            <v>27900</v>
          </cell>
          <cell r="Q2363"/>
          <cell r="R2363">
            <v>27900</v>
          </cell>
          <cell r="S2363"/>
          <cell r="T2363">
            <v>27900</v>
          </cell>
          <cell r="U2363"/>
          <cell r="V2363">
            <v>27900</v>
          </cell>
          <cell r="W2363"/>
          <cell r="X2363">
            <v>27900</v>
          </cell>
          <cell r="Y2363"/>
          <cell r="Z2363">
            <v>27900</v>
          </cell>
          <cell r="AA2363"/>
          <cell r="AB2363"/>
          <cell r="AC2363"/>
          <cell r="AD2363">
            <v>0.32600000000000001</v>
          </cell>
          <cell r="AE2363"/>
          <cell r="AF2363"/>
          <cell r="AG2363">
            <v>9900</v>
          </cell>
          <cell r="AH2363">
            <v>96</v>
          </cell>
          <cell r="AI2363">
            <v>0.98899999999999999</v>
          </cell>
          <cell r="AJ2363">
            <v>1</v>
          </cell>
          <cell r="AK2363">
            <v>97.06</v>
          </cell>
          <cell r="AL2363"/>
        </row>
        <row r="2364">
          <cell r="E2364" t="str">
            <v>V9-322PKe</v>
          </cell>
          <cell r="F2364" t="str">
            <v>台</v>
          </cell>
          <cell r="G2364"/>
          <cell r="H2364">
            <v>29000</v>
          </cell>
          <cell r="I2364"/>
          <cell r="J2364">
            <v>29000</v>
          </cell>
          <cell r="K2364"/>
          <cell r="L2364">
            <v>29000</v>
          </cell>
          <cell r="M2364"/>
          <cell r="N2364">
            <v>29000</v>
          </cell>
          <cell r="O2364"/>
          <cell r="P2364">
            <v>29000</v>
          </cell>
          <cell r="Q2364"/>
          <cell r="R2364">
            <v>29000</v>
          </cell>
          <cell r="S2364"/>
          <cell r="T2364">
            <v>29000</v>
          </cell>
          <cell r="U2364"/>
          <cell r="V2364">
            <v>29000</v>
          </cell>
          <cell r="W2364"/>
          <cell r="X2364">
            <v>29000</v>
          </cell>
          <cell r="Y2364"/>
          <cell r="Z2364">
            <v>29000</v>
          </cell>
          <cell r="AA2364"/>
          <cell r="AB2364"/>
          <cell r="AC2364"/>
          <cell r="AD2364">
            <v>0.32600000000000001</v>
          </cell>
          <cell r="AE2364"/>
          <cell r="AF2364"/>
          <cell r="AG2364">
            <v>9900</v>
          </cell>
          <cell r="AH2364">
            <v>96</v>
          </cell>
          <cell r="AI2364">
            <v>0.98899999999999999</v>
          </cell>
          <cell r="AJ2364">
            <v>1</v>
          </cell>
          <cell r="AK2364">
            <v>97.06</v>
          </cell>
          <cell r="AL2364"/>
        </row>
        <row r="2365">
          <cell r="E2365" t="str">
            <v>■埋込ダウンライト</v>
          </cell>
          <cell r="F2365"/>
          <cell r="G2365"/>
          <cell r="H2365"/>
          <cell r="I2365"/>
          <cell r="J2365"/>
          <cell r="K2365"/>
          <cell r="L2365"/>
          <cell r="M2365"/>
          <cell r="N2365"/>
          <cell r="O2365"/>
          <cell r="P2365"/>
          <cell r="Q2365"/>
          <cell r="R2365"/>
          <cell r="S2365"/>
          <cell r="T2365"/>
          <cell r="U2365"/>
          <cell r="V2365"/>
          <cell r="W2365"/>
          <cell r="X2365"/>
          <cell r="Y2365"/>
          <cell r="Z2365"/>
          <cell r="AA2365"/>
          <cell r="AB2365"/>
          <cell r="AC2365"/>
          <cell r="AD2365"/>
          <cell r="AE2365"/>
          <cell r="AF2365"/>
          <cell r="AG2365"/>
          <cell r="AH2365"/>
          <cell r="AI2365"/>
          <cell r="AJ2365"/>
          <cell r="AK2365"/>
          <cell r="AL2365"/>
        </row>
        <row r="2366">
          <cell r="E2366" t="str">
            <v>d4-09e</v>
          </cell>
          <cell r="F2366" t="str">
            <v>台</v>
          </cell>
          <cell r="G2366"/>
          <cell r="H2366">
            <v>11000</v>
          </cell>
          <cell r="I2366"/>
          <cell r="J2366">
            <v>11000</v>
          </cell>
          <cell r="K2366"/>
          <cell r="L2366">
            <v>11000</v>
          </cell>
          <cell r="M2366"/>
          <cell r="N2366">
            <v>11000</v>
          </cell>
          <cell r="O2366"/>
          <cell r="P2366">
            <v>11000</v>
          </cell>
          <cell r="Q2366"/>
          <cell r="R2366">
            <v>11000</v>
          </cell>
          <cell r="S2366"/>
          <cell r="T2366">
            <v>11000</v>
          </cell>
          <cell r="U2366"/>
          <cell r="V2366">
            <v>11000</v>
          </cell>
          <cell r="W2366"/>
          <cell r="X2366">
            <v>11000</v>
          </cell>
          <cell r="Y2366"/>
          <cell r="Z2366">
            <v>11000</v>
          </cell>
          <cell r="AA2366"/>
          <cell r="AB2366"/>
          <cell r="AC2366"/>
          <cell r="AD2366">
            <v>0.20899999999999999</v>
          </cell>
          <cell r="AE2366"/>
          <cell r="AF2366"/>
          <cell r="AG2366"/>
          <cell r="AH2366"/>
          <cell r="AI2366"/>
          <cell r="AJ2366"/>
          <cell r="AK2366"/>
          <cell r="AL2366" t="str">
            <v>専用器具</v>
          </cell>
        </row>
        <row r="2367">
          <cell r="E2367" t="str">
            <v>d4-13e</v>
          </cell>
          <cell r="F2367" t="str">
            <v>台</v>
          </cell>
          <cell r="G2367"/>
          <cell r="H2367">
            <v>12600</v>
          </cell>
          <cell r="I2367"/>
          <cell r="J2367">
            <v>12600</v>
          </cell>
          <cell r="K2367"/>
          <cell r="L2367">
            <v>12600</v>
          </cell>
          <cell r="M2367"/>
          <cell r="N2367">
            <v>12600</v>
          </cell>
          <cell r="O2367"/>
          <cell r="P2367">
            <v>12600</v>
          </cell>
          <cell r="Q2367"/>
          <cell r="R2367">
            <v>12600</v>
          </cell>
          <cell r="S2367"/>
          <cell r="T2367">
            <v>12600</v>
          </cell>
          <cell r="U2367"/>
          <cell r="V2367">
            <v>12600</v>
          </cell>
          <cell r="W2367"/>
          <cell r="X2367">
            <v>12600</v>
          </cell>
          <cell r="Y2367"/>
          <cell r="Z2367">
            <v>12600</v>
          </cell>
          <cell r="AA2367"/>
          <cell r="AB2367"/>
          <cell r="AC2367"/>
          <cell r="AD2367">
            <v>0.20899999999999999</v>
          </cell>
          <cell r="AE2367"/>
          <cell r="AF2367"/>
          <cell r="AG2367"/>
          <cell r="AH2367"/>
          <cell r="AI2367"/>
          <cell r="AJ2367"/>
          <cell r="AK2367"/>
          <cell r="AL2367" t="str">
            <v>専用器具</v>
          </cell>
        </row>
        <row r="2368">
          <cell r="E2368" t="str">
            <v>d4-30e</v>
          </cell>
          <cell r="F2368" t="str">
            <v>台</v>
          </cell>
          <cell r="G2368"/>
          <cell r="H2368">
            <v>22900</v>
          </cell>
          <cell r="I2368"/>
          <cell r="J2368">
            <v>22900</v>
          </cell>
          <cell r="K2368"/>
          <cell r="L2368">
            <v>22900</v>
          </cell>
          <cell r="M2368"/>
          <cell r="N2368">
            <v>22900</v>
          </cell>
          <cell r="O2368"/>
          <cell r="P2368">
            <v>22900</v>
          </cell>
          <cell r="Q2368"/>
          <cell r="R2368">
            <v>22900</v>
          </cell>
          <cell r="S2368"/>
          <cell r="T2368">
            <v>22900</v>
          </cell>
          <cell r="U2368"/>
          <cell r="V2368">
            <v>22900</v>
          </cell>
          <cell r="W2368"/>
          <cell r="X2368">
            <v>22900</v>
          </cell>
          <cell r="Y2368"/>
          <cell r="Z2368">
            <v>22900</v>
          </cell>
          <cell r="AA2368"/>
          <cell r="AB2368"/>
          <cell r="AC2368"/>
          <cell r="AD2368">
            <v>0.20899999999999999</v>
          </cell>
          <cell r="AE2368"/>
          <cell r="AF2368"/>
          <cell r="AG2368"/>
          <cell r="AH2368"/>
          <cell r="AI2368"/>
          <cell r="AJ2368"/>
          <cell r="AK2368"/>
          <cell r="AL2368" t="str">
            <v>専用器具</v>
          </cell>
        </row>
        <row r="2369">
          <cell r="E2369" t="str">
            <v>■直付ダウンライト</v>
          </cell>
          <cell r="F2369"/>
          <cell r="G2369"/>
          <cell r="H2369"/>
          <cell r="I2369"/>
          <cell r="J2369"/>
          <cell r="K2369"/>
          <cell r="L2369"/>
          <cell r="M2369"/>
          <cell r="N2369"/>
          <cell r="O2369"/>
          <cell r="P2369"/>
          <cell r="Q2369"/>
          <cell r="R2369"/>
          <cell r="S2369"/>
          <cell r="T2369"/>
          <cell r="U2369"/>
          <cell r="V2369"/>
          <cell r="W2369"/>
          <cell r="X2369"/>
          <cell r="Y2369"/>
          <cell r="Z2369"/>
          <cell r="AA2369"/>
          <cell r="AB2369"/>
          <cell r="AC2369"/>
          <cell r="AD2369"/>
          <cell r="AE2369"/>
          <cell r="AF2369"/>
          <cell r="AG2369"/>
          <cell r="AH2369"/>
          <cell r="AI2369"/>
          <cell r="AJ2369"/>
          <cell r="AK2369"/>
          <cell r="AL2369"/>
        </row>
        <row r="2370">
          <cell r="E2370" t="str">
            <v>CL14MP-13e</v>
          </cell>
          <cell r="F2370" t="str">
            <v>台</v>
          </cell>
          <cell r="G2370"/>
          <cell r="H2370">
            <v>19300</v>
          </cell>
          <cell r="I2370"/>
          <cell r="J2370">
            <v>19300</v>
          </cell>
          <cell r="K2370"/>
          <cell r="L2370">
            <v>19300</v>
          </cell>
          <cell r="M2370"/>
          <cell r="N2370">
            <v>19300</v>
          </cell>
          <cell r="O2370"/>
          <cell r="P2370">
            <v>19300</v>
          </cell>
          <cell r="Q2370"/>
          <cell r="R2370">
            <v>19300</v>
          </cell>
          <cell r="S2370"/>
          <cell r="T2370">
            <v>19300</v>
          </cell>
          <cell r="U2370"/>
          <cell r="V2370">
            <v>19300</v>
          </cell>
          <cell r="W2370"/>
          <cell r="X2370">
            <v>19300</v>
          </cell>
          <cell r="Y2370"/>
          <cell r="Z2370">
            <v>19300</v>
          </cell>
          <cell r="AA2370"/>
          <cell r="AB2370"/>
          <cell r="AC2370"/>
          <cell r="AD2370">
            <v>0.153</v>
          </cell>
          <cell r="AE2370"/>
          <cell r="AF2370"/>
          <cell r="AG2370"/>
          <cell r="AH2370"/>
          <cell r="AI2370"/>
          <cell r="AJ2370"/>
          <cell r="AK2370"/>
          <cell r="AL2370" t="str">
            <v>専用器具</v>
          </cell>
        </row>
        <row r="2371">
          <cell r="E2371" t="str">
            <v>CL14MP-30e</v>
          </cell>
          <cell r="F2371" t="str">
            <v>台</v>
          </cell>
          <cell r="G2371"/>
          <cell r="H2371">
            <v>26300</v>
          </cell>
          <cell r="I2371"/>
          <cell r="J2371">
            <v>26300</v>
          </cell>
          <cell r="K2371"/>
          <cell r="L2371">
            <v>26300</v>
          </cell>
          <cell r="M2371"/>
          <cell r="N2371">
            <v>26300</v>
          </cell>
          <cell r="O2371"/>
          <cell r="P2371">
            <v>26300</v>
          </cell>
          <cell r="Q2371"/>
          <cell r="R2371">
            <v>26300</v>
          </cell>
          <cell r="S2371"/>
          <cell r="T2371">
            <v>26300</v>
          </cell>
          <cell r="U2371"/>
          <cell r="V2371">
            <v>26300</v>
          </cell>
          <cell r="W2371"/>
          <cell r="X2371">
            <v>26300</v>
          </cell>
          <cell r="Y2371"/>
          <cell r="Z2371">
            <v>26300</v>
          </cell>
          <cell r="AA2371"/>
          <cell r="AB2371"/>
          <cell r="AC2371"/>
          <cell r="AD2371">
            <v>0.153</v>
          </cell>
          <cell r="AE2371"/>
          <cell r="AF2371"/>
          <cell r="AG2371"/>
          <cell r="AH2371"/>
          <cell r="AI2371"/>
          <cell r="AJ2371"/>
          <cell r="AK2371"/>
          <cell r="AL2371" t="str">
            <v>専用器具</v>
          </cell>
        </row>
        <row r="2372">
          <cell r="E2372" t="str">
            <v>■直付ダウンライト</v>
          </cell>
          <cell r="F2372"/>
          <cell r="G2372"/>
          <cell r="H2372"/>
          <cell r="I2372"/>
          <cell r="J2372"/>
          <cell r="K2372"/>
          <cell r="L2372"/>
          <cell r="M2372"/>
          <cell r="N2372"/>
          <cell r="O2372"/>
          <cell r="P2372"/>
          <cell r="Q2372"/>
          <cell r="R2372"/>
          <cell r="S2372"/>
          <cell r="T2372"/>
          <cell r="U2372"/>
          <cell r="V2372"/>
          <cell r="W2372"/>
          <cell r="X2372"/>
          <cell r="Y2372"/>
          <cell r="Z2372"/>
          <cell r="AA2372"/>
          <cell r="AB2372"/>
          <cell r="AC2372"/>
          <cell r="AD2372"/>
          <cell r="AE2372"/>
          <cell r="AF2372"/>
          <cell r="AG2372"/>
          <cell r="AH2372"/>
          <cell r="AI2372"/>
          <cell r="AJ2372"/>
          <cell r="AK2372"/>
          <cell r="AL2372"/>
        </row>
        <row r="2373">
          <cell r="E2373" t="str">
            <v>ds4-09e</v>
          </cell>
          <cell r="F2373" t="str">
            <v>台</v>
          </cell>
          <cell r="G2373"/>
          <cell r="H2373">
            <v>8670</v>
          </cell>
          <cell r="I2373"/>
          <cell r="J2373">
            <v>8670</v>
          </cell>
          <cell r="K2373"/>
          <cell r="L2373">
            <v>8670</v>
          </cell>
          <cell r="M2373"/>
          <cell r="N2373">
            <v>8670</v>
          </cell>
          <cell r="O2373"/>
          <cell r="P2373">
            <v>8670</v>
          </cell>
          <cell r="Q2373"/>
          <cell r="R2373">
            <v>8670</v>
          </cell>
          <cell r="S2373"/>
          <cell r="T2373">
            <v>8670</v>
          </cell>
          <cell r="U2373"/>
          <cell r="V2373">
            <v>8670</v>
          </cell>
          <cell r="W2373"/>
          <cell r="X2373">
            <v>8670</v>
          </cell>
          <cell r="Y2373"/>
          <cell r="Z2373">
            <v>8670</v>
          </cell>
          <cell r="AA2373"/>
          <cell r="AB2373"/>
          <cell r="AC2373"/>
          <cell r="AD2373">
            <v>0.153</v>
          </cell>
          <cell r="AE2373"/>
          <cell r="AF2373"/>
          <cell r="AG2373"/>
          <cell r="AH2373"/>
          <cell r="AI2373"/>
          <cell r="AJ2373"/>
          <cell r="AK2373"/>
          <cell r="AL2373" t="str">
            <v>専用器具</v>
          </cell>
        </row>
        <row r="2374">
          <cell r="E2374" t="str">
            <v>ds4-13e</v>
          </cell>
          <cell r="F2374" t="str">
            <v>台</v>
          </cell>
          <cell r="G2374"/>
          <cell r="H2374">
            <v>11900</v>
          </cell>
          <cell r="I2374"/>
          <cell r="J2374">
            <v>11900</v>
          </cell>
          <cell r="K2374"/>
          <cell r="L2374">
            <v>11900</v>
          </cell>
          <cell r="M2374"/>
          <cell r="N2374">
            <v>11900</v>
          </cell>
          <cell r="O2374"/>
          <cell r="P2374">
            <v>11900</v>
          </cell>
          <cell r="Q2374"/>
          <cell r="R2374">
            <v>11900</v>
          </cell>
          <cell r="S2374"/>
          <cell r="T2374">
            <v>11900</v>
          </cell>
          <cell r="U2374"/>
          <cell r="V2374">
            <v>11900</v>
          </cell>
          <cell r="W2374"/>
          <cell r="X2374">
            <v>11900</v>
          </cell>
          <cell r="Y2374"/>
          <cell r="Z2374">
            <v>11900</v>
          </cell>
          <cell r="AA2374"/>
          <cell r="AB2374"/>
          <cell r="AC2374"/>
          <cell r="AD2374">
            <v>0.153</v>
          </cell>
          <cell r="AE2374"/>
          <cell r="AF2374"/>
          <cell r="AG2374"/>
          <cell r="AH2374"/>
          <cell r="AI2374"/>
          <cell r="AJ2374"/>
          <cell r="AK2374"/>
          <cell r="AL2374" t="str">
            <v>専用器具</v>
          </cell>
        </row>
        <row r="2375">
          <cell r="E2375"/>
          <cell r="F2375"/>
          <cell r="G2375"/>
          <cell r="H2375"/>
          <cell r="I2375"/>
          <cell r="J2375"/>
          <cell r="K2375"/>
          <cell r="L2375"/>
          <cell r="M2375"/>
          <cell r="N2375"/>
          <cell r="O2375"/>
          <cell r="P2375"/>
          <cell r="Q2375"/>
          <cell r="R2375"/>
          <cell r="S2375"/>
          <cell r="T2375"/>
          <cell r="U2375"/>
          <cell r="V2375"/>
          <cell r="W2375"/>
          <cell r="X2375"/>
          <cell r="Y2375"/>
          <cell r="Z2375"/>
          <cell r="AA2375"/>
          <cell r="AB2375"/>
          <cell r="AC2375"/>
          <cell r="AD2375"/>
          <cell r="AE2375"/>
          <cell r="AF2375"/>
          <cell r="AG2375"/>
          <cell r="AH2375"/>
          <cell r="AI2375"/>
          <cell r="AJ2375"/>
          <cell r="AK2375"/>
          <cell r="AL2375"/>
        </row>
        <row r="2376">
          <cell r="E2376" t="str">
            <v>ds4-30e</v>
          </cell>
          <cell r="F2376" t="str">
            <v>台</v>
          </cell>
          <cell r="G2376"/>
          <cell r="H2376">
            <v>19500</v>
          </cell>
          <cell r="I2376"/>
          <cell r="J2376">
            <v>19500</v>
          </cell>
          <cell r="K2376"/>
          <cell r="L2376">
            <v>19500</v>
          </cell>
          <cell r="M2376"/>
          <cell r="N2376">
            <v>19500</v>
          </cell>
          <cell r="O2376"/>
          <cell r="P2376">
            <v>19500</v>
          </cell>
          <cell r="Q2376"/>
          <cell r="R2376">
            <v>19500</v>
          </cell>
          <cell r="S2376"/>
          <cell r="T2376">
            <v>19500</v>
          </cell>
          <cell r="U2376"/>
          <cell r="V2376">
            <v>19500</v>
          </cell>
          <cell r="W2376"/>
          <cell r="X2376">
            <v>19500</v>
          </cell>
          <cell r="Y2376"/>
          <cell r="Z2376">
            <v>19500</v>
          </cell>
          <cell r="AA2376"/>
          <cell r="AB2376"/>
          <cell r="AC2376"/>
          <cell r="AD2376">
            <v>0.153</v>
          </cell>
          <cell r="AE2376"/>
          <cell r="AF2376"/>
          <cell r="AG2376"/>
          <cell r="AH2376"/>
          <cell r="AI2376"/>
          <cell r="AJ2376"/>
          <cell r="AK2376"/>
          <cell r="AL2376" t="str">
            <v>専用器具</v>
          </cell>
        </row>
        <row r="2377">
          <cell r="E2377"/>
          <cell r="F2377"/>
          <cell r="G2377"/>
          <cell r="H2377"/>
          <cell r="I2377"/>
          <cell r="J2377"/>
          <cell r="K2377"/>
          <cell r="L2377"/>
          <cell r="M2377"/>
          <cell r="N2377"/>
          <cell r="O2377"/>
          <cell r="P2377"/>
          <cell r="Q2377"/>
          <cell r="R2377"/>
          <cell r="S2377"/>
          <cell r="T2377"/>
          <cell r="U2377"/>
          <cell r="V2377"/>
          <cell r="W2377"/>
          <cell r="X2377"/>
          <cell r="Y2377"/>
          <cell r="Z2377"/>
          <cell r="AA2377"/>
          <cell r="AB2377"/>
          <cell r="AC2377"/>
          <cell r="AD2377"/>
          <cell r="AE2377"/>
          <cell r="AF2377"/>
          <cell r="AG2377"/>
          <cell r="AH2377"/>
          <cell r="AI2377"/>
          <cell r="AJ2377"/>
          <cell r="AK2377"/>
          <cell r="AL2377"/>
        </row>
        <row r="2378">
          <cell r="E2378"/>
          <cell r="F2378"/>
          <cell r="G2378"/>
          <cell r="H2378"/>
          <cell r="I2378"/>
          <cell r="J2378"/>
          <cell r="K2378"/>
          <cell r="L2378"/>
          <cell r="M2378"/>
          <cell r="N2378"/>
          <cell r="O2378"/>
          <cell r="P2378"/>
          <cell r="Q2378"/>
          <cell r="R2378"/>
          <cell r="S2378"/>
          <cell r="T2378"/>
          <cell r="U2378"/>
          <cell r="V2378"/>
          <cell r="W2378"/>
          <cell r="X2378"/>
          <cell r="Y2378"/>
          <cell r="Z2378"/>
          <cell r="AA2378"/>
          <cell r="AB2378"/>
          <cell r="AC2378"/>
          <cell r="AD2378"/>
          <cell r="AE2378"/>
          <cell r="AF2378"/>
          <cell r="AG2378"/>
          <cell r="AH2378"/>
          <cell r="AI2378"/>
          <cell r="AJ2378"/>
          <cell r="AK2378"/>
          <cell r="AL2378"/>
        </row>
        <row r="2379">
          <cell r="E2379"/>
          <cell r="F2379"/>
          <cell r="G2379"/>
          <cell r="H2379"/>
          <cell r="I2379"/>
          <cell r="J2379"/>
          <cell r="K2379"/>
          <cell r="L2379"/>
          <cell r="M2379"/>
          <cell r="N2379"/>
          <cell r="O2379"/>
          <cell r="P2379"/>
          <cell r="Q2379"/>
          <cell r="R2379"/>
          <cell r="S2379"/>
          <cell r="T2379"/>
          <cell r="U2379"/>
          <cell r="V2379"/>
          <cell r="W2379"/>
          <cell r="X2379"/>
          <cell r="Y2379"/>
          <cell r="Z2379"/>
          <cell r="AA2379"/>
          <cell r="AB2379"/>
          <cell r="AC2379"/>
          <cell r="AD2379"/>
          <cell r="AE2379"/>
          <cell r="AF2379"/>
          <cell r="AG2379"/>
          <cell r="AH2379"/>
          <cell r="AI2379"/>
          <cell r="AJ2379"/>
          <cell r="AK2379"/>
          <cell r="AL2379"/>
        </row>
        <row r="2380">
          <cell r="E2380"/>
          <cell r="F2380"/>
          <cell r="G2380"/>
          <cell r="H2380"/>
          <cell r="I2380"/>
          <cell r="J2380"/>
          <cell r="K2380"/>
          <cell r="L2380"/>
          <cell r="M2380"/>
          <cell r="N2380"/>
          <cell r="O2380"/>
          <cell r="P2380"/>
          <cell r="Q2380"/>
          <cell r="R2380"/>
          <cell r="S2380"/>
          <cell r="T2380"/>
          <cell r="U2380"/>
          <cell r="V2380"/>
          <cell r="W2380"/>
          <cell r="X2380"/>
          <cell r="Y2380"/>
          <cell r="Z2380"/>
          <cell r="AA2380"/>
          <cell r="AB2380"/>
          <cell r="AC2380"/>
          <cell r="AD2380"/>
          <cell r="AE2380"/>
          <cell r="AF2380"/>
          <cell r="AG2380"/>
          <cell r="AH2380"/>
          <cell r="AI2380"/>
          <cell r="AJ2380"/>
          <cell r="AK2380"/>
          <cell r="AL2380"/>
        </row>
        <row r="2381">
          <cell r="E2381"/>
          <cell r="F2381"/>
          <cell r="G2381"/>
          <cell r="H2381"/>
          <cell r="I2381"/>
          <cell r="J2381"/>
          <cell r="K2381"/>
          <cell r="L2381"/>
          <cell r="M2381"/>
          <cell r="N2381"/>
          <cell r="O2381"/>
          <cell r="P2381"/>
          <cell r="Q2381"/>
          <cell r="R2381"/>
          <cell r="S2381"/>
          <cell r="T2381"/>
          <cell r="U2381"/>
          <cell r="V2381"/>
          <cell r="W2381"/>
          <cell r="X2381"/>
          <cell r="Y2381"/>
          <cell r="Z2381"/>
          <cell r="AA2381"/>
          <cell r="AB2381"/>
          <cell r="AC2381"/>
          <cell r="AD2381"/>
          <cell r="AE2381"/>
          <cell r="AF2381"/>
          <cell r="AG2381"/>
          <cell r="AH2381"/>
          <cell r="AI2381"/>
          <cell r="AJ2381"/>
          <cell r="AK2381"/>
          <cell r="AL2381"/>
        </row>
        <row r="2382">
          <cell r="E2382"/>
          <cell r="F2382"/>
          <cell r="G2382"/>
          <cell r="H2382"/>
          <cell r="I2382"/>
          <cell r="J2382"/>
          <cell r="K2382"/>
          <cell r="L2382"/>
          <cell r="M2382"/>
          <cell r="N2382"/>
          <cell r="O2382"/>
          <cell r="P2382"/>
          <cell r="Q2382"/>
          <cell r="R2382"/>
          <cell r="S2382"/>
          <cell r="T2382"/>
          <cell r="U2382"/>
          <cell r="V2382"/>
          <cell r="W2382"/>
          <cell r="X2382"/>
          <cell r="Y2382"/>
          <cell r="Z2382"/>
          <cell r="AA2382"/>
          <cell r="AB2382"/>
          <cell r="AC2382"/>
          <cell r="AD2382"/>
          <cell r="AE2382"/>
          <cell r="AF2382"/>
          <cell r="AG2382"/>
          <cell r="AH2382"/>
          <cell r="AI2382"/>
          <cell r="AJ2382"/>
          <cell r="AK2382"/>
          <cell r="AL2382"/>
        </row>
        <row r="2383">
          <cell r="E2383"/>
          <cell r="F2383"/>
          <cell r="G2383"/>
          <cell r="H2383"/>
          <cell r="I2383"/>
          <cell r="J2383"/>
          <cell r="K2383"/>
          <cell r="L2383"/>
          <cell r="M2383"/>
          <cell r="N2383"/>
          <cell r="O2383"/>
          <cell r="P2383"/>
          <cell r="Q2383"/>
          <cell r="R2383"/>
          <cell r="S2383"/>
          <cell r="T2383"/>
          <cell r="U2383"/>
          <cell r="V2383"/>
          <cell r="W2383"/>
          <cell r="X2383"/>
          <cell r="Y2383"/>
          <cell r="Z2383"/>
          <cell r="AA2383"/>
          <cell r="AB2383"/>
          <cell r="AC2383"/>
          <cell r="AD2383"/>
          <cell r="AE2383"/>
          <cell r="AF2383"/>
          <cell r="AG2383"/>
          <cell r="AH2383"/>
          <cell r="AI2383"/>
          <cell r="AJ2383"/>
          <cell r="AK2383"/>
          <cell r="AL2383"/>
        </row>
        <row r="2384">
          <cell r="E2384"/>
          <cell r="F2384"/>
          <cell r="G2384"/>
          <cell r="H2384"/>
          <cell r="I2384"/>
          <cell r="J2384"/>
          <cell r="K2384"/>
          <cell r="L2384"/>
          <cell r="M2384"/>
          <cell r="N2384"/>
          <cell r="O2384"/>
          <cell r="P2384"/>
          <cell r="Q2384"/>
          <cell r="R2384"/>
          <cell r="S2384"/>
          <cell r="T2384"/>
          <cell r="U2384"/>
          <cell r="V2384"/>
          <cell r="W2384"/>
          <cell r="X2384"/>
          <cell r="Y2384"/>
          <cell r="Z2384"/>
          <cell r="AA2384"/>
          <cell r="AB2384"/>
          <cell r="AC2384"/>
          <cell r="AD2384"/>
          <cell r="AE2384"/>
          <cell r="AF2384"/>
          <cell r="AG2384"/>
          <cell r="AH2384"/>
          <cell r="AI2384"/>
          <cell r="AJ2384"/>
          <cell r="AK2384"/>
          <cell r="AL2384"/>
        </row>
        <row r="2385">
          <cell r="E2385"/>
          <cell r="F2385"/>
          <cell r="G2385"/>
          <cell r="H2385"/>
          <cell r="I2385"/>
          <cell r="J2385"/>
          <cell r="K2385"/>
          <cell r="L2385"/>
          <cell r="M2385"/>
          <cell r="N2385"/>
          <cell r="O2385"/>
          <cell r="P2385"/>
          <cell r="Q2385"/>
          <cell r="R2385"/>
          <cell r="S2385"/>
          <cell r="T2385"/>
          <cell r="U2385"/>
          <cell r="V2385"/>
          <cell r="W2385"/>
          <cell r="X2385"/>
          <cell r="Y2385"/>
          <cell r="Z2385"/>
          <cell r="AA2385"/>
          <cell r="AB2385"/>
          <cell r="AC2385"/>
          <cell r="AD2385"/>
          <cell r="AE2385"/>
          <cell r="AF2385"/>
          <cell r="AG2385"/>
          <cell r="AH2385"/>
          <cell r="AI2385"/>
          <cell r="AJ2385"/>
          <cell r="AK2385"/>
          <cell r="AL2385"/>
        </row>
        <row r="2386">
          <cell r="E2386"/>
          <cell r="F2386"/>
          <cell r="G2386"/>
          <cell r="H2386"/>
          <cell r="I2386"/>
          <cell r="J2386"/>
          <cell r="K2386"/>
          <cell r="L2386"/>
          <cell r="M2386"/>
          <cell r="N2386"/>
          <cell r="O2386"/>
          <cell r="P2386"/>
          <cell r="Q2386"/>
          <cell r="R2386"/>
          <cell r="S2386"/>
          <cell r="T2386"/>
          <cell r="U2386"/>
          <cell r="V2386"/>
          <cell r="W2386"/>
          <cell r="X2386"/>
          <cell r="Y2386"/>
          <cell r="Z2386"/>
          <cell r="AA2386"/>
          <cell r="AB2386"/>
          <cell r="AC2386"/>
          <cell r="AD2386"/>
          <cell r="AE2386"/>
          <cell r="AF2386"/>
          <cell r="AG2386"/>
          <cell r="AH2386"/>
          <cell r="AI2386"/>
          <cell r="AJ2386"/>
          <cell r="AK2386"/>
          <cell r="AL2386"/>
        </row>
        <row r="2387">
          <cell r="E2387"/>
          <cell r="F2387"/>
          <cell r="G2387"/>
          <cell r="H2387"/>
          <cell r="I2387"/>
          <cell r="J2387"/>
          <cell r="K2387"/>
          <cell r="L2387"/>
          <cell r="M2387"/>
          <cell r="N2387"/>
          <cell r="O2387"/>
          <cell r="P2387"/>
          <cell r="Q2387"/>
          <cell r="R2387"/>
          <cell r="S2387"/>
          <cell r="T2387"/>
          <cell r="U2387"/>
          <cell r="V2387"/>
          <cell r="W2387"/>
          <cell r="X2387"/>
          <cell r="Y2387"/>
          <cell r="Z2387"/>
          <cell r="AA2387"/>
          <cell r="AB2387"/>
          <cell r="AC2387"/>
          <cell r="AD2387"/>
          <cell r="AE2387"/>
          <cell r="AF2387"/>
          <cell r="AG2387"/>
          <cell r="AH2387"/>
          <cell r="AI2387"/>
          <cell r="AJ2387"/>
          <cell r="AK2387"/>
          <cell r="AL2387"/>
        </row>
        <row r="2388">
          <cell r="E2388"/>
          <cell r="F2388"/>
          <cell r="G2388"/>
          <cell r="H2388"/>
          <cell r="I2388"/>
          <cell r="J2388"/>
          <cell r="K2388"/>
          <cell r="L2388"/>
          <cell r="M2388"/>
          <cell r="N2388"/>
          <cell r="O2388"/>
          <cell r="P2388"/>
          <cell r="Q2388"/>
          <cell r="R2388"/>
          <cell r="S2388"/>
          <cell r="T2388"/>
          <cell r="U2388"/>
          <cell r="V2388"/>
          <cell r="W2388"/>
          <cell r="X2388"/>
          <cell r="Y2388"/>
          <cell r="Z2388"/>
          <cell r="AA2388"/>
          <cell r="AB2388"/>
          <cell r="AC2388"/>
          <cell r="AD2388"/>
          <cell r="AE2388"/>
          <cell r="AF2388"/>
          <cell r="AG2388"/>
          <cell r="AH2388"/>
          <cell r="AI2388"/>
          <cell r="AJ2388"/>
          <cell r="AK2388"/>
          <cell r="AL2388"/>
        </row>
        <row r="2389">
          <cell r="E2389"/>
          <cell r="F2389"/>
          <cell r="G2389"/>
          <cell r="H2389"/>
          <cell r="I2389"/>
          <cell r="J2389"/>
          <cell r="K2389"/>
          <cell r="L2389"/>
          <cell r="M2389"/>
          <cell r="N2389"/>
          <cell r="O2389"/>
          <cell r="P2389"/>
          <cell r="Q2389"/>
          <cell r="R2389"/>
          <cell r="S2389"/>
          <cell r="T2389"/>
          <cell r="U2389"/>
          <cell r="V2389"/>
          <cell r="W2389"/>
          <cell r="X2389"/>
          <cell r="Y2389"/>
          <cell r="Z2389"/>
          <cell r="AA2389"/>
          <cell r="AB2389"/>
          <cell r="AC2389"/>
          <cell r="AD2389"/>
          <cell r="AE2389"/>
          <cell r="AF2389"/>
          <cell r="AG2389"/>
          <cell r="AH2389"/>
          <cell r="AI2389"/>
          <cell r="AJ2389"/>
          <cell r="AK2389"/>
          <cell r="AL2389"/>
        </row>
        <row r="2390">
          <cell r="E2390"/>
          <cell r="F2390"/>
          <cell r="G2390"/>
          <cell r="H2390"/>
          <cell r="I2390"/>
          <cell r="J2390"/>
          <cell r="K2390"/>
          <cell r="L2390"/>
          <cell r="M2390"/>
          <cell r="N2390"/>
          <cell r="O2390"/>
          <cell r="P2390"/>
          <cell r="Q2390"/>
          <cell r="R2390"/>
          <cell r="S2390"/>
          <cell r="T2390"/>
          <cell r="U2390"/>
          <cell r="V2390"/>
          <cell r="W2390"/>
          <cell r="X2390"/>
          <cell r="Y2390"/>
          <cell r="Z2390"/>
          <cell r="AA2390"/>
          <cell r="AB2390"/>
          <cell r="AC2390"/>
          <cell r="AD2390"/>
          <cell r="AE2390"/>
          <cell r="AF2390"/>
          <cell r="AG2390"/>
          <cell r="AH2390"/>
          <cell r="AI2390"/>
          <cell r="AJ2390"/>
          <cell r="AK2390"/>
          <cell r="AL2390"/>
        </row>
        <row r="2391">
          <cell r="E2391"/>
          <cell r="F2391"/>
          <cell r="G2391"/>
          <cell r="H2391"/>
          <cell r="I2391"/>
          <cell r="J2391"/>
          <cell r="K2391"/>
          <cell r="L2391"/>
          <cell r="M2391"/>
          <cell r="N2391"/>
          <cell r="O2391"/>
          <cell r="P2391"/>
          <cell r="Q2391"/>
          <cell r="R2391"/>
          <cell r="S2391"/>
          <cell r="T2391"/>
          <cell r="U2391"/>
          <cell r="V2391"/>
          <cell r="W2391"/>
          <cell r="X2391"/>
          <cell r="Y2391"/>
          <cell r="Z2391"/>
          <cell r="AA2391"/>
          <cell r="AB2391"/>
          <cell r="AC2391"/>
          <cell r="AD2391"/>
          <cell r="AE2391"/>
          <cell r="AF2391"/>
          <cell r="AG2391"/>
          <cell r="AH2391"/>
          <cell r="AI2391"/>
          <cell r="AJ2391"/>
          <cell r="AK2391"/>
          <cell r="AL2391"/>
        </row>
        <row r="2392">
          <cell r="E2392"/>
          <cell r="F2392"/>
          <cell r="G2392"/>
          <cell r="H2392"/>
          <cell r="I2392"/>
          <cell r="J2392"/>
          <cell r="K2392"/>
          <cell r="L2392"/>
          <cell r="M2392"/>
          <cell r="N2392"/>
          <cell r="O2392"/>
          <cell r="P2392"/>
          <cell r="Q2392"/>
          <cell r="R2392"/>
          <cell r="S2392"/>
          <cell r="T2392"/>
          <cell r="U2392"/>
          <cell r="V2392"/>
          <cell r="W2392"/>
          <cell r="X2392"/>
          <cell r="Y2392"/>
          <cell r="Z2392"/>
          <cell r="AA2392"/>
          <cell r="AB2392"/>
          <cell r="AC2392"/>
          <cell r="AD2392"/>
          <cell r="AE2392"/>
          <cell r="AF2392"/>
          <cell r="AG2392"/>
          <cell r="AH2392"/>
          <cell r="AI2392"/>
          <cell r="AJ2392"/>
          <cell r="AK2392"/>
          <cell r="AL2392"/>
        </row>
        <row r="2393">
          <cell r="E2393"/>
          <cell r="F2393"/>
          <cell r="G2393"/>
          <cell r="H2393"/>
          <cell r="I2393"/>
          <cell r="J2393"/>
          <cell r="K2393"/>
          <cell r="L2393"/>
          <cell r="M2393"/>
          <cell r="N2393"/>
          <cell r="O2393"/>
          <cell r="P2393"/>
          <cell r="Q2393"/>
          <cell r="R2393"/>
          <cell r="S2393"/>
          <cell r="T2393"/>
          <cell r="U2393"/>
          <cell r="V2393"/>
          <cell r="W2393"/>
          <cell r="X2393"/>
          <cell r="Y2393"/>
          <cell r="Z2393"/>
          <cell r="AA2393"/>
          <cell r="AB2393"/>
          <cell r="AC2393"/>
          <cell r="AD2393"/>
          <cell r="AE2393"/>
          <cell r="AF2393"/>
          <cell r="AG2393"/>
          <cell r="AH2393"/>
          <cell r="AI2393"/>
          <cell r="AJ2393"/>
          <cell r="AK2393"/>
          <cell r="AL2393"/>
        </row>
        <row r="2394">
          <cell r="E2394"/>
          <cell r="F2394"/>
          <cell r="G2394"/>
          <cell r="H2394"/>
          <cell r="I2394"/>
          <cell r="J2394"/>
          <cell r="K2394"/>
          <cell r="L2394"/>
          <cell r="M2394"/>
          <cell r="N2394"/>
          <cell r="O2394"/>
          <cell r="P2394"/>
          <cell r="Q2394"/>
          <cell r="R2394"/>
          <cell r="S2394"/>
          <cell r="T2394"/>
          <cell r="U2394"/>
          <cell r="V2394"/>
          <cell r="W2394"/>
          <cell r="X2394"/>
          <cell r="Y2394"/>
          <cell r="Z2394"/>
          <cell r="AA2394"/>
          <cell r="AB2394"/>
          <cell r="AC2394"/>
          <cell r="AD2394"/>
          <cell r="AE2394"/>
          <cell r="AF2394"/>
          <cell r="AG2394"/>
          <cell r="AH2394"/>
          <cell r="AI2394"/>
          <cell r="AJ2394"/>
          <cell r="AK2394"/>
          <cell r="AL2394"/>
        </row>
        <row r="2395">
          <cell r="E2395"/>
          <cell r="F2395"/>
          <cell r="G2395"/>
          <cell r="H2395"/>
          <cell r="I2395"/>
          <cell r="J2395"/>
          <cell r="K2395"/>
          <cell r="L2395"/>
          <cell r="M2395"/>
          <cell r="N2395"/>
          <cell r="O2395"/>
          <cell r="P2395"/>
          <cell r="Q2395"/>
          <cell r="R2395"/>
          <cell r="S2395"/>
          <cell r="T2395"/>
          <cell r="U2395"/>
          <cell r="V2395"/>
          <cell r="W2395"/>
          <cell r="X2395"/>
          <cell r="Y2395"/>
          <cell r="Z2395"/>
          <cell r="AA2395"/>
          <cell r="AB2395"/>
          <cell r="AC2395"/>
          <cell r="AD2395"/>
          <cell r="AE2395"/>
          <cell r="AF2395"/>
          <cell r="AG2395"/>
          <cell r="AH2395"/>
          <cell r="AI2395"/>
          <cell r="AJ2395"/>
          <cell r="AK2395"/>
          <cell r="AL2395"/>
        </row>
        <row r="2396">
          <cell r="E2396"/>
          <cell r="F2396"/>
          <cell r="G2396"/>
          <cell r="H2396"/>
          <cell r="I2396"/>
          <cell r="J2396"/>
          <cell r="K2396"/>
          <cell r="L2396"/>
          <cell r="M2396"/>
          <cell r="N2396"/>
          <cell r="O2396"/>
          <cell r="P2396"/>
          <cell r="Q2396"/>
          <cell r="R2396"/>
          <cell r="S2396"/>
          <cell r="T2396"/>
          <cell r="U2396"/>
          <cell r="V2396"/>
          <cell r="W2396"/>
          <cell r="X2396"/>
          <cell r="Y2396"/>
          <cell r="Z2396"/>
          <cell r="AA2396"/>
          <cell r="AB2396"/>
          <cell r="AC2396"/>
          <cell r="AD2396"/>
          <cell r="AE2396"/>
          <cell r="AF2396"/>
          <cell r="AG2396"/>
          <cell r="AH2396"/>
          <cell r="AI2396"/>
          <cell r="AJ2396"/>
          <cell r="AK2396"/>
          <cell r="AL2396"/>
        </row>
        <row r="2397">
          <cell r="E2397"/>
          <cell r="F2397"/>
          <cell r="G2397"/>
          <cell r="H2397"/>
          <cell r="I2397"/>
          <cell r="J2397"/>
          <cell r="K2397"/>
          <cell r="L2397"/>
          <cell r="M2397"/>
          <cell r="N2397"/>
          <cell r="O2397"/>
          <cell r="P2397"/>
          <cell r="Q2397"/>
          <cell r="R2397"/>
          <cell r="S2397"/>
          <cell r="T2397"/>
          <cell r="U2397"/>
          <cell r="V2397"/>
          <cell r="W2397"/>
          <cell r="X2397"/>
          <cell r="Y2397"/>
          <cell r="Z2397"/>
          <cell r="AA2397"/>
          <cell r="AB2397"/>
          <cell r="AC2397"/>
          <cell r="AD2397"/>
          <cell r="AE2397"/>
          <cell r="AF2397"/>
          <cell r="AG2397"/>
          <cell r="AH2397"/>
          <cell r="AI2397"/>
          <cell r="AJ2397"/>
          <cell r="AK2397"/>
          <cell r="AL2397"/>
        </row>
        <row r="2398">
          <cell r="E2398"/>
          <cell r="F2398"/>
          <cell r="G2398"/>
          <cell r="H2398"/>
          <cell r="I2398"/>
          <cell r="J2398"/>
          <cell r="K2398"/>
          <cell r="L2398"/>
          <cell r="M2398"/>
          <cell r="N2398"/>
          <cell r="O2398"/>
          <cell r="P2398"/>
          <cell r="Q2398"/>
          <cell r="R2398"/>
          <cell r="S2398"/>
          <cell r="T2398"/>
          <cell r="U2398"/>
          <cell r="V2398"/>
          <cell r="W2398"/>
          <cell r="X2398"/>
          <cell r="Y2398"/>
          <cell r="Z2398"/>
          <cell r="AA2398"/>
          <cell r="AB2398"/>
          <cell r="AC2398"/>
          <cell r="AD2398"/>
          <cell r="AE2398"/>
          <cell r="AF2398"/>
          <cell r="AG2398"/>
          <cell r="AH2398"/>
          <cell r="AI2398"/>
          <cell r="AJ2398"/>
          <cell r="AK2398"/>
          <cell r="AL2398"/>
        </row>
        <row r="2399">
          <cell r="E2399"/>
          <cell r="F2399"/>
          <cell r="G2399"/>
          <cell r="H2399"/>
          <cell r="I2399"/>
          <cell r="J2399"/>
          <cell r="K2399"/>
          <cell r="L2399"/>
          <cell r="M2399"/>
          <cell r="N2399"/>
          <cell r="O2399"/>
          <cell r="P2399"/>
          <cell r="Q2399"/>
          <cell r="R2399"/>
          <cell r="S2399"/>
          <cell r="T2399"/>
          <cell r="U2399"/>
          <cell r="V2399"/>
          <cell r="W2399"/>
          <cell r="X2399"/>
          <cell r="Y2399"/>
          <cell r="Z2399"/>
          <cell r="AA2399"/>
          <cell r="AB2399"/>
          <cell r="AC2399"/>
          <cell r="AD2399"/>
          <cell r="AE2399"/>
          <cell r="AF2399"/>
          <cell r="AG2399"/>
          <cell r="AH2399"/>
          <cell r="AI2399"/>
          <cell r="AJ2399"/>
          <cell r="AK2399"/>
          <cell r="AL2399"/>
        </row>
        <row r="2400">
          <cell r="E2400"/>
          <cell r="F2400"/>
          <cell r="G2400"/>
          <cell r="H2400"/>
          <cell r="I2400"/>
          <cell r="J2400"/>
          <cell r="K2400"/>
          <cell r="L2400"/>
          <cell r="M2400"/>
          <cell r="N2400"/>
          <cell r="O2400"/>
          <cell r="P2400"/>
          <cell r="Q2400"/>
          <cell r="R2400"/>
          <cell r="S2400"/>
          <cell r="T2400"/>
          <cell r="U2400"/>
          <cell r="V2400"/>
          <cell r="W2400"/>
          <cell r="X2400"/>
          <cell r="Y2400"/>
          <cell r="Z2400"/>
          <cell r="AA2400"/>
          <cell r="AB2400"/>
          <cell r="AC2400"/>
          <cell r="AD2400"/>
          <cell r="AE2400"/>
          <cell r="AF2400"/>
          <cell r="AG2400"/>
          <cell r="AH2400"/>
          <cell r="AI2400"/>
          <cell r="AJ2400"/>
          <cell r="AK2400"/>
          <cell r="AL2400"/>
        </row>
        <row r="2401">
          <cell r="E2401" t="str">
            <v>■避難口(壁埋込)</v>
          </cell>
          <cell r="F2401"/>
          <cell r="G2401"/>
          <cell r="H2401"/>
          <cell r="I2401"/>
          <cell r="J2401"/>
          <cell r="K2401"/>
          <cell r="L2401"/>
          <cell r="M2401"/>
          <cell r="N2401"/>
          <cell r="O2401"/>
          <cell r="P2401"/>
          <cell r="Q2401"/>
          <cell r="R2401"/>
          <cell r="S2401"/>
          <cell r="T2401"/>
          <cell r="U2401"/>
          <cell r="V2401"/>
          <cell r="W2401"/>
          <cell r="X2401"/>
          <cell r="Y2401"/>
          <cell r="Z2401"/>
          <cell r="AA2401"/>
          <cell r="AB2401"/>
          <cell r="AC2401"/>
          <cell r="AD2401"/>
          <cell r="AE2401"/>
          <cell r="AF2401"/>
          <cell r="AG2401"/>
          <cell r="AH2401"/>
          <cell r="AI2401"/>
          <cell r="AJ2401"/>
          <cell r="AK2401"/>
          <cell r="AL2401"/>
        </row>
        <row r="2402">
          <cell r="E2402" t="str">
            <v>Xa1-Ce</v>
          </cell>
          <cell r="F2402" t="str">
            <v>台</v>
          </cell>
          <cell r="G2402"/>
          <cell r="H2402">
            <v>13600</v>
          </cell>
          <cell r="I2402"/>
          <cell r="J2402">
            <v>13600</v>
          </cell>
          <cell r="K2402"/>
          <cell r="L2402">
            <v>13600</v>
          </cell>
          <cell r="M2402"/>
          <cell r="N2402">
            <v>13600</v>
          </cell>
          <cell r="O2402"/>
          <cell r="P2402">
            <v>13600</v>
          </cell>
          <cell r="Q2402"/>
          <cell r="R2402">
            <v>13600</v>
          </cell>
          <cell r="S2402"/>
          <cell r="T2402">
            <v>13600</v>
          </cell>
          <cell r="U2402"/>
          <cell r="V2402">
            <v>13600</v>
          </cell>
          <cell r="W2402"/>
          <cell r="X2402">
            <v>13600</v>
          </cell>
          <cell r="Y2402"/>
          <cell r="Z2402">
            <v>13600</v>
          </cell>
          <cell r="AA2402"/>
          <cell r="AB2402"/>
          <cell r="AC2402"/>
          <cell r="AD2402">
            <v>0.217</v>
          </cell>
          <cell r="AE2402"/>
          <cell r="AF2402"/>
          <cell r="AG2402"/>
          <cell r="AH2402">
            <v>1.9</v>
          </cell>
          <cell r="AI2402">
            <v>0.47499999999999998</v>
          </cell>
          <cell r="AJ2402">
            <v>1</v>
          </cell>
          <cell r="AK2402">
            <v>4</v>
          </cell>
          <cell r="AL2402"/>
        </row>
        <row r="2403">
          <cell r="E2403" t="str">
            <v>Xa1-Ce60</v>
          </cell>
          <cell r="F2403" t="str">
            <v>台</v>
          </cell>
          <cell r="G2403"/>
          <cell r="H2403">
            <v>29100</v>
          </cell>
          <cell r="I2403"/>
          <cell r="J2403">
            <v>29100</v>
          </cell>
          <cell r="K2403"/>
          <cell r="L2403">
            <v>29100</v>
          </cell>
          <cell r="M2403"/>
          <cell r="N2403">
            <v>29100</v>
          </cell>
          <cell r="O2403"/>
          <cell r="P2403">
            <v>29100</v>
          </cell>
          <cell r="Q2403"/>
          <cell r="R2403">
            <v>29100</v>
          </cell>
          <cell r="S2403"/>
          <cell r="T2403">
            <v>29100</v>
          </cell>
          <cell r="U2403"/>
          <cell r="V2403">
            <v>29100</v>
          </cell>
          <cell r="W2403"/>
          <cell r="X2403">
            <v>29100</v>
          </cell>
          <cell r="Y2403"/>
          <cell r="Z2403">
            <v>29100</v>
          </cell>
          <cell r="AA2403"/>
          <cell r="AB2403"/>
          <cell r="AC2403"/>
          <cell r="AD2403">
            <v>0.217</v>
          </cell>
          <cell r="AE2403"/>
          <cell r="AF2403"/>
          <cell r="AG2403"/>
          <cell r="AH2403">
            <v>1.9</v>
          </cell>
          <cell r="AI2403">
            <v>0.46300000000000002</v>
          </cell>
          <cell r="AJ2403">
            <v>1</v>
          </cell>
          <cell r="AK2403">
            <v>4.0999999999999996</v>
          </cell>
          <cell r="AL2403"/>
        </row>
        <row r="2404">
          <cell r="E2404" t="str">
            <v>Xa1-BLe</v>
          </cell>
          <cell r="F2404" t="str">
            <v>台</v>
          </cell>
          <cell r="G2404"/>
          <cell r="H2404">
            <v>20000</v>
          </cell>
          <cell r="I2404"/>
          <cell r="J2404">
            <v>20000</v>
          </cell>
          <cell r="K2404"/>
          <cell r="L2404">
            <v>20000</v>
          </cell>
          <cell r="M2404"/>
          <cell r="N2404">
            <v>20000</v>
          </cell>
          <cell r="O2404"/>
          <cell r="P2404">
            <v>20000</v>
          </cell>
          <cell r="Q2404"/>
          <cell r="R2404">
            <v>20000</v>
          </cell>
          <cell r="S2404"/>
          <cell r="T2404">
            <v>20000</v>
          </cell>
          <cell r="U2404"/>
          <cell r="V2404">
            <v>20000</v>
          </cell>
          <cell r="W2404"/>
          <cell r="X2404">
            <v>20000</v>
          </cell>
          <cell r="Y2404"/>
          <cell r="Z2404">
            <v>20000</v>
          </cell>
          <cell r="AA2404"/>
          <cell r="AB2404"/>
          <cell r="AC2404"/>
          <cell r="AD2404">
            <v>0.25</v>
          </cell>
          <cell r="AE2404"/>
          <cell r="AF2404"/>
          <cell r="AG2404"/>
          <cell r="AH2404">
            <v>2.5</v>
          </cell>
          <cell r="AI2404">
            <v>0.49</v>
          </cell>
          <cell r="AJ2404">
            <v>1</v>
          </cell>
          <cell r="AK2404">
            <v>5.0999999999999996</v>
          </cell>
          <cell r="AL2404"/>
        </row>
        <row r="2405">
          <cell r="E2405" t="str">
            <v>Xa1-BLe60</v>
          </cell>
          <cell r="F2405" t="str">
            <v>台</v>
          </cell>
          <cell r="G2405"/>
          <cell r="H2405">
            <v>34900</v>
          </cell>
          <cell r="I2405"/>
          <cell r="J2405">
            <v>34900</v>
          </cell>
          <cell r="K2405"/>
          <cell r="L2405">
            <v>34900</v>
          </cell>
          <cell r="M2405"/>
          <cell r="N2405">
            <v>34900</v>
          </cell>
          <cell r="O2405"/>
          <cell r="P2405">
            <v>34900</v>
          </cell>
          <cell r="Q2405"/>
          <cell r="R2405">
            <v>34900</v>
          </cell>
          <cell r="S2405"/>
          <cell r="T2405">
            <v>34900</v>
          </cell>
          <cell r="U2405"/>
          <cell r="V2405">
            <v>34900</v>
          </cell>
          <cell r="W2405"/>
          <cell r="X2405">
            <v>34900</v>
          </cell>
          <cell r="Y2405"/>
          <cell r="Z2405">
            <v>34900</v>
          </cell>
          <cell r="AA2405"/>
          <cell r="AB2405"/>
          <cell r="AC2405"/>
          <cell r="AD2405">
            <v>0.25</v>
          </cell>
          <cell r="AE2405"/>
          <cell r="AF2405"/>
          <cell r="AG2405"/>
          <cell r="AH2405">
            <v>2.6</v>
          </cell>
          <cell r="AI2405">
            <v>0.49099999999999999</v>
          </cell>
          <cell r="AJ2405">
            <v>1</v>
          </cell>
          <cell r="AK2405">
            <v>5.29</v>
          </cell>
          <cell r="AL2405"/>
        </row>
        <row r="2406">
          <cell r="E2406" t="str">
            <v>Xa1-BHe</v>
          </cell>
          <cell r="F2406" t="str">
            <v>台</v>
          </cell>
          <cell r="G2406"/>
          <cell r="H2406">
            <v>28800</v>
          </cell>
          <cell r="I2406"/>
          <cell r="J2406">
            <v>28800</v>
          </cell>
          <cell r="K2406"/>
          <cell r="L2406">
            <v>28800</v>
          </cell>
          <cell r="M2406"/>
          <cell r="N2406">
            <v>28800</v>
          </cell>
          <cell r="O2406"/>
          <cell r="P2406">
            <v>28800</v>
          </cell>
          <cell r="Q2406"/>
          <cell r="R2406">
            <v>28800</v>
          </cell>
          <cell r="S2406"/>
          <cell r="T2406">
            <v>28800</v>
          </cell>
          <cell r="U2406"/>
          <cell r="V2406">
            <v>28800</v>
          </cell>
          <cell r="W2406"/>
          <cell r="X2406">
            <v>28800</v>
          </cell>
          <cell r="Y2406"/>
          <cell r="Z2406">
            <v>28800</v>
          </cell>
          <cell r="AA2406"/>
          <cell r="AB2406"/>
          <cell r="AC2406"/>
          <cell r="AD2406">
            <v>0.25</v>
          </cell>
          <cell r="AE2406"/>
          <cell r="AF2406"/>
          <cell r="AG2406"/>
          <cell r="AH2406">
            <v>3.4</v>
          </cell>
          <cell r="AI2406">
            <v>0.50700000000000001</v>
          </cell>
          <cell r="AJ2406">
            <v>1</v>
          </cell>
          <cell r="AK2406">
            <v>6.7</v>
          </cell>
          <cell r="AL2406"/>
        </row>
        <row r="2407">
          <cell r="E2407" t="str">
            <v>Xa1-BHe60</v>
          </cell>
          <cell r="F2407" t="str">
            <v>台</v>
          </cell>
          <cell r="G2407"/>
          <cell r="H2407">
            <v>44000</v>
          </cell>
          <cell r="I2407"/>
          <cell r="J2407">
            <v>44000</v>
          </cell>
          <cell r="K2407"/>
          <cell r="L2407">
            <v>44000</v>
          </cell>
          <cell r="M2407"/>
          <cell r="N2407">
            <v>44000</v>
          </cell>
          <cell r="O2407"/>
          <cell r="P2407">
            <v>44000</v>
          </cell>
          <cell r="Q2407"/>
          <cell r="R2407">
            <v>44000</v>
          </cell>
          <cell r="S2407"/>
          <cell r="T2407">
            <v>44000</v>
          </cell>
          <cell r="U2407"/>
          <cell r="V2407">
            <v>44000</v>
          </cell>
          <cell r="W2407"/>
          <cell r="X2407">
            <v>44000</v>
          </cell>
          <cell r="Y2407"/>
          <cell r="Z2407">
            <v>44000</v>
          </cell>
          <cell r="AA2407"/>
          <cell r="AB2407"/>
          <cell r="AC2407"/>
          <cell r="AD2407">
            <v>0.25</v>
          </cell>
          <cell r="AE2407"/>
          <cell r="AF2407"/>
          <cell r="AG2407"/>
          <cell r="AH2407">
            <v>3.5</v>
          </cell>
          <cell r="AI2407">
            <v>0.51500000000000001</v>
          </cell>
          <cell r="AJ2407">
            <v>1</v>
          </cell>
          <cell r="AK2407">
            <v>6.79</v>
          </cell>
          <cell r="AL2407"/>
        </row>
        <row r="2408">
          <cell r="E2408" t="str">
            <v>■避難口(壁埋込)</v>
          </cell>
          <cell r="F2408"/>
          <cell r="G2408"/>
          <cell r="H2408"/>
          <cell r="I2408"/>
          <cell r="J2408"/>
          <cell r="K2408"/>
          <cell r="L2408"/>
          <cell r="M2408"/>
          <cell r="N2408"/>
          <cell r="O2408"/>
          <cell r="P2408"/>
          <cell r="Q2408"/>
          <cell r="R2408"/>
          <cell r="S2408"/>
          <cell r="T2408"/>
          <cell r="U2408"/>
          <cell r="V2408"/>
          <cell r="W2408"/>
          <cell r="X2408"/>
          <cell r="Y2408"/>
          <cell r="Z2408"/>
          <cell r="AA2408"/>
          <cell r="AB2408"/>
          <cell r="AC2408"/>
          <cell r="AD2408"/>
          <cell r="AE2408"/>
          <cell r="AF2408"/>
          <cell r="AG2408"/>
          <cell r="AH2408"/>
          <cell r="AI2408"/>
          <cell r="AJ2408"/>
          <cell r="AK2408"/>
          <cell r="AL2408"/>
        </row>
        <row r="2409">
          <cell r="E2409" t="str">
            <v>Xb1AF-BLe</v>
          </cell>
          <cell r="F2409" t="str">
            <v>台</v>
          </cell>
          <cell r="G2409"/>
          <cell r="H2409">
            <v>53300</v>
          </cell>
          <cell r="I2409"/>
          <cell r="J2409">
            <v>53300</v>
          </cell>
          <cell r="K2409"/>
          <cell r="L2409">
            <v>53300</v>
          </cell>
          <cell r="M2409"/>
          <cell r="N2409">
            <v>53300</v>
          </cell>
          <cell r="O2409"/>
          <cell r="P2409">
            <v>53300</v>
          </cell>
          <cell r="Q2409"/>
          <cell r="R2409">
            <v>53300</v>
          </cell>
          <cell r="S2409"/>
          <cell r="T2409">
            <v>53300</v>
          </cell>
          <cell r="U2409"/>
          <cell r="V2409">
            <v>53300</v>
          </cell>
          <cell r="W2409"/>
          <cell r="X2409">
            <v>53300</v>
          </cell>
          <cell r="Y2409"/>
          <cell r="Z2409">
            <v>53300</v>
          </cell>
          <cell r="AA2409"/>
          <cell r="AB2409"/>
          <cell r="AC2409"/>
          <cell r="AD2409">
            <v>0.25</v>
          </cell>
          <cell r="AE2409"/>
          <cell r="AF2409"/>
          <cell r="AG2409"/>
          <cell r="AH2409">
            <v>4.5999999999999996</v>
          </cell>
          <cell r="AI2409">
            <v>0.63900000000000001</v>
          </cell>
          <cell r="AJ2409">
            <v>1</v>
          </cell>
          <cell r="AK2409">
            <v>7.19</v>
          </cell>
          <cell r="AL2409"/>
        </row>
        <row r="2410">
          <cell r="E2410" t="str">
            <v>Xb1AF-BLe60</v>
          </cell>
          <cell r="F2410" t="str">
            <v>台</v>
          </cell>
          <cell r="G2410"/>
          <cell r="H2410">
            <v>91800</v>
          </cell>
          <cell r="I2410"/>
          <cell r="J2410">
            <v>91800</v>
          </cell>
          <cell r="K2410"/>
          <cell r="L2410">
            <v>91800</v>
          </cell>
          <cell r="M2410"/>
          <cell r="N2410">
            <v>91800</v>
          </cell>
          <cell r="O2410"/>
          <cell r="P2410">
            <v>91800</v>
          </cell>
          <cell r="Q2410"/>
          <cell r="R2410">
            <v>91800</v>
          </cell>
          <cell r="S2410"/>
          <cell r="T2410">
            <v>91800</v>
          </cell>
          <cell r="U2410"/>
          <cell r="V2410">
            <v>91800</v>
          </cell>
          <cell r="W2410"/>
          <cell r="X2410">
            <v>91800</v>
          </cell>
          <cell r="Y2410"/>
          <cell r="Z2410">
            <v>91800</v>
          </cell>
          <cell r="AA2410"/>
          <cell r="AB2410"/>
          <cell r="AC2410"/>
          <cell r="AD2410">
            <v>0.25</v>
          </cell>
          <cell r="AE2410"/>
          <cell r="AF2410"/>
          <cell r="AG2410"/>
          <cell r="AH2410">
            <v>2.8</v>
          </cell>
          <cell r="AI2410">
            <v>0.71599999999999997</v>
          </cell>
          <cell r="AJ2410">
            <v>1</v>
          </cell>
          <cell r="AK2410">
            <v>3.91</v>
          </cell>
          <cell r="AL2410"/>
        </row>
        <row r="2411">
          <cell r="E2411" t="str">
            <v>Xb1AF-BHe</v>
          </cell>
          <cell r="F2411" t="str">
            <v>台</v>
          </cell>
          <cell r="G2411"/>
          <cell r="H2411">
            <v>63100</v>
          </cell>
          <cell r="I2411"/>
          <cell r="J2411">
            <v>63100</v>
          </cell>
          <cell r="K2411"/>
          <cell r="L2411">
            <v>63100</v>
          </cell>
          <cell r="M2411"/>
          <cell r="N2411">
            <v>63100</v>
          </cell>
          <cell r="O2411"/>
          <cell r="P2411">
            <v>63100</v>
          </cell>
          <cell r="Q2411"/>
          <cell r="R2411">
            <v>63100</v>
          </cell>
          <cell r="S2411"/>
          <cell r="T2411">
            <v>63100</v>
          </cell>
          <cell r="U2411"/>
          <cell r="V2411">
            <v>63100</v>
          </cell>
          <cell r="W2411"/>
          <cell r="X2411">
            <v>63100</v>
          </cell>
          <cell r="Y2411"/>
          <cell r="Z2411">
            <v>63100</v>
          </cell>
          <cell r="AA2411"/>
          <cell r="AB2411"/>
          <cell r="AC2411"/>
          <cell r="AD2411">
            <v>0.25</v>
          </cell>
          <cell r="AE2411"/>
          <cell r="AF2411"/>
          <cell r="AG2411"/>
          <cell r="AH2411">
            <v>5.6</v>
          </cell>
          <cell r="AI2411">
            <v>0.63600000000000001</v>
          </cell>
          <cell r="AJ2411">
            <v>1</v>
          </cell>
          <cell r="AK2411">
            <v>8.8000000000000007</v>
          </cell>
          <cell r="AL2411"/>
        </row>
        <row r="2412">
          <cell r="E2412" t="str">
            <v>Xb1AF-BHe60</v>
          </cell>
          <cell r="F2412" t="str">
            <v>台</v>
          </cell>
          <cell r="G2412"/>
          <cell r="H2412">
            <v>101000</v>
          </cell>
          <cell r="I2412"/>
          <cell r="J2412">
            <v>101000</v>
          </cell>
          <cell r="K2412"/>
          <cell r="L2412">
            <v>101000</v>
          </cell>
          <cell r="M2412"/>
          <cell r="N2412">
            <v>101000</v>
          </cell>
          <cell r="O2412"/>
          <cell r="P2412">
            <v>101000</v>
          </cell>
          <cell r="Q2412"/>
          <cell r="R2412">
            <v>101000</v>
          </cell>
          <cell r="S2412"/>
          <cell r="T2412">
            <v>101000</v>
          </cell>
          <cell r="U2412"/>
          <cell r="V2412">
            <v>101000</v>
          </cell>
          <cell r="W2412"/>
          <cell r="X2412">
            <v>101000</v>
          </cell>
          <cell r="Y2412"/>
          <cell r="Z2412">
            <v>101000</v>
          </cell>
          <cell r="AA2412"/>
          <cell r="AB2412"/>
          <cell r="AC2412"/>
          <cell r="AD2412">
            <v>0.25</v>
          </cell>
          <cell r="AE2412"/>
          <cell r="AF2412"/>
          <cell r="AG2412"/>
          <cell r="AH2412">
            <v>6.7</v>
          </cell>
          <cell r="AI2412">
            <v>0.69099999999999995</v>
          </cell>
          <cell r="AJ2412">
            <v>1</v>
          </cell>
          <cell r="AK2412">
            <v>9.69</v>
          </cell>
          <cell r="AL2412"/>
        </row>
        <row r="2413">
          <cell r="E2413" t="str">
            <v>Xb1F-BLe</v>
          </cell>
          <cell r="F2413" t="str">
            <v>台</v>
          </cell>
          <cell r="G2413"/>
          <cell r="H2413">
            <v>44200</v>
          </cell>
          <cell r="I2413"/>
          <cell r="J2413">
            <v>44200</v>
          </cell>
          <cell r="K2413"/>
          <cell r="L2413">
            <v>44200</v>
          </cell>
          <cell r="M2413"/>
          <cell r="N2413">
            <v>44200</v>
          </cell>
          <cell r="O2413"/>
          <cell r="P2413">
            <v>44200</v>
          </cell>
          <cell r="Q2413"/>
          <cell r="R2413">
            <v>44200</v>
          </cell>
          <cell r="S2413"/>
          <cell r="T2413">
            <v>44200</v>
          </cell>
          <cell r="U2413"/>
          <cell r="V2413">
            <v>44200</v>
          </cell>
          <cell r="W2413"/>
          <cell r="X2413">
            <v>44200</v>
          </cell>
          <cell r="Y2413"/>
          <cell r="Z2413">
            <v>44200</v>
          </cell>
          <cell r="AA2413"/>
          <cell r="AB2413"/>
          <cell r="AC2413"/>
          <cell r="AD2413">
            <v>0.25</v>
          </cell>
          <cell r="AE2413"/>
          <cell r="AF2413"/>
          <cell r="AG2413"/>
          <cell r="AH2413">
            <v>4.4000000000000004</v>
          </cell>
          <cell r="AI2413">
            <v>0.64700000000000002</v>
          </cell>
          <cell r="AJ2413">
            <v>1</v>
          </cell>
          <cell r="AK2413">
            <v>6.8</v>
          </cell>
          <cell r="AL2413"/>
        </row>
        <row r="2414">
          <cell r="E2414" t="str">
            <v>Xb1F-BLe60</v>
          </cell>
          <cell r="F2414" t="str">
            <v>台</v>
          </cell>
          <cell r="G2414"/>
          <cell r="H2414">
            <v>79400</v>
          </cell>
          <cell r="I2414"/>
          <cell r="J2414">
            <v>79400</v>
          </cell>
          <cell r="K2414"/>
          <cell r="L2414">
            <v>79400</v>
          </cell>
          <cell r="M2414"/>
          <cell r="N2414">
            <v>79400</v>
          </cell>
          <cell r="O2414"/>
          <cell r="P2414">
            <v>79400</v>
          </cell>
          <cell r="Q2414"/>
          <cell r="R2414">
            <v>79400</v>
          </cell>
          <cell r="S2414"/>
          <cell r="T2414">
            <v>79400</v>
          </cell>
          <cell r="U2414"/>
          <cell r="V2414">
            <v>79400</v>
          </cell>
          <cell r="W2414"/>
          <cell r="X2414">
            <v>79400</v>
          </cell>
          <cell r="Y2414"/>
          <cell r="Z2414">
            <v>79400</v>
          </cell>
          <cell r="AA2414"/>
          <cell r="AB2414"/>
          <cell r="AC2414"/>
          <cell r="AD2414">
            <v>0.25</v>
          </cell>
          <cell r="AE2414"/>
          <cell r="AF2414"/>
          <cell r="AG2414"/>
          <cell r="AH2414">
            <v>5.4</v>
          </cell>
          <cell r="AI2414">
            <v>0.73</v>
          </cell>
          <cell r="AJ2414">
            <v>1</v>
          </cell>
          <cell r="AK2414">
            <v>7.39</v>
          </cell>
          <cell r="AL2414"/>
        </row>
        <row r="2415">
          <cell r="E2415" t="str">
            <v>Xb1F-BHe</v>
          </cell>
          <cell r="F2415" t="str">
            <v>台</v>
          </cell>
          <cell r="G2415"/>
          <cell r="H2415">
            <v>54300</v>
          </cell>
          <cell r="I2415"/>
          <cell r="J2415">
            <v>54300</v>
          </cell>
          <cell r="K2415"/>
          <cell r="L2415">
            <v>54300</v>
          </cell>
          <cell r="M2415"/>
          <cell r="N2415">
            <v>54300</v>
          </cell>
          <cell r="O2415"/>
          <cell r="P2415">
            <v>54300</v>
          </cell>
          <cell r="Q2415"/>
          <cell r="R2415">
            <v>54300</v>
          </cell>
          <cell r="S2415"/>
          <cell r="T2415">
            <v>54300</v>
          </cell>
          <cell r="U2415"/>
          <cell r="V2415">
            <v>54300</v>
          </cell>
          <cell r="W2415"/>
          <cell r="X2415">
            <v>54300</v>
          </cell>
          <cell r="Y2415"/>
          <cell r="Z2415">
            <v>54300</v>
          </cell>
          <cell r="AA2415"/>
          <cell r="AB2415"/>
          <cell r="AC2415"/>
          <cell r="AD2415">
            <v>0.25</v>
          </cell>
          <cell r="AE2415"/>
          <cell r="AF2415"/>
          <cell r="AG2415"/>
          <cell r="AH2415">
            <v>5.4</v>
          </cell>
          <cell r="AI2415">
            <v>0.623</v>
          </cell>
          <cell r="AJ2415">
            <v>1</v>
          </cell>
          <cell r="AK2415">
            <v>8.66</v>
          </cell>
          <cell r="AL2415"/>
        </row>
        <row r="2416">
          <cell r="E2416" t="str">
            <v>Xb1F-BHe60</v>
          </cell>
          <cell r="F2416" t="str">
            <v>台</v>
          </cell>
          <cell r="G2416"/>
          <cell r="H2416">
            <v>89200</v>
          </cell>
          <cell r="I2416"/>
          <cell r="J2416">
            <v>89200</v>
          </cell>
          <cell r="K2416"/>
          <cell r="L2416">
            <v>89200</v>
          </cell>
          <cell r="M2416"/>
          <cell r="N2416">
            <v>89200</v>
          </cell>
          <cell r="O2416"/>
          <cell r="P2416">
            <v>89200</v>
          </cell>
          <cell r="Q2416"/>
          <cell r="R2416">
            <v>89200</v>
          </cell>
          <cell r="S2416"/>
          <cell r="T2416">
            <v>89200</v>
          </cell>
          <cell r="U2416"/>
          <cell r="V2416">
            <v>89200</v>
          </cell>
          <cell r="W2416"/>
          <cell r="X2416">
            <v>89200</v>
          </cell>
          <cell r="Y2416"/>
          <cell r="Z2416">
            <v>89200</v>
          </cell>
          <cell r="AA2416"/>
          <cell r="AB2416"/>
          <cell r="AC2416"/>
          <cell r="AD2416">
            <v>0.25</v>
          </cell>
          <cell r="AE2416"/>
          <cell r="AF2416"/>
          <cell r="AG2416"/>
          <cell r="AH2416">
            <v>6.3</v>
          </cell>
          <cell r="AI2416">
            <v>0.7</v>
          </cell>
          <cell r="AJ2416">
            <v>1</v>
          </cell>
          <cell r="AK2416">
            <v>9</v>
          </cell>
          <cell r="AL2416"/>
        </row>
        <row r="2417">
          <cell r="E2417" t="str">
            <v>■避難口(直付)</v>
          </cell>
          <cell r="F2417"/>
          <cell r="G2417"/>
          <cell r="H2417"/>
          <cell r="I2417"/>
          <cell r="J2417"/>
          <cell r="K2417"/>
          <cell r="L2417"/>
          <cell r="M2417"/>
          <cell r="N2417"/>
          <cell r="O2417"/>
          <cell r="P2417"/>
          <cell r="Q2417"/>
          <cell r="R2417"/>
          <cell r="S2417"/>
          <cell r="T2417"/>
          <cell r="U2417"/>
          <cell r="V2417"/>
          <cell r="W2417"/>
          <cell r="X2417"/>
          <cell r="Y2417"/>
          <cell r="Z2417"/>
          <cell r="AA2417"/>
          <cell r="AB2417"/>
          <cell r="AC2417"/>
          <cell r="AD2417"/>
          <cell r="AE2417"/>
          <cell r="AF2417"/>
          <cell r="AG2417"/>
          <cell r="AH2417"/>
          <cell r="AI2417"/>
          <cell r="AJ2417"/>
          <cell r="AK2417"/>
          <cell r="AL2417"/>
        </row>
        <row r="2418">
          <cell r="E2418" t="str">
            <v>Xc1-Ce</v>
          </cell>
          <cell r="F2418" t="str">
            <v>台</v>
          </cell>
          <cell r="G2418"/>
          <cell r="H2418">
            <v>10400</v>
          </cell>
          <cell r="I2418"/>
          <cell r="J2418">
            <v>10400</v>
          </cell>
          <cell r="K2418"/>
          <cell r="L2418">
            <v>10400</v>
          </cell>
          <cell r="M2418"/>
          <cell r="N2418">
            <v>10400</v>
          </cell>
          <cell r="O2418"/>
          <cell r="P2418">
            <v>10400</v>
          </cell>
          <cell r="Q2418"/>
          <cell r="R2418">
            <v>10400</v>
          </cell>
          <cell r="S2418"/>
          <cell r="T2418">
            <v>10400</v>
          </cell>
          <cell r="U2418"/>
          <cell r="V2418">
            <v>10400</v>
          </cell>
          <cell r="W2418"/>
          <cell r="X2418">
            <v>10400</v>
          </cell>
          <cell r="Y2418"/>
          <cell r="Z2418">
            <v>10400</v>
          </cell>
          <cell r="AA2418"/>
          <cell r="AB2418"/>
          <cell r="AC2418"/>
          <cell r="AD2418">
            <v>0.14099999999999999</v>
          </cell>
          <cell r="AE2418"/>
          <cell r="AF2418"/>
          <cell r="AG2418"/>
          <cell r="AH2418">
            <v>2</v>
          </cell>
          <cell r="AI2418">
            <v>0.47599999999999998</v>
          </cell>
          <cell r="AJ2418">
            <v>1</v>
          </cell>
          <cell r="AK2418">
            <v>4.2</v>
          </cell>
          <cell r="AL2418"/>
        </row>
        <row r="2419">
          <cell r="E2419" t="str">
            <v>Xc1-Ce60</v>
          </cell>
          <cell r="F2419" t="str">
            <v>台</v>
          </cell>
          <cell r="G2419"/>
          <cell r="H2419">
            <v>23800</v>
          </cell>
          <cell r="I2419"/>
          <cell r="J2419">
            <v>23800</v>
          </cell>
          <cell r="K2419"/>
          <cell r="L2419">
            <v>23800</v>
          </cell>
          <cell r="M2419"/>
          <cell r="N2419">
            <v>23800</v>
          </cell>
          <cell r="O2419"/>
          <cell r="P2419">
            <v>23800</v>
          </cell>
          <cell r="Q2419"/>
          <cell r="R2419">
            <v>23800</v>
          </cell>
          <cell r="S2419"/>
          <cell r="T2419">
            <v>23800</v>
          </cell>
          <cell r="U2419"/>
          <cell r="V2419">
            <v>23800</v>
          </cell>
          <cell r="W2419"/>
          <cell r="X2419">
            <v>23800</v>
          </cell>
          <cell r="Y2419"/>
          <cell r="Z2419">
            <v>23800</v>
          </cell>
          <cell r="AA2419"/>
          <cell r="AB2419"/>
          <cell r="AC2419"/>
          <cell r="AD2419">
            <v>0.14099999999999999</v>
          </cell>
          <cell r="AE2419"/>
          <cell r="AF2419"/>
          <cell r="AG2419"/>
          <cell r="AH2419">
            <v>2.1</v>
          </cell>
          <cell r="AI2419">
            <v>0.47699999999999998</v>
          </cell>
          <cell r="AJ2419">
            <v>1</v>
          </cell>
          <cell r="AK2419">
            <v>4.4000000000000004</v>
          </cell>
          <cell r="AL2419"/>
        </row>
        <row r="2420">
          <cell r="E2420" t="str">
            <v>Xc1-BLe</v>
          </cell>
          <cell r="F2420" t="str">
            <v>台</v>
          </cell>
          <cell r="G2420"/>
          <cell r="H2420">
            <v>15500</v>
          </cell>
          <cell r="I2420"/>
          <cell r="J2420">
            <v>15500</v>
          </cell>
          <cell r="K2420"/>
          <cell r="L2420">
            <v>15500</v>
          </cell>
          <cell r="M2420"/>
          <cell r="N2420">
            <v>15500</v>
          </cell>
          <cell r="O2420"/>
          <cell r="P2420">
            <v>15500</v>
          </cell>
          <cell r="Q2420"/>
          <cell r="R2420">
            <v>15500</v>
          </cell>
          <cell r="S2420"/>
          <cell r="T2420">
            <v>15500</v>
          </cell>
          <cell r="U2420"/>
          <cell r="V2420">
            <v>15500</v>
          </cell>
          <cell r="W2420"/>
          <cell r="X2420">
            <v>15500</v>
          </cell>
          <cell r="Y2420"/>
          <cell r="Z2420">
            <v>15500</v>
          </cell>
          <cell r="AA2420"/>
          <cell r="AB2420"/>
          <cell r="AC2420"/>
          <cell r="AD2420">
            <v>0.16200000000000001</v>
          </cell>
          <cell r="AE2420"/>
          <cell r="AF2420"/>
          <cell r="AG2420"/>
          <cell r="AH2420">
            <v>2.7</v>
          </cell>
          <cell r="AI2420">
            <v>0.5</v>
          </cell>
          <cell r="AJ2420">
            <v>1</v>
          </cell>
          <cell r="AK2420">
            <v>5.4</v>
          </cell>
          <cell r="AL2420"/>
        </row>
        <row r="2421">
          <cell r="E2421" t="str">
            <v>Xc1-BLe60</v>
          </cell>
          <cell r="F2421" t="str">
            <v>台</v>
          </cell>
          <cell r="G2421"/>
          <cell r="H2421">
            <v>28200</v>
          </cell>
          <cell r="I2421"/>
          <cell r="J2421">
            <v>28200</v>
          </cell>
          <cell r="K2421"/>
          <cell r="L2421">
            <v>28200</v>
          </cell>
          <cell r="M2421"/>
          <cell r="N2421">
            <v>28200</v>
          </cell>
          <cell r="O2421"/>
          <cell r="P2421">
            <v>28200</v>
          </cell>
          <cell r="Q2421"/>
          <cell r="R2421">
            <v>28200</v>
          </cell>
          <cell r="S2421"/>
          <cell r="T2421">
            <v>28200</v>
          </cell>
          <cell r="U2421"/>
          <cell r="V2421">
            <v>28200</v>
          </cell>
          <cell r="W2421"/>
          <cell r="X2421">
            <v>28200</v>
          </cell>
          <cell r="Y2421"/>
          <cell r="Z2421">
            <v>28200</v>
          </cell>
          <cell r="AA2421"/>
          <cell r="AB2421"/>
          <cell r="AC2421"/>
          <cell r="AD2421">
            <v>0.16200000000000001</v>
          </cell>
          <cell r="AE2421"/>
          <cell r="AF2421"/>
          <cell r="AG2421"/>
          <cell r="AH2421">
            <v>2.7</v>
          </cell>
          <cell r="AI2421">
            <v>0.5</v>
          </cell>
          <cell r="AJ2421">
            <v>1</v>
          </cell>
          <cell r="AK2421">
            <v>5.4</v>
          </cell>
          <cell r="AL2421"/>
        </row>
        <row r="2422">
          <cell r="E2422" t="str">
            <v>Xc1-BHe</v>
          </cell>
          <cell r="F2422" t="str">
            <v>台</v>
          </cell>
          <cell r="G2422"/>
          <cell r="H2422">
            <v>22900</v>
          </cell>
          <cell r="I2422"/>
          <cell r="J2422">
            <v>22900</v>
          </cell>
          <cell r="K2422"/>
          <cell r="L2422">
            <v>22900</v>
          </cell>
          <cell r="M2422"/>
          <cell r="N2422">
            <v>22900</v>
          </cell>
          <cell r="O2422"/>
          <cell r="P2422">
            <v>22900</v>
          </cell>
          <cell r="Q2422"/>
          <cell r="R2422">
            <v>22900</v>
          </cell>
          <cell r="S2422"/>
          <cell r="T2422">
            <v>22900</v>
          </cell>
          <cell r="U2422"/>
          <cell r="V2422">
            <v>22900</v>
          </cell>
          <cell r="W2422"/>
          <cell r="X2422">
            <v>22900</v>
          </cell>
          <cell r="Y2422"/>
          <cell r="Z2422">
            <v>22900</v>
          </cell>
          <cell r="AA2422"/>
          <cell r="AB2422"/>
          <cell r="AC2422"/>
          <cell r="AD2422">
            <v>0.16200000000000001</v>
          </cell>
          <cell r="AE2422"/>
          <cell r="AF2422"/>
          <cell r="AG2422"/>
          <cell r="AH2422">
            <v>3.6</v>
          </cell>
          <cell r="AI2422">
            <v>0.51400000000000001</v>
          </cell>
          <cell r="AJ2422">
            <v>1</v>
          </cell>
          <cell r="AK2422">
            <v>7</v>
          </cell>
          <cell r="AL2422"/>
        </row>
        <row r="2423">
          <cell r="E2423" t="str">
            <v>Xc1-BHe60</v>
          </cell>
          <cell r="F2423" t="str">
            <v>台</v>
          </cell>
          <cell r="G2423"/>
          <cell r="H2423">
            <v>35900</v>
          </cell>
          <cell r="I2423"/>
          <cell r="J2423">
            <v>35900</v>
          </cell>
          <cell r="K2423"/>
          <cell r="L2423">
            <v>35900</v>
          </cell>
          <cell r="M2423"/>
          <cell r="N2423">
            <v>35900</v>
          </cell>
          <cell r="O2423"/>
          <cell r="P2423">
            <v>35900</v>
          </cell>
          <cell r="Q2423"/>
          <cell r="R2423">
            <v>35900</v>
          </cell>
          <cell r="S2423"/>
          <cell r="T2423">
            <v>35900</v>
          </cell>
          <cell r="U2423"/>
          <cell r="V2423">
            <v>35900</v>
          </cell>
          <cell r="W2423"/>
          <cell r="X2423">
            <v>35900</v>
          </cell>
          <cell r="Y2423"/>
          <cell r="Z2423">
            <v>35900</v>
          </cell>
          <cell r="AA2423"/>
          <cell r="AB2423"/>
          <cell r="AC2423"/>
          <cell r="AD2423">
            <v>0.16200000000000001</v>
          </cell>
          <cell r="AE2423"/>
          <cell r="AF2423"/>
          <cell r="AG2423"/>
          <cell r="AH2423">
            <v>3.7</v>
          </cell>
          <cell r="AI2423">
            <v>0.52900000000000003</v>
          </cell>
          <cell r="AJ2423">
            <v>1</v>
          </cell>
          <cell r="AK2423">
            <v>6.99</v>
          </cell>
          <cell r="AL2423"/>
        </row>
        <row r="2424">
          <cell r="E2424" t="str">
            <v>Xc1-Ae</v>
          </cell>
          <cell r="F2424" t="str">
            <v>台</v>
          </cell>
          <cell r="G2424"/>
          <cell r="H2424">
            <v>45600</v>
          </cell>
          <cell r="I2424"/>
          <cell r="J2424">
            <v>45600</v>
          </cell>
          <cell r="K2424"/>
          <cell r="L2424">
            <v>45600</v>
          </cell>
          <cell r="M2424"/>
          <cell r="N2424">
            <v>45600</v>
          </cell>
          <cell r="O2424"/>
          <cell r="P2424">
            <v>45600</v>
          </cell>
          <cell r="Q2424"/>
          <cell r="R2424">
            <v>45600</v>
          </cell>
          <cell r="S2424"/>
          <cell r="T2424">
            <v>45600</v>
          </cell>
          <cell r="U2424"/>
          <cell r="V2424">
            <v>45600</v>
          </cell>
          <cell r="W2424"/>
          <cell r="X2424">
            <v>45600</v>
          </cell>
          <cell r="Y2424"/>
          <cell r="Z2424">
            <v>45600</v>
          </cell>
          <cell r="AA2424"/>
          <cell r="AB2424"/>
          <cell r="AC2424"/>
          <cell r="AD2424">
            <v>0.26100000000000001</v>
          </cell>
          <cell r="AE2424"/>
          <cell r="AF2424"/>
          <cell r="AG2424"/>
          <cell r="AH2424">
            <v>10.5</v>
          </cell>
          <cell r="AI2424">
            <v>0.55300000000000005</v>
          </cell>
          <cell r="AJ2424">
            <v>1</v>
          </cell>
          <cell r="AK2424">
            <v>18.98</v>
          </cell>
          <cell r="AL2424"/>
        </row>
        <row r="2425">
          <cell r="E2425" t="str">
            <v>Xc1AF-BLe</v>
          </cell>
          <cell r="F2425" t="str">
            <v>台</v>
          </cell>
          <cell r="G2425"/>
          <cell r="H2425">
            <v>47700</v>
          </cell>
          <cell r="I2425"/>
          <cell r="J2425">
            <v>47700</v>
          </cell>
          <cell r="K2425"/>
          <cell r="L2425">
            <v>47700</v>
          </cell>
          <cell r="M2425"/>
          <cell r="N2425">
            <v>47700</v>
          </cell>
          <cell r="O2425"/>
          <cell r="P2425">
            <v>47700</v>
          </cell>
          <cell r="Q2425"/>
          <cell r="R2425">
            <v>47700</v>
          </cell>
          <cell r="S2425"/>
          <cell r="T2425">
            <v>47700</v>
          </cell>
          <cell r="U2425"/>
          <cell r="V2425">
            <v>47700</v>
          </cell>
          <cell r="W2425"/>
          <cell r="X2425">
            <v>47700</v>
          </cell>
          <cell r="Y2425"/>
          <cell r="Z2425">
            <v>47700</v>
          </cell>
          <cell r="AA2425"/>
          <cell r="AB2425"/>
          <cell r="AC2425"/>
          <cell r="AD2425">
            <v>0.16200000000000001</v>
          </cell>
          <cell r="AE2425"/>
          <cell r="AF2425"/>
          <cell r="AG2425"/>
          <cell r="AH2425">
            <v>4.5999999999999996</v>
          </cell>
          <cell r="AI2425">
            <v>0.63900000000000001</v>
          </cell>
          <cell r="AJ2425">
            <v>1</v>
          </cell>
          <cell r="AK2425">
            <v>7.19</v>
          </cell>
          <cell r="AL2425"/>
        </row>
        <row r="2426">
          <cell r="E2426" t="str">
            <v>Xc1AF-BLe60</v>
          </cell>
          <cell r="F2426" t="str">
            <v>台</v>
          </cell>
          <cell r="G2426"/>
          <cell r="H2426">
            <v>82800</v>
          </cell>
          <cell r="I2426"/>
          <cell r="J2426">
            <v>82800</v>
          </cell>
          <cell r="K2426"/>
          <cell r="L2426">
            <v>82800</v>
          </cell>
          <cell r="M2426"/>
          <cell r="N2426">
            <v>82800</v>
          </cell>
          <cell r="O2426"/>
          <cell r="P2426">
            <v>82800</v>
          </cell>
          <cell r="Q2426"/>
          <cell r="R2426">
            <v>82800</v>
          </cell>
          <cell r="S2426"/>
          <cell r="T2426">
            <v>82800</v>
          </cell>
          <cell r="U2426"/>
          <cell r="V2426">
            <v>82800</v>
          </cell>
          <cell r="W2426"/>
          <cell r="X2426">
            <v>82800</v>
          </cell>
          <cell r="Y2426"/>
          <cell r="Z2426">
            <v>82800</v>
          </cell>
          <cell r="AA2426"/>
          <cell r="AB2426"/>
          <cell r="AC2426"/>
          <cell r="AD2426">
            <v>0.16200000000000001</v>
          </cell>
          <cell r="AE2426"/>
          <cell r="AF2426"/>
          <cell r="AG2426"/>
          <cell r="AH2426">
            <v>5.8</v>
          </cell>
          <cell r="AI2426">
            <v>0.71599999999999997</v>
          </cell>
          <cell r="AJ2426">
            <v>1</v>
          </cell>
          <cell r="AK2426">
            <v>8.1</v>
          </cell>
          <cell r="AL2426"/>
        </row>
        <row r="2427">
          <cell r="E2427" t="str">
            <v>Xc1AF-BHe</v>
          </cell>
          <cell r="F2427" t="str">
            <v>台</v>
          </cell>
          <cell r="G2427"/>
          <cell r="H2427">
            <v>55800</v>
          </cell>
          <cell r="I2427"/>
          <cell r="J2427">
            <v>55800</v>
          </cell>
          <cell r="K2427"/>
          <cell r="L2427">
            <v>55800</v>
          </cell>
          <cell r="M2427"/>
          <cell r="N2427">
            <v>55800</v>
          </cell>
          <cell r="O2427"/>
          <cell r="P2427">
            <v>55800</v>
          </cell>
          <cell r="Q2427"/>
          <cell r="R2427">
            <v>55800</v>
          </cell>
          <cell r="S2427"/>
          <cell r="T2427">
            <v>55800</v>
          </cell>
          <cell r="U2427"/>
          <cell r="V2427">
            <v>55800</v>
          </cell>
          <cell r="W2427"/>
          <cell r="X2427">
            <v>55800</v>
          </cell>
          <cell r="Y2427"/>
          <cell r="Z2427">
            <v>55800</v>
          </cell>
          <cell r="AA2427"/>
          <cell r="AB2427"/>
          <cell r="AC2427"/>
          <cell r="AD2427">
            <v>0.16200000000000001</v>
          </cell>
          <cell r="AE2427"/>
          <cell r="AF2427"/>
          <cell r="AG2427"/>
          <cell r="AH2427">
            <v>5.4</v>
          </cell>
          <cell r="AI2427">
            <v>0.64300000000000002</v>
          </cell>
          <cell r="AJ2427">
            <v>1</v>
          </cell>
          <cell r="AK2427">
            <v>8.39</v>
          </cell>
          <cell r="AL2427"/>
        </row>
        <row r="2428">
          <cell r="E2428" t="str">
            <v>Xd1F-BLe</v>
          </cell>
          <cell r="F2428" t="str">
            <v>台</v>
          </cell>
          <cell r="G2428"/>
          <cell r="H2428">
            <v>39000</v>
          </cell>
          <cell r="I2428"/>
          <cell r="J2428">
            <v>39000</v>
          </cell>
          <cell r="K2428"/>
          <cell r="L2428">
            <v>39000</v>
          </cell>
          <cell r="M2428"/>
          <cell r="N2428">
            <v>39000</v>
          </cell>
          <cell r="O2428"/>
          <cell r="P2428">
            <v>39000</v>
          </cell>
          <cell r="Q2428"/>
          <cell r="R2428">
            <v>39000</v>
          </cell>
          <cell r="S2428"/>
          <cell r="T2428">
            <v>39000</v>
          </cell>
          <cell r="U2428"/>
          <cell r="V2428">
            <v>39000</v>
          </cell>
          <cell r="W2428"/>
          <cell r="X2428">
            <v>39000</v>
          </cell>
          <cell r="Y2428"/>
          <cell r="Z2428">
            <v>39000</v>
          </cell>
          <cell r="AA2428"/>
          <cell r="AB2428"/>
          <cell r="AC2428"/>
          <cell r="AD2428">
            <v>0.16200000000000001</v>
          </cell>
          <cell r="AE2428"/>
          <cell r="AF2428"/>
          <cell r="AG2428"/>
          <cell r="AH2428">
            <v>4.4000000000000004</v>
          </cell>
          <cell r="AI2428">
            <v>0.64700000000000002</v>
          </cell>
          <cell r="AJ2428">
            <v>1</v>
          </cell>
          <cell r="AK2428">
            <v>6.8</v>
          </cell>
          <cell r="AL2428"/>
        </row>
        <row r="2429">
          <cell r="E2429" t="str">
            <v>Xd1F-BLe60</v>
          </cell>
          <cell r="F2429" t="str">
            <v>台</v>
          </cell>
          <cell r="G2429"/>
          <cell r="H2429">
            <v>71900</v>
          </cell>
          <cell r="I2429"/>
          <cell r="J2429">
            <v>71900</v>
          </cell>
          <cell r="K2429"/>
          <cell r="L2429">
            <v>71900</v>
          </cell>
          <cell r="M2429"/>
          <cell r="N2429">
            <v>71900</v>
          </cell>
          <cell r="O2429"/>
          <cell r="P2429">
            <v>71900</v>
          </cell>
          <cell r="Q2429"/>
          <cell r="R2429">
            <v>71900</v>
          </cell>
          <cell r="S2429"/>
          <cell r="T2429">
            <v>71900</v>
          </cell>
          <cell r="U2429"/>
          <cell r="V2429">
            <v>71900</v>
          </cell>
          <cell r="W2429"/>
          <cell r="X2429">
            <v>71900</v>
          </cell>
          <cell r="Y2429"/>
          <cell r="Z2429">
            <v>71900</v>
          </cell>
          <cell r="AA2429"/>
          <cell r="AB2429"/>
          <cell r="AC2429"/>
          <cell r="AD2429">
            <v>0.16200000000000001</v>
          </cell>
          <cell r="AE2429"/>
          <cell r="AF2429"/>
          <cell r="AG2429"/>
          <cell r="AH2429">
            <v>5.4</v>
          </cell>
          <cell r="AI2429">
            <v>0.73</v>
          </cell>
          <cell r="AJ2429">
            <v>1</v>
          </cell>
          <cell r="AK2429">
            <v>7.39</v>
          </cell>
          <cell r="AL2429"/>
        </row>
        <row r="2430">
          <cell r="E2430" t="str">
            <v>Xd1F-BHe</v>
          </cell>
          <cell r="F2430" t="str">
            <v>台</v>
          </cell>
          <cell r="G2430"/>
          <cell r="H2430">
            <v>47400</v>
          </cell>
          <cell r="I2430"/>
          <cell r="J2430">
            <v>47400</v>
          </cell>
          <cell r="K2430"/>
          <cell r="L2430">
            <v>47400</v>
          </cell>
          <cell r="M2430"/>
          <cell r="N2430">
            <v>47400</v>
          </cell>
          <cell r="O2430"/>
          <cell r="P2430">
            <v>47400</v>
          </cell>
          <cell r="Q2430"/>
          <cell r="R2430">
            <v>47400</v>
          </cell>
          <cell r="S2430"/>
          <cell r="T2430">
            <v>47400</v>
          </cell>
          <cell r="U2430"/>
          <cell r="V2430">
            <v>47400</v>
          </cell>
          <cell r="W2430"/>
          <cell r="X2430">
            <v>47400</v>
          </cell>
          <cell r="Y2430"/>
          <cell r="Z2430">
            <v>47400</v>
          </cell>
          <cell r="AA2430"/>
          <cell r="AB2430"/>
          <cell r="AC2430"/>
          <cell r="AD2430">
            <v>0.16200000000000001</v>
          </cell>
          <cell r="AE2430"/>
          <cell r="AF2430"/>
          <cell r="AG2430"/>
          <cell r="AH2430">
            <v>5.4</v>
          </cell>
          <cell r="AI2430">
            <v>0.64300000000000002</v>
          </cell>
          <cell r="AJ2430">
            <v>1</v>
          </cell>
          <cell r="AK2430">
            <v>8.39</v>
          </cell>
          <cell r="AL2430"/>
        </row>
        <row r="2431">
          <cell r="E2431" t="str">
            <v>Xd1F-BHe60</v>
          </cell>
          <cell r="F2431" t="str">
            <v>台</v>
          </cell>
          <cell r="G2431"/>
          <cell r="H2431">
            <v>80300</v>
          </cell>
          <cell r="I2431"/>
          <cell r="J2431">
            <v>80300</v>
          </cell>
          <cell r="K2431"/>
          <cell r="L2431">
            <v>80300</v>
          </cell>
          <cell r="M2431"/>
          <cell r="N2431">
            <v>80300</v>
          </cell>
          <cell r="O2431"/>
          <cell r="P2431">
            <v>80300</v>
          </cell>
          <cell r="Q2431"/>
          <cell r="R2431">
            <v>80300</v>
          </cell>
          <cell r="S2431"/>
          <cell r="T2431">
            <v>80300</v>
          </cell>
          <cell r="U2431"/>
          <cell r="V2431">
            <v>80300</v>
          </cell>
          <cell r="W2431"/>
          <cell r="X2431">
            <v>80300</v>
          </cell>
          <cell r="Y2431"/>
          <cell r="Z2431">
            <v>80300</v>
          </cell>
          <cell r="AA2431"/>
          <cell r="AB2431"/>
          <cell r="AC2431"/>
          <cell r="AD2431">
            <v>0.16200000000000001</v>
          </cell>
          <cell r="AE2431"/>
          <cell r="AF2431"/>
          <cell r="AG2431"/>
          <cell r="AH2431">
            <v>6.3</v>
          </cell>
          <cell r="AI2431">
            <v>0.7</v>
          </cell>
          <cell r="AJ2431">
            <v>1</v>
          </cell>
          <cell r="AK2431">
            <v>9</v>
          </cell>
          <cell r="AL2431"/>
        </row>
        <row r="2432">
          <cell r="E2432" t="str">
            <v>■避難口(片面天井埋込)</v>
          </cell>
          <cell r="F2432"/>
          <cell r="G2432"/>
          <cell r="H2432"/>
          <cell r="I2432"/>
          <cell r="J2432"/>
          <cell r="K2432"/>
          <cell r="L2432"/>
          <cell r="M2432"/>
          <cell r="N2432"/>
          <cell r="O2432"/>
          <cell r="P2432"/>
          <cell r="Q2432"/>
          <cell r="R2432"/>
          <cell r="S2432"/>
          <cell r="T2432"/>
          <cell r="U2432"/>
          <cell r="V2432"/>
          <cell r="W2432"/>
          <cell r="X2432"/>
          <cell r="Y2432"/>
          <cell r="Z2432"/>
          <cell r="AA2432"/>
          <cell r="AB2432"/>
          <cell r="AC2432"/>
          <cell r="AD2432"/>
          <cell r="AE2432"/>
          <cell r="AF2432"/>
          <cell r="AG2432"/>
          <cell r="AH2432"/>
          <cell r="AI2432"/>
          <cell r="AJ2432"/>
          <cell r="AK2432"/>
          <cell r="AL2432"/>
        </row>
        <row r="2433">
          <cell r="E2433" t="str">
            <v>Xf1-Ce</v>
          </cell>
          <cell r="F2433" t="str">
            <v>台</v>
          </cell>
          <cell r="G2433"/>
          <cell r="H2433">
            <v>13000</v>
          </cell>
          <cell r="I2433"/>
          <cell r="J2433">
            <v>13000</v>
          </cell>
          <cell r="K2433"/>
          <cell r="L2433">
            <v>13000</v>
          </cell>
          <cell r="M2433"/>
          <cell r="N2433">
            <v>13000</v>
          </cell>
          <cell r="O2433"/>
          <cell r="P2433">
            <v>13000</v>
          </cell>
          <cell r="Q2433"/>
          <cell r="R2433">
            <v>13000</v>
          </cell>
          <cell r="S2433"/>
          <cell r="T2433">
            <v>13000</v>
          </cell>
          <cell r="U2433"/>
          <cell r="V2433">
            <v>13000</v>
          </cell>
          <cell r="W2433"/>
          <cell r="X2433">
            <v>13000</v>
          </cell>
          <cell r="Y2433"/>
          <cell r="Z2433">
            <v>13000</v>
          </cell>
          <cell r="AA2433"/>
          <cell r="AB2433"/>
          <cell r="AC2433"/>
          <cell r="AD2433">
            <v>0.217</v>
          </cell>
          <cell r="AE2433"/>
          <cell r="AF2433"/>
          <cell r="AG2433"/>
          <cell r="AH2433">
            <v>1.9</v>
          </cell>
          <cell r="AI2433">
            <v>0.47499999999999998</v>
          </cell>
          <cell r="AJ2433">
            <v>1</v>
          </cell>
          <cell r="AK2433">
            <v>4</v>
          </cell>
          <cell r="AL2433"/>
        </row>
        <row r="2434">
          <cell r="E2434" t="str">
            <v>Xf1-Ce60</v>
          </cell>
          <cell r="F2434" t="str">
            <v>台</v>
          </cell>
          <cell r="G2434"/>
          <cell r="H2434">
            <v>31000</v>
          </cell>
          <cell r="I2434"/>
          <cell r="J2434">
            <v>31000</v>
          </cell>
          <cell r="K2434"/>
          <cell r="L2434">
            <v>31000</v>
          </cell>
          <cell r="M2434"/>
          <cell r="N2434">
            <v>31000</v>
          </cell>
          <cell r="O2434"/>
          <cell r="P2434">
            <v>31000</v>
          </cell>
          <cell r="Q2434"/>
          <cell r="R2434">
            <v>31000</v>
          </cell>
          <cell r="S2434"/>
          <cell r="T2434">
            <v>31000</v>
          </cell>
          <cell r="U2434"/>
          <cell r="V2434">
            <v>31000</v>
          </cell>
          <cell r="W2434"/>
          <cell r="X2434">
            <v>31000</v>
          </cell>
          <cell r="Y2434"/>
          <cell r="Z2434">
            <v>31000</v>
          </cell>
          <cell r="AA2434"/>
          <cell r="AB2434"/>
          <cell r="AC2434"/>
          <cell r="AD2434">
            <v>0.217</v>
          </cell>
          <cell r="AE2434"/>
          <cell r="AF2434"/>
          <cell r="AG2434"/>
          <cell r="AH2434">
            <v>2.1</v>
          </cell>
          <cell r="AI2434">
            <v>0.47699999999999998</v>
          </cell>
          <cell r="AJ2434">
            <v>1</v>
          </cell>
          <cell r="AK2434">
            <v>4.4000000000000004</v>
          </cell>
          <cell r="AL2434"/>
        </row>
        <row r="2435">
          <cell r="E2435" t="str">
            <v>Xf1-BLe</v>
          </cell>
          <cell r="F2435" t="str">
            <v>台</v>
          </cell>
          <cell r="G2435"/>
          <cell r="H2435">
            <v>19600</v>
          </cell>
          <cell r="I2435"/>
          <cell r="J2435">
            <v>19600</v>
          </cell>
          <cell r="K2435"/>
          <cell r="L2435">
            <v>19600</v>
          </cell>
          <cell r="M2435"/>
          <cell r="N2435">
            <v>19600</v>
          </cell>
          <cell r="O2435"/>
          <cell r="P2435">
            <v>19600</v>
          </cell>
          <cell r="Q2435"/>
          <cell r="R2435">
            <v>19600</v>
          </cell>
          <cell r="S2435"/>
          <cell r="T2435">
            <v>19600</v>
          </cell>
          <cell r="U2435"/>
          <cell r="V2435">
            <v>19600</v>
          </cell>
          <cell r="W2435"/>
          <cell r="X2435">
            <v>19600</v>
          </cell>
          <cell r="Y2435"/>
          <cell r="Z2435">
            <v>19600</v>
          </cell>
          <cell r="AA2435"/>
          <cell r="AB2435"/>
          <cell r="AC2435"/>
          <cell r="AD2435">
            <v>0.25</v>
          </cell>
          <cell r="AE2435"/>
          <cell r="AF2435"/>
          <cell r="AG2435"/>
          <cell r="AH2435">
            <v>2.6</v>
          </cell>
          <cell r="AI2435">
            <v>0.49099999999999999</v>
          </cell>
          <cell r="AJ2435">
            <v>1</v>
          </cell>
          <cell r="AK2435">
            <v>5.29</v>
          </cell>
          <cell r="AL2435"/>
        </row>
        <row r="2436">
          <cell r="E2436" t="str">
            <v>Xf1-BLe60</v>
          </cell>
          <cell r="F2436" t="str">
            <v>台</v>
          </cell>
          <cell r="G2436"/>
          <cell r="H2436">
            <v>34000</v>
          </cell>
          <cell r="I2436"/>
          <cell r="J2436">
            <v>34000</v>
          </cell>
          <cell r="K2436"/>
          <cell r="L2436">
            <v>34000</v>
          </cell>
          <cell r="M2436"/>
          <cell r="N2436">
            <v>34000</v>
          </cell>
          <cell r="O2436"/>
          <cell r="P2436">
            <v>34000</v>
          </cell>
          <cell r="Q2436"/>
          <cell r="R2436">
            <v>34000</v>
          </cell>
          <cell r="S2436"/>
          <cell r="T2436">
            <v>34000</v>
          </cell>
          <cell r="U2436"/>
          <cell r="V2436">
            <v>34000</v>
          </cell>
          <cell r="W2436"/>
          <cell r="X2436">
            <v>34000</v>
          </cell>
          <cell r="Y2436"/>
          <cell r="Z2436">
            <v>34000</v>
          </cell>
          <cell r="AA2436"/>
          <cell r="AB2436"/>
          <cell r="AC2436"/>
          <cell r="AD2436">
            <v>0.25</v>
          </cell>
          <cell r="AE2436"/>
          <cell r="AF2436"/>
          <cell r="AG2436"/>
          <cell r="AH2436">
            <v>2.7</v>
          </cell>
          <cell r="AI2436">
            <v>0.5</v>
          </cell>
          <cell r="AJ2436">
            <v>1</v>
          </cell>
          <cell r="AK2436">
            <v>5.4</v>
          </cell>
          <cell r="AL2436"/>
        </row>
        <row r="2437">
          <cell r="E2437" t="str">
            <v>Xf1-BHe</v>
          </cell>
          <cell r="F2437" t="str">
            <v>台</v>
          </cell>
          <cell r="G2437"/>
          <cell r="H2437">
            <v>29600</v>
          </cell>
          <cell r="I2437"/>
          <cell r="J2437">
            <v>29600</v>
          </cell>
          <cell r="K2437"/>
          <cell r="L2437">
            <v>29600</v>
          </cell>
          <cell r="M2437"/>
          <cell r="N2437">
            <v>29600</v>
          </cell>
          <cell r="O2437"/>
          <cell r="P2437">
            <v>29600</v>
          </cell>
          <cell r="Q2437"/>
          <cell r="R2437">
            <v>29600</v>
          </cell>
          <cell r="S2437"/>
          <cell r="T2437">
            <v>29600</v>
          </cell>
          <cell r="U2437"/>
          <cell r="V2437">
            <v>29600</v>
          </cell>
          <cell r="W2437"/>
          <cell r="X2437">
            <v>29600</v>
          </cell>
          <cell r="Y2437"/>
          <cell r="Z2437">
            <v>29600</v>
          </cell>
          <cell r="AA2437"/>
          <cell r="AB2437"/>
          <cell r="AC2437"/>
          <cell r="AD2437">
            <v>0.25</v>
          </cell>
          <cell r="AE2437"/>
          <cell r="AF2437"/>
          <cell r="AG2437"/>
          <cell r="AH2437">
            <v>3.6</v>
          </cell>
          <cell r="AI2437">
            <v>0.51400000000000001</v>
          </cell>
          <cell r="AJ2437">
            <v>1</v>
          </cell>
          <cell r="AK2437">
            <v>7</v>
          </cell>
          <cell r="AL2437"/>
        </row>
        <row r="2438">
          <cell r="E2438" t="str">
            <v>Xf1-BHe60</v>
          </cell>
          <cell r="F2438" t="str">
            <v>台</v>
          </cell>
          <cell r="G2438"/>
          <cell r="H2438">
            <v>43800</v>
          </cell>
          <cell r="I2438"/>
          <cell r="J2438">
            <v>43800</v>
          </cell>
          <cell r="K2438"/>
          <cell r="L2438">
            <v>43800</v>
          </cell>
          <cell r="M2438"/>
          <cell r="N2438">
            <v>43800</v>
          </cell>
          <cell r="O2438"/>
          <cell r="P2438">
            <v>43800</v>
          </cell>
          <cell r="Q2438"/>
          <cell r="R2438">
            <v>43800</v>
          </cell>
          <cell r="S2438"/>
          <cell r="T2438">
            <v>43800</v>
          </cell>
          <cell r="U2438"/>
          <cell r="V2438">
            <v>43800</v>
          </cell>
          <cell r="W2438"/>
          <cell r="X2438">
            <v>43800</v>
          </cell>
          <cell r="Y2438"/>
          <cell r="Z2438">
            <v>43800</v>
          </cell>
          <cell r="AA2438"/>
          <cell r="AB2438"/>
          <cell r="AC2438"/>
          <cell r="AD2438">
            <v>0.25</v>
          </cell>
          <cell r="AE2438"/>
          <cell r="AF2438"/>
          <cell r="AG2438"/>
          <cell r="AH2438">
            <v>3.7</v>
          </cell>
          <cell r="AI2438">
            <v>0.52900000000000003</v>
          </cell>
          <cell r="AJ2438">
            <v>1</v>
          </cell>
          <cell r="AK2438">
            <v>6.99</v>
          </cell>
          <cell r="AL2438"/>
        </row>
        <row r="2439">
          <cell r="E2439" t="str">
            <v>Xf1F-BLe</v>
          </cell>
          <cell r="F2439" t="str">
            <v>台</v>
          </cell>
          <cell r="G2439"/>
          <cell r="H2439">
            <v>47000</v>
          </cell>
          <cell r="I2439"/>
          <cell r="J2439">
            <v>47000</v>
          </cell>
          <cell r="K2439"/>
          <cell r="L2439">
            <v>47000</v>
          </cell>
          <cell r="M2439"/>
          <cell r="N2439">
            <v>47000</v>
          </cell>
          <cell r="O2439"/>
          <cell r="P2439">
            <v>47000</v>
          </cell>
          <cell r="Q2439"/>
          <cell r="R2439">
            <v>47000</v>
          </cell>
          <cell r="S2439"/>
          <cell r="T2439">
            <v>47000</v>
          </cell>
          <cell r="U2439"/>
          <cell r="V2439">
            <v>47000</v>
          </cell>
          <cell r="W2439"/>
          <cell r="X2439">
            <v>47000</v>
          </cell>
          <cell r="Y2439"/>
          <cell r="Z2439">
            <v>47000</v>
          </cell>
          <cell r="AA2439"/>
          <cell r="AB2439"/>
          <cell r="AC2439"/>
          <cell r="AD2439">
            <v>0.25</v>
          </cell>
          <cell r="AE2439"/>
          <cell r="AF2439"/>
          <cell r="AG2439"/>
          <cell r="AH2439">
            <v>2.6</v>
          </cell>
          <cell r="AI2439">
            <v>0.49099999999999999</v>
          </cell>
          <cell r="AJ2439">
            <v>1</v>
          </cell>
          <cell r="AK2439">
            <v>5.29</v>
          </cell>
          <cell r="AL2439"/>
        </row>
        <row r="2440">
          <cell r="E2440" t="str">
            <v>Xf1F-BHe</v>
          </cell>
          <cell r="F2440" t="str">
            <v>台</v>
          </cell>
          <cell r="G2440"/>
          <cell r="H2440">
            <v>57000</v>
          </cell>
          <cell r="I2440"/>
          <cell r="J2440">
            <v>57000</v>
          </cell>
          <cell r="K2440"/>
          <cell r="L2440">
            <v>57000</v>
          </cell>
          <cell r="M2440"/>
          <cell r="N2440">
            <v>57000</v>
          </cell>
          <cell r="O2440"/>
          <cell r="P2440">
            <v>57000</v>
          </cell>
          <cell r="Q2440"/>
          <cell r="R2440">
            <v>57000</v>
          </cell>
          <cell r="S2440"/>
          <cell r="T2440">
            <v>57000</v>
          </cell>
          <cell r="U2440"/>
          <cell r="V2440">
            <v>57000</v>
          </cell>
          <cell r="W2440"/>
          <cell r="X2440">
            <v>57000</v>
          </cell>
          <cell r="Y2440"/>
          <cell r="Z2440">
            <v>57000</v>
          </cell>
          <cell r="AA2440"/>
          <cell r="AB2440"/>
          <cell r="AC2440"/>
          <cell r="AD2440">
            <v>0.25</v>
          </cell>
          <cell r="AE2440"/>
          <cell r="AF2440"/>
          <cell r="AG2440"/>
          <cell r="AH2440">
            <v>3.6</v>
          </cell>
          <cell r="AI2440">
            <v>0.51400000000000001</v>
          </cell>
          <cell r="AJ2440">
            <v>1</v>
          </cell>
          <cell r="AK2440">
            <v>7</v>
          </cell>
          <cell r="AL2440"/>
        </row>
        <row r="2441">
          <cell r="E2441" t="str">
            <v>■避難口(両面天井埋込)</v>
          </cell>
          <cell r="F2441"/>
          <cell r="G2441"/>
          <cell r="H2441"/>
          <cell r="I2441"/>
          <cell r="J2441"/>
          <cell r="K2441"/>
          <cell r="L2441"/>
          <cell r="M2441"/>
          <cell r="N2441"/>
          <cell r="O2441"/>
          <cell r="P2441"/>
          <cell r="Q2441"/>
          <cell r="R2441"/>
          <cell r="S2441"/>
          <cell r="T2441"/>
          <cell r="U2441"/>
          <cell r="V2441"/>
          <cell r="W2441"/>
          <cell r="X2441"/>
          <cell r="Y2441"/>
          <cell r="Z2441"/>
          <cell r="AA2441"/>
          <cell r="AB2441"/>
          <cell r="AC2441"/>
          <cell r="AD2441"/>
          <cell r="AE2441"/>
          <cell r="AF2441"/>
          <cell r="AG2441"/>
          <cell r="AH2441"/>
          <cell r="AI2441"/>
          <cell r="AJ2441"/>
          <cell r="AK2441"/>
          <cell r="AL2441"/>
        </row>
        <row r="2442">
          <cell r="E2442" t="str">
            <v>Xg2-Ce</v>
          </cell>
          <cell r="F2442" t="str">
            <v>台</v>
          </cell>
          <cell r="G2442"/>
          <cell r="H2442">
            <v>14500</v>
          </cell>
          <cell r="I2442"/>
          <cell r="J2442">
            <v>14500</v>
          </cell>
          <cell r="K2442"/>
          <cell r="L2442">
            <v>14500</v>
          </cell>
          <cell r="M2442"/>
          <cell r="N2442">
            <v>14500</v>
          </cell>
          <cell r="O2442"/>
          <cell r="P2442">
            <v>14500</v>
          </cell>
          <cell r="Q2442"/>
          <cell r="R2442">
            <v>14500</v>
          </cell>
          <cell r="S2442"/>
          <cell r="T2442">
            <v>14500</v>
          </cell>
          <cell r="U2442"/>
          <cell r="V2442">
            <v>14500</v>
          </cell>
          <cell r="W2442"/>
          <cell r="X2442">
            <v>14500</v>
          </cell>
          <cell r="Y2442"/>
          <cell r="Z2442">
            <v>14500</v>
          </cell>
          <cell r="AA2442"/>
          <cell r="AB2442"/>
          <cell r="AC2442"/>
          <cell r="AD2442">
            <v>0.217</v>
          </cell>
          <cell r="AE2442"/>
          <cell r="AF2442"/>
          <cell r="AG2442"/>
          <cell r="AH2442">
            <v>2.6</v>
          </cell>
          <cell r="AI2442">
            <v>0.49099999999999999</v>
          </cell>
          <cell r="AJ2442">
            <v>1</v>
          </cell>
          <cell r="AK2442">
            <v>5.29</v>
          </cell>
          <cell r="AL2442"/>
        </row>
        <row r="2443">
          <cell r="E2443" t="str">
            <v>Xg2-Ce60</v>
          </cell>
          <cell r="F2443" t="str">
            <v>台</v>
          </cell>
          <cell r="G2443"/>
          <cell r="H2443">
            <v>36100</v>
          </cell>
          <cell r="I2443"/>
          <cell r="J2443">
            <v>36100</v>
          </cell>
          <cell r="K2443"/>
          <cell r="L2443">
            <v>36100</v>
          </cell>
          <cell r="M2443"/>
          <cell r="N2443">
            <v>36100</v>
          </cell>
          <cell r="O2443"/>
          <cell r="P2443">
            <v>36100</v>
          </cell>
          <cell r="Q2443"/>
          <cell r="R2443">
            <v>36100</v>
          </cell>
          <cell r="S2443"/>
          <cell r="T2443">
            <v>36100</v>
          </cell>
          <cell r="U2443"/>
          <cell r="V2443">
            <v>36100</v>
          </cell>
          <cell r="W2443"/>
          <cell r="X2443">
            <v>36100</v>
          </cell>
          <cell r="Y2443"/>
          <cell r="Z2443">
            <v>36100</v>
          </cell>
          <cell r="AA2443"/>
          <cell r="AB2443"/>
          <cell r="AC2443"/>
          <cell r="AD2443">
            <v>0.217</v>
          </cell>
          <cell r="AE2443"/>
          <cell r="AF2443"/>
          <cell r="AG2443"/>
          <cell r="AH2443">
            <v>2.7</v>
          </cell>
          <cell r="AI2443">
            <v>0.5</v>
          </cell>
          <cell r="AJ2443">
            <v>1</v>
          </cell>
          <cell r="AK2443">
            <v>5.4</v>
          </cell>
          <cell r="AL2443"/>
        </row>
        <row r="2444">
          <cell r="E2444" t="str">
            <v>Xg2-BLe</v>
          </cell>
          <cell r="F2444" t="str">
            <v>台</v>
          </cell>
          <cell r="G2444"/>
          <cell r="H2444">
            <v>22800</v>
          </cell>
          <cell r="I2444"/>
          <cell r="J2444">
            <v>22800</v>
          </cell>
          <cell r="K2444"/>
          <cell r="L2444">
            <v>22800</v>
          </cell>
          <cell r="M2444"/>
          <cell r="N2444">
            <v>22800</v>
          </cell>
          <cell r="O2444"/>
          <cell r="P2444">
            <v>22800</v>
          </cell>
          <cell r="Q2444"/>
          <cell r="R2444">
            <v>22800</v>
          </cell>
          <cell r="S2444"/>
          <cell r="T2444">
            <v>22800</v>
          </cell>
          <cell r="U2444"/>
          <cell r="V2444">
            <v>22800</v>
          </cell>
          <cell r="W2444"/>
          <cell r="X2444">
            <v>22800</v>
          </cell>
          <cell r="Y2444"/>
          <cell r="Z2444">
            <v>22800</v>
          </cell>
          <cell r="AA2444"/>
          <cell r="AB2444"/>
          <cell r="AC2444"/>
          <cell r="AD2444">
            <v>0.25</v>
          </cell>
          <cell r="AE2444"/>
          <cell r="AF2444"/>
          <cell r="AG2444"/>
          <cell r="AH2444">
            <v>3.6</v>
          </cell>
          <cell r="AI2444">
            <v>0.52200000000000002</v>
          </cell>
          <cell r="AJ2444">
            <v>1</v>
          </cell>
          <cell r="AK2444">
            <v>6.89</v>
          </cell>
          <cell r="AL2444"/>
        </row>
        <row r="2445">
          <cell r="E2445" t="str">
            <v>Xg2-BLe60</v>
          </cell>
          <cell r="F2445" t="str">
            <v>台</v>
          </cell>
          <cell r="G2445"/>
          <cell r="H2445">
            <v>37000</v>
          </cell>
          <cell r="I2445"/>
          <cell r="J2445">
            <v>37000</v>
          </cell>
          <cell r="K2445"/>
          <cell r="L2445">
            <v>37000</v>
          </cell>
          <cell r="M2445"/>
          <cell r="N2445">
            <v>37000</v>
          </cell>
          <cell r="O2445"/>
          <cell r="P2445">
            <v>37000</v>
          </cell>
          <cell r="Q2445"/>
          <cell r="R2445">
            <v>37000</v>
          </cell>
          <cell r="S2445"/>
          <cell r="T2445">
            <v>37000</v>
          </cell>
          <cell r="U2445"/>
          <cell r="V2445">
            <v>37000</v>
          </cell>
          <cell r="W2445"/>
          <cell r="X2445">
            <v>37000</v>
          </cell>
          <cell r="Y2445"/>
          <cell r="Z2445">
            <v>37000</v>
          </cell>
          <cell r="AA2445"/>
          <cell r="AB2445"/>
          <cell r="AC2445"/>
          <cell r="AD2445">
            <v>0.25</v>
          </cell>
          <cell r="AE2445"/>
          <cell r="AF2445"/>
          <cell r="AG2445"/>
          <cell r="AH2445">
            <v>3.7</v>
          </cell>
          <cell r="AI2445">
            <v>0.52100000000000002</v>
          </cell>
          <cell r="AJ2445">
            <v>1</v>
          </cell>
          <cell r="AK2445">
            <v>7.1</v>
          </cell>
          <cell r="AL2445"/>
        </row>
        <row r="2446">
          <cell r="E2446" t="str">
            <v>Xg2-BHe</v>
          </cell>
          <cell r="F2446" t="str">
            <v>台</v>
          </cell>
          <cell r="G2446"/>
          <cell r="H2446">
            <v>34700</v>
          </cell>
          <cell r="I2446"/>
          <cell r="J2446">
            <v>34700</v>
          </cell>
          <cell r="K2446"/>
          <cell r="L2446">
            <v>34700</v>
          </cell>
          <cell r="M2446"/>
          <cell r="N2446">
            <v>34700</v>
          </cell>
          <cell r="O2446"/>
          <cell r="P2446">
            <v>34700</v>
          </cell>
          <cell r="Q2446"/>
          <cell r="R2446">
            <v>34700</v>
          </cell>
          <cell r="S2446"/>
          <cell r="T2446">
            <v>34700</v>
          </cell>
          <cell r="U2446"/>
          <cell r="V2446">
            <v>34700</v>
          </cell>
          <cell r="W2446"/>
          <cell r="X2446">
            <v>34700</v>
          </cell>
          <cell r="Y2446"/>
          <cell r="Z2446">
            <v>34700</v>
          </cell>
          <cell r="AA2446"/>
          <cell r="AB2446"/>
          <cell r="AC2446"/>
          <cell r="AD2446">
            <v>0.25</v>
          </cell>
          <cell r="AE2446"/>
          <cell r="AF2446"/>
          <cell r="AG2446"/>
          <cell r="AH2446">
            <v>5.4</v>
          </cell>
          <cell r="AI2446">
            <v>0.54</v>
          </cell>
          <cell r="AJ2446">
            <v>1</v>
          </cell>
          <cell r="AK2446">
            <v>10</v>
          </cell>
          <cell r="AL2446"/>
        </row>
        <row r="2447">
          <cell r="E2447" t="str">
            <v>Xg2-BHe60</v>
          </cell>
          <cell r="F2447" t="str">
            <v>台</v>
          </cell>
          <cell r="G2447"/>
          <cell r="H2447">
            <v>48900</v>
          </cell>
          <cell r="I2447"/>
          <cell r="J2447">
            <v>48900</v>
          </cell>
          <cell r="K2447"/>
          <cell r="L2447">
            <v>48900</v>
          </cell>
          <cell r="M2447"/>
          <cell r="N2447">
            <v>48900</v>
          </cell>
          <cell r="O2447"/>
          <cell r="P2447">
            <v>48900</v>
          </cell>
          <cell r="Q2447"/>
          <cell r="R2447">
            <v>48900</v>
          </cell>
          <cell r="S2447"/>
          <cell r="T2447">
            <v>48900</v>
          </cell>
          <cell r="U2447"/>
          <cell r="V2447">
            <v>48900</v>
          </cell>
          <cell r="W2447"/>
          <cell r="X2447">
            <v>48900</v>
          </cell>
          <cell r="Y2447"/>
          <cell r="Z2447">
            <v>48900</v>
          </cell>
          <cell r="AA2447"/>
          <cell r="AB2447"/>
          <cell r="AC2447"/>
          <cell r="AD2447">
            <v>0.25</v>
          </cell>
          <cell r="AE2447"/>
          <cell r="AF2447"/>
          <cell r="AG2447"/>
          <cell r="AH2447">
            <v>5.5</v>
          </cell>
          <cell r="AI2447">
            <v>0.55000000000000004</v>
          </cell>
          <cell r="AJ2447">
            <v>1</v>
          </cell>
          <cell r="AK2447">
            <v>10</v>
          </cell>
          <cell r="AL2447"/>
        </row>
        <row r="2448">
          <cell r="E2448" t="str">
            <v>Xg2F-BLe</v>
          </cell>
          <cell r="F2448" t="str">
            <v>台</v>
          </cell>
          <cell r="G2448"/>
          <cell r="H2448">
            <v>50200</v>
          </cell>
          <cell r="I2448"/>
          <cell r="J2448">
            <v>50200</v>
          </cell>
          <cell r="K2448"/>
          <cell r="L2448">
            <v>50200</v>
          </cell>
          <cell r="M2448"/>
          <cell r="N2448">
            <v>50200</v>
          </cell>
          <cell r="O2448"/>
          <cell r="P2448">
            <v>50200</v>
          </cell>
          <cell r="Q2448"/>
          <cell r="R2448">
            <v>50200</v>
          </cell>
          <cell r="S2448"/>
          <cell r="T2448">
            <v>50200</v>
          </cell>
          <cell r="U2448"/>
          <cell r="V2448">
            <v>50200</v>
          </cell>
          <cell r="W2448"/>
          <cell r="X2448">
            <v>50200</v>
          </cell>
          <cell r="Y2448"/>
          <cell r="Z2448">
            <v>50200</v>
          </cell>
          <cell r="AA2448"/>
          <cell r="AB2448"/>
          <cell r="AC2448"/>
          <cell r="AD2448">
            <v>0.25</v>
          </cell>
          <cell r="AE2448"/>
          <cell r="AF2448"/>
          <cell r="AG2448"/>
          <cell r="AH2448">
            <v>3.6</v>
          </cell>
          <cell r="AI2448">
            <v>0.52200000000000002</v>
          </cell>
          <cell r="AJ2448">
            <v>1</v>
          </cell>
          <cell r="AK2448">
            <v>6.89</v>
          </cell>
          <cell r="AL2448"/>
        </row>
        <row r="2449">
          <cell r="E2449" t="str">
            <v>Xg2F-BHe</v>
          </cell>
          <cell r="F2449" t="str">
            <v>台</v>
          </cell>
          <cell r="G2449"/>
          <cell r="H2449">
            <v>62100</v>
          </cell>
          <cell r="I2449"/>
          <cell r="J2449">
            <v>62100</v>
          </cell>
          <cell r="K2449"/>
          <cell r="L2449">
            <v>62100</v>
          </cell>
          <cell r="M2449"/>
          <cell r="N2449">
            <v>62100</v>
          </cell>
          <cell r="O2449"/>
          <cell r="P2449">
            <v>62100</v>
          </cell>
          <cell r="Q2449"/>
          <cell r="R2449">
            <v>62100</v>
          </cell>
          <cell r="S2449"/>
          <cell r="T2449">
            <v>62100</v>
          </cell>
          <cell r="U2449"/>
          <cell r="V2449">
            <v>62100</v>
          </cell>
          <cell r="W2449"/>
          <cell r="X2449">
            <v>62100</v>
          </cell>
          <cell r="Y2449"/>
          <cell r="Z2449">
            <v>62100</v>
          </cell>
          <cell r="AA2449"/>
          <cell r="AB2449"/>
          <cell r="AC2449"/>
          <cell r="AD2449">
            <v>0.25</v>
          </cell>
          <cell r="AE2449"/>
          <cell r="AF2449"/>
          <cell r="AG2449"/>
          <cell r="AH2449">
            <v>5.4</v>
          </cell>
          <cell r="AI2449">
            <v>0.54</v>
          </cell>
          <cell r="AJ2449">
            <v>1</v>
          </cell>
          <cell r="AK2449">
            <v>10</v>
          </cell>
          <cell r="AL2449"/>
        </row>
        <row r="2450">
          <cell r="E2450" t="str">
            <v>■避難口(直付)</v>
          </cell>
          <cell r="F2450"/>
          <cell r="G2450"/>
          <cell r="H2450"/>
          <cell r="I2450"/>
          <cell r="J2450"/>
          <cell r="K2450"/>
          <cell r="L2450"/>
          <cell r="M2450"/>
          <cell r="N2450"/>
          <cell r="O2450"/>
          <cell r="P2450"/>
          <cell r="Q2450"/>
          <cell r="R2450"/>
          <cell r="S2450"/>
          <cell r="T2450"/>
          <cell r="U2450"/>
          <cell r="V2450"/>
          <cell r="W2450"/>
          <cell r="X2450"/>
          <cell r="Y2450"/>
          <cell r="Z2450"/>
          <cell r="AA2450"/>
          <cell r="AB2450"/>
          <cell r="AC2450"/>
          <cell r="AD2450"/>
          <cell r="AE2450"/>
          <cell r="AF2450"/>
          <cell r="AG2450"/>
          <cell r="AH2450"/>
          <cell r="AI2450"/>
          <cell r="AJ2450"/>
          <cell r="AK2450"/>
          <cell r="AL2450"/>
        </row>
        <row r="2451">
          <cell r="E2451" t="str">
            <v>Xh1-Ce</v>
          </cell>
          <cell r="F2451" t="str">
            <v>台</v>
          </cell>
          <cell r="G2451"/>
          <cell r="H2451">
            <v>10400</v>
          </cell>
          <cell r="I2451"/>
          <cell r="J2451">
            <v>10400</v>
          </cell>
          <cell r="K2451"/>
          <cell r="L2451">
            <v>10400</v>
          </cell>
          <cell r="M2451"/>
          <cell r="N2451">
            <v>10400</v>
          </cell>
          <cell r="O2451"/>
          <cell r="P2451">
            <v>10400</v>
          </cell>
          <cell r="Q2451"/>
          <cell r="R2451">
            <v>10400</v>
          </cell>
          <cell r="S2451"/>
          <cell r="T2451">
            <v>10400</v>
          </cell>
          <cell r="U2451"/>
          <cell r="V2451">
            <v>10400</v>
          </cell>
          <cell r="W2451"/>
          <cell r="X2451">
            <v>10400</v>
          </cell>
          <cell r="Y2451"/>
          <cell r="Z2451">
            <v>10400</v>
          </cell>
          <cell r="AA2451"/>
          <cell r="AB2451"/>
          <cell r="AC2451"/>
          <cell r="AD2451">
            <v>0.14099999999999999</v>
          </cell>
          <cell r="AE2451"/>
          <cell r="AF2451"/>
          <cell r="AG2451"/>
          <cell r="AH2451">
            <v>2</v>
          </cell>
          <cell r="AI2451">
            <v>0.47599999999999998</v>
          </cell>
          <cell r="AJ2451">
            <v>1</v>
          </cell>
          <cell r="AK2451">
            <v>4.2</v>
          </cell>
          <cell r="AL2451"/>
        </row>
        <row r="2452">
          <cell r="E2452" t="str">
            <v>Xh1-Ce60</v>
          </cell>
          <cell r="F2452" t="str">
            <v>台</v>
          </cell>
          <cell r="G2452"/>
          <cell r="H2452">
            <v>23800</v>
          </cell>
          <cell r="I2452"/>
          <cell r="J2452">
            <v>23800</v>
          </cell>
          <cell r="K2452"/>
          <cell r="L2452">
            <v>23800</v>
          </cell>
          <cell r="M2452"/>
          <cell r="N2452">
            <v>23800</v>
          </cell>
          <cell r="O2452"/>
          <cell r="P2452">
            <v>23800</v>
          </cell>
          <cell r="Q2452"/>
          <cell r="R2452">
            <v>23800</v>
          </cell>
          <cell r="S2452"/>
          <cell r="T2452">
            <v>23800</v>
          </cell>
          <cell r="U2452"/>
          <cell r="V2452">
            <v>23800</v>
          </cell>
          <cell r="W2452"/>
          <cell r="X2452">
            <v>23800</v>
          </cell>
          <cell r="Y2452"/>
          <cell r="Z2452">
            <v>23800</v>
          </cell>
          <cell r="AA2452"/>
          <cell r="AB2452"/>
          <cell r="AC2452"/>
          <cell r="AD2452">
            <v>0.14099999999999999</v>
          </cell>
          <cell r="AE2452"/>
          <cell r="AF2452"/>
          <cell r="AG2452"/>
          <cell r="AH2452">
            <v>2.1</v>
          </cell>
          <cell r="AI2452">
            <v>0.47699999999999998</v>
          </cell>
          <cell r="AJ2452">
            <v>1</v>
          </cell>
          <cell r="AK2452">
            <v>4.4000000000000004</v>
          </cell>
          <cell r="AL2452"/>
        </row>
        <row r="2453">
          <cell r="E2453" t="str">
            <v>Xh1-BLe</v>
          </cell>
          <cell r="F2453" t="str">
            <v>台</v>
          </cell>
          <cell r="G2453"/>
          <cell r="H2453">
            <v>15500</v>
          </cell>
          <cell r="I2453"/>
          <cell r="J2453">
            <v>15500</v>
          </cell>
          <cell r="K2453"/>
          <cell r="L2453">
            <v>15500</v>
          </cell>
          <cell r="M2453"/>
          <cell r="N2453">
            <v>15500</v>
          </cell>
          <cell r="O2453"/>
          <cell r="P2453">
            <v>15500</v>
          </cell>
          <cell r="Q2453"/>
          <cell r="R2453">
            <v>15500</v>
          </cell>
          <cell r="S2453"/>
          <cell r="T2453">
            <v>15500</v>
          </cell>
          <cell r="U2453"/>
          <cell r="V2453">
            <v>15500</v>
          </cell>
          <cell r="W2453"/>
          <cell r="X2453">
            <v>15500</v>
          </cell>
          <cell r="Y2453"/>
          <cell r="Z2453">
            <v>15500</v>
          </cell>
          <cell r="AA2453"/>
          <cell r="AB2453"/>
          <cell r="AC2453"/>
          <cell r="AD2453">
            <v>0.16200000000000001</v>
          </cell>
          <cell r="AE2453"/>
          <cell r="AF2453"/>
          <cell r="AG2453"/>
          <cell r="AH2453">
            <v>2.7</v>
          </cell>
          <cell r="AI2453">
            <v>0.5</v>
          </cell>
          <cell r="AJ2453">
            <v>1</v>
          </cell>
          <cell r="AK2453">
            <v>5.4</v>
          </cell>
          <cell r="AL2453"/>
        </row>
        <row r="2454">
          <cell r="E2454" t="str">
            <v>Xh1-BLe60</v>
          </cell>
          <cell r="F2454" t="str">
            <v>台</v>
          </cell>
          <cell r="G2454"/>
          <cell r="H2454">
            <v>28200</v>
          </cell>
          <cell r="I2454"/>
          <cell r="J2454">
            <v>28200</v>
          </cell>
          <cell r="K2454"/>
          <cell r="L2454">
            <v>28200</v>
          </cell>
          <cell r="M2454"/>
          <cell r="N2454">
            <v>28200</v>
          </cell>
          <cell r="O2454"/>
          <cell r="P2454">
            <v>28200</v>
          </cell>
          <cell r="Q2454"/>
          <cell r="R2454">
            <v>28200</v>
          </cell>
          <cell r="S2454"/>
          <cell r="T2454">
            <v>28200</v>
          </cell>
          <cell r="U2454"/>
          <cell r="V2454">
            <v>28200</v>
          </cell>
          <cell r="W2454"/>
          <cell r="X2454">
            <v>28200</v>
          </cell>
          <cell r="Y2454"/>
          <cell r="Z2454">
            <v>28200</v>
          </cell>
          <cell r="AA2454"/>
          <cell r="AB2454"/>
          <cell r="AC2454"/>
          <cell r="AD2454">
            <v>0.16200000000000001</v>
          </cell>
          <cell r="AE2454"/>
          <cell r="AF2454"/>
          <cell r="AG2454"/>
          <cell r="AH2454">
            <v>2.7</v>
          </cell>
          <cell r="AI2454">
            <v>0.5</v>
          </cell>
          <cell r="AJ2454">
            <v>1</v>
          </cell>
          <cell r="AK2454">
            <v>5.4</v>
          </cell>
          <cell r="AL2454"/>
        </row>
        <row r="2455">
          <cell r="E2455" t="str">
            <v>Xh1-BHe</v>
          </cell>
          <cell r="F2455" t="str">
            <v>台</v>
          </cell>
          <cell r="G2455"/>
          <cell r="H2455">
            <v>22900</v>
          </cell>
          <cell r="I2455"/>
          <cell r="J2455">
            <v>22900</v>
          </cell>
          <cell r="K2455"/>
          <cell r="L2455">
            <v>22900</v>
          </cell>
          <cell r="M2455"/>
          <cell r="N2455">
            <v>22900</v>
          </cell>
          <cell r="O2455"/>
          <cell r="P2455">
            <v>22900</v>
          </cell>
          <cell r="Q2455"/>
          <cell r="R2455">
            <v>22900</v>
          </cell>
          <cell r="S2455"/>
          <cell r="T2455">
            <v>22900</v>
          </cell>
          <cell r="U2455"/>
          <cell r="V2455">
            <v>22900</v>
          </cell>
          <cell r="W2455"/>
          <cell r="X2455">
            <v>22900</v>
          </cell>
          <cell r="Y2455"/>
          <cell r="Z2455">
            <v>22900</v>
          </cell>
          <cell r="AA2455"/>
          <cell r="AB2455"/>
          <cell r="AC2455"/>
          <cell r="AD2455">
            <v>0.16200000000000001</v>
          </cell>
          <cell r="AE2455"/>
          <cell r="AF2455"/>
          <cell r="AG2455"/>
          <cell r="AH2455">
            <v>3.6</v>
          </cell>
          <cell r="AI2455">
            <v>0.51400000000000001</v>
          </cell>
          <cell r="AJ2455">
            <v>1</v>
          </cell>
          <cell r="AK2455">
            <v>7</v>
          </cell>
          <cell r="AL2455"/>
        </row>
        <row r="2456">
          <cell r="E2456" t="str">
            <v>Xh1-BHe60</v>
          </cell>
          <cell r="F2456" t="str">
            <v>台</v>
          </cell>
          <cell r="G2456"/>
          <cell r="H2456">
            <v>35900</v>
          </cell>
          <cell r="I2456"/>
          <cell r="J2456">
            <v>35900</v>
          </cell>
          <cell r="K2456"/>
          <cell r="L2456">
            <v>35900</v>
          </cell>
          <cell r="M2456"/>
          <cell r="N2456">
            <v>35900</v>
          </cell>
          <cell r="O2456"/>
          <cell r="P2456">
            <v>35900</v>
          </cell>
          <cell r="Q2456"/>
          <cell r="R2456">
            <v>35900</v>
          </cell>
          <cell r="S2456"/>
          <cell r="T2456">
            <v>35900</v>
          </cell>
          <cell r="U2456"/>
          <cell r="V2456">
            <v>35900</v>
          </cell>
          <cell r="W2456"/>
          <cell r="X2456">
            <v>35900</v>
          </cell>
          <cell r="Y2456"/>
          <cell r="Z2456">
            <v>35900</v>
          </cell>
          <cell r="AA2456"/>
          <cell r="AB2456"/>
          <cell r="AC2456"/>
          <cell r="AD2456">
            <v>0.16200000000000001</v>
          </cell>
          <cell r="AE2456"/>
          <cell r="AF2456"/>
          <cell r="AG2456"/>
          <cell r="AH2456">
            <v>3.7</v>
          </cell>
          <cell r="AI2456">
            <v>0.52900000000000003</v>
          </cell>
          <cell r="AJ2456">
            <v>1</v>
          </cell>
          <cell r="AK2456">
            <v>6.99</v>
          </cell>
          <cell r="AL2456"/>
        </row>
        <row r="2457">
          <cell r="E2457" t="str">
            <v>Xh1-Ae</v>
          </cell>
          <cell r="F2457" t="str">
            <v>台</v>
          </cell>
          <cell r="G2457"/>
          <cell r="H2457">
            <v>45600</v>
          </cell>
          <cell r="I2457"/>
          <cell r="J2457">
            <v>45600</v>
          </cell>
          <cell r="K2457"/>
          <cell r="L2457">
            <v>45600</v>
          </cell>
          <cell r="M2457"/>
          <cell r="N2457">
            <v>45600</v>
          </cell>
          <cell r="O2457"/>
          <cell r="P2457">
            <v>45600</v>
          </cell>
          <cell r="Q2457"/>
          <cell r="R2457">
            <v>45600</v>
          </cell>
          <cell r="S2457"/>
          <cell r="T2457">
            <v>45600</v>
          </cell>
          <cell r="U2457"/>
          <cell r="V2457">
            <v>45600</v>
          </cell>
          <cell r="W2457"/>
          <cell r="X2457">
            <v>45600</v>
          </cell>
          <cell r="Y2457"/>
          <cell r="Z2457">
            <v>45600</v>
          </cell>
          <cell r="AA2457"/>
          <cell r="AB2457"/>
          <cell r="AC2457"/>
          <cell r="AD2457">
            <v>0.26100000000000001</v>
          </cell>
          <cell r="AE2457"/>
          <cell r="AF2457"/>
          <cell r="AG2457"/>
          <cell r="AH2457">
            <v>10.5</v>
          </cell>
          <cell r="AI2457">
            <v>0.55300000000000005</v>
          </cell>
          <cell r="AJ2457">
            <v>1</v>
          </cell>
          <cell r="AK2457">
            <v>18.98</v>
          </cell>
          <cell r="AL2457"/>
        </row>
        <row r="2458">
          <cell r="E2458" t="str">
            <v>Xh1AF-BLe</v>
          </cell>
          <cell r="F2458" t="str">
            <v>台</v>
          </cell>
          <cell r="G2458"/>
          <cell r="H2458">
            <v>47700</v>
          </cell>
          <cell r="I2458"/>
          <cell r="J2458">
            <v>47700</v>
          </cell>
          <cell r="K2458"/>
          <cell r="L2458">
            <v>47700</v>
          </cell>
          <cell r="M2458"/>
          <cell r="N2458">
            <v>47700</v>
          </cell>
          <cell r="O2458"/>
          <cell r="P2458">
            <v>47700</v>
          </cell>
          <cell r="Q2458"/>
          <cell r="R2458">
            <v>47700</v>
          </cell>
          <cell r="S2458"/>
          <cell r="T2458">
            <v>47700</v>
          </cell>
          <cell r="U2458"/>
          <cell r="V2458">
            <v>47700</v>
          </cell>
          <cell r="W2458"/>
          <cell r="X2458">
            <v>47700</v>
          </cell>
          <cell r="Y2458"/>
          <cell r="Z2458">
            <v>47700</v>
          </cell>
          <cell r="AA2458"/>
          <cell r="AB2458"/>
          <cell r="AC2458"/>
          <cell r="AD2458">
            <v>0.16200000000000001</v>
          </cell>
          <cell r="AE2458"/>
          <cell r="AF2458"/>
          <cell r="AG2458"/>
          <cell r="AH2458">
            <v>4.5999999999999996</v>
          </cell>
          <cell r="AI2458">
            <v>0.63900000000000001</v>
          </cell>
          <cell r="AJ2458">
            <v>1</v>
          </cell>
          <cell r="AK2458">
            <v>7.19</v>
          </cell>
          <cell r="AL2458"/>
        </row>
        <row r="2459">
          <cell r="E2459" t="str">
            <v>Xh1AF-BLe60</v>
          </cell>
          <cell r="F2459" t="str">
            <v>台</v>
          </cell>
          <cell r="G2459"/>
          <cell r="H2459">
            <v>82800</v>
          </cell>
          <cell r="I2459"/>
          <cell r="J2459">
            <v>82800</v>
          </cell>
          <cell r="K2459"/>
          <cell r="L2459">
            <v>82800</v>
          </cell>
          <cell r="M2459"/>
          <cell r="N2459">
            <v>82800</v>
          </cell>
          <cell r="O2459"/>
          <cell r="P2459">
            <v>82800</v>
          </cell>
          <cell r="Q2459"/>
          <cell r="R2459">
            <v>82800</v>
          </cell>
          <cell r="S2459"/>
          <cell r="T2459">
            <v>82800</v>
          </cell>
          <cell r="U2459"/>
          <cell r="V2459">
            <v>82800</v>
          </cell>
          <cell r="W2459"/>
          <cell r="X2459">
            <v>82800</v>
          </cell>
          <cell r="Y2459"/>
          <cell r="Z2459">
            <v>82800</v>
          </cell>
          <cell r="AA2459"/>
          <cell r="AB2459"/>
          <cell r="AC2459"/>
          <cell r="AD2459">
            <v>0.16200000000000001</v>
          </cell>
          <cell r="AE2459"/>
          <cell r="AF2459"/>
          <cell r="AG2459"/>
          <cell r="AH2459">
            <v>5.8</v>
          </cell>
          <cell r="AI2459">
            <v>0.71599999999999997</v>
          </cell>
          <cell r="AJ2459">
            <v>1</v>
          </cell>
          <cell r="AK2459">
            <v>8.1</v>
          </cell>
          <cell r="AL2459"/>
        </row>
        <row r="2460">
          <cell r="E2460" t="str">
            <v>Xh1AF-BHe</v>
          </cell>
          <cell r="F2460" t="str">
            <v>台</v>
          </cell>
          <cell r="G2460"/>
          <cell r="H2460">
            <v>55800</v>
          </cell>
          <cell r="I2460"/>
          <cell r="J2460">
            <v>55800</v>
          </cell>
          <cell r="K2460"/>
          <cell r="L2460">
            <v>55800</v>
          </cell>
          <cell r="M2460"/>
          <cell r="N2460">
            <v>55800</v>
          </cell>
          <cell r="O2460"/>
          <cell r="P2460">
            <v>55800</v>
          </cell>
          <cell r="Q2460"/>
          <cell r="R2460">
            <v>55800</v>
          </cell>
          <cell r="S2460"/>
          <cell r="T2460">
            <v>55800</v>
          </cell>
          <cell r="U2460"/>
          <cell r="V2460">
            <v>55800</v>
          </cell>
          <cell r="W2460"/>
          <cell r="X2460">
            <v>55800</v>
          </cell>
          <cell r="Y2460"/>
          <cell r="Z2460">
            <v>55800</v>
          </cell>
          <cell r="AA2460"/>
          <cell r="AB2460"/>
          <cell r="AC2460"/>
          <cell r="AD2460">
            <v>0.16200000000000001</v>
          </cell>
          <cell r="AE2460"/>
          <cell r="AF2460"/>
          <cell r="AG2460"/>
          <cell r="AH2460">
            <v>5.6</v>
          </cell>
          <cell r="AI2460">
            <v>0.63600000000000001</v>
          </cell>
          <cell r="AJ2460">
            <v>1</v>
          </cell>
          <cell r="AK2460">
            <v>8.8000000000000007</v>
          </cell>
          <cell r="AL2460"/>
        </row>
        <row r="2461">
          <cell r="E2461" t="str">
            <v>Xh1AF-BHe60</v>
          </cell>
          <cell r="F2461" t="str">
            <v>台</v>
          </cell>
          <cell r="G2461"/>
          <cell r="H2461">
            <v>92200</v>
          </cell>
          <cell r="I2461"/>
          <cell r="J2461">
            <v>92200</v>
          </cell>
          <cell r="K2461"/>
          <cell r="L2461">
            <v>92200</v>
          </cell>
          <cell r="M2461"/>
          <cell r="N2461">
            <v>92200</v>
          </cell>
          <cell r="O2461"/>
          <cell r="P2461">
            <v>92200</v>
          </cell>
          <cell r="Q2461"/>
          <cell r="R2461">
            <v>92200</v>
          </cell>
          <cell r="S2461"/>
          <cell r="T2461">
            <v>92200</v>
          </cell>
          <cell r="U2461"/>
          <cell r="V2461">
            <v>92200</v>
          </cell>
          <cell r="W2461"/>
          <cell r="X2461">
            <v>92200</v>
          </cell>
          <cell r="Y2461"/>
          <cell r="Z2461">
            <v>92200</v>
          </cell>
          <cell r="AA2461"/>
          <cell r="AB2461"/>
          <cell r="AC2461"/>
          <cell r="AD2461">
            <v>0.16200000000000001</v>
          </cell>
          <cell r="AE2461"/>
          <cell r="AF2461"/>
          <cell r="AG2461"/>
          <cell r="AH2461">
            <v>6.7</v>
          </cell>
          <cell r="AI2461">
            <v>0.69099999999999995</v>
          </cell>
          <cell r="AJ2461">
            <v>1</v>
          </cell>
          <cell r="AK2461">
            <v>9.69</v>
          </cell>
          <cell r="AL2461"/>
        </row>
        <row r="2462">
          <cell r="E2462" t="str">
            <v>Xh1F-BLe</v>
          </cell>
          <cell r="F2462" t="str">
            <v>台</v>
          </cell>
          <cell r="G2462"/>
          <cell r="H2462">
            <v>39000</v>
          </cell>
          <cell r="I2462"/>
          <cell r="J2462">
            <v>39000</v>
          </cell>
          <cell r="K2462"/>
          <cell r="L2462">
            <v>39000</v>
          </cell>
          <cell r="M2462"/>
          <cell r="N2462">
            <v>39000</v>
          </cell>
          <cell r="O2462"/>
          <cell r="P2462">
            <v>39000</v>
          </cell>
          <cell r="Q2462"/>
          <cell r="R2462">
            <v>39000</v>
          </cell>
          <cell r="S2462"/>
          <cell r="T2462">
            <v>39000</v>
          </cell>
          <cell r="U2462"/>
          <cell r="V2462">
            <v>39000</v>
          </cell>
          <cell r="W2462"/>
          <cell r="X2462">
            <v>39000</v>
          </cell>
          <cell r="Y2462"/>
          <cell r="Z2462">
            <v>39000</v>
          </cell>
          <cell r="AA2462"/>
          <cell r="AB2462"/>
          <cell r="AC2462"/>
          <cell r="AD2462">
            <v>0.16200000000000001</v>
          </cell>
          <cell r="AE2462"/>
          <cell r="AF2462"/>
          <cell r="AG2462"/>
          <cell r="AH2462">
            <v>4.4000000000000004</v>
          </cell>
          <cell r="AI2462">
            <v>0.64700000000000002</v>
          </cell>
          <cell r="AJ2462">
            <v>1</v>
          </cell>
          <cell r="AK2462">
            <v>6.8</v>
          </cell>
          <cell r="AL2462"/>
        </row>
        <row r="2463">
          <cell r="E2463" t="str">
            <v>Xh1F-BLe60</v>
          </cell>
          <cell r="F2463" t="str">
            <v>台</v>
          </cell>
          <cell r="G2463"/>
          <cell r="H2463">
            <v>71900</v>
          </cell>
          <cell r="I2463"/>
          <cell r="J2463">
            <v>71900</v>
          </cell>
          <cell r="K2463"/>
          <cell r="L2463">
            <v>71900</v>
          </cell>
          <cell r="M2463"/>
          <cell r="N2463">
            <v>71900</v>
          </cell>
          <cell r="O2463"/>
          <cell r="P2463">
            <v>71900</v>
          </cell>
          <cell r="Q2463"/>
          <cell r="R2463">
            <v>71900</v>
          </cell>
          <cell r="S2463"/>
          <cell r="T2463">
            <v>71900</v>
          </cell>
          <cell r="U2463"/>
          <cell r="V2463">
            <v>71900</v>
          </cell>
          <cell r="W2463"/>
          <cell r="X2463">
            <v>71900</v>
          </cell>
          <cell r="Y2463"/>
          <cell r="Z2463">
            <v>71900</v>
          </cell>
          <cell r="AA2463"/>
          <cell r="AB2463"/>
          <cell r="AC2463"/>
          <cell r="AD2463">
            <v>0.16200000000000001</v>
          </cell>
          <cell r="AE2463"/>
          <cell r="AF2463"/>
          <cell r="AG2463"/>
          <cell r="AH2463">
            <v>5.4</v>
          </cell>
          <cell r="AI2463">
            <v>0.73</v>
          </cell>
          <cell r="AJ2463">
            <v>1</v>
          </cell>
          <cell r="AK2463">
            <v>7.39</v>
          </cell>
          <cell r="AL2463"/>
        </row>
        <row r="2464">
          <cell r="E2464" t="str">
            <v>Xh1F-BHe</v>
          </cell>
          <cell r="F2464" t="str">
            <v>台</v>
          </cell>
          <cell r="G2464"/>
          <cell r="H2464">
            <v>47400</v>
          </cell>
          <cell r="I2464"/>
          <cell r="J2464">
            <v>47400</v>
          </cell>
          <cell r="K2464"/>
          <cell r="L2464">
            <v>47400</v>
          </cell>
          <cell r="M2464"/>
          <cell r="N2464">
            <v>47400</v>
          </cell>
          <cell r="O2464"/>
          <cell r="P2464">
            <v>47400</v>
          </cell>
          <cell r="Q2464"/>
          <cell r="R2464">
            <v>47400</v>
          </cell>
          <cell r="S2464"/>
          <cell r="T2464">
            <v>47400</v>
          </cell>
          <cell r="U2464"/>
          <cell r="V2464">
            <v>47400</v>
          </cell>
          <cell r="W2464"/>
          <cell r="X2464">
            <v>47400</v>
          </cell>
          <cell r="Y2464"/>
          <cell r="Z2464">
            <v>47400</v>
          </cell>
          <cell r="AA2464"/>
          <cell r="AB2464"/>
          <cell r="AC2464"/>
          <cell r="AD2464">
            <v>0.16200000000000001</v>
          </cell>
          <cell r="AE2464"/>
          <cell r="AF2464"/>
          <cell r="AG2464"/>
          <cell r="AH2464">
            <v>5.4</v>
          </cell>
          <cell r="AI2464">
            <v>0.64300000000000002</v>
          </cell>
          <cell r="AJ2464">
            <v>1</v>
          </cell>
          <cell r="AK2464">
            <v>8.39</v>
          </cell>
          <cell r="AL2464"/>
        </row>
        <row r="2465">
          <cell r="E2465" t="str">
            <v>Xh1F-BHe60</v>
          </cell>
          <cell r="F2465" t="str">
            <v>台</v>
          </cell>
          <cell r="G2465"/>
          <cell r="H2465">
            <v>80300</v>
          </cell>
          <cell r="I2465"/>
          <cell r="J2465">
            <v>80300</v>
          </cell>
          <cell r="K2465"/>
          <cell r="L2465">
            <v>80300</v>
          </cell>
          <cell r="M2465"/>
          <cell r="N2465">
            <v>80300</v>
          </cell>
          <cell r="O2465"/>
          <cell r="P2465">
            <v>80300</v>
          </cell>
          <cell r="Q2465"/>
          <cell r="R2465">
            <v>80300</v>
          </cell>
          <cell r="S2465"/>
          <cell r="T2465">
            <v>80300</v>
          </cell>
          <cell r="U2465"/>
          <cell r="V2465">
            <v>80300</v>
          </cell>
          <cell r="W2465"/>
          <cell r="X2465">
            <v>80300</v>
          </cell>
          <cell r="Y2465"/>
          <cell r="Z2465">
            <v>80300</v>
          </cell>
          <cell r="AA2465"/>
          <cell r="AB2465"/>
          <cell r="AC2465"/>
          <cell r="AD2465">
            <v>0.16200000000000001</v>
          </cell>
          <cell r="AE2465"/>
          <cell r="AF2465"/>
          <cell r="AG2465"/>
          <cell r="AH2465">
            <v>6.3</v>
          </cell>
          <cell r="AI2465">
            <v>0.7</v>
          </cell>
          <cell r="AJ2465">
            <v>1</v>
          </cell>
          <cell r="AK2465">
            <v>9</v>
          </cell>
          <cell r="AL2465"/>
        </row>
        <row r="2466">
          <cell r="E2466" t="str">
            <v>■避難口(両面直付)</v>
          </cell>
          <cell r="F2466"/>
          <cell r="G2466"/>
          <cell r="H2466"/>
          <cell r="I2466"/>
          <cell r="J2466"/>
          <cell r="K2466"/>
          <cell r="L2466"/>
          <cell r="M2466"/>
          <cell r="N2466"/>
          <cell r="O2466"/>
          <cell r="P2466"/>
          <cell r="Q2466"/>
          <cell r="R2466"/>
          <cell r="S2466"/>
          <cell r="T2466"/>
          <cell r="U2466"/>
          <cell r="V2466"/>
          <cell r="W2466"/>
          <cell r="X2466"/>
          <cell r="Y2466"/>
          <cell r="Z2466"/>
          <cell r="AA2466"/>
          <cell r="AB2466"/>
          <cell r="AC2466"/>
          <cell r="AD2466"/>
          <cell r="AE2466"/>
          <cell r="AF2466"/>
          <cell r="AG2466"/>
          <cell r="AH2466"/>
          <cell r="AI2466"/>
          <cell r="AJ2466"/>
          <cell r="AK2466"/>
          <cell r="AL2466"/>
        </row>
        <row r="2467">
          <cell r="E2467" t="str">
            <v>Xh2-Ce</v>
          </cell>
          <cell r="F2467" t="str">
            <v>台</v>
          </cell>
          <cell r="G2467"/>
          <cell r="H2467">
            <v>11600</v>
          </cell>
          <cell r="I2467"/>
          <cell r="J2467">
            <v>11600</v>
          </cell>
          <cell r="K2467"/>
          <cell r="L2467">
            <v>11600</v>
          </cell>
          <cell r="M2467"/>
          <cell r="N2467">
            <v>11600</v>
          </cell>
          <cell r="O2467"/>
          <cell r="P2467">
            <v>11600</v>
          </cell>
          <cell r="Q2467"/>
          <cell r="R2467">
            <v>11600</v>
          </cell>
          <cell r="S2467"/>
          <cell r="T2467">
            <v>11600</v>
          </cell>
          <cell r="U2467"/>
          <cell r="V2467">
            <v>11600</v>
          </cell>
          <cell r="W2467"/>
          <cell r="X2467">
            <v>11600</v>
          </cell>
          <cell r="Y2467"/>
          <cell r="Z2467">
            <v>11600</v>
          </cell>
          <cell r="AA2467"/>
          <cell r="AB2467"/>
          <cell r="AC2467"/>
          <cell r="AD2467">
            <v>0.14099999999999999</v>
          </cell>
          <cell r="AE2467"/>
          <cell r="AF2467"/>
          <cell r="AG2467"/>
          <cell r="AH2467">
            <v>2.6</v>
          </cell>
          <cell r="AI2467">
            <v>0.49099999999999999</v>
          </cell>
          <cell r="AJ2467">
            <v>1</v>
          </cell>
          <cell r="AK2467">
            <v>5.29</v>
          </cell>
          <cell r="AL2467"/>
        </row>
        <row r="2468">
          <cell r="E2468" t="str">
            <v>Xh2-Ce60</v>
          </cell>
          <cell r="F2468" t="str">
            <v>台</v>
          </cell>
          <cell r="G2468"/>
          <cell r="H2468">
            <v>26700</v>
          </cell>
          <cell r="I2468"/>
          <cell r="J2468">
            <v>26700</v>
          </cell>
          <cell r="K2468"/>
          <cell r="L2468">
            <v>26700</v>
          </cell>
          <cell r="M2468"/>
          <cell r="N2468">
            <v>26700</v>
          </cell>
          <cell r="O2468"/>
          <cell r="P2468">
            <v>26700</v>
          </cell>
          <cell r="Q2468"/>
          <cell r="R2468">
            <v>26700</v>
          </cell>
          <cell r="S2468"/>
          <cell r="T2468">
            <v>26700</v>
          </cell>
          <cell r="U2468"/>
          <cell r="V2468">
            <v>26700</v>
          </cell>
          <cell r="W2468"/>
          <cell r="X2468">
            <v>26700</v>
          </cell>
          <cell r="Y2468"/>
          <cell r="Z2468">
            <v>26700</v>
          </cell>
          <cell r="AA2468"/>
          <cell r="AB2468"/>
          <cell r="AC2468"/>
          <cell r="AD2468">
            <v>0.14099999999999999</v>
          </cell>
          <cell r="AE2468"/>
          <cell r="AF2468"/>
          <cell r="AG2468"/>
          <cell r="AH2468">
            <v>2.6</v>
          </cell>
          <cell r="AI2468">
            <v>0.49099999999999999</v>
          </cell>
          <cell r="AJ2468">
            <v>1</v>
          </cell>
          <cell r="AK2468">
            <v>5.29</v>
          </cell>
          <cell r="AL2468"/>
        </row>
        <row r="2469">
          <cell r="E2469" t="str">
            <v>Xh2-BLe</v>
          </cell>
          <cell r="F2469" t="str">
            <v>台</v>
          </cell>
          <cell r="G2469"/>
          <cell r="H2469">
            <v>17200</v>
          </cell>
          <cell r="I2469"/>
          <cell r="J2469">
            <v>17200</v>
          </cell>
          <cell r="K2469"/>
          <cell r="L2469">
            <v>17200</v>
          </cell>
          <cell r="M2469"/>
          <cell r="N2469">
            <v>17200</v>
          </cell>
          <cell r="O2469"/>
          <cell r="P2469">
            <v>17200</v>
          </cell>
          <cell r="Q2469"/>
          <cell r="R2469">
            <v>17200</v>
          </cell>
          <cell r="S2469"/>
          <cell r="T2469">
            <v>17200</v>
          </cell>
          <cell r="U2469"/>
          <cell r="V2469">
            <v>17200</v>
          </cell>
          <cell r="W2469"/>
          <cell r="X2469">
            <v>17200</v>
          </cell>
          <cell r="Y2469"/>
          <cell r="Z2469">
            <v>17200</v>
          </cell>
          <cell r="AA2469"/>
          <cell r="AB2469"/>
          <cell r="AC2469"/>
          <cell r="AD2469">
            <v>0.16200000000000001</v>
          </cell>
          <cell r="AE2469"/>
          <cell r="AF2469"/>
          <cell r="AG2469"/>
          <cell r="AH2469">
            <v>3.6</v>
          </cell>
          <cell r="AI2469">
            <v>0.52900000000000003</v>
          </cell>
          <cell r="AJ2469">
            <v>1</v>
          </cell>
          <cell r="AK2469">
            <v>6.8</v>
          </cell>
          <cell r="AL2469"/>
        </row>
        <row r="2470">
          <cell r="E2470" t="str">
            <v>Xh2-BLe60</v>
          </cell>
          <cell r="F2470" t="str">
            <v>台</v>
          </cell>
          <cell r="G2470"/>
          <cell r="H2470">
            <v>31200</v>
          </cell>
          <cell r="I2470"/>
          <cell r="J2470">
            <v>31200</v>
          </cell>
          <cell r="K2470"/>
          <cell r="L2470">
            <v>31200</v>
          </cell>
          <cell r="M2470"/>
          <cell r="N2470">
            <v>31200</v>
          </cell>
          <cell r="O2470"/>
          <cell r="P2470">
            <v>31200</v>
          </cell>
          <cell r="Q2470"/>
          <cell r="R2470">
            <v>31200</v>
          </cell>
          <cell r="S2470"/>
          <cell r="T2470">
            <v>31200</v>
          </cell>
          <cell r="U2470"/>
          <cell r="V2470">
            <v>31200</v>
          </cell>
          <cell r="W2470"/>
          <cell r="X2470">
            <v>31200</v>
          </cell>
          <cell r="Y2470"/>
          <cell r="Z2470">
            <v>31200</v>
          </cell>
          <cell r="AA2470"/>
          <cell r="AB2470"/>
          <cell r="AC2470"/>
          <cell r="AD2470">
            <v>0.16200000000000001</v>
          </cell>
          <cell r="AE2470"/>
          <cell r="AF2470"/>
          <cell r="AG2470"/>
          <cell r="AH2470">
            <v>3.7</v>
          </cell>
          <cell r="AI2470">
            <v>0.52100000000000002</v>
          </cell>
          <cell r="AJ2470">
            <v>1</v>
          </cell>
          <cell r="AK2470">
            <v>7.1</v>
          </cell>
          <cell r="AL2470"/>
        </row>
        <row r="2471">
          <cell r="E2471" t="str">
            <v>Xh2-BHe</v>
          </cell>
          <cell r="F2471" t="str">
            <v>台</v>
          </cell>
          <cell r="G2471"/>
          <cell r="H2471">
            <v>27300</v>
          </cell>
          <cell r="I2471"/>
          <cell r="J2471">
            <v>27300</v>
          </cell>
          <cell r="K2471"/>
          <cell r="L2471">
            <v>27300</v>
          </cell>
          <cell r="M2471"/>
          <cell r="N2471">
            <v>27300</v>
          </cell>
          <cell r="O2471"/>
          <cell r="P2471">
            <v>27300</v>
          </cell>
          <cell r="Q2471"/>
          <cell r="R2471">
            <v>27300</v>
          </cell>
          <cell r="S2471"/>
          <cell r="T2471">
            <v>27300</v>
          </cell>
          <cell r="U2471"/>
          <cell r="V2471">
            <v>27300</v>
          </cell>
          <cell r="W2471"/>
          <cell r="X2471">
            <v>27300</v>
          </cell>
          <cell r="Y2471"/>
          <cell r="Z2471">
            <v>27300</v>
          </cell>
          <cell r="AA2471"/>
          <cell r="AB2471"/>
          <cell r="AC2471"/>
          <cell r="AD2471">
            <v>0.16200000000000001</v>
          </cell>
          <cell r="AE2471"/>
          <cell r="AF2471"/>
          <cell r="AG2471"/>
          <cell r="AH2471">
            <v>5.4</v>
          </cell>
          <cell r="AI2471">
            <v>0.54</v>
          </cell>
          <cell r="AJ2471">
            <v>1</v>
          </cell>
          <cell r="AK2471">
            <v>10</v>
          </cell>
          <cell r="AL2471"/>
        </row>
        <row r="2472">
          <cell r="E2472" t="str">
            <v>Xh2-BHe60</v>
          </cell>
          <cell r="F2472" t="str">
            <v>台</v>
          </cell>
          <cell r="G2472"/>
          <cell r="H2472">
            <v>41200</v>
          </cell>
          <cell r="I2472"/>
          <cell r="J2472">
            <v>41200</v>
          </cell>
          <cell r="K2472"/>
          <cell r="L2472">
            <v>41200</v>
          </cell>
          <cell r="M2472"/>
          <cell r="N2472">
            <v>41200</v>
          </cell>
          <cell r="O2472"/>
          <cell r="P2472">
            <v>41200</v>
          </cell>
          <cell r="Q2472"/>
          <cell r="R2472">
            <v>41200</v>
          </cell>
          <cell r="S2472"/>
          <cell r="T2472">
            <v>41200</v>
          </cell>
          <cell r="U2472"/>
          <cell r="V2472">
            <v>41200</v>
          </cell>
          <cell r="W2472"/>
          <cell r="X2472">
            <v>41200</v>
          </cell>
          <cell r="Y2472"/>
          <cell r="Z2472">
            <v>41200</v>
          </cell>
          <cell r="AA2472"/>
          <cell r="AB2472"/>
          <cell r="AC2472"/>
          <cell r="AD2472">
            <v>0.16200000000000001</v>
          </cell>
          <cell r="AE2472"/>
          <cell r="AF2472"/>
          <cell r="AG2472"/>
          <cell r="AH2472">
            <v>5.5</v>
          </cell>
          <cell r="AI2472">
            <v>0.55000000000000004</v>
          </cell>
          <cell r="AJ2472">
            <v>1</v>
          </cell>
          <cell r="AK2472">
            <v>10</v>
          </cell>
          <cell r="AL2472"/>
        </row>
        <row r="2473">
          <cell r="E2473" t="str">
            <v>Xh2-Ae</v>
          </cell>
          <cell r="F2473" t="str">
            <v>台</v>
          </cell>
          <cell r="G2473"/>
          <cell r="H2473">
            <v>75200</v>
          </cell>
          <cell r="I2473"/>
          <cell r="J2473">
            <v>75200</v>
          </cell>
          <cell r="K2473"/>
          <cell r="L2473">
            <v>75200</v>
          </cell>
          <cell r="M2473"/>
          <cell r="N2473">
            <v>75200</v>
          </cell>
          <cell r="O2473"/>
          <cell r="P2473">
            <v>75200</v>
          </cell>
          <cell r="Q2473"/>
          <cell r="R2473">
            <v>75200</v>
          </cell>
          <cell r="S2473"/>
          <cell r="T2473">
            <v>75200</v>
          </cell>
          <cell r="U2473"/>
          <cell r="V2473">
            <v>75200</v>
          </cell>
          <cell r="W2473"/>
          <cell r="X2473">
            <v>75200</v>
          </cell>
          <cell r="Y2473"/>
          <cell r="Z2473">
            <v>75200</v>
          </cell>
          <cell r="AA2473"/>
          <cell r="AB2473"/>
          <cell r="AC2473"/>
          <cell r="AD2473">
            <v>0.26100000000000001</v>
          </cell>
          <cell r="AE2473"/>
          <cell r="AF2473"/>
          <cell r="AG2473"/>
          <cell r="AH2473">
            <v>10.7</v>
          </cell>
          <cell r="AI2473">
            <v>0.53500000000000003</v>
          </cell>
          <cell r="AJ2473">
            <v>1</v>
          </cell>
          <cell r="AK2473">
            <v>20</v>
          </cell>
          <cell r="AL2473"/>
        </row>
        <row r="2474">
          <cell r="E2474" t="str">
            <v>Xh2AF-BLe</v>
          </cell>
          <cell r="F2474" t="str">
            <v>台</v>
          </cell>
          <cell r="G2474"/>
          <cell r="H2474">
            <v>64300</v>
          </cell>
          <cell r="I2474"/>
          <cell r="J2474">
            <v>64300</v>
          </cell>
          <cell r="K2474"/>
          <cell r="L2474">
            <v>64300</v>
          </cell>
          <cell r="M2474"/>
          <cell r="N2474">
            <v>64300</v>
          </cell>
          <cell r="O2474"/>
          <cell r="P2474">
            <v>64300</v>
          </cell>
          <cell r="Q2474"/>
          <cell r="R2474">
            <v>64300</v>
          </cell>
          <cell r="S2474"/>
          <cell r="T2474">
            <v>64300</v>
          </cell>
          <cell r="U2474"/>
          <cell r="V2474">
            <v>64300</v>
          </cell>
          <cell r="W2474"/>
          <cell r="X2474">
            <v>64300</v>
          </cell>
          <cell r="Y2474"/>
          <cell r="Z2474">
            <v>64300</v>
          </cell>
          <cell r="AA2474"/>
          <cell r="AB2474"/>
          <cell r="AC2474"/>
          <cell r="AD2474">
            <v>0.16200000000000001</v>
          </cell>
          <cell r="AE2474"/>
          <cell r="AF2474"/>
          <cell r="AG2474"/>
          <cell r="AH2474">
            <v>4.5999999999999996</v>
          </cell>
          <cell r="AI2474">
            <v>0.63900000000000001</v>
          </cell>
          <cell r="AJ2474">
            <v>1</v>
          </cell>
          <cell r="AK2474">
            <v>7.19</v>
          </cell>
          <cell r="AL2474"/>
        </row>
        <row r="2475">
          <cell r="E2475" t="str">
            <v>Xh2AF-BHe</v>
          </cell>
          <cell r="F2475" t="str">
            <v>台</v>
          </cell>
          <cell r="G2475"/>
          <cell r="H2475">
            <v>79700</v>
          </cell>
          <cell r="I2475"/>
          <cell r="J2475">
            <v>79700</v>
          </cell>
          <cell r="K2475"/>
          <cell r="L2475">
            <v>79700</v>
          </cell>
          <cell r="M2475"/>
          <cell r="N2475">
            <v>79700</v>
          </cell>
          <cell r="O2475"/>
          <cell r="P2475">
            <v>79700</v>
          </cell>
          <cell r="Q2475"/>
          <cell r="R2475">
            <v>79700</v>
          </cell>
          <cell r="S2475"/>
          <cell r="T2475">
            <v>79700</v>
          </cell>
          <cell r="U2475"/>
          <cell r="V2475">
            <v>79700</v>
          </cell>
          <cell r="W2475"/>
          <cell r="X2475">
            <v>79700</v>
          </cell>
          <cell r="Y2475"/>
          <cell r="Z2475">
            <v>79700</v>
          </cell>
          <cell r="AA2475"/>
          <cell r="AB2475"/>
          <cell r="AC2475"/>
          <cell r="AD2475">
            <v>0.16200000000000001</v>
          </cell>
          <cell r="AE2475"/>
          <cell r="AF2475"/>
          <cell r="AG2475"/>
          <cell r="AH2475">
            <v>5.6</v>
          </cell>
          <cell r="AI2475">
            <v>0.63600000000000001</v>
          </cell>
          <cell r="AJ2475">
            <v>1</v>
          </cell>
          <cell r="AK2475">
            <v>8.8000000000000007</v>
          </cell>
          <cell r="AL2475"/>
        </row>
        <row r="2476">
          <cell r="E2476" t="str">
            <v>Xh2F-BLe</v>
          </cell>
          <cell r="F2476" t="str">
            <v>台</v>
          </cell>
          <cell r="G2476"/>
          <cell r="H2476">
            <v>49700</v>
          </cell>
          <cell r="I2476"/>
          <cell r="J2476">
            <v>49700</v>
          </cell>
          <cell r="K2476"/>
          <cell r="L2476">
            <v>49700</v>
          </cell>
          <cell r="M2476"/>
          <cell r="N2476">
            <v>49700</v>
          </cell>
          <cell r="O2476"/>
          <cell r="P2476">
            <v>49700</v>
          </cell>
          <cell r="Q2476"/>
          <cell r="R2476">
            <v>49700</v>
          </cell>
          <cell r="S2476"/>
          <cell r="T2476">
            <v>49700</v>
          </cell>
          <cell r="U2476"/>
          <cell r="V2476">
            <v>49700</v>
          </cell>
          <cell r="W2476"/>
          <cell r="X2476">
            <v>49700</v>
          </cell>
          <cell r="Y2476"/>
          <cell r="Z2476">
            <v>49700</v>
          </cell>
          <cell r="AA2476"/>
          <cell r="AB2476"/>
          <cell r="AC2476"/>
          <cell r="AD2476">
            <v>0.16200000000000001</v>
          </cell>
          <cell r="AE2476"/>
          <cell r="AF2476"/>
          <cell r="AG2476"/>
          <cell r="AH2476">
            <v>5.4</v>
          </cell>
          <cell r="AI2476">
            <v>0.623</v>
          </cell>
          <cell r="AJ2476">
            <v>1</v>
          </cell>
          <cell r="AK2476">
            <v>8.66</v>
          </cell>
          <cell r="AL2476"/>
        </row>
        <row r="2477">
          <cell r="E2477" t="str">
            <v>Xh2F-BHe</v>
          </cell>
          <cell r="F2477" t="str">
            <v>台</v>
          </cell>
          <cell r="G2477"/>
          <cell r="H2477">
            <v>59000</v>
          </cell>
          <cell r="I2477"/>
          <cell r="J2477">
            <v>59000</v>
          </cell>
          <cell r="K2477"/>
          <cell r="L2477">
            <v>59000</v>
          </cell>
          <cell r="M2477"/>
          <cell r="N2477">
            <v>59000</v>
          </cell>
          <cell r="O2477"/>
          <cell r="P2477">
            <v>59000</v>
          </cell>
          <cell r="Q2477"/>
          <cell r="R2477">
            <v>59000</v>
          </cell>
          <cell r="S2477"/>
          <cell r="T2477">
            <v>59000</v>
          </cell>
          <cell r="U2477"/>
          <cell r="V2477">
            <v>59000</v>
          </cell>
          <cell r="W2477"/>
          <cell r="X2477">
            <v>59000</v>
          </cell>
          <cell r="Y2477"/>
          <cell r="Z2477">
            <v>59000</v>
          </cell>
          <cell r="AA2477"/>
          <cell r="AB2477"/>
          <cell r="AC2477"/>
          <cell r="AD2477">
            <v>0.16200000000000001</v>
          </cell>
          <cell r="AE2477"/>
          <cell r="AF2477"/>
          <cell r="AG2477"/>
          <cell r="AH2477">
            <v>7.2</v>
          </cell>
          <cell r="AI2477">
            <v>0.63200000000000001</v>
          </cell>
          <cell r="AJ2477">
            <v>1</v>
          </cell>
          <cell r="AK2477">
            <v>11.39</v>
          </cell>
          <cell r="AL2477"/>
        </row>
        <row r="2478">
          <cell r="E2478" t="str">
            <v>■通路(壁埋込)</v>
          </cell>
          <cell r="F2478"/>
          <cell r="G2478"/>
          <cell r="H2478"/>
          <cell r="I2478"/>
          <cell r="J2478"/>
          <cell r="K2478"/>
          <cell r="L2478"/>
          <cell r="M2478"/>
          <cell r="N2478"/>
          <cell r="O2478"/>
          <cell r="P2478"/>
          <cell r="Q2478"/>
          <cell r="R2478"/>
          <cell r="S2478"/>
          <cell r="T2478"/>
          <cell r="U2478"/>
          <cell r="V2478"/>
          <cell r="W2478"/>
          <cell r="X2478"/>
          <cell r="Y2478"/>
          <cell r="Z2478"/>
          <cell r="AA2478"/>
          <cell r="AB2478"/>
          <cell r="AC2478"/>
          <cell r="AD2478"/>
          <cell r="AE2478"/>
          <cell r="AF2478"/>
          <cell r="AG2478"/>
          <cell r="AH2478"/>
          <cell r="AI2478"/>
          <cell r="AJ2478"/>
          <cell r="AK2478"/>
          <cell r="AL2478"/>
        </row>
        <row r="2479">
          <cell r="E2479" t="str">
            <v>Ya1-Ce</v>
          </cell>
          <cell r="F2479" t="str">
            <v>台</v>
          </cell>
          <cell r="G2479"/>
          <cell r="H2479">
            <v>13600</v>
          </cell>
          <cell r="I2479"/>
          <cell r="J2479">
            <v>13600</v>
          </cell>
          <cell r="K2479"/>
          <cell r="L2479">
            <v>13600</v>
          </cell>
          <cell r="M2479"/>
          <cell r="N2479">
            <v>13600</v>
          </cell>
          <cell r="O2479"/>
          <cell r="P2479">
            <v>13600</v>
          </cell>
          <cell r="Q2479"/>
          <cell r="R2479">
            <v>13600</v>
          </cell>
          <cell r="S2479"/>
          <cell r="T2479">
            <v>13600</v>
          </cell>
          <cell r="U2479"/>
          <cell r="V2479">
            <v>13600</v>
          </cell>
          <cell r="W2479"/>
          <cell r="X2479">
            <v>13600</v>
          </cell>
          <cell r="Y2479"/>
          <cell r="Z2479">
            <v>13600</v>
          </cell>
          <cell r="AA2479"/>
          <cell r="AB2479"/>
          <cell r="AC2479"/>
          <cell r="AD2479">
            <v>0.217</v>
          </cell>
          <cell r="AE2479"/>
          <cell r="AF2479"/>
          <cell r="AG2479"/>
          <cell r="AH2479">
            <v>1.9</v>
          </cell>
          <cell r="AI2479">
            <v>0.47499999999999998</v>
          </cell>
          <cell r="AJ2479">
            <v>1</v>
          </cell>
          <cell r="AK2479">
            <v>4</v>
          </cell>
          <cell r="AL2479"/>
        </row>
        <row r="2480">
          <cell r="E2480" t="str">
            <v>Ya1-Ce60</v>
          </cell>
          <cell r="F2480" t="str">
            <v>台</v>
          </cell>
          <cell r="G2480"/>
          <cell r="H2480">
            <v>29100</v>
          </cell>
          <cell r="I2480"/>
          <cell r="J2480">
            <v>29100</v>
          </cell>
          <cell r="K2480"/>
          <cell r="L2480">
            <v>29100</v>
          </cell>
          <cell r="M2480"/>
          <cell r="N2480">
            <v>29100</v>
          </cell>
          <cell r="O2480"/>
          <cell r="P2480">
            <v>29100</v>
          </cell>
          <cell r="Q2480"/>
          <cell r="R2480">
            <v>29100</v>
          </cell>
          <cell r="S2480"/>
          <cell r="T2480">
            <v>29100</v>
          </cell>
          <cell r="U2480"/>
          <cell r="V2480">
            <v>29100</v>
          </cell>
          <cell r="W2480"/>
          <cell r="X2480">
            <v>29100</v>
          </cell>
          <cell r="Y2480"/>
          <cell r="Z2480">
            <v>29100</v>
          </cell>
          <cell r="AA2480"/>
          <cell r="AB2480"/>
          <cell r="AC2480"/>
          <cell r="AD2480">
            <v>0.217</v>
          </cell>
          <cell r="AE2480"/>
          <cell r="AF2480"/>
          <cell r="AG2480"/>
          <cell r="AH2480">
            <v>1.9</v>
          </cell>
          <cell r="AI2480">
            <v>0.46300000000000002</v>
          </cell>
          <cell r="AJ2480">
            <v>1</v>
          </cell>
          <cell r="AK2480">
            <v>4.0999999999999996</v>
          </cell>
          <cell r="AL2480"/>
        </row>
        <row r="2481">
          <cell r="E2481" t="str">
            <v>Ya1-BLe</v>
          </cell>
          <cell r="F2481" t="str">
            <v>台</v>
          </cell>
          <cell r="G2481"/>
          <cell r="H2481">
            <v>20000</v>
          </cell>
          <cell r="I2481"/>
          <cell r="J2481">
            <v>20000</v>
          </cell>
          <cell r="K2481"/>
          <cell r="L2481">
            <v>20000</v>
          </cell>
          <cell r="M2481"/>
          <cell r="N2481">
            <v>20000</v>
          </cell>
          <cell r="O2481"/>
          <cell r="P2481">
            <v>20000</v>
          </cell>
          <cell r="Q2481"/>
          <cell r="R2481">
            <v>20000</v>
          </cell>
          <cell r="S2481"/>
          <cell r="T2481">
            <v>20000</v>
          </cell>
          <cell r="U2481"/>
          <cell r="V2481">
            <v>20000</v>
          </cell>
          <cell r="W2481"/>
          <cell r="X2481">
            <v>20000</v>
          </cell>
          <cell r="Y2481"/>
          <cell r="Z2481">
            <v>20000</v>
          </cell>
          <cell r="AA2481"/>
          <cell r="AB2481"/>
          <cell r="AC2481"/>
          <cell r="AD2481">
            <v>0.25</v>
          </cell>
          <cell r="AE2481"/>
          <cell r="AF2481"/>
          <cell r="AG2481"/>
          <cell r="AH2481">
            <v>2.5</v>
          </cell>
          <cell r="AI2481">
            <v>0.49</v>
          </cell>
          <cell r="AJ2481">
            <v>1</v>
          </cell>
          <cell r="AK2481">
            <v>5.0999999999999996</v>
          </cell>
          <cell r="AL2481"/>
        </row>
        <row r="2482">
          <cell r="E2482" t="str">
            <v>Ya1-BLe60</v>
          </cell>
          <cell r="F2482" t="str">
            <v>台</v>
          </cell>
          <cell r="G2482"/>
          <cell r="H2482">
            <v>34900</v>
          </cell>
          <cell r="I2482"/>
          <cell r="J2482">
            <v>34900</v>
          </cell>
          <cell r="K2482"/>
          <cell r="L2482">
            <v>34900</v>
          </cell>
          <cell r="M2482"/>
          <cell r="N2482">
            <v>34900</v>
          </cell>
          <cell r="O2482"/>
          <cell r="P2482">
            <v>34900</v>
          </cell>
          <cell r="Q2482"/>
          <cell r="R2482">
            <v>34900</v>
          </cell>
          <cell r="S2482"/>
          <cell r="T2482">
            <v>34900</v>
          </cell>
          <cell r="U2482"/>
          <cell r="V2482">
            <v>34900</v>
          </cell>
          <cell r="W2482"/>
          <cell r="X2482">
            <v>34900</v>
          </cell>
          <cell r="Y2482"/>
          <cell r="Z2482">
            <v>34900</v>
          </cell>
          <cell r="AA2482"/>
          <cell r="AB2482"/>
          <cell r="AC2482"/>
          <cell r="AD2482">
            <v>0.25</v>
          </cell>
          <cell r="AE2482"/>
          <cell r="AF2482"/>
          <cell r="AG2482"/>
          <cell r="AH2482">
            <v>2.6</v>
          </cell>
          <cell r="AI2482">
            <v>0.49099999999999999</v>
          </cell>
          <cell r="AJ2482">
            <v>1</v>
          </cell>
          <cell r="AK2482">
            <v>5.29</v>
          </cell>
          <cell r="AL2482"/>
        </row>
        <row r="2483">
          <cell r="E2483" t="str">
            <v>Ya1-BHe</v>
          </cell>
          <cell r="F2483" t="str">
            <v>台</v>
          </cell>
          <cell r="G2483"/>
          <cell r="H2483">
            <v>28800</v>
          </cell>
          <cell r="I2483"/>
          <cell r="J2483">
            <v>28800</v>
          </cell>
          <cell r="K2483"/>
          <cell r="L2483">
            <v>28800</v>
          </cell>
          <cell r="M2483"/>
          <cell r="N2483">
            <v>28800</v>
          </cell>
          <cell r="O2483"/>
          <cell r="P2483">
            <v>28800</v>
          </cell>
          <cell r="Q2483"/>
          <cell r="R2483">
            <v>28800</v>
          </cell>
          <cell r="S2483"/>
          <cell r="T2483">
            <v>28800</v>
          </cell>
          <cell r="U2483"/>
          <cell r="V2483">
            <v>28800</v>
          </cell>
          <cell r="W2483"/>
          <cell r="X2483">
            <v>28800</v>
          </cell>
          <cell r="Y2483"/>
          <cell r="Z2483">
            <v>28800</v>
          </cell>
          <cell r="AA2483"/>
          <cell r="AB2483"/>
          <cell r="AC2483"/>
          <cell r="AD2483">
            <v>0.25</v>
          </cell>
          <cell r="AE2483"/>
          <cell r="AF2483"/>
          <cell r="AG2483"/>
          <cell r="AH2483">
            <v>3.4</v>
          </cell>
          <cell r="AI2483">
            <v>0.50700000000000001</v>
          </cell>
          <cell r="AJ2483">
            <v>1</v>
          </cell>
          <cell r="AK2483">
            <v>6.7</v>
          </cell>
          <cell r="AL2483"/>
        </row>
        <row r="2484">
          <cell r="E2484" t="str">
            <v>Ya1-BHe60</v>
          </cell>
          <cell r="F2484" t="str">
            <v>台</v>
          </cell>
          <cell r="G2484"/>
          <cell r="H2484">
            <v>44000</v>
          </cell>
          <cell r="I2484"/>
          <cell r="J2484">
            <v>44000</v>
          </cell>
          <cell r="K2484"/>
          <cell r="L2484">
            <v>44000</v>
          </cell>
          <cell r="M2484"/>
          <cell r="N2484">
            <v>44000</v>
          </cell>
          <cell r="O2484"/>
          <cell r="P2484">
            <v>44000</v>
          </cell>
          <cell r="Q2484"/>
          <cell r="R2484">
            <v>44000</v>
          </cell>
          <cell r="S2484"/>
          <cell r="T2484">
            <v>44000</v>
          </cell>
          <cell r="U2484"/>
          <cell r="V2484">
            <v>44000</v>
          </cell>
          <cell r="W2484"/>
          <cell r="X2484">
            <v>44000</v>
          </cell>
          <cell r="Y2484"/>
          <cell r="Z2484">
            <v>44000</v>
          </cell>
          <cell r="AA2484"/>
          <cell r="AB2484"/>
          <cell r="AC2484"/>
          <cell r="AD2484">
            <v>0.25</v>
          </cell>
          <cell r="AE2484"/>
          <cell r="AF2484"/>
          <cell r="AG2484"/>
          <cell r="AH2484">
            <v>3.5</v>
          </cell>
          <cell r="AI2484">
            <v>0.51500000000000001</v>
          </cell>
          <cell r="AJ2484">
            <v>1</v>
          </cell>
          <cell r="AK2484">
            <v>6.79</v>
          </cell>
          <cell r="AL2484"/>
        </row>
        <row r="2485">
          <cell r="E2485" t="str">
            <v>■通路(壁直付)</v>
          </cell>
          <cell r="F2485"/>
          <cell r="G2485"/>
          <cell r="H2485"/>
          <cell r="I2485"/>
          <cell r="J2485"/>
          <cell r="K2485"/>
          <cell r="L2485"/>
          <cell r="M2485"/>
          <cell r="N2485"/>
          <cell r="O2485"/>
          <cell r="P2485"/>
          <cell r="Q2485"/>
          <cell r="R2485"/>
          <cell r="S2485"/>
          <cell r="T2485"/>
          <cell r="U2485"/>
          <cell r="V2485"/>
          <cell r="W2485"/>
          <cell r="X2485"/>
          <cell r="Y2485"/>
          <cell r="Z2485"/>
          <cell r="AA2485"/>
          <cell r="AB2485"/>
          <cell r="AC2485"/>
          <cell r="AD2485"/>
          <cell r="AE2485"/>
          <cell r="AF2485"/>
          <cell r="AG2485"/>
          <cell r="AH2485"/>
          <cell r="AI2485"/>
          <cell r="AJ2485"/>
          <cell r="AK2485"/>
          <cell r="AL2485"/>
        </row>
        <row r="2486">
          <cell r="E2486" t="str">
            <v>Yb1-Ce</v>
          </cell>
          <cell r="F2486" t="str">
            <v>台</v>
          </cell>
          <cell r="G2486"/>
          <cell r="H2486">
            <v>10400</v>
          </cell>
          <cell r="I2486"/>
          <cell r="J2486">
            <v>10400</v>
          </cell>
          <cell r="K2486"/>
          <cell r="L2486">
            <v>10400</v>
          </cell>
          <cell r="M2486"/>
          <cell r="N2486">
            <v>10400</v>
          </cell>
          <cell r="O2486"/>
          <cell r="P2486">
            <v>10400</v>
          </cell>
          <cell r="Q2486"/>
          <cell r="R2486">
            <v>10400</v>
          </cell>
          <cell r="S2486"/>
          <cell r="T2486">
            <v>10400</v>
          </cell>
          <cell r="U2486"/>
          <cell r="V2486">
            <v>10400</v>
          </cell>
          <cell r="W2486"/>
          <cell r="X2486">
            <v>10400</v>
          </cell>
          <cell r="Y2486"/>
          <cell r="Z2486">
            <v>10400</v>
          </cell>
          <cell r="AA2486"/>
          <cell r="AB2486"/>
          <cell r="AC2486"/>
          <cell r="AD2486">
            <v>0.14099999999999999</v>
          </cell>
          <cell r="AE2486"/>
          <cell r="AF2486"/>
          <cell r="AG2486"/>
          <cell r="AH2486">
            <v>2</v>
          </cell>
          <cell r="AI2486">
            <v>0.47599999999999998</v>
          </cell>
          <cell r="AJ2486">
            <v>1</v>
          </cell>
          <cell r="AK2486">
            <v>4.2</v>
          </cell>
          <cell r="AL2486"/>
        </row>
        <row r="2487">
          <cell r="E2487" t="str">
            <v>Yb1-Ce60</v>
          </cell>
          <cell r="F2487" t="str">
            <v>台</v>
          </cell>
          <cell r="G2487"/>
          <cell r="H2487">
            <v>23800</v>
          </cell>
          <cell r="I2487"/>
          <cell r="J2487">
            <v>23800</v>
          </cell>
          <cell r="K2487"/>
          <cell r="L2487">
            <v>23800</v>
          </cell>
          <cell r="M2487"/>
          <cell r="N2487">
            <v>23800</v>
          </cell>
          <cell r="O2487"/>
          <cell r="P2487">
            <v>23800</v>
          </cell>
          <cell r="Q2487"/>
          <cell r="R2487">
            <v>23800</v>
          </cell>
          <cell r="S2487"/>
          <cell r="T2487">
            <v>23800</v>
          </cell>
          <cell r="U2487"/>
          <cell r="V2487">
            <v>23800</v>
          </cell>
          <cell r="W2487"/>
          <cell r="X2487">
            <v>23800</v>
          </cell>
          <cell r="Y2487"/>
          <cell r="Z2487">
            <v>23800</v>
          </cell>
          <cell r="AA2487"/>
          <cell r="AB2487"/>
          <cell r="AC2487"/>
          <cell r="AD2487">
            <v>0.14099999999999999</v>
          </cell>
          <cell r="AE2487"/>
          <cell r="AF2487"/>
          <cell r="AG2487"/>
          <cell r="AH2487">
            <v>2.1</v>
          </cell>
          <cell r="AI2487">
            <v>0.47699999999999998</v>
          </cell>
          <cell r="AJ2487">
            <v>1</v>
          </cell>
          <cell r="AK2487">
            <v>4.4000000000000004</v>
          </cell>
          <cell r="AL2487"/>
        </row>
        <row r="2488">
          <cell r="E2488" t="str">
            <v>Yb1-BLe</v>
          </cell>
          <cell r="F2488" t="str">
            <v>台</v>
          </cell>
          <cell r="G2488"/>
          <cell r="H2488">
            <v>15500</v>
          </cell>
          <cell r="I2488"/>
          <cell r="J2488">
            <v>15500</v>
          </cell>
          <cell r="K2488"/>
          <cell r="L2488">
            <v>15500</v>
          </cell>
          <cell r="M2488"/>
          <cell r="N2488">
            <v>15500</v>
          </cell>
          <cell r="O2488"/>
          <cell r="P2488">
            <v>15500</v>
          </cell>
          <cell r="Q2488"/>
          <cell r="R2488">
            <v>15500</v>
          </cell>
          <cell r="S2488"/>
          <cell r="T2488">
            <v>15500</v>
          </cell>
          <cell r="U2488"/>
          <cell r="V2488">
            <v>15500</v>
          </cell>
          <cell r="W2488"/>
          <cell r="X2488">
            <v>15500</v>
          </cell>
          <cell r="Y2488"/>
          <cell r="Z2488">
            <v>15500</v>
          </cell>
          <cell r="AA2488"/>
          <cell r="AB2488"/>
          <cell r="AC2488"/>
          <cell r="AD2488">
            <v>0.16200000000000001</v>
          </cell>
          <cell r="AE2488"/>
          <cell r="AF2488"/>
          <cell r="AG2488"/>
          <cell r="AH2488">
            <v>2.7</v>
          </cell>
          <cell r="AI2488">
            <v>0.5</v>
          </cell>
          <cell r="AJ2488">
            <v>1</v>
          </cell>
          <cell r="AK2488">
            <v>5.4</v>
          </cell>
          <cell r="AL2488"/>
        </row>
        <row r="2489">
          <cell r="E2489" t="str">
            <v>Yb1-BLe60</v>
          </cell>
          <cell r="F2489" t="str">
            <v>台</v>
          </cell>
          <cell r="G2489"/>
          <cell r="H2489">
            <v>28200</v>
          </cell>
          <cell r="I2489"/>
          <cell r="J2489">
            <v>28200</v>
          </cell>
          <cell r="K2489"/>
          <cell r="L2489">
            <v>28200</v>
          </cell>
          <cell r="M2489"/>
          <cell r="N2489">
            <v>28200</v>
          </cell>
          <cell r="O2489"/>
          <cell r="P2489">
            <v>28200</v>
          </cell>
          <cell r="Q2489"/>
          <cell r="R2489">
            <v>28200</v>
          </cell>
          <cell r="S2489"/>
          <cell r="T2489">
            <v>28200</v>
          </cell>
          <cell r="U2489"/>
          <cell r="V2489">
            <v>28200</v>
          </cell>
          <cell r="W2489"/>
          <cell r="X2489">
            <v>28200</v>
          </cell>
          <cell r="Y2489"/>
          <cell r="Z2489">
            <v>28200</v>
          </cell>
          <cell r="AA2489"/>
          <cell r="AB2489"/>
          <cell r="AC2489"/>
          <cell r="AD2489">
            <v>0.16200000000000001</v>
          </cell>
          <cell r="AE2489"/>
          <cell r="AF2489"/>
          <cell r="AG2489"/>
          <cell r="AH2489">
            <v>2.7</v>
          </cell>
          <cell r="AI2489">
            <v>0.5</v>
          </cell>
          <cell r="AJ2489">
            <v>1</v>
          </cell>
          <cell r="AK2489">
            <v>5.4</v>
          </cell>
          <cell r="AL2489"/>
        </row>
        <row r="2490">
          <cell r="E2490" t="str">
            <v>Yb1-BHe</v>
          </cell>
          <cell r="F2490" t="str">
            <v>台</v>
          </cell>
          <cell r="G2490"/>
          <cell r="H2490">
            <v>22900</v>
          </cell>
          <cell r="I2490"/>
          <cell r="J2490">
            <v>22900</v>
          </cell>
          <cell r="K2490"/>
          <cell r="L2490">
            <v>22900</v>
          </cell>
          <cell r="M2490"/>
          <cell r="N2490">
            <v>22900</v>
          </cell>
          <cell r="O2490"/>
          <cell r="P2490">
            <v>22900</v>
          </cell>
          <cell r="Q2490"/>
          <cell r="R2490">
            <v>22900</v>
          </cell>
          <cell r="S2490"/>
          <cell r="T2490">
            <v>22900</v>
          </cell>
          <cell r="U2490"/>
          <cell r="V2490">
            <v>22900</v>
          </cell>
          <cell r="W2490"/>
          <cell r="X2490">
            <v>22900</v>
          </cell>
          <cell r="Y2490"/>
          <cell r="Z2490">
            <v>22900</v>
          </cell>
          <cell r="AA2490"/>
          <cell r="AB2490"/>
          <cell r="AC2490"/>
          <cell r="AD2490">
            <v>0.16200000000000001</v>
          </cell>
          <cell r="AE2490"/>
          <cell r="AF2490"/>
          <cell r="AG2490"/>
          <cell r="AH2490">
            <v>3.6</v>
          </cell>
          <cell r="AI2490">
            <v>0.51400000000000001</v>
          </cell>
          <cell r="AJ2490">
            <v>1</v>
          </cell>
          <cell r="AK2490">
            <v>7</v>
          </cell>
          <cell r="AL2490"/>
        </row>
        <row r="2491">
          <cell r="E2491" t="str">
            <v>Yb1-BHe60</v>
          </cell>
          <cell r="F2491" t="str">
            <v>台</v>
          </cell>
          <cell r="G2491"/>
          <cell r="H2491">
            <v>35900</v>
          </cell>
          <cell r="I2491"/>
          <cell r="J2491">
            <v>35900</v>
          </cell>
          <cell r="K2491"/>
          <cell r="L2491">
            <v>35900</v>
          </cell>
          <cell r="M2491"/>
          <cell r="N2491">
            <v>35900</v>
          </cell>
          <cell r="O2491"/>
          <cell r="P2491">
            <v>35900</v>
          </cell>
          <cell r="Q2491"/>
          <cell r="R2491">
            <v>35900</v>
          </cell>
          <cell r="S2491"/>
          <cell r="T2491">
            <v>35900</v>
          </cell>
          <cell r="U2491"/>
          <cell r="V2491">
            <v>35900</v>
          </cell>
          <cell r="W2491"/>
          <cell r="X2491">
            <v>35900</v>
          </cell>
          <cell r="Y2491"/>
          <cell r="Z2491">
            <v>35900</v>
          </cell>
          <cell r="AA2491"/>
          <cell r="AB2491"/>
          <cell r="AC2491"/>
          <cell r="AD2491">
            <v>0.16200000000000001</v>
          </cell>
          <cell r="AE2491"/>
          <cell r="AF2491"/>
          <cell r="AG2491"/>
          <cell r="AH2491">
            <v>3.7</v>
          </cell>
          <cell r="AI2491">
            <v>0.52900000000000003</v>
          </cell>
          <cell r="AJ2491">
            <v>1</v>
          </cell>
          <cell r="AK2491">
            <v>6.99</v>
          </cell>
          <cell r="AL2491"/>
        </row>
        <row r="2492">
          <cell r="E2492" t="str">
            <v>Yb1-Ae</v>
          </cell>
          <cell r="F2492" t="str">
            <v>台</v>
          </cell>
          <cell r="G2492"/>
          <cell r="H2492">
            <v>45600</v>
          </cell>
          <cell r="I2492"/>
          <cell r="J2492">
            <v>45600</v>
          </cell>
          <cell r="K2492"/>
          <cell r="L2492">
            <v>45600</v>
          </cell>
          <cell r="M2492"/>
          <cell r="N2492">
            <v>45600</v>
          </cell>
          <cell r="O2492"/>
          <cell r="P2492">
            <v>45600</v>
          </cell>
          <cell r="Q2492"/>
          <cell r="R2492">
            <v>45600</v>
          </cell>
          <cell r="S2492"/>
          <cell r="T2492">
            <v>45600</v>
          </cell>
          <cell r="U2492"/>
          <cell r="V2492">
            <v>45600</v>
          </cell>
          <cell r="W2492"/>
          <cell r="X2492">
            <v>45600</v>
          </cell>
          <cell r="Y2492"/>
          <cell r="Z2492">
            <v>45600</v>
          </cell>
          <cell r="AA2492"/>
          <cell r="AB2492"/>
          <cell r="AC2492"/>
          <cell r="AD2492">
            <v>0.26100000000000001</v>
          </cell>
          <cell r="AE2492"/>
          <cell r="AF2492"/>
          <cell r="AG2492"/>
          <cell r="AH2492">
            <v>10.5</v>
          </cell>
          <cell r="AI2492">
            <v>0.55300000000000005</v>
          </cell>
          <cell r="AJ2492">
            <v>1</v>
          </cell>
          <cell r="AK2492">
            <v>18.98</v>
          </cell>
          <cell r="AL2492"/>
        </row>
        <row r="2493">
          <cell r="E2493" t="str">
            <v>■通路(片面天井埋込)</v>
          </cell>
          <cell r="F2493"/>
          <cell r="G2493"/>
          <cell r="H2493"/>
          <cell r="I2493"/>
          <cell r="J2493"/>
          <cell r="K2493"/>
          <cell r="L2493"/>
          <cell r="M2493"/>
          <cell r="N2493"/>
          <cell r="O2493"/>
          <cell r="P2493"/>
          <cell r="Q2493"/>
          <cell r="R2493"/>
          <cell r="S2493"/>
          <cell r="T2493"/>
          <cell r="U2493"/>
          <cell r="V2493"/>
          <cell r="W2493"/>
          <cell r="X2493"/>
          <cell r="Y2493"/>
          <cell r="Z2493"/>
          <cell r="AA2493"/>
          <cell r="AB2493"/>
          <cell r="AC2493"/>
          <cell r="AD2493"/>
          <cell r="AE2493"/>
          <cell r="AF2493"/>
          <cell r="AG2493"/>
          <cell r="AH2493"/>
          <cell r="AI2493"/>
          <cell r="AJ2493"/>
          <cell r="AK2493"/>
          <cell r="AL2493"/>
        </row>
        <row r="2494">
          <cell r="E2494" t="str">
            <v>Yc1-Ce</v>
          </cell>
          <cell r="F2494" t="str">
            <v>台</v>
          </cell>
          <cell r="G2494"/>
          <cell r="H2494">
            <v>13000</v>
          </cell>
          <cell r="I2494"/>
          <cell r="J2494">
            <v>13000</v>
          </cell>
          <cell r="K2494"/>
          <cell r="L2494">
            <v>13000</v>
          </cell>
          <cell r="M2494"/>
          <cell r="N2494">
            <v>13000</v>
          </cell>
          <cell r="O2494"/>
          <cell r="P2494">
            <v>13000</v>
          </cell>
          <cell r="Q2494"/>
          <cell r="R2494">
            <v>13000</v>
          </cell>
          <cell r="S2494"/>
          <cell r="T2494">
            <v>13000</v>
          </cell>
          <cell r="U2494"/>
          <cell r="V2494">
            <v>13000</v>
          </cell>
          <cell r="W2494"/>
          <cell r="X2494">
            <v>13000</v>
          </cell>
          <cell r="Y2494"/>
          <cell r="Z2494">
            <v>13000</v>
          </cell>
          <cell r="AA2494"/>
          <cell r="AB2494"/>
          <cell r="AC2494"/>
          <cell r="AD2494">
            <v>0.217</v>
          </cell>
          <cell r="AE2494"/>
          <cell r="AF2494"/>
          <cell r="AG2494"/>
          <cell r="AH2494">
            <v>1.9</v>
          </cell>
          <cell r="AI2494">
            <v>0.47499999999999998</v>
          </cell>
          <cell r="AJ2494">
            <v>1</v>
          </cell>
          <cell r="AK2494">
            <v>4</v>
          </cell>
          <cell r="AL2494"/>
        </row>
        <row r="2495">
          <cell r="E2495" t="str">
            <v>Yc1-Ce60</v>
          </cell>
          <cell r="F2495" t="str">
            <v>台</v>
          </cell>
          <cell r="G2495"/>
          <cell r="H2495">
            <v>31000</v>
          </cell>
          <cell r="I2495"/>
          <cell r="J2495">
            <v>31000</v>
          </cell>
          <cell r="K2495"/>
          <cell r="L2495">
            <v>31000</v>
          </cell>
          <cell r="M2495"/>
          <cell r="N2495">
            <v>31000</v>
          </cell>
          <cell r="O2495"/>
          <cell r="P2495">
            <v>31000</v>
          </cell>
          <cell r="Q2495"/>
          <cell r="R2495">
            <v>31000</v>
          </cell>
          <cell r="S2495"/>
          <cell r="T2495">
            <v>31000</v>
          </cell>
          <cell r="U2495"/>
          <cell r="V2495">
            <v>31000</v>
          </cell>
          <cell r="W2495"/>
          <cell r="X2495">
            <v>31000</v>
          </cell>
          <cell r="Y2495"/>
          <cell r="Z2495">
            <v>31000</v>
          </cell>
          <cell r="AA2495"/>
          <cell r="AB2495"/>
          <cell r="AC2495"/>
          <cell r="AD2495">
            <v>0.217</v>
          </cell>
          <cell r="AE2495"/>
          <cell r="AF2495"/>
          <cell r="AG2495"/>
          <cell r="AH2495">
            <v>2.1</v>
          </cell>
          <cell r="AI2495">
            <v>0.47699999999999998</v>
          </cell>
          <cell r="AJ2495">
            <v>1</v>
          </cell>
          <cell r="AK2495">
            <v>4.4000000000000004</v>
          </cell>
          <cell r="AL2495"/>
        </row>
        <row r="2496">
          <cell r="E2496" t="str">
            <v>Yc1-BLe</v>
          </cell>
          <cell r="F2496" t="str">
            <v>台</v>
          </cell>
          <cell r="G2496"/>
          <cell r="H2496">
            <v>19600</v>
          </cell>
          <cell r="I2496"/>
          <cell r="J2496">
            <v>19600</v>
          </cell>
          <cell r="K2496"/>
          <cell r="L2496">
            <v>19600</v>
          </cell>
          <cell r="M2496"/>
          <cell r="N2496">
            <v>19600</v>
          </cell>
          <cell r="O2496"/>
          <cell r="P2496">
            <v>19600</v>
          </cell>
          <cell r="Q2496"/>
          <cell r="R2496">
            <v>19600</v>
          </cell>
          <cell r="S2496"/>
          <cell r="T2496">
            <v>19600</v>
          </cell>
          <cell r="U2496"/>
          <cell r="V2496">
            <v>19600</v>
          </cell>
          <cell r="W2496"/>
          <cell r="X2496">
            <v>19600</v>
          </cell>
          <cell r="Y2496"/>
          <cell r="Z2496">
            <v>19600</v>
          </cell>
          <cell r="AA2496"/>
          <cell r="AB2496"/>
          <cell r="AC2496"/>
          <cell r="AD2496">
            <v>0.25</v>
          </cell>
          <cell r="AE2496"/>
          <cell r="AF2496"/>
          <cell r="AG2496"/>
          <cell r="AH2496">
            <v>2.6</v>
          </cell>
          <cell r="AI2496">
            <v>0.49099999999999999</v>
          </cell>
          <cell r="AJ2496">
            <v>1</v>
          </cell>
          <cell r="AK2496">
            <v>5.29</v>
          </cell>
          <cell r="AL2496"/>
        </row>
        <row r="2497">
          <cell r="E2497" t="str">
            <v>Yc1-BLe60</v>
          </cell>
          <cell r="F2497" t="str">
            <v>台</v>
          </cell>
          <cell r="G2497"/>
          <cell r="H2497">
            <v>34000</v>
          </cell>
          <cell r="I2497"/>
          <cell r="J2497">
            <v>34000</v>
          </cell>
          <cell r="K2497"/>
          <cell r="L2497">
            <v>34000</v>
          </cell>
          <cell r="M2497"/>
          <cell r="N2497">
            <v>34000</v>
          </cell>
          <cell r="O2497"/>
          <cell r="P2497">
            <v>34000</v>
          </cell>
          <cell r="Q2497"/>
          <cell r="R2497">
            <v>34000</v>
          </cell>
          <cell r="S2497"/>
          <cell r="T2497">
            <v>34000</v>
          </cell>
          <cell r="U2497"/>
          <cell r="V2497">
            <v>34000</v>
          </cell>
          <cell r="W2497"/>
          <cell r="X2497">
            <v>34000</v>
          </cell>
          <cell r="Y2497"/>
          <cell r="Z2497">
            <v>34000</v>
          </cell>
          <cell r="AA2497"/>
          <cell r="AB2497"/>
          <cell r="AC2497"/>
          <cell r="AD2497">
            <v>0.25</v>
          </cell>
          <cell r="AE2497"/>
          <cell r="AF2497"/>
          <cell r="AG2497"/>
          <cell r="AH2497">
            <v>2.7</v>
          </cell>
          <cell r="AI2497">
            <v>0.5</v>
          </cell>
          <cell r="AJ2497">
            <v>1</v>
          </cell>
          <cell r="AK2497">
            <v>5.4</v>
          </cell>
          <cell r="AL2497"/>
        </row>
        <row r="2498">
          <cell r="E2498" t="str">
            <v>Yc1-BHe</v>
          </cell>
          <cell r="F2498" t="str">
            <v>台</v>
          </cell>
          <cell r="G2498"/>
          <cell r="H2498">
            <v>29600</v>
          </cell>
          <cell r="I2498"/>
          <cell r="J2498">
            <v>29600</v>
          </cell>
          <cell r="K2498"/>
          <cell r="L2498">
            <v>29600</v>
          </cell>
          <cell r="M2498"/>
          <cell r="N2498">
            <v>29600</v>
          </cell>
          <cell r="O2498"/>
          <cell r="P2498">
            <v>29600</v>
          </cell>
          <cell r="Q2498"/>
          <cell r="R2498">
            <v>29600</v>
          </cell>
          <cell r="S2498"/>
          <cell r="T2498">
            <v>29600</v>
          </cell>
          <cell r="U2498"/>
          <cell r="V2498">
            <v>29600</v>
          </cell>
          <cell r="W2498"/>
          <cell r="X2498">
            <v>29600</v>
          </cell>
          <cell r="Y2498"/>
          <cell r="Z2498">
            <v>29600</v>
          </cell>
          <cell r="AA2498"/>
          <cell r="AB2498"/>
          <cell r="AC2498"/>
          <cell r="AD2498">
            <v>0.25</v>
          </cell>
          <cell r="AE2498"/>
          <cell r="AF2498"/>
          <cell r="AG2498"/>
          <cell r="AH2498">
            <v>3.6</v>
          </cell>
          <cell r="AI2498">
            <v>0.51400000000000001</v>
          </cell>
          <cell r="AJ2498">
            <v>1</v>
          </cell>
          <cell r="AK2498">
            <v>7</v>
          </cell>
          <cell r="AL2498"/>
        </row>
        <row r="2499">
          <cell r="E2499" t="str">
            <v>Yc1-BHe60</v>
          </cell>
          <cell r="F2499" t="str">
            <v>台</v>
          </cell>
          <cell r="G2499"/>
          <cell r="H2499">
            <v>43800</v>
          </cell>
          <cell r="I2499"/>
          <cell r="J2499">
            <v>43800</v>
          </cell>
          <cell r="K2499"/>
          <cell r="L2499">
            <v>43800</v>
          </cell>
          <cell r="M2499"/>
          <cell r="N2499">
            <v>43800</v>
          </cell>
          <cell r="O2499"/>
          <cell r="P2499">
            <v>43800</v>
          </cell>
          <cell r="Q2499"/>
          <cell r="R2499">
            <v>43800</v>
          </cell>
          <cell r="S2499"/>
          <cell r="T2499">
            <v>43800</v>
          </cell>
          <cell r="U2499"/>
          <cell r="V2499">
            <v>43800</v>
          </cell>
          <cell r="W2499"/>
          <cell r="X2499">
            <v>43800</v>
          </cell>
          <cell r="Y2499"/>
          <cell r="Z2499">
            <v>43800</v>
          </cell>
          <cell r="AA2499"/>
          <cell r="AB2499"/>
          <cell r="AC2499"/>
          <cell r="AD2499">
            <v>0.25</v>
          </cell>
          <cell r="AE2499"/>
          <cell r="AF2499"/>
          <cell r="AG2499"/>
          <cell r="AH2499">
            <v>3.7</v>
          </cell>
          <cell r="AI2499">
            <v>0.52900000000000003</v>
          </cell>
          <cell r="AJ2499">
            <v>1</v>
          </cell>
          <cell r="AK2499">
            <v>6.99</v>
          </cell>
          <cell r="AL2499"/>
        </row>
        <row r="2500">
          <cell r="E2500" t="str">
            <v>■通路(両面天井埋込)</v>
          </cell>
          <cell r="F2500"/>
          <cell r="G2500"/>
          <cell r="H2500"/>
          <cell r="I2500"/>
          <cell r="J2500"/>
          <cell r="K2500"/>
          <cell r="L2500"/>
          <cell r="M2500"/>
          <cell r="N2500"/>
          <cell r="O2500"/>
          <cell r="P2500"/>
          <cell r="Q2500"/>
          <cell r="R2500"/>
          <cell r="S2500"/>
          <cell r="T2500"/>
          <cell r="U2500"/>
          <cell r="V2500"/>
          <cell r="W2500"/>
          <cell r="X2500"/>
          <cell r="Y2500"/>
          <cell r="Z2500"/>
          <cell r="AA2500"/>
          <cell r="AB2500"/>
          <cell r="AC2500"/>
          <cell r="AD2500"/>
          <cell r="AE2500"/>
          <cell r="AF2500"/>
          <cell r="AG2500"/>
          <cell r="AH2500"/>
          <cell r="AI2500"/>
          <cell r="AJ2500"/>
          <cell r="AK2500"/>
          <cell r="AL2500"/>
        </row>
        <row r="2501">
          <cell r="E2501" t="str">
            <v>Yd2-Ce</v>
          </cell>
          <cell r="F2501" t="str">
            <v>台</v>
          </cell>
          <cell r="G2501"/>
          <cell r="H2501">
            <v>14500</v>
          </cell>
          <cell r="I2501"/>
          <cell r="J2501">
            <v>14500</v>
          </cell>
          <cell r="K2501"/>
          <cell r="L2501">
            <v>14500</v>
          </cell>
          <cell r="M2501"/>
          <cell r="N2501">
            <v>14500</v>
          </cell>
          <cell r="O2501"/>
          <cell r="P2501">
            <v>14500</v>
          </cell>
          <cell r="Q2501"/>
          <cell r="R2501">
            <v>14500</v>
          </cell>
          <cell r="S2501"/>
          <cell r="T2501">
            <v>14500</v>
          </cell>
          <cell r="U2501"/>
          <cell r="V2501">
            <v>14500</v>
          </cell>
          <cell r="W2501"/>
          <cell r="X2501">
            <v>14500</v>
          </cell>
          <cell r="Y2501"/>
          <cell r="Z2501">
            <v>14500</v>
          </cell>
          <cell r="AA2501"/>
          <cell r="AB2501"/>
          <cell r="AC2501"/>
          <cell r="AD2501">
            <v>0.217</v>
          </cell>
          <cell r="AE2501"/>
          <cell r="AF2501"/>
          <cell r="AG2501"/>
          <cell r="AH2501">
            <v>2.6</v>
          </cell>
          <cell r="AI2501">
            <v>0.49099999999999999</v>
          </cell>
          <cell r="AJ2501">
            <v>1</v>
          </cell>
          <cell r="AK2501">
            <v>5.29</v>
          </cell>
          <cell r="AL2501"/>
        </row>
        <row r="2502">
          <cell r="E2502" t="str">
            <v>Yd2-Ce60</v>
          </cell>
          <cell r="F2502" t="str">
            <v>台</v>
          </cell>
          <cell r="G2502"/>
          <cell r="H2502">
            <v>36100</v>
          </cell>
          <cell r="I2502"/>
          <cell r="J2502">
            <v>36100</v>
          </cell>
          <cell r="K2502"/>
          <cell r="L2502">
            <v>36100</v>
          </cell>
          <cell r="M2502"/>
          <cell r="N2502">
            <v>36100</v>
          </cell>
          <cell r="O2502"/>
          <cell r="P2502">
            <v>36100</v>
          </cell>
          <cell r="Q2502"/>
          <cell r="R2502">
            <v>36100</v>
          </cell>
          <cell r="S2502"/>
          <cell r="T2502">
            <v>36100</v>
          </cell>
          <cell r="U2502"/>
          <cell r="V2502">
            <v>36100</v>
          </cell>
          <cell r="W2502"/>
          <cell r="X2502">
            <v>36100</v>
          </cell>
          <cell r="Y2502"/>
          <cell r="Z2502">
            <v>36100</v>
          </cell>
          <cell r="AA2502"/>
          <cell r="AB2502"/>
          <cell r="AC2502"/>
          <cell r="AD2502">
            <v>0.217</v>
          </cell>
          <cell r="AE2502"/>
          <cell r="AF2502"/>
          <cell r="AG2502"/>
          <cell r="AH2502">
            <v>2.7</v>
          </cell>
          <cell r="AI2502">
            <v>0.5</v>
          </cell>
          <cell r="AJ2502">
            <v>1</v>
          </cell>
          <cell r="AK2502">
            <v>5.4</v>
          </cell>
          <cell r="AL2502"/>
        </row>
        <row r="2503">
          <cell r="E2503" t="str">
            <v>Yd2-BLe</v>
          </cell>
          <cell r="F2503" t="str">
            <v>台</v>
          </cell>
          <cell r="G2503"/>
          <cell r="H2503">
            <v>22800</v>
          </cell>
          <cell r="I2503"/>
          <cell r="J2503">
            <v>22800</v>
          </cell>
          <cell r="K2503"/>
          <cell r="L2503">
            <v>22800</v>
          </cell>
          <cell r="M2503"/>
          <cell r="N2503">
            <v>22800</v>
          </cell>
          <cell r="O2503"/>
          <cell r="P2503">
            <v>22800</v>
          </cell>
          <cell r="Q2503"/>
          <cell r="R2503">
            <v>22800</v>
          </cell>
          <cell r="S2503"/>
          <cell r="T2503">
            <v>22800</v>
          </cell>
          <cell r="U2503"/>
          <cell r="V2503">
            <v>22800</v>
          </cell>
          <cell r="W2503"/>
          <cell r="X2503">
            <v>22800</v>
          </cell>
          <cell r="Y2503"/>
          <cell r="Z2503">
            <v>22800</v>
          </cell>
          <cell r="AA2503"/>
          <cell r="AB2503"/>
          <cell r="AC2503"/>
          <cell r="AD2503">
            <v>0.25</v>
          </cell>
          <cell r="AE2503"/>
          <cell r="AF2503"/>
          <cell r="AG2503"/>
          <cell r="AH2503">
            <v>3.6</v>
          </cell>
          <cell r="AI2503">
            <v>0.52200000000000002</v>
          </cell>
          <cell r="AJ2503">
            <v>1</v>
          </cell>
          <cell r="AK2503">
            <v>6.89</v>
          </cell>
          <cell r="AL2503"/>
        </row>
        <row r="2504">
          <cell r="E2504" t="str">
            <v>Yd2-BLe60</v>
          </cell>
          <cell r="F2504" t="str">
            <v>台</v>
          </cell>
          <cell r="G2504"/>
          <cell r="H2504">
            <v>37000</v>
          </cell>
          <cell r="I2504"/>
          <cell r="J2504">
            <v>37000</v>
          </cell>
          <cell r="K2504"/>
          <cell r="L2504">
            <v>37000</v>
          </cell>
          <cell r="M2504"/>
          <cell r="N2504">
            <v>37000</v>
          </cell>
          <cell r="O2504"/>
          <cell r="P2504">
            <v>37000</v>
          </cell>
          <cell r="Q2504"/>
          <cell r="R2504">
            <v>37000</v>
          </cell>
          <cell r="S2504"/>
          <cell r="T2504">
            <v>37000</v>
          </cell>
          <cell r="U2504"/>
          <cell r="V2504">
            <v>37000</v>
          </cell>
          <cell r="W2504"/>
          <cell r="X2504">
            <v>37000</v>
          </cell>
          <cell r="Y2504"/>
          <cell r="Z2504">
            <v>37000</v>
          </cell>
          <cell r="AA2504"/>
          <cell r="AB2504"/>
          <cell r="AC2504"/>
          <cell r="AD2504">
            <v>0.25</v>
          </cell>
          <cell r="AE2504"/>
          <cell r="AF2504"/>
          <cell r="AG2504"/>
          <cell r="AH2504">
            <v>3.7</v>
          </cell>
          <cell r="AI2504">
            <v>0.52100000000000002</v>
          </cell>
          <cell r="AJ2504">
            <v>1</v>
          </cell>
          <cell r="AK2504">
            <v>7.1</v>
          </cell>
          <cell r="AL2504"/>
        </row>
        <row r="2505">
          <cell r="E2505" t="str">
            <v>Yd2-BHe</v>
          </cell>
          <cell r="F2505" t="str">
            <v>台</v>
          </cell>
          <cell r="G2505"/>
          <cell r="H2505">
            <v>34700</v>
          </cell>
          <cell r="I2505"/>
          <cell r="J2505">
            <v>34700</v>
          </cell>
          <cell r="K2505"/>
          <cell r="L2505">
            <v>34700</v>
          </cell>
          <cell r="M2505"/>
          <cell r="N2505">
            <v>34700</v>
          </cell>
          <cell r="O2505"/>
          <cell r="P2505">
            <v>34700</v>
          </cell>
          <cell r="Q2505"/>
          <cell r="R2505">
            <v>34700</v>
          </cell>
          <cell r="S2505"/>
          <cell r="T2505">
            <v>34700</v>
          </cell>
          <cell r="U2505"/>
          <cell r="V2505">
            <v>34700</v>
          </cell>
          <cell r="W2505"/>
          <cell r="X2505">
            <v>34700</v>
          </cell>
          <cell r="Y2505"/>
          <cell r="Z2505">
            <v>34700</v>
          </cell>
          <cell r="AA2505"/>
          <cell r="AB2505"/>
          <cell r="AC2505"/>
          <cell r="AD2505">
            <v>0.25</v>
          </cell>
          <cell r="AE2505"/>
          <cell r="AF2505"/>
          <cell r="AG2505"/>
          <cell r="AH2505">
            <v>5.4</v>
          </cell>
          <cell r="AI2505">
            <v>0.54</v>
          </cell>
          <cell r="AJ2505">
            <v>1</v>
          </cell>
          <cell r="AK2505">
            <v>10</v>
          </cell>
          <cell r="AL2505"/>
        </row>
        <row r="2506">
          <cell r="E2506" t="str">
            <v>Yd2-BHe60</v>
          </cell>
          <cell r="F2506" t="str">
            <v>台</v>
          </cell>
          <cell r="G2506"/>
          <cell r="H2506">
            <v>48900</v>
          </cell>
          <cell r="I2506"/>
          <cell r="J2506">
            <v>48900</v>
          </cell>
          <cell r="K2506"/>
          <cell r="L2506">
            <v>48900</v>
          </cell>
          <cell r="M2506"/>
          <cell r="N2506">
            <v>48900</v>
          </cell>
          <cell r="O2506"/>
          <cell r="P2506">
            <v>48900</v>
          </cell>
          <cell r="Q2506"/>
          <cell r="R2506">
            <v>48900</v>
          </cell>
          <cell r="S2506"/>
          <cell r="T2506">
            <v>48900</v>
          </cell>
          <cell r="U2506"/>
          <cell r="V2506">
            <v>48900</v>
          </cell>
          <cell r="W2506"/>
          <cell r="X2506">
            <v>48900</v>
          </cell>
          <cell r="Y2506"/>
          <cell r="Z2506">
            <v>48900</v>
          </cell>
          <cell r="AA2506"/>
          <cell r="AB2506"/>
          <cell r="AC2506"/>
          <cell r="AD2506">
            <v>0.25</v>
          </cell>
          <cell r="AE2506"/>
          <cell r="AF2506"/>
          <cell r="AG2506"/>
          <cell r="AH2506">
            <v>5.5</v>
          </cell>
          <cell r="AI2506">
            <v>0.55000000000000004</v>
          </cell>
          <cell r="AJ2506">
            <v>1</v>
          </cell>
          <cell r="AK2506">
            <v>10</v>
          </cell>
          <cell r="AL2506"/>
        </row>
        <row r="2507">
          <cell r="E2507" t="str">
            <v>■通路(直付)</v>
          </cell>
          <cell r="F2507"/>
          <cell r="G2507"/>
          <cell r="H2507"/>
          <cell r="I2507"/>
          <cell r="J2507"/>
          <cell r="K2507"/>
          <cell r="L2507"/>
          <cell r="M2507"/>
          <cell r="N2507"/>
          <cell r="O2507"/>
          <cell r="P2507"/>
          <cell r="Q2507"/>
          <cell r="R2507"/>
          <cell r="S2507"/>
          <cell r="T2507"/>
          <cell r="U2507"/>
          <cell r="V2507"/>
          <cell r="W2507"/>
          <cell r="X2507"/>
          <cell r="Y2507"/>
          <cell r="Z2507"/>
          <cell r="AA2507"/>
          <cell r="AB2507"/>
          <cell r="AC2507"/>
          <cell r="AD2507"/>
          <cell r="AE2507"/>
          <cell r="AF2507"/>
          <cell r="AG2507"/>
          <cell r="AH2507"/>
          <cell r="AI2507"/>
          <cell r="AJ2507"/>
          <cell r="AK2507"/>
          <cell r="AL2507"/>
        </row>
        <row r="2508">
          <cell r="E2508" t="str">
            <v>Yf1-Ce</v>
          </cell>
          <cell r="F2508" t="str">
            <v>台</v>
          </cell>
          <cell r="G2508"/>
          <cell r="H2508">
            <v>10400</v>
          </cell>
          <cell r="I2508"/>
          <cell r="J2508">
            <v>10400</v>
          </cell>
          <cell r="K2508"/>
          <cell r="L2508">
            <v>10400</v>
          </cell>
          <cell r="M2508"/>
          <cell r="N2508">
            <v>10400</v>
          </cell>
          <cell r="O2508"/>
          <cell r="P2508">
            <v>10400</v>
          </cell>
          <cell r="Q2508"/>
          <cell r="R2508">
            <v>10400</v>
          </cell>
          <cell r="S2508"/>
          <cell r="T2508">
            <v>10400</v>
          </cell>
          <cell r="U2508"/>
          <cell r="V2508">
            <v>10400</v>
          </cell>
          <cell r="W2508"/>
          <cell r="X2508">
            <v>10400</v>
          </cell>
          <cell r="Y2508"/>
          <cell r="Z2508">
            <v>10400</v>
          </cell>
          <cell r="AA2508"/>
          <cell r="AB2508"/>
          <cell r="AC2508"/>
          <cell r="AD2508">
            <v>0.14099999999999999</v>
          </cell>
          <cell r="AE2508"/>
          <cell r="AF2508"/>
          <cell r="AG2508"/>
          <cell r="AH2508">
            <v>2</v>
          </cell>
          <cell r="AI2508">
            <v>0.47599999999999998</v>
          </cell>
          <cell r="AJ2508">
            <v>1</v>
          </cell>
          <cell r="AK2508">
            <v>4.2</v>
          </cell>
          <cell r="AL2508"/>
        </row>
        <row r="2509">
          <cell r="E2509" t="str">
            <v>Yf1-Ce60</v>
          </cell>
          <cell r="F2509" t="str">
            <v>台</v>
          </cell>
          <cell r="G2509"/>
          <cell r="H2509">
            <v>23800</v>
          </cell>
          <cell r="I2509"/>
          <cell r="J2509">
            <v>23800</v>
          </cell>
          <cell r="K2509"/>
          <cell r="L2509">
            <v>23800</v>
          </cell>
          <cell r="M2509"/>
          <cell r="N2509">
            <v>23800</v>
          </cell>
          <cell r="O2509"/>
          <cell r="P2509">
            <v>23800</v>
          </cell>
          <cell r="Q2509"/>
          <cell r="R2509">
            <v>23800</v>
          </cell>
          <cell r="S2509"/>
          <cell r="T2509">
            <v>23800</v>
          </cell>
          <cell r="U2509"/>
          <cell r="V2509">
            <v>23800</v>
          </cell>
          <cell r="W2509"/>
          <cell r="X2509">
            <v>23800</v>
          </cell>
          <cell r="Y2509"/>
          <cell r="Z2509">
            <v>23800</v>
          </cell>
          <cell r="AA2509"/>
          <cell r="AB2509"/>
          <cell r="AC2509"/>
          <cell r="AD2509">
            <v>0.14099999999999999</v>
          </cell>
          <cell r="AE2509"/>
          <cell r="AF2509"/>
          <cell r="AG2509"/>
          <cell r="AH2509">
            <v>2.1</v>
          </cell>
          <cell r="AI2509">
            <v>0.47699999999999998</v>
          </cell>
          <cell r="AJ2509">
            <v>1</v>
          </cell>
          <cell r="AK2509">
            <v>4.4000000000000004</v>
          </cell>
          <cell r="AL2509"/>
        </row>
        <row r="2510">
          <cell r="E2510" t="str">
            <v>Yf1-BLe</v>
          </cell>
          <cell r="F2510" t="str">
            <v>台</v>
          </cell>
          <cell r="G2510"/>
          <cell r="H2510">
            <v>15500</v>
          </cell>
          <cell r="I2510"/>
          <cell r="J2510">
            <v>15500</v>
          </cell>
          <cell r="K2510"/>
          <cell r="L2510">
            <v>15500</v>
          </cell>
          <cell r="M2510"/>
          <cell r="N2510">
            <v>15500</v>
          </cell>
          <cell r="O2510"/>
          <cell r="P2510">
            <v>15500</v>
          </cell>
          <cell r="Q2510"/>
          <cell r="R2510">
            <v>15500</v>
          </cell>
          <cell r="S2510"/>
          <cell r="T2510">
            <v>15500</v>
          </cell>
          <cell r="U2510"/>
          <cell r="V2510">
            <v>15500</v>
          </cell>
          <cell r="W2510"/>
          <cell r="X2510">
            <v>15500</v>
          </cell>
          <cell r="Y2510"/>
          <cell r="Z2510">
            <v>15500</v>
          </cell>
          <cell r="AA2510"/>
          <cell r="AB2510"/>
          <cell r="AC2510"/>
          <cell r="AD2510">
            <v>0.16200000000000001</v>
          </cell>
          <cell r="AE2510"/>
          <cell r="AF2510"/>
          <cell r="AG2510"/>
          <cell r="AH2510">
            <v>2.7</v>
          </cell>
          <cell r="AI2510">
            <v>0.5</v>
          </cell>
          <cell r="AJ2510">
            <v>1</v>
          </cell>
          <cell r="AK2510">
            <v>5.4</v>
          </cell>
          <cell r="AL2510"/>
        </row>
        <row r="2511">
          <cell r="E2511" t="str">
            <v>Yf1-BLe60</v>
          </cell>
          <cell r="F2511" t="str">
            <v>台</v>
          </cell>
          <cell r="G2511"/>
          <cell r="H2511">
            <v>28200</v>
          </cell>
          <cell r="I2511"/>
          <cell r="J2511">
            <v>28200</v>
          </cell>
          <cell r="K2511"/>
          <cell r="L2511">
            <v>28200</v>
          </cell>
          <cell r="M2511"/>
          <cell r="N2511">
            <v>28200</v>
          </cell>
          <cell r="O2511"/>
          <cell r="P2511">
            <v>28200</v>
          </cell>
          <cell r="Q2511"/>
          <cell r="R2511">
            <v>28200</v>
          </cell>
          <cell r="S2511"/>
          <cell r="T2511">
            <v>28200</v>
          </cell>
          <cell r="U2511"/>
          <cell r="V2511">
            <v>28200</v>
          </cell>
          <cell r="W2511"/>
          <cell r="X2511">
            <v>28200</v>
          </cell>
          <cell r="Y2511"/>
          <cell r="Z2511">
            <v>28200</v>
          </cell>
          <cell r="AA2511"/>
          <cell r="AB2511"/>
          <cell r="AC2511"/>
          <cell r="AD2511">
            <v>0.16200000000000001</v>
          </cell>
          <cell r="AE2511"/>
          <cell r="AF2511"/>
          <cell r="AG2511"/>
          <cell r="AH2511">
            <v>2.7</v>
          </cell>
          <cell r="AI2511">
            <v>0.5</v>
          </cell>
          <cell r="AJ2511">
            <v>1</v>
          </cell>
          <cell r="AK2511">
            <v>5.4</v>
          </cell>
          <cell r="AL2511"/>
        </row>
        <row r="2512">
          <cell r="E2512" t="str">
            <v>Yf1-BHe</v>
          </cell>
          <cell r="F2512" t="str">
            <v>台</v>
          </cell>
          <cell r="G2512"/>
          <cell r="H2512">
            <v>22900</v>
          </cell>
          <cell r="I2512"/>
          <cell r="J2512">
            <v>22900</v>
          </cell>
          <cell r="K2512"/>
          <cell r="L2512">
            <v>22900</v>
          </cell>
          <cell r="M2512"/>
          <cell r="N2512">
            <v>22900</v>
          </cell>
          <cell r="O2512"/>
          <cell r="P2512">
            <v>22900</v>
          </cell>
          <cell r="Q2512"/>
          <cell r="R2512">
            <v>22900</v>
          </cell>
          <cell r="S2512"/>
          <cell r="T2512">
            <v>22900</v>
          </cell>
          <cell r="U2512"/>
          <cell r="V2512">
            <v>22900</v>
          </cell>
          <cell r="W2512"/>
          <cell r="X2512">
            <v>22900</v>
          </cell>
          <cell r="Y2512"/>
          <cell r="Z2512">
            <v>22900</v>
          </cell>
          <cell r="AA2512"/>
          <cell r="AB2512"/>
          <cell r="AC2512"/>
          <cell r="AD2512">
            <v>0.16200000000000001</v>
          </cell>
          <cell r="AE2512"/>
          <cell r="AF2512"/>
          <cell r="AG2512"/>
          <cell r="AH2512">
            <v>3.6</v>
          </cell>
          <cell r="AI2512">
            <v>0.51400000000000001</v>
          </cell>
          <cell r="AJ2512">
            <v>1</v>
          </cell>
          <cell r="AK2512">
            <v>7</v>
          </cell>
          <cell r="AL2512"/>
        </row>
        <row r="2513">
          <cell r="E2513" t="str">
            <v>Yf1-BHe60</v>
          </cell>
          <cell r="F2513" t="str">
            <v>台</v>
          </cell>
          <cell r="G2513"/>
          <cell r="H2513">
            <v>35900</v>
          </cell>
          <cell r="I2513"/>
          <cell r="J2513">
            <v>35900</v>
          </cell>
          <cell r="K2513"/>
          <cell r="L2513">
            <v>35900</v>
          </cell>
          <cell r="M2513"/>
          <cell r="N2513">
            <v>35900</v>
          </cell>
          <cell r="O2513"/>
          <cell r="P2513">
            <v>35900</v>
          </cell>
          <cell r="Q2513"/>
          <cell r="R2513">
            <v>35900</v>
          </cell>
          <cell r="S2513"/>
          <cell r="T2513">
            <v>35900</v>
          </cell>
          <cell r="U2513"/>
          <cell r="V2513">
            <v>35900</v>
          </cell>
          <cell r="W2513"/>
          <cell r="X2513">
            <v>35900</v>
          </cell>
          <cell r="Y2513"/>
          <cell r="Z2513">
            <v>35900</v>
          </cell>
          <cell r="AA2513"/>
          <cell r="AB2513"/>
          <cell r="AC2513"/>
          <cell r="AD2513">
            <v>0.16200000000000001</v>
          </cell>
          <cell r="AE2513"/>
          <cell r="AF2513"/>
          <cell r="AG2513"/>
          <cell r="AH2513">
            <v>3.7</v>
          </cell>
          <cell r="AI2513">
            <v>0.52900000000000003</v>
          </cell>
          <cell r="AJ2513">
            <v>1</v>
          </cell>
          <cell r="AK2513">
            <v>6.99</v>
          </cell>
          <cell r="AL2513"/>
        </row>
        <row r="2514">
          <cell r="E2514" t="str">
            <v>Yf1-Ae</v>
          </cell>
          <cell r="F2514" t="str">
            <v>台</v>
          </cell>
          <cell r="G2514"/>
          <cell r="H2514">
            <v>45600</v>
          </cell>
          <cell r="I2514"/>
          <cell r="J2514">
            <v>45600</v>
          </cell>
          <cell r="K2514"/>
          <cell r="L2514">
            <v>45600</v>
          </cell>
          <cell r="M2514"/>
          <cell r="N2514">
            <v>45600</v>
          </cell>
          <cell r="O2514"/>
          <cell r="P2514">
            <v>45600</v>
          </cell>
          <cell r="Q2514"/>
          <cell r="R2514">
            <v>45600</v>
          </cell>
          <cell r="S2514"/>
          <cell r="T2514">
            <v>45600</v>
          </cell>
          <cell r="U2514"/>
          <cell r="V2514">
            <v>45600</v>
          </cell>
          <cell r="W2514"/>
          <cell r="X2514">
            <v>45600</v>
          </cell>
          <cell r="Y2514"/>
          <cell r="Z2514">
            <v>45600</v>
          </cell>
          <cell r="AA2514"/>
          <cell r="AB2514"/>
          <cell r="AC2514"/>
          <cell r="AD2514">
            <v>0.26100000000000001</v>
          </cell>
          <cell r="AE2514"/>
          <cell r="AF2514"/>
          <cell r="AG2514"/>
          <cell r="AH2514">
            <v>10.5</v>
          </cell>
          <cell r="AI2514">
            <v>0.55300000000000005</v>
          </cell>
          <cell r="AJ2514">
            <v>1</v>
          </cell>
          <cell r="AK2514">
            <v>18.98</v>
          </cell>
          <cell r="AL2514"/>
        </row>
        <row r="2515">
          <cell r="E2515" t="str">
            <v>■通路(直付両面)</v>
          </cell>
          <cell r="F2515"/>
          <cell r="G2515"/>
          <cell r="H2515"/>
          <cell r="I2515"/>
          <cell r="J2515"/>
          <cell r="K2515"/>
          <cell r="L2515"/>
          <cell r="M2515"/>
          <cell r="N2515"/>
          <cell r="O2515"/>
          <cell r="P2515"/>
          <cell r="Q2515"/>
          <cell r="R2515"/>
          <cell r="S2515"/>
          <cell r="T2515"/>
          <cell r="U2515"/>
          <cell r="V2515"/>
          <cell r="W2515"/>
          <cell r="X2515"/>
          <cell r="Y2515"/>
          <cell r="Z2515"/>
          <cell r="AA2515"/>
          <cell r="AB2515"/>
          <cell r="AC2515"/>
          <cell r="AD2515"/>
          <cell r="AE2515"/>
          <cell r="AF2515"/>
          <cell r="AG2515"/>
          <cell r="AH2515"/>
          <cell r="AI2515"/>
          <cell r="AJ2515"/>
          <cell r="AK2515"/>
          <cell r="AL2515"/>
        </row>
        <row r="2516">
          <cell r="E2516" t="str">
            <v>Yg2-Ce</v>
          </cell>
          <cell r="F2516" t="str">
            <v>台</v>
          </cell>
          <cell r="G2516"/>
          <cell r="H2516">
            <v>11600</v>
          </cell>
          <cell r="I2516"/>
          <cell r="J2516">
            <v>11600</v>
          </cell>
          <cell r="K2516"/>
          <cell r="L2516">
            <v>11600</v>
          </cell>
          <cell r="M2516"/>
          <cell r="N2516">
            <v>11600</v>
          </cell>
          <cell r="O2516"/>
          <cell r="P2516">
            <v>11600</v>
          </cell>
          <cell r="Q2516"/>
          <cell r="R2516">
            <v>11600</v>
          </cell>
          <cell r="S2516"/>
          <cell r="T2516">
            <v>11600</v>
          </cell>
          <cell r="U2516"/>
          <cell r="V2516">
            <v>11600</v>
          </cell>
          <cell r="W2516"/>
          <cell r="X2516">
            <v>11600</v>
          </cell>
          <cell r="Y2516"/>
          <cell r="Z2516">
            <v>11600</v>
          </cell>
          <cell r="AA2516"/>
          <cell r="AB2516"/>
          <cell r="AC2516"/>
          <cell r="AD2516">
            <v>0.14099999999999999</v>
          </cell>
          <cell r="AE2516"/>
          <cell r="AF2516"/>
          <cell r="AG2516"/>
          <cell r="AH2516">
            <v>2.6</v>
          </cell>
          <cell r="AI2516">
            <v>0.49099999999999999</v>
          </cell>
          <cell r="AJ2516">
            <v>1</v>
          </cell>
          <cell r="AK2516">
            <v>5.29</v>
          </cell>
          <cell r="AL2516"/>
        </row>
        <row r="2517">
          <cell r="E2517" t="str">
            <v>Yg2-Ce60</v>
          </cell>
          <cell r="F2517" t="str">
            <v>台</v>
          </cell>
          <cell r="G2517"/>
          <cell r="H2517">
            <v>26700</v>
          </cell>
          <cell r="I2517"/>
          <cell r="J2517">
            <v>26700</v>
          </cell>
          <cell r="K2517"/>
          <cell r="L2517">
            <v>26700</v>
          </cell>
          <cell r="M2517"/>
          <cell r="N2517">
            <v>26700</v>
          </cell>
          <cell r="O2517"/>
          <cell r="P2517">
            <v>26700</v>
          </cell>
          <cell r="Q2517"/>
          <cell r="R2517">
            <v>26700</v>
          </cell>
          <cell r="S2517"/>
          <cell r="T2517">
            <v>26700</v>
          </cell>
          <cell r="U2517"/>
          <cell r="V2517">
            <v>26700</v>
          </cell>
          <cell r="W2517"/>
          <cell r="X2517">
            <v>26700</v>
          </cell>
          <cell r="Y2517"/>
          <cell r="Z2517">
            <v>26700</v>
          </cell>
          <cell r="AA2517"/>
          <cell r="AB2517"/>
          <cell r="AC2517"/>
          <cell r="AD2517">
            <v>0.14099999999999999</v>
          </cell>
          <cell r="AE2517"/>
          <cell r="AF2517"/>
          <cell r="AG2517"/>
          <cell r="AH2517">
            <v>2.6</v>
          </cell>
          <cell r="AI2517">
            <v>0.49099999999999999</v>
          </cell>
          <cell r="AJ2517">
            <v>1</v>
          </cell>
          <cell r="AK2517">
            <v>5.29</v>
          </cell>
          <cell r="AL2517"/>
        </row>
        <row r="2518">
          <cell r="E2518" t="str">
            <v>Yg2-BLe</v>
          </cell>
          <cell r="F2518" t="str">
            <v>台</v>
          </cell>
          <cell r="G2518"/>
          <cell r="H2518">
            <v>17200</v>
          </cell>
          <cell r="I2518"/>
          <cell r="J2518">
            <v>17200</v>
          </cell>
          <cell r="K2518"/>
          <cell r="L2518">
            <v>17200</v>
          </cell>
          <cell r="M2518"/>
          <cell r="N2518">
            <v>17200</v>
          </cell>
          <cell r="O2518"/>
          <cell r="P2518">
            <v>17200</v>
          </cell>
          <cell r="Q2518"/>
          <cell r="R2518">
            <v>17200</v>
          </cell>
          <cell r="S2518"/>
          <cell r="T2518">
            <v>17200</v>
          </cell>
          <cell r="U2518"/>
          <cell r="V2518">
            <v>17200</v>
          </cell>
          <cell r="W2518"/>
          <cell r="X2518">
            <v>17200</v>
          </cell>
          <cell r="Y2518"/>
          <cell r="Z2518">
            <v>17200</v>
          </cell>
          <cell r="AA2518"/>
          <cell r="AB2518"/>
          <cell r="AC2518"/>
          <cell r="AD2518">
            <v>0.16200000000000001</v>
          </cell>
          <cell r="AE2518"/>
          <cell r="AF2518"/>
          <cell r="AG2518"/>
          <cell r="AH2518">
            <v>3.6</v>
          </cell>
          <cell r="AI2518">
            <v>0.52900000000000003</v>
          </cell>
          <cell r="AJ2518">
            <v>1</v>
          </cell>
          <cell r="AK2518">
            <v>6.8</v>
          </cell>
          <cell r="AL2518"/>
        </row>
        <row r="2519">
          <cell r="E2519" t="str">
            <v>Yg2-BLe60</v>
          </cell>
          <cell r="F2519" t="str">
            <v>台</v>
          </cell>
          <cell r="G2519"/>
          <cell r="H2519">
            <v>31200</v>
          </cell>
          <cell r="I2519"/>
          <cell r="J2519">
            <v>31200</v>
          </cell>
          <cell r="K2519"/>
          <cell r="L2519">
            <v>31200</v>
          </cell>
          <cell r="M2519"/>
          <cell r="N2519">
            <v>31200</v>
          </cell>
          <cell r="O2519"/>
          <cell r="P2519">
            <v>31200</v>
          </cell>
          <cell r="Q2519"/>
          <cell r="R2519">
            <v>31200</v>
          </cell>
          <cell r="S2519"/>
          <cell r="T2519">
            <v>31200</v>
          </cell>
          <cell r="U2519"/>
          <cell r="V2519">
            <v>31200</v>
          </cell>
          <cell r="W2519"/>
          <cell r="X2519">
            <v>31200</v>
          </cell>
          <cell r="Y2519"/>
          <cell r="Z2519">
            <v>31200</v>
          </cell>
          <cell r="AA2519"/>
          <cell r="AB2519"/>
          <cell r="AC2519"/>
          <cell r="AD2519">
            <v>0.16200000000000001</v>
          </cell>
          <cell r="AE2519"/>
          <cell r="AF2519"/>
          <cell r="AG2519"/>
          <cell r="AH2519">
            <v>3.7</v>
          </cell>
          <cell r="AI2519">
            <v>0.52100000000000002</v>
          </cell>
          <cell r="AJ2519">
            <v>1</v>
          </cell>
          <cell r="AK2519">
            <v>7.1</v>
          </cell>
          <cell r="AL2519"/>
        </row>
        <row r="2520">
          <cell r="E2520" t="str">
            <v>Yg2-BHe</v>
          </cell>
          <cell r="F2520" t="str">
            <v>台</v>
          </cell>
          <cell r="G2520"/>
          <cell r="H2520">
            <v>27300</v>
          </cell>
          <cell r="I2520"/>
          <cell r="J2520">
            <v>27300</v>
          </cell>
          <cell r="K2520"/>
          <cell r="L2520">
            <v>27300</v>
          </cell>
          <cell r="M2520"/>
          <cell r="N2520">
            <v>27300</v>
          </cell>
          <cell r="O2520"/>
          <cell r="P2520">
            <v>27300</v>
          </cell>
          <cell r="Q2520"/>
          <cell r="R2520">
            <v>27300</v>
          </cell>
          <cell r="S2520"/>
          <cell r="T2520">
            <v>27300</v>
          </cell>
          <cell r="U2520"/>
          <cell r="V2520">
            <v>27300</v>
          </cell>
          <cell r="W2520"/>
          <cell r="X2520">
            <v>27300</v>
          </cell>
          <cell r="Y2520"/>
          <cell r="Z2520">
            <v>27300</v>
          </cell>
          <cell r="AA2520"/>
          <cell r="AB2520"/>
          <cell r="AC2520"/>
          <cell r="AD2520">
            <v>0.16200000000000001</v>
          </cell>
          <cell r="AE2520"/>
          <cell r="AF2520"/>
          <cell r="AG2520"/>
          <cell r="AH2520">
            <v>5.4</v>
          </cell>
          <cell r="AI2520">
            <v>0.54</v>
          </cell>
          <cell r="AJ2520">
            <v>1</v>
          </cell>
          <cell r="AK2520">
            <v>10</v>
          </cell>
          <cell r="AL2520"/>
        </row>
        <row r="2521">
          <cell r="E2521" t="str">
            <v>Yg2-BHe60</v>
          </cell>
          <cell r="F2521" t="str">
            <v>台</v>
          </cell>
          <cell r="G2521"/>
          <cell r="H2521">
            <v>41200</v>
          </cell>
          <cell r="I2521"/>
          <cell r="J2521">
            <v>41200</v>
          </cell>
          <cell r="K2521"/>
          <cell r="L2521">
            <v>41200</v>
          </cell>
          <cell r="M2521"/>
          <cell r="N2521">
            <v>41200</v>
          </cell>
          <cell r="O2521"/>
          <cell r="P2521">
            <v>41200</v>
          </cell>
          <cell r="Q2521"/>
          <cell r="R2521">
            <v>41200</v>
          </cell>
          <cell r="S2521"/>
          <cell r="T2521">
            <v>41200</v>
          </cell>
          <cell r="U2521"/>
          <cell r="V2521">
            <v>41200</v>
          </cell>
          <cell r="W2521"/>
          <cell r="X2521">
            <v>41200</v>
          </cell>
          <cell r="Y2521"/>
          <cell r="Z2521">
            <v>41200</v>
          </cell>
          <cell r="AA2521"/>
          <cell r="AB2521"/>
          <cell r="AC2521"/>
          <cell r="AD2521">
            <v>0.16200000000000001</v>
          </cell>
          <cell r="AE2521"/>
          <cell r="AF2521"/>
          <cell r="AG2521"/>
          <cell r="AH2521">
            <v>5.5</v>
          </cell>
          <cell r="AI2521">
            <v>0.55000000000000004</v>
          </cell>
          <cell r="AJ2521">
            <v>1</v>
          </cell>
          <cell r="AK2521">
            <v>10</v>
          </cell>
          <cell r="AL2521"/>
        </row>
        <row r="2522">
          <cell r="E2522" t="str">
            <v>Yg2-Ae</v>
          </cell>
          <cell r="F2522" t="str">
            <v>台</v>
          </cell>
          <cell r="G2522"/>
          <cell r="H2522">
            <v>75200</v>
          </cell>
          <cell r="I2522"/>
          <cell r="J2522">
            <v>75200</v>
          </cell>
          <cell r="K2522"/>
          <cell r="L2522">
            <v>75200</v>
          </cell>
          <cell r="M2522"/>
          <cell r="N2522">
            <v>75200</v>
          </cell>
          <cell r="O2522"/>
          <cell r="P2522">
            <v>75200</v>
          </cell>
          <cell r="Q2522"/>
          <cell r="R2522">
            <v>75200</v>
          </cell>
          <cell r="S2522"/>
          <cell r="T2522">
            <v>75200</v>
          </cell>
          <cell r="U2522"/>
          <cell r="V2522">
            <v>75200</v>
          </cell>
          <cell r="W2522"/>
          <cell r="X2522">
            <v>75200</v>
          </cell>
          <cell r="Y2522"/>
          <cell r="Z2522">
            <v>75200</v>
          </cell>
          <cell r="AA2522"/>
          <cell r="AB2522"/>
          <cell r="AC2522"/>
          <cell r="AD2522">
            <v>0.26100000000000001</v>
          </cell>
          <cell r="AE2522"/>
          <cell r="AF2522"/>
          <cell r="AG2522"/>
          <cell r="AH2522">
            <v>10.7</v>
          </cell>
          <cell r="AI2522">
            <v>0.53500000000000003</v>
          </cell>
          <cell r="AJ2522">
            <v>1</v>
          </cell>
          <cell r="AK2522">
            <v>20</v>
          </cell>
          <cell r="AL2522"/>
        </row>
        <row r="2523">
          <cell r="E2523"/>
          <cell r="F2523"/>
          <cell r="G2523" t="str">
            <v>定価↓</v>
          </cell>
          <cell r="H2523"/>
          <cell r="I2523" t="str">
            <v>定価↓</v>
          </cell>
          <cell r="J2523"/>
          <cell r="K2523" t="str">
            <v>定価↓</v>
          </cell>
          <cell r="L2523"/>
          <cell r="M2523" t="str">
            <v>定価↓</v>
          </cell>
          <cell r="N2523"/>
          <cell r="O2523" t="str">
            <v>定価↓</v>
          </cell>
          <cell r="P2523"/>
          <cell r="Q2523" t="str">
            <v>定価↓</v>
          </cell>
          <cell r="R2523"/>
          <cell r="S2523" t="str">
            <v>定価↓</v>
          </cell>
          <cell r="T2523"/>
          <cell r="U2523" t="str">
            <v>定価↓</v>
          </cell>
          <cell r="V2523"/>
          <cell r="W2523" t="str">
            <v>定価↓</v>
          </cell>
          <cell r="X2523"/>
          <cell r="Y2523" t="str">
            <v>定価↓</v>
          </cell>
          <cell r="Z2523"/>
          <cell r="AA2523"/>
          <cell r="AB2523"/>
          <cell r="AC2523"/>
          <cell r="AD2523"/>
          <cell r="AE2523"/>
          <cell r="AF2523"/>
          <cell r="AG2523"/>
          <cell r="AH2523"/>
          <cell r="AI2523"/>
          <cell r="AJ2523"/>
          <cell r="AK2523"/>
          <cell r="AL2523"/>
        </row>
        <row r="2524">
          <cell r="E2524" t="str">
            <v>LBF1-LN</v>
          </cell>
          <cell r="F2524" t="str">
            <v>台</v>
          </cell>
          <cell r="G2524">
            <v>29500</v>
          </cell>
          <cell r="H2524">
            <v>13200</v>
          </cell>
          <cell r="I2524">
            <v>29500</v>
          </cell>
          <cell r="J2524">
            <v>13200</v>
          </cell>
          <cell r="K2524">
            <v>29500</v>
          </cell>
          <cell r="L2524">
            <v>13200</v>
          </cell>
          <cell r="M2524">
            <v>29500</v>
          </cell>
          <cell r="N2524">
            <v>13200</v>
          </cell>
          <cell r="O2524">
            <v>29500</v>
          </cell>
          <cell r="P2524">
            <v>13200</v>
          </cell>
          <cell r="Q2524">
            <v>29500</v>
          </cell>
          <cell r="R2524">
            <v>13200</v>
          </cell>
          <cell r="S2524">
            <v>29500</v>
          </cell>
          <cell r="T2524">
            <v>13200</v>
          </cell>
          <cell r="U2524">
            <v>29500</v>
          </cell>
          <cell r="V2524">
            <v>13200</v>
          </cell>
          <cell r="W2524">
            <v>29500</v>
          </cell>
          <cell r="X2524">
            <v>13200</v>
          </cell>
          <cell r="Y2524">
            <v>29500</v>
          </cell>
          <cell r="Z2524">
            <v>13200</v>
          </cell>
          <cell r="AA2524"/>
          <cell r="AB2524"/>
          <cell r="AC2524"/>
          <cell r="AD2524">
            <v>0.13</v>
          </cell>
          <cell r="AE2524"/>
          <cell r="AF2524"/>
          <cell r="AG2524">
            <v>24.2</v>
          </cell>
          <cell r="AH2524">
            <v>2.2000000000000002</v>
          </cell>
          <cell r="AI2524">
            <v>0.629</v>
          </cell>
          <cell r="AJ2524">
            <v>1</v>
          </cell>
          <cell r="AK2524">
            <v>3.5</v>
          </cell>
          <cell r="AL2524" t="str">
            <v>Panasonic</v>
          </cell>
        </row>
        <row r="2525">
          <cell r="E2525" t="str">
            <v>LBF2R P-950LM-LN</v>
          </cell>
          <cell r="F2525" t="str">
            <v>台</v>
          </cell>
          <cell r="G2525">
            <v>23500</v>
          </cell>
          <cell r="H2525">
            <v>14100</v>
          </cell>
          <cell r="I2525">
            <v>23500</v>
          </cell>
          <cell r="J2525">
            <v>14100</v>
          </cell>
          <cell r="K2525">
            <v>23500</v>
          </cell>
          <cell r="L2525">
            <v>14100</v>
          </cell>
          <cell r="M2525">
            <v>23500</v>
          </cell>
          <cell r="N2525">
            <v>14100</v>
          </cell>
          <cell r="O2525">
            <v>23500</v>
          </cell>
          <cell r="P2525">
            <v>14100</v>
          </cell>
          <cell r="Q2525">
            <v>23500</v>
          </cell>
          <cell r="R2525">
            <v>14100</v>
          </cell>
          <cell r="S2525">
            <v>23500</v>
          </cell>
          <cell r="T2525">
            <v>14100</v>
          </cell>
          <cell r="U2525">
            <v>23500</v>
          </cell>
          <cell r="V2525">
            <v>14100</v>
          </cell>
          <cell r="W2525">
            <v>23500</v>
          </cell>
          <cell r="X2525">
            <v>14100</v>
          </cell>
          <cell r="Y2525">
            <v>23500</v>
          </cell>
          <cell r="Z2525">
            <v>14100</v>
          </cell>
          <cell r="AA2525"/>
          <cell r="AB2525"/>
          <cell r="AC2525"/>
          <cell r="AD2525">
            <v>0.13</v>
          </cell>
          <cell r="AE2525"/>
          <cell r="AF2525"/>
          <cell r="AG2525">
            <v>1360</v>
          </cell>
          <cell r="AH2525">
            <v>15.3</v>
          </cell>
          <cell r="AI2525">
            <v>0.85</v>
          </cell>
          <cell r="AJ2525">
            <v>1</v>
          </cell>
          <cell r="AK2525">
            <v>18</v>
          </cell>
          <cell r="AL2525" t="str">
            <v>　 ↓</v>
          </cell>
        </row>
        <row r="2526">
          <cell r="E2526" t="str">
            <v>LRS1-950LM-LN</v>
          </cell>
          <cell r="F2526" t="str">
            <v>台</v>
          </cell>
          <cell r="G2526">
            <v>15500</v>
          </cell>
          <cell r="H2526">
            <v>6970</v>
          </cell>
          <cell r="I2526">
            <v>15500</v>
          </cell>
          <cell r="J2526">
            <v>6970</v>
          </cell>
          <cell r="K2526">
            <v>15500</v>
          </cell>
          <cell r="L2526">
            <v>6970</v>
          </cell>
          <cell r="M2526">
            <v>15500</v>
          </cell>
          <cell r="N2526">
            <v>6970</v>
          </cell>
          <cell r="O2526">
            <v>15500</v>
          </cell>
          <cell r="P2526">
            <v>6970</v>
          </cell>
          <cell r="Q2526">
            <v>15500</v>
          </cell>
          <cell r="R2526">
            <v>6970</v>
          </cell>
          <cell r="S2526">
            <v>15500</v>
          </cell>
          <cell r="T2526">
            <v>6970</v>
          </cell>
          <cell r="U2526">
            <v>15500</v>
          </cell>
          <cell r="V2526">
            <v>6970</v>
          </cell>
          <cell r="W2526">
            <v>15500</v>
          </cell>
          <cell r="X2526">
            <v>6970</v>
          </cell>
          <cell r="Y2526">
            <v>15500</v>
          </cell>
          <cell r="Z2526">
            <v>6970</v>
          </cell>
          <cell r="AA2526"/>
          <cell r="AB2526"/>
          <cell r="AC2526"/>
          <cell r="AD2526">
            <v>0.20899999999999999</v>
          </cell>
          <cell r="AE2526"/>
          <cell r="AF2526"/>
          <cell r="AG2526">
            <v>1015</v>
          </cell>
          <cell r="AH2526">
            <v>10.1</v>
          </cell>
          <cell r="AI2526">
            <v>0.98099999999999998</v>
          </cell>
          <cell r="AJ2526">
            <v>1</v>
          </cell>
          <cell r="AK2526">
            <v>10.3</v>
          </cell>
          <cell r="AL2526" t="str">
            <v>　 ↓</v>
          </cell>
        </row>
        <row r="2527">
          <cell r="E2527" t="str">
            <v>LRS1-950LM-LZ</v>
          </cell>
          <cell r="F2527" t="str">
            <v>台</v>
          </cell>
          <cell r="G2527">
            <v>18500</v>
          </cell>
          <cell r="H2527">
            <v>8320</v>
          </cell>
          <cell r="I2527">
            <v>18500</v>
          </cell>
          <cell r="J2527">
            <v>8320</v>
          </cell>
          <cell r="K2527">
            <v>18500</v>
          </cell>
          <cell r="L2527">
            <v>8320</v>
          </cell>
          <cell r="M2527">
            <v>18500</v>
          </cell>
          <cell r="N2527">
            <v>8320</v>
          </cell>
          <cell r="O2527">
            <v>18500</v>
          </cell>
          <cell r="P2527">
            <v>8320</v>
          </cell>
          <cell r="Q2527">
            <v>18500</v>
          </cell>
          <cell r="R2527">
            <v>8320</v>
          </cell>
          <cell r="S2527">
            <v>18500</v>
          </cell>
          <cell r="T2527">
            <v>8320</v>
          </cell>
          <cell r="U2527">
            <v>18500</v>
          </cell>
          <cell r="V2527">
            <v>8320</v>
          </cell>
          <cell r="W2527">
            <v>18500</v>
          </cell>
          <cell r="X2527">
            <v>8320</v>
          </cell>
          <cell r="Y2527">
            <v>18500</v>
          </cell>
          <cell r="Z2527">
            <v>8320</v>
          </cell>
          <cell r="AA2527"/>
          <cell r="AB2527"/>
          <cell r="AC2527"/>
          <cell r="AD2527">
            <v>0.20899999999999999</v>
          </cell>
          <cell r="AE2527"/>
          <cell r="AF2527"/>
          <cell r="AG2527">
            <v>1015</v>
          </cell>
          <cell r="AH2527">
            <v>10.1</v>
          </cell>
          <cell r="AI2527">
            <v>0.98099999999999998</v>
          </cell>
          <cell r="AJ2527">
            <v>1</v>
          </cell>
          <cell r="AK2527">
            <v>10.3</v>
          </cell>
          <cell r="AL2527" t="str">
            <v>　 ↓</v>
          </cell>
        </row>
        <row r="2528">
          <cell r="E2528" t="str">
            <v>LRS1-1400LM-LN</v>
          </cell>
          <cell r="F2528" t="str">
            <v>台</v>
          </cell>
          <cell r="G2528">
            <v>20800</v>
          </cell>
          <cell r="H2528">
            <v>9360</v>
          </cell>
          <cell r="I2528">
            <v>20800</v>
          </cell>
          <cell r="J2528">
            <v>9360</v>
          </cell>
          <cell r="K2528">
            <v>20800</v>
          </cell>
          <cell r="L2528">
            <v>9360</v>
          </cell>
          <cell r="M2528">
            <v>20800</v>
          </cell>
          <cell r="N2528">
            <v>9360</v>
          </cell>
          <cell r="O2528">
            <v>20800</v>
          </cell>
          <cell r="P2528">
            <v>9360</v>
          </cell>
          <cell r="Q2528">
            <v>20800</v>
          </cell>
          <cell r="R2528">
            <v>9360</v>
          </cell>
          <cell r="S2528">
            <v>20800</v>
          </cell>
          <cell r="T2528">
            <v>9360</v>
          </cell>
          <cell r="U2528">
            <v>20800</v>
          </cell>
          <cell r="V2528">
            <v>9360</v>
          </cell>
          <cell r="W2528">
            <v>20800</v>
          </cell>
          <cell r="X2528">
            <v>9360</v>
          </cell>
          <cell r="Y2528">
            <v>20800</v>
          </cell>
          <cell r="Z2528">
            <v>9360</v>
          </cell>
          <cell r="AA2528"/>
          <cell r="AB2528"/>
          <cell r="AC2528"/>
          <cell r="AD2528">
            <v>0.20899999999999999</v>
          </cell>
          <cell r="AE2528"/>
          <cell r="AF2528"/>
          <cell r="AG2528">
            <v>1550</v>
          </cell>
          <cell r="AH2528">
            <v>14.7</v>
          </cell>
          <cell r="AI2528">
            <v>0.98599999999999999</v>
          </cell>
          <cell r="AJ2528">
            <v>1</v>
          </cell>
          <cell r="AK2528">
            <v>14.9</v>
          </cell>
          <cell r="AL2528" t="str">
            <v>　 ↓</v>
          </cell>
        </row>
        <row r="2529">
          <cell r="E2529" t="str">
            <v>LBS1-1400LM-LZ</v>
          </cell>
          <cell r="F2529" t="str">
            <v>台</v>
          </cell>
          <cell r="G2529">
            <v>23800</v>
          </cell>
          <cell r="H2529">
            <v>10700</v>
          </cell>
          <cell r="I2529">
            <v>23800</v>
          </cell>
          <cell r="J2529">
            <v>10700</v>
          </cell>
          <cell r="K2529">
            <v>23800</v>
          </cell>
          <cell r="L2529">
            <v>10700</v>
          </cell>
          <cell r="M2529">
            <v>23800</v>
          </cell>
          <cell r="N2529">
            <v>10700</v>
          </cell>
          <cell r="O2529">
            <v>23800</v>
          </cell>
          <cell r="P2529">
            <v>10700</v>
          </cell>
          <cell r="Q2529">
            <v>23800</v>
          </cell>
          <cell r="R2529">
            <v>10700</v>
          </cell>
          <cell r="S2529">
            <v>23800</v>
          </cell>
          <cell r="T2529">
            <v>10700</v>
          </cell>
          <cell r="U2529">
            <v>23800</v>
          </cell>
          <cell r="V2529">
            <v>10700</v>
          </cell>
          <cell r="W2529">
            <v>23800</v>
          </cell>
          <cell r="X2529">
            <v>10700</v>
          </cell>
          <cell r="Y2529">
            <v>23800</v>
          </cell>
          <cell r="Z2529">
            <v>10700</v>
          </cell>
          <cell r="AA2529"/>
          <cell r="AB2529"/>
          <cell r="AC2529"/>
          <cell r="AD2529">
            <v>0.20899999999999999</v>
          </cell>
          <cell r="AE2529"/>
          <cell r="AF2529"/>
          <cell r="AG2529">
            <v>1695</v>
          </cell>
          <cell r="AH2529">
            <v>16.5</v>
          </cell>
          <cell r="AI2529">
            <v>0.97099999999999997</v>
          </cell>
          <cell r="AJ2529">
            <v>1</v>
          </cell>
          <cell r="AK2529">
            <v>17</v>
          </cell>
          <cell r="AL2529" t="str">
            <v>　 ↓</v>
          </cell>
        </row>
        <row r="2530">
          <cell r="E2530" t="str">
            <v>LRS1-1900LM-LN</v>
          </cell>
          <cell r="F2530" t="str">
            <v>台</v>
          </cell>
          <cell r="G2530">
            <v>25800</v>
          </cell>
          <cell r="H2530">
            <v>11600</v>
          </cell>
          <cell r="I2530">
            <v>25800</v>
          </cell>
          <cell r="J2530">
            <v>11600</v>
          </cell>
          <cell r="K2530">
            <v>25800</v>
          </cell>
          <cell r="L2530">
            <v>11600</v>
          </cell>
          <cell r="M2530">
            <v>25800</v>
          </cell>
          <cell r="N2530">
            <v>11600</v>
          </cell>
          <cell r="O2530">
            <v>25800</v>
          </cell>
          <cell r="P2530">
            <v>11600</v>
          </cell>
          <cell r="Q2530">
            <v>25800</v>
          </cell>
          <cell r="R2530">
            <v>11600</v>
          </cell>
          <cell r="S2530">
            <v>25800</v>
          </cell>
          <cell r="T2530">
            <v>11600</v>
          </cell>
          <cell r="U2530">
            <v>25800</v>
          </cell>
          <cell r="V2530">
            <v>11600</v>
          </cell>
          <cell r="W2530">
            <v>25800</v>
          </cell>
          <cell r="X2530">
            <v>11600</v>
          </cell>
          <cell r="Y2530">
            <v>25800</v>
          </cell>
          <cell r="Z2530">
            <v>11600</v>
          </cell>
          <cell r="AA2530"/>
          <cell r="AB2530"/>
          <cell r="AC2530"/>
          <cell r="AD2530">
            <v>0.20899999999999999</v>
          </cell>
          <cell r="AE2530"/>
          <cell r="AF2530"/>
          <cell r="AG2530">
            <v>2015</v>
          </cell>
          <cell r="AH2530">
            <v>17.7</v>
          </cell>
          <cell r="AI2530">
            <v>0.98299999999999998</v>
          </cell>
          <cell r="AJ2530">
            <v>1</v>
          </cell>
          <cell r="AK2530">
            <v>18</v>
          </cell>
          <cell r="AL2530" t="str">
            <v>　 ↓</v>
          </cell>
        </row>
        <row r="2531">
          <cell r="E2531" t="str">
            <v>LBS1-1900LM-LZ</v>
          </cell>
          <cell r="F2531" t="str">
            <v>台</v>
          </cell>
          <cell r="G2531">
            <v>28800</v>
          </cell>
          <cell r="H2531">
            <v>12900</v>
          </cell>
          <cell r="I2531">
            <v>28800</v>
          </cell>
          <cell r="J2531">
            <v>12900</v>
          </cell>
          <cell r="K2531">
            <v>28800</v>
          </cell>
          <cell r="L2531">
            <v>12900</v>
          </cell>
          <cell r="M2531">
            <v>28800</v>
          </cell>
          <cell r="N2531">
            <v>12900</v>
          </cell>
          <cell r="O2531">
            <v>28800</v>
          </cell>
          <cell r="P2531">
            <v>12900</v>
          </cell>
          <cell r="Q2531">
            <v>28800</v>
          </cell>
          <cell r="R2531">
            <v>12900</v>
          </cell>
          <cell r="S2531">
            <v>28800</v>
          </cell>
          <cell r="T2531">
            <v>12900</v>
          </cell>
          <cell r="U2531">
            <v>28800</v>
          </cell>
          <cell r="V2531">
            <v>12900</v>
          </cell>
          <cell r="W2531">
            <v>28800</v>
          </cell>
          <cell r="X2531">
            <v>12900</v>
          </cell>
          <cell r="Y2531">
            <v>28800</v>
          </cell>
          <cell r="Z2531">
            <v>12900</v>
          </cell>
          <cell r="AA2531"/>
          <cell r="AB2531"/>
          <cell r="AC2531"/>
          <cell r="AD2531">
            <v>0.20899999999999999</v>
          </cell>
          <cell r="AE2531"/>
          <cell r="AF2531"/>
          <cell r="AG2531">
            <v>2200</v>
          </cell>
          <cell r="AH2531">
            <v>19.899999999999999</v>
          </cell>
          <cell r="AI2531">
            <v>0.995</v>
          </cell>
          <cell r="AJ2531">
            <v>1</v>
          </cell>
          <cell r="AK2531">
            <v>20</v>
          </cell>
          <cell r="AL2531" t="str">
            <v>　 ↓</v>
          </cell>
        </row>
        <row r="2532">
          <cell r="E2532" t="str">
            <v>LBS1-3300LM-LZ</v>
          </cell>
          <cell r="F2532" t="str">
            <v>台</v>
          </cell>
          <cell r="G2532">
            <v>41500</v>
          </cell>
          <cell r="H2532">
            <v>18600</v>
          </cell>
          <cell r="I2532">
            <v>41500</v>
          </cell>
          <cell r="J2532">
            <v>18600</v>
          </cell>
          <cell r="K2532">
            <v>41500</v>
          </cell>
          <cell r="L2532">
            <v>18600</v>
          </cell>
          <cell r="M2532">
            <v>41500</v>
          </cell>
          <cell r="N2532">
            <v>18600</v>
          </cell>
          <cell r="O2532">
            <v>41500</v>
          </cell>
          <cell r="P2532">
            <v>18600</v>
          </cell>
          <cell r="Q2532">
            <v>41500</v>
          </cell>
          <cell r="R2532">
            <v>18600</v>
          </cell>
          <cell r="S2532">
            <v>41500</v>
          </cell>
          <cell r="T2532">
            <v>18600</v>
          </cell>
          <cell r="U2532">
            <v>41500</v>
          </cell>
          <cell r="V2532">
            <v>18600</v>
          </cell>
          <cell r="W2532">
            <v>41500</v>
          </cell>
          <cell r="X2532">
            <v>18600</v>
          </cell>
          <cell r="Y2532">
            <v>41500</v>
          </cell>
          <cell r="Z2532">
            <v>18600</v>
          </cell>
          <cell r="AA2532"/>
          <cell r="AB2532"/>
          <cell r="AC2532"/>
          <cell r="AD2532">
            <v>0.20899999999999999</v>
          </cell>
          <cell r="AE2532"/>
          <cell r="AF2532"/>
          <cell r="AG2532">
            <v>3705</v>
          </cell>
          <cell r="AH2532">
            <v>34.799999999999997</v>
          </cell>
          <cell r="AI2532">
            <v>0.94099999999999995</v>
          </cell>
          <cell r="AJ2532">
            <v>1</v>
          </cell>
          <cell r="AK2532">
            <v>37</v>
          </cell>
          <cell r="AL2532" t="str">
            <v>　 ↓</v>
          </cell>
        </row>
        <row r="2533">
          <cell r="E2533" t="str">
            <v>LBS1-5000LM-LZ</v>
          </cell>
          <cell r="F2533" t="str">
            <v>台</v>
          </cell>
          <cell r="G2533">
            <v>56800</v>
          </cell>
          <cell r="H2533">
            <v>25500</v>
          </cell>
          <cell r="I2533">
            <v>56800</v>
          </cell>
          <cell r="J2533">
            <v>25500</v>
          </cell>
          <cell r="K2533">
            <v>56800</v>
          </cell>
          <cell r="L2533">
            <v>25500</v>
          </cell>
          <cell r="M2533">
            <v>56800</v>
          </cell>
          <cell r="N2533">
            <v>25500</v>
          </cell>
          <cell r="O2533">
            <v>56800</v>
          </cell>
          <cell r="P2533">
            <v>25500</v>
          </cell>
          <cell r="Q2533">
            <v>56800</v>
          </cell>
          <cell r="R2533">
            <v>25500</v>
          </cell>
          <cell r="S2533">
            <v>56800</v>
          </cell>
          <cell r="T2533">
            <v>25500</v>
          </cell>
          <cell r="U2533">
            <v>56800</v>
          </cell>
          <cell r="V2533">
            <v>25500</v>
          </cell>
          <cell r="W2533">
            <v>56800</v>
          </cell>
          <cell r="X2533">
            <v>25500</v>
          </cell>
          <cell r="Y2533">
            <v>56800</v>
          </cell>
          <cell r="Z2533">
            <v>25500</v>
          </cell>
          <cell r="AA2533"/>
          <cell r="AB2533"/>
          <cell r="AC2533"/>
          <cell r="AD2533">
            <v>0.35699999999999998</v>
          </cell>
          <cell r="AE2533"/>
          <cell r="AF2533"/>
          <cell r="AG2533">
            <v>5670</v>
          </cell>
          <cell r="AH2533">
            <v>54.4</v>
          </cell>
          <cell r="AI2533">
            <v>0.93799999999999994</v>
          </cell>
          <cell r="AJ2533">
            <v>1</v>
          </cell>
          <cell r="AK2533">
            <v>58</v>
          </cell>
          <cell r="AL2533" t="str">
            <v>　 ↓</v>
          </cell>
        </row>
        <row r="2534">
          <cell r="E2534" t="str">
            <v>LBS1-6800LM-LZ</v>
          </cell>
          <cell r="F2534" t="str">
            <v>台</v>
          </cell>
          <cell r="G2534">
            <v>67500</v>
          </cell>
          <cell r="H2534">
            <v>30300</v>
          </cell>
          <cell r="I2534">
            <v>67500</v>
          </cell>
          <cell r="J2534">
            <v>30300</v>
          </cell>
          <cell r="K2534">
            <v>67500</v>
          </cell>
          <cell r="L2534">
            <v>30300</v>
          </cell>
          <cell r="M2534">
            <v>67500</v>
          </cell>
          <cell r="N2534">
            <v>30300</v>
          </cell>
          <cell r="O2534">
            <v>67500</v>
          </cell>
          <cell r="P2534">
            <v>30300</v>
          </cell>
          <cell r="Q2534">
            <v>67500</v>
          </cell>
          <cell r="R2534">
            <v>30300</v>
          </cell>
          <cell r="S2534">
            <v>67500</v>
          </cell>
          <cell r="T2534">
            <v>30300</v>
          </cell>
          <cell r="U2534">
            <v>67500</v>
          </cell>
          <cell r="V2534">
            <v>30300</v>
          </cell>
          <cell r="W2534">
            <v>67500</v>
          </cell>
          <cell r="X2534">
            <v>30300</v>
          </cell>
          <cell r="Y2534">
            <v>67500</v>
          </cell>
          <cell r="Z2534">
            <v>30300</v>
          </cell>
          <cell r="AA2534"/>
          <cell r="AB2534"/>
          <cell r="AC2534"/>
          <cell r="AD2534">
            <v>0.35699999999999998</v>
          </cell>
          <cell r="AE2534"/>
          <cell r="AF2534"/>
          <cell r="AG2534">
            <v>7820</v>
          </cell>
          <cell r="AH2534">
            <v>69.7</v>
          </cell>
          <cell r="AI2534">
            <v>0.95499999999999996</v>
          </cell>
          <cell r="AJ2534">
            <v>1</v>
          </cell>
          <cell r="AK2534">
            <v>73</v>
          </cell>
          <cell r="AL2534" t="str">
            <v>　 ↓</v>
          </cell>
        </row>
        <row r="2535">
          <cell r="E2535" t="str">
            <v>LBS1-8600LM-LZ</v>
          </cell>
          <cell r="F2535" t="str">
            <v>台</v>
          </cell>
          <cell r="G2535">
            <v>90500</v>
          </cell>
          <cell r="H2535">
            <v>40700</v>
          </cell>
          <cell r="I2535">
            <v>90500</v>
          </cell>
          <cell r="J2535">
            <v>40700</v>
          </cell>
          <cell r="K2535">
            <v>90500</v>
          </cell>
          <cell r="L2535">
            <v>40700</v>
          </cell>
          <cell r="M2535">
            <v>90500</v>
          </cell>
          <cell r="N2535">
            <v>40700</v>
          </cell>
          <cell r="O2535">
            <v>90500</v>
          </cell>
          <cell r="P2535">
            <v>40700</v>
          </cell>
          <cell r="Q2535">
            <v>90500</v>
          </cell>
          <cell r="R2535">
            <v>40700</v>
          </cell>
          <cell r="S2535">
            <v>90500</v>
          </cell>
          <cell r="T2535">
            <v>40700</v>
          </cell>
          <cell r="U2535">
            <v>90500</v>
          </cell>
          <cell r="V2535">
            <v>40700</v>
          </cell>
          <cell r="W2535">
            <v>90500</v>
          </cell>
          <cell r="X2535">
            <v>40700</v>
          </cell>
          <cell r="Y2535">
            <v>90500</v>
          </cell>
          <cell r="Z2535">
            <v>40700</v>
          </cell>
          <cell r="AA2535"/>
          <cell r="AB2535"/>
          <cell r="AC2535"/>
          <cell r="AD2535">
            <v>0.35699999999999998</v>
          </cell>
          <cell r="AE2535"/>
          <cell r="AF2535"/>
          <cell r="AG2535">
            <v>9620</v>
          </cell>
          <cell r="AH2535">
            <v>85.5</v>
          </cell>
          <cell r="AI2535">
            <v>0.95</v>
          </cell>
          <cell r="AJ2535">
            <v>1</v>
          </cell>
          <cell r="AK2535">
            <v>90</v>
          </cell>
          <cell r="AL2535" t="str">
            <v>　 ↓</v>
          </cell>
        </row>
        <row r="2536">
          <cell r="E2536" t="str">
            <v>LDS2-LRS1-950LM-LN</v>
          </cell>
          <cell r="F2536" t="str">
            <v>台</v>
          </cell>
          <cell r="G2536">
            <v>35800</v>
          </cell>
          <cell r="H2536">
            <v>16100</v>
          </cell>
          <cell r="I2536">
            <v>35800</v>
          </cell>
          <cell r="J2536">
            <v>16100</v>
          </cell>
          <cell r="K2536">
            <v>35800</v>
          </cell>
          <cell r="L2536">
            <v>16100</v>
          </cell>
          <cell r="M2536">
            <v>35800</v>
          </cell>
          <cell r="N2536">
            <v>16100</v>
          </cell>
          <cell r="O2536">
            <v>35800</v>
          </cell>
          <cell r="P2536">
            <v>16100</v>
          </cell>
          <cell r="Q2536">
            <v>35800</v>
          </cell>
          <cell r="R2536">
            <v>16100</v>
          </cell>
          <cell r="S2536">
            <v>35800</v>
          </cell>
          <cell r="T2536">
            <v>16100</v>
          </cell>
          <cell r="U2536">
            <v>35800</v>
          </cell>
          <cell r="V2536">
            <v>16100</v>
          </cell>
          <cell r="W2536">
            <v>35800</v>
          </cell>
          <cell r="X2536">
            <v>16100</v>
          </cell>
          <cell r="Y2536">
            <v>35800</v>
          </cell>
          <cell r="Z2536">
            <v>16100</v>
          </cell>
          <cell r="AA2536"/>
          <cell r="AB2536"/>
          <cell r="AC2536"/>
          <cell r="AD2536">
            <v>0.20899999999999999</v>
          </cell>
          <cell r="AE2536"/>
          <cell r="AF2536"/>
          <cell r="AG2536">
            <v>1075</v>
          </cell>
          <cell r="AH2536">
            <v>11.5</v>
          </cell>
          <cell r="AI2536">
            <v>0.96599999999999997</v>
          </cell>
          <cell r="AJ2536">
            <v>1</v>
          </cell>
          <cell r="AK2536">
            <v>11.9</v>
          </cell>
          <cell r="AL2536" t="str">
            <v>　 ↓</v>
          </cell>
        </row>
        <row r="2537">
          <cell r="E2537" t="str">
            <v>LDS2-LRS1-1400LM-LN</v>
          </cell>
          <cell r="F2537" t="str">
            <v>台</v>
          </cell>
          <cell r="G2537">
            <v>40800</v>
          </cell>
          <cell r="H2537">
            <v>18300</v>
          </cell>
          <cell r="I2537">
            <v>40800</v>
          </cell>
          <cell r="J2537">
            <v>18300</v>
          </cell>
          <cell r="K2537">
            <v>40800</v>
          </cell>
          <cell r="L2537">
            <v>18300</v>
          </cell>
          <cell r="M2537">
            <v>40800</v>
          </cell>
          <cell r="N2537">
            <v>18300</v>
          </cell>
          <cell r="O2537">
            <v>40800</v>
          </cell>
          <cell r="P2537">
            <v>18300</v>
          </cell>
          <cell r="Q2537">
            <v>40800</v>
          </cell>
          <cell r="R2537">
            <v>18300</v>
          </cell>
          <cell r="S2537">
            <v>40800</v>
          </cell>
          <cell r="T2537">
            <v>18300</v>
          </cell>
          <cell r="U2537">
            <v>40800</v>
          </cell>
          <cell r="V2537">
            <v>18300</v>
          </cell>
          <cell r="W2537">
            <v>40800</v>
          </cell>
          <cell r="X2537">
            <v>18300</v>
          </cell>
          <cell r="Y2537">
            <v>40800</v>
          </cell>
          <cell r="Z2537">
            <v>18300</v>
          </cell>
          <cell r="AA2537"/>
          <cell r="AB2537"/>
          <cell r="AC2537"/>
          <cell r="AD2537">
            <v>0.20899999999999999</v>
          </cell>
          <cell r="AE2537"/>
          <cell r="AF2537"/>
          <cell r="AG2537">
            <v>1640</v>
          </cell>
          <cell r="AH2537">
            <v>16.899999999999999</v>
          </cell>
          <cell r="AI2537">
            <v>0.97099999999999997</v>
          </cell>
          <cell r="AJ2537">
            <v>1</v>
          </cell>
          <cell r="AK2537">
            <v>17.399999999999999</v>
          </cell>
          <cell r="AL2537" t="str">
            <v>　 ↓</v>
          </cell>
        </row>
        <row r="2538">
          <cell r="E2538" t="str">
            <v>LDS2-LRS1-1900LM-LN</v>
          </cell>
          <cell r="F2538" t="str">
            <v>台</v>
          </cell>
          <cell r="G2538">
            <v>45800</v>
          </cell>
          <cell r="H2538">
            <v>20600</v>
          </cell>
          <cell r="I2538">
            <v>45800</v>
          </cell>
          <cell r="J2538">
            <v>20600</v>
          </cell>
          <cell r="K2538">
            <v>45800</v>
          </cell>
          <cell r="L2538">
            <v>20600</v>
          </cell>
          <cell r="M2538">
            <v>45800</v>
          </cell>
          <cell r="N2538">
            <v>20600</v>
          </cell>
          <cell r="O2538">
            <v>45800</v>
          </cell>
          <cell r="P2538">
            <v>20600</v>
          </cell>
          <cell r="Q2538">
            <v>45800</v>
          </cell>
          <cell r="R2538">
            <v>20600</v>
          </cell>
          <cell r="S2538">
            <v>45800</v>
          </cell>
          <cell r="T2538">
            <v>20600</v>
          </cell>
          <cell r="U2538">
            <v>45800</v>
          </cell>
          <cell r="V2538">
            <v>20600</v>
          </cell>
          <cell r="W2538">
            <v>45800</v>
          </cell>
          <cell r="X2538">
            <v>20600</v>
          </cell>
          <cell r="Y2538">
            <v>45800</v>
          </cell>
          <cell r="Z2538">
            <v>20600</v>
          </cell>
          <cell r="AA2538"/>
          <cell r="AB2538"/>
          <cell r="AC2538"/>
          <cell r="AD2538">
            <v>0.20899999999999999</v>
          </cell>
          <cell r="AE2538"/>
          <cell r="AF2538"/>
          <cell r="AG2538">
            <v>2020</v>
          </cell>
          <cell r="AH2538">
            <v>20.3</v>
          </cell>
          <cell r="AI2538">
            <v>0.995</v>
          </cell>
          <cell r="AJ2538">
            <v>1</v>
          </cell>
          <cell r="AK2538">
            <v>20.399999999999999</v>
          </cell>
          <cell r="AL2538" t="str">
            <v>　 ↓</v>
          </cell>
        </row>
        <row r="2539">
          <cell r="E2539" t="str">
            <v>LRS1RP-950LM-LN</v>
          </cell>
          <cell r="F2539" t="str">
            <v>台</v>
          </cell>
          <cell r="G2539">
            <v>23800</v>
          </cell>
          <cell r="H2539">
            <v>10700</v>
          </cell>
          <cell r="I2539">
            <v>23800</v>
          </cell>
          <cell r="J2539">
            <v>10700</v>
          </cell>
          <cell r="K2539">
            <v>23800</v>
          </cell>
          <cell r="L2539">
            <v>10700</v>
          </cell>
          <cell r="M2539">
            <v>23800</v>
          </cell>
          <cell r="N2539">
            <v>10700</v>
          </cell>
          <cell r="O2539">
            <v>23800</v>
          </cell>
          <cell r="P2539">
            <v>10700</v>
          </cell>
          <cell r="Q2539">
            <v>23800</v>
          </cell>
          <cell r="R2539">
            <v>10700</v>
          </cell>
          <cell r="S2539">
            <v>23800</v>
          </cell>
          <cell r="T2539">
            <v>10700</v>
          </cell>
          <cell r="U2539">
            <v>23800</v>
          </cell>
          <cell r="V2539">
            <v>10700</v>
          </cell>
          <cell r="W2539">
            <v>23800</v>
          </cell>
          <cell r="X2539">
            <v>10700</v>
          </cell>
          <cell r="Y2539">
            <v>23800</v>
          </cell>
          <cell r="Z2539">
            <v>10700</v>
          </cell>
          <cell r="AA2539"/>
          <cell r="AB2539"/>
          <cell r="AC2539"/>
          <cell r="AD2539">
            <v>0.20899999999999999</v>
          </cell>
          <cell r="AE2539"/>
          <cell r="AF2539"/>
          <cell r="AG2539">
            <v>1055</v>
          </cell>
          <cell r="AH2539">
            <v>11.1</v>
          </cell>
          <cell r="AI2539">
            <v>0.96499999999999997</v>
          </cell>
          <cell r="AJ2539">
            <v>1</v>
          </cell>
          <cell r="AK2539">
            <v>11.5</v>
          </cell>
          <cell r="AL2539" t="str">
            <v>　 ↓</v>
          </cell>
        </row>
        <row r="2540">
          <cell r="E2540" t="str">
            <v>LRS1RP-1400LM-LN</v>
          </cell>
          <cell r="F2540" t="str">
            <v>台</v>
          </cell>
          <cell r="G2540">
            <v>27800</v>
          </cell>
          <cell r="H2540">
            <v>12500</v>
          </cell>
          <cell r="I2540">
            <v>27800</v>
          </cell>
          <cell r="J2540">
            <v>12500</v>
          </cell>
          <cell r="K2540">
            <v>27800</v>
          </cell>
          <cell r="L2540">
            <v>12500</v>
          </cell>
          <cell r="M2540">
            <v>27800</v>
          </cell>
          <cell r="N2540">
            <v>12500</v>
          </cell>
          <cell r="O2540">
            <v>27800</v>
          </cell>
          <cell r="P2540">
            <v>12500</v>
          </cell>
          <cell r="Q2540">
            <v>27800</v>
          </cell>
          <cell r="R2540">
            <v>12500</v>
          </cell>
          <cell r="S2540">
            <v>27800</v>
          </cell>
          <cell r="T2540">
            <v>12500</v>
          </cell>
          <cell r="U2540">
            <v>27800</v>
          </cell>
          <cell r="V2540">
            <v>12500</v>
          </cell>
          <cell r="W2540">
            <v>27800</v>
          </cell>
          <cell r="X2540">
            <v>12500</v>
          </cell>
          <cell r="Y2540">
            <v>27800</v>
          </cell>
          <cell r="Z2540">
            <v>12500</v>
          </cell>
          <cell r="AA2540"/>
          <cell r="AB2540"/>
          <cell r="AC2540"/>
          <cell r="AD2540">
            <v>0.20899999999999999</v>
          </cell>
          <cell r="AE2540"/>
          <cell r="AF2540"/>
          <cell r="AG2540">
            <v>1480</v>
          </cell>
          <cell r="AH2540">
            <v>16.5</v>
          </cell>
          <cell r="AI2540">
            <v>0.97099999999999997</v>
          </cell>
          <cell r="AJ2540">
            <v>1</v>
          </cell>
          <cell r="AK2540">
            <v>17</v>
          </cell>
          <cell r="AL2540" t="str">
            <v>　 ↓</v>
          </cell>
        </row>
        <row r="2541">
          <cell r="E2541" t="str">
            <v>LRS1RP-1900LM-LN</v>
          </cell>
          <cell r="F2541" t="str">
            <v>台</v>
          </cell>
          <cell r="G2541">
            <v>36800</v>
          </cell>
          <cell r="H2541">
            <v>16500</v>
          </cell>
          <cell r="I2541">
            <v>36800</v>
          </cell>
          <cell r="J2541">
            <v>16500</v>
          </cell>
          <cell r="K2541">
            <v>36800</v>
          </cell>
          <cell r="L2541">
            <v>16500</v>
          </cell>
          <cell r="M2541">
            <v>36800</v>
          </cell>
          <cell r="N2541">
            <v>16500</v>
          </cell>
          <cell r="O2541">
            <v>36800</v>
          </cell>
          <cell r="P2541">
            <v>16500</v>
          </cell>
          <cell r="Q2541">
            <v>36800</v>
          </cell>
          <cell r="R2541">
            <v>16500</v>
          </cell>
          <cell r="S2541">
            <v>36800</v>
          </cell>
          <cell r="T2541">
            <v>16500</v>
          </cell>
          <cell r="U2541">
            <v>36800</v>
          </cell>
          <cell r="V2541">
            <v>16500</v>
          </cell>
          <cell r="W2541">
            <v>36800</v>
          </cell>
          <cell r="X2541">
            <v>16500</v>
          </cell>
          <cell r="Y2541">
            <v>36800</v>
          </cell>
          <cell r="Z2541">
            <v>16500</v>
          </cell>
          <cell r="AA2541"/>
          <cell r="AB2541"/>
          <cell r="AC2541"/>
          <cell r="AD2541">
            <v>0.20899999999999999</v>
          </cell>
          <cell r="AE2541"/>
          <cell r="AF2541"/>
          <cell r="AG2541">
            <v>1940</v>
          </cell>
          <cell r="AH2541">
            <v>19.899999999999999</v>
          </cell>
          <cell r="AI2541">
            <v>0.995</v>
          </cell>
          <cell r="AJ2541">
            <v>1</v>
          </cell>
          <cell r="AK2541">
            <v>20</v>
          </cell>
          <cell r="AL2541" t="str">
            <v>　 ↓</v>
          </cell>
        </row>
        <row r="2542">
          <cell r="E2542" t="str">
            <v>LRS2-12000LM-LZ</v>
          </cell>
          <cell r="F2542" t="str">
            <v>台</v>
          </cell>
          <cell r="G2542">
            <v>189600</v>
          </cell>
          <cell r="H2542">
            <v>85300</v>
          </cell>
          <cell r="I2542">
            <v>189600</v>
          </cell>
          <cell r="J2542">
            <v>85300</v>
          </cell>
          <cell r="K2542">
            <v>189600</v>
          </cell>
          <cell r="L2542">
            <v>85300</v>
          </cell>
          <cell r="M2542">
            <v>189600</v>
          </cell>
          <cell r="N2542">
            <v>85300</v>
          </cell>
          <cell r="O2542">
            <v>189600</v>
          </cell>
          <cell r="P2542">
            <v>85300</v>
          </cell>
          <cell r="Q2542">
            <v>189600</v>
          </cell>
          <cell r="R2542">
            <v>85300</v>
          </cell>
          <cell r="S2542">
            <v>189600</v>
          </cell>
          <cell r="T2542">
            <v>85300</v>
          </cell>
          <cell r="U2542">
            <v>189600</v>
          </cell>
          <cell r="V2542">
            <v>85300</v>
          </cell>
          <cell r="W2542">
            <v>189600</v>
          </cell>
          <cell r="X2542">
            <v>85300</v>
          </cell>
          <cell r="Y2542">
            <v>189600</v>
          </cell>
          <cell r="Z2542">
            <v>85300</v>
          </cell>
          <cell r="AA2542"/>
          <cell r="AB2542"/>
          <cell r="AC2542"/>
          <cell r="AD2542">
            <v>0.35699999999999998</v>
          </cell>
          <cell r="AE2542"/>
          <cell r="AF2542"/>
          <cell r="AG2542">
            <v>15430</v>
          </cell>
          <cell r="AH2542">
            <v>163.9</v>
          </cell>
          <cell r="AI2542">
            <v>0.99299999999999999</v>
          </cell>
          <cell r="AJ2542">
            <v>1</v>
          </cell>
          <cell r="AK2542">
            <v>165</v>
          </cell>
          <cell r="AL2542" t="str">
            <v>　 ↓</v>
          </cell>
        </row>
        <row r="2543">
          <cell r="E2543" t="str">
            <v>LRS2-18000LM-LZ</v>
          </cell>
          <cell r="F2543" t="str">
            <v>台</v>
          </cell>
          <cell r="G2543">
            <v>237600</v>
          </cell>
          <cell r="H2543">
            <v>106000</v>
          </cell>
          <cell r="I2543">
            <v>237600</v>
          </cell>
          <cell r="J2543">
            <v>106000</v>
          </cell>
          <cell r="K2543">
            <v>237600</v>
          </cell>
          <cell r="L2543">
            <v>106000</v>
          </cell>
          <cell r="M2543">
            <v>237600</v>
          </cell>
          <cell r="N2543">
            <v>106000</v>
          </cell>
          <cell r="O2543">
            <v>237600</v>
          </cell>
          <cell r="P2543">
            <v>106000</v>
          </cell>
          <cell r="Q2543">
            <v>237600</v>
          </cell>
          <cell r="R2543">
            <v>106000</v>
          </cell>
          <cell r="S2543">
            <v>237600</v>
          </cell>
          <cell r="T2543">
            <v>106000</v>
          </cell>
          <cell r="U2543">
            <v>237600</v>
          </cell>
          <cell r="V2543">
            <v>106000</v>
          </cell>
          <cell r="W2543">
            <v>237600</v>
          </cell>
          <cell r="X2543">
            <v>106000</v>
          </cell>
          <cell r="Y2543">
            <v>237600</v>
          </cell>
          <cell r="Z2543">
            <v>106000</v>
          </cell>
          <cell r="AA2543"/>
          <cell r="AB2543"/>
          <cell r="AC2543"/>
          <cell r="AD2543">
            <v>0.35699999999999998</v>
          </cell>
          <cell r="AE2543"/>
          <cell r="AF2543"/>
          <cell r="AG2543">
            <v>20360</v>
          </cell>
          <cell r="AH2543">
            <v>216.4</v>
          </cell>
          <cell r="AI2543">
            <v>0.997</v>
          </cell>
          <cell r="AJ2543">
            <v>1</v>
          </cell>
          <cell r="AK2543">
            <v>217</v>
          </cell>
          <cell r="AL2543" t="str">
            <v>　 ↓</v>
          </cell>
        </row>
        <row r="2544">
          <cell r="E2544" t="str">
            <v>LRS3-6300LM-LJ</v>
          </cell>
          <cell r="F2544" t="str">
            <v>台</v>
          </cell>
          <cell r="G2544">
            <v>36000</v>
          </cell>
          <cell r="H2544">
            <v>22500</v>
          </cell>
          <cell r="I2544">
            <v>36000</v>
          </cell>
          <cell r="J2544">
            <v>22500</v>
          </cell>
          <cell r="K2544">
            <v>36000</v>
          </cell>
          <cell r="L2544">
            <v>22500</v>
          </cell>
          <cell r="M2544">
            <v>36000</v>
          </cell>
          <cell r="N2544">
            <v>22500</v>
          </cell>
          <cell r="O2544">
            <v>36000</v>
          </cell>
          <cell r="P2544">
            <v>22500</v>
          </cell>
          <cell r="Q2544">
            <v>36000</v>
          </cell>
          <cell r="R2544">
            <v>22500</v>
          </cell>
          <cell r="S2544">
            <v>36000</v>
          </cell>
          <cell r="T2544">
            <v>22500</v>
          </cell>
          <cell r="U2544">
            <v>36000</v>
          </cell>
          <cell r="V2544">
            <v>22500</v>
          </cell>
          <cell r="W2544">
            <v>36000</v>
          </cell>
          <cell r="X2544">
            <v>22500</v>
          </cell>
          <cell r="Y2544">
            <v>36000</v>
          </cell>
          <cell r="Z2544">
            <v>22500</v>
          </cell>
          <cell r="AA2544"/>
          <cell r="AB2544"/>
          <cell r="AC2544"/>
          <cell r="AD2544">
            <v>0.35699999999999998</v>
          </cell>
          <cell r="AE2544"/>
          <cell r="AF2544"/>
          <cell r="AG2544">
            <v>6680</v>
          </cell>
          <cell r="AH2544">
            <v>52.1</v>
          </cell>
          <cell r="AI2544">
            <v>0.96499999999999997</v>
          </cell>
          <cell r="AJ2544">
            <v>1</v>
          </cell>
          <cell r="AK2544">
            <v>54</v>
          </cell>
          <cell r="AL2544" t="str">
            <v>　 ↓</v>
          </cell>
        </row>
        <row r="2545">
          <cell r="E2545" t="str">
            <v>LRS3-6300LM-LX</v>
          </cell>
          <cell r="F2545" t="str">
            <v>台</v>
          </cell>
          <cell r="G2545">
            <v>36000</v>
          </cell>
          <cell r="H2545">
            <v>22500</v>
          </cell>
          <cell r="I2545">
            <v>36000</v>
          </cell>
          <cell r="J2545">
            <v>22500</v>
          </cell>
          <cell r="K2545">
            <v>36000</v>
          </cell>
          <cell r="L2545">
            <v>22500</v>
          </cell>
          <cell r="M2545">
            <v>36000</v>
          </cell>
          <cell r="N2545">
            <v>22500</v>
          </cell>
          <cell r="O2545">
            <v>36000</v>
          </cell>
          <cell r="P2545">
            <v>22500</v>
          </cell>
          <cell r="Q2545">
            <v>36000</v>
          </cell>
          <cell r="R2545">
            <v>22500</v>
          </cell>
          <cell r="S2545">
            <v>36000</v>
          </cell>
          <cell r="T2545">
            <v>22500</v>
          </cell>
          <cell r="U2545">
            <v>36000</v>
          </cell>
          <cell r="V2545">
            <v>22500</v>
          </cell>
          <cell r="W2545">
            <v>36000</v>
          </cell>
          <cell r="X2545">
            <v>22500</v>
          </cell>
          <cell r="Y2545">
            <v>36000</v>
          </cell>
          <cell r="Z2545">
            <v>22500</v>
          </cell>
          <cell r="AA2545"/>
          <cell r="AB2545"/>
          <cell r="AC2545"/>
          <cell r="AD2545">
            <v>0.35699999999999998</v>
          </cell>
          <cell r="AE2545"/>
          <cell r="AF2545"/>
          <cell r="AG2545">
            <v>6680</v>
          </cell>
          <cell r="AH2545">
            <v>52.1</v>
          </cell>
          <cell r="AI2545">
            <v>0.96499999999999997</v>
          </cell>
          <cell r="AJ2545">
            <v>1</v>
          </cell>
          <cell r="AK2545">
            <v>54</v>
          </cell>
          <cell r="AL2545" t="str">
            <v>　 ↓</v>
          </cell>
        </row>
        <row r="2546">
          <cell r="E2546" t="str">
            <v>LRS4-6300LM-LJ</v>
          </cell>
          <cell r="F2546" t="str">
            <v>台</v>
          </cell>
          <cell r="G2546">
            <v>53000</v>
          </cell>
          <cell r="H2546">
            <v>26500</v>
          </cell>
          <cell r="I2546">
            <v>53000</v>
          </cell>
          <cell r="J2546">
            <v>26500</v>
          </cell>
          <cell r="K2546">
            <v>53000</v>
          </cell>
          <cell r="L2546">
            <v>26500</v>
          </cell>
          <cell r="M2546">
            <v>53000</v>
          </cell>
          <cell r="N2546">
            <v>26500</v>
          </cell>
          <cell r="O2546">
            <v>53000</v>
          </cell>
          <cell r="P2546">
            <v>26500</v>
          </cell>
          <cell r="Q2546">
            <v>53000</v>
          </cell>
          <cell r="R2546">
            <v>26500</v>
          </cell>
          <cell r="S2546">
            <v>53000</v>
          </cell>
          <cell r="T2546">
            <v>26500</v>
          </cell>
          <cell r="U2546">
            <v>53000</v>
          </cell>
          <cell r="V2546">
            <v>26500</v>
          </cell>
          <cell r="W2546">
            <v>53000</v>
          </cell>
          <cell r="X2546">
            <v>26500</v>
          </cell>
          <cell r="Y2546">
            <v>53000</v>
          </cell>
          <cell r="Z2546">
            <v>26500</v>
          </cell>
          <cell r="AA2546"/>
          <cell r="AB2546"/>
          <cell r="AC2546"/>
          <cell r="AD2546">
            <v>0.35699999999999998</v>
          </cell>
          <cell r="AE2546"/>
          <cell r="AF2546"/>
          <cell r="AG2546">
            <v>6750</v>
          </cell>
          <cell r="AH2546">
            <v>55</v>
          </cell>
          <cell r="AI2546">
            <v>1</v>
          </cell>
          <cell r="AJ2546">
            <v>1</v>
          </cell>
          <cell r="AK2546">
            <v>55</v>
          </cell>
          <cell r="AL2546" t="str">
            <v>　 ↓</v>
          </cell>
        </row>
        <row r="2547">
          <cell r="E2547" t="str">
            <v>LRS4-6300LM-LX</v>
          </cell>
          <cell r="F2547" t="str">
            <v>台</v>
          </cell>
          <cell r="G2547">
            <v>53000</v>
          </cell>
          <cell r="H2547">
            <v>26500</v>
          </cell>
          <cell r="I2547">
            <v>53000</v>
          </cell>
          <cell r="J2547">
            <v>26500</v>
          </cell>
          <cell r="K2547">
            <v>53000</v>
          </cell>
          <cell r="L2547">
            <v>26500</v>
          </cell>
          <cell r="M2547">
            <v>53000</v>
          </cell>
          <cell r="N2547">
            <v>26500</v>
          </cell>
          <cell r="O2547">
            <v>53000</v>
          </cell>
          <cell r="P2547">
            <v>26500</v>
          </cell>
          <cell r="Q2547">
            <v>53000</v>
          </cell>
          <cell r="R2547">
            <v>26500</v>
          </cell>
          <cell r="S2547">
            <v>53000</v>
          </cell>
          <cell r="T2547">
            <v>26500</v>
          </cell>
          <cell r="U2547">
            <v>53000</v>
          </cell>
          <cell r="V2547">
            <v>26500</v>
          </cell>
          <cell r="W2547">
            <v>53000</v>
          </cell>
          <cell r="X2547">
            <v>26500</v>
          </cell>
          <cell r="Y2547">
            <v>53000</v>
          </cell>
          <cell r="Z2547">
            <v>26500</v>
          </cell>
          <cell r="AA2547"/>
          <cell r="AB2547"/>
          <cell r="AC2547"/>
          <cell r="AD2547">
            <v>0.35699999999999998</v>
          </cell>
          <cell r="AE2547"/>
          <cell r="AF2547"/>
          <cell r="AG2547">
            <v>6750</v>
          </cell>
          <cell r="AH2547">
            <v>55</v>
          </cell>
          <cell r="AI2547">
            <v>1</v>
          </cell>
          <cell r="AJ2547">
            <v>1</v>
          </cell>
          <cell r="AK2547">
            <v>55</v>
          </cell>
          <cell r="AL2547" t="str">
            <v>　 ↓</v>
          </cell>
        </row>
        <row r="2548">
          <cell r="E2548" t="str">
            <v>LSS1-3150LM-LJ</v>
          </cell>
          <cell r="F2548" t="str">
            <v>台</v>
          </cell>
          <cell r="G2548">
            <v>21500</v>
          </cell>
          <cell r="H2548">
            <v>12500</v>
          </cell>
          <cell r="I2548">
            <v>21500</v>
          </cell>
          <cell r="J2548">
            <v>12500</v>
          </cell>
          <cell r="K2548">
            <v>21500</v>
          </cell>
          <cell r="L2548">
            <v>12500</v>
          </cell>
          <cell r="M2548">
            <v>21500</v>
          </cell>
          <cell r="N2548">
            <v>12500</v>
          </cell>
          <cell r="O2548">
            <v>21500</v>
          </cell>
          <cell r="P2548">
            <v>12500</v>
          </cell>
          <cell r="Q2548">
            <v>21500</v>
          </cell>
          <cell r="R2548">
            <v>12500</v>
          </cell>
          <cell r="S2548">
            <v>21500</v>
          </cell>
          <cell r="T2548">
            <v>12500</v>
          </cell>
          <cell r="U2548">
            <v>21500</v>
          </cell>
          <cell r="V2548">
            <v>12500</v>
          </cell>
          <cell r="W2548">
            <v>21500</v>
          </cell>
          <cell r="X2548">
            <v>12500</v>
          </cell>
          <cell r="Y2548">
            <v>21500</v>
          </cell>
          <cell r="Z2548">
            <v>12500</v>
          </cell>
          <cell r="AA2548"/>
          <cell r="AB2548"/>
          <cell r="AC2548"/>
          <cell r="AD2548">
            <v>0.20899999999999999</v>
          </cell>
          <cell r="AE2548"/>
          <cell r="AF2548"/>
          <cell r="AG2548">
            <v>3200</v>
          </cell>
          <cell r="AH2548">
            <v>24</v>
          </cell>
          <cell r="AI2548">
            <v>0.96</v>
          </cell>
          <cell r="AJ2548">
            <v>1</v>
          </cell>
          <cell r="AK2548">
            <v>25</v>
          </cell>
          <cell r="AL2548" t="str">
            <v>　 ↓</v>
          </cell>
        </row>
        <row r="2549">
          <cell r="E2549"/>
          <cell r="F2549"/>
          <cell r="G2549"/>
          <cell r="H2549"/>
          <cell r="I2549"/>
          <cell r="J2549"/>
          <cell r="K2549"/>
          <cell r="L2549"/>
          <cell r="M2549"/>
          <cell r="N2549"/>
          <cell r="O2549"/>
          <cell r="P2549"/>
          <cell r="Q2549"/>
          <cell r="R2549"/>
          <cell r="S2549"/>
          <cell r="T2549"/>
          <cell r="U2549"/>
          <cell r="V2549"/>
          <cell r="W2549"/>
          <cell r="X2549"/>
          <cell r="Y2549"/>
          <cell r="Z2549"/>
          <cell r="AA2549"/>
          <cell r="AB2549"/>
          <cell r="AC2549"/>
          <cell r="AD2549"/>
          <cell r="AE2549"/>
          <cell r="AF2549"/>
          <cell r="AG2549"/>
          <cell r="AH2549"/>
          <cell r="AI2549"/>
          <cell r="AJ2549"/>
          <cell r="AK2549"/>
          <cell r="AL2549"/>
        </row>
        <row r="2550">
          <cell r="E2550"/>
          <cell r="F2550"/>
          <cell r="G2550"/>
          <cell r="H2550"/>
          <cell r="I2550"/>
          <cell r="J2550"/>
          <cell r="K2550"/>
          <cell r="L2550"/>
          <cell r="M2550"/>
          <cell r="N2550"/>
          <cell r="O2550"/>
          <cell r="P2550"/>
          <cell r="Q2550"/>
          <cell r="R2550"/>
          <cell r="S2550"/>
          <cell r="T2550"/>
          <cell r="U2550"/>
          <cell r="V2550"/>
          <cell r="W2550"/>
          <cell r="X2550"/>
          <cell r="Y2550"/>
          <cell r="Z2550"/>
          <cell r="AA2550"/>
          <cell r="AB2550"/>
          <cell r="AC2550"/>
          <cell r="AD2550"/>
          <cell r="AE2550"/>
          <cell r="AF2550"/>
          <cell r="AG2550"/>
          <cell r="AH2550"/>
          <cell r="AI2550"/>
          <cell r="AJ2550"/>
          <cell r="AK2550"/>
          <cell r="AL2550"/>
        </row>
        <row r="2551">
          <cell r="E2551"/>
          <cell r="F2551"/>
          <cell r="G2551"/>
          <cell r="H2551"/>
          <cell r="I2551"/>
          <cell r="J2551"/>
          <cell r="K2551"/>
          <cell r="L2551"/>
          <cell r="M2551"/>
          <cell r="N2551"/>
          <cell r="O2551"/>
          <cell r="P2551"/>
          <cell r="Q2551"/>
          <cell r="R2551"/>
          <cell r="S2551"/>
          <cell r="T2551"/>
          <cell r="U2551"/>
          <cell r="V2551"/>
          <cell r="W2551"/>
          <cell r="X2551"/>
          <cell r="Y2551"/>
          <cell r="Z2551"/>
          <cell r="AA2551"/>
          <cell r="AB2551"/>
          <cell r="AC2551"/>
          <cell r="AD2551"/>
          <cell r="AE2551"/>
          <cell r="AF2551"/>
          <cell r="AG2551"/>
          <cell r="AH2551"/>
          <cell r="AI2551"/>
          <cell r="AJ2551"/>
          <cell r="AK2551"/>
          <cell r="AL2551"/>
        </row>
        <row r="2552">
          <cell r="E2552"/>
          <cell r="F2552"/>
          <cell r="G2552"/>
          <cell r="H2552"/>
          <cell r="I2552"/>
          <cell r="J2552"/>
          <cell r="K2552"/>
          <cell r="L2552"/>
          <cell r="M2552"/>
          <cell r="N2552"/>
          <cell r="O2552"/>
          <cell r="P2552"/>
          <cell r="Q2552"/>
          <cell r="R2552"/>
          <cell r="S2552"/>
          <cell r="T2552"/>
          <cell r="U2552"/>
          <cell r="V2552"/>
          <cell r="W2552"/>
          <cell r="X2552"/>
          <cell r="Y2552"/>
          <cell r="Z2552"/>
          <cell r="AA2552"/>
          <cell r="AB2552"/>
          <cell r="AC2552"/>
          <cell r="AD2552"/>
          <cell r="AE2552"/>
          <cell r="AF2552"/>
          <cell r="AG2552"/>
          <cell r="AH2552"/>
          <cell r="AI2552"/>
          <cell r="AJ2552"/>
          <cell r="AK2552"/>
          <cell r="AL2552"/>
        </row>
        <row r="2553">
          <cell r="E2553"/>
          <cell r="F2553"/>
          <cell r="G2553"/>
          <cell r="H2553"/>
          <cell r="I2553"/>
          <cell r="J2553"/>
          <cell r="K2553"/>
          <cell r="L2553"/>
          <cell r="M2553"/>
          <cell r="N2553"/>
          <cell r="O2553"/>
          <cell r="P2553"/>
          <cell r="Q2553"/>
          <cell r="R2553"/>
          <cell r="S2553"/>
          <cell r="T2553"/>
          <cell r="U2553"/>
          <cell r="V2553"/>
          <cell r="W2553"/>
          <cell r="X2553"/>
          <cell r="Y2553"/>
          <cell r="Z2553"/>
          <cell r="AA2553"/>
          <cell r="AB2553"/>
          <cell r="AC2553"/>
          <cell r="AD2553"/>
          <cell r="AE2553"/>
          <cell r="AF2553"/>
          <cell r="AG2553"/>
          <cell r="AH2553"/>
          <cell r="AI2553"/>
          <cell r="AJ2553"/>
          <cell r="AK2553"/>
          <cell r="AL2553"/>
        </row>
        <row r="2554">
          <cell r="E2554"/>
          <cell r="F2554"/>
          <cell r="G2554"/>
          <cell r="H2554"/>
          <cell r="I2554"/>
          <cell r="J2554"/>
          <cell r="K2554"/>
          <cell r="L2554"/>
          <cell r="M2554"/>
          <cell r="N2554"/>
          <cell r="O2554"/>
          <cell r="P2554"/>
          <cell r="Q2554"/>
          <cell r="R2554"/>
          <cell r="S2554"/>
          <cell r="T2554"/>
          <cell r="U2554"/>
          <cell r="V2554"/>
          <cell r="W2554"/>
          <cell r="X2554"/>
          <cell r="Y2554"/>
          <cell r="Z2554"/>
          <cell r="AA2554"/>
          <cell r="AB2554"/>
          <cell r="AC2554"/>
          <cell r="AD2554"/>
          <cell r="AE2554"/>
          <cell r="AF2554"/>
          <cell r="AG2554"/>
          <cell r="AH2554"/>
          <cell r="AI2554"/>
          <cell r="AJ2554"/>
          <cell r="AK2554"/>
          <cell r="AL2554"/>
        </row>
        <row r="2555">
          <cell r="E2555"/>
          <cell r="F2555"/>
          <cell r="G2555"/>
          <cell r="H2555"/>
          <cell r="I2555"/>
          <cell r="J2555"/>
          <cell r="K2555"/>
          <cell r="L2555"/>
          <cell r="M2555"/>
          <cell r="N2555"/>
          <cell r="O2555"/>
          <cell r="P2555"/>
          <cell r="Q2555"/>
          <cell r="R2555"/>
          <cell r="S2555"/>
          <cell r="T2555"/>
          <cell r="U2555"/>
          <cell r="V2555"/>
          <cell r="W2555"/>
          <cell r="X2555"/>
          <cell r="Y2555"/>
          <cell r="Z2555"/>
          <cell r="AA2555"/>
          <cell r="AB2555"/>
          <cell r="AC2555"/>
          <cell r="AD2555"/>
          <cell r="AE2555"/>
          <cell r="AF2555"/>
          <cell r="AG2555"/>
          <cell r="AH2555"/>
          <cell r="AI2555"/>
          <cell r="AJ2555"/>
          <cell r="AK2555"/>
          <cell r="AL2555"/>
        </row>
        <row r="2556">
          <cell r="E2556"/>
          <cell r="F2556"/>
          <cell r="G2556"/>
          <cell r="H2556"/>
          <cell r="I2556"/>
          <cell r="J2556"/>
          <cell r="K2556"/>
          <cell r="L2556"/>
          <cell r="M2556"/>
          <cell r="N2556"/>
          <cell r="O2556"/>
          <cell r="P2556"/>
          <cell r="Q2556"/>
          <cell r="R2556"/>
          <cell r="S2556"/>
          <cell r="T2556"/>
          <cell r="U2556"/>
          <cell r="V2556"/>
          <cell r="W2556"/>
          <cell r="X2556"/>
          <cell r="Y2556"/>
          <cell r="Z2556"/>
          <cell r="AA2556"/>
          <cell r="AB2556"/>
          <cell r="AC2556"/>
          <cell r="AD2556"/>
          <cell r="AE2556"/>
          <cell r="AF2556"/>
          <cell r="AG2556"/>
          <cell r="AH2556"/>
          <cell r="AI2556"/>
          <cell r="AJ2556"/>
          <cell r="AK2556"/>
          <cell r="AL2556"/>
        </row>
        <row r="2557">
          <cell r="E2557"/>
          <cell r="F2557"/>
          <cell r="G2557"/>
          <cell r="H2557"/>
          <cell r="I2557"/>
          <cell r="J2557"/>
          <cell r="K2557"/>
          <cell r="L2557"/>
          <cell r="M2557"/>
          <cell r="N2557"/>
          <cell r="O2557"/>
          <cell r="P2557"/>
          <cell r="Q2557"/>
          <cell r="R2557"/>
          <cell r="S2557"/>
          <cell r="T2557"/>
          <cell r="U2557"/>
          <cell r="V2557"/>
          <cell r="W2557"/>
          <cell r="X2557"/>
          <cell r="Y2557"/>
          <cell r="Z2557"/>
          <cell r="AA2557"/>
          <cell r="AB2557"/>
          <cell r="AC2557"/>
          <cell r="AD2557"/>
          <cell r="AE2557"/>
          <cell r="AF2557"/>
          <cell r="AG2557"/>
          <cell r="AH2557"/>
          <cell r="AI2557"/>
          <cell r="AJ2557"/>
          <cell r="AK2557"/>
          <cell r="AL2557"/>
        </row>
        <row r="2558">
          <cell r="E2558"/>
          <cell r="F2558"/>
          <cell r="G2558"/>
          <cell r="H2558"/>
          <cell r="I2558"/>
          <cell r="J2558"/>
          <cell r="K2558"/>
          <cell r="L2558"/>
          <cell r="M2558"/>
          <cell r="N2558"/>
          <cell r="O2558"/>
          <cell r="P2558"/>
          <cell r="Q2558"/>
          <cell r="R2558"/>
          <cell r="S2558"/>
          <cell r="T2558"/>
          <cell r="U2558"/>
          <cell r="V2558"/>
          <cell r="W2558"/>
          <cell r="X2558"/>
          <cell r="Y2558"/>
          <cell r="Z2558"/>
          <cell r="AA2558"/>
          <cell r="AB2558"/>
          <cell r="AC2558"/>
          <cell r="AD2558"/>
          <cell r="AE2558"/>
          <cell r="AF2558"/>
          <cell r="AG2558"/>
          <cell r="AH2558"/>
          <cell r="AI2558"/>
          <cell r="AJ2558"/>
          <cell r="AK2558"/>
          <cell r="AL2558"/>
        </row>
        <row r="2559">
          <cell r="E2559"/>
          <cell r="F2559"/>
          <cell r="G2559"/>
          <cell r="H2559"/>
          <cell r="I2559"/>
          <cell r="J2559"/>
          <cell r="K2559"/>
          <cell r="L2559"/>
          <cell r="M2559"/>
          <cell r="N2559"/>
          <cell r="O2559"/>
          <cell r="P2559"/>
          <cell r="Q2559"/>
          <cell r="R2559"/>
          <cell r="S2559"/>
          <cell r="T2559"/>
          <cell r="U2559"/>
          <cell r="V2559"/>
          <cell r="W2559"/>
          <cell r="X2559"/>
          <cell r="Y2559"/>
          <cell r="Z2559"/>
          <cell r="AA2559"/>
          <cell r="AB2559"/>
          <cell r="AC2559"/>
          <cell r="AD2559"/>
          <cell r="AE2559"/>
          <cell r="AF2559"/>
          <cell r="AG2559"/>
          <cell r="AH2559"/>
          <cell r="AI2559"/>
          <cell r="AJ2559"/>
          <cell r="AK2559"/>
          <cell r="AL2559"/>
        </row>
        <row r="2560">
          <cell r="E2560"/>
          <cell r="F2560"/>
          <cell r="G2560"/>
          <cell r="H2560"/>
          <cell r="I2560"/>
          <cell r="J2560"/>
          <cell r="K2560"/>
          <cell r="L2560"/>
          <cell r="M2560"/>
          <cell r="N2560"/>
          <cell r="O2560"/>
          <cell r="P2560"/>
          <cell r="Q2560"/>
          <cell r="R2560"/>
          <cell r="S2560"/>
          <cell r="T2560"/>
          <cell r="U2560"/>
          <cell r="V2560"/>
          <cell r="W2560"/>
          <cell r="X2560"/>
          <cell r="Y2560"/>
          <cell r="Z2560"/>
          <cell r="AA2560"/>
          <cell r="AB2560"/>
          <cell r="AC2560"/>
          <cell r="AD2560"/>
          <cell r="AE2560"/>
          <cell r="AF2560"/>
          <cell r="AG2560"/>
          <cell r="AH2560"/>
          <cell r="AI2560"/>
          <cell r="AJ2560"/>
          <cell r="AK2560"/>
          <cell r="AL2560"/>
        </row>
        <row r="2561">
          <cell r="E2561"/>
          <cell r="F2561"/>
          <cell r="G2561"/>
          <cell r="H2561"/>
          <cell r="I2561"/>
          <cell r="J2561"/>
          <cell r="K2561"/>
          <cell r="L2561"/>
          <cell r="M2561"/>
          <cell r="N2561"/>
          <cell r="O2561"/>
          <cell r="P2561"/>
          <cell r="Q2561"/>
          <cell r="R2561"/>
          <cell r="S2561"/>
          <cell r="T2561"/>
          <cell r="U2561"/>
          <cell r="V2561"/>
          <cell r="W2561"/>
          <cell r="X2561"/>
          <cell r="Y2561"/>
          <cell r="Z2561"/>
          <cell r="AA2561"/>
          <cell r="AB2561"/>
          <cell r="AC2561"/>
          <cell r="AD2561"/>
          <cell r="AE2561"/>
          <cell r="AF2561"/>
          <cell r="AG2561"/>
          <cell r="AH2561"/>
          <cell r="AI2561"/>
          <cell r="AJ2561"/>
          <cell r="AK2561"/>
          <cell r="AL2561"/>
        </row>
        <row r="2562">
          <cell r="E2562"/>
          <cell r="F2562"/>
          <cell r="G2562"/>
          <cell r="H2562"/>
          <cell r="I2562"/>
          <cell r="J2562"/>
          <cell r="K2562"/>
          <cell r="L2562"/>
          <cell r="M2562"/>
          <cell r="N2562"/>
          <cell r="O2562"/>
          <cell r="P2562"/>
          <cell r="Q2562"/>
          <cell r="R2562"/>
          <cell r="S2562"/>
          <cell r="T2562"/>
          <cell r="U2562"/>
          <cell r="V2562"/>
          <cell r="W2562"/>
          <cell r="X2562"/>
          <cell r="Y2562"/>
          <cell r="Z2562"/>
          <cell r="AA2562"/>
          <cell r="AB2562"/>
          <cell r="AC2562"/>
          <cell r="AD2562"/>
          <cell r="AE2562"/>
          <cell r="AF2562"/>
          <cell r="AG2562"/>
          <cell r="AH2562"/>
          <cell r="AI2562"/>
          <cell r="AJ2562"/>
          <cell r="AK2562"/>
          <cell r="AL2562"/>
        </row>
        <row r="2563">
          <cell r="E2563"/>
          <cell r="F2563"/>
          <cell r="G2563"/>
          <cell r="H2563"/>
          <cell r="I2563"/>
          <cell r="J2563"/>
          <cell r="K2563"/>
          <cell r="L2563"/>
          <cell r="M2563"/>
          <cell r="N2563"/>
          <cell r="O2563"/>
          <cell r="P2563"/>
          <cell r="Q2563"/>
          <cell r="R2563"/>
          <cell r="S2563"/>
          <cell r="T2563"/>
          <cell r="U2563"/>
          <cell r="V2563"/>
          <cell r="W2563"/>
          <cell r="X2563"/>
          <cell r="Y2563"/>
          <cell r="Z2563"/>
          <cell r="AA2563"/>
          <cell r="AB2563"/>
          <cell r="AC2563"/>
          <cell r="AD2563"/>
          <cell r="AE2563"/>
          <cell r="AF2563"/>
          <cell r="AG2563"/>
          <cell r="AH2563"/>
          <cell r="AI2563"/>
          <cell r="AJ2563"/>
          <cell r="AK2563"/>
          <cell r="AL2563"/>
        </row>
        <row r="2564">
          <cell r="E2564"/>
          <cell r="F2564"/>
          <cell r="G2564"/>
          <cell r="H2564"/>
          <cell r="I2564"/>
          <cell r="J2564"/>
          <cell r="K2564"/>
          <cell r="L2564"/>
          <cell r="M2564"/>
          <cell r="N2564"/>
          <cell r="O2564"/>
          <cell r="P2564"/>
          <cell r="Q2564"/>
          <cell r="R2564"/>
          <cell r="S2564"/>
          <cell r="T2564"/>
          <cell r="U2564"/>
          <cell r="V2564"/>
          <cell r="W2564"/>
          <cell r="X2564"/>
          <cell r="Y2564"/>
          <cell r="Z2564"/>
          <cell r="AA2564"/>
          <cell r="AB2564"/>
          <cell r="AC2564"/>
          <cell r="AD2564"/>
          <cell r="AE2564"/>
          <cell r="AF2564"/>
          <cell r="AG2564"/>
          <cell r="AH2564"/>
          <cell r="AI2564"/>
          <cell r="AJ2564"/>
          <cell r="AK2564"/>
          <cell r="AL2564"/>
        </row>
        <row r="2565">
          <cell r="E2565"/>
          <cell r="F2565"/>
          <cell r="G2565"/>
          <cell r="H2565"/>
          <cell r="I2565"/>
          <cell r="J2565"/>
          <cell r="K2565"/>
          <cell r="L2565"/>
          <cell r="M2565"/>
          <cell r="N2565"/>
          <cell r="O2565"/>
          <cell r="P2565"/>
          <cell r="Q2565"/>
          <cell r="R2565"/>
          <cell r="S2565"/>
          <cell r="T2565"/>
          <cell r="U2565"/>
          <cell r="V2565"/>
          <cell r="W2565"/>
          <cell r="X2565"/>
          <cell r="Y2565"/>
          <cell r="Z2565"/>
          <cell r="AA2565"/>
          <cell r="AB2565"/>
          <cell r="AC2565"/>
          <cell r="AD2565"/>
          <cell r="AE2565"/>
          <cell r="AF2565"/>
          <cell r="AG2565"/>
          <cell r="AH2565"/>
          <cell r="AI2565"/>
          <cell r="AJ2565"/>
          <cell r="AK2565"/>
          <cell r="AL2565"/>
        </row>
        <row r="2566">
          <cell r="E2566"/>
          <cell r="F2566"/>
          <cell r="G2566"/>
          <cell r="H2566"/>
          <cell r="I2566"/>
          <cell r="J2566"/>
          <cell r="K2566"/>
          <cell r="L2566"/>
          <cell r="M2566"/>
          <cell r="N2566"/>
          <cell r="O2566"/>
          <cell r="P2566"/>
          <cell r="Q2566"/>
          <cell r="R2566"/>
          <cell r="S2566"/>
          <cell r="T2566"/>
          <cell r="U2566"/>
          <cell r="V2566"/>
          <cell r="W2566"/>
          <cell r="X2566"/>
          <cell r="Y2566"/>
          <cell r="Z2566"/>
          <cell r="AA2566"/>
          <cell r="AB2566"/>
          <cell r="AC2566"/>
          <cell r="AD2566"/>
          <cell r="AE2566"/>
          <cell r="AF2566"/>
          <cell r="AG2566"/>
          <cell r="AH2566"/>
          <cell r="AI2566"/>
          <cell r="AJ2566"/>
          <cell r="AK2566"/>
          <cell r="AL2566"/>
        </row>
        <row r="2567">
          <cell r="E2567"/>
          <cell r="F2567"/>
          <cell r="G2567"/>
          <cell r="H2567"/>
          <cell r="I2567"/>
          <cell r="J2567"/>
          <cell r="K2567"/>
          <cell r="L2567"/>
          <cell r="M2567"/>
          <cell r="N2567"/>
          <cell r="O2567"/>
          <cell r="P2567"/>
          <cell r="Q2567"/>
          <cell r="R2567"/>
          <cell r="S2567"/>
          <cell r="T2567"/>
          <cell r="U2567"/>
          <cell r="V2567"/>
          <cell r="W2567"/>
          <cell r="X2567"/>
          <cell r="Y2567"/>
          <cell r="Z2567"/>
          <cell r="AA2567"/>
          <cell r="AB2567"/>
          <cell r="AC2567"/>
          <cell r="AD2567"/>
          <cell r="AE2567"/>
          <cell r="AF2567"/>
          <cell r="AG2567"/>
          <cell r="AH2567"/>
          <cell r="AI2567"/>
          <cell r="AJ2567"/>
          <cell r="AK2567"/>
          <cell r="AL2567"/>
        </row>
        <row r="2568">
          <cell r="E2568"/>
          <cell r="F2568"/>
          <cell r="G2568"/>
          <cell r="H2568"/>
          <cell r="I2568"/>
          <cell r="J2568"/>
          <cell r="K2568"/>
          <cell r="L2568"/>
          <cell r="M2568"/>
          <cell r="N2568"/>
          <cell r="O2568"/>
          <cell r="P2568"/>
          <cell r="Q2568"/>
          <cell r="R2568"/>
          <cell r="S2568"/>
          <cell r="T2568"/>
          <cell r="U2568"/>
          <cell r="V2568"/>
          <cell r="W2568"/>
          <cell r="X2568"/>
          <cell r="Y2568"/>
          <cell r="Z2568"/>
          <cell r="AA2568"/>
          <cell r="AB2568"/>
          <cell r="AC2568"/>
          <cell r="AD2568"/>
          <cell r="AE2568"/>
          <cell r="AF2568"/>
          <cell r="AG2568"/>
          <cell r="AH2568"/>
          <cell r="AI2568"/>
          <cell r="AJ2568"/>
          <cell r="AK2568"/>
          <cell r="AL2568"/>
        </row>
        <row r="2569">
          <cell r="E2569"/>
          <cell r="F2569"/>
          <cell r="G2569"/>
          <cell r="H2569"/>
          <cell r="I2569"/>
          <cell r="J2569"/>
          <cell r="K2569"/>
          <cell r="L2569"/>
          <cell r="M2569"/>
          <cell r="N2569"/>
          <cell r="O2569"/>
          <cell r="P2569"/>
          <cell r="Q2569"/>
          <cell r="R2569"/>
          <cell r="S2569"/>
          <cell r="T2569"/>
          <cell r="U2569"/>
          <cell r="V2569"/>
          <cell r="W2569"/>
          <cell r="X2569"/>
          <cell r="Y2569"/>
          <cell r="Z2569"/>
          <cell r="AA2569"/>
          <cell r="AB2569"/>
          <cell r="AC2569"/>
          <cell r="AD2569"/>
          <cell r="AE2569"/>
          <cell r="AF2569"/>
          <cell r="AG2569"/>
          <cell r="AH2569"/>
          <cell r="AI2569"/>
          <cell r="AJ2569"/>
          <cell r="AK2569"/>
          <cell r="AL2569"/>
        </row>
        <row r="2570">
          <cell r="E2570"/>
          <cell r="F2570"/>
          <cell r="G2570"/>
          <cell r="H2570"/>
          <cell r="I2570"/>
          <cell r="J2570"/>
          <cell r="K2570"/>
          <cell r="L2570"/>
          <cell r="M2570"/>
          <cell r="N2570"/>
          <cell r="O2570"/>
          <cell r="P2570"/>
          <cell r="Q2570"/>
          <cell r="R2570"/>
          <cell r="S2570"/>
          <cell r="T2570"/>
          <cell r="U2570"/>
          <cell r="V2570"/>
          <cell r="W2570"/>
          <cell r="X2570"/>
          <cell r="Y2570"/>
          <cell r="Z2570"/>
          <cell r="AA2570"/>
          <cell r="AB2570"/>
          <cell r="AC2570"/>
          <cell r="AD2570"/>
          <cell r="AE2570"/>
          <cell r="AF2570"/>
          <cell r="AG2570"/>
          <cell r="AH2570"/>
          <cell r="AI2570"/>
          <cell r="AJ2570"/>
          <cell r="AK2570"/>
          <cell r="AL2570"/>
        </row>
        <row r="2571">
          <cell r="E2571"/>
          <cell r="F2571"/>
          <cell r="G2571"/>
          <cell r="H2571"/>
          <cell r="I2571"/>
          <cell r="J2571"/>
          <cell r="K2571"/>
          <cell r="L2571"/>
          <cell r="M2571"/>
          <cell r="N2571"/>
          <cell r="O2571"/>
          <cell r="P2571"/>
          <cell r="Q2571"/>
          <cell r="R2571"/>
          <cell r="S2571"/>
          <cell r="T2571"/>
          <cell r="U2571"/>
          <cell r="V2571"/>
          <cell r="W2571"/>
          <cell r="X2571"/>
          <cell r="Y2571"/>
          <cell r="Z2571"/>
          <cell r="AA2571"/>
          <cell r="AB2571"/>
          <cell r="AC2571"/>
          <cell r="AD2571"/>
          <cell r="AE2571"/>
          <cell r="AF2571"/>
          <cell r="AG2571"/>
          <cell r="AH2571"/>
          <cell r="AI2571"/>
          <cell r="AJ2571"/>
          <cell r="AK2571"/>
          <cell r="AL2571"/>
        </row>
        <row r="2572">
          <cell r="E2572"/>
          <cell r="F2572"/>
          <cell r="G2572"/>
          <cell r="H2572"/>
          <cell r="I2572"/>
          <cell r="J2572"/>
          <cell r="K2572"/>
          <cell r="L2572"/>
          <cell r="M2572"/>
          <cell r="N2572"/>
          <cell r="O2572"/>
          <cell r="P2572"/>
          <cell r="Q2572"/>
          <cell r="R2572"/>
          <cell r="S2572"/>
          <cell r="T2572"/>
          <cell r="U2572"/>
          <cell r="V2572"/>
          <cell r="W2572"/>
          <cell r="X2572"/>
          <cell r="Y2572"/>
          <cell r="Z2572"/>
          <cell r="AA2572"/>
          <cell r="AB2572"/>
          <cell r="AC2572"/>
          <cell r="AD2572"/>
          <cell r="AE2572"/>
          <cell r="AF2572"/>
          <cell r="AG2572"/>
          <cell r="AH2572"/>
          <cell r="AI2572"/>
          <cell r="AJ2572"/>
          <cell r="AK2572"/>
          <cell r="AL2572"/>
        </row>
        <row r="2573">
          <cell r="E2573"/>
          <cell r="F2573"/>
          <cell r="G2573"/>
          <cell r="H2573"/>
          <cell r="I2573"/>
          <cell r="J2573"/>
          <cell r="K2573"/>
          <cell r="L2573"/>
          <cell r="M2573"/>
          <cell r="N2573"/>
          <cell r="O2573"/>
          <cell r="P2573"/>
          <cell r="Q2573"/>
          <cell r="R2573"/>
          <cell r="S2573"/>
          <cell r="T2573"/>
          <cell r="U2573"/>
          <cell r="V2573"/>
          <cell r="W2573"/>
          <cell r="X2573"/>
          <cell r="Y2573"/>
          <cell r="Z2573"/>
          <cell r="AA2573"/>
          <cell r="AB2573"/>
          <cell r="AC2573"/>
          <cell r="AD2573"/>
          <cell r="AE2573"/>
          <cell r="AF2573"/>
          <cell r="AG2573"/>
          <cell r="AH2573"/>
          <cell r="AI2573"/>
          <cell r="AJ2573"/>
          <cell r="AK2573"/>
          <cell r="AL2573"/>
        </row>
        <row r="2574">
          <cell r="E2574"/>
          <cell r="F2574"/>
          <cell r="G2574"/>
          <cell r="H2574"/>
          <cell r="I2574"/>
          <cell r="J2574"/>
          <cell r="K2574"/>
          <cell r="L2574"/>
          <cell r="M2574"/>
          <cell r="N2574"/>
          <cell r="O2574"/>
          <cell r="P2574"/>
          <cell r="Q2574"/>
          <cell r="R2574"/>
          <cell r="S2574"/>
          <cell r="T2574"/>
          <cell r="U2574"/>
          <cell r="V2574"/>
          <cell r="W2574"/>
          <cell r="X2574"/>
          <cell r="Y2574"/>
          <cell r="Z2574"/>
          <cell r="AA2574"/>
          <cell r="AB2574"/>
          <cell r="AC2574"/>
          <cell r="AD2574"/>
          <cell r="AE2574"/>
          <cell r="AF2574"/>
          <cell r="AG2574"/>
          <cell r="AH2574"/>
          <cell r="AI2574"/>
          <cell r="AJ2574"/>
          <cell r="AK2574"/>
          <cell r="AL2574"/>
        </row>
        <row r="2575">
          <cell r="E2575"/>
          <cell r="F2575"/>
          <cell r="G2575"/>
          <cell r="H2575"/>
          <cell r="I2575"/>
          <cell r="J2575"/>
          <cell r="K2575"/>
          <cell r="L2575"/>
          <cell r="M2575"/>
          <cell r="N2575"/>
          <cell r="O2575"/>
          <cell r="P2575"/>
          <cell r="Q2575"/>
          <cell r="R2575"/>
          <cell r="S2575"/>
          <cell r="T2575"/>
          <cell r="U2575"/>
          <cell r="V2575"/>
          <cell r="W2575"/>
          <cell r="X2575"/>
          <cell r="Y2575"/>
          <cell r="Z2575"/>
          <cell r="AA2575"/>
          <cell r="AB2575"/>
          <cell r="AC2575"/>
          <cell r="AD2575"/>
          <cell r="AE2575"/>
          <cell r="AF2575"/>
          <cell r="AG2575"/>
          <cell r="AH2575"/>
          <cell r="AI2575"/>
          <cell r="AJ2575"/>
          <cell r="AK2575"/>
          <cell r="AL2575"/>
        </row>
        <row r="2576">
          <cell r="E2576"/>
          <cell r="F2576"/>
          <cell r="G2576"/>
          <cell r="H2576"/>
          <cell r="I2576"/>
          <cell r="J2576"/>
          <cell r="K2576"/>
          <cell r="L2576"/>
          <cell r="M2576"/>
          <cell r="N2576"/>
          <cell r="O2576"/>
          <cell r="P2576"/>
          <cell r="Q2576"/>
          <cell r="R2576"/>
          <cell r="S2576"/>
          <cell r="T2576"/>
          <cell r="U2576"/>
          <cell r="V2576"/>
          <cell r="W2576"/>
          <cell r="X2576"/>
          <cell r="Y2576"/>
          <cell r="Z2576"/>
          <cell r="AA2576"/>
          <cell r="AB2576"/>
          <cell r="AC2576"/>
          <cell r="AD2576"/>
          <cell r="AE2576"/>
          <cell r="AF2576"/>
          <cell r="AG2576"/>
          <cell r="AH2576"/>
          <cell r="AI2576"/>
          <cell r="AJ2576"/>
          <cell r="AK2576"/>
          <cell r="AL2576"/>
        </row>
        <row r="2577">
          <cell r="E2577"/>
          <cell r="F2577"/>
          <cell r="G2577"/>
          <cell r="H2577"/>
          <cell r="I2577"/>
          <cell r="J2577"/>
          <cell r="K2577"/>
          <cell r="L2577"/>
          <cell r="M2577"/>
          <cell r="N2577"/>
          <cell r="O2577"/>
          <cell r="P2577"/>
          <cell r="Q2577"/>
          <cell r="R2577"/>
          <cell r="S2577"/>
          <cell r="T2577"/>
          <cell r="U2577"/>
          <cell r="V2577"/>
          <cell r="W2577"/>
          <cell r="X2577"/>
          <cell r="Y2577"/>
          <cell r="Z2577"/>
          <cell r="AA2577"/>
          <cell r="AB2577"/>
          <cell r="AC2577"/>
          <cell r="AD2577"/>
          <cell r="AE2577"/>
          <cell r="AF2577"/>
          <cell r="AG2577"/>
          <cell r="AH2577"/>
          <cell r="AI2577"/>
          <cell r="AJ2577"/>
          <cell r="AK2577"/>
          <cell r="AL2577"/>
        </row>
        <row r="2578">
          <cell r="E2578"/>
          <cell r="F2578"/>
          <cell r="G2578"/>
          <cell r="H2578"/>
          <cell r="I2578"/>
          <cell r="J2578"/>
          <cell r="K2578"/>
          <cell r="L2578"/>
          <cell r="M2578"/>
          <cell r="N2578"/>
          <cell r="O2578"/>
          <cell r="P2578"/>
          <cell r="Q2578"/>
          <cell r="R2578"/>
          <cell r="S2578"/>
          <cell r="T2578"/>
          <cell r="U2578"/>
          <cell r="V2578"/>
          <cell r="W2578"/>
          <cell r="X2578"/>
          <cell r="Y2578"/>
          <cell r="Z2578"/>
          <cell r="AA2578"/>
          <cell r="AB2578"/>
          <cell r="AC2578"/>
          <cell r="AD2578"/>
          <cell r="AE2578"/>
          <cell r="AF2578"/>
          <cell r="AG2578"/>
          <cell r="AH2578"/>
          <cell r="AI2578"/>
          <cell r="AJ2578"/>
          <cell r="AK2578"/>
          <cell r="AL2578"/>
        </row>
        <row r="2579">
          <cell r="E2579"/>
          <cell r="F2579"/>
          <cell r="G2579"/>
          <cell r="H2579"/>
          <cell r="I2579"/>
          <cell r="J2579"/>
          <cell r="K2579"/>
          <cell r="L2579"/>
          <cell r="M2579"/>
          <cell r="N2579"/>
          <cell r="O2579"/>
          <cell r="P2579"/>
          <cell r="Q2579"/>
          <cell r="R2579"/>
          <cell r="S2579"/>
          <cell r="T2579"/>
          <cell r="U2579"/>
          <cell r="V2579"/>
          <cell r="W2579"/>
          <cell r="X2579"/>
          <cell r="Y2579"/>
          <cell r="Z2579"/>
          <cell r="AA2579"/>
          <cell r="AB2579"/>
          <cell r="AC2579"/>
          <cell r="AD2579"/>
          <cell r="AE2579"/>
          <cell r="AF2579"/>
          <cell r="AG2579"/>
          <cell r="AH2579"/>
          <cell r="AI2579"/>
          <cell r="AJ2579"/>
          <cell r="AK2579"/>
          <cell r="AL2579"/>
        </row>
        <row r="2580">
          <cell r="E2580"/>
          <cell r="F2580"/>
          <cell r="G2580"/>
          <cell r="H2580"/>
          <cell r="I2580"/>
          <cell r="J2580"/>
          <cell r="K2580"/>
          <cell r="L2580"/>
          <cell r="M2580"/>
          <cell r="N2580"/>
          <cell r="O2580"/>
          <cell r="P2580"/>
          <cell r="Q2580"/>
          <cell r="R2580"/>
          <cell r="S2580"/>
          <cell r="T2580"/>
          <cell r="U2580"/>
          <cell r="V2580"/>
          <cell r="W2580"/>
          <cell r="X2580"/>
          <cell r="Y2580"/>
          <cell r="Z2580"/>
          <cell r="AA2580"/>
          <cell r="AB2580"/>
          <cell r="AC2580"/>
          <cell r="AD2580"/>
          <cell r="AE2580"/>
          <cell r="AF2580"/>
          <cell r="AG2580"/>
          <cell r="AH2580"/>
          <cell r="AI2580"/>
          <cell r="AJ2580"/>
          <cell r="AK2580"/>
          <cell r="AL2580"/>
        </row>
        <row r="2581">
          <cell r="E2581"/>
          <cell r="F2581"/>
          <cell r="G2581"/>
          <cell r="H2581"/>
          <cell r="I2581"/>
          <cell r="J2581"/>
          <cell r="K2581"/>
          <cell r="L2581"/>
          <cell r="M2581"/>
          <cell r="N2581"/>
          <cell r="O2581"/>
          <cell r="P2581"/>
          <cell r="Q2581"/>
          <cell r="R2581"/>
          <cell r="S2581"/>
          <cell r="T2581"/>
          <cell r="U2581"/>
          <cell r="V2581"/>
          <cell r="W2581"/>
          <cell r="X2581"/>
          <cell r="Y2581"/>
          <cell r="Z2581"/>
          <cell r="AA2581"/>
          <cell r="AB2581"/>
          <cell r="AC2581"/>
          <cell r="AD2581"/>
          <cell r="AE2581"/>
          <cell r="AF2581"/>
          <cell r="AG2581"/>
          <cell r="AH2581"/>
          <cell r="AI2581"/>
          <cell r="AJ2581"/>
          <cell r="AK2581"/>
          <cell r="AL2581"/>
        </row>
        <row r="2582">
          <cell r="E2582"/>
          <cell r="F2582"/>
          <cell r="G2582"/>
          <cell r="H2582"/>
          <cell r="I2582"/>
          <cell r="J2582"/>
          <cell r="K2582"/>
          <cell r="L2582"/>
          <cell r="M2582"/>
          <cell r="N2582"/>
          <cell r="O2582"/>
          <cell r="P2582"/>
          <cell r="Q2582"/>
          <cell r="R2582"/>
          <cell r="S2582"/>
          <cell r="T2582"/>
          <cell r="U2582"/>
          <cell r="V2582"/>
          <cell r="W2582"/>
          <cell r="X2582"/>
          <cell r="Y2582"/>
          <cell r="Z2582"/>
          <cell r="AA2582"/>
          <cell r="AB2582"/>
          <cell r="AC2582"/>
          <cell r="AD2582"/>
          <cell r="AE2582"/>
          <cell r="AF2582"/>
          <cell r="AG2582"/>
          <cell r="AH2582"/>
          <cell r="AI2582"/>
          <cell r="AJ2582"/>
          <cell r="AK2582"/>
          <cell r="AL2582"/>
        </row>
        <row r="2583">
          <cell r="E2583"/>
          <cell r="F2583"/>
          <cell r="G2583"/>
          <cell r="H2583"/>
          <cell r="I2583"/>
          <cell r="J2583"/>
          <cell r="K2583"/>
          <cell r="L2583"/>
          <cell r="M2583"/>
          <cell r="N2583"/>
          <cell r="O2583"/>
          <cell r="P2583"/>
          <cell r="Q2583"/>
          <cell r="R2583"/>
          <cell r="S2583"/>
          <cell r="T2583"/>
          <cell r="U2583"/>
          <cell r="V2583"/>
          <cell r="W2583"/>
          <cell r="X2583"/>
          <cell r="Y2583"/>
          <cell r="Z2583"/>
          <cell r="AA2583"/>
          <cell r="AB2583"/>
          <cell r="AC2583"/>
          <cell r="AD2583"/>
          <cell r="AE2583"/>
          <cell r="AF2583"/>
          <cell r="AG2583"/>
          <cell r="AH2583"/>
          <cell r="AI2583"/>
          <cell r="AJ2583"/>
          <cell r="AK2583"/>
          <cell r="AL2583"/>
        </row>
        <row r="2584">
          <cell r="E2584"/>
          <cell r="F2584"/>
          <cell r="G2584"/>
          <cell r="H2584"/>
          <cell r="I2584"/>
          <cell r="J2584"/>
          <cell r="K2584"/>
          <cell r="L2584"/>
          <cell r="M2584"/>
          <cell r="N2584"/>
          <cell r="O2584"/>
          <cell r="P2584"/>
          <cell r="Q2584"/>
          <cell r="R2584"/>
          <cell r="S2584"/>
          <cell r="T2584"/>
          <cell r="U2584"/>
          <cell r="V2584"/>
          <cell r="W2584"/>
          <cell r="X2584"/>
          <cell r="Y2584"/>
          <cell r="Z2584"/>
          <cell r="AA2584"/>
          <cell r="AB2584"/>
          <cell r="AC2584"/>
          <cell r="AD2584"/>
          <cell r="AE2584"/>
          <cell r="AF2584"/>
          <cell r="AG2584"/>
          <cell r="AH2584"/>
          <cell r="AI2584"/>
          <cell r="AJ2584"/>
          <cell r="AK2584"/>
          <cell r="AL2584"/>
        </row>
        <row r="2585">
          <cell r="E2585"/>
          <cell r="F2585"/>
          <cell r="G2585"/>
          <cell r="H2585"/>
          <cell r="I2585"/>
          <cell r="J2585"/>
          <cell r="K2585"/>
          <cell r="L2585"/>
          <cell r="M2585"/>
          <cell r="N2585"/>
          <cell r="O2585"/>
          <cell r="P2585"/>
          <cell r="Q2585"/>
          <cell r="R2585"/>
          <cell r="S2585"/>
          <cell r="T2585"/>
          <cell r="U2585"/>
          <cell r="V2585"/>
          <cell r="W2585"/>
          <cell r="X2585"/>
          <cell r="Y2585"/>
          <cell r="Z2585"/>
          <cell r="AA2585"/>
          <cell r="AB2585"/>
          <cell r="AC2585"/>
          <cell r="AD2585"/>
          <cell r="AE2585"/>
          <cell r="AF2585"/>
          <cell r="AG2585"/>
          <cell r="AH2585"/>
          <cell r="AI2585"/>
          <cell r="AJ2585"/>
          <cell r="AK2585"/>
          <cell r="AL2585"/>
        </row>
        <row r="2586">
          <cell r="E2586"/>
          <cell r="F2586"/>
          <cell r="G2586"/>
          <cell r="H2586"/>
          <cell r="I2586"/>
          <cell r="J2586"/>
          <cell r="K2586"/>
          <cell r="L2586"/>
          <cell r="M2586"/>
          <cell r="N2586"/>
          <cell r="O2586"/>
          <cell r="P2586"/>
          <cell r="Q2586"/>
          <cell r="R2586"/>
          <cell r="S2586"/>
          <cell r="T2586"/>
          <cell r="U2586"/>
          <cell r="V2586"/>
          <cell r="W2586"/>
          <cell r="X2586"/>
          <cell r="Y2586"/>
          <cell r="Z2586"/>
          <cell r="AA2586"/>
          <cell r="AB2586"/>
          <cell r="AC2586"/>
          <cell r="AD2586"/>
          <cell r="AE2586"/>
          <cell r="AF2586"/>
          <cell r="AG2586"/>
          <cell r="AH2586"/>
          <cell r="AI2586"/>
          <cell r="AJ2586"/>
          <cell r="AK2586"/>
          <cell r="AL2586"/>
        </row>
        <row r="2587">
          <cell r="E2587"/>
          <cell r="F2587"/>
          <cell r="G2587"/>
          <cell r="H2587"/>
          <cell r="I2587"/>
          <cell r="J2587"/>
          <cell r="K2587"/>
          <cell r="L2587"/>
          <cell r="M2587"/>
          <cell r="N2587"/>
          <cell r="O2587"/>
          <cell r="P2587"/>
          <cell r="Q2587"/>
          <cell r="R2587"/>
          <cell r="S2587"/>
          <cell r="T2587"/>
          <cell r="U2587"/>
          <cell r="V2587"/>
          <cell r="W2587"/>
          <cell r="X2587"/>
          <cell r="Y2587"/>
          <cell r="Z2587"/>
          <cell r="AA2587"/>
          <cell r="AB2587"/>
          <cell r="AC2587"/>
          <cell r="AD2587"/>
          <cell r="AE2587"/>
          <cell r="AF2587"/>
          <cell r="AG2587"/>
          <cell r="AH2587"/>
          <cell r="AI2587"/>
          <cell r="AJ2587"/>
          <cell r="AK2587"/>
          <cell r="AL2587"/>
        </row>
        <row r="2588">
          <cell r="E2588"/>
          <cell r="F2588"/>
          <cell r="G2588"/>
          <cell r="H2588"/>
          <cell r="I2588"/>
          <cell r="J2588"/>
          <cell r="K2588"/>
          <cell r="L2588"/>
          <cell r="M2588"/>
          <cell r="N2588"/>
          <cell r="O2588"/>
          <cell r="P2588"/>
          <cell r="Q2588"/>
          <cell r="R2588"/>
          <cell r="S2588"/>
          <cell r="T2588"/>
          <cell r="U2588"/>
          <cell r="V2588"/>
          <cell r="W2588"/>
          <cell r="X2588"/>
          <cell r="Y2588"/>
          <cell r="Z2588"/>
          <cell r="AA2588"/>
          <cell r="AB2588"/>
          <cell r="AC2588"/>
          <cell r="AD2588"/>
          <cell r="AE2588"/>
          <cell r="AF2588"/>
          <cell r="AG2588"/>
          <cell r="AH2588"/>
          <cell r="AI2588"/>
          <cell r="AJ2588"/>
          <cell r="AK2588"/>
          <cell r="AL2588"/>
        </row>
        <row r="2589">
          <cell r="E2589"/>
          <cell r="F2589"/>
          <cell r="G2589"/>
          <cell r="H2589"/>
          <cell r="I2589"/>
          <cell r="J2589"/>
          <cell r="K2589"/>
          <cell r="L2589"/>
          <cell r="M2589"/>
          <cell r="N2589"/>
          <cell r="O2589"/>
          <cell r="P2589"/>
          <cell r="Q2589"/>
          <cell r="R2589"/>
          <cell r="S2589"/>
          <cell r="T2589"/>
          <cell r="U2589"/>
          <cell r="V2589"/>
          <cell r="W2589"/>
          <cell r="X2589"/>
          <cell r="Y2589"/>
          <cell r="Z2589"/>
          <cell r="AA2589"/>
          <cell r="AB2589"/>
          <cell r="AC2589"/>
          <cell r="AD2589"/>
          <cell r="AE2589"/>
          <cell r="AF2589"/>
          <cell r="AG2589"/>
          <cell r="AH2589"/>
          <cell r="AI2589"/>
          <cell r="AJ2589"/>
          <cell r="AK2589"/>
          <cell r="AL2589"/>
        </row>
        <row r="2590">
          <cell r="E2590"/>
          <cell r="F2590"/>
          <cell r="G2590"/>
          <cell r="H2590"/>
          <cell r="I2590"/>
          <cell r="J2590"/>
          <cell r="K2590"/>
          <cell r="L2590"/>
          <cell r="M2590"/>
          <cell r="N2590"/>
          <cell r="O2590"/>
          <cell r="P2590"/>
          <cell r="Q2590"/>
          <cell r="R2590"/>
          <cell r="S2590"/>
          <cell r="T2590"/>
          <cell r="U2590"/>
          <cell r="V2590"/>
          <cell r="W2590"/>
          <cell r="X2590"/>
          <cell r="Y2590"/>
          <cell r="Z2590"/>
          <cell r="AA2590"/>
          <cell r="AB2590"/>
          <cell r="AC2590"/>
          <cell r="AD2590"/>
          <cell r="AE2590"/>
          <cell r="AF2590"/>
          <cell r="AG2590"/>
          <cell r="AH2590"/>
          <cell r="AI2590"/>
          <cell r="AJ2590"/>
          <cell r="AK2590"/>
          <cell r="AL2590"/>
        </row>
        <row r="2591">
          <cell r="E2591"/>
          <cell r="F2591"/>
          <cell r="G2591"/>
          <cell r="H2591"/>
          <cell r="I2591"/>
          <cell r="J2591"/>
          <cell r="K2591"/>
          <cell r="L2591"/>
          <cell r="M2591"/>
          <cell r="N2591"/>
          <cell r="O2591"/>
          <cell r="P2591"/>
          <cell r="Q2591"/>
          <cell r="R2591"/>
          <cell r="S2591"/>
          <cell r="T2591"/>
          <cell r="U2591"/>
          <cell r="V2591"/>
          <cell r="W2591"/>
          <cell r="X2591"/>
          <cell r="Y2591"/>
          <cell r="Z2591"/>
          <cell r="AA2591"/>
          <cell r="AB2591"/>
          <cell r="AC2591"/>
          <cell r="AD2591"/>
          <cell r="AE2591"/>
          <cell r="AF2591"/>
          <cell r="AG2591"/>
          <cell r="AH2591"/>
          <cell r="AI2591"/>
          <cell r="AJ2591"/>
          <cell r="AK2591"/>
          <cell r="AL2591"/>
        </row>
        <row r="2592">
          <cell r="E2592"/>
          <cell r="F2592"/>
          <cell r="G2592"/>
          <cell r="H2592"/>
          <cell r="I2592"/>
          <cell r="J2592"/>
          <cell r="K2592"/>
          <cell r="L2592"/>
          <cell r="M2592"/>
          <cell r="N2592"/>
          <cell r="O2592"/>
          <cell r="P2592"/>
          <cell r="Q2592"/>
          <cell r="R2592"/>
          <cell r="S2592"/>
          <cell r="T2592"/>
          <cell r="U2592"/>
          <cell r="V2592"/>
          <cell r="W2592"/>
          <cell r="X2592"/>
          <cell r="Y2592"/>
          <cell r="Z2592"/>
          <cell r="AA2592"/>
          <cell r="AB2592"/>
          <cell r="AC2592"/>
          <cell r="AD2592"/>
          <cell r="AE2592"/>
          <cell r="AF2592"/>
          <cell r="AG2592"/>
          <cell r="AH2592"/>
          <cell r="AI2592"/>
          <cell r="AJ2592"/>
          <cell r="AK2592"/>
          <cell r="AL2592"/>
        </row>
        <row r="2593">
          <cell r="E2593"/>
          <cell r="F2593"/>
          <cell r="G2593"/>
          <cell r="H2593"/>
          <cell r="I2593"/>
          <cell r="J2593"/>
          <cell r="K2593"/>
          <cell r="L2593"/>
          <cell r="M2593"/>
          <cell r="N2593"/>
          <cell r="O2593"/>
          <cell r="P2593"/>
          <cell r="Q2593"/>
          <cell r="R2593"/>
          <cell r="S2593"/>
          <cell r="T2593"/>
          <cell r="U2593"/>
          <cell r="V2593"/>
          <cell r="W2593"/>
          <cell r="X2593"/>
          <cell r="Y2593"/>
          <cell r="Z2593"/>
          <cell r="AA2593"/>
          <cell r="AB2593"/>
          <cell r="AC2593"/>
          <cell r="AD2593"/>
          <cell r="AE2593"/>
          <cell r="AF2593"/>
          <cell r="AG2593"/>
          <cell r="AH2593"/>
          <cell r="AI2593"/>
          <cell r="AJ2593"/>
          <cell r="AK2593"/>
          <cell r="AL2593"/>
        </row>
        <row r="2594">
          <cell r="E2594" t="str">
            <v>SW:1P-15A</v>
          </cell>
          <cell r="F2594" t="str">
            <v>組</v>
          </cell>
          <cell r="G2594"/>
          <cell r="H2594">
            <v>1000</v>
          </cell>
          <cell r="I2594"/>
          <cell r="J2594">
            <v>1000</v>
          </cell>
          <cell r="K2594"/>
          <cell r="L2594">
            <v>1000</v>
          </cell>
          <cell r="M2594"/>
          <cell r="N2594">
            <v>1000</v>
          </cell>
          <cell r="O2594"/>
          <cell r="P2594">
            <v>1000</v>
          </cell>
          <cell r="Q2594"/>
          <cell r="R2594">
            <v>1000</v>
          </cell>
          <cell r="S2594"/>
          <cell r="T2594">
            <v>1000</v>
          </cell>
          <cell r="U2594"/>
          <cell r="V2594">
            <v>1000</v>
          </cell>
          <cell r="W2594"/>
          <cell r="X2594">
            <v>1000</v>
          </cell>
          <cell r="Y2594"/>
          <cell r="Z2594">
            <v>1000</v>
          </cell>
          <cell r="AA2594"/>
          <cell r="AB2594"/>
          <cell r="AC2594"/>
          <cell r="AD2594">
            <v>0.1</v>
          </cell>
          <cell r="AE2594"/>
          <cell r="AF2594"/>
          <cell r="AG2594"/>
          <cell r="AH2594"/>
          <cell r="AI2594"/>
          <cell r="AJ2594"/>
          <cell r="AK2594"/>
          <cell r="AL2594"/>
        </row>
        <row r="2595">
          <cell r="E2595" t="str">
            <v>センサSW</v>
          </cell>
          <cell r="F2595" t="str">
            <v>組</v>
          </cell>
          <cell r="G2595"/>
          <cell r="H2595">
            <v>8000</v>
          </cell>
          <cell r="I2595"/>
          <cell r="J2595">
            <v>8000</v>
          </cell>
          <cell r="K2595"/>
          <cell r="L2595">
            <v>8000</v>
          </cell>
          <cell r="M2595"/>
          <cell r="N2595">
            <v>8000</v>
          </cell>
          <cell r="O2595"/>
          <cell r="P2595">
            <v>8000</v>
          </cell>
          <cell r="Q2595"/>
          <cell r="R2595">
            <v>8000</v>
          </cell>
          <cell r="S2595"/>
          <cell r="T2595">
            <v>8000</v>
          </cell>
          <cell r="U2595"/>
          <cell r="V2595">
            <v>8000</v>
          </cell>
          <cell r="W2595"/>
          <cell r="X2595">
            <v>8000</v>
          </cell>
          <cell r="Y2595"/>
          <cell r="Z2595">
            <v>8000</v>
          </cell>
          <cell r="AA2595"/>
          <cell r="AB2595"/>
          <cell r="AC2595"/>
          <cell r="AD2595">
            <v>0.1</v>
          </cell>
          <cell r="AE2595"/>
          <cell r="AF2595"/>
          <cell r="AG2595"/>
          <cell r="AH2595"/>
          <cell r="AI2595"/>
          <cell r="AJ2595"/>
          <cell r="AK2595"/>
          <cell r="AL2595"/>
        </row>
        <row r="2596">
          <cell r="E2596" t="str">
            <v>Con:2P-15AE</v>
          </cell>
          <cell r="F2596" t="str">
            <v>組</v>
          </cell>
          <cell r="G2596"/>
          <cell r="H2596">
            <v>800</v>
          </cell>
          <cell r="I2596"/>
          <cell r="J2596">
            <v>800</v>
          </cell>
          <cell r="K2596"/>
          <cell r="L2596">
            <v>800</v>
          </cell>
          <cell r="M2596"/>
          <cell r="N2596">
            <v>800</v>
          </cell>
          <cell r="O2596"/>
          <cell r="P2596">
            <v>800</v>
          </cell>
          <cell r="Q2596"/>
          <cell r="R2596">
            <v>800</v>
          </cell>
          <cell r="S2596"/>
          <cell r="T2596">
            <v>800</v>
          </cell>
          <cell r="U2596"/>
          <cell r="V2596">
            <v>800</v>
          </cell>
          <cell r="W2596"/>
          <cell r="X2596">
            <v>800</v>
          </cell>
          <cell r="Y2596"/>
          <cell r="Z2596">
            <v>800</v>
          </cell>
          <cell r="AA2596"/>
          <cell r="AB2596"/>
          <cell r="AC2596"/>
          <cell r="AD2596">
            <v>0.1</v>
          </cell>
          <cell r="AE2596"/>
          <cell r="AF2596"/>
          <cell r="AG2596"/>
          <cell r="AH2596"/>
          <cell r="AI2596"/>
          <cell r="AJ2596"/>
          <cell r="AK2596"/>
          <cell r="AL2596"/>
        </row>
        <row r="2597">
          <cell r="E2597" t="str">
            <v>Con:2P-20AE</v>
          </cell>
          <cell r="F2597" t="str">
            <v>組</v>
          </cell>
          <cell r="G2597"/>
          <cell r="H2597">
            <v>900</v>
          </cell>
          <cell r="I2597"/>
          <cell r="J2597">
            <v>900</v>
          </cell>
          <cell r="K2597"/>
          <cell r="L2597">
            <v>900</v>
          </cell>
          <cell r="M2597"/>
          <cell r="N2597">
            <v>900</v>
          </cell>
          <cell r="O2597"/>
          <cell r="P2597">
            <v>900</v>
          </cell>
          <cell r="Q2597"/>
          <cell r="R2597">
            <v>900</v>
          </cell>
          <cell r="S2597"/>
          <cell r="T2597">
            <v>900</v>
          </cell>
          <cell r="U2597"/>
          <cell r="V2597">
            <v>900</v>
          </cell>
          <cell r="W2597"/>
          <cell r="X2597">
            <v>900</v>
          </cell>
          <cell r="Y2597"/>
          <cell r="Z2597">
            <v>900</v>
          </cell>
          <cell r="AA2597"/>
          <cell r="AB2597"/>
          <cell r="AC2597"/>
          <cell r="AD2597">
            <v>0.1</v>
          </cell>
          <cell r="AE2597"/>
          <cell r="AF2597"/>
          <cell r="AG2597"/>
          <cell r="AH2597"/>
          <cell r="AI2597"/>
          <cell r="AJ2597"/>
          <cell r="AK2597"/>
          <cell r="AL2597"/>
        </row>
        <row r="2598">
          <cell r="E2598" t="str">
            <v>防火区画処理</v>
          </cell>
          <cell r="F2598" t="str">
            <v>箇所</v>
          </cell>
          <cell r="G2598"/>
          <cell r="H2598">
            <v>2500</v>
          </cell>
          <cell r="I2598"/>
          <cell r="J2598">
            <v>2500</v>
          </cell>
          <cell r="K2598"/>
          <cell r="L2598">
            <v>2500</v>
          </cell>
          <cell r="M2598"/>
          <cell r="N2598">
            <v>2500</v>
          </cell>
          <cell r="O2598"/>
          <cell r="P2598">
            <v>2500</v>
          </cell>
          <cell r="Q2598"/>
          <cell r="R2598">
            <v>2500</v>
          </cell>
          <cell r="S2598"/>
          <cell r="T2598">
            <v>2500</v>
          </cell>
          <cell r="U2598"/>
          <cell r="V2598">
            <v>2500</v>
          </cell>
          <cell r="W2598"/>
          <cell r="X2598">
            <v>2500</v>
          </cell>
          <cell r="Y2598"/>
          <cell r="Z2598">
            <v>2500</v>
          </cell>
          <cell r="AA2598"/>
          <cell r="AB2598"/>
          <cell r="AC2598"/>
          <cell r="AD2598">
            <v>0.1</v>
          </cell>
          <cell r="AE2598"/>
          <cell r="AF2598"/>
          <cell r="AG2598"/>
          <cell r="AH2598"/>
          <cell r="AI2598"/>
          <cell r="AJ2598"/>
          <cell r="AK2598"/>
          <cell r="AL2598"/>
        </row>
        <row r="2599">
          <cell r="E2599"/>
          <cell r="F2599"/>
          <cell r="G2599"/>
          <cell r="H2599"/>
          <cell r="I2599"/>
          <cell r="J2599"/>
          <cell r="K2599"/>
          <cell r="L2599"/>
          <cell r="M2599"/>
          <cell r="N2599"/>
          <cell r="O2599"/>
          <cell r="P2599"/>
          <cell r="Q2599"/>
          <cell r="R2599"/>
          <cell r="S2599"/>
          <cell r="T2599"/>
          <cell r="U2599"/>
          <cell r="V2599"/>
          <cell r="W2599"/>
          <cell r="X2599"/>
          <cell r="Y2599"/>
          <cell r="Z2599"/>
          <cell r="AA2599"/>
          <cell r="AB2599"/>
          <cell r="AC2599"/>
          <cell r="AD2599"/>
          <cell r="AE2599"/>
          <cell r="AF2599"/>
          <cell r="AG2599"/>
          <cell r="AH2599"/>
          <cell r="AI2599"/>
          <cell r="AJ2599"/>
          <cell r="AK2599"/>
          <cell r="AL2599"/>
        </row>
        <row r="2600">
          <cell r="E2600"/>
          <cell r="F2600"/>
          <cell r="G2600"/>
          <cell r="H2600"/>
          <cell r="I2600"/>
          <cell r="J2600"/>
          <cell r="K2600"/>
          <cell r="L2600"/>
          <cell r="M2600"/>
          <cell r="N2600"/>
          <cell r="O2600"/>
          <cell r="P2600"/>
          <cell r="Q2600"/>
          <cell r="R2600"/>
          <cell r="S2600"/>
          <cell r="T2600"/>
          <cell r="U2600"/>
          <cell r="V2600"/>
          <cell r="W2600"/>
          <cell r="X2600"/>
          <cell r="Y2600"/>
          <cell r="Z2600"/>
          <cell r="AA2600"/>
          <cell r="AB2600"/>
          <cell r="AC2600"/>
          <cell r="AD2600"/>
          <cell r="AE2600"/>
          <cell r="AF2600"/>
          <cell r="AG2600"/>
          <cell r="AH2600"/>
          <cell r="AI2600"/>
          <cell r="AJ2600"/>
          <cell r="AK2600"/>
          <cell r="AL2600"/>
        </row>
        <row r="2601">
          <cell r="E2601"/>
          <cell r="F2601"/>
          <cell r="G2601"/>
          <cell r="H2601"/>
          <cell r="I2601"/>
          <cell r="J2601"/>
          <cell r="K2601"/>
          <cell r="L2601"/>
          <cell r="M2601"/>
          <cell r="N2601"/>
          <cell r="O2601"/>
          <cell r="P2601"/>
          <cell r="Q2601"/>
          <cell r="R2601"/>
          <cell r="S2601"/>
          <cell r="T2601"/>
          <cell r="U2601"/>
          <cell r="V2601"/>
          <cell r="W2601"/>
          <cell r="X2601"/>
          <cell r="Y2601"/>
          <cell r="Z2601"/>
          <cell r="AA2601"/>
          <cell r="AB2601"/>
          <cell r="AC2601"/>
          <cell r="AD2601"/>
          <cell r="AE2601"/>
          <cell r="AF2601"/>
          <cell r="AG2601"/>
          <cell r="AH2601"/>
          <cell r="AI2601"/>
          <cell r="AJ2601"/>
          <cell r="AK2601"/>
          <cell r="AL2601"/>
        </row>
        <row r="2602">
          <cell r="E2602"/>
          <cell r="F2602"/>
          <cell r="G2602"/>
          <cell r="H2602"/>
          <cell r="I2602"/>
          <cell r="J2602"/>
          <cell r="K2602"/>
          <cell r="L2602"/>
          <cell r="M2602"/>
          <cell r="N2602"/>
          <cell r="O2602"/>
          <cell r="P2602"/>
          <cell r="Q2602"/>
          <cell r="R2602"/>
          <cell r="S2602"/>
          <cell r="T2602"/>
          <cell r="U2602"/>
          <cell r="V2602"/>
          <cell r="W2602"/>
          <cell r="X2602"/>
          <cell r="Y2602"/>
          <cell r="Z2602"/>
          <cell r="AA2602"/>
          <cell r="AB2602"/>
          <cell r="AC2602"/>
          <cell r="AD2602"/>
          <cell r="AE2602"/>
          <cell r="AF2602"/>
          <cell r="AG2602"/>
          <cell r="AH2602"/>
          <cell r="AI2602"/>
          <cell r="AJ2602"/>
          <cell r="AK2602"/>
          <cell r="AL2602"/>
        </row>
        <row r="2603">
          <cell r="E2603"/>
          <cell r="F2603"/>
          <cell r="G2603"/>
          <cell r="H2603"/>
          <cell r="I2603"/>
          <cell r="J2603"/>
          <cell r="K2603"/>
          <cell r="L2603"/>
          <cell r="M2603"/>
          <cell r="N2603"/>
          <cell r="O2603"/>
          <cell r="P2603"/>
          <cell r="Q2603"/>
          <cell r="R2603"/>
          <cell r="S2603"/>
          <cell r="T2603"/>
          <cell r="U2603"/>
          <cell r="V2603"/>
          <cell r="W2603"/>
          <cell r="X2603"/>
          <cell r="Y2603"/>
          <cell r="Z2603"/>
          <cell r="AA2603"/>
          <cell r="AB2603"/>
          <cell r="AC2603"/>
          <cell r="AD2603"/>
          <cell r="AE2603"/>
          <cell r="AF2603"/>
          <cell r="AG2603"/>
          <cell r="AH2603"/>
          <cell r="AI2603"/>
          <cell r="AJ2603"/>
          <cell r="AK2603"/>
          <cell r="AL2603"/>
        </row>
        <row r="2604">
          <cell r="E2604"/>
          <cell r="F2604"/>
          <cell r="G2604"/>
          <cell r="H2604"/>
          <cell r="I2604"/>
          <cell r="J2604"/>
          <cell r="K2604"/>
          <cell r="L2604"/>
          <cell r="M2604"/>
          <cell r="N2604"/>
          <cell r="O2604"/>
          <cell r="P2604"/>
          <cell r="Q2604"/>
          <cell r="R2604"/>
          <cell r="S2604"/>
          <cell r="T2604"/>
          <cell r="U2604"/>
          <cell r="V2604"/>
          <cell r="W2604"/>
          <cell r="X2604"/>
          <cell r="Y2604"/>
          <cell r="Z2604"/>
          <cell r="AA2604"/>
          <cell r="AB2604"/>
          <cell r="AC2604"/>
          <cell r="AD2604"/>
          <cell r="AE2604"/>
          <cell r="AF2604"/>
          <cell r="AG2604"/>
          <cell r="AH2604"/>
          <cell r="AI2604"/>
          <cell r="AJ2604"/>
          <cell r="AK2604"/>
          <cell r="AL2604"/>
        </row>
        <row r="2605">
          <cell r="E2605"/>
          <cell r="F2605"/>
          <cell r="G2605"/>
          <cell r="H2605"/>
          <cell r="I2605"/>
          <cell r="J2605"/>
          <cell r="K2605"/>
          <cell r="L2605"/>
          <cell r="M2605"/>
          <cell r="N2605"/>
          <cell r="O2605"/>
          <cell r="P2605"/>
          <cell r="Q2605"/>
          <cell r="R2605"/>
          <cell r="S2605"/>
          <cell r="T2605"/>
          <cell r="U2605"/>
          <cell r="V2605"/>
          <cell r="W2605"/>
          <cell r="X2605"/>
          <cell r="Y2605"/>
          <cell r="Z2605"/>
          <cell r="AA2605"/>
          <cell r="AB2605"/>
          <cell r="AC2605"/>
          <cell r="AD2605"/>
          <cell r="AE2605"/>
          <cell r="AF2605"/>
          <cell r="AG2605"/>
          <cell r="AH2605"/>
          <cell r="AI2605"/>
          <cell r="AJ2605"/>
          <cell r="AK2605"/>
          <cell r="AL2605"/>
        </row>
        <row r="2606">
          <cell r="E2606"/>
          <cell r="F2606"/>
          <cell r="G2606"/>
          <cell r="H2606"/>
          <cell r="I2606"/>
          <cell r="J2606"/>
          <cell r="K2606"/>
          <cell r="L2606"/>
          <cell r="M2606"/>
          <cell r="N2606"/>
          <cell r="O2606"/>
          <cell r="P2606"/>
          <cell r="Q2606"/>
          <cell r="R2606"/>
          <cell r="S2606"/>
          <cell r="T2606"/>
          <cell r="U2606"/>
          <cell r="V2606"/>
          <cell r="W2606"/>
          <cell r="X2606"/>
          <cell r="Y2606"/>
          <cell r="Z2606"/>
          <cell r="AA2606"/>
          <cell r="AB2606"/>
          <cell r="AC2606"/>
          <cell r="AD2606"/>
          <cell r="AE2606"/>
          <cell r="AF2606"/>
          <cell r="AG2606"/>
          <cell r="AH2606"/>
          <cell r="AI2606"/>
          <cell r="AJ2606"/>
          <cell r="AK2606"/>
          <cell r="AL2606"/>
        </row>
        <row r="2607">
          <cell r="E2607"/>
          <cell r="F2607"/>
          <cell r="G2607"/>
          <cell r="H2607"/>
          <cell r="I2607"/>
          <cell r="J2607"/>
          <cell r="K2607"/>
          <cell r="L2607"/>
          <cell r="M2607"/>
          <cell r="N2607"/>
          <cell r="O2607"/>
          <cell r="P2607"/>
          <cell r="Q2607"/>
          <cell r="R2607"/>
          <cell r="S2607"/>
          <cell r="T2607"/>
          <cell r="U2607"/>
          <cell r="V2607"/>
          <cell r="W2607"/>
          <cell r="X2607"/>
          <cell r="Y2607"/>
          <cell r="Z2607"/>
          <cell r="AA2607"/>
          <cell r="AB2607"/>
          <cell r="AC2607"/>
          <cell r="AD2607"/>
          <cell r="AE2607"/>
          <cell r="AF2607"/>
          <cell r="AG2607"/>
          <cell r="AH2607"/>
          <cell r="AI2607"/>
          <cell r="AJ2607"/>
          <cell r="AK2607"/>
          <cell r="AL2607"/>
        </row>
        <row r="2608">
          <cell r="E2608"/>
          <cell r="F2608"/>
          <cell r="G2608"/>
          <cell r="H2608"/>
          <cell r="I2608"/>
          <cell r="J2608"/>
          <cell r="K2608"/>
          <cell r="L2608"/>
          <cell r="M2608"/>
          <cell r="N2608"/>
          <cell r="O2608"/>
          <cell r="P2608"/>
          <cell r="Q2608"/>
          <cell r="R2608"/>
          <cell r="S2608"/>
          <cell r="T2608"/>
          <cell r="U2608"/>
          <cell r="V2608"/>
          <cell r="W2608"/>
          <cell r="X2608"/>
          <cell r="Y2608"/>
          <cell r="Z2608"/>
          <cell r="AA2608"/>
          <cell r="AB2608"/>
          <cell r="AC2608"/>
          <cell r="AD2608"/>
          <cell r="AE2608"/>
          <cell r="AF2608"/>
          <cell r="AG2608"/>
          <cell r="AH2608"/>
          <cell r="AI2608"/>
          <cell r="AJ2608"/>
          <cell r="AK2608"/>
          <cell r="AL2608"/>
        </row>
        <row r="2609">
          <cell r="E2609"/>
          <cell r="F2609"/>
          <cell r="G2609"/>
          <cell r="H2609"/>
          <cell r="I2609"/>
          <cell r="J2609"/>
          <cell r="K2609"/>
          <cell r="L2609"/>
          <cell r="M2609"/>
          <cell r="N2609"/>
          <cell r="O2609"/>
          <cell r="P2609"/>
          <cell r="Q2609"/>
          <cell r="R2609"/>
          <cell r="S2609"/>
          <cell r="T2609"/>
          <cell r="U2609"/>
          <cell r="V2609"/>
          <cell r="W2609"/>
          <cell r="X2609"/>
          <cell r="Y2609"/>
          <cell r="Z2609"/>
          <cell r="AA2609"/>
          <cell r="AB2609"/>
          <cell r="AC2609"/>
          <cell r="AD2609"/>
          <cell r="AE2609"/>
          <cell r="AF2609"/>
          <cell r="AG2609"/>
          <cell r="AH2609"/>
          <cell r="AI2609"/>
          <cell r="AJ2609"/>
          <cell r="AK2609"/>
          <cell r="AL2609"/>
        </row>
        <row r="2610">
          <cell r="E2610"/>
          <cell r="F2610"/>
          <cell r="G2610"/>
          <cell r="H2610"/>
          <cell r="I2610"/>
          <cell r="J2610"/>
          <cell r="K2610"/>
          <cell r="L2610"/>
          <cell r="M2610"/>
          <cell r="N2610"/>
          <cell r="O2610"/>
          <cell r="P2610"/>
          <cell r="Q2610"/>
          <cell r="R2610"/>
          <cell r="S2610"/>
          <cell r="T2610"/>
          <cell r="U2610"/>
          <cell r="V2610"/>
          <cell r="W2610"/>
          <cell r="X2610"/>
          <cell r="Y2610"/>
          <cell r="Z2610"/>
          <cell r="AA2610"/>
          <cell r="AB2610"/>
          <cell r="AC2610"/>
          <cell r="AD2610"/>
          <cell r="AE2610"/>
          <cell r="AF2610"/>
          <cell r="AG2610"/>
          <cell r="AH2610"/>
          <cell r="AI2610"/>
          <cell r="AJ2610"/>
          <cell r="AK2610"/>
          <cell r="AL2610"/>
        </row>
        <row r="2611">
          <cell r="E2611"/>
          <cell r="F2611"/>
          <cell r="G2611"/>
          <cell r="H2611"/>
          <cell r="I2611"/>
          <cell r="J2611"/>
          <cell r="K2611"/>
          <cell r="L2611"/>
          <cell r="M2611"/>
          <cell r="N2611"/>
          <cell r="O2611"/>
          <cell r="P2611"/>
          <cell r="Q2611"/>
          <cell r="R2611"/>
          <cell r="S2611"/>
          <cell r="T2611"/>
          <cell r="U2611"/>
          <cell r="V2611"/>
          <cell r="W2611"/>
          <cell r="X2611"/>
          <cell r="Y2611"/>
          <cell r="Z2611"/>
          <cell r="AA2611"/>
          <cell r="AB2611"/>
          <cell r="AC2611"/>
          <cell r="AD2611"/>
          <cell r="AE2611"/>
          <cell r="AF2611"/>
          <cell r="AG2611"/>
          <cell r="AH2611"/>
          <cell r="AI2611"/>
          <cell r="AJ2611"/>
          <cell r="AK2611"/>
          <cell r="AL2611"/>
        </row>
        <row r="2612">
          <cell r="E2612"/>
          <cell r="F2612"/>
          <cell r="G2612"/>
          <cell r="H2612"/>
          <cell r="I2612"/>
          <cell r="J2612"/>
          <cell r="K2612"/>
          <cell r="L2612"/>
          <cell r="M2612"/>
          <cell r="N2612"/>
          <cell r="O2612"/>
          <cell r="P2612"/>
          <cell r="Q2612"/>
          <cell r="R2612"/>
          <cell r="S2612"/>
          <cell r="T2612"/>
          <cell r="U2612"/>
          <cell r="V2612"/>
          <cell r="W2612"/>
          <cell r="X2612"/>
          <cell r="Y2612"/>
          <cell r="Z2612"/>
          <cell r="AA2612"/>
          <cell r="AB2612"/>
          <cell r="AC2612"/>
          <cell r="AD2612"/>
          <cell r="AE2612"/>
          <cell r="AF2612"/>
          <cell r="AG2612"/>
          <cell r="AH2612"/>
          <cell r="AI2612"/>
          <cell r="AJ2612"/>
          <cell r="AK2612"/>
          <cell r="AL2612"/>
        </row>
        <row r="2613">
          <cell r="E2613"/>
          <cell r="F2613"/>
          <cell r="G2613"/>
          <cell r="H2613"/>
          <cell r="I2613"/>
          <cell r="J2613"/>
          <cell r="K2613"/>
          <cell r="L2613"/>
          <cell r="M2613"/>
          <cell r="N2613"/>
          <cell r="O2613"/>
          <cell r="P2613"/>
          <cell r="Q2613"/>
          <cell r="R2613"/>
          <cell r="S2613"/>
          <cell r="T2613"/>
          <cell r="U2613"/>
          <cell r="V2613"/>
          <cell r="W2613"/>
          <cell r="X2613"/>
          <cell r="Y2613"/>
          <cell r="Z2613"/>
          <cell r="AA2613"/>
          <cell r="AB2613"/>
          <cell r="AC2613"/>
          <cell r="AD2613"/>
          <cell r="AE2613"/>
          <cell r="AF2613"/>
          <cell r="AG2613"/>
          <cell r="AH2613"/>
          <cell r="AI2613"/>
          <cell r="AJ2613"/>
          <cell r="AK2613"/>
          <cell r="AL2613"/>
        </row>
        <row r="2614">
          <cell r="E2614"/>
          <cell r="F2614"/>
          <cell r="G2614"/>
          <cell r="H2614"/>
          <cell r="I2614"/>
          <cell r="J2614"/>
          <cell r="K2614"/>
          <cell r="L2614"/>
          <cell r="M2614"/>
          <cell r="N2614"/>
          <cell r="O2614"/>
          <cell r="P2614"/>
          <cell r="Q2614"/>
          <cell r="R2614"/>
          <cell r="S2614"/>
          <cell r="T2614"/>
          <cell r="U2614"/>
          <cell r="V2614"/>
          <cell r="W2614"/>
          <cell r="X2614"/>
          <cell r="Y2614"/>
          <cell r="Z2614"/>
          <cell r="AA2614"/>
          <cell r="AB2614"/>
          <cell r="AC2614"/>
          <cell r="AD2614"/>
          <cell r="AE2614"/>
          <cell r="AF2614"/>
          <cell r="AG2614"/>
          <cell r="AH2614"/>
          <cell r="AI2614"/>
          <cell r="AJ2614"/>
          <cell r="AK2614"/>
          <cell r="AL2614"/>
        </row>
        <row r="2615">
          <cell r="E2615"/>
          <cell r="F2615"/>
          <cell r="G2615"/>
          <cell r="H2615"/>
          <cell r="I2615"/>
          <cell r="J2615"/>
          <cell r="K2615"/>
          <cell r="L2615"/>
          <cell r="M2615"/>
          <cell r="N2615"/>
          <cell r="O2615"/>
          <cell r="P2615"/>
          <cell r="Q2615"/>
          <cell r="R2615"/>
          <cell r="S2615"/>
          <cell r="T2615"/>
          <cell r="U2615"/>
          <cell r="V2615"/>
          <cell r="W2615"/>
          <cell r="X2615"/>
          <cell r="Y2615"/>
          <cell r="Z2615"/>
          <cell r="AA2615"/>
          <cell r="AB2615"/>
          <cell r="AC2615"/>
          <cell r="AD2615"/>
          <cell r="AE2615"/>
          <cell r="AF2615"/>
          <cell r="AG2615"/>
          <cell r="AH2615"/>
          <cell r="AI2615"/>
          <cell r="AJ2615"/>
          <cell r="AK2615"/>
          <cell r="AL2615"/>
        </row>
        <row r="2616">
          <cell r="E2616"/>
          <cell r="F2616"/>
          <cell r="G2616"/>
          <cell r="H2616"/>
          <cell r="I2616"/>
          <cell r="J2616"/>
          <cell r="K2616"/>
          <cell r="L2616"/>
          <cell r="M2616"/>
          <cell r="N2616"/>
          <cell r="O2616"/>
          <cell r="P2616"/>
          <cell r="Q2616"/>
          <cell r="R2616"/>
          <cell r="S2616"/>
          <cell r="T2616"/>
          <cell r="U2616"/>
          <cell r="V2616"/>
          <cell r="W2616"/>
          <cell r="X2616"/>
          <cell r="Y2616"/>
          <cell r="Z2616"/>
          <cell r="AA2616"/>
          <cell r="AB2616"/>
          <cell r="AC2616"/>
          <cell r="AD2616"/>
          <cell r="AE2616"/>
          <cell r="AF2616"/>
          <cell r="AG2616"/>
          <cell r="AH2616"/>
          <cell r="AI2616"/>
          <cell r="AJ2616"/>
          <cell r="AK2616"/>
          <cell r="AL2616"/>
        </row>
        <row r="2617">
          <cell r="E2617"/>
          <cell r="F2617"/>
          <cell r="G2617"/>
          <cell r="H2617"/>
          <cell r="I2617"/>
          <cell r="J2617"/>
          <cell r="K2617"/>
          <cell r="L2617"/>
          <cell r="M2617"/>
          <cell r="N2617"/>
          <cell r="O2617"/>
          <cell r="P2617"/>
          <cell r="Q2617"/>
          <cell r="R2617"/>
          <cell r="S2617"/>
          <cell r="T2617"/>
          <cell r="U2617"/>
          <cell r="V2617"/>
          <cell r="W2617"/>
          <cell r="X2617"/>
          <cell r="Y2617"/>
          <cell r="Z2617"/>
          <cell r="AA2617"/>
          <cell r="AB2617"/>
          <cell r="AC2617"/>
          <cell r="AD2617"/>
          <cell r="AE2617"/>
          <cell r="AF2617"/>
          <cell r="AG2617"/>
          <cell r="AH2617"/>
          <cell r="AI2617"/>
          <cell r="AJ2617"/>
          <cell r="AK2617"/>
          <cell r="AL2617"/>
        </row>
        <row r="2618">
          <cell r="E2618" t="str">
            <v>高圧カットアウト PC-6 7.2KV-30A</v>
          </cell>
          <cell r="F2618" t="str">
            <v>個</v>
          </cell>
          <cell r="G2618"/>
          <cell r="H2618">
            <v>15050</v>
          </cell>
          <cell r="I2618"/>
          <cell r="J2618">
            <v>15050</v>
          </cell>
          <cell r="K2618"/>
          <cell r="L2618">
            <v>15050</v>
          </cell>
          <cell r="M2618"/>
          <cell r="N2618">
            <v>15050</v>
          </cell>
          <cell r="O2618"/>
          <cell r="P2618">
            <v>15050</v>
          </cell>
          <cell r="Q2618"/>
          <cell r="R2618">
            <v>15050</v>
          </cell>
          <cell r="S2618"/>
          <cell r="T2618">
            <v>15050</v>
          </cell>
          <cell r="U2618"/>
          <cell r="V2618">
            <v>15050</v>
          </cell>
          <cell r="W2618"/>
          <cell r="X2618">
            <v>15050</v>
          </cell>
          <cell r="Y2618"/>
          <cell r="Z2618">
            <v>15050</v>
          </cell>
          <cell r="AA2618"/>
          <cell r="AB2618"/>
          <cell r="AC2618"/>
          <cell r="AD2618">
            <v>0.159</v>
          </cell>
          <cell r="AE2618"/>
          <cell r="AF2618"/>
          <cell r="AG2618"/>
          <cell r="AH2618"/>
          <cell r="AI2618"/>
          <cell r="AJ2618"/>
          <cell r="AK2618"/>
          <cell r="AL2618" t="str">
            <v>ヒューズ付</v>
          </cell>
        </row>
        <row r="2619">
          <cell r="E2619" t="str">
            <v>高圧カットアウト PC-6 7.2KV-50A</v>
          </cell>
          <cell r="F2619" t="str">
            <v>個</v>
          </cell>
          <cell r="G2619"/>
          <cell r="H2619">
            <v>17820</v>
          </cell>
          <cell r="I2619"/>
          <cell r="J2619">
            <v>17820</v>
          </cell>
          <cell r="K2619"/>
          <cell r="L2619">
            <v>17820</v>
          </cell>
          <cell r="M2619"/>
          <cell r="N2619">
            <v>17820</v>
          </cell>
          <cell r="O2619"/>
          <cell r="P2619">
            <v>17820</v>
          </cell>
          <cell r="Q2619"/>
          <cell r="R2619">
            <v>17820</v>
          </cell>
          <cell r="S2619"/>
          <cell r="T2619">
            <v>17820</v>
          </cell>
          <cell r="U2619"/>
          <cell r="V2619">
            <v>17820</v>
          </cell>
          <cell r="W2619"/>
          <cell r="X2619">
            <v>17820</v>
          </cell>
          <cell r="Y2619"/>
          <cell r="Z2619">
            <v>17820</v>
          </cell>
          <cell r="AA2619"/>
          <cell r="AB2619"/>
          <cell r="AC2619"/>
          <cell r="AD2619">
            <v>0.159</v>
          </cell>
          <cell r="AE2619"/>
          <cell r="AF2619"/>
          <cell r="AG2619"/>
          <cell r="AH2619"/>
          <cell r="AI2619"/>
          <cell r="AJ2619"/>
          <cell r="AK2619"/>
          <cell r="AL2619" t="str">
            <v>ヒューズ付</v>
          </cell>
        </row>
        <row r="2620">
          <cell r="E2620" t="str">
            <v>高圧カットアウト PC-7 7.2KV-100A</v>
          </cell>
          <cell r="F2620" t="str">
            <v>個</v>
          </cell>
          <cell r="G2620"/>
          <cell r="H2620">
            <v>18820</v>
          </cell>
          <cell r="I2620"/>
          <cell r="J2620">
            <v>18820</v>
          </cell>
          <cell r="K2620"/>
          <cell r="L2620">
            <v>18820</v>
          </cell>
          <cell r="M2620"/>
          <cell r="N2620">
            <v>18820</v>
          </cell>
          <cell r="O2620"/>
          <cell r="P2620">
            <v>18820</v>
          </cell>
          <cell r="Q2620"/>
          <cell r="R2620">
            <v>18820</v>
          </cell>
          <cell r="S2620"/>
          <cell r="T2620">
            <v>18820</v>
          </cell>
          <cell r="U2620"/>
          <cell r="V2620">
            <v>18820</v>
          </cell>
          <cell r="W2620"/>
          <cell r="X2620">
            <v>18820</v>
          </cell>
          <cell r="Y2620"/>
          <cell r="Z2620">
            <v>18820</v>
          </cell>
          <cell r="AA2620"/>
          <cell r="AB2620"/>
          <cell r="AC2620"/>
          <cell r="AD2620">
            <v>0.159</v>
          </cell>
          <cell r="AE2620"/>
          <cell r="AF2620"/>
          <cell r="AG2620"/>
          <cell r="AH2620"/>
          <cell r="AI2620"/>
          <cell r="AJ2620"/>
          <cell r="AK2620"/>
          <cell r="AL2620" t="str">
            <v>ヒューズ付</v>
          </cell>
        </row>
        <row r="2621">
          <cell r="E2621" t="str">
            <v>高圧カットアウト PC-6S 7.2KV-30A</v>
          </cell>
          <cell r="F2621" t="str">
            <v>個</v>
          </cell>
          <cell r="G2621"/>
          <cell r="H2621">
            <v>18820</v>
          </cell>
          <cell r="I2621"/>
          <cell r="J2621">
            <v>18820</v>
          </cell>
          <cell r="K2621"/>
          <cell r="L2621">
            <v>18820</v>
          </cell>
          <cell r="M2621"/>
          <cell r="N2621">
            <v>18820</v>
          </cell>
          <cell r="O2621"/>
          <cell r="P2621">
            <v>18820</v>
          </cell>
          <cell r="Q2621"/>
          <cell r="R2621">
            <v>18820</v>
          </cell>
          <cell r="S2621"/>
          <cell r="T2621">
            <v>18820</v>
          </cell>
          <cell r="U2621"/>
          <cell r="V2621">
            <v>18820</v>
          </cell>
          <cell r="W2621"/>
          <cell r="X2621">
            <v>18820</v>
          </cell>
          <cell r="Y2621"/>
          <cell r="Z2621">
            <v>18820</v>
          </cell>
          <cell r="AA2621"/>
          <cell r="AB2621"/>
          <cell r="AC2621"/>
          <cell r="AD2621">
            <v>0.159</v>
          </cell>
          <cell r="AE2621"/>
          <cell r="AF2621"/>
          <cell r="AG2621"/>
          <cell r="AH2621"/>
          <cell r="AI2621"/>
          <cell r="AJ2621"/>
          <cell r="AK2621"/>
          <cell r="AL2621" t="str">
            <v>ヒューズ付</v>
          </cell>
        </row>
        <row r="2622">
          <cell r="E2622" t="str">
            <v>高圧カットアウト PC-7S7.2KV-30A</v>
          </cell>
          <cell r="F2622" t="str">
            <v>個</v>
          </cell>
          <cell r="G2622"/>
          <cell r="H2622">
            <v>18820</v>
          </cell>
          <cell r="I2622"/>
          <cell r="J2622">
            <v>18820</v>
          </cell>
          <cell r="K2622"/>
          <cell r="L2622">
            <v>18820</v>
          </cell>
          <cell r="M2622"/>
          <cell r="N2622">
            <v>18820</v>
          </cell>
          <cell r="O2622"/>
          <cell r="P2622">
            <v>18820</v>
          </cell>
          <cell r="Q2622"/>
          <cell r="R2622">
            <v>18820</v>
          </cell>
          <cell r="S2622"/>
          <cell r="T2622">
            <v>18820</v>
          </cell>
          <cell r="U2622"/>
          <cell r="V2622">
            <v>18820</v>
          </cell>
          <cell r="W2622"/>
          <cell r="X2622">
            <v>18820</v>
          </cell>
          <cell r="Y2622"/>
          <cell r="Z2622">
            <v>18820</v>
          </cell>
          <cell r="AA2622"/>
          <cell r="AB2622"/>
          <cell r="AC2622"/>
          <cell r="AD2622">
            <v>0.159</v>
          </cell>
          <cell r="AE2622"/>
          <cell r="AF2622"/>
          <cell r="AG2622"/>
          <cell r="AH2622"/>
          <cell r="AI2622"/>
          <cell r="AJ2622"/>
          <cell r="AK2622"/>
          <cell r="AL2622" t="str">
            <v>ヒューズ付</v>
          </cell>
        </row>
        <row r="2623">
          <cell r="E2623" t="str">
            <v>高圧カットアウト PC-7S 7.2KV-100A</v>
          </cell>
          <cell r="F2623" t="str">
            <v>個</v>
          </cell>
          <cell r="G2623"/>
          <cell r="H2623">
            <v>26780</v>
          </cell>
          <cell r="I2623"/>
          <cell r="J2623">
            <v>26780</v>
          </cell>
          <cell r="K2623"/>
          <cell r="L2623">
            <v>26780</v>
          </cell>
          <cell r="M2623"/>
          <cell r="N2623">
            <v>26780</v>
          </cell>
          <cell r="O2623"/>
          <cell r="P2623">
            <v>26780</v>
          </cell>
          <cell r="Q2623"/>
          <cell r="R2623">
            <v>26780</v>
          </cell>
          <cell r="S2623"/>
          <cell r="T2623">
            <v>26780</v>
          </cell>
          <cell r="U2623"/>
          <cell r="V2623">
            <v>26780</v>
          </cell>
          <cell r="W2623"/>
          <cell r="X2623">
            <v>26780</v>
          </cell>
          <cell r="Y2623"/>
          <cell r="Z2623">
            <v>26780</v>
          </cell>
          <cell r="AA2623"/>
          <cell r="AB2623"/>
          <cell r="AC2623"/>
          <cell r="AD2623">
            <v>0.159</v>
          </cell>
          <cell r="AE2623"/>
          <cell r="AF2623"/>
          <cell r="AG2623"/>
          <cell r="AH2623"/>
          <cell r="AI2623"/>
          <cell r="AJ2623"/>
          <cell r="AK2623"/>
          <cell r="AL2623" t="str">
            <v>ヒューズ付</v>
          </cell>
        </row>
        <row r="2624">
          <cell r="E2624"/>
          <cell r="F2624"/>
          <cell r="G2624"/>
          <cell r="H2624"/>
          <cell r="I2624"/>
          <cell r="J2624"/>
          <cell r="K2624"/>
          <cell r="L2624"/>
          <cell r="M2624"/>
          <cell r="N2624"/>
          <cell r="O2624"/>
          <cell r="P2624"/>
          <cell r="Q2624"/>
          <cell r="R2624"/>
          <cell r="S2624"/>
          <cell r="T2624"/>
          <cell r="U2624"/>
          <cell r="V2624"/>
          <cell r="W2624"/>
          <cell r="X2624"/>
          <cell r="Y2624"/>
          <cell r="Z2624"/>
          <cell r="AA2624"/>
          <cell r="AB2624"/>
          <cell r="AC2624"/>
          <cell r="AD2624"/>
          <cell r="AE2624"/>
          <cell r="AF2624"/>
          <cell r="AG2624"/>
          <cell r="AH2624"/>
          <cell r="AI2624"/>
          <cell r="AJ2624"/>
          <cell r="AK2624"/>
          <cell r="AL2624"/>
        </row>
        <row r="2625">
          <cell r="E2625" t="str">
            <v>GLアレスタ GL-86G-8.4KV</v>
          </cell>
          <cell r="F2625" t="str">
            <v>個</v>
          </cell>
          <cell r="G2625"/>
          <cell r="H2625">
            <v>10100</v>
          </cell>
          <cell r="I2625"/>
          <cell r="J2625">
            <v>10100</v>
          </cell>
          <cell r="K2625"/>
          <cell r="L2625">
            <v>10100</v>
          </cell>
          <cell r="M2625"/>
          <cell r="N2625">
            <v>10100</v>
          </cell>
          <cell r="O2625"/>
          <cell r="P2625">
            <v>10100</v>
          </cell>
          <cell r="Q2625"/>
          <cell r="R2625">
            <v>10100</v>
          </cell>
          <cell r="S2625"/>
          <cell r="T2625">
            <v>10100</v>
          </cell>
          <cell r="U2625"/>
          <cell r="V2625">
            <v>10100</v>
          </cell>
          <cell r="W2625"/>
          <cell r="X2625">
            <v>10100</v>
          </cell>
          <cell r="Y2625"/>
          <cell r="Z2625">
            <v>10100</v>
          </cell>
          <cell r="AA2625"/>
          <cell r="AB2625"/>
          <cell r="AC2625"/>
          <cell r="AD2625">
            <v>0.22</v>
          </cell>
          <cell r="AE2625"/>
          <cell r="AF2625"/>
          <cell r="AG2625"/>
          <cell r="AH2625"/>
          <cell r="AI2625"/>
          <cell r="AJ2625"/>
          <cell r="AK2625"/>
          <cell r="AL2625"/>
        </row>
        <row r="2626">
          <cell r="E2626" t="str">
            <v>配電用アレスタ GL-6R-8.4KV</v>
          </cell>
          <cell r="F2626" t="str">
            <v>個</v>
          </cell>
          <cell r="G2626"/>
          <cell r="H2626">
            <v>12900</v>
          </cell>
          <cell r="I2626"/>
          <cell r="J2626">
            <v>12900</v>
          </cell>
          <cell r="K2626"/>
          <cell r="L2626">
            <v>12900</v>
          </cell>
          <cell r="M2626"/>
          <cell r="N2626">
            <v>12900</v>
          </cell>
          <cell r="O2626"/>
          <cell r="P2626">
            <v>12900</v>
          </cell>
          <cell r="Q2626"/>
          <cell r="R2626">
            <v>12900</v>
          </cell>
          <cell r="S2626"/>
          <cell r="T2626">
            <v>12900</v>
          </cell>
          <cell r="U2626"/>
          <cell r="V2626">
            <v>12900</v>
          </cell>
          <cell r="W2626"/>
          <cell r="X2626">
            <v>12900</v>
          </cell>
          <cell r="Y2626"/>
          <cell r="Z2626">
            <v>12900</v>
          </cell>
          <cell r="AA2626"/>
          <cell r="AB2626"/>
          <cell r="AC2626"/>
          <cell r="AD2626">
            <v>0.22</v>
          </cell>
          <cell r="AE2626"/>
          <cell r="AF2626"/>
          <cell r="AG2626"/>
          <cell r="AH2626"/>
          <cell r="AI2626"/>
          <cell r="AJ2626"/>
          <cell r="AK2626"/>
          <cell r="AL2626"/>
        </row>
        <row r="2627">
          <cell r="E2627" t="str">
            <v>配電用アレスタ GL-6DS-8.4KV</v>
          </cell>
          <cell r="F2627" t="str">
            <v>個</v>
          </cell>
          <cell r="G2627"/>
          <cell r="H2627">
            <v>16600</v>
          </cell>
          <cell r="I2627"/>
          <cell r="J2627">
            <v>16600</v>
          </cell>
          <cell r="K2627"/>
          <cell r="L2627">
            <v>16600</v>
          </cell>
          <cell r="M2627"/>
          <cell r="N2627">
            <v>16600</v>
          </cell>
          <cell r="O2627"/>
          <cell r="P2627">
            <v>16600</v>
          </cell>
          <cell r="Q2627"/>
          <cell r="R2627">
            <v>16600</v>
          </cell>
          <cell r="S2627"/>
          <cell r="T2627">
            <v>16600</v>
          </cell>
          <cell r="U2627"/>
          <cell r="V2627">
            <v>16600</v>
          </cell>
          <cell r="W2627"/>
          <cell r="X2627">
            <v>16600</v>
          </cell>
          <cell r="Y2627"/>
          <cell r="Z2627">
            <v>16600</v>
          </cell>
          <cell r="AA2627"/>
          <cell r="AB2627"/>
          <cell r="AC2627"/>
          <cell r="AD2627">
            <v>0.22</v>
          </cell>
          <cell r="AE2627"/>
          <cell r="AF2627"/>
          <cell r="AG2627"/>
          <cell r="AH2627"/>
          <cell r="AI2627"/>
          <cell r="AJ2627"/>
          <cell r="AK2627"/>
          <cell r="AL2627"/>
        </row>
        <row r="2628">
          <cell r="E2628" t="str">
            <v>配電用アレスタ GL-86DS5-8.4KV</v>
          </cell>
          <cell r="F2628" t="str">
            <v>個</v>
          </cell>
          <cell r="G2628"/>
          <cell r="H2628">
            <v>16400</v>
          </cell>
          <cell r="I2628"/>
          <cell r="J2628">
            <v>16400</v>
          </cell>
          <cell r="K2628"/>
          <cell r="L2628">
            <v>16400</v>
          </cell>
          <cell r="M2628"/>
          <cell r="N2628">
            <v>16400</v>
          </cell>
          <cell r="O2628"/>
          <cell r="P2628">
            <v>16400</v>
          </cell>
          <cell r="Q2628"/>
          <cell r="R2628">
            <v>16400</v>
          </cell>
          <cell r="S2628"/>
          <cell r="T2628">
            <v>16400</v>
          </cell>
          <cell r="U2628"/>
          <cell r="V2628">
            <v>16400</v>
          </cell>
          <cell r="W2628"/>
          <cell r="X2628">
            <v>16400</v>
          </cell>
          <cell r="Y2628"/>
          <cell r="Z2628">
            <v>16400</v>
          </cell>
          <cell r="AA2628"/>
          <cell r="AB2628"/>
          <cell r="AC2628"/>
          <cell r="AD2628">
            <v>0.22</v>
          </cell>
          <cell r="AE2628"/>
          <cell r="AF2628"/>
          <cell r="AG2628"/>
          <cell r="AH2628"/>
          <cell r="AI2628"/>
          <cell r="AJ2628"/>
          <cell r="AK2628"/>
          <cell r="AL2628"/>
        </row>
        <row r="2629">
          <cell r="E2629" t="str">
            <v>配電用アレスタ GL-65G-8.4KV</v>
          </cell>
          <cell r="F2629" t="str">
            <v>個</v>
          </cell>
          <cell r="G2629"/>
          <cell r="H2629">
            <v>45500</v>
          </cell>
          <cell r="I2629"/>
          <cell r="J2629">
            <v>45500</v>
          </cell>
          <cell r="K2629"/>
          <cell r="L2629">
            <v>45500</v>
          </cell>
          <cell r="M2629"/>
          <cell r="N2629">
            <v>45500</v>
          </cell>
          <cell r="O2629"/>
          <cell r="P2629">
            <v>45500</v>
          </cell>
          <cell r="Q2629"/>
          <cell r="R2629">
            <v>45500</v>
          </cell>
          <cell r="S2629"/>
          <cell r="T2629">
            <v>45500</v>
          </cell>
          <cell r="U2629"/>
          <cell r="V2629">
            <v>45500</v>
          </cell>
          <cell r="W2629"/>
          <cell r="X2629">
            <v>45500</v>
          </cell>
          <cell r="Y2629"/>
          <cell r="Z2629">
            <v>45500</v>
          </cell>
          <cell r="AA2629"/>
          <cell r="AB2629"/>
          <cell r="AC2629"/>
          <cell r="AD2629">
            <v>0.22</v>
          </cell>
          <cell r="AE2629"/>
          <cell r="AF2629"/>
          <cell r="AG2629"/>
          <cell r="AH2629"/>
          <cell r="AI2629"/>
          <cell r="AJ2629"/>
          <cell r="AK2629"/>
          <cell r="AL2629"/>
        </row>
        <row r="2630">
          <cell r="E2630" t="str">
            <v>配電用アレスタ RVSQ-6GPL2-8.4KV</v>
          </cell>
          <cell r="F2630" t="str">
            <v>個</v>
          </cell>
          <cell r="G2630"/>
          <cell r="H2630">
            <v>9120</v>
          </cell>
          <cell r="I2630"/>
          <cell r="J2630">
            <v>9120</v>
          </cell>
          <cell r="K2630"/>
          <cell r="L2630">
            <v>9120</v>
          </cell>
          <cell r="M2630"/>
          <cell r="N2630">
            <v>9120</v>
          </cell>
          <cell r="O2630"/>
          <cell r="P2630">
            <v>9120</v>
          </cell>
          <cell r="Q2630"/>
          <cell r="R2630">
            <v>9120</v>
          </cell>
          <cell r="S2630"/>
          <cell r="T2630">
            <v>9120</v>
          </cell>
          <cell r="U2630"/>
          <cell r="V2630">
            <v>9120</v>
          </cell>
          <cell r="W2630"/>
          <cell r="X2630">
            <v>9120</v>
          </cell>
          <cell r="Y2630"/>
          <cell r="Z2630">
            <v>9120</v>
          </cell>
          <cell r="AA2630"/>
          <cell r="AB2630"/>
          <cell r="AC2630"/>
          <cell r="AD2630">
            <v>0.22</v>
          </cell>
          <cell r="AE2630"/>
          <cell r="AF2630"/>
          <cell r="AG2630"/>
          <cell r="AH2630"/>
          <cell r="AI2630"/>
          <cell r="AJ2630"/>
          <cell r="AK2630"/>
          <cell r="AL2630"/>
        </row>
        <row r="2631">
          <cell r="E2631"/>
          <cell r="F2631"/>
          <cell r="G2631"/>
          <cell r="H2631"/>
          <cell r="I2631"/>
          <cell r="J2631"/>
          <cell r="K2631"/>
          <cell r="L2631"/>
          <cell r="M2631"/>
          <cell r="N2631"/>
          <cell r="O2631"/>
          <cell r="P2631"/>
          <cell r="Q2631"/>
          <cell r="R2631"/>
          <cell r="S2631"/>
          <cell r="T2631"/>
          <cell r="U2631"/>
          <cell r="V2631"/>
          <cell r="W2631"/>
          <cell r="X2631"/>
          <cell r="Y2631"/>
          <cell r="Z2631"/>
          <cell r="AA2631"/>
          <cell r="AB2631"/>
          <cell r="AC2631"/>
          <cell r="AD2631"/>
          <cell r="AE2631"/>
          <cell r="AF2631"/>
          <cell r="AG2631"/>
          <cell r="AH2631"/>
          <cell r="AI2631"/>
          <cell r="AJ2631"/>
          <cell r="AK2631"/>
          <cell r="AL2631"/>
        </row>
        <row r="2632">
          <cell r="E2632"/>
          <cell r="F2632"/>
          <cell r="G2632"/>
          <cell r="H2632"/>
          <cell r="I2632"/>
          <cell r="J2632"/>
          <cell r="K2632"/>
          <cell r="L2632"/>
          <cell r="M2632"/>
          <cell r="N2632"/>
          <cell r="O2632"/>
          <cell r="P2632"/>
          <cell r="Q2632"/>
          <cell r="R2632"/>
          <cell r="S2632"/>
          <cell r="T2632"/>
          <cell r="U2632"/>
          <cell r="V2632"/>
          <cell r="W2632"/>
          <cell r="X2632"/>
          <cell r="Y2632"/>
          <cell r="Z2632"/>
          <cell r="AA2632"/>
          <cell r="AB2632"/>
          <cell r="AC2632"/>
          <cell r="AD2632"/>
          <cell r="AE2632"/>
          <cell r="AF2632"/>
          <cell r="AG2632"/>
          <cell r="AH2632"/>
          <cell r="AI2632"/>
          <cell r="AJ2632"/>
          <cell r="AK2632"/>
          <cell r="AL2632"/>
        </row>
        <row r="2633">
          <cell r="E2633" t="str">
            <v>接地工事 EA</v>
          </cell>
          <cell r="F2633" t="str">
            <v>箇所</v>
          </cell>
          <cell r="G2633"/>
          <cell r="H2633">
            <v>19000</v>
          </cell>
          <cell r="I2633"/>
          <cell r="J2633">
            <v>19000</v>
          </cell>
          <cell r="K2633"/>
          <cell r="L2633">
            <v>19000</v>
          </cell>
          <cell r="M2633"/>
          <cell r="N2633">
            <v>19000</v>
          </cell>
          <cell r="O2633"/>
          <cell r="P2633">
            <v>19000</v>
          </cell>
          <cell r="Q2633"/>
          <cell r="R2633">
            <v>19000</v>
          </cell>
          <cell r="S2633"/>
          <cell r="T2633">
            <v>19000</v>
          </cell>
          <cell r="U2633"/>
          <cell r="V2633">
            <v>19000</v>
          </cell>
          <cell r="W2633"/>
          <cell r="X2633">
            <v>19000</v>
          </cell>
          <cell r="Y2633"/>
          <cell r="Z2633">
            <v>19000</v>
          </cell>
          <cell r="AA2633"/>
          <cell r="AB2633"/>
          <cell r="AC2633"/>
          <cell r="AD2633">
            <v>3.7330000000000001</v>
          </cell>
          <cell r="AE2633"/>
          <cell r="AF2633"/>
          <cell r="AG2633"/>
          <cell r="AH2633"/>
          <cell r="AI2633"/>
          <cell r="AJ2633"/>
          <cell r="AK2633"/>
          <cell r="AL2633"/>
        </row>
        <row r="2634">
          <cell r="E2634" t="str">
            <v>接地工事 EA-LA</v>
          </cell>
          <cell r="F2634" t="str">
            <v>箇所</v>
          </cell>
          <cell r="G2634"/>
          <cell r="H2634">
            <v>19000</v>
          </cell>
          <cell r="I2634"/>
          <cell r="J2634">
            <v>19000</v>
          </cell>
          <cell r="K2634"/>
          <cell r="L2634">
            <v>19000</v>
          </cell>
          <cell r="M2634"/>
          <cell r="N2634">
            <v>19000</v>
          </cell>
          <cell r="O2634"/>
          <cell r="P2634">
            <v>19000</v>
          </cell>
          <cell r="Q2634"/>
          <cell r="R2634">
            <v>19000</v>
          </cell>
          <cell r="S2634"/>
          <cell r="T2634">
            <v>19000</v>
          </cell>
          <cell r="U2634"/>
          <cell r="V2634">
            <v>19000</v>
          </cell>
          <cell r="W2634"/>
          <cell r="X2634">
            <v>19000</v>
          </cell>
          <cell r="Y2634"/>
          <cell r="Z2634">
            <v>19000</v>
          </cell>
          <cell r="AA2634"/>
          <cell r="AB2634"/>
          <cell r="AC2634"/>
          <cell r="AD2634">
            <v>3.7330000000000001</v>
          </cell>
          <cell r="AE2634"/>
          <cell r="AF2634"/>
          <cell r="AG2634"/>
          <cell r="AH2634"/>
          <cell r="AI2634"/>
          <cell r="AJ2634"/>
          <cell r="AK2634"/>
          <cell r="AL2634"/>
        </row>
        <row r="2635">
          <cell r="E2635" t="str">
            <v>接地工事 EB</v>
          </cell>
          <cell r="F2635" t="str">
            <v>箇所</v>
          </cell>
          <cell r="G2635"/>
          <cell r="H2635">
            <v>19000</v>
          </cell>
          <cell r="I2635"/>
          <cell r="J2635">
            <v>19000</v>
          </cell>
          <cell r="K2635"/>
          <cell r="L2635">
            <v>19000</v>
          </cell>
          <cell r="M2635"/>
          <cell r="N2635">
            <v>19000</v>
          </cell>
          <cell r="O2635"/>
          <cell r="P2635">
            <v>19000</v>
          </cell>
          <cell r="Q2635"/>
          <cell r="R2635">
            <v>19000</v>
          </cell>
          <cell r="S2635"/>
          <cell r="T2635">
            <v>19000</v>
          </cell>
          <cell r="U2635"/>
          <cell r="V2635">
            <v>19000</v>
          </cell>
          <cell r="W2635"/>
          <cell r="X2635">
            <v>19000</v>
          </cell>
          <cell r="Y2635"/>
          <cell r="Z2635">
            <v>19000</v>
          </cell>
          <cell r="AA2635"/>
          <cell r="AB2635"/>
          <cell r="AC2635"/>
          <cell r="AD2635">
            <v>3.7330000000000001</v>
          </cell>
          <cell r="AE2635"/>
          <cell r="AF2635"/>
          <cell r="AG2635"/>
          <cell r="AH2635"/>
          <cell r="AI2635"/>
          <cell r="AJ2635"/>
          <cell r="AK2635"/>
          <cell r="AL2635"/>
        </row>
        <row r="2636">
          <cell r="E2636" t="str">
            <v>接地工事 ED</v>
          </cell>
          <cell r="F2636" t="str">
            <v>箇所</v>
          </cell>
          <cell r="G2636"/>
          <cell r="H2636">
            <v>2800</v>
          </cell>
          <cell r="I2636"/>
          <cell r="J2636">
            <v>2800</v>
          </cell>
          <cell r="K2636"/>
          <cell r="L2636">
            <v>2800</v>
          </cell>
          <cell r="M2636"/>
          <cell r="N2636">
            <v>2800</v>
          </cell>
          <cell r="O2636"/>
          <cell r="P2636">
            <v>2800</v>
          </cell>
          <cell r="Q2636"/>
          <cell r="R2636">
            <v>2800</v>
          </cell>
          <cell r="S2636"/>
          <cell r="T2636">
            <v>2800</v>
          </cell>
          <cell r="U2636"/>
          <cell r="V2636">
            <v>2800</v>
          </cell>
          <cell r="W2636"/>
          <cell r="X2636">
            <v>2800</v>
          </cell>
          <cell r="Y2636"/>
          <cell r="Z2636">
            <v>2800</v>
          </cell>
          <cell r="AA2636"/>
          <cell r="AB2636"/>
          <cell r="AC2636"/>
          <cell r="AD2636">
            <v>3.7330000000000001</v>
          </cell>
          <cell r="AE2636"/>
          <cell r="AF2636"/>
          <cell r="AG2636"/>
          <cell r="AH2636"/>
          <cell r="AI2636"/>
          <cell r="AJ2636"/>
          <cell r="AK2636"/>
          <cell r="AL2636"/>
        </row>
        <row r="2637">
          <cell r="E2637" t="str">
            <v>接地工事 ED-ELB</v>
          </cell>
          <cell r="F2637" t="str">
            <v>箇所</v>
          </cell>
          <cell r="G2637"/>
          <cell r="H2637">
            <v>2800</v>
          </cell>
          <cell r="I2637"/>
          <cell r="J2637">
            <v>2800</v>
          </cell>
          <cell r="K2637"/>
          <cell r="L2637">
            <v>2800</v>
          </cell>
          <cell r="M2637"/>
          <cell r="N2637">
            <v>2800</v>
          </cell>
          <cell r="O2637"/>
          <cell r="P2637">
            <v>2800</v>
          </cell>
          <cell r="Q2637"/>
          <cell r="R2637">
            <v>2800</v>
          </cell>
          <cell r="S2637"/>
          <cell r="T2637">
            <v>2800</v>
          </cell>
          <cell r="U2637"/>
          <cell r="V2637">
            <v>2800</v>
          </cell>
          <cell r="W2637"/>
          <cell r="X2637">
            <v>2800</v>
          </cell>
          <cell r="Y2637"/>
          <cell r="Z2637">
            <v>2800</v>
          </cell>
          <cell r="AA2637"/>
          <cell r="AB2637"/>
          <cell r="AC2637"/>
          <cell r="AD2637">
            <v>3.7330000000000001</v>
          </cell>
          <cell r="AE2637"/>
          <cell r="AF2637"/>
          <cell r="AG2637"/>
          <cell r="AH2637"/>
          <cell r="AI2637"/>
          <cell r="AJ2637"/>
          <cell r="AK2637"/>
          <cell r="AL2637"/>
        </row>
        <row r="2638">
          <cell r="E2638" t="str">
            <v>接地工事 Ep,Ec</v>
          </cell>
          <cell r="F2638" t="str">
            <v>箇所</v>
          </cell>
          <cell r="G2638"/>
          <cell r="H2638">
            <v>720</v>
          </cell>
          <cell r="I2638"/>
          <cell r="J2638">
            <v>720</v>
          </cell>
          <cell r="K2638"/>
          <cell r="L2638">
            <v>720</v>
          </cell>
          <cell r="M2638"/>
          <cell r="N2638">
            <v>720</v>
          </cell>
          <cell r="O2638"/>
          <cell r="P2638">
            <v>720</v>
          </cell>
          <cell r="Q2638"/>
          <cell r="R2638">
            <v>720</v>
          </cell>
          <cell r="S2638"/>
          <cell r="T2638">
            <v>720</v>
          </cell>
          <cell r="U2638"/>
          <cell r="V2638">
            <v>720</v>
          </cell>
          <cell r="W2638"/>
          <cell r="X2638">
            <v>720</v>
          </cell>
          <cell r="Y2638"/>
          <cell r="Z2638">
            <v>720</v>
          </cell>
          <cell r="AA2638"/>
          <cell r="AB2638"/>
          <cell r="AC2638"/>
          <cell r="AD2638">
            <v>0.183</v>
          </cell>
          <cell r="AE2638"/>
          <cell r="AF2638"/>
          <cell r="AG2638"/>
          <cell r="AH2638"/>
          <cell r="AI2638"/>
          <cell r="AJ2638"/>
          <cell r="AK2638"/>
          <cell r="AL2638" t="str">
            <v>普通作業員</v>
          </cell>
        </row>
        <row r="2639">
          <cell r="E2639" t="str">
            <v>接地工事 Et</v>
          </cell>
          <cell r="F2639" t="str">
            <v>箇所</v>
          </cell>
          <cell r="G2639"/>
          <cell r="H2639">
            <v>19000</v>
          </cell>
          <cell r="I2639"/>
          <cell r="J2639">
            <v>19000</v>
          </cell>
          <cell r="K2639"/>
          <cell r="L2639">
            <v>19000</v>
          </cell>
          <cell r="M2639"/>
          <cell r="N2639">
            <v>19000</v>
          </cell>
          <cell r="O2639"/>
          <cell r="P2639">
            <v>19000</v>
          </cell>
          <cell r="Q2639"/>
          <cell r="R2639">
            <v>19000</v>
          </cell>
          <cell r="S2639"/>
          <cell r="T2639">
            <v>19000</v>
          </cell>
          <cell r="U2639"/>
          <cell r="V2639">
            <v>19000</v>
          </cell>
          <cell r="W2639"/>
          <cell r="X2639">
            <v>19000</v>
          </cell>
          <cell r="Y2639"/>
          <cell r="Z2639">
            <v>19000</v>
          </cell>
          <cell r="AA2639"/>
          <cell r="AB2639"/>
          <cell r="AC2639"/>
          <cell r="AD2639">
            <v>3.7330000000000001</v>
          </cell>
          <cell r="AE2639"/>
          <cell r="AF2639"/>
          <cell r="AG2639"/>
          <cell r="AH2639"/>
          <cell r="AI2639"/>
          <cell r="AJ2639"/>
          <cell r="AK2639"/>
          <cell r="AL2639"/>
        </row>
        <row r="2640">
          <cell r="E2640" t="str">
            <v>CP 10-19-350Kg</v>
          </cell>
          <cell r="F2640" t="str">
            <v>本</v>
          </cell>
          <cell r="G2640"/>
          <cell r="H2640">
            <v>37100</v>
          </cell>
          <cell r="I2640"/>
          <cell r="J2640">
            <v>37100</v>
          </cell>
          <cell r="K2640"/>
          <cell r="L2640">
            <v>37100</v>
          </cell>
          <cell r="M2640"/>
          <cell r="N2640">
            <v>37500</v>
          </cell>
          <cell r="O2640"/>
          <cell r="P2640">
            <v>36200</v>
          </cell>
          <cell r="Q2640"/>
          <cell r="R2640">
            <v>37500</v>
          </cell>
          <cell r="S2640"/>
          <cell r="T2640">
            <v>36200</v>
          </cell>
          <cell r="U2640"/>
          <cell r="V2640">
            <v>36200</v>
          </cell>
          <cell r="W2640"/>
          <cell r="X2640">
            <v>37100</v>
          </cell>
          <cell r="Y2640"/>
          <cell r="Z2640">
            <v>37100</v>
          </cell>
          <cell r="AA2640"/>
          <cell r="AB2640"/>
          <cell r="AC2640"/>
          <cell r="AD2640">
            <v>2.61</v>
          </cell>
          <cell r="AE2640"/>
          <cell r="AF2640"/>
          <cell r="AG2640"/>
          <cell r="AH2640"/>
          <cell r="AI2640"/>
          <cell r="AJ2640"/>
          <cell r="AK2640"/>
          <cell r="AL2640">
            <v>1.04</v>
          </cell>
        </row>
        <row r="2641">
          <cell r="E2641" t="str">
            <v>CP 12-19-350Kg</v>
          </cell>
          <cell r="F2641" t="str">
            <v>本</v>
          </cell>
          <cell r="G2641"/>
          <cell r="H2641">
            <v>46100</v>
          </cell>
          <cell r="I2641"/>
          <cell r="J2641">
            <v>46100</v>
          </cell>
          <cell r="K2641"/>
          <cell r="L2641">
            <v>46100</v>
          </cell>
          <cell r="M2641"/>
          <cell r="N2641">
            <v>46600</v>
          </cell>
          <cell r="O2641"/>
          <cell r="P2641">
            <v>45000</v>
          </cell>
          <cell r="Q2641"/>
          <cell r="R2641">
            <v>46600</v>
          </cell>
          <cell r="S2641"/>
          <cell r="T2641">
            <v>45000</v>
          </cell>
          <cell r="U2641"/>
          <cell r="V2641">
            <v>45000</v>
          </cell>
          <cell r="W2641"/>
          <cell r="X2641">
            <v>46100</v>
          </cell>
          <cell r="Y2641"/>
          <cell r="Z2641">
            <v>46100</v>
          </cell>
          <cell r="AA2641"/>
          <cell r="AB2641"/>
          <cell r="AC2641"/>
          <cell r="AD2641">
            <v>3.48</v>
          </cell>
          <cell r="AE2641"/>
          <cell r="AF2641"/>
          <cell r="AG2641"/>
          <cell r="AH2641"/>
          <cell r="AI2641"/>
          <cell r="AJ2641"/>
          <cell r="AK2641"/>
          <cell r="AL2641">
            <v>1.74</v>
          </cell>
        </row>
        <row r="2642">
          <cell r="E2642" t="str">
            <v>CP 12-19-500Kg</v>
          </cell>
          <cell r="F2642" t="str">
            <v>本</v>
          </cell>
          <cell r="G2642"/>
          <cell r="H2642">
            <v>60300</v>
          </cell>
          <cell r="I2642"/>
          <cell r="J2642">
            <v>60300</v>
          </cell>
          <cell r="K2642"/>
          <cell r="L2642">
            <v>60300</v>
          </cell>
          <cell r="M2642"/>
          <cell r="N2642">
            <v>61300</v>
          </cell>
          <cell r="O2642"/>
          <cell r="P2642">
            <v>57900</v>
          </cell>
          <cell r="Q2642"/>
          <cell r="R2642">
            <v>61300</v>
          </cell>
          <cell r="S2642"/>
          <cell r="T2642">
            <v>57900</v>
          </cell>
          <cell r="U2642"/>
          <cell r="V2642">
            <v>57900</v>
          </cell>
          <cell r="W2642"/>
          <cell r="X2642">
            <v>60300</v>
          </cell>
          <cell r="Y2642"/>
          <cell r="Z2642">
            <v>60300</v>
          </cell>
          <cell r="AA2642"/>
          <cell r="AB2642"/>
          <cell r="AC2642"/>
          <cell r="AD2642">
            <v>3.48</v>
          </cell>
          <cell r="AE2642"/>
          <cell r="AF2642"/>
          <cell r="AG2642"/>
          <cell r="AH2642"/>
          <cell r="AI2642"/>
          <cell r="AJ2642"/>
          <cell r="AK2642"/>
          <cell r="AL2642">
            <v>1.74</v>
          </cell>
        </row>
        <row r="2643">
          <cell r="E2643" t="str">
            <v>CP 13-19-500Kg</v>
          </cell>
          <cell r="F2643" t="str">
            <v>本</v>
          </cell>
          <cell r="G2643"/>
          <cell r="H2643">
            <v>66700</v>
          </cell>
          <cell r="I2643"/>
          <cell r="J2643">
            <v>66700</v>
          </cell>
          <cell r="K2643"/>
          <cell r="L2643">
            <v>66700</v>
          </cell>
          <cell r="M2643"/>
          <cell r="N2643">
            <v>67300</v>
          </cell>
          <cell r="O2643"/>
          <cell r="P2643">
            <v>64000</v>
          </cell>
          <cell r="Q2643"/>
          <cell r="R2643">
            <v>67300</v>
          </cell>
          <cell r="S2643"/>
          <cell r="T2643">
            <v>64000</v>
          </cell>
          <cell r="U2643"/>
          <cell r="V2643">
            <v>64000</v>
          </cell>
          <cell r="W2643"/>
          <cell r="X2643">
            <v>66700</v>
          </cell>
          <cell r="Y2643"/>
          <cell r="Z2643">
            <v>66700</v>
          </cell>
          <cell r="AA2643"/>
          <cell r="AB2643"/>
          <cell r="AC2643"/>
          <cell r="AD2643">
            <v>3.91</v>
          </cell>
          <cell r="AE2643"/>
          <cell r="AF2643"/>
          <cell r="AG2643"/>
          <cell r="AH2643"/>
          <cell r="AI2643"/>
          <cell r="AJ2643"/>
          <cell r="AK2643"/>
          <cell r="AL2643">
            <v>1.19</v>
          </cell>
        </row>
        <row r="2644">
          <cell r="E2644" t="str">
            <v>CP 14-19-500Kg</v>
          </cell>
          <cell r="F2644" t="str">
            <v>本</v>
          </cell>
          <cell r="G2644"/>
          <cell r="H2644">
            <v>72200</v>
          </cell>
          <cell r="I2644"/>
          <cell r="J2644">
            <v>72200</v>
          </cell>
          <cell r="K2644"/>
          <cell r="L2644">
            <v>72200</v>
          </cell>
          <cell r="M2644"/>
          <cell r="N2644">
            <v>72800</v>
          </cell>
          <cell r="O2644"/>
          <cell r="P2644">
            <v>70500</v>
          </cell>
          <cell r="Q2644"/>
          <cell r="R2644">
            <v>72800</v>
          </cell>
          <cell r="S2644"/>
          <cell r="T2644">
            <v>70500</v>
          </cell>
          <cell r="U2644"/>
          <cell r="V2644">
            <v>70500</v>
          </cell>
          <cell r="W2644"/>
          <cell r="X2644">
            <v>72200</v>
          </cell>
          <cell r="Y2644"/>
          <cell r="Z2644">
            <v>72200</v>
          </cell>
          <cell r="AA2644"/>
          <cell r="AB2644"/>
          <cell r="AC2644"/>
          <cell r="AD2644">
            <v>4.3499999999999996</v>
          </cell>
          <cell r="AE2644"/>
          <cell r="AF2644"/>
          <cell r="AG2644"/>
          <cell r="AH2644"/>
          <cell r="AI2644"/>
          <cell r="AJ2644"/>
          <cell r="AK2644"/>
          <cell r="AL2644">
            <v>2.09</v>
          </cell>
        </row>
        <row r="2645">
          <cell r="E2645" t="str">
            <v>CP 15-19-500Kg</v>
          </cell>
          <cell r="F2645" t="str">
            <v>本</v>
          </cell>
          <cell r="G2645"/>
          <cell r="H2645">
            <v>79500</v>
          </cell>
          <cell r="I2645"/>
          <cell r="J2645">
            <v>79500</v>
          </cell>
          <cell r="K2645"/>
          <cell r="L2645">
            <v>79500</v>
          </cell>
          <cell r="M2645"/>
          <cell r="N2645">
            <v>80400</v>
          </cell>
          <cell r="O2645"/>
          <cell r="P2645">
            <v>77800</v>
          </cell>
          <cell r="Q2645"/>
          <cell r="R2645">
            <v>80400</v>
          </cell>
          <cell r="S2645"/>
          <cell r="T2645">
            <v>77800</v>
          </cell>
          <cell r="U2645"/>
          <cell r="V2645">
            <v>77800</v>
          </cell>
          <cell r="W2645"/>
          <cell r="X2645">
            <v>79500</v>
          </cell>
          <cell r="Y2645"/>
          <cell r="Z2645">
            <v>79500</v>
          </cell>
          <cell r="AA2645"/>
          <cell r="AB2645"/>
          <cell r="AC2645"/>
          <cell r="AD2645">
            <v>4.78</v>
          </cell>
          <cell r="AE2645"/>
          <cell r="AF2645"/>
          <cell r="AG2645"/>
          <cell r="AH2645"/>
          <cell r="AI2645"/>
          <cell r="AJ2645"/>
          <cell r="AK2645"/>
          <cell r="AL2645">
            <v>2.4300000000000002</v>
          </cell>
        </row>
        <row r="2646">
          <cell r="E2646" t="str">
            <v>CP 16-19-500Kg</v>
          </cell>
          <cell r="F2646" t="str">
            <v>本</v>
          </cell>
          <cell r="G2646"/>
          <cell r="H2646">
            <v>85900</v>
          </cell>
          <cell r="I2646"/>
          <cell r="J2646">
            <v>85900</v>
          </cell>
          <cell r="K2646"/>
          <cell r="L2646">
            <v>85900</v>
          </cell>
          <cell r="M2646"/>
          <cell r="N2646">
            <v>87000</v>
          </cell>
          <cell r="O2646"/>
          <cell r="P2646">
            <v>82500</v>
          </cell>
          <cell r="Q2646"/>
          <cell r="R2646">
            <v>87000</v>
          </cell>
          <cell r="S2646"/>
          <cell r="T2646">
            <v>82500</v>
          </cell>
          <cell r="U2646"/>
          <cell r="V2646">
            <v>82500</v>
          </cell>
          <cell r="W2646"/>
          <cell r="X2646">
            <v>85900</v>
          </cell>
          <cell r="Y2646"/>
          <cell r="Z2646">
            <v>85900</v>
          </cell>
          <cell r="AA2646"/>
          <cell r="AB2646"/>
          <cell r="AC2646"/>
          <cell r="AD2646">
            <v>5.23</v>
          </cell>
          <cell r="AE2646"/>
          <cell r="AF2646"/>
          <cell r="AG2646"/>
          <cell r="AH2646"/>
          <cell r="AI2646"/>
          <cell r="AJ2646"/>
          <cell r="AK2646"/>
          <cell r="AL2646">
            <v>2.78</v>
          </cell>
        </row>
        <row r="2647">
          <cell r="E2647" t="str">
            <v>CP 13-19-700Kg</v>
          </cell>
          <cell r="F2647" t="str">
            <v>本</v>
          </cell>
          <cell r="G2647"/>
          <cell r="H2647">
            <v>88100</v>
          </cell>
          <cell r="I2647"/>
          <cell r="J2647">
            <v>88100</v>
          </cell>
          <cell r="K2647"/>
          <cell r="L2647">
            <v>88100</v>
          </cell>
          <cell r="M2647"/>
          <cell r="N2647">
            <v>89000</v>
          </cell>
          <cell r="O2647"/>
          <cell r="P2647">
            <v>84600</v>
          </cell>
          <cell r="Q2647"/>
          <cell r="R2647">
            <v>89000</v>
          </cell>
          <cell r="S2647"/>
          <cell r="T2647">
            <v>84600</v>
          </cell>
          <cell r="U2647"/>
          <cell r="V2647">
            <v>84600</v>
          </cell>
          <cell r="W2647"/>
          <cell r="X2647">
            <v>88100</v>
          </cell>
          <cell r="Y2647"/>
          <cell r="Z2647">
            <v>88100</v>
          </cell>
          <cell r="AA2647"/>
          <cell r="AB2647"/>
          <cell r="AC2647"/>
          <cell r="AD2647">
            <v>3.91</v>
          </cell>
          <cell r="AE2647"/>
          <cell r="AF2647"/>
          <cell r="AG2647"/>
          <cell r="AH2647"/>
          <cell r="AI2647"/>
          <cell r="AJ2647"/>
          <cell r="AK2647"/>
          <cell r="AL2647">
            <v>1.19</v>
          </cell>
        </row>
        <row r="2648">
          <cell r="E2648" t="str">
            <v>CP 14-19-700Kg</v>
          </cell>
          <cell r="F2648" t="str">
            <v>本</v>
          </cell>
          <cell r="G2648"/>
          <cell r="H2648">
            <v>96700</v>
          </cell>
          <cell r="I2648"/>
          <cell r="J2648">
            <v>96700</v>
          </cell>
          <cell r="K2648"/>
          <cell r="L2648">
            <v>96700</v>
          </cell>
          <cell r="M2648"/>
          <cell r="N2648">
            <v>98000</v>
          </cell>
          <cell r="O2648"/>
          <cell r="P2648">
            <v>92800</v>
          </cell>
          <cell r="Q2648"/>
          <cell r="R2648">
            <v>98000</v>
          </cell>
          <cell r="S2648"/>
          <cell r="T2648">
            <v>92800</v>
          </cell>
          <cell r="U2648"/>
          <cell r="V2648">
            <v>92800</v>
          </cell>
          <cell r="W2648"/>
          <cell r="X2648">
            <v>96700</v>
          </cell>
          <cell r="Y2648"/>
          <cell r="Z2648">
            <v>96700</v>
          </cell>
          <cell r="AA2648"/>
          <cell r="AB2648"/>
          <cell r="AC2648"/>
          <cell r="AD2648">
            <v>4.3499999999999996</v>
          </cell>
          <cell r="AE2648"/>
          <cell r="AF2648"/>
          <cell r="AG2648"/>
          <cell r="AH2648"/>
          <cell r="AI2648"/>
          <cell r="AJ2648"/>
          <cell r="AK2648"/>
          <cell r="AL2648">
            <v>2.09</v>
          </cell>
        </row>
        <row r="2649">
          <cell r="E2649" t="str">
            <v>CP 15-19-700Kg</v>
          </cell>
          <cell r="F2649" t="str">
            <v>本</v>
          </cell>
          <cell r="G2649"/>
          <cell r="H2649">
            <v>106600</v>
          </cell>
          <cell r="I2649"/>
          <cell r="J2649">
            <v>106600</v>
          </cell>
          <cell r="K2649"/>
          <cell r="L2649">
            <v>106600</v>
          </cell>
          <cell r="M2649"/>
          <cell r="N2649">
            <v>107900</v>
          </cell>
          <cell r="O2649"/>
          <cell r="P2649">
            <v>102000</v>
          </cell>
          <cell r="Q2649"/>
          <cell r="R2649">
            <v>107900</v>
          </cell>
          <cell r="S2649"/>
          <cell r="T2649">
            <v>102000</v>
          </cell>
          <cell r="U2649"/>
          <cell r="V2649">
            <v>102000</v>
          </cell>
          <cell r="W2649"/>
          <cell r="X2649">
            <v>106600</v>
          </cell>
          <cell r="Y2649"/>
          <cell r="Z2649">
            <v>106600</v>
          </cell>
          <cell r="AA2649"/>
          <cell r="AB2649"/>
          <cell r="AC2649"/>
          <cell r="AD2649">
            <v>4.78</v>
          </cell>
          <cell r="AE2649"/>
          <cell r="AF2649"/>
          <cell r="AG2649"/>
          <cell r="AH2649"/>
          <cell r="AI2649"/>
          <cell r="AJ2649"/>
          <cell r="AK2649"/>
          <cell r="AL2649">
            <v>2.4300000000000002</v>
          </cell>
        </row>
        <row r="2650">
          <cell r="E2650" t="str">
            <v>CP 16-19-700Kg</v>
          </cell>
          <cell r="F2650" t="str">
            <v>本</v>
          </cell>
          <cell r="G2650"/>
          <cell r="H2650">
            <v>116500</v>
          </cell>
          <cell r="I2650"/>
          <cell r="J2650">
            <v>116500</v>
          </cell>
          <cell r="K2650"/>
          <cell r="L2650">
            <v>116500</v>
          </cell>
          <cell r="M2650"/>
          <cell r="N2650">
            <v>117900</v>
          </cell>
          <cell r="O2650"/>
          <cell r="P2650">
            <v>111000</v>
          </cell>
          <cell r="Q2650"/>
          <cell r="R2650">
            <v>117900</v>
          </cell>
          <cell r="S2650"/>
          <cell r="T2650">
            <v>111000</v>
          </cell>
          <cell r="U2650"/>
          <cell r="V2650">
            <v>111000</v>
          </cell>
          <cell r="W2650"/>
          <cell r="X2650">
            <v>116500</v>
          </cell>
          <cell r="Y2650"/>
          <cell r="Z2650">
            <v>116500</v>
          </cell>
          <cell r="AA2650"/>
          <cell r="AB2650"/>
          <cell r="AC2650"/>
          <cell r="AD2650">
            <v>5.23</v>
          </cell>
          <cell r="AE2650"/>
          <cell r="AF2650"/>
          <cell r="AG2650"/>
          <cell r="AH2650"/>
          <cell r="AI2650"/>
          <cell r="AJ2650"/>
          <cell r="AK2650"/>
          <cell r="AL2650">
            <v>2.78</v>
          </cell>
        </row>
        <row r="2651">
          <cell r="E2651" t="str">
            <v>CP 17-19-700Kg</v>
          </cell>
          <cell r="F2651" t="str">
            <v>本</v>
          </cell>
          <cell r="G2651"/>
          <cell r="H2651">
            <v>127800</v>
          </cell>
          <cell r="I2651"/>
          <cell r="J2651">
            <v>127800</v>
          </cell>
          <cell r="K2651"/>
          <cell r="L2651">
            <v>127800</v>
          </cell>
          <cell r="M2651"/>
          <cell r="N2651">
            <v>129800</v>
          </cell>
          <cell r="O2651"/>
          <cell r="P2651">
            <v>122000</v>
          </cell>
          <cell r="Q2651"/>
          <cell r="R2651">
            <v>129800</v>
          </cell>
          <cell r="S2651"/>
          <cell r="T2651">
            <v>122000</v>
          </cell>
          <cell r="U2651"/>
          <cell r="V2651">
            <v>122000</v>
          </cell>
          <cell r="W2651"/>
          <cell r="X2651">
            <v>127800</v>
          </cell>
          <cell r="Y2651"/>
          <cell r="Z2651">
            <v>127800</v>
          </cell>
          <cell r="AA2651"/>
          <cell r="AB2651"/>
          <cell r="AC2651"/>
          <cell r="AD2651">
            <v>5.68</v>
          </cell>
          <cell r="AE2651"/>
          <cell r="AF2651"/>
          <cell r="AG2651"/>
          <cell r="AH2651"/>
          <cell r="AI2651"/>
          <cell r="AJ2651"/>
          <cell r="AK2651"/>
          <cell r="AL2651">
            <v>3.13</v>
          </cell>
        </row>
        <row r="2652">
          <cell r="E2652" t="str">
            <v>CP 14-22-1000Kg</v>
          </cell>
          <cell r="F2652" t="str">
            <v>本</v>
          </cell>
          <cell r="G2652"/>
          <cell r="H2652">
            <v>129100</v>
          </cell>
          <cell r="I2652"/>
          <cell r="J2652">
            <v>129100</v>
          </cell>
          <cell r="K2652"/>
          <cell r="L2652">
            <v>129100</v>
          </cell>
          <cell r="M2652"/>
          <cell r="N2652">
            <v>131400</v>
          </cell>
          <cell r="O2652"/>
          <cell r="P2652">
            <v>123000</v>
          </cell>
          <cell r="Q2652"/>
          <cell r="R2652">
            <v>131400</v>
          </cell>
          <cell r="S2652"/>
          <cell r="T2652">
            <v>123000</v>
          </cell>
          <cell r="U2652"/>
          <cell r="V2652">
            <v>123000</v>
          </cell>
          <cell r="W2652"/>
          <cell r="X2652">
            <v>129100</v>
          </cell>
          <cell r="Y2652"/>
          <cell r="Z2652">
            <v>129100</v>
          </cell>
          <cell r="AA2652"/>
          <cell r="AB2652"/>
          <cell r="AC2652"/>
          <cell r="AD2652">
            <v>4.3499999999999996</v>
          </cell>
          <cell r="AE2652"/>
          <cell r="AF2652"/>
          <cell r="AG2652"/>
          <cell r="AH2652"/>
          <cell r="AI2652"/>
          <cell r="AJ2652"/>
          <cell r="AK2652"/>
          <cell r="AL2652">
            <v>2.09</v>
          </cell>
        </row>
        <row r="2653">
          <cell r="E2653" t="str">
            <v>CP 15-22-1000Kg</v>
          </cell>
          <cell r="F2653" t="str">
            <v>本</v>
          </cell>
          <cell r="G2653"/>
          <cell r="H2653">
            <v>143200</v>
          </cell>
          <cell r="I2653"/>
          <cell r="J2653">
            <v>143200</v>
          </cell>
          <cell r="K2653"/>
          <cell r="L2653">
            <v>143200</v>
          </cell>
          <cell r="M2653"/>
          <cell r="N2653">
            <v>145600</v>
          </cell>
          <cell r="O2653"/>
          <cell r="P2653">
            <v>137000</v>
          </cell>
          <cell r="Q2653"/>
          <cell r="R2653">
            <v>145600</v>
          </cell>
          <cell r="S2653"/>
          <cell r="T2653">
            <v>137000</v>
          </cell>
          <cell r="U2653"/>
          <cell r="V2653">
            <v>137000</v>
          </cell>
          <cell r="W2653"/>
          <cell r="X2653">
            <v>143200</v>
          </cell>
          <cell r="Y2653"/>
          <cell r="Z2653">
            <v>143200</v>
          </cell>
          <cell r="AA2653"/>
          <cell r="AB2653"/>
          <cell r="AC2653"/>
          <cell r="AD2653">
            <v>4.78</v>
          </cell>
          <cell r="AE2653"/>
          <cell r="AF2653"/>
          <cell r="AG2653"/>
          <cell r="AH2653"/>
          <cell r="AI2653"/>
          <cell r="AJ2653"/>
          <cell r="AK2653"/>
          <cell r="AL2653">
            <v>2.4300000000000002</v>
          </cell>
        </row>
        <row r="2654">
          <cell r="E2654" t="str">
            <v>CP 16-22-1000Kg</v>
          </cell>
          <cell r="F2654" t="str">
            <v>本</v>
          </cell>
          <cell r="G2654"/>
          <cell r="H2654">
            <v>158600</v>
          </cell>
          <cell r="I2654"/>
          <cell r="J2654">
            <v>158600</v>
          </cell>
          <cell r="K2654"/>
          <cell r="L2654">
            <v>158600</v>
          </cell>
          <cell r="M2654"/>
          <cell r="N2654">
            <v>161300</v>
          </cell>
          <cell r="O2654"/>
          <cell r="P2654">
            <v>152000</v>
          </cell>
          <cell r="Q2654"/>
          <cell r="R2654">
            <v>161300</v>
          </cell>
          <cell r="S2654"/>
          <cell r="T2654">
            <v>152000</v>
          </cell>
          <cell r="U2654"/>
          <cell r="V2654">
            <v>152000</v>
          </cell>
          <cell r="W2654"/>
          <cell r="X2654">
            <v>158600</v>
          </cell>
          <cell r="Y2654"/>
          <cell r="Z2654">
            <v>158600</v>
          </cell>
          <cell r="AA2654"/>
          <cell r="AB2654"/>
          <cell r="AC2654"/>
          <cell r="AD2654">
            <v>5.23</v>
          </cell>
          <cell r="AE2654"/>
          <cell r="AF2654"/>
          <cell r="AG2654"/>
          <cell r="AH2654"/>
          <cell r="AI2654"/>
          <cell r="AJ2654"/>
          <cell r="AK2654"/>
          <cell r="AL2654">
            <v>2.78</v>
          </cell>
        </row>
        <row r="2655">
          <cell r="E2655" t="str">
            <v>CP 17-22-1000Kg</v>
          </cell>
          <cell r="F2655" t="str">
            <v>本</v>
          </cell>
          <cell r="G2655"/>
          <cell r="H2655">
            <v>168000</v>
          </cell>
          <cell r="I2655"/>
          <cell r="J2655">
            <v>168000</v>
          </cell>
          <cell r="K2655"/>
          <cell r="L2655">
            <v>168000</v>
          </cell>
          <cell r="M2655"/>
          <cell r="N2655">
            <v>171400</v>
          </cell>
          <cell r="O2655"/>
          <cell r="P2655">
            <v>162000</v>
          </cell>
          <cell r="Q2655"/>
          <cell r="R2655">
            <v>171400</v>
          </cell>
          <cell r="S2655"/>
          <cell r="T2655">
            <v>162000</v>
          </cell>
          <cell r="U2655"/>
          <cell r="V2655">
            <v>162000</v>
          </cell>
          <cell r="W2655"/>
          <cell r="X2655">
            <v>168000</v>
          </cell>
          <cell r="Y2655"/>
          <cell r="Z2655">
            <v>168000</v>
          </cell>
          <cell r="AA2655"/>
          <cell r="AB2655"/>
          <cell r="AC2655"/>
          <cell r="AD2655">
            <v>5.68</v>
          </cell>
          <cell r="AE2655"/>
          <cell r="AF2655"/>
          <cell r="AG2655"/>
          <cell r="AH2655"/>
          <cell r="AI2655"/>
          <cell r="AJ2655"/>
          <cell r="AK2655"/>
          <cell r="AL2655">
            <v>3.13</v>
          </cell>
        </row>
        <row r="2656">
          <cell r="E2656" t="str">
            <v>CP 14-22-1500Kg</v>
          </cell>
          <cell r="F2656" t="str">
            <v>本</v>
          </cell>
          <cell r="G2656"/>
          <cell r="H2656">
            <v>206000</v>
          </cell>
          <cell r="I2656"/>
          <cell r="J2656">
            <v>206000</v>
          </cell>
          <cell r="K2656"/>
          <cell r="L2656">
            <v>206000</v>
          </cell>
          <cell r="M2656"/>
          <cell r="N2656">
            <v>209400</v>
          </cell>
          <cell r="O2656"/>
          <cell r="P2656">
            <v>197000</v>
          </cell>
          <cell r="Q2656"/>
          <cell r="R2656">
            <v>209400</v>
          </cell>
          <cell r="S2656"/>
          <cell r="T2656">
            <v>197000</v>
          </cell>
          <cell r="U2656"/>
          <cell r="V2656">
            <v>197000</v>
          </cell>
          <cell r="W2656"/>
          <cell r="X2656">
            <v>206000</v>
          </cell>
          <cell r="Y2656"/>
          <cell r="Z2656">
            <v>206000</v>
          </cell>
          <cell r="AA2656"/>
          <cell r="AB2656"/>
          <cell r="AC2656"/>
          <cell r="AD2656">
            <v>4.3499999999999996</v>
          </cell>
          <cell r="AE2656"/>
          <cell r="AF2656"/>
          <cell r="AG2656"/>
          <cell r="AH2656"/>
          <cell r="AI2656"/>
          <cell r="AJ2656"/>
          <cell r="AK2656"/>
          <cell r="AL2656">
            <v>2.09</v>
          </cell>
        </row>
        <row r="2657">
          <cell r="E2657" t="str">
            <v>CP 15-22-1500Kg</v>
          </cell>
          <cell r="F2657" t="str">
            <v>本</v>
          </cell>
          <cell r="G2657"/>
          <cell r="H2657">
            <v>229800</v>
          </cell>
          <cell r="I2657"/>
          <cell r="J2657">
            <v>229800</v>
          </cell>
          <cell r="K2657"/>
          <cell r="L2657">
            <v>229800</v>
          </cell>
          <cell r="M2657"/>
          <cell r="N2657">
            <v>233600</v>
          </cell>
          <cell r="O2657"/>
          <cell r="P2657">
            <v>220000</v>
          </cell>
          <cell r="Q2657"/>
          <cell r="R2657">
            <v>233600</v>
          </cell>
          <cell r="S2657"/>
          <cell r="T2657">
            <v>220000</v>
          </cell>
          <cell r="U2657"/>
          <cell r="V2657">
            <v>220000</v>
          </cell>
          <cell r="W2657"/>
          <cell r="X2657">
            <v>229800</v>
          </cell>
          <cell r="Y2657"/>
          <cell r="Z2657">
            <v>229800</v>
          </cell>
          <cell r="AA2657"/>
          <cell r="AB2657"/>
          <cell r="AC2657"/>
          <cell r="AD2657">
            <v>4.78</v>
          </cell>
          <cell r="AE2657"/>
          <cell r="AF2657"/>
          <cell r="AG2657"/>
          <cell r="AH2657"/>
          <cell r="AI2657"/>
          <cell r="AJ2657"/>
          <cell r="AK2657"/>
          <cell r="AL2657">
            <v>2.4300000000000002</v>
          </cell>
        </row>
        <row r="2658">
          <cell r="E2658" t="str">
            <v>CP 16-22-1500Kg</v>
          </cell>
          <cell r="F2658" t="str">
            <v>本</v>
          </cell>
          <cell r="G2658"/>
          <cell r="H2658">
            <v>248600</v>
          </cell>
          <cell r="I2658"/>
          <cell r="J2658">
            <v>248600</v>
          </cell>
          <cell r="K2658"/>
          <cell r="L2658">
            <v>248600</v>
          </cell>
          <cell r="M2658"/>
          <cell r="N2658">
            <v>252600</v>
          </cell>
          <cell r="O2658"/>
          <cell r="P2658">
            <v>238000</v>
          </cell>
          <cell r="Q2658"/>
          <cell r="R2658">
            <v>252600</v>
          </cell>
          <cell r="S2658"/>
          <cell r="T2658">
            <v>238000</v>
          </cell>
          <cell r="U2658"/>
          <cell r="V2658">
            <v>238000</v>
          </cell>
          <cell r="W2658"/>
          <cell r="X2658">
            <v>248600</v>
          </cell>
          <cell r="Y2658"/>
          <cell r="Z2658">
            <v>248600</v>
          </cell>
          <cell r="AA2658"/>
          <cell r="AB2658"/>
          <cell r="AC2658"/>
          <cell r="AD2658">
            <v>5.23</v>
          </cell>
          <cell r="AE2658"/>
          <cell r="AF2658"/>
          <cell r="AG2658"/>
          <cell r="AH2658"/>
          <cell r="AI2658"/>
          <cell r="AJ2658"/>
          <cell r="AK2658"/>
          <cell r="AL2658">
            <v>2.78</v>
          </cell>
        </row>
        <row r="2659">
          <cell r="E2659" t="str">
            <v>CP 17-22-1500Kg</v>
          </cell>
          <cell r="F2659" t="str">
            <v>本</v>
          </cell>
          <cell r="G2659"/>
          <cell r="H2659">
            <v>275100</v>
          </cell>
          <cell r="I2659"/>
          <cell r="J2659">
            <v>275100</v>
          </cell>
          <cell r="K2659"/>
          <cell r="L2659">
            <v>275100</v>
          </cell>
          <cell r="M2659"/>
          <cell r="N2659">
            <v>279500</v>
          </cell>
          <cell r="O2659"/>
          <cell r="P2659">
            <v>264000</v>
          </cell>
          <cell r="Q2659"/>
          <cell r="R2659">
            <v>279500</v>
          </cell>
          <cell r="S2659"/>
          <cell r="T2659">
            <v>264000</v>
          </cell>
          <cell r="U2659"/>
          <cell r="V2659">
            <v>264000</v>
          </cell>
          <cell r="W2659"/>
          <cell r="X2659">
            <v>275100</v>
          </cell>
          <cell r="Y2659"/>
          <cell r="Z2659">
            <v>275100</v>
          </cell>
          <cell r="AA2659"/>
          <cell r="AB2659"/>
          <cell r="AC2659"/>
          <cell r="AD2659">
            <v>5.68</v>
          </cell>
          <cell r="AE2659"/>
          <cell r="AF2659"/>
          <cell r="AG2659"/>
          <cell r="AH2659"/>
          <cell r="AI2659"/>
          <cell r="AJ2659"/>
          <cell r="AK2659"/>
          <cell r="AL2659" t="str">
            <v>3.13 [Kg/Km]</v>
          </cell>
        </row>
        <row r="2660">
          <cell r="E2660" t="str">
            <v>支線14sq-7/1.6</v>
          </cell>
          <cell r="F2660" t="str">
            <v>ｍ</v>
          </cell>
          <cell r="G2660">
            <v>401</v>
          </cell>
          <cell r="H2660">
            <v>44</v>
          </cell>
          <cell r="I2660">
            <v>401</v>
          </cell>
          <cell r="J2660">
            <v>44</v>
          </cell>
          <cell r="K2660">
            <v>393</v>
          </cell>
          <cell r="L2660">
            <v>43</v>
          </cell>
          <cell r="M2660">
            <v>393</v>
          </cell>
          <cell r="N2660">
            <v>43</v>
          </cell>
          <cell r="O2660">
            <v>393</v>
          </cell>
          <cell r="P2660">
            <v>43</v>
          </cell>
          <cell r="Q2660">
            <v>393</v>
          </cell>
          <cell r="R2660">
            <v>43</v>
          </cell>
          <cell r="S2660">
            <v>393</v>
          </cell>
          <cell r="T2660">
            <v>43</v>
          </cell>
          <cell r="U2660">
            <v>393</v>
          </cell>
          <cell r="V2660">
            <v>43</v>
          </cell>
          <cell r="W2660">
            <v>393</v>
          </cell>
          <cell r="X2660">
            <v>43</v>
          </cell>
          <cell r="Y2660">
            <v>393</v>
          </cell>
          <cell r="Z2660">
            <v>43</v>
          </cell>
          <cell r="AA2660"/>
          <cell r="AB2660"/>
          <cell r="AC2660"/>
          <cell r="AD2660">
            <v>5.5E-2</v>
          </cell>
          <cell r="AE2660"/>
          <cell r="AF2660"/>
          <cell r="AG2660"/>
          <cell r="AH2660"/>
          <cell r="AI2660"/>
          <cell r="AJ2660"/>
          <cell r="AK2660"/>
          <cell r="AL2660">
            <v>111</v>
          </cell>
        </row>
        <row r="2661">
          <cell r="E2661" t="str">
            <v>支線18sq-7/1.8</v>
          </cell>
          <cell r="F2661" t="str">
            <v>ｍ</v>
          </cell>
          <cell r="G2661">
            <v>376</v>
          </cell>
          <cell r="H2661">
            <v>53</v>
          </cell>
          <cell r="I2661">
            <v>376</v>
          </cell>
          <cell r="J2661">
            <v>53</v>
          </cell>
          <cell r="K2661">
            <v>368</v>
          </cell>
          <cell r="L2661">
            <v>51</v>
          </cell>
          <cell r="M2661">
            <v>368</v>
          </cell>
          <cell r="N2661">
            <v>51</v>
          </cell>
          <cell r="O2661">
            <v>368</v>
          </cell>
          <cell r="P2661">
            <v>51</v>
          </cell>
          <cell r="Q2661">
            <v>368</v>
          </cell>
          <cell r="R2661">
            <v>51</v>
          </cell>
          <cell r="S2661">
            <v>368</v>
          </cell>
          <cell r="T2661">
            <v>51</v>
          </cell>
          <cell r="U2661">
            <v>368</v>
          </cell>
          <cell r="V2661">
            <v>51</v>
          </cell>
          <cell r="W2661">
            <v>368</v>
          </cell>
          <cell r="X2661">
            <v>51</v>
          </cell>
          <cell r="Y2661">
            <v>368</v>
          </cell>
          <cell r="Z2661">
            <v>51</v>
          </cell>
          <cell r="AA2661"/>
          <cell r="AB2661"/>
          <cell r="AC2661"/>
          <cell r="AD2661">
            <v>5.5E-2</v>
          </cell>
          <cell r="AE2661"/>
          <cell r="AF2661"/>
          <cell r="AG2661"/>
          <cell r="AH2661"/>
          <cell r="AI2661"/>
          <cell r="AJ2661"/>
          <cell r="AK2661"/>
          <cell r="AL2661">
            <v>141</v>
          </cell>
        </row>
        <row r="2662">
          <cell r="E2662" t="str">
            <v>支線22sq-7/2.0</v>
          </cell>
          <cell r="F2662" t="str">
            <v>ｍ</v>
          </cell>
          <cell r="G2662">
            <v>372</v>
          </cell>
          <cell r="H2662">
            <v>64</v>
          </cell>
          <cell r="I2662">
            <v>372</v>
          </cell>
          <cell r="J2662">
            <v>64</v>
          </cell>
          <cell r="K2662">
            <v>364</v>
          </cell>
          <cell r="L2662">
            <v>63</v>
          </cell>
          <cell r="M2662">
            <v>364</v>
          </cell>
          <cell r="N2662">
            <v>63</v>
          </cell>
          <cell r="O2662">
            <v>364</v>
          </cell>
          <cell r="P2662">
            <v>63</v>
          </cell>
          <cell r="Q2662">
            <v>364</v>
          </cell>
          <cell r="R2662">
            <v>63</v>
          </cell>
          <cell r="S2662">
            <v>364</v>
          </cell>
          <cell r="T2662">
            <v>63</v>
          </cell>
          <cell r="U2662">
            <v>364</v>
          </cell>
          <cell r="V2662">
            <v>63</v>
          </cell>
          <cell r="W2662">
            <v>364</v>
          </cell>
          <cell r="X2662">
            <v>63</v>
          </cell>
          <cell r="Y2662">
            <v>364</v>
          </cell>
          <cell r="Z2662">
            <v>63</v>
          </cell>
          <cell r="AA2662"/>
          <cell r="AB2662"/>
          <cell r="AC2662"/>
          <cell r="AD2662">
            <v>5.5E-2</v>
          </cell>
          <cell r="AE2662"/>
          <cell r="AF2662"/>
          <cell r="AG2662"/>
          <cell r="AH2662"/>
          <cell r="AI2662"/>
          <cell r="AJ2662"/>
          <cell r="AK2662"/>
          <cell r="AL2662">
            <v>174</v>
          </cell>
        </row>
        <row r="2663">
          <cell r="E2663" t="str">
            <v>支線30sq-7/2.3</v>
          </cell>
          <cell r="F2663" t="str">
            <v>ｍ</v>
          </cell>
          <cell r="G2663">
            <v>365</v>
          </cell>
          <cell r="H2663">
            <v>83</v>
          </cell>
          <cell r="I2663">
            <v>365</v>
          </cell>
          <cell r="J2663">
            <v>83</v>
          </cell>
          <cell r="K2663">
            <v>357</v>
          </cell>
          <cell r="L2663">
            <v>82</v>
          </cell>
          <cell r="M2663">
            <v>357</v>
          </cell>
          <cell r="N2663">
            <v>82</v>
          </cell>
          <cell r="O2663">
            <v>357</v>
          </cell>
          <cell r="P2663">
            <v>82</v>
          </cell>
          <cell r="Q2663">
            <v>357</v>
          </cell>
          <cell r="R2663">
            <v>82</v>
          </cell>
          <cell r="S2663">
            <v>357</v>
          </cell>
          <cell r="T2663">
            <v>82</v>
          </cell>
          <cell r="U2663">
            <v>357</v>
          </cell>
          <cell r="V2663">
            <v>82</v>
          </cell>
          <cell r="W2663">
            <v>357</v>
          </cell>
          <cell r="X2663">
            <v>82</v>
          </cell>
          <cell r="Y2663">
            <v>357</v>
          </cell>
          <cell r="Z2663">
            <v>82</v>
          </cell>
          <cell r="AA2663"/>
          <cell r="AB2663"/>
          <cell r="AC2663"/>
          <cell r="AD2663">
            <v>5.5E-2</v>
          </cell>
          <cell r="AE2663"/>
          <cell r="AF2663"/>
          <cell r="AG2663"/>
          <cell r="AH2663"/>
          <cell r="AI2663"/>
          <cell r="AJ2663"/>
          <cell r="AK2663"/>
          <cell r="AL2663">
            <v>230</v>
          </cell>
        </row>
        <row r="2664">
          <cell r="E2664" t="str">
            <v>支線38sq-7/2.6</v>
          </cell>
          <cell r="F2664" t="str">
            <v>ｍ</v>
          </cell>
          <cell r="G2664">
            <v>361</v>
          </cell>
          <cell r="H2664">
            <v>106</v>
          </cell>
          <cell r="I2664">
            <v>361</v>
          </cell>
          <cell r="J2664">
            <v>106</v>
          </cell>
          <cell r="K2664">
            <v>353</v>
          </cell>
          <cell r="L2664">
            <v>103</v>
          </cell>
          <cell r="M2664">
            <v>353</v>
          </cell>
          <cell r="N2664">
            <v>103</v>
          </cell>
          <cell r="O2664">
            <v>353</v>
          </cell>
          <cell r="P2664">
            <v>103</v>
          </cell>
          <cell r="Q2664">
            <v>353</v>
          </cell>
          <cell r="R2664">
            <v>103</v>
          </cell>
          <cell r="S2664">
            <v>353</v>
          </cell>
          <cell r="T2664">
            <v>103</v>
          </cell>
          <cell r="U2664">
            <v>353</v>
          </cell>
          <cell r="V2664">
            <v>103</v>
          </cell>
          <cell r="W2664">
            <v>353</v>
          </cell>
          <cell r="X2664">
            <v>103</v>
          </cell>
          <cell r="Y2664">
            <v>353</v>
          </cell>
          <cell r="Z2664">
            <v>103</v>
          </cell>
          <cell r="AA2664"/>
          <cell r="AB2664"/>
          <cell r="AC2664"/>
          <cell r="AD2664">
            <v>5.5E-2</v>
          </cell>
          <cell r="AE2664"/>
          <cell r="AF2664"/>
          <cell r="AG2664"/>
          <cell r="AH2664"/>
          <cell r="AI2664"/>
          <cell r="AJ2664"/>
          <cell r="AK2664"/>
          <cell r="AL2664">
            <v>294</v>
          </cell>
        </row>
        <row r="2665">
          <cell r="E2665" t="str">
            <v>支線45sq-7/2.9</v>
          </cell>
          <cell r="F2665" t="str">
            <v>ｍ</v>
          </cell>
          <cell r="G2665">
            <v>359</v>
          </cell>
          <cell r="H2665">
            <v>131</v>
          </cell>
          <cell r="I2665">
            <v>359</v>
          </cell>
          <cell r="J2665">
            <v>131</v>
          </cell>
          <cell r="K2665">
            <v>351</v>
          </cell>
          <cell r="L2665">
            <v>128</v>
          </cell>
          <cell r="M2665">
            <v>351</v>
          </cell>
          <cell r="N2665">
            <v>128</v>
          </cell>
          <cell r="O2665">
            <v>351</v>
          </cell>
          <cell r="P2665">
            <v>128</v>
          </cell>
          <cell r="Q2665">
            <v>351</v>
          </cell>
          <cell r="R2665">
            <v>128</v>
          </cell>
          <cell r="S2665">
            <v>351</v>
          </cell>
          <cell r="T2665">
            <v>128</v>
          </cell>
          <cell r="U2665">
            <v>351</v>
          </cell>
          <cell r="V2665">
            <v>128</v>
          </cell>
          <cell r="W2665">
            <v>351</v>
          </cell>
          <cell r="X2665">
            <v>128</v>
          </cell>
          <cell r="Y2665">
            <v>351</v>
          </cell>
          <cell r="Z2665">
            <v>128</v>
          </cell>
          <cell r="AA2665"/>
          <cell r="AB2665"/>
          <cell r="AC2665"/>
          <cell r="AD2665">
            <v>6.5000000000000002E-2</v>
          </cell>
          <cell r="AE2665"/>
          <cell r="AF2665"/>
          <cell r="AG2665"/>
          <cell r="AH2665"/>
          <cell r="AI2665"/>
          <cell r="AJ2665"/>
          <cell r="AK2665"/>
          <cell r="AL2665">
            <v>366</v>
          </cell>
        </row>
        <row r="2666">
          <cell r="E2666" t="str">
            <v>支線55sq-7/3.2</v>
          </cell>
          <cell r="F2666" t="str">
            <v>ｍ</v>
          </cell>
          <cell r="G2666">
            <v>356</v>
          </cell>
          <cell r="H2666">
            <v>158</v>
          </cell>
          <cell r="I2666">
            <v>356</v>
          </cell>
          <cell r="J2666">
            <v>158</v>
          </cell>
          <cell r="K2666">
            <v>348</v>
          </cell>
          <cell r="L2666">
            <v>155</v>
          </cell>
          <cell r="M2666">
            <v>348</v>
          </cell>
          <cell r="N2666">
            <v>155</v>
          </cell>
          <cell r="O2666">
            <v>348</v>
          </cell>
          <cell r="P2666">
            <v>155</v>
          </cell>
          <cell r="Q2666">
            <v>348</v>
          </cell>
          <cell r="R2666">
            <v>155</v>
          </cell>
          <cell r="S2666">
            <v>348</v>
          </cell>
          <cell r="T2666">
            <v>155</v>
          </cell>
          <cell r="U2666">
            <v>348</v>
          </cell>
          <cell r="V2666">
            <v>155</v>
          </cell>
          <cell r="W2666">
            <v>348</v>
          </cell>
          <cell r="X2666">
            <v>155</v>
          </cell>
          <cell r="Y2666">
            <v>348</v>
          </cell>
          <cell r="Z2666">
            <v>155</v>
          </cell>
          <cell r="AA2666"/>
          <cell r="AB2666"/>
          <cell r="AC2666"/>
          <cell r="AD2666">
            <v>6.5000000000000002E-2</v>
          </cell>
          <cell r="AE2666"/>
          <cell r="AF2666"/>
          <cell r="AG2666"/>
          <cell r="AH2666"/>
          <cell r="AI2666"/>
          <cell r="AJ2666"/>
          <cell r="AK2666"/>
          <cell r="AL2666">
            <v>446</v>
          </cell>
        </row>
        <row r="2667">
          <cell r="E2667" t="str">
            <v>支線70sq-7/3.5</v>
          </cell>
          <cell r="F2667" t="str">
            <v>ｍ</v>
          </cell>
          <cell r="G2667">
            <v>352</v>
          </cell>
          <cell r="H2667">
            <v>187</v>
          </cell>
          <cell r="I2667">
            <v>352</v>
          </cell>
          <cell r="J2667">
            <v>187</v>
          </cell>
          <cell r="K2667">
            <v>344</v>
          </cell>
          <cell r="L2667">
            <v>183</v>
          </cell>
          <cell r="M2667">
            <v>344</v>
          </cell>
          <cell r="N2667">
            <v>183</v>
          </cell>
          <cell r="O2667">
            <v>344</v>
          </cell>
          <cell r="P2667">
            <v>183</v>
          </cell>
          <cell r="Q2667">
            <v>344</v>
          </cell>
          <cell r="R2667">
            <v>183</v>
          </cell>
          <cell r="S2667">
            <v>344</v>
          </cell>
          <cell r="T2667">
            <v>183</v>
          </cell>
          <cell r="U2667">
            <v>344</v>
          </cell>
          <cell r="V2667">
            <v>183</v>
          </cell>
          <cell r="W2667">
            <v>344</v>
          </cell>
          <cell r="X2667">
            <v>183</v>
          </cell>
          <cell r="Y2667">
            <v>344</v>
          </cell>
          <cell r="Z2667">
            <v>183</v>
          </cell>
          <cell r="AA2667"/>
          <cell r="AB2667"/>
          <cell r="AC2667"/>
          <cell r="AD2667">
            <v>6.5000000000000002E-2</v>
          </cell>
          <cell r="AE2667"/>
          <cell r="AF2667"/>
          <cell r="AG2667"/>
          <cell r="AH2667"/>
          <cell r="AI2667"/>
          <cell r="AJ2667"/>
          <cell r="AK2667"/>
          <cell r="AL2667">
            <v>533</v>
          </cell>
        </row>
        <row r="2668">
          <cell r="E2668" t="str">
            <v>支線90sq-7/4.0</v>
          </cell>
          <cell r="F2668" t="str">
            <v>ｍ</v>
          </cell>
          <cell r="G2668">
            <v>354</v>
          </cell>
          <cell r="H2668">
            <v>246</v>
          </cell>
          <cell r="I2668">
            <v>354</v>
          </cell>
          <cell r="J2668">
            <v>246</v>
          </cell>
          <cell r="K2668">
            <v>346</v>
          </cell>
          <cell r="L2668">
            <v>241</v>
          </cell>
          <cell r="M2668">
            <v>346</v>
          </cell>
          <cell r="N2668">
            <v>241</v>
          </cell>
          <cell r="O2668">
            <v>346</v>
          </cell>
          <cell r="P2668">
            <v>241</v>
          </cell>
          <cell r="Q2668">
            <v>346</v>
          </cell>
          <cell r="R2668">
            <v>241</v>
          </cell>
          <cell r="S2668">
            <v>346</v>
          </cell>
          <cell r="T2668">
            <v>241</v>
          </cell>
          <cell r="U2668">
            <v>346</v>
          </cell>
          <cell r="V2668">
            <v>241</v>
          </cell>
          <cell r="W2668">
            <v>346</v>
          </cell>
          <cell r="X2668">
            <v>241</v>
          </cell>
          <cell r="Y2668">
            <v>346</v>
          </cell>
          <cell r="Z2668">
            <v>241</v>
          </cell>
          <cell r="AA2668"/>
          <cell r="AB2668"/>
          <cell r="AC2668"/>
          <cell r="AD2668">
            <v>6.5000000000000002E-2</v>
          </cell>
          <cell r="AE2668"/>
          <cell r="AF2668"/>
          <cell r="AG2668"/>
          <cell r="AH2668"/>
          <cell r="AI2668"/>
          <cell r="AJ2668"/>
          <cell r="AK2668"/>
          <cell r="AL2668">
            <v>697</v>
          </cell>
        </row>
        <row r="2669">
          <cell r="E2669" t="str">
            <v>支線110sq-7/4.5</v>
          </cell>
          <cell r="F2669" t="str">
            <v>ｍ</v>
          </cell>
          <cell r="G2669">
            <v>354</v>
          </cell>
          <cell r="H2669">
            <v>312</v>
          </cell>
          <cell r="I2669">
            <v>354</v>
          </cell>
          <cell r="J2669">
            <v>312</v>
          </cell>
          <cell r="K2669">
            <v>346</v>
          </cell>
          <cell r="L2669">
            <v>305</v>
          </cell>
          <cell r="M2669">
            <v>346</v>
          </cell>
          <cell r="N2669">
            <v>305</v>
          </cell>
          <cell r="O2669">
            <v>346</v>
          </cell>
          <cell r="P2669">
            <v>305</v>
          </cell>
          <cell r="Q2669">
            <v>346</v>
          </cell>
          <cell r="R2669">
            <v>305</v>
          </cell>
          <cell r="S2669">
            <v>346</v>
          </cell>
          <cell r="T2669">
            <v>305</v>
          </cell>
          <cell r="U2669">
            <v>346</v>
          </cell>
          <cell r="V2669">
            <v>305</v>
          </cell>
          <cell r="W2669">
            <v>346</v>
          </cell>
          <cell r="X2669">
            <v>305</v>
          </cell>
          <cell r="Y2669">
            <v>346</v>
          </cell>
          <cell r="Z2669">
            <v>305</v>
          </cell>
          <cell r="AA2669"/>
          <cell r="AB2669"/>
          <cell r="AC2669"/>
          <cell r="AD2669">
            <v>6.5000000000000002E-2</v>
          </cell>
          <cell r="AE2669"/>
          <cell r="AF2669"/>
          <cell r="AG2669"/>
          <cell r="AH2669"/>
          <cell r="AI2669"/>
          <cell r="AJ2669"/>
          <cell r="AK2669"/>
          <cell r="AL2669">
            <v>882</v>
          </cell>
        </row>
        <row r="2670">
          <cell r="E2670" t="str">
            <v>支線135sq-7/5.0</v>
          </cell>
          <cell r="F2670" t="str">
            <v>ｍ</v>
          </cell>
          <cell r="G2670">
            <v>362</v>
          </cell>
          <cell r="H2670">
            <v>394</v>
          </cell>
          <cell r="I2670">
            <v>362</v>
          </cell>
          <cell r="J2670">
            <v>394</v>
          </cell>
          <cell r="K2670">
            <v>354</v>
          </cell>
          <cell r="L2670">
            <v>385</v>
          </cell>
          <cell r="M2670">
            <v>354</v>
          </cell>
          <cell r="N2670">
            <v>385</v>
          </cell>
          <cell r="O2670">
            <v>354</v>
          </cell>
          <cell r="P2670">
            <v>385</v>
          </cell>
          <cell r="Q2670">
            <v>354</v>
          </cell>
          <cell r="R2670">
            <v>385</v>
          </cell>
          <cell r="S2670">
            <v>354</v>
          </cell>
          <cell r="T2670">
            <v>385</v>
          </cell>
          <cell r="U2670">
            <v>354</v>
          </cell>
          <cell r="V2670">
            <v>385</v>
          </cell>
          <cell r="W2670">
            <v>354</v>
          </cell>
          <cell r="X2670">
            <v>385</v>
          </cell>
          <cell r="Y2670">
            <v>354</v>
          </cell>
          <cell r="Z2670">
            <v>385</v>
          </cell>
          <cell r="AA2670"/>
          <cell r="AB2670"/>
          <cell r="AC2670"/>
          <cell r="AD2670">
            <v>6.5000000000000002E-2</v>
          </cell>
          <cell r="AE2670"/>
          <cell r="AF2670"/>
          <cell r="AG2670"/>
          <cell r="AH2670"/>
          <cell r="AI2670"/>
          <cell r="AJ2670"/>
          <cell r="AK2670"/>
          <cell r="AL2670">
            <v>1090</v>
          </cell>
        </row>
        <row r="2671">
          <cell r="E2671" t="str">
            <v>ステンレス・ハンガー 3号</v>
          </cell>
          <cell r="F2671" t="str">
            <v>個</v>
          </cell>
          <cell r="G2671"/>
          <cell r="H2671">
            <v>223</v>
          </cell>
          <cell r="I2671"/>
          <cell r="J2671">
            <v>223</v>
          </cell>
          <cell r="K2671"/>
          <cell r="L2671">
            <v>223</v>
          </cell>
          <cell r="M2671"/>
          <cell r="N2671">
            <v>223</v>
          </cell>
          <cell r="O2671"/>
          <cell r="P2671">
            <v>223</v>
          </cell>
          <cell r="Q2671"/>
          <cell r="R2671">
            <v>223</v>
          </cell>
          <cell r="S2671"/>
          <cell r="T2671">
            <v>223</v>
          </cell>
          <cell r="U2671"/>
          <cell r="V2671">
            <v>223</v>
          </cell>
          <cell r="W2671"/>
          <cell r="X2671">
            <v>223</v>
          </cell>
          <cell r="Y2671"/>
          <cell r="Z2671">
            <v>223</v>
          </cell>
          <cell r="AA2671"/>
          <cell r="AB2671"/>
          <cell r="AC2671"/>
          <cell r="AD2671"/>
          <cell r="AE2671"/>
          <cell r="AF2671"/>
          <cell r="AG2671"/>
          <cell r="AH2671"/>
          <cell r="AI2671"/>
          <cell r="AJ2671"/>
          <cell r="AK2671"/>
          <cell r="AL2671"/>
        </row>
        <row r="2672">
          <cell r="E2672" t="str">
            <v>装柱材料</v>
          </cell>
          <cell r="F2672" t="str">
            <v>箇所</v>
          </cell>
          <cell r="G2672"/>
          <cell r="H2672">
            <v>25000</v>
          </cell>
          <cell r="I2672"/>
          <cell r="J2672">
            <v>25000</v>
          </cell>
          <cell r="K2672"/>
          <cell r="L2672">
            <v>25000</v>
          </cell>
          <cell r="M2672"/>
          <cell r="N2672">
            <v>25000</v>
          </cell>
          <cell r="O2672"/>
          <cell r="P2672">
            <v>25000</v>
          </cell>
          <cell r="Q2672"/>
          <cell r="R2672">
            <v>25000</v>
          </cell>
          <cell r="S2672"/>
          <cell r="T2672">
            <v>25000</v>
          </cell>
          <cell r="U2672"/>
          <cell r="V2672">
            <v>25000</v>
          </cell>
          <cell r="W2672"/>
          <cell r="X2672">
            <v>25000</v>
          </cell>
          <cell r="Y2672"/>
          <cell r="Z2672">
            <v>25000</v>
          </cell>
          <cell r="AA2672"/>
          <cell r="AB2672"/>
          <cell r="AC2672"/>
          <cell r="AD2672">
            <v>1.8</v>
          </cell>
          <cell r="AE2672"/>
          <cell r="AF2672"/>
          <cell r="AG2672"/>
          <cell r="AH2672"/>
          <cell r="AI2672"/>
          <cell r="AJ2672"/>
          <cell r="AK2672"/>
          <cell r="AL2672"/>
        </row>
        <row r="2673">
          <cell r="E2673" t="str">
            <v>KK 600×600×700</v>
          </cell>
          <cell r="F2673" t="str">
            <v>基</v>
          </cell>
          <cell r="G2673"/>
          <cell r="H2673">
            <v>61200</v>
          </cell>
          <cell r="I2673"/>
          <cell r="J2673">
            <v>61200</v>
          </cell>
          <cell r="K2673"/>
          <cell r="L2673">
            <v>61200</v>
          </cell>
          <cell r="M2673"/>
          <cell r="N2673">
            <v>61200</v>
          </cell>
          <cell r="O2673"/>
          <cell r="P2673">
            <v>61200</v>
          </cell>
          <cell r="Q2673"/>
          <cell r="R2673">
            <v>61200</v>
          </cell>
          <cell r="S2673"/>
          <cell r="T2673">
            <v>61200</v>
          </cell>
          <cell r="U2673"/>
          <cell r="V2673">
            <v>61200</v>
          </cell>
          <cell r="W2673"/>
          <cell r="X2673">
            <v>61200</v>
          </cell>
          <cell r="Y2673"/>
          <cell r="Z2673">
            <v>61200</v>
          </cell>
          <cell r="AA2673"/>
          <cell r="AB2673"/>
          <cell r="AC2673"/>
          <cell r="AD2673">
            <v>1.6600000000000001</v>
          </cell>
          <cell r="AE2673"/>
          <cell r="AF2673"/>
          <cell r="AG2673"/>
          <cell r="AH2673"/>
          <cell r="AI2673"/>
          <cell r="AJ2673"/>
          <cell r="AK2673"/>
          <cell r="AL2673"/>
        </row>
        <row r="2674">
          <cell r="E2674" t="str">
            <v>KK 600×600×1200</v>
          </cell>
          <cell r="F2674" t="str">
            <v>基</v>
          </cell>
          <cell r="G2674"/>
          <cell r="H2674">
            <v>75600</v>
          </cell>
          <cell r="I2674"/>
          <cell r="J2674">
            <v>75600</v>
          </cell>
          <cell r="K2674"/>
          <cell r="L2674">
            <v>75600</v>
          </cell>
          <cell r="M2674"/>
          <cell r="N2674">
            <v>75600</v>
          </cell>
          <cell r="O2674"/>
          <cell r="P2674">
            <v>75600</v>
          </cell>
          <cell r="Q2674"/>
          <cell r="R2674">
            <v>75600</v>
          </cell>
          <cell r="S2674"/>
          <cell r="T2674">
            <v>75600</v>
          </cell>
          <cell r="U2674"/>
          <cell r="V2674">
            <v>75600</v>
          </cell>
          <cell r="W2674"/>
          <cell r="X2674">
            <v>75600</v>
          </cell>
          <cell r="Y2674"/>
          <cell r="Z2674">
            <v>75600</v>
          </cell>
          <cell r="AA2674"/>
          <cell r="AB2674"/>
          <cell r="AC2674"/>
          <cell r="AD2674">
            <v>2.16</v>
          </cell>
          <cell r="AE2674"/>
          <cell r="AF2674"/>
          <cell r="AG2674"/>
          <cell r="AH2674"/>
          <cell r="AI2674"/>
          <cell r="AJ2674"/>
          <cell r="AK2674"/>
          <cell r="AL2674"/>
        </row>
        <row r="2675">
          <cell r="E2675" t="str">
            <v>KK 750×750×900</v>
          </cell>
          <cell r="F2675" t="str">
            <v>基</v>
          </cell>
          <cell r="G2675"/>
          <cell r="H2675">
            <v>81200</v>
          </cell>
          <cell r="I2675"/>
          <cell r="J2675">
            <v>81200</v>
          </cell>
          <cell r="K2675"/>
          <cell r="L2675">
            <v>81200</v>
          </cell>
          <cell r="M2675"/>
          <cell r="N2675">
            <v>81200</v>
          </cell>
          <cell r="O2675"/>
          <cell r="P2675">
            <v>81200</v>
          </cell>
          <cell r="Q2675"/>
          <cell r="R2675">
            <v>81200</v>
          </cell>
          <cell r="S2675"/>
          <cell r="T2675">
            <v>81200</v>
          </cell>
          <cell r="U2675"/>
          <cell r="V2675">
            <v>81200</v>
          </cell>
          <cell r="W2675"/>
          <cell r="X2675">
            <v>81200</v>
          </cell>
          <cell r="Y2675"/>
          <cell r="Z2675">
            <v>81200</v>
          </cell>
          <cell r="AA2675"/>
          <cell r="AB2675"/>
          <cell r="AC2675"/>
          <cell r="AD2675">
            <v>2.1</v>
          </cell>
          <cell r="AE2675"/>
          <cell r="AF2675"/>
          <cell r="AG2675"/>
          <cell r="AH2675"/>
          <cell r="AI2675"/>
          <cell r="AJ2675"/>
          <cell r="AK2675"/>
          <cell r="AL2675"/>
        </row>
        <row r="2676">
          <cell r="E2676" t="str">
            <v>KK 750×750×1200</v>
          </cell>
          <cell r="F2676" t="str">
            <v>基</v>
          </cell>
          <cell r="G2676"/>
          <cell r="H2676">
            <v>93200</v>
          </cell>
          <cell r="I2676"/>
          <cell r="J2676">
            <v>93200</v>
          </cell>
          <cell r="K2676"/>
          <cell r="L2676">
            <v>93200</v>
          </cell>
          <cell r="M2676"/>
          <cell r="N2676">
            <v>93200</v>
          </cell>
          <cell r="O2676"/>
          <cell r="P2676">
            <v>93200</v>
          </cell>
          <cell r="Q2676"/>
          <cell r="R2676">
            <v>93200</v>
          </cell>
          <cell r="S2676"/>
          <cell r="T2676">
            <v>93200</v>
          </cell>
          <cell r="U2676"/>
          <cell r="V2676">
            <v>93200</v>
          </cell>
          <cell r="W2676"/>
          <cell r="X2676">
            <v>93200</v>
          </cell>
          <cell r="Y2676"/>
          <cell r="Z2676">
            <v>93200</v>
          </cell>
          <cell r="AA2676"/>
          <cell r="AB2676"/>
          <cell r="AC2676"/>
          <cell r="AD2676">
            <v>2.4</v>
          </cell>
          <cell r="AE2676"/>
          <cell r="AF2676"/>
          <cell r="AG2676"/>
          <cell r="AH2676"/>
          <cell r="AI2676"/>
          <cell r="AJ2676"/>
          <cell r="AK2676"/>
          <cell r="AL2676"/>
        </row>
        <row r="2677">
          <cell r="E2677" t="str">
            <v>KK 750×750×1500</v>
          </cell>
          <cell r="F2677" t="str">
            <v>基</v>
          </cell>
          <cell r="G2677"/>
          <cell r="H2677">
            <v>105000</v>
          </cell>
          <cell r="I2677"/>
          <cell r="J2677">
            <v>105000</v>
          </cell>
          <cell r="K2677"/>
          <cell r="L2677">
            <v>105000</v>
          </cell>
          <cell r="M2677"/>
          <cell r="N2677">
            <v>105000</v>
          </cell>
          <cell r="O2677"/>
          <cell r="P2677">
            <v>105000</v>
          </cell>
          <cell r="Q2677"/>
          <cell r="R2677">
            <v>105000</v>
          </cell>
          <cell r="S2677"/>
          <cell r="T2677">
            <v>105000</v>
          </cell>
          <cell r="U2677"/>
          <cell r="V2677">
            <v>105000</v>
          </cell>
          <cell r="W2677"/>
          <cell r="X2677">
            <v>105000</v>
          </cell>
          <cell r="Y2677"/>
          <cell r="Z2677">
            <v>105000</v>
          </cell>
          <cell r="AA2677"/>
          <cell r="AB2677"/>
          <cell r="AC2677"/>
          <cell r="AD2677">
            <v>2.7</v>
          </cell>
          <cell r="AE2677"/>
          <cell r="AF2677"/>
          <cell r="AG2677"/>
          <cell r="AH2677"/>
          <cell r="AI2677"/>
          <cell r="AJ2677"/>
          <cell r="AK2677"/>
          <cell r="AL2677"/>
        </row>
        <row r="2678">
          <cell r="E2678" t="str">
            <v>KK 800×800×900</v>
          </cell>
          <cell r="F2678" t="str">
            <v>基</v>
          </cell>
          <cell r="G2678"/>
          <cell r="H2678">
            <v>85200</v>
          </cell>
          <cell r="I2678"/>
          <cell r="J2678">
            <v>85200</v>
          </cell>
          <cell r="K2678"/>
          <cell r="L2678">
            <v>85200</v>
          </cell>
          <cell r="M2678"/>
          <cell r="N2678">
            <v>85200</v>
          </cell>
          <cell r="O2678"/>
          <cell r="P2678">
            <v>85200</v>
          </cell>
          <cell r="Q2678"/>
          <cell r="R2678">
            <v>85200</v>
          </cell>
          <cell r="S2678"/>
          <cell r="T2678">
            <v>85200</v>
          </cell>
          <cell r="U2678"/>
          <cell r="V2678">
            <v>85200</v>
          </cell>
          <cell r="W2678"/>
          <cell r="X2678">
            <v>85200</v>
          </cell>
          <cell r="Y2678"/>
          <cell r="Z2678">
            <v>85200</v>
          </cell>
          <cell r="AA2678"/>
          <cell r="AB2678"/>
          <cell r="AC2678"/>
          <cell r="AD2678">
            <v>2.1800000000000002</v>
          </cell>
          <cell r="AE2678"/>
          <cell r="AF2678"/>
          <cell r="AG2678"/>
          <cell r="AH2678"/>
          <cell r="AI2678"/>
          <cell r="AJ2678"/>
          <cell r="AK2678"/>
          <cell r="AL2678"/>
        </row>
        <row r="2679">
          <cell r="E2679" t="str">
            <v>KK 800×800×1200</v>
          </cell>
          <cell r="F2679" t="str">
            <v>基</v>
          </cell>
          <cell r="G2679"/>
          <cell r="H2679">
            <v>97200</v>
          </cell>
          <cell r="I2679"/>
          <cell r="J2679">
            <v>97200</v>
          </cell>
          <cell r="K2679"/>
          <cell r="L2679">
            <v>97200</v>
          </cell>
          <cell r="M2679"/>
          <cell r="N2679">
            <v>97200</v>
          </cell>
          <cell r="O2679"/>
          <cell r="P2679">
            <v>97200</v>
          </cell>
          <cell r="Q2679"/>
          <cell r="R2679">
            <v>97200</v>
          </cell>
          <cell r="S2679"/>
          <cell r="T2679">
            <v>97200</v>
          </cell>
          <cell r="U2679"/>
          <cell r="V2679">
            <v>97200</v>
          </cell>
          <cell r="W2679"/>
          <cell r="X2679">
            <v>97200</v>
          </cell>
          <cell r="Y2679"/>
          <cell r="Z2679">
            <v>97200</v>
          </cell>
          <cell r="AA2679"/>
          <cell r="AB2679"/>
          <cell r="AC2679"/>
          <cell r="AD2679">
            <v>2.48</v>
          </cell>
          <cell r="AE2679"/>
          <cell r="AF2679"/>
          <cell r="AG2679"/>
          <cell r="AH2679"/>
          <cell r="AI2679"/>
          <cell r="AJ2679"/>
          <cell r="AK2679"/>
          <cell r="AL2679"/>
        </row>
        <row r="2680">
          <cell r="E2680" t="str">
            <v>KK 800×800×1500</v>
          </cell>
          <cell r="F2680" t="str">
            <v>基</v>
          </cell>
          <cell r="G2680"/>
          <cell r="H2680">
            <v>109000</v>
          </cell>
          <cell r="I2680"/>
          <cell r="J2680">
            <v>109000</v>
          </cell>
          <cell r="K2680"/>
          <cell r="L2680">
            <v>109000</v>
          </cell>
          <cell r="M2680"/>
          <cell r="N2680">
            <v>109000</v>
          </cell>
          <cell r="O2680"/>
          <cell r="P2680">
            <v>109000</v>
          </cell>
          <cell r="Q2680"/>
          <cell r="R2680">
            <v>109000</v>
          </cell>
          <cell r="S2680"/>
          <cell r="T2680">
            <v>109000</v>
          </cell>
          <cell r="U2680"/>
          <cell r="V2680">
            <v>109000</v>
          </cell>
          <cell r="W2680"/>
          <cell r="X2680">
            <v>109000</v>
          </cell>
          <cell r="Y2680"/>
          <cell r="Z2680">
            <v>109000</v>
          </cell>
          <cell r="AA2680"/>
          <cell r="AB2680"/>
          <cell r="AC2680"/>
          <cell r="AD2680">
            <v>2.7800000000000002</v>
          </cell>
          <cell r="AE2680"/>
          <cell r="AF2680"/>
          <cell r="AG2680"/>
          <cell r="AH2680"/>
          <cell r="AI2680"/>
          <cell r="AJ2680"/>
          <cell r="AK2680"/>
          <cell r="AL2680"/>
        </row>
        <row r="2681">
          <cell r="E2681" t="str">
            <v>KK 900×900×1200</v>
          </cell>
          <cell r="F2681" t="str">
            <v>基</v>
          </cell>
          <cell r="G2681"/>
          <cell r="H2681">
            <v>106000</v>
          </cell>
          <cell r="I2681"/>
          <cell r="J2681">
            <v>106000</v>
          </cell>
          <cell r="K2681"/>
          <cell r="L2681">
            <v>106000</v>
          </cell>
          <cell r="M2681"/>
          <cell r="N2681">
            <v>106000</v>
          </cell>
          <cell r="O2681"/>
          <cell r="P2681">
            <v>106000</v>
          </cell>
          <cell r="Q2681"/>
          <cell r="R2681">
            <v>106000</v>
          </cell>
          <cell r="S2681"/>
          <cell r="T2681">
            <v>106000</v>
          </cell>
          <cell r="U2681"/>
          <cell r="V2681">
            <v>106000</v>
          </cell>
          <cell r="W2681"/>
          <cell r="X2681">
            <v>106000</v>
          </cell>
          <cell r="Y2681"/>
          <cell r="Z2681">
            <v>106000</v>
          </cell>
          <cell r="AA2681"/>
          <cell r="AB2681"/>
          <cell r="AC2681"/>
          <cell r="AD2681">
            <v>2.6399999999999997</v>
          </cell>
          <cell r="AE2681"/>
          <cell r="AF2681"/>
          <cell r="AG2681"/>
          <cell r="AH2681"/>
          <cell r="AI2681"/>
          <cell r="AJ2681"/>
          <cell r="AK2681"/>
          <cell r="AL2681"/>
        </row>
        <row r="2682">
          <cell r="E2682" t="str">
            <v>KK 900×900×1350</v>
          </cell>
          <cell r="F2682" t="str">
            <v>基</v>
          </cell>
          <cell r="G2682"/>
          <cell r="H2682">
            <v>114000</v>
          </cell>
          <cell r="I2682"/>
          <cell r="J2682">
            <v>114000</v>
          </cell>
          <cell r="K2682"/>
          <cell r="L2682">
            <v>114000</v>
          </cell>
          <cell r="M2682"/>
          <cell r="N2682">
            <v>114000</v>
          </cell>
          <cell r="O2682"/>
          <cell r="P2682">
            <v>114000</v>
          </cell>
          <cell r="Q2682"/>
          <cell r="R2682">
            <v>114000</v>
          </cell>
          <cell r="S2682"/>
          <cell r="T2682">
            <v>114000</v>
          </cell>
          <cell r="U2682"/>
          <cell r="V2682">
            <v>114000</v>
          </cell>
          <cell r="W2682"/>
          <cell r="X2682">
            <v>114000</v>
          </cell>
          <cell r="Y2682"/>
          <cell r="Z2682">
            <v>114000</v>
          </cell>
          <cell r="AA2682"/>
          <cell r="AB2682"/>
          <cell r="AC2682"/>
          <cell r="AD2682">
            <v>1.4535</v>
          </cell>
          <cell r="AE2682"/>
          <cell r="AF2682"/>
          <cell r="AG2682"/>
          <cell r="AH2682"/>
          <cell r="AI2682"/>
          <cell r="AJ2682"/>
          <cell r="AK2682"/>
          <cell r="AL2682"/>
        </row>
        <row r="2683">
          <cell r="E2683" t="str">
            <v>KK 900×900×1500</v>
          </cell>
          <cell r="F2683" t="str">
            <v>基</v>
          </cell>
          <cell r="G2683"/>
          <cell r="H2683">
            <v>119000</v>
          </cell>
          <cell r="I2683"/>
          <cell r="J2683">
            <v>119000</v>
          </cell>
          <cell r="K2683"/>
          <cell r="L2683">
            <v>119000</v>
          </cell>
          <cell r="M2683"/>
          <cell r="N2683">
            <v>119000</v>
          </cell>
          <cell r="O2683"/>
          <cell r="P2683">
            <v>119000</v>
          </cell>
          <cell r="Q2683"/>
          <cell r="R2683">
            <v>119000</v>
          </cell>
          <cell r="S2683"/>
          <cell r="T2683">
            <v>119000</v>
          </cell>
          <cell r="U2683"/>
          <cell r="V2683">
            <v>119000</v>
          </cell>
          <cell r="W2683"/>
          <cell r="X2683">
            <v>119000</v>
          </cell>
          <cell r="Y2683"/>
          <cell r="Z2683">
            <v>119000</v>
          </cell>
          <cell r="AA2683"/>
          <cell r="AB2683"/>
          <cell r="AC2683"/>
          <cell r="AD2683">
            <v>2.94</v>
          </cell>
          <cell r="AE2683"/>
          <cell r="AF2683"/>
          <cell r="AG2683"/>
          <cell r="AH2683"/>
          <cell r="AI2683"/>
          <cell r="AJ2683"/>
          <cell r="AK2683"/>
          <cell r="AL2683"/>
        </row>
        <row r="2684">
          <cell r="E2684" t="str">
            <v>KK 1000×1000×900</v>
          </cell>
          <cell r="F2684" t="str">
            <v>基</v>
          </cell>
          <cell r="G2684"/>
          <cell r="H2684">
            <v>102000</v>
          </cell>
          <cell r="I2684"/>
          <cell r="J2684">
            <v>102000</v>
          </cell>
          <cell r="K2684"/>
          <cell r="L2684">
            <v>102000</v>
          </cell>
          <cell r="M2684"/>
          <cell r="N2684">
            <v>102000</v>
          </cell>
          <cell r="O2684"/>
          <cell r="P2684">
            <v>102000</v>
          </cell>
          <cell r="Q2684"/>
          <cell r="R2684">
            <v>102000</v>
          </cell>
          <cell r="S2684"/>
          <cell r="T2684">
            <v>102000</v>
          </cell>
          <cell r="U2684"/>
          <cell r="V2684">
            <v>102000</v>
          </cell>
          <cell r="W2684"/>
          <cell r="X2684">
            <v>102000</v>
          </cell>
          <cell r="Y2684"/>
          <cell r="Z2684">
            <v>102000</v>
          </cell>
          <cell r="AA2684"/>
          <cell r="AB2684"/>
          <cell r="AC2684"/>
          <cell r="AD2684">
            <v>2.5</v>
          </cell>
          <cell r="AE2684"/>
          <cell r="AF2684"/>
          <cell r="AG2684"/>
          <cell r="AH2684"/>
          <cell r="AI2684"/>
          <cell r="AJ2684"/>
          <cell r="AK2684"/>
          <cell r="AL2684"/>
        </row>
        <row r="2685">
          <cell r="E2685" t="str">
            <v>KK 1000×1000×1200</v>
          </cell>
          <cell r="F2685" t="str">
            <v>基</v>
          </cell>
          <cell r="G2685"/>
          <cell r="H2685">
            <v>118000</v>
          </cell>
          <cell r="I2685"/>
          <cell r="J2685">
            <v>118000</v>
          </cell>
          <cell r="K2685"/>
          <cell r="L2685">
            <v>118000</v>
          </cell>
          <cell r="M2685"/>
          <cell r="N2685">
            <v>118000</v>
          </cell>
          <cell r="O2685"/>
          <cell r="P2685">
            <v>118000</v>
          </cell>
          <cell r="Q2685"/>
          <cell r="R2685">
            <v>118000</v>
          </cell>
          <cell r="S2685"/>
          <cell r="T2685">
            <v>118000</v>
          </cell>
          <cell r="U2685"/>
          <cell r="V2685">
            <v>118000</v>
          </cell>
          <cell r="W2685"/>
          <cell r="X2685">
            <v>118000</v>
          </cell>
          <cell r="Y2685"/>
          <cell r="Z2685">
            <v>118000</v>
          </cell>
          <cell r="AA2685"/>
          <cell r="AB2685"/>
          <cell r="AC2685"/>
          <cell r="AD2685">
            <v>2.8</v>
          </cell>
          <cell r="AE2685"/>
          <cell r="AF2685"/>
          <cell r="AG2685"/>
          <cell r="AH2685"/>
          <cell r="AI2685"/>
          <cell r="AJ2685"/>
          <cell r="AK2685"/>
          <cell r="AL2685"/>
        </row>
        <row r="2686">
          <cell r="E2686" t="str">
            <v>KK 1000×1000×1500</v>
          </cell>
          <cell r="F2686" t="str">
            <v>基</v>
          </cell>
          <cell r="G2686"/>
          <cell r="H2686">
            <v>133000</v>
          </cell>
          <cell r="I2686"/>
          <cell r="J2686">
            <v>133000</v>
          </cell>
          <cell r="K2686"/>
          <cell r="L2686">
            <v>133000</v>
          </cell>
          <cell r="M2686"/>
          <cell r="N2686">
            <v>133000</v>
          </cell>
          <cell r="O2686"/>
          <cell r="P2686">
            <v>133000</v>
          </cell>
          <cell r="Q2686"/>
          <cell r="R2686">
            <v>133000</v>
          </cell>
          <cell r="S2686"/>
          <cell r="T2686">
            <v>133000</v>
          </cell>
          <cell r="U2686"/>
          <cell r="V2686">
            <v>133000</v>
          </cell>
          <cell r="W2686"/>
          <cell r="X2686">
            <v>133000</v>
          </cell>
          <cell r="Y2686"/>
          <cell r="Z2686">
            <v>133000</v>
          </cell>
          <cell r="AA2686"/>
          <cell r="AB2686"/>
          <cell r="AC2686"/>
          <cell r="AD2686">
            <v>3.1</v>
          </cell>
          <cell r="AE2686"/>
          <cell r="AF2686"/>
          <cell r="AG2686"/>
          <cell r="AH2686"/>
          <cell r="AI2686"/>
          <cell r="AJ2686"/>
          <cell r="AK2686"/>
          <cell r="AL2686"/>
        </row>
        <row r="2687">
          <cell r="E2687" t="str">
            <v>KK 1200×1200×900</v>
          </cell>
          <cell r="F2687" t="str">
            <v>基</v>
          </cell>
          <cell r="G2687"/>
          <cell r="H2687">
            <v>122000</v>
          </cell>
          <cell r="I2687"/>
          <cell r="J2687">
            <v>122000</v>
          </cell>
          <cell r="K2687"/>
          <cell r="L2687">
            <v>122000</v>
          </cell>
          <cell r="M2687"/>
          <cell r="N2687">
            <v>122000</v>
          </cell>
          <cell r="O2687"/>
          <cell r="P2687">
            <v>122000</v>
          </cell>
          <cell r="Q2687"/>
          <cell r="R2687">
            <v>122000</v>
          </cell>
          <cell r="S2687"/>
          <cell r="T2687">
            <v>122000</v>
          </cell>
          <cell r="U2687"/>
          <cell r="V2687">
            <v>122000</v>
          </cell>
          <cell r="W2687"/>
          <cell r="X2687">
            <v>122000</v>
          </cell>
          <cell r="Y2687"/>
          <cell r="Z2687">
            <v>122000</v>
          </cell>
          <cell r="AA2687"/>
          <cell r="AB2687"/>
          <cell r="AC2687"/>
          <cell r="AD2687">
            <v>2.82</v>
          </cell>
          <cell r="AE2687"/>
          <cell r="AF2687"/>
          <cell r="AG2687"/>
          <cell r="AH2687"/>
          <cell r="AI2687"/>
          <cell r="AJ2687"/>
          <cell r="AK2687"/>
          <cell r="AL2687"/>
        </row>
        <row r="2688">
          <cell r="E2688" t="str">
            <v>KK 1200×1200×1200</v>
          </cell>
          <cell r="F2688" t="str">
            <v>基</v>
          </cell>
          <cell r="G2688"/>
          <cell r="H2688">
            <v>140000</v>
          </cell>
          <cell r="I2688"/>
          <cell r="J2688">
            <v>140000</v>
          </cell>
          <cell r="K2688"/>
          <cell r="L2688">
            <v>140000</v>
          </cell>
          <cell r="M2688"/>
          <cell r="N2688">
            <v>140000</v>
          </cell>
          <cell r="O2688"/>
          <cell r="P2688">
            <v>140000</v>
          </cell>
          <cell r="Q2688"/>
          <cell r="R2688">
            <v>140000</v>
          </cell>
          <cell r="S2688"/>
          <cell r="T2688">
            <v>140000</v>
          </cell>
          <cell r="U2688"/>
          <cell r="V2688">
            <v>140000</v>
          </cell>
          <cell r="W2688"/>
          <cell r="X2688">
            <v>140000</v>
          </cell>
          <cell r="Y2688"/>
          <cell r="Z2688">
            <v>140000</v>
          </cell>
          <cell r="AA2688"/>
          <cell r="AB2688"/>
          <cell r="AC2688"/>
          <cell r="AD2688">
            <v>3.12</v>
          </cell>
          <cell r="AE2688"/>
          <cell r="AF2688"/>
          <cell r="AG2688"/>
          <cell r="AH2688"/>
          <cell r="AI2688"/>
          <cell r="AJ2688"/>
          <cell r="AK2688"/>
          <cell r="AL2688"/>
        </row>
        <row r="2689">
          <cell r="E2689" t="str">
            <v>KK 1200×1200×1500</v>
          </cell>
          <cell r="F2689" t="str">
            <v>基</v>
          </cell>
          <cell r="G2689"/>
          <cell r="H2689">
            <v>158000</v>
          </cell>
          <cell r="I2689"/>
          <cell r="J2689">
            <v>158000</v>
          </cell>
          <cell r="K2689"/>
          <cell r="L2689">
            <v>158000</v>
          </cell>
          <cell r="M2689"/>
          <cell r="N2689">
            <v>158000</v>
          </cell>
          <cell r="O2689"/>
          <cell r="P2689">
            <v>158000</v>
          </cell>
          <cell r="Q2689"/>
          <cell r="R2689">
            <v>158000</v>
          </cell>
          <cell r="S2689"/>
          <cell r="T2689">
            <v>158000</v>
          </cell>
          <cell r="U2689"/>
          <cell r="V2689">
            <v>158000</v>
          </cell>
          <cell r="W2689"/>
          <cell r="X2689">
            <v>158000</v>
          </cell>
          <cell r="Y2689"/>
          <cell r="Z2689">
            <v>158000</v>
          </cell>
          <cell r="AA2689"/>
          <cell r="AB2689"/>
          <cell r="AC2689"/>
          <cell r="AD2689">
            <v>3.42</v>
          </cell>
          <cell r="AE2689"/>
          <cell r="AF2689"/>
          <cell r="AG2689"/>
          <cell r="AH2689"/>
          <cell r="AI2689"/>
          <cell r="AJ2689"/>
          <cell r="AK2689"/>
          <cell r="AL2689"/>
        </row>
        <row r="2690">
          <cell r="E2690" t="str">
            <v>KK 1500×1500×900</v>
          </cell>
          <cell r="F2690" t="str">
            <v>基</v>
          </cell>
          <cell r="G2690"/>
          <cell r="H2690">
            <v>224000</v>
          </cell>
          <cell r="I2690"/>
          <cell r="J2690">
            <v>224000</v>
          </cell>
          <cell r="K2690"/>
          <cell r="L2690">
            <v>224000</v>
          </cell>
          <cell r="M2690"/>
          <cell r="N2690">
            <v>224000</v>
          </cell>
          <cell r="O2690"/>
          <cell r="P2690">
            <v>224000</v>
          </cell>
          <cell r="Q2690"/>
          <cell r="R2690">
            <v>224000</v>
          </cell>
          <cell r="S2690"/>
          <cell r="T2690">
            <v>224000</v>
          </cell>
          <cell r="U2690"/>
          <cell r="V2690">
            <v>224000</v>
          </cell>
          <cell r="W2690"/>
          <cell r="X2690">
            <v>224000</v>
          </cell>
          <cell r="Y2690"/>
          <cell r="Z2690">
            <v>224000</v>
          </cell>
          <cell r="AA2690"/>
          <cell r="AB2690"/>
          <cell r="AC2690"/>
          <cell r="AD2690">
            <v>3.3</v>
          </cell>
          <cell r="AE2690"/>
          <cell r="AF2690"/>
          <cell r="AG2690"/>
          <cell r="AH2690"/>
          <cell r="AI2690"/>
          <cell r="AJ2690"/>
          <cell r="AK2690"/>
          <cell r="AL2690"/>
        </row>
        <row r="2691">
          <cell r="E2691" t="str">
            <v>KK 1500×1500×1200</v>
          </cell>
          <cell r="F2691" t="str">
            <v>基</v>
          </cell>
          <cell r="G2691"/>
          <cell r="H2691">
            <v>258000</v>
          </cell>
          <cell r="I2691"/>
          <cell r="J2691">
            <v>258000</v>
          </cell>
          <cell r="K2691"/>
          <cell r="L2691">
            <v>258000</v>
          </cell>
          <cell r="M2691"/>
          <cell r="N2691">
            <v>258000</v>
          </cell>
          <cell r="O2691"/>
          <cell r="P2691">
            <v>258000</v>
          </cell>
          <cell r="Q2691"/>
          <cell r="R2691">
            <v>258000</v>
          </cell>
          <cell r="S2691"/>
          <cell r="T2691">
            <v>258000</v>
          </cell>
          <cell r="U2691"/>
          <cell r="V2691">
            <v>258000</v>
          </cell>
          <cell r="W2691"/>
          <cell r="X2691">
            <v>258000</v>
          </cell>
          <cell r="Y2691"/>
          <cell r="Z2691">
            <v>258000</v>
          </cell>
          <cell r="AA2691"/>
          <cell r="AB2691"/>
          <cell r="AC2691"/>
          <cell r="AD2691">
            <v>3.5999999999999996</v>
          </cell>
          <cell r="AE2691"/>
          <cell r="AF2691"/>
          <cell r="AG2691"/>
          <cell r="AH2691"/>
          <cell r="AI2691"/>
          <cell r="AJ2691"/>
          <cell r="AK2691"/>
          <cell r="AL2691"/>
        </row>
        <row r="2692">
          <cell r="E2692" t="str">
            <v>KK 1500×1500×1500</v>
          </cell>
          <cell r="F2692" t="str">
            <v>基</v>
          </cell>
          <cell r="G2692"/>
          <cell r="H2692">
            <v>291000</v>
          </cell>
          <cell r="I2692"/>
          <cell r="J2692">
            <v>291000</v>
          </cell>
          <cell r="K2692"/>
          <cell r="L2692">
            <v>291000</v>
          </cell>
          <cell r="M2692"/>
          <cell r="N2692">
            <v>291000</v>
          </cell>
          <cell r="O2692"/>
          <cell r="P2692">
            <v>291000</v>
          </cell>
          <cell r="Q2692"/>
          <cell r="R2692">
            <v>291000</v>
          </cell>
          <cell r="S2692"/>
          <cell r="T2692">
            <v>291000</v>
          </cell>
          <cell r="U2692"/>
          <cell r="V2692">
            <v>291000</v>
          </cell>
          <cell r="W2692"/>
          <cell r="X2692">
            <v>291000</v>
          </cell>
          <cell r="Y2692"/>
          <cell r="Z2692">
            <v>291000</v>
          </cell>
          <cell r="AA2692"/>
          <cell r="AB2692"/>
          <cell r="AC2692"/>
          <cell r="AD2692">
            <v>3.9</v>
          </cell>
          <cell r="AE2692"/>
          <cell r="AF2692"/>
          <cell r="AG2692"/>
          <cell r="AH2692"/>
          <cell r="AI2692"/>
          <cell r="AJ2692"/>
          <cell r="AK2692"/>
          <cell r="AL2692"/>
        </row>
        <row r="2693">
          <cell r="E2693" t="str">
            <v>KK 1800×1800×1500</v>
          </cell>
          <cell r="F2693" t="str">
            <v>基</v>
          </cell>
          <cell r="G2693"/>
          <cell r="H2693">
            <v>487000</v>
          </cell>
          <cell r="I2693"/>
          <cell r="J2693">
            <v>487000</v>
          </cell>
          <cell r="K2693"/>
          <cell r="L2693">
            <v>487000</v>
          </cell>
          <cell r="M2693"/>
          <cell r="N2693">
            <v>487000</v>
          </cell>
          <cell r="O2693"/>
          <cell r="P2693">
            <v>487000</v>
          </cell>
          <cell r="Q2693"/>
          <cell r="R2693">
            <v>487000</v>
          </cell>
          <cell r="S2693"/>
          <cell r="T2693">
            <v>487000</v>
          </cell>
          <cell r="U2693"/>
          <cell r="V2693">
            <v>487000</v>
          </cell>
          <cell r="W2693"/>
          <cell r="X2693">
            <v>487000</v>
          </cell>
          <cell r="Y2693"/>
          <cell r="Z2693">
            <v>487000</v>
          </cell>
          <cell r="AA2693"/>
          <cell r="AB2693"/>
          <cell r="AC2693"/>
          <cell r="AD2693">
            <v>4.38</v>
          </cell>
          <cell r="AE2693"/>
          <cell r="AF2693"/>
          <cell r="AG2693"/>
          <cell r="AH2693"/>
          <cell r="AI2693"/>
          <cell r="AJ2693"/>
          <cell r="AK2693"/>
          <cell r="AL2693"/>
        </row>
        <row r="2694">
          <cell r="E2694" t="str">
            <v>KK 2000×2000×2100</v>
          </cell>
          <cell r="F2694" t="str">
            <v>基</v>
          </cell>
          <cell r="G2694"/>
          <cell r="H2694">
            <v>756000</v>
          </cell>
          <cell r="I2694"/>
          <cell r="J2694">
            <v>756000</v>
          </cell>
          <cell r="K2694"/>
          <cell r="L2694">
            <v>756000</v>
          </cell>
          <cell r="M2694"/>
          <cell r="N2694">
            <v>756000</v>
          </cell>
          <cell r="O2694"/>
          <cell r="P2694">
            <v>756000</v>
          </cell>
          <cell r="Q2694"/>
          <cell r="R2694">
            <v>756000</v>
          </cell>
          <cell r="S2694"/>
          <cell r="T2694">
            <v>756000</v>
          </cell>
          <cell r="U2694"/>
          <cell r="V2694">
            <v>756000</v>
          </cell>
          <cell r="W2694"/>
          <cell r="X2694">
            <v>756000</v>
          </cell>
          <cell r="Y2694"/>
          <cell r="Z2694">
            <v>756000</v>
          </cell>
          <cell r="AA2694"/>
          <cell r="AB2694"/>
          <cell r="AC2694"/>
          <cell r="AD2694">
            <v>5.3000000000000007</v>
          </cell>
          <cell r="AE2694"/>
          <cell r="AF2694"/>
          <cell r="AG2694"/>
          <cell r="AH2694"/>
          <cell r="AI2694"/>
          <cell r="AJ2694"/>
          <cell r="AK2694"/>
          <cell r="AL2694"/>
        </row>
        <row r="2695">
          <cell r="E2695" t="str">
            <v>AHB-1  650×250</v>
          </cell>
          <cell r="F2695" t="str">
            <v>個</v>
          </cell>
          <cell r="G2695"/>
          <cell r="H2695">
            <v>21600</v>
          </cell>
          <cell r="I2695"/>
          <cell r="J2695">
            <v>21600</v>
          </cell>
          <cell r="K2695"/>
          <cell r="L2695">
            <v>21600</v>
          </cell>
          <cell r="M2695"/>
          <cell r="N2695">
            <v>21600</v>
          </cell>
          <cell r="O2695"/>
          <cell r="P2695">
            <v>21600</v>
          </cell>
          <cell r="Q2695"/>
          <cell r="R2695">
            <v>21600</v>
          </cell>
          <cell r="S2695"/>
          <cell r="T2695">
            <v>21600</v>
          </cell>
          <cell r="U2695"/>
          <cell r="V2695">
            <v>21600</v>
          </cell>
          <cell r="W2695"/>
          <cell r="X2695">
            <v>21600</v>
          </cell>
          <cell r="Y2695"/>
          <cell r="Z2695">
            <v>21600</v>
          </cell>
          <cell r="AA2695"/>
          <cell r="AB2695"/>
          <cell r="AC2695"/>
          <cell r="AD2695">
            <v>0.8</v>
          </cell>
          <cell r="AE2695"/>
          <cell r="AF2695"/>
          <cell r="AG2695"/>
          <cell r="AH2695"/>
          <cell r="AI2695"/>
          <cell r="AJ2695"/>
          <cell r="AK2695"/>
          <cell r="AL2695"/>
        </row>
        <row r="2696">
          <cell r="E2696" t="str">
            <v>AHB-2  800×400</v>
          </cell>
          <cell r="F2696" t="str">
            <v>個</v>
          </cell>
          <cell r="G2696"/>
          <cell r="H2696">
            <v>29200</v>
          </cell>
          <cell r="I2696"/>
          <cell r="J2696">
            <v>29200</v>
          </cell>
          <cell r="K2696"/>
          <cell r="L2696">
            <v>29200</v>
          </cell>
          <cell r="M2696"/>
          <cell r="N2696">
            <v>29200</v>
          </cell>
          <cell r="O2696"/>
          <cell r="P2696">
            <v>29200</v>
          </cell>
          <cell r="Q2696"/>
          <cell r="R2696">
            <v>29200</v>
          </cell>
          <cell r="S2696"/>
          <cell r="T2696">
            <v>29200</v>
          </cell>
          <cell r="U2696"/>
          <cell r="V2696">
            <v>29200</v>
          </cell>
          <cell r="W2696"/>
          <cell r="X2696">
            <v>29200</v>
          </cell>
          <cell r="Y2696"/>
          <cell r="Z2696">
            <v>29200</v>
          </cell>
          <cell r="AA2696"/>
          <cell r="AB2696"/>
          <cell r="AC2696"/>
          <cell r="AD2696">
            <v>1</v>
          </cell>
          <cell r="AE2696"/>
          <cell r="AF2696"/>
          <cell r="AG2696"/>
          <cell r="AH2696"/>
          <cell r="AI2696"/>
          <cell r="AJ2696"/>
          <cell r="AK2696"/>
          <cell r="AL2696"/>
        </row>
        <row r="2697">
          <cell r="E2697" t="str">
            <v>AHB-3 1200×600</v>
          </cell>
          <cell r="F2697" t="str">
            <v>個</v>
          </cell>
          <cell r="G2697"/>
          <cell r="H2697">
            <v>68200</v>
          </cell>
          <cell r="I2697"/>
          <cell r="J2697">
            <v>68200</v>
          </cell>
          <cell r="K2697"/>
          <cell r="L2697">
            <v>68200</v>
          </cell>
          <cell r="M2697"/>
          <cell r="N2697">
            <v>68200</v>
          </cell>
          <cell r="O2697"/>
          <cell r="P2697">
            <v>68200</v>
          </cell>
          <cell r="Q2697"/>
          <cell r="R2697">
            <v>68200</v>
          </cell>
          <cell r="S2697"/>
          <cell r="T2697">
            <v>68200</v>
          </cell>
          <cell r="U2697"/>
          <cell r="V2697">
            <v>68200</v>
          </cell>
          <cell r="W2697"/>
          <cell r="X2697">
            <v>68200</v>
          </cell>
          <cell r="Y2697"/>
          <cell r="Z2697">
            <v>68200</v>
          </cell>
          <cell r="AA2697"/>
          <cell r="AB2697"/>
          <cell r="AC2697"/>
          <cell r="AD2697">
            <v>1.3</v>
          </cell>
          <cell r="AE2697"/>
          <cell r="AF2697"/>
          <cell r="AG2697"/>
          <cell r="AH2697"/>
          <cell r="AI2697"/>
          <cell r="AJ2697"/>
          <cell r="AK2697"/>
          <cell r="AL2697"/>
        </row>
        <row r="2698">
          <cell r="E2698"/>
          <cell r="F2698"/>
          <cell r="G2698"/>
          <cell r="H2698"/>
          <cell r="I2698"/>
          <cell r="J2698"/>
          <cell r="K2698"/>
          <cell r="L2698"/>
          <cell r="M2698"/>
          <cell r="N2698"/>
          <cell r="O2698"/>
          <cell r="P2698"/>
          <cell r="Q2698"/>
          <cell r="R2698"/>
          <cell r="S2698"/>
          <cell r="T2698"/>
          <cell r="U2698"/>
          <cell r="V2698"/>
          <cell r="W2698"/>
          <cell r="X2698"/>
          <cell r="Y2698"/>
          <cell r="Z2698"/>
          <cell r="AA2698"/>
          <cell r="AB2698"/>
          <cell r="AC2698"/>
          <cell r="AD2698"/>
          <cell r="AE2698"/>
          <cell r="AF2698"/>
          <cell r="AG2698"/>
          <cell r="AH2698"/>
          <cell r="AI2698"/>
          <cell r="AJ2698"/>
          <cell r="AK2698"/>
          <cell r="AL2698"/>
        </row>
        <row r="2699">
          <cell r="E2699"/>
          <cell r="F2699"/>
          <cell r="G2699"/>
          <cell r="H2699"/>
          <cell r="I2699"/>
          <cell r="J2699"/>
          <cell r="K2699"/>
          <cell r="L2699"/>
          <cell r="M2699"/>
          <cell r="N2699"/>
          <cell r="O2699"/>
          <cell r="P2699"/>
          <cell r="Q2699"/>
          <cell r="R2699"/>
          <cell r="S2699"/>
          <cell r="T2699"/>
          <cell r="U2699"/>
          <cell r="V2699"/>
          <cell r="W2699"/>
          <cell r="X2699"/>
          <cell r="Y2699"/>
          <cell r="Z2699"/>
          <cell r="AA2699"/>
          <cell r="AB2699"/>
          <cell r="AC2699"/>
          <cell r="AD2699"/>
          <cell r="AE2699"/>
          <cell r="AF2699"/>
          <cell r="AG2699"/>
          <cell r="AH2699"/>
          <cell r="AI2699"/>
          <cell r="AJ2699"/>
          <cell r="AK2699"/>
          <cell r="AL2699"/>
        </row>
        <row r="2700">
          <cell r="E2700"/>
          <cell r="F2700"/>
          <cell r="G2700"/>
          <cell r="H2700"/>
          <cell r="I2700"/>
          <cell r="J2700"/>
          <cell r="K2700"/>
          <cell r="L2700"/>
          <cell r="M2700"/>
          <cell r="N2700"/>
          <cell r="O2700"/>
          <cell r="P2700"/>
          <cell r="Q2700"/>
          <cell r="R2700"/>
          <cell r="S2700"/>
          <cell r="T2700"/>
          <cell r="U2700"/>
          <cell r="V2700"/>
          <cell r="W2700"/>
          <cell r="X2700"/>
          <cell r="Y2700"/>
          <cell r="Z2700"/>
          <cell r="AA2700"/>
          <cell r="AB2700"/>
          <cell r="AC2700"/>
          <cell r="AD2700"/>
          <cell r="AE2700"/>
          <cell r="AF2700"/>
          <cell r="AG2700"/>
          <cell r="AH2700"/>
          <cell r="AI2700"/>
          <cell r="AJ2700"/>
          <cell r="AK2700"/>
          <cell r="AL2700"/>
        </row>
        <row r="2701">
          <cell r="E2701"/>
          <cell r="F2701"/>
          <cell r="G2701"/>
          <cell r="H2701"/>
          <cell r="I2701"/>
          <cell r="J2701"/>
          <cell r="K2701"/>
          <cell r="L2701"/>
          <cell r="M2701"/>
          <cell r="N2701"/>
          <cell r="O2701"/>
          <cell r="P2701"/>
          <cell r="Q2701"/>
          <cell r="R2701"/>
          <cell r="S2701"/>
          <cell r="T2701"/>
          <cell r="U2701"/>
          <cell r="V2701"/>
          <cell r="W2701"/>
          <cell r="X2701"/>
          <cell r="Y2701"/>
          <cell r="Z2701"/>
          <cell r="AA2701"/>
          <cell r="AB2701"/>
          <cell r="AC2701"/>
          <cell r="AD2701"/>
          <cell r="AE2701"/>
          <cell r="AF2701"/>
          <cell r="AG2701"/>
          <cell r="AH2701"/>
          <cell r="AI2701"/>
          <cell r="AJ2701"/>
          <cell r="AK2701"/>
          <cell r="AL2701"/>
        </row>
        <row r="2702">
          <cell r="E2702"/>
          <cell r="F2702"/>
          <cell r="G2702"/>
          <cell r="H2702"/>
          <cell r="I2702"/>
          <cell r="J2702"/>
          <cell r="K2702"/>
          <cell r="L2702"/>
          <cell r="M2702"/>
          <cell r="N2702"/>
          <cell r="O2702"/>
          <cell r="P2702"/>
          <cell r="Q2702"/>
          <cell r="R2702"/>
          <cell r="S2702"/>
          <cell r="T2702"/>
          <cell r="U2702"/>
          <cell r="V2702"/>
          <cell r="W2702"/>
          <cell r="X2702"/>
          <cell r="Y2702"/>
          <cell r="Z2702"/>
          <cell r="AA2702"/>
          <cell r="AB2702"/>
          <cell r="AC2702"/>
          <cell r="AD2702"/>
          <cell r="AE2702"/>
          <cell r="AF2702"/>
          <cell r="AG2702"/>
          <cell r="AH2702"/>
          <cell r="AI2702"/>
          <cell r="AJ2702"/>
          <cell r="AK2702"/>
          <cell r="AL2702"/>
        </row>
        <row r="2703">
          <cell r="E2703"/>
          <cell r="F2703"/>
          <cell r="G2703"/>
          <cell r="H2703"/>
          <cell r="I2703"/>
          <cell r="J2703"/>
          <cell r="K2703"/>
          <cell r="L2703"/>
          <cell r="M2703"/>
          <cell r="N2703"/>
          <cell r="O2703"/>
          <cell r="P2703"/>
          <cell r="Q2703"/>
          <cell r="R2703"/>
          <cell r="S2703"/>
          <cell r="T2703"/>
          <cell r="U2703"/>
          <cell r="V2703"/>
          <cell r="W2703"/>
          <cell r="X2703"/>
          <cell r="Y2703"/>
          <cell r="Z2703"/>
          <cell r="AA2703"/>
          <cell r="AB2703"/>
          <cell r="AC2703"/>
          <cell r="AD2703"/>
          <cell r="AE2703"/>
          <cell r="AF2703"/>
          <cell r="AG2703"/>
          <cell r="AH2703"/>
          <cell r="AI2703"/>
          <cell r="AJ2703"/>
          <cell r="AK2703"/>
          <cell r="AL2703"/>
        </row>
        <row r="2704">
          <cell r="E2704" t="str">
            <v>土工費(掘削)</v>
          </cell>
          <cell r="F2704" t="str">
            <v>ｍ</v>
          </cell>
          <cell r="G2704"/>
          <cell r="H2704">
            <v>2500</v>
          </cell>
          <cell r="I2704"/>
          <cell r="J2704">
            <v>2500</v>
          </cell>
          <cell r="K2704"/>
          <cell r="L2704">
            <v>2500</v>
          </cell>
          <cell r="M2704"/>
          <cell r="N2704">
            <v>2500</v>
          </cell>
          <cell r="O2704"/>
          <cell r="P2704">
            <v>2500</v>
          </cell>
          <cell r="Q2704"/>
          <cell r="R2704">
            <v>2500</v>
          </cell>
          <cell r="S2704"/>
          <cell r="T2704">
            <v>2500</v>
          </cell>
          <cell r="U2704"/>
          <cell r="V2704">
            <v>2500</v>
          </cell>
          <cell r="W2704"/>
          <cell r="X2704">
            <v>2500</v>
          </cell>
          <cell r="Y2704"/>
          <cell r="Z2704">
            <v>2500</v>
          </cell>
          <cell r="AA2704"/>
          <cell r="AB2704"/>
          <cell r="AC2704"/>
          <cell r="AD2704"/>
          <cell r="AE2704"/>
          <cell r="AF2704"/>
          <cell r="AG2704"/>
          <cell r="AH2704"/>
          <cell r="AI2704"/>
          <cell r="AJ2704"/>
          <cell r="AK2704"/>
          <cell r="AL2704"/>
        </row>
        <row r="2705">
          <cell r="E2705" t="str">
            <v>支線工事</v>
          </cell>
          <cell r="F2705" t="str">
            <v>箇所</v>
          </cell>
          <cell r="G2705"/>
          <cell r="H2705">
            <v>25000</v>
          </cell>
          <cell r="I2705"/>
          <cell r="J2705">
            <v>25000</v>
          </cell>
          <cell r="K2705"/>
          <cell r="L2705">
            <v>25000</v>
          </cell>
          <cell r="M2705"/>
          <cell r="N2705">
            <v>25000</v>
          </cell>
          <cell r="O2705"/>
          <cell r="P2705">
            <v>25000</v>
          </cell>
          <cell r="Q2705"/>
          <cell r="R2705">
            <v>25000</v>
          </cell>
          <cell r="S2705"/>
          <cell r="T2705">
            <v>25000</v>
          </cell>
          <cell r="U2705"/>
          <cell r="V2705">
            <v>25000</v>
          </cell>
          <cell r="W2705"/>
          <cell r="X2705">
            <v>25000</v>
          </cell>
          <cell r="Y2705"/>
          <cell r="Z2705">
            <v>25000</v>
          </cell>
          <cell r="AA2705"/>
          <cell r="AB2705"/>
          <cell r="AC2705"/>
          <cell r="AD2705"/>
          <cell r="AE2705"/>
          <cell r="AF2705"/>
          <cell r="AG2705"/>
          <cell r="AH2705"/>
          <cell r="AI2705"/>
          <cell r="AJ2705"/>
          <cell r="AK2705"/>
          <cell r="AL2705"/>
        </row>
        <row r="2706">
          <cell r="E2706" t="str">
            <v>05_Users</v>
          </cell>
          <cell r="F2706"/>
          <cell r="G2706"/>
          <cell r="H2706"/>
          <cell r="I2706"/>
          <cell r="J2706"/>
          <cell r="K2706"/>
          <cell r="L2706"/>
          <cell r="M2706"/>
          <cell r="N2706"/>
          <cell r="O2706"/>
          <cell r="P2706"/>
          <cell r="Q2706"/>
          <cell r="R2706"/>
          <cell r="S2706"/>
          <cell r="T2706"/>
          <cell r="U2706"/>
          <cell r="V2706"/>
          <cell r="W2706"/>
          <cell r="X2706"/>
          <cell r="Y2706"/>
          <cell r="Z2706"/>
          <cell r="AA2706"/>
          <cell r="AB2706"/>
          <cell r="AC2706"/>
          <cell r="AD2706"/>
          <cell r="AE2706"/>
          <cell r="AF2706"/>
          <cell r="AG2706"/>
          <cell r="AH2706"/>
          <cell r="AI2706"/>
          <cell r="AJ2706"/>
          <cell r="AK2706"/>
          <cell r="AL2706"/>
        </row>
        <row r="2707">
          <cell r="E2707" t="str">
            <v>05_Users</v>
          </cell>
          <cell r="F2707"/>
          <cell r="G2707"/>
          <cell r="H2707"/>
          <cell r="I2707"/>
          <cell r="J2707"/>
          <cell r="K2707"/>
          <cell r="L2707"/>
          <cell r="M2707"/>
          <cell r="N2707"/>
          <cell r="O2707"/>
          <cell r="P2707"/>
          <cell r="Q2707"/>
          <cell r="R2707"/>
          <cell r="S2707"/>
          <cell r="T2707"/>
          <cell r="U2707"/>
          <cell r="V2707"/>
          <cell r="W2707"/>
          <cell r="X2707"/>
          <cell r="Y2707"/>
          <cell r="Z2707"/>
          <cell r="AA2707"/>
          <cell r="AB2707"/>
          <cell r="AC2707"/>
          <cell r="AD2707"/>
          <cell r="AE2707"/>
          <cell r="AF2707"/>
          <cell r="AG2707"/>
          <cell r="AH2707"/>
          <cell r="AI2707"/>
          <cell r="AJ2707"/>
          <cell r="AK2707"/>
          <cell r="AL2707"/>
        </row>
        <row r="2708">
          <cell r="E2708" t="str">
            <v>05_Users</v>
          </cell>
          <cell r="F2708"/>
          <cell r="G2708"/>
          <cell r="H2708"/>
          <cell r="I2708"/>
          <cell r="J2708"/>
          <cell r="K2708"/>
          <cell r="L2708"/>
          <cell r="M2708"/>
          <cell r="N2708"/>
          <cell r="O2708"/>
          <cell r="P2708"/>
          <cell r="Q2708"/>
          <cell r="R2708"/>
          <cell r="S2708"/>
          <cell r="T2708"/>
          <cell r="U2708"/>
          <cell r="V2708"/>
          <cell r="W2708"/>
          <cell r="X2708"/>
          <cell r="Y2708"/>
          <cell r="Z2708"/>
          <cell r="AA2708"/>
          <cell r="AB2708"/>
          <cell r="AC2708"/>
          <cell r="AD2708"/>
          <cell r="AE2708"/>
          <cell r="AF2708"/>
          <cell r="AG2708"/>
          <cell r="AH2708"/>
          <cell r="AI2708"/>
          <cell r="AJ2708"/>
          <cell r="AK2708"/>
          <cell r="AL2708"/>
        </row>
        <row r="2709">
          <cell r="E2709" t="str">
            <v>05_Users</v>
          </cell>
          <cell r="F2709"/>
          <cell r="G2709"/>
          <cell r="H2709"/>
          <cell r="I2709"/>
          <cell r="J2709"/>
          <cell r="K2709"/>
          <cell r="L2709"/>
          <cell r="M2709"/>
          <cell r="N2709"/>
          <cell r="O2709"/>
          <cell r="P2709"/>
          <cell r="Q2709"/>
          <cell r="R2709"/>
          <cell r="S2709"/>
          <cell r="T2709"/>
          <cell r="U2709"/>
          <cell r="V2709"/>
          <cell r="W2709"/>
          <cell r="X2709"/>
          <cell r="Y2709"/>
          <cell r="Z2709"/>
          <cell r="AA2709"/>
          <cell r="AB2709"/>
          <cell r="AC2709"/>
          <cell r="AD2709"/>
          <cell r="AE2709"/>
          <cell r="AF2709"/>
          <cell r="AG2709"/>
          <cell r="AH2709"/>
          <cell r="AI2709"/>
          <cell r="AJ2709"/>
          <cell r="AK2709"/>
          <cell r="AL2709"/>
        </row>
        <row r="2710">
          <cell r="E2710" t="str">
            <v>05_Users</v>
          </cell>
          <cell r="F2710"/>
          <cell r="G2710"/>
          <cell r="H2710"/>
          <cell r="I2710"/>
          <cell r="J2710"/>
          <cell r="K2710"/>
          <cell r="L2710"/>
          <cell r="M2710"/>
          <cell r="N2710"/>
          <cell r="O2710"/>
          <cell r="P2710"/>
          <cell r="Q2710"/>
          <cell r="R2710"/>
          <cell r="S2710"/>
          <cell r="T2710"/>
          <cell r="U2710"/>
          <cell r="V2710"/>
          <cell r="W2710"/>
          <cell r="X2710"/>
          <cell r="Y2710"/>
          <cell r="Z2710"/>
          <cell r="AA2710"/>
          <cell r="AB2710"/>
          <cell r="AC2710"/>
          <cell r="AD2710"/>
          <cell r="AE2710"/>
          <cell r="AF2710"/>
          <cell r="AG2710"/>
          <cell r="AH2710"/>
          <cell r="AI2710"/>
          <cell r="AJ2710"/>
          <cell r="AK2710"/>
          <cell r="AL2710"/>
        </row>
        <row r="2711">
          <cell r="E2711" t="str">
            <v>05_Users</v>
          </cell>
          <cell r="F2711"/>
          <cell r="G2711"/>
          <cell r="H2711"/>
          <cell r="I2711"/>
          <cell r="J2711"/>
          <cell r="K2711"/>
          <cell r="L2711"/>
          <cell r="M2711"/>
          <cell r="N2711"/>
          <cell r="O2711"/>
          <cell r="P2711"/>
          <cell r="Q2711"/>
          <cell r="R2711"/>
          <cell r="S2711"/>
          <cell r="T2711"/>
          <cell r="U2711"/>
          <cell r="V2711"/>
          <cell r="W2711"/>
          <cell r="X2711"/>
          <cell r="Y2711"/>
          <cell r="Z2711"/>
          <cell r="AA2711"/>
          <cell r="AB2711"/>
          <cell r="AC2711"/>
          <cell r="AD2711"/>
          <cell r="AE2711"/>
          <cell r="AF2711"/>
          <cell r="AG2711"/>
          <cell r="AH2711"/>
          <cell r="AI2711"/>
          <cell r="AJ2711"/>
          <cell r="AK2711"/>
          <cell r="AL2711"/>
        </row>
        <row r="2712">
          <cell r="E2712" t="str">
            <v>05_Users</v>
          </cell>
          <cell r="F2712"/>
          <cell r="G2712"/>
          <cell r="H2712"/>
          <cell r="I2712"/>
          <cell r="J2712"/>
          <cell r="K2712"/>
          <cell r="L2712"/>
          <cell r="M2712"/>
          <cell r="N2712"/>
          <cell r="O2712"/>
          <cell r="P2712"/>
          <cell r="Q2712"/>
          <cell r="R2712"/>
          <cell r="S2712"/>
          <cell r="T2712"/>
          <cell r="U2712"/>
          <cell r="V2712"/>
          <cell r="W2712"/>
          <cell r="X2712"/>
          <cell r="Y2712"/>
          <cell r="Z2712"/>
          <cell r="AA2712"/>
          <cell r="AB2712"/>
          <cell r="AC2712"/>
          <cell r="AD2712"/>
          <cell r="AE2712"/>
          <cell r="AF2712"/>
          <cell r="AG2712"/>
          <cell r="AH2712"/>
          <cell r="AI2712"/>
          <cell r="AJ2712"/>
          <cell r="AK2712"/>
          <cell r="AL2712"/>
        </row>
        <row r="2713">
          <cell r="E2713" t="str">
            <v>05_Users</v>
          </cell>
          <cell r="F2713"/>
          <cell r="G2713"/>
          <cell r="H2713"/>
          <cell r="I2713"/>
          <cell r="J2713"/>
          <cell r="K2713"/>
          <cell r="L2713"/>
          <cell r="M2713"/>
          <cell r="N2713"/>
          <cell r="O2713"/>
          <cell r="P2713"/>
          <cell r="Q2713"/>
          <cell r="R2713"/>
          <cell r="S2713"/>
          <cell r="T2713"/>
          <cell r="U2713"/>
          <cell r="V2713"/>
          <cell r="W2713"/>
          <cell r="X2713"/>
          <cell r="Y2713"/>
          <cell r="Z2713"/>
          <cell r="AA2713"/>
          <cell r="AB2713"/>
          <cell r="AC2713"/>
          <cell r="AD2713"/>
          <cell r="AE2713"/>
          <cell r="AF2713"/>
          <cell r="AG2713"/>
          <cell r="AH2713"/>
          <cell r="AI2713"/>
          <cell r="AJ2713"/>
          <cell r="AK2713"/>
          <cell r="AL2713"/>
        </row>
        <row r="2714">
          <cell r="E2714" t="str">
            <v>05_Users</v>
          </cell>
          <cell r="F2714"/>
          <cell r="G2714"/>
          <cell r="H2714"/>
          <cell r="I2714"/>
          <cell r="J2714"/>
          <cell r="K2714"/>
          <cell r="L2714"/>
          <cell r="M2714"/>
          <cell r="N2714"/>
          <cell r="O2714"/>
          <cell r="P2714"/>
          <cell r="Q2714"/>
          <cell r="R2714"/>
          <cell r="S2714"/>
          <cell r="T2714"/>
          <cell r="U2714"/>
          <cell r="V2714"/>
          <cell r="W2714"/>
          <cell r="X2714"/>
          <cell r="Y2714"/>
          <cell r="Z2714"/>
          <cell r="AA2714"/>
          <cell r="AB2714"/>
          <cell r="AC2714"/>
          <cell r="AD2714"/>
          <cell r="AE2714"/>
          <cell r="AF2714"/>
          <cell r="AG2714"/>
          <cell r="AH2714"/>
          <cell r="AI2714"/>
          <cell r="AJ2714"/>
          <cell r="AK2714"/>
          <cell r="AL2714"/>
        </row>
        <row r="2715">
          <cell r="E2715" t="str">
            <v>05_Users</v>
          </cell>
          <cell r="F2715"/>
          <cell r="G2715"/>
          <cell r="H2715"/>
          <cell r="I2715"/>
          <cell r="J2715"/>
          <cell r="K2715"/>
          <cell r="L2715"/>
          <cell r="M2715"/>
          <cell r="N2715"/>
          <cell r="O2715"/>
          <cell r="P2715"/>
          <cell r="Q2715"/>
          <cell r="R2715"/>
          <cell r="S2715"/>
          <cell r="T2715"/>
          <cell r="U2715"/>
          <cell r="V2715"/>
          <cell r="W2715"/>
          <cell r="X2715"/>
          <cell r="Y2715"/>
          <cell r="Z2715"/>
          <cell r="AA2715"/>
          <cell r="AB2715"/>
          <cell r="AC2715"/>
          <cell r="AD2715"/>
          <cell r="AE2715"/>
          <cell r="AF2715"/>
          <cell r="AG2715"/>
          <cell r="AH2715"/>
          <cell r="AI2715"/>
          <cell r="AJ2715"/>
          <cell r="AK2715"/>
          <cell r="AL2715"/>
        </row>
        <row r="2716">
          <cell r="E2716" t="str">
            <v>05_Users</v>
          </cell>
          <cell r="F2716"/>
          <cell r="G2716"/>
          <cell r="H2716"/>
          <cell r="I2716"/>
          <cell r="J2716"/>
          <cell r="K2716"/>
          <cell r="L2716"/>
          <cell r="M2716"/>
          <cell r="N2716"/>
          <cell r="O2716"/>
          <cell r="P2716"/>
          <cell r="Q2716"/>
          <cell r="R2716"/>
          <cell r="S2716"/>
          <cell r="T2716"/>
          <cell r="U2716"/>
          <cell r="V2716"/>
          <cell r="W2716"/>
          <cell r="X2716"/>
          <cell r="Y2716"/>
          <cell r="Z2716"/>
          <cell r="AA2716"/>
          <cell r="AB2716"/>
          <cell r="AC2716"/>
          <cell r="AD2716"/>
          <cell r="AE2716"/>
          <cell r="AF2716"/>
          <cell r="AG2716"/>
          <cell r="AH2716"/>
          <cell r="AI2716"/>
          <cell r="AJ2716"/>
          <cell r="AK2716"/>
          <cell r="AL2716"/>
        </row>
        <row r="2717">
          <cell r="E2717" t="str">
            <v>05_Users</v>
          </cell>
          <cell r="F2717"/>
          <cell r="G2717"/>
          <cell r="H2717"/>
          <cell r="I2717"/>
          <cell r="J2717"/>
          <cell r="K2717"/>
          <cell r="L2717"/>
          <cell r="M2717"/>
          <cell r="N2717"/>
          <cell r="O2717"/>
          <cell r="P2717"/>
          <cell r="Q2717"/>
          <cell r="R2717"/>
          <cell r="S2717"/>
          <cell r="T2717"/>
          <cell r="U2717"/>
          <cell r="V2717"/>
          <cell r="W2717"/>
          <cell r="X2717"/>
          <cell r="Y2717"/>
          <cell r="Z2717"/>
          <cell r="AA2717"/>
          <cell r="AB2717"/>
          <cell r="AC2717"/>
          <cell r="AD2717"/>
          <cell r="AE2717"/>
          <cell r="AF2717"/>
          <cell r="AG2717"/>
          <cell r="AH2717"/>
          <cell r="AI2717"/>
          <cell r="AJ2717"/>
          <cell r="AK2717"/>
          <cell r="AL2717"/>
        </row>
        <row r="2718">
          <cell r="E2718" t="str">
            <v>05_Users</v>
          </cell>
          <cell r="F2718"/>
          <cell r="G2718"/>
          <cell r="H2718"/>
          <cell r="I2718"/>
          <cell r="J2718"/>
          <cell r="K2718"/>
          <cell r="L2718"/>
          <cell r="M2718"/>
          <cell r="N2718"/>
          <cell r="O2718"/>
          <cell r="P2718"/>
          <cell r="Q2718"/>
          <cell r="R2718"/>
          <cell r="S2718"/>
          <cell r="T2718"/>
          <cell r="U2718"/>
          <cell r="V2718"/>
          <cell r="W2718"/>
          <cell r="X2718"/>
          <cell r="Y2718"/>
          <cell r="Z2718"/>
          <cell r="AA2718"/>
          <cell r="AB2718"/>
          <cell r="AC2718"/>
          <cell r="AD2718"/>
          <cell r="AE2718"/>
          <cell r="AF2718"/>
          <cell r="AG2718"/>
          <cell r="AH2718"/>
          <cell r="AI2718"/>
          <cell r="AJ2718"/>
          <cell r="AK2718"/>
          <cell r="AL2718"/>
        </row>
        <row r="2719">
          <cell r="E2719" t="str">
            <v>05_Users</v>
          </cell>
          <cell r="F2719"/>
          <cell r="G2719"/>
          <cell r="H2719"/>
          <cell r="I2719"/>
          <cell r="J2719"/>
          <cell r="K2719"/>
          <cell r="L2719"/>
          <cell r="M2719"/>
          <cell r="N2719"/>
          <cell r="O2719"/>
          <cell r="P2719"/>
          <cell r="Q2719"/>
          <cell r="R2719"/>
          <cell r="S2719"/>
          <cell r="T2719"/>
          <cell r="U2719"/>
          <cell r="V2719"/>
          <cell r="W2719"/>
          <cell r="X2719"/>
          <cell r="Y2719"/>
          <cell r="Z2719"/>
          <cell r="AA2719"/>
          <cell r="AB2719"/>
          <cell r="AC2719"/>
          <cell r="AD2719"/>
          <cell r="AE2719"/>
          <cell r="AF2719"/>
          <cell r="AG2719"/>
          <cell r="AH2719"/>
          <cell r="AI2719"/>
          <cell r="AJ2719"/>
          <cell r="AK2719"/>
          <cell r="AL2719"/>
        </row>
        <row r="2720">
          <cell r="E2720" t="str">
            <v>05_Users</v>
          </cell>
          <cell r="F2720"/>
          <cell r="G2720"/>
          <cell r="H2720"/>
          <cell r="I2720"/>
          <cell r="J2720"/>
          <cell r="K2720"/>
          <cell r="L2720"/>
          <cell r="M2720"/>
          <cell r="N2720"/>
          <cell r="O2720"/>
          <cell r="P2720"/>
          <cell r="Q2720"/>
          <cell r="R2720"/>
          <cell r="S2720"/>
          <cell r="T2720"/>
          <cell r="U2720"/>
          <cell r="V2720"/>
          <cell r="W2720"/>
          <cell r="X2720"/>
          <cell r="Y2720"/>
          <cell r="Z2720"/>
          <cell r="AA2720"/>
          <cell r="AB2720"/>
          <cell r="AC2720"/>
          <cell r="AD2720"/>
          <cell r="AE2720"/>
          <cell r="AF2720"/>
          <cell r="AG2720"/>
          <cell r="AH2720"/>
          <cell r="AI2720"/>
          <cell r="AJ2720"/>
          <cell r="AK2720"/>
          <cell r="AL2720"/>
        </row>
        <row r="2721">
          <cell r="E2721" t="str">
            <v>05_Users</v>
          </cell>
          <cell r="F2721"/>
          <cell r="G2721"/>
          <cell r="H2721"/>
          <cell r="I2721"/>
          <cell r="J2721"/>
          <cell r="K2721"/>
          <cell r="L2721"/>
          <cell r="M2721"/>
          <cell r="N2721"/>
          <cell r="O2721"/>
          <cell r="P2721"/>
          <cell r="Q2721"/>
          <cell r="R2721"/>
          <cell r="S2721"/>
          <cell r="T2721"/>
          <cell r="U2721"/>
          <cell r="V2721"/>
          <cell r="W2721"/>
          <cell r="X2721"/>
          <cell r="Y2721"/>
          <cell r="Z2721"/>
          <cell r="AA2721"/>
          <cell r="AB2721"/>
          <cell r="AC2721"/>
          <cell r="AD2721"/>
          <cell r="AE2721"/>
          <cell r="AF2721"/>
          <cell r="AG2721"/>
          <cell r="AH2721"/>
          <cell r="AI2721"/>
          <cell r="AJ2721"/>
          <cell r="AK2721"/>
          <cell r="AL2721"/>
        </row>
        <row r="2722">
          <cell r="E2722" t="str">
            <v>05_Users</v>
          </cell>
          <cell r="F2722"/>
          <cell r="G2722"/>
          <cell r="H2722"/>
          <cell r="I2722"/>
          <cell r="J2722"/>
          <cell r="K2722"/>
          <cell r="L2722"/>
          <cell r="M2722"/>
          <cell r="N2722"/>
          <cell r="O2722"/>
          <cell r="P2722"/>
          <cell r="Q2722"/>
          <cell r="R2722"/>
          <cell r="S2722"/>
          <cell r="T2722"/>
          <cell r="U2722"/>
          <cell r="V2722"/>
          <cell r="W2722"/>
          <cell r="X2722"/>
          <cell r="Y2722"/>
          <cell r="Z2722"/>
          <cell r="AA2722"/>
          <cell r="AB2722"/>
          <cell r="AC2722"/>
          <cell r="AD2722"/>
          <cell r="AE2722"/>
          <cell r="AF2722"/>
          <cell r="AG2722"/>
          <cell r="AH2722"/>
          <cell r="AI2722"/>
          <cell r="AJ2722"/>
          <cell r="AK2722"/>
          <cell r="AL2722"/>
        </row>
        <row r="2723">
          <cell r="E2723" t="str">
            <v>05_Users</v>
          </cell>
          <cell r="F2723"/>
          <cell r="G2723"/>
          <cell r="H2723"/>
          <cell r="I2723"/>
          <cell r="J2723"/>
          <cell r="K2723"/>
          <cell r="L2723"/>
          <cell r="M2723"/>
          <cell r="N2723"/>
          <cell r="O2723"/>
          <cell r="P2723"/>
          <cell r="Q2723"/>
          <cell r="R2723"/>
          <cell r="S2723"/>
          <cell r="T2723"/>
          <cell r="U2723"/>
          <cell r="V2723"/>
          <cell r="W2723"/>
          <cell r="X2723"/>
          <cell r="Y2723"/>
          <cell r="Z2723"/>
          <cell r="AA2723"/>
          <cell r="AB2723"/>
          <cell r="AC2723"/>
          <cell r="AD2723"/>
          <cell r="AE2723"/>
          <cell r="AF2723"/>
          <cell r="AG2723"/>
          <cell r="AH2723"/>
          <cell r="AI2723"/>
          <cell r="AJ2723"/>
          <cell r="AK2723"/>
          <cell r="AL2723"/>
        </row>
        <row r="2724">
          <cell r="E2724" t="str">
            <v>05_Users</v>
          </cell>
          <cell r="F2724"/>
          <cell r="G2724"/>
          <cell r="H2724"/>
          <cell r="I2724"/>
          <cell r="J2724"/>
          <cell r="K2724"/>
          <cell r="L2724"/>
          <cell r="M2724"/>
          <cell r="N2724"/>
          <cell r="O2724"/>
          <cell r="P2724"/>
          <cell r="Q2724"/>
          <cell r="R2724"/>
          <cell r="S2724"/>
          <cell r="T2724"/>
          <cell r="U2724"/>
          <cell r="V2724"/>
          <cell r="W2724"/>
          <cell r="X2724"/>
          <cell r="Y2724"/>
          <cell r="Z2724"/>
          <cell r="AA2724"/>
          <cell r="AB2724"/>
          <cell r="AC2724"/>
          <cell r="AD2724"/>
          <cell r="AE2724"/>
          <cell r="AF2724"/>
          <cell r="AG2724"/>
          <cell r="AH2724"/>
          <cell r="AI2724"/>
          <cell r="AJ2724"/>
          <cell r="AK2724"/>
          <cell r="AL2724"/>
        </row>
        <row r="2725">
          <cell r="E2725" t="str">
            <v>05_Users</v>
          </cell>
          <cell r="F2725"/>
          <cell r="G2725"/>
          <cell r="H2725"/>
          <cell r="I2725"/>
          <cell r="J2725"/>
          <cell r="K2725"/>
          <cell r="L2725"/>
          <cell r="M2725"/>
          <cell r="N2725"/>
          <cell r="O2725"/>
          <cell r="P2725"/>
          <cell r="Q2725"/>
          <cell r="R2725"/>
          <cell r="S2725"/>
          <cell r="T2725"/>
          <cell r="U2725"/>
          <cell r="V2725"/>
          <cell r="W2725"/>
          <cell r="X2725"/>
          <cell r="Y2725"/>
          <cell r="Z2725"/>
          <cell r="AA2725"/>
          <cell r="AB2725"/>
          <cell r="AC2725"/>
          <cell r="AD2725"/>
          <cell r="AE2725"/>
          <cell r="AF2725"/>
          <cell r="AG2725"/>
          <cell r="AH2725"/>
          <cell r="AI2725"/>
          <cell r="AJ2725"/>
          <cell r="AK2725"/>
          <cell r="AL2725"/>
        </row>
        <row r="2726">
          <cell r="E2726" t="str">
            <v>05_Users</v>
          </cell>
          <cell r="F2726"/>
          <cell r="G2726"/>
          <cell r="H2726"/>
          <cell r="I2726"/>
          <cell r="J2726"/>
          <cell r="K2726"/>
          <cell r="L2726"/>
          <cell r="M2726"/>
          <cell r="N2726"/>
          <cell r="O2726"/>
          <cell r="P2726"/>
          <cell r="Q2726"/>
          <cell r="R2726"/>
          <cell r="S2726"/>
          <cell r="T2726"/>
          <cell r="U2726"/>
          <cell r="V2726"/>
          <cell r="W2726"/>
          <cell r="X2726"/>
          <cell r="Y2726"/>
          <cell r="Z2726"/>
          <cell r="AA2726"/>
          <cell r="AB2726"/>
          <cell r="AC2726"/>
          <cell r="AD2726"/>
          <cell r="AE2726"/>
          <cell r="AF2726"/>
          <cell r="AG2726"/>
          <cell r="AH2726"/>
          <cell r="AI2726"/>
          <cell r="AJ2726"/>
          <cell r="AK2726"/>
          <cell r="AL2726"/>
        </row>
        <row r="2727">
          <cell r="E2727" t="str">
            <v>05_Users</v>
          </cell>
          <cell r="F2727"/>
          <cell r="G2727"/>
          <cell r="H2727"/>
          <cell r="I2727"/>
          <cell r="J2727"/>
          <cell r="K2727"/>
          <cell r="L2727"/>
          <cell r="M2727"/>
          <cell r="N2727"/>
          <cell r="O2727"/>
          <cell r="P2727"/>
          <cell r="Q2727"/>
          <cell r="R2727"/>
          <cell r="S2727"/>
          <cell r="T2727"/>
          <cell r="U2727"/>
          <cell r="V2727"/>
          <cell r="W2727"/>
          <cell r="X2727"/>
          <cell r="Y2727"/>
          <cell r="Z2727"/>
          <cell r="AA2727"/>
          <cell r="AB2727"/>
          <cell r="AC2727"/>
          <cell r="AD2727"/>
          <cell r="AE2727"/>
          <cell r="AF2727"/>
          <cell r="AG2727"/>
          <cell r="AH2727"/>
          <cell r="AI2727"/>
          <cell r="AJ2727"/>
          <cell r="AK2727"/>
          <cell r="AL2727"/>
        </row>
        <row r="2728">
          <cell r="E2728" t="str">
            <v>05_Users</v>
          </cell>
          <cell r="F2728"/>
          <cell r="G2728"/>
          <cell r="H2728"/>
          <cell r="I2728"/>
          <cell r="J2728"/>
          <cell r="K2728"/>
          <cell r="L2728"/>
          <cell r="M2728"/>
          <cell r="N2728"/>
          <cell r="O2728"/>
          <cell r="P2728"/>
          <cell r="Q2728"/>
          <cell r="R2728"/>
          <cell r="S2728"/>
          <cell r="T2728"/>
          <cell r="U2728"/>
          <cell r="V2728"/>
          <cell r="W2728"/>
          <cell r="X2728"/>
          <cell r="Y2728"/>
          <cell r="Z2728"/>
          <cell r="AA2728"/>
          <cell r="AB2728"/>
          <cell r="AC2728"/>
          <cell r="AD2728"/>
          <cell r="AE2728"/>
          <cell r="AF2728"/>
          <cell r="AG2728"/>
          <cell r="AH2728"/>
          <cell r="AI2728"/>
          <cell r="AJ2728"/>
          <cell r="AK2728"/>
          <cell r="AL2728"/>
        </row>
        <row r="2729">
          <cell r="E2729"/>
          <cell r="F2729"/>
          <cell r="G2729"/>
          <cell r="H2729"/>
          <cell r="I2729"/>
          <cell r="J2729"/>
          <cell r="K2729"/>
          <cell r="L2729"/>
          <cell r="M2729"/>
          <cell r="N2729"/>
          <cell r="O2729"/>
          <cell r="P2729"/>
          <cell r="Q2729"/>
          <cell r="R2729"/>
          <cell r="S2729"/>
          <cell r="T2729"/>
          <cell r="U2729"/>
          <cell r="V2729"/>
          <cell r="W2729"/>
          <cell r="X2729"/>
          <cell r="Y2729"/>
          <cell r="Z2729"/>
          <cell r="AA2729"/>
          <cell r="AB2729"/>
          <cell r="AC2729"/>
          <cell r="AD2729"/>
          <cell r="AE2729"/>
          <cell r="AF2729"/>
          <cell r="AG2729"/>
          <cell r="AH2729"/>
          <cell r="AI2729"/>
          <cell r="AJ2729"/>
          <cell r="AK2729"/>
          <cell r="AL2729"/>
        </row>
        <row r="2730">
          <cell r="E2730"/>
          <cell r="F2730"/>
          <cell r="G2730"/>
          <cell r="H2730"/>
          <cell r="I2730"/>
          <cell r="J2730"/>
          <cell r="K2730"/>
          <cell r="L2730"/>
          <cell r="M2730"/>
          <cell r="N2730"/>
          <cell r="O2730"/>
          <cell r="P2730"/>
          <cell r="Q2730"/>
          <cell r="R2730"/>
          <cell r="S2730"/>
          <cell r="T2730"/>
          <cell r="U2730"/>
          <cell r="V2730"/>
          <cell r="W2730"/>
          <cell r="X2730"/>
          <cell r="Y2730"/>
          <cell r="Z2730"/>
          <cell r="AA2730"/>
          <cell r="AB2730"/>
          <cell r="AC2730"/>
          <cell r="AD2730"/>
          <cell r="AE2730"/>
          <cell r="AF2730"/>
          <cell r="AG2730"/>
          <cell r="AH2730"/>
          <cell r="AI2730"/>
          <cell r="AJ2730"/>
          <cell r="AK2730"/>
          <cell r="AL2730"/>
        </row>
        <row r="2731">
          <cell r="E2731" t="str">
            <v>基本主装置(128ポート、電源部含む)</v>
          </cell>
          <cell r="F2731" t="str">
            <v>台</v>
          </cell>
          <cell r="G2731"/>
          <cell r="H2731">
            <v>97500</v>
          </cell>
          <cell r="I2731"/>
          <cell r="J2731">
            <v>97500</v>
          </cell>
          <cell r="K2731"/>
          <cell r="L2731">
            <v>97500</v>
          </cell>
          <cell r="M2731"/>
          <cell r="N2731">
            <v>97500</v>
          </cell>
          <cell r="O2731"/>
          <cell r="P2731">
            <v>97500</v>
          </cell>
          <cell r="Q2731"/>
          <cell r="R2731">
            <v>97500</v>
          </cell>
          <cell r="S2731"/>
          <cell r="T2731">
            <v>97500</v>
          </cell>
          <cell r="U2731"/>
          <cell r="V2731">
            <v>97500</v>
          </cell>
          <cell r="W2731"/>
          <cell r="X2731">
            <v>97500</v>
          </cell>
          <cell r="Y2731"/>
          <cell r="Z2731">
            <v>97500</v>
          </cell>
          <cell r="AA2731"/>
          <cell r="AB2731"/>
          <cell r="AC2731"/>
          <cell r="AD2731">
            <v>8.9499999999999993</v>
          </cell>
          <cell r="AE2731"/>
          <cell r="AF2731"/>
          <cell r="AG2731"/>
          <cell r="AH2731"/>
          <cell r="AI2731"/>
          <cell r="AJ2731"/>
          <cell r="AK2731"/>
          <cell r="AL2731"/>
        </row>
        <row r="2732">
          <cell r="E2732" t="str">
            <v>基本主装置(96ポート、電源部含む)</v>
          </cell>
          <cell r="F2732" t="str">
            <v>台</v>
          </cell>
          <cell r="G2732"/>
          <cell r="H2732">
            <v>97500</v>
          </cell>
          <cell r="I2732"/>
          <cell r="J2732">
            <v>97500</v>
          </cell>
          <cell r="K2732"/>
          <cell r="L2732">
            <v>97500</v>
          </cell>
          <cell r="M2732"/>
          <cell r="N2732">
            <v>97500</v>
          </cell>
          <cell r="O2732"/>
          <cell r="P2732">
            <v>97500</v>
          </cell>
          <cell r="Q2732"/>
          <cell r="R2732">
            <v>97500</v>
          </cell>
          <cell r="S2732"/>
          <cell r="T2732">
            <v>97500</v>
          </cell>
          <cell r="U2732"/>
          <cell r="V2732">
            <v>97500</v>
          </cell>
          <cell r="W2732"/>
          <cell r="X2732">
            <v>97500</v>
          </cell>
          <cell r="Y2732"/>
          <cell r="Z2732">
            <v>97500</v>
          </cell>
          <cell r="AA2732"/>
          <cell r="AB2732"/>
          <cell r="AC2732"/>
          <cell r="AD2732">
            <v>6.55</v>
          </cell>
          <cell r="AE2732"/>
          <cell r="AF2732"/>
          <cell r="AG2732"/>
          <cell r="AH2732"/>
          <cell r="AI2732"/>
          <cell r="AJ2732"/>
          <cell r="AK2732"/>
          <cell r="AL2732"/>
        </row>
        <row r="2733">
          <cell r="E2733" t="str">
            <v>制御ユニット</v>
          </cell>
          <cell r="F2733" t="str">
            <v>台</v>
          </cell>
          <cell r="G2733"/>
          <cell r="H2733">
            <v>75000</v>
          </cell>
          <cell r="I2733"/>
          <cell r="J2733">
            <v>75000</v>
          </cell>
          <cell r="K2733"/>
          <cell r="L2733">
            <v>75000</v>
          </cell>
          <cell r="M2733"/>
          <cell r="N2733">
            <v>75000</v>
          </cell>
          <cell r="O2733"/>
          <cell r="P2733">
            <v>75000</v>
          </cell>
          <cell r="Q2733"/>
          <cell r="R2733">
            <v>75000</v>
          </cell>
          <cell r="S2733"/>
          <cell r="T2733">
            <v>75000</v>
          </cell>
          <cell r="U2733"/>
          <cell r="V2733">
            <v>75000</v>
          </cell>
          <cell r="W2733"/>
          <cell r="X2733">
            <v>75000</v>
          </cell>
          <cell r="Y2733"/>
          <cell r="Z2733">
            <v>75000</v>
          </cell>
          <cell r="AA2733"/>
          <cell r="AB2733"/>
          <cell r="AC2733"/>
          <cell r="AD2733">
            <v>0.1</v>
          </cell>
          <cell r="AE2733"/>
          <cell r="AF2733"/>
          <cell r="AG2733"/>
          <cell r="AH2733"/>
          <cell r="AI2733"/>
          <cell r="AJ2733"/>
          <cell r="AK2733"/>
          <cell r="AL2733"/>
        </row>
        <row r="2734">
          <cell r="E2734" t="str">
            <v>基本ソフトウェア</v>
          </cell>
          <cell r="F2734" t="str">
            <v>式</v>
          </cell>
          <cell r="G2734"/>
          <cell r="H2734">
            <v>75000</v>
          </cell>
          <cell r="I2734"/>
          <cell r="J2734">
            <v>75000</v>
          </cell>
          <cell r="K2734"/>
          <cell r="L2734">
            <v>75000</v>
          </cell>
          <cell r="M2734"/>
          <cell r="N2734">
            <v>75000</v>
          </cell>
          <cell r="O2734"/>
          <cell r="P2734">
            <v>75000</v>
          </cell>
          <cell r="Q2734"/>
          <cell r="R2734">
            <v>75000</v>
          </cell>
          <cell r="S2734"/>
          <cell r="T2734">
            <v>75000</v>
          </cell>
          <cell r="U2734"/>
          <cell r="V2734">
            <v>75000</v>
          </cell>
          <cell r="W2734"/>
          <cell r="X2734">
            <v>75000</v>
          </cell>
          <cell r="Y2734"/>
          <cell r="Z2734">
            <v>75000</v>
          </cell>
          <cell r="AA2734"/>
          <cell r="AB2734"/>
          <cell r="AC2734"/>
          <cell r="AD2734">
            <v>0.1</v>
          </cell>
          <cell r="AE2734"/>
          <cell r="AF2734"/>
          <cell r="AG2734"/>
          <cell r="AH2734"/>
          <cell r="AI2734"/>
          <cell r="AJ2734"/>
          <cell r="AK2734"/>
          <cell r="AL2734"/>
        </row>
        <row r="2735">
          <cell r="E2735" t="str">
            <v>アナログ局線ユニット(8回線)</v>
          </cell>
          <cell r="F2735" t="str">
            <v>台</v>
          </cell>
          <cell r="G2735"/>
          <cell r="H2735">
            <v>41200</v>
          </cell>
          <cell r="I2735"/>
          <cell r="J2735">
            <v>41200</v>
          </cell>
          <cell r="K2735"/>
          <cell r="L2735">
            <v>41200</v>
          </cell>
          <cell r="M2735"/>
          <cell r="N2735">
            <v>41200</v>
          </cell>
          <cell r="O2735"/>
          <cell r="P2735">
            <v>41200</v>
          </cell>
          <cell r="Q2735"/>
          <cell r="R2735">
            <v>41200</v>
          </cell>
          <cell r="S2735"/>
          <cell r="T2735">
            <v>41200</v>
          </cell>
          <cell r="U2735"/>
          <cell r="V2735">
            <v>41200</v>
          </cell>
          <cell r="W2735"/>
          <cell r="X2735">
            <v>41200</v>
          </cell>
          <cell r="Y2735"/>
          <cell r="Z2735">
            <v>41200</v>
          </cell>
          <cell r="AA2735"/>
          <cell r="AB2735"/>
          <cell r="AC2735"/>
          <cell r="AD2735">
            <v>0.1</v>
          </cell>
          <cell r="AE2735"/>
          <cell r="AF2735"/>
          <cell r="AG2735"/>
          <cell r="AH2735"/>
          <cell r="AI2735"/>
          <cell r="AJ2735"/>
          <cell r="AK2735"/>
          <cell r="AL2735"/>
        </row>
        <row r="2736">
          <cell r="E2736" t="str">
            <v>INS局線ユニット(4回線)</v>
          </cell>
          <cell r="F2736" t="str">
            <v>台</v>
          </cell>
          <cell r="G2736"/>
          <cell r="H2736">
            <v>75000</v>
          </cell>
          <cell r="I2736"/>
          <cell r="J2736">
            <v>75000</v>
          </cell>
          <cell r="K2736"/>
          <cell r="L2736">
            <v>75000</v>
          </cell>
          <cell r="M2736"/>
          <cell r="N2736">
            <v>75000</v>
          </cell>
          <cell r="O2736"/>
          <cell r="P2736">
            <v>75000</v>
          </cell>
          <cell r="Q2736"/>
          <cell r="R2736">
            <v>75000</v>
          </cell>
          <cell r="S2736"/>
          <cell r="T2736">
            <v>75000</v>
          </cell>
          <cell r="U2736"/>
          <cell r="V2736">
            <v>75000</v>
          </cell>
          <cell r="W2736"/>
          <cell r="X2736">
            <v>75000</v>
          </cell>
          <cell r="Y2736"/>
          <cell r="Z2736">
            <v>75000</v>
          </cell>
          <cell r="AA2736"/>
          <cell r="AB2736"/>
          <cell r="AC2736"/>
          <cell r="AD2736">
            <v>0.1</v>
          </cell>
          <cell r="AE2736"/>
          <cell r="AF2736"/>
          <cell r="AG2736"/>
          <cell r="AH2736"/>
          <cell r="AI2736"/>
          <cell r="AJ2736"/>
          <cell r="AK2736"/>
          <cell r="AL2736"/>
        </row>
        <row r="2737">
          <cell r="E2737" t="str">
            <v>多機能内線ユニット(8回線)</v>
          </cell>
          <cell r="F2737" t="str">
            <v>台</v>
          </cell>
          <cell r="G2737"/>
          <cell r="H2737">
            <v>22500</v>
          </cell>
          <cell r="I2737"/>
          <cell r="J2737">
            <v>22500</v>
          </cell>
          <cell r="K2737"/>
          <cell r="L2737">
            <v>22500</v>
          </cell>
          <cell r="M2737"/>
          <cell r="N2737">
            <v>22500</v>
          </cell>
          <cell r="O2737"/>
          <cell r="P2737">
            <v>22500</v>
          </cell>
          <cell r="Q2737"/>
          <cell r="R2737">
            <v>22500</v>
          </cell>
          <cell r="S2737"/>
          <cell r="T2737">
            <v>22500</v>
          </cell>
          <cell r="U2737"/>
          <cell r="V2737">
            <v>22500</v>
          </cell>
          <cell r="W2737"/>
          <cell r="X2737">
            <v>22500</v>
          </cell>
          <cell r="Y2737"/>
          <cell r="Z2737">
            <v>22500</v>
          </cell>
          <cell r="AA2737"/>
          <cell r="AB2737"/>
          <cell r="AC2737"/>
          <cell r="AD2737">
            <v>0.1</v>
          </cell>
          <cell r="AE2737"/>
          <cell r="AF2737"/>
          <cell r="AG2737"/>
          <cell r="AH2737"/>
          <cell r="AI2737"/>
          <cell r="AJ2737"/>
          <cell r="AK2737"/>
          <cell r="AL2737"/>
        </row>
        <row r="2738">
          <cell r="E2738" t="str">
            <v>単独内線ユニット(8回線)</v>
          </cell>
          <cell r="F2738" t="str">
            <v>台</v>
          </cell>
          <cell r="G2738"/>
          <cell r="H2738">
            <v>45000</v>
          </cell>
          <cell r="I2738"/>
          <cell r="J2738">
            <v>45000</v>
          </cell>
          <cell r="K2738"/>
          <cell r="L2738">
            <v>45000</v>
          </cell>
          <cell r="M2738"/>
          <cell r="N2738">
            <v>45000</v>
          </cell>
          <cell r="O2738"/>
          <cell r="P2738">
            <v>45000</v>
          </cell>
          <cell r="Q2738"/>
          <cell r="R2738">
            <v>45000</v>
          </cell>
          <cell r="S2738"/>
          <cell r="T2738">
            <v>45000</v>
          </cell>
          <cell r="U2738"/>
          <cell r="V2738">
            <v>45000</v>
          </cell>
          <cell r="W2738"/>
          <cell r="X2738">
            <v>45000</v>
          </cell>
          <cell r="Y2738"/>
          <cell r="Z2738">
            <v>45000</v>
          </cell>
          <cell r="AA2738"/>
          <cell r="AB2738"/>
          <cell r="AC2738"/>
          <cell r="AD2738">
            <v>0.1</v>
          </cell>
          <cell r="AE2738"/>
          <cell r="AF2738"/>
          <cell r="AG2738"/>
          <cell r="AH2738"/>
          <cell r="AI2738"/>
          <cell r="AJ2738"/>
          <cell r="AK2738"/>
          <cell r="AL2738"/>
        </row>
        <row r="2739">
          <cell r="E2739" t="str">
            <v>外部装置インターフェースユニット</v>
          </cell>
          <cell r="F2739" t="str">
            <v>台</v>
          </cell>
          <cell r="G2739"/>
          <cell r="H2739">
            <v>45000</v>
          </cell>
          <cell r="I2739"/>
          <cell r="J2739">
            <v>45000</v>
          </cell>
          <cell r="K2739"/>
          <cell r="L2739">
            <v>45000</v>
          </cell>
          <cell r="M2739"/>
          <cell r="N2739">
            <v>45000</v>
          </cell>
          <cell r="O2739"/>
          <cell r="P2739">
            <v>45000</v>
          </cell>
          <cell r="Q2739"/>
          <cell r="R2739">
            <v>45000</v>
          </cell>
          <cell r="S2739"/>
          <cell r="T2739">
            <v>45000</v>
          </cell>
          <cell r="U2739"/>
          <cell r="V2739">
            <v>45000</v>
          </cell>
          <cell r="W2739"/>
          <cell r="X2739">
            <v>45000</v>
          </cell>
          <cell r="Y2739"/>
          <cell r="Z2739">
            <v>45000</v>
          </cell>
          <cell r="AA2739"/>
          <cell r="AB2739"/>
          <cell r="AC2739"/>
          <cell r="AD2739">
            <v>0.1</v>
          </cell>
          <cell r="AE2739"/>
          <cell r="AF2739"/>
          <cell r="AG2739"/>
          <cell r="AH2739"/>
          <cell r="AI2739"/>
          <cell r="AJ2739"/>
          <cell r="AK2739"/>
          <cell r="AL2739"/>
        </row>
        <row r="2740">
          <cell r="E2740" t="str">
            <v>アナログ局線停電転送(8局線)</v>
          </cell>
          <cell r="F2740" t="str">
            <v>台</v>
          </cell>
          <cell r="G2740"/>
          <cell r="H2740">
            <v>30000</v>
          </cell>
          <cell r="I2740"/>
          <cell r="J2740">
            <v>30000</v>
          </cell>
          <cell r="K2740"/>
          <cell r="L2740">
            <v>30000</v>
          </cell>
          <cell r="M2740"/>
          <cell r="N2740">
            <v>30000</v>
          </cell>
          <cell r="O2740"/>
          <cell r="P2740">
            <v>30000</v>
          </cell>
          <cell r="Q2740"/>
          <cell r="R2740">
            <v>30000</v>
          </cell>
          <cell r="S2740"/>
          <cell r="T2740">
            <v>30000</v>
          </cell>
          <cell r="U2740"/>
          <cell r="V2740">
            <v>30000</v>
          </cell>
          <cell r="W2740"/>
          <cell r="X2740">
            <v>30000</v>
          </cell>
          <cell r="Y2740"/>
          <cell r="Z2740">
            <v>30000</v>
          </cell>
          <cell r="AA2740"/>
          <cell r="AB2740"/>
          <cell r="AC2740"/>
          <cell r="AD2740">
            <v>0.1</v>
          </cell>
          <cell r="AE2740"/>
          <cell r="AF2740"/>
          <cell r="AG2740"/>
          <cell r="AH2740"/>
          <cell r="AI2740"/>
          <cell r="AJ2740"/>
          <cell r="AK2740"/>
          <cell r="AL2740"/>
        </row>
        <row r="2741">
          <cell r="E2741" t="str">
            <v>バッテリー(3分間)</v>
          </cell>
          <cell r="F2741" t="str">
            <v>台</v>
          </cell>
          <cell r="G2741"/>
          <cell r="H2741">
            <v>11200</v>
          </cell>
          <cell r="I2741"/>
          <cell r="J2741">
            <v>11200</v>
          </cell>
          <cell r="K2741"/>
          <cell r="L2741">
            <v>11200</v>
          </cell>
          <cell r="M2741"/>
          <cell r="N2741">
            <v>11200</v>
          </cell>
          <cell r="O2741"/>
          <cell r="P2741">
            <v>11200</v>
          </cell>
          <cell r="Q2741"/>
          <cell r="R2741">
            <v>11200</v>
          </cell>
          <cell r="S2741"/>
          <cell r="T2741">
            <v>11200</v>
          </cell>
          <cell r="U2741"/>
          <cell r="V2741">
            <v>11200</v>
          </cell>
          <cell r="W2741"/>
          <cell r="X2741">
            <v>11200</v>
          </cell>
          <cell r="Y2741"/>
          <cell r="Z2741">
            <v>11200</v>
          </cell>
          <cell r="AA2741"/>
          <cell r="AB2741"/>
          <cell r="AC2741"/>
          <cell r="AD2741">
            <v>0.1</v>
          </cell>
          <cell r="AE2741"/>
          <cell r="AF2741"/>
          <cell r="AG2741"/>
          <cell r="AH2741"/>
          <cell r="AI2741"/>
          <cell r="AJ2741"/>
          <cell r="AK2741"/>
          <cell r="AL2741"/>
        </row>
        <row r="2742">
          <cell r="E2742" t="str">
            <v>表示付きボタン電話機(24局)</v>
          </cell>
          <cell r="F2742" t="str">
            <v>台</v>
          </cell>
          <cell r="G2742"/>
          <cell r="H2742">
            <v>26200</v>
          </cell>
          <cell r="I2742"/>
          <cell r="J2742">
            <v>26200</v>
          </cell>
          <cell r="K2742"/>
          <cell r="L2742">
            <v>26200</v>
          </cell>
          <cell r="M2742"/>
          <cell r="N2742">
            <v>26200</v>
          </cell>
          <cell r="O2742"/>
          <cell r="P2742">
            <v>26200</v>
          </cell>
          <cell r="Q2742"/>
          <cell r="R2742">
            <v>26200</v>
          </cell>
          <cell r="S2742"/>
          <cell r="T2742">
            <v>26200</v>
          </cell>
          <cell r="U2742"/>
          <cell r="V2742">
            <v>26200</v>
          </cell>
          <cell r="W2742"/>
          <cell r="X2742">
            <v>26200</v>
          </cell>
          <cell r="Y2742"/>
          <cell r="Z2742">
            <v>26200</v>
          </cell>
          <cell r="AA2742"/>
          <cell r="AB2742"/>
          <cell r="AC2742"/>
          <cell r="AD2742">
            <v>0.16800000000000001</v>
          </cell>
          <cell r="AE2742"/>
          <cell r="AF2742"/>
          <cell r="AG2742"/>
          <cell r="AH2742"/>
          <cell r="AI2742"/>
          <cell r="AJ2742"/>
          <cell r="AK2742"/>
          <cell r="AL2742"/>
        </row>
        <row r="2743">
          <cell r="E2743" t="str">
            <v>デジタルドァホン</v>
          </cell>
          <cell r="F2743" t="str">
            <v>台</v>
          </cell>
          <cell r="G2743"/>
          <cell r="H2743">
            <v>11200</v>
          </cell>
          <cell r="I2743"/>
          <cell r="J2743">
            <v>11200</v>
          </cell>
          <cell r="K2743"/>
          <cell r="L2743">
            <v>11200</v>
          </cell>
          <cell r="M2743"/>
          <cell r="N2743">
            <v>11200</v>
          </cell>
          <cell r="O2743"/>
          <cell r="P2743">
            <v>11200</v>
          </cell>
          <cell r="Q2743"/>
          <cell r="R2743">
            <v>11200</v>
          </cell>
          <cell r="S2743"/>
          <cell r="T2743">
            <v>11200</v>
          </cell>
          <cell r="U2743"/>
          <cell r="V2743">
            <v>11200</v>
          </cell>
          <cell r="W2743"/>
          <cell r="X2743">
            <v>11200</v>
          </cell>
          <cell r="Y2743"/>
          <cell r="Z2743">
            <v>11200</v>
          </cell>
          <cell r="AA2743"/>
          <cell r="AB2743"/>
          <cell r="AC2743"/>
          <cell r="AD2743">
            <v>0.16800000000000001</v>
          </cell>
          <cell r="AE2743"/>
          <cell r="AF2743"/>
          <cell r="AG2743"/>
          <cell r="AH2743"/>
          <cell r="AI2743"/>
          <cell r="AJ2743"/>
          <cell r="AK2743"/>
          <cell r="AL2743"/>
        </row>
        <row r="2744">
          <cell r="E2744" t="str">
            <v>電話交換機</v>
          </cell>
          <cell r="F2744" t="str">
            <v>台</v>
          </cell>
          <cell r="G2744"/>
          <cell r="H2744"/>
          <cell r="I2744"/>
          <cell r="J2744"/>
          <cell r="K2744"/>
          <cell r="L2744"/>
          <cell r="M2744"/>
          <cell r="N2744"/>
          <cell r="O2744"/>
          <cell r="P2744"/>
          <cell r="Q2744"/>
          <cell r="R2744"/>
          <cell r="S2744"/>
          <cell r="T2744"/>
          <cell r="U2744"/>
          <cell r="V2744"/>
          <cell r="W2744"/>
          <cell r="X2744"/>
          <cell r="Y2744"/>
          <cell r="Z2744"/>
          <cell r="AA2744"/>
          <cell r="AB2744"/>
          <cell r="AC2744"/>
          <cell r="AD2744"/>
          <cell r="AE2744"/>
          <cell r="AF2744"/>
          <cell r="AG2744"/>
          <cell r="AH2744"/>
          <cell r="AI2744"/>
          <cell r="AJ2744"/>
          <cell r="AK2744"/>
          <cell r="AL2744"/>
        </row>
        <row r="2745">
          <cell r="E2745" t="str">
            <v>フロアダクト F-5</v>
          </cell>
          <cell r="F2745" t="str">
            <v>ｍ</v>
          </cell>
          <cell r="G2745"/>
          <cell r="H2745">
            <v>1600</v>
          </cell>
          <cell r="I2745"/>
          <cell r="J2745">
            <v>1600</v>
          </cell>
          <cell r="K2745"/>
          <cell r="L2745">
            <v>1600</v>
          </cell>
          <cell r="M2745"/>
          <cell r="N2745">
            <v>1600</v>
          </cell>
          <cell r="O2745"/>
          <cell r="P2745">
            <v>1600</v>
          </cell>
          <cell r="Q2745"/>
          <cell r="R2745">
            <v>1600</v>
          </cell>
          <cell r="S2745"/>
          <cell r="T2745">
            <v>1600</v>
          </cell>
          <cell r="U2745"/>
          <cell r="V2745">
            <v>1600</v>
          </cell>
          <cell r="W2745"/>
          <cell r="X2745">
            <v>1600</v>
          </cell>
          <cell r="Y2745"/>
          <cell r="Z2745">
            <v>1600</v>
          </cell>
          <cell r="AA2745"/>
          <cell r="AB2745"/>
          <cell r="AC2745"/>
          <cell r="AD2745">
            <v>0.313</v>
          </cell>
          <cell r="AE2745"/>
          <cell r="AF2745"/>
          <cell r="AG2745"/>
          <cell r="AH2745"/>
          <cell r="AI2745"/>
          <cell r="AJ2745"/>
          <cell r="AK2745"/>
          <cell r="AL2745"/>
        </row>
        <row r="2746">
          <cell r="E2746" t="str">
            <v>フロアダクト F-7</v>
          </cell>
          <cell r="F2746" t="str">
            <v>ｍ</v>
          </cell>
          <cell r="G2746"/>
          <cell r="H2746">
            <v>2000</v>
          </cell>
          <cell r="I2746"/>
          <cell r="J2746">
            <v>2000</v>
          </cell>
          <cell r="K2746"/>
          <cell r="L2746">
            <v>2000</v>
          </cell>
          <cell r="M2746"/>
          <cell r="N2746">
            <v>2000</v>
          </cell>
          <cell r="O2746"/>
          <cell r="P2746">
            <v>2000</v>
          </cell>
          <cell r="Q2746"/>
          <cell r="R2746">
            <v>2000</v>
          </cell>
          <cell r="S2746"/>
          <cell r="T2746">
            <v>2000</v>
          </cell>
          <cell r="U2746"/>
          <cell r="V2746">
            <v>2000</v>
          </cell>
          <cell r="W2746"/>
          <cell r="X2746">
            <v>2000</v>
          </cell>
          <cell r="Y2746"/>
          <cell r="Z2746">
            <v>2000</v>
          </cell>
          <cell r="AA2746"/>
          <cell r="AB2746"/>
          <cell r="AC2746"/>
          <cell r="AD2746">
            <v>0.38300000000000001</v>
          </cell>
          <cell r="AE2746"/>
          <cell r="AF2746"/>
          <cell r="AG2746"/>
          <cell r="AH2746"/>
          <cell r="AI2746"/>
          <cell r="AJ2746"/>
          <cell r="AK2746"/>
          <cell r="AL2746"/>
        </row>
        <row r="2747">
          <cell r="E2747" t="str">
            <v>フロアダクト FC-6</v>
          </cell>
          <cell r="F2747" t="str">
            <v>ｍ</v>
          </cell>
          <cell r="G2747"/>
          <cell r="H2747">
            <v>1500</v>
          </cell>
          <cell r="I2747"/>
          <cell r="J2747">
            <v>1500</v>
          </cell>
          <cell r="K2747"/>
          <cell r="L2747">
            <v>1500</v>
          </cell>
          <cell r="M2747"/>
          <cell r="N2747">
            <v>1500</v>
          </cell>
          <cell r="O2747"/>
          <cell r="P2747">
            <v>1500</v>
          </cell>
          <cell r="Q2747"/>
          <cell r="R2747">
            <v>1500</v>
          </cell>
          <cell r="S2747"/>
          <cell r="T2747">
            <v>1500</v>
          </cell>
          <cell r="U2747"/>
          <cell r="V2747">
            <v>1500</v>
          </cell>
          <cell r="W2747"/>
          <cell r="X2747">
            <v>1500</v>
          </cell>
          <cell r="Y2747"/>
          <cell r="Z2747">
            <v>1500</v>
          </cell>
          <cell r="AA2747"/>
          <cell r="AB2747"/>
          <cell r="AC2747"/>
          <cell r="AD2747">
            <v>0.34799999999999998</v>
          </cell>
          <cell r="AE2747"/>
          <cell r="AF2747"/>
          <cell r="AG2747"/>
          <cell r="AH2747"/>
          <cell r="AI2747"/>
          <cell r="AJ2747"/>
          <cell r="AK2747"/>
          <cell r="AL2747"/>
        </row>
        <row r="2748">
          <cell r="E2748" t="str">
            <v>フロアダクト FC-8</v>
          </cell>
          <cell r="F2748" t="str">
            <v>ｍ</v>
          </cell>
          <cell r="G2748"/>
          <cell r="H2748">
            <v>1800</v>
          </cell>
          <cell r="I2748"/>
          <cell r="J2748">
            <v>1800</v>
          </cell>
          <cell r="K2748"/>
          <cell r="L2748">
            <v>1800</v>
          </cell>
          <cell r="M2748"/>
          <cell r="N2748">
            <v>1800</v>
          </cell>
          <cell r="O2748"/>
          <cell r="P2748">
            <v>1800</v>
          </cell>
          <cell r="Q2748"/>
          <cell r="R2748">
            <v>1800</v>
          </cell>
          <cell r="S2748"/>
          <cell r="T2748">
            <v>1800</v>
          </cell>
          <cell r="U2748"/>
          <cell r="V2748">
            <v>1800</v>
          </cell>
          <cell r="W2748"/>
          <cell r="X2748">
            <v>1800</v>
          </cell>
          <cell r="Y2748"/>
          <cell r="Z2748">
            <v>1800</v>
          </cell>
          <cell r="AA2748"/>
          <cell r="AB2748"/>
          <cell r="AC2748"/>
          <cell r="AD2748">
            <v>0.74</v>
          </cell>
          <cell r="AE2748"/>
          <cell r="AF2748"/>
          <cell r="AG2748"/>
          <cell r="AH2748"/>
          <cell r="AI2748"/>
          <cell r="AJ2748"/>
          <cell r="AK2748"/>
          <cell r="AL2748"/>
        </row>
        <row r="2749">
          <cell r="E2749" t="str">
            <v>ジャンクションボックス 2Duct</v>
          </cell>
          <cell r="F2749" t="str">
            <v>個</v>
          </cell>
          <cell r="G2749"/>
          <cell r="H2749">
            <v>7000</v>
          </cell>
          <cell r="I2749"/>
          <cell r="J2749">
            <v>7000</v>
          </cell>
          <cell r="K2749"/>
          <cell r="L2749">
            <v>7000</v>
          </cell>
          <cell r="M2749"/>
          <cell r="N2749">
            <v>7000</v>
          </cell>
          <cell r="O2749"/>
          <cell r="P2749">
            <v>7000</v>
          </cell>
          <cell r="Q2749"/>
          <cell r="R2749">
            <v>7000</v>
          </cell>
          <cell r="S2749"/>
          <cell r="T2749">
            <v>7000</v>
          </cell>
          <cell r="U2749"/>
          <cell r="V2749">
            <v>7000</v>
          </cell>
          <cell r="W2749"/>
          <cell r="X2749">
            <v>7000</v>
          </cell>
          <cell r="Y2749"/>
          <cell r="Z2749">
            <v>7000</v>
          </cell>
          <cell r="AA2749"/>
          <cell r="AB2749"/>
          <cell r="AC2749"/>
          <cell r="AD2749">
            <v>0.27800000000000002</v>
          </cell>
          <cell r="AE2749"/>
          <cell r="AF2749"/>
          <cell r="AG2749"/>
          <cell r="AH2749"/>
          <cell r="AI2749"/>
          <cell r="AJ2749"/>
          <cell r="AK2749"/>
          <cell r="AL2749"/>
        </row>
        <row r="2750">
          <cell r="E2750" t="str">
            <v>ローテンションアウトレット</v>
          </cell>
          <cell r="F2750" t="str">
            <v>個</v>
          </cell>
          <cell r="G2750"/>
          <cell r="H2750">
            <v>3000</v>
          </cell>
          <cell r="I2750"/>
          <cell r="J2750">
            <v>3000</v>
          </cell>
          <cell r="K2750"/>
          <cell r="L2750">
            <v>3000</v>
          </cell>
          <cell r="M2750"/>
          <cell r="N2750">
            <v>3000</v>
          </cell>
          <cell r="O2750"/>
          <cell r="P2750">
            <v>3000</v>
          </cell>
          <cell r="Q2750"/>
          <cell r="R2750">
            <v>3000</v>
          </cell>
          <cell r="S2750"/>
          <cell r="T2750">
            <v>3000</v>
          </cell>
          <cell r="U2750"/>
          <cell r="V2750">
            <v>3000</v>
          </cell>
          <cell r="W2750"/>
          <cell r="X2750">
            <v>3000</v>
          </cell>
          <cell r="Y2750"/>
          <cell r="Z2750">
            <v>3000</v>
          </cell>
          <cell r="AA2750"/>
          <cell r="AB2750"/>
          <cell r="AC2750"/>
          <cell r="AD2750">
            <v>6.2E-2</v>
          </cell>
          <cell r="AE2750"/>
          <cell r="AF2750"/>
          <cell r="AG2750"/>
          <cell r="AH2750"/>
          <cell r="AI2750"/>
          <cell r="AJ2750"/>
          <cell r="AK2750"/>
          <cell r="AL2750"/>
        </row>
        <row r="2751">
          <cell r="E2751" t="str">
            <v>多機能内線電話機</v>
          </cell>
          <cell r="F2751" t="str">
            <v>台</v>
          </cell>
          <cell r="G2751"/>
          <cell r="H2751">
            <v>28000</v>
          </cell>
          <cell r="I2751"/>
          <cell r="J2751">
            <v>28000</v>
          </cell>
          <cell r="K2751"/>
          <cell r="L2751">
            <v>28000</v>
          </cell>
          <cell r="M2751"/>
          <cell r="N2751">
            <v>28000</v>
          </cell>
          <cell r="O2751"/>
          <cell r="P2751">
            <v>28000</v>
          </cell>
          <cell r="Q2751"/>
          <cell r="R2751">
            <v>28000</v>
          </cell>
          <cell r="S2751"/>
          <cell r="T2751">
            <v>28000</v>
          </cell>
          <cell r="U2751"/>
          <cell r="V2751">
            <v>28000</v>
          </cell>
          <cell r="W2751"/>
          <cell r="X2751">
            <v>28000</v>
          </cell>
          <cell r="Y2751"/>
          <cell r="Z2751">
            <v>28000</v>
          </cell>
          <cell r="AA2751"/>
          <cell r="AB2751"/>
          <cell r="AC2751"/>
          <cell r="AD2751">
            <v>0.16800000000000001</v>
          </cell>
          <cell r="AE2751"/>
          <cell r="AF2751"/>
          <cell r="AG2751"/>
          <cell r="AH2751"/>
          <cell r="AI2751"/>
          <cell r="AJ2751"/>
          <cell r="AK2751"/>
          <cell r="AL2751"/>
        </row>
        <row r="2752">
          <cell r="E2752" t="str">
            <v>内線電話機</v>
          </cell>
          <cell r="F2752" t="str">
            <v>台</v>
          </cell>
          <cell r="G2752"/>
          <cell r="H2752">
            <v>15000</v>
          </cell>
          <cell r="I2752"/>
          <cell r="J2752">
            <v>15000</v>
          </cell>
          <cell r="K2752"/>
          <cell r="L2752">
            <v>15000</v>
          </cell>
          <cell r="M2752"/>
          <cell r="N2752">
            <v>15000</v>
          </cell>
          <cell r="O2752"/>
          <cell r="P2752">
            <v>15000</v>
          </cell>
          <cell r="Q2752"/>
          <cell r="R2752">
            <v>15000</v>
          </cell>
          <cell r="S2752"/>
          <cell r="T2752">
            <v>15000</v>
          </cell>
          <cell r="U2752"/>
          <cell r="V2752">
            <v>15000</v>
          </cell>
          <cell r="W2752"/>
          <cell r="X2752">
            <v>15000</v>
          </cell>
          <cell r="Y2752"/>
          <cell r="Z2752">
            <v>15000</v>
          </cell>
          <cell r="AA2752"/>
          <cell r="AB2752"/>
          <cell r="AC2752"/>
          <cell r="AD2752">
            <v>0.16800000000000001</v>
          </cell>
          <cell r="AE2752"/>
          <cell r="AF2752"/>
          <cell r="AG2752"/>
          <cell r="AH2752"/>
          <cell r="AI2752"/>
          <cell r="AJ2752"/>
          <cell r="AK2752"/>
          <cell r="AL2752"/>
        </row>
        <row r="2753">
          <cell r="E2753" t="str">
            <v>PHSアンテナ</v>
          </cell>
          <cell r="F2753" t="str">
            <v>基</v>
          </cell>
          <cell r="G2753"/>
          <cell r="H2753">
            <v>46000</v>
          </cell>
          <cell r="I2753"/>
          <cell r="J2753">
            <v>46000</v>
          </cell>
          <cell r="K2753"/>
          <cell r="L2753">
            <v>46000</v>
          </cell>
          <cell r="M2753"/>
          <cell r="N2753">
            <v>46000</v>
          </cell>
          <cell r="O2753"/>
          <cell r="P2753">
            <v>46000</v>
          </cell>
          <cell r="Q2753"/>
          <cell r="R2753">
            <v>46000</v>
          </cell>
          <cell r="S2753"/>
          <cell r="T2753">
            <v>46000</v>
          </cell>
          <cell r="U2753"/>
          <cell r="V2753">
            <v>46000</v>
          </cell>
          <cell r="W2753"/>
          <cell r="X2753">
            <v>46000</v>
          </cell>
          <cell r="Y2753"/>
          <cell r="Z2753">
            <v>46000</v>
          </cell>
          <cell r="AA2753"/>
          <cell r="AB2753"/>
          <cell r="AC2753"/>
          <cell r="AD2753">
            <v>1.4</v>
          </cell>
          <cell r="AE2753"/>
          <cell r="AF2753"/>
          <cell r="AG2753"/>
          <cell r="AH2753"/>
          <cell r="AI2753"/>
          <cell r="AJ2753"/>
          <cell r="AK2753"/>
          <cell r="AL2753"/>
        </row>
        <row r="2754">
          <cell r="E2754" t="str">
            <v>PHS電話機</v>
          </cell>
          <cell r="F2754" t="str">
            <v>台</v>
          </cell>
          <cell r="G2754"/>
          <cell r="H2754">
            <v>35000</v>
          </cell>
          <cell r="I2754"/>
          <cell r="J2754">
            <v>35000</v>
          </cell>
          <cell r="K2754"/>
          <cell r="L2754">
            <v>35000</v>
          </cell>
          <cell r="M2754"/>
          <cell r="N2754">
            <v>35000</v>
          </cell>
          <cell r="O2754"/>
          <cell r="P2754">
            <v>35000</v>
          </cell>
          <cell r="Q2754"/>
          <cell r="R2754">
            <v>35000</v>
          </cell>
          <cell r="S2754"/>
          <cell r="T2754">
            <v>35000</v>
          </cell>
          <cell r="U2754"/>
          <cell r="V2754">
            <v>35000</v>
          </cell>
          <cell r="W2754"/>
          <cell r="X2754">
            <v>35000</v>
          </cell>
          <cell r="Y2754"/>
          <cell r="Z2754">
            <v>35000</v>
          </cell>
          <cell r="AA2754"/>
          <cell r="AB2754"/>
          <cell r="AC2754"/>
          <cell r="AD2754">
            <v>0.16800000000000001</v>
          </cell>
          <cell r="AE2754"/>
          <cell r="AF2754"/>
          <cell r="AG2754"/>
          <cell r="AH2754"/>
          <cell r="AI2754"/>
          <cell r="AJ2754"/>
          <cell r="AK2754"/>
          <cell r="AL2754"/>
        </row>
        <row r="2755">
          <cell r="E2755"/>
          <cell r="F2755"/>
          <cell r="G2755"/>
          <cell r="H2755"/>
          <cell r="I2755"/>
          <cell r="J2755"/>
          <cell r="K2755"/>
          <cell r="L2755"/>
          <cell r="M2755"/>
          <cell r="N2755"/>
          <cell r="O2755"/>
          <cell r="P2755"/>
          <cell r="Q2755"/>
          <cell r="R2755"/>
          <cell r="S2755"/>
          <cell r="T2755"/>
          <cell r="U2755"/>
          <cell r="V2755"/>
          <cell r="W2755"/>
          <cell r="X2755"/>
          <cell r="Y2755"/>
          <cell r="Z2755"/>
          <cell r="AA2755"/>
          <cell r="AB2755"/>
          <cell r="AC2755"/>
          <cell r="AD2755"/>
          <cell r="AE2755"/>
          <cell r="AF2755"/>
          <cell r="AG2755"/>
          <cell r="AH2755"/>
          <cell r="AI2755"/>
          <cell r="AJ2755"/>
          <cell r="AK2755"/>
          <cell r="AL2755"/>
        </row>
        <row r="2756">
          <cell r="E2756"/>
          <cell r="F2756"/>
          <cell r="G2756"/>
          <cell r="H2756"/>
          <cell r="I2756"/>
          <cell r="J2756"/>
          <cell r="K2756"/>
          <cell r="L2756"/>
          <cell r="M2756"/>
          <cell r="N2756"/>
          <cell r="O2756"/>
          <cell r="P2756"/>
          <cell r="Q2756"/>
          <cell r="R2756"/>
          <cell r="S2756"/>
          <cell r="T2756"/>
          <cell r="U2756"/>
          <cell r="V2756"/>
          <cell r="W2756"/>
          <cell r="X2756"/>
          <cell r="Y2756"/>
          <cell r="Z2756"/>
          <cell r="AA2756"/>
          <cell r="AB2756"/>
          <cell r="AC2756"/>
          <cell r="AD2756"/>
          <cell r="AE2756"/>
          <cell r="AF2756"/>
          <cell r="AG2756"/>
          <cell r="AH2756"/>
          <cell r="AI2756"/>
          <cell r="AJ2756"/>
          <cell r="AK2756"/>
          <cell r="AL2756"/>
        </row>
        <row r="2757">
          <cell r="E2757"/>
          <cell r="F2757"/>
          <cell r="G2757"/>
          <cell r="H2757"/>
          <cell r="I2757"/>
          <cell r="J2757"/>
          <cell r="K2757"/>
          <cell r="L2757"/>
          <cell r="M2757"/>
          <cell r="N2757"/>
          <cell r="O2757"/>
          <cell r="P2757"/>
          <cell r="Q2757"/>
          <cell r="R2757"/>
          <cell r="S2757"/>
          <cell r="T2757"/>
          <cell r="U2757"/>
          <cell r="V2757"/>
          <cell r="W2757"/>
          <cell r="X2757"/>
          <cell r="Y2757"/>
          <cell r="Z2757"/>
          <cell r="AA2757"/>
          <cell r="AB2757"/>
          <cell r="AC2757"/>
          <cell r="AD2757"/>
          <cell r="AE2757"/>
          <cell r="AF2757"/>
          <cell r="AG2757"/>
          <cell r="AH2757"/>
          <cell r="AI2757"/>
          <cell r="AJ2757"/>
          <cell r="AK2757"/>
          <cell r="AL2757"/>
        </row>
        <row r="2758">
          <cell r="E2758"/>
          <cell r="F2758"/>
          <cell r="G2758"/>
          <cell r="H2758"/>
          <cell r="I2758"/>
          <cell r="J2758"/>
          <cell r="K2758"/>
          <cell r="L2758"/>
          <cell r="M2758"/>
          <cell r="N2758"/>
          <cell r="O2758"/>
          <cell r="P2758"/>
          <cell r="Q2758"/>
          <cell r="R2758"/>
          <cell r="S2758"/>
          <cell r="T2758"/>
          <cell r="U2758"/>
          <cell r="V2758"/>
          <cell r="W2758"/>
          <cell r="X2758"/>
          <cell r="Y2758"/>
          <cell r="Z2758"/>
          <cell r="AA2758"/>
          <cell r="AB2758"/>
          <cell r="AC2758"/>
          <cell r="AD2758"/>
          <cell r="AE2758"/>
          <cell r="AF2758"/>
          <cell r="AG2758"/>
          <cell r="AH2758"/>
          <cell r="AI2758"/>
          <cell r="AJ2758"/>
          <cell r="AK2758"/>
          <cell r="AL2758"/>
        </row>
        <row r="2759">
          <cell r="E2759"/>
          <cell r="F2759"/>
          <cell r="G2759"/>
          <cell r="H2759"/>
          <cell r="I2759"/>
          <cell r="J2759"/>
          <cell r="K2759"/>
          <cell r="L2759"/>
          <cell r="M2759"/>
          <cell r="N2759"/>
          <cell r="O2759"/>
          <cell r="P2759"/>
          <cell r="Q2759"/>
          <cell r="R2759"/>
          <cell r="S2759"/>
          <cell r="T2759"/>
          <cell r="U2759"/>
          <cell r="V2759"/>
          <cell r="W2759"/>
          <cell r="X2759"/>
          <cell r="Y2759"/>
          <cell r="Z2759"/>
          <cell r="AA2759"/>
          <cell r="AB2759"/>
          <cell r="AC2759"/>
          <cell r="AD2759"/>
          <cell r="AE2759"/>
          <cell r="AF2759"/>
          <cell r="AG2759"/>
          <cell r="AH2759"/>
          <cell r="AI2759"/>
          <cell r="AJ2759"/>
          <cell r="AK2759"/>
          <cell r="AL2759"/>
        </row>
        <row r="2760">
          <cell r="E2760"/>
          <cell r="F2760"/>
          <cell r="G2760"/>
          <cell r="H2760"/>
          <cell r="I2760"/>
          <cell r="J2760"/>
          <cell r="K2760"/>
          <cell r="L2760"/>
          <cell r="M2760"/>
          <cell r="N2760"/>
          <cell r="O2760"/>
          <cell r="P2760"/>
          <cell r="Q2760"/>
          <cell r="R2760"/>
          <cell r="S2760"/>
          <cell r="T2760"/>
          <cell r="U2760"/>
          <cell r="V2760"/>
          <cell r="W2760"/>
          <cell r="X2760"/>
          <cell r="Y2760"/>
          <cell r="Z2760"/>
          <cell r="AA2760"/>
          <cell r="AB2760"/>
          <cell r="AC2760"/>
          <cell r="AD2760"/>
          <cell r="AE2760"/>
          <cell r="AF2760"/>
          <cell r="AG2760"/>
          <cell r="AH2760"/>
          <cell r="AI2760"/>
          <cell r="AJ2760"/>
          <cell r="AK2760"/>
          <cell r="AL2760"/>
        </row>
        <row r="2761">
          <cell r="E2761"/>
          <cell r="F2761"/>
          <cell r="G2761"/>
          <cell r="H2761"/>
          <cell r="I2761"/>
          <cell r="J2761"/>
          <cell r="K2761"/>
          <cell r="L2761"/>
          <cell r="M2761"/>
          <cell r="N2761"/>
          <cell r="O2761"/>
          <cell r="P2761"/>
          <cell r="Q2761"/>
          <cell r="R2761"/>
          <cell r="S2761"/>
          <cell r="T2761"/>
          <cell r="U2761"/>
          <cell r="V2761"/>
          <cell r="W2761"/>
          <cell r="X2761"/>
          <cell r="Y2761"/>
          <cell r="Z2761"/>
          <cell r="AA2761"/>
          <cell r="AB2761"/>
          <cell r="AC2761"/>
          <cell r="AD2761"/>
          <cell r="AE2761"/>
          <cell r="AF2761"/>
          <cell r="AG2761"/>
          <cell r="AH2761"/>
          <cell r="AI2761"/>
          <cell r="AJ2761"/>
          <cell r="AK2761"/>
          <cell r="AL2761"/>
        </row>
        <row r="2762">
          <cell r="E2762"/>
          <cell r="F2762"/>
          <cell r="G2762"/>
          <cell r="H2762"/>
          <cell r="I2762"/>
          <cell r="J2762"/>
          <cell r="K2762"/>
          <cell r="L2762"/>
          <cell r="M2762"/>
          <cell r="N2762"/>
          <cell r="O2762"/>
          <cell r="P2762"/>
          <cell r="Q2762"/>
          <cell r="R2762"/>
          <cell r="S2762"/>
          <cell r="T2762"/>
          <cell r="U2762"/>
          <cell r="V2762"/>
          <cell r="W2762"/>
          <cell r="X2762"/>
          <cell r="Y2762"/>
          <cell r="Z2762"/>
          <cell r="AA2762"/>
          <cell r="AB2762"/>
          <cell r="AC2762"/>
          <cell r="AD2762"/>
          <cell r="AE2762"/>
          <cell r="AF2762"/>
          <cell r="AG2762"/>
          <cell r="AH2762"/>
          <cell r="AI2762"/>
          <cell r="AJ2762"/>
          <cell r="AK2762"/>
          <cell r="AL2762"/>
        </row>
        <row r="2763">
          <cell r="E2763"/>
          <cell r="F2763"/>
          <cell r="G2763"/>
          <cell r="H2763"/>
          <cell r="I2763"/>
          <cell r="J2763"/>
          <cell r="K2763"/>
          <cell r="L2763"/>
          <cell r="M2763"/>
          <cell r="N2763"/>
          <cell r="O2763"/>
          <cell r="P2763"/>
          <cell r="Q2763"/>
          <cell r="R2763"/>
          <cell r="S2763"/>
          <cell r="T2763"/>
          <cell r="U2763"/>
          <cell r="V2763"/>
          <cell r="W2763"/>
          <cell r="X2763"/>
          <cell r="Y2763"/>
          <cell r="Z2763"/>
          <cell r="AA2763"/>
          <cell r="AB2763"/>
          <cell r="AC2763"/>
          <cell r="AD2763"/>
          <cell r="AE2763"/>
          <cell r="AF2763"/>
          <cell r="AG2763"/>
          <cell r="AH2763"/>
          <cell r="AI2763"/>
          <cell r="AJ2763"/>
          <cell r="AK2763"/>
          <cell r="AL2763"/>
        </row>
        <row r="2764">
          <cell r="E2764"/>
          <cell r="F2764"/>
          <cell r="G2764"/>
          <cell r="H2764"/>
          <cell r="I2764"/>
          <cell r="J2764"/>
          <cell r="K2764"/>
          <cell r="L2764"/>
          <cell r="M2764"/>
          <cell r="N2764"/>
          <cell r="O2764"/>
          <cell r="P2764"/>
          <cell r="Q2764"/>
          <cell r="R2764"/>
          <cell r="S2764"/>
          <cell r="T2764"/>
          <cell r="U2764"/>
          <cell r="V2764"/>
          <cell r="W2764"/>
          <cell r="X2764"/>
          <cell r="Y2764"/>
          <cell r="Z2764"/>
          <cell r="AA2764"/>
          <cell r="AB2764"/>
          <cell r="AC2764"/>
          <cell r="AD2764"/>
          <cell r="AE2764"/>
          <cell r="AF2764"/>
          <cell r="AG2764"/>
          <cell r="AH2764"/>
          <cell r="AI2764"/>
          <cell r="AJ2764"/>
          <cell r="AK2764"/>
          <cell r="AL2764"/>
        </row>
        <row r="2765">
          <cell r="E2765"/>
          <cell r="F2765"/>
          <cell r="G2765"/>
          <cell r="H2765"/>
          <cell r="I2765"/>
          <cell r="J2765"/>
          <cell r="K2765"/>
          <cell r="L2765"/>
          <cell r="M2765"/>
          <cell r="N2765"/>
          <cell r="O2765"/>
          <cell r="P2765"/>
          <cell r="Q2765"/>
          <cell r="R2765"/>
          <cell r="S2765"/>
          <cell r="T2765"/>
          <cell r="U2765"/>
          <cell r="V2765"/>
          <cell r="W2765"/>
          <cell r="X2765"/>
          <cell r="Y2765"/>
          <cell r="Z2765"/>
          <cell r="AA2765"/>
          <cell r="AB2765"/>
          <cell r="AC2765"/>
          <cell r="AD2765"/>
          <cell r="AE2765"/>
          <cell r="AF2765"/>
          <cell r="AG2765"/>
          <cell r="AH2765"/>
          <cell r="AI2765"/>
          <cell r="AJ2765"/>
          <cell r="AK2765"/>
          <cell r="AL2765"/>
        </row>
        <row r="2766">
          <cell r="E2766"/>
          <cell r="F2766"/>
          <cell r="G2766"/>
          <cell r="H2766"/>
          <cell r="I2766"/>
          <cell r="J2766"/>
          <cell r="K2766"/>
          <cell r="L2766"/>
          <cell r="M2766"/>
          <cell r="N2766"/>
          <cell r="O2766"/>
          <cell r="P2766"/>
          <cell r="Q2766"/>
          <cell r="R2766"/>
          <cell r="S2766"/>
          <cell r="T2766"/>
          <cell r="U2766"/>
          <cell r="V2766"/>
          <cell r="W2766"/>
          <cell r="X2766"/>
          <cell r="Y2766"/>
          <cell r="Z2766"/>
          <cell r="AA2766"/>
          <cell r="AB2766"/>
          <cell r="AC2766"/>
          <cell r="AD2766"/>
          <cell r="AE2766"/>
          <cell r="AF2766"/>
          <cell r="AG2766"/>
          <cell r="AH2766"/>
          <cell r="AI2766"/>
          <cell r="AJ2766"/>
          <cell r="AK2766"/>
          <cell r="AL2766"/>
        </row>
        <row r="2767">
          <cell r="E2767"/>
          <cell r="F2767"/>
          <cell r="G2767"/>
          <cell r="H2767"/>
          <cell r="I2767"/>
          <cell r="J2767"/>
          <cell r="K2767"/>
          <cell r="L2767"/>
          <cell r="M2767"/>
          <cell r="N2767"/>
          <cell r="O2767"/>
          <cell r="P2767"/>
          <cell r="Q2767"/>
          <cell r="R2767"/>
          <cell r="S2767"/>
          <cell r="T2767"/>
          <cell r="U2767"/>
          <cell r="V2767"/>
          <cell r="W2767"/>
          <cell r="X2767"/>
          <cell r="Y2767"/>
          <cell r="Z2767"/>
          <cell r="AA2767"/>
          <cell r="AB2767"/>
          <cell r="AC2767"/>
          <cell r="AD2767"/>
          <cell r="AE2767"/>
          <cell r="AF2767"/>
          <cell r="AG2767"/>
          <cell r="AH2767"/>
          <cell r="AI2767"/>
          <cell r="AJ2767"/>
          <cell r="AK2767"/>
          <cell r="AL2767"/>
        </row>
        <row r="2768">
          <cell r="E2768"/>
          <cell r="F2768"/>
          <cell r="G2768"/>
          <cell r="H2768"/>
          <cell r="I2768"/>
          <cell r="J2768"/>
          <cell r="K2768"/>
          <cell r="L2768"/>
          <cell r="M2768"/>
          <cell r="N2768"/>
          <cell r="O2768"/>
          <cell r="P2768"/>
          <cell r="Q2768"/>
          <cell r="R2768"/>
          <cell r="S2768"/>
          <cell r="T2768"/>
          <cell r="U2768"/>
          <cell r="V2768"/>
          <cell r="W2768"/>
          <cell r="X2768"/>
          <cell r="Y2768"/>
          <cell r="Z2768"/>
          <cell r="AA2768"/>
          <cell r="AB2768"/>
          <cell r="AC2768"/>
          <cell r="AD2768"/>
          <cell r="AE2768"/>
          <cell r="AF2768"/>
          <cell r="AG2768"/>
          <cell r="AH2768"/>
          <cell r="AI2768"/>
          <cell r="AJ2768"/>
          <cell r="AK2768"/>
          <cell r="AL2768"/>
        </row>
        <row r="2769">
          <cell r="E2769"/>
          <cell r="F2769"/>
          <cell r="G2769"/>
          <cell r="H2769"/>
          <cell r="I2769"/>
          <cell r="J2769"/>
          <cell r="K2769"/>
          <cell r="L2769"/>
          <cell r="M2769"/>
          <cell r="N2769"/>
          <cell r="O2769"/>
          <cell r="P2769"/>
          <cell r="Q2769"/>
          <cell r="R2769"/>
          <cell r="S2769"/>
          <cell r="T2769"/>
          <cell r="U2769"/>
          <cell r="V2769"/>
          <cell r="W2769"/>
          <cell r="X2769"/>
          <cell r="Y2769"/>
          <cell r="Z2769"/>
          <cell r="AA2769"/>
          <cell r="AB2769"/>
          <cell r="AC2769"/>
          <cell r="AD2769"/>
          <cell r="AE2769"/>
          <cell r="AF2769"/>
          <cell r="AG2769"/>
          <cell r="AH2769"/>
          <cell r="AI2769"/>
          <cell r="AJ2769"/>
          <cell r="AK2769"/>
          <cell r="AL2769"/>
        </row>
        <row r="2770">
          <cell r="E2770"/>
          <cell r="F2770"/>
          <cell r="G2770"/>
          <cell r="H2770"/>
          <cell r="I2770"/>
          <cell r="J2770"/>
          <cell r="K2770"/>
          <cell r="L2770"/>
          <cell r="M2770"/>
          <cell r="N2770"/>
          <cell r="O2770"/>
          <cell r="P2770"/>
          <cell r="Q2770"/>
          <cell r="R2770"/>
          <cell r="S2770"/>
          <cell r="T2770"/>
          <cell r="U2770"/>
          <cell r="V2770"/>
          <cell r="W2770"/>
          <cell r="X2770"/>
          <cell r="Y2770"/>
          <cell r="Z2770"/>
          <cell r="AA2770"/>
          <cell r="AB2770"/>
          <cell r="AC2770"/>
          <cell r="AD2770"/>
          <cell r="AE2770"/>
          <cell r="AF2770"/>
          <cell r="AG2770"/>
          <cell r="AH2770"/>
          <cell r="AI2770"/>
          <cell r="AJ2770"/>
          <cell r="AK2770"/>
          <cell r="AL2770"/>
        </row>
        <row r="2771">
          <cell r="E2771"/>
          <cell r="F2771"/>
          <cell r="G2771"/>
          <cell r="H2771"/>
          <cell r="I2771"/>
          <cell r="J2771"/>
          <cell r="K2771"/>
          <cell r="L2771"/>
          <cell r="M2771"/>
          <cell r="N2771"/>
          <cell r="O2771"/>
          <cell r="P2771"/>
          <cell r="Q2771"/>
          <cell r="R2771"/>
          <cell r="S2771"/>
          <cell r="T2771"/>
          <cell r="U2771"/>
          <cell r="V2771"/>
          <cell r="W2771"/>
          <cell r="X2771"/>
          <cell r="Y2771"/>
          <cell r="Z2771"/>
          <cell r="AA2771"/>
          <cell r="AB2771"/>
          <cell r="AC2771"/>
          <cell r="AD2771"/>
          <cell r="AE2771"/>
          <cell r="AF2771"/>
          <cell r="AG2771"/>
          <cell r="AH2771"/>
          <cell r="AI2771"/>
          <cell r="AJ2771"/>
          <cell r="AK2771"/>
          <cell r="AL2771"/>
        </row>
        <row r="2772">
          <cell r="E2772"/>
          <cell r="F2772"/>
          <cell r="G2772"/>
          <cell r="H2772"/>
          <cell r="I2772"/>
          <cell r="J2772"/>
          <cell r="K2772"/>
          <cell r="L2772"/>
          <cell r="M2772"/>
          <cell r="N2772"/>
          <cell r="O2772"/>
          <cell r="P2772"/>
          <cell r="Q2772"/>
          <cell r="R2772"/>
          <cell r="S2772"/>
          <cell r="T2772"/>
          <cell r="U2772"/>
          <cell r="V2772"/>
          <cell r="W2772"/>
          <cell r="X2772"/>
          <cell r="Y2772"/>
          <cell r="Z2772"/>
          <cell r="AA2772"/>
          <cell r="AB2772"/>
          <cell r="AC2772"/>
          <cell r="AD2772"/>
          <cell r="AE2772"/>
          <cell r="AF2772"/>
          <cell r="AG2772"/>
          <cell r="AH2772"/>
          <cell r="AI2772"/>
          <cell r="AJ2772"/>
          <cell r="AK2772"/>
          <cell r="AL2772"/>
        </row>
        <row r="2773">
          <cell r="E2773"/>
          <cell r="F2773"/>
          <cell r="G2773"/>
          <cell r="H2773"/>
          <cell r="I2773"/>
          <cell r="J2773"/>
          <cell r="K2773"/>
          <cell r="L2773"/>
          <cell r="M2773"/>
          <cell r="N2773"/>
          <cell r="O2773"/>
          <cell r="P2773"/>
          <cell r="Q2773"/>
          <cell r="R2773"/>
          <cell r="S2773"/>
          <cell r="T2773"/>
          <cell r="U2773"/>
          <cell r="V2773"/>
          <cell r="W2773"/>
          <cell r="X2773"/>
          <cell r="Y2773"/>
          <cell r="Z2773"/>
          <cell r="AA2773"/>
          <cell r="AB2773"/>
          <cell r="AC2773"/>
          <cell r="AD2773"/>
          <cell r="AE2773"/>
          <cell r="AF2773"/>
          <cell r="AG2773"/>
          <cell r="AH2773"/>
          <cell r="AI2773"/>
          <cell r="AJ2773"/>
          <cell r="AK2773"/>
          <cell r="AL2773"/>
        </row>
        <row r="2774">
          <cell r="E2774"/>
          <cell r="F2774"/>
          <cell r="G2774"/>
          <cell r="H2774"/>
          <cell r="I2774"/>
          <cell r="J2774"/>
          <cell r="K2774"/>
          <cell r="L2774"/>
          <cell r="M2774"/>
          <cell r="N2774"/>
          <cell r="O2774"/>
          <cell r="P2774"/>
          <cell r="Q2774"/>
          <cell r="R2774"/>
          <cell r="S2774"/>
          <cell r="T2774"/>
          <cell r="U2774"/>
          <cell r="V2774"/>
          <cell r="W2774"/>
          <cell r="X2774"/>
          <cell r="Y2774"/>
          <cell r="Z2774"/>
          <cell r="AA2774"/>
          <cell r="AB2774"/>
          <cell r="AC2774"/>
          <cell r="AD2774"/>
          <cell r="AE2774"/>
          <cell r="AF2774"/>
          <cell r="AG2774"/>
          <cell r="AH2774"/>
          <cell r="AI2774"/>
          <cell r="AJ2774"/>
          <cell r="AK2774"/>
          <cell r="AL2774"/>
        </row>
        <row r="2775">
          <cell r="E2775"/>
          <cell r="F2775"/>
          <cell r="G2775"/>
          <cell r="H2775"/>
          <cell r="I2775"/>
          <cell r="J2775"/>
          <cell r="K2775"/>
          <cell r="L2775"/>
          <cell r="M2775"/>
          <cell r="N2775"/>
          <cell r="O2775"/>
          <cell r="P2775"/>
          <cell r="Q2775"/>
          <cell r="R2775"/>
          <cell r="S2775"/>
          <cell r="T2775"/>
          <cell r="U2775"/>
          <cell r="V2775"/>
          <cell r="W2775"/>
          <cell r="X2775"/>
          <cell r="Y2775"/>
          <cell r="Z2775"/>
          <cell r="AA2775"/>
          <cell r="AB2775"/>
          <cell r="AC2775"/>
          <cell r="AD2775"/>
          <cell r="AE2775"/>
          <cell r="AF2775"/>
          <cell r="AG2775"/>
          <cell r="AH2775"/>
          <cell r="AI2775"/>
          <cell r="AJ2775"/>
          <cell r="AK2775"/>
          <cell r="AL2775"/>
        </row>
        <row r="2776">
          <cell r="E2776"/>
          <cell r="F2776"/>
          <cell r="G2776"/>
          <cell r="H2776"/>
          <cell r="I2776"/>
          <cell r="J2776"/>
          <cell r="K2776"/>
          <cell r="L2776"/>
          <cell r="M2776"/>
          <cell r="N2776"/>
          <cell r="O2776"/>
          <cell r="P2776"/>
          <cell r="Q2776"/>
          <cell r="R2776"/>
          <cell r="S2776"/>
          <cell r="T2776"/>
          <cell r="U2776"/>
          <cell r="V2776"/>
          <cell r="W2776"/>
          <cell r="X2776"/>
          <cell r="Y2776"/>
          <cell r="Z2776"/>
          <cell r="AA2776"/>
          <cell r="AB2776"/>
          <cell r="AC2776"/>
          <cell r="AD2776"/>
          <cell r="AE2776"/>
          <cell r="AF2776"/>
          <cell r="AG2776"/>
          <cell r="AH2776"/>
          <cell r="AI2776"/>
          <cell r="AJ2776"/>
          <cell r="AK2776"/>
          <cell r="AL2776"/>
        </row>
        <row r="2777">
          <cell r="E2777"/>
          <cell r="F2777"/>
          <cell r="G2777"/>
          <cell r="H2777"/>
          <cell r="I2777"/>
          <cell r="J2777"/>
          <cell r="K2777"/>
          <cell r="L2777"/>
          <cell r="M2777"/>
          <cell r="N2777"/>
          <cell r="O2777"/>
          <cell r="P2777"/>
          <cell r="Q2777"/>
          <cell r="R2777"/>
          <cell r="S2777"/>
          <cell r="T2777"/>
          <cell r="U2777"/>
          <cell r="V2777"/>
          <cell r="W2777"/>
          <cell r="X2777"/>
          <cell r="Y2777"/>
          <cell r="Z2777"/>
          <cell r="AA2777"/>
          <cell r="AB2777"/>
          <cell r="AC2777"/>
          <cell r="AD2777"/>
          <cell r="AE2777"/>
          <cell r="AF2777"/>
          <cell r="AG2777"/>
          <cell r="AH2777"/>
          <cell r="AI2777"/>
          <cell r="AJ2777"/>
          <cell r="AK2777"/>
          <cell r="AL2777"/>
        </row>
        <row r="2778">
          <cell r="E2778"/>
          <cell r="F2778"/>
          <cell r="G2778"/>
          <cell r="H2778"/>
          <cell r="I2778"/>
          <cell r="J2778"/>
          <cell r="K2778"/>
          <cell r="L2778"/>
          <cell r="M2778"/>
          <cell r="N2778"/>
          <cell r="O2778"/>
          <cell r="P2778"/>
          <cell r="Q2778"/>
          <cell r="R2778"/>
          <cell r="S2778"/>
          <cell r="T2778"/>
          <cell r="U2778"/>
          <cell r="V2778"/>
          <cell r="W2778"/>
          <cell r="X2778"/>
          <cell r="Y2778"/>
          <cell r="Z2778"/>
          <cell r="AA2778"/>
          <cell r="AB2778"/>
          <cell r="AC2778"/>
          <cell r="AD2778"/>
          <cell r="AE2778"/>
          <cell r="AF2778"/>
          <cell r="AG2778"/>
          <cell r="AH2778"/>
          <cell r="AI2778"/>
          <cell r="AJ2778"/>
          <cell r="AK2778"/>
          <cell r="AL2778"/>
        </row>
        <row r="2779">
          <cell r="E2779"/>
          <cell r="F2779"/>
          <cell r="G2779"/>
          <cell r="H2779"/>
          <cell r="I2779"/>
          <cell r="J2779"/>
          <cell r="K2779"/>
          <cell r="L2779"/>
          <cell r="M2779"/>
          <cell r="N2779"/>
          <cell r="O2779"/>
          <cell r="P2779"/>
          <cell r="Q2779"/>
          <cell r="R2779"/>
          <cell r="S2779"/>
          <cell r="T2779"/>
          <cell r="U2779"/>
          <cell r="V2779"/>
          <cell r="W2779"/>
          <cell r="X2779"/>
          <cell r="Y2779"/>
          <cell r="Z2779"/>
          <cell r="AA2779"/>
          <cell r="AB2779"/>
          <cell r="AC2779"/>
          <cell r="AD2779"/>
          <cell r="AE2779"/>
          <cell r="AF2779"/>
          <cell r="AG2779"/>
          <cell r="AH2779"/>
          <cell r="AI2779"/>
          <cell r="AJ2779"/>
          <cell r="AK2779"/>
          <cell r="AL2779"/>
        </row>
        <row r="2780">
          <cell r="E2780"/>
          <cell r="F2780"/>
          <cell r="G2780"/>
          <cell r="H2780"/>
          <cell r="I2780"/>
          <cell r="J2780"/>
          <cell r="K2780"/>
          <cell r="L2780"/>
          <cell r="M2780"/>
          <cell r="N2780"/>
          <cell r="O2780"/>
          <cell r="P2780"/>
          <cell r="Q2780"/>
          <cell r="R2780"/>
          <cell r="S2780"/>
          <cell r="T2780"/>
          <cell r="U2780"/>
          <cell r="V2780"/>
          <cell r="W2780"/>
          <cell r="X2780"/>
          <cell r="Y2780"/>
          <cell r="Z2780"/>
          <cell r="AA2780"/>
          <cell r="AB2780"/>
          <cell r="AC2780"/>
          <cell r="AD2780"/>
          <cell r="AE2780"/>
          <cell r="AF2780"/>
          <cell r="AG2780"/>
          <cell r="AH2780"/>
          <cell r="AI2780"/>
          <cell r="AJ2780"/>
          <cell r="AK2780"/>
          <cell r="AL2780"/>
        </row>
        <row r="2781">
          <cell r="E2781"/>
          <cell r="F2781"/>
          <cell r="G2781"/>
          <cell r="H2781"/>
          <cell r="I2781"/>
          <cell r="J2781"/>
          <cell r="K2781"/>
          <cell r="L2781"/>
          <cell r="M2781"/>
          <cell r="N2781"/>
          <cell r="O2781"/>
          <cell r="P2781"/>
          <cell r="Q2781"/>
          <cell r="R2781"/>
          <cell r="S2781"/>
          <cell r="T2781"/>
          <cell r="U2781"/>
          <cell r="V2781"/>
          <cell r="W2781"/>
          <cell r="X2781"/>
          <cell r="Y2781"/>
          <cell r="Z2781"/>
          <cell r="AA2781"/>
          <cell r="AB2781"/>
          <cell r="AC2781"/>
          <cell r="AD2781"/>
          <cell r="AE2781"/>
          <cell r="AF2781"/>
          <cell r="AG2781"/>
          <cell r="AH2781"/>
          <cell r="AI2781"/>
          <cell r="AJ2781"/>
          <cell r="AK2781"/>
          <cell r="AL2781"/>
        </row>
        <row r="2782">
          <cell r="E2782"/>
          <cell r="F2782"/>
          <cell r="G2782"/>
          <cell r="H2782"/>
          <cell r="I2782"/>
          <cell r="J2782"/>
          <cell r="K2782"/>
          <cell r="L2782"/>
          <cell r="M2782"/>
          <cell r="N2782"/>
          <cell r="O2782"/>
          <cell r="P2782"/>
          <cell r="Q2782"/>
          <cell r="R2782"/>
          <cell r="S2782"/>
          <cell r="T2782"/>
          <cell r="U2782"/>
          <cell r="V2782"/>
          <cell r="W2782"/>
          <cell r="X2782"/>
          <cell r="Y2782"/>
          <cell r="Z2782"/>
          <cell r="AA2782"/>
          <cell r="AB2782"/>
          <cell r="AC2782"/>
          <cell r="AD2782"/>
          <cell r="AE2782"/>
          <cell r="AF2782"/>
          <cell r="AG2782"/>
          <cell r="AH2782"/>
          <cell r="AI2782"/>
          <cell r="AJ2782"/>
          <cell r="AK2782"/>
          <cell r="AL2782"/>
        </row>
        <row r="2783">
          <cell r="E2783"/>
          <cell r="F2783"/>
          <cell r="G2783"/>
          <cell r="H2783"/>
          <cell r="I2783"/>
          <cell r="J2783"/>
          <cell r="K2783"/>
          <cell r="L2783"/>
          <cell r="M2783"/>
          <cell r="N2783"/>
          <cell r="O2783"/>
          <cell r="P2783"/>
          <cell r="Q2783"/>
          <cell r="R2783"/>
          <cell r="S2783"/>
          <cell r="T2783"/>
          <cell r="U2783"/>
          <cell r="V2783"/>
          <cell r="W2783"/>
          <cell r="X2783"/>
          <cell r="Y2783"/>
          <cell r="Z2783"/>
          <cell r="AA2783"/>
          <cell r="AB2783"/>
          <cell r="AC2783"/>
          <cell r="AD2783"/>
          <cell r="AE2783"/>
          <cell r="AF2783"/>
          <cell r="AG2783"/>
          <cell r="AH2783"/>
          <cell r="AI2783"/>
          <cell r="AJ2783"/>
          <cell r="AK2783"/>
          <cell r="AL2783"/>
        </row>
        <row r="2784">
          <cell r="E2784"/>
          <cell r="F2784"/>
          <cell r="G2784"/>
          <cell r="H2784"/>
          <cell r="I2784"/>
          <cell r="J2784"/>
          <cell r="K2784"/>
          <cell r="L2784"/>
          <cell r="M2784"/>
          <cell r="N2784"/>
          <cell r="O2784"/>
          <cell r="P2784"/>
          <cell r="Q2784"/>
          <cell r="R2784"/>
          <cell r="S2784"/>
          <cell r="T2784"/>
          <cell r="U2784"/>
          <cell r="V2784"/>
          <cell r="W2784"/>
          <cell r="X2784"/>
          <cell r="Y2784"/>
          <cell r="Z2784"/>
          <cell r="AA2784"/>
          <cell r="AB2784"/>
          <cell r="AC2784"/>
          <cell r="AD2784"/>
          <cell r="AE2784"/>
          <cell r="AF2784"/>
          <cell r="AG2784"/>
          <cell r="AH2784"/>
          <cell r="AI2784"/>
          <cell r="AJ2784"/>
          <cell r="AK2784"/>
          <cell r="AL2784"/>
        </row>
        <row r="2785">
          <cell r="E2785" t="str">
            <v>60W-5局</v>
          </cell>
          <cell r="F2785" t="str">
            <v>台</v>
          </cell>
          <cell r="G2785"/>
          <cell r="H2785">
            <v>45000</v>
          </cell>
          <cell r="I2785"/>
          <cell r="J2785">
            <v>45000</v>
          </cell>
          <cell r="K2785"/>
          <cell r="L2785">
            <v>45000</v>
          </cell>
          <cell r="M2785"/>
          <cell r="N2785">
            <v>45000</v>
          </cell>
          <cell r="O2785"/>
          <cell r="P2785">
            <v>45000</v>
          </cell>
          <cell r="Q2785"/>
          <cell r="R2785">
            <v>45000</v>
          </cell>
          <cell r="S2785"/>
          <cell r="T2785">
            <v>45000</v>
          </cell>
          <cell r="U2785"/>
          <cell r="V2785">
            <v>45000</v>
          </cell>
          <cell r="W2785"/>
          <cell r="X2785">
            <v>45000</v>
          </cell>
          <cell r="Y2785"/>
          <cell r="Z2785">
            <v>45000</v>
          </cell>
          <cell r="AA2785"/>
          <cell r="AB2785"/>
          <cell r="AC2785"/>
          <cell r="AD2785">
            <v>1.51</v>
          </cell>
          <cell r="AE2785"/>
          <cell r="AF2785"/>
          <cell r="AG2785"/>
          <cell r="AH2785"/>
          <cell r="AI2785"/>
          <cell r="AJ2785"/>
          <cell r="AK2785"/>
          <cell r="AL2785"/>
        </row>
        <row r="2786">
          <cell r="E2786" t="str">
            <v>120W-5局</v>
          </cell>
          <cell r="F2786" t="str">
            <v>台</v>
          </cell>
          <cell r="G2786"/>
          <cell r="H2786">
            <v>60000</v>
          </cell>
          <cell r="I2786"/>
          <cell r="J2786">
            <v>60000</v>
          </cell>
          <cell r="K2786"/>
          <cell r="L2786">
            <v>60000</v>
          </cell>
          <cell r="M2786"/>
          <cell r="N2786">
            <v>60000</v>
          </cell>
          <cell r="O2786"/>
          <cell r="P2786">
            <v>60000</v>
          </cell>
          <cell r="Q2786"/>
          <cell r="R2786">
            <v>60000</v>
          </cell>
          <cell r="S2786"/>
          <cell r="T2786">
            <v>60000</v>
          </cell>
          <cell r="U2786"/>
          <cell r="V2786">
            <v>60000</v>
          </cell>
          <cell r="W2786"/>
          <cell r="X2786">
            <v>60000</v>
          </cell>
          <cell r="Y2786"/>
          <cell r="Z2786">
            <v>60000</v>
          </cell>
          <cell r="AA2786"/>
          <cell r="AB2786"/>
          <cell r="AC2786"/>
          <cell r="AD2786">
            <v>4.03</v>
          </cell>
          <cell r="AE2786"/>
          <cell r="AF2786"/>
          <cell r="AG2786"/>
          <cell r="AH2786"/>
          <cell r="AI2786"/>
          <cell r="AJ2786"/>
          <cell r="AK2786"/>
          <cell r="AL2786"/>
        </row>
        <row r="2787">
          <cell r="E2787" t="str">
            <v>30W(50～20000Hz)</v>
          </cell>
          <cell r="F2787" t="str">
            <v>台</v>
          </cell>
          <cell r="G2787"/>
          <cell r="H2787">
            <v>84000</v>
          </cell>
          <cell r="I2787"/>
          <cell r="J2787">
            <v>84000</v>
          </cell>
          <cell r="K2787"/>
          <cell r="L2787">
            <v>84000</v>
          </cell>
          <cell r="M2787"/>
          <cell r="N2787">
            <v>84000</v>
          </cell>
          <cell r="O2787"/>
          <cell r="P2787">
            <v>84000</v>
          </cell>
          <cell r="Q2787"/>
          <cell r="R2787">
            <v>84000</v>
          </cell>
          <cell r="S2787"/>
          <cell r="T2787">
            <v>84000</v>
          </cell>
          <cell r="U2787"/>
          <cell r="V2787">
            <v>84000</v>
          </cell>
          <cell r="W2787"/>
          <cell r="X2787">
            <v>84000</v>
          </cell>
          <cell r="Y2787"/>
          <cell r="Z2787">
            <v>84000</v>
          </cell>
          <cell r="AA2787"/>
          <cell r="AB2787"/>
          <cell r="AC2787"/>
          <cell r="AD2787">
            <v>0.96499999999999997</v>
          </cell>
          <cell r="AE2787"/>
          <cell r="AF2787"/>
          <cell r="AG2787"/>
          <cell r="AH2787"/>
          <cell r="AI2787"/>
          <cell r="AJ2787"/>
          <cell r="AK2787"/>
          <cell r="AL2787"/>
        </row>
        <row r="2788">
          <cell r="E2788" t="str">
            <v>60W(50～20000Hz)</v>
          </cell>
          <cell r="F2788" t="str">
            <v>台</v>
          </cell>
          <cell r="G2788"/>
          <cell r="H2788">
            <v>93000</v>
          </cell>
          <cell r="I2788"/>
          <cell r="J2788">
            <v>93000</v>
          </cell>
          <cell r="K2788"/>
          <cell r="L2788">
            <v>93000</v>
          </cell>
          <cell r="M2788"/>
          <cell r="N2788">
            <v>93000</v>
          </cell>
          <cell r="O2788"/>
          <cell r="P2788">
            <v>93000</v>
          </cell>
          <cell r="Q2788"/>
          <cell r="R2788">
            <v>93000</v>
          </cell>
          <cell r="S2788"/>
          <cell r="T2788">
            <v>93000</v>
          </cell>
          <cell r="U2788"/>
          <cell r="V2788">
            <v>93000</v>
          </cell>
          <cell r="W2788"/>
          <cell r="X2788">
            <v>93000</v>
          </cell>
          <cell r="Y2788"/>
          <cell r="Z2788">
            <v>93000</v>
          </cell>
          <cell r="AA2788"/>
          <cell r="AB2788"/>
          <cell r="AC2788"/>
          <cell r="AD2788">
            <v>1.51</v>
          </cell>
          <cell r="AE2788"/>
          <cell r="AF2788"/>
          <cell r="AG2788"/>
          <cell r="AH2788"/>
          <cell r="AI2788"/>
          <cell r="AJ2788"/>
          <cell r="AK2788"/>
          <cell r="AL2788"/>
        </row>
        <row r="2789">
          <cell r="E2789" t="str">
            <v>120W(50～20000Hz)</v>
          </cell>
          <cell r="F2789" t="str">
            <v>台</v>
          </cell>
          <cell r="G2789"/>
          <cell r="H2789">
            <v>111000</v>
          </cell>
          <cell r="I2789"/>
          <cell r="J2789">
            <v>111000</v>
          </cell>
          <cell r="K2789"/>
          <cell r="L2789">
            <v>111000</v>
          </cell>
          <cell r="M2789"/>
          <cell r="N2789">
            <v>111000</v>
          </cell>
          <cell r="O2789"/>
          <cell r="P2789">
            <v>111000</v>
          </cell>
          <cell r="Q2789"/>
          <cell r="R2789">
            <v>111000</v>
          </cell>
          <cell r="S2789"/>
          <cell r="T2789">
            <v>111000</v>
          </cell>
          <cell r="U2789"/>
          <cell r="V2789">
            <v>111000</v>
          </cell>
          <cell r="W2789"/>
          <cell r="X2789">
            <v>111000</v>
          </cell>
          <cell r="Y2789"/>
          <cell r="Z2789">
            <v>111000</v>
          </cell>
          <cell r="AA2789"/>
          <cell r="AB2789"/>
          <cell r="AC2789"/>
          <cell r="AD2789">
            <v>4.03</v>
          </cell>
          <cell r="AE2789"/>
          <cell r="AF2789"/>
          <cell r="AG2789"/>
          <cell r="AH2789"/>
          <cell r="AI2789"/>
          <cell r="AJ2789"/>
          <cell r="AK2789"/>
          <cell r="AL2789"/>
        </row>
        <row r="2790">
          <cell r="E2790" t="str">
            <v>壁掛形-ABS-3W</v>
          </cell>
          <cell r="F2790" t="str">
            <v>個</v>
          </cell>
          <cell r="G2790"/>
          <cell r="H2790">
            <v>2340</v>
          </cell>
          <cell r="I2790"/>
          <cell r="J2790">
            <v>2340</v>
          </cell>
          <cell r="K2790"/>
          <cell r="L2790">
            <v>2340</v>
          </cell>
          <cell r="M2790"/>
          <cell r="N2790">
            <v>2340</v>
          </cell>
          <cell r="O2790"/>
          <cell r="P2790">
            <v>2340</v>
          </cell>
          <cell r="Q2790"/>
          <cell r="R2790">
            <v>2340</v>
          </cell>
          <cell r="S2790"/>
          <cell r="T2790">
            <v>2340</v>
          </cell>
          <cell r="U2790"/>
          <cell r="V2790">
            <v>2340</v>
          </cell>
          <cell r="W2790"/>
          <cell r="X2790">
            <v>2340</v>
          </cell>
          <cell r="Y2790"/>
          <cell r="Z2790">
            <v>2340</v>
          </cell>
          <cell r="AA2790"/>
          <cell r="AB2790"/>
          <cell r="AC2790"/>
          <cell r="AD2790">
            <v>9.7000000000000003E-2</v>
          </cell>
          <cell r="AE2790"/>
          <cell r="AF2790"/>
          <cell r="AG2790"/>
          <cell r="AH2790"/>
          <cell r="AI2790"/>
          <cell r="AJ2790"/>
          <cell r="AK2790"/>
          <cell r="AL2790"/>
        </row>
        <row r="2791">
          <cell r="E2791" t="str">
            <v>壁掛形-ABS-3W-AT付</v>
          </cell>
          <cell r="F2791" t="str">
            <v>個</v>
          </cell>
          <cell r="G2791"/>
          <cell r="H2791">
            <v>3310</v>
          </cell>
          <cell r="I2791"/>
          <cell r="J2791">
            <v>3310</v>
          </cell>
          <cell r="K2791"/>
          <cell r="L2791">
            <v>3310</v>
          </cell>
          <cell r="M2791"/>
          <cell r="N2791">
            <v>3310</v>
          </cell>
          <cell r="O2791"/>
          <cell r="P2791">
            <v>3310</v>
          </cell>
          <cell r="Q2791"/>
          <cell r="R2791">
            <v>3310</v>
          </cell>
          <cell r="S2791"/>
          <cell r="T2791">
            <v>3310</v>
          </cell>
          <cell r="U2791"/>
          <cell r="V2791">
            <v>3310</v>
          </cell>
          <cell r="W2791"/>
          <cell r="X2791">
            <v>3310</v>
          </cell>
          <cell r="Y2791"/>
          <cell r="Z2791">
            <v>3310</v>
          </cell>
          <cell r="AA2791"/>
          <cell r="AB2791"/>
          <cell r="AC2791"/>
          <cell r="AD2791">
            <v>9.7000000000000003E-2</v>
          </cell>
          <cell r="AE2791"/>
          <cell r="AF2791"/>
          <cell r="AG2791"/>
          <cell r="AH2791"/>
          <cell r="AI2791"/>
          <cell r="AJ2791"/>
          <cell r="AK2791"/>
          <cell r="AL2791"/>
        </row>
        <row r="2792">
          <cell r="E2792" t="str">
            <v>壁掛形-木製3W</v>
          </cell>
          <cell r="F2792" t="str">
            <v>個</v>
          </cell>
          <cell r="G2792"/>
          <cell r="H2792">
            <v>3770</v>
          </cell>
          <cell r="I2792"/>
          <cell r="J2792">
            <v>3770</v>
          </cell>
          <cell r="K2792"/>
          <cell r="L2792">
            <v>3770</v>
          </cell>
          <cell r="M2792"/>
          <cell r="N2792">
            <v>3770</v>
          </cell>
          <cell r="O2792"/>
          <cell r="P2792">
            <v>3770</v>
          </cell>
          <cell r="Q2792"/>
          <cell r="R2792">
            <v>3770</v>
          </cell>
          <cell r="S2792"/>
          <cell r="T2792">
            <v>3770</v>
          </cell>
          <cell r="U2792"/>
          <cell r="V2792">
            <v>3770</v>
          </cell>
          <cell r="W2792"/>
          <cell r="X2792">
            <v>3770</v>
          </cell>
          <cell r="Y2792"/>
          <cell r="Z2792">
            <v>3770</v>
          </cell>
          <cell r="AA2792"/>
          <cell r="AB2792"/>
          <cell r="AC2792"/>
          <cell r="AD2792">
            <v>9.7000000000000003E-2</v>
          </cell>
          <cell r="AE2792"/>
          <cell r="AF2792"/>
          <cell r="AG2792"/>
          <cell r="AH2792"/>
          <cell r="AI2792"/>
          <cell r="AJ2792"/>
          <cell r="AK2792"/>
          <cell r="AL2792"/>
        </row>
        <row r="2793">
          <cell r="E2793" t="str">
            <v>スピーカ 3W S3</v>
          </cell>
          <cell r="F2793" t="str">
            <v>個</v>
          </cell>
          <cell r="G2793"/>
          <cell r="H2793">
            <v>4870</v>
          </cell>
          <cell r="I2793"/>
          <cell r="J2793">
            <v>4870</v>
          </cell>
          <cell r="K2793"/>
          <cell r="L2793">
            <v>4870</v>
          </cell>
          <cell r="M2793"/>
          <cell r="N2793">
            <v>4870</v>
          </cell>
          <cell r="O2793"/>
          <cell r="P2793">
            <v>4870</v>
          </cell>
          <cell r="Q2793"/>
          <cell r="R2793">
            <v>4870</v>
          </cell>
          <cell r="S2793"/>
          <cell r="T2793">
            <v>4870</v>
          </cell>
          <cell r="U2793"/>
          <cell r="V2793">
            <v>4870</v>
          </cell>
          <cell r="W2793"/>
          <cell r="X2793">
            <v>4870</v>
          </cell>
          <cell r="Y2793"/>
          <cell r="Z2793">
            <v>4870</v>
          </cell>
          <cell r="AA2793"/>
          <cell r="AB2793"/>
          <cell r="AC2793"/>
          <cell r="AD2793">
            <v>9.7000000000000003E-2</v>
          </cell>
          <cell r="AE2793"/>
          <cell r="AF2793"/>
          <cell r="AG2793"/>
          <cell r="AH2793"/>
          <cell r="AI2793"/>
          <cell r="AJ2793"/>
          <cell r="AK2793"/>
          <cell r="AL2793" t="str">
            <v>壁掛形-木製3W-AT付</v>
          </cell>
        </row>
        <row r="2794">
          <cell r="E2794" t="str">
            <v>壁掛形-木製5W</v>
          </cell>
          <cell r="F2794" t="str">
            <v>個</v>
          </cell>
          <cell r="G2794"/>
          <cell r="H2794">
            <v>5130</v>
          </cell>
          <cell r="I2794"/>
          <cell r="J2794">
            <v>5130</v>
          </cell>
          <cell r="K2794"/>
          <cell r="L2794">
            <v>5130</v>
          </cell>
          <cell r="M2794"/>
          <cell r="N2794">
            <v>5130</v>
          </cell>
          <cell r="O2794"/>
          <cell r="P2794">
            <v>5130</v>
          </cell>
          <cell r="Q2794"/>
          <cell r="R2794">
            <v>5130</v>
          </cell>
          <cell r="S2794"/>
          <cell r="T2794">
            <v>5130</v>
          </cell>
          <cell r="U2794"/>
          <cell r="V2794">
            <v>5130</v>
          </cell>
          <cell r="W2794"/>
          <cell r="X2794">
            <v>5130</v>
          </cell>
          <cell r="Y2794"/>
          <cell r="Z2794">
            <v>5130</v>
          </cell>
          <cell r="AA2794"/>
          <cell r="AB2794"/>
          <cell r="AC2794"/>
          <cell r="AD2794">
            <v>9.7000000000000003E-2</v>
          </cell>
          <cell r="AE2794"/>
          <cell r="AF2794"/>
          <cell r="AG2794"/>
          <cell r="AH2794"/>
          <cell r="AI2794"/>
          <cell r="AJ2794"/>
          <cell r="AK2794"/>
          <cell r="AL2794"/>
        </row>
        <row r="2795">
          <cell r="E2795" t="str">
            <v>スピーカ 5W S4</v>
          </cell>
          <cell r="F2795" t="str">
            <v>個</v>
          </cell>
          <cell r="G2795"/>
          <cell r="H2795">
            <v>6240</v>
          </cell>
          <cell r="I2795"/>
          <cell r="J2795">
            <v>6240</v>
          </cell>
          <cell r="K2795"/>
          <cell r="L2795">
            <v>6240</v>
          </cell>
          <cell r="M2795"/>
          <cell r="N2795">
            <v>6240</v>
          </cell>
          <cell r="O2795"/>
          <cell r="P2795">
            <v>6240</v>
          </cell>
          <cell r="Q2795"/>
          <cell r="R2795">
            <v>6240</v>
          </cell>
          <cell r="S2795"/>
          <cell r="T2795">
            <v>6240</v>
          </cell>
          <cell r="U2795"/>
          <cell r="V2795">
            <v>6240</v>
          </cell>
          <cell r="W2795"/>
          <cell r="X2795">
            <v>6240</v>
          </cell>
          <cell r="Y2795"/>
          <cell r="Z2795">
            <v>6240</v>
          </cell>
          <cell r="AA2795"/>
          <cell r="AB2795"/>
          <cell r="AC2795"/>
          <cell r="AD2795">
            <v>9.7000000000000003E-2</v>
          </cell>
          <cell r="AE2795"/>
          <cell r="AF2795"/>
          <cell r="AG2795"/>
          <cell r="AH2795"/>
          <cell r="AI2795"/>
          <cell r="AJ2795"/>
          <cell r="AK2795"/>
          <cell r="AL2795" t="str">
            <v>壁掛形-木製5W-AT付</v>
          </cell>
        </row>
        <row r="2796">
          <cell r="E2796" t="str">
            <v>天井埋込形-ABS-3W</v>
          </cell>
          <cell r="F2796" t="str">
            <v>個</v>
          </cell>
          <cell r="G2796"/>
          <cell r="H2796">
            <v>3770</v>
          </cell>
          <cell r="I2796"/>
          <cell r="J2796">
            <v>3770</v>
          </cell>
          <cell r="K2796"/>
          <cell r="L2796">
            <v>3770</v>
          </cell>
          <cell r="M2796"/>
          <cell r="N2796">
            <v>3770</v>
          </cell>
          <cell r="O2796"/>
          <cell r="P2796">
            <v>3770</v>
          </cell>
          <cell r="Q2796"/>
          <cell r="R2796">
            <v>3770</v>
          </cell>
          <cell r="S2796"/>
          <cell r="T2796">
            <v>3770</v>
          </cell>
          <cell r="U2796"/>
          <cell r="V2796">
            <v>3770</v>
          </cell>
          <cell r="W2796"/>
          <cell r="X2796">
            <v>3770</v>
          </cell>
          <cell r="Y2796"/>
          <cell r="Z2796">
            <v>3770</v>
          </cell>
          <cell r="AA2796"/>
          <cell r="AB2796"/>
          <cell r="AC2796"/>
          <cell r="AD2796">
            <v>0.19500000000000001</v>
          </cell>
          <cell r="AE2796"/>
          <cell r="AF2796"/>
          <cell r="AG2796"/>
          <cell r="AH2796"/>
          <cell r="AI2796"/>
          <cell r="AJ2796"/>
          <cell r="AK2796"/>
          <cell r="AL2796"/>
        </row>
        <row r="2797">
          <cell r="E2797" t="str">
            <v>天井埋込形-ABS-3W-AT付</v>
          </cell>
          <cell r="F2797" t="str">
            <v>個</v>
          </cell>
          <cell r="G2797"/>
          <cell r="H2797">
            <v>4680</v>
          </cell>
          <cell r="I2797"/>
          <cell r="J2797">
            <v>4680</v>
          </cell>
          <cell r="K2797"/>
          <cell r="L2797">
            <v>4680</v>
          </cell>
          <cell r="M2797"/>
          <cell r="N2797">
            <v>4680</v>
          </cell>
          <cell r="O2797"/>
          <cell r="P2797">
            <v>4680</v>
          </cell>
          <cell r="Q2797"/>
          <cell r="R2797">
            <v>4680</v>
          </cell>
          <cell r="S2797"/>
          <cell r="T2797">
            <v>4680</v>
          </cell>
          <cell r="U2797"/>
          <cell r="V2797">
            <v>4680</v>
          </cell>
          <cell r="W2797"/>
          <cell r="X2797">
            <v>4680</v>
          </cell>
          <cell r="Y2797"/>
          <cell r="Z2797">
            <v>4680</v>
          </cell>
          <cell r="AA2797"/>
          <cell r="AB2797"/>
          <cell r="AC2797"/>
          <cell r="AD2797">
            <v>0.19500000000000001</v>
          </cell>
          <cell r="AE2797"/>
          <cell r="AF2797"/>
          <cell r="AG2797"/>
          <cell r="AH2797"/>
          <cell r="AI2797"/>
          <cell r="AJ2797"/>
          <cell r="AK2797"/>
          <cell r="AL2797"/>
        </row>
        <row r="2798">
          <cell r="E2798" t="str">
            <v>天井埋込形-ABS-6W</v>
          </cell>
          <cell r="F2798" t="str">
            <v>個</v>
          </cell>
          <cell r="G2798"/>
          <cell r="H2798">
            <v>3770</v>
          </cell>
          <cell r="I2798"/>
          <cell r="J2798">
            <v>3770</v>
          </cell>
          <cell r="K2798"/>
          <cell r="L2798">
            <v>3770</v>
          </cell>
          <cell r="M2798"/>
          <cell r="N2798">
            <v>3770</v>
          </cell>
          <cell r="O2798"/>
          <cell r="P2798">
            <v>3770</v>
          </cell>
          <cell r="Q2798"/>
          <cell r="R2798">
            <v>3770</v>
          </cell>
          <cell r="S2798"/>
          <cell r="T2798">
            <v>3770</v>
          </cell>
          <cell r="U2798"/>
          <cell r="V2798">
            <v>3770</v>
          </cell>
          <cell r="W2798"/>
          <cell r="X2798">
            <v>3770</v>
          </cell>
          <cell r="Y2798"/>
          <cell r="Z2798">
            <v>3770</v>
          </cell>
          <cell r="AA2798"/>
          <cell r="AB2798"/>
          <cell r="AC2798"/>
          <cell r="AD2798">
            <v>0.19500000000000001</v>
          </cell>
          <cell r="AE2798"/>
          <cell r="AF2798"/>
          <cell r="AG2798"/>
          <cell r="AH2798"/>
          <cell r="AI2798"/>
          <cell r="AJ2798"/>
          <cell r="AK2798"/>
          <cell r="AL2798"/>
        </row>
        <row r="2799">
          <cell r="E2799" t="str">
            <v>天井埋込形-ABS-6W-AT付</v>
          </cell>
          <cell r="F2799" t="str">
            <v>個</v>
          </cell>
          <cell r="G2799"/>
          <cell r="H2799">
            <v>4680</v>
          </cell>
          <cell r="I2799"/>
          <cell r="J2799">
            <v>4680</v>
          </cell>
          <cell r="K2799"/>
          <cell r="L2799">
            <v>4680</v>
          </cell>
          <cell r="M2799"/>
          <cell r="N2799">
            <v>4680</v>
          </cell>
          <cell r="O2799"/>
          <cell r="P2799">
            <v>4680</v>
          </cell>
          <cell r="Q2799"/>
          <cell r="R2799">
            <v>4680</v>
          </cell>
          <cell r="S2799"/>
          <cell r="T2799">
            <v>4680</v>
          </cell>
          <cell r="U2799"/>
          <cell r="V2799">
            <v>4680</v>
          </cell>
          <cell r="W2799"/>
          <cell r="X2799">
            <v>4680</v>
          </cell>
          <cell r="Y2799"/>
          <cell r="Z2799">
            <v>4680</v>
          </cell>
          <cell r="AA2799"/>
          <cell r="AB2799"/>
          <cell r="AC2799"/>
          <cell r="AD2799">
            <v>0.19500000000000001</v>
          </cell>
          <cell r="AE2799"/>
          <cell r="AF2799"/>
          <cell r="AG2799"/>
          <cell r="AH2799"/>
          <cell r="AI2799"/>
          <cell r="AJ2799"/>
          <cell r="AK2799"/>
          <cell r="AL2799"/>
        </row>
        <row r="2800">
          <cell r="E2800" t="str">
            <v>天井埋込形-ABS-3W布張り</v>
          </cell>
          <cell r="F2800" t="str">
            <v>個</v>
          </cell>
          <cell r="G2800"/>
          <cell r="H2800">
            <v>4030</v>
          </cell>
          <cell r="I2800"/>
          <cell r="J2800">
            <v>4030</v>
          </cell>
          <cell r="K2800"/>
          <cell r="L2800">
            <v>4030</v>
          </cell>
          <cell r="M2800"/>
          <cell r="N2800">
            <v>4030</v>
          </cell>
          <cell r="O2800"/>
          <cell r="P2800">
            <v>4030</v>
          </cell>
          <cell r="Q2800"/>
          <cell r="R2800">
            <v>4030</v>
          </cell>
          <cell r="S2800"/>
          <cell r="T2800">
            <v>4030</v>
          </cell>
          <cell r="U2800"/>
          <cell r="V2800">
            <v>4030</v>
          </cell>
          <cell r="W2800"/>
          <cell r="X2800">
            <v>4030</v>
          </cell>
          <cell r="Y2800"/>
          <cell r="Z2800">
            <v>4030</v>
          </cell>
          <cell r="AA2800"/>
          <cell r="AB2800"/>
          <cell r="AC2800"/>
          <cell r="AD2800">
            <v>0.19500000000000001</v>
          </cell>
          <cell r="AE2800"/>
          <cell r="AF2800"/>
          <cell r="AG2800"/>
          <cell r="AH2800"/>
          <cell r="AI2800"/>
          <cell r="AJ2800"/>
          <cell r="AK2800"/>
          <cell r="AL2800"/>
        </row>
        <row r="2801">
          <cell r="E2801" t="str">
            <v>天井埋込形-ABS-3W-AT付布張り</v>
          </cell>
          <cell r="F2801" t="str">
            <v>個</v>
          </cell>
          <cell r="G2801"/>
          <cell r="H2801">
            <v>5000</v>
          </cell>
          <cell r="I2801"/>
          <cell r="J2801">
            <v>5000</v>
          </cell>
          <cell r="K2801"/>
          <cell r="L2801">
            <v>5000</v>
          </cell>
          <cell r="M2801"/>
          <cell r="N2801">
            <v>5000</v>
          </cell>
          <cell r="O2801"/>
          <cell r="P2801">
            <v>5000</v>
          </cell>
          <cell r="Q2801"/>
          <cell r="R2801">
            <v>5000</v>
          </cell>
          <cell r="S2801"/>
          <cell r="T2801">
            <v>5000</v>
          </cell>
          <cell r="U2801"/>
          <cell r="V2801">
            <v>5000</v>
          </cell>
          <cell r="W2801"/>
          <cell r="X2801">
            <v>5000</v>
          </cell>
          <cell r="Y2801"/>
          <cell r="Z2801">
            <v>5000</v>
          </cell>
          <cell r="AA2801"/>
          <cell r="AB2801"/>
          <cell r="AC2801"/>
          <cell r="AD2801">
            <v>0.19500000000000001</v>
          </cell>
          <cell r="AE2801"/>
          <cell r="AF2801"/>
          <cell r="AG2801"/>
          <cell r="AH2801"/>
          <cell r="AI2801"/>
          <cell r="AJ2801"/>
          <cell r="AK2801"/>
          <cell r="AL2801"/>
        </row>
        <row r="2802">
          <cell r="E2802" t="str">
            <v>天井埋込形-ABS-6W布張り</v>
          </cell>
          <cell r="F2802" t="str">
            <v>個</v>
          </cell>
          <cell r="G2802"/>
          <cell r="H2802">
            <v>4030</v>
          </cell>
          <cell r="I2802"/>
          <cell r="J2802">
            <v>4030</v>
          </cell>
          <cell r="K2802"/>
          <cell r="L2802">
            <v>4030</v>
          </cell>
          <cell r="M2802"/>
          <cell r="N2802">
            <v>4030</v>
          </cell>
          <cell r="O2802"/>
          <cell r="P2802">
            <v>4030</v>
          </cell>
          <cell r="Q2802"/>
          <cell r="R2802">
            <v>4030</v>
          </cell>
          <cell r="S2802"/>
          <cell r="T2802">
            <v>4030</v>
          </cell>
          <cell r="U2802"/>
          <cell r="V2802">
            <v>4030</v>
          </cell>
          <cell r="W2802"/>
          <cell r="X2802">
            <v>4030</v>
          </cell>
          <cell r="Y2802"/>
          <cell r="Z2802">
            <v>4030</v>
          </cell>
          <cell r="AA2802"/>
          <cell r="AB2802"/>
          <cell r="AC2802"/>
          <cell r="AD2802">
            <v>0.19500000000000001</v>
          </cell>
          <cell r="AE2802"/>
          <cell r="AF2802"/>
          <cell r="AG2802"/>
          <cell r="AH2802"/>
          <cell r="AI2802"/>
          <cell r="AJ2802"/>
          <cell r="AK2802"/>
          <cell r="AL2802"/>
        </row>
        <row r="2803">
          <cell r="E2803" t="str">
            <v>天井埋込形-ABS-6W-AT付布張り</v>
          </cell>
          <cell r="F2803" t="str">
            <v>個</v>
          </cell>
          <cell r="G2803"/>
          <cell r="H2803">
            <v>5000</v>
          </cell>
          <cell r="I2803"/>
          <cell r="J2803">
            <v>5000</v>
          </cell>
          <cell r="K2803"/>
          <cell r="L2803">
            <v>5000</v>
          </cell>
          <cell r="M2803"/>
          <cell r="N2803">
            <v>5000</v>
          </cell>
          <cell r="O2803"/>
          <cell r="P2803">
            <v>5000</v>
          </cell>
          <cell r="Q2803"/>
          <cell r="R2803">
            <v>5000</v>
          </cell>
          <cell r="S2803"/>
          <cell r="T2803">
            <v>5000</v>
          </cell>
          <cell r="U2803"/>
          <cell r="V2803">
            <v>5000</v>
          </cell>
          <cell r="W2803"/>
          <cell r="X2803">
            <v>5000</v>
          </cell>
          <cell r="Y2803"/>
          <cell r="Z2803">
            <v>5000</v>
          </cell>
          <cell r="AA2803"/>
          <cell r="AB2803"/>
          <cell r="AC2803"/>
          <cell r="AD2803">
            <v>0.19500000000000001</v>
          </cell>
          <cell r="AE2803"/>
          <cell r="AF2803"/>
          <cell r="AG2803"/>
          <cell r="AH2803"/>
          <cell r="AI2803"/>
          <cell r="AJ2803"/>
          <cell r="AK2803"/>
          <cell r="AL2803"/>
        </row>
        <row r="2804">
          <cell r="E2804" t="str">
            <v>スピーカ 3W S1</v>
          </cell>
          <cell r="F2804" t="str">
            <v>個</v>
          </cell>
          <cell r="G2804"/>
          <cell r="H2804">
            <v>5330</v>
          </cell>
          <cell r="I2804"/>
          <cell r="J2804">
            <v>5330</v>
          </cell>
          <cell r="K2804"/>
          <cell r="L2804">
            <v>5330</v>
          </cell>
          <cell r="M2804"/>
          <cell r="N2804">
            <v>5330</v>
          </cell>
          <cell r="O2804"/>
          <cell r="P2804">
            <v>5330</v>
          </cell>
          <cell r="Q2804"/>
          <cell r="R2804">
            <v>5330</v>
          </cell>
          <cell r="S2804"/>
          <cell r="T2804">
            <v>5330</v>
          </cell>
          <cell r="U2804"/>
          <cell r="V2804">
            <v>5330</v>
          </cell>
          <cell r="W2804"/>
          <cell r="X2804">
            <v>5330</v>
          </cell>
          <cell r="Y2804"/>
          <cell r="Z2804">
            <v>5330</v>
          </cell>
          <cell r="AA2804"/>
          <cell r="AB2804"/>
          <cell r="AC2804"/>
          <cell r="AD2804">
            <v>0.19500000000000001</v>
          </cell>
          <cell r="AE2804"/>
          <cell r="AF2804"/>
          <cell r="AG2804"/>
          <cell r="AH2804"/>
          <cell r="AI2804"/>
          <cell r="AJ2804"/>
          <cell r="AK2804"/>
          <cell r="AL2804" t="str">
            <v>天井埋込形-金属-3W</v>
          </cell>
        </row>
        <row r="2805">
          <cell r="E2805" t="str">
            <v>天井埋込形-金属-3W-AT付</v>
          </cell>
          <cell r="F2805" t="str">
            <v>個</v>
          </cell>
          <cell r="G2805"/>
          <cell r="H2805">
            <v>6110</v>
          </cell>
          <cell r="I2805"/>
          <cell r="J2805">
            <v>6110</v>
          </cell>
          <cell r="K2805"/>
          <cell r="L2805">
            <v>6110</v>
          </cell>
          <cell r="M2805"/>
          <cell r="N2805">
            <v>6110</v>
          </cell>
          <cell r="O2805"/>
          <cell r="P2805">
            <v>6110</v>
          </cell>
          <cell r="Q2805"/>
          <cell r="R2805">
            <v>6110</v>
          </cell>
          <cell r="S2805"/>
          <cell r="T2805">
            <v>6110</v>
          </cell>
          <cell r="U2805"/>
          <cell r="V2805">
            <v>6110</v>
          </cell>
          <cell r="W2805"/>
          <cell r="X2805">
            <v>6110</v>
          </cell>
          <cell r="Y2805"/>
          <cell r="Z2805">
            <v>6110</v>
          </cell>
          <cell r="AA2805"/>
          <cell r="AB2805"/>
          <cell r="AC2805"/>
          <cell r="AD2805">
            <v>0.19500000000000001</v>
          </cell>
          <cell r="AE2805"/>
          <cell r="AF2805"/>
          <cell r="AG2805"/>
          <cell r="AH2805"/>
          <cell r="AI2805"/>
          <cell r="AJ2805"/>
          <cell r="AK2805"/>
          <cell r="AL2805"/>
        </row>
        <row r="2806">
          <cell r="E2806" t="str">
            <v>スピーカ 6W S2</v>
          </cell>
          <cell r="F2806" t="str">
            <v>個</v>
          </cell>
          <cell r="G2806"/>
          <cell r="H2806">
            <v>5330</v>
          </cell>
          <cell r="I2806"/>
          <cell r="J2806">
            <v>5330</v>
          </cell>
          <cell r="K2806"/>
          <cell r="L2806">
            <v>5330</v>
          </cell>
          <cell r="M2806"/>
          <cell r="N2806">
            <v>5330</v>
          </cell>
          <cell r="O2806"/>
          <cell r="P2806">
            <v>5330</v>
          </cell>
          <cell r="Q2806"/>
          <cell r="R2806">
            <v>5330</v>
          </cell>
          <cell r="S2806"/>
          <cell r="T2806">
            <v>5330</v>
          </cell>
          <cell r="U2806"/>
          <cell r="V2806">
            <v>5330</v>
          </cell>
          <cell r="W2806"/>
          <cell r="X2806">
            <v>5330</v>
          </cell>
          <cell r="Y2806"/>
          <cell r="Z2806">
            <v>5330</v>
          </cell>
          <cell r="AA2806"/>
          <cell r="AB2806"/>
          <cell r="AC2806"/>
          <cell r="AD2806">
            <v>0.19500000000000001</v>
          </cell>
          <cell r="AE2806"/>
          <cell r="AF2806"/>
          <cell r="AG2806"/>
          <cell r="AH2806"/>
          <cell r="AI2806"/>
          <cell r="AJ2806"/>
          <cell r="AK2806"/>
          <cell r="AL2806" t="str">
            <v>天井埋込形-金属-6W</v>
          </cell>
        </row>
        <row r="2807">
          <cell r="E2807" t="str">
            <v>天井埋込形-金属-6W-AT付</v>
          </cell>
          <cell r="F2807" t="str">
            <v>個</v>
          </cell>
          <cell r="G2807"/>
          <cell r="H2807">
            <v>6110</v>
          </cell>
          <cell r="I2807"/>
          <cell r="J2807">
            <v>6110</v>
          </cell>
          <cell r="K2807"/>
          <cell r="L2807">
            <v>6110</v>
          </cell>
          <cell r="M2807"/>
          <cell r="N2807">
            <v>6110</v>
          </cell>
          <cell r="O2807"/>
          <cell r="P2807">
            <v>6110</v>
          </cell>
          <cell r="Q2807"/>
          <cell r="R2807">
            <v>6110</v>
          </cell>
          <cell r="S2807"/>
          <cell r="T2807">
            <v>6110</v>
          </cell>
          <cell r="U2807"/>
          <cell r="V2807">
            <v>6110</v>
          </cell>
          <cell r="W2807"/>
          <cell r="X2807">
            <v>6110</v>
          </cell>
          <cell r="Y2807"/>
          <cell r="Z2807">
            <v>6110</v>
          </cell>
          <cell r="AA2807"/>
          <cell r="AB2807"/>
          <cell r="AC2807"/>
          <cell r="AD2807">
            <v>0.19500000000000001</v>
          </cell>
          <cell r="AE2807"/>
          <cell r="AF2807"/>
          <cell r="AG2807"/>
          <cell r="AH2807"/>
          <cell r="AI2807"/>
          <cell r="AJ2807"/>
          <cell r="AK2807"/>
          <cell r="AL2807"/>
        </row>
        <row r="2808">
          <cell r="E2808" t="str">
            <v>カットリレー</v>
          </cell>
          <cell r="F2808" t="str">
            <v>個</v>
          </cell>
          <cell r="G2808"/>
          <cell r="H2808">
            <v>12000</v>
          </cell>
          <cell r="I2808"/>
          <cell r="J2808">
            <v>12000</v>
          </cell>
          <cell r="K2808"/>
          <cell r="L2808">
            <v>12000</v>
          </cell>
          <cell r="M2808"/>
          <cell r="N2808">
            <v>12000</v>
          </cell>
          <cell r="O2808"/>
          <cell r="P2808">
            <v>12000</v>
          </cell>
          <cell r="Q2808"/>
          <cell r="R2808">
            <v>12000</v>
          </cell>
          <cell r="S2808"/>
          <cell r="T2808">
            <v>12000</v>
          </cell>
          <cell r="U2808"/>
          <cell r="V2808">
            <v>12000</v>
          </cell>
          <cell r="W2808"/>
          <cell r="X2808">
            <v>12000</v>
          </cell>
          <cell r="Y2808"/>
          <cell r="Z2808">
            <v>12000</v>
          </cell>
          <cell r="AA2808"/>
          <cell r="AB2808"/>
          <cell r="AC2808"/>
          <cell r="AD2808">
            <v>0.2</v>
          </cell>
          <cell r="AE2808"/>
          <cell r="AF2808"/>
          <cell r="AG2808"/>
          <cell r="AH2808"/>
          <cell r="AI2808"/>
          <cell r="AJ2808"/>
          <cell r="AK2808"/>
          <cell r="AL2808"/>
        </row>
        <row r="2809">
          <cell r="E2809" t="str">
            <v>プロセニアム・スピーカ 20W</v>
          </cell>
          <cell r="F2809" t="str">
            <v>個</v>
          </cell>
          <cell r="G2809"/>
          <cell r="H2809">
            <v>50000</v>
          </cell>
          <cell r="I2809"/>
          <cell r="J2809">
            <v>50000</v>
          </cell>
          <cell r="K2809"/>
          <cell r="L2809">
            <v>50000</v>
          </cell>
          <cell r="M2809"/>
          <cell r="N2809">
            <v>50000</v>
          </cell>
          <cell r="O2809"/>
          <cell r="P2809">
            <v>50000</v>
          </cell>
          <cell r="Q2809"/>
          <cell r="R2809">
            <v>50000</v>
          </cell>
          <cell r="S2809"/>
          <cell r="T2809">
            <v>50000</v>
          </cell>
          <cell r="U2809"/>
          <cell r="V2809">
            <v>50000</v>
          </cell>
          <cell r="W2809"/>
          <cell r="X2809">
            <v>50000</v>
          </cell>
          <cell r="Y2809"/>
          <cell r="Z2809">
            <v>50000</v>
          </cell>
          <cell r="AA2809"/>
          <cell r="AB2809"/>
          <cell r="AC2809"/>
          <cell r="AD2809">
            <v>0.3</v>
          </cell>
          <cell r="AE2809"/>
          <cell r="AF2809"/>
          <cell r="AG2809"/>
          <cell r="AH2809"/>
          <cell r="AI2809"/>
          <cell r="AJ2809"/>
          <cell r="AK2809"/>
          <cell r="AL2809"/>
        </row>
        <row r="2810">
          <cell r="E2810" t="str">
            <v>ソノライン・スピーカ 20W</v>
          </cell>
          <cell r="F2810" t="str">
            <v>個</v>
          </cell>
          <cell r="G2810"/>
          <cell r="H2810">
            <v>45000</v>
          </cell>
          <cell r="I2810"/>
          <cell r="J2810">
            <v>45000</v>
          </cell>
          <cell r="K2810"/>
          <cell r="L2810">
            <v>45000</v>
          </cell>
          <cell r="M2810"/>
          <cell r="N2810">
            <v>45000</v>
          </cell>
          <cell r="O2810"/>
          <cell r="P2810">
            <v>45000</v>
          </cell>
          <cell r="Q2810"/>
          <cell r="R2810">
            <v>45000</v>
          </cell>
          <cell r="S2810"/>
          <cell r="T2810">
            <v>45000</v>
          </cell>
          <cell r="U2810"/>
          <cell r="V2810">
            <v>45000</v>
          </cell>
          <cell r="W2810"/>
          <cell r="X2810">
            <v>45000</v>
          </cell>
          <cell r="Y2810"/>
          <cell r="Z2810">
            <v>45000</v>
          </cell>
          <cell r="AA2810"/>
          <cell r="AB2810"/>
          <cell r="AC2810"/>
          <cell r="AD2810">
            <v>0.2</v>
          </cell>
          <cell r="AE2810"/>
          <cell r="AF2810"/>
          <cell r="AG2810"/>
          <cell r="AH2810"/>
          <cell r="AI2810"/>
          <cell r="AJ2810"/>
          <cell r="AK2810"/>
          <cell r="AL2810"/>
        </row>
        <row r="2811">
          <cell r="E2811"/>
          <cell r="F2811"/>
          <cell r="G2811"/>
          <cell r="H2811"/>
          <cell r="I2811"/>
          <cell r="J2811"/>
          <cell r="K2811"/>
          <cell r="L2811"/>
          <cell r="M2811"/>
          <cell r="N2811"/>
          <cell r="O2811"/>
          <cell r="P2811"/>
          <cell r="Q2811"/>
          <cell r="R2811"/>
          <cell r="S2811"/>
          <cell r="T2811"/>
          <cell r="U2811"/>
          <cell r="V2811"/>
          <cell r="W2811"/>
          <cell r="X2811"/>
          <cell r="Y2811"/>
          <cell r="Z2811"/>
          <cell r="AA2811"/>
          <cell r="AB2811"/>
          <cell r="AC2811"/>
          <cell r="AD2811"/>
          <cell r="AE2811"/>
          <cell r="AF2811"/>
          <cell r="AG2811"/>
          <cell r="AH2811"/>
          <cell r="AI2811"/>
          <cell r="AJ2811"/>
          <cell r="AK2811"/>
          <cell r="AL2811"/>
        </row>
        <row r="2812">
          <cell r="E2812" t="str">
            <v>アッテネータ 3W</v>
          </cell>
          <cell r="F2812" t="str">
            <v>個</v>
          </cell>
          <cell r="G2812"/>
          <cell r="H2812">
            <v>2500</v>
          </cell>
          <cell r="I2812"/>
          <cell r="J2812">
            <v>2500</v>
          </cell>
          <cell r="K2812"/>
          <cell r="L2812">
            <v>2500</v>
          </cell>
          <cell r="M2812"/>
          <cell r="N2812">
            <v>2500</v>
          </cell>
          <cell r="O2812"/>
          <cell r="P2812">
            <v>2500</v>
          </cell>
          <cell r="Q2812"/>
          <cell r="R2812">
            <v>2500</v>
          </cell>
          <cell r="S2812"/>
          <cell r="T2812">
            <v>2500</v>
          </cell>
          <cell r="U2812"/>
          <cell r="V2812">
            <v>2500</v>
          </cell>
          <cell r="W2812"/>
          <cell r="X2812">
            <v>2500</v>
          </cell>
          <cell r="Y2812"/>
          <cell r="Z2812">
            <v>2500</v>
          </cell>
          <cell r="AA2812"/>
          <cell r="AB2812"/>
          <cell r="AC2812"/>
          <cell r="AD2812">
            <v>5.2999999999999999E-2</v>
          </cell>
          <cell r="AE2812"/>
          <cell r="AF2812"/>
          <cell r="AG2812"/>
          <cell r="AH2812"/>
          <cell r="AI2812"/>
          <cell r="AJ2812"/>
          <cell r="AK2812"/>
          <cell r="AL2812"/>
        </row>
        <row r="2813">
          <cell r="E2813" t="str">
            <v>アッテネータ 6W</v>
          </cell>
          <cell r="F2813" t="str">
            <v>個</v>
          </cell>
          <cell r="G2813"/>
          <cell r="H2813">
            <v>2800</v>
          </cell>
          <cell r="I2813"/>
          <cell r="J2813">
            <v>2800</v>
          </cell>
          <cell r="K2813"/>
          <cell r="L2813">
            <v>2800</v>
          </cell>
          <cell r="M2813"/>
          <cell r="N2813">
            <v>2800</v>
          </cell>
          <cell r="O2813"/>
          <cell r="P2813">
            <v>2800</v>
          </cell>
          <cell r="Q2813"/>
          <cell r="R2813">
            <v>2800</v>
          </cell>
          <cell r="S2813"/>
          <cell r="T2813">
            <v>2800</v>
          </cell>
          <cell r="U2813"/>
          <cell r="V2813">
            <v>2800</v>
          </cell>
          <cell r="W2813"/>
          <cell r="X2813">
            <v>2800</v>
          </cell>
          <cell r="Y2813"/>
          <cell r="Z2813">
            <v>2800</v>
          </cell>
          <cell r="AA2813"/>
          <cell r="AB2813"/>
          <cell r="AC2813"/>
          <cell r="AD2813">
            <v>5.2999999999999999E-2</v>
          </cell>
          <cell r="AE2813"/>
          <cell r="AF2813"/>
          <cell r="AG2813"/>
          <cell r="AH2813"/>
          <cell r="AI2813"/>
          <cell r="AJ2813"/>
          <cell r="AK2813"/>
          <cell r="AL2813"/>
        </row>
        <row r="2814">
          <cell r="E2814" t="str">
            <v>マイクロホン</v>
          </cell>
          <cell r="F2814" t="str">
            <v>個</v>
          </cell>
          <cell r="G2814"/>
          <cell r="H2814">
            <v>15000</v>
          </cell>
          <cell r="I2814"/>
          <cell r="J2814">
            <v>15000</v>
          </cell>
          <cell r="K2814"/>
          <cell r="L2814">
            <v>15000</v>
          </cell>
          <cell r="M2814"/>
          <cell r="N2814">
            <v>15000</v>
          </cell>
          <cell r="O2814"/>
          <cell r="P2814">
            <v>15000</v>
          </cell>
          <cell r="Q2814"/>
          <cell r="R2814">
            <v>15000</v>
          </cell>
          <cell r="S2814"/>
          <cell r="T2814">
            <v>15000</v>
          </cell>
          <cell r="U2814"/>
          <cell r="V2814">
            <v>15000</v>
          </cell>
          <cell r="W2814"/>
          <cell r="X2814">
            <v>15000</v>
          </cell>
          <cell r="Y2814"/>
          <cell r="Z2814">
            <v>15000</v>
          </cell>
          <cell r="AA2814"/>
          <cell r="AB2814"/>
          <cell r="AC2814"/>
          <cell r="AD2814">
            <v>0.15</v>
          </cell>
          <cell r="AE2814"/>
          <cell r="AF2814"/>
          <cell r="AG2814"/>
          <cell r="AH2814"/>
          <cell r="AI2814"/>
          <cell r="AJ2814"/>
          <cell r="AK2814"/>
          <cell r="AL2814"/>
        </row>
        <row r="2815">
          <cell r="E2815" t="str">
            <v>副増幅器 30W</v>
          </cell>
          <cell r="F2815" t="str">
            <v>台</v>
          </cell>
          <cell r="G2815"/>
          <cell r="H2815">
            <v>250000</v>
          </cell>
          <cell r="I2815"/>
          <cell r="J2815">
            <v>250000</v>
          </cell>
          <cell r="K2815"/>
          <cell r="L2815">
            <v>250000</v>
          </cell>
          <cell r="M2815"/>
          <cell r="N2815">
            <v>250000</v>
          </cell>
          <cell r="O2815"/>
          <cell r="P2815">
            <v>250000</v>
          </cell>
          <cell r="Q2815"/>
          <cell r="R2815">
            <v>250000</v>
          </cell>
          <cell r="S2815"/>
          <cell r="T2815">
            <v>250000</v>
          </cell>
          <cell r="U2815"/>
          <cell r="V2815">
            <v>250000</v>
          </cell>
          <cell r="W2815"/>
          <cell r="X2815">
            <v>250000</v>
          </cell>
          <cell r="Y2815"/>
          <cell r="Z2815">
            <v>250000</v>
          </cell>
          <cell r="AA2815"/>
          <cell r="AB2815"/>
          <cell r="AC2815"/>
          <cell r="AD2815">
            <v>1.51</v>
          </cell>
          <cell r="AE2815"/>
          <cell r="AF2815"/>
          <cell r="AG2815"/>
          <cell r="AH2815"/>
          <cell r="AI2815"/>
          <cell r="AJ2815"/>
          <cell r="AK2815"/>
          <cell r="AL2815"/>
        </row>
        <row r="2816">
          <cell r="E2816" t="str">
            <v>主増幅器</v>
          </cell>
          <cell r="F2816" t="str">
            <v>台</v>
          </cell>
          <cell r="G2816"/>
          <cell r="H2816"/>
          <cell r="I2816"/>
          <cell r="J2816"/>
          <cell r="K2816"/>
          <cell r="L2816"/>
          <cell r="M2816"/>
          <cell r="N2816"/>
          <cell r="O2816"/>
          <cell r="P2816"/>
          <cell r="Q2816"/>
          <cell r="R2816"/>
          <cell r="S2816"/>
          <cell r="T2816"/>
          <cell r="U2816"/>
          <cell r="V2816"/>
          <cell r="W2816"/>
          <cell r="X2816"/>
          <cell r="Y2816"/>
          <cell r="Z2816"/>
          <cell r="AA2816"/>
          <cell r="AB2816"/>
          <cell r="AC2816"/>
          <cell r="AD2816"/>
          <cell r="AE2816"/>
          <cell r="AF2816"/>
          <cell r="AG2816"/>
          <cell r="AH2816"/>
          <cell r="AI2816"/>
          <cell r="AJ2816"/>
          <cell r="AK2816"/>
          <cell r="AL2816"/>
        </row>
        <row r="2817">
          <cell r="E2817"/>
          <cell r="F2817"/>
          <cell r="G2817"/>
          <cell r="H2817"/>
          <cell r="I2817"/>
          <cell r="J2817"/>
          <cell r="K2817"/>
          <cell r="L2817"/>
          <cell r="M2817"/>
          <cell r="N2817"/>
          <cell r="O2817"/>
          <cell r="P2817"/>
          <cell r="Q2817"/>
          <cell r="R2817"/>
          <cell r="S2817"/>
          <cell r="T2817"/>
          <cell r="U2817"/>
          <cell r="V2817"/>
          <cell r="W2817"/>
          <cell r="X2817"/>
          <cell r="Y2817"/>
          <cell r="Z2817"/>
          <cell r="AA2817"/>
          <cell r="AB2817"/>
          <cell r="AC2817"/>
          <cell r="AD2817"/>
          <cell r="AE2817"/>
          <cell r="AF2817"/>
          <cell r="AG2817"/>
          <cell r="AH2817"/>
          <cell r="AI2817"/>
          <cell r="AJ2817"/>
          <cell r="AK2817"/>
          <cell r="AL2817"/>
        </row>
        <row r="2818">
          <cell r="E2818"/>
          <cell r="F2818"/>
          <cell r="G2818"/>
          <cell r="H2818"/>
          <cell r="I2818"/>
          <cell r="J2818"/>
          <cell r="K2818"/>
          <cell r="L2818"/>
          <cell r="M2818"/>
          <cell r="N2818"/>
          <cell r="O2818"/>
          <cell r="P2818"/>
          <cell r="Q2818"/>
          <cell r="R2818"/>
          <cell r="S2818"/>
          <cell r="T2818"/>
          <cell r="U2818"/>
          <cell r="V2818"/>
          <cell r="W2818"/>
          <cell r="X2818"/>
          <cell r="Y2818"/>
          <cell r="Z2818"/>
          <cell r="AA2818"/>
          <cell r="AB2818"/>
          <cell r="AC2818"/>
          <cell r="AD2818"/>
          <cell r="AE2818"/>
          <cell r="AF2818"/>
          <cell r="AG2818"/>
          <cell r="AH2818"/>
          <cell r="AI2818"/>
          <cell r="AJ2818"/>
          <cell r="AK2818"/>
          <cell r="AL2818"/>
        </row>
        <row r="2819">
          <cell r="E2819"/>
          <cell r="F2819"/>
          <cell r="G2819"/>
          <cell r="H2819"/>
          <cell r="I2819"/>
          <cell r="J2819"/>
          <cell r="K2819"/>
          <cell r="L2819"/>
          <cell r="M2819"/>
          <cell r="N2819"/>
          <cell r="O2819"/>
          <cell r="P2819"/>
          <cell r="Q2819"/>
          <cell r="R2819"/>
          <cell r="S2819"/>
          <cell r="T2819"/>
          <cell r="U2819"/>
          <cell r="V2819"/>
          <cell r="W2819"/>
          <cell r="X2819"/>
          <cell r="Y2819"/>
          <cell r="Z2819"/>
          <cell r="AA2819"/>
          <cell r="AB2819"/>
          <cell r="AC2819"/>
          <cell r="AD2819"/>
          <cell r="AE2819"/>
          <cell r="AF2819"/>
          <cell r="AG2819"/>
          <cell r="AH2819"/>
          <cell r="AI2819"/>
          <cell r="AJ2819"/>
          <cell r="AK2819"/>
          <cell r="AL2819"/>
        </row>
        <row r="2820">
          <cell r="E2820"/>
          <cell r="F2820"/>
          <cell r="G2820"/>
          <cell r="H2820"/>
          <cell r="I2820"/>
          <cell r="J2820"/>
          <cell r="K2820"/>
          <cell r="L2820"/>
          <cell r="M2820"/>
          <cell r="N2820"/>
          <cell r="O2820"/>
          <cell r="P2820"/>
          <cell r="Q2820"/>
          <cell r="R2820"/>
          <cell r="S2820"/>
          <cell r="T2820"/>
          <cell r="U2820"/>
          <cell r="V2820"/>
          <cell r="W2820"/>
          <cell r="X2820"/>
          <cell r="Y2820"/>
          <cell r="Z2820"/>
          <cell r="AA2820"/>
          <cell r="AB2820"/>
          <cell r="AC2820"/>
          <cell r="AD2820"/>
          <cell r="AE2820"/>
          <cell r="AF2820"/>
          <cell r="AG2820"/>
          <cell r="AH2820"/>
          <cell r="AI2820"/>
          <cell r="AJ2820"/>
          <cell r="AK2820"/>
          <cell r="AL2820"/>
        </row>
        <row r="2821">
          <cell r="E2821"/>
          <cell r="F2821"/>
          <cell r="G2821"/>
          <cell r="H2821"/>
          <cell r="I2821"/>
          <cell r="J2821"/>
          <cell r="K2821"/>
          <cell r="L2821"/>
          <cell r="M2821"/>
          <cell r="N2821"/>
          <cell r="O2821"/>
          <cell r="P2821"/>
          <cell r="Q2821"/>
          <cell r="R2821"/>
          <cell r="S2821"/>
          <cell r="T2821"/>
          <cell r="U2821"/>
          <cell r="V2821"/>
          <cell r="W2821"/>
          <cell r="X2821"/>
          <cell r="Y2821"/>
          <cell r="Z2821"/>
          <cell r="AA2821"/>
          <cell r="AB2821"/>
          <cell r="AC2821"/>
          <cell r="AD2821"/>
          <cell r="AE2821"/>
          <cell r="AF2821"/>
          <cell r="AG2821"/>
          <cell r="AH2821"/>
          <cell r="AI2821"/>
          <cell r="AJ2821"/>
          <cell r="AK2821"/>
          <cell r="AL2821"/>
        </row>
        <row r="2822">
          <cell r="E2822"/>
          <cell r="F2822"/>
          <cell r="G2822"/>
          <cell r="H2822"/>
          <cell r="I2822"/>
          <cell r="J2822"/>
          <cell r="K2822"/>
          <cell r="L2822"/>
          <cell r="M2822"/>
          <cell r="N2822"/>
          <cell r="O2822"/>
          <cell r="P2822"/>
          <cell r="Q2822"/>
          <cell r="R2822"/>
          <cell r="S2822"/>
          <cell r="T2822"/>
          <cell r="U2822"/>
          <cell r="V2822"/>
          <cell r="W2822"/>
          <cell r="X2822"/>
          <cell r="Y2822"/>
          <cell r="Z2822"/>
          <cell r="AA2822"/>
          <cell r="AB2822"/>
          <cell r="AC2822"/>
          <cell r="AD2822"/>
          <cell r="AE2822"/>
          <cell r="AF2822"/>
          <cell r="AG2822"/>
          <cell r="AH2822"/>
          <cell r="AI2822"/>
          <cell r="AJ2822"/>
          <cell r="AK2822"/>
          <cell r="AL2822"/>
        </row>
        <row r="2823">
          <cell r="E2823"/>
          <cell r="F2823"/>
          <cell r="G2823"/>
          <cell r="H2823"/>
          <cell r="I2823"/>
          <cell r="J2823"/>
          <cell r="K2823"/>
          <cell r="L2823"/>
          <cell r="M2823"/>
          <cell r="N2823"/>
          <cell r="O2823"/>
          <cell r="P2823"/>
          <cell r="Q2823"/>
          <cell r="R2823"/>
          <cell r="S2823"/>
          <cell r="T2823"/>
          <cell r="U2823"/>
          <cell r="V2823"/>
          <cell r="W2823"/>
          <cell r="X2823"/>
          <cell r="Y2823"/>
          <cell r="Z2823"/>
          <cell r="AA2823"/>
          <cell r="AB2823"/>
          <cell r="AC2823"/>
          <cell r="AD2823"/>
          <cell r="AE2823"/>
          <cell r="AF2823"/>
          <cell r="AG2823"/>
          <cell r="AH2823"/>
          <cell r="AI2823"/>
          <cell r="AJ2823"/>
          <cell r="AK2823"/>
          <cell r="AL2823"/>
        </row>
        <row r="2824">
          <cell r="E2824"/>
          <cell r="F2824"/>
          <cell r="G2824"/>
          <cell r="H2824"/>
          <cell r="I2824"/>
          <cell r="J2824"/>
          <cell r="K2824"/>
          <cell r="L2824"/>
          <cell r="M2824"/>
          <cell r="N2824"/>
          <cell r="O2824"/>
          <cell r="P2824"/>
          <cell r="Q2824"/>
          <cell r="R2824"/>
          <cell r="S2824"/>
          <cell r="T2824"/>
          <cell r="U2824"/>
          <cell r="V2824"/>
          <cell r="W2824"/>
          <cell r="X2824"/>
          <cell r="Y2824"/>
          <cell r="Z2824"/>
          <cell r="AA2824"/>
          <cell r="AB2824"/>
          <cell r="AC2824"/>
          <cell r="AD2824"/>
          <cell r="AE2824"/>
          <cell r="AF2824"/>
          <cell r="AG2824"/>
          <cell r="AH2824"/>
          <cell r="AI2824"/>
          <cell r="AJ2824"/>
          <cell r="AK2824"/>
          <cell r="AL2824"/>
        </row>
        <row r="2825">
          <cell r="E2825"/>
          <cell r="F2825"/>
          <cell r="G2825"/>
          <cell r="H2825"/>
          <cell r="I2825"/>
          <cell r="J2825"/>
          <cell r="K2825"/>
          <cell r="L2825"/>
          <cell r="M2825"/>
          <cell r="N2825"/>
          <cell r="O2825"/>
          <cell r="P2825"/>
          <cell r="Q2825"/>
          <cell r="R2825"/>
          <cell r="S2825"/>
          <cell r="T2825"/>
          <cell r="U2825"/>
          <cell r="V2825"/>
          <cell r="W2825"/>
          <cell r="X2825"/>
          <cell r="Y2825"/>
          <cell r="Z2825"/>
          <cell r="AA2825"/>
          <cell r="AB2825"/>
          <cell r="AC2825"/>
          <cell r="AD2825"/>
          <cell r="AE2825"/>
          <cell r="AF2825"/>
          <cell r="AG2825"/>
          <cell r="AH2825"/>
          <cell r="AI2825"/>
          <cell r="AJ2825"/>
          <cell r="AK2825"/>
          <cell r="AL2825"/>
        </row>
        <row r="2826">
          <cell r="E2826"/>
          <cell r="F2826"/>
          <cell r="G2826"/>
          <cell r="H2826"/>
          <cell r="I2826"/>
          <cell r="J2826"/>
          <cell r="K2826"/>
          <cell r="L2826"/>
          <cell r="M2826"/>
          <cell r="N2826"/>
          <cell r="O2826"/>
          <cell r="P2826"/>
          <cell r="Q2826"/>
          <cell r="R2826"/>
          <cell r="S2826"/>
          <cell r="T2826"/>
          <cell r="U2826"/>
          <cell r="V2826"/>
          <cell r="W2826"/>
          <cell r="X2826"/>
          <cell r="Y2826"/>
          <cell r="Z2826"/>
          <cell r="AA2826"/>
          <cell r="AB2826"/>
          <cell r="AC2826"/>
          <cell r="AD2826"/>
          <cell r="AE2826"/>
          <cell r="AF2826"/>
          <cell r="AG2826"/>
          <cell r="AH2826"/>
          <cell r="AI2826"/>
          <cell r="AJ2826"/>
          <cell r="AK2826"/>
          <cell r="AL2826"/>
        </row>
        <row r="2827">
          <cell r="E2827"/>
          <cell r="F2827"/>
          <cell r="G2827"/>
          <cell r="H2827"/>
          <cell r="I2827"/>
          <cell r="J2827"/>
          <cell r="K2827"/>
          <cell r="L2827"/>
          <cell r="M2827"/>
          <cell r="N2827"/>
          <cell r="O2827"/>
          <cell r="P2827"/>
          <cell r="Q2827"/>
          <cell r="R2827"/>
          <cell r="S2827"/>
          <cell r="T2827"/>
          <cell r="U2827"/>
          <cell r="V2827"/>
          <cell r="W2827"/>
          <cell r="X2827"/>
          <cell r="Y2827"/>
          <cell r="Z2827"/>
          <cell r="AA2827"/>
          <cell r="AB2827"/>
          <cell r="AC2827"/>
          <cell r="AD2827"/>
          <cell r="AE2827"/>
          <cell r="AF2827"/>
          <cell r="AG2827"/>
          <cell r="AH2827"/>
          <cell r="AI2827"/>
          <cell r="AJ2827"/>
          <cell r="AK2827"/>
          <cell r="AL2827"/>
        </row>
        <row r="2828">
          <cell r="E2828"/>
          <cell r="F2828"/>
          <cell r="G2828"/>
          <cell r="H2828"/>
          <cell r="I2828"/>
          <cell r="J2828"/>
          <cell r="K2828"/>
          <cell r="L2828"/>
          <cell r="M2828"/>
          <cell r="N2828"/>
          <cell r="O2828"/>
          <cell r="P2828"/>
          <cell r="Q2828"/>
          <cell r="R2828"/>
          <cell r="S2828"/>
          <cell r="T2828"/>
          <cell r="U2828"/>
          <cell r="V2828"/>
          <cell r="W2828"/>
          <cell r="X2828"/>
          <cell r="Y2828"/>
          <cell r="Z2828"/>
          <cell r="AA2828"/>
          <cell r="AB2828"/>
          <cell r="AC2828"/>
          <cell r="AD2828"/>
          <cell r="AE2828"/>
          <cell r="AF2828"/>
          <cell r="AG2828"/>
          <cell r="AH2828"/>
          <cell r="AI2828"/>
          <cell r="AJ2828"/>
          <cell r="AK2828"/>
          <cell r="AL2828"/>
        </row>
        <row r="2829">
          <cell r="E2829"/>
          <cell r="F2829"/>
          <cell r="G2829"/>
          <cell r="H2829"/>
          <cell r="I2829"/>
          <cell r="J2829"/>
          <cell r="K2829"/>
          <cell r="L2829"/>
          <cell r="M2829"/>
          <cell r="N2829"/>
          <cell r="O2829"/>
          <cell r="P2829"/>
          <cell r="Q2829"/>
          <cell r="R2829"/>
          <cell r="S2829"/>
          <cell r="T2829"/>
          <cell r="U2829"/>
          <cell r="V2829"/>
          <cell r="W2829"/>
          <cell r="X2829"/>
          <cell r="Y2829"/>
          <cell r="Z2829"/>
          <cell r="AA2829"/>
          <cell r="AB2829"/>
          <cell r="AC2829"/>
          <cell r="AD2829"/>
          <cell r="AE2829"/>
          <cell r="AF2829"/>
          <cell r="AG2829"/>
          <cell r="AH2829"/>
          <cell r="AI2829"/>
          <cell r="AJ2829"/>
          <cell r="AK2829"/>
          <cell r="AL2829"/>
        </row>
        <row r="2830">
          <cell r="E2830"/>
          <cell r="F2830"/>
          <cell r="G2830"/>
          <cell r="H2830"/>
          <cell r="I2830"/>
          <cell r="J2830"/>
          <cell r="K2830"/>
          <cell r="L2830"/>
          <cell r="M2830"/>
          <cell r="N2830"/>
          <cell r="O2830"/>
          <cell r="P2830"/>
          <cell r="Q2830"/>
          <cell r="R2830"/>
          <cell r="S2830"/>
          <cell r="T2830"/>
          <cell r="U2830"/>
          <cell r="V2830"/>
          <cell r="W2830"/>
          <cell r="X2830"/>
          <cell r="Y2830"/>
          <cell r="Z2830"/>
          <cell r="AA2830"/>
          <cell r="AB2830"/>
          <cell r="AC2830"/>
          <cell r="AD2830"/>
          <cell r="AE2830"/>
          <cell r="AF2830"/>
          <cell r="AG2830"/>
          <cell r="AH2830"/>
          <cell r="AI2830"/>
          <cell r="AJ2830"/>
          <cell r="AK2830"/>
          <cell r="AL2830"/>
        </row>
        <row r="2831">
          <cell r="E2831"/>
          <cell r="F2831"/>
          <cell r="G2831"/>
          <cell r="H2831"/>
          <cell r="I2831"/>
          <cell r="J2831"/>
          <cell r="K2831"/>
          <cell r="L2831"/>
          <cell r="M2831"/>
          <cell r="N2831"/>
          <cell r="O2831"/>
          <cell r="P2831"/>
          <cell r="Q2831"/>
          <cell r="R2831"/>
          <cell r="S2831"/>
          <cell r="T2831"/>
          <cell r="U2831"/>
          <cell r="V2831"/>
          <cell r="W2831"/>
          <cell r="X2831"/>
          <cell r="Y2831"/>
          <cell r="Z2831"/>
          <cell r="AA2831"/>
          <cell r="AB2831"/>
          <cell r="AC2831"/>
          <cell r="AD2831"/>
          <cell r="AE2831"/>
          <cell r="AF2831"/>
          <cell r="AG2831"/>
          <cell r="AH2831"/>
          <cell r="AI2831"/>
          <cell r="AJ2831"/>
          <cell r="AK2831"/>
          <cell r="AL2831"/>
        </row>
        <row r="2832">
          <cell r="E2832"/>
          <cell r="F2832"/>
          <cell r="G2832"/>
          <cell r="H2832"/>
          <cell r="I2832"/>
          <cell r="J2832"/>
          <cell r="K2832"/>
          <cell r="L2832"/>
          <cell r="M2832"/>
          <cell r="N2832"/>
          <cell r="O2832"/>
          <cell r="P2832"/>
          <cell r="Q2832"/>
          <cell r="R2832"/>
          <cell r="S2832"/>
          <cell r="T2832"/>
          <cell r="U2832"/>
          <cell r="V2832"/>
          <cell r="W2832"/>
          <cell r="X2832"/>
          <cell r="Y2832"/>
          <cell r="Z2832"/>
          <cell r="AA2832"/>
          <cell r="AB2832"/>
          <cell r="AC2832"/>
          <cell r="AD2832"/>
          <cell r="AE2832"/>
          <cell r="AF2832"/>
          <cell r="AG2832"/>
          <cell r="AH2832"/>
          <cell r="AI2832"/>
          <cell r="AJ2832"/>
          <cell r="AK2832"/>
          <cell r="AL2832"/>
        </row>
        <row r="2833">
          <cell r="E2833"/>
          <cell r="F2833"/>
          <cell r="G2833"/>
          <cell r="H2833"/>
          <cell r="I2833"/>
          <cell r="J2833"/>
          <cell r="K2833"/>
          <cell r="L2833"/>
          <cell r="M2833"/>
          <cell r="N2833"/>
          <cell r="O2833"/>
          <cell r="P2833"/>
          <cell r="Q2833"/>
          <cell r="R2833"/>
          <cell r="S2833"/>
          <cell r="T2833"/>
          <cell r="U2833"/>
          <cell r="V2833"/>
          <cell r="W2833"/>
          <cell r="X2833"/>
          <cell r="Y2833"/>
          <cell r="Z2833"/>
          <cell r="AA2833"/>
          <cell r="AB2833"/>
          <cell r="AC2833"/>
          <cell r="AD2833"/>
          <cell r="AE2833"/>
          <cell r="AF2833"/>
          <cell r="AG2833"/>
          <cell r="AH2833"/>
          <cell r="AI2833"/>
          <cell r="AJ2833"/>
          <cell r="AK2833"/>
          <cell r="AL2833"/>
        </row>
        <row r="2834">
          <cell r="E2834"/>
          <cell r="F2834"/>
          <cell r="G2834"/>
          <cell r="H2834"/>
          <cell r="I2834"/>
          <cell r="J2834"/>
          <cell r="K2834"/>
          <cell r="L2834"/>
          <cell r="M2834"/>
          <cell r="N2834"/>
          <cell r="O2834"/>
          <cell r="P2834"/>
          <cell r="Q2834"/>
          <cell r="R2834"/>
          <cell r="S2834"/>
          <cell r="T2834"/>
          <cell r="U2834"/>
          <cell r="V2834"/>
          <cell r="W2834"/>
          <cell r="X2834"/>
          <cell r="Y2834"/>
          <cell r="Z2834"/>
          <cell r="AA2834"/>
          <cell r="AB2834"/>
          <cell r="AC2834"/>
          <cell r="AD2834"/>
          <cell r="AE2834"/>
          <cell r="AF2834"/>
          <cell r="AG2834"/>
          <cell r="AH2834"/>
          <cell r="AI2834"/>
          <cell r="AJ2834"/>
          <cell r="AK2834"/>
          <cell r="AL2834"/>
        </row>
        <row r="2835">
          <cell r="E2835"/>
          <cell r="F2835"/>
          <cell r="G2835"/>
          <cell r="H2835"/>
          <cell r="I2835"/>
          <cell r="J2835"/>
          <cell r="K2835"/>
          <cell r="L2835"/>
          <cell r="M2835"/>
          <cell r="N2835"/>
          <cell r="O2835"/>
          <cell r="P2835"/>
          <cell r="Q2835"/>
          <cell r="R2835"/>
          <cell r="S2835"/>
          <cell r="T2835"/>
          <cell r="U2835"/>
          <cell r="V2835"/>
          <cell r="W2835"/>
          <cell r="X2835"/>
          <cell r="Y2835"/>
          <cell r="Z2835"/>
          <cell r="AA2835"/>
          <cell r="AB2835"/>
          <cell r="AC2835"/>
          <cell r="AD2835"/>
          <cell r="AE2835"/>
          <cell r="AF2835"/>
          <cell r="AG2835"/>
          <cell r="AH2835"/>
          <cell r="AI2835"/>
          <cell r="AJ2835"/>
          <cell r="AK2835"/>
          <cell r="AL2835"/>
        </row>
        <row r="2836">
          <cell r="E2836"/>
          <cell r="F2836"/>
          <cell r="G2836"/>
          <cell r="H2836"/>
          <cell r="I2836"/>
          <cell r="J2836"/>
          <cell r="K2836"/>
          <cell r="L2836"/>
          <cell r="M2836"/>
          <cell r="N2836"/>
          <cell r="O2836"/>
          <cell r="P2836"/>
          <cell r="Q2836"/>
          <cell r="R2836"/>
          <cell r="S2836"/>
          <cell r="T2836"/>
          <cell r="U2836"/>
          <cell r="V2836"/>
          <cell r="W2836"/>
          <cell r="X2836"/>
          <cell r="Y2836"/>
          <cell r="Z2836"/>
          <cell r="AA2836"/>
          <cell r="AB2836"/>
          <cell r="AC2836"/>
          <cell r="AD2836"/>
          <cell r="AE2836"/>
          <cell r="AF2836"/>
          <cell r="AG2836"/>
          <cell r="AH2836"/>
          <cell r="AI2836"/>
          <cell r="AJ2836"/>
          <cell r="AK2836"/>
          <cell r="AL2836"/>
        </row>
        <row r="2837">
          <cell r="E2837"/>
          <cell r="F2837"/>
          <cell r="G2837"/>
          <cell r="H2837"/>
          <cell r="I2837"/>
          <cell r="J2837"/>
          <cell r="K2837"/>
          <cell r="L2837"/>
          <cell r="M2837"/>
          <cell r="N2837"/>
          <cell r="O2837"/>
          <cell r="P2837"/>
          <cell r="Q2837"/>
          <cell r="R2837"/>
          <cell r="S2837"/>
          <cell r="T2837"/>
          <cell r="U2837"/>
          <cell r="V2837"/>
          <cell r="W2837"/>
          <cell r="X2837"/>
          <cell r="Y2837"/>
          <cell r="Z2837"/>
          <cell r="AA2837"/>
          <cell r="AB2837"/>
          <cell r="AC2837"/>
          <cell r="AD2837"/>
          <cell r="AE2837"/>
          <cell r="AF2837"/>
          <cell r="AG2837"/>
          <cell r="AH2837"/>
          <cell r="AI2837"/>
          <cell r="AJ2837"/>
          <cell r="AK2837"/>
          <cell r="AL2837"/>
        </row>
        <row r="2838">
          <cell r="E2838"/>
          <cell r="F2838"/>
          <cell r="G2838"/>
          <cell r="H2838"/>
          <cell r="I2838"/>
          <cell r="J2838"/>
          <cell r="K2838"/>
          <cell r="L2838"/>
          <cell r="M2838"/>
          <cell r="N2838"/>
          <cell r="O2838"/>
          <cell r="P2838"/>
          <cell r="Q2838"/>
          <cell r="R2838"/>
          <cell r="S2838"/>
          <cell r="T2838"/>
          <cell r="U2838"/>
          <cell r="V2838"/>
          <cell r="W2838"/>
          <cell r="X2838"/>
          <cell r="Y2838"/>
          <cell r="Z2838"/>
          <cell r="AA2838"/>
          <cell r="AB2838"/>
          <cell r="AC2838"/>
          <cell r="AD2838"/>
          <cell r="AE2838"/>
          <cell r="AF2838"/>
          <cell r="AG2838"/>
          <cell r="AH2838"/>
          <cell r="AI2838"/>
          <cell r="AJ2838"/>
          <cell r="AK2838"/>
          <cell r="AL2838"/>
        </row>
        <row r="2839">
          <cell r="E2839"/>
          <cell r="F2839"/>
          <cell r="G2839"/>
          <cell r="H2839"/>
          <cell r="I2839"/>
          <cell r="J2839"/>
          <cell r="K2839"/>
          <cell r="L2839"/>
          <cell r="M2839"/>
          <cell r="N2839"/>
          <cell r="O2839"/>
          <cell r="P2839"/>
          <cell r="Q2839"/>
          <cell r="R2839"/>
          <cell r="S2839"/>
          <cell r="T2839"/>
          <cell r="U2839"/>
          <cell r="V2839"/>
          <cell r="W2839"/>
          <cell r="X2839"/>
          <cell r="Y2839"/>
          <cell r="Z2839"/>
          <cell r="AA2839"/>
          <cell r="AB2839"/>
          <cell r="AC2839"/>
          <cell r="AD2839"/>
          <cell r="AE2839"/>
          <cell r="AF2839"/>
          <cell r="AG2839"/>
          <cell r="AH2839"/>
          <cell r="AI2839"/>
          <cell r="AJ2839"/>
          <cell r="AK2839"/>
          <cell r="AL2839"/>
        </row>
        <row r="2840">
          <cell r="E2840"/>
          <cell r="F2840"/>
          <cell r="G2840"/>
          <cell r="H2840"/>
          <cell r="I2840"/>
          <cell r="J2840"/>
          <cell r="K2840"/>
          <cell r="L2840"/>
          <cell r="M2840"/>
          <cell r="N2840"/>
          <cell r="O2840"/>
          <cell r="P2840"/>
          <cell r="Q2840"/>
          <cell r="R2840"/>
          <cell r="S2840"/>
          <cell r="T2840"/>
          <cell r="U2840"/>
          <cell r="V2840"/>
          <cell r="W2840"/>
          <cell r="X2840"/>
          <cell r="Y2840"/>
          <cell r="Z2840"/>
          <cell r="AA2840"/>
          <cell r="AB2840"/>
          <cell r="AC2840"/>
          <cell r="AD2840"/>
          <cell r="AE2840"/>
          <cell r="AF2840"/>
          <cell r="AG2840"/>
          <cell r="AH2840"/>
          <cell r="AI2840"/>
          <cell r="AJ2840"/>
          <cell r="AK2840"/>
          <cell r="AL2840"/>
        </row>
        <row r="2841">
          <cell r="E2841"/>
          <cell r="F2841"/>
          <cell r="G2841"/>
          <cell r="H2841"/>
          <cell r="I2841"/>
          <cell r="J2841"/>
          <cell r="K2841"/>
          <cell r="L2841"/>
          <cell r="M2841"/>
          <cell r="N2841"/>
          <cell r="O2841"/>
          <cell r="P2841"/>
          <cell r="Q2841"/>
          <cell r="R2841"/>
          <cell r="S2841"/>
          <cell r="T2841"/>
          <cell r="U2841"/>
          <cell r="V2841"/>
          <cell r="W2841"/>
          <cell r="X2841"/>
          <cell r="Y2841"/>
          <cell r="Z2841"/>
          <cell r="AA2841"/>
          <cell r="AB2841"/>
          <cell r="AC2841"/>
          <cell r="AD2841"/>
          <cell r="AE2841"/>
          <cell r="AF2841"/>
          <cell r="AG2841"/>
          <cell r="AH2841"/>
          <cell r="AI2841"/>
          <cell r="AJ2841"/>
          <cell r="AK2841"/>
          <cell r="AL2841"/>
        </row>
        <row r="2842">
          <cell r="E2842"/>
          <cell r="F2842"/>
          <cell r="G2842"/>
          <cell r="H2842"/>
          <cell r="I2842"/>
          <cell r="J2842"/>
          <cell r="K2842"/>
          <cell r="L2842"/>
          <cell r="M2842"/>
          <cell r="N2842"/>
          <cell r="O2842"/>
          <cell r="P2842"/>
          <cell r="Q2842"/>
          <cell r="R2842"/>
          <cell r="S2842"/>
          <cell r="T2842"/>
          <cell r="U2842"/>
          <cell r="V2842"/>
          <cell r="W2842"/>
          <cell r="X2842"/>
          <cell r="Y2842"/>
          <cell r="Z2842"/>
          <cell r="AA2842"/>
          <cell r="AB2842"/>
          <cell r="AC2842"/>
          <cell r="AD2842"/>
          <cell r="AE2842"/>
          <cell r="AF2842"/>
          <cell r="AG2842"/>
          <cell r="AH2842"/>
          <cell r="AI2842"/>
          <cell r="AJ2842"/>
          <cell r="AK2842"/>
          <cell r="AL2842"/>
        </row>
        <row r="2843">
          <cell r="E2843"/>
          <cell r="F2843"/>
          <cell r="G2843"/>
          <cell r="H2843"/>
          <cell r="I2843"/>
          <cell r="J2843"/>
          <cell r="K2843"/>
          <cell r="L2843"/>
          <cell r="M2843"/>
          <cell r="N2843"/>
          <cell r="O2843"/>
          <cell r="P2843"/>
          <cell r="Q2843"/>
          <cell r="R2843"/>
          <cell r="S2843"/>
          <cell r="T2843"/>
          <cell r="U2843"/>
          <cell r="V2843"/>
          <cell r="W2843"/>
          <cell r="X2843"/>
          <cell r="Y2843"/>
          <cell r="Z2843"/>
          <cell r="AA2843"/>
          <cell r="AB2843"/>
          <cell r="AC2843"/>
          <cell r="AD2843"/>
          <cell r="AE2843"/>
          <cell r="AF2843"/>
          <cell r="AG2843"/>
          <cell r="AH2843"/>
          <cell r="AI2843"/>
          <cell r="AJ2843"/>
          <cell r="AK2843"/>
          <cell r="AL2843"/>
        </row>
        <row r="2844">
          <cell r="E2844"/>
          <cell r="F2844"/>
          <cell r="G2844"/>
          <cell r="H2844"/>
          <cell r="I2844"/>
          <cell r="J2844"/>
          <cell r="K2844"/>
          <cell r="L2844"/>
          <cell r="M2844"/>
          <cell r="N2844"/>
          <cell r="O2844"/>
          <cell r="P2844"/>
          <cell r="Q2844"/>
          <cell r="R2844"/>
          <cell r="S2844"/>
          <cell r="T2844"/>
          <cell r="U2844"/>
          <cell r="V2844"/>
          <cell r="W2844"/>
          <cell r="X2844"/>
          <cell r="Y2844"/>
          <cell r="Z2844"/>
          <cell r="AA2844"/>
          <cell r="AB2844"/>
          <cell r="AC2844"/>
          <cell r="AD2844"/>
          <cell r="AE2844"/>
          <cell r="AF2844"/>
          <cell r="AG2844"/>
          <cell r="AH2844"/>
          <cell r="AI2844"/>
          <cell r="AJ2844"/>
          <cell r="AK2844"/>
          <cell r="AL2844"/>
        </row>
        <row r="2845">
          <cell r="E2845"/>
          <cell r="F2845"/>
          <cell r="G2845"/>
          <cell r="H2845"/>
          <cell r="I2845"/>
          <cell r="J2845"/>
          <cell r="K2845"/>
          <cell r="L2845"/>
          <cell r="M2845"/>
          <cell r="N2845"/>
          <cell r="O2845"/>
          <cell r="P2845"/>
          <cell r="Q2845"/>
          <cell r="R2845"/>
          <cell r="S2845"/>
          <cell r="T2845"/>
          <cell r="U2845"/>
          <cell r="V2845"/>
          <cell r="W2845"/>
          <cell r="X2845"/>
          <cell r="Y2845"/>
          <cell r="Z2845"/>
          <cell r="AA2845"/>
          <cell r="AB2845"/>
          <cell r="AC2845"/>
          <cell r="AD2845"/>
          <cell r="AE2845"/>
          <cell r="AF2845"/>
          <cell r="AG2845"/>
          <cell r="AH2845"/>
          <cell r="AI2845"/>
          <cell r="AJ2845"/>
          <cell r="AK2845"/>
          <cell r="AL2845"/>
        </row>
        <row r="2846">
          <cell r="E2846"/>
          <cell r="F2846"/>
          <cell r="G2846"/>
          <cell r="H2846"/>
          <cell r="I2846"/>
          <cell r="J2846"/>
          <cell r="K2846"/>
          <cell r="L2846"/>
          <cell r="M2846"/>
          <cell r="N2846"/>
          <cell r="O2846"/>
          <cell r="P2846"/>
          <cell r="Q2846"/>
          <cell r="R2846"/>
          <cell r="S2846"/>
          <cell r="T2846"/>
          <cell r="U2846"/>
          <cell r="V2846"/>
          <cell r="W2846"/>
          <cell r="X2846"/>
          <cell r="Y2846"/>
          <cell r="Z2846"/>
          <cell r="AA2846"/>
          <cell r="AB2846"/>
          <cell r="AC2846"/>
          <cell r="AD2846"/>
          <cell r="AE2846"/>
          <cell r="AF2846"/>
          <cell r="AG2846"/>
          <cell r="AH2846"/>
          <cell r="AI2846"/>
          <cell r="AJ2846"/>
          <cell r="AK2846"/>
          <cell r="AL2846"/>
        </row>
        <row r="2847">
          <cell r="E2847"/>
          <cell r="F2847"/>
          <cell r="G2847"/>
          <cell r="H2847"/>
          <cell r="I2847"/>
          <cell r="J2847"/>
          <cell r="K2847"/>
          <cell r="L2847"/>
          <cell r="M2847"/>
          <cell r="N2847"/>
          <cell r="O2847"/>
          <cell r="P2847"/>
          <cell r="Q2847"/>
          <cell r="R2847"/>
          <cell r="S2847"/>
          <cell r="T2847"/>
          <cell r="U2847"/>
          <cell r="V2847"/>
          <cell r="W2847"/>
          <cell r="X2847"/>
          <cell r="Y2847"/>
          <cell r="Z2847"/>
          <cell r="AA2847"/>
          <cell r="AB2847"/>
          <cell r="AC2847"/>
          <cell r="AD2847"/>
          <cell r="AE2847"/>
          <cell r="AF2847"/>
          <cell r="AG2847"/>
          <cell r="AH2847"/>
          <cell r="AI2847"/>
          <cell r="AJ2847"/>
          <cell r="AK2847"/>
          <cell r="AL2847"/>
        </row>
        <row r="2848">
          <cell r="E2848"/>
          <cell r="F2848"/>
          <cell r="G2848"/>
          <cell r="H2848"/>
          <cell r="I2848"/>
          <cell r="J2848"/>
          <cell r="K2848"/>
          <cell r="L2848"/>
          <cell r="M2848"/>
          <cell r="N2848"/>
          <cell r="O2848"/>
          <cell r="P2848"/>
          <cell r="Q2848"/>
          <cell r="R2848"/>
          <cell r="S2848"/>
          <cell r="T2848"/>
          <cell r="U2848"/>
          <cell r="V2848"/>
          <cell r="W2848"/>
          <cell r="X2848"/>
          <cell r="Y2848"/>
          <cell r="Z2848"/>
          <cell r="AA2848"/>
          <cell r="AB2848"/>
          <cell r="AC2848"/>
          <cell r="AD2848"/>
          <cell r="AE2848"/>
          <cell r="AF2848"/>
          <cell r="AG2848"/>
          <cell r="AH2848"/>
          <cell r="AI2848"/>
          <cell r="AJ2848"/>
          <cell r="AK2848"/>
          <cell r="AL2848"/>
        </row>
        <row r="2849">
          <cell r="E2849"/>
          <cell r="F2849"/>
          <cell r="G2849"/>
          <cell r="H2849"/>
          <cell r="I2849"/>
          <cell r="J2849"/>
          <cell r="K2849"/>
          <cell r="L2849"/>
          <cell r="M2849"/>
          <cell r="N2849"/>
          <cell r="O2849"/>
          <cell r="P2849"/>
          <cell r="Q2849"/>
          <cell r="R2849"/>
          <cell r="S2849"/>
          <cell r="T2849"/>
          <cell r="U2849"/>
          <cell r="V2849"/>
          <cell r="W2849"/>
          <cell r="X2849"/>
          <cell r="Y2849"/>
          <cell r="Z2849"/>
          <cell r="AA2849"/>
          <cell r="AB2849"/>
          <cell r="AC2849"/>
          <cell r="AD2849"/>
          <cell r="AE2849"/>
          <cell r="AF2849"/>
          <cell r="AG2849"/>
          <cell r="AH2849"/>
          <cell r="AI2849"/>
          <cell r="AJ2849"/>
          <cell r="AK2849"/>
          <cell r="AL2849"/>
        </row>
        <row r="2850">
          <cell r="E2850"/>
          <cell r="F2850"/>
          <cell r="G2850"/>
          <cell r="H2850"/>
          <cell r="I2850"/>
          <cell r="J2850"/>
          <cell r="K2850"/>
          <cell r="L2850"/>
          <cell r="M2850"/>
          <cell r="N2850"/>
          <cell r="O2850"/>
          <cell r="P2850"/>
          <cell r="Q2850"/>
          <cell r="R2850"/>
          <cell r="S2850"/>
          <cell r="T2850"/>
          <cell r="U2850"/>
          <cell r="V2850"/>
          <cell r="W2850"/>
          <cell r="X2850"/>
          <cell r="Y2850"/>
          <cell r="Z2850"/>
          <cell r="AA2850"/>
          <cell r="AB2850"/>
          <cell r="AC2850"/>
          <cell r="AD2850"/>
          <cell r="AE2850"/>
          <cell r="AF2850"/>
          <cell r="AG2850"/>
          <cell r="AH2850"/>
          <cell r="AI2850"/>
          <cell r="AJ2850"/>
          <cell r="AK2850"/>
          <cell r="AL2850"/>
        </row>
        <row r="2851">
          <cell r="E2851"/>
          <cell r="F2851"/>
          <cell r="G2851"/>
          <cell r="H2851"/>
          <cell r="I2851"/>
          <cell r="J2851"/>
          <cell r="K2851"/>
          <cell r="L2851"/>
          <cell r="M2851"/>
          <cell r="N2851"/>
          <cell r="O2851"/>
          <cell r="P2851"/>
          <cell r="Q2851"/>
          <cell r="R2851"/>
          <cell r="S2851"/>
          <cell r="T2851"/>
          <cell r="U2851"/>
          <cell r="V2851"/>
          <cell r="W2851"/>
          <cell r="X2851"/>
          <cell r="Y2851"/>
          <cell r="Z2851"/>
          <cell r="AA2851"/>
          <cell r="AB2851"/>
          <cell r="AC2851"/>
          <cell r="AD2851"/>
          <cell r="AE2851"/>
          <cell r="AF2851"/>
          <cell r="AG2851"/>
          <cell r="AH2851"/>
          <cell r="AI2851"/>
          <cell r="AJ2851"/>
          <cell r="AK2851"/>
          <cell r="AL2851"/>
        </row>
        <row r="2852">
          <cell r="E2852"/>
          <cell r="F2852"/>
          <cell r="G2852"/>
          <cell r="H2852"/>
          <cell r="I2852"/>
          <cell r="J2852"/>
          <cell r="K2852"/>
          <cell r="L2852"/>
          <cell r="M2852"/>
          <cell r="N2852"/>
          <cell r="O2852"/>
          <cell r="P2852"/>
          <cell r="Q2852"/>
          <cell r="R2852"/>
          <cell r="S2852"/>
          <cell r="T2852"/>
          <cell r="U2852"/>
          <cell r="V2852"/>
          <cell r="W2852"/>
          <cell r="X2852"/>
          <cell r="Y2852"/>
          <cell r="Z2852"/>
          <cell r="AA2852"/>
          <cell r="AB2852"/>
          <cell r="AC2852"/>
          <cell r="AD2852"/>
          <cell r="AE2852"/>
          <cell r="AF2852"/>
          <cell r="AG2852"/>
          <cell r="AH2852"/>
          <cell r="AI2852"/>
          <cell r="AJ2852"/>
          <cell r="AK2852"/>
          <cell r="AL2852"/>
        </row>
        <row r="2853">
          <cell r="E2853"/>
          <cell r="F2853"/>
          <cell r="G2853"/>
          <cell r="H2853"/>
          <cell r="I2853"/>
          <cell r="J2853"/>
          <cell r="K2853"/>
          <cell r="L2853"/>
          <cell r="M2853"/>
          <cell r="N2853"/>
          <cell r="O2853"/>
          <cell r="P2853"/>
          <cell r="Q2853"/>
          <cell r="R2853"/>
          <cell r="S2853"/>
          <cell r="T2853"/>
          <cell r="U2853"/>
          <cell r="V2853"/>
          <cell r="W2853"/>
          <cell r="X2853"/>
          <cell r="Y2853"/>
          <cell r="Z2853"/>
          <cell r="AA2853"/>
          <cell r="AB2853"/>
          <cell r="AC2853"/>
          <cell r="AD2853"/>
          <cell r="AE2853"/>
          <cell r="AF2853"/>
          <cell r="AG2853"/>
          <cell r="AH2853"/>
          <cell r="AI2853"/>
          <cell r="AJ2853"/>
          <cell r="AK2853"/>
          <cell r="AL2853"/>
        </row>
        <row r="2854">
          <cell r="E2854"/>
          <cell r="F2854"/>
          <cell r="G2854"/>
          <cell r="H2854"/>
          <cell r="I2854"/>
          <cell r="J2854"/>
          <cell r="K2854"/>
          <cell r="L2854"/>
          <cell r="M2854"/>
          <cell r="N2854"/>
          <cell r="O2854"/>
          <cell r="P2854"/>
          <cell r="Q2854"/>
          <cell r="R2854"/>
          <cell r="S2854"/>
          <cell r="T2854"/>
          <cell r="U2854"/>
          <cell r="V2854"/>
          <cell r="W2854"/>
          <cell r="X2854"/>
          <cell r="Y2854"/>
          <cell r="Z2854"/>
          <cell r="AA2854"/>
          <cell r="AB2854"/>
          <cell r="AC2854"/>
          <cell r="AD2854"/>
          <cell r="AE2854"/>
          <cell r="AF2854"/>
          <cell r="AG2854"/>
          <cell r="AH2854"/>
          <cell r="AI2854"/>
          <cell r="AJ2854"/>
          <cell r="AK2854"/>
          <cell r="AL2854"/>
        </row>
        <row r="2855">
          <cell r="E2855"/>
          <cell r="F2855"/>
          <cell r="G2855"/>
          <cell r="H2855"/>
          <cell r="I2855"/>
          <cell r="J2855"/>
          <cell r="K2855"/>
          <cell r="L2855"/>
          <cell r="M2855"/>
          <cell r="N2855"/>
          <cell r="O2855"/>
          <cell r="P2855"/>
          <cell r="Q2855"/>
          <cell r="R2855"/>
          <cell r="S2855"/>
          <cell r="T2855"/>
          <cell r="U2855"/>
          <cell r="V2855"/>
          <cell r="W2855"/>
          <cell r="X2855"/>
          <cell r="Y2855"/>
          <cell r="Z2855"/>
          <cell r="AA2855"/>
          <cell r="AB2855"/>
          <cell r="AC2855"/>
          <cell r="AD2855"/>
          <cell r="AE2855"/>
          <cell r="AF2855"/>
          <cell r="AG2855"/>
          <cell r="AH2855"/>
          <cell r="AI2855"/>
          <cell r="AJ2855"/>
          <cell r="AK2855"/>
          <cell r="AL2855"/>
        </row>
        <row r="2856">
          <cell r="E2856"/>
          <cell r="F2856"/>
          <cell r="G2856"/>
          <cell r="H2856"/>
          <cell r="I2856"/>
          <cell r="J2856"/>
          <cell r="K2856"/>
          <cell r="L2856"/>
          <cell r="M2856"/>
          <cell r="N2856"/>
          <cell r="O2856"/>
          <cell r="P2856"/>
          <cell r="Q2856"/>
          <cell r="R2856"/>
          <cell r="S2856"/>
          <cell r="T2856"/>
          <cell r="U2856"/>
          <cell r="V2856"/>
          <cell r="W2856"/>
          <cell r="X2856"/>
          <cell r="Y2856"/>
          <cell r="Z2856"/>
          <cell r="AA2856"/>
          <cell r="AB2856"/>
          <cell r="AC2856"/>
          <cell r="AD2856"/>
          <cell r="AE2856"/>
          <cell r="AF2856"/>
          <cell r="AG2856"/>
          <cell r="AH2856"/>
          <cell r="AI2856"/>
          <cell r="AJ2856"/>
          <cell r="AK2856"/>
          <cell r="AL2856"/>
        </row>
        <row r="2857">
          <cell r="E2857"/>
          <cell r="F2857"/>
          <cell r="G2857"/>
          <cell r="H2857"/>
          <cell r="I2857"/>
          <cell r="J2857"/>
          <cell r="K2857"/>
          <cell r="L2857"/>
          <cell r="M2857"/>
          <cell r="N2857"/>
          <cell r="O2857"/>
          <cell r="P2857"/>
          <cell r="Q2857"/>
          <cell r="R2857"/>
          <cell r="S2857"/>
          <cell r="T2857"/>
          <cell r="U2857"/>
          <cell r="V2857"/>
          <cell r="W2857"/>
          <cell r="X2857"/>
          <cell r="Y2857"/>
          <cell r="Z2857"/>
          <cell r="AA2857"/>
          <cell r="AB2857"/>
          <cell r="AC2857"/>
          <cell r="AD2857"/>
          <cell r="AE2857"/>
          <cell r="AF2857"/>
          <cell r="AG2857"/>
          <cell r="AH2857"/>
          <cell r="AI2857"/>
          <cell r="AJ2857"/>
          <cell r="AK2857"/>
          <cell r="AL2857"/>
        </row>
        <row r="2858">
          <cell r="E2858"/>
          <cell r="F2858"/>
          <cell r="G2858"/>
          <cell r="H2858"/>
          <cell r="I2858"/>
          <cell r="J2858"/>
          <cell r="K2858"/>
          <cell r="L2858"/>
          <cell r="M2858"/>
          <cell r="N2858"/>
          <cell r="O2858"/>
          <cell r="P2858"/>
          <cell r="Q2858"/>
          <cell r="R2858"/>
          <cell r="S2858"/>
          <cell r="T2858"/>
          <cell r="U2858"/>
          <cell r="V2858"/>
          <cell r="W2858"/>
          <cell r="X2858"/>
          <cell r="Y2858"/>
          <cell r="Z2858"/>
          <cell r="AA2858"/>
          <cell r="AB2858"/>
          <cell r="AC2858"/>
          <cell r="AD2858"/>
          <cell r="AE2858"/>
          <cell r="AF2858"/>
          <cell r="AG2858"/>
          <cell r="AH2858"/>
          <cell r="AI2858"/>
          <cell r="AJ2858"/>
          <cell r="AK2858"/>
          <cell r="AL2858"/>
        </row>
        <row r="2859">
          <cell r="E2859"/>
          <cell r="F2859"/>
          <cell r="G2859"/>
          <cell r="H2859"/>
          <cell r="I2859"/>
          <cell r="J2859"/>
          <cell r="K2859"/>
          <cell r="L2859"/>
          <cell r="M2859"/>
          <cell r="N2859"/>
          <cell r="O2859"/>
          <cell r="P2859"/>
          <cell r="Q2859"/>
          <cell r="R2859"/>
          <cell r="S2859"/>
          <cell r="T2859"/>
          <cell r="U2859"/>
          <cell r="V2859"/>
          <cell r="W2859"/>
          <cell r="X2859"/>
          <cell r="Y2859"/>
          <cell r="Z2859"/>
          <cell r="AA2859"/>
          <cell r="AB2859"/>
          <cell r="AC2859"/>
          <cell r="AD2859"/>
          <cell r="AE2859"/>
          <cell r="AF2859"/>
          <cell r="AG2859"/>
          <cell r="AH2859"/>
          <cell r="AI2859"/>
          <cell r="AJ2859"/>
          <cell r="AK2859"/>
          <cell r="AL2859"/>
        </row>
        <row r="2860">
          <cell r="E2860"/>
          <cell r="F2860"/>
          <cell r="G2860"/>
          <cell r="H2860"/>
          <cell r="I2860"/>
          <cell r="J2860"/>
          <cell r="K2860"/>
          <cell r="L2860"/>
          <cell r="M2860"/>
          <cell r="N2860"/>
          <cell r="O2860"/>
          <cell r="P2860"/>
          <cell r="Q2860"/>
          <cell r="R2860"/>
          <cell r="S2860"/>
          <cell r="T2860"/>
          <cell r="U2860"/>
          <cell r="V2860"/>
          <cell r="W2860"/>
          <cell r="X2860"/>
          <cell r="Y2860"/>
          <cell r="Z2860"/>
          <cell r="AA2860"/>
          <cell r="AB2860"/>
          <cell r="AC2860"/>
          <cell r="AD2860"/>
          <cell r="AE2860"/>
          <cell r="AF2860"/>
          <cell r="AG2860"/>
          <cell r="AH2860"/>
          <cell r="AI2860"/>
          <cell r="AJ2860"/>
          <cell r="AK2860"/>
          <cell r="AL2860"/>
        </row>
        <row r="2861">
          <cell r="E2861"/>
          <cell r="F2861"/>
          <cell r="G2861"/>
          <cell r="H2861"/>
          <cell r="I2861"/>
          <cell r="J2861"/>
          <cell r="K2861"/>
          <cell r="L2861"/>
          <cell r="M2861"/>
          <cell r="N2861"/>
          <cell r="O2861"/>
          <cell r="P2861"/>
          <cell r="Q2861"/>
          <cell r="R2861"/>
          <cell r="S2861"/>
          <cell r="T2861"/>
          <cell r="U2861"/>
          <cell r="V2861"/>
          <cell r="W2861"/>
          <cell r="X2861"/>
          <cell r="Y2861"/>
          <cell r="Z2861"/>
          <cell r="AA2861"/>
          <cell r="AB2861"/>
          <cell r="AC2861"/>
          <cell r="AD2861"/>
          <cell r="AE2861"/>
          <cell r="AF2861"/>
          <cell r="AG2861"/>
          <cell r="AH2861"/>
          <cell r="AI2861"/>
          <cell r="AJ2861"/>
          <cell r="AK2861"/>
          <cell r="AL2861"/>
        </row>
        <row r="2862">
          <cell r="E2862"/>
          <cell r="F2862"/>
          <cell r="G2862"/>
          <cell r="H2862"/>
          <cell r="I2862"/>
          <cell r="J2862"/>
          <cell r="K2862"/>
          <cell r="L2862"/>
          <cell r="M2862"/>
          <cell r="N2862"/>
          <cell r="O2862"/>
          <cell r="P2862"/>
          <cell r="Q2862"/>
          <cell r="R2862"/>
          <cell r="S2862"/>
          <cell r="T2862"/>
          <cell r="U2862"/>
          <cell r="V2862"/>
          <cell r="W2862"/>
          <cell r="X2862"/>
          <cell r="Y2862"/>
          <cell r="Z2862"/>
          <cell r="AA2862"/>
          <cell r="AB2862"/>
          <cell r="AC2862"/>
          <cell r="AD2862"/>
          <cell r="AE2862"/>
          <cell r="AF2862"/>
          <cell r="AG2862"/>
          <cell r="AH2862"/>
          <cell r="AI2862"/>
          <cell r="AJ2862"/>
          <cell r="AK2862"/>
          <cell r="AL2862"/>
        </row>
        <row r="2863">
          <cell r="E2863"/>
          <cell r="F2863"/>
          <cell r="G2863"/>
          <cell r="H2863"/>
          <cell r="I2863"/>
          <cell r="J2863"/>
          <cell r="K2863"/>
          <cell r="L2863"/>
          <cell r="M2863"/>
          <cell r="N2863"/>
          <cell r="O2863"/>
          <cell r="P2863"/>
          <cell r="Q2863"/>
          <cell r="R2863"/>
          <cell r="S2863"/>
          <cell r="T2863"/>
          <cell r="U2863"/>
          <cell r="V2863"/>
          <cell r="W2863"/>
          <cell r="X2863"/>
          <cell r="Y2863"/>
          <cell r="Z2863"/>
          <cell r="AA2863"/>
          <cell r="AB2863"/>
          <cell r="AC2863"/>
          <cell r="AD2863"/>
          <cell r="AE2863"/>
          <cell r="AF2863"/>
          <cell r="AG2863"/>
          <cell r="AH2863"/>
          <cell r="AI2863"/>
          <cell r="AJ2863"/>
          <cell r="AK2863"/>
          <cell r="AL2863"/>
        </row>
        <row r="2864">
          <cell r="E2864"/>
          <cell r="F2864"/>
          <cell r="G2864"/>
          <cell r="H2864"/>
          <cell r="I2864"/>
          <cell r="J2864"/>
          <cell r="K2864"/>
          <cell r="L2864"/>
          <cell r="M2864"/>
          <cell r="N2864"/>
          <cell r="O2864"/>
          <cell r="P2864"/>
          <cell r="Q2864"/>
          <cell r="R2864"/>
          <cell r="S2864"/>
          <cell r="T2864"/>
          <cell r="U2864"/>
          <cell r="V2864"/>
          <cell r="W2864"/>
          <cell r="X2864"/>
          <cell r="Y2864"/>
          <cell r="Z2864"/>
          <cell r="AA2864"/>
          <cell r="AB2864"/>
          <cell r="AC2864"/>
          <cell r="AD2864"/>
          <cell r="AE2864"/>
          <cell r="AF2864"/>
          <cell r="AG2864"/>
          <cell r="AH2864"/>
          <cell r="AI2864"/>
          <cell r="AJ2864"/>
          <cell r="AK2864"/>
          <cell r="AL2864"/>
        </row>
        <row r="2865">
          <cell r="E2865"/>
          <cell r="F2865"/>
          <cell r="G2865"/>
          <cell r="H2865"/>
          <cell r="I2865"/>
          <cell r="J2865"/>
          <cell r="K2865"/>
          <cell r="L2865"/>
          <cell r="M2865"/>
          <cell r="N2865"/>
          <cell r="O2865"/>
          <cell r="P2865"/>
          <cell r="Q2865"/>
          <cell r="R2865"/>
          <cell r="S2865"/>
          <cell r="T2865"/>
          <cell r="U2865"/>
          <cell r="V2865"/>
          <cell r="W2865"/>
          <cell r="X2865"/>
          <cell r="Y2865"/>
          <cell r="Z2865"/>
          <cell r="AA2865"/>
          <cell r="AB2865"/>
          <cell r="AC2865"/>
          <cell r="AD2865"/>
          <cell r="AE2865"/>
          <cell r="AF2865"/>
          <cell r="AG2865"/>
          <cell r="AH2865"/>
          <cell r="AI2865"/>
          <cell r="AJ2865"/>
          <cell r="AK2865"/>
          <cell r="AL2865"/>
        </row>
        <row r="2866">
          <cell r="E2866"/>
          <cell r="F2866"/>
          <cell r="G2866"/>
          <cell r="H2866"/>
          <cell r="I2866"/>
          <cell r="J2866"/>
          <cell r="K2866"/>
          <cell r="L2866"/>
          <cell r="M2866"/>
          <cell r="N2866"/>
          <cell r="O2866"/>
          <cell r="P2866"/>
          <cell r="Q2866"/>
          <cell r="R2866"/>
          <cell r="S2866"/>
          <cell r="T2866"/>
          <cell r="U2866"/>
          <cell r="V2866"/>
          <cell r="W2866"/>
          <cell r="X2866"/>
          <cell r="Y2866"/>
          <cell r="Z2866"/>
          <cell r="AA2866"/>
          <cell r="AB2866"/>
          <cell r="AC2866"/>
          <cell r="AD2866"/>
          <cell r="AE2866"/>
          <cell r="AF2866"/>
          <cell r="AG2866"/>
          <cell r="AH2866"/>
          <cell r="AI2866"/>
          <cell r="AJ2866"/>
          <cell r="AK2866"/>
          <cell r="AL2866"/>
        </row>
        <row r="2867">
          <cell r="E2867"/>
          <cell r="F2867"/>
          <cell r="G2867"/>
          <cell r="H2867"/>
          <cell r="I2867"/>
          <cell r="J2867"/>
          <cell r="K2867"/>
          <cell r="L2867"/>
          <cell r="M2867"/>
          <cell r="N2867"/>
          <cell r="O2867"/>
          <cell r="P2867"/>
          <cell r="Q2867"/>
          <cell r="R2867"/>
          <cell r="S2867"/>
          <cell r="T2867"/>
          <cell r="U2867"/>
          <cell r="V2867"/>
          <cell r="W2867"/>
          <cell r="X2867"/>
          <cell r="Y2867"/>
          <cell r="Z2867"/>
          <cell r="AA2867"/>
          <cell r="AB2867"/>
          <cell r="AC2867"/>
          <cell r="AD2867"/>
          <cell r="AE2867"/>
          <cell r="AF2867"/>
          <cell r="AG2867"/>
          <cell r="AH2867"/>
          <cell r="AI2867"/>
          <cell r="AJ2867"/>
          <cell r="AK2867"/>
          <cell r="AL2867"/>
        </row>
        <row r="2868">
          <cell r="E2868"/>
          <cell r="F2868"/>
          <cell r="G2868"/>
          <cell r="H2868"/>
          <cell r="I2868"/>
          <cell r="J2868"/>
          <cell r="K2868"/>
          <cell r="L2868"/>
          <cell r="M2868"/>
          <cell r="N2868"/>
          <cell r="O2868"/>
          <cell r="P2868"/>
          <cell r="Q2868"/>
          <cell r="R2868"/>
          <cell r="S2868"/>
          <cell r="T2868"/>
          <cell r="U2868"/>
          <cell r="V2868"/>
          <cell r="W2868"/>
          <cell r="X2868"/>
          <cell r="Y2868"/>
          <cell r="Z2868"/>
          <cell r="AA2868"/>
          <cell r="AB2868"/>
          <cell r="AC2868"/>
          <cell r="AD2868"/>
          <cell r="AE2868"/>
          <cell r="AF2868"/>
          <cell r="AG2868"/>
          <cell r="AH2868"/>
          <cell r="AI2868"/>
          <cell r="AJ2868"/>
          <cell r="AK2868"/>
          <cell r="AL2868"/>
        </row>
        <row r="2869">
          <cell r="E2869"/>
          <cell r="F2869"/>
          <cell r="G2869"/>
          <cell r="H2869"/>
          <cell r="I2869"/>
          <cell r="J2869"/>
          <cell r="K2869"/>
          <cell r="L2869"/>
          <cell r="M2869"/>
          <cell r="N2869"/>
          <cell r="O2869"/>
          <cell r="P2869"/>
          <cell r="Q2869"/>
          <cell r="R2869"/>
          <cell r="S2869"/>
          <cell r="T2869"/>
          <cell r="U2869"/>
          <cell r="V2869"/>
          <cell r="W2869"/>
          <cell r="X2869"/>
          <cell r="Y2869"/>
          <cell r="Z2869"/>
          <cell r="AA2869"/>
          <cell r="AB2869"/>
          <cell r="AC2869"/>
          <cell r="AD2869"/>
          <cell r="AE2869"/>
          <cell r="AF2869"/>
          <cell r="AG2869"/>
          <cell r="AH2869"/>
          <cell r="AI2869"/>
          <cell r="AJ2869"/>
          <cell r="AK2869"/>
          <cell r="AL2869"/>
        </row>
        <row r="2870">
          <cell r="E2870"/>
          <cell r="F2870"/>
          <cell r="G2870"/>
          <cell r="H2870"/>
          <cell r="I2870"/>
          <cell r="J2870"/>
          <cell r="K2870"/>
          <cell r="L2870"/>
          <cell r="M2870"/>
          <cell r="N2870"/>
          <cell r="O2870"/>
          <cell r="P2870"/>
          <cell r="Q2870"/>
          <cell r="R2870"/>
          <cell r="S2870"/>
          <cell r="T2870"/>
          <cell r="U2870"/>
          <cell r="V2870"/>
          <cell r="W2870"/>
          <cell r="X2870"/>
          <cell r="Y2870"/>
          <cell r="Z2870"/>
          <cell r="AA2870"/>
          <cell r="AB2870"/>
          <cell r="AC2870"/>
          <cell r="AD2870"/>
          <cell r="AE2870"/>
          <cell r="AF2870"/>
          <cell r="AG2870"/>
          <cell r="AH2870"/>
          <cell r="AI2870"/>
          <cell r="AJ2870"/>
          <cell r="AK2870"/>
          <cell r="AL2870"/>
        </row>
        <row r="2871">
          <cell r="E2871"/>
          <cell r="F2871"/>
          <cell r="G2871"/>
          <cell r="H2871"/>
          <cell r="I2871"/>
          <cell r="J2871"/>
          <cell r="K2871"/>
          <cell r="L2871"/>
          <cell r="M2871"/>
          <cell r="N2871"/>
          <cell r="O2871"/>
          <cell r="P2871"/>
          <cell r="Q2871"/>
          <cell r="R2871"/>
          <cell r="S2871"/>
          <cell r="T2871"/>
          <cell r="U2871"/>
          <cell r="V2871"/>
          <cell r="W2871"/>
          <cell r="X2871"/>
          <cell r="Y2871"/>
          <cell r="Z2871"/>
          <cell r="AA2871"/>
          <cell r="AB2871"/>
          <cell r="AC2871"/>
          <cell r="AD2871"/>
          <cell r="AE2871"/>
          <cell r="AF2871"/>
          <cell r="AG2871"/>
          <cell r="AH2871"/>
          <cell r="AI2871"/>
          <cell r="AJ2871"/>
          <cell r="AK2871"/>
          <cell r="AL2871"/>
        </row>
        <row r="2872">
          <cell r="E2872"/>
          <cell r="F2872"/>
          <cell r="G2872"/>
          <cell r="H2872"/>
          <cell r="I2872"/>
          <cell r="J2872"/>
          <cell r="K2872"/>
          <cell r="L2872"/>
          <cell r="M2872"/>
          <cell r="N2872"/>
          <cell r="O2872"/>
          <cell r="P2872"/>
          <cell r="Q2872"/>
          <cell r="R2872"/>
          <cell r="S2872"/>
          <cell r="T2872"/>
          <cell r="U2872"/>
          <cell r="V2872"/>
          <cell r="W2872"/>
          <cell r="X2872"/>
          <cell r="Y2872"/>
          <cell r="Z2872"/>
          <cell r="AA2872"/>
          <cell r="AB2872"/>
          <cell r="AC2872"/>
          <cell r="AD2872"/>
          <cell r="AE2872"/>
          <cell r="AF2872"/>
          <cell r="AG2872"/>
          <cell r="AH2872"/>
          <cell r="AI2872"/>
          <cell r="AJ2872"/>
          <cell r="AK2872"/>
          <cell r="AL2872"/>
        </row>
        <row r="2873">
          <cell r="E2873"/>
          <cell r="F2873"/>
          <cell r="G2873"/>
          <cell r="H2873"/>
          <cell r="I2873"/>
          <cell r="J2873"/>
          <cell r="K2873"/>
          <cell r="L2873"/>
          <cell r="M2873"/>
          <cell r="N2873"/>
          <cell r="O2873"/>
          <cell r="P2873"/>
          <cell r="Q2873"/>
          <cell r="R2873"/>
          <cell r="S2873"/>
          <cell r="T2873"/>
          <cell r="U2873"/>
          <cell r="V2873"/>
          <cell r="W2873"/>
          <cell r="X2873"/>
          <cell r="Y2873"/>
          <cell r="Z2873"/>
          <cell r="AA2873"/>
          <cell r="AB2873"/>
          <cell r="AC2873"/>
          <cell r="AD2873"/>
          <cell r="AE2873"/>
          <cell r="AF2873"/>
          <cell r="AG2873"/>
          <cell r="AH2873"/>
          <cell r="AI2873"/>
          <cell r="AJ2873"/>
          <cell r="AK2873"/>
          <cell r="AL2873"/>
        </row>
        <row r="2874">
          <cell r="E2874"/>
          <cell r="F2874"/>
          <cell r="G2874"/>
          <cell r="H2874"/>
          <cell r="I2874"/>
          <cell r="J2874"/>
          <cell r="K2874"/>
          <cell r="L2874"/>
          <cell r="M2874"/>
          <cell r="N2874"/>
          <cell r="O2874"/>
          <cell r="P2874"/>
          <cell r="Q2874"/>
          <cell r="R2874"/>
          <cell r="S2874"/>
          <cell r="T2874"/>
          <cell r="U2874"/>
          <cell r="V2874"/>
          <cell r="W2874"/>
          <cell r="X2874"/>
          <cell r="Y2874"/>
          <cell r="Z2874"/>
          <cell r="AA2874"/>
          <cell r="AB2874"/>
          <cell r="AC2874"/>
          <cell r="AD2874"/>
          <cell r="AE2874"/>
          <cell r="AF2874"/>
          <cell r="AG2874"/>
          <cell r="AH2874"/>
          <cell r="AI2874"/>
          <cell r="AJ2874"/>
          <cell r="AK2874"/>
          <cell r="AL2874"/>
        </row>
        <row r="2875">
          <cell r="E2875"/>
          <cell r="F2875"/>
          <cell r="G2875"/>
          <cell r="H2875"/>
          <cell r="I2875"/>
          <cell r="J2875"/>
          <cell r="K2875"/>
          <cell r="L2875"/>
          <cell r="M2875"/>
          <cell r="N2875"/>
          <cell r="O2875"/>
          <cell r="P2875"/>
          <cell r="Q2875"/>
          <cell r="R2875"/>
          <cell r="S2875"/>
          <cell r="T2875"/>
          <cell r="U2875"/>
          <cell r="V2875"/>
          <cell r="W2875"/>
          <cell r="X2875"/>
          <cell r="Y2875"/>
          <cell r="Z2875"/>
          <cell r="AA2875"/>
          <cell r="AB2875"/>
          <cell r="AC2875"/>
          <cell r="AD2875"/>
          <cell r="AE2875"/>
          <cell r="AF2875"/>
          <cell r="AG2875"/>
          <cell r="AH2875"/>
          <cell r="AI2875"/>
          <cell r="AJ2875"/>
          <cell r="AK2875"/>
          <cell r="AL2875"/>
        </row>
        <row r="2876">
          <cell r="E2876"/>
          <cell r="F2876"/>
          <cell r="G2876"/>
          <cell r="H2876"/>
          <cell r="I2876"/>
          <cell r="J2876"/>
          <cell r="K2876"/>
          <cell r="L2876"/>
          <cell r="M2876"/>
          <cell r="N2876"/>
          <cell r="O2876"/>
          <cell r="P2876"/>
          <cell r="Q2876"/>
          <cell r="R2876"/>
          <cell r="S2876"/>
          <cell r="T2876"/>
          <cell r="U2876"/>
          <cell r="V2876"/>
          <cell r="W2876"/>
          <cell r="X2876"/>
          <cell r="Y2876"/>
          <cell r="Z2876"/>
          <cell r="AA2876"/>
          <cell r="AB2876"/>
          <cell r="AC2876"/>
          <cell r="AD2876"/>
          <cell r="AE2876"/>
          <cell r="AF2876"/>
          <cell r="AG2876"/>
          <cell r="AH2876"/>
          <cell r="AI2876"/>
          <cell r="AJ2876"/>
          <cell r="AK2876"/>
          <cell r="AL2876"/>
        </row>
        <row r="2877">
          <cell r="E2877"/>
          <cell r="F2877"/>
          <cell r="G2877"/>
          <cell r="H2877"/>
          <cell r="I2877"/>
          <cell r="J2877"/>
          <cell r="K2877"/>
          <cell r="L2877"/>
          <cell r="M2877"/>
          <cell r="N2877"/>
          <cell r="O2877"/>
          <cell r="P2877"/>
          <cell r="Q2877"/>
          <cell r="R2877"/>
          <cell r="S2877"/>
          <cell r="T2877"/>
          <cell r="U2877"/>
          <cell r="V2877"/>
          <cell r="W2877"/>
          <cell r="X2877"/>
          <cell r="Y2877"/>
          <cell r="Z2877"/>
          <cell r="AA2877"/>
          <cell r="AB2877"/>
          <cell r="AC2877"/>
          <cell r="AD2877"/>
          <cell r="AE2877"/>
          <cell r="AF2877"/>
          <cell r="AG2877"/>
          <cell r="AH2877"/>
          <cell r="AI2877"/>
          <cell r="AJ2877"/>
          <cell r="AK2877"/>
          <cell r="AL2877"/>
        </row>
        <row r="2878">
          <cell r="E2878"/>
          <cell r="F2878"/>
          <cell r="G2878"/>
          <cell r="H2878"/>
          <cell r="I2878"/>
          <cell r="J2878"/>
          <cell r="K2878"/>
          <cell r="L2878"/>
          <cell r="M2878"/>
          <cell r="N2878"/>
          <cell r="O2878"/>
          <cell r="P2878"/>
          <cell r="Q2878"/>
          <cell r="R2878"/>
          <cell r="S2878"/>
          <cell r="T2878"/>
          <cell r="U2878"/>
          <cell r="V2878"/>
          <cell r="W2878"/>
          <cell r="X2878"/>
          <cell r="Y2878"/>
          <cell r="Z2878"/>
          <cell r="AA2878"/>
          <cell r="AB2878"/>
          <cell r="AC2878"/>
          <cell r="AD2878"/>
          <cell r="AE2878"/>
          <cell r="AF2878"/>
          <cell r="AG2878"/>
          <cell r="AH2878"/>
          <cell r="AI2878"/>
          <cell r="AJ2878"/>
          <cell r="AK2878"/>
          <cell r="AL2878"/>
        </row>
        <row r="2879">
          <cell r="E2879"/>
          <cell r="F2879"/>
          <cell r="G2879"/>
          <cell r="H2879"/>
          <cell r="I2879"/>
          <cell r="J2879"/>
          <cell r="K2879"/>
          <cell r="L2879"/>
          <cell r="M2879"/>
          <cell r="N2879"/>
          <cell r="O2879"/>
          <cell r="P2879"/>
          <cell r="Q2879"/>
          <cell r="R2879"/>
          <cell r="S2879"/>
          <cell r="T2879"/>
          <cell r="U2879"/>
          <cell r="V2879"/>
          <cell r="W2879"/>
          <cell r="X2879"/>
          <cell r="Y2879"/>
          <cell r="Z2879"/>
          <cell r="AA2879"/>
          <cell r="AB2879"/>
          <cell r="AC2879"/>
          <cell r="AD2879"/>
          <cell r="AE2879"/>
          <cell r="AF2879"/>
          <cell r="AG2879"/>
          <cell r="AH2879"/>
          <cell r="AI2879"/>
          <cell r="AJ2879"/>
          <cell r="AK2879"/>
          <cell r="AL2879"/>
        </row>
        <row r="2880">
          <cell r="E2880"/>
          <cell r="F2880"/>
          <cell r="G2880"/>
          <cell r="H2880"/>
          <cell r="I2880"/>
          <cell r="J2880"/>
          <cell r="K2880"/>
          <cell r="L2880"/>
          <cell r="M2880"/>
          <cell r="N2880"/>
          <cell r="O2880"/>
          <cell r="P2880"/>
          <cell r="Q2880"/>
          <cell r="R2880"/>
          <cell r="S2880"/>
          <cell r="T2880"/>
          <cell r="U2880"/>
          <cell r="V2880"/>
          <cell r="W2880"/>
          <cell r="X2880"/>
          <cell r="Y2880"/>
          <cell r="Z2880"/>
          <cell r="AA2880"/>
          <cell r="AB2880"/>
          <cell r="AC2880"/>
          <cell r="AD2880"/>
          <cell r="AE2880"/>
          <cell r="AF2880"/>
          <cell r="AG2880"/>
          <cell r="AH2880"/>
          <cell r="AI2880"/>
          <cell r="AJ2880"/>
          <cell r="AK2880"/>
          <cell r="AL2880"/>
        </row>
        <row r="2881">
          <cell r="E2881"/>
          <cell r="F2881"/>
          <cell r="G2881"/>
          <cell r="H2881"/>
          <cell r="I2881"/>
          <cell r="J2881"/>
          <cell r="K2881"/>
          <cell r="L2881"/>
          <cell r="M2881"/>
          <cell r="N2881"/>
          <cell r="O2881"/>
          <cell r="P2881"/>
          <cell r="Q2881"/>
          <cell r="R2881"/>
          <cell r="S2881"/>
          <cell r="T2881"/>
          <cell r="U2881"/>
          <cell r="V2881"/>
          <cell r="W2881"/>
          <cell r="X2881"/>
          <cell r="Y2881"/>
          <cell r="Z2881"/>
          <cell r="AA2881"/>
          <cell r="AB2881"/>
          <cell r="AC2881"/>
          <cell r="AD2881"/>
          <cell r="AE2881"/>
          <cell r="AF2881"/>
          <cell r="AG2881"/>
          <cell r="AH2881"/>
          <cell r="AI2881"/>
          <cell r="AJ2881"/>
          <cell r="AK2881"/>
          <cell r="AL2881"/>
        </row>
        <row r="2882">
          <cell r="E2882"/>
          <cell r="F2882"/>
          <cell r="G2882"/>
          <cell r="H2882"/>
          <cell r="I2882"/>
          <cell r="J2882"/>
          <cell r="K2882"/>
          <cell r="L2882"/>
          <cell r="M2882"/>
          <cell r="N2882"/>
          <cell r="O2882"/>
          <cell r="P2882"/>
          <cell r="Q2882"/>
          <cell r="R2882"/>
          <cell r="S2882"/>
          <cell r="T2882"/>
          <cell r="U2882"/>
          <cell r="V2882"/>
          <cell r="W2882"/>
          <cell r="X2882"/>
          <cell r="Y2882"/>
          <cell r="Z2882"/>
          <cell r="AA2882"/>
          <cell r="AB2882"/>
          <cell r="AC2882"/>
          <cell r="AD2882"/>
          <cell r="AE2882"/>
          <cell r="AF2882"/>
          <cell r="AG2882"/>
          <cell r="AH2882"/>
          <cell r="AI2882"/>
          <cell r="AJ2882"/>
          <cell r="AK2882"/>
          <cell r="AL2882"/>
        </row>
        <row r="2883">
          <cell r="E2883"/>
          <cell r="F2883"/>
          <cell r="G2883"/>
          <cell r="H2883"/>
          <cell r="I2883"/>
          <cell r="J2883"/>
          <cell r="K2883"/>
          <cell r="L2883"/>
          <cell r="M2883"/>
          <cell r="N2883"/>
          <cell r="O2883"/>
          <cell r="P2883"/>
          <cell r="Q2883"/>
          <cell r="R2883"/>
          <cell r="S2883"/>
          <cell r="T2883"/>
          <cell r="U2883"/>
          <cell r="V2883"/>
          <cell r="W2883"/>
          <cell r="X2883"/>
          <cell r="Y2883"/>
          <cell r="Z2883"/>
          <cell r="AA2883"/>
          <cell r="AB2883"/>
          <cell r="AC2883"/>
          <cell r="AD2883"/>
          <cell r="AE2883"/>
          <cell r="AF2883"/>
          <cell r="AG2883"/>
          <cell r="AH2883"/>
          <cell r="AI2883"/>
          <cell r="AJ2883"/>
          <cell r="AK2883"/>
          <cell r="AL2883"/>
        </row>
        <row r="2884">
          <cell r="E2884"/>
          <cell r="F2884"/>
          <cell r="G2884"/>
          <cell r="H2884"/>
          <cell r="I2884"/>
          <cell r="J2884"/>
          <cell r="K2884"/>
          <cell r="L2884"/>
          <cell r="M2884"/>
          <cell r="N2884"/>
          <cell r="O2884"/>
          <cell r="P2884"/>
          <cell r="Q2884"/>
          <cell r="R2884"/>
          <cell r="S2884"/>
          <cell r="T2884"/>
          <cell r="U2884"/>
          <cell r="V2884"/>
          <cell r="W2884"/>
          <cell r="X2884"/>
          <cell r="Y2884"/>
          <cell r="Z2884"/>
          <cell r="AA2884"/>
          <cell r="AB2884"/>
          <cell r="AC2884"/>
          <cell r="AD2884"/>
          <cell r="AE2884"/>
          <cell r="AF2884"/>
          <cell r="AG2884"/>
          <cell r="AH2884"/>
          <cell r="AI2884"/>
          <cell r="AJ2884"/>
          <cell r="AK2884"/>
          <cell r="AL2884"/>
        </row>
        <row r="2885">
          <cell r="E2885"/>
          <cell r="F2885"/>
          <cell r="G2885"/>
          <cell r="H2885"/>
          <cell r="I2885"/>
          <cell r="J2885"/>
          <cell r="K2885"/>
          <cell r="L2885"/>
          <cell r="M2885"/>
          <cell r="N2885"/>
          <cell r="O2885"/>
          <cell r="P2885"/>
          <cell r="Q2885"/>
          <cell r="R2885"/>
          <cell r="S2885"/>
          <cell r="T2885"/>
          <cell r="U2885"/>
          <cell r="V2885"/>
          <cell r="W2885"/>
          <cell r="X2885"/>
          <cell r="Y2885"/>
          <cell r="Z2885"/>
          <cell r="AA2885"/>
          <cell r="AB2885"/>
          <cell r="AC2885"/>
          <cell r="AD2885"/>
          <cell r="AE2885"/>
          <cell r="AF2885"/>
          <cell r="AG2885"/>
          <cell r="AH2885"/>
          <cell r="AI2885"/>
          <cell r="AJ2885"/>
          <cell r="AK2885"/>
          <cell r="AL2885"/>
        </row>
        <row r="2886">
          <cell r="E2886"/>
          <cell r="F2886"/>
          <cell r="G2886"/>
          <cell r="H2886"/>
          <cell r="I2886"/>
          <cell r="J2886"/>
          <cell r="K2886"/>
          <cell r="L2886"/>
          <cell r="M2886"/>
          <cell r="N2886"/>
          <cell r="O2886"/>
          <cell r="P2886"/>
          <cell r="Q2886"/>
          <cell r="R2886"/>
          <cell r="S2886"/>
          <cell r="T2886"/>
          <cell r="U2886"/>
          <cell r="V2886"/>
          <cell r="W2886"/>
          <cell r="X2886"/>
          <cell r="Y2886"/>
          <cell r="Z2886"/>
          <cell r="AA2886"/>
          <cell r="AB2886"/>
          <cell r="AC2886"/>
          <cell r="AD2886"/>
          <cell r="AE2886"/>
          <cell r="AF2886"/>
          <cell r="AG2886"/>
          <cell r="AH2886"/>
          <cell r="AI2886"/>
          <cell r="AJ2886"/>
          <cell r="AK2886"/>
          <cell r="AL2886"/>
        </row>
        <row r="2887">
          <cell r="E2887"/>
          <cell r="F2887"/>
          <cell r="G2887"/>
          <cell r="H2887"/>
          <cell r="I2887"/>
          <cell r="J2887"/>
          <cell r="K2887"/>
          <cell r="L2887"/>
          <cell r="M2887"/>
          <cell r="N2887"/>
          <cell r="O2887"/>
          <cell r="P2887"/>
          <cell r="Q2887"/>
          <cell r="R2887"/>
          <cell r="S2887"/>
          <cell r="T2887"/>
          <cell r="U2887"/>
          <cell r="V2887"/>
          <cell r="W2887"/>
          <cell r="X2887"/>
          <cell r="Y2887"/>
          <cell r="Z2887"/>
          <cell r="AA2887"/>
          <cell r="AB2887"/>
          <cell r="AC2887"/>
          <cell r="AD2887"/>
          <cell r="AE2887"/>
          <cell r="AF2887"/>
          <cell r="AG2887"/>
          <cell r="AH2887"/>
          <cell r="AI2887"/>
          <cell r="AJ2887"/>
          <cell r="AK2887"/>
          <cell r="AL2887"/>
        </row>
        <row r="2888">
          <cell r="E2888"/>
          <cell r="F2888"/>
          <cell r="G2888"/>
          <cell r="H2888"/>
          <cell r="I2888"/>
          <cell r="J2888"/>
          <cell r="K2888"/>
          <cell r="L2888"/>
          <cell r="M2888"/>
          <cell r="N2888"/>
          <cell r="O2888"/>
          <cell r="P2888"/>
          <cell r="Q2888"/>
          <cell r="R2888"/>
          <cell r="S2888"/>
          <cell r="T2888"/>
          <cell r="U2888"/>
          <cell r="V2888"/>
          <cell r="W2888"/>
          <cell r="X2888"/>
          <cell r="Y2888"/>
          <cell r="Z2888"/>
          <cell r="AA2888"/>
          <cell r="AB2888"/>
          <cell r="AC2888"/>
          <cell r="AD2888"/>
          <cell r="AE2888"/>
          <cell r="AF2888"/>
          <cell r="AG2888"/>
          <cell r="AH2888"/>
          <cell r="AI2888"/>
          <cell r="AJ2888"/>
          <cell r="AK2888"/>
          <cell r="AL2888"/>
        </row>
        <row r="2889">
          <cell r="E2889"/>
          <cell r="F2889"/>
          <cell r="G2889"/>
          <cell r="H2889"/>
          <cell r="I2889"/>
          <cell r="J2889"/>
          <cell r="K2889"/>
          <cell r="L2889"/>
          <cell r="M2889"/>
          <cell r="N2889"/>
          <cell r="O2889"/>
          <cell r="P2889"/>
          <cell r="Q2889"/>
          <cell r="R2889"/>
          <cell r="S2889"/>
          <cell r="T2889"/>
          <cell r="U2889"/>
          <cell r="V2889"/>
          <cell r="W2889"/>
          <cell r="X2889"/>
          <cell r="Y2889"/>
          <cell r="Z2889"/>
          <cell r="AA2889"/>
          <cell r="AB2889"/>
          <cell r="AC2889"/>
          <cell r="AD2889"/>
          <cell r="AE2889"/>
          <cell r="AF2889"/>
          <cell r="AG2889"/>
          <cell r="AH2889"/>
          <cell r="AI2889"/>
          <cell r="AJ2889"/>
          <cell r="AK2889"/>
          <cell r="AL2889"/>
        </row>
        <row r="2890">
          <cell r="E2890"/>
          <cell r="F2890"/>
          <cell r="G2890"/>
          <cell r="H2890"/>
          <cell r="I2890"/>
          <cell r="J2890"/>
          <cell r="K2890"/>
          <cell r="L2890"/>
          <cell r="M2890"/>
          <cell r="N2890"/>
          <cell r="O2890"/>
          <cell r="P2890"/>
          <cell r="Q2890"/>
          <cell r="R2890"/>
          <cell r="S2890"/>
          <cell r="T2890"/>
          <cell r="U2890"/>
          <cell r="V2890"/>
          <cell r="W2890"/>
          <cell r="X2890"/>
          <cell r="Y2890"/>
          <cell r="Z2890"/>
          <cell r="AA2890"/>
          <cell r="AB2890"/>
          <cell r="AC2890"/>
          <cell r="AD2890"/>
          <cell r="AE2890"/>
          <cell r="AF2890"/>
          <cell r="AG2890"/>
          <cell r="AH2890"/>
          <cell r="AI2890"/>
          <cell r="AJ2890"/>
          <cell r="AK2890"/>
          <cell r="AL2890"/>
        </row>
        <row r="2891">
          <cell r="E2891"/>
          <cell r="F2891"/>
          <cell r="G2891"/>
          <cell r="H2891"/>
          <cell r="I2891"/>
          <cell r="J2891"/>
          <cell r="K2891"/>
          <cell r="L2891"/>
          <cell r="M2891"/>
          <cell r="N2891"/>
          <cell r="O2891"/>
          <cell r="P2891"/>
          <cell r="Q2891"/>
          <cell r="R2891"/>
          <cell r="S2891"/>
          <cell r="T2891"/>
          <cell r="U2891"/>
          <cell r="V2891"/>
          <cell r="W2891"/>
          <cell r="X2891"/>
          <cell r="Y2891"/>
          <cell r="Z2891"/>
          <cell r="AA2891"/>
          <cell r="AB2891"/>
          <cell r="AC2891"/>
          <cell r="AD2891"/>
          <cell r="AE2891"/>
          <cell r="AF2891"/>
          <cell r="AG2891"/>
          <cell r="AH2891"/>
          <cell r="AI2891"/>
          <cell r="AJ2891"/>
          <cell r="AK2891"/>
          <cell r="AL2891"/>
        </row>
        <row r="2892">
          <cell r="E2892"/>
          <cell r="F2892"/>
          <cell r="G2892"/>
          <cell r="H2892"/>
          <cell r="I2892"/>
          <cell r="J2892"/>
          <cell r="K2892"/>
          <cell r="L2892"/>
          <cell r="M2892"/>
          <cell r="N2892"/>
          <cell r="O2892"/>
          <cell r="P2892"/>
          <cell r="Q2892"/>
          <cell r="R2892"/>
          <cell r="S2892"/>
          <cell r="T2892"/>
          <cell r="U2892"/>
          <cell r="V2892"/>
          <cell r="W2892"/>
          <cell r="X2892"/>
          <cell r="Y2892"/>
          <cell r="Z2892"/>
          <cell r="AA2892"/>
          <cell r="AB2892"/>
          <cell r="AC2892"/>
          <cell r="AD2892"/>
          <cell r="AE2892"/>
          <cell r="AF2892"/>
          <cell r="AG2892"/>
          <cell r="AH2892"/>
          <cell r="AI2892"/>
          <cell r="AJ2892"/>
          <cell r="AK2892"/>
          <cell r="AL2892"/>
        </row>
        <row r="2893">
          <cell r="E2893"/>
          <cell r="F2893"/>
          <cell r="G2893"/>
          <cell r="H2893"/>
          <cell r="I2893"/>
          <cell r="J2893"/>
          <cell r="K2893"/>
          <cell r="L2893"/>
          <cell r="M2893"/>
          <cell r="N2893"/>
          <cell r="O2893"/>
          <cell r="P2893"/>
          <cell r="Q2893"/>
          <cell r="R2893"/>
          <cell r="S2893"/>
          <cell r="T2893"/>
          <cell r="U2893"/>
          <cell r="V2893"/>
          <cell r="W2893"/>
          <cell r="X2893"/>
          <cell r="Y2893"/>
          <cell r="Z2893"/>
          <cell r="AA2893"/>
          <cell r="AB2893"/>
          <cell r="AC2893"/>
          <cell r="AD2893"/>
          <cell r="AE2893"/>
          <cell r="AF2893"/>
          <cell r="AG2893"/>
          <cell r="AH2893"/>
          <cell r="AI2893"/>
          <cell r="AJ2893"/>
          <cell r="AK2893"/>
          <cell r="AL2893"/>
        </row>
        <row r="2894">
          <cell r="E2894"/>
          <cell r="F2894"/>
          <cell r="G2894"/>
          <cell r="H2894"/>
          <cell r="I2894"/>
          <cell r="J2894"/>
          <cell r="K2894"/>
          <cell r="L2894"/>
          <cell r="M2894"/>
          <cell r="N2894"/>
          <cell r="O2894"/>
          <cell r="P2894"/>
          <cell r="Q2894"/>
          <cell r="R2894"/>
          <cell r="S2894"/>
          <cell r="T2894"/>
          <cell r="U2894"/>
          <cell r="V2894"/>
          <cell r="W2894"/>
          <cell r="X2894"/>
          <cell r="Y2894"/>
          <cell r="Z2894"/>
          <cell r="AA2894"/>
          <cell r="AB2894"/>
          <cell r="AC2894"/>
          <cell r="AD2894"/>
          <cell r="AE2894"/>
          <cell r="AF2894"/>
          <cell r="AG2894"/>
          <cell r="AH2894"/>
          <cell r="AI2894"/>
          <cell r="AJ2894"/>
          <cell r="AK2894"/>
          <cell r="AL2894"/>
        </row>
        <row r="2895">
          <cell r="E2895"/>
          <cell r="F2895"/>
          <cell r="G2895"/>
          <cell r="H2895"/>
          <cell r="I2895"/>
          <cell r="J2895"/>
          <cell r="K2895"/>
          <cell r="L2895"/>
          <cell r="M2895"/>
          <cell r="N2895"/>
          <cell r="O2895"/>
          <cell r="P2895"/>
          <cell r="Q2895"/>
          <cell r="R2895"/>
          <cell r="S2895"/>
          <cell r="T2895"/>
          <cell r="U2895"/>
          <cell r="V2895"/>
          <cell r="W2895"/>
          <cell r="X2895"/>
          <cell r="Y2895"/>
          <cell r="Z2895"/>
          <cell r="AA2895"/>
          <cell r="AB2895"/>
          <cell r="AC2895"/>
          <cell r="AD2895"/>
          <cell r="AE2895"/>
          <cell r="AF2895"/>
          <cell r="AG2895"/>
          <cell r="AH2895"/>
          <cell r="AI2895"/>
          <cell r="AJ2895"/>
          <cell r="AK2895"/>
          <cell r="AL2895"/>
        </row>
        <row r="2896">
          <cell r="E2896"/>
          <cell r="F2896"/>
          <cell r="G2896"/>
          <cell r="H2896"/>
          <cell r="I2896"/>
          <cell r="J2896"/>
          <cell r="K2896"/>
          <cell r="L2896"/>
          <cell r="M2896"/>
          <cell r="N2896"/>
          <cell r="O2896"/>
          <cell r="P2896"/>
          <cell r="Q2896"/>
          <cell r="R2896"/>
          <cell r="S2896"/>
          <cell r="T2896"/>
          <cell r="U2896"/>
          <cell r="V2896"/>
          <cell r="W2896"/>
          <cell r="X2896"/>
          <cell r="Y2896"/>
          <cell r="Z2896"/>
          <cell r="AA2896"/>
          <cell r="AB2896"/>
          <cell r="AC2896"/>
          <cell r="AD2896"/>
          <cell r="AE2896"/>
          <cell r="AF2896"/>
          <cell r="AG2896"/>
          <cell r="AH2896"/>
          <cell r="AI2896"/>
          <cell r="AJ2896"/>
          <cell r="AK2896"/>
          <cell r="AL2896"/>
        </row>
        <row r="2897">
          <cell r="E2897"/>
          <cell r="F2897"/>
          <cell r="G2897"/>
          <cell r="H2897"/>
          <cell r="I2897"/>
          <cell r="J2897"/>
          <cell r="K2897"/>
          <cell r="L2897"/>
          <cell r="M2897"/>
          <cell r="N2897"/>
          <cell r="O2897"/>
          <cell r="P2897"/>
          <cell r="Q2897"/>
          <cell r="R2897"/>
          <cell r="S2897"/>
          <cell r="T2897"/>
          <cell r="U2897"/>
          <cell r="V2897"/>
          <cell r="W2897"/>
          <cell r="X2897"/>
          <cell r="Y2897"/>
          <cell r="Z2897"/>
          <cell r="AA2897"/>
          <cell r="AB2897"/>
          <cell r="AC2897"/>
          <cell r="AD2897"/>
          <cell r="AE2897"/>
          <cell r="AF2897"/>
          <cell r="AG2897"/>
          <cell r="AH2897"/>
          <cell r="AI2897"/>
          <cell r="AJ2897"/>
          <cell r="AK2897"/>
          <cell r="AL2897"/>
        </row>
        <row r="2898">
          <cell r="E2898"/>
          <cell r="F2898"/>
          <cell r="G2898"/>
          <cell r="H2898"/>
          <cell r="I2898"/>
          <cell r="J2898"/>
          <cell r="K2898"/>
          <cell r="L2898"/>
          <cell r="M2898"/>
          <cell r="N2898"/>
          <cell r="O2898"/>
          <cell r="P2898"/>
          <cell r="Q2898"/>
          <cell r="R2898"/>
          <cell r="S2898"/>
          <cell r="T2898"/>
          <cell r="U2898"/>
          <cell r="V2898"/>
          <cell r="W2898"/>
          <cell r="X2898"/>
          <cell r="Y2898"/>
          <cell r="Z2898"/>
          <cell r="AA2898"/>
          <cell r="AB2898"/>
          <cell r="AC2898"/>
          <cell r="AD2898"/>
          <cell r="AE2898"/>
          <cell r="AF2898"/>
          <cell r="AG2898"/>
          <cell r="AH2898"/>
          <cell r="AI2898"/>
          <cell r="AJ2898"/>
          <cell r="AK2898"/>
          <cell r="AL2898"/>
        </row>
        <row r="2899">
          <cell r="E2899"/>
          <cell r="F2899"/>
          <cell r="G2899"/>
          <cell r="H2899"/>
          <cell r="I2899"/>
          <cell r="J2899"/>
          <cell r="K2899"/>
          <cell r="L2899"/>
          <cell r="M2899"/>
          <cell r="N2899"/>
          <cell r="O2899"/>
          <cell r="P2899"/>
          <cell r="Q2899"/>
          <cell r="R2899"/>
          <cell r="S2899"/>
          <cell r="T2899"/>
          <cell r="U2899"/>
          <cell r="V2899"/>
          <cell r="W2899"/>
          <cell r="X2899"/>
          <cell r="Y2899"/>
          <cell r="Z2899"/>
          <cell r="AA2899"/>
          <cell r="AB2899"/>
          <cell r="AC2899"/>
          <cell r="AD2899"/>
          <cell r="AE2899"/>
          <cell r="AF2899"/>
          <cell r="AG2899"/>
          <cell r="AH2899"/>
          <cell r="AI2899"/>
          <cell r="AJ2899"/>
          <cell r="AK2899"/>
          <cell r="AL2899"/>
        </row>
        <row r="2900">
          <cell r="E2900"/>
          <cell r="F2900"/>
          <cell r="G2900"/>
          <cell r="H2900"/>
          <cell r="I2900"/>
          <cell r="J2900"/>
          <cell r="K2900"/>
          <cell r="L2900"/>
          <cell r="M2900"/>
          <cell r="N2900"/>
          <cell r="O2900"/>
          <cell r="P2900"/>
          <cell r="Q2900"/>
          <cell r="R2900"/>
          <cell r="S2900"/>
          <cell r="T2900"/>
          <cell r="U2900"/>
          <cell r="V2900"/>
          <cell r="W2900"/>
          <cell r="X2900"/>
          <cell r="Y2900"/>
          <cell r="Z2900"/>
          <cell r="AA2900"/>
          <cell r="AB2900"/>
          <cell r="AC2900"/>
          <cell r="AD2900"/>
          <cell r="AE2900"/>
          <cell r="AF2900"/>
          <cell r="AG2900"/>
          <cell r="AH2900"/>
          <cell r="AI2900"/>
          <cell r="AJ2900"/>
          <cell r="AK2900"/>
          <cell r="AL2900"/>
        </row>
        <row r="2901">
          <cell r="E2901"/>
          <cell r="F2901"/>
          <cell r="G2901"/>
          <cell r="H2901"/>
          <cell r="I2901"/>
          <cell r="J2901"/>
          <cell r="K2901"/>
          <cell r="L2901"/>
          <cell r="M2901"/>
          <cell r="N2901"/>
          <cell r="O2901"/>
          <cell r="P2901"/>
          <cell r="Q2901"/>
          <cell r="R2901"/>
          <cell r="S2901"/>
          <cell r="T2901"/>
          <cell r="U2901"/>
          <cell r="V2901"/>
          <cell r="W2901"/>
          <cell r="X2901"/>
          <cell r="Y2901"/>
          <cell r="Z2901"/>
          <cell r="AA2901"/>
          <cell r="AB2901"/>
          <cell r="AC2901"/>
          <cell r="AD2901"/>
          <cell r="AE2901"/>
          <cell r="AF2901"/>
          <cell r="AG2901"/>
          <cell r="AH2901"/>
          <cell r="AI2901"/>
          <cell r="AJ2901"/>
          <cell r="AK2901"/>
          <cell r="AL2901"/>
        </row>
        <row r="2902">
          <cell r="E2902"/>
          <cell r="F2902"/>
          <cell r="G2902"/>
          <cell r="H2902"/>
          <cell r="I2902"/>
          <cell r="J2902"/>
          <cell r="K2902"/>
          <cell r="L2902"/>
          <cell r="M2902"/>
          <cell r="N2902"/>
          <cell r="O2902"/>
          <cell r="P2902"/>
          <cell r="Q2902"/>
          <cell r="R2902"/>
          <cell r="S2902"/>
          <cell r="T2902"/>
          <cell r="U2902"/>
          <cell r="V2902"/>
          <cell r="W2902"/>
          <cell r="X2902"/>
          <cell r="Y2902"/>
          <cell r="Z2902"/>
          <cell r="AA2902"/>
          <cell r="AB2902"/>
          <cell r="AC2902"/>
          <cell r="AD2902"/>
          <cell r="AE2902"/>
          <cell r="AF2902"/>
          <cell r="AG2902"/>
          <cell r="AH2902"/>
          <cell r="AI2902"/>
          <cell r="AJ2902"/>
          <cell r="AK2902"/>
          <cell r="AL2902"/>
        </row>
        <row r="2903">
          <cell r="E2903"/>
          <cell r="F2903"/>
          <cell r="G2903"/>
          <cell r="H2903"/>
          <cell r="I2903"/>
          <cell r="J2903"/>
          <cell r="K2903"/>
          <cell r="L2903"/>
          <cell r="M2903"/>
          <cell r="N2903"/>
          <cell r="O2903"/>
          <cell r="P2903"/>
          <cell r="Q2903"/>
          <cell r="R2903"/>
          <cell r="S2903"/>
          <cell r="T2903"/>
          <cell r="U2903"/>
          <cell r="V2903"/>
          <cell r="W2903"/>
          <cell r="X2903"/>
          <cell r="Y2903"/>
          <cell r="Z2903"/>
          <cell r="AA2903"/>
          <cell r="AB2903"/>
          <cell r="AC2903"/>
          <cell r="AD2903"/>
          <cell r="AE2903"/>
          <cell r="AF2903"/>
          <cell r="AG2903"/>
          <cell r="AH2903"/>
          <cell r="AI2903"/>
          <cell r="AJ2903"/>
          <cell r="AK2903"/>
          <cell r="AL2903"/>
        </row>
        <row r="2904">
          <cell r="E2904"/>
          <cell r="F2904"/>
          <cell r="G2904"/>
          <cell r="H2904"/>
          <cell r="I2904"/>
          <cell r="J2904"/>
          <cell r="K2904"/>
          <cell r="L2904"/>
          <cell r="M2904"/>
          <cell r="N2904"/>
          <cell r="O2904"/>
          <cell r="P2904"/>
          <cell r="Q2904"/>
          <cell r="R2904"/>
          <cell r="S2904"/>
          <cell r="T2904"/>
          <cell r="U2904"/>
          <cell r="V2904"/>
          <cell r="W2904"/>
          <cell r="X2904"/>
          <cell r="Y2904"/>
          <cell r="Z2904"/>
          <cell r="AA2904"/>
          <cell r="AB2904"/>
          <cell r="AC2904"/>
          <cell r="AD2904"/>
          <cell r="AE2904"/>
          <cell r="AF2904"/>
          <cell r="AG2904"/>
          <cell r="AH2904"/>
          <cell r="AI2904"/>
          <cell r="AJ2904"/>
          <cell r="AK2904"/>
          <cell r="AL2904"/>
        </row>
        <row r="2905">
          <cell r="E2905"/>
          <cell r="F2905"/>
          <cell r="G2905"/>
          <cell r="H2905"/>
          <cell r="I2905"/>
          <cell r="J2905"/>
          <cell r="K2905"/>
          <cell r="L2905"/>
          <cell r="M2905"/>
          <cell r="N2905"/>
          <cell r="O2905"/>
          <cell r="P2905"/>
          <cell r="Q2905"/>
          <cell r="R2905"/>
          <cell r="S2905"/>
          <cell r="T2905"/>
          <cell r="U2905"/>
          <cell r="V2905"/>
          <cell r="W2905"/>
          <cell r="X2905"/>
          <cell r="Y2905"/>
          <cell r="Z2905"/>
          <cell r="AA2905"/>
          <cell r="AB2905"/>
          <cell r="AC2905"/>
          <cell r="AD2905"/>
          <cell r="AE2905"/>
          <cell r="AF2905"/>
          <cell r="AG2905"/>
          <cell r="AH2905"/>
          <cell r="AI2905"/>
          <cell r="AJ2905"/>
          <cell r="AK2905"/>
          <cell r="AL2905"/>
        </row>
        <row r="2906">
          <cell r="E2906"/>
          <cell r="F2906"/>
          <cell r="G2906"/>
          <cell r="H2906"/>
          <cell r="I2906"/>
          <cell r="J2906"/>
          <cell r="K2906"/>
          <cell r="L2906"/>
          <cell r="M2906"/>
          <cell r="N2906"/>
          <cell r="O2906"/>
          <cell r="P2906"/>
          <cell r="Q2906"/>
          <cell r="R2906"/>
          <cell r="S2906"/>
          <cell r="T2906"/>
          <cell r="U2906"/>
          <cell r="V2906"/>
          <cell r="W2906"/>
          <cell r="X2906"/>
          <cell r="Y2906"/>
          <cell r="Z2906"/>
          <cell r="AA2906"/>
          <cell r="AB2906"/>
          <cell r="AC2906"/>
          <cell r="AD2906"/>
          <cell r="AE2906"/>
          <cell r="AF2906"/>
          <cell r="AG2906"/>
          <cell r="AH2906"/>
          <cell r="AI2906"/>
          <cell r="AJ2906"/>
          <cell r="AK2906"/>
          <cell r="AL2906"/>
        </row>
        <row r="2907">
          <cell r="E2907"/>
          <cell r="F2907"/>
          <cell r="G2907"/>
          <cell r="H2907"/>
          <cell r="I2907"/>
          <cell r="J2907"/>
          <cell r="K2907"/>
          <cell r="L2907"/>
          <cell r="M2907"/>
          <cell r="N2907"/>
          <cell r="O2907"/>
          <cell r="P2907"/>
          <cell r="Q2907"/>
          <cell r="R2907"/>
          <cell r="S2907"/>
          <cell r="T2907"/>
          <cell r="U2907"/>
          <cell r="V2907"/>
          <cell r="W2907"/>
          <cell r="X2907"/>
          <cell r="Y2907"/>
          <cell r="Z2907"/>
          <cell r="AA2907"/>
          <cell r="AB2907"/>
          <cell r="AC2907"/>
          <cell r="AD2907"/>
          <cell r="AE2907"/>
          <cell r="AF2907"/>
          <cell r="AG2907"/>
          <cell r="AH2907"/>
          <cell r="AI2907"/>
          <cell r="AJ2907"/>
          <cell r="AK2907"/>
          <cell r="AL2907"/>
        </row>
        <row r="2908">
          <cell r="E2908"/>
          <cell r="F2908"/>
          <cell r="G2908"/>
          <cell r="H2908"/>
          <cell r="I2908"/>
          <cell r="J2908"/>
          <cell r="K2908"/>
          <cell r="L2908"/>
          <cell r="M2908"/>
          <cell r="N2908"/>
          <cell r="O2908"/>
          <cell r="P2908"/>
          <cell r="Q2908"/>
          <cell r="R2908"/>
          <cell r="S2908"/>
          <cell r="T2908"/>
          <cell r="U2908"/>
          <cell r="V2908"/>
          <cell r="W2908"/>
          <cell r="X2908"/>
          <cell r="Y2908"/>
          <cell r="Z2908"/>
          <cell r="AA2908"/>
          <cell r="AB2908"/>
          <cell r="AC2908"/>
          <cell r="AD2908"/>
          <cell r="AE2908"/>
          <cell r="AF2908"/>
          <cell r="AG2908"/>
          <cell r="AH2908"/>
          <cell r="AI2908"/>
          <cell r="AJ2908"/>
          <cell r="AK2908"/>
          <cell r="AL2908"/>
        </row>
        <row r="2909">
          <cell r="E2909"/>
          <cell r="F2909"/>
          <cell r="G2909"/>
          <cell r="H2909"/>
          <cell r="I2909"/>
          <cell r="J2909"/>
          <cell r="K2909"/>
          <cell r="L2909"/>
          <cell r="M2909"/>
          <cell r="N2909"/>
          <cell r="O2909"/>
          <cell r="P2909"/>
          <cell r="Q2909"/>
          <cell r="R2909"/>
          <cell r="S2909"/>
          <cell r="T2909"/>
          <cell r="U2909"/>
          <cell r="V2909"/>
          <cell r="W2909"/>
          <cell r="X2909"/>
          <cell r="Y2909"/>
          <cell r="Z2909"/>
          <cell r="AA2909"/>
          <cell r="AB2909"/>
          <cell r="AC2909"/>
          <cell r="AD2909"/>
          <cell r="AE2909"/>
          <cell r="AF2909"/>
          <cell r="AG2909"/>
          <cell r="AH2909"/>
          <cell r="AI2909"/>
          <cell r="AJ2909"/>
          <cell r="AK2909"/>
          <cell r="AL2909"/>
        </row>
        <row r="2910">
          <cell r="E2910"/>
          <cell r="F2910"/>
          <cell r="G2910"/>
          <cell r="H2910"/>
          <cell r="I2910"/>
          <cell r="J2910"/>
          <cell r="K2910"/>
          <cell r="L2910"/>
          <cell r="M2910"/>
          <cell r="N2910"/>
          <cell r="O2910"/>
          <cell r="P2910"/>
          <cell r="Q2910"/>
          <cell r="R2910"/>
          <cell r="S2910"/>
          <cell r="T2910"/>
          <cell r="U2910"/>
          <cell r="V2910"/>
          <cell r="W2910"/>
          <cell r="X2910"/>
          <cell r="Y2910"/>
          <cell r="Z2910"/>
          <cell r="AA2910"/>
          <cell r="AB2910"/>
          <cell r="AC2910"/>
          <cell r="AD2910"/>
          <cell r="AE2910"/>
          <cell r="AF2910"/>
          <cell r="AG2910"/>
          <cell r="AH2910"/>
          <cell r="AI2910"/>
          <cell r="AJ2910"/>
          <cell r="AK2910"/>
          <cell r="AL2910"/>
        </row>
        <row r="2911">
          <cell r="E2911"/>
          <cell r="F2911"/>
          <cell r="G2911"/>
          <cell r="H2911"/>
          <cell r="I2911"/>
          <cell r="J2911"/>
          <cell r="K2911"/>
          <cell r="L2911"/>
          <cell r="M2911"/>
          <cell r="N2911"/>
          <cell r="O2911"/>
          <cell r="P2911"/>
          <cell r="Q2911"/>
          <cell r="R2911"/>
          <cell r="S2911"/>
          <cell r="T2911"/>
          <cell r="U2911"/>
          <cell r="V2911"/>
          <cell r="W2911"/>
          <cell r="X2911"/>
          <cell r="Y2911"/>
          <cell r="Z2911"/>
          <cell r="AA2911"/>
          <cell r="AB2911"/>
          <cell r="AC2911"/>
          <cell r="AD2911"/>
          <cell r="AE2911"/>
          <cell r="AF2911"/>
          <cell r="AG2911"/>
          <cell r="AH2911"/>
          <cell r="AI2911"/>
          <cell r="AJ2911"/>
          <cell r="AK2911"/>
          <cell r="AL2911"/>
        </row>
        <row r="2912">
          <cell r="E2912"/>
          <cell r="F2912"/>
          <cell r="G2912"/>
          <cell r="H2912"/>
          <cell r="I2912"/>
          <cell r="J2912"/>
          <cell r="K2912"/>
          <cell r="L2912"/>
          <cell r="M2912"/>
          <cell r="N2912"/>
          <cell r="O2912"/>
          <cell r="P2912"/>
          <cell r="Q2912"/>
          <cell r="R2912"/>
          <cell r="S2912"/>
          <cell r="T2912"/>
          <cell r="U2912"/>
          <cell r="V2912"/>
          <cell r="W2912"/>
          <cell r="X2912"/>
          <cell r="Y2912"/>
          <cell r="Z2912"/>
          <cell r="AA2912"/>
          <cell r="AB2912"/>
          <cell r="AC2912"/>
          <cell r="AD2912"/>
          <cell r="AE2912"/>
          <cell r="AF2912"/>
          <cell r="AG2912"/>
          <cell r="AH2912"/>
          <cell r="AI2912"/>
          <cell r="AJ2912"/>
          <cell r="AK2912"/>
          <cell r="AL2912"/>
        </row>
        <row r="2913">
          <cell r="E2913"/>
          <cell r="F2913"/>
          <cell r="G2913"/>
          <cell r="H2913"/>
          <cell r="I2913"/>
          <cell r="J2913"/>
          <cell r="K2913"/>
          <cell r="L2913"/>
          <cell r="M2913"/>
          <cell r="N2913"/>
          <cell r="O2913"/>
          <cell r="P2913"/>
          <cell r="Q2913"/>
          <cell r="R2913"/>
          <cell r="S2913"/>
          <cell r="T2913"/>
          <cell r="U2913"/>
          <cell r="V2913"/>
          <cell r="W2913"/>
          <cell r="X2913"/>
          <cell r="Y2913"/>
          <cell r="Z2913"/>
          <cell r="AA2913"/>
          <cell r="AB2913"/>
          <cell r="AC2913"/>
          <cell r="AD2913"/>
          <cell r="AE2913"/>
          <cell r="AF2913"/>
          <cell r="AG2913"/>
          <cell r="AH2913"/>
          <cell r="AI2913"/>
          <cell r="AJ2913"/>
          <cell r="AK2913"/>
          <cell r="AL2913"/>
        </row>
        <row r="2914">
          <cell r="E2914"/>
          <cell r="F2914"/>
          <cell r="G2914"/>
          <cell r="H2914"/>
          <cell r="I2914"/>
          <cell r="J2914"/>
          <cell r="K2914"/>
          <cell r="L2914"/>
          <cell r="M2914"/>
          <cell r="N2914"/>
          <cell r="O2914"/>
          <cell r="P2914"/>
          <cell r="Q2914"/>
          <cell r="R2914"/>
          <cell r="S2914"/>
          <cell r="T2914"/>
          <cell r="U2914"/>
          <cell r="V2914"/>
          <cell r="W2914"/>
          <cell r="X2914"/>
          <cell r="Y2914"/>
          <cell r="Z2914"/>
          <cell r="AA2914"/>
          <cell r="AB2914"/>
          <cell r="AC2914"/>
          <cell r="AD2914"/>
          <cell r="AE2914"/>
          <cell r="AF2914"/>
          <cell r="AG2914"/>
          <cell r="AH2914"/>
          <cell r="AI2914"/>
          <cell r="AJ2914"/>
          <cell r="AK2914"/>
          <cell r="AL2914"/>
        </row>
        <row r="2915">
          <cell r="E2915"/>
          <cell r="F2915"/>
          <cell r="G2915"/>
          <cell r="H2915"/>
          <cell r="I2915"/>
          <cell r="J2915"/>
          <cell r="K2915"/>
          <cell r="L2915"/>
          <cell r="M2915"/>
          <cell r="N2915"/>
          <cell r="O2915"/>
          <cell r="P2915"/>
          <cell r="Q2915"/>
          <cell r="R2915"/>
          <cell r="S2915"/>
          <cell r="T2915"/>
          <cell r="U2915"/>
          <cell r="V2915"/>
          <cell r="W2915"/>
          <cell r="X2915"/>
          <cell r="Y2915"/>
          <cell r="Z2915"/>
          <cell r="AA2915"/>
          <cell r="AB2915"/>
          <cell r="AC2915"/>
          <cell r="AD2915"/>
          <cell r="AE2915"/>
          <cell r="AF2915"/>
          <cell r="AG2915"/>
          <cell r="AH2915"/>
          <cell r="AI2915"/>
          <cell r="AJ2915"/>
          <cell r="AK2915"/>
          <cell r="AL2915"/>
        </row>
        <row r="2916">
          <cell r="E2916"/>
          <cell r="F2916"/>
          <cell r="G2916"/>
          <cell r="H2916"/>
          <cell r="I2916"/>
          <cell r="J2916"/>
          <cell r="K2916"/>
          <cell r="L2916"/>
          <cell r="M2916"/>
          <cell r="N2916"/>
          <cell r="O2916"/>
          <cell r="P2916"/>
          <cell r="Q2916"/>
          <cell r="R2916"/>
          <cell r="S2916"/>
          <cell r="T2916"/>
          <cell r="U2916"/>
          <cell r="V2916"/>
          <cell r="W2916"/>
          <cell r="X2916"/>
          <cell r="Y2916"/>
          <cell r="Z2916"/>
          <cell r="AA2916"/>
          <cell r="AB2916"/>
          <cell r="AC2916"/>
          <cell r="AD2916"/>
          <cell r="AE2916"/>
          <cell r="AF2916"/>
          <cell r="AG2916"/>
          <cell r="AH2916"/>
          <cell r="AI2916"/>
          <cell r="AJ2916"/>
          <cell r="AK2916"/>
          <cell r="AL2916"/>
        </row>
        <row r="2917">
          <cell r="E2917" t="str">
            <v>増幅器 35/110</v>
          </cell>
          <cell r="F2917" t="str">
            <v>台</v>
          </cell>
          <cell r="G2917"/>
          <cell r="H2917">
            <v>108000</v>
          </cell>
          <cell r="I2917"/>
          <cell r="J2917">
            <v>108000</v>
          </cell>
          <cell r="K2917"/>
          <cell r="L2917">
            <v>108000</v>
          </cell>
          <cell r="M2917"/>
          <cell r="N2917">
            <v>108000</v>
          </cell>
          <cell r="O2917"/>
          <cell r="P2917">
            <v>108000</v>
          </cell>
          <cell r="Q2917"/>
          <cell r="R2917">
            <v>108000</v>
          </cell>
          <cell r="S2917"/>
          <cell r="T2917">
            <v>108000</v>
          </cell>
          <cell r="U2917"/>
          <cell r="V2917">
            <v>108000</v>
          </cell>
          <cell r="W2917"/>
          <cell r="X2917">
            <v>108000</v>
          </cell>
          <cell r="Y2917"/>
          <cell r="Z2917">
            <v>108000</v>
          </cell>
          <cell r="AA2917"/>
          <cell r="AB2917"/>
          <cell r="AC2917"/>
          <cell r="AD2917">
            <v>1.1399999999999999</v>
          </cell>
          <cell r="AE2917"/>
          <cell r="AF2917"/>
          <cell r="AG2917"/>
          <cell r="AH2917"/>
          <cell r="AI2917"/>
          <cell r="AJ2917"/>
          <cell r="AK2917"/>
          <cell r="AL2917" t="str">
            <v>CS・BS-IW型</v>
          </cell>
        </row>
        <row r="2918">
          <cell r="E2918" t="str">
            <v>増幅器 40/115</v>
          </cell>
          <cell r="F2918" t="str">
            <v>台</v>
          </cell>
          <cell r="G2918"/>
          <cell r="H2918">
            <v>144000</v>
          </cell>
          <cell r="I2918"/>
          <cell r="J2918">
            <v>144000</v>
          </cell>
          <cell r="K2918"/>
          <cell r="L2918">
            <v>144000</v>
          </cell>
          <cell r="M2918"/>
          <cell r="N2918">
            <v>144000</v>
          </cell>
          <cell r="O2918"/>
          <cell r="P2918">
            <v>144000</v>
          </cell>
          <cell r="Q2918"/>
          <cell r="R2918">
            <v>144000</v>
          </cell>
          <cell r="S2918"/>
          <cell r="T2918">
            <v>144000</v>
          </cell>
          <cell r="U2918"/>
          <cell r="V2918">
            <v>144000</v>
          </cell>
          <cell r="W2918"/>
          <cell r="X2918">
            <v>144000</v>
          </cell>
          <cell r="Y2918"/>
          <cell r="Z2918">
            <v>144000</v>
          </cell>
          <cell r="AA2918"/>
          <cell r="AB2918"/>
          <cell r="AC2918"/>
          <cell r="AD2918">
            <v>1.1399999999999999</v>
          </cell>
          <cell r="AE2918"/>
          <cell r="AF2918"/>
          <cell r="AG2918"/>
          <cell r="AH2918"/>
          <cell r="AI2918"/>
          <cell r="AJ2918"/>
          <cell r="AK2918"/>
          <cell r="AL2918" t="str">
            <v>CS・BS・UV・2W型</v>
          </cell>
        </row>
        <row r="2919">
          <cell r="E2919" t="str">
            <v>共聴アンテナ UHF</v>
          </cell>
          <cell r="F2919" t="str">
            <v>個</v>
          </cell>
          <cell r="G2919"/>
          <cell r="H2919">
            <v>48100</v>
          </cell>
          <cell r="I2919"/>
          <cell r="J2919">
            <v>48100</v>
          </cell>
          <cell r="K2919"/>
          <cell r="L2919">
            <v>48100</v>
          </cell>
          <cell r="M2919"/>
          <cell r="N2919">
            <v>48100</v>
          </cell>
          <cell r="O2919"/>
          <cell r="P2919">
            <v>48100</v>
          </cell>
          <cell r="Q2919"/>
          <cell r="R2919">
            <v>48100</v>
          </cell>
          <cell r="S2919"/>
          <cell r="T2919">
            <v>48100</v>
          </cell>
          <cell r="U2919"/>
          <cell r="V2919">
            <v>48100</v>
          </cell>
          <cell r="W2919"/>
          <cell r="X2919">
            <v>48100</v>
          </cell>
          <cell r="Y2919"/>
          <cell r="Z2919">
            <v>48100</v>
          </cell>
          <cell r="AA2919"/>
          <cell r="AB2919"/>
          <cell r="AC2919"/>
          <cell r="AD2919">
            <v>1.56</v>
          </cell>
          <cell r="AE2919"/>
          <cell r="AF2919"/>
          <cell r="AG2919"/>
          <cell r="AH2919"/>
          <cell r="AI2919"/>
          <cell r="AJ2919"/>
          <cell r="AK2919"/>
          <cell r="AL2919" t="str">
            <v>UL-20S</v>
          </cell>
        </row>
        <row r="2920">
          <cell r="E2920" t="str">
            <v>混合器 U-U</v>
          </cell>
          <cell r="F2920" t="str">
            <v>個</v>
          </cell>
          <cell r="G2920"/>
          <cell r="H2920">
            <v>4680</v>
          </cell>
          <cell r="I2920"/>
          <cell r="J2920">
            <v>4680</v>
          </cell>
          <cell r="K2920"/>
          <cell r="L2920">
            <v>4680</v>
          </cell>
          <cell r="M2920"/>
          <cell r="N2920">
            <v>4680</v>
          </cell>
          <cell r="O2920"/>
          <cell r="P2920">
            <v>4680</v>
          </cell>
          <cell r="Q2920"/>
          <cell r="R2920">
            <v>4680</v>
          </cell>
          <cell r="S2920"/>
          <cell r="T2920">
            <v>4680</v>
          </cell>
          <cell r="U2920"/>
          <cell r="V2920">
            <v>4680</v>
          </cell>
          <cell r="W2920"/>
          <cell r="X2920">
            <v>4680</v>
          </cell>
          <cell r="Y2920"/>
          <cell r="Z2920">
            <v>4680</v>
          </cell>
          <cell r="AA2920"/>
          <cell r="AB2920"/>
          <cell r="AC2920"/>
          <cell r="AD2920">
            <v>0.23</v>
          </cell>
          <cell r="AE2920"/>
          <cell r="AF2920"/>
          <cell r="AG2920"/>
          <cell r="AH2920"/>
          <cell r="AI2920"/>
          <cell r="AJ2920"/>
          <cell r="AK2920"/>
          <cell r="AL2920" t="str">
            <v>CS-UV-7</v>
          </cell>
        </row>
        <row r="2921">
          <cell r="E2921" t="str">
            <v>混合器 BS-CS</v>
          </cell>
          <cell r="F2921" t="str">
            <v>個</v>
          </cell>
          <cell r="G2921"/>
          <cell r="H2921">
            <v>8580</v>
          </cell>
          <cell r="I2921"/>
          <cell r="J2921">
            <v>8580</v>
          </cell>
          <cell r="K2921"/>
          <cell r="L2921">
            <v>8580</v>
          </cell>
          <cell r="M2921"/>
          <cell r="N2921">
            <v>8580</v>
          </cell>
          <cell r="O2921"/>
          <cell r="P2921">
            <v>8580</v>
          </cell>
          <cell r="Q2921"/>
          <cell r="R2921">
            <v>8580</v>
          </cell>
          <cell r="S2921"/>
          <cell r="T2921">
            <v>8580</v>
          </cell>
          <cell r="U2921"/>
          <cell r="V2921">
            <v>8580</v>
          </cell>
          <cell r="W2921"/>
          <cell r="X2921">
            <v>8580</v>
          </cell>
          <cell r="Y2921"/>
          <cell r="Z2921">
            <v>8580</v>
          </cell>
          <cell r="AA2921"/>
          <cell r="AB2921"/>
          <cell r="AC2921"/>
          <cell r="AD2921">
            <v>0.23</v>
          </cell>
          <cell r="AE2921"/>
          <cell r="AF2921"/>
          <cell r="AG2921"/>
          <cell r="AH2921"/>
          <cell r="AI2921"/>
          <cell r="AJ2921"/>
          <cell r="AK2921"/>
          <cell r="AL2921" t="str">
            <v>CS-MCW</v>
          </cell>
        </row>
        <row r="2922">
          <cell r="E2922" t="str">
            <v>混合器 UV-BC</v>
          </cell>
          <cell r="F2922" t="str">
            <v>個</v>
          </cell>
          <cell r="G2922"/>
          <cell r="H2922">
            <v>12600</v>
          </cell>
          <cell r="I2922"/>
          <cell r="J2922">
            <v>12600</v>
          </cell>
          <cell r="K2922"/>
          <cell r="L2922">
            <v>12600</v>
          </cell>
          <cell r="M2922"/>
          <cell r="N2922">
            <v>12600</v>
          </cell>
          <cell r="O2922"/>
          <cell r="P2922">
            <v>12600</v>
          </cell>
          <cell r="Q2922"/>
          <cell r="R2922">
            <v>12600</v>
          </cell>
          <cell r="S2922"/>
          <cell r="T2922">
            <v>12600</v>
          </cell>
          <cell r="U2922"/>
          <cell r="V2922">
            <v>12600</v>
          </cell>
          <cell r="W2922"/>
          <cell r="X2922">
            <v>12600</v>
          </cell>
          <cell r="Y2922"/>
          <cell r="Z2922">
            <v>12600</v>
          </cell>
          <cell r="AA2922"/>
          <cell r="AB2922"/>
          <cell r="AC2922"/>
          <cell r="AD2922">
            <v>0.23</v>
          </cell>
          <cell r="AE2922"/>
          <cell r="AF2922"/>
          <cell r="AG2922"/>
          <cell r="AH2922"/>
          <cell r="AI2922"/>
          <cell r="AJ2922"/>
          <cell r="AK2922"/>
          <cell r="AL2922" t="str">
            <v>CS-MCW</v>
          </cell>
        </row>
        <row r="2923">
          <cell r="E2923" t="str">
            <v>分配器 2D</v>
          </cell>
          <cell r="F2923" t="str">
            <v>個</v>
          </cell>
          <cell r="G2923"/>
          <cell r="H2923">
            <v>2760</v>
          </cell>
          <cell r="I2923"/>
          <cell r="J2923">
            <v>2760</v>
          </cell>
          <cell r="K2923"/>
          <cell r="L2923">
            <v>2760</v>
          </cell>
          <cell r="M2923"/>
          <cell r="N2923">
            <v>2760</v>
          </cell>
          <cell r="O2923"/>
          <cell r="P2923">
            <v>2760</v>
          </cell>
          <cell r="Q2923"/>
          <cell r="R2923">
            <v>2760</v>
          </cell>
          <cell r="S2923"/>
          <cell r="T2923">
            <v>2760</v>
          </cell>
          <cell r="U2923"/>
          <cell r="V2923">
            <v>2760</v>
          </cell>
          <cell r="W2923"/>
          <cell r="X2923">
            <v>2760</v>
          </cell>
          <cell r="Y2923"/>
          <cell r="Z2923">
            <v>2760</v>
          </cell>
          <cell r="AA2923"/>
          <cell r="AB2923"/>
          <cell r="AC2923"/>
          <cell r="AD2923">
            <v>0.186</v>
          </cell>
          <cell r="AE2923"/>
          <cell r="AF2923"/>
          <cell r="AG2923"/>
          <cell r="AH2923"/>
          <cell r="AI2923"/>
          <cell r="AJ2923"/>
          <cell r="AK2923"/>
          <cell r="AL2923" t="str">
            <v>CS-D2W</v>
          </cell>
        </row>
        <row r="2924">
          <cell r="E2924" t="str">
            <v>分配器 4D</v>
          </cell>
          <cell r="F2924" t="str">
            <v>個</v>
          </cell>
          <cell r="G2924"/>
          <cell r="H2924">
            <v>3780</v>
          </cell>
          <cell r="I2924"/>
          <cell r="J2924">
            <v>3780</v>
          </cell>
          <cell r="K2924"/>
          <cell r="L2924">
            <v>3780</v>
          </cell>
          <cell r="M2924"/>
          <cell r="N2924">
            <v>3780</v>
          </cell>
          <cell r="O2924"/>
          <cell r="P2924">
            <v>3780</v>
          </cell>
          <cell r="Q2924"/>
          <cell r="R2924">
            <v>3780</v>
          </cell>
          <cell r="S2924"/>
          <cell r="T2924">
            <v>3780</v>
          </cell>
          <cell r="U2924"/>
          <cell r="V2924">
            <v>3780</v>
          </cell>
          <cell r="W2924"/>
          <cell r="X2924">
            <v>3780</v>
          </cell>
          <cell r="Y2924"/>
          <cell r="Z2924">
            <v>3780</v>
          </cell>
          <cell r="AA2924"/>
          <cell r="AB2924"/>
          <cell r="AC2924"/>
          <cell r="AD2924">
            <v>0.23899999999999999</v>
          </cell>
          <cell r="AE2924"/>
          <cell r="AF2924"/>
          <cell r="AG2924"/>
          <cell r="AH2924"/>
          <cell r="AI2924"/>
          <cell r="AJ2924"/>
          <cell r="AK2924"/>
          <cell r="AL2924" t="str">
            <v>CS-D4W</v>
          </cell>
        </row>
        <row r="2925">
          <cell r="E2925" t="str">
            <v>分配器 6D</v>
          </cell>
          <cell r="F2925" t="str">
            <v>個</v>
          </cell>
          <cell r="G2925"/>
          <cell r="H2925">
            <v>5700</v>
          </cell>
          <cell r="I2925"/>
          <cell r="J2925">
            <v>5700</v>
          </cell>
          <cell r="K2925"/>
          <cell r="L2925">
            <v>5700</v>
          </cell>
          <cell r="M2925"/>
          <cell r="N2925">
            <v>5700</v>
          </cell>
          <cell r="O2925"/>
          <cell r="P2925">
            <v>5700</v>
          </cell>
          <cell r="Q2925"/>
          <cell r="R2925">
            <v>5700</v>
          </cell>
          <cell r="S2925"/>
          <cell r="T2925">
            <v>5700</v>
          </cell>
          <cell r="U2925"/>
          <cell r="V2925">
            <v>5700</v>
          </cell>
          <cell r="W2925"/>
          <cell r="X2925">
            <v>5700</v>
          </cell>
          <cell r="Y2925"/>
          <cell r="Z2925">
            <v>5700</v>
          </cell>
          <cell r="AA2925"/>
          <cell r="AB2925"/>
          <cell r="AC2925"/>
          <cell r="AD2925">
            <v>0.29199999999999998</v>
          </cell>
          <cell r="AE2925"/>
          <cell r="AF2925"/>
          <cell r="AG2925"/>
          <cell r="AH2925"/>
          <cell r="AI2925"/>
          <cell r="AJ2925"/>
          <cell r="AK2925"/>
          <cell r="AL2925" t="str">
            <v>CS-D6W</v>
          </cell>
        </row>
        <row r="2926">
          <cell r="E2926" t="str">
            <v>分岐器 1C</v>
          </cell>
          <cell r="F2926" t="str">
            <v>個</v>
          </cell>
          <cell r="G2926"/>
          <cell r="H2926">
            <v>3240</v>
          </cell>
          <cell r="I2926"/>
          <cell r="J2926">
            <v>3240</v>
          </cell>
          <cell r="K2926"/>
          <cell r="L2926">
            <v>3240</v>
          </cell>
          <cell r="M2926"/>
          <cell r="N2926">
            <v>3240</v>
          </cell>
          <cell r="O2926"/>
          <cell r="P2926">
            <v>3240</v>
          </cell>
          <cell r="Q2926"/>
          <cell r="R2926">
            <v>3240</v>
          </cell>
          <cell r="S2926"/>
          <cell r="T2926">
            <v>3240</v>
          </cell>
          <cell r="U2926"/>
          <cell r="V2926">
            <v>3240</v>
          </cell>
          <cell r="W2926"/>
          <cell r="X2926">
            <v>3240</v>
          </cell>
          <cell r="Y2926"/>
          <cell r="Z2926">
            <v>3240</v>
          </cell>
          <cell r="AA2926"/>
          <cell r="AB2926"/>
          <cell r="AC2926"/>
          <cell r="AD2926">
            <v>0.21199999999999999</v>
          </cell>
          <cell r="AE2926"/>
          <cell r="AF2926"/>
          <cell r="AG2926"/>
          <cell r="AH2926"/>
          <cell r="AI2926"/>
          <cell r="AJ2926"/>
          <cell r="AK2926"/>
          <cell r="AL2926" t="str">
            <v>CS-C1W</v>
          </cell>
        </row>
        <row r="2927">
          <cell r="E2927" t="str">
            <v>分岐器 2C</v>
          </cell>
          <cell r="F2927" t="str">
            <v>個</v>
          </cell>
          <cell r="G2927"/>
          <cell r="H2927">
            <v>3600</v>
          </cell>
          <cell r="I2927"/>
          <cell r="J2927">
            <v>3600</v>
          </cell>
          <cell r="K2927"/>
          <cell r="L2927">
            <v>3600</v>
          </cell>
          <cell r="M2927"/>
          <cell r="N2927">
            <v>3600</v>
          </cell>
          <cell r="O2927"/>
          <cell r="P2927">
            <v>3600</v>
          </cell>
          <cell r="Q2927"/>
          <cell r="R2927">
            <v>3600</v>
          </cell>
          <cell r="S2927"/>
          <cell r="T2927">
            <v>3600</v>
          </cell>
          <cell r="U2927"/>
          <cell r="V2927">
            <v>3600</v>
          </cell>
          <cell r="W2927"/>
          <cell r="X2927">
            <v>3600</v>
          </cell>
          <cell r="Y2927"/>
          <cell r="Z2927">
            <v>3600</v>
          </cell>
          <cell r="AA2927"/>
          <cell r="AB2927"/>
          <cell r="AC2927"/>
          <cell r="AD2927">
            <v>0.26500000000000001</v>
          </cell>
          <cell r="AE2927"/>
          <cell r="AF2927"/>
          <cell r="AG2927"/>
          <cell r="AH2927"/>
          <cell r="AI2927"/>
          <cell r="AJ2927"/>
          <cell r="AK2927"/>
          <cell r="AL2927" t="str">
            <v>CS-C2W</v>
          </cell>
        </row>
        <row r="2928">
          <cell r="E2928" t="str">
            <v>分岐器 4C</v>
          </cell>
          <cell r="F2928" t="str">
            <v>個</v>
          </cell>
          <cell r="G2928"/>
          <cell r="H2928">
            <v>4980</v>
          </cell>
          <cell r="I2928"/>
          <cell r="J2928">
            <v>4980</v>
          </cell>
          <cell r="K2928"/>
          <cell r="L2928">
            <v>4980</v>
          </cell>
          <cell r="M2928"/>
          <cell r="N2928">
            <v>4980</v>
          </cell>
          <cell r="O2928"/>
          <cell r="P2928">
            <v>4980</v>
          </cell>
          <cell r="Q2928"/>
          <cell r="R2928">
            <v>4980</v>
          </cell>
          <cell r="S2928"/>
          <cell r="T2928">
            <v>4980</v>
          </cell>
          <cell r="U2928"/>
          <cell r="V2928">
            <v>4980</v>
          </cell>
          <cell r="W2928"/>
          <cell r="X2928">
            <v>4980</v>
          </cell>
          <cell r="Y2928"/>
          <cell r="Z2928">
            <v>4980</v>
          </cell>
          <cell r="AA2928"/>
          <cell r="AB2928"/>
          <cell r="AC2928"/>
          <cell r="AD2928">
            <v>0.318</v>
          </cell>
          <cell r="AE2928"/>
          <cell r="AF2928"/>
          <cell r="AG2928"/>
          <cell r="AH2928"/>
          <cell r="AI2928"/>
          <cell r="AJ2928"/>
          <cell r="AK2928"/>
          <cell r="AL2928" t="str">
            <v>CS-C4W</v>
          </cell>
        </row>
        <row r="2929">
          <cell r="E2929" t="str">
            <v>直列Unit-中間1端子</v>
          </cell>
          <cell r="F2929" t="str">
            <v>個</v>
          </cell>
          <cell r="G2929"/>
          <cell r="H2929">
            <v>4140</v>
          </cell>
          <cell r="I2929"/>
          <cell r="J2929">
            <v>4140</v>
          </cell>
          <cell r="K2929"/>
          <cell r="L2929">
            <v>4140</v>
          </cell>
          <cell r="M2929"/>
          <cell r="N2929">
            <v>4140</v>
          </cell>
          <cell r="O2929"/>
          <cell r="P2929">
            <v>4140</v>
          </cell>
          <cell r="Q2929"/>
          <cell r="R2929">
            <v>4140</v>
          </cell>
          <cell r="S2929"/>
          <cell r="T2929">
            <v>4140</v>
          </cell>
          <cell r="U2929"/>
          <cell r="V2929">
            <v>4140</v>
          </cell>
          <cell r="W2929"/>
          <cell r="X2929">
            <v>4140</v>
          </cell>
          <cell r="Y2929"/>
          <cell r="Z2929">
            <v>4140</v>
          </cell>
          <cell r="AA2929"/>
          <cell r="AB2929"/>
          <cell r="AC2929"/>
          <cell r="AD2929">
            <v>0.15</v>
          </cell>
          <cell r="AE2929"/>
          <cell r="AF2929"/>
          <cell r="AG2929"/>
          <cell r="AH2929"/>
          <cell r="AI2929"/>
          <cell r="AJ2929"/>
          <cell r="AK2929"/>
          <cell r="AL2929" t="str">
            <v>CS-7F-7SW</v>
          </cell>
        </row>
        <row r="2930">
          <cell r="E2930" t="str">
            <v>直列Unit-終端1端子</v>
          </cell>
          <cell r="F2930" t="str">
            <v>個</v>
          </cell>
          <cell r="G2930"/>
          <cell r="H2930">
            <v>3720</v>
          </cell>
          <cell r="I2930"/>
          <cell r="J2930">
            <v>3720</v>
          </cell>
          <cell r="K2930"/>
          <cell r="L2930">
            <v>3720</v>
          </cell>
          <cell r="M2930"/>
          <cell r="N2930">
            <v>3720</v>
          </cell>
          <cell r="O2930"/>
          <cell r="P2930">
            <v>3720</v>
          </cell>
          <cell r="Q2930"/>
          <cell r="R2930">
            <v>3720</v>
          </cell>
          <cell r="S2930"/>
          <cell r="T2930">
            <v>3720</v>
          </cell>
          <cell r="U2930"/>
          <cell r="V2930">
            <v>3720</v>
          </cell>
          <cell r="W2930"/>
          <cell r="X2930">
            <v>3720</v>
          </cell>
          <cell r="Y2930"/>
          <cell r="Z2930">
            <v>3720</v>
          </cell>
          <cell r="AA2930"/>
          <cell r="AB2930"/>
          <cell r="AC2930"/>
          <cell r="AD2930">
            <v>0.13300000000000001</v>
          </cell>
          <cell r="AE2930"/>
          <cell r="AF2930"/>
          <cell r="AG2930"/>
          <cell r="AH2930"/>
          <cell r="AI2930"/>
          <cell r="AJ2930"/>
          <cell r="AK2930"/>
          <cell r="AL2930" t="str">
            <v>CS-7F-RSW</v>
          </cell>
        </row>
        <row r="2931">
          <cell r="E2931" t="str">
            <v>直列Unit-中間2端子</v>
          </cell>
          <cell r="F2931" t="str">
            <v>個</v>
          </cell>
          <cell r="G2931"/>
          <cell r="H2931">
            <v>4980</v>
          </cell>
          <cell r="I2931"/>
          <cell r="J2931">
            <v>4980</v>
          </cell>
          <cell r="K2931"/>
          <cell r="L2931">
            <v>4980</v>
          </cell>
          <cell r="M2931"/>
          <cell r="N2931">
            <v>4980</v>
          </cell>
          <cell r="O2931"/>
          <cell r="P2931">
            <v>4980</v>
          </cell>
          <cell r="Q2931"/>
          <cell r="R2931">
            <v>4980</v>
          </cell>
          <cell r="S2931"/>
          <cell r="T2931">
            <v>4980</v>
          </cell>
          <cell r="U2931"/>
          <cell r="V2931">
            <v>4980</v>
          </cell>
          <cell r="W2931"/>
          <cell r="X2931">
            <v>4980</v>
          </cell>
          <cell r="Y2931"/>
          <cell r="Z2931">
            <v>4980</v>
          </cell>
          <cell r="AA2931"/>
          <cell r="AB2931"/>
          <cell r="AC2931"/>
          <cell r="AD2931">
            <v>0.15</v>
          </cell>
          <cell r="AE2931"/>
          <cell r="AF2931"/>
          <cell r="AG2931"/>
          <cell r="AH2931"/>
          <cell r="AI2931"/>
          <cell r="AJ2931"/>
          <cell r="AK2931"/>
          <cell r="AL2931" t="str">
            <v>CS-77F-7W</v>
          </cell>
        </row>
        <row r="2932">
          <cell r="E2932" t="str">
            <v>直列Unit-終端2端子</v>
          </cell>
          <cell r="F2932" t="str">
            <v>個</v>
          </cell>
          <cell r="G2932"/>
          <cell r="H2932">
            <v>4440</v>
          </cell>
          <cell r="I2932"/>
          <cell r="J2932">
            <v>4440</v>
          </cell>
          <cell r="K2932"/>
          <cell r="L2932">
            <v>4440</v>
          </cell>
          <cell r="M2932"/>
          <cell r="N2932">
            <v>4440</v>
          </cell>
          <cell r="O2932"/>
          <cell r="P2932">
            <v>4440</v>
          </cell>
          <cell r="Q2932"/>
          <cell r="R2932">
            <v>4440</v>
          </cell>
          <cell r="S2932"/>
          <cell r="T2932">
            <v>4440</v>
          </cell>
          <cell r="U2932"/>
          <cell r="V2932">
            <v>4440</v>
          </cell>
          <cell r="W2932"/>
          <cell r="X2932">
            <v>4440</v>
          </cell>
          <cell r="Y2932"/>
          <cell r="Z2932">
            <v>4440</v>
          </cell>
          <cell r="AA2932"/>
          <cell r="AB2932"/>
          <cell r="AC2932"/>
          <cell r="AD2932">
            <v>0.13300000000000001</v>
          </cell>
          <cell r="AE2932"/>
          <cell r="AF2932"/>
          <cell r="AG2932"/>
          <cell r="AH2932"/>
          <cell r="AI2932"/>
          <cell r="AJ2932"/>
          <cell r="AK2932"/>
          <cell r="AL2932" t="str">
            <v>CS-77F-RW</v>
          </cell>
        </row>
        <row r="2933">
          <cell r="E2933"/>
          <cell r="F2933"/>
          <cell r="G2933"/>
          <cell r="H2933"/>
          <cell r="I2933"/>
          <cell r="J2933"/>
          <cell r="K2933"/>
          <cell r="L2933"/>
          <cell r="M2933"/>
          <cell r="N2933"/>
          <cell r="O2933"/>
          <cell r="P2933"/>
          <cell r="Q2933"/>
          <cell r="R2933"/>
          <cell r="S2933"/>
          <cell r="T2933"/>
          <cell r="U2933"/>
          <cell r="V2933"/>
          <cell r="W2933"/>
          <cell r="X2933"/>
          <cell r="Y2933"/>
          <cell r="Z2933"/>
          <cell r="AA2933"/>
          <cell r="AB2933"/>
          <cell r="AC2933"/>
          <cell r="AD2933"/>
          <cell r="AE2933"/>
          <cell r="AF2933"/>
          <cell r="AG2933"/>
          <cell r="AH2933"/>
          <cell r="AI2933"/>
          <cell r="AJ2933"/>
          <cell r="AK2933"/>
          <cell r="AL2933"/>
        </row>
        <row r="2934">
          <cell r="E2934"/>
          <cell r="F2934"/>
          <cell r="G2934"/>
          <cell r="H2934"/>
          <cell r="I2934"/>
          <cell r="J2934"/>
          <cell r="K2934"/>
          <cell r="L2934"/>
          <cell r="M2934"/>
          <cell r="N2934"/>
          <cell r="O2934"/>
          <cell r="P2934"/>
          <cell r="Q2934"/>
          <cell r="R2934"/>
          <cell r="S2934"/>
          <cell r="T2934"/>
          <cell r="U2934"/>
          <cell r="V2934"/>
          <cell r="W2934"/>
          <cell r="X2934"/>
          <cell r="Y2934"/>
          <cell r="Z2934"/>
          <cell r="AA2934"/>
          <cell r="AB2934"/>
          <cell r="AC2934"/>
          <cell r="AD2934"/>
          <cell r="AE2934"/>
          <cell r="AF2934"/>
          <cell r="AG2934"/>
          <cell r="AH2934"/>
          <cell r="AI2934"/>
          <cell r="AJ2934"/>
          <cell r="AK2934"/>
          <cell r="AL2934"/>
        </row>
        <row r="2935">
          <cell r="E2935" t="str">
            <v>アンテナポール SGP50A-3.5m</v>
          </cell>
          <cell r="F2935" t="str">
            <v>本</v>
          </cell>
          <cell r="G2935"/>
          <cell r="H2935">
            <v>15000</v>
          </cell>
          <cell r="I2935"/>
          <cell r="J2935">
            <v>15000</v>
          </cell>
          <cell r="K2935"/>
          <cell r="L2935">
            <v>15000</v>
          </cell>
          <cell r="M2935"/>
          <cell r="N2935">
            <v>15000</v>
          </cell>
          <cell r="O2935"/>
          <cell r="P2935">
            <v>15000</v>
          </cell>
          <cell r="Q2935"/>
          <cell r="R2935">
            <v>15000</v>
          </cell>
          <cell r="S2935"/>
          <cell r="T2935">
            <v>15000</v>
          </cell>
          <cell r="U2935"/>
          <cell r="V2935">
            <v>15000</v>
          </cell>
          <cell r="W2935"/>
          <cell r="X2935">
            <v>15000</v>
          </cell>
          <cell r="Y2935"/>
          <cell r="Z2935">
            <v>15000</v>
          </cell>
          <cell r="AA2935"/>
          <cell r="AB2935"/>
          <cell r="AC2935"/>
          <cell r="AD2935">
            <v>1.94</v>
          </cell>
          <cell r="AE2935"/>
          <cell r="AF2935"/>
          <cell r="AG2935"/>
          <cell r="AH2935"/>
          <cell r="AI2935"/>
          <cell r="AJ2935"/>
          <cell r="AK2935"/>
          <cell r="AL2935"/>
        </row>
        <row r="2936">
          <cell r="E2936" t="str">
            <v>アンテナポール SGP50A-4.5m</v>
          </cell>
          <cell r="F2936" t="str">
            <v>本</v>
          </cell>
          <cell r="G2936"/>
          <cell r="H2936">
            <v>17000</v>
          </cell>
          <cell r="I2936"/>
          <cell r="J2936">
            <v>17000</v>
          </cell>
          <cell r="K2936"/>
          <cell r="L2936">
            <v>17000</v>
          </cell>
          <cell r="M2936"/>
          <cell r="N2936">
            <v>17000</v>
          </cell>
          <cell r="O2936"/>
          <cell r="P2936">
            <v>17000</v>
          </cell>
          <cell r="Q2936"/>
          <cell r="R2936">
            <v>17000</v>
          </cell>
          <cell r="S2936"/>
          <cell r="T2936">
            <v>17000</v>
          </cell>
          <cell r="U2936"/>
          <cell r="V2936">
            <v>17000</v>
          </cell>
          <cell r="W2936"/>
          <cell r="X2936">
            <v>17000</v>
          </cell>
          <cell r="Y2936"/>
          <cell r="Z2936">
            <v>17000</v>
          </cell>
          <cell r="AA2936"/>
          <cell r="AB2936"/>
          <cell r="AC2936"/>
          <cell r="AD2936">
            <v>1.94</v>
          </cell>
          <cell r="AE2936"/>
          <cell r="AF2936"/>
          <cell r="AG2936"/>
          <cell r="AH2936"/>
          <cell r="AI2936"/>
          <cell r="AJ2936"/>
          <cell r="AK2936"/>
          <cell r="AL2936"/>
        </row>
        <row r="2937">
          <cell r="E2937" t="str">
            <v>アンテナポール SGP50A-5m</v>
          </cell>
          <cell r="F2937" t="str">
            <v>本</v>
          </cell>
          <cell r="G2937"/>
          <cell r="H2937">
            <v>17500</v>
          </cell>
          <cell r="I2937"/>
          <cell r="J2937">
            <v>17500</v>
          </cell>
          <cell r="K2937"/>
          <cell r="L2937">
            <v>17500</v>
          </cell>
          <cell r="M2937"/>
          <cell r="N2937">
            <v>17500</v>
          </cell>
          <cell r="O2937"/>
          <cell r="P2937">
            <v>17500</v>
          </cell>
          <cell r="Q2937"/>
          <cell r="R2937">
            <v>17500</v>
          </cell>
          <cell r="S2937"/>
          <cell r="T2937">
            <v>17500</v>
          </cell>
          <cell r="U2937"/>
          <cell r="V2937">
            <v>17500</v>
          </cell>
          <cell r="W2937"/>
          <cell r="X2937">
            <v>17500</v>
          </cell>
          <cell r="Y2937"/>
          <cell r="Z2937">
            <v>17500</v>
          </cell>
          <cell r="AA2937"/>
          <cell r="AB2937"/>
          <cell r="AC2937"/>
          <cell r="AD2937">
            <v>1.94</v>
          </cell>
          <cell r="AE2937"/>
          <cell r="AF2937"/>
          <cell r="AG2937"/>
          <cell r="AH2937"/>
          <cell r="AI2937"/>
          <cell r="AJ2937"/>
          <cell r="AK2937"/>
          <cell r="AL2937"/>
        </row>
        <row r="2938">
          <cell r="E2938" t="str">
            <v>アンテナポール SGP50A-5.5m</v>
          </cell>
          <cell r="F2938" t="str">
            <v>本</v>
          </cell>
          <cell r="G2938"/>
          <cell r="H2938">
            <v>18000</v>
          </cell>
          <cell r="I2938"/>
          <cell r="J2938">
            <v>18000</v>
          </cell>
          <cell r="K2938"/>
          <cell r="L2938">
            <v>18000</v>
          </cell>
          <cell r="M2938"/>
          <cell r="N2938">
            <v>18000</v>
          </cell>
          <cell r="O2938"/>
          <cell r="P2938">
            <v>18000</v>
          </cell>
          <cell r="Q2938"/>
          <cell r="R2938">
            <v>18000</v>
          </cell>
          <cell r="S2938"/>
          <cell r="T2938">
            <v>18000</v>
          </cell>
          <cell r="U2938"/>
          <cell r="V2938">
            <v>18000</v>
          </cell>
          <cell r="W2938"/>
          <cell r="X2938">
            <v>18000</v>
          </cell>
          <cell r="Y2938"/>
          <cell r="Z2938">
            <v>18000</v>
          </cell>
          <cell r="AA2938"/>
          <cell r="AB2938"/>
          <cell r="AC2938"/>
          <cell r="AD2938">
            <v>1.94</v>
          </cell>
          <cell r="AE2938"/>
          <cell r="AF2938"/>
          <cell r="AG2938"/>
          <cell r="AH2938"/>
          <cell r="AI2938"/>
          <cell r="AJ2938"/>
          <cell r="AK2938"/>
          <cell r="AL2938"/>
        </row>
        <row r="2939">
          <cell r="E2939" t="str">
            <v>アンテナポールBP付 SGP50A-3.5m</v>
          </cell>
          <cell r="F2939" t="str">
            <v>基</v>
          </cell>
          <cell r="G2939"/>
          <cell r="H2939">
            <v>31000</v>
          </cell>
          <cell r="I2939"/>
          <cell r="J2939">
            <v>31000</v>
          </cell>
          <cell r="K2939"/>
          <cell r="L2939">
            <v>31000</v>
          </cell>
          <cell r="M2939"/>
          <cell r="N2939">
            <v>31000</v>
          </cell>
          <cell r="O2939"/>
          <cell r="P2939">
            <v>31000</v>
          </cell>
          <cell r="Q2939"/>
          <cell r="R2939">
            <v>31000</v>
          </cell>
          <cell r="S2939"/>
          <cell r="T2939">
            <v>31000</v>
          </cell>
          <cell r="U2939"/>
          <cell r="V2939">
            <v>31000</v>
          </cell>
          <cell r="W2939"/>
          <cell r="X2939">
            <v>31000</v>
          </cell>
          <cell r="Y2939"/>
          <cell r="Z2939">
            <v>31000</v>
          </cell>
          <cell r="AA2939"/>
          <cell r="AB2939"/>
          <cell r="AC2939"/>
          <cell r="AD2939">
            <v>1.41</v>
          </cell>
          <cell r="AE2939"/>
          <cell r="AF2939"/>
          <cell r="AG2939"/>
          <cell r="AH2939"/>
          <cell r="AI2939"/>
          <cell r="AJ2939"/>
          <cell r="AK2939"/>
          <cell r="AL2939"/>
        </row>
        <row r="2940">
          <cell r="E2940" t="str">
            <v>アンテナポールBP付 SGP50A-4.5m</v>
          </cell>
          <cell r="F2940" t="str">
            <v>基</v>
          </cell>
          <cell r="G2940"/>
          <cell r="H2940">
            <v>33000</v>
          </cell>
          <cell r="I2940"/>
          <cell r="J2940">
            <v>33000</v>
          </cell>
          <cell r="K2940"/>
          <cell r="L2940">
            <v>33000</v>
          </cell>
          <cell r="M2940"/>
          <cell r="N2940">
            <v>33000</v>
          </cell>
          <cell r="O2940"/>
          <cell r="P2940">
            <v>33000</v>
          </cell>
          <cell r="Q2940"/>
          <cell r="R2940">
            <v>33000</v>
          </cell>
          <cell r="S2940"/>
          <cell r="T2940">
            <v>33000</v>
          </cell>
          <cell r="U2940"/>
          <cell r="V2940">
            <v>33000</v>
          </cell>
          <cell r="W2940"/>
          <cell r="X2940">
            <v>33000</v>
          </cell>
          <cell r="Y2940"/>
          <cell r="Z2940">
            <v>33000</v>
          </cell>
          <cell r="AA2940"/>
          <cell r="AB2940"/>
          <cell r="AC2940"/>
          <cell r="AD2940">
            <v>1.41</v>
          </cell>
          <cell r="AE2940"/>
          <cell r="AF2940"/>
          <cell r="AG2940"/>
          <cell r="AH2940"/>
          <cell r="AI2940"/>
          <cell r="AJ2940"/>
          <cell r="AK2940"/>
          <cell r="AL2940"/>
        </row>
        <row r="2941">
          <cell r="E2941" t="str">
            <v>アンテナポールBP付 SGP50A-5m</v>
          </cell>
          <cell r="F2941" t="str">
            <v>基</v>
          </cell>
          <cell r="G2941"/>
          <cell r="H2941">
            <v>33500</v>
          </cell>
          <cell r="I2941"/>
          <cell r="J2941">
            <v>33500</v>
          </cell>
          <cell r="K2941"/>
          <cell r="L2941">
            <v>33500</v>
          </cell>
          <cell r="M2941"/>
          <cell r="N2941">
            <v>33500</v>
          </cell>
          <cell r="O2941"/>
          <cell r="P2941">
            <v>33500</v>
          </cell>
          <cell r="Q2941"/>
          <cell r="R2941">
            <v>33500</v>
          </cell>
          <cell r="S2941"/>
          <cell r="T2941">
            <v>33500</v>
          </cell>
          <cell r="U2941"/>
          <cell r="V2941">
            <v>33500</v>
          </cell>
          <cell r="W2941"/>
          <cell r="X2941">
            <v>33500</v>
          </cell>
          <cell r="Y2941"/>
          <cell r="Z2941">
            <v>33500</v>
          </cell>
          <cell r="AA2941"/>
          <cell r="AB2941"/>
          <cell r="AC2941"/>
          <cell r="AD2941">
            <v>1.41</v>
          </cell>
          <cell r="AE2941"/>
          <cell r="AF2941"/>
          <cell r="AG2941"/>
          <cell r="AH2941"/>
          <cell r="AI2941"/>
          <cell r="AJ2941"/>
          <cell r="AK2941"/>
          <cell r="AL2941"/>
        </row>
        <row r="2942">
          <cell r="E2942" t="str">
            <v>アンテナポールBP付 SGP50A-5.5m</v>
          </cell>
          <cell r="F2942" t="str">
            <v>基</v>
          </cell>
          <cell r="G2942"/>
          <cell r="H2942">
            <v>34000</v>
          </cell>
          <cell r="I2942"/>
          <cell r="J2942">
            <v>34000</v>
          </cell>
          <cell r="K2942"/>
          <cell r="L2942">
            <v>34000</v>
          </cell>
          <cell r="M2942"/>
          <cell r="N2942">
            <v>34000</v>
          </cell>
          <cell r="O2942"/>
          <cell r="P2942">
            <v>34000</v>
          </cell>
          <cell r="Q2942"/>
          <cell r="R2942">
            <v>34000</v>
          </cell>
          <cell r="S2942"/>
          <cell r="T2942">
            <v>34000</v>
          </cell>
          <cell r="U2942"/>
          <cell r="V2942">
            <v>34000</v>
          </cell>
          <cell r="W2942"/>
          <cell r="X2942">
            <v>34000</v>
          </cell>
          <cell r="Y2942"/>
          <cell r="Z2942">
            <v>34000</v>
          </cell>
          <cell r="AA2942"/>
          <cell r="AB2942"/>
          <cell r="AC2942"/>
          <cell r="AD2942">
            <v>1.41</v>
          </cell>
          <cell r="AE2942"/>
          <cell r="AF2942"/>
          <cell r="AG2942"/>
          <cell r="AH2942"/>
          <cell r="AI2942"/>
          <cell r="AJ2942"/>
          <cell r="AK2942"/>
          <cell r="AL2942"/>
        </row>
        <row r="2943">
          <cell r="E2943" t="str">
            <v>CSアンテナポールBP付 SGP80A-1.5m</v>
          </cell>
          <cell r="F2943" t="str">
            <v>基</v>
          </cell>
          <cell r="G2943"/>
          <cell r="H2943">
            <v>33000</v>
          </cell>
          <cell r="I2943"/>
          <cell r="J2943">
            <v>33000</v>
          </cell>
          <cell r="K2943"/>
          <cell r="L2943">
            <v>33000</v>
          </cell>
          <cell r="M2943"/>
          <cell r="N2943">
            <v>33000</v>
          </cell>
          <cell r="O2943"/>
          <cell r="P2943">
            <v>33000</v>
          </cell>
          <cell r="Q2943"/>
          <cell r="R2943">
            <v>33000</v>
          </cell>
          <cell r="S2943"/>
          <cell r="T2943">
            <v>33000</v>
          </cell>
          <cell r="U2943"/>
          <cell r="V2943">
            <v>33000</v>
          </cell>
          <cell r="W2943"/>
          <cell r="X2943">
            <v>33000</v>
          </cell>
          <cell r="Y2943"/>
          <cell r="Z2943">
            <v>33000</v>
          </cell>
          <cell r="AA2943"/>
          <cell r="AB2943"/>
          <cell r="AC2943"/>
          <cell r="AD2943">
            <v>2.11</v>
          </cell>
          <cell r="AE2943"/>
          <cell r="AF2943"/>
          <cell r="AG2943"/>
          <cell r="AH2943"/>
          <cell r="AI2943"/>
          <cell r="AJ2943"/>
          <cell r="AK2943"/>
          <cell r="AL2943"/>
        </row>
        <row r="2944">
          <cell r="E2944" t="str">
            <v>共聴アンテナ BS</v>
          </cell>
          <cell r="F2944" t="str">
            <v>個</v>
          </cell>
          <cell r="G2944"/>
          <cell r="H2944">
            <v>58900</v>
          </cell>
          <cell r="I2944"/>
          <cell r="J2944">
            <v>58900</v>
          </cell>
          <cell r="K2944"/>
          <cell r="L2944">
            <v>58900</v>
          </cell>
          <cell r="M2944"/>
          <cell r="N2944">
            <v>58900</v>
          </cell>
          <cell r="O2944"/>
          <cell r="P2944">
            <v>58900</v>
          </cell>
          <cell r="Q2944"/>
          <cell r="R2944">
            <v>58900</v>
          </cell>
          <cell r="S2944"/>
          <cell r="T2944">
            <v>58900</v>
          </cell>
          <cell r="U2944"/>
          <cell r="V2944">
            <v>58900</v>
          </cell>
          <cell r="W2944"/>
          <cell r="X2944">
            <v>58900</v>
          </cell>
          <cell r="Y2944"/>
          <cell r="Z2944">
            <v>58900</v>
          </cell>
          <cell r="AA2944"/>
          <cell r="AB2944"/>
          <cell r="AC2944"/>
          <cell r="AD2944">
            <v>1.56</v>
          </cell>
          <cell r="AE2944"/>
          <cell r="AF2944"/>
          <cell r="AG2944"/>
          <cell r="AH2944"/>
          <cell r="AI2944"/>
          <cell r="AJ2944"/>
          <cell r="AK2944"/>
          <cell r="AL2944" t="str">
            <v>BC751</v>
          </cell>
        </row>
        <row r="2945">
          <cell r="E2945" t="str">
            <v>共聴アンテナ CS</v>
          </cell>
          <cell r="F2945" t="str">
            <v>個</v>
          </cell>
          <cell r="G2945"/>
          <cell r="H2945">
            <v>58900</v>
          </cell>
          <cell r="I2945"/>
          <cell r="J2945">
            <v>58900</v>
          </cell>
          <cell r="K2945"/>
          <cell r="L2945">
            <v>58900</v>
          </cell>
          <cell r="M2945"/>
          <cell r="N2945">
            <v>58900</v>
          </cell>
          <cell r="O2945"/>
          <cell r="P2945">
            <v>58900</v>
          </cell>
          <cell r="Q2945"/>
          <cell r="R2945">
            <v>58900</v>
          </cell>
          <cell r="S2945"/>
          <cell r="T2945">
            <v>58900</v>
          </cell>
          <cell r="U2945"/>
          <cell r="V2945">
            <v>58900</v>
          </cell>
          <cell r="W2945"/>
          <cell r="X2945">
            <v>58900</v>
          </cell>
          <cell r="Y2945"/>
          <cell r="Z2945">
            <v>58900</v>
          </cell>
          <cell r="AA2945"/>
          <cell r="AB2945"/>
          <cell r="AC2945"/>
          <cell r="AD2945">
            <v>1.56</v>
          </cell>
          <cell r="AE2945"/>
          <cell r="AF2945"/>
          <cell r="AG2945"/>
          <cell r="AH2945"/>
          <cell r="AI2945"/>
          <cell r="AJ2945"/>
          <cell r="AK2945"/>
          <cell r="AL2945" t="str">
            <v>DBCA-601</v>
          </cell>
        </row>
        <row r="2946">
          <cell r="E2946"/>
          <cell r="F2946"/>
          <cell r="G2946"/>
          <cell r="H2946"/>
          <cell r="I2946"/>
          <cell r="J2946"/>
          <cell r="K2946"/>
          <cell r="L2946"/>
          <cell r="M2946"/>
          <cell r="N2946"/>
          <cell r="O2946"/>
          <cell r="P2946"/>
          <cell r="Q2946"/>
          <cell r="R2946"/>
          <cell r="S2946"/>
          <cell r="T2946"/>
          <cell r="U2946"/>
          <cell r="V2946"/>
          <cell r="W2946"/>
          <cell r="X2946"/>
          <cell r="Y2946"/>
          <cell r="Z2946"/>
          <cell r="AA2946"/>
          <cell r="AB2946"/>
          <cell r="AC2946"/>
          <cell r="AD2946"/>
          <cell r="AE2946"/>
          <cell r="AF2946"/>
          <cell r="AG2946"/>
          <cell r="AH2946"/>
          <cell r="AI2946"/>
          <cell r="AJ2946"/>
          <cell r="AK2946"/>
          <cell r="AL2946"/>
        </row>
        <row r="2947">
          <cell r="E2947"/>
          <cell r="F2947"/>
          <cell r="G2947"/>
          <cell r="H2947"/>
          <cell r="I2947"/>
          <cell r="J2947"/>
          <cell r="K2947"/>
          <cell r="L2947"/>
          <cell r="M2947"/>
          <cell r="N2947"/>
          <cell r="O2947"/>
          <cell r="P2947"/>
          <cell r="Q2947"/>
          <cell r="R2947"/>
          <cell r="S2947"/>
          <cell r="T2947"/>
          <cell r="U2947"/>
          <cell r="V2947"/>
          <cell r="W2947"/>
          <cell r="X2947"/>
          <cell r="Y2947"/>
          <cell r="Z2947"/>
          <cell r="AA2947"/>
          <cell r="AB2947"/>
          <cell r="AC2947"/>
          <cell r="AD2947"/>
          <cell r="AE2947"/>
          <cell r="AF2947"/>
          <cell r="AG2947"/>
          <cell r="AH2947"/>
          <cell r="AI2947"/>
          <cell r="AJ2947"/>
          <cell r="AK2947"/>
          <cell r="AL2947"/>
        </row>
        <row r="2948">
          <cell r="E2948"/>
          <cell r="F2948"/>
          <cell r="G2948"/>
          <cell r="H2948"/>
          <cell r="I2948"/>
          <cell r="J2948"/>
          <cell r="K2948"/>
          <cell r="L2948"/>
          <cell r="M2948"/>
          <cell r="N2948"/>
          <cell r="O2948"/>
          <cell r="P2948"/>
          <cell r="Q2948"/>
          <cell r="R2948"/>
          <cell r="S2948"/>
          <cell r="T2948"/>
          <cell r="U2948"/>
          <cell r="V2948"/>
          <cell r="W2948"/>
          <cell r="X2948"/>
          <cell r="Y2948"/>
          <cell r="Z2948"/>
          <cell r="AA2948"/>
          <cell r="AB2948"/>
          <cell r="AC2948"/>
          <cell r="AD2948"/>
          <cell r="AE2948"/>
          <cell r="AF2948"/>
          <cell r="AG2948"/>
          <cell r="AH2948"/>
          <cell r="AI2948"/>
          <cell r="AJ2948"/>
          <cell r="AK2948"/>
          <cell r="AL2948"/>
        </row>
        <row r="2949">
          <cell r="E2949"/>
          <cell r="F2949"/>
          <cell r="G2949"/>
          <cell r="H2949"/>
          <cell r="I2949"/>
          <cell r="J2949"/>
          <cell r="K2949"/>
          <cell r="L2949"/>
          <cell r="M2949"/>
          <cell r="N2949"/>
          <cell r="O2949"/>
          <cell r="P2949"/>
          <cell r="Q2949"/>
          <cell r="R2949"/>
          <cell r="S2949"/>
          <cell r="T2949"/>
          <cell r="U2949"/>
          <cell r="V2949"/>
          <cell r="W2949"/>
          <cell r="X2949"/>
          <cell r="Y2949"/>
          <cell r="Z2949"/>
          <cell r="AA2949"/>
          <cell r="AB2949"/>
          <cell r="AC2949"/>
          <cell r="AD2949"/>
          <cell r="AE2949"/>
          <cell r="AF2949"/>
          <cell r="AG2949"/>
          <cell r="AH2949"/>
          <cell r="AI2949"/>
          <cell r="AJ2949"/>
          <cell r="AK2949"/>
          <cell r="AL2949"/>
        </row>
        <row r="2950">
          <cell r="E2950"/>
          <cell r="F2950"/>
          <cell r="G2950"/>
          <cell r="H2950"/>
          <cell r="I2950"/>
          <cell r="J2950"/>
          <cell r="K2950"/>
          <cell r="L2950"/>
          <cell r="M2950"/>
          <cell r="N2950"/>
          <cell r="O2950"/>
          <cell r="P2950"/>
          <cell r="Q2950"/>
          <cell r="R2950"/>
          <cell r="S2950"/>
          <cell r="T2950"/>
          <cell r="U2950"/>
          <cell r="V2950"/>
          <cell r="W2950"/>
          <cell r="X2950"/>
          <cell r="Y2950"/>
          <cell r="Z2950"/>
          <cell r="AA2950"/>
          <cell r="AB2950"/>
          <cell r="AC2950"/>
          <cell r="AD2950"/>
          <cell r="AE2950"/>
          <cell r="AF2950"/>
          <cell r="AG2950"/>
          <cell r="AH2950"/>
          <cell r="AI2950"/>
          <cell r="AJ2950"/>
          <cell r="AK2950"/>
          <cell r="AL2950"/>
        </row>
        <row r="2951">
          <cell r="E2951"/>
          <cell r="F2951"/>
          <cell r="G2951"/>
          <cell r="H2951"/>
          <cell r="I2951"/>
          <cell r="J2951"/>
          <cell r="K2951"/>
          <cell r="L2951"/>
          <cell r="M2951"/>
          <cell r="N2951"/>
          <cell r="O2951"/>
          <cell r="P2951"/>
          <cell r="Q2951"/>
          <cell r="R2951"/>
          <cell r="S2951"/>
          <cell r="T2951"/>
          <cell r="U2951"/>
          <cell r="V2951"/>
          <cell r="W2951"/>
          <cell r="X2951"/>
          <cell r="Y2951"/>
          <cell r="Z2951"/>
          <cell r="AA2951"/>
          <cell r="AB2951"/>
          <cell r="AC2951"/>
          <cell r="AD2951"/>
          <cell r="AE2951"/>
          <cell r="AF2951"/>
          <cell r="AG2951"/>
          <cell r="AH2951"/>
          <cell r="AI2951"/>
          <cell r="AJ2951"/>
          <cell r="AK2951"/>
          <cell r="AL2951"/>
        </row>
        <row r="2952">
          <cell r="E2952"/>
          <cell r="F2952"/>
          <cell r="G2952"/>
          <cell r="H2952"/>
          <cell r="I2952"/>
          <cell r="J2952"/>
          <cell r="K2952"/>
          <cell r="L2952"/>
          <cell r="M2952"/>
          <cell r="N2952"/>
          <cell r="O2952"/>
          <cell r="P2952"/>
          <cell r="Q2952"/>
          <cell r="R2952"/>
          <cell r="S2952"/>
          <cell r="T2952"/>
          <cell r="U2952"/>
          <cell r="V2952"/>
          <cell r="W2952"/>
          <cell r="X2952"/>
          <cell r="Y2952"/>
          <cell r="Z2952"/>
          <cell r="AA2952"/>
          <cell r="AB2952"/>
          <cell r="AC2952"/>
          <cell r="AD2952"/>
          <cell r="AE2952"/>
          <cell r="AF2952"/>
          <cell r="AG2952"/>
          <cell r="AH2952"/>
          <cell r="AI2952"/>
          <cell r="AJ2952"/>
          <cell r="AK2952"/>
          <cell r="AL2952"/>
        </row>
        <row r="2953">
          <cell r="E2953"/>
          <cell r="F2953"/>
          <cell r="G2953"/>
          <cell r="H2953"/>
          <cell r="I2953"/>
          <cell r="J2953"/>
          <cell r="K2953"/>
          <cell r="L2953"/>
          <cell r="M2953"/>
          <cell r="N2953"/>
          <cell r="O2953"/>
          <cell r="P2953"/>
          <cell r="Q2953"/>
          <cell r="R2953"/>
          <cell r="S2953"/>
          <cell r="T2953"/>
          <cell r="U2953"/>
          <cell r="V2953"/>
          <cell r="W2953"/>
          <cell r="X2953"/>
          <cell r="Y2953"/>
          <cell r="Z2953"/>
          <cell r="AA2953"/>
          <cell r="AB2953"/>
          <cell r="AC2953"/>
          <cell r="AD2953"/>
          <cell r="AE2953"/>
          <cell r="AF2953"/>
          <cell r="AG2953"/>
          <cell r="AH2953"/>
          <cell r="AI2953"/>
          <cell r="AJ2953"/>
          <cell r="AK2953"/>
          <cell r="AL2953"/>
        </row>
        <row r="2954">
          <cell r="E2954"/>
          <cell r="F2954"/>
          <cell r="G2954"/>
          <cell r="H2954"/>
          <cell r="I2954"/>
          <cell r="J2954"/>
          <cell r="K2954"/>
          <cell r="L2954"/>
          <cell r="M2954"/>
          <cell r="N2954"/>
          <cell r="O2954"/>
          <cell r="P2954"/>
          <cell r="Q2954"/>
          <cell r="R2954"/>
          <cell r="S2954"/>
          <cell r="T2954"/>
          <cell r="U2954"/>
          <cell r="V2954"/>
          <cell r="W2954"/>
          <cell r="X2954"/>
          <cell r="Y2954"/>
          <cell r="Z2954"/>
          <cell r="AA2954"/>
          <cell r="AB2954"/>
          <cell r="AC2954"/>
          <cell r="AD2954"/>
          <cell r="AE2954"/>
          <cell r="AF2954"/>
          <cell r="AG2954"/>
          <cell r="AH2954"/>
          <cell r="AI2954"/>
          <cell r="AJ2954"/>
          <cell r="AK2954"/>
          <cell r="AL2954"/>
        </row>
        <row r="2955">
          <cell r="E2955"/>
          <cell r="F2955"/>
          <cell r="G2955"/>
          <cell r="H2955"/>
          <cell r="I2955"/>
          <cell r="J2955"/>
          <cell r="K2955"/>
          <cell r="L2955"/>
          <cell r="M2955"/>
          <cell r="N2955"/>
          <cell r="O2955"/>
          <cell r="P2955"/>
          <cell r="Q2955"/>
          <cell r="R2955"/>
          <cell r="S2955"/>
          <cell r="T2955"/>
          <cell r="U2955"/>
          <cell r="V2955"/>
          <cell r="W2955"/>
          <cell r="X2955"/>
          <cell r="Y2955"/>
          <cell r="Z2955"/>
          <cell r="AA2955"/>
          <cell r="AB2955"/>
          <cell r="AC2955"/>
          <cell r="AD2955"/>
          <cell r="AE2955"/>
          <cell r="AF2955"/>
          <cell r="AG2955"/>
          <cell r="AH2955"/>
          <cell r="AI2955"/>
          <cell r="AJ2955"/>
          <cell r="AK2955"/>
          <cell r="AL2955"/>
        </row>
        <row r="2956">
          <cell r="E2956"/>
          <cell r="F2956"/>
          <cell r="G2956"/>
          <cell r="H2956"/>
          <cell r="I2956"/>
          <cell r="J2956"/>
          <cell r="K2956"/>
          <cell r="L2956"/>
          <cell r="M2956"/>
          <cell r="N2956"/>
          <cell r="O2956"/>
          <cell r="P2956"/>
          <cell r="Q2956"/>
          <cell r="R2956"/>
          <cell r="S2956"/>
          <cell r="T2956"/>
          <cell r="U2956"/>
          <cell r="V2956"/>
          <cell r="W2956"/>
          <cell r="X2956"/>
          <cell r="Y2956"/>
          <cell r="Z2956"/>
          <cell r="AA2956"/>
          <cell r="AB2956"/>
          <cell r="AC2956"/>
          <cell r="AD2956"/>
          <cell r="AE2956"/>
          <cell r="AF2956"/>
          <cell r="AG2956"/>
          <cell r="AH2956"/>
          <cell r="AI2956"/>
          <cell r="AJ2956"/>
          <cell r="AK2956"/>
          <cell r="AL2956"/>
        </row>
        <row r="2957">
          <cell r="E2957"/>
          <cell r="F2957"/>
          <cell r="G2957"/>
          <cell r="H2957"/>
          <cell r="I2957"/>
          <cell r="J2957"/>
          <cell r="K2957"/>
          <cell r="L2957"/>
          <cell r="M2957"/>
          <cell r="N2957"/>
          <cell r="O2957"/>
          <cell r="P2957"/>
          <cell r="Q2957"/>
          <cell r="R2957"/>
          <cell r="S2957"/>
          <cell r="T2957"/>
          <cell r="U2957"/>
          <cell r="V2957"/>
          <cell r="W2957"/>
          <cell r="X2957"/>
          <cell r="Y2957"/>
          <cell r="Z2957"/>
          <cell r="AA2957"/>
          <cell r="AB2957"/>
          <cell r="AC2957"/>
          <cell r="AD2957"/>
          <cell r="AE2957"/>
          <cell r="AF2957"/>
          <cell r="AG2957"/>
          <cell r="AH2957"/>
          <cell r="AI2957"/>
          <cell r="AJ2957"/>
          <cell r="AK2957"/>
          <cell r="AL2957"/>
        </row>
        <row r="2958">
          <cell r="E2958"/>
          <cell r="F2958"/>
          <cell r="G2958"/>
          <cell r="H2958"/>
          <cell r="I2958"/>
          <cell r="J2958"/>
          <cell r="K2958"/>
          <cell r="L2958"/>
          <cell r="M2958"/>
          <cell r="N2958"/>
          <cell r="O2958"/>
          <cell r="P2958"/>
          <cell r="Q2958"/>
          <cell r="R2958"/>
          <cell r="S2958"/>
          <cell r="T2958"/>
          <cell r="U2958"/>
          <cell r="V2958"/>
          <cell r="W2958"/>
          <cell r="X2958"/>
          <cell r="Y2958"/>
          <cell r="Z2958"/>
          <cell r="AA2958"/>
          <cell r="AB2958"/>
          <cell r="AC2958"/>
          <cell r="AD2958"/>
          <cell r="AE2958"/>
          <cell r="AF2958"/>
          <cell r="AG2958"/>
          <cell r="AH2958"/>
          <cell r="AI2958"/>
          <cell r="AJ2958"/>
          <cell r="AK2958"/>
          <cell r="AL2958"/>
        </row>
        <row r="2959">
          <cell r="E2959"/>
          <cell r="F2959"/>
          <cell r="G2959"/>
          <cell r="H2959"/>
          <cell r="I2959"/>
          <cell r="J2959"/>
          <cell r="K2959"/>
          <cell r="L2959"/>
          <cell r="M2959"/>
          <cell r="N2959"/>
          <cell r="O2959"/>
          <cell r="P2959"/>
          <cell r="Q2959"/>
          <cell r="R2959"/>
          <cell r="S2959"/>
          <cell r="T2959"/>
          <cell r="U2959"/>
          <cell r="V2959"/>
          <cell r="W2959"/>
          <cell r="X2959"/>
          <cell r="Y2959"/>
          <cell r="Z2959"/>
          <cell r="AA2959"/>
          <cell r="AB2959"/>
          <cell r="AC2959"/>
          <cell r="AD2959"/>
          <cell r="AE2959"/>
          <cell r="AF2959"/>
          <cell r="AG2959"/>
          <cell r="AH2959"/>
          <cell r="AI2959"/>
          <cell r="AJ2959"/>
          <cell r="AK2959"/>
          <cell r="AL2959"/>
        </row>
        <row r="2960">
          <cell r="E2960"/>
          <cell r="F2960"/>
          <cell r="G2960"/>
          <cell r="H2960"/>
          <cell r="I2960"/>
          <cell r="J2960"/>
          <cell r="K2960"/>
          <cell r="L2960"/>
          <cell r="M2960"/>
          <cell r="N2960"/>
          <cell r="O2960"/>
          <cell r="P2960"/>
          <cell r="Q2960"/>
          <cell r="R2960"/>
          <cell r="S2960"/>
          <cell r="T2960"/>
          <cell r="U2960"/>
          <cell r="V2960"/>
          <cell r="W2960"/>
          <cell r="X2960"/>
          <cell r="Y2960"/>
          <cell r="Z2960"/>
          <cell r="AA2960"/>
          <cell r="AB2960"/>
          <cell r="AC2960"/>
          <cell r="AD2960"/>
          <cell r="AE2960"/>
          <cell r="AF2960"/>
          <cell r="AG2960"/>
          <cell r="AH2960"/>
          <cell r="AI2960"/>
          <cell r="AJ2960"/>
          <cell r="AK2960"/>
          <cell r="AL2960"/>
        </row>
        <row r="2961">
          <cell r="E2961"/>
          <cell r="F2961"/>
          <cell r="G2961"/>
          <cell r="H2961"/>
          <cell r="I2961"/>
          <cell r="J2961"/>
          <cell r="K2961"/>
          <cell r="L2961"/>
          <cell r="M2961"/>
          <cell r="N2961"/>
          <cell r="O2961"/>
          <cell r="P2961"/>
          <cell r="Q2961"/>
          <cell r="R2961"/>
          <cell r="S2961"/>
          <cell r="T2961"/>
          <cell r="U2961"/>
          <cell r="V2961"/>
          <cell r="W2961"/>
          <cell r="X2961"/>
          <cell r="Y2961"/>
          <cell r="Z2961"/>
          <cell r="AA2961"/>
          <cell r="AB2961"/>
          <cell r="AC2961"/>
          <cell r="AD2961"/>
          <cell r="AE2961"/>
          <cell r="AF2961"/>
          <cell r="AG2961"/>
          <cell r="AH2961"/>
          <cell r="AI2961"/>
          <cell r="AJ2961"/>
          <cell r="AK2961"/>
          <cell r="AL2961"/>
        </row>
        <row r="2962">
          <cell r="E2962"/>
          <cell r="F2962"/>
          <cell r="G2962"/>
          <cell r="H2962"/>
          <cell r="I2962"/>
          <cell r="J2962"/>
          <cell r="K2962"/>
          <cell r="L2962"/>
          <cell r="M2962"/>
          <cell r="N2962"/>
          <cell r="O2962"/>
          <cell r="P2962"/>
          <cell r="Q2962"/>
          <cell r="R2962"/>
          <cell r="S2962"/>
          <cell r="T2962"/>
          <cell r="U2962"/>
          <cell r="V2962"/>
          <cell r="W2962"/>
          <cell r="X2962"/>
          <cell r="Y2962"/>
          <cell r="Z2962"/>
          <cell r="AA2962"/>
          <cell r="AB2962"/>
          <cell r="AC2962"/>
          <cell r="AD2962"/>
          <cell r="AE2962"/>
          <cell r="AF2962"/>
          <cell r="AG2962"/>
          <cell r="AH2962"/>
          <cell r="AI2962"/>
          <cell r="AJ2962"/>
          <cell r="AK2962"/>
          <cell r="AL2962"/>
        </row>
        <row r="2963">
          <cell r="E2963"/>
          <cell r="F2963"/>
          <cell r="G2963"/>
          <cell r="H2963"/>
          <cell r="I2963"/>
          <cell r="J2963"/>
          <cell r="K2963"/>
          <cell r="L2963"/>
          <cell r="M2963"/>
          <cell r="N2963"/>
          <cell r="O2963"/>
          <cell r="P2963"/>
          <cell r="Q2963"/>
          <cell r="R2963"/>
          <cell r="S2963"/>
          <cell r="T2963"/>
          <cell r="U2963"/>
          <cell r="V2963"/>
          <cell r="W2963"/>
          <cell r="X2963"/>
          <cell r="Y2963"/>
          <cell r="Z2963"/>
          <cell r="AA2963"/>
          <cell r="AB2963"/>
          <cell r="AC2963"/>
          <cell r="AD2963"/>
          <cell r="AE2963"/>
          <cell r="AF2963"/>
          <cell r="AG2963"/>
          <cell r="AH2963"/>
          <cell r="AI2963"/>
          <cell r="AJ2963"/>
          <cell r="AK2963"/>
          <cell r="AL2963"/>
        </row>
        <row r="2964">
          <cell r="E2964"/>
          <cell r="F2964"/>
          <cell r="G2964"/>
          <cell r="H2964"/>
          <cell r="I2964"/>
          <cell r="J2964"/>
          <cell r="K2964"/>
          <cell r="L2964"/>
          <cell r="M2964"/>
          <cell r="N2964"/>
          <cell r="O2964"/>
          <cell r="P2964"/>
          <cell r="Q2964"/>
          <cell r="R2964"/>
          <cell r="S2964"/>
          <cell r="T2964"/>
          <cell r="U2964"/>
          <cell r="V2964"/>
          <cell r="W2964"/>
          <cell r="X2964"/>
          <cell r="Y2964"/>
          <cell r="Z2964"/>
          <cell r="AA2964"/>
          <cell r="AB2964"/>
          <cell r="AC2964"/>
          <cell r="AD2964"/>
          <cell r="AE2964"/>
          <cell r="AF2964"/>
          <cell r="AG2964"/>
          <cell r="AH2964"/>
          <cell r="AI2964"/>
          <cell r="AJ2964"/>
          <cell r="AK2964"/>
          <cell r="AL2964"/>
        </row>
        <row r="2965">
          <cell r="E2965"/>
          <cell r="F2965"/>
          <cell r="G2965"/>
          <cell r="H2965"/>
          <cell r="I2965"/>
          <cell r="J2965"/>
          <cell r="K2965"/>
          <cell r="L2965"/>
          <cell r="M2965"/>
          <cell r="N2965"/>
          <cell r="O2965"/>
          <cell r="P2965"/>
          <cell r="Q2965"/>
          <cell r="R2965"/>
          <cell r="S2965"/>
          <cell r="T2965"/>
          <cell r="U2965"/>
          <cell r="V2965"/>
          <cell r="W2965"/>
          <cell r="X2965"/>
          <cell r="Y2965"/>
          <cell r="Z2965"/>
          <cell r="AA2965"/>
          <cell r="AB2965"/>
          <cell r="AC2965"/>
          <cell r="AD2965"/>
          <cell r="AE2965"/>
          <cell r="AF2965"/>
          <cell r="AG2965"/>
          <cell r="AH2965"/>
          <cell r="AI2965"/>
          <cell r="AJ2965"/>
          <cell r="AK2965"/>
          <cell r="AL2965"/>
        </row>
        <row r="2966">
          <cell r="E2966"/>
          <cell r="F2966"/>
          <cell r="G2966"/>
          <cell r="H2966"/>
          <cell r="I2966"/>
          <cell r="J2966"/>
          <cell r="K2966"/>
          <cell r="L2966"/>
          <cell r="M2966"/>
          <cell r="N2966"/>
          <cell r="O2966"/>
          <cell r="P2966"/>
          <cell r="Q2966"/>
          <cell r="R2966"/>
          <cell r="S2966"/>
          <cell r="T2966"/>
          <cell r="U2966"/>
          <cell r="V2966"/>
          <cell r="W2966"/>
          <cell r="X2966"/>
          <cell r="Y2966"/>
          <cell r="Z2966"/>
          <cell r="AA2966"/>
          <cell r="AB2966"/>
          <cell r="AC2966"/>
          <cell r="AD2966"/>
          <cell r="AE2966"/>
          <cell r="AF2966"/>
          <cell r="AG2966"/>
          <cell r="AH2966"/>
          <cell r="AI2966"/>
          <cell r="AJ2966"/>
          <cell r="AK2966"/>
          <cell r="AL2966"/>
        </row>
        <row r="2967">
          <cell r="E2967"/>
          <cell r="F2967"/>
          <cell r="G2967"/>
          <cell r="H2967"/>
          <cell r="I2967"/>
          <cell r="J2967"/>
          <cell r="K2967"/>
          <cell r="L2967"/>
          <cell r="M2967"/>
          <cell r="N2967"/>
          <cell r="O2967"/>
          <cell r="P2967"/>
          <cell r="Q2967"/>
          <cell r="R2967"/>
          <cell r="S2967"/>
          <cell r="T2967"/>
          <cell r="U2967"/>
          <cell r="V2967"/>
          <cell r="W2967"/>
          <cell r="X2967"/>
          <cell r="Y2967"/>
          <cell r="Z2967"/>
          <cell r="AA2967"/>
          <cell r="AB2967"/>
          <cell r="AC2967"/>
          <cell r="AD2967"/>
          <cell r="AE2967"/>
          <cell r="AF2967"/>
          <cell r="AG2967"/>
          <cell r="AH2967"/>
          <cell r="AI2967"/>
          <cell r="AJ2967"/>
          <cell r="AK2967"/>
          <cell r="AL2967"/>
        </row>
        <row r="2968">
          <cell r="E2968"/>
          <cell r="F2968"/>
          <cell r="G2968"/>
          <cell r="H2968"/>
          <cell r="I2968"/>
          <cell r="J2968"/>
          <cell r="K2968"/>
          <cell r="L2968"/>
          <cell r="M2968"/>
          <cell r="N2968"/>
          <cell r="O2968"/>
          <cell r="P2968"/>
          <cell r="Q2968"/>
          <cell r="R2968"/>
          <cell r="S2968"/>
          <cell r="T2968"/>
          <cell r="U2968"/>
          <cell r="V2968"/>
          <cell r="W2968"/>
          <cell r="X2968"/>
          <cell r="Y2968"/>
          <cell r="Z2968"/>
          <cell r="AA2968"/>
          <cell r="AB2968"/>
          <cell r="AC2968"/>
          <cell r="AD2968"/>
          <cell r="AE2968"/>
          <cell r="AF2968"/>
          <cell r="AG2968"/>
          <cell r="AH2968"/>
          <cell r="AI2968"/>
          <cell r="AJ2968"/>
          <cell r="AK2968"/>
          <cell r="AL2968"/>
        </row>
        <row r="2969">
          <cell r="E2969"/>
          <cell r="F2969"/>
          <cell r="G2969"/>
          <cell r="H2969"/>
          <cell r="I2969"/>
          <cell r="J2969"/>
          <cell r="K2969"/>
          <cell r="L2969"/>
          <cell r="M2969"/>
          <cell r="N2969"/>
          <cell r="O2969"/>
          <cell r="P2969"/>
          <cell r="Q2969"/>
          <cell r="R2969"/>
          <cell r="S2969"/>
          <cell r="T2969"/>
          <cell r="U2969"/>
          <cell r="V2969"/>
          <cell r="W2969"/>
          <cell r="X2969"/>
          <cell r="Y2969"/>
          <cell r="Z2969"/>
          <cell r="AA2969"/>
          <cell r="AB2969"/>
          <cell r="AC2969"/>
          <cell r="AD2969"/>
          <cell r="AE2969"/>
          <cell r="AF2969"/>
          <cell r="AG2969"/>
          <cell r="AH2969"/>
          <cell r="AI2969"/>
          <cell r="AJ2969"/>
          <cell r="AK2969"/>
          <cell r="AL2969"/>
        </row>
        <row r="2970">
          <cell r="E2970"/>
          <cell r="F2970"/>
          <cell r="G2970"/>
          <cell r="H2970"/>
          <cell r="I2970"/>
          <cell r="J2970"/>
          <cell r="K2970"/>
          <cell r="L2970"/>
          <cell r="M2970"/>
          <cell r="N2970"/>
          <cell r="O2970"/>
          <cell r="P2970"/>
          <cell r="Q2970"/>
          <cell r="R2970"/>
          <cell r="S2970"/>
          <cell r="T2970"/>
          <cell r="U2970"/>
          <cell r="V2970"/>
          <cell r="W2970"/>
          <cell r="X2970"/>
          <cell r="Y2970"/>
          <cell r="Z2970"/>
          <cell r="AA2970"/>
          <cell r="AB2970"/>
          <cell r="AC2970"/>
          <cell r="AD2970"/>
          <cell r="AE2970"/>
          <cell r="AF2970"/>
          <cell r="AG2970"/>
          <cell r="AH2970"/>
          <cell r="AI2970"/>
          <cell r="AJ2970"/>
          <cell r="AK2970"/>
          <cell r="AL2970"/>
        </row>
        <row r="2971">
          <cell r="E2971"/>
          <cell r="F2971"/>
          <cell r="G2971"/>
          <cell r="H2971"/>
          <cell r="I2971"/>
          <cell r="J2971"/>
          <cell r="K2971"/>
          <cell r="L2971"/>
          <cell r="M2971"/>
          <cell r="N2971"/>
          <cell r="O2971"/>
          <cell r="P2971"/>
          <cell r="Q2971"/>
          <cell r="R2971"/>
          <cell r="S2971"/>
          <cell r="T2971"/>
          <cell r="U2971"/>
          <cell r="V2971"/>
          <cell r="W2971"/>
          <cell r="X2971"/>
          <cell r="Y2971"/>
          <cell r="Z2971"/>
          <cell r="AA2971"/>
          <cell r="AB2971"/>
          <cell r="AC2971"/>
          <cell r="AD2971"/>
          <cell r="AE2971"/>
          <cell r="AF2971"/>
          <cell r="AG2971"/>
          <cell r="AH2971"/>
          <cell r="AI2971"/>
          <cell r="AJ2971"/>
          <cell r="AK2971"/>
          <cell r="AL2971"/>
        </row>
        <row r="2972">
          <cell r="E2972"/>
          <cell r="F2972"/>
          <cell r="G2972"/>
          <cell r="H2972"/>
          <cell r="I2972"/>
          <cell r="J2972"/>
          <cell r="K2972"/>
          <cell r="L2972"/>
          <cell r="M2972"/>
          <cell r="N2972"/>
          <cell r="O2972"/>
          <cell r="P2972"/>
          <cell r="Q2972"/>
          <cell r="R2972"/>
          <cell r="S2972"/>
          <cell r="T2972"/>
          <cell r="U2972"/>
          <cell r="V2972"/>
          <cell r="W2972"/>
          <cell r="X2972"/>
          <cell r="Y2972"/>
          <cell r="Z2972"/>
          <cell r="AA2972"/>
          <cell r="AB2972"/>
          <cell r="AC2972"/>
          <cell r="AD2972"/>
          <cell r="AE2972"/>
          <cell r="AF2972"/>
          <cell r="AG2972"/>
          <cell r="AH2972"/>
          <cell r="AI2972"/>
          <cell r="AJ2972"/>
          <cell r="AK2972"/>
          <cell r="AL2972"/>
        </row>
        <row r="2973">
          <cell r="E2973"/>
          <cell r="F2973"/>
          <cell r="G2973"/>
          <cell r="H2973"/>
          <cell r="I2973"/>
          <cell r="J2973"/>
          <cell r="K2973"/>
          <cell r="L2973"/>
          <cell r="M2973"/>
          <cell r="N2973"/>
          <cell r="O2973"/>
          <cell r="P2973"/>
          <cell r="Q2973"/>
          <cell r="R2973"/>
          <cell r="S2973"/>
          <cell r="T2973"/>
          <cell r="U2973"/>
          <cell r="V2973"/>
          <cell r="W2973"/>
          <cell r="X2973"/>
          <cell r="Y2973"/>
          <cell r="Z2973"/>
          <cell r="AA2973"/>
          <cell r="AB2973"/>
          <cell r="AC2973"/>
          <cell r="AD2973"/>
          <cell r="AE2973"/>
          <cell r="AF2973"/>
          <cell r="AG2973"/>
          <cell r="AH2973"/>
          <cell r="AI2973"/>
          <cell r="AJ2973"/>
          <cell r="AK2973"/>
          <cell r="AL2973"/>
        </row>
        <row r="2974">
          <cell r="E2974"/>
          <cell r="F2974"/>
          <cell r="G2974"/>
          <cell r="H2974"/>
          <cell r="I2974"/>
          <cell r="J2974"/>
          <cell r="K2974"/>
          <cell r="L2974"/>
          <cell r="M2974"/>
          <cell r="N2974"/>
          <cell r="O2974"/>
          <cell r="P2974"/>
          <cell r="Q2974"/>
          <cell r="R2974"/>
          <cell r="S2974"/>
          <cell r="T2974"/>
          <cell r="U2974"/>
          <cell r="V2974"/>
          <cell r="W2974"/>
          <cell r="X2974"/>
          <cell r="Y2974"/>
          <cell r="Z2974"/>
          <cell r="AA2974"/>
          <cell r="AB2974"/>
          <cell r="AC2974"/>
          <cell r="AD2974"/>
          <cell r="AE2974"/>
          <cell r="AF2974"/>
          <cell r="AG2974"/>
          <cell r="AH2974"/>
          <cell r="AI2974"/>
          <cell r="AJ2974"/>
          <cell r="AK2974"/>
          <cell r="AL2974"/>
        </row>
        <row r="2975">
          <cell r="E2975"/>
          <cell r="F2975"/>
          <cell r="G2975"/>
          <cell r="H2975"/>
          <cell r="I2975"/>
          <cell r="J2975"/>
          <cell r="K2975"/>
          <cell r="L2975"/>
          <cell r="M2975"/>
          <cell r="N2975"/>
          <cell r="O2975"/>
          <cell r="P2975"/>
          <cell r="Q2975"/>
          <cell r="R2975"/>
          <cell r="S2975"/>
          <cell r="T2975"/>
          <cell r="U2975"/>
          <cell r="V2975"/>
          <cell r="W2975"/>
          <cell r="X2975"/>
          <cell r="Y2975"/>
          <cell r="Z2975"/>
          <cell r="AA2975"/>
          <cell r="AB2975"/>
          <cell r="AC2975"/>
          <cell r="AD2975"/>
          <cell r="AE2975"/>
          <cell r="AF2975"/>
          <cell r="AG2975"/>
          <cell r="AH2975"/>
          <cell r="AI2975"/>
          <cell r="AJ2975"/>
          <cell r="AK2975"/>
          <cell r="AL2975"/>
        </row>
        <row r="2976">
          <cell r="E2976"/>
          <cell r="F2976"/>
          <cell r="G2976"/>
          <cell r="H2976"/>
          <cell r="I2976"/>
          <cell r="J2976"/>
          <cell r="K2976"/>
          <cell r="L2976"/>
          <cell r="M2976"/>
          <cell r="N2976"/>
          <cell r="O2976"/>
          <cell r="P2976"/>
          <cell r="Q2976"/>
          <cell r="R2976"/>
          <cell r="S2976"/>
          <cell r="T2976"/>
          <cell r="U2976"/>
          <cell r="V2976"/>
          <cell r="W2976"/>
          <cell r="X2976"/>
          <cell r="Y2976"/>
          <cell r="Z2976"/>
          <cell r="AA2976"/>
          <cell r="AB2976"/>
          <cell r="AC2976"/>
          <cell r="AD2976"/>
          <cell r="AE2976"/>
          <cell r="AF2976"/>
          <cell r="AG2976"/>
          <cell r="AH2976"/>
          <cell r="AI2976"/>
          <cell r="AJ2976"/>
          <cell r="AK2976"/>
          <cell r="AL2976"/>
        </row>
        <row r="2977">
          <cell r="E2977"/>
          <cell r="F2977"/>
          <cell r="G2977"/>
          <cell r="H2977"/>
          <cell r="I2977"/>
          <cell r="J2977"/>
          <cell r="K2977"/>
          <cell r="L2977"/>
          <cell r="M2977"/>
          <cell r="N2977"/>
          <cell r="O2977"/>
          <cell r="P2977"/>
          <cell r="Q2977"/>
          <cell r="R2977"/>
          <cell r="S2977"/>
          <cell r="T2977"/>
          <cell r="U2977"/>
          <cell r="V2977"/>
          <cell r="W2977"/>
          <cell r="X2977"/>
          <cell r="Y2977"/>
          <cell r="Z2977"/>
          <cell r="AA2977"/>
          <cell r="AB2977"/>
          <cell r="AC2977"/>
          <cell r="AD2977"/>
          <cell r="AE2977"/>
          <cell r="AF2977"/>
          <cell r="AG2977"/>
          <cell r="AH2977"/>
          <cell r="AI2977"/>
          <cell r="AJ2977"/>
          <cell r="AK2977"/>
          <cell r="AL2977"/>
        </row>
        <row r="2978">
          <cell r="E2978"/>
          <cell r="F2978"/>
          <cell r="G2978"/>
          <cell r="H2978"/>
          <cell r="I2978"/>
          <cell r="J2978"/>
          <cell r="K2978"/>
          <cell r="L2978"/>
          <cell r="M2978"/>
          <cell r="N2978"/>
          <cell r="O2978"/>
          <cell r="P2978"/>
          <cell r="Q2978"/>
          <cell r="R2978"/>
          <cell r="S2978"/>
          <cell r="T2978"/>
          <cell r="U2978"/>
          <cell r="V2978"/>
          <cell r="W2978"/>
          <cell r="X2978"/>
          <cell r="Y2978"/>
          <cell r="Z2978"/>
          <cell r="AA2978"/>
          <cell r="AB2978"/>
          <cell r="AC2978"/>
          <cell r="AD2978"/>
          <cell r="AE2978"/>
          <cell r="AF2978"/>
          <cell r="AG2978"/>
          <cell r="AH2978"/>
          <cell r="AI2978"/>
          <cell r="AJ2978"/>
          <cell r="AK2978"/>
          <cell r="AL2978"/>
        </row>
        <row r="2979">
          <cell r="E2979"/>
          <cell r="F2979"/>
          <cell r="G2979"/>
          <cell r="H2979"/>
          <cell r="I2979"/>
          <cell r="J2979"/>
          <cell r="K2979"/>
          <cell r="L2979"/>
          <cell r="M2979"/>
          <cell r="N2979"/>
          <cell r="O2979"/>
          <cell r="P2979"/>
          <cell r="Q2979"/>
          <cell r="R2979"/>
          <cell r="S2979"/>
          <cell r="T2979"/>
          <cell r="U2979"/>
          <cell r="V2979"/>
          <cell r="W2979"/>
          <cell r="X2979"/>
          <cell r="Y2979"/>
          <cell r="Z2979"/>
          <cell r="AA2979"/>
          <cell r="AB2979"/>
          <cell r="AC2979"/>
          <cell r="AD2979"/>
          <cell r="AE2979"/>
          <cell r="AF2979"/>
          <cell r="AG2979"/>
          <cell r="AH2979"/>
          <cell r="AI2979"/>
          <cell r="AJ2979"/>
          <cell r="AK2979"/>
          <cell r="AL2979"/>
        </row>
        <row r="2980">
          <cell r="E2980"/>
          <cell r="F2980"/>
          <cell r="G2980"/>
          <cell r="H2980"/>
          <cell r="I2980"/>
          <cell r="J2980"/>
          <cell r="K2980"/>
          <cell r="L2980"/>
          <cell r="M2980"/>
          <cell r="N2980"/>
          <cell r="O2980"/>
          <cell r="P2980"/>
          <cell r="Q2980"/>
          <cell r="R2980"/>
          <cell r="S2980"/>
          <cell r="T2980"/>
          <cell r="U2980"/>
          <cell r="V2980"/>
          <cell r="W2980"/>
          <cell r="X2980"/>
          <cell r="Y2980"/>
          <cell r="Z2980"/>
          <cell r="AA2980"/>
          <cell r="AB2980"/>
          <cell r="AC2980"/>
          <cell r="AD2980"/>
          <cell r="AE2980"/>
          <cell r="AF2980"/>
          <cell r="AG2980"/>
          <cell r="AH2980"/>
          <cell r="AI2980"/>
          <cell r="AJ2980"/>
          <cell r="AK2980"/>
          <cell r="AL2980"/>
        </row>
        <row r="2981">
          <cell r="E2981"/>
          <cell r="F2981"/>
          <cell r="G2981"/>
          <cell r="H2981"/>
          <cell r="I2981"/>
          <cell r="J2981"/>
          <cell r="K2981"/>
          <cell r="L2981"/>
          <cell r="M2981"/>
          <cell r="N2981"/>
          <cell r="O2981"/>
          <cell r="P2981"/>
          <cell r="Q2981"/>
          <cell r="R2981"/>
          <cell r="S2981"/>
          <cell r="T2981"/>
          <cell r="U2981"/>
          <cell r="V2981"/>
          <cell r="W2981"/>
          <cell r="X2981"/>
          <cell r="Y2981"/>
          <cell r="Z2981"/>
          <cell r="AA2981"/>
          <cell r="AB2981"/>
          <cell r="AC2981"/>
          <cell r="AD2981"/>
          <cell r="AE2981"/>
          <cell r="AF2981"/>
          <cell r="AG2981"/>
          <cell r="AH2981"/>
          <cell r="AI2981"/>
          <cell r="AJ2981"/>
          <cell r="AK2981"/>
          <cell r="AL2981"/>
        </row>
        <row r="2982">
          <cell r="E2982"/>
          <cell r="F2982"/>
          <cell r="G2982"/>
          <cell r="H2982"/>
          <cell r="I2982"/>
          <cell r="J2982"/>
          <cell r="K2982"/>
          <cell r="L2982"/>
          <cell r="M2982"/>
          <cell r="N2982"/>
          <cell r="O2982"/>
          <cell r="P2982"/>
          <cell r="Q2982"/>
          <cell r="R2982"/>
          <cell r="S2982"/>
          <cell r="T2982"/>
          <cell r="U2982"/>
          <cell r="V2982"/>
          <cell r="W2982"/>
          <cell r="X2982"/>
          <cell r="Y2982"/>
          <cell r="Z2982"/>
          <cell r="AA2982"/>
          <cell r="AB2982"/>
          <cell r="AC2982"/>
          <cell r="AD2982"/>
          <cell r="AE2982"/>
          <cell r="AF2982"/>
          <cell r="AG2982"/>
          <cell r="AH2982"/>
          <cell r="AI2982"/>
          <cell r="AJ2982"/>
          <cell r="AK2982"/>
          <cell r="AL2982"/>
        </row>
        <row r="2983">
          <cell r="E2983"/>
          <cell r="F2983"/>
          <cell r="G2983"/>
          <cell r="H2983"/>
          <cell r="I2983"/>
          <cell r="J2983"/>
          <cell r="K2983"/>
          <cell r="L2983"/>
          <cell r="M2983"/>
          <cell r="N2983"/>
          <cell r="O2983"/>
          <cell r="P2983"/>
          <cell r="Q2983"/>
          <cell r="R2983"/>
          <cell r="S2983"/>
          <cell r="T2983"/>
          <cell r="U2983"/>
          <cell r="V2983"/>
          <cell r="W2983"/>
          <cell r="X2983"/>
          <cell r="Y2983"/>
          <cell r="Z2983"/>
          <cell r="AA2983"/>
          <cell r="AB2983"/>
          <cell r="AC2983"/>
          <cell r="AD2983"/>
          <cell r="AE2983"/>
          <cell r="AF2983"/>
          <cell r="AG2983"/>
          <cell r="AH2983"/>
          <cell r="AI2983"/>
          <cell r="AJ2983"/>
          <cell r="AK2983"/>
          <cell r="AL2983"/>
        </row>
        <row r="2984">
          <cell r="E2984"/>
          <cell r="F2984"/>
          <cell r="G2984"/>
          <cell r="H2984"/>
          <cell r="I2984"/>
          <cell r="J2984"/>
          <cell r="K2984"/>
          <cell r="L2984"/>
          <cell r="M2984"/>
          <cell r="N2984"/>
          <cell r="O2984"/>
          <cell r="P2984"/>
          <cell r="Q2984"/>
          <cell r="R2984"/>
          <cell r="S2984"/>
          <cell r="T2984"/>
          <cell r="U2984"/>
          <cell r="V2984"/>
          <cell r="W2984"/>
          <cell r="X2984"/>
          <cell r="Y2984"/>
          <cell r="Z2984"/>
          <cell r="AA2984"/>
          <cell r="AB2984"/>
          <cell r="AC2984"/>
          <cell r="AD2984"/>
          <cell r="AE2984"/>
          <cell r="AF2984"/>
          <cell r="AG2984"/>
          <cell r="AH2984"/>
          <cell r="AI2984"/>
          <cell r="AJ2984"/>
          <cell r="AK2984"/>
          <cell r="AL2984"/>
        </row>
        <row r="2985">
          <cell r="E2985"/>
          <cell r="F2985"/>
          <cell r="G2985"/>
          <cell r="H2985"/>
          <cell r="I2985"/>
          <cell r="J2985"/>
          <cell r="K2985"/>
          <cell r="L2985"/>
          <cell r="M2985"/>
          <cell r="N2985"/>
          <cell r="O2985"/>
          <cell r="P2985"/>
          <cell r="Q2985"/>
          <cell r="R2985"/>
          <cell r="S2985"/>
          <cell r="T2985"/>
          <cell r="U2985"/>
          <cell r="V2985"/>
          <cell r="W2985"/>
          <cell r="X2985"/>
          <cell r="Y2985"/>
          <cell r="Z2985"/>
          <cell r="AA2985"/>
          <cell r="AB2985"/>
          <cell r="AC2985"/>
          <cell r="AD2985"/>
          <cell r="AE2985"/>
          <cell r="AF2985"/>
          <cell r="AG2985"/>
          <cell r="AH2985"/>
          <cell r="AI2985"/>
          <cell r="AJ2985"/>
          <cell r="AK2985"/>
          <cell r="AL2985"/>
        </row>
        <row r="2986">
          <cell r="E2986"/>
          <cell r="F2986"/>
          <cell r="G2986"/>
          <cell r="H2986"/>
          <cell r="I2986"/>
          <cell r="J2986"/>
          <cell r="K2986"/>
          <cell r="L2986"/>
          <cell r="M2986"/>
          <cell r="N2986"/>
          <cell r="O2986"/>
          <cell r="P2986"/>
          <cell r="Q2986"/>
          <cell r="R2986"/>
          <cell r="S2986"/>
          <cell r="T2986"/>
          <cell r="U2986"/>
          <cell r="V2986"/>
          <cell r="W2986"/>
          <cell r="X2986"/>
          <cell r="Y2986"/>
          <cell r="Z2986"/>
          <cell r="AA2986"/>
          <cell r="AB2986"/>
          <cell r="AC2986"/>
          <cell r="AD2986"/>
          <cell r="AE2986"/>
          <cell r="AF2986"/>
          <cell r="AG2986"/>
          <cell r="AH2986"/>
          <cell r="AI2986"/>
          <cell r="AJ2986"/>
          <cell r="AK2986"/>
          <cell r="AL2986"/>
        </row>
        <row r="2987">
          <cell r="E2987"/>
          <cell r="F2987"/>
          <cell r="G2987"/>
          <cell r="H2987"/>
          <cell r="I2987"/>
          <cell r="J2987"/>
          <cell r="K2987"/>
          <cell r="L2987"/>
          <cell r="M2987"/>
          <cell r="N2987"/>
          <cell r="O2987"/>
          <cell r="P2987"/>
          <cell r="Q2987"/>
          <cell r="R2987"/>
          <cell r="S2987"/>
          <cell r="T2987"/>
          <cell r="U2987"/>
          <cell r="V2987"/>
          <cell r="W2987"/>
          <cell r="X2987"/>
          <cell r="Y2987"/>
          <cell r="Z2987"/>
          <cell r="AA2987"/>
          <cell r="AB2987"/>
          <cell r="AC2987"/>
          <cell r="AD2987"/>
          <cell r="AE2987"/>
          <cell r="AF2987"/>
          <cell r="AG2987"/>
          <cell r="AH2987"/>
          <cell r="AI2987"/>
          <cell r="AJ2987"/>
          <cell r="AK2987"/>
          <cell r="AL2987"/>
        </row>
        <row r="2988">
          <cell r="E2988"/>
          <cell r="F2988"/>
          <cell r="G2988"/>
          <cell r="H2988"/>
          <cell r="I2988"/>
          <cell r="J2988"/>
          <cell r="K2988"/>
          <cell r="L2988"/>
          <cell r="M2988"/>
          <cell r="N2988"/>
          <cell r="O2988"/>
          <cell r="P2988"/>
          <cell r="Q2988"/>
          <cell r="R2988"/>
          <cell r="S2988"/>
          <cell r="T2988"/>
          <cell r="U2988"/>
          <cell r="V2988"/>
          <cell r="W2988"/>
          <cell r="X2988"/>
          <cell r="Y2988"/>
          <cell r="Z2988"/>
          <cell r="AA2988"/>
          <cell r="AB2988"/>
          <cell r="AC2988"/>
          <cell r="AD2988"/>
          <cell r="AE2988"/>
          <cell r="AF2988"/>
          <cell r="AG2988"/>
          <cell r="AH2988"/>
          <cell r="AI2988"/>
          <cell r="AJ2988"/>
          <cell r="AK2988"/>
          <cell r="AL2988"/>
        </row>
        <row r="2989">
          <cell r="E2989"/>
          <cell r="F2989"/>
          <cell r="G2989"/>
          <cell r="H2989"/>
          <cell r="I2989"/>
          <cell r="J2989"/>
          <cell r="K2989"/>
          <cell r="L2989"/>
          <cell r="M2989"/>
          <cell r="N2989"/>
          <cell r="O2989"/>
          <cell r="P2989"/>
          <cell r="Q2989"/>
          <cell r="R2989"/>
          <cell r="S2989"/>
          <cell r="T2989"/>
          <cell r="U2989"/>
          <cell r="V2989"/>
          <cell r="W2989"/>
          <cell r="X2989"/>
          <cell r="Y2989"/>
          <cell r="Z2989"/>
          <cell r="AA2989"/>
          <cell r="AB2989"/>
          <cell r="AC2989"/>
          <cell r="AD2989"/>
          <cell r="AE2989"/>
          <cell r="AF2989"/>
          <cell r="AG2989"/>
          <cell r="AH2989"/>
          <cell r="AI2989"/>
          <cell r="AJ2989"/>
          <cell r="AK2989"/>
          <cell r="AL2989"/>
        </row>
        <row r="2990">
          <cell r="E2990"/>
          <cell r="F2990"/>
          <cell r="G2990"/>
          <cell r="H2990"/>
          <cell r="I2990"/>
          <cell r="J2990"/>
          <cell r="K2990"/>
          <cell r="L2990"/>
          <cell r="M2990"/>
          <cell r="N2990"/>
          <cell r="O2990"/>
          <cell r="P2990"/>
          <cell r="Q2990"/>
          <cell r="R2990"/>
          <cell r="S2990"/>
          <cell r="T2990"/>
          <cell r="U2990"/>
          <cell r="V2990"/>
          <cell r="W2990"/>
          <cell r="X2990"/>
          <cell r="Y2990"/>
          <cell r="Z2990"/>
          <cell r="AA2990"/>
          <cell r="AB2990"/>
          <cell r="AC2990"/>
          <cell r="AD2990"/>
          <cell r="AE2990"/>
          <cell r="AF2990"/>
          <cell r="AG2990"/>
          <cell r="AH2990"/>
          <cell r="AI2990"/>
          <cell r="AJ2990"/>
          <cell r="AK2990"/>
          <cell r="AL2990"/>
        </row>
        <row r="2991">
          <cell r="E2991"/>
          <cell r="F2991"/>
          <cell r="G2991"/>
          <cell r="H2991"/>
          <cell r="I2991"/>
          <cell r="J2991"/>
          <cell r="K2991"/>
          <cell r="L2991"/>
          <cell r="M2991"/>
          <cell r="N2991"/>
          <cell r="O2991"/>
          <cell r="P2991"/>
          <cell r="Q2991"/>
          <cell r="R2991"/>
          <cell r="S2991"/>
          <cell r="T2991"/>
          <cell r="U2991"/>
          <cell r="V2991"/>
          <cell r="W2991"/>
          <cell r="X2991"/>
          <cell r="Y2991"/>
          <cell r="Z2991"/>
          <cell r="AA2991"/>
          <cell r="AB2991"/>
          <cell r="AC2991"/>
          <cell r="AD2991"/>
          <cell r="AE2991"/>
          <cell r="AF2991"/>
          <cell r="AG2991"/>
          <cell r="AH2991"/>
          <cell r="AI2991"/>
          <cell r="AJ2991"/>
          <cell r="AK2991"/>
          <cell r="AL2991"/>
        </row>
        <row r="2992">
          <cell r="E2992"/>
          <cell r="F2992"/>
          <cell r="G2992"/>
          <cell r="H2992"/>
          <cell r="I2992"/>
          <cell r="J2992"/>
          <cell r="K2992"/>
          <cell r="L2992"/>
          <cell r="M2992"/>
          <cell r="N2992"/>
          <cell r="O2992"/>
          <cell r="P2992"/>
          <cell r="Q2992"/>
          <cell r="R2992"/>
          <cell r="S2992"/>
          <cell r="T2992"/>
          <cell r="U2992"/>
          <cell r="V2992"/>
          <cell r="W2992"/>
          <cell r="X2992"/>
          <cell r="Y2992"/>
          <cell r="Z2992"/>
          <cell r="AA2992"/>
          <cell r="AB2992"/>
          <cell r="AC2992"/>
          <cell r="AD2992"/>
          <cell r="AE2992"/>
          <cell r="AF2992"/>
          <cell r="AG2992"/>
          <cell r="AH2992"/>
          <cell r="AI2992"/>
          <cell r="AJ2992"/>
          <cell r="AK2992"/>
          <cell r="AL2992"/>
        </row>
        <row r="2993">
          <cell r="E2993"/>
          <cell r="F2993"/>
          <cell r="G2993"/>
          <cell r="H2993"/>
          <cell r="I2993"/>
          <cell r="J2993"/>
          <cell r="K2993"/>
          <cell r="L2993"/>
          <cell r="M2993"/>
          <cell r="N2993"/>
          <cell r="O2993"/>
          <cell r="P2993"/>
          <cell r="Q2993"/>
          <cell r="R2993"/>
          <cell r="S2993"/>
          <cell r="T2993"/>
          <cell r="U2993"/>
          <cell r="V2993"/>
          <cell r="W2993"/>
          <cell r="X2993"/>
          <cell r="Y2993"/>
          <cell r="Z2993"/>
          <cell r="AA2993"/>
          <cell r="AB2993"/>
          <cell r="AC2993"/>
          <cell r="AD2993"/>
          <cell r="AE2993"/>
          <cell r="AF2993"/>
          <cell r="AG2993"/>
          <cell r="AH2993"/>
          <cell r="AI2993"/>
          <cell r="AJ2993"/>
          <cell r="AK2993"/>
          <cell r="AL2993"/>
        </row>
        <row r="2994">
          <cell r="E2994"/>
          <cell r="F2994"/>
          <cell r="G2994"/>
          <cell r="H2994"/>
          <cell r="I2994"/>
          <cell r="J2994"/>
          <cell r="K2994"/>
          <cell r="L2994"/>
          <cell r="M2994"/>
          <cell r="N2994"/>
          <cell r="O2994"/>
          <cell r="P2994"/>
          <cell r="Q2994"/>
          <cell r="R2994"/>
          <cell r="S2994"/>
          <cell r="T2994"/>
          <cell r="U2994"/>
          <cell r="V2994"/>
          <cell r="W2994"/>
          <cell r="X2994"/>
          <cell r="Y2994"/>
          <cell r="Z2994"/>
          <cell r="AA2994"/>
          <cell r="AB2994"/>
          <cell r="AC2994"/>
          <cell r="AD2994"/>
          <cell r="AE2994"/>
          <cell r="AF2994"/>
          <cell r="AG2994"/>
          <cell r="AH2994"/>
          <cell r="AI2994"/>
          <cell r="AJ2994"/>
          <cell r="AK2994"/>
          <cell r="AL2994"/>
        </row>
        <row r="2995">
          <cell r="E2995"/>
          <cell r="F2995"/>
          <cell r="G2995"/>
          <cell r="H2995"/>
          <cell r="I2995"/>
          <cell r="J2995"/>
          <cell r="K2995"/>
          <cell r="L2995"/>
          <cell r="M2995"/>
          <cell r="N2995"/>
          <cell r="O2995"/>
          <cell r="P2995"/>
          <cell r="Q2995"/>
          <cell r="R2995"/>
          <cell r="S2995"/>
          <cell r="T2995"/>
          <cell r="U2995"/>
          <cell r="V2995"/>
          <cell r="W2995"/>
          <cell r="X2995"/>
          <cell r="Y2995"/>
          <cell r="Z2995"/>
          <cell r="AA2995"/>
          <cell r="AB2995"/>
          <cell r="AC2995"/>
          <cell r="AD2995"/>
          <cell r="AE2995"/>
          <cell r="AF2995"/>
          <cell r="AG2995"/>
          <cell r="AH2995"/>
          <cell r="AI2995"/>
          <cell r="AJ2995"/>
          <cell r="AK2995"/>
          <cell r="AL2995"/>
        </row>
        <row r="2996">
          <cell r="E2996"/>
          <cell r="F2996"/>
          <cell r="G2996"/>
          <cell r="H2996"/>
          <cell r="I2996"/>
          <cell r="J2996"/>
          <cell r="K2996"/>
          <cell r="L2996"/>
          <cell r="M2996"/>
          <cell r="N2996"/>
          <cell r="O2996"/>
          <cell r="P2996"/>
          <cell r="Q2996"/>
          <cell r="R2996"/>
          <cell r="S2996"/>
          <cell r="T2996"/>
          <cell r="U2996"/>
          <cell r="V2996"/>
          <cell r="W2996"/>
          <cell r="X2996"/>
          <cell r="Y2996"/>
          <cell r="Z2996"/>
          <cell r="AA2996"/>
          <cell r="AB2996"/>
          <cell r="AC2996"/>
          <cell r="AD2996"/>
          <cell r="AE2996"/>
          <cell r="AF2996"/>
          <cell r="AG2996"/>
          <cell r="AH2996"/>
          <cell r="AI2996"/>
          <cell r="AJ2996"/>
          <cell r="AK2996"/>
          <cell r="AL2996"/>
        </row>
        <row r="2997">
          <cell r="E2997"/>
          <cell r="F2997"/>
          <cell r="G2997"/>
          <cell r="H2997"/>
          <cell r="I2997"/>
          <cell r="J2997"/>
          <cell r="K2997"/>
          <cell r="L2997"/>
          <cell r="M2997"/>
          <cell r="N2997"/>
          <cell r="O2997"/>
          <cell r="P2997"/>
          <cell r="Q2997"/>
          <cell r="R2997"/>
          <cell r="S2997"/>
          <cell r="T2997"/>
          <cell r="U2997"/>
          <cell r="V2997"/>
          <cell r="W2997"/>
          <cell r="X2997"/>
          <cell r="Y2997"/>
          <cell r="Z2997"/>
          <cell r="AA2997"/>
          <cell r="AB2997"/>
          <cell r="AC2997"/>
          <cell r="AD2997"/>
          <cell r="AE2997"/>
          <cell r="AF2997"/>
          <cell r="AG2997"/>
          <cell r="AH2997"/>
          <cell r="AI2997"/>
          <cell r="AJ2997"/>
          <cell r="AK2997"/>
          <cell r="AL2997"/>
        </row>
        <row r="2998">
          <cell r="E2998"/>
          <cell r="F2998"/>
          <cell r="G2998"/>
          <cell r="H2998"/>
          <cell r="I2998"/>
          <cell r="J2998"/>
          <cell r="K2998"/>
          <cell r="L2998"/>
          <cell r="M2998"/>
          <cell r="N2998"/>
          <cell r="O2998"/>
          <cell r="P2998"/>
          <cell r="Q2998"/>
          <cell r="R2998"/>
          <cell r="S2998"/>
          <cell r="T2998"/>
          <cell r="U2998"/>
          <cell r="V2998"/>
          <cell r="W2998"/>
          <cell r="X2998"/>
          <cell r="Y2998"/>
          <cell r="Z2998"/>
          <cell r="AA2998"/>
          <cell r="AB2998"/>
          <cell r="AC2998"/>
          <cell r="AD2998"/>
          <cell r="AE2998"/>
          <cell r="AF2998"/>
          <cell r="AG2998"/>
          <cell r="AH2998"/>
          <cell r="AI2998"/>
          <cell r="AJ2998"/>
          <cell r="AK2998"/>
          <cell r="AL2998"/>
        </row>
        <row r="2999">
          <cell r="E2999"/>
          <cell r="F2999"/>
          <cell r="G2999"/>
          <cell r="H2999"/>
          <cell r="I2999"/>
          <cell r="J2999"/>
          <cell r="K2999"/>
          <cell r="L2999"/>
          <cell r="M2999"/>
          <cell r="N2999"/>
          <cell r="O2999"/>
          <cell r="P2999"/>
          <cell r="Q2999"/>
          <cell r="R2999"/>
          <cell r="S2999"/>
          <cell r="T2999"/>
          <cell r="U2999"/>
          <cell r="V2999"/>
          <cell r="W2999"/>
          <cell r="X2999"/>
          <cell r="Y2999"/>
          <cell r="Z2999"/>
          <cell r="AA2999"/>
          <cell r="AB2999"/>
          <cell r="AC2999"/>
          <cell r="AD2999"/>
          <cell r="AE2999"/>
          <cell r="AF2999"/>
          <cell r="AG2999"/>
          <cell r="AH2999"/>
          <cell r="AI2999"/>
          <cell r="AJ2999"/>
          <cell r="AK2999"/>
          <cell r="AL2999"/>
        </row>
        <row r="3000">
          <cell r="E3000"/>
          <cell r="F3000"/>
          <cell r="G3000"/>
          <cell r="H3000"/>
          <cell r="I3000"/>
          <cell r="J3000"/>
          <cell r="K3000"/>
          <cell r="L3000"/>
          <cell r="M3000"/>
          <cell r="N3000"/>
          <cell r="O3000"/>
          <cell r="P3000"/>
          <cell r="Q3000"/>
          <cell r="R3000"/>
          <cell r="S3000"/>
          <cell r="T3000"/>
          <cell r="U3000"/>
          <cell r="V3000"/>
          <cell r="W3000"/>
          <cell r="X3000"/>
          <cell r="Y3000"/>
          <cell r="Z3000"/>
          <cell r="AA3000"/>
          <cell r="AB3000"/>
          <cell r="AC3000"/>
          <cell r="AD3000"/>
          <cell r="AE3000"/>
          <cell r="AF3000"/>
          <cell r="AG3000"/>
          <cell r="AH3000"/>
          <cell r="AI3000"/>
          <cell r="AJ3000"/>
          <cell r="AK3000"/>
          <cell r="AL3000"/>
        </row>
        <row r="3001">
          <cell r="E3001"/>
          <cell r="F3001"/>
          <cell r="G3001"/>
          <cell r="H3001"/>
          <cell r="I3001"/>
          <cell r="J3001"/>
          <cell r="K3001"/>
          <cell r="L3001"/>
          <cell r="M3001"/>
          <cell r="N3001"/>
          <cell r="O3001"/>
          <cell r="P3001"/>
          <cell r="Q3001"/>
          <cell r="R3001"/>
          <cell r="S3001"/>
          <cell r="T3001"/>
          <cell r="U3001"/>
          <cell r="V3001"/>
          <cell r="W3001"/>
          <cell r="X3001"/>
          <cell r="Y3001"/>
          <cell r="Z3001"/>
          <cell r="AA3001"/>
          <cell r="AB3001"/>
          <cell r="AC3001"/>
          <cell r="AD3001"/>
          <cell r="AE3001"/>
          <cell r="AF3001"/>
          <cell r="AG3001"/>
          <cell r="AH3001"/>
          <cell r="AI3001"/>
          <cell r="AJ3001"/>
          <cell r="AK3001"/>
          <cell r="AL3001"/>
        </row>
        <row r="3002">
          <cell r="E3002"/>
          <cell r="F3002"/>
          <cell r="G3002"/>
          <cell r="H3002"/>
          <cell r="I3002"/>
          <cell r="J3002"/>
          <cell r="K3002"/>
          <cell r="L3002"/>
          <cell r="M3002"/>
          <cell r="N3002"/>
          <cell r="O3002"/>
          <cell r="P3002"/>
          <cell r="Q3002"/>
          <cell r="R3002"/>
          <cell r="S3002"/>
          <cell r="T3002"/>
          <cell r="U3002"/>
          <cell r="V3002"/>
          <cell r="W3002"/>
          <cell r="X3002"/>
          <cell r="Y3002"/>
          <cell r="Z3002"/>
          <cell r="AA3002"/>
          <cell r="AB3002"/>
          <cell r="AC3002"/>
          <cell r="AD3002"/>
          <cell r="AE3002"/>
          <cell r="AF3002"/>
          <cell r="AG3002"/>
          <cell r="AH3002"/>
          <cell r="AI3002"/>
          <cell r="AJ3002"/>
          <cell r="AK3002"/>
          <cell r="AL3002"/>
        </row>
        <row r="3003">
          <cell r="E3003"/>
          <cell r="F3003"/>
          <cell r="G3003"/>
          <cell r="H3003"/>
          <cell r="I3003"/>
          <cell r="J3003"/>
          <cell r="K3003"/>
          <cell r="L3003"/>
          <cell r="M3003"/>
          <cell r="N3003"/>
          <cell r="O3003"/>
          <cell r="P3003"/>
          <cell r="Q3003"/>
          <cell r="R3003"/>
          <cell r="S3003"/>
          <cell r="T3003"/>
          <cell r="U3003"/>
          <cell r="V3003"/>
          <cell r="W3003"/>
          <cell r="X3003"/>
          <cell r="Y3003"/>
          <cell r="Z3003"/>
          <cell r="AA3003"/>
          <cell r="AB3003"/>
          <cell r="AC3003"/>
          <cell r="AD3003"/>
          <cell r="AE3003"/>
          <cell r="AF3003"/>
          <cell r="AG3003"/>
          <cell r="AH3003"/>
          <cell r="AI3003"/>
          <cell r="AJ3003"/>
          <cell r="AK3003"/>
          <cell r="AL3003"/>
        </row>
        <row r="3004">
          <cell r="E3004"/>
          <cell r="F3004"/>
          <cell r="G3004"/>
          <cell r="H3004"/>
          <cell r="I3004"/>
          <cell r="J3004"/>
          <cell r="K3004"/>
          <cell r="L3004"/>
          <cell r="M3004"/>
          <cell r="N3004"/>
          <cell r="O3004"/>
          <cell r="P3004"/>
          <cell r="Q3004"/>
          <cell r="R3004"/>
          <cell r="S3004"/>
          <cell r="T3004"/>
          <cell r="U3004"/>
          <cell r="V3004"/>
          <cell r="W3004"/>
          <cell r="X3004"/>
          <cell r="Y3004"/>
          <cell r="Z3004"/>
          <cell r="AA3004"/>
          <cell r="AB3004"/>
          <cell r="AC3004"/>
          <cell r="AD3004"/>
          <cell r="AE3004"/>
          <cell r="AF3004"/>
          <cell r="AG3004"/>
          <cell r="AH3004"/>
          <cell r="AI3004"/>
          <cell r="AJ3004"/>
          <cell r="AK3004"/>
          <cell r="AL3004"/>
        </row>
        <row r="3005">
          <cell r="E3005"/>
          <cell r="F3005"/>
          <cell r="G3005"/>
          <cell r="H3005"/>
          <cell r="I3005"/>
          <cell r="J3005"/>
          <cell r="K3005"/>
          <cell r="L3005"/>
          <cell r="M3005"/>
          <cell r="N3005"/>
          <cell r="O3005"/>
          <cell r="P3005"/>
          <cell r="Q3005"/>
          <cell r="R3005"/>
          <cell r="S3005"/>
          <cell r="T3005"/>
          <cell r="U3005"/>
          <cell r="V3005"/>
          <cell r="W3005"/>
          <cell r="X3005"/>
          <cell r="Y3005"/>
          <cell r="Z3005"/>
          <cell r="AA3005"/>
          <cell r="AB3005"/>
          <cell r="AC3005"/>
          <cell r="AD3005"/>
          <cell r="AE3005"/>
          <cell r="AF3005"/>
          <cell r="AG3005"/>
          <cell r="AH3005"/>
          <cell r="AI3005"/>
          <cell r="AJ3005"/>
          <cell r="AK3005"/>
          <cell r="AL3005"/>
        </row>
        <row r="3006">
          <cell r="E3006"/>
          <cell r="F3006"/>
          <cell r="G3006"/>
          <cell r="H3006"/>
          <cell r="I3006"/>
          <cell r="J3006"/>
          <cell r="K3006"/>
          <cell r="L3006"/>
          <cell r="M3006"/>
          <cell r="N3006"/>
          <cell r="O3006"/>
          <cell r="P3006"/>
          <cell r="Q3006"/>
          <cell r="R3006"/>
          <cell r="S3006"/>
          <cell r="T3006"/>
          <cell r="U3006"/>
          <cell r="V3006"/>
          <cell r="W3006"/>
          <cell r="X3006"/>
          <cell r="Y3006"/>
          <cell r="Z3006"/>
          <cell r="AA3006"/>
          <cell r="AB3006"/>
          <cell r="AC3006"/>
          <cell r="AD3006"/>
          <cell r="AE3006"/>
          <cell r="AF3006"/>
          <cell r="AG3006"/>
          <cell r="AH3006"/>
          <cell r="AI3006"/>
          <cell r="AJ3006"/>
          <cell r="AK3006"/>
          <cell r="AL3006"/>
        </row>
        <row r="3007">
          <cell r="E3007"/>
          <cell r="F3007"/>
          <cell r="G3007"/>
          <cell r="H3007"/>
          <cell r="I3007"/>
          <cell r="J3007"/>
          <cell r="K3007"/>
          <cell r="L3007"/>
          <cell r="M3007"/>
          <cell r="N3007"/>
          <cell r="O3007"/>
          <cell r="P3007"/>
          <cell r="Q3007"/>
          <cell r="R3007"/>
          <cell r="S3007"/>
          <cell r="T3007"/>
          <cell r="U3007"/>
          <cell r="V3007"/>
          <cell r="W3007"/>
          <cell r="X3007"/>
          <cell r="Y3007"/>
          <cell r="Z3007"/>
          <cell r="AA3007"/>
          <cell r="AB3007"/>
          <cell r="AC3007"/>
          <cell r="AD3007"/>
          <cell r="AE3007"/>
          <cell r="AF3007"/>
          <cell r="AG3007"/>
          <cell r="AH3007"/>
          <cell r="AI3007"/>
          <cell r="AJ3007"/>
          <cell r="AK3007"/>
          <cell r="AL3007"/>
        </row>
        <row r="3008">
          <cell r="E3008"/>
          <cell r="F3008"/>
          <cell r="G3008"/>
          <cell r="H3008"/>
          <cell r="I3008"/>
          <cell r="J3008"/>
          <cell r="K3008"/>
          <cell r="L3008"/>
          <cell r="M3008"/>
          <cell r="N3008"/>
          <cell r="O3008"/>
          <cell r="P3008"/>
          <cell r="Q3008"/>
          <cell r="R3008"/>
          <cell r="S3008"/>
          <cell r="T3008"/>
          <cell r="U3008"/>
          <cell r="V3008"/>
          <cell r="W3008"/>
          <cell r="X3008"/>
          <cell r="Y3008"/>
          <cell r="Z3008"/>
          <cell r="AA3008"/>
          <cell r="AB3008"/>
          <cell r="AC3008"/>
          <cell r="AD3008"/>
          <cell r="AE3008"/>
          <cell r="AF3008"/>
          <cell r="AG3008"/>
          <cell r="AH3008"/>
          <cell r="AI3008"/>
          <cell r="AJ3008"/>
          <cell r="AK3008"/>
          <cell r="AL3008"/>
        </row>
        <row r="3009">
          <cell r="E3009"/>
          <cell r="F3009"/>
          <cell r="G3009"/>
          <cell r="H3009"/>
          <cell r="I3009"/>
          <cell r="J3009"/>
          <cell r="K3009"/>
          <cell r="L3009"/>
          <cell r="M3009"/>
          <cell r="N3009"/>
          <cell r="O3009"/>
          <cell r="P3009"/>
          <cell r="Q3009"/>
          <cell r="R3009"/>
          <cell r="S3009"/>
          <cell r="T3009"/>
          <cell r="U3009"/>
          <cell r="V3009"/>
          <cell r="W3009"/>
          <cell r="X3009"/>
          <cell r="Y3009"/>
          <cell r="Z3009"/>
          <cell r="AA3009"/>
          <cell r="AB3009"/>
          <cell r="AC3009"/>
          <cell r="AD3009"/>
          <cell r="AE3009"/>
          <cell r="AF3009"/>
          <cell r="AG3009"/>
          <cell r="AH3009"/>
          <cell r="AI3009"/>
          <cell r="AJ3009"/>
          <cell r="AK3009"/>
          <cell r="AL3009"/>
        </row>
        <row r="3010">
          <cell r="E3010"/>
          <cell r="F3010"/>
          <cell r="G3010"/>
          <cell r="H3010"/>
          <cell r="I3010"/>
          <cell r="J3010"/>
          <cell r="K3010"/>
          <cell r="L3010"/>
          <cell r="M3010"/>
          <cell r="N3010"/>
          <cell r="O3010"/>
          <cell r="P3010"/>
          <cell r="Q3010"/>
          <cell r="R3010"/>
          <cell r="S3010"/>
          <cell r="T3010"/>
          <cell r="U3010"/>
          <cell r="V3010"/>
          <cell r="W3010"/>
          <cell r="X3010"/>
          <cell r="Y3010"/>
          <cell r="Z3010"/>
          <cell r="AA3010"/>
          <cell r="AB3010"/>
          <cell r="AC3010"/>
          <cell r="AD3010"/>
          <cell r="AE3010"/>
          <cell r="AF3010"/>
          <cell r="AG3010"/>
          <cell r="AH3010"/>
          <cell r="AI3010"/>
          <cell r="AJ3010"/>
          <cell r="AK3010"/>
          <cell r="AL3010"/>
        </row>
        <row r="3011">
          <cell r="E3011"/>
          <cell r="F3011"/>
          <cell r="G3011"/>
          <cell r="H3011"/>
          <cell r="I3011"/>
          <cell r="J3011"/>
          <cell r="K3011"/>
          <cell r="L3011"/>
          <cell r="M3011"/>
          <cell r="N3011"/>
          <cell r="O3011"/>
          <cell r="P3011"/>
          <cell r="Q3011"/>
          <cell r="R3011"/>
          <cell r="S3011"/>
          <cell r="T3011"/>
          <cell r="U3011"/>
          <cell r="V3011"/>
          <cell r="W3011"/>
          <cell r="X3011"/>
          <cell r="Y3011"/>
          <cell r="Z3011"/>
          <cell r="AA3011"/>
          <cell r="AB3011"/>
          <cell r="AC3011"/>
          <cell r="AD3011"/>
          <cell r="AE3011"/>
          <cell r="AF3011"/>
          <cell r="AG3011"/>
          <cell r="AH3011"/>
          <cell r="AI3011"/>
          <cell r="AJ3011"/>
          <cell r="AK3011"/>
          <cell r="AL3011"/>
        </row>
        <row r="3012">
          <cell r="E3012"/>
          <cell r="F3012"/>
          <cell r="G3012"/>
          <cell r="H3012"/>
          <cell r="I3012"/>
          <cell r="J3012"/>
          <cell r="K3012"/>
          <cell r="L3012"/>
          <cell r="M3012"/>
          <cell r="N3012"/>
          <cell r="O3012"/>
          <cell r="P3012"/>
          <cell r="Q3012"/>
          <cell r="R3012"/>
          <cell r="S3012"/>
          <cell r="T3012"/>
          <cell r="U3012"/>
          <cell r="V3012"/>
          <cell r="W3012"/>
          <cell r="X3012"/>
          <cell r="Y3012"/>
          <cell r="Z3012"/>
          <cell r="AA3012"/>
          <cell r="AB3012"/>
          <cell r="AC3012"/>
          <cell r="AD3012"/>
          <cell r="AE3012"/>
          <cell r="AF3012"/>
          <cell r="AG3012"/>
          <cell r="AH3012"/>
          <cell r="AI3012"/>
          <cell r="AJ3012"/>
          <cell r="AK3012"/>
          <cell r="AL3012"/>
        </row>
        <row r="3013">
          <cell r="E3013"/>
          <cell r="F3013"/>
          <cell r="G3013"/>
          <cell r="H3013"/>
          <cell r="I3013"/>
          <cell r="J3013"/>
          <cell r="K3013"/>
          <cell r="L3013"/>
          <cell r="M3013"/>
          <cell r="N3013"/>
          <cell r="O3013"/>
          <cell r="P3013"/>
          <cell r="Q3013"/>
          <cell r="R3013"/>
          <cell r="S3013"/>
          <cell r="T3013"/>
          <cell r="U3013"/>
          <cell r="V3013"/>
          <cell r="W3013"/>
          <cell r="X3013"/>
          <cell r="Y3013"/>
          <cell r="Z3013"/>
          <cell r="AA3013"/>
          <cell r="AB3013"/>
          <cell r="AC3013"/>
          <cell r="AD3013"/>
          <cell r="AE3013"/>
          <cell r="AF3013"/>
          <cell r="AG3013"/>
          <cell r="AH3013"/>
          <cell r="AI3013"/>
          <cell r="AJ3013"/>
          <cell r="AK3013"/>
          <cell r="AL3013"/>
        </row>
        <row r="3014">
          <cell r="E3014"/>
          <cell r="F3014"/>
          <cell r="G3014"/>
          <cell r="H3014"/>
          <cell r="I3014"/>
          <cell r="J3014"/>
          <cell r="K3014"/>
          <cell r="L3014"/>
          <cell r="M3014"/>
          <cell r="N3014"/>
          <cell r="O3014"/>
          <cell r="P3014"/>
          <cell r="Q3014"/>
          <cell r="R3014"/>
          <cell r="S3014"/>
          <cell r="T3014"/>
          <cell r="U3014"/>
          <cell r="V3014"/>
          <cell r="W3014"/>
          <cell r="X3014"/>
          <cell r="Y3014"/>
          <cell r="Z3014"/>
          <cell r="AA3014"/>
          <cell r="AB3014"/>
          <cell r="AC3014"/>
          <cell r="AD3014"/>
          <cell r="AE3014"/>
          <cell r="AF3014"/>
          <cell r="AG3014"/>
          <cell r="AH3014"/>
          <cell r="AI3014"/>
          <cell r="AJ3014"/>
          <cell r="AK3014"/>
          <cell r="AL3014"/>
        </row>
        <row r="3015">
          <cell r="E3015"/>
          <cell r="F3015"/>
          <cell r="G3015"/>
          <cell r="H3015"/>
          <cell r="I3015"/>
          <cell r="J3015"/>
          <cell r="K3015"/>
          <cell r="L3015"/>
          <cell r="M3015"/>
          <cell r="N3015"/>
          <cell r="O3015"/>
          <cell r="P3015"/>
          <cell r="Q3015"/>
          <cell r="R3015"/>
          <cell r="S3015"/>
          <cell r="T3015"/>
          <cell r="U3015"/>
          <cell r="V3015"/>
          <cell r="W3015"/>
          <cell r="X3015"/>
          <cell r="Y3015"/>
          <cell r="Z3015"/>
          <cell r="AA3015"/>
          <cell r="AB3015"/>
          <cell r="AC3015"/>
          <cell r="AD3015"/>
          <cell r="AE3015"/>
          <cell r="AF3015"/>
          <cell r="AG3015"/>
          <cell r="AH3015"/>
          <cell r="AI3015"/>
          <cell r="AJ3015"/>
          <cell r="AK3015"/>
          <cell r="AL3015"/>
        </row>
        <row r="3016">
          <cell r="E3016"/>
          <cell r="F3016"/>
          <cell r="G3016"/>
          <cell r="H3016"/>
          <cell r="I3016"/>
          <cell r="J3016"/>
          <cell r="K3016"/>
          <cell r="L3016"/>
          <cell r="M3016"/>
          <cell r="N3016"/>
          <cell r="O3016"/>
          <cell r="P3016"/>
          <cell r="Q3016"/>
          <cell r="R3016"/>
          <cell r="S3016"/>
          <cell r="T3016"/>
          <cell r="U3016"/>
          <cell r="V3016"/>
          <cell r="W3016"/>
          <cell r="X3016"/>
          <cell r="Y3016"/>
          <cell r="Z3016"/>
          <cell r="AA3016"/>
          <cell r="AB3016"/>
          <cell r="AC3016"/>
          <cell r="AD3016"/>
          <cell r="AE3016"/>
          <cell r="AF3016"/>
          <cell r="AG3016"/>
          <cell r="AH3016"/>
          <cell r="AI3016"/>
          <cell r="AJ3016"/>
          <cell r="AK3016"/>
          <cell r="AL3016"/>
        </row>
        <row r="3017">
          <cell r="E3017"/>
          <cell r="F3017"/>
          <cell r="G3017"/>
          <cell r="H3017"/>
          <cell r="I3017"/>
          <cell r="J3017"/>
          <cell r="K3017"/>
          <cell r="L3017"/>
          <cell r="M3017"/>
          <cell r="N3017"/>
          <cell r="O3017"/>
          <cell r="P3017"/>
          <cell r="Q3017"/>
          <cell r="R3017"/>
          <cell r="S3017"/>
          <cell r="T3017"/>
          <cell r="U3017"/>
          <cell r="V3017"/>
          <cell r="W3017"/>
          <cell r="X3017"/>
          <cell r="Y3017"/>
          <cell r="Z3017"/>
          <cell r="AA3017"/>
          <cell r="AB3017"/>
          <cell r="AC3017"/>
          <cell r="AD3017"/>
          <cell r="AE3017"/>
          <cell r="AF3017"/>
          <cell r="AG3017"/>
          <cell r="AH3017"/>
          <cell r="AI3017"/>
          <cell r="AJ3017"/>
          <cell r="AK3017"/>
          <cell r="AL3017"/>
        </row>
        <row r="3018">
          <cell r="E3018"/>
          <cell r="F3018"/>
          <cell r="G3018"/>
          <cell r="H3018"/>
          <cell r="I3018"/>
          <cell r="J3018"/>
          <cell r="K3018"/>
          <cell r="L3018"/>
          <cell r="M3018"/>
          <cell r="N3018"/>
          <cell r="O3018"/>
          <cell r="P3018"/>
          <cell r="Q3018"/>
          <cell r="R3018"/>
          <cell r="S3018"/>
          <cell r="T3018"/>
          <cell r="U3018"/>
          <cell r="V3018"/>
          <cell r="W3018"/>
          <cell r="X3018"/>
          <cell r="Y3018"/>
          <cell r="Z3018"/>
          <cell r="AA3018"/>
          <cell r="AB3018"/>
          <cell r="AC3018"/>
          <cell r="AD3018"/>
          <cell r="AE3018"/>
          <cell r="AF3018"/>
          <cell r="AG3018"/>
          <cell r="AH3018"/>
          <cell r="AI3018"/>
          <cell r="AJ3018"/>
          <cell r="AK3018"/>
          <cell r="AL3018"/>
        </row>
        <row r="3019">
          <cell r="E3019"/>
          <cell r="F3019"/>
          <cell r="G3019"/>
          <cell r="H3019"/>
          <cell r="I3019"/>
          <cell r="J3019"/>
          <cell r="K3019"/>
          <cell r="L3019"/>
          <cell r="M3019"/>
          <cell r="N3019"/>
          <cell r="O3019"/>
          <cell r="P3019"/>
          <cell r="Q3019"/>
          <cell r="R3019"/>
          <cell r="S3019"/>
          <cell r="T3019"/>
          <cell r="U3019"/>
          <cell r="V3019"/>
          <cell r="W3019"/>
          <cell r="X3019"/>
          <cell r="Y3019"/>
          <cell r="Z3019"/>
          <cell r="AA3019"/>
          <cell r="AB3019"/>
          <cell r="AC3019"/>
          <cell r="AD3019"/>
          <cell r="AE3019"/>
          <cell r="AF3019"/>
          <cell r="AG3019"/>
          <cell r="AH3019"/>
          <cell r="AI3019"/>
          <cell r="AJ3019"/>
          <cell r="AK3019"/>
          <cell r="AL3019"/>
        </row>
        <row r="3020">
          <cell r="E3020"/>
          <cell r="F3020"/>
          <cell r="G3020"/>
          <cell r="H3020"/>
          <cell r="I3020"/>
          <cell r="J3020"/>
          <cell r="K3020"/>
          <cell r="L3020"/>
          <cell r="M3020"/>
          <cell r="N3020"/>
          <cell r="O3020"/>
          <cell r="P3020"/>
          <cell r="Q3020"/>
          <cell r="R3020"/>
          <cell r="S3020"/>
          <cell r="T3020"/>
          <cell r="U3020"/>
          <cell r="V3020"/>
          <cell r="W3020"/>
          <cell r="X3020"/>
          <cell r="Y3020"/>
          <cell r="Z3020"/>
          <cell r="AA3020"/>
          <cell r="AB3020"/>
          <cell r="AC3020"/>
          <cell r="AD3020"/>
          <cell r="AE3020"/>
          <cell r="AF3020"/>
          <cell r="AG3020"/>
          <cell r="AH3020"/>
          <cell r="AI3020"/>
          <cell r="AJ3020"/>
          <cell r="AK3020"/>
          <cell r="AL3020"/>
        </row>
        <row r="3021">
          <cell r="E3021"/>
          <cell r="F3021"/>
          <cell r="G3021"/>
          <cell r="H3021"/>
          <cell r="I3021"/>
          <cell r="J3021"/>
          <cell r="K3021"/>
          <cell r="L3021"/>
          <cell r="M3021"/>
          <cell r="N3021"/>
          <cell r="O3021"/>
          <cell r="P3021"/>
          <cell r="Q3021"/>
          <cell r="R3021"/>
          <cell r="S3021"/>
          <cell r="T3021"/>
          <cell r="U3021"/>
          <cell r="V3021"/>
          <cell r="W3021"/>
          <cell r="X3021"/>
          <cell r="Y3021"/>
          <cell r="Z3021"/>
          <cell r="AA3021"/>
          <cell r="AB3021"/>
          <cell r="AC3021"/>
          <cell r="AD3021"/>
          <cell r="AE3021"/>
          <cell r="AF3021"/>
          <cell r="AG3021"/>
          <cell r="AH3021"/>
          <cell r="AI3021"/>
          <cell r="AJ3021"/>
          <cell r="AK3021"/>
          <cell r="AL3021"/>
        </row>
        <row r="3022">
          <cell r="E3022"/>
          <cell r="F3022"/>
          <cell r="G3022"/>
          <cell r="H3022"/>
          <cell r="I3022"/>
          <cell r="J3022"/>
          <cell r="K3022"/>
          <cell r="L3022"/>
          <cell r="M3022"/>
          <cell r="N3022"/>
          <cell r="O3022"/>
          <cell r="P3022"/>
          <cell r="Q3022"/>
          <cell r="R3022"/>
          <cell r="S3022"/>
          <cell r="T3022"/>
          <cell r="U3022"/>
          <cell r="V3022"/>
          <cell r="W3022"/>
          <cell r="X3022"/>
          <cell r="Y3022"/>
          <cell r="Z3022"/>
          <cell r="AA3022"/>
          <cell r="AB3022"/>
          <cell r="AC3022"/>
          <cell r="AD3022"/>
          <cell r="AE3022"/>
          <cell r="AF3022"/>
          <cell r="AG3022"/>
          <cell r="AH3022"/>
          <cell r="AI3022"/>
          <cell r="AJ3022"/>
          <cell r="AK3022"/>
          <cell r="AL3022"/>
        </row>
        <row r="3023">
          <cell r="E3023"/>
          <cell r="F3023"/>
          <cell r="G3023"/>
          <cell r="H3023"/>
          <cell r="I3023"/>
          <cell r="J3023"/>
          <cell r="K3023"/>
          <cell r="L3023"/>
          <cell r="M3023"/>
          <cell r="N3023"/>
          <cell r="O3023"/>
          <cell r="P3023"/>
          <cell r="Q3023"/>
          <cell r="R3023"/>
          <cell r="S3023"/>
          <cell r="T3023"/>
          <cell r="U3023"/>
          <cell r="V3023"/>
          <cell r="W3023"/>
          <cell r="X3023"/>
          <cell r="Y3023"/>
          <cell r="Z3023"/>
          <cell r="AA3023"/>
          <cell r="AB3023"/>
          <cell r="AC3023"/>
          <cell r="AD3023"/>
          <cell r="AE3023"/>
          <cell r="AF3023"/>
          <cell r="AG3023"/>
          <cell r="AH3023"/>
          <cell r="AI3023"/>
          <cell r="AJ3023"/>
          <cell r="AK3023"/>
          <cell r="AL3023"/>
        </row>
        <row r="3024">
          <cell r="E3024"/>
          <cell r="F3024"/>
          <cell r="G3024"/>
          <cell r="H3024"/>
          <cell r="I3024"/>
          <cell r="J3024"/>
          <cell r="K3024"/>
          <cell r="L3024"/>
          <cell r="M3024"/>
          <cell r="N3024"/>
          <cell r="O3024"/>
          <cell r="P3024"/>
          <cell r="Q3024"/>
          <cell r="R3024"/>
          <cell r="S3024"/>
          <cell r="T3024"/>
          <cell r="U3024"/>
          <cell r="V3024"/>
          <cell r="W3024"/>
          <cell r="X3024"/>
          <cell r="Y3024"/>
          <cell r="Z3024"/>
          <cell r="AA3024"/>
          <cell r="AB3024"/>
          <cell r="AC3024"/>
          <cell r="AD3024"/>
          <cell r="AE3024"/>
          <cell r="AF3024"/>
          <cell r="AG3024"/>
          <cell r="AH3024"/>
          <cell r="AI3024"/>
          <cell r="AJ3024"/>
          <cell r="AK3024"/>
          <cell r="AL3024"/>
        </row>
        <row r="3025">
          <cell r="E3025"/>
          <cell r="F3025"/>
          <cell r="G3025"/>
          <cell r="H3025"/>
          <cell r="I3025"/>
          <cell r="J3025"/>
          <cell r="K3025"/>
          <cell r="L3025"/>
          <cell r="M3025"/>
          <cell r="N3025"/>
          <cell r="O3025"/>
          <cell r="P3025"/>
          <cell r="Q3025"/>
          <cell r="R3025"/>
          <cell r="S3025"/>
          <cell r="T3025"/>
          <cell r="U3025"/>
          <cell r="V3025"/>
          <cell r="W3025"/>
          <cell r="X3025"/>
          <cell r="Y3025"/>
          <cell r="Z3025"/>
          <cell r="AA3025"/>
          <cell r="AB3025"/>
          <cell r="AC3025"/>
          <cell r="AD3025"/>
          <cell r="AE3025"/>
          <cell r="AF3025"/>
          <cell r="AG3025"/>
          <cell r="AH3025"/>
          <cell r="AI3025"/>
          <cell r="AJ3025"/>
          <cell r="AK3025"/>
          <cell r="AL3025"/>
        </row>
        <row r="3026">
          <cell r="E3026"/>
          <cell r="F3026"/>
          <cell r="G3026"/>
          <cell r="H3026"/>
          <cell r="I3026"/>
          <cell r="J3026"/>
          <cell r="K3026"/>
          <cell r="L3026"/>
          <cell r="M3026"/>
          <cell r="N3026"/>
          <cell r="O3026"/>
          <cell r="P3026"/>
          <cell r="Q3026"/>
          <cell r="R3026"/>
          <cell r="S3026"/>
          <cell r="T3026"/>
          <cell r="U3026"/>
          <cell r="V3026"/>
          <cell r="W3026"/>
          <cell r="X3026"/>
          <cell r="Y3026"/>
          <cell r="Z3026"/>
          <cell r="AA3026"/>
          <cell r="AB3026"/>
          <cell r="AC3026"/>
          <cell r="AD3026"/>
          <cell r="AE3026"/>
          <cell r="AF3026"/>
          <cell r="AG3026"/>
          <cell r="AH3026"/>
          <cell r="AI3026"/>
          <cell r="AJ3026"/>
          <cell r="AK3026"/>
          <cell r="AL3026"/>
        </row>
        <row r="3027">
          <cell r="E3027"/>
          <cell r="F3027"/>
          <cell r="G3027"/>
          <cell r="H3027"/>
          <cell r="I3027"/>
          <cell r="J3027"/>
          <cell r="K3027"/>
          <cell r="L3027"/>
          <cell r="M3027"/>
          <cell r="N3027"/>
          <cell r="O3027"/>
          <cell r="P3027"/>
          <cell r="Q3027"/>
          <cell r="R3027"/>
          <cell r="S3027"/>
          <cell r="T3027"/>
          <cell r="U3027"/>
          <cell r="V3027"/>
          <cell r="W3027"/>
          <cell r="X3027"/>
          <cell r="Y3027"/>
          <cell r="Z3027"/>
          <cell r="AA3027"/>
          <cell r="AB3027"/>
          <cell r="AC3027"/>
          <cell r="AD3027"/>
          <cell r="AE3027"/>
          <cell r="AF3027"/>
          <cell r="AG3027"/>
          <cell r="AH3027"/>
          <cell r="AI3027"/>
          <cell r="AJ3027"/>
          <cell r="AK3027"/>
          <cell r="AL3027"/>
        </row>
        <row r="3028">
          <cell r="E3028"/>
          <cell r="F3028"/>
          <cell r="G3028"/>
          <cell r="H3028"/>
          <cell r="I3028"/>
          <cell r="J3028"/>
          <cell r="K3028"/>
          <cell r="L3028"/>
          <cell r="M3028"/>
          <cell r="N3028"/>
          <cell r="O3028"/>
          <cell r="P3028"/>
          <cell r="Q3028"/>
          <cell r="R3028"/>
          <cell r="S3028"/>
          <cell r="T3028"/>
          <cell r="U3028"/>
          <cell r="V3028"/>
          <cell r="W3028"/>
          <cell r="X3028"/>
          <cell r="Y3028"/>
          <cell r="Z3028"/>
          <cell r="AA3028"/>
          <cell r="AB3028"/>
          <cell r="AC3028"/>
          <cell r="AD3028"/>
          <cell r="AE3028"/>
          <cell r="AF3028"/>
          <cell r="AG3028"/>
          <cell r="AH3028"/>
          <cell r="AI3028"/>
          <cell r="AJ3028"/>
          <cell r="AK3028"/>
          <cell r="AL3028"/>
        </row>
        <row r="3029">
          <cell r="E3029"/>
          <cell r="F3029"/>
          <cell r="G3029"/>
          <cell r="H3029"/>
          <cell r="I3029"/>
          <cell r="J3029"/>
          <cell r="K3029"/>
          <cell r="L3029"/>
          <cell r="M3029"/>
          <cell r="N3029"/>
          <cell r="O3029"/>
          <cell r="P3029"/>
          <cell r="Q3029"/>
          <cell r="R3029"/>
          <cell r="S3029"/>
          <cell r="T3029"/>
          <cell r="U3029"/>
          <cell r="V3029"/>
          <cell r="W3029"/>
          <cell r="X3029"/>
          <cell r="Y3029"/>
          <cell r="Z3029"/>
          <cell r="AA3029"/>
          <cell r="AB3029"/>
          <cell r="AC3029"/>
          <cell r="AD3029"/>
          <cell r="AE3029"/>
          <cell r="AF3029"/>
          <cell r="AG3029"/>
          <cell r="AH3029"/>
          <cell r="AI3029"/>
          <cell r="AJ3029"/>
          <cell r="AK3029"/>
          <cell r="AL3029"/>
        </row>
        <row r="3030">
          <cell r="E3030"/>
          <cell r="F3030"/>
          <cell r="G3030"/>
          <cell r="H3030"/>
          <cell r="I3030"/>
          <cell r="J3030"/>
          <cell r="K3030"/>
          <cell r="L3030"/>
          <cell r="M3030"/>
          <cell r="N3030"/>
          <cell r="O3030"/>
          <cell r="P3030"/>
          <cell r="Q3030"/>
          <cell r="R3030"/>
          <cell r="S3030"/>
          <cell r="T3030"/>
          <cell r="U3030"/>
          <cell r="V3030"/>
          <cell r="W3030"/>
          <cell r="X3030"/>
          <cell r="Y3030"/>
          <cell r="Z3030"/>
          <cell r="AA3030"/>
          <cell r="AB3030"/>
          <cell r="AC3030"/>
          <cell r="AD3030"/>
          <cell r="AE3030"/>
          <cell r="AF3030"/>
          <cell r="AG3030"/>
          <cell r="AH3030"/>
          <cell r="AI3030"/>
          <cell r="AJ3030"/>
          <cell r="AK3030"/>
          <cell r="AL3030"/>
        </row>
        <row r="3031">
          <cell r="E3031"/>
          <cell r="F3031"/>
          <cell r="G3031"/>
          <cell r="H3031"/>
          <cell r="I3031"/>
          <cell r="J3031"/>
          <cell r="K3031"/>
          <cell r="L3031"/>
          <cell r="M3031"/>
          <cell r="N3031"/>
          <cell r="O3031"/>
          <cell r="P3031"/>
          <cell r="Q3031"/>
          <cell r="R3031"/>
          <cell r="S3031"/>
          <cell r="T3031"/>
          <cell r="U3031"/>
          <cell r="V3031"/>
          <cell r="W3031"/>
          <cell r="X3031"/>
          <cell r="Y3031"/>
          <cell r="Z3031"/>
          <cell r="AA3031"/>
          <cell r="AB3031"/>
          <cell r="AC3031"/>
          <cell r="AD3031"/>
          <cell r="AE3031"/>
          <cell r="AF3031"/>
          <cell r="AG3031"/>
          <cell r="AH3031"/>
          <cell r="AI3031"/>
          <cell r="AJ3031"/>
          <cell r="AK3031"/>
          <cell r="AL3031"/>
        </row>
        <row r="3032">
          <cell r="E3032"/>
          <cell r="F3032"/>
          <cell r="G3032"/>
          <cell r="H3032"/>
          <cell r="I3032"/>
          <cell r="J3032"/>
          <cell r="K3032"/>
          <cell r="L3032"/>
          <cell r="M3032"/>
          <cell r="N3032"/>
          <cell r="O3032"/>
          <cell r="P3032"/>
          <cell r="Q3032"/>
          <cell r="R3032"/>
          <cell r="S3032"/>
          <cell r="T3032"/>
          <cell r="U3032"/>
          <cell r="V3032"/>
          <cell r="W3032"/>
          <cell r="X3032"/>
          <cell r="Y3032"/>
          <cell r="Z3032"/>
          <cell r="AA3032"/>
          <cell r="AB3032"/>
          <cell r="AC3032"/>
          <cell r="AD3032"/>
          <cell r="AE3032"/>
          <cell r="AF3032"/>
          <cell r="AG3032"/>
          <cell r="AH3032"/>
          <cell r="AI3032"/>
          <cell r="AJ3032"/>
          <cell r="AK3032"/>
          <cell r="AL3032"/>
        </row>
        <row r="3033">
          <cell r="E3033"/>
          <cell r="F3033"/>
          <cell r="G3033"/>
          <cell r="H3033"/>
          <cell r="I3033"/>
          <cell r="J3033"/>
          <cell r="K3033"/>
          <cell r="L3033"/>
          <cell r="M3033"/>
          <cell r="N3033"/>
          <cell r="O3033"/>
          <cell r="P3033"/>
          <cell r="Q3033"/>
          <cell r="R3033"/>
          <cell r="S3033"/>
          <cell r="T3033"/>
          <cell r="U3033"/>
          <cell r="V3033"/>
          <cell r="W3033"/>
          <cell r="X3033"/>
          <cell r="Y3033"/>
          <cell r="Z3033"/>
          <cell r="AA3033"/>
          <cell r="AB3033"/>
          <cell r="AC3033"/>
          <cell r="AD3033"/>
          <cell r="AE3033"/>
          <cell r="AF3033"/>
          <cell r="AG3033"/>
          <cell r="AH3033"/>
          <cell r="AI3033"/>
          <cell r="AJ3033"/>
          <cell r="AK3033"/>
          <cell r="AL3033"/>
        </row>
        <row r="3034">
          <cell r="E3034"/>
          <cell r="F3034"/>
          <cell r="G3034"/>
          <cell r="H3034"/>
          <cell r="I3034"/>
          <cell r="J3034"/>
          <cell r="K3034"/>
          <cell r="L3034"/>
          <cell r="M3034"/>
          <cell r="N3034"/>
          <cell r="O3034"/>
          <cell r="P3034"/>
          <cell r="Q3034"/>
          <cell r="R3034"/>
          <cell r="S3034"/>
          <cell r="T3034"/>
          <cell r="U3034"/>
          <cell r="V3034"/>
          <cell r="W3034"/>
          <cell r="X3034"/>
          <cell r="Y3034"/>
          <cell r="Z3034"/>
          <cell r="AA3034"/>
          <cell r="AB3034"/>
          <cell r="AC3034"/>
          <cell r="AD3034"/>
          <cell r="AE3034"/>
          <cell r="AF3034"/>
          <cell r="AG3034"/>
          <cell r="AH3034"/>
          <cell r="AI3034"/>
          <cell r="AJ3034"/>
          <cell r="AK3034"/>
          <cell r="AL3034"/>
        </row>
        <row r="3035">
          <cell r="E3035"/>
          <cell r="F3035"/>
          <cell r="G3035"/>
          <cell r="H3035"/>
          <cell r="I3035"/>
          <cell r="J3035"/>
          <cell r="K3035"/>
          <cell r="L3035"/>
          <cell r="M3035"/>
          <cell r="N3035"/>
          <cell r="O3035"/>
          <cell r="P3035"/>
          <cell r="Q3035"/>
          <cell r="R3035"/>
          <cell r="S3035"/>
          <cell r="T3035"/>
          <cell r="U3035"/>
          <cell r="V3035"/>
          <cell r="W3035"/>
          <cell r="X3035"/>
          <cell r="Y3035"/>
          <cell r="Z3035"/>
          <cell r="AA3035"/>
          <cell r="AB3035"/>
          <cell r="AC3035"/>
          <cell r="AD3035"/>
          <cell r="AE3035"/>
          <cell r="AF3035"/>
          <cell r="AG3035"/>
          <cell r="AH3035"/>
          <cell r="AI3035"/>
          <cell r="AJ3035"/>
          <cell r="AK3035"/>
          <cell r="AL3035"/>
        </row>
        <row r="3036">
          <cell r="E3036"/>
          <cell r="F3036"/>
          <cell r="G3036"/>
          <cell r="H3036"/>
          <cell r="I3036"/>
          <cell r="J3036"/>
          <cell r="K3036"/>
          <cell r="L3036"/>
          <cell r="M3036"/>
          <cell r="N3036"/>
          <cell r="O3036"/>
          <cell r="P3036"/>
          <cell r="Q3036"/>
          <cell r="R3036"/>
          <cell r="S3036"/>
          <cell r="T3036"/>
          <cell r="U3036"/>
          <cell r="V3036"/>
          <cell r="W3036"/>
          <cell r="X3036"/>
          <cell r="Y3036"/>
          <cell r="Z3036"/>
          <cell r="AA3036"/>
          <cell r="AB3036"/>
          <cell r="AC3036"/>
          <cell r="AD3036"/>
          <cell r="AE3036"/>
          <cell r="AF3036"/>
          <cell r="AG3036"/>
          <cell r="AH3036"/>
          <cell r="AI3036"/>
          <cell r="AJ3036"/>
          <cell r="AK3036"/>
          <cell r="AL3036"/>
        </row>
        <row r="3037">
          <cell r="E3037"/>
          <cell r="F3037"/>
          <cell r="G3037"/>
          <cell r="H3037"/>
          <cell r="I3037"/>
          <cell r="J3037"/>
          <cell r="K3037"/>
          <cell r="L3037"/>
          <cell r="M3037"/>
          <cell r="N3037"/>
          <cell r="O3037"/>
          <cell r="P3037"/>
          <cell r="Q3037"/>
          <cell r="R3037"/>
          <cell r="S3037"/>
          <cell r="T3037"/>
          <cell r="U3037"/>
          <cell r="V3037"/>
          <cell r="W3037"/>
          <cell r="X3037"/>
          <cell r="Y3037"/>
          <cell r="Z3037"/>
          <cell r="AA3037"/>
          <cell r="AB3037"/>
          <cell r="AC3037"/>
          <cell r="AD3037"/>
          <cell r="AE3037"/>
          <cell r="AF3037"/>
          <cell r="AG3037"/>
          <cell r="AH3037"/>
          <cell r="AI3037"/>
          <cell r="AJ3037"/>
          <cell r="AK3037"/>
          <cell r="AL3037"/>
        </row>
        <row r="3038">
          <cell r="E3038"/>
          <cell r="F3038"/>
          <cell r="G3038"/>
          <cell r="H3038"/>
          <cell r="I3038"/>
          <cell r="J3038"/>
          <cell r="K3038"/>
          <cell r="L3038"/>
          <cell r="M3038"/>
          <cell r="N3038"/>
          <cell r="O3038"/>
          <cell r="P3038"/>
          <cell r="Q3038"/>
          <cell r="R3038"/>
          <cell r="S3038"/>
          <cell r="T3038"/>
          <cell r="U3038"/>
          <cell r="V3038"/>
          <cell r="W3038"/>
          <cell r="X3038"/>
          <cell r="Y3038"/>
          <cell r="Z3038"/>
          <cell r="AA3038"/>
          <cell r="AB3038"/>
          <cell r="AC3038"/>
          <cell r="AD3038"/>
          <cell r="AE3038"/>
          <cell r="AF3038"/>
          <cell r="AG3038"/>
          <cell r="AH3038"/>
          <cell r="AI3038"/>
          <cell r="AJ3038"/>
          <cell r="AK3038"/>
          <cell r="AL3038"/>
        </row>
        <row r="3039">
          <cell r="E3039"/>
          <cell r="F3039"/>
          <cell r="G3039"/>
          <cell r="H3039"/>
          <cell r="I3039"/>
          <cell r="J3039"/>
          <cell r="K3039"/>
          <cell r="L3039"/>
          <cell r="M3039"/>
          <cell r="N3039"/>
          <cell r="O3039"/>
          <cell r="P3039"/>
          <cell r="Q3039"/>
          <cell r="R3039"/>
          <cell r="S3039"/>
          <cell r="T3039"/>
          <cell r="U3039"/>
          <cell r="V3039"/>
          <cell r="W3039"/>
          <cell r="X3039"/>
          <cell r="Y3039"/>
          <cell r="Z3039"/>
          <cell r="AA3039"/>
          <cell r="AB3039"/>
          <cell r="AC3039"/>
          <cell r="AD3039"/>
          <cell r="AE3039"/>
          <cell r="AF3039"/>
          <cell r="AG3039"/>
          <cell r="AH3039"/>
          <cell r="AI3039"/>
          <cell r="AJ3039"/>
          <cell r="AK3039"/>
          <cell r="AL3039"/>
        </row>
        <row r="3040">
          <cell r="E3040" t="str">
            <v>差動SP2種露</v>
          </cell>
          <cell r="F3040" t="str">
            <v>個</v>
          </cell>
          <cell r="G3040"/>
          <cell r="H3040">
            <v>1290</v>
          </cell>
          <cell r="I3040"/>
          <cell r="J3040">
            <v>1290</v>
          </cell>
          <cell r="K3040"/>
          <cell r="L3040">
            <v>1290</v>
          </cell>
          <cell r="M3040"/>
          <cell r="N3040">
            <v>1290</v>
          </cell>
          <cell r="O3040"/>
          <cell r="P3040">
            <v>1290</v>
          </cell>
          <cell r="Q3040"/>
          <cell r="R3040">
            <v>1290</v>
          </cell>
          <cell r="S3040"/>
          <cell r="T3040">
            <v>1290</v>
          </cell>
          <cell r="U3040"/>
          <cell r="V3040">
            <v>1290</v>
          </cell>
          <cell r="W3040"/>
          <cell r="X3040">
            <v>1290</v>
          </cell>
          <cell r="Y3040"/>
          <cell r="Z3040">
            <v>1290</v>
          </cell>
          <cell r="AA3040"/>
          <cell r="AB3040"/>
          <cell r="AC3040"/>
          <cell r="AD3040">
            <v>0.13300000000000001</v>
          </cell>
          <cell r="AE3040"/>
          <cell r="AF3040"/>
          <cell r="AG3040"/>
          <cell r="AH3040"/>
          <cell r="AI3040"/>
          <cell r="AJ3040"/>
          <cell r="AK3040"/>
          <cell r="AL3040"/>
        </row>
        <row r="3041">
          <cell r="E3041" t="str">
            <v>差動SP2種埋</v>
          </cell>
          <cell r="F3041" t="str">
            <v>個</v>
          </cell>
          <cell r="G3041"/>
          <cell r="H3041">
            <v>1990</v>
          </cell>
          <cell r="I3041"/>
          <cell r="J3041">
            <v>1990</v>
          </cell>
          <cell r="K3041"/>
          <cell r="L3041">
            <v>1990</v>
          </cell>
          <cell r="M3041"/>
          <cell r="N3041">
            <v>1990</v>
          </cell>
          <cell r="O3041"/>
          <cell r="P3041">
            <v>1990</v>
          </cell>
          <cell r="Q3041"/>
          <cell r="R3041">
            <v>1990</v>
          </cell>
          <cell r="S3041"/>
          <cell r="T3041">
            <v>1990</v>
          </cell>
          <cell r="U3041"/>
          <cell r="V3041">
            <v>1990</v>
          </cell>
          <cell r="W3041"/>
          <cell r="X3041">
            <v>1990</v>
          </cell>
          <cell r="Y3041"/>
          <cell r="Z3041">
            <v>1990</v>
          </cell>
          <cell r="AA3041"/>
          <cell r="AB3041"/>
          <cell r="AC3041"/>
          <cell r="AD3041">
            <v>0.13300000000000001</v>
          </cell>
          <cell r="AE3041"/>
          <cell r="AF3041"/>
          <cell r="AG3041"/>
          <cell r="AH3041"/>
          <cell r="AI3041"/>
          <cell r="AJ3041"/>
          <cell r="AK3041"/>
          <cell r="AL3041"/>
        </row>
        <row r="3042">
          <cell r="E3042" t="str">
            <v>定温SP1種WP</v>
          </cell>
          <cell r="F3042" t="str">
            <v>個</v>
          </cell>
          <cell r="G3042"/>
          <cell r="H3042">
            <v>1190</v>
          </cell>
          <cell r="I3042"/>
          <cell r="J3042">
            <v>1190</v>
          </cell>
          <cell r="K3042"/>
          <cell r="L3042">
            <v>1190</v>
          </cell>
          <cell r="M3042"/>
          <cell r="N3042">
            <v>1190</v>
          </cell>
          <cell r="O3042"/>
          <cell r="P3042">
            <v>1190</v>
          </cell>
          <cell r="Q3042"/>
          <cell r="R3042">
            <v>1190</v>
          </cell>
          <cell r="S3042"/>
          <cell r="T3042">
            <v>1190</v>
          </cell>
          <cell r="U3042"/>
          <cell r="V3042">
            <v>1190</v>
          </cell>
          <cell r="W3042"/>
          <cell r="X3042">
            <v>1190</v>
          </cell>
          <cell r="Y3042"/>
          <cell r="Z3042">
            <v>1190</v>
          </cell>
          <cell r="AA3042"/>
          <cell r="AB3042"/>
          <cell r="AC3042"/>
          <cell r="AD3042">
            <v>0.13300000000000001</v>
          </cell>
          <cell r="AE3042"/>
          <cell r="AF3042"/>
          <cell r="AG3042"/>
          <cell r="AH3042"/>
          <cell r="AI3042"/>
          <cell r="AJ3042"/>
          <cell r="AK3042"/>
          <cell r="AL3042"/>
        </row>
        <row r="3043">
          <cell r="E3043" t="str">
            <v>定温SP1種Exp</v>
          </cell>
          <cell r="F3043" t="str">
            <v>個</v>
          </cell>
          <cell r="G3043"/>
          <cell r="H3043">
            <v>7700</v>
          </cell>
          <cell r="I3043"/>
          <cell r="J3043">
            <v>7700</v>
          </cell>
          <cell r="K3043"/>
          <cell r="L3043">
            <v>7700</v>
          </cell>
          <cell r="M3043"/>
          <cell r="N3043">
            <v>7700</v>
          </cell>
          <cell r="O3043"/>
          <cell r="P3043">
            <v>7700</v>
          </cell>
          <cell r="Q3043"/>
          <cell r="R3043">
            <v>7700</v>
          </cell>
          <cell r="S3043"/>
          <cell r="T3043">
            <v>7700</v>
          </cell>
          <cell r="U3043"/>
          <cell r="V3043">
            <v>7700</v>
          </cell>
          <cell r="W3043"/>
          <cell r="X3043">
            <v>7700</v>
          </cell>
          <cell r="Y3043"/>
          <cell r="Z3043">
            <v>7700</v>
          </cell>
          <cell r="AA3043"/>
          <cell r="AB3043"/>
          <cell r="AC3043"/>
          <cell r="AD3043">
            <v>0.13300000000000001</v>
          </cell>
          <cell r="AE3043"/>
          <cell r="AF3043"/>
          <cell r="AG3043"/>
          <cell r="AH3043"/>
          <cell r="AI3043"/>
          <cell r="AJ3043"/>
          <cell r="AK3043"/>
          <cell r="AL3043"/>
        </row>
        <row r="3044">
          <cell r="E3044" t="str">
            <v>補償SP2種</v>
          </cell>
          <cell r="F3044" t="str">
            <v>個</v>
          </cell>
          <cell r="G3044"/>
          <cell r="H3044">
            <v>2500</v>
          </cell>
          <cell r="I3044"/>
          <cell r="J3044">
            <v>2500</v>
          </cell>
          <cell r="K3044"/>
          <cell r="L3044">
            <v>2500</v>
          </cell>
          <cell r="M3044"/>
          <cell r="N3044">
            <v>2500</v>
          </cell>
          <cell r="O3044"/>
          <cell r="P3044">
            <v>2500</v>
          </cell>
          <cell r="Q3044"/>
          <cell r="R3044">
            <v>2500</v>
          </cell>
          <cell r="S3044"/>
          <cell r="T3044">
            <v>2500</v>
          </cell>
          <cell r="U3044"/>
          <cell r="V3044">
            <v>2500</v>
          </cell>
          <cell r="W3044"/>
          <cell r="X3044">
            <v>2500</v>
          </cell>
          <cell r="Y3044"/>
          <cell r="Z3044">
            <v>2500</v>
          </cell>
          <cell r="AA3044"/>
          <cell r="AB3044"/>
          <cell r="AC3044"/>
          <cell r="AD3044">
            <v>0.13300000000000001</v>
          </cell>
          <cell r="AE3044"/>
          <cell r="AF3044"/>
          <cell r="AG3044"/>
          <cell r="AH3044"/>
          <cell r="AI3044"/>
          <cell r="AJ3044"/>
          <cell r="AK3044"/>
          <cell r="AL3044"/>
        </row>
        <row r="3045">
          <cell r="E3045" t="str">
            <v>光電式煙2種露</v>
          </cell>
          <cell r="F3045" t="str">
            <v>個</v>
          </cell>
          <cell r="G3045"/>
          <cell r="H3045">
            <v>7700</v>
          </cell>
          <cell r="I3045"/>
          <cell r="J3045">
            <v>7700</v>
          </cell>
          <cell r="K3045"/>
          <cell r="L3045">
            <v>7700</v>
          </cell>
          <cell r="M3045"/>
          <cell r="N3045">
            <v>7700</v>
          </cell>
          <cell r="O3045"/>
          <cell r="P3045">
            <v>7700</v>
          </cell>
          <cell r="Q3045"/>
          <cell r="R3045">
            <v>7700</v>
          </cell>
          <cell r="S3045"/>
          <cell r="T3045">
            <v>7700</v>
          </cell>
          <cell r="U3045"/>
          <cell r="V3045">
            <v>7700</v>
          </cell>
          <cell r="W3045"/>
          <cell r="X3045">
            <v>7700</v>
          </cell>
          <cell r="Y3045"/>
          <cell r="Z3045">
            <v>7700</v>
          </cell>
          <cell r="AA3045"/>
          <cell r="AB3045"/>
          <cell r="AC3045"/>
          <cell r="AD3045">
            <v>0.159</v>
          </cell>
          <cell r="AE3045"/>
          <cell r="AF3045"/>
          <cell r="AG3045"/>
          <cell r="AH3045"/>
          <cell r="AI3045"/>
          <cell r="AJ3045"/>
          <cell r="AK3045"/>
          <cell r="AL3045"/>
        </row>
        <row r="3046">
          <cell r="E3046" t="str">
            <v>光電式煙2種埋</v>
          </cell>
          <cell r="F3046" t="str">
            <v>個</v>
          </cell>
          <cell r="G3046"/>
          <cell r="H3046">
            <v>8400</v>
          </cell>
          <cell r="I3046"/>
          <cell r="J3046">
            <v>8400</v>
          </cell>
          <cell r="K3046"/>
          <cell r="L3046">
            <v>8400</v>
          </cell>
          <cell r="M3046"/>
          <cell r="N3046">
            <v>8400</v>
          </cell>
          <cell r="O3046"/>
          <cell r="P3046">
            <v>8400</v>
          </cell>
          <cell r="Q3046"/>
          <cell r="R3046">
            <v>8400</v>
          </cell>
          <cell r="S3046"/>
          <cell r="T3046">
            <v>8400</v>
          </cell>
          <cell r="U3046"/>
          <cell r="V3046">
            <v>8400</v>
          </cell>
          <cell r="W3046"/>
          <cell r="X3046">
            <v>8400</v>
          </cell>
          <cell r="Y3046"/>
          <cell r="Z3046">
            <v>8400</v>
          </cell>
          <cell r="AA3046"/>
          <cell r="AB3046"/>
          <cell r="AC3046"/>
          <cell r="AD3046">
            <v>0.159</v>
          </cell>
          <cell r="AE3046"/>
          <cell r="AF3046"/>
          <cell r="AG3046"/>
          <cell r="AH3046"/>
          <cell r="AI3046"/>
          <cell r="AJ3046"/>
          <cell r="AK3046"/>
          <cell r="AL3046"/>
        </row>
        <row r="3047">
          <cell r="E3047" t="str">
            <v>光電式煙3種露</v>
          </cell>
          <cell r="F3047" t="str">
            <v>個</v>
          </cell>
          <cell r="G3047"/>
          <cell r="H3047">
            <v>7000</v>
          </cell>
          <cell r="I3047"/>
          <cell r="J3047">
            <v>7000</v>
          </cell>
          <cell r="K3047"/>
          <cell r="L3047">
            <v>7000</v>
          </cell>
          <cell r="M3047"/>
          <cell r="N3047">
            <v>7000</v>
          </cell>
          <cell r="O3047"/>
          <cell r="P3047">
            <v>7000</v>
          </cell>
          <cell r="Q3047"/>
          <cell r="R3047">
            <v>7000</v>
          </cell>
          <cell r="S3047"/>
          <cell r="T3047">
            <v>7000</v>
          </cell>
          <cell r="U3047"/>
          <cell r="V3047">
            <v>7000</v>
          </cell>
          <cell r="W3047"/>
          <cell r="X3047">
            <v>7000</v>
          </cell>
          <cell r="Y3047"/>
          <cell r="Z3047">
            <v>7000</v>
          </cell>
          <cell r="AA3047"/>
          <cell r="AB3047"/>
          <cell r="AC3047"/>
          <cell r="AD3047">
            <v>0.159</v>
          </cell>
          <cell r="AE3047"/>
          <cell r="AF3047"/>
          <cell r="AG3047"/>
          <cell r="AH3047"/>
          <cell r="AI3047"/>
          <cell r="AJ3047"/>
          <cell r="AK3047"/>
          <cell r="AL3047"/>
        </row>
        <row r="3048">
          <cell r="E3048" t="str">
            <v>光電式煙3種埋</v>
          </cell>
          <cell r="F3048" t="str">
            <v>個</v>
          </cell>
          <cell r="G3048"/>
          <cell r="H3048">
            <v>7700</v>
          </cell>
          <cell r="I3048"/>
          <cell r="J3048">
            <v>7700</v>
          </cell>
          <cell r="K3048"/>
          <cell r="L3048">
            <v>7700</v>
          </cell>
          <cell r="M3048"/>
          <cell r="N3048">
            <v>7700</v>
          </cell>
          <cell r="O3048"/>
          <cell r="P3048">
            <v>7700</v>
          </cell>
          <cell r="Q3048"/>
          <cell r="R3048">
            <v>7700</v>
          </cell>
          <cell r="S3048"/>
          <cell r="T3048">
            <v>7700</v>
          </cell>
          <cell r="U3048"/>
          <cell r="V3048">
            <v>7700</v>
          </cell>
          <cell r="W3048"/>
          <cell r="X3048">
            <v>7700</v>
          </cell>
          <cell r="Y3048"/>
          <cell r="Z3048">
            <v>7700</v>
          </cell>
          <cell r="AA3048"/>
          <cell r="AB3048"/>
          <cell r="AC3048"/>
          <cell r="AD3048">
            <v>0.159</v>
          </cell>
          <cell r="AE3048"/>
          <cell r="AF3048"/>
          <cell r="AG3048"/>
          <cell r="AH3048"/>
          <cell r="AI3048"/>
          <cell r="AJ3048"/>
          <cell r="AK3048"/>
          <cell r="AL3048"/>
        </row>
        <row r="3049">
          <cell r="E3049" t="str">
            <v>HP起動押ボタン</v>
          </cell>
          <cell r="F3049" t="str">
            <v>個</v>
          </cell>
          <cell r="G3049"/>
          <cell r="H3049">
            <v>1500</v>
          </cell>
          <cell r="I3049"/>
          <cell r="J3049">
            <v>1500</v>
          </cell>
          <cell r="K3049"/>
          <cell r="L3049">
            <v>1500</v>
          </cell>
          <cell r="M3049"/>
          <cell r="N3049">
            <v>1500</v>
          </cell>
          <cell r="O3049"/>
          <cell r="P3049">
            <v>1500</v>
          </cell>
          <cell r="Q3049"/>
          <cell r="R3049">
            <v>1500</v>
          </cell>
          <cell r="S3049"/>
          <cell r="T3049">
            <v>1500</v>
          </cell>
          <cell r="U3049"/>
          <cell r="V3049">
            <v>1500</v>
          </cell>
          <cell r="W3049"/>
          <cell r="X3049">
            <v>1500</v>
          </cell>
          <cell r="Y3049"/>
          <cell r="Z3049">
            <v>1500</v>
          </cell>
          <cell r="AA3049"/>
          <cell r="AB3049"/>
          <cell r="AC3049"/>
          <cell r="AD3049">
            <v>5.3999999999999999E-2</v>
          </cell>
          <cell r="AE3049"/>
          <cell r="AF3049"/>
          <cell r="AG3049"/>
          <cell r="AH3049"/>
          <cell r="AI3049"/>
          <cell r="AJ3049"/>
          <cell r="AK3049"/>
          <cell r="AL3049"/>
        </row>
        <row r="3050">
          <cell r="E3050" t="str">
            <v>P1総合盤露出</v>
          </cell>
          <cell r="F3050" t="str">
            <v>個</v>
          </cell>
          <cell r="G3050"/>
          <cell r="H3050">
            <v>10200</v>
          </cell>
          <cell r="I3050"/>
          <cell r="J3050">
            <v>10200</v>
          </cell>
          <cell r="K3050"/>
          <cell r="L3050">
            <v>10200</v>
          </cell>
          <cell r="M3050"/>
          <cell r="N3050">
            <v>10200</v>
          </cell>
          <cell r="O3050"/>
          <cell r="P3050">
            <v>10200</v>
          </cell>
          <cell r="Q3050"/>
          <cell r="R3050">
            <v>10200</v>
          </cell>
          <cell r="S3050"/>
          <cell r="T3050">
            <v>10200</v>
          </cell>
          <cell r="U3050"/>
          <cell r="V3050">
            <v>10200</v>
          </cell>
          <cell r="W3050"/>
          <cell r="X3050">
            <v>10200</v>
          </cell>
          <cell r="Y3050"/>
          <cell r="Z3050">
            <v>10200</v>
          </cell>
          <cell r="AA3050"/>
          <cell r="AB3050"/>
          <cell r="AC3050"/>
          <cell r="AD3050">
            <v>0.61899999999999999</v>
          </cell>
          <cell r="AE3050"/>
          <cell r="AF3050"/>
          <cell r="AG3050"/>
          <cell r="AH3050"/>
          <cell r="AI3050"/>
          <cell r="AJ3050"/>
          <cell r="AK3050"/>
          <cell r="AL3050"/>
        </row>
        <row r="3051">
          <cell r="E3051" t="str">
            <v>P1総合盤埋込</v>
          </cell>
          <cell r="F3051" t="str">
            <v>個</v>
          </cell>
          <cell r="G3051"/>
          <cell r="H3051">
            <v>8890</v>
          </cell>
          <cell r="I3051"/>
          <cell r="J3051">
            <v>8890</v>
          </cell>
          <cell r="K3051"/>
          <cell r="L3051">
            <v>8890</v>
          </cell>
          <cell r="M3051"/>
          <cell r="N3051">
            <v>8890</v>
          </cell>
          <cell r="O3051"/>
          <cell r="P3051">
            <v>8890</v>
          </cell>
          <cell r="Q3051"/>
          <cell r="R3051">
            <v>8890</v>
          </cell>
          <cell r="S3051"/>
          <cell r="T3051">
            <v>8890</v>
          </cell>
          <cell r="U3051"/>
          <cell r="V3051">
            <v>8890</v>
          </cell>
          <cell r="W3051"/>
          <cell r="X3051">
            <v>8890</v>
          </cell>
          <cell r="Y3051"/>
          <cell r="Z3051">
            <v>8890</v>
          </cell>
          <cell r="AA3051"/>
          <cell r="AB3051"/>
          <cell r="AC3051"/>
          <cell r="AD3051">
            <v>0.496</v>
          </cell>
          <cell r="AE3051"/>
          <cell r="AF3051"/>
          <cell r="AG3051"/>
          <cell r="AH3051"/>
          <cell r="AI3051"/>
          <cell r="AJ3051"/>
          <cell r="AK3051"/>
          <cell r="AL3051"/>
        </row>
        <row r="3052">
          <cell r="E3052" t="str">
            <v>ﾗｯﾁ電磁レリーズ</v>
          </cell>
          <cell r="F3052" t="str">
            <v>個</v>
          </cell>
          <cell r="G3052"/>
          <cell r="H3052">
            <v>7870</v>
          </cell>
          <cell r="I3052"/>
          <cell r="J3052">
            <v>7870</v>
          </cell>
          <cell r="K3052"/>
          <cell r="L3052">
            <v>7870</v>
          </cell>
          <cell r="M3052"/>
          <cell r="N3052">
            <v>7870</v>
          </cell>
          <cell r="O3052"/>
          <cell r="P3052">
            <v>7870</v>
          </cell>
          <cell r="Q3052"/>
          <cell r="R3052">
            <v>7870</v>
          </cell>
          <cell r="S3052"/>
          <cell r="T3052">
            <v>7870</v>
          </cell>
          <cell r="U3052"/>
          <cell r="V3052">
            <v>7870</v>
          </cell>
          <cell r="W3052"/>
          <cell r="X3052">
            <v>7870</v>
          </cell>
          <cell r="Y3052"/>
          <cell r="Z3052">
            <v>7870</v>
          </cell>
          <cell r="AA3052"/>
          <cell r="AB3052"/>
          <cell r="AC3052"/>
          <cell r="AD3052">
            <v>0.33600000000000002</v>
          </cell>
          <cell r="AE3052"/>
          <cell r="AF3052"/>
          <cell r="AG3052"/>
          <cell r="AH3052"/>
          <cell r="AI3052"/>
          <cell r="AJ3052"/>
          <cell r="AK3052"/>
          <cell r="AL3052"/>
        </row>
        <row r="3053">
          <cell r="E3053" t="str">
            <v>ｱｰﾑ電磁レリーズ</v>
          </cell>
          <cell r="F3053" t="str">
            <v>個</v>
          </cell>
          <cell r="G3053"/>
          <cell r="H3053">
            <v>17500</v>
          </cell>
          <cell r="I3053"/>
          <cell r="J3053">
            <v>17500</v>
          </cell>
          <cell r="K3053"/>
          <cell r="L3053">
            <v>17500</v>
          </cell>
          <cell r="M3053"/>
          <cell r="N3053">
            <v>17500</v>
          </cell>
          <cell r="O3053"/>
          <cell r="P3053">
            <v>17500</v>
          </cell>
          <cell r="Q3053"/>
          <cell r="R3053">
            <v>17500</v>
          </cell>
          <cell r="S3053"/>
          <cell r="T3053">
            <v>17500</v>
          </cell>
          <cell r="U3053"/>
          <cell r="V3053">
            <v>17500</v>
          </cell>
          <cell r="W3053"/>
          <cell r="X3053">
            <v>17500</v>
          </cell>
          <cell r="Y3053"/>
          <cell r="Z3053">
            <v>17500</v>
          </cell>
          <cell r="AA3053"/>
          <cell r="AB3053"/>
          <cell r="AC3053"/>
          <cell r="AD3053">
            <v>0.33600000000000002</v>
          </cell>
          <cell r="AE3053"/>
          <cell r="AF3053"/>
          <cell r="AG3053"/>
          <cell r="AH3053"/>
          <cell r="AI3053"/>
          <cell r="AJ3053"/>
          <cell r="AK3053"/>
          <cell r="AL3053"/>
        </row>
        <row r="3054">
          <cell r="E3054" t="str">
            <v>P1受信機 5L壁</v>
          </cell>
          <cell r="F3054" t="str">
            <v>面</v>
          </cell>
          <cell r="G3054"/>
          <cell r="H3054">
            <v>138000</v>
          </cell>
          <cell r="I3054"/>
          <cell r="J3054">
            <v>138000</v>
          </cell>
          <cell r="K3054"/>
          <cell r="L3054">
            <v>138000</v>
          </cell>
          <cell r="M3054"/>
          <cell r="N3054">
            <v>138000</v>
          </cell>
          <cell r="O3054"/>
          <cell r="P3054">
            <v>138000</v>
          </cell>
          <cell r="Q3054"/>
          <cell r="R3054">
            <v>138000</v>
          </cell>
          <cell r="S3054"/>
          <cell r="T3054">
            <v>138000</v>
          </cell>
          <cell r="U3054"/>
          <cell r="V3054">
            <v>138000</v>
          </cell>
          <cell r="W3054"/>
          <cell r="X3054">
            <v>138000</v>
          </cell>
          <cell r="Y3054"/>
          <cell r="Z3054">
            <v>138000</v>
          </cell>
          <cell r="AA3054"/>
          <cell r="AB3054"/>
          <cell r="AC3054"/>
          <cell r="AD3054">
            <v>5.31</v>
          </cell>
          <cell r="AE3054"/>
          <cell r="AF3054"/>
          <cell r="AG3054"/>
          <cell r="AH3054"/>
          <cell r="AI3054"/>
          <cell r="AJ3054"/>
          <cell r="AK3054"/>
          <cell r="AL3054"/>
        </row>
        <row r="3055">
          <cell r="E3055" t="str">
            <v>P1受信機 10L壁</v>
          </cell>
          <cell r="F3055" t="str">
            <v>面</v>
          </cell>
          <cell r="G3055"/>
          <cell r="H3055">
            <v>161000</v>
          </cell>
          <cell r="I3055"/>
          <cell r="J3055">
            <v>161000</v>
          </cell>
          <cell r="K3055"/>
          <cell r="L3055">
            <v>161000</v>
          </cell>
          <cell r="M3055"/>
          <cell r="N3055">
            <v>161000</v>
          </cell>
          <cell r="O3055"/>
          <cell r="P3055">
            <v>161000</v>
          </cell>
          <cell r="Q3055"/>
          <cell r="R3055">
            <v>161000</v>
          </cell>
          <cell r="S3055"/>
          <cell r="T3055">
            <v>161000</v>
          </cell>
          <cell r="U3055"/>
          <cell r="V3055">
            <v>161000</v>
          </cell>
          <cell r="W3055"/>
          <cell r="X3055">
            <v>161000</v>
          </cell>
          <cell r="Y3055"/>
          <cell r="Z3055">
            <v>161000</v>
          </cell>
          <cell r="AA3055"/>
          <cell r="AB3055"/>
          <cell r="AC3055"/>
          <cell r="AD3055">
            <v>6.64</v>
          </cell>
          <cell r="AE3055"/>
          <cell r="AF3055"/>
          <cell r="AG3055"/>
          <cell r="AH3055"/>
          <cell r="AI3055"/>
          <cell r="AJ3055"/>
          <cell r="AK3055"/>
          <cell r="AL3055"/>
        </row>
        <row r="3056">
          <cell r="E3056" t="str">
            <v>P1受信機 15L壁</v>
          </cell>
          <cell r="F3056" t="str">
            <v>面</v>
          </cell>
          <cell r="G3056"/>
          <cell r="H3056">
            <v>183000</v>
          </cell>
          <cell r="I3056"/>
          <cell r="J3056">
            <v>183000</v>
          </cell>
          <cell r="K3056"/>
          <cell r="L3056">
            <v>183000</v>
          </cell>
          <cell r="M3056"/>
          <cell r="N3056">
            <v>183000</v>
          </cell>
          <cell r="O3056"/>
          <cell r="P3056">
            <v>183000</v>
          </cell>
          <cell r="Q3056"/>
          <cell r="R3056">
            <v>183000</v>
          </cell>
          <cell r="S3056"/>
          <cell r="T3056">
            <v>183000</v>
          </cell>
          <cell r="U3056"/>
          <cell r="V3056">
            <v>183000</v>
          </cell>
          <cell r="W3056"/>
          <cell r="X3056">
            <v>183000</v>
          </cell>
          <cell r="Y3056"/>
          <cell r="Z3056">
            <v>183000</v>
          </cell>
          <cell r="AA3056"/>
          <cell r="AB3056"/>
          <cell r="AC3056"/>
          <cell r="AD3056">
            <v>7.96</v>
          </cell>
          <cell r="AE3056"/>
          <cell r="AF3056"/>
          <cell r="AG3056"/>
          <cell r="AH3056"/>
          <cell r="AI3056"/>
          <cell r="AJ3056"/>
          <cell r="AK3056"/>
          <cell r="AL3056"/>
        </row>
        <row r="3057">
          <cell r="E3057" t="str">
            <v>P1受信機 20L壁</v>
          </cell>
          <cell r="F3057" t="str">
            <v>面</v>
          </cell>
          <cell r="G3057"/>
          <cell r="H3057">
            <v>205000</v>
          </cell>
          <cell r="I3057"/>
          <cell r="J3057">
            <v>205000</v>
          </cell>
          <cell r="K3057"/>
          <cell r="L3057">
            <v>205000</v>
          </cell>
          <cell r="M3057"/>
          <cell r="N3057">
            <v>205000</v>
          </cell>
          <cell r="O3057"/>
          <cell r="P3057">
            <v>205000</v>
          </cell>
          <cell r="Q3057"/>
          <cell r="R3057">
            <v>205000</v>
          </cell>
          <cell r="S3057"/>
          <cell r="T3057">
            <v>205000</v>
          </cell>
          <cell r="U3057"/>
          <cell r="V3057">
            <v>205000</v>
          </cell>
          <cell r="W3057"/>
          <cell r="X3057">
            <v>205000</v>
          </cell>
          <cell r="Y3057"/>
          <cell r="Z3057">
            <v>205000</v>
          </cell>
          <cell r="AA3057"/>
          <cell r="AB3057"/>
          <cell r="AC3057"/>
          <cell r="AD3057">
            <v>9.2899999999999991</v>
          </cell>
          <cell r="AE3057"/>
          <cell r="AF3057"/>
          <cell r="AG3057"/>
          <cell r="AH3057"/>
          <cell r="AI3057"/>
          <cell r="AJ3057"/>
          <cell r="AK3057"/>
          <cell r="AL3057"/>
        </row>
        <row r="3058">
          <cell r="E3058" t="str">
            <v>P1受信機 25L壁</v>
          </cell>
          <cell r="F3058" t="str">
            <v>面</v>
          </cell>
          <cell r="G3058"/>
          <cell r="H3058">
            <v>227000</v>
          </cell>
          <cell r="I3058"/>
          <cell r="J3058">
            <v>227000</v>
          </cell>
          <cell r="K3058"/>
          <cell r="L3058">
            <v>227000</v>
          </cell>
          <cell r="M3058"/>
          <cell r="N3058">
            <v>227000</v>
          </cell>
          <cell r="O3058"/>
          <cell r="P3058">
            <v>227000</v>
          </cell>
          <cell r="Q3058"/>
          <cell r="R3058">
            <v>227000</v>
          </cell>
          <cell r="S3058"/>
          <cell r="T3058">
            <v>227000</v>
          </cell>
          <cell r="U3058"/>
          <cell r="V3058">
            <v>227000</v>
          </cell>
          <cell r="W3058"/>
          <cell r="X3058">
            <v>227000</v>
          </cell>
          <cell r="Y3058"/>
          <cell r="Z3058">
            <v>227000</v>
          </cell>
          <cell r="AA3058"/>
          <cell r="AB3058"/>
          <cell r="AC3058"/>
          <cell r="AD3058">
            <v>10.6</v>
          </cell>
          <cell r="AE3058"/>
          <cell r="AF3058"/>
          <cell r="AG3058"/>
          <cell r="AH3058"/>
          <cell r="AI3058"/>
          <cell r="AJ3058"/>
          <cell r="AK3058"/>
          <cell r="AL3058"/>
        </row>
        <row r="3059">
          <cell r="E3059" t="str">
            <v>P1受信機 30L壁</v>
          </cell>
          <cell r="F3059" t="str">
            <v>面</v>
          </cell>
          <cell r="G3059"/>
          <cell r="H3059">
            <v>249000</v>
          </cell>
          <cell r="I3059"/>
          <cell r="J3059">
            <v>249000</v>
          </cell>
          <cell r="K3059"/>
          <cell r="L3059">
            <v>249000</v>
          </cell>
          <cell r="M3059"/>
          <cell r="N3059">
            <v>249000</v>
          </cell>
          <cell r="O3059"/>
          <cell r="P3059">
            <v>249000</v>
          </cell>
          <cell r="Q3059"/>
          <cell r="R3059">
            <v>249000</v>
          </cell>
          <cell r="S3059"/>
          <cell r="T3059">
            <v>249000</v>
          </cell>
          <cell r="U3059"/>
          <cell r="V3059">
            <v>249000</v>
          </cell>
          <cell r="W3059"/>
          <cell r="X3059">
            <v>249000</v>
          </cell>
          <cell r="Y3059"/>
          <cell r="Z3059">
            <v>249000</v>
          </cell>
          <cell r="AA3059"/>
          <cell r="AB3059"/>
          <cell r="AC3059"/>
          <cell r="AD3059">
            <v>11.9</v>
          </cell>
          <cell r="AE3059"/>
          <cell r="AF3059"/>
          <cell r="AG3059"/>
          <cell r="AH3059"/>
          <cell r="AI3059"/>
          <cell r="AJ3059"/>
          <cell r="AK3059"/>
          <cell r="AL3059"/>
        </row>
        <row r="3060">
          <cell r="E3060" t="str">
            <v>P1受信機 40L壁</v>
          </cell>
          <cell r="F3060" t="str">
            <v>面</v>
          </cell>
          <cell r="G3060"/>
          <cell r="H3060">
            <v>294000</v>
          </cell>
          <cell r="I3060"/>
          <cell r="J3060">
            <v>294000</v>
          </cell>
          <cell r="K3060"/>
          <cell r="L3060">
            <v>294000</v>
          </cell>
          <cell r="M3060"/>
          <cell r="N3060">
            <v>294000</v>
          </cell>
          <cell r="O3060"/>
          <cell r="P3060">
            <v>294000</v>
          </cell>
          <cell r="Q3060"/>
          <cell r="R3060">
            <v>294000</v>
          </cell>
          <cell r="S3060"/>
          <cell r="T3060">
            <v>294000</v>
          </cell>
          <cell r="U3060"/>
          <cell r="V3060">
            <v>294000</v>
          </cell>
          <cell r="W3060"/>
          <cell r="X3060">
            <v>294000</v>
          </cell>
          <cell r="Y3060"/>
          <cell r="Z3060">
            <v>294000</v>
          </cell>
          <cell r="AA3060"/>
          <cell r="AB3060"/>
          <cell r="AC3060"/>
          <cell r="AD3060">
            <v>14.6</v>
          </cell>
          <cell r="AE3060"/>
          <cell r="AF3060"/>
          <cell r="AG3060"/>
          <cell r="AH3060"/>
          <cell r="AI3060"/>
          <cell r="AJ3060"/>
          <cell r="AK3060"/>
          <cell r="AL3060"/>
        </row>
        <row r="3061">
          <cell r="E3061" t="str">
            <v>P1受信機 40L自</v>
          </cell>
          <cell r="F3061" t="str">
            <v>面</v>
          </cell>
          <cell r="G3061"/>
          <cell r="H3061">
            <v>508000</v>
          </cell>
          <cell r="I3061"/>
          <cell r="J3061">
            <v>508000</v>
          </cell>
          <cell r="K3061"/>
          <cell r="L3061">
            <v>508000</v>
          </cell>
          <cell r="M3061"/>
          <cell r="N3061">
            <v>508000</v>
          </cell>
          <cell r="O3061"/>
          <cell r="P3061">
            <v>508000</v>
          </cell>
          <cell r="Q3061"/>
          <cell r="R3061">
            <v>508000</v>
          </cell>
          <cell r="S3061"/>
          <cell r="T3061">
            <v>508000</v>
          </cell>
          <cell r="U3061"/>
          <cell r="V3061">
            <v>508000</v>
          </cell>
          <cell r="W3061"/>
          <cell r="X3061">
            <v>508000</v>
          </cell>
          <cell r="Y3061"/>
          <cell r="Z3061">
            <v>508000</v>
          </cell>
          <cell r="AA3061"/>
          <cell r="AB3061"/>
          <cell r="AC3061"/>
          <cell r="AD3061">
            <v>14.6</v>
          </cell>
          <cell r="AE3061"/>
          <cell r="AF3061"/>
          <cell r="AG3061"/>
          <cell r="AH3061"/>
          <cell r="AI3061"/>
          <cell r="AJ3061"/>
          <cell r="AK3061"/>
          <cell r="AL3061"/>
        </row>
        <row r="3062">
          <cell r="E3062" t="str">
            <v>P1受信機 50L自</v>
          </cell>
          <cell r="F3062" t="str">
            <v>面</v>
          </cell>
          <cell r="G3062"/>
          <cell r="H3062">
            <v>562000</v>
          </cell>
          <cell r="I3062"/>
          <cell r="J3062">
            <v>562000</v>
          </cell>
          <cell r="K3062"/>
          <cell r="L3062">
            <v>562000</v>
          </cell>
          <cell r="M3062"/>
          <cell r="N3062">
            <v>562000</v>
          </cell>
          <cell r="O3062"/>
          <cell r="P3062">
            <v>562000</v>
          </cell>
          <cell r="Q3062"/>
          <cell r="R3062">
            <v>562000</v>
          </cell>
          <cell r="S3062"/>
          <cell r="T3062">
            <v>562000</v>
          </cell>
          <cell r="U3062"/>
          <cell r="V3062">
            <v>562000</v>
          </cell>
          <cell r="W3062"/>
          <cell r="X3062">
            <v>562000</v>
          </cell>
          <cell r="Y3062"/>
          <cell r="Z3062">
            <v>562000</v>
          </cell>
          <cell r="AA3062"/>
          <cell r="AB3062"/>
          <cell r="AC3062"/>
          <cell r="AD3062">
            <v>17.3</v>
          </cell>
          <cell r="AE3062"/>
          <cell r="AF3062"/>
          <cell r="AG3062"/>
          <cell r="AH3062"/>
          <cell r="AI3062"/>
          <cell r="AJ3062"/>
          <cell r="AK3062"/>
          <cell r="AL3062"/>
        </row>
        <row r="3063">
          <cell r="E3063" t="str">
            <v>P1受信機 60L自</v>
          </cell>
          <cell r="F3063" t="str">
            <v>面</v>
          </cell>
          <cell r="G3063"/>
          <cell r="H3063">
            <v>616000</v>
          </cell>
          <cell r="I3063"/>
          <cell r="J3063">
            <v>616000</v>
          </cell>
          <cell r="K3063"/>
          <cell r="L3063">
            <v>616000</v>
          </cell>
          <cell r="M3063"/>
          <cell r="N3063">
            <v>616000</v>
          </cell>
          <cell r="O3063"/>
          <cell r="P3063">
            <v>616000</v>
          </cell>
          <cell r="Q3063"/>
          <cell r="R3063">
            <v>616000</v>
          </cell>
          <cell r="S3063"/>
          <cell r="T3063">
            <v>616000</v>
          </cell>
          <cell r="U3063"/>
          <cell r="V3063">
            <v>616000</v>
          </cell>
          <cell r="W3063"/>
          <cell r="X3063">
            <v>616000</v>
          </cell>
          <cell r="Y3063"/>
          <cell r="Z3063">
            <v>616000</v>
          </cell>
          <cell r="AA3063"/>
          <cell r="AB3063"/>
          <cell r="AC3063"/>
          <cell r="AD3063">
            <v>20.000000000000004</v>
          </cell>
          <cell r="AE3063"/>
          <cell r="AF3063"/>
          <cell r="AG3063"/>
          <cell r="AH3063"/>
          <cell r="AI3063"/>
          <cell r="AJ3063"/>
          <cell r="AK3063"/>
          <cell r="AL3063"/>
        </row>
        <row r="3064">
          <cell r="E3064" t="str">
            <v>P1受信機 70L自</v>
          </cell>
          <cell r="F3064" t="str">
            <v>面</v>
          </cell>
          <cell r="G3064"/>
          <cell r="H3064">
            <v>669000</v>
          </cell>
          <cell r="I3064"/>
          <cell r="J3064">
            <v>669000</v>
          </cell>
          <cell r="K3064"/>
          <cell r="L3064">
            <v>669000</v>
          </cell>
          <cell r="M3064"/>
          <cell r="N3064">
            <v>669000</v>
          </cell>
          <cell r="O3064"/>
          <cell r="P3064">
            <v>669000</v>
          </cell>
          <cell r="Q3064"/>
          <cell r="R3064">
            <v>669000</v>
          </cell>
          <cell r="S3064"/>
          <cell r="T3064">
            <v>669000</v>
          </cell>
          <cell r="U3064"/>
          <cell r="V3064">
            <v>669000</v>
          </cell>
          <cell r="W3064"/>
          <cell r="X3064">
            <v>669000</v>
          </cell>
          <cell r="Y3064"/>
          <cell r="Z3064">
            <v>669000</v>
          </cell>
          <cell r="AA3064"/>
          <cell r="AB3064"/>
          <cell r="AC3064"/>
          <cell r="AD3064">
            <v>22.700000000000003</v>
          </cell>
          <cell r="AE3064"/>
          <cell r="AF3064"/>
          <cell r="AG3064"/>
          <cell r="AH3064"/>
          <cell r="AI3064"/>
          <cell r="AJ3064"/>
          <cell r="AK3064"/>
          <cell r="AL3064"/>
        </row>
        <row r="3065">
          <cell r="E3065" t="str">
            <v>P1受信機 80L自</v>
          </cell>
          <cell r="F3065" t="str">
            <v>面</v>
          </cell>
          <cell r="G3065"/>
          <cell r="H3065">
            <v>723000</v>
          </cell>
          <cell r="I3065"/>
          <cell r="J3065">
            <v>723000</v>
          </cell>
          <cell r="K3065"/>
          <cell r="L3065">
            <v>723000</v>
          </cell>
          <cell r="M3065"/>
          <cell r="N3065">
            <v>723000</v>
          </cell>
          <cell r="O3065"/>
          <cell r="P3065">
            <v>723000</v>
          </cell>
          <cell r="Q3065"/>
          <cell r="R3065">
            <v>723000</v>
          </cell>
          <cell r="S3065"/>
          <cell r="T3065">
            <v>723000</v>
          </cell>
          <cell r="U3065"/>
          <cell r="V3065">
            <v>723000</v>
          </cell>
          <cell r="W3065"/>
          <cell r="X3065">
            <v>723000</v>
          </cell>
          <cell r="Y3065"/>
          <cell r="Z3065">
            <v>723000</v>
          </cell>
          <cell r="AA3065"/>
          <cell r="AB3065"/>
          <cell r="AC3065"/>
          <cell r="AD3065">
            <v>25.400000000000002</v>
          </cell>
          <cell r="AE3065"/>
          <cell r="AF3065"/>
          <cell r="AG3065"/>
          <cell r="AH3065"/>
          <cell r="AI3065"/>
          <cell r="AJ3065"/>
          <cell r="AK3065"/>
          <cell r="AL3065"/>
        </row>
        <row r="3066">
          <cell r="E3066" t="str">
            <v>P1受信機 90L自</v>
          </cell>
          <cell r="F3066" t="str">
            <v>面</v>
          </cell>
          <cell r="G3066"/>
          <cell r="H3066">
            <v>777000</v>
          </cell>
          <cell r="I3066"/>
          <cell r="J3066">
            <v>777000</v>
          </cell>
          <cell r="K3066"/>
          <cell r="L3066">
            <v>777000</v>
          </cell>
          <cell r="M3066"/>
          <cell r="N3066">
            <v>777000</v>
          </cell>
          <cell r="O3066"/>
          <cell r="P3066">
            <v>777000</v>
          </cell>
          <cell r="Q3066"/>
          <cell r="R3066">
            <v>777000</v>
          </cell>
          <cell r="S3066"/>
          <cell r="T3066">
            <v>777000</v>
          </cell>
          <cell r="U3066"/>
          <cell r="V3066">
            <v>777000</v>
          </cell>
          <cell r="W3066"/>
          <cell r="X3066">
            <v>777000</v>
          </cell>
          <cell r="Y3066"/>
          <cell r="Z3066">
            <v>777000</v>
          </cell>
          <cell r="AA3066"/>
          <cell r="AB3066"/>
          <cell r="AC3066"/>
          <cell r="AD3066">
            <v>28.1</v>
          </cell>
          <cell r="AE3066"/>
          <cell r="AF3066"/>
          <cell r="AG3066"/>
          <cell r="AH3066"/>
          <cell r="AI3066"/>
          <cell r="AJ3066"/>
          <cell r="AK3066"/>
          <cell r="AL3066"/>
        </row>
        <row r="3067">
          <cell r="E3067" t="str">
            <v>P1受信機 100L自</v>
          </cell>
          <cell r="F3067" t="str">
            <v>面</v>
          </cell>
          <cell r="G3067"/>
          <cell r="H3067">
            <v>831000</v>
          </cell>
          <cell r="I3067"/>
          <cell r="J3067">
            <v>831000</v>
          </cell>
          <cell r="K3067"/>
          <cell r="L3067">
            <v>831000</v>
          </cell>
          <cell r="M3067"/>
          <cell r="N3067">
            <v>831000</v>
          </cell>
          <cell r="O3067"/>
          <cell r="P3067">
            <v>831000</v>
          </cell>
          <cell r="Q3067"/>
          <cell r="R3067">
            <v>831000</v>
          </cell>
          <cell r="S3067"/>
          <cell r="T3067">
            <v>831000</v>
          </cell>
          <cell r="U3067"/>
          <cell r="V3067">
            <v>831000</v>
          </cell>
          <cell r="W3067"/>
          <cell r="X3067">
            <v>831000</v>
          </cell>
          <cell r="Y3067"/>
          <cell r="Z3067">
            <v>831000</v>
          </cell>
          <cell r="AA3067"/>
          <cell r="AB3067"/>
          <cell r="AC3067"/>
          <cell r="AD3067">
            <v>30.8</v>
          </cell>
          <cell r="AE3067"/>
          <cell r="AF3067"/>
          <cell r="AG3067"/>
          <cell r="AH3067"/>
          <cell r="AI3067"/>
          <cell r="AJ3067"/>
          <cell r="AK3067"/>
          <cell r="AL3067"/>
        </row>
        <row r="3068">
          <cell r="E3068" t="str">
            <v>P1受信機 110L自</v>
          </cell>
          <cell r="F3068" t="str">
            <v>面</v>
          </cell>
          <cell r="G3068"/>
          <cell r="H3068">
            <v>966000</v>
          </cell>
          <cell r="I3068"/>
          <cell r="J3068">
            <v>966000</v>
          </cell>
          <cell r="K3068"/>
          <cell r="L3068">
            <v>966000</v>
          </cell>
          <cell r="M3068"/>
          <cell r="N3068">
            <v>966000</v>
          </cell>
          <cell r="O3068"/>
          <cell r="P3068">
            <v>966000</v>
          </cell>
          <cell r="Q3068"/>
          <cell r="R3068">
            <v>966000</v>
          </cell>
          <cell r="S3068"/>
          <cell r="T3068">
            <v>966000</v>
          </cell>
          <cell r="U3068"/>
          <cell r="V3068">
            <v>966000</v>
          </cell>
          <cell r="W3068"/>
          <cell r="X3068">
            <v>966000</v>
          </cell>
          <cell r="Y3068"/>
          <cell r="Z3068">
            <v>966000</v>
          </cell>
          <cell r="AA3068"/>
          <cell r="AB3068"/>
          <cell r="AC3068"/>
          <cell r="AD3068">
            <v>33.5</v>
          </cell>
          <cell r="AE3068"/>
          <cell r="AF3068"/>
          <cell r="AG3068"/>
          <cell r="AH3068"/>
          <cell r="AI3068"/>
          <cell r="AJ3068"/>
          <cell r="AK3068"/>
          <cell r="AL3068"/>
        </row>
        <row r="3069">
          <cell r="E3069" t="str">
            <v>P1受信機 120L自</v>
          </cell>
          <cell r="F3069" t="str">
            <v>面</v>
          </cell>
          <cell r="G3069"/>
          <cell r="H3069">
            <v>1020000</v>
          </cell>
          <cell r="I3069"/>
          <cell r="J3069">
            <v>1020000</v>
          </cell>
          <cell r="K3069"/>
          <cell r="L3069">
            <v>1020000</v>
          </cell>
          <cell r="M3069"/>
          <cell r="N3069">
            <v>1020000</v>
          </cell>
          <cell r="O3069"/>
          <cell r="P3069">
            <v>1020000</v>
          </cell>
          <cell r="Q3069"/>
          <cell r="R3069">
            <v>1020000</v>
          </cell>
          <cell r="S3069"/>
          <cell r="T3069">
            <v>1020000</v>
          </cell>
          <cell r="U3069"/>
          <cell r="V3069">
            <v>1020000</v>
          </cell>
          <cell r="W3069"/>
          <cell r="X3069">
            <v>1020000</v>
          </cell>
          <cell r="Y3069"/>
          <cell r="Z3069">
            <v>1020000</v>
          </cell>
          <cell r="AA3069"/>
          <cell r="AB3069"/>
          <cell r="AC3069"/>
          <cell r="AD3069">
            <v>36.200000000000003</v>
          </cell>
          <cell r="AE3069"/>
          <cell r="AF3069"/>
          <cell r="AG3069"/>
          <cell r="AH3069"/>
          <cell r="AI3069"/>
          <cell r="AJ3069"/>
          <cell r="AK3069"/>
          <cell r="AL3069"/>
        </row>
        <row r="3070">
          <cell r="E3070" t="str">
            <v>P1受信機 150L自</v>
          </cell>
          <cell r="F3070" t="str">
            <v>面</v>
          </cell>
          <cell r="G3070"/>
          <cell r="H3070">
            <v>1500000</v>
          </cell>
          <cell r="I3070"/>
          <cell r="J3070">
            <v>1500000</v>
          </cell>
          <cell r="K3070"/>
          <cell r="L3070">
            <v>1500000</v>
          </cell>
          <cell r="M3070"/>
          <cell r="N3070">
            <v>1500000</v>
          </cell>
          <cell r="O3070"/>
          <cell r="P3070">
            <v>1500000</v>
          </cell>
          <cell r="Q3070"/>
          <cell r="R3070">
            <v>1500000</v>
          </cell>
          <cell r="S3070"/>
          <cell r="T3070">
            <v>1500000</v>
          </cell>
          <cell r="U3070"/>
          <cell r="V3070">
            <v>1500000</v>
          </cell>
          <cell r="W3070"/>
          <cell r="X3070">
            <v>1500000</v>
          </cell>
          <cell r="Y3070"/>
          <cell r="Z3070">
            <v>1500000</v>
          </cell>
          <cell r="AA3070"/>
          <cell r="AB3070"/>
          <cell r="AC3070"/>
          <cell r="AD3070">
            <v>46</v>
          </cell>
          <cell r="AE3070"/>
          <cell r="AF3070"/>
          <cell r="AG3070"/>
          <cell r="AH3070"/>
          <cell r="AI3070"/>
          <cell r="AJ3070"/>
          <cell r="AK3070"/>
          <cell r="AL3070"/>
        </row>
        <row r="3071">
          <cell r="E3071" t="str">
            <v>P1受信機 200L自</v>
          </cell>
          <cell r="F3071" t="str">
            <v>面</v>
          </cell>
          <cell r="G3071"/>
          <cell r="H3071">
            <v>2100000</v>
          </cell>
          <cell r="I3071"/>
          <cell r="J3071">
            <v>2100000</v>
          </cell>
          <cell r="K3071"/>
          <cell r="L3071">
            <v>2100000</v>
          </cell>
          <cell r="M3071"/>
          <cell r="N3071">
            <v>2100000</v>
          </cell>
          <cell r="O3071"/>
          <cell r="P3071">
            <v>2100000</v>
          </cell>
          <cell r="Q3071"/>
          <cell r="R3071">
            <v>2100000</v>
          </cell>
          <cell r="S3071"/>
          <cell r="T3071">
            <v>2100000</v>
          </cell>
          <cell r="U3071"/>
          <cell r="V3071">
            <v>2100000</v>
          </cell>
          <cell r="W3071"/>
          <cell r="X3071">
            <v>2100000</v>
          </cell>
          <cell r="Y3071"/>
          <cell r="Z3071">
            <v>2100000</v>
          </cell>
          <cell r="AA3071"/>
          <cell r="AB3071"/>
          <cell r="AC3071"/>
          <cell r="AD3071">
            <v>61</v>
          </cell>
          <cell r="AE3071"/>
          <cell r="AF3071"/>
          <cell r="AG3071"/>
          <cell r="AH3071"/>
          <cell r="AI3071"/>
          <cell r="AJ3071"/>
          <cell r="AK3071"/>
          <cell r="AL3071"/>
        </row>
        <row r="3072">
          <cell r="E3072" t="str">
            <v>連動操作盤 3L壁</v>
          </cell>
          <cell r="F3072" t="str">
            <v>面</v>
          </cell>
          <cell r="G3072"/>
          <cell r="H3072">
            <v>103000</v>
          </cell>
          <cell r="I3072"/>
          <cell r="J3072">
            <v>103000</v>
          </cell>
          <cell r="K3072"/>
          <cell r="L3072">
            <v>103000</v>
          </cell>
          <cell r="M3072"/>
          <cell r="N3072">
            <v>103000</v>
          </cell>
          <cell r="O3072"/>
          <cell r="P3072">
            <v>103000</v>
          </cell>
          <cell r="Q3072"/>
          <cell r="R3072">
            <v>103000</v>
          </cell>
          <cell r="S3072"/>
          <cell r="T3072">
            <v>103000</v>
          </cell>
          <cell r="U3072"/>
          <cell r="V3072">
            <v>103000</v>
          </cell>
          <cell r="W3072"/>
          <cell r="X3072">
            <v>103000</v>
          </cell>
          <cell r="Y3072"/>
          <cell r="Z3072">
            <v>103000</v>
          </cell>
          <cell r="AA3072"/>
          <cell r="AB3072"/>
          <cell r="AC3072"/>
          <cell r="AD3072">
            <v>5.04</v>
          </cell>
          <cell r="AE3072"/>
          <cell r="AF3072"/>
          <cell r="AG3072"/>
          <cell r="AH3072"/>
          <cell r="AI3072"/>
          <cell r="AJ3072"/>
          <cell r="AK3072"/>
          <cell r="AL3072"/>
        </row>
        <row r="3073">
          <cell r="E3073" t="str">
            <v>連動操作盤 5L壁</v>
          </cell>
          <cell r="F3073" t="str">
            <v>面</v>
          </cell>
          <cell r="G3073"/>
          <cell r="H3073">
            <v>113000</v>
          </cell>
          <cell r="I3073"/>
          <cell r="J3073">
            <v>113000</v>
          </cell>
          <cell r="K3073"/>
          <cell r="L3073">
            <v>113000</v>
          </cell>
          <cell r="M3073"/>
          <cell r="N3073">
            <v>113000</v>
          </cell>
          <cell r="O3073"/>
          <cell r="P3073">
            <v>113000</v>
          </cell>
          <cell r="Q3073"/>
          <cell r="R3073">
            <v>113000</v>
          </cell>
          <cell r="S3073"/>
          <cell r="T3073">
            <v>113000</v>
          </cell>
          <cell r="U3073"/>
          <cell r="V3073">
            <v>113000</v>
          </cell>
          <cell r="W3073"/>
          <cell r="X3073">
            <v>113000</v>
          </cell>
          <cell r="Y3073"/>
          <cell r="Z3073">
            <v>113000</v>
          </cell>
          <cell r="AA3073"/>
          <cell r="AB3073"/>
          <cell r="AC3073"/>
          <cell r="AD3073">
            <v>5.31</v>
          </cell>
          <cell r="AE3073"/>
          <cell r="AF3073"/>
          <cell r="AG3073"/>
          <cell r="AH3073"/>
          <cell r="AI3073"/>
          <cell r="AJ3073"/>
          <cell r="AK3073"/>
          <cell r="AL3073"/>
        </row>
        <row r="3074">
          <cell r="E3074" t="str">
            <v>連動操作盤 10L壁</v>
          </cell>
          <cell r="F3074" t="str">
            <v>面</v>
          </cell>
          <cell r="G3074"/>
          <cell r="H3074">
            <v>173000</v>
          </cell>
          <cell r="I3074"/>
          <cell r="J3074">
            <v>173000</v>
          </cell>
          <cell r="K3074"/>
          <cell r="L3074">
            <v>173000</v>
          </cell>
          <cell r="M3074"/>
          <cell r="N3074">
            <v>173000</v>
          </cell>
          <cell r="O3074"/>
          <cell r="P3074">
            <v>173000</v>
          </cell>
          <cell r="Q3074"/>
          <cell r="R3074">
            <v>173000</v>
          </cell>
          <cell r="S3074"/>
          <cell r="T3074">
            <v>173000</v>
          </cell>
          <cell r="U3074"/>
          <cell r="V3074">
            <v>173000</v>
          </cell>
          <cell r="W3074"/>
          <cell r="X3074">
            <v>173000</v>
          </cell>
          <cell r="Y3074"/>
          <cell r="Z3074">
            <v>173000</v>
          </cell>
          <cell r="AA3074"/>
          <cell r="AB3074"/>
          <cell r="AC3074"/>
          <cell r="AD3074">
            <v>6.64</v>
          </cell>
          <cell r="AE3074"/>
          <cell r="AF3074"/>
          <cell r="AG3074"/>
          <cell r="AH3074"/>
          <cell r="AI3074"/>
          <cell r="AJ3074"/>
          <cell r="AK3074"/>
          <cell r="AL3074"/>
        </row>
        <row r="3075">
          <cell r="E3075" t="str">
            <v>連動操作盤 15L壁</v>
          </cell>
          <cell r="F3075" t="str">
            <v>面</v>
          </cell>
          <cell r="G3075"/>
          <cell r="H3075">
            <v>202000</v>
          </cell>
          <cell r="I3075"/>
          <cell r="J3075">
            <v>202000</v>
          </cell>
          <cell r="K3075"/>
          <cell r="L3075">
            <v>202000</v>
          </cell>
          <cell r="M3075"/>
          <cell r="N3075">
            <v>202000</v>
          </cell>
          <cell r="O3075"/>
          <cell r="P3075">
            <v>202000</v>
          </cell>
          <cell r="Q3075"/>
          <cell r="R3075">
            <v>202000</v>
          </cell>
          <cell r="S3075"/>
          <cell r="T3075">
            <v>202000</v>
          </cell>
          <cell r="U3075"/>
          <cell r="V3075">
            <v>202000</v>
          </cell>
          <cell r="W3075"/>
          <cell r="X3075">
            <v>202000</v>
          </cell>
          <cell r="Y3075"/>
          <cell r="Z3075">
            <v>202000</v>
          </cell>
          <cell r="AA3075"/>
          <cell r="AB3075"/>
          <cell r="AC3075"/>
          <cell r="AD3075">
            <v>7.96</v>
          </cell>
          <cell r="AE3075"/>
          <cell r="AF3075"/>
          <cell r="AG3075"/>
          <cell r="AH3075"/>
          <cell r="AI3075"/>
          <cell r="AJ3075"/>
          <cell r="AK3075"/>
          <cell r="AL3075"/>
        </row>
        <row r="3076">
          <cell r="E3076" t="str">
            <v>連動操作盤 20L壁</v>
          </cell>
          <cell r="F3076" t="str">
            <v>面</v>
          </cell>
          <cell r="G3076"/>
          <cell r="H3076">
            <v>230000</v>
          </cell>
          <cell r="I3076"/>
          <cell r="J3076">
            <v>230000</v>
          </cell>
          <cell r="K3076"/>
          <cell r="L3076">
            <v>230000</v>
          </cell>
          <cell r="M3076"/>
          <cell r="N3076">
            <v>230000</v>
          </cell>
          <cell r="O3076"/>
          <cell r="P3076">
            <v>230000</v>
          </cell>
          <cell r="Q3076"/>
          <cell r="R3076">
            <v>230000</v>
          </cell>
          <cell r="S3076"/>
          <cell r="T3076">
            <v>230000</v>
          </cell>
          <cell r="U3076"/>
          <cell r="V3076">
            <v>230000</v>
          </cell>
          <cell r="W3076"/>
          <cell r="X3076">
            <v>230000</v>
          </cell>
          <cell r="Y3076"/>
          <cell r="Z3076">
            <v>230000</v>
          </cell>
          <cell r="AA3076"/>
          <cell r="AB3076"/>
          <cell r="AC3076"/>
          <cell r="AD3076">
            <v>9.2899999999999991</v>
          </cell>
          <cell r="AE3076"/>
          <cell r="AF3076"/>
          <cell r="AG3076"/>
          <cell r="AH3076"/>
          <cell r="AI3076"/>
          <cell r="AJ3076"/>
          <cell r="AK3076"/>
          <cell r="AL3076"/>
        </row>
        <row r="3077">
          <cell r="E3077" t="str">
            <v>連動操作盤 25L壁</v>
          </cell>
          <cell r="F3077" t="str">
            <v>面</v>
          </cell>
          <cell r="G3077"/>
          <cell r="H3077">
            <v>259000</v>
          </cell>
          <cell r="I3077"/>
          <cell r="J3077">
            <v>259000</v>
          </cell>
          <cell r="K3077"/>
          <cell r="L3077">
            <v>259000</v>
          </cell>
          <cell r="M3077"/>
          <cell r="N3077">
            <v>259000</v>
          </cell>
          <cell r="O3077"/>
          <cell r="P3077">
            <v>259000</v>
          </cell>
          <cell r="Q3077"/>
          <cell r="R3077">
            <v>259000</v>
          </cell>
          <cell r="S3077"/>
          <cell r="T3077">
            <v>259000</v>
          </cell>
          <cell r="U3077"/>
          <cell r="V3077">
            <v>259000</v>
          </cell>
          <cell r="W3077"/>
          <cell r="X3077">
            <v>259000</v>
          </cell>
          <cell r="Y3077"/>
          <cell r="Z3077">
            <v>259000</v>
          </cell>
          <cell r="AA3077"/>
          <cell r="AB3077"/>
          <cell r="AC3077"/>
          <cell r="AD3077">
            <v>10.6</v>
          </cell>
          <cell r="AE3077"/>
          <cell r="AF3077"/>
          <cell r="AG3077"/>
          <cell r="AH3077"/>
          <cell r="AI3077"/>
          <cell r="AJ3077"/>
          <cell r="AK3077"/>
          <cell r="AL3077"/>
        </row>
        <row r="3078">
          <cell r="E3078" t="str">
            <v>連動操作盤 30L壁</v>
          </cell>
          <cell r="F3078" t="str">
            <v>面</v>
          </cell>
          <cell r="G3078"/>
          <cell r="H3078">
            <v>287000</v>
          </cell>
          <cell r="I3078"/>
          <cell r="J3078">
            <v>287000</v>
          </cell>
          <cell r="K3078"/>
          <cell r="L3078">
            <v>287000</v>
          </cell>
          <cell r="M3078"/>
          <cell r="N3078">
            <v>287000</v>
          </cell>
          <cell r="O3078"/>
          <cell r="P3078">
            <v>287000</v>
          </cell>
          <cell r="Q3078"/>
          <cell r="R3078">
            <v>287000</v>
          </cell>
          <cell r="S3078"/>
          <cell r="T3078">
            <v>287000</v>
          </cell>
          <cell r="U3078"/>
          <cell r="V3078">
            <v>287000</v>
          </cell>
          <cell r="W3078"/>
          <cell r="X3078">
            <v>287000</v>
          </cell>
          <cell r="Y3078"/>
          <cell r="Z3078">
            <v>287000</v>
          </cell>
          <cell r="AA3078"/>
          <cell r="AB3078"/>
          <cell r="AC3078"/>
          <cell r="AD3078">
            <v>11.9</v>
          </cell>
          <cell r="AE3078"/>
          <cell r="AF3078"/>
          <cell r="AG3078"/>
          <cell r="AH3078"/>
          <cell r="AI3078"/>
          <cell r="AJ3078"/>
          <cell r="AK3078"/>
          <cell r="AL3078"/>
        </row>
        <row r="3079">
          <cell r="E3079" t="str">
            <v>連動操作盤 35L壁</v>
          </cell>
          <cell r="F3079" t="str">
            <v>面</v>
          </cell>
          <cell r="G3079"/>
          <cell r="H3079">
            <v>315000</v>
          </cell>
          <cell r="I3079"/>
          <cell r="J3079">
            <v>315000</v>
          </cell>
          <cell r="K3079"/>
          <cell r="L3079">
            <v>315000</v>
          </cell>
          <cell r="M3079"/>
          <cell r="N3079">
            <v>315000</v>
          </cell>
          <cell r="O3079"/>
          <cell r="P3079">
            <v>315000</v>
          </cell>
          <cell r="Q3079"/>
          <cell r="R3079">
            <v>315000</v>
          </cell>
          <cell r="S3079"/>
          <cell r="T3079">
            <v>315000</v>
          </cell>
          <cell r="U3079"/>
          <cell r="V3079">
            <v>315000</v>
          </cell>
          <cell r="W3079"/>
          <cell r="X3079">
            <v>315000</v>
          </cell>
          <cell r="Y3079"/>
          <cell r="Z3079">
            <v>315000</v>
          </cell>
          <cell r="AA3079"/>
          <cell r="AB3079"/>
          <cell r="AC3079"/>
          <cell r="AD3079">
            <v>13.3</v>
          </cell>
          <cell r="AE3079"/>
          <cell r="AF3079"/>
          <cell r="AG3079"/>
          <cell r="AH3079"/>
          <cell r="AI3079"/>
          <cell r="AJ3079"/>
          <cell r="AK3079"/>
          <cell r="AL3079"/>
        </row>
        <row r="3080">
          <cell r="E3080" t="str">
            <v>連動操作盤 40L壁</v>
          </cell>
          <cell r="F3080" t="str">
            <v>面</v>
          </cell>
          <cell r="G3080"/>
          <cell r="H3080">
            <v>344000</v>
          </cell>
          <cell r="I3080"/>
          <cell r="J3080">
            <v>344000</v>
          </cell>
          <cell r="K3080"/>
          <cell r="L3080">
            <v>344000</v>
          </cell>
          <cell r="M3080"/>
          <cell r="N3080">
            <v>344000</v>
          </cell>
          <cell r="O3080"/>
          <cell r="P3080">
            <v>344000</v>
          </cell>
          <cell r="Q3080"/>
          <cell r="R3080">
            <v>344000</v>
          </cell>
          <cell r="S3080"/>
          <cell r="T3080">
            <v>344000</v>
          </cell>
          <cell r="U3080"/>
          <cell r="V3080">
            <v>344000</v>
          </cell>
          <cell r="W3080"/>
          <cell r="X3080">
            <v>344000</v>
          </cell>
          <cell r="Y3080"/>
          <cell r="Z3080">
            <v>344000</v>
          </cell>
          <cell r="AA3080"/>
          <cell r="AB3080"/>
          <cell r="AC3080"/>
          <cell r="AD3080">
            <v>14.6</v>
          </cell>
          <cell r="AE3080"/>
          <cell r="AF3080"/>
          <cell r="AG3080"/>
          <cell r="AH3080"/>
          <cell r="AI3080"/>
          <cell r="AJ3080"/>
          <cell r="AK3080"/>
          <cell r="AL3080"/>
        </row>
        <row r="3081">
          <cell r="E3081" t="str">
            <v>連動操作盤 40L自</v>
          </cell>
          <cell r="F3081" t="str">
            <v>面</v>
          </cell>
          <cell r="G3081"/>
          <cell r="H3081">
            <v>612000</v>
          </cell>
          <cell r="I3081"/>
          <cell r="J3081">
            <v>612000</v>
          </cell>
          <cell r="K3081"/>
          <cell r="L3081">
            <v>612000</v>
          </cell>
          <cell r="M3081"/>
          <cell r="N3081">
            <v>612000</v>
          </cell>
          <cell r="O3081"/>
          <cell r="P3081">
            <v>612000</v>
          </cell>
          <cell r="Q3081"/>
          <cell r="R3081">
            <v>612000</v>
          </cell>
          <cell r="S3081"/>
          <cell r="T3081">
            <v>612000</v>
          </cell>
          <cell r="U3081"/>
          <cell r="V3081">
            <v>612000</v>
          </cell>
          <cell r="W3081"/>
          <cell r="X3081">
            <v>612000</v>
          </cell>
          <cell r="Y3081"/>
          <cell r="Z3081">
            <v>612000</v>
          </cell>
          <cell r="AA3081"/>
          <cell r="AB3081"/>
          <cell r="AC3081"/>
          <cell r="AD3081">
            <v>14.6</v>
          </cell>
          <cell r="AE3081"/>
          <cell r="AF3081"/>
          <cell r="AG3081"/>
          <cell r="AH3081"/>
          <cell r="AI3081"/>
          <cell r="AJ3081"/>
          <cell r="AK3081"/>
          <cell r="AL3081"/>
        </row>
        <row r="3082">
          <cell r="E3082" t="str">
            <v>連動操作盤 50L自</v>
          </cell>
          <cell r="F3082" t="str">
            <v>面</v>
          </cell>
          <cell r="G3082"/>
          <cell r="H3082">
            <v>680000</v>
          </cell>
          <cell r="I3082"/>
          <cell r="J3082">
            <v>680000</v>
          </cell>
          <cell r="K3082"/>
          <cell r="L3082">
            <v>680000</v>
          </cell>
          <cell r="M3082"/>
          <cell r="N3082">
            <v>680000</v>
          </cell>
          <cell r="O3082"/>
          <cell r="P3082">
            <v>680000</v>
          </cell>
          <cell r="Q3082"/>
          <cell r="R3082">
            <v>680000</v>
          </cell>
          <cell r="S3082"/>
          <cell r="T3082">
            <v>680000</v>
          </cell>
          <cell r="U3082"/>
          <cell r="V3082">
            <v>680000</v>
          </cell>
          <cell r="W3082"/>
          <cell r="X3082">
            <v>680000</v>
          </cell>
          <cell r="Y3082"/>
          <cell r="Z3082">
            <v>680000</v>
          </cell>
          <cell r="AA3082"/>
          <cell r="AB3082"/>
          <cell r="AC3082"/>
          <cell r="AD3082">
            <v>17.3</v>
          </cell>
          <cell r="AE3082"/>
          <cell r="AF3082"/>
          <cell r="AG3082"/>
          <cell r="AH3082"/>
          <cell r="AI3082"/>
          <cell r="AJ3082"/>
          <cell r="AK3082"/>
          <cell r="AL3082"/>
        </row>
        <row r="3083">
          <cell r="E3083" t="str">
            <v>連動操作盤 60L自</v>
          </cell>
          <cell r="F3083" t="str">
            <v>面</v>
          </cell>
          <cell r="G3083"/>
          <cell r="H3083">
            <v>748000</v>
          </cell>
          <cell r="I3083"/>
          <cell r="J3083">
            <v>748000</v>
          </cell>
          <cell r="K3083"/>
          <cell r="L3083">
            <v>748000</v>
          </cell>
          <cell r="M3083"/>
          <cell r="N3083">
            <v>748000</v>
          </cell>
          <cell r="O3083"/>
          <cell r="P3083">
            <v>748000</v>
          </cell>
          <cell r="Q3083"/>
          <cell r="R3083">
            <v>748000</v>
          </cell>
          <cell r="S3083"/>
          <cell r="T3083">
            <v>748000</v>
          </cell>
          <cell r="U3083"/>
          <cell r="V3083">
            <v>748000</v>
          </cell>
          <cell r="W3083"/>
          <cell r="X3083">
            <v>748000</v>
          </cell>
          <cell r="Y3083"/>
          <cell r="Z3083">
            <v>748000</v>
          </cell>
          <cell r="AA3083"/>
          <cell r="AB3083"/>
          <cell r="AC3083"/>
          <cell r="AD3083">
            <v>20.000000000000004</v>
          </cell>
          <cell r="AE3083"/>
          <cell r="AF3083"/>
          <cell r="AG3083"/>
          <cell r="AH3083"/>
          <cell r="AI3083"/>
          <cell r="AJ3083"/>
          <cell r="AK3083"/>
          <cell r="AL3083"/>
        </row>
        <row r="3084">
          <cell r="E3084" t="str">
            <v>連動操作盤 70L自</v>
          </cell>
          <cell r="F3084" t="str">
            <v>面</v>
          </cell>
          <cell r="G3084"/>
          <cell r="H3084">
            <v>816000</v>
          </cell>
          <cell r="I3084"/>
          <cell r="J3084">
            <v>816000</v>
          </cell>
          <cell r="K3084"/>
          <cell r="L3084">
            <v>816000</v>
          </cell>
          <cell r="M3084"/>
          <cell r="N3084">
            <v>816000</v>
          </cell>
          <cell r="O3084"/>
          <cell r="P3084">
            <v>816000</v>
          </cell>
          <cell r="Q3084"/>
          <cell r="R3084">
            <v>816000</v>
          </cell>
          <cell r="S3084"/>
          <cell r="T3084">
            <v>816000</v>
          </cell>
          <cell r="U3084"/>
          <cell r="V3084">
            <v>816000</v>
          </cell>
          <cell r="W3084"/>
          <cell r="X3084">
            <v>816000</v>
          </cell>
          <cell r="Y3084"/>
          <cell r="Z3084">
            <v>816000</v>
          </cell>
          <cell r="AA3084"/>
          <cell r="AB3084"/>
          <cell r="AC3084"/>
          <cell r="AD3084">
            <v>22.700000000000003</v>
          </cell>
          <cell r="AE3084"/>
          <cell r="AF3084"/>
          <cell r="AG3084"/>
          <cell r="AH3084"/>
          <cell r="AI3084"/>
          <cell r="AJ3084"/>
          <cell r="AK3084"/>
          <cell r="AL3084"/>
        </row>
        <row r="3085">
          <cell r="E3085" t="str">
            <v>連動操作盤 80L自</v>
          </cell>
          <cell r="F3085" t="str">
            <v>面</v>
          </cell>
          <cell r="G3085"/>
          <cell r="H3085">
            <v>884000</v>
          </cell>
          <cell r="I3085"/>
          <cell r="J3085">
            <v>884000</v>
          </cell>
          <cell r="K3085"/>
          <cell r="L3085">
            <v>884000</v>
          </cell>
          <cell r="M3085"/>
          <cell r="N3085">
            <v>884000</v>
          </cell>
          <cell r="O3085"/>
          <cell r="P3085">
            <v>884000</v>
          </cell>
          <cell r="Q3085"/>
          <cell r="R3085">
            <v>884000</v>
          </cell>
          <cell r="S3085"/>
          <cell r="T3085">
            <v>884000</v>
          </cell>
          <cell r="U3085"/>
          <cell r="V3085">
            <v>884000</v>
          </cell>
          <cell r="W3085"/>
          <cell r="X3085">
            <v>884000</v>
          </cell>
          <cell r="Y3085"/>
          <cell r="Z3085">
            <v>884000</v>
          </cell>
          <cell r="AA3085"/>
          <cell r="AB3085"/>
          <cell r="AC3085"/>
          <cell r="AD3085">
            <v>25.400000000000002</v>
          </cell>
          <cell r="AE3085"/>
          <cell r="AF3085"/>
          <cell r="AG3085"/>
          <cell r="AH3085"/>
          <cell r="AI3085"/>
          <cell r="AJ3085"/>
          <cell r="AK3085"/>
          <cell r="AL3085"/>
        </row>
        <row r="3086">
          <cell r="E3086" t="str">
            <v>連動操作盤 90L自</v>
          </cell>
          <cell r="F3086" t="str">
            <v>面</v>
          </cell>
          <cell r="G3086"/>
          <cell r="H3086">
            <v>952000</v>
          </cell>
          <cell r="I3086"/>
          <cell r="J3086">
            <v>952000</v>
          </cell>
          <cell r="K3086"/>
          <cell r="L3086">
            <v>952000</v>
          </cell>
          <cell r="M3086"/>
          <cell r="N3086">
            <v>952000</v>
          </cell>
          <cell r="O3086"/>
          <cell r="P3086">
            <v>952000</v>
          </cell>
          <cell r="Q3086"/>
          <cell r="R3086">
            <v>952000</v>
          </cell>
          <cell r="S3086"/>
          <cell r="T3086">
            <v>952000</v>
          </cell>
          <cell r="U3086"/>
          <cell r="V3086">
            <v>952000</v>
          </cell>
          <cell r="W3086"/>
          <cell r="X3086">
            <v>952000</v>
          </cell>
          <cell r="Y3086"/>
          <cell r="Z3086">
            <v>952000</v>
          </cell>
          <cell r="AA3086"/>
          <cell r="AB3086"/>
          <cell r="AC3086"/>
          <cell r="AD3086">
            <v>28.1</v>
          </cell>
          <cell r="AE3086"/>
          <cell r="AF3086"/>
          <cell r="AG3086"/>
          <cell r="AH3086"/>
          <cell r="AI3086"/>
          <cell r="AJ3086"/>
          <cell r="AK3086"/>
          <cell r="AL3086"/>
        </row>
        <row r="3087">
          <cell r="E3087" t="str">
            <v>連動操作盤 100L自</v>
          </cell>
          <cell r="F3087" t="str">
            <v>面</v>
          </cell>
          <cell r="G3087"/>
          <cell r="H3087">
            <v>1020000</v>
          </cell>
          <cell r="I3087"/>
          <cell r="J3087">
            <v>1020000</v>
          </cell>
          <cell r="K3087"/>
          <cell r="L3087">
            <v>1020000</v>
          </cell>
          <cell r="M3087"/>
          <cell r="N3087">
            <v>1020000</v>
          </cell>
          <cell r="O3087"/>
          <cell r="P3087">
            <v>1020000</v>
          </cell>
          <cell r="Q3087"/>
          <cell r="R3087">
            <v>1020000</v>
          </cell>
          <cell r="S3087"/>
          <cell r="T3087">
            <v>1020000</v>
          </cell>
          <cell r="U3087"/>
          <cell r="V3087">
            <v>1020000</v>
          </cell>
          <cell r="W3087"/>
          <cell r="X3087">
            <v>1020000</v>
          </cell>
          <cell r="Y3087"/>
          <cell r="Z3087">
            <v>1020000</v>
          </cell>
          <cell r="AA3087"/>
          <cell r="AB3087"/>
          <cell r="AC3087"/>
          <cell r="AD3087">
            <v>30.8</v>
          </cell>
          <cell r="AE3087"/>
          <cell r="AF3087"/>
          <cell r="AG3087"/>
          <cell r="AH3087"/>
          <cell r="AI3087"/>
          <cell r="AJ3087"/>
          <cell r="AK3087"/>
          <cell r="AL3087"/>
        </row>
        <row r="3088">
          <cell r="E3088" t="str">
            <v>連動操作盤 120L自</v>
          </cell>
          <cell r="F3088" t="str">
            <v>面</v>
          </cell>
          <cell r="G3088"/>
          <cell r="H3088">
            <v>1156000</v>
          </cell>
          <cell r="I3088"/>
          <cell r="J3088">
            <v>1156000</v>
          </cell>
          <cell r="K3088"/>
          <cell r="L3088">
            <v>1156000</v>
          </cell>
          <cell r="M3088"/>
          <cell r="N3088">
            <v>1156000</v>
          </cell>
          <cell r="O3088"/>
          <cell r="P3088">
            <v>1156000</v>
          </cell>
          <cell r="Q3088"/>
          <cell r="R3088">
            <v>1156000</v>
          </cell>
          <cell r="S3088"/>
          <cell r="T3088">
            <v>1156000</v>
          </cell>
          <cell r="U3088"/>
          <cell r="V3088">
            <v>1156000</v>
          </cell>
          <cell r="W3088"/>
          <cell r="X3088">
            <v>1156000</v>
          </cell>
          <cell r="Y3088"/>
          <cell r="Z3088">
            <v>1156000</v>
          </cell>
          <cell r="AA3088"/>
          <cell r="AB3088"/>
          <cell r="AC3088"/>
          <cell r="AD3088">
            <v>36.200000000000003</v>
          </cell>
          <cell r="AE3088"/>
          <cell r="AF3088"/>
          <cell r="AG3088"/>
          <cell r="AH3088"/>
          <cell r="AI3088"/>
          <cell r="AJ3088"/>
          <cell r="AK3088"/>
          <cell r="AL3088"/>
        </row>
        <row r="3089">
          <cell r="E3089" t="str">
            <v>連動操作盤 140L自</v>
          </cell>
          <cell r="F3089" t="str">
            <v>面</v>
          </cell>
          <cell r="G3089"/>
          <cell r="H3089">
            <v>1292000</v>
          </cell>
          <cell r="I3089"/>
          <cell r="J3089">
            <v>1292000</v>
          </cell>
          <cell r="K3089"/>
          <cell r="L3089">
            <v>1292000</v>
          </cell>
          <cell r="M3089"/>
          <cell r="N3089">
            <v>1292000</v>
          </cell>
          <cell r="O3089"/>
          <cell r="P3089">
            <v>1292000</v>
          </cell>
          <cell r="Q3089"/>
          <cell r="R3089">
            <v>1292000</v>
          </cell>
          <cell r="S3089"/>
          <cell r="T3089">
            <v>1292000</v>
          </cell>
          <cell r="U3089"/>
          <cell r="V3089">
            <v>1292000</v>
          </cell>
          <cell r="W3089"/>
          <cell r="X3089">
            <v>1292000</v>
          </cell>
          <cell r="Y3089"/>
          <cell r="Z3089">
            <v>1292000</v>
          </cell>
          <cell r="AA3089"/>
          <cell r="AB3089"/>
          <cell r="AC3089"/>
          <cell r="AD3089">
            <v>41.6</v>
          </cell>
          <cell r="AE3089"/>
          <cell r="AF3089"/>
          <cell r="AG3089"/>
          <cell r="AH3089"/>
          <cell r="AI3089"/>
          <cell r="AJ3089"/>
          <cell r="AK3089"/>
          <cell r="AL3089"/>
        </row>
        <row r="3090">
          <cell r="E3090" t="str">
            <v>連動操作盤 160L自</v>
          </cell>
          <cell r="F3090" t="str">
            <v>面</v>
          </cell>
          <cell r="G3090"/>
          <cell r="H3090">
            <v>1428000</v>
          </cell>
          <cell r="I3090"/>
          <cell r="J3090">
            <v>1428000</v>
          </cell>
          <cell r="K3090"/>
          <cell r="L3090">
            <v>1428000</v>
          </cell>
          <cell r="M3090"/>
          <cell r="N3090">
            <v>1428000</v>
          </cell>
          <cell r="O3090"/>
          <cell r="P3090">
            <v>1428000</v>
          </cell>
          <cell r="Q3090"/>
          <cell r="R3090">
            <v>1428000</v>
          </cell>
          <cell r="S3090"/>
          <cell r="T3090">
            <v>1428000</v>
          </cell>
          <cell r="U3090"/>
          <cell r="V3090">
            <v>1428000</v>
          </cell>
          <cell r="W3090"/>
          <cell r="X3090">
            <v>1428000</v>
          </cell>
          <cell r="Y3090"/>
          <cell r="Z3090">
            <v>1428000</v>
          </cell>
          <cell r="AA3090"/>
          <cell r="AB3090"/>
          <cell r="AC3090"/>
          <cell r="AD3090">
            <v>47</v>
          </cell>
          <cell r="AE3090"/>
          <cell r="AF3090"/>
          <cell r="AG3090"/>
          <cell r="AH3090"/>
          <cell r="AI3090"/>
          <cell r="AJ3090"/>
          <cell r="AK3090"/>
          <cell r="AL3090"/>
        </row>
        <row r="3091">
          <cell r="E3091" t="str">
            <v>連動操作盤 180L自</v>
          </cell>
          <cell r="F3091" t="str">
            <v>面</v>
          </cell>
          <cell r="G3091"/>
          <cell r="H3091">
            <v>1564000</v>
          </cell>
          <cell r="I3091"/>
          <cell r="J3091">
            <v>1564000</v>
          </cell>
          <cell r="K3091"/>
          <cell r="L3091">
            <v>1564000</v>
          </cell>
          <cell r="M3091"/>
          <cell r="N3091">
            <v>1564000</v>
          </cell>
          <cell r="O3091"/>
          <cell r="P3091">
            <v>1564000</v>
          </cell>
          <cell r="Q3091"/>
          <cell r="R3091">
            <v>1564000</v>
          </cell>
          <cell r="S3091"/>
          <cell r="T3091">
            <v>1564000</v>
          </cell>
          <cell r="U3091"/>
          <cell r="V3091">
            <v>1564000</v>
          </cell>
          <cell r="W3091"/>
          <cell r="X3091">
            <v>1564000</v>
          </cell>
          <cell r="Y3091"/>
          <cell r="Z3091">
            <v>1564000</v>
          </cell>
          <cell r="AA3091"/>
          <cell r="AB3091"/>
          <cell r="AC3091"/>
          <cell r="AD3091">
            <v>52.4</v>
          </cell>
          <cell r="AE3091"/>
          <cell r="AF3091"/>
          <cell r="AG3091"/>
          <cell r="AH3091"/>
          <cell r="AI3091"/>
          <cell r="AJ3091"/>
          <cell r="AK3091"/>
          <cell r="AL3091"/>
        </row>
        <row r="3092">
          <cell r="E3092" t="str">
            <v>P1複合型受信機 5L+5L壁</v>
          </cell>
          <cell r="F3092" t="str">
            <v>面</v>
          </cell>
          <cell r="G3092"/>
          <cell r="H3092">
            <v>234000</v>
          </cell>
          <cell r="I3092"/>
          <cell r="J3092">
            <v>234000</v>
          </cell>
          <cell r="K3092"/>
          <cell r="L3092">
            <v>234000</v>
          </cell>
          <cell r="M3092"/>
          <cell r="N3092">
            <v>234000</v>
          </cell>
          <cell r="O3092"/>
          <cell r="P3092">
            <v>234000</v>
          </cell>
          <cell r="Q3092"/>
          <cell r="R3092">
            <v>234000</v>
          </cell>
          <cell r="S3092"/>
          <cell r="T3092">
            <v>234000</v>
          </cell>
          <cell r="U3092"/>
          <cell r="V3092">
            <v>234000</v>
          </cell>
          <cell r="W3092"/>
          <cell r="X3092">
            <v>234000</v>
          </cell>
          <cell r="Y3092"/>
          <cell r="Z3092">
            <v>234000</v>
          </cell>
          <cell r="AA3092"/>
          <cell r="AB3092"/>
          <cell r="AC3092"/>
          <cell r="AD3092">
            <v>6.64</v>
          </cell>
          <cell r="AE3092"/>
          <cell r="AF3092"/>
          <cell r="AG3092"/>
          <cell r="AH3092"/>
          <cell r="AI3092"/>
          <cell r="AJ3092"/>
          <cell r="AK3092"/>
          <cell r="AL3092"/>
        </row>
        <row r="3093">
          <cell r="E3093" t="str">
            <v>P1複合型受信機 10L+5L壁</v>
          </cell>
          <cell r="F3093" t="str">
            <v>面</v>
          </cell>
          <cell r="G3093"/>
          <cell r="H3093">
            <v>255000</v>
          </cell>
          <cell r="I3093"/>
          <cell r="J3093">
            <v>255000</v>
          </cell>
          <cell r="K3093"/>
          <cell r="L3093">
            <v>255000</v>
          </cell>
          <cell r="M3093"/>
          <cell r="N3093">
            <v>255000</v>
          </cell>
          <cell r="O3093"/>
          <cell r="P3093">
            <v>255000</v>
          </cell>
          <cell r="Q3093"/>
          <cell r="R3093">
            <v>255000</v>
          </cell>
          <cell r="S3093"/>
          <cell r="T3093">
            <v>255000</v>
          </cell>
          <cell r="U3093"/>
          <cell r="V3093">
            <v>255000</v>
          </cell>
          <cell r="W3093"/>
          <cell r="X3093">
            <v>255000</v>
          </cell>
          <cell r="Y3093"/>
          <cell r="Z3093">
            <v>255000</v>
          </cell>
          <cell r="AA3093"/>
          <cell r="AB3093"/>
          <cell r="AC3093"/>
          <cell r="AD3093">
            <v>7.96</v>
          </cell>
          <cell r="AE3093"/>
          <cell r="AF3093"/>
          <cell r="AG3093"/>
          <cell r="AH3093"/>
          <cell r="AI3093"/>
          <cell r="AJ3093"/>
          <cell r="AK3093"/>
          <cell r="AL3093"/>
        </row>
        <row r="3094">
          <cell r="E3094" t="str">
            <v>P1複合型受信機 10L+10L壁</v>
          </cell>
          <cell r="F3094" t="str">
            <v>面</v>
          </cell>
          <cell r="G3094"/>
          <cell r="H3094">
            <v>276000</v>
          </cell>
          <cell r="I3094"/>
          <cell r="J3094">
            <v>276000</v>
          </cell>
          <cell r="K3094"/>
          <cell r="L3094">
            <v>276000</v>
          </cell>
          <cell r="M3094"/>
          <cell r="N3094">
            <v>276000</v>
          </cell>
          <cell r="O3094"/>
          <cell r="P3094">
            <v>276000</v>
          </cell>
          <cell r="Q3094"/>
          <cell r="R3094">
            <v>276000</v>
          </cell>
          <cell r="S3094"/>
          <cell r="T3094">
            <v>276000</v>
          </cell>
          <cell r="U3094"/>
          <cell r="V3094">
            <v>276000</v>
          </cell>
          <cell r="W3094"/>
          <cell r="X3094">
            <v>276000</v>
          </cell>
          <cell r="Y3094"/>
          <cell r="Z3094">
            <v>276000</v>
          </cell>
          <cell r="AA3094"/>
          <cell r="AB3094"/>
          <cell r="AC3094"/>
          <cell r="AD3094">
            <v>9.2899999999999991</v>
          </cell>
          <cell r="AE3094"/>
          <cell r="AF3094"/>
          <cell r="AG3094"/>
          <cell r="AH3094"/>
          <cell r="AI3094"/>
          <cell r="AJ3094"/>
          <cell r="AK3094"/>
          <cell r="AL3094"/>
        </row>
        <row r="3095">
          <cell r="E3095" t="str">
            <v>P1複合型受信機 15L+10L壁</v>
          </cell>
          <cell r="F3095" t="str">
            <v>面</v>
          </cell>
          <cell r="G3095"/>
          <cell r="H3095">
            <v>294000</v>
          </cell>
          <cell r="I3095"/>
          <cell r="J3095">
            <v>294000</v>
          </cell>
          <cell r="K3095"/>
          <cell r="L3095">
            <v>294000</v>
          </cell>
          <cell r="M3095"/>
          <cell r="N3095">
            <v>294000</v>
          </cell>
          <cell r="O3095"/>
          <cell r="P3095">
            <v>294000</v>
          </cell>
          <cell r="Q3095"/>
          <cell r="R3095">
            <v>294000</v>
          </cell>
          <cell r="S3095"/>
          <cell r="T3095">
            <v>294000</v>
          </cell>
          <cell r="U3095"/>
          <cell r="V3095">
            <v>294000</v>
          </cell>
          <cell r="W3095"/>
          <cell r="X3095">
            <v>294000</v>
          </cell>
          <cell r="Y3095"/>
          <cell r="Z3095">
            <v>294000</v>
          </cell>
          <cell r="AA3095"/>
          <cell r="AB3095"/>
          <cell r="AC3095"/>
          <cell r="AD3095">
            <v>10.6</v>
          </cell>
          <cell r="AE3095"/>
          <cell r="AF3095"/>
          <cell r="AG3095"/>
          <cell r="AH3095"/>
          <cell r="AI3095"/>
          <cell r="AJ3095"/>
          <cell r="AK3095"/>
          <cell r="AL3095"/>
        </row>
        <row r="3096">
          <cell r="E3096" t="str">
            <v>P1複合型受信機 15L+15L壁</v>
          </cell>
          <cell r="F3096" t="str">
            <v>面</v>
          </cell>
          <cell r="G3096"/>
          <cell r="H3096">
            <v>322000</v>
          </cell>
          <cell r="I3096"/>
          <cell r="J3096">
            <v>322000</v>
          </cell>
          <cell r="K3096"/>
          <cell r="L3096">
            <v>322000</v>
          </cell>
          <cell r="M3096"/>
          <cell r="N3096">
            <v>322000</v>
          </cell>
          <cell r="O3096"/>
          <cell r="P3096">
            <v>322000</v>
          </cell>
          <cell r="Q3096"/>
          <cell r="R3096">
            <v>322000</v>
          </cell>
          <cell r="S3096"/>
          <cell r="T3096">
            <v>322000</v>
          </cell>
          <cell r="U3096"/>
          <cell r="V3096">
            <v>322000</v>
          </cell>
          <cell r="W3096"/>
          <cell r="X3096">
            <v>322000</v>
          </cell>
          <cell r="Y3096"/>
          <cell r="Z3096">
            <v>322000</v>
          </cell>
          <cell r="AA3096"/>
          <cell r="AB3096"/>
          <cell r="AC3096"/>
          <cell r="AD3096">
            <v>11.9</v>
          </cell>
          <cell r="AE3096"/>
          <cell r="AF3096"/>
          <cell r="AG3096"/>
          <cell r="AH3096"/>
          <cell r="AI3096"/>
          <cell r="AJ3096"/>
          <cell r="AK3096"/>
          <cell r="AL3096"/>
        </row>
        <row r="3097">
          <cell r="E3097" t="str">
            <v>P1複合型受信機 20L+15L壁</v>
          </cell>
          <cell r="F3097" t="str">
            <v>面</v>
          </cell>
          <cell r="G3097"/>
          <cell r="H3097">
            <v>341000</v>
          </cell>
          <cell r="I3097"/>
          <cell r="J3097">
            <v>341000</v>
          </cell>
          <cell r="K3097"/>
          <cell r="L3097">
            <v>341000</v>
          </cell>
          <cell r="M3097"/>
          <cell r="N3097">
            <v>341000</v>
          </cell>
          <cell r="O3097"/>
          <cell r="P3097">
            <v>341000</v>
          </cell>
          <cell r="Q3097"/>
          <cell r="R3097">
            <v>341000</v>
          </cell>
          <cell r="S3097"/>
          <cell r="T3097">
            <v>341000</v>
          </cell>
          <cell r="U3097"/>
          <cell r="V3097">
            <v>341000</v>
          </cell>
          <cell r="W3097"/>
          <cell r="X3097">
            <v>341000</v>
          </cell>
          <cell r="Y3097"/>
          <cell r="Z3097">
            <v>341000</v>
          </cell>
          <cell r="AA3097"/>
          <cell r="AB3097"/>
          <cell r="AC3097"/>
          <cell r="AD3097">
            <v>13.3</v>
          </cell>
          <cell r="AE3097"/>
          <cell r="AF3097"/>
          <cell r="AG3097"/>
          <cell r="AH3097"/>
          <cell r="AI3097"/>
          <cell r="AJ3097"/>
          <cell r="AK3097"/>
          <cell r="AL3097"/>
        </row>
        <row r="3098">
          <cell r="E3098" t="str">
            <v>P1複合型受信機 20L+20L壁</v>
          </cell>
          <cell r="F3098" t="str">
            <v>面</v>
          </cell>
          <cell r="G3098"/>
          <cell r="H3098">
            <v>372000</v>
          </cell>
          <cell r="I3098"/>
          <cell r="J3098">
            <v>372000</v>
          </cell>
          <cell r="K3098"/>
          <cell r="L3098">
            <v>372000</v>
          </cell>
          <cell r="M3098"/>
          <cell r="N3098">
            <v>372000</v>
          </cell>
          <cell r="O3098"/>
          <cell r="P3098">
            <v>372000</v>
          </cell>
          <cell r="Q3098"/>
          <cell r="R3098">
            <v>372000</v>
          </cell>
          <cell r="S3098"/>
          <cell r="T3098">
            <v>372000</v>
          </cell>
          <cell r="U3098"/>
          <cell r="V3098">
            <v>372000</v>
          </cell>
          <cell r="W3098"/>
          <cell r="X3098">
            <v>372000</v>
          </cell>
          <cell r="Y3098"/>
          <cell r="Z3098">
            <v>372000</v>
          </cell>
          <cell r="AA3098"/>
          <cell r="AB3098"/>
          <cell r="AC3098"/>
          <cell r="AD3098">
            <v>14.6</v>
          </cell>
          <cell r="AE3098"/>
          <cell r="AF3098"/>
          <cell r="AG3098"/>
          <cell r="AH3098"/>
          <cell r="AI3098"/>
          <cell r="AJ3098"/>
          <cell r="AK3098"/>
          <cell r="AL3098"/>
        </row>
        <row r="3099">
          <cell r="E3099" t="str">
            <v>P1複合型受信機 20L+20L自</v>
          </cell>
          <cell r="F3099" t="str">
            <v>面</v>
          </cell>
          <cell r="G3099"/>
          <cell r="H3099">
            <v>609000</v>
          </cell>
          <cell r="I3099"/>
          <cell r="J3099">
            <v>609000</v>
          </cell>
          <cell r="K3099"/>
          <cell r="L3099">
            <v>609000</v>
          </cell>
          <cell r="M3099"/>
          <cell r="N3099">
            <v>609000</v>
          </cell>
          <cell r="O3099"/>
          <cell r="P3099">
            <v>609000</v>
          </cell>
          <cell r="Q3099"/>
          <cell r="R3099">
            <v>609000</v>
          </cell>
          <cell r="S3099"/>
          <cell r="T3099">
            <v>609000</v>
          </cell>
          <cell r="U3099"/>
          <cell r="V3099">
            <v>609000</v>
          </cell>
          <cell r="W3099"/>
          <cell r="X3099">
            <v>609000</v>
          </cell>
          <cell r="Y3099"/>
          <cell r="Z3099">
            <v>609000</v>
          </cell>
          <cell r="AA3099"/>
          <cell r="AB3099"/>
          <cell r="AC3099"/>
          <cell r="AD3099">
            <v>14.6</v>
          </cell>
          <cell r="AE3099"/>
          <cell r="AF3099"/>
          <cell r="AG3099"/>
          <cell r="AH3099"/>
          <cell r="AI3099"/>
          <cell r="AJ3099"/>
          <cell r="AK3099"/>
          <cell r="AL3099"/>
        </row>
        <row r="3100">
          <cell r="E3100" t="str">
            <v>P1複合型受信機 30L+20L自</v>
          </cell>
          <cell r="F3100" t="str">
            <v>面</v>
          </cell>
          <cell r="G3100"/>
          <cell r="H3100">
            <v>665000</v>
          </cell>
          <cell r="I3100"/>
          <cell r="J3100">
            <v>665000</v>
          </cell>
          <cell r="K3100"/>
          <cell r="L3100">
            <v>665000</v>
          </cell>
          <cell r="M3100"/>
          <cell r="N3100">
            <v>665000</v>
          </cell>
          <cell r="O3100"/>
          <cell r="P3100">
            <v>665000</v>
          </cell>
          <cell r="Q3100"/>
          <cell r="R3100">
            <v>665000</v>
          </cell>
          <cell r="S3100"/>
          <cell r="T3100">
            <v>665000</v>
          </cell>
          <cell r="U3100"/>
          <cell r="V3100">
            <v>665000</v>
          </cell>
          <cell r="W3100"/>
          <cell r="X3100">
            <v>665000</v>
          </cell>
          <cell r="Y3100"/>
          <cell r="Z3100">
            <v>665000</v>
          </cell>
          <cell r="AA3100"/>
          <cell r="AB3100"/>
          <cell r="AC3100"/>
          <cell r="AD3100">
            <v>17.3</v>
          </cell>
          <cell r="AE3100"/>
          <cell r="AF3100"/>
          <cell r="AG3100"/>
          <cell r="AH3100"/>
          <cell r="AI3100"/>
          <cell r="AJ3100"/>
          <cell r="AK3100"/>
          <cell r="AL3100"/>
        </row>
        <row r="3101">
          <cell r="E3101" t="str">
            <v>P1複合型受信機 30L+30L自</v>
          </cell>
          <cell r="F3101" t="str">
            <v>面</v>
          </cell>
          <cell r="G3101"/>
          <cell r="H3101">
            <v>721000</v>
          </cell>
          <cell r="I3101"/>
          <cell r="J3101">
            <v>721000</v>
          </cell>
          <cell r="K3101"/>
          <cell r="L3101">
            <v>721000</v>
          </cell>
          <cell r="M3101"/>
          <cell r="N3101">
            <v>721000</v>
          </cell>
          <cell r="O3101"/>
          <cell r="P3101">
            <v>721000</v>
          </cell>
          <cell r="Q3101"/>
          <cell r="R3101">
            <v>721000</v>
          </cell>
          <cell r="S3101"/>
          <cell r="T3101">
            <v>721000</v>
          </cell>
          <cell r="U3101"/>
          <cell r="V3101">
            <v>721000</v>
          </cell>
          <cell r="W3101"/>
          <cell r="X3101">
            <v>721000</v>
          </cell>
          <cell r="Y3101"/>
          <cell r="Z3101">
            <v>721000</v>
          </cell>
          <cell r="AA3101"/>
          <cell r="AB3101"/>
          <cell r="AC3101"/>
          <cell r="AD3101">
            <v>20.000000000000004</v>
          </cell>
          <cell r="AE3101"/>
          <cell r="AF3101"/>
          <cell r="AG3101"/>
          <cell r="AH3101"/>
          <cell r="AI3101"/>
          <cell r="AJ3101"/>
          <cell r="AK3101"/>
          <cell r="AL3101"/>
        </row>
        <row r="3102">
          <cell r="E3102" t="str">
            <v>P1複合型受信機 40L+30L自</v>
          </cell>
          <cell r="F3102" t="str">
            <v>面</v>
          </cell>
          <cell r="G3102"/>
          <cell r="H3102">
            <v>777000</v>
          </cell>
          <cell r="I3102"/>
          <cell r="J3102">
            <v>777000</v>
          </cell>
          <cell r="K3102"/>
          <cell r="L3102">
            <v>777000</v>
          </cell>
          <cell r="M3102"/>
          <cell r="N3102">
            <v>777000</v>
          </cell>
          <cell r="O3102"/>
          <cell r="P3102">
            <v>777000</v>
          </cell>
          <cell r="Q3102"/>
          <cell r="R3102">
            <v>777000</v>
          </cell>
          <cell r="S3102"/>
          <cell r="T3102">
            <v>777000</v>
          </cell>
          <cell r="U3102"/>
          <cell r="V3102">
            <v>777000</v>
          </cell>
          <cell r="W3102"/>
          <cell r="X3102">
            <v>777000</v>
          </cell>
          <cell r="Y3102"/>
          <cell r="Z3102">
            <v>777000</v>
          </cell>
          <cell r="AA3102"/>
          <cell r="AB3102"/>
          <cell r="AC3102"/>
          <cell r="AD3102">
            <v>22.700000000000003</v>
          </cell>
          <cell r="AE3102"/>
          <cell r="AF3102"/>
          <cell r="AG3102"/>
          <cell r="AH3102"/>
          <cell r="AI3102"/>
          <cell r="AJ3102"/>
          <cell r="AK3102"/>
          <cell r="AL3102"/>
        </row>
        <row r="3103">
          <cell r="E3103" t="str">
            <v>P1複合型受信機 40L+40L自</v>
          </cell>
          <cell r="F3103" t="str">
            <v>面</v>
          </cell>
          <cell r="G3103"/>
          <cell r="H3103">
            <v>831000</v>
          </cell>
          <cell r="I3103"/>
          <cell r="J3103">
            <v>831000</v>
          </cell>
          <cell r="K3103"/>
          <cell r="L3103">
            <v>831000</v>
          </cell>
          <cell r="M3103"/>
          <cell r="N3103">
            <v>831000</v>
          </cell>
          <cell r="O3103"/>
          <cell r="P3103">
            <v>831000</v>
          </cell>
          <cell r="Q3103"/>
          <cell r="R3103">
            <v>831000</v>
          </cell>
          <cell r="S3103"/>
          <cell r="T3103">
            <v>831000</v>
          </cell>
          <cell r="U3103"/>
          <cell r="V3103">
            <v>831000</v>
          </cell>
          <cell r="W3103"/>
          <cell r="X3103">
            <v>831000</v>
          </cell>
          <cell r="Y3103"/>
          <cell r="Z3103">
            <v>831000</v>
          </cell>
          <cell r="AA3103"/>
          <cell r="AB3103"/>
          <cell r="AC3103"/>
          <cell r="AD3103">
            <v>25.400000000000002</v>
          </cell>
          <cell r="AE3103"/>
          <cell r="AF3103"/>
          <cell r="AG3103"/>
          <cell r="AH3103"/>
          <cell r="AI3103"/>
          <cell r="AJ3103"/>
          <cell r="AK3103"/>
          <cell r="AL3103"/>
        </row>
        <row r="3104">
          <cell r="E3104" t="str">
            <v>P1複合型受信機 50L+40L自</v>
          </cell>
          <cell r="F3104" t="str">
            <v>面</v>
          </cell>
          <cell r="G3104"/>
          <cell r="H3104">
            <v>899000</v>
          </cell>
          <cell r="I3104"/>
          <cell r="J3104">
            <v>899000</v>
          </cell>
          <cell r="K3104"/>
          <cell r="L3104">
            <v>899000</v>
          </cell>
          <cell r="M3104"/>
          <cell r="N3104">
            <v>899000</v>
          </cell>
          <cell r="O3104"/>
          <cell r="P3104">
            <v>899000</v>
          </cell>
          <cell r="Q3104"/>
          <cell r="R3104">
            <v>899000</v>
          </cell>
          <cell r="S3104"/>
          <cell r="T3104">
            <v>899000</v>
          </cell>
          <cell r="U3104"/>
          <cell r="V3104">
            <v>899000</v>
          </cell>
          <cell r="W3104"/>
          <cell r="X3104">
            <v>899000</v>
          </cell>
          <cell r="Y3104"/>
          <cell r="Z3104">
            <v>899000</v>
          </cell>
          <cell r="AA3104"/>
          <cell r="AB3104"/>
          <cell r="AC3104"/>
          <cell r="AD3104">
            <v>28.1</v>
          </cell>
          <cell r="AE3104"/>
          <cell r="AF3104"/>
          <cell r="AG3104"/>
          <cell r="AH3104"/>
          <cell r="AI3104"/>
          <cell r="AJ3104"/>
          <cell r="AK3104"/>
          <cell r="AL3104"/>
        </row>
        <row r="3105">
          <cell r="E3105" t="str">
            <v>P1複合型受信機 50L+50L自</v>
          </cell>
          <cell r="F3105" t="str">
            <v>面</v>
          </cell>
          <cell r="G3105"/>
          <cell r="H3105">
            <v>955000</v>
          </cell>
          <cell r="I3105"/>
          <cell r="J3105">
            <v>955000</v>
          </cell>
          <cell r="K3105"/>
          <cell r="L3105">
            <v>955000</v>
          </cell>
          <cell r="M3105"/>
          <cell r="N3105">
            <v>955000</v>
          </cell>
          <cell r="O3105"/>
          <cell r="P3105">
            <v>955000</v>
          </cell>
          <cell r="Q3105"/>
          <cell r="R3105">
            <v>955000</v>
          </cell>
          <cell r="S3105"/>
          <cell r="T3105">
            <v>955000</v>
          </cell>
          <cell r="U3105"/>
          <cell r="V3105">
            <v>955000</v>
          </cell>
          <cell r="W3105"/>
          <cell r="X3105">
            <v>955000</v>
          </cell>
          <cell r="Y3105"/>
          <cell r="Z3105">
            <v>955000</v>
          </cell>
          <cell r="AA3105"/>
          <cell r="AB3105"/>
          <cell r="AC3105"/>
          <cell r="AD3105">
            <v>30.8</v>
          </cell>
          <cell r="AE3105"/>
          <cell r="AF3105"/>
          <cell r="AG3105"/>
          <cell r="AH3105"/>
          <cell r="AI3105"/>
          <cell r="AJ3105"/>
          <cell r="AK3105"/>
          <cell r="AL3105"/>
        </row>
        <row r="3106">
          <cell r="E3106" t="str">
            <v>P1副受信機 5L</v>
          </cell>
          <cell r="F3106" t="str">
            <v>面</v>
          </cell>
          <cell r="G3106"/>
          <cell r="H3106">
            <v>19200</v>
          </cell>
          <cell r="I3106"/>
          <cell r="J3106">
            <v>19200</v>
          </cell>
          <cell r="K3106"/>
          <cell r="L3106">
            <v>19200</v>
          </cell>
          <cell r="M3106"/>
          <cell r="N3106">
            <v>19200</v>
          </cell>
          <cell r="O3106"/>
          <cell r="P3106">
            <v>19200</v>
          </cell>
          <cell r="Q3106"/>
          <cell r="R3106">
            <v>19200</v>
          </cell>
          <cell r="S3106"/>
          <cell r="T3106">
            <v>19200</v>
          </cell>
          <cell r="U3106"/>
          <cell r="V3106">
            <v>19200</v>
          </cell>
          <cell r="W3106"/>
          <cell r="X3106">
            <v>19200</v>
          </cell>
          <cell r="Y3106"/>
          <cell r="Z3106">
            <v>19200</v>
          </cell>
          <cell r="AA3106"/>
          <cell r="AB3106"/>
          <cell r="AC3106"/>
          <cell r="AD3106">
            <v>0.42</v>
          </cell>
          <cell r="AE3106"/>
          <cell r="AF3106"/>
          <cell r="AG3106"/>
          <cell r="AH3106"/>
          <cell r="AI3106"/>
          <cell r="AJ3106"/>
          <cell r="AK3106"/>
          <cell r="AL3106"/>
        </row>
        <row r="3107">
          <cell r="E3107" t="str">
            <v>P1副受信機 10L</v>
          </cell>
          <cell r="F3107" t="str">
            <v>面</v>
          </cell>
          <cell r="G3107"/>
          <cell r="H3107">
            <v>22400</v>
          </cell>
          <cell r="I3107"/>
          <cell r="J3107">
            <v>22400</v>
          </cell>
          <cell r="K3107"/>
          <cell r="L3107">
            <v>22400</v>
          </cell>
          <cell r="M3107"/>
          <cell r="N3107">
            <v>22400</v>
          </cell>
          <cell r="O3107"/>
          <cell r="P3107">
            <v>22400</v>
          </cell>
          <cell r="Q3107"/>
          <cell r="R3107">
            <v>22400</v>
          </cell>
          <cell r="S3107"/>
          <cell r="T3107">
            <v>22400</v>
          </cell>
          <cell r="U3107"/>
          <cell r="V3107">
            <v>22400</v>
          </cell>
          <cell r="W3107"/>
          <cell r="X3107">
            <v>22400</v>
          </cell>
          <cell r="Y3107"/>
          <cell r="Z3107">
            <v>22400</v>
          </cell>
          <cell r="AA3107"/>
          <cell r="AB3107"/>
          <cell r="AC3107"/>
          <cell r="AD3107">
            <v>0.86</v>
          </cell>
          <cell r="AE3107"/>
          <cell r="AF3107"/>
          <cell r="AG3107"/>
          <cell r="AH3107"/>
          <cell r="AI3107"/>
          <cell r="AJ3107"/>
          <cell r="AK3107"/>
          <cell r="AL3107"/>
        </row>
        <row r="3108">
          <cell r="E3108" t="str">
            <v>P1副受信機 15L</v>
          </cell>
          <cell r="F3108" t="str">
            <v>面</v>
          </cell>
          <cell r="G3108"/>
          <cell r="H3108">
            <v>25500</v>
          </cell>
          <cell r="I3108"/>
          <cell r="J3108">
            <v>25500</v>
          </cell>
          <cell r="K3108"/>
          <cell r="L3108">
            <v>25500</v>
          </cell>
          <cell r="M3108"/>
          <cell r="N3108">
            <v>25500</v>
          </cell>
          <cell r="O3108"/>
          <cell r="P3108">
            <v>25500</v>
          </cell>
          <cell r="Q3108"/>
          <cell r="R3108">
            <v>25500</v>
          </cell>
          <cell r="S3108"/>
          <cell r="T3108">
            <v>25500</v>
          </cell>
          <cell r="U3108"/>
          <cell r="V3108">
            <v>25500</v>
          </cell>
          <cell r="W3108"/>
          <cell r="X3108">
            <v>25500</v>
          </cell>
          <cell r="Y3108"/>
          <cell r="Z3108">
            <v>25500</v>
          </cell>
          <cell r="AA3108"/>
          <cell r="AB3108"/>
          <cell r="AC3108"/>
          <cell r="AD3108">
            <v>1.3</v>
          </cell>
          <cell r="AE3108"/>
          <cell r="AF3108"/>
          <cell r="AG3108"/>
          <cell r="AH3108"/>
          <cell r="AI3108"/>
          <cell r="AJ3108"/>
          <cell r="AK3108"/>
          <cell r="AL3108"/>
        </row>
        <row r="3109">
          <cell r="E3109" t="str">
            <v>P1副受信機 20L</v>
          </cell>
          <cell r="F3109" t="str">
            <v>面</v>
          </cell>
          <cell r="G3109"/>
          <cell r="H3109">
            <v>28700</v>
          </cell>
          <cell r="I3109"/>
          <cell r="J3109">
            <v>28700</v>
          </cell>
          <cell r="K3109"/>
          <cell r="L3109">
            <v>28700</v>
          </cell>
          <cell r="M3109"/>
          <cell r="N3109">
            <v>28700</v>
          </cell>
          <cell r="O3109"/>
          <cell r="P3109">
            <v>28700</v>
          </cell>
          <cell r="Q3109"/>
          <cell r="R3109">
            <v>28700</v>
          </cell>
          <cell r="S3109"/>
          <cell r="T3109">
            <v>28700</v>
          </cell>
          <cell r="U3109"/>
          <cell r="V3109">
            <v>28700</v>
          </cell>
          <cell r="W3109"/>
          <cell r="X3109">
            <v>28700</v>
          </cell>
          <cell r="Y3109"/>
          <cell r="Z3109">
            <v>28700</v>
          </cell>
          <cell r="AA3109"/>
          <cell r="AB3109"/>
          <cell r="AC3109"/>
          <cell r="AD3109">
            <v>1.75</v>
          </cell>
          <cell r="AE3109"/>
          <cell r="AF3109"/>
          <cell r="AG3109"/>
          <cell r="AH3109"/>
          <cell r="AI3109"/>
          <cell r="AJ3109"/>
          <cell r="AK3109"/>
          <cell r="AL3109"/>
        </row>
        <row r="3110">
          <cell r="E3110" t="str">
            <v>P1副受信機 25L</v>
          </cell>
          <cell r="F3110" t="str">
            <v>面</v>
          </cell>
          <cell r="G3110"/>
          <cell r="H3110">
            <v>31800</v>
          </cell>
          <cell r="I3110"/>
          <cell r="J3110">
            <v>31800</v>
          </cell>
          <cell r="K3110"/>
          <cell r="L3110">
            <v>31800</v>
          </cell>
          <cell r="M3110"/>
          <cell r="N3110">
            <v>31800</v>
          </cell>
          <cell r="O3110"/>
          <cell r="P3110">
            <v>31800</v>
          </cell>
          <cell r="Q3110"/>
          <cell r="R3110">
            <v>31800</v>
          </cell>
          <cell r="S3110"/>
          <cell r="T3110">
            <v>31800</v>
          </cell>
          <cell r="U3110"/>
          <cell r="V3110">
            <v>31800</v>
          </cell>
          <cell r="W3110"/>
          <cell r="X3110">
            <v>31800</v>
          </cell>
          <cell r="Y3110"/>
          <cell r="Z3110">
            <v>31800</v>
          </cell>
          <cell r="AA3110"/>
          <cell r="AB3110"/>
          <cell r="AC3110"/>
          <cell r="AD3110">
            <v>2.15</v>
          </cell>
          <cell r="AE3110"/>
          <cell r="AF3110"/>
          <cell r="AG3110"/>
          <cell r="AH3110"/>
          <cell r="AI3110"/>
          <cell r="AJ3110"/>
          <cell r="AK3110"/>
          <cell r="AL3110"/>
        </row>
        <row r="3111">
          <cell r="E3111" t="str">
            <v>P1副受信機 30L</v>
          </cell>
          <cell r="F3111" t="str">
            <v>面</v>
          </cell>
          <cell r="G3111"/>
          <cell r="H3111">
            <v>35000</v>
          </cell>
          <cell r="I3111"/>
          <cell r="J3111">
            <v>35000</v>
          </cell>
          <cell r="K3111"/>
          <cell r="L3111">
            <v>35000</v>
          </cell>
          <cell r="M3111"/>
          <cell r="N3111">
            <v>35000</v>
          </cell>
          <cell r="O3111"/>
          <cell r="P3111">
            <v>35000</v>
          </cell>
          <cell r="Q3111"/>
          <cell r="R3111">
            <v>35000</v>
          </cell>
          <cell r="S3111"/>
          <cell r="T3111">
            <v>35000</v>
          </cell>
          <cell r="U3111"/>
          <cell r="V3111">
            <v>35000</v>
          </cell>
          <cell r="W3111"/>
          <cell r="X3111">
            <v>35000</v>
          </cell>
          <cell r="Y3111"/>
          <cell r="Z3111">
            <v>35000</v>
          </cell>
          <cell r="AA3111"/>
          <cell r="AB3111"/>
          <cell r="AC3111"/>
          <cell r="AD3111">
            <v>2.5499999999999998</v>
          </cell>
          <cell r="AE3111"/>
          <cell r="AF3111"/>
          <cell r="AG3111"/>
          <cell r="AH3111"/>
          <cell r="AI3111"/>
          <cell r="AJ3111"/>
          <cell r="AK3111"/>
          <cell r="AL3111"/>
        </row>
        <row r="3112">
          <cell r="E3112" t="str">
            <v>P1副受信機 40L</v>
          </cell>
          <cell r="F3112" t="str">
            <v>面</v>
          </cell>
          <cell r="G3112"/>
          <cell r="H3112">
            <v>41300</v>
          </cell>
          <cell r="I3112"/>
          <cell r="J3112">
            <v>41300</v>
          </cell>
          <cell r="K3112"/>
          <cell r="L3112">
            <v>41300</v>
          </cell>
          <cell r="M3112"/>
          <cell r="N3112">
            <v>41300</v>
          </cell>
          <cell r="O3112"/>
          <cell r="P3112">
            <v>41300</v>
          </cell>
          <cell r="Q3112"/>
          <cell r="R3112">
            <v>41300</v>
          </cell>
          <cell r="S3112"/>
          <cell r="T3112">
            <v>41300</v>
          </cell>
          <cell r="U3112"/>
          <cell r="V3112">
            <v>41300</v>
          </cell>
          <cell r="W3112"/>
          <cell r="X3112">
            <v>41300</v>
          </cell>
          <cell r="Y3112"/>
          <cell r="Z3112">
            <v>41300</v>
          </cell>
          <cell r="AA3112"/>
          <cell r="AB3112"/>
          <cell r="AC3112"/>
          <cell r="AD3112">
            <v>3.4</v>
          </cell>
          <cell r="AE3112"/>
          <cell r="AF3112"/>
          <cell r="AG3112"/>
          <cell r="AH3112"/>
          <cell r="AI3112"/>
          <cell r="AJ3112"/>
          <cell r="AK3112"/>
          <cell r="AL3112"/>
        </row>
        <row r="3113">
          <cell r="E3113" t="str">
            <v>P1副受信機 50L</v>
          </cell>
          <cell r="F3113" t="str">
            <v>面</v>
          </cell>
          <cell r="G3113"/>
          <cell r="H3113">
            <v>47600</v>
          </cell>
          <cell r="I3113"/>
          <cell r="J3113">
            <v>47600</v>
          </cell>
          <cell r="K3113"/>
          <cell r="L3113">
            <v>47600</v>
          </cell>
          <cell r="M3113"/>
          <cell r="N3113">
            <v>47600</v>
          </cell>
          <cell r="O3113"/>
          <cell r="P3113">
            <v>47600</v>
          </cell>
          <cell r="Q3113"/>
          <cell r="R3113">
            <v>47600</v>
          </cell>
          <cell r="S3113"/>
          <cell r="T3113">
            <v>47600</v>
          </cell>
          <cell r="U3113"/>
          <cell r="V3113">
            <v>47600</v>
          </cell>
          <cell r="W3113"/>
          <cell r="X3113">
            <v>47600</v>
          </cell>
          <cell r="Y3113"/>
          <cell r="Z3113">
            <v>47600</v>
          </cell>
          <cell r="AA3113"/>
          <cell r="AB3113"/>
          <cell r="AC3113"/>
          <cell r="AD3113">
            <v>4.25</v>
          </cell>
          <cell r="AE3113"/>
          <cell r="AF3113"/>
          <cell r="AG3113"/>
          <cell r="AH3113"/>
          <cell r="AI3113"/>
          <cell r="AJ3113"/>
          <cell r="AK3113"/>
          <cell r="AL3113"/>
        </row>
        <row r="3114">
          <cell r="E3114" t="str">
            <v>P1副受信機 60L</v>
          </cell>
          <cell r="F3114" t="str">
            <v>面</v>
          </cell>
          <cell r="G3114"/>
          <cell r="H3114">
            <v>53900</v>
          </cell>
          <cell r="I3114"/>
          <cell r="J3114">
            <v>53900</v>
          </cell>
          <cell r="K3114"/>
          <cell r="L3114">
            <v>53900</v>
          </cell>
          <cell r="M3114"/>
          <cell r="N3114">
            <v>53900</v>
          </cell>
          <cell r="O3114"/>
          <cell r="P3114">
            <v>53900</v>
          </cell>
          <cell r="Q3114"/>
          <cell r="R3114">
            <v>53900</v>
          </cell>
          <cell r="S3114"/>
          <cell r="T3114">
            <v>53900</v>
          </cell>
          <cell r="U3114"/>
          <cell r="V3114">
            <v>53900</v>
          </cell>
          <cell r="W3114"/>
          <cell r="X3114">
            <v>53900</v>
          </cell>
          <cell r="Y3114"/>
          <cell r="Z3114">
            <v>53900</v>
          </cell>
          <cell r="AA3114"/>
          <cell r="AB3114"/>
          <cell r="AC3114"/>
          <cell r="AD3114">
            <v>4.75</v>
          </cell>
          <cell r="AE3114"/>
          <cell r="AF3114"/>
          <cell r="AG3114"/>
          <cell r="AH3114"/>
          <cell r="AI3114"/>
          <cell r="AJ3114"/>
          <cell r="AK3114"/>
          <cell r="AL3114"/>
        </row>
        <row r="3115">
          <cell r="E3115" t="str">
            <v>P1副受信機 70L</v>
          </cell>
          <cell r="F3115" t="str">
            <v>面</v>
          </cell>
          <cell r="G3115"/>
          <cell r="H3115">
            <v>60200</v>
          </cell>
          <cell r="I3115"/>
          <cell r="J3115">
            <v>60200</v>
          </cell>
          <cell r="K3115"/>
          <cell r="L3115">
            <v>60200</v>
          </cell>
          <cell r="M3115"/>
          <cell r="N3115">
            <v>60200</v>
          </cell>
          <cell r="O3115"/>
          <cell r="P3115">
            <v>60200</v>
          </cell>
          <cell r="Q3115"/>
          <cell r="R3115">
            <v>60200</v>
          </cell>
          <cell r="S3115"/>
          <cell r="T3115">
            <v>60200</v>
          </cell>
          <cell r="U3115"/>
          <cell r="V3115">
            <v>60200</v>
          </cell>
          <cell r="W3115"/>
          <cell r="X3115">
            <v>60200</v>
          </cell>
          <cell r="Y3115"/>
          <cell r="Z3115">
            <v>60200</v>
          </cell>
          <cell r="AA3115"/>
          <cell r="AB3115"/>
          <cell r="AC3115"/>
          <cell r="AD3115">
            <v>5.25</v>
          </cell>
          <cell r="AE3115"/>
          <cell r="AF3115"/>
          <cell r="AG3115"/>
          <cell r="AH3115"/>
          <cell r="AI3115"/>
          <cell r="AJ3115"/>
          <cell r="AK3115"/>
          <cell r="AL3115"/>
        </row>
        <row r="3116">
          <cell r="E3116" t="str">
            <v>P1副受信機 80L</v>
          </cell>
          <cell r="F3116" t="str">
            <v>面</v>
          </cell>
          <cell r="G3116"/>
          <cell r="H3116">
            <v>66500</v>
          </cell>
          <cell r="I3116"/>
          <cell r="J3116">
            <v>66500</v>
          </cell>
          <cell r="K3116"/>
          <cell r="L3116">
            <v>66500</v>
          </cell>
          <cell r="M3116"/>
          <cell r="N3116">
            <v>66500</v>
          </cell>
          <cell r="O3116"/>
          <cell r="P3116">
            <v>66500</v>
          </cell>
          <cell r="Q3116"/>
          <cell r="R3116">
            <v>66500</v>
          </cell>
          <cell r="S3116"/>
          <cell r="T3116">
            <v>66500</v>
          </cell>
          <cell r="U3116"/>
          <cell r="V3116">
            <v>66500</v>
          </cell>
          <cell r="W3116"/>
          <cell r="X3116">
            <v>66500</v>
          </cell>
          <cell r="Y3116"/>
          <cell r="Z3116">
            <v>66500</v>
          </cell>
          <cell r="AA3116"/>
          <cell r="AB3116"/>
          <cell r="AC3116"/>
          <cell r="AD3116">
            <v>5.75</v>
          </cell>
          <cell r="AE3116"/>
          <cell r="AF3116"/>
          <cell r="AG3116"/>
          <cell r="AH3116"/>
          <cell r="AI3116"/>
          <cell r="AJ3116"/>
          <cell r="AK3116"/>
          <cell r="AL3116"/>
        </row>
        <row r="3117">
          <cell r="E3117" t="str">
            <v>P1副受信機 90L</v>
          </cell>
          <cell r="F3117" t="str">
            <v>面</v>
          </cell>
          <cell r="G3117"/>
          <cell r="H3117">
            <v>72800</v>
          </cell>
          <cell r="I3117"/>
          <cell r="J3117">
            <v>72800</v>
          </cell>
          <cell r="K3117"/>
          <cell r="L3117">
            <v>72800</v>
          </cell>
          <cell r="M3117"/>
          <cell r="N3117">
            <v>72800</v>
          </cell>
          <cell r="O3117"/>
          <cell r="P3117">
            <v>72800</v>
          </cell>
          <cell r="Q3117"/>
          <cell r="R3117">
            <v>72800</v>
          </cell>
          <cell r="S3117"/>
          <cell r="T3117">
            <v>72800</v>
          </cell>
          <cell r="U3117"/>
          <cell r="V3117">
            <v>72800</v>
          </cell>
          <cell r="W3117"/>
          <cell r="X3117">
            <v>72800</v>
          </cell>
          <cell r="Y3117"/>
          <cell r="Z3117">
            <v>72800</v>
          </cell>
          <cell r="AA3117"/>
          <cell r="AB3117"/>
          <cell r="AC3117"/>
          <cell r="AD3117">
            <v>6.25</v>
          </cell>
          <cell r="AE3117"/>
          <cell r="AF3117"/>
          <cell r="AG3117"/>
          <cell r="AH3117"/>
          <cell r="AI3117"/>
          <cell r="AJ3117"/>
          <cell r="AK3117"/>
          <cell r="AL3117"/>
        </row>
        <row r="3118">
          <cell r="E3118" t="str">
            <v>P1副受信機 100L</v>
          </cell>
          <cell r="F3118" t="str">
            <v>面</v>
          </cell>
          <cell r="G3118"/>
          <cell r="H3118">
            <v>79100</v>
          </cell>
          <cell r="I3118"/>
          <cell r="J3118">
            <v>79100</v>
          </cell>
          <cell r="K3118"/>
          <cell r="L3118">
            <v>79100</v>
          </cell>
          <cell r="M3118"/>
          <cell r="N3118">
            <v>79100</v>
          </cell>
          <cell r="O3118"/>
          <cell r="P3118">
            <v>79100</v>
          </cell>
          <cell r="Q3118"/>
          <cell r="R3118">
            <v>79100</v>
          </cell>
          <cell r="S3118"/>
          <cell r="T3118">
            <v>79100</v>
          </cell>
          <cell r="U3118"/>
          <cell r="V3118">
            <v>79100</v>
          </cell>
          <cell r="W3118"/>
          <cell r="X3118">
            <v>79100</v>
          </cell>
          <cell r="Y3118"/>
          <cell r="Z3118">
            <v>79100</v>
          </cell>
          <cell r="AA3118"/>
          <cell r="AB3118"/>
          <cell r="AC3118"/>
          <cell r="AD3118">
            <v>6.75</v>
          </cell>
          <cell r="AE3118"/>
          <cell r="AF3118"/>
          <cell r="AG3118"/>
          <cell r="AH3118"/>
          <cell r="AI3118"/>
          <cell r="AJ3118"/>
          <cell r="AK3118"/>
          <cell r="AL3118"/>
        </row>
        <row r="3119">
          <cell r="E3119" t="str">
            <v>P1副受信機 110L</v>
          </cell>
          <cell r="F3119" t="str">
            <v>面</v>
          </cell>
          <cell r="G3119"/>
          <cell r="H3119">
            <v>85400</v>
          </cell>
          <cell r="I3119"/>
          <cell r="J3119">
            <v>85400</v>
          </cell>
          <cell r="K3119"/>
          <cell r="L3119">
            <v>85400</v>
          </cell>
          <cell r="M3119"/>
          <cell r="N3119">
            <v>85400</v>
          </cell>
          <cell r="O3119"/>
          <cell r="P3119">
            <v>85400</v>
          </cell>
          <cell r="Q3119"/>
          <cell r="R3119">
            <v>85400</v>
          </cell>
          <cell r="S3119"/>
          <cell r="T3119">
            <v>85400</v>
          </cell>
          <cell r="U3119"/>
          <cell r="V3119">
            <v>85400</v>
          </cell>
          <cell r="W3119"/>
          <cell r="X3119">
            <v>85400</v>
          </cell>
          <cell r="Y3119"/>
          <cell r="Z3119">
            <v>85400</v>
          </cell>
          <cell r="AA3119"/>
          <cell r="AB3119"/>
          <cell r="AC3119"/>
          <cell r="AD3119">
            <v>7.25</v>
          </cell>
          <cell r="AE3119"/>
          <cell r="AF3119"/>
          <cell r="AG3119"/>
          <cell r="AH3119"/>
          <cell r="AI3119"/>
          <cell r="AJ3119"/>
          <cell r="AK3119"/>
          <cell r="AL3119"/>
        </row>
        <row r="3120">
          <cell r="E3120" t="str">
            <v>P1副受信機 120L</v>
          </cell>
          <cell r="F3120" t="str">
            <v>面</v>
          </cell>
          <cell r="G3120"/>
          <cell r="H3120">
            <v>91700</v>
          </cell>
          <cell r="I3120"/>
          <cell r="J3120">
            <v>91700</v>
          </cell>
          <cell r="K3120"/>
          <cell r="L3120">
            <v>91700</v>
          </cell>
          <cell r="M3120"/>
          <cell r="N3120">
            <v>91700</v>
          </cell>
          <cell r="O3120"/>
          <cell r="P3120">
            <v>91700</v>
          </cell>
          <cell r="Q3120"/>
          <cell r="R3120">
            <v>91700</v>
          </cell>
          <cell r="S3120"/>
          <cell r="T3120">
            <v>91700</v>
          </cell>
          <cell r="U3120"/>
          <cell r="V3120">
            <v>91700</v>
          </cell>
          <cell r="W3120"/>
          <cell r="X3120">
            <v>91700</v>
          </cell>
          <cell r="Y3120"/>
          <cell r="Z3120">
            <v>91700</v>
          </cell>
          <cell r="AA3120"/>
          <cell r="AB3120"/>
          <cell r="AC3120"/>
          <cell r="AD3120">
            <v>7.75</v>
          </cell>
          <cell r="AE3120"/>
          <cell r="AF3120"/>
          <cell r="AG3120"/>
          <cell r="AH3120"/>
          <cell r="AI3120"/>
          <cell r="AJ3120"/>
          <cell r="AK3120"/>
          <cell r="AL3120"/>
        </row>
        <row r="3121">
          <cell r="E3121" t="str">
            <v>P1副受信機 150L</v>
          </cell>
          <cell r="F3121" t="str">
            <v>面</v>
          </cell>
          <cell r="G3121"/>
          <cell r="H3121">
            <v>110600</v>
          </cell>
          <cell r="I3121"/>
          <cell r="J3121">
            <v>110600</v>
          </cell>
          <cell r="K3121"/>
          <cell r="L3121">
            <v>110600</v>
          </cell>
          <cell r="M3121"/>
          <cell r="N3121">
            <v>110600</v>
          </cell>
          <cell r="O3121"/>
          <cell r="P3121">
            <v>110600</v>
          </cell>
          <cell r="Q3121"/>
          <cell r="R3121">
            <v>110600</v>
          </cell>
          <cell r="S3121"/>
          <cell r="T3121">
            <v>110600</v>
          </cell>
          <cell r="U3121"/>
          <cell r="V3121">
            <v>110600</v>
          </cell>
          <cell r="W3121"/>
          <cell r="X3121">
            <v>110600</v>
          </cell>
          <cell r="Y3121"/>
          <cell r="Z3121">
            <v>110600</v>
          </cell>
          <cell r="AA3121"/>
          <cell r="AB3121"/>
          <cell r="AC3121"/>
          <cell r="AD3121">
            <v>9.25</v>
          </cell>
          <cell r="AE3121"/>
          <cell r="AF3121"/>
          <cell r="AG3121"/>
          <cell r="AH3121"/>
          <cell r="AI3121"/>
          <cell r="AJ3121"/>
          <cell r="AK3121"/>
          <cell r="AL3121"/>
        </row>
        <row r="3122">
          <cell r="E3122" t="str">
            <v>P1副受信機 200L</v>
          </cell>
          <cell r="F3122" t="str">
            <v>面</v>
          </cell>
          <cell r="G3122"/>
          <cell r="H3122">
            <v>142100</v>
          </cell>
          <cell r="I3122"/>
          <cell r="J3122">
            <v>142100</v>
          </cell>
          <cell r="K3122"/>
          <cell r="L3122">
            <v>142100</v>
          </cell>
          <cell r="M3122"/>
          <cell r="N3122">
            <v>142100</v>
          </cell>
          <cell r="O3122"/>
          <cell r="P3122">
            <v>142100</v>
          </cell>
          <cell r="Q3122"/>
          <cell r="R3122">
            <v>142100</v>
          </cell>
          <cell r="S3122"/>
          <cell r="T3122">
            <v>142100</v>
          </cell>
          <cell r="U3122"/>
          <cell r="V3122">
            <v>142100</v>
          </cell>
          <cell r="W3122"/>
          <cell r="X3122">
            <v>142100</v>
          </cell>
          <cell r="Y3122"/>
          <cell r="Z3122">
            <v>142100</v>
          </cell>
          <cell r="AA3122"/>
          <cell r="AB3122"/>
          <cell r="AC3122"/>
          <cell r="AD3122">
            <v>11.75</v>
          </cell>
          <cell r="AE3122"/>
          <cell r="AF3122"/>
          <cell r="AG3122"/>
          <cell r="AH3122"/>
          <cell r="AI3122"/>
          <cell r="AJ3122"/>
          <cell r="AK3122"/>
          <cell r="AL3122"/>
        </row>
        <row r="3123">
          <cell r="E3123" t="str">
            <v>P1副受信機 300L</v>
          </cell>
          <cell r="F3123" t="str">
            <v>面</v>
          </cell>
          <cell r="G3123"/>
          <cell r="H3123">
            <v>205100</v>
          </cell>
          <cell r="I3123"/>
          <cell r="J3123">
            <v>205100</v>
          </cell>
          <cell r="K3123"/>
          <cell r="L3123">
            <v>205100</v>
          </cell>
          <cell r="M3123"/>
          <cell r="N3123">
            <v>205100</v>
          </cell>
          <cell r="O3123"/>
          <cell r="P3123">
            <v>205100</v>
          </cell>
          <cell r="Q3123"/>
          <cell r="R3123">
            <v>205100</v>
          </cell>
          <cell r="S3123"/>
          <cell r="T3123">
            <v>205100</v>
          </cell>
          <cell r="U3123"/>
          <cell r="V3123">
            <v>205100</v>
          </cell>
          <cell r="W3123"/>
          <cell r="X3123">
            <v>205100</v>
          </cell>
          <cell r="Y3123"/>
          <cell r="Z3123">
            <v>205100</v>
          </cell>
          <cell r="AA3123"/>
          <cell r="AB3123"/>
          <cell r="AC3123"/>
          <cell r="AD3123">
            <v>17.600000000000001</v>
          </cell>
          <cell r="AE3123"/>
          <cell r="AF3123"/>
          <cell r="AG3123"/>
          <cell r="AH3123"/>
          <cell r="AI3123"/>
          <cell r="AJ3123"/>
          <cell r="AK3123"/>
          <cell r="AL3123"/>
        </row>
        <row r="3124">
          <cell r="E3124"/>
          <cell r="F3124"/>
          <cell r="G3124"/>
          <cell r="H3124"/>
          <cell r="I3124"/>
          <cell r="J3124"/>
          <cell r="K3124"/>
          <cell r="L3124"/>
          <cell r="M3124"/>
          <cell r="N3124"/>
          <cell r="O3124"/>
          <cell r="P3124"/>
          <cell r="Q3124"/>
          <cell r="R3124"/>
          <cell r="S3124"/>
          <cell r="T3124"/>
          <cell r="U3124"/>
          <cell r="V3124"/>
          <cell r="W3124"/>
          <cell r="X3124"/>
          <cell r="Y3124"/>
          <cell r="Z3124"/>
          <cell r="AA3124"/>
          <cell r="AB3124"/>
          <cell r="AC3124"/>
          <cell r="AD3124"/>
          <cell r="AE3124"/>
          <cell r="AF3124"/>
          <cell r="AG3124"/>
          <cell r="AH3124"/>
          <cell r="AI3124"/>
          <cell r="AJ3124"/>
          <cell r="AK3124"/>
          <cell r="AL3124"/>
        </row>
        <row r="3125">
          <cell r="E3125"/>
          <cell r="F3125"/>
          <cell r="G3125"/>
          <cell r="H3125"/>
          <cell r="I3125"/>
          <cell r="J3125"/>
          <cell r="K3125"/>
          <cell r="L3125"/>
          <cell r="M3125"/>
          <cell r="N3125"/>
          <cell r="O3125"/>
          <cell r="P3125"/>
          <cell r="Q3125"/>
          <cell r="R3125"/>
          <cell r="S3125"/>
          <cell r="T3125"/>
          <cell r="U3125"/>
          <cell r="V3125"/>
          <cell r="W3125"/>
          <cell r="X3125"/>
          <cell r="Y3125"/>
          <cell r="Z3125"/>
          <cell r="AA3125"/>
          <cell r="AB3125"/>
          <cell r="AC3125"/>
          <cell r="AD3125"/>
          <cell r="AE3125"/>
          <cell r="AF3125"/>
          <cell r="AG3125"/>
          <cell r="AH3125"/>
          <cell r="AI3125"/>
          <cell r="AJ3125"/>
          <cell r="AK3125"/>
          <cell r="AL3125"/>
        </row>
        <row r="3126">
          <cell r="E3126"/>
          <cell r="F3126"/>
          <cell r="G3126"/>
          <cell r="H3126"/>
          <cell r="I3126"/>
          <cell r="J3126"/>
          <cell r="K3126"/>
          <cell r="L3126"/>
          <cell r="M3126"/>
          <cell r="N3126"/>
          <cell r="O3126"/>
          <cell r="P3126"/>
          <cell r="Q3126"/>
          <cell r="R3126"/>
          <cell r="S3126"/>
          <cell r="T3126"/>
          <cell r="U3126"/>
          <cell r="V3126"/>
          <cell r="W3126"/>
          <cell r="X3126"/>
          <cell r="Y3126"/>
          <cell r="Z3126"/>
          <cell r="AA3126"/>
          <cell r="AB3126"/>
          <cell r="AC3126"/>
          <cell r="AD3126"/>
          <cell r="AE3126"/>
          <cell r="AF3126"/>
          <cell r="AG3126"/>
          <cell r="AH3126"/>
          <cell r="AI3126"/>
          <cell r="AJ3126"/>
          <cell r="AK3126"/>
          <cell r="AL3126"/>
        </row>
        <row r="3127">
          <cell r="E3127"/>
          <cell r="F3127"/>
          <cell r="G3127"/>
          <cell r="H3127"/>
          <cell r="I3127"/>
          <cell r="J3127"/>
          <cell r="K3127"/>
          <cell r="L3127"/>
          <cell r="M3127"/>
          <cell r="N3127"/>
          <cell r="O3127"/>
          <cell r="P3127"/>
          <cell r="Q3127"/>
          <cell r="R3127"/>
          <cell r="S3127"/>
          <cell r="T3127"/>
          <cell r="U3127"/>
          <cell r="V3127"/>
          <cell r="W3127"/>
          <cell r="X3127"/>
          <cell r="Y3127"/>
          <cell r="Z3127"/>
          <cell r="AA3127"/>
          <cell r="AB3127"/>
          <cell r="AC3127"/>
          <cell r="AD3127"/>
          <cell r="AE3127"/>
          <cell r="AF3127"/>
          <cell r="AG3127"/>
          <cell r="AH3127"/>
          <cell r="AI3127"/>
          <cell r="AJ3127"/>
          <cell r="AK3127"/>
          <cell r="AL3127"/>
        </row>
        <row r="3128">
          <cell r="E3128"/>
          <cell r="F3128"/>
          <cell r="G3128"/>
          <cell r="H3128"/>
          <cell r="I3128"/>
          <cell r="J3128"/>
          <cell r="K3128"/>
          <cell r="L3128"/>
          <cell r="M3128"/>
          <cell r="N3128"/>
          <cell r="O3128"/>
          <cell r="P3128"/>
          <cell r="Q3128"/>
          <cell r="R3128"/>
          <cell r="S3128"/>
          <cell r="T3128"/>
          <cell r="U3128"/>
          <cell r="V3128"/>
          <cell r="W3128"/>
          <cell r="X3128"/>
          <cell r="Y3128"/>
          <cell r="Z3128"/>
          <cell r="AA3128"/>
          <cell r="AB3128"/>
          <cell r="AC3128"/>
          <cell r="AD3128"/>
          <cell r="AE3128"/>
          <cell r="AF3128"/>
          <cell r="AG3128"/>
          <cell r="AH3128"/>
          <cell r="AI3128"/>
          <cell r="AJ3128"/>
          <cell r="AK3128"/>
          <cell r="AL3128"/>
        </row>
        <row r="3129">
          <cell r="E3129"/>
          <cell r="F3129"/>
          <cell r="G3129"/>
          <cell r="H3129"/>
          <cell r="I3129"/>
          <cell r="J3129"/>
          <cell r="K3129"/>
          <cell r="L3129"/>
          <cell r="M3129"/>
          <cell r="N3129"/>
          <cell r="O3129"/>
          <cell r="P3129"/>
          <cell r="Q3129"/>
          <cell r="R3129"/>
          <cell r="S3129"/>
          <cell r="T3129"/>
          <cell r="U3129"/>
          <cell r="V3129"/>
          <cell r="W3129"/>
          <cell r="X3129"/>
          <cell r="Y3129"/>
          <cell r="Z3129"/>
          <cell r="AA3129"/>
          <cell r="AB3129"/>
          <cell r="AC3129"/>
          <cell r="AD3129"/>
          <cell r="AE3129"/>
          <cell r="AF3129"/>
          <cell r="AG3129"/>
          <cell r="AH3129"/>
          <cell r="AI3129"/>
          <cell r="AJ3129"/>
          <cell r="AK3129"/>
          <cell r="AL3129"/>
        </row>
        <row r="3130">
          <cell r="E3130"/>
          <cell r="F3130"/>
          <cell r="G3130"/>
          <cell r="H3130"/>
          <cell r="I3130"/>
          <cell r="J3130"/>
          <cell r="K3130"/>
          <cell r="L3130"/>
          <cell r="M3130"/>
          <cell r="N3130"/>
          <cell r="O3130"/>
          <cell r="P3130"/>
          <cell r="Q3130"/>
          <cell r="R3130"/>
          <cell r="S3130"/>
          <cell r="T3130"/>
          <cell r="U3130"/>
          <cell r="V3130"/>
          <cell r="W3130"/>
          <cell r="X3130"/>
          <cell r="Y3130"/>
          <cell r="Z3130"/>
          <cell r="AA3130"/>
          <cell r="AB3130"/>
          <cell r="AC3130"/>
          <cell r="AD3130"/>
          <cell r="AE3130"/>
          <cell r="AF3130"/>
          <cell r="AG3130"/>
          <cell r="AH3130"/>
          <cell r="AI3130"/>
          <cell r="AJ3130"/>
          <cell r="AK3130"/>
          <cell r="AL3130"/>
        </row>
        <row r="3131">
          <cell r="E3131"/>
          <cell r="F3131"/>
          <cell r="G3131"/>
          <cell r="H3131"/>
          <cell r="I3131"/>
          <cell r="J3131"/>
          <cell r="K3131"/>
          <cell r="L3131"/>
          <cell r="M3131"/>
          <cell r="N3131"/>
          <cell r="O3131"/>
          <cell r="P3131"/>
          <cell r="Q3131"/>
          <cell r="R3131"/>
          <cell r="S3131"/>
          <cell r="T3131"/>
          <cell r="U3131"/>
          <cell r="V3131"/>
          <cell r="W3131"/>
          <cell r="X3131"/>
          <cell r="Y3131"/>
          <cell r="Z3131"/>
          <cell r="AA3131"/>
          <cell r="AB3131"/>
          <cell r="AC3131"/>
          <cell r="AD3131"/>
          <cell r="AE3131"/>
          <cell r="AF3131"/>
          <cell r="AG3131"/>
          <cell r="AH3131"/>
          <cell r="AI3131"/>
          <cell r="AJ3131"/>
          <cell r="AK3131"/>
          <cell r="AL3131"/>
        </row>
        <row r="3132">
          <cell r="E3132"/>
          <cell r="F3132"/>
          <cell r="G3132"/>
          <cell r="H3132"/>
          <cell r="I3132"/>
          <cell r="J3132"/>
          <cell r="K3132"/>
          <cell r="L3132"/>
          <cell r="M3132"/>
          <cell r="N3132"/>
          <cell r="O3132"/>
          <cell r="P3132"/>
          <cell r="Q3132"/>
          <cell r="R3132"/>
          <cell r="S3132"/>
          <cell r="T3132"/>
          <cell r="U3132"/>
          <cell r="V3132"/>
          <cell r="W3132"/>
          <cell r="X3132"/>
          <cell r="Y3132"/>
          <cell r="Z3132"/>
          <cell r="AA3132"/>
          <cell r="AB3132"/>
          <cell r="AC3132"/>
          <cell r="AD3132"/>
          <cell r="AE3132"/>
          <cell r="AF3132"/>
          <cell r="AG3132"/>
          <cell r="AH3132"/>
          <cell r="AI3132"/>
          <cell r="AJ3132"/>
          <cell r="AK3132"/>
          <cell r="AL3132"/>
        </row>
        <row r="3133">
          <cell r="E3133"/>
          <cell r="F3133"/>
          <cell r="G3133"/>
          <cell r="H3133"/>
          <cell r="I3133"/>
          <cell r="J3133"/>
          <cell r="K3133"/>
          <cell r="L3133"/>
          <cell r="M3133"/>
          <cell r="N3133"/>
          <cell r="O3133"/>
          <cell r="P3133"/>
          <cell r="Q3133"/>
          <cell r="R3133"/>
          <cell r="S3133"/>
          <cell r="T3133"/>
          <cell r="U3133"/>
          <cell r="V3133"/>
          <cell r="W3133"/>
          <cell r="X3133"/>
          <cell r="Y3133"/>
          <cell r="Z3133"/>
          <cell r="AA3133"/>
          <cell r="AB3133"/>
          <cell r="AC3133"/>
          <cell r="AD3133"/>
          <cell r="AE3133"/>
          <cell r="AF3133"/>
          <cell r="AG3133"/>
          <cell r="AH3133"/>
          <cell r="AI3133"/>
          <cell r="AJ3133"/>
          <cell r="AK3133"/>
          <cell r="AL3133"/>
        </row>
        <row r="3134">
          <cell r="E3134"/>
          <cell r="F3134"/>
          <cell r="G3134"/>
          <cell r="H3134"/>
          <cell r="I3134"/>
          <cell r="J3134"/>
          <cell r="K3134"/>
          <cell r="L3134"/>
          <cell r="M3134"/>
          <cell r="N3134"/>
          <cell r="O3134"/>
          <cell r="P3134"/>
          <cell r="Q3134"/>
          <cell r="R3134"/>
          <cell r="S3134"/>
          <cell r="T3134"/>
          <cell r="U3134"/>
          <cell r="V3134"/>
          <cell r="W3134"/>
          <cell r="X3134"/>
          <cell r="Y3134"/>
          <cell r="Z3134"/>
          <cell r="AA3134"/>
          <cell r="AB3134"/>
          <cell r="AC3134"/>
          <cell r="AD3134"/>
          <cell r="AE3134"/>
          <cell r="AF3134"/>
          <cell r="AG3134"/>
          <cell r="AH3134"/>
          <cell r="AI3134"/>
          <cell r="AJ3134"/>
          <cell r="AK3134"/>
          <cell r="AL3134"/>
        </row>
        <row r="3135">
          <cell r="E3135"/>
          <cell r="F3135"/>
          <cell r="G3135"/>
          <cell r="H3135"/>
          <cell r="I3135"/>
          <cell r="J3135"/>
          <cell r="K3135"/>
          <cell r="L3135"/>
          <cell r="M3135"/>
          <cell r="N3135"/>
          <cell r="O3135"/>
          <cell r="P3135"/>
          <cell r="Q3135"/>
          <cell r="R3135"/>
          <cell r="S3135"/>
          <cell r="T3135"/>
          <cell r="U3135"/>
          <cell r="V3135"/>
          <cell r="W3135"/>
          <cell r="X3135"/>
          <cell r="Y3135"/>
          <cell r="Z3135"/>
          <cell r="AA3135"/>
          <cell r="AB3135"/>
          <cell r="AC3135"/>
          <cell r="AD3135"/>
          <cell r="AE3135"/>
          <cell r="AF3135"/>
          <cell r="AG3135"/>
          <cell r="AH3135"/>
          <cell r="AI3135"/>
          <cell r="AJ3135"/>
          <cell r="AK3135"/>
          <cell r="AL3135"/>
        </row>
        <row r="3136">
          <cell r="E3136"/>
          <cell r="F3136"/>
          <cell r="G3136"/>
          <cell r="H3136"/>
          <cell r="I3136"/>
          <cell r="J3136"/>
          <cell r="K3136"/>
          <cell r="L3136"/>
          <cell r="M3136"/>
          <cell r="N3136"/>
          <cell r="O3136"/>
          <cell r="P3136"/>
          <cell r="Q3136"/>
          <cell r="R3136"/>
          <cell r="S3136"/>
          <cell r="T3136"/>
          <cell r="U3136"/>
          <cell r="V3136"/>
          <cell r="W3136"/>
          <cell r="X3136"/>
          <cell r="Y3136"/>
          <cell r="Z3136"/>
          <cell r="AA3136"/>
          <cell r="AB3136"/>
          <cell r="AC3136"/>
          <cell r="AD3136"/>
          <cell r="AE3136"/>
          <cell r="AF3136"/>
          <cell r="AG3136"/>
          <cell r="AH3136"/>
          <cell r="AI3136"/>
          <cell r="AJ3136"/>
          <cell r="AK3136"/>
          <cell r="AL3136"/>
        </row>
        <row r="3137">
          <cell r="E3137"/>
          <cell r="F3137"/>
          <cell r="G3137"/>
          <cell r="H3137"/>
          <cell r="I3137"/>
          <cell r="J3137"/>
          <cell r="K3137"/>
          <cell r="L3137"/>
          <cell r="M3137"/>
          <cell r="N3137"/>
          <cell r="O3137"/>
          <cell r="P3137"/>
          <cell r="Q3137"/>
          <cell r="R3137"/>
          <cell r="S3137"/>
          <cell r="T3137"/>
          <cell r="U3137"/>
          <cell r="V3137"/>
          <cell r="W3137"/>
          <cell r="X3137"/>
          <cell r="Y3137"/>
          <cell r="Z3137"/>
          <cell r="AA3137"/>
          <cell r="AB3137"/>
          <cell r="AC3137"/>
          <cell r="AD3137"/>
          <cell r="AE3137"/>
          <cell r="AF3137"/>
          <cell r="AG3137"/>
          <cell r="AH3137"/>
          <cell r="AI3137"/>
          <cell r="AJ3137"/>
          <cell r="AK3137"/>
          <cell r="AL3137"/>
        </row>
        <row r="3138">
          <cell r="E3138"/>
          <cell r="F3138"/>
          <cell r="G3138"/>
          <cell r="H3138"/>
          <cell r="I3138"/>
          <cell r="J3138"/>
          <cell r="K3138"/>
          <cell r="L3138"/>
          <cell r="M3138"/>
          <cell r="N3138"/>
          <cell r="O3138"/>
          <cell r="P3138"/>
          <cell r="Q3138"/>
          <cell r="R3138"/>
          <cell r="S3138"/>
          <cell r="T3138"/>
          <cell r="U3138"/>
          <cell r="V3138"/>
          <cell r="W3138"/>
          <cell r="X3138"/>
          <cell r="Y3138"/>
          <cell r="Z3138"/>
          <cell r="AA3138"/>
          <cell r="AB3138"/>
          <cell r="AC3138"/>
          <cell r="AD3138"/>
          <cell r="AE3138"/>
          <cell r="AF3138"/>
          <cell r="AG3138"/>
          <cell r="AH3138"/>
          <cell r="AI3138"/>
          <cell r="AJ3138"/>
          <cell r="AK3138"/>
          <cell r="AL3138"/>
        </row>
        <row r="3139">
          <cell r="E3139"/>
          <cell r="F3139"/>
          <cell r="G3139"/>
          <cell r="H3139"/>
          <cell r="I3139"/>
          <cell r="J3139"/>
          <cell r="K3139"/>
          <cell r="L3139"/>
          <cell r="M3139"/>
          <cell r="N3139"/>
          <cell r="O3139"/>
          <cell r="P3139"/>
          <cell r="Q3139"/>
          <cell r="R3139"/>
          <cell r="S3139"/>
          <cell r="T3139"/>
          <cell r="U3139"/>
          <cell r="V3139"/>
          <cell r="W3139"/>
          <cell r="X3139"/>
          <cell r="Y3139"/>
          <cell r="Z3139"/>
          <cell r="AA3139"/>
          <cell r="AB3139"/>
          <cell r="AC3139"/>
          <cell r="AD3139"/>
          <cell r="AE3139"/>
          <cell r="AF3139"/>
          <cell r="AG3139"/>
          <cell r="AH3139"/>
          <cell r="AI3139"/>
          <cell r="AJ3139"/>
          <cell r="AK3139"/>
          <cell r="AL3139"/>
        </row>
        <row r="3140">
          <cell r="E3140"/>
          <cell r="F3140"/>
          <cell r="G3140"/>
          <cell r="H3140"/>
          <cell r="I3140"/>
          <cell r="J3140"/>
          <cell r="K3140"/>
          <cell r="L3140"/>
          <cell r="M3140"/>
          <cell r="N3140"/>
          <cell r="O3140"/>
          <cell r="P3140"/>
          <cell r="Q3140"/>
          <cell r="R3140"/>
          <cell r="S3140"/>
          <cell r="T3140"/>
          <cell r="U3140"/>
          <cell r="V3140"/>
          <cell r="W3140"/>
          <cell r="X3140"/>
          <cell r="Y3140"/>
          <cell r="Z3140"/>
          <cell r="AA3140"/>
          <cell r="AB3140"/>
          <cell r="AC3140"/>
          <cell r="AD3140"/>
          <cell r="AE3140"/>
          <cell r="AF3140"/>
          <cell r="AG3140"/>
          <cell r="AH3140"/>
          <cell r="AI3140"/>
          <cell r="AJ3140"/>
          <cell r="AK3140"/>
          <cell r="AL3140"/>
        </row>
        <row r="3141">
          <cell r="E3141"/>
          <cell r="F3141"/>
          <cell r="G3141"/>
          <cell r="H3141"/>
          <cell r="I3141"/>
          <cell r="J3141"/>
          <cell r="K3141"/>
          <cell r="L3141"/>
          <cell r="M3141"/>
          <cell r="N3141"/>
          <cell r="O3141"/>
          <cell r="P3141"/>
          <cell r="Q3141"/>
          <cell r="R3141"/>
          <cell r="S3141"/>
          <cell r="T3141"/>
          <cell r="U3141"/>
          <cell r="V3141"/>
          <cell r="W3141"/>
          <cell r="X3141"/>
          <cell r="Y3141"/>
          <cell r="Z3141"/>
          <cell r="AA3141"/>
          <cell r="AB3141"/>
          <cell r="AC3141"/>
          <cell r="AD3141"/>
          <cell r="AE3141"/>
          <cell r="AF3141"/>
          <cell r="AG3141"/>
          <cell r="AH3141"/>
          <cell r="AI3141"/>
          <cell r="AJ3141"/>
          <cell r="AK3141"/>
          <cell r="AL3141"/>
        </row>
        <row r="3142">
          <cell r="E3142"/>
          <cell r="F3142"/>
          <cell r="G3142"/>
          <cell r="H3142"/>
          <cell r="I3142"/>
          <cell r="J3142"/>
          <cell r="K3142"/>
          <cell r="L3142"/>
          <cell r="M3142"/>
          <cell r="N3142"/>
          <cell r="O3142"/>
          <cell r="P3142"/>
          <cell r="Q3142"/>
          <cell r="R3142"/>
          <cell r="S3142"/>
          <cell r="T3142"/>
          <cell r="U3142"/>
          <cell r="V3142"/>
          <cell r="W3142"/>
          <cell r="X3142"/>
          <cell r="Y3142"/>
          <cell r="Z3142"/>
          <cell r="AA3142"/>
          <cell r="AB3142"/>
          <cell r="AC3142"/>
          <cell r="AD3142"/>
          <cell r="AE3142"/>
          <cell r="AF3142"/>
          <cell r="AG3142"/>
          <cell r="AH3142"/>
          <cell r="AI3142"/>
          <cell r="AJ3142"/>
          <cell r="AK3142"/>
          <cell r="AL3142"/>
        </row>
        <row r="3143">
          <cell r="E3143"/>
          <cell r="F3143"/>
          <cell r="G3143"/>
          <cell r="H3143"/>
          <cell r="I3143"/>
          <cell r="J3143"/>
          <cell r="K3143"/>
          <cell r="L3143"/>
          <cell r="M3143"/>
          <cell r="N3143"/>
          <cell r="O3143"/>
          <cell r="P3143"/>
          <cell r="Q3143"/>
          <cell r="R3143"/>
          <cell r="S3143"/>
          <cell r="T3143"/>
          <cell r="U3143"/>
          <cell r="V3143"/>
          <cell r="W3143"/>
          <cell r="X3143"/>
          <cell r="Y3143"/>
          <cell r="Z3143"/>
          <cell r="AA3143"/>
          <cell r="AB3143"/>
          <cell r="AC3143"/>
          <cell r="AD3143"/>
          <cell r="AE3143"/>
          <cell r="AF3143"/>
          <cell r="AG3143"/>
          <cell r="AH3143"/>
          <cell r="AI3143"/>
          <cell r="AJ3143"/>
          <cell r="AK3143"/>
          <cell r="AL3143"/>
        </row>
        <row r="3144">
          <cell r="E3144"/>
          <cell r="F3144"/>
          <cell r="G3144"/>
          <cell r="H3144"/>
          <cell r="I3144"/>
          <cell r="J3144"/>
          <cell r="K3144"/>
          <cell r="L3144"/>
          <cell r="M3144"/>
          <cell r="N3144"/>
          <cell r="O3144"/>
          <cell r="P3144"/>
          <cell r="Q3144"/>
          <cell r="R3144"/>
          <cell r="S3144"/>
          <cell r="T3144"/>
          <cell r="U3144"/>
          <cell r="V3144"/>
          <cell r="W3144"/>
          <cell r="X3144"/>
          <cell r="Y3144"/>
          <cell r="Z3144"/>
          <cell r="AA3144"/>
          <cell r="AB3144"/>
          <cell r="AC3144"/>
          <cell r="AD3144"/>
          <cell r="AE3144"/>
          <cell r="AF3144"/>
          <cell r="AG3144"/>
          <cell r="AH3144"/>
          <cell r="AI3144"/>
          <cell r="AJ3144"/>
          <cell r="AK3144"/>
          <cell r="AL3144"/>
        </row>
        <row r="3145">
          <cell r="E3145"/>
          <cell r="F3145"/>
          <cell r="G3145"/>
          <cell r="H3145"/>
          <cell r="I3145"/>
          <cell r="J3145"/>
          <cell r="K3145"/>
          <cell r="L3145"/>
          <cell r="M3145"/>
          <cell r="N3145"/>
          <cell r="O3145"/>
          <cell r="P3145"/>
          <cell r="Q3145"/>
          <cell r="R3145"/>
          <cell r="S3145"/>
          <cell r="T3145"/>
          <cell r="U3145"/>
          <cell r="V3145"/>
          <cell r="W3145"/>
          <cell r="X3145"/>
          <cell r="Y3145"/>
          <cell r="Z3145"/>
          <cell r="AA3145"/>
          <cell r="AB3145"/>
          <cell r="AC3145"/>
          <cell r="AD3145"/>
          <cell r="AE3145"/>
          <cell r="AF3145"/>
          <cell r="AG3145"/>
          <cell r="AH3145"/>
          <cell r="AI3145"/>
          <cell r="AJ3145"/>
          <cell r="AK3145"/>
          <cell r="AL3145"/>
        </row>
        <row r="3146">
          <cell r="E3146"/>
          <cell r="F3146"/>
          <cell r="G3146"/>
          <cell r="H3146"/>
          <cell r="I3146"/>
          <cell r="J3146"/>
          <cell r="K3146"/>
          <cell r="L3146"/>
          <cell r="M3146"/>
          <cell r="N3146"/>
          <cell r="O3146"/>
          <cell r="P3146"/>
          <cell r="Q3146"/>
          <cell r="R3146"/>
          <cell r="S3146"/>
          <cell r="T3146"/>
          <cell r="U3146"/>
          <cell r="V3146"/>
          <cell r="W3146"/>
          <cell r="X3146"/>
          <cell r="Y3146"/>
          <cell r="Z3146"/>
          <cell r="AA3146"/>
          <cell r="AB3146"/>
          <cell r="AC3146"/>
          <cell r="AD3146"/>
          <cell r="AE3146"/>
          <cell r="AF3146"/>
          <cell r="AG3146"/>
          <cell r="AH3146"/>
          <cell r="AI3146"/>
          <cell r="AJ3146"/>
          <cell r="AK3146"/>
          <cell r="AL3146"/>
        </row>
        <row r="3147">
          <cell r="E3147"/>
          <cell r="F3147"/>
          <cell r="G3147"/>
          <cell r="H3147"/>
          <cell r="I3147"/>
          <cell r="J3147"/>
          <cell r="K3147"/>
          <cell r="L3147"/>
          <cell r="M3147"/>
          <cell r="N3147"/>
          <cell r="O3147"/>
          <cell r="P3147"/>
          <cell r="Q3147"/>
          <cell r="R3147"/>
          <cell r="S3147"/>
          <cell r="T3147"/>
          <cell r="U3147"/>
          <cell r="V3147"/>
          <cell r="W3147"/>
          <cell r="X3147"/>
          <cell r="Y3147"/>
          <cell r="Z3147"/>
          <cell r="AA3147"/>
          <cell r="AB3147"/>
          <cell r="AC3147"/>
          <cell r="AD3147"/>
          <cell r="AE3147"/>
          <cell r="AF3147"/>
          <cell r="AG3147"/>
          <cell r="AH3147"/>
          <cell r="AI3147"/>
          <cell r="AJ3147"/>
          <cell r="AK3147"/>
          <cell r="AL3147"/>
        </row>
        <row r="3148">
          <cell r="E3148"/>
          <cell r="F3148"/>
          <cell r="G3148"/>
          <cell r="H3148"/>
          <cell r="I3148"/>
          <cell r="J3148"/>
          <cell r="K3148"/>
          <cell r="L3148"/>
          <cell r="M3148"/>
          <cell r="N3148"/>
          <cell r="O3148"/>
          <cell r="P3148"/>
          <cell r="Q3148"/>
          <cell r="R3148"/>
          <cell r="S3148"/>
          <cell r="T3148"/>
          <cell r="U3148"/>
          <cell r="V3148"/>
          <cell r="W3148"/>
          <cell r="X3148"/>
          <cell r="Y3148"/>
          <cell r="Z3148"/>
          <cell r="AA3148"/>
          <cell r="AB3148"/>
          <cell r="AC3148"/>
          <cell r="AD3148"/>
          <cell r="AE3148"/>
          <cell r="AF3148"/>
          <cell r="AG3148"/>
          <cell r="AH3148"/>
          <cell r="AI3148"/>
          <cell r="AJ3148"/>
          <cell r="AK3148"/>
          <cell r="AL3148"/>
        </row>
        <row r="3149">
          <cell r="E3149"/>
          <cell r="F3149"/>
          <cell r="G3149"/>
          <cell r="H3149"/>
          <cell r="I3149"/>
          <cell r="J3149"/>
          <cell r="K3149"/>
          <cell r="L3149"/>
          <cell r="M3149"/>
          <cell r="N3149"/>
          <cell r="O3149"/>
          <cell r="P3149"/>
          <cell r="Q3149"/>
          <cell r="R3149"/>
          <cell r="S3149"/>
          <cell r="T3149"/>
          <cell r="U3149"/>
          <cell r="V3149"/>
          <cell r="W3149"/>
          <cell r="X3149"/>
          <cell r="Y3149"/>
          <cell r="Z3149"/>
          <cell r="AA3149"/>
          <cell r="AB3149"/>
          <cell r="AC3149"/>
          <cell r="AD3149"/>
          <cell r="AE3149"/>
          <cell r="AF3149"/>
          <cell r="AG3149"/>
          <cell r="AH3149"/>
          <cell r="AI3149"/>
          <cell r="AJ3149"/>
          <cell r="AK3149"/>
          <cell r="AL3149"/>
        </row>
        <row r="3150">
          <cell r="E3150" t="str">
            <v>避雷導線 13/2.0</v>
          </cell>
          <cell r="F3150" t="str">
            <v>ｍ</v>
          </cell>
          <cell r="G3150"/>
          <cell r="H3150">
            <v>430</v>
          </cell>
          <cell r="I3150"/>
          <cell r="J3150">
            <v>430</v>
          </cell>
          <cell r="K3150"/>
          <cell r="L3150">
            <v>430</v>
          </cell>
          <cell r="M3150"/>
          <cell r="N3150">
            <v>430</v>
          </cell>
          <cell r="O3150"/>
          <cell r="P3150">
            <v>430</v>
          </cell>
          <cell r="Q3150"/>
          <cell r="R3150">
            <v>430</v>
          </cell>
          <cell r="S3150"/>
          <cell r="T3150">
            <v>430</v>
          </cell>
          <cell r="U3150"/>
          <cell r="V3150">
            <v>430</v>
          </cell>
          <cell r="W3150"/>
          <cell r="X3150">
            <v>430</v>
          </cell>
          <cell r="Y3150"/>
          <cell r="Z3150">
            <v>430</v>
          </cell>
          <cell r="AA3150"/>
          <cell r="AB3150"/>
          <cell r="AC3150"/>
          <cell r="AD3150">
            <v>0.122</v>
          </cell>
          <cell r="AE3150"/>
          <cell r="AF3150"/>
          <cell r="AG3150"/>
          <cell r="AH3150"/>
          <cell r="AI3150"/>
          <cell r="AJ3150"/>
          <cell r="AK3150"/>
          <cell r="AL3150"/>
        </row>
        <row r="3151">
          <cell r="E3151" t="str">
            <v>避雷導線 19/2.0</v>
          </cell>
          <cell r="F3151" t="str">
            <v>ｍ</v>
          </cell>
          <cell r="G3151"/>
          <cell r="H3151">
            <v>630</v>
          </cell>
          <cell r="I3151"/>
          <cell r="J3151">
            <v>630</v>
          </cell>
          <cell r="K3151"/>
          <cell r="L3151">
            <v>630</v>
          </cell>
          <cell r="M3151"/>
          <cell r="N3151">
            <v>630</v>
          </cell>
          <cell r="O3151"/>
          <cell r="P3151">
            <v>630</v>
          </cell>
          <cell r="Q3151"/>
          <cell r="R3151">
            <v>630</v>
          </cell>
          <cell r="S3151"/>
          <cell r="T3151">
            <v>630</v>
          </cell>
          <cell r="U3151"/>
          <cell r="V3151">
            <v>630</v>
          </cell>
          <cell r="W3151"/>
          <cell r="X3151">
            <v>630</v>
          </cell>
          <cell r="Y3151"/>
          <cell r="Z3151">
            <v>630</v>
          </cell>
          <cell r="AA3151"/>
          <cell r="AB3151"/>
          <cell r="AC3151"/>
          <cell r="AD3151">
            <v>0.16</v>
          </cell>
          <cell r="AE3151"/>
          <cell r="AF3151"/>
          <cell r="AG3151"/>
          <cell r="AH3151"/>
          <cell r="AI3151"/>
          <cell r="AJ3151"/>
          <cell r="AK3151"/>
          <cell r="AL3151"/>
        </row>
        <row r="3152">
          <cell r="E3152" t="str">
            <v>導体取付金物 露出 40mmsq</v>
          </cell>
          <cell r="F3152" t="str">
            <v>個</v>
          </cell>
          <cell r="G3152"/>
          <cell r="H3152">
            <v>600</v>
          </cell>
          <cell r="I3152"/>
          <cell r="J3152">
            <v>600</v>
          </cell>
          <cell r="K3152"/>
          <cell r="L3152">
            <v>600</v>
          </cell>
          <cell r="M3152"/>
          <cell r="N3152">
            <v>600</v>
          </cell>
          <cell r="O3152"/>
          <cell r="P3152">
            <v>600</v>
          </cell>
          <cell r="Q3152"/>
          <cell r="R3152">
            <v>600</v>
          </cell>
          <cell r="S3152"/>
          <cell r="T3152">
            <v>600</v>
          </cell>
          <cell r="U3152"/>
          <cell r="V3152">
            <v>600</v>
          </cell>
          <cell r="W3152"/>
          <cell r="X3152">
            <v>600</v>
          </cell>
          <cell r="Y3152"/>
          <cell r="Z3152">
            <v>600</v>
          </cell>
          <cell r="AA3152"/>
          <cell r="AB3152"/>
          <cell r="AC3152"/>
          <cell r="AD3152">
            <v>0.01</v>
          </cell>
          <cell r="AE3152"/>
          <cell r="AF3152"/>
          <cell r="AG3152"/>
          <cell r="AH3152"/>
          <cell r="AI3152"/>
          <cell r="AJ3152"/>
          <cell r="AK3152"/>
          <cell r="AL3152"/>
        </row>
        <row r="3153">
          <cell r="E3153" t="str">
            <v>導体取付金物 露出 60mmsq</v>
          </cell>
          <cell r="F3153" t="str">
            <v>個</v>
          </cell>
          <cell r="G3153"/>
          <cell r="H3153">
            <v>600</v>
          </cell>
          <cell r="I3153"/>
          <cell r="J3153">
            <v>600</v>
          </cell>
          <cell r="K3153"/>
          <cell r="L3153">
            <v>600</v>
          </cell>
          <cell r="M3153"/>
          <cell r="N3153">
            <v>600</v>
          </cell>
          <cell r="O3153"/>
          <cell r="P3153">
            <v>600</v>
          </cell>
          <cell r="Q3153"/>
          <cell r="R3153">
            <v>600</v>
          </cell>
          <cell r="S3153"/>
          <cell r="T3153">
            <v>600</v>
          </cell>
          <cell r="U3153"/>
          <cell r="V3153">
            <v>600</v>
          </cell>
          <cell r="W3153"/>
          <cell r="X3153">
            <v>600</v>
          </cell>
          <cell r="Y3153"/>
          <cell r="Z3153">
            <v>600</v>
          </cell>
          <cell r="AA3153"/>
          <cell r="AB3153"/>
          <cell r="AC3153"/>
          <cell r="AD3153">
            <v>0.01</v>
          </cell>
          <cell r="AE3153"/>
          <cell r="AF3153"/>
          <cell r="AG3153"/>
          <cell r="AH3153"/>
          <cell r="AI3153"/>
          <cell r="AJ3153"/>
          <cell r="AK3153"/>
          <cell r="AL3153"/>
        </row>
        <row r="3154">
          <cell r="E3154" t="str">
            <v>突針 JIS 中型</v>
          </cell>
          <cell r="F3154" t="str">
            <v>基</v>
          </cell>
          <cell r="G3154"/>
          <cell r="H3154">
            <v>10400</v>
          </cell>
          <cell r="I3154"/>
          <cell r="J3154">
            <v>10400</v>
          </cell>
          <cell r="K3154"/>
          <cell r="L3154">
            <v>10400</v>
          </cell>
          <cell r="M3154"/>
          <cell r="N3154">
            <v>10400</v>
          </cell>
          <cell r="O3154"/>
          <cell r="P3154">
            <v>10400</v>
          </cell>
          <cell r="Q3154"/>
          <cell r="R3154">
            <v>10400</v>
          </cell>
          <cell r="S3154"/>
          <cell r="T3154">
            <v>10400</v>
          </cell>
          <cell r="U3154"/>
          <cell r="V3154">
            <v>10400</v>
          </cell>
          <cell r="W3154"/>
          <cell r="X3154">
            <v>10400</v>
          </cell>
          <cell r="Y3154"/>
          <cell r="Z3154">
            <v>10400</v>
          </cell>
          <cell r="AA3154"/>
          <cell r="AB3154"/>
          <cell r="AC3154"/>
          <cell r="AD3154">
            <v>2.7</v>
          </cell>
          <cell r="AE3154"/>
          <cell r="AF3154"/>
          <cell r="AG3154"/>
          <cell r="AH3154"/>
          <cell r="AI3154"/>
          <cell r="AJ3154"/>
          <cell r="AK3154"/>
          <cell r="AL3154"/>
        </row>
        <row r="3155">
          <cell r="E3155" t="str">
            <v>突針 JIS 大型</v>
          </cell>
          <cell r="F3155" t="str">
            <v>基</v>
          </cell>
          <cell r="G3155"/>
          <cell r="H3155">
            <v>12400</v>
          </cell>
          <cell r="I3155"/>
          <cell r="J3155">
            <v>12400</v>
          </cell>
          <cell r="K3155"/>
          <cell r="L3155">
            <v>12400</v>
          </cell>
          <cell r="M3155"/>
          <cell r="N3155">
            <v>12400</v>
          </cell>
          <cell r="O3155"/>
          <cell r="P3155">
            <v>12400</v>
          </cell>
          <cell r="Q3155"/>
          <cell r="R3155">
            <v>12400</v>
          </cell>
          <cell r="S3155"/>
          <cell r="T3155">
            <v>12400</v>
          </cell>
          <cell r="U3155"/>
          <cell r="V3155">
            <v>12400</v>
          </cell>
          <cell r="W3155"/>
          <cell r="X3155">
            <v>12400</v>
          </cell>
          <cell r="Y3155"/>
          <cell r="Z3155">
            <v>12400</v>
          </cell>
          <cell r="AA3155"/>
          <cell r="AB3155"/>
          <cell r="AC3155"/>
          <cell r="AD3155">
            <v>2.7</v>
          </cell>
          <cell r="AE3155"/>
          <cell r="AF3155"/>
          <cell r="AG3155"/>
          <cell r="AH3155"/>
          <cell r="AI3155"/>
          <cell r="AJ3155"/>
          <cell r="AK3155"/>
          <cell r="AL3155"/>
        </row>
        <row r="3156">
          <cell r="E3156" t="str">
            <v>突針 国土交通省型</v>
          </cell>
          <cell r="F3156" t="str">
            <v>基</v>
          </cell>
          <cell r="G3156"/>
          <cell r="H3156">
            <v>11600</v>
          </cell>
          <cell r="I3156"/>
          <cell r="J3156">
            <v>11600</v>
          </cell>
          <cell r="K3156"/>
          <cell r="L3156">
            <v>11600</v>
          </cell>
          <cell r="M3156"/>
          <cell r="N3156">
            <v>11600</v>
          </cell>
          <cell r="O3156"/>
          <cell r="P3156">
            <v>11600</v>
          </cell>
          <cell r="Q3156"/>
          <cell r="R3156">
            <v>11600</v>
          </cell>
          <cell r="S3156"/>
          <cell r="T3156">
            <v>11600</v>
          </cell>
          <cell r="U3156"/>
          <cell r="V3156">
            <v>11600</v>
          </cell>
          <cell r="W3156"/>
          <cell r="X3156">
            <v>11600</v>
          </cell>
          <cell r="Y3156"/>
          <cell r="Z3156">
            <v>11600</v>
          </cell>
          <cell r="AA3156"/>
          <cell r="AB3156"/>
          <cell r="AC3156"/>
          <cell r="AD3156">
            <v>2.7</v>
          </cell>
          <cell r="AE3156"/>
          <cell r="AF3156"/>
          <cell r="AG3156"/>
          <cell r="AH3156"/>
          <cell r="AI3156"/>
          <cell r="AJ3156"/>
          <cell r="AK3156"/>
          <cell r="AL3156"/>
        </row>
        <row r="3157">
          <cell r="E3157" t="str">
            <v>突針 都市再生機構型</v>
          </cell>
          <cell r="F3157" t="str">
            <v>基</v>
          </cell>
          <cell r="G3157"/>
          <cell r="H3157">
            <v>11200</v>
          </cell>
          <cell r="I3157"/>
          <cell r="J3157">
            <v>11200</v>
          </cell>
          <cell r="K3157"/>
          <cell r="L3157">
            <v>11200</v>
          </cell>
          <cell r="M3157"/>
          <cell r="N3157">
            <v>11200</v>
          </cell>
          <cell r="O3157"/>
          <cell r="P3157">
            <v>11200</v>
          </cell>
          <cell r="Q3157"/>
          <cell r="R3157">
            <v>11200</v>
          </cell>
          <cell r="S3157"/>
          <cell r="T3157">
            <v>11200</v>
          </cell>
          <cell r="U3157"/>
          <cell r="V3157">
            <v>11200</v>
          </cell>
          <cell r="W3157"/>
          <cell r="X3157">
            <v>11200</v>
          </cell>
          <cell r="Y3157"/>
          <cell r="Z3157">
            <v>11200</v>
          </cell>
          <cell r="AA3157"/>
          <cell r="AB3157"/>
          <cell r="AC3157"/>
          <cell r="AD3157">
            <v>2.7</v>
          </cell>
          <cell r="AE3157"/>
          <cell r="AF3157"/>
          <cell r="AG3157"/>
          <cell r="AH3157"/>
          <cell r="AI3157"/>
          <cell r="AJ3157"/>
          <cell r="AK3157"/>
          <cell r="AL3157"/>
        </row>
        <row r="3158">
          <cell r="E3158" t="str">
            <v>突針 NTT型</v>
          </cell>
          <cell r="F3158" t="str">
            <v>基</v>
          </cell>
          <cell r="G3158"/>
          <cell r="H3158">
            <v>11200</v>
          </cell>
          <cell r="I3158"/>
          <cell r="J3158">
            <v>11200</v>
          </cell>
          <cell r="K3158"/>
          <cell r="L3158">
            <v>11200</v>
          </cell>
          <cell r="M3158"/>
          <cell r="N3158">
            <v>11200</v>
          </cell>
          <cell r="O3158"/>
          <cell r="P3158">
            <v>11200</v>
          </cell>
          <cell r="Q3158"/>
          <cell r="R3158">
            <v>11200</v>
          </cell>
          <cell r="S3158"/>
          <cell r="T3158">
            <v>11200</v>
          </cell>
          <cell r="U3158"/>
          <cell r="V3158">
            <v>11200</v>
          </cell>
          <cell r="W3158"/>
          <cell r="X3158">
            <v>11200</v>
          </cell>
          <cell r="Y3158"/>
          <cell r="Z3158">
            <v>11200</v>
          </cell>
          <cell r="AA3158"/>
          <cell r="AB3158"/>
          <cell r="AC3158"/>
          <cell r="AD3158">
            <v>2.7</v>
          </cell>
          <cell r="AE3158"/>
          <cell r="AF3158"/>
          <cell r="AG3158"/>
          <cell r="AH3158"/>
          <cell r="AI3158"/>
          <cell r="AJ3158"/>
          <cell r="AK3158"/>
          <cell r="AL3158"/>
        </row>
        <row r="3159">
          <cell r="E3159" t="str">
            <v>側壁型 φ48.6 4m STK</v>
          </cell>
          <cell r="F3159" t="str">
            <v>本</v>
          </cell>
          <cell r="G3159"/>
          <cell r="H3159">
            <v>17700</v>
          </cell>
          <cell r="I3159"/>
          <cell r="J3159">
            <v>17700</v>
          </cell>
          <cell r="K3159"/>
          <cell r="L3159">
            <v>17700</v>
          </cell>
          <cell r="M3159"/>
          <cell r="N3159">
            <v>17700</v>
          </cell>
          <cell r="O3159"/>
          <cell r="P3159">
            <v>17700</v>
          </cell>
          <cell r="Q3159"/>
          <cell r="R3159">
            <v>17700</v>
          </cell>
          <cell r="S3159"/>
          <cell r="T3159">
            <v>17700</v>
          </cell>
          <cell r="U3159"/>
          <cell r="V3159">
            <v>17700</v>
          </cell>
          <cell r="W3159"/>
          <cell r="X3159">
            <v>17700</v>
          </cell>
          <cell r="Y3159"/>
          <cell r="Z3159">
            <v>17700</v>
          </cell>
          <cell r="AA3159"/>
          <cell r="AB3159"/>
          <cell r="AC3159"/>
          <cell r="AD3159">
            <v>0.7</v>
          </cell>
          <cell r="AE3159"/>
          <cell r="AF3159"/>
          <cell r="AG3159"/>
          <cell r="AH3159"/>
          <cell r="AI3159"/>
          <cell r="AJ3159"/>
          <cell r="AK3159"/>
          <cell r="AL3159"/>
        </row>
        <row r="3160">
          <cell r="E3160" t="str">
            <v>側壁型 φ48.6 5m STK</v>
          </cell>
          <cell r="F3160" t="str">
            <v>本</v>
          </cell>
          <cell r="G3160"/>
          <cell r="H3160">
            <v>19800</v>
          </cell>
          <cell r="I3160"/>
          <cell r="J3160">
            <v>19800</v>
          </cell>
          <cell r="K3160"/>
          <cell r="L3160">
            <v>19800</v>
          </cell>
          <cell r="M3160"/>
          <cell r="N3160">
            <v>19800</v>
          </cell>
          <cell r="O3160"/>
          <cell r="P3160">
            <v>19800</v>
          </cell>
          <cell r="Q3160"/>
          <cell r="R3160">
            <v>19800</v>
          </cell>
          <cell r="S3160"/>
          <cell r="T3160">
            <v>19800</v>
          </cell>
          <cell r="U3160"/>
          <cell r="V3160">
            <v>19800</v>
          </cell>
          <cell r="W3160"/>
          <cell r="X3160">
            <v>19800</v>
          </cell>
          <cell r="Y3160"/>
          <cell r="Z3160">
            <v>19800</v>
          </cell>
          <cell r="AA3160"/>
          <cell r="AB3160"/>
          <cell r="AC3160"/>
          <cell r="AD3160">
            <v>0.8</v>
          </cell>
          <cell r="AE3160"/>
          <cell r="AF3160"/>
          <cell r="AG3160"/>
          <cell r="AH3160"/>
          <cell r="AI3160"/>
          <cell r="AJ3160"/>
          <cell r="AK3160"/>
          <cell r="AL3160"/>
        </row>
        <row r="3161">
          <cell r="E3161" t="str">
            <v>側壁型 φ48.6～60.3 6m STK</v>
          </cell>
          <cell r="F3161" t="str">
            <v>本</v>
          </cell>
          <cell r="G3161"/>
          <cell r="H3161">
            <v>28400</v>
          </cell>
          <cell r="I3161"/>
          <cell r="J3161">
            <v>28400</v>
          </cell>
          <cell r="K3161"/>
          <cell r="L3161">
            <v>28400</v>
          </cell>
          <cell r="M3161"/>
          <cell r="N3161">
            <v>28400</v>
          </cell>
          <cell r="O3161"/>
          <cell r="P3161">
            <v>28400</v>
          </cell>
          <cell r="Q3161"/>
          <cell r="R3161">
            <v>28400</v>
          </cell>
          <cell r="S3161"/>
          <cell r="T3161">
            <v>28400</v>
          </cell>
          <cell r="U3161"/>
          <cell r="V3161">
            <v>28400</v>
          </cell>
          <cell r="W3161"/>
          <cell r="X3161">
            <v>28400</v>
          </cell>
          <cell r="Y3161"/>
          <cell r="Z3161">
            <v>28400</v>
          </cell>
          <cell r="AA3161"/>
          <cell r="AB3161"/>
          <cell r="AC3161"/>
          <cell r="AD3161">
            <v>0.9</v>
          </cell>
          <cell r="AE3161"/>
          <cell r="AF3161"/>
          <cell r="AG3161"/>
          <cell r="AH3161"/>
          <cell r="AI3161"/>
          <cell r="AJ3161"/>
          <cell r="AK3161"/>
          <cell r="AL3161"/>
        </row>
        <row r="3162">
          <cell r="E3162" t="str">
            <v>側壁型 φ48.6～76.3 6m STK</v>
          </cell>
          <cell r="F3162" t="str">
            <v>本</v>
          </cell>
          <cell r="G3162"/>
          <cell r="H3162">
            <v>41800</v>
          </cell>
          <cell r="I3162"/>
          <cell r="J3162">
            <v>41800</v>
          </cell>
          <cell r="K3162"/>
          <cell r="L3162">
            <v>41800</v>
          </cell>
          <cell r="M3162"/>
          <cell r="N3162">
            <v>41800</v>
          </cell>
          <cell r="O3162"/>
          <cell r="P3162">
            <v>41800</v>
          </cell>
          <cell r="Q3162"/>
          <cell r="R3162">
            <v>41800</v>
          </cell>
          <cell r="S3162"/>
          <cell r="T3162">
            <v>41800</v>
          </cell>
          <cell r="U3162"/>
          <cell r="V3162">
            <v>41800</v>
          </cell>
          <cell r="W3162"/>
          <cell r="X3162">
            <v>41800</v>
          </cell>
          <cell r="Y3162"/>
          <cell r="Z3162">
            <v>41800</v>
          </cell>
          <cell r="AA3162"/>
          <cell r="AB3162"/>
          <cell r="AC3162"/>
          <cell r="AD3162">
            <v>0.9</v>
          </cell>
          <cell r="AE3162"/>
          <cell r="AF3162"/>
          <cell r="AG3162"/>
          <cell r="AH3162"/>
          <cell r="AI3162"/>
          <cell r="AJ3162"/>
          <cell r="AK3162"/>
          <cell r="AL3162"/>
        </row>
        <row r="3163">
          <cell r="E3163" t="str">
            <v>側壁型 φ48.6～76.3 7m STK</v>
          </cell>
          <cell r="F3163" t="str">
            <v>本</v>
          </cell>
          <cell r="G3163"/>
          <cell r="H3163">
            <v>44700</v>
          </cell>
          <cell r="I3163"/>
          <cell r="J3163">
            <v>44700</v>
          </cell>
          <cell r="K3163"/>
          <cell r="L3163">
            <v>44700</v>
          </cell>
          <cell r="M3163"/>
          <cell r="N3163">
            <v>44700</v>
          </cell>
          <cell r="O3163"/>
          <cell r="P3163">
            <v>44700</v>
          </cell>
          <cell r="Q3163"/>
          <cell r="R3163">
            <v>44700</v>
          </cell>
          <cell r="S3163"/>
          <cell r="T3163">
            <v>44700</v>
          </cell>
          <cell r="U3163"/>
          <cell r="V3163">
            <v>44700</v>
          </cell>
          <cell r="W3163"/>
          <cell r="X3163">
            <v>44700</v>
          </cell>
          <cell r="Y3163"/>
          <cell r="Z3163">
            <v>44700</v>
          </cell>
          <cell r="AA3163"/>
          <cell r="AB3163"/>
          <cell r="AC3163"/>
          <cell r="AD3163">
            <v>1</v>
          </cell>
          <cell r="AE3163"/>
          <cell r="AF3163"/>
          <cell r="AG3163"/>
          <cell r="AH3163"/>
          <cell r="AI3163"/>
          <cell r="AJ3163"/>
          <cell r="AK3163"/>
          <cell r="AL3163"/>
        </row>
        <row r="3164">
          <cell r="E3164" t="str">
            <v>側壁型 φ48.6～76.3 8m STK</v>
          </cell>
          <cell r="F3164" t="str">
            <v>本</v>
          </cell>
          <cell r="G3164"/>
          <cell r="H3164">
            <v>48200</v>
          </cell>
          <cell r="I3164"/>
          <cell r="J3164">
            <v>48200</v>
          </cell>
          <cell r="K3164"/>
          <cell r="L3164">
            <v>48200</v>
          </cell>
          <cell r="M3164"/>
          <cell r="N3164">
            <v>48200</v>
          </cell>
          <cell r="O3164"/>
          <cell r="P3164">
            <v>48200</v>
          </cell>
          <cell r="Q3164"/>
          <cell r="R3164">
            <v>48200</v>
          </cell>
          <cell r="S3164"/>
          <cell r="T3164">
            <v>48200</v>
          </cell>
          <cell r="U3164"/>
          <cell r="V3164">
            <v>48200</v>
          </cell>
          <cell r="W3164"/>
          <cell r="X3164">
            <v>48200</v>
          </cell>
          <cell r="Y3164"/>
          <cell r="Z3164">
            <v>48200</v>
          </cell>
          <cell r="AA3164"/>
          <cell r="AB3164"/>
          <cell r="AC3164"/>
          <cell r="AD3164">
            <v>1.1000000000000001</v>
          </cell>
          <cell r="AE3164"/>
          <cell r="AF3164"/>
          <cell r="AG3164"/>
          <cell r="AH3164"/>
          <cell r="AI3164"/>
          <cell r="AJ3164"/>
          <cell r="AK3164"/>
          <cell r="AL3164"/>
        </row>
        <row r="3165">
          <cell r="E3165" t="str">
            <v>側壁型 φ60.5～89.1 7m STK</v>
          </cell>
          <cell r="F3165" t="str">
            <v>本</v>
          </cell>
          <cell r="G3165"/>
          <cell r="H3165">
            <v>52500</v>
          </cell>
          <cell r="I3165"/>
          <cell r="J3165">
            <v>52500</v>
          </cell>
          <cell r="K3165"/>
          <cell r="L3165">
            <v>52500</v>
          </cell>
          <cell r="M3165"/>
          <cell r="N3165">
            <v>52500</v>
          </cell>
          <cell r="O3165"/>
          <cell r="P3165">
            <v>52500</v>
          </cell>
          <cell r="Q3165"/>
          <cell r="R3165">
            <v>52500</v>
          </cell>
          <cell r="S3165"/>
          <cell r="T3165">
            <v>52500</v>
          </cell>
          <cell r="U3165"/>
          <cell r="V3165">
            <v>52500</v>
          </cell>
          <cell r="W3165"/>
          <cell r="X3165">
            <v>52500</v>
          </cell>
          <cell r="Y3165"/>
          <cell r="Z3165">
            <v>52500</v>
          </cell>
          <cell r="AA3165"/>
          <cell r="AB3165"/>
          <cell r="AC3165"/>
          <cell r="AD3165">
            <v>1</v>
          </cell>
          <cell r="AE3165"/>
          <cell r="AF3165"/>
          <cell r="AG3165"/>
          <cell r="AH3165"/>
          <cell r="AI3165"/>
          <cell r="AJ3165"/>
          <cell r="AK3165"/>
          <cell r="AL3165"/>
        </row>
        <row r="3166">
          <cell r="E3166" t="str">
            <v>側壁型 φ60.5～89.1 8m STK</v>
          </cell>
          <cell r="F3166" t="str">
            <v>本</v>
          </cell>
          <cell r="G3166"/>
          <cell r="H3166">
            <v>56000</v>
          </cell>
          <cell r="I3166"/>
          <cell r="J3166">
            <v>56000</v>
          </cell>
          <cell r="K3166"/>
          <cell r="L3166">
            <v>56000</v>
          </cell>
          <cell r="M3166"/>
          <cell r="N3166">
            <v>56000</v>
          </cell>
          <cell r="O3166"/>
          <cell r="P3166">
            <v>56000</v>
          </cell>
          <cell r="Q3166"/>
          <cell r="R3166">
            <v>56000</v>
          </cell>
          <cell r="S3166"/>
          <cell r="T3166">
            <v>56000</v>
          </cell>
          <cell r="U3166"/>
          <cell r="V3166">
            <v>56000</v>
          </cell>
          <cell r="W3166"/>
          <cell r="X3166">
            <v>56000</v>
          </cell>
          <cell r="Y3166"/>
          <cell r="Z3166">
            <v>56000</v>
          </cell>
          <cell r="AA3166"/>
          <cell r="AB3166"/>
          <cell r="AC3166"/>
          <cell r="AD3166">
            <v>1.1000000000000001</v>
          </cell>
          <cell r="AE3166"/>
          <cell r="AF3166"/>
          <cell r="AG3166"/>
          <cell r="AH3166"/>
          <cell r="AI3166"/>
          <cell r="AJ3166"/>
          <cell r="AK3166"/>
          <cell r="AL3166"/>
        </row>
        <row r="3167">
          <cell r="E3167" t="str">
            <v>側壁型 φ48.6 5m SUS</v>
          </cell>
          <cell r="F3167" t="str">
            <v>本</v>
          </cell>
          <cell r="G3167"/>
          <cell r="H3167">
            <v>21600</v>
          </cell>
          <cell r="I3167"/>
          <cell r="J3167">
            <v>21600</v>
          </cell>
          <cell r="K3167"/>
          <cell r="L3167">
            <v>21600</v>
          </cell>
          <cell r="M3167"/>
          <cell r="N3167">
            <v>21600</v>
          </cell>
          <cell r="O3167"/>
          <cell r="P3167">
            <v>21600</v>
          </cell>
          <cell r="Q3167"/>
          <cell r="R3167">
            <v>21600</v>
          </cell>
          <cell r="S3167"/>
          <cell r="T3167">
            <v>21600</v>
          </cell>
          <cell r="U3167"/>
          <cell r="V3167">
            <v>21600</v>
          </cell>
          <cell r="W3167"/>
          <cell r="X3167">
            <v>21600</v>
          </cell>
          <cell r="Y3167"/>
          <cell r="Z3167">
            <v>21600</v>
          </cell>
          <cell r="AA3167"/>
          <cell r="AB3167"/>
          <cell r="AC3167"/>
          <cell r="AD3167">
            <v>0.8</v>
          </cell>
          <cell r="AE3167"/>
          <cell r="AF3167"/>
          <cell r="AG3167"/>
          <cell r="AH3167"/>
          <cell r="AI3167"/>
          <cell r="AJ3167"/>
          <cell r="AK3167"/>
          <cell r="AL3167"/>
        </row>
        <row r="3168">
          <cell r="E3168" t="str">
            <v>側壁型 φ48.6～60.5 5m STK</v>
          </cell>
          <cell r="F3168" t="str">
            <v>本</v>
          </cell>
          <cell r="G3168"/>
          <cell r="H3168">
            <v>34400</v>
          </cell>
          <cell r="I3168"/>
          <cell r="J3168">
            <v>34400</v>
          </cell>
          <cell r="K3168"/>
          <cell r="L3168">
            <v>34400</v>
          </cell>
          <cell r="M3168"/>
          <cell r="N3168">
            <v>34400</v>
          </cell>
          <cell r="O3168"/>
          <cell r="P3168">
            <v>34400</v>
          </cell>
          <cell r="Q3168"/>
          <cell r="R3168">
            <v>34400</v>
          </cell>
          <cell r="S3168"/>
          <cell r="T3168">
            <v>34400</v>
          </cell>
          <cell r="U3168"/>
          <cell r="V3168">
            <v>34400</v>
          </cell>
          <cell r="W3168"/>
          <cell r="X3168">
            <v>34400</v>
          </cell>
          <cell r="Y3168"/>
          <cell r="Z3168">
            <v>34400</v>
          </cell>
          <cell r="AA3168"/>
          <cell r="AB3168"/>
          <cell r="AC3168"/>
          <cell r="AD3168">
            <v>0.9</v>
          </cell>
          <cell r="AE3168"/>
          <cell r="AF3168"/>
          <cell r="AG3168"/>
          <cell r="AH3168"/>
          <cell r="AI3168"/>
          <cell r="AJ3168"/>
          <cell r="AK3168"/>
          <cell r="AL3168"/>
        </row>
        <row r="3169">
          <cell r="E3169" t="str">
            <v>側壁型 φ48.6～60.5 6m STK</v>
          </cell>
          <cell r="F3169" t="str">
            <v>本</v>
          </cell>
          <cell r="G3169"/>
          <cell r="H3169">
            <v>39200</v>
          </cell>
          <cell r="I3169"/>
          <cell r="J3169">
            <v>39200</v>
          </cell>
          <cell r="K3169"/>
          <cell r="L3169">
            <v>39200</v>
          </cell>
          <cell r="M3169"/>
          <cell r="N3169">
            <v>39200</v>
          </cell>
          <cell r="O3169"/>
          <cell r="P3169">
            <v>39200</v>
          </cell>
          <cell r="Q3169"/>
          <cell r="R3169">
            <v>39200</v>
          </cell>
          <cell r="S3169"/>
          <cell r="T3169">
            <v>39200</v>
          </cell>
          <cell r="U3169"/>
          <cell r="V3169">
            <v>39200</v>
          </cell>
          <cell r="W3169"/>
          <cell r="X3169">
            <v>39200</v>
          </cell>
          <cell r="Y3169"/>
          <cell r="Z3169">
            <v>39200</v>
          </cell>
          <cell r="AA3169"/>
          <cell r="AB3169"/>
          <cell r="AC3169"/>
          <cell r="AD3169">
            <v>0.9</v>
          </cell>
          <cell r="AE3169"/>
          <cell r="AF3169"/>
          <cell r="AG3169"/>
          <cell r="AH3169"/>
          <cell r="AI3169"/>
          <cell r="AJ3169"/>
          <cell r="AK3169"/>
          <cell r="AL3169"/>
        </row>
        <row r="3170">
          <cell r="E3170" t="str">
            <v>側壁型 φ48.6～76.3 6m STK</v>
          </cell>
          <cell r="F3170" t="str">
            <v>本</v>
          </cell>
          <cell r="G3170"/>
          <cell r="H3170">
            <v>44000</v>
          </cell>
          <cell r="I3170"/>
          <cell r="J3170">
            <v>44000</v>
          </cell>
          <cell r="K3170"/>
          <cell r="L3170">
            <v>44000</v>
          </cell>
          <cell r="M3170"/>
          <cell r="N3170">
            <v>44000</v>
          </cell>
          <cell r="O3170"/>
          <cell r="P3170">
            <v>44000</v>
          </cell>
          <cell r="Q3170"/>
          <cell r="R3170">
            <v>44000</v>
          </cell>
          <cell r="S3170"/>
          <cell r="T3170">
            <v>44000</v>
          </cell>
          <cell r="U3170"/>
          <cell r="V3170">
            <v>44000</v>
          </cell>
          <cell r="W3170"/>
          <cell r="X3170">
            <v>44000</v>
          </cell>
          <cell r="Y3170"/>
          <cell r="Z3170">
            <v>44000</v>
          </cell>
          <cell r="AA3170"/>
          <cell r="AB3170"/>
          <cell r="AC3170"/>
          <cell r="AD3170">
            <v>0.9</v>
          </cell>
          <cell r="AE3170"/>
          <cell r="AF3170"/>
          <cell r="AG3170"/>
          <cell r="AH3170"/>
          <cell r="AI3170"/>
          <cell r="AJ3170"/>
          <cell r="AK3170"/>
          <cell r="AL3170"/>
        </row>
        <row r="3171">
          <cell r="E3171" t="str">
            <v>側壁型 φ48.6～76.3 7m STK</v>
          </cell>
          <cell r="F3171" t="str">
            <v>本</v>
          </cell>
          <cell r="G3171"/>
          <cell r="H3171">
            <v>48800</v>
          </cell>
          <cell r="I3171"/>
          <cell r="J3171">
            <v>48800</v>
          </cell>
          <cell r="K3171"/>
          <cell r="L3171">
            <v>48800</v>
          </cell>
          <cell r="M3171"/>
          <cell r="N3171">
            <v>48800</v>
          </cell>
          <cell r="O3171"/>
          <cell r="P3171">
            <v>48800</v>
          </cell>
          <cell r="Q3171"/>
          <cell r="R3171">
            <v>48800</v>
          </cell>
          <cell r="S3171"/>
          <cell r="T3171">
            <v>48800</v>
          </cell>
          <cell r="U3171"/>
          <cell r="V3171">
            <v>48800</v>
          </cell>
          <cell r="W3171"/>
          <cell r="X3171">
            <v>48800</v>
          </cell>
          <cell r="Y3171"/>
          <cell r="Z3171">
            <v>48800</v>
          </cell>
          <cell r="AA3171"/>
          <cell r="AB3171"/>
          <cell r="AC3171"/>
          <cell r="AD3171">
            <v>1</v>
          </cell>
          <cell r="AE3171"/>
          <cell r="AF3171"/>
          <cell r="AG3171"/>
          <cell r="AH3171"/>
          <cell r="AI3171"/>
          <cell r="AJ3171"/>
          <cell r="AK3171"/>
          <cell r="AL3171"/>
        </row>
        <row r="3172">
          <cell r="E3172" t="str">
            <v>側壁型 φ48.6～89.1 7m STK</v>
          </cell>
          <cell r="F3172" t="str">
            <v>本</v>
          </cell>
          <cell r="G3172"/>
          <cell r="H3172">
            <v>52800</v>
          </cell>
          <cell r="I3172"/>
          <cell r="J3172">
            <v>52800</v>
          </cell>
          <cell r="K3172"/>
          <cell r="L3172">
            <v>52800</v>
          </cell>
          <cell r="M3172"/>
          <cell r="N3172">
            <v>52800</v>
          </cell>
          <cell r="O3172"/>
          <cell r="P3172">
            <v>52800</v>
          </cell>
          <cell r="Q3172"/>
          <cell r="R3172">
            <v>52800</v>
          </cell>
          <cell r="S3172"/>
          <cell r="T3172">
            <v>52800</v>
          </cell>
          <cell r="U3172"/>
          <cell r="V3172">
            <v>52800</v>
          </cell>
          <cell r="W3172"/>
          <cell r="X3172">
            <v>52800</v>
          </cell>
          <cell r="Y3172"/>
          <cell r="Z3172">
            <v>52800</v>
          </cell>
          <cell r="AA3172"/>
          <cell r="AB3172"/>
          <cell r="AC3172"/>
          <cell r="AD3172">
            <v>1</v>
          </cell>
          <cell r="AE3172"/>
          <cell r="AF3172"/>
          <cell r="AG3172"/>
          <cell r="AH3172"/>
          <cell r="AI3172"/>
          <cell r="AJ3172"/>
          <cell r="AK3172"/>
          <cell r="AL3172"/>
        </row>
        <row r="3173">
          <cell r="E3173" t="str">
            <v>支持管 自立型 φ60.5 4m STK</v>
          </cell>
          <cell r="F3173" t="str">
            <v>本</v>
          </cell>
          <cell r="G3173"/>
          <cell r="H3173">
            <v>21300</v>
          </cell>
          <cell r="I3173"/>
          <cell r="J3173">
            <v>21300</v>
          </cell>
          <cell r="K3173"/>
          <cell r="L3173">
            <v>21300</v>
          </cell>
          <cell r="M3173"/>
          <cell r="N3173">
            <v>21300</v>
          </cell>
          <cell r="O3173"/>
          <cell r="P3173">
            <v>21300</v>
          </cell>
          <cell r="Q3173"/>
          <cell r="R3173">
            <v>21300</v>
          </cell>
          <cell r="S3173"/>
          <cell r="T3173">
            <v>21300</v>
          </cell>
          <cell r="U3173"/>
          <cell r="V3173">
            <v>21300</v>
          </cell>
          <cell r="W3173"/>
          <cell r="X3173">
            <v>21300</v>
          </cell>
          <cell r="Y3173"/>
          <cell r="Z3173">
            <v>21300</v>
          </cell>
          <cell r="AA3173"/>
          <cell r="AB3173"/>
          <cell r="AC3173"/>
          <cell r="AD3173">
            <v>0.7</v>
          </cell>
          <cell r="AE3173"/>
          <cell r="AF3173"/>
          <cell r="AG3173"/>
          <cell r="AH3173"/>
          <cell r="AI3173"/>
          <cell r="AJ3173"/>
          <cell r="AK3173"/>
          <cell r="AL3173"/>
        </row>
        <row r="3174">
          <cell r="E3174" t="str">
            <v>支持管 自立型 φ60.5 5m STK</v>
          </cell>
          <cell r="F3174" t="str">
            <v>本</v>
          </cell>
          <cell r="G3174"/>
          <cell r="H3174">
            <v>23400</v>
          </cell>
          <cell r="I3174"/>
          <cell r="J3174">
            <v>23400</v>
          </cell>
          <cell r="K3174"/>
          <cell r="L3174">
            <v>23400</v>
          </cell>
          <cell r="M3174"/>
          <cell r="N3174">
            <v>23400</v>
          </cell>
          <cell r="O3174"/>
          <cell r="P3174">
            <v>23400</v>
          </cell>
          <cell r="Q3174"/>
          <cell r="R3174">
            <v>23400</v>
          </cell>
          <cell r="S3174"/>
          <cell r="T3174">
            <v>23400</v>
          </cell>
          <cell r="U3174"/>
          <cell r="V3174">
            <v>23400</v>
          </cell>
          <cell r="W3174"/>
          <cell r="X3174">
            <v>23400</v>
          </cell>
          <cell r="Y3174"/>
          <cell r="Z3174">
            <v>23400</v>
          </cell>
          <cell r="AA3174"/>
          <cell r="AB3174"/>
          <cell r="AC3174"/>
          <cell r="AD3174">
            <v>0.8</v>
          </cell>
          <cell r="AE3174"/>
          <cell r="AF3174"/>
          <cell r="AG3174"/>
          <cell r="AH3174"/>
          <cell r="AI3174"/>
          <cell r="AJ3174"/>
          <cell r="AK3174"/>
          <cell r="AL3174"/>
        </row>
        <row r="3175">
          <cell r="E3175" t="str">
            <v>支持管 自立型 φ76.3 5m STK</v>
          </cell>
          <cell r="F3175" t="str">
            <v>本</v>
          </cell>
          <cell r="G3175"/>
          <cell r="H3175">
            <v>36900</v>
          </cell>
          <cell r="I3175"/>
          <cell r="J3175">
            <v>36900</v>
          </cell>
          <cell r="K3175"/>
          <cell r="L3175">
            <v>36900</v>
          </cell>
          <cell r="M3175"/>
          <cell r="N3175">
            <v>36900</v>
          </cell>
          <cell r="O3175"/>
          <cell r="P3175">
            <v>36900</v>
          </cell>
          <cell r="Q3175"/>
          <cell r="R3175">
            <v>36900</v>
          </cell>
          <cell r="S3175"/>
          <cell r="T3175">
            <v>36900</v>
          </cell>
          <cell r="U3175"/>
          <cell r="V3175">
            <v>36900</v>
          </cell>
          <cell r="W3175"/>
          <cell r="X3175">
            <v>36900</v>
          </cell>
          <cell r="Y3175"/>
          <cell r="Z3175">
            <v>36900</v>
          </cell>
          <cell r="AA3175"/>
          <cell r="AB3175"/>
          <cell r="AC3175"/>
          <cell r="AD3175">
            <v>0.8</v>
          </cell>
          <cell r="AE3175"/>
          <cell r="AF3175"/>
          <cell r="AG3175"/>
          <cell r="AH3175"/>
          <cell r="AI3175"/>
          <cell r="AJ3175"/>
          <cell r="AK3175"/>
          <cell r="AL3175"/>
        </row>
        <row r="3176">
          <cell r="E3176" t="str">
            <v>支持管 自立型 φ48.6～76.3 6m STK</v>
          </cell>
          <cell r="F3176" t="str">
            <v>本</v>
          </cell>
          <cell r="G3176"/>
          <cell r="H3176">
            <v>41800</v>
          </cell>
          <cell r="I3176"/>
          <cell r="J3176">
            <v>41800</v>
          </cell>
          <cell r="K3176"/>
          <cell r="L3176">
            <v>41800</v>
          </cell>
          <cell r="M3176"/>
          <cell r="N3176">
            <v>41800</v>
          </cell>
          <cell r="O3176"/>
          <cell r="P3176">
            <v>41800</v>
          </cell>
          <cell r="Q3176"/>
          <cell r="R3176">
            <v>41800</v>
          </cell>
          <cell r="S3176"/>
          <cell r="T3176">
            <v>41800</v>
          </cell>
          <cell r="U3176"/>
          <cell r="V3176">
            <v>41800</v>
          </cell>
          <cell r="W3176"/>
          <cell r="X3176">
            <v>41800</v>
          </cell>
          <cell r="Y3176"/>
          <cell r="Z3176">
            <v>41800</v>
          </cell>
          <cell r="AA3176"/>
          <cell r="AB3176"/>
          <cell r="AC3176"/>
          <cell r="AD3176">
            <v>0.9</v>
          </cell>
          <cell r="AE3176"/>
          <cell r="AF3176"/>
          <cell r="AG3176"/>
          <cell r="AH3176"/>
          <cell r="AI3176"/>
          <cell r="AJ3176"/>
          <cell r="AK3176"/>
          <cell r="AL3176"/>
        </row>
        <row r="3177">
          <cell r="E3177" t="str">
            <v>支持管 自立型 φ60.5～89.1 6m STK</v>
          </cell>
          <cell r="F3177" t="str">
            <v>本</v>
          </cell>
          <cell r="G3177"/>
          <cell r="H3177">
            <v>48200</v>
          </cell>
          <cell r="I3177"/>
          <cell r="J3177">
            <v>48200</v>
          </cell>
          <cell r="K3177"/>
          <cell r="L3177">
            <v>48200</v>
          </cell>
          <cell r="M3177"/>
          <cell r="N3177">
            <v>48200</v>
          </cell>
          <cell r="O3177"/>
          <cell r="P3177">
            <v>48200</v>
          </cell>
          <cell r="Q3177"/>
          <cell r="R3177">
            <v>48200</v>
          </cell>
          <cell r="S3177"/>
          <cell r="T3177">
            <v>48200</v>
          </cell>
          <cell r="U3177"/>
          <cell r="V3177">
            <v>48200</v>
          </cell>
          <cell r="W3177"/>
          <cell r="X3177">
            <v>48200</v>
          </cell>
          <cell r="Y3177"/>
          <cell r="Z3177">
            <v>48200</v>
          </cell>
          <cell r="AA3177"/>
          <cell r="AB3177"/>
          <cell r="AC3177"/>
          <cell r="AD3177">
            <v>0.9</v>
          </cell>
          <cell r="AE3177"/>
          <cell r="AF3177"/>
          <cell r="AG3177"/>
          <cell r="AH3177"/>
          <cell r="AI3177"/>
          <cell r="AJ3177"/>
          <cell r="AK3177"/>
          <cell r="AL3177"/>
        </row>
        <row r="3178">
          <cell r="E3178" t="str">
            <v>支持管 自立型 φ60.5～89.1 7m STK</v>
          </cell>
          <cell r="F3178" t="str">
            <v>本</v>
          </cell>
          <cell r="G3178"/>
          <cell r="H3178">
            <v>52500</v>
          </cell>
          <cell r="I3178"/>
          <cell r="J3178">
            <v>52500</v>
          </cell>
          <cell r="K3178"/>
          <cell r="L3178">
            <v>52500</v>
          </cell>
          <cell r="M3178"/>
          <cell r="N3178">
            <v>52500</v>
          </cell>
          <cell r="O3178"/>
          <cell r="P3178">
            <v>52500</v>
          </cell>
          <cell r="Q3178"/>
          <cell r="R3178">
            <v>52500</v>
          </cell>
          <cell r="S3178"/>
          <cell r="T3178">
            <v>52500</v>
          </cell>
          <cell r="U3178"/>
          <cell r="V3178">
            <v>52500</v>
          </cell>
          <cell r="W3178"/>
          <cell r="X3178">
            <v>52500</v>
          </cell>
          <cell r="Y3178"/>
          <cell r="Z3178">
            <v>52500</v>
          </cell>
          <cell r="AA3178"/>
          <cell r="AB3178"/>
          <cell r="AC3178"/>
          <cell r="AD3178">
            <v>1</v>
          </cell>
          <cell r="AE3178"/>
          <cell r="AF3178"/>
          <cell r="AG3178"/>
          <cell r="AH3178"/>
          <cell r="AI3178"/>
          <cell r="AJ3178"/>
          <cell r="AK3178"/>
          <cell r="AL3178"/>
        </row>
        <row r="3179">
          <cell r="E3179" t="str">
            <v>支持管 自立型 φ76.3～101.6 7m STK</v>
          </cell>
          <cell r="F3179" t="str">
            <v>本</v>
          </cell>
          <cell r="G3179"/>
          <cell r="H3179">
            <v>64600</v>
          </cell>
          <cell r="I3179"/>
          <cell r="J3179">
            <v>64600</v>
          </cell>
          <cell r="K3179"/>
          <cell r="L3179">
            <v>64600</v>
          </cell>
          <cell r="M3179"/>
          <cell r="N3179">
            <v>64600</v>
          </cell>
          <cell r="O3179"/>
          <cell r="P3179">
            <v>64600</v>
          </cell>
          <cell r="Q3179"/>
          <cell r="R3179">
            <v>64600</v>
          </cell>
          <cell r="S3179"/>
          <cell r="T3179">
            <v>64600</v>
          </cell>
          <cell r="U3179"/>
          <cell r="V3179">
            <v>64600</v>
          </cell>
          <cell r="W3179"/>
          <cell r="X3179">
            <v>64600</v>
          </cell>
          <cell r="Y3179"/>
          <cell r="Z3179">
            <v>64600</v>
          </cell>
          <cell r="AA3179"/>
          <cell r="AB3179"/>
          <cell r="AC3179"/>
          <cell r="AD3179">
            <v>1.1000000000000001</v>
          </cell>
          <cell r="AE3179"/>
          <cell r="AF3179"/>
          <cell r="AG3179"/>
          <cell r="AH3179"/>
          <cell r="AI3179"/>
          <cell r="AJ3179"/>
          <cell r="AK3179"/>
          <cell r="AL3179"/>
        </row>
        <row r="3180">
          <cell r="E3180" t="str">
            <v>支持管 自立型 φ76.3～101.6 8m STK</v>
          </cell>
          <cell r="F3180" t="str">
            <v>本</v>
          </cell>
          <cell r="G3180"/>
          <cell r="H3180">
            <v>71000</v>
          </cell>
          <cell r="I3180"/>
          <cell r="J3180">
            <v>71000</v>
          </cell>
          <cell r="K3180"/>
          <cell r="L3180">
            <v>71000</v>
          </cell>
          <cell r="M3180"/>
          <cell r="N3180">
            <v>71000</v>
          </cell>
          <cell r="O3180"/>
          <cell r="P3180">
            <v>71000</v>
          </cell>
          <cell r="Q3180"/>
          <cell r="R3180">
            <v>71000</v>
          </cell>
          <cell r="S3180"/>
          <cell r="T3180">
            <v>71000</v>
          </cell>
          <cell r="U3180"/>
          <cell r="V3180">
            <v>71000</v>
          </cell>
          <cell r="W3180"/>
          <cell r="X3180">
            <v>71000</v>
          </cell>
          <cell r="Y3180"/>
          <cell r="Z3180">
            <v>71000</v>
          </cell>
          <cell r="AA3180"/>
          <cell r="AB3180"/>
          <cell r="AC3180"/>
          <cell r="AD3180">
            <v>1.1000000000000001</v>
          </cell>
          <cell r="AE3180"/>
          <cell r="AF3180"/>
          <cell r="AG3180"/>
          <cell r="AH3180"/>
          <cell r="AI3180"/>
          <cell r="AJ3180"/>
          <cell r="AK3180"/>
          <cell r="AL3180"/>
        </row>
        <row r="3181">
          <cell r="E3181" t="str">
            <v>支持管 自立型 φ76.3～114.3 8m STK</v>
          </cell>
          <cell r="F3181" t="str">
            <v>本</v>
          </cell>
          <cell r="G3181"/>
          <cell r="H3181">
            <v>78100</v>
          </cell>
          <cell r="I3181"/>
          <cell r="J3181">
            <v>78100</v>
          </cell>
          <cell r="K3181"/>
          <cell r="L3181">
            <v>78100</v>
          </cell>
          <cell r="M3181"/>
          <cell r="N3181">
            <v>78100</v>
          </cell>
          <cell r="O3181"/>
          <cell r="P3181">
            <v>78100</v>
          </cell>
          <cell r="Q3181"/>
          <cell r="R3181">
            <v>78100</v>
          </cell>
          <cell r="S3181"/>
          <cell r="T3181">
            <v>78100</v>
          </cell>
          <cell r="U3181"/>
          <cell r="V3181">
            <v>78100</v>
          </cell>
          <cell r="W3181"/>
          <cell r="X3181">
            <v>78100</v>
          </cell>
          <cell r="Y3181"/>
          <cell r="Z3181">
            <v>78100</v>
          </cell>
          <cell r="AA3181"/>
          <cell r="AB3181"/>
          <cell r="AC3181"/>
          <cell r="AD3181">
            <v>1.1000000000000001</v>
          </cell>
          <cell r="AE3181"/>
          <cell r="AF3181"/>
          <cell r="AG3181"/>
          <cell r="AH3181"/>
          <cell r="AI3181"/>
          <cell r="AJ3181"/>
          <cell r="AK3181"/>
          <cell r="AL3181"/>
        </row>
        <row r="3182">
          <cell r="E3182" t="str">
            <v>支持管 自立型 アルミテーパーポール 10m</v>
          </cell>
          <cell r="F3182" t="str">
            <v>本</v>
          </cell>
          <cell r="G3182"/>
          <cell r="H3182">
            <v>316000</v>
          </cell>
          <cell r="I3182"/>
          <cell r="J3182">
            <v>316000</v>
          </cell>
          <cell r="K3182"/>
          <cell r="L3182">
            <v>316000</v>
          </cell>
          <cell r="M3182"/>
          <cell r="N3182">
            <v>316000</v>
          </cell>
          <cell r="O3182"/>
          <cell r="P3182">
            <v>316000</v>
          </cell>
          <cell r="Q3182"/>
          <cell r="R3182">
            <v>316000</v>
          </cell>
          <cell r="S3182"/>
          <cell r="T3182">
            <v>316000</v>
          </cell>
          <cell r="U3182"/>
          <cell r="V3182">
            <v>316000</v>
          </cell>
          <cell r="W3182"/>
          <cell r="X3182">
            <v>316000</v>
          </cell>
          <cell r="Y3182"/>
          <cell r="Z3182">
            <v>316000</v>
          </cell>
          <cell r="AA3182"/>
          <cell r="AB3182"/>
          <cell r="AC3182"/>
          <cell r="AD3182">
            <v>1.3</v>
          </cell>
          <cell r="AE3182"/>
          <cell r="AF3182"/>
          <cell r="AG3182"/>
          <cell r="AH3182"/>
          <cell r="AI3182"/>
          <cell r="AJ3182"/>
          <cell r="AK3182"/>
          <cell r="AL3182" t="str">
            <v>昭和アルミポール</v>
          </cell>
        </row>
        <row r="3183">
          <cell r="E3183" t="str">
            <v>支持管 自立型 アルミテーパーポール 12m</v>
          </cell>
          <cell r="F3183" t="str">
            <v>本</v>
          </cell>
          <cell r="G3183"/>
          <cell r="H3183">
            <v>361000</v>
          </cell>
          <cell r="I3183"/>
          <cell r="J3183">
            <v>361000</v>
          </cell>
          <cell r="K3183"/>
          <cell r="L3183">
            <v>361000</v>
          </cell>
          <cell r="M3183"/>
          <cell r="N3183">
            <v>361000</v>
          </cell>
          <cell r="O3183"/>
          <cell r="P3183">
            <v>361000</v>
          </cell>
          <cell r="Q3183"/>
          <cell r="R3183">
            <v>361000</v>
          </cell>
          <cell r="S3183"/>
          <cell r="T3183">
            <v>361000</v>
          </cell>
          <cell r="U3183"/>
          <cell r="V3183">
            <v>361000</v>
          </cell>
          <cell r="W3183"/>
          <cell r="X3183">
            <v>361000</v>
          </cell>
          <cell r="Y3183"/>
          <cell r="Z3183">
            <v>361000</v>
          </cell>
          <cell r="AA3183"/>
          <cell r="AB3183"/>
          <cell r="AC3183"/>
          <cell r="AD3183">
            <v>1.5</v>
          </cell>
          <cell r="AE3183"/>
          <cell r="AF3183"/>
          <cell r="AG3183"/>
          <cell r="AH3183"/>
          <cell r="AI3183"/>
          <cell r="AJ3183"/>
          <cell r="AK3183"/>
          <cell r="AL3183" t="str">
            <v>昭和アルミポール</v>
          </cell>
        </row>
        <row r="3184">
          <cell r="E3184" t="str">
            <v>支持管取付台 φ48.6用</v>
          </cell>
          <cell r="F3184" t="str">
            <v>台</v>
          </cell>
          <cell r="G3184"/>
          <cell r="H3184">
            <v>22000</v>
          </cell>
          <cell r="I3184"/>
          <cell r="J3184">
            <v>22000</v>
          </cell>
          <cell r="K3184"/>
          <cell r="L3184">
            <v>22000</v>
          </cell>
          <cell r="M3184"/>
          <cell r="N3184">
            <v>22000</v>
          </cell>
          <cell r="O3184"/>
          <cell r="P3184">
            <v>22000</v>
          </cell>
          <cell r="Q3184"/>
          <cell r="R3184">
            <v>22000</v>
          </cell>
          <cell r="S3184"/>
          <cell r="T3184">
            <v>22000</v>
          </cell>
          <cell r="U3184"/>
          <cell r="V3184">
            <v>22000</v>
          </cell>
          <cell r="W3184"/>
          <cell r="X3184">
            <v>22000</v>
          </cell>
          <cell r="Y3184"/>
          <cell r="Z3184">
            <v>22000</v>
          </cell>
          <cell r="AA3184"/>
          <cell r="AB3184"/>
          <cell r="AC3184"/>
          <cell r="AD3184">
            <v>0.05</v>
          </cell>
          <cell r="AE3184"/>
          <cell r="AF3184"/>
          <cell r="AG3184"/>
          <cell r="AH3184"/>
          <cell r="AI3184"/>
          <cell r="AJ3184"/>
          <cell r="AK3184"/>
          <cell r="AL3184"/>
        </row>
        <row r="3185">
          <cell r="E3185" t="str">
            <v>支持管取付台 φ60.5用</v>
          </cell>
          <cell r="F3185" t="str">
            <v>台</v>
          </cell>
          <cell r="G3185"/>
          <cell r="H3185">
            <v>24400</v>
          </cell>
          <cell r="I3185"/>
          <cell r="J3185">
            <v>24400</v>
          </cell>
          <cell r="K3185"/>
          <cell r="L3185">
            <v>24400</v>
          </cell>
          <cell r="M3185"/>
          <cell r="N3185">
            <v>24400</v>
          </cell>
          <cell r="O3185"/>
          <cell r="P3185">
            <v>24400</v>
          </cell>
          <cell r="Q3185"/>
          <cell r="R3185">
            <v>24400</v>
          </cell>
          <cell r="S3185"/>
          <cell r="T3185">
            <v>24400</v>
          </cell>
          <cell r="U3185"/>
          <cell r="V3185">
            <v>24400</v>
          </cell>
          <cell r="W3185"/>
          <cell r="X3185">
            <v>24400</v>
          </cell>
          <cell r="Y3185"/>
          <cell r="Z3185">
            <v>24400</v>
          </cell>
          <cell r="AA3185"/>
          <cell r="AB3185"/>
          <cell r="AC3185"/>
          <cell r="AD3185">
            <v>0.05</v>
          </cell>
          <cell r="AE3185"/>
          <cell r="AF3185"/>
          <cell r="AG3185"/>
          <cell r="AH3185"/>
          <cell r="AI3185"/>
          <cell r="AJ3185"/>
          <cell r="AK3185"/>
          <cell r="AL3185"/>
        </row>
        <row r="3186">
          <cell r="E3186" t="str">
            <v>支持管取付台 φ76.3用</v>
          </cell>
          <cell r="F3186" t="str">
            <v>台</v>
          </cell>
          <cell r="G3186"/>
          <cell r="H3186">
            <v>30300</v>
          </cell>
          <cell r="I3186"/>
          <cell r="J3186">
            <v>30300</v>
          </cell>
          <cell r="K3186"/>
          <cell r="L3186">
            <v>30300</v>
          </cell>
          <cell r="M3186"/>
          <cell r="N3186">
            <v>30300</v>
          </cell>
          <cell r="O3186"/>
          <cell r="P3186">
            <v>30300</v>
          </cell>
          <cell r="Q3186"/>
          <cell r="R3186">
            <v>30300</v>
          </cell>
          <cell r="S3186"/>
          <cell r="T3186">
            <v>30300</v>
          </cell>
          <cell r="U3186"/>
          <cell r="V3186">
            <v>30300</v>
          </cell>
          <cell r="W3186"/>
          <cell r="X3186">
            <v>30300</v>
          </cell>
          <cell r="Y3186"/>
          <cell r="Z3186">
            <v>30300</v>
          </cell>
          <cell r="AA3186"/>
          <cell r="AB3186"/>
          <cell r="AC3186"/>
          <cell r="AD3186">
            <v>0.05</v>
          </cell>
          <cell r="AE3186"/>
          <cell r="AF3186"/>
          <cell r="AG3186"/>
          <cell r="AH3186"/>
          <cell r="AI3186"/>
          <cell r="AJ3186"/>
          <cell r="AK3186"/>
          <cell r="AL3186"/>
        </row>
        <row r="3187">
          <cell r="E3187" t="str">
            <v>支持管取付台 φ89.1用</v>
          </cell>
          <cell r="F3187" t="str">
            <v>台</v>
          </cell>
          <cell r="G3187"/>
          <cell r="H3187">
            <v>35400</v>
          </cell>
          <cell r="I3187"/>
          <cell r="J3187">
            <v>35400</v>
          </cell>
          <cell r="K3187"/>
          <cell r="L3187">
            <v>35400</v>
          </cell>
          <cell r="M3187"/>
          <cell r="N3187">
            <v>35400</v>
          </cell>
          <cell r="O3187"/>
          <cell r="P3187">
            <v>35400</v>
          </cell>
          <cell r="Q3187"/>
          <cell r="R3187">
            <v>35400</v>
          </cell>
          <cell r="S3187"/>
          <cell r="T3187">
            <v>35400</v>
          </cell>
          <cell r="U3187"/>
          <cell r="V3187">
            <v>35400</v>
          </cell>
          <cell r="W3187"/>
          <cell r="X3187">
            <v>35400</v>
          </cell>
          <cell r="Y3187"/>
          <cell r="Z3187">
            <v>35400</v>
          </cell>
          <cell r="AA3187"/>
          <cell r="AB3187"/>
          <cell r="AC3187"/>
          <cell r="AD3187">
            <v>0.05</v>
          </cell>
          <cell r="AE3187"/>
          <cell r="AF3187"/>
          <cell r="AG3187"/>
          <cell r="AH3187"/>
          <cell r="AI3187"/>
          <cell r="AJ3187"/>
          <cell r="AK3187"/>
          <cell r="AL3187"/>
        </row>
        <row r="3188">
          <cell r="E3188" t="str">
            <v>支持管取付台 φ101.6用</v>
          </cell>
          <cell r="F3188" t="str">
            <v>台</v>
          </cell>
          <cell r="G3188"/>
          <cell r="H3188">
            <v>39600</v>
          </cell>
          <cell r="I3188"/>
          <cell r="J3188">
            <v>39600</v>
          </cell>
          <cell r="K3188"/>
          <cell r="L3188">
            <v>39600</v>
          </cell>
          <cell r="M3188"/>
          <cell r="N3188">
            <v>39600</v>
          </cell>
          <cell r="O3188"/>
          <cell r="P3188">
            <v>39600</v>
          </cell>
          <cell r="Q3188"/>
          <cell r="R3188">
            <v>39600</v>
          </cell>
          <cell r="S3188"/>
          <cell r="T3188">
            <v>39600</v>
          </cell>
          <cell r="U3188"/>
          <cell r="V3188">
            <v>39600</v>
          </cell>
          <cell r="W3188"/>
          <cell r="X3188">
            <v>39600</v>
          </cell>
          <cell r="Y3188"/>
          <cell r="Z3188">
            <v>39600</v>
          </cell>
          <cell r="AA3188"/>
          <cell r="AB3188"/>
          <cell r="AC3188"/>
          <cell r="AD3188">
            <v>0.05</v>
          </cell>
          <cell r="AE3188"/>
          <cell r="AF3188"/>
          <cell r="AG3188"/>
          <cell r="AH3188"/>
          <cell r="AI3188"/>
          <cell r="AJ3188"/>
          <cell r="AK3188"/>
          <cell r="AL3188"/>
        </row>
        <row r="3189">
          <cell r="E3189" t="str">
            <v>導線引出金物 鉄骨用 黄銅製端子</v>
          </cell>
          <cell r="F3189" t="str">
            <v>個</v>
          </cell>
          <cell r="G3189"/>
          <cell r="H3189">
            <v>2880</v>
          </cell>
          <cell r="I3189"/>
          <cell r="J3189">
            <v>2880</v>
          </cell>
          <cell r="K3189"/>
          <cell r="L3189">
            <v>2880</v>
          </cell>
          <cell r="M3189"/>
          <cell r="N3189">
            <v>2880</v>
          </cell>
          <cell r="O3189"/>
          <cell r="P3189">
            <v>2880</v>
          </cell>
          <cell r="Q3189"/>
          <cell r="R3189">
            <v>2880</v>
          </cell>
          <cell r="S3189"/>
          <cell r="T3189">
            <v>2880</v>
          </cell>
          <cell r="U3189"/>
          <cell r="V3189">
            <v>2880</v>
          </cell>
          <cell r="W3189"/>
          <cell r="X3189">
            <v>2880</v>
          </cell>
          <cell r="Y3189"/>
          <cell r="Z3189">
            <v>2880</v>
          </cell>
          <cell r="AA3189"/>
          <cell r="AB3189"/>
          <cell r="AC3189"/>
          <cell r="AD3189">
            <v>0.05</v>
          </cell>
          <cell r="AE3189"/>
          <cell r="AF3189"/>
          <cell r="AG3189"/>
          <cell r="AH3189"/>
          <cell r="AI3189"/>
          <cell r="AJ3189"/>
          <cell r="AK3189"/>
          <cell r="AL3189"/>
        </row>
        <row r="3190">
          <cell r="E3190" t="str">
            <v>接続端子 直線型</v>
          </cell>
          <cell r="F3190" t="str">
            <v>個</v>
          </cell>
          <cell r="G3190"/>
          <cell r="H3190">
            <v>2270</v>
          </cell>
          <cell r="I3190"/>
          <cell r="J3190">
            <v>2270</v>
          </cell>
          <cell r="K3190"/>
          <cell r="L3190">
            <v>2270</v>
          </cell>
          <cell r="M3190"/>
          <cell r="N3190">
            <v>2270</v>
          </cell>
          <cell r="O3190"/>
          <cell r="P3190">
            <v>2270</v>
          </cell>
          <cell r="Q3190"/>
          <cell r="R3190">
            <v>2270</v>
          </cell>
          <cell r="S3190"/>
          <cell r="T3190">
            <v>2270</v>
          </cell>
          <cell r="U3190"/>
          <cell r="V3190">
            <v>2270</v>
          </cell>
          <cell r="W3190"/>
          <cell r="X3190">
            <v>2270</v>
          </cell>
          <cell r="Y3190"/>
          <cell r="Z3190">
            <v>2270</v>
          </cell>
          <cell r="AA3190"/>
          <cell r="AB3190"/>
          <cell r="AC3190"/>
          <cell r="AD3190">
            <v>0.05</v>
          </cell>
          <cell r="AE3190"/>
          <cell r="AF3190"/>
          <cell r="AG3190"/>
          <cell r="AH3190"/>
          <cell r="AI3190"/>
          <cell r="AJ3190"/>
          <cell r="AK3190"/>
          <cell r="AL3190"/>
        </row>
        <row r="3191">
          <cell r="E3191" t="str">
            <v>接続端子 Ｔ型</v>
          </cell>
          <cell r="F3191" t="str">
            <v>個</v>
          </cell>
          <cell r="G3191"/>
          <cell r="H3191">
            <v>5390</v>
          </cell>
          <cell r="I3191"/>
          <cell r="J3191">
            <v>5390</v>
          </cell>
          <cell r="K3191"/>
          <cell r="L3191">
            <v>5390</v>
          </cell>
          <cell r="M3191"/>
          <cell r="N3191">
            <v>5390</v>
          </cell>
          <cell r="O3191"/>
          <cell r="P3191">
            <v>5390</v>
          </cell>
          <cell r="Q3191"/>
          <cell r="R3191">
            <v>5390</v>
          </cell>
          <cell r="S3191"/>
          <cell r="T3191">
            <v>5390</v>
          </cell>
          <cell r="U3191"/>
          <cell r="V3191">
            <v>5390</v>
          </cell>
          <cell r="W3191"/>
          <cell r="X3191">
            <v>5390</v>
          </cell>
          <cell r="Y3191"/>
          <cell r="Z3191">
            <v>5390</v>
          </cell>
          <cell r="AA3191"/>
          <cell r="AB3191"/>
          <cell r="AC3191"/>
          <cell r="AD3191">
            <v>0.05</v>
          </cell>
          <cell r="AE3191"/>
          <cell r="AF3191"/>
          <cell r="AG3191"/>
          <cell r="AH3191"/>
          <cell r="AI3191"/>
          <cell r="AJ3191"/>
          <cell r="AK3191"/>
          <cell r="AL3191"/>
        </row>
        <row r="3192">
          <cell r="E3192" t="str">
            <v>接続端子 十字型</v>
          </cell>
          <cell r="F3192" t="str">
            <v>個</v>
          </cell>
          <cell r="G3192"/>
          <cell r="H3192">
            <v>7620</v>
          </cell>
          <cell r="I3192"/>
          <cell r="J3192">
            <v>7620</v>
          </cell>
          <cell r="K3192"/>
          <cell r="L3192">
            <v>7620</v>
          </cell>
          <cell r="M3192"/>
          <cell r="N3192">
            <v>7620</v>
          </cell>
          <cell r="O3192"/>
          <cell r="P3192">
            <v>7620</v>
          </cell>
          <cell r="Q3192"/>
          <cell r="R3192">
            <v>7620</v>
          </cell>
          <cell r="S3192"/>
          <cell r="T3192">
            <v>7620</v>
          </cell>
          <cell r="U3192"/>
          <cell r="V3192">
            <v>7620</v>
          </cell>
          <cell r="W3192"/>
          <cell r="X3192">
            <v>7620</v>
          </cell>
          <cell r="Y3192"/>
          <cell r="Z3192">
            <v>7620</v>
          </cell>
          <cell r="AA3192"/>
          <cell r="AB3192"/>
          <cell r="AC3192"/>
          <cell r="AD3192">
            <v>0.05</v>
          </cell>
          <cell r="AE3192"/>
          <cell r="AF3192"/>
          <cell r="AG3192"/>
          <cell r="AH3192"/>
          <cell r="AI3192"/>
          <cell r="AJ3192"/>
          <cell r="AK3192"/>
          <cell r="AL3192"/>
        </row>
        <row r="3193">
          <cell r="E3193" t="str">
            <v>接続端子 伸縮型</v>
          </cell>
          <cell r="F3193" t="str">
            <v>個</v>
          </cell>
          <cell r="G3193"/>
          <cell r="H3193">
            <v>4130</v>
          </cell>
          <cell r="I3193"/>
          <cell r="J3193">
            <v>4130</v>
          </cell>
          <cell r="K3193"/>
          <cell r="L3193">
            <v>4130</v>
          </cell>
          <cell r="M3193"/>
          <cell r="N3193">
            <v>4130</v>
          </cell>
          <cell r="O3193"/>
          <cell r="P3193">
            <v>4130</v>
          </cell>
          <cell r="Q3193"/>
          <cell r="R3193">
            <v>4130</v>
          </cell>
          <cell r="S3193"/>
          <cell r="T3193">
            <v>4130</v>
          </cell>
          <cell r="U3193"/>
          <cell r="V3193">
            <v>4130</v>
          </cell>
          <cell r="W3193"/>
          <cell r="X3193">
            <v>4130</v>
          </cell>
          <cell r="Y3193"/>
          <cell r="Z3193">
            <v>4130</v>
          </cell>
          <cell r="AA3193"/>
          <cell r="AB3193"/>
          <cell r="AC3193"/>
          <cell r="AD3193">
            <v>0.05</v>
          </cell>
          <cell r="AE3193"/>
          <cell r="AF3193"/>
          <cell r="AG3193"/>
          <cell r="AH3193"/>
          <cell r="AI3193"/>
          <cell r="AJ3193"/>
          <cell r="AK3193"/>
          <cell r="AL3193"/>
        </row>
        <row r="3194">
          <cell r="E3194" t="str">
            <v>接続端子 水切型 パラペット</v>
          </cell>
          <cell r="F3194" t="str">
            <v>個</v>
          </cell>
          <cell r="G3194"/>
          <cell r="H3194">
            <v>4000</v>
          </cell>
          <cell r="I3194"/>
          <cell r="J3194">
            <v>4000</v>
          </cell>
          <cell r="K3194"/>
          <cell r="L3194">
            <v>4000</v>
          </cell>
          <cell r="M3194"/>
          <cell r="N3194">
            <v>4000</v>
          </cell>
          <cell r="O3194"/>
          <cell r="P3194">
            <v>4000</v>
          </cell>
          <cell r="Q3194"/>
          <cell r="R3194">
            <v>4000</v>
          </cell>
          <cell r="S3194"/>
          <cell r="T3194">
            <v>4000</v>
          </cell>
          <cell r="U3194"/>
          <cell r="V3194">
            <v>4000</v>
          </cell>
          <cell r="W3194"/>
          <cell r="X3194">
            <v>4000</v>
          </cell>
          <cell r="Y3194"/>
          <cell r="Z3194">
            <v>4000</v>
          </cell>
          <cell r="AA3194"/>
          <cell r="AB3194"/>
          <cell r="AC3194"/>
          <cell r="AD3194">
            <v>0.05</v>
          </cell>
          <cell r="AE3194"/>
          <cell r="AF3194"/>
          <cell r="AG3194"/>
          <cell r="AH3194"/>
          <cell r="AI3194"/>
          <cell r="AJ3194"/>
          <cell r="AK3194"/>
          <cell r="AL3194"/>
        </row>
        <row r="3195">
          <cell r="E3195" t="str">
            <v>接続端子 水切型 ツバ付</v>
          </cell>
          <cell r="F3195" t="str">
            <v>個</v>
          </cell>
          <cell r="G3195"/>
          <cell r="H3195">
            <v>1570</v>
          </cell>
          <cell r="I3195"/>
          <cell r="J3195">
            <v>1570</v>
          </cell>
          <cell r="K3195"/>
          <cell r="L3195">
            <v>1570</v>
          </cell>
          <cell r="M3195"/>
          <cell r="N3195">
            <v>1570</v>
          </cell>
          <cell r="O3195"/>
          <cell r="P3195">
            <v>1570</v>
          </cell>
          <cell r="Q3195"/>
          <cell r="R3195">
            <v>1570</v>
          </cell>
          <cell r="S3195"/>
          <cell r="T3195">
            <v>1570</v>
          </cell>
          <cell r="U3195"/>
          <cell r="V3195">
            <v>1570</v>
          </cell>
          <cell r="W3195"/>
          <cell r="X3195">
            <v>1570</v>
          </cell>
          <cell r="Y3195"/>
          <cell r="Z3195">
            <v>1570</v>
          </cell>
          <cell r="AA3195"/>
          <cell r="AB3195"/>
          <cell r="AC3195"/>
          <cell r="AD3195">
            <v>0.05</v>
          </cell>
          <cell r="AE3195"/>
          <cell r="AF3195"/>
          <cell r="AG3195"/>
          <cell r="AH3195"/>
          <cell r="AI3195"/>
          <cell r="AJ3195"/>
          <cell r="AK3195"/>
          <cell r="AL3195"/>
        </row>
        <row r="3196">
          <cell r="E3196" t="str">
            <v>避雷接地用端子箱 TB-AF1 埋込形</v>
          </cell>
          <cell r="F3196" t="str">
            <v>面</v>
          </cell>
          <cell r="G3196"/>
          <cell r="H3196">
            <v>30300</v>
          </cell>
          <cell r="I3196"/>
          <cell r="J3196">
            <v>30300</v>
          </cell>
          <cell r="K3196"/>
          <cell r="L3196">
            <v>30300</v>
          </cell>
          <cell r="M3196"/>
          <cell r="N3196">
            <v>30300</v>
          </cell>
          <cell r="O3196"/>
          <cell r="P3196">
            <v>30300</v>
          </cell>
          <cell r="Q3196"/>
          <cell r="R3196">
            <v>30300</v>
          </cell>
          <cell r="S3196"/>
          <cell r="T3196">
            <v>30300</v>
          </cell>
          <cell r="U3196"/>
          <cell r="V3196">
            <v>30300</v>
          </cell>
          <cell r="W3196"/>
          <cell r="X3196">
            <v>30300</v>
          </cell>
          <cell r="Y3196"/>
          <cell r="Z3196">
            <v>30300</v>
          </cell>
          <cell r="AA3196"/>
          <cell r="AB3196"/>
          <cell r="AC3196"/>
          <cell r="AD3196">
            <v>0.25</v>
          </cell>
          <cell r="AE3196"/>
          <cell r="AF3196"/>
          <cell r="AG3196"/>
          <cell r="AH3196"/>
          <cell r="AI3196"/>
          <cell r="AJ3196"/>
          <cell r="AK3196"/>
          <cell r="AL3196"/>
        </row>
        <row r="3197">
          <cell r="E3197" t="str">
            <v>避雷接地用端子箱 TB-AF1A 埋込形</v>
          </cell>
          <cell r="F3197" t="str">
            <v>面</v>
          </cell>
          <cell r="G3197"/>
          <cell r="H3197">
            <v>40000</v>
          </cell>
          <cell r="I3197"/>
          <cell r="J3197">
            <v>40000</v>
          </cell>
          <cell r="K3197"/>
          <cell r="L3197">
            <v>40000</v>
          </cell>
          <cell r="M3197"/>
          <cell r="N3197">
            <v>40000</v>
          </cell>
          <cell r="O3197"/>
          <cell r="P3197">
            <v>40000</v>
          </cell>
          <cell r="Q3197"/>
          <cell r="R3197">
            <v>40000</v>
          </cell>
          <cell r="S3197"/>
          <cell r="T3197">
            <v>40000</v>
          </cell>
          <cell r="U3197"/>
          <cell r="V3197">
            <v>40000</v>
          </cell>
          <cell r="W3197"/>
          <cell r="X3197">
            <v>40000</v>
          </cell>
          <cell r="Y3197"/>
          <cell r="Z3197">
            <v>40000</v>
          </cell>
          <cell r="AA3197"/>
          <cell r="AB3197"/>
          <cell r="AC3197"/>
          <cell r="AD3197">
            <v>0.44</v>
          </cell>
          <cell r="AE3197"/>
          <cell r="AF3197"/>
          <cell r="AG3197"/>
          <cell r="AH3197"/>
          <cell r="AI3197"/>
          <cell r="AJ3197"/>
          <cell r="AK3197"/>
          <cell r="AL3197"/>
        </row>
        <row r="3198">
          <cell r="E3198" t="str">
            <v>避雷接地用端子箱 TB-AFY 埋込形</v>
          </cell>
          <cell r="F3198" t="str">
            <v>面</v>
          </cell>
          <cell r="G3198"/>
          <cell r="H3198">
            <v>40800</v>
          </cell>
          <cell r="I3198"/>
          <cell r="J3198">
            <v>40800</v>
          </cell>
          <cell r="K3198"/>
          <cell r="L3198">
            <v>40800</v>
          </cell>
          <cell r="M3198"/>
          <cell r="N3198">
            <v>40800</v>
          </cell>
          <cell r="O3198"/>
          <cell r="P3198">
            <v>40800</v>
          </cell>
          <cell r="Q3198"/>
          <cell r="R3198">
            <v>40800</v>
          </cell>
          <cell r="S3198"/>
          <cell r="T3198">
            <v>40800</v>
          </cell>
          <cell r="U3198"/>
          <cell r="V3198">
            <v>40800</v>
          </cell>
          <cell r="W3198"/>
          <cell r="X3198">
            <v>40800</v>
          </cell>
          <cell r="Y3198"/>
          <cell r="Z3198">
            <v>40800</v>
          </cell>
          <cell r="AA3198"/>
          <cell r="AB3198"/>
          <cell r="AC3198"/>
          <cell r="AD3198">
            <v>0.44</v>
          </cell>
          <cell r="AE3198"/>
          <cell r="AF3198"/>
          <cell r="AG3198"/>
          <cell r="AH3198"/>
          <cell r="AI3198"/>
          <cell r="AJ3198"/>
          <cell r="AK3198"/>
          <cell r="AL3198"/>
        </row>
        <row r="3199">
          <cell r="E3199" t="str">
            <v>避雷接地用端子箱 TB-AF2 埋込形</v>
          </cell>
          <cell r="F3199" t="str">
            <v>面</v>
          </cell>
          <cell r="G3199"/>
          <cell r="H3199">
            <v>42300</v>
          </cell>
          <cell r="I3199"/>
          <cell r="J3199">
            <v>42300</v>
          </cell>
          <cell r="K3199"/>
          <cell r="L3199">
            <v>42300</v>
          </cell>
          <cell r="M3199"/>
          <cell r="N3199">
            <v>42300</v>
          </cell>
          <cell r="O3199"/>
          <cell r="P3199">
            <v>42300</v>
          </cell>
          <cell r="Q3199"/>
          <cell r="R3199">
            <v>42300</v>
          </cell>
          <cell r="S3199"/>
          <cell r="T3199">
            <v>42300</v>
          </cell>
          <cell r="U3199"/>
          <cell r="V3199">
            <v>42300</v>
          </cell>
          <cell r="W3199"/>
          <cell r="X3199">
            <v>42300</v>
          </cell>
          <cell r="Y3199"/>
          <cell r="Z3199">
            <v>42300</v>
          </cell>
          <cell r="AA3199"/>
          <cell r="AB3199"/>
          <cell r="AC3199"/>
          <cell r="AD3199">
            <v>0.6</v>
          </cell>
          <cell r="AE3199"/>
          <cell r="AF3199"/>
          <cell r="AG3199"/>
          <cell r="AH3199"/>
          <cell r="AI3199"/>
          <cell r="AJ3199"/>
          <cell r="AK3199"/>
          <cell r="AL3199"/>
        </row>
        <row r="3200">
          <cell r="E3200" t="str">
            <v>避雷接地用端子箱 TB-AF2A 埋込形</v>
          </cell>
          <cell r="F3200" t="str">
            <v>面</v>
          </cell>
          <cell r="G3200"/>
          <cell r="H3200">
            <v>50000</v>
          </cell>
          <cell r="I3200"/>
          <cell r="J3200">
            <v>50000</v>
          </cell>
          <cell r="K3200"/>
          <cell r="L3200">
            <v>50000</v>
          </cell>
          <cell r="M3200"/>
          <cell r="N3200">
            <v>50000</v>
          </cell>
          <cell r="O3200"/>
          <cell r="P3200">
            <v>50000</v>
          </cell>
          <cell r="Q3200"/>
          <cell r="R3200">
            <v>50000</v>
          </cell>
          <cell r="S3200"/>
          <cell r="T3200">
            <v>50000</v>
          </cell>
          <cell r="U3200"/>
          <cell r="V3200">
            <v>50000</v>
          </cell>
          <cell r="W3200"/>
          <cell r="X3200">
            <v>50000</v>
          </cell>
          <cell r="Y3200"/>
          <cell r="Z3200">
            <v>50000</v>
          </cell>
          <cell r="AA3200"/>
          <cell r="AB3200"/>
          <cell r="AC3200"/>
          <cell r="AD3200">
            <v>0.6</v>
          </cell>
          <cell r="AE3200"/>
          <cell r="AF3200"/>
          <cell r="AG3200"/>
          <cell r="AH3200"/>
          <cell r="AI3200"/>
          <cell r="AJ3200"/>
          <cell r="AK3200"/>
          <cell r="AL3200"/>
        </row>
        <row r="3201">
          <cell r="E3201" t="str">
            <v>避雷接地用端子箱 TB-AS1 露出形</v>
          </cell>
          <cell r="F3201" t="str">
            <v>面</v>
          </cell>
          <cell r="G3201"/>
          <cell r="H3201">
            <v>30300</v>
          </cell>
          <cell r="I3201"/>
          <cell r="J3201">
            <v>30300</v>
          </cell>
          <cell r="K3201"/>
          <cell r="L3201">
            <v>30300</v>
          </cell>
          <cell r="M3201"/>
          <cell r="N3201">
            <v>30300</v>
          </cell>
          <cell r="O3201"/>
          <cell r="P3201">
            <v>30300</v>
          </cell>
          <cell r="Q3201"/>
          <cell r="R3201">
            <v>30300</v>
          </cell>
          <cell r="S3201"/>
          <cell r="T3201">
            <v>30300</v>
          </cell>
          <cell r="U3201"/>
          <cell r="V3201">
            <v>30300</v>
          </cell>
          <cell r="W3201"/>
          <cell r="X3201">
            <v>30300</v>
          </cell>
          <cell r="Y3201"/>
          <cell r="Z3201">
            <v>30300</v>
          </cell>
          <cell r="AA3201"/>
          <cell r="AB3201"/>
          <cell r="AC3201"/>
          <cell r="AD3201">
            <v>0.25</v>
          </cell>
          <cell r="AE3201"/>
          <cell r="AF3201"/>
          <cell r="AG3201"/>
          <cell r="AH3201"/>
          <cell r="AI3201"/>
          <cell r="AJ3201"/>
          <cell r="AK3201"/>
          <cell r="AL3201"/>
        </row>
        <row r="3202">
          <cell r="E3202" t="str">
            <v>避雷接地用端子箱 TB-AS1A 露出形</v>
          </cell>
          <cell r="F3202" t="str">
            <v>面</v>
          </cell>
          <cell r="G3202"/>
          <cell r="H3202">
            <v>40000</v>
          </cell>
          <cell r="I3202"/>
          <cell r="J3202">
            <v>40000</v>
          </cell>
          <cell r="K3202"/>
          <cell r="L3202">
            <v>40000</v>
          </cell>
          <cell r="M3202"/>
          <cell r="N3202">
            <v>40000</v>
          </cell>
          <cell r="O3202"/>
          <cell r="P3202">
            <v>40000</v>
          </cell>
          <cell r="Q3202"/>
          <cell r="R3202">
            <v>40000</v>
          </cell>
          <cell r="S3202"/>
          <cell r="T3202">
            <v>40000</v>
          </cell>
          <cell r="U3202"/>
          <cell r="V3202">
            <v>40000</v>
          </cell>
          <cell r="W3202"/>
          <cell r="X3202">
            <v>40000</v>
          </cell>
          <cell r="Y3202"/>
          <cell r="Z3202">
            <v>40000</v>
          </cell>
          <cell r="AA3202"/>
          <cell r="AB3202"/>
          <cell r="AC3202"/>
          <cell r="AD3202">
            <v>0.44</v>
          </cell>
          <cell r="AE3202"/>
          <cell r="AF3202"/>
          <cell r="AG3202"/>
          <cell r="AH3202"/>
          <cell r="AI3202"/>
          <cell r="AJ3202"/>
          <cell r="AK3202"/>
          <cell r="AL3202"/>
        </row>
        <row r="3203">
          <cell r="E3203" t="str">
            <v>避雷接地用端子箱 TB-ASY 露出形</v>
          </cell>
          <cell r="F3203" t="str">
            <v>面</v>
          </cell>
          <cell r="G3203"/>
          <cell r="H3203">
            <v>40800</v>
          </cell>
          <cell r="I3203"/>
          <cell r="J3203">
            <v>40800</v>
          </cell>
          <cell r="K3203"/>
          <cell r="L3203">
            <v>40800</v>
          </cell>
          <cell r="M3203"/>
          <cell r="N3203">
            <v>40800</v>
          </cell>
          <cell r="O3203"/>
          <cell r="P3203">
            <v>40800</v>
          </cell>
          <cell r="Q3203"/>
          <cell r="R3203">
            <v>40800</v>
          </cell>
          <cell r="S3203"/>
          <cell r="T3203">
            <v>40800</v>
          </cell>
          <cell r="U3203"/>
          <cell r="V3203">
            <v>40800</v>
          </cell>
          <cell r="W3203"/>
          <cell r="X3203">
            <v>40800</v>
          </cell>
          <cell r="Y3203"/>
          <cell r="Z3203">
            <v>40800</v>
          </cell>
          <cell r="AA3203"/>
          <cell r="AB3203"/>
          <cell r="AC3203"/>
          <cell r="AD3203">
            <v>0.44</v>
          </cell>
          <cell r="AE3203"/>
          <cell r="AF3203"/>
          <cell r="AG3203"/>
          <cell r="AH3203"/>
          <cell r="AI3203"/>
          <cell r="AJ3203"/>
          <cell r="AK3203"/>
          <cell r="AL3203"/>
        </row>
        <row r="3204">
          <cell r="E3204" t="str">
            <v>避雷接地用端子箱 TB-AS2 露出形</v>
          </cell>
          <cell r="F3204" t="str">
            <v>面</v>
          </cell>
          <cell r="G3204"/>
          <cell r="H3204">
            <v>42300</v>
          </cell>
          <cell r="I3204"/>
          <cell r="J3204">
            <v>42300</v>
          </cell>
          <cell r="K3204"/>
          <cell r="L3204">
            <v>42300</v>
          </cell>
          <cell r="M3204"/>
          <cell r="N3204">
            <v>42300</v>
          </cell>
          <cell r="O3204"/>
          <cell r="P3204">
            <v>42300</v>
          </cell>
          <cell r="Q3204"/>
          <cell r="R3204">
            <v>42300</v>
          </cell>
          <cell r="S3204"/>
          <cell r="T3204">
            <v>42300</v>
          </cell>
          <cell r="U3204"/>
          <cell r="V3204">
            <v>42300</v>
          </cell>
          <cell r="W3204"/>
          <cell r="X3204">
            <v>42300</v>
          </cell>
          <cell r="Y3204"/>
          <cell r="Z3204">
            <v>42300</v>
          </cell>
          <cell r="AA3204"/>
          <cell r="AB3204"/>
          <cell r="AC3204"/>
          <cell r="AD3204">
            <v>0.6</v>
          </cell>
          <cell r="AE3204"/>
          <cell r="AF3204"/>
          <cell r="AG3204"/>
          <cell r="AH3204"/>
          <cell r="AI3204"/>
          <cell r="AJ3204"/>
          <cell r="AK3204"/>
          <cell r="AL3204"/>
        </row>
        <row r="3205">
          <cell r="E3205" t="str">
            <v>避雷接地用端子箱 TB-AS2A 露出形</v>
          </cell>
          <cell r="F3205" t="str">
            <v>面</v>
          </cell>
          <cell r="G3205"/>
          <cell r="H3205">
            <v>50000</v>
          </cell>
          <cell r="I3205"/>
          <cell r="J3205">
            <v>50000</v>
          </cell>
          <cell r="K3205"/>
          <cell r="L3205">
            <v>50000</v>
          </cell>
          <cell r="M3205"/>
          <cell r="N3205">
            <v>50000</v>
          </cell>
          <cell r="O3205"/>
          <cell r="P3205">
            <v>50000</v>
          </cell>
          <cell r="Q3205"/>
          <cell r="R3205">
            <v>50000</v>
          </cell>
          <cell r="S3205"/>
          <cell r="T3205">
            <v>50000</v>
          </cell>
          <cell r="U3205"/>
          <cell r="V3205">
            <v>50000</v>
          </cell>
          <cell r="W3205"/>
          <cell r="X3205">
            <v>50000</v>
          </cell>
          <cell r="Y3205"/>
          <cell r="Z3205">
            <v>50000</v>
          </cell>
          <cell r="AA3205"/>
          <cell r="AB3205"/>
          <cell r="AC3205"/>
          <cell r="AD3205">
            <v>0.6</v>
          </cell>
          <cell r="AE3205"/>
          <cell r="AF3205"/>
          <cell r="AG3205"/>
          <cell r="AH3205"/>
          <cell r="AI3205"/>
          <cell r="AJ3205"/>
          <cell r="AK3205"/>
          <cell r="AL3205"/>
        </row>
        <row r="3206">
          <cell r="E3206" t="str">
            <v>避雷接地用端子箱 TB-SG1 埋込形</v>
          </cell>
          <cell r="F3206" t="str">
            <v>面</v>
          </cell>
          <cell r="G3206"/>
          <cell r="H3206">
            <v>33100</v>
          </cell>
          <cell r="I3206"/>
          <cell r="J3206">
            <v>33100</v>
          </cell>
          <cell r="K3206"/>
          <cell r="L3206">
            <v>33100</v>
          </cell>
          <cell r="M3206"/>
          <cell r="N3206">
            <v>33100</v>
          </cell>
          <cell r="O3206"/>
          <cell r="P3206">
            <v>33100</v>
          </cell>
          <cell r="Q3206"/>
          <cell r="R3206">
            <v>33100</v>
          </cell>
          <cell r="S3206"/>
          <cell r="T3206">
            <v>33100</v>
          </cell>
          <cell r="U3206"/>
          <cell r="V3206">
            <v>33100</v>
          </cell>
          <cell r="W3206"/>
          <cell r="X3206">
            <v>33100</v>
          </cell>
          <cell r="Y3206"/>
          <cell r="Z3206">
            <v>33100</v>
          </cell>
          <cell r="AA3206"/>
          <cell r="AB3206"/>
          <cell r="AC3206"/>
          <cell r="AD3206">
            <v>0.25</v>
          </cell>
          <cell r="AE3206"/>
          <cell r="AF3206"/>
          <cell r="AG3206"/>
          <cell r="AH3206"/>
          <cell r="AI3206"/>
          <cell r="AJ3206"/>
          <cell r="AK3206"/>
          <cell r="AL3206"/>
        </row>
        <row r="3207">
          <cell r="E3207" t="str">
            <v>避雷接地用端子箱 TB-SG1A 埋込形</v>
          </cell>
          <cell r="F3207" t="str">
            <v>面</v>
          </cell>
          <cell r="G3207"/>
          <cell r="H3207">
            <v>41500</v>
          </cell>
          <cell r="I3207"/>
          <cell r="J3207">
            <v>41500</v>
          </cell>
          <cell r="K3207"/>
          <cell r="L3207">
            <v>41500</v>
          </cell>
          <cell r="M3207"/>
          <cell r="N3207">
            <v>41500</v>
          </cell>
          <cell r="O3207"/>
          <cell r="P3207">
            <v>41500</v>
          </cell>
          <cell r="Q3207"/>
          <cell r="R3207">
            <v>41500</v>
          </cell>
          <cell r="S3207"/>
          <cell r="T3207">
            <v>41500</v>
          </cell>
          <cell r="U3207"/>
          <cell r="V3207">
            <v>41500</v>
          </cell>
          <cell r="W3207"/>
          <cell r="X3207">
            <v>41500</v>
          </cell>
          <cell r="Y3207"/>
          <cell r="Z3207">
            <v>41500</v>
          </cell>
          <cell r="AA3207"/>
          <cell r="AB3207"/>
          <cell r="AC3207"/>
          <cell r="AD3207">
            <v>0.44</v>
          </cell>
          <cell r="AE3207"/>
          <cell r="AF3207"/>
          <cell r="AG3207"/>
          <cell r="AH3207"/>
          <cell r="AI3207"/>
          <cell r="AJ3207"/>
          <cell r="AK3207"/>
          <cell r="AL3207"/>
        </row>
        <row r="3208">
          <cell r="E3208" t="str">
            <v>避雷接地用端子箱 TB-SGY 埋込形</v>
          </cell>
          <cell r="F3208" t="str">
            <v>面</v>
          </cell>
          <cell r="G3208"/>
          <cell r="H3208">
            <v>42900</v>
          </cell>
          <cell r="I3208"/>
          <cell r="J3208">
            <v>42900</v>
          </cell>
          <cell r="K3208"/>
          <cell r="L3208">
            <v>42900</v>
          </cell>
          <cell r="M3208"/>
          <cell r="N3208">
            <v>42900</v>
          </cell>
          <cell r="O3208"/>
          <cell r="P3208">
            <v>42900</v>
          </cell>
          <cell r="Q3208"/>
          <cell r="R3208">
            <v>42900</v>
          </cell>
          <cell r="S3208"/>
          <cell r="T3208">
            <v>42900</v>
          </cell>
          <cell r="U3208"/>
          <cell r="V3208">
            <v>42900</v>
          </cell>
          <cell r="W3208"/>
          <cell r="X3208">
            <v>42900</v>
          </cell>
          <cell r="Y3208"/>
          <cell r="Z3208">
            <v>42900</v>
          </cell>
          <cell r="AA3208"/>
          <cell r="AB3208"/>
          <cell r="AC3208"/>
          <cell r="AD3208">
            <v>0.44</v>
          </cell>
          <cell r="AE3208"/>
          <cell r="AF3208"/>
          <cell r="AG3208"/>
          <cell r="AH3208"/>
          <cell r="AI3208"/>
          <cell r="AJ3208"/>
          <cell r="AK3208"/>
          <cell r="AL3208"/>
        </row>
        <row r="3209">
          <cell r="E3209" t="str">
            <v>避雷接地用端子箱 TB-SG2 埋込形</v>
          </cell>
          <cell r="F3209" t="str">
            <v>面</v>
          </cell>
          <cell r="G3209"/>
          <cell r="H3209">
            <v>46200</v>
          </cell>
          <cell r="I3209"/>
          <cell r="J3209">
            <v>46200</v>
          </cell>
          <cell r="K3209"/>
          <cell r="L3209">
            <v>46200</v>
          </cell>
          <cell r="M3209"/>
          <cell r="N3209">
            <v>46200</v>
          </cell>
          <cell r="O3209"/>
          <cell r="P3209">
            <v>46200</v>
          </cell>
          <cell r="Q3209"/>
          <cell r="R3209">
            <v>46200</v>
          </cell>
          <cell r="S3209"/>
          <cell r="T3209">
            <v>46200</v>
          </cell>
          <cell r="U3209"/>
          <cell r="V3209">
            <v>46200</v>
          </cell>
          <cell r="W3209"/>
          <cell r="X3209">
            <v>46200</v>
          </cell>
          <cell r="Y3209"/>
          <cell r="Z3209">
            <v>46200</v>
          </cell>
          <cell r="AA3209"/>
          <cell r="AB3209"/>
          <cell r="AC3209"/>
          <cell r="AD3209">
            <v>0.6</v>
          </cell>
          <cell r="AE3209"/>
          <cell r="AF3209"/>
          <cell r="AG3209"/>
          <cell r="AH3209"/>
          <cell r="AI3209"/>
          <cell r="AJ3209"/>
          <cell r="AK3209"/>
          <cell r="AL3209"/>
        </row>
        <row r="3210">
          <cell r="E3210" t="str">
            <v>避雷接地用端子箱 TB-SG2A 埋込形</v>
          </cell>
          <cell r="F3210" t="str">
            <v>面</v>
          </cell>
          <cell r="G3210"/>
          <cell r="H3210">
            <v>53200</v>
          </cell>
          <cell r="I3210"/>
          <cell r="J3210">
            <v>53200</v>
          </cell>
          <cell r="K3210"/>
          <cell r="L3210">
            <v>53200</v>
          </cell>
          <cell r="M3210"/>
          <cell r="N3210">
            <v>53200</v>
          </cell>
          <cell r="O3210"/>
          <cell r="P3210">
            <v>53200</v>
          </cell>
          <cell r="Q3210"/>
          <cell r="R3210">
            <v>53200</v>
          </cell>
          <cell r="S3210"/>
          <cell r="T3210">
            <v>53200</v>
          </cell>
          <cell r="U3210"/>
          <cell r="V3210">
            <v>53200</v>
          </cell>
          <cell r="W3210"/>
          <cell r="X3210">
            <v>53200</v>
          </cell>
          <cell r="Y3210"/>
          <cell r="Z3210">
            <v>53200</v>
          </cell>
          <cell r="AA3210"/>
          <cell r="AB3210"/>
          <cell r="AC3210"/>
          <cell r="AD3210">
            <v>0.6</v>
          </cell>
          <cell r="AE3210"/>
          <cell r="AF3210"/>
          <cell r="AG3210"/>
          <cell r="AH3210"/>
          <cell r="AI3210"/>
          <cell r="AJ3210"/>
          <cell r="AK3210"/>
          <cell r="AL3210"/>
        </row>
        <row r="3211">
          <cell r="E3211" t="str">
            <v>避雷接地用端子箱 TB-ST1 露出形</v>
          </cell>
          <cell r="F3211" t="str">
            <v>面</v>
          </cell>
          <cell r="G3211"/>
          <cell r="H3211">
            <v>33100</v>
          </cell>
          <cell r="I3211"/>
          <cell r="J3211">
            <v>33100</v>
          </cell>
          <cell r="K3211"/>
          <cell r="L3211">
            <v>33100</v>
          </cell>
          <cell r="M3211"/>
          <cell r="N3211">
            <v>33100</v>
          </cell>
          <cell r="O3211"/>
          <cell r="P3211">
            <v>33100</v>
          </cell>
          <cell r="Q3211"/>
          <cell r="R3211">
            <v>33100</v>
          </cell>
          <cell r="S3211"/>
          <cell r="T3211">
            <v>33100</v>
          </cell>
          <cell r="U3211"/>
          <cell r="V3211">
            <v>33100</v>
          </cell>
          <cell r="W3211"/>
          <cell r="X3211">
            <v>33100</v>
          </cell>
          <cell r="Y3211"/>
          <cell r="Z3211">
            <v>33100</v>
          </cell>
          <cell r="AA3211"/>
          <cell r="AB3211"/>
          <cell r="AC3211"/>
          <cell r="AD3211">
            <v>0.25</v>
          </cell>
          <cell r="AE3211"/>
          <cell r="AF3211"/>
          <cell r="AG3211"/>
          <cell r="AH3211"/>
          <cell r="AI3211"/>
          <cell r="AJ3211"/>
          <cell r="AK3211"/>
          <cell r="AL3211"/>
        </row>
        <row r="3212">
          <cell r="E3212" t="str">
            <v>避雷接地用端子箱 TB-ST1A 露出形</v>
          </cell>
          <cell r="F3212" t="str">
            <v>面</v>
          </cell>
          <cell r="G3212"/>
          <cell r="H3212">
            <v>41500</v>
          </cell>
          <cell r="I3212"/>
          <cell r="J3212">
            <v>41500</v>
          </cell>
          <cell r="K3212"/>
          <cell r="L3212">
            <v>41500</v>
          </cell>
          <cell r="M3212"/>
          <cell r="N3212">
            <v>41500</v>
          </cell>
          <cell r="O3212"/>
          <cell r="P3212">
            <v>41500</v>
          </cell>
          <cell r="Q3212"/>
          <cell r="R3212">
            <v>41500</v>
          </cell>
          <cell r="S3212"/>
          <cell r="T3212">
            <v>41500</v>
          </cell>
          <cell r="U3212"/>
          <cell r="V3212">
            <v>41500</v>
          </cell>
          <cell r="W3212"/>
          <cell r="X3212">
            <v>41500</v>
          </cell>
          <cell r="Y3212"/>
          <cell r="Z3212">
            <v>41500</v>
          </cell>
          <cell r="AA3212"/>
          <cell r="AB3212"/>
          <cell r="AC3212"/>
          <cell r="AD3212">
            <v>0.44</v>
          </cell>
          <cell r="AE3212"/>
          <cell r="AF3212"/>
          <cell r="AG3212"/>
          <cell r="AH3212"/>
          <cell r="AI3212"/>
          <cell r="AJ3212"/>
          <cell r="AK3212"/>
          <cell r="AL3212"/>
        </row>
        <row r="3213">
          <cell r="E3213" t="str">
            <v>避雷接地用端子箱 TB-STY 露出形</v>
          </cell>
          <cell r="F3213" t="str">
            <v>面</v>
          </cell>
          <cell r="G3213"/>
          <cell r="H3213">
            <v>42900</v>
          </cell>
          <cell r="I3213"/>
          <cell r="J3213">
            <v>42900</v>
          </cell>
          <cell r="K3213"/>
          <cell r="L3213">
            <v>42900</v>
          </cell>
          <cell r="M3213"/>
          <cell r="N3213">
            <v>42900</v>
          </cell>
          <cell r="O3213"/>
          <cell r="P3213">
            <v>42900</v>
          </cell>
          <cell r="Q3213"/>
          <cell r="R3213">
            <v>42900</v>
          </cell>
          <cell r="S3213"/>
          <cell r="T3213">
            <v>42900</v>
          </cell>
          <cell r="U3213"/>
          <cell r="V3213">
            <v>42900</v>
          </cell>
          <cell r="W3213"/>
          <cell r="X3213">
            <v>42900</v>
          </cell>
          <cell r="Y3213"/>
          <cell r="Z3213">
            <v>42900</v>
          </cell>
          <cell r="AA3213"/>
          <cell r="AB3213"/>
          <cell r="AC3213"/>
          <cell r="AD3213">
            <v>0.44</v>
          </cell>
          <cell r="AE3213"/>
          <cell r="AF3213"/>
          <cell r="AG3213"/>
          <cell r="AH3213"/>
          <cell r="AI3213"/>
          <cell r="AJ3213"/>
          <cell r="AK3213"/>
          <cell r="AL3213"/>
        </row>
        <row r="3214">
          <cell r="E3214" t="str">
            <v>避雷接地用端子箱 TB-ST2 露出形</v>
          </cell>
          <cell r="F3214" t="str">
            <v>面</v>
          </cell>
          <cell r="G3214"/>
          <cell r="H3214">
            <v>46200</v>
          </cell>
          <cell r="I3214"/>
          <cell r="J3214">
            <v>46200</v>
          </cell>
          <cell r="K3214"/>
          <cell r="L3214">
            <v>46200</v>
          </cell>
          <cell r="M3214"/>
          <cell r="N3214">
            <v>46200</v>
          </cell>
          <cell r="O3214"/>
          <cell r="P3214">
            <v>46200</v>
          </cell>
          <cell r="Q3214"/>
          <cell r="R3214">
            <v>46200</v>
          </cell>
          <cell r="S3214"/>
          <cell r="T3214">
            <v>46200</v>
          </cell>
          <cell r="U3214"/>
          <cell r="V3214">
            <v>46200</v>
          </cell>
          <cell r="W3214"/>
          <cell r="X3214">
            <v>46200</v>
          </cell>
          <cell r="Y3214"/>
          <cell r="Z3214">
            <v>46200</v>
          </cell>
          <cell r="AA3214"/>
          <cell r="AB3214"/>
          <cell r="AC3214"/>
          <cell r="AD3214">
            <v>0.6</v>
          </cell>
          <cell r="AE3214"/>
          <cell r="AF3214"/>
          <cell r="AG3214"/>
          <cell r="AH3214"/>
          <cell r="AI3214"/>
          <cell r="AJ3214"/>
          <cell r="AK3214"/>
          <cell r="AL3214"/>
        </row>
        <row r="3215">
          <cell r="E3215" t="str">
            <v>避雷接地用端子箱 TB-ST2A 露出形</v>
          </cell>
          <cell r="F3215" t="str">
            <v>面</v>
          </cell>
          <cell r="G3215"/>
          <cell r="H3215">
            <v>53200</v>
          </cell>
          <cell r="I3215"/>
          <cell r="J3215">
            <v>53200</v>
          </cell>
          <cell r="K3215"/>
          <cell r="L3215">
            <v>53200</v>
          </cell>
          <cell r="M3215"/>
          <cell r="N3215">
            <v>53200</v>
          </cell>
          <cell r="O3215"/>
          <cell r="P3215">
            <v>53200</v>
          </cell>
          <cell r="Q3215"/>
          <cell r="R3215">
            <v>53200</v>
          </cell>
          <cell r="S3215"/>
          <cell r="T3215">
            <v>53200</v>
          </cell>
          <cell r="U3215"/>
          <cell r="V3215">
            <v>53200</v>
          </cell>
          <cell r="W3215"/>
          <cell r="X3215">
            <v>53200</v>
          </cell>
          <cell r="Y3215"/>
          <cell r="Z3215">
            <v>53200</v>
          </cell>
          <cell r="AA3215"/>
          <cell r="AB3215"/>
          <cell r="AC3215"/>
          <cell r="AD3215">
            <v>0.6</v>
          </cell>
          <cell r="AE3215"/>
          <cell r="AF3215"/>
          <cell r="AG3215"/>
          <cell r="AH3215"/>
          <cell r="AI3215"/>
          <cell r="AJ3215"/>
          <cell r="AK3215"/>
          <cell r="AL3215"/>
        </row>
        <row r="3216">
          <cell r="E3216" t="str">
            <v>接地極埋設標示板 国交省型 黄銅製</v>
          </cell>
          <cell r="F3216" t="str">
            <v>枚</v>
          </cell>
          <cell r="G3216"/>
          <cell r="H3216">
            <v>900</v>
          </cell>
          <cell r="I3216"/>
          <cell r="J3216">
            <v>900</v>
          </cell>
          <cell r="K3216"/>
          <cell r="L3216">
            <v>900</v>
          </cell>
          <cell r="M3216"/>
          <cell r="N3216">
            <v>900</v>
          </cell>
          <cell r="O3216"/>
          <cell r="P3216">
            <v>900</v>
          </cell>
          <cell r="Q3216"/>
          <cell r="R3216">
            <v>900</v>
          </cell>
          <cell r="S3216"/>
          <cell r="T3216">
            <v>900</v>
          </cell>
          <cell r="U3216"/>
          <cell r="V3216">
            <v>900</v>
          </cell>
          <cell r="W3216"/>
          <cell r="X3216">
            <v>900</v>
          </cell>
          <cell r="Y3216"/>
          <cell r="Z3216">
            <v>900</v>
          </cell>
          <cell r="AA3216"/>
          <cell r="AB3216"/>
          <cell r="AC3216"/>
          <cell r="AD3216">
            <v>0.4</v>
          </cell>
          <cell r="AE3216"/>
          <cell r="AF3216"/>
          <cell r="AG3216"/>
          <cell r="AH3216"/>
          <cell r="AI3216"/>
          <cell r="AJ3216"/>
          <cell r="AK3216"/>
          <cell r="AL3216"/>
        </row>
        <row r="3217">
          <cell r="E3217" t="str">
            <v>接地極埋設標示板 国交省型 SUS製</v>
          </cell>
          <cell r="F3217" t="str">
            <v>枚</v>
          </cell>
          <cell r="G3217"/>
          <cell r="H3217">
            <v>1100</v>
          </cell>
          <cell r="I3217"/>
          <cell r="J3217">
            <v>1100</v>
          </cell>
          <cell r="K3217"/>
          <cell r="L3217">
            <v>1100</v>
          </cell>
          <cell r="M3217"/>
          <cell r="N3217">
            <v>1100</v>
          </cell>
          <cell r="O3217"/>
          <cell r="P3217">
            <v>1100</v>
          </cell>
          <cell r="Q3217"/>
          <cell r="R3217">
            <v>1100</v>
          </cell>
          <cell r="S3217"/>
          <cell r="T3217">
            <v>1100</v>
          </cell>
          <cell r="U3217"/>
          <cell r="V3217">
            <v>1100</v>
          </cell>
          <cell r="W3217"/>
          <cell r="X3217">
            <v>1100</v>
          </cell>
          <cell r="Y3217"/>
          <cell r="Z3217">
            <v>1100</v>
          </cell>
          <cell r="AA3217"/>
          <cell r="AB3217"/>
          <cell r="AC3217"/>
          <cell r="AD3217">
            <v>0.4</v>
          </cell>
          <cell r="AE3217"/>
          <cell r="AF3217"/>
          <cell r="AG3217"/>
          <cell r="AH3217"/>
          <cell r="AI3217"/>
          <cell r="AJ3217"/>
          <cell r="AK3217"/>
          <cell r="AL3217"/>
        </row>
        <row r="3218">
          <cell r="E3218" t="str">
            <v>接地極埋設標示板 都再機構型 黄銅製</v>
          </cell>
          <cell r="F3218" t="str">
            <v>枚</v>
          </cell>
          <cell r="G3218"/>
          <cell r="H3218">
            <v>910</v>
          </cell>
          <cell r="I3218"/>
          <cell r="J3218">
            <v>910</v>
          </cell>
          <cell r="K3218"/>
          <cell r="L3218">
            <v>910</v>
          </cell>
          <cell r="M3218"/>
          <cell r="N3218">
            <v>910</v>
          </cell>
          <cell r="O3218"/>
          <cell r="P3218">
            <v>910</v>
          </cell>
          <cell r="Q3218"/>
          <cell r="R3218">
            <v>910</v>
          </cell>
          <cell r="S3218"/>
          <cell r="T3218">
            <v>910</v>
          </cell>
          <cell r="U3218"/>
          <cell r="V3218">
            <v>910</v>
          </cell>
          <cell r="W3218"/>
          <cell r="X3218">
            <v>910</v>
          </cell>
          <cell r="Y3218"/>
          <cell r="Z3218">
            <v>910</v>
          </cell>
          <cell r="AA3218"/>
          <cell r="AB3218"/>
          <cell r="AC3218"/>
          <cell r="AD3218">
            <v>0.4</v>
          </cell>
          <cell r="AE3218"/>
          <cell r="AF3218"/>
          <cell r="AG3218"/>
          <cell r="AH3218"/>
          <cell r="AI3218"/>
          <cell r="AJ3218"/>
          <cell r="AK3218"/>
          <cell r="AL3218"/>
        </row>
        <row r="3219">
          <cell r="E3219" t="str">
            <v>接地極埋設標示板 NTT型 黄銅製</v>
          </cell>
          <cell r="F3219" t="str">
            <v>枚</v>
          </cell>
          <cell r="G3219"/>
          <cell r="H3219">
            <v>1700</v>
          </cell>
          <cell r="I3219"/>
          <cell r="J3219">
            <v>1700</v>
          </cell>
          <cell r="K3219"/>
          <cell r="L3219">
            <v>1700</v>
          </cell>
          <cell r="M3219"/>
          <cell r="N3219">
            <v>1700</v>
          </cell>
          <cell r="O3219"/>
          <cell r="P3219">
            <v>1700</v>
          </cell>
          <cell r="Q3219"/>
          <cell r="R3219">
            <v>1700</v>
          </cell>
          <cell r="S3219"/>
          <cell r="T3219">
            <v>1700</v>
          </cell>
          <cell r="U3219"/>
          <cell r="V3219">
            <v>1700</v>
          </cell>
          <cell r="W3219"/>
          <cell r="X3219">
            <v>1700</v>
          </cell>
          <cell r="Y3219"/>
          <cell r="Z3219">
            <v>1700</v>
          </cell>
          <cell r="AA3219"/>
          <cell r="AB3219"/>
          <cell r="AC3219"/>
          <cell r="AD3219">
            <v>0.4</v>
          </cell>
          <cell r="AE3219"/>
          <cell r="AF3219"/>
          <cell r="AG3219"/>
          <cell r="AH3219"/>
          <cell r="AI3219"/>
          <cell r="AJ3219"/>
          <cell r="AK3219"/>
          <cell r="AL3219"/>
        </row>
        <row r="3220">
          <cell r="E3220" t="str">
            <v>接地極銅板 600角 黄銅ロウ付</v>
          </cell>
          <cell r="F3220" t="str">
            <v>枚</v>
          </cell>
          <cell r="G3220"/>
          <cell r="H3220">
            <v>15400</v>
          </cell>
          <cell r="I3220"/>
          <cell r="J3220">
            <v>15400</v>
          </cell>
          <cell r="K3220"/>
          <cell r="L3220">
            <v>15400</v>
          </cell>
          <cell r="M3220"/>
          <cell r="N3220">
            <v>15400</v>
          </cell>
          <cell r="O3220"/>
          <cell r="P3220">
            <v>15400</v>
          </cell>
          <cell r="Q3220"/>
          <cell r="R3220">
            <v>15400</v>
          </cell>
          <cell r="S3220"/>
          <cell r="T3220">
            <v>15400</v>
          </cell>
          <cell r="U3220"/>
          <cell r="V3220">
            <v>15400</v>
          </cell>
          <cell r="W3220"/>
          <cell r="X3220">
            <v>15400</v>
          </cell>
          <cell r="Y3220"/>
          <cell r="Z3220">
            <v>15400</v>
          </cell>
          <cell r="AA3220"/>
          <cell r="AB3220"/>
          <cell r="AC3220"/>
          <cell r="AD3220">
            <v>2.0259999999999998</v>
          </cell>
          <cell r="AE3220"/>
          <cell r="AF3220"/>
          <cell r="AG3220"/>
          <cell r="AH3220"/>
          <cell r="AI3220"/>
          <cell r="AJ3220"/>
          <cell r="AK3220"/>
          <cell r="AL3220"/>
        </row>
        <row r="3221">
          <cell r="E3221" t="str">
            <v>接地極銅板 900角 黄銅ロウ付</v>
          </cell>
          <cell r="F3221" t="str">
            <v>枚</v>
          </cell>
          <cell r="G3221"/>
          <cell r="H3221">
            <v>21000</v>
          </cell>
          <cell r="I3221"/>
          <cell r="J3221">
            <v>21000</v>
          </cell>
          <cell r="K3221"/>
          <cell r="L3221">
            <v>21000</v>
          </cell>
          <cell r="M3221"/>
          <cell r="N3221">
            <v>21000</v>
          </cell>
          <cell r="O3221"/>
          <cell r="P3221">
            <v>21000</v>
          </cell>
          <cell r="Q3221"/>
          <cell r="R3221">
            <v>21000</v>
          </cell>
          <cell r="S3221"/>
          <cell r="T3221">
            <v>21000</v>
          </cell>
          <cell r="U3221"/>
          <cell r="V3221">
            <v>21000</v>
          </cell>
          <cell r="W3221"/>
          <cell r="X3221">
            <v>21000</v>
          </cell>
          <cell r="Y3221"/>
          <cell r="Z3221">
            <v>21000</v>
          </cell>
          <cell r="AA3221"/>
          <cell r="AB3221"/>
          <cell r="AC3221"/>
          <cell r="AD3221">
            <v>3.7330000000000001</v>
          </cell>
          <cell r="AE3221"/>
          <cell r="AF3221"/>
          <cell r="AG3221"/>
          <cell r="AH3221"/>
          <cell r="AI3221"/>
          <cell r="AJ3221"/>
          <cell r="AK3221"/>
          <cell r="AL3221"/>
        </row>
        <row r="3222">
          <cell r="E3222" t="str">
            <v>接地極銅板 900角 テルミット２点溶接</v>
          </cell>
          <cell r="F3222" t="str">
            <v>枚</v>
          </cell>
          <cell r="G3222"/>
          <cell r="H3222">
            <v>19000</v>
          </cell>
          <cell r="I3222"/>
          <cell r="J3222">
            <v>19000</v>
          </cell>
          <cell r="K3222"/>
          <cell r="L3222">
            <v>19000</v>
          </cell>
          <cell r="M3222"/>
          <cell r="N3222">
            <v>19000</v>
          </cell>
          <cell r="O3222"/>
          <cell r="P3222">
            <v>19000</v>
          </cell>
          <cell r="Q3222"/>
          <cell r="R3222">
            <v>19000</v>
          </cell>
          <cell r="S3222"/>
          <cell r="T3222">
            <v>19000</v>
          </cell>
          <cell r="U3222"/>
          <cell r="V3222">
            <v>19000</v>
          </cell>
          <cell r="W3222"/>
          <cell r="X3222">
            <v>19000</v>
          </cell>
          <cell r="Y3222"/>
          <cell r="Z3222">
            <v>19000</v>
          </cell>
          <cell r="AA3222"/>
          <cell r="AB3222"/>
          <cell r="AC3222"/>
          <cell r="AD3222">
            <v>3.7330000000000001</v>
          </cell>
          <cell r="AE3222"/>
          <cell r="AF3222"/>
          <cell r="AG3222"/>
          <cell r="AH3222"/>
          <cell r="AI3222"/>
          <cell r="AJ3222"/>
          <cell r="AK3222"/>
          <cell r="AL3222"/>
        </row>
        <row r="3223">
          <cell r="E3223"/>
          <cell r="F3223"/>
          <cell r="G3223"/>
          <cell r="H3223"/>
          <cell r="I3223"/>
          <cell r="J3223"/>
          <cell r="K3223"/>
          <cell r="L3223"/>
          <cell r="M3223"/>
          <cell r="N3223"/>
          <cell r="O3223"/>
          <cell r="P3223"/>
          <cell r="Q3223"/>
          <cell r="R3223"/>
          <cell r="S3223"/>
          <cell r="T3223"/>
          <cell r="U3223"/>
          <cell r="V3223"/>
          <cell r="W3223"/>
          <cell r="X3223"/>
          <cell r="Y3223"/>
          <cell r="Z3223"/>
          <cell r="AA3223"/>
          <cell r="AB3223"/>
          <cell r="AC3223"/>
          <cell r="AD3223"/>
          <cell r="AE3223"/>
          <cell r="AF3223"/>
          <cell r="AG3223"/>
          <cell r="AH3223"/>
          <cell r="AI3223"/>
          <cell r="AJ3223"/>
          <cell r="AK3223"/>
          <cell r="AL3223"/>
        </row>
        <row r="3224">
          <cell r="E3224"/>
          <cell r="F3224"/>
          <cell r="G3224"/>
          <cell r="H3224"/>
          <cell r="I3224"/>
          <cell r="J3224"/>
          <cell r="K3224"/>
          <cell r="L3224"/>
          <cell r="M3224"/>
          <cell r="N3224"/>
          <cell r="O3224"/>
          <cell r="P3224"/>
          <cell r="Q3224"/>
          <cell r="R3224"/>
          <cell r="S3224"/>
          <cell r="T3224"/>
          <cell r="U3224"/>
          <cell r="V3224"/>
          <cell r="W3224"/>
          <cell r="X3224"/>
          <cell r="Y3224"/>
          <cell r="Z3224"/>
          <cell r="AA3224"/>
          <cell r="AB3224"/>
          <cell r="AC3224"/>
          <cell r="AD3224"/>
          <cell r="AE3224"/>
          <cell r="AF3224"/>
          <cell r="AG3224"/>
          <cell r="AH3224"/>
          <cell r="AI3224"/>
          <cell r="AJ3224"/>
          <cell r="AK3224"/>
          <cell r="AL3224"/>
        </row>
        <row r="3225">
          <cell r="E3225"/>
          <cell r="F3225"/>
          <cell r="G3225"/>
          <cell r="H3225"/>
          <cell r="I3225"/>
          <cell r="J3225"/>
          <cell r="K3225"/>
          <cell r="L3225"/>
          <cell r="M3225"/>
          <cell r="N3225"/>
          <cell r="O3225"/>
          <cell r="P3225"/>
          <cell r="Q3225"/>
          <cell r="R3225"/>
          <cell r="S3225"/>
          <cell r="T3225"/>
          <cell r="U3225"/>
          <cell r="V3225"/>
          <cell r="W3225"/>
          <cell r="X3225"/>
          <cell r="Y3225"/>
          <cell r="Z3225"/>
          <cell r="AA3225"/>
          <cell r="AB3225"/>
          <cell r="AC3225"/>
          <cell r="AD3225"/>
          <cell r="AE3225"/>
          <cell r="AF3225"/>
          <cell r="AG3225"/>
          <cell r="AH3225"/>
          <cell r="AI3225"/>
          <cell r="AJ3225"/>
          <cell r="AK3225"/>
          <cell r="AL3225"/>
        </row>
        <row r="3226">
          <cell r="E3226"/>
          <cell r="F3226"/>
          <cell r="G3226"/>
          <cell r="H3226"/>
          <cell r="I3226"/>
          <cell r="J3226"/>
          <cell r="K3226"/>
          <cell r="L3226"/>
          <cell r="M3226"/>
          <cell r="N3226"/>
          <cell r="O3226"/>
          <cell r="P3226"/>
          <cell r="Q3226"/>
          <cell r="R3226"/>
          <cell r="S3226"/>
          <cell r="T3226"/>
          <cell r="U3226"/>
          <cell r="V3226"/>
          <cell r="W3226"/>
          <cell r="X3226"/>
          <cell r="Y3226"/>
          <cell r="Z3226"/>
          <cell r="AA3226"/>
          <cell r="AB3226"/>
          <cell r="AC3226"/>
          <cell r="AD3226"/>
          <cell r="AE3226"/>
          <cell r="AF3226"/>
          <cell r="AG3226"/>
          <cell r="AH3226"/>
          <cell r="AI3226"/>
          <cell r="AJ3226"/>
          <cell r="AK3226"/>
          <cell r="AL3226"/>
        </row>
        <row r="3227">
          <cell r="E3227"/>
          <cell r="F3227"/>
          <cell r="G3227"/>
          <cell r="H3227"/>
          <cell r="I3227"/>
          <cell r="J3227"/>
          <cell r="K3227"/>
          <cell r="L3227"/>
          <cell r="M3227"/>
          <cell r="N3227"/>
          <cell r="O3227"/>
          <cell r="P3227"/>
          <cell r="Q3227"/>
          <cell r="R3227"/>
          <cell r="S3227"/>
          <cell r="T3227"/>
          <cell r="U3227"/>
          <cell r="V3227"/>
          <cell r="W3227"/>
          <cell r="X3227"/>
          <cell r="Y3227"/>
          <cell r="Z3227"/>
          <cell r="AA3227"/>
          <cell r="AB3227"/>
          <cell r="AC3227"/>
          <cell r="AD3227"/>
          <cell r="AE3227"/>
          <cell r="AF3227"/>
          <cell r="AG3227"/>
          <cell r="AH3227"/>
          <cell r="AI3227"/>
          <cell r="AJ3227"/>
          <cell r="AK3227"/>
          <cell r="AL3227"/>
        </row>
        <row r="3228">
          <cell r="E3228"/>
          <cell r="F3228"/>
          <cell r="G3228"/>
          <cell r="H3228"/>
          <cell r="I3228"/>
          <cell r="J3228"/>
          <cell r="K3228"/>
          <cell r="L3228"/>
          <cell r="M3228"/>
          <cell r="N3228"/>
          <cell r="O3228"/>
          <cell r="P3228"/>
          <cell r="Q3228"/>
          <cell r="R3228"/>
          <cell r="S3228"/>
          <cell r="T3228"/>
          <cell r="U3228"/>
          <cell r="V3228"/>
          <cell r="W3228"/>
          <cell r="X3228"/>
          <cell r="Y3228"/>
          <cell r="Z3228"/>
          <cell r="AA3228"/>
          <cell r="AB3228"/>
          <cell r="AC3228"/>
          <cell r="AD3228"/>
          <cell r="AE3228"/>
          <cell r="AF3228"/>
          <cell r="AG3228"/>
          <cell r="AH3228"/>
          <cell r="AI3228"/>
          <cell r="AJ3228"/>
          <cell r="AK3228"/>
          <cell r="AL3228"/>
        </row>
        <row r="3229">
          <cell r="E3229"/>
          <cell r="F3229"/>
          <cell r="G3229"/>
          <cell r="H3229"/>
          <cell r="I3229"/>
          <cell r="J3229"/>
          <cell r="K3229"/>
          <cell r="L3229"/>
          <cell r="M3229"/>
          <cell r="N3229"/>
          <cell r="O3229"/>
          <cell r="P3229"/>
          <cell r="Q3229"/>
          <cell r="R3229"/>
          <cell r="S3229"/>
          <cell r="T3229"/>
          <cell r="U3229"/>
          <cell r="V3229"/>
          <cell r="W3229"/>
          <cell r="X3229"/>
          <cell r="Y3229"/>
          <cell r="Z3229"/>
          <cell r="AA3229"/>
          <cell r="AB3229"/>
          <cell r="AC3229"/>
          <cell r="AD3229"/>
          <cell r="AE3229"/>
          <cell r="AF3229"/>
          <cell r="AG3229"/>
          <cell r="AH3229"/>
          <cell r="AI3229"/>
          <cell r="AJ3229"/>
          <cell r="AK3229"/>
          <cell r="AL3229"/>
        </row>
        <row r="3230">
          <cell r="E3230"/>
          <cell r="F3230"/>
          <cell r="G3230"/>
          <cell r="H3230"/>
          <cell r="I3230"/>
          <cell r="J3230"/>
          <cell r="K3230"/>
          <cell r="L3230"/>
          <cell r="M3230"/>
          <cell r="N3230"/>
          <cell r="O3230"/>
          <cell r="P3230"/>
          <cell r="Q3230"/>
          <cell r="R3230"/>
          <cell r="S3230"/>
          <cell r="T3230"/>
          <cell r="U3230"/>
          <cell r="V3230"/>
          <cell r="W3230"/>
          <cell r="X3230"/>
          <cell r="Y3230"/>
          <cell r="Z3230"/>
          <cell r="AA3230"/>
          <cell r="AB3230"/>
          <cell r="AC3230"/>
          <cell r="AD3230"/>
          <cell r="AE3230"/>
          <cell r="AF3230"/>
          <cell r="AG3230"/>
          <cell r="AH3230"/>
          <cell r="AI3230"/>
          <cell r="AJ3230"/>
          <cell r="AK3230"/>
          <cell r="AL3230"/>
        </row>
        <row r="3231">
          <cell r="E3231"/>
          <cell r="F3231"/>
          <cell r="G3231"/>
          <cell r="H3231"/>
          <cell r="I3231"/>
          <cell r="J3231"/>
          <cell r="K3231"/>
          <cell r="L3231"/>
          <cell r="M3231"/>
          <cell r="N3231"/>
          <cell r="O3231"/>
          <cell r="P3231"/>
          <cell r="Q3231"/>
          <cell r="R3231"/>
          <cell r="S3231"/>
          <cell r="T3231"/>
          <cell r="U3231"/>
          <cell r="V3231"/>
          <cell r="W3231"/>
          <cell r="X3231"/>
          <cell r="Y3231"/>
          <cell r="Z3231"/>
          <cell r="AA3231"/>
          <cell r="AB3231"/>
          <cell r="AC3231"/>
          <cell r="AD3231"/>
          <cell r="AE3231"/>
          <cell r="AF3231"/>
          <cell r="AG3231"/>
          <cell r="AH3231"/>
          <cell r="AI3231"/>
          <cell r="AJ3231"/>
          <cell r="AK3231"/>
          <cell r="AL3231"/>
        </row>
        <row r="3232">
          <cell r="E3232"/>
          <cell r="F3232"/>
          <cell r="G3232"/>
          <cell r="H3232"/>
          <cell r="I3232"/>
          <cell r="J3232"/>
          <cell r="K3232"/>
          <cell r="L3232"/>
          <cell r="M3232"/>
          <cell r="N3232"/>
          <cell r="O3232"/>
          <cell r="P3232"/>
          <cell r="Q3232"/>
          <cell r="R3232"/>
          <cell r="S3232"/>
          <cell r="T3232"/>
          <cell r="U3232"/>
          <cell r="V3232"/>
          <cell r="W3232"/>
          <cell r="X3232"/>
          <cell r="Y3232"/>
          <cell r="Z3232"/>
          <cell r="AA3232"/>
          <cell r="AB3232"/>
          <cell r="AC3232"/>
          <cell r="AD3232"/>
          <cell r="AE3232"/>
          <cell r="AF3232"/>
          <cell r="AG3232"/>
          <cell r="AH3232"/>
          <cell r="AI3232"/>
          <cell r="AJ3232"/>
          <cell r="AK3232"/>
          <cell r="AL3232"/>
        </row>
        <row r="3233">
          <cell r="E3233"/>
          <cell r="F3233"/>
          <cell r="G3233"/>
          <cell r="H3233"/>
          <cell r="I3233"/>
          <cell r="J3233"/>
          <cell r="K3233"/>
          <cell r="L3233"/>
          <cell r="M3233"/>
          <cell r="N3233"/>
          <cell r="O3233"/>
          <cell r="P3233"/>
          <cell r="Q3233"/>
          <cell r="R3233"/>
          <cell r="S3233"/>
          <cell r="T3233"/>
          <cell r="U3233"/>
          <cell r="V3233"/>
          <cell r="W3233"/>
          <cell r="X3233"/>
          <cell r="Y3233"/>
          <cell r="Z3233"/>
          <cell r="AA3233"/>
          <cell r="AB3233"/>
          <cell r="AC3233"/>
          <cell r="AD3233"/>
          <cell r="AE3233"/>
          <cell r="AF3233"/>
          <cell r="AG3233"/>
          <cell r="AH3233"/>
          <cell r="AI3233"/>
          <cell r="AJ3233"/>
          <cell r="AK3233"/>
          <cell r="AL3233"/>
        </row>
        <row r="3234">
          <cell r="E3234"/>
          <cell r="F3234"/>
          <cell r="G3234"/>
          <cell r="H3234"/>
          <cell r="I3234"/>
          <cell r="J3234"/>
          <cell r="K3234"/>
          <cell r="L3234"/>
          <cell r="M3234"/>
          <cell r="N3234"/>
          <cell r="O3234"/>
          <cell r="P3234"/>
          <cell r="Q3234"/>
          <cell r="R3234"/>
          <cell r="S3234"/>
          <cell r="T3234"/>
          <cell r="U3234"/>
          <cell r="V3234"/>
          <cell r="W3234"/>
          <cell r="X3234"/>
          <cell r="Y3234"/>
          <cell r="Z3234"/>
          <cell r="AA3234"/>
          <cell r="AB3234"/>
          <cell r="AC3234"/>
          <cell r="AD3234"/>
          <cell r="AE3234"/>
          <cell r="AF3234"/>
          <cell r="AG3234"/>
          <cell r="AH3234"/>
          <cell r="AI3234"/>
          <cell r="AJ3234"/>
          <cell r="AK3234"/>
          <cell r="AL3234"/>
        </row>
        <row r="3235">
          <cell r="E3235"/>
          <cell r="F3235"/>
          <cell r="G3235"/>
          <cell r="H3235"/>
          <cell r="I3235"/>
          <cell r="J3235"/>
          <cell r="K3235"/>
          <cell r="L3235"/>
          <cell r="M3235"/>
          <cell r="N3235"/>
          <cell r="O3235"/>
          <cell r="P3235"/>
          <cell r="Q3235"/>
          <cell r="R3235"/>
          <cell r="S3235"/>
          <cell r="T3235"/>
          <cell r="U3235"/>
          <cell r="V3235"/>
          <cell r="W3235"/>
          <cell r="X3235"/>
          <cell r="Y3235"/>
          <cell r="Z3235"/>
          <cell r="AA3235"/>
          <cell r="AB3235"/>
          <cell r="AC3235"/>
          <cell r="AD3235"/>
          <cell r="AE3235"/>
          <cell r="AF3235"/>
          <cell r="AG3235"/>
          <cell r="AH3235"/>
          <cell r="AI3235"/>
          <cell r="AJ3235"/>
          <cell r="AK3235"/>
          <cell r="AL3235"/>
        </row>
        <row r="3236">
          <cell r="E3236"/>
          <cell r="F3236"/>
          <cell r="G3236"/>
          <cell r="H3236"/>
          <cell r="I3236"/>
          <cell r="J3236"/>
          <cell r="K3236"/>
          <cell r="L3236"/>
          <cell r="M3236"/>
          <cell r="N3236"/>
          <cell r="O3236"/>
          <cell r="P3236"/>
          <cell r="Q3236"/>
          <cell r="R3236"/>
          <cell r="S3236"/>
          <cell r="T3236"/>
          <cell r="U3236"/>
          <cell r="V3236"/>
          <cell r="W3236"/>
          <cell r="X3236"/>
          <cell r="Y3236"/>
          <cell r="Z3236"/>
          <cell r="AA3236"/>
          <cell r="AB3236"/>
          <cell r="AC3236"/>
          <cell r="AD3236"/>
          <cell r="AE3236"/>
          <cell r="AF3236"/>
          <cell r="AG3236"/>
          <cell r="AH3236"/>
          <cell r="AI3236"/>
          <cell r="AJ3236"/>
          <cell r="AK3236"/>
          <cell r="AL3236"/>
        </row>
        <row r="3237">
          <cell r="E3237"/>
          <cell r="F3237"/>
          <cell r="G3237"/>
          <cell r="H3237"/>
          <cell r="I3237"/>
          <cell r="J3237"/>
          <cell r="K3237"/>
          <cell r="L3237"/>
          <cell r="M3237"/>
          <cell r="N3237"/>
          <cell r="O3237"/>
          <cell r="P3237"/>
          <cell r="Q3237"/>
          <cell r="R3237"/>
          <cell r="S3237"/>
          <cell r="T3237"/>
          <cell r="U3237"/>
          <cell r="V3237"/>
          <cell r="W3237"/>
          <cell r="X3237"/>
          <cell r="Y3237"/>
          <cell r="Z3237"/>
          <cell r="AA3237"/>
          <cell r="AB3237"/>
          <cell r="AC3237"/>
          <cell r="AD3237"/>
          <cell r="AE3237"/>
          <cell r="AF3237"/>
          <cell r="AG3237"/>
          <cell r="AH3237"/>
          <cell r="AI3237"/>
          <cell r="AJ3237"/>
          <cell r="AK3237"/>
          <cell r="AL3237"/>
        </row>
        <row r="3238">
          <cell r="E3238"/>
          <cell r="F3238"/>
          <cell r="G3238"/>
          <cell r="H3238"/>
          <cell r="I3238"/>
          <cell r="J3238"/>
          <cell r="K3238"/>
          <cell r="L3238"/>
          <cell r="M3238"/>
          <cell r="N3238"/>
          <cell r="O3238"/>
          <cell r="P3238"/>
          <cell r="Q3238"/>
          <cell r="R3238"/>
          <cell r="S3238"/>
          <cell r="T3238"/>
          <cell r="U3238"/>
          <cell r="V3238"/>
          <cell r="W3238"/>
          <cell r="X3238"/>
          <cell r="Y3238"/>
          <cell r="Z3238"/>
          <cell r="AA3238"/>
          <cell r="AB3238"/>
          <cell r="AC3238"/>
          <cell r="AD3238"/>
          <cell r="AE3238"/>
          <cell r="AF3238"/>
          <cell r="AG3238"/>
          <cell r="AH3238"/>
          <cell r="AI3238"/>
          <cell r="AJ3238"/>
          <cell r="AK3238"/>
          <cell r="AL3238"/>
        </row>
        <row r="3239">
          <cell r="E3239"/>
          <cell r="F3239"/>
          <cell r="G3239"/>
          <cell r="H3239"/>
          <cell r="I3239"/>
          <cell r="J3239"/>
          <cell r="K3239"/>
          <cell r="L3239"/>
          <cell r="M3239"/>
          <cell r="N3239"/>
          <cell r="O3239"/>
          <cell r="P3239"/>
          <cell r="Q3239"/>
          <cell r="R3239"/>
          <cell r="S3239"/>
          <cell r="T3239"/>
          <cell r="U3239"/>
          <cell r="V3239"/>
          <cell r="W3239"/>
          <cell r="X3239"/>
          <cell r="Y3239"/>
          <cell r="Z3239"/>
          <cell r="AA3239"/>
          <cell r="AB3239"/>
          <cell r="AC3239"/>
          <cell r="AD3239"/>
          <cell r="AE3239"/>
          <cell r="AF3239"/>
          <cell r="AG3239"/>
          <cell r="AH3239"/>
          <cell r="AI3239"/>
          <cell r="AJ3239"/>
          <cell r="AK3239"/>
          <cell r="AL3239"/>
        </row>
        <row r="3240">
          <cell r="E3240"/>
          <cell r="F3240"/>
          <cell r="G3240"/>
          <cell r="H3240"/>
          <cell r="I3240"/>
          <cell r="J3240"/>
          <cell r="K3240"/>
          <cell r="L3240"/>
          <cell r="M3240"/>
          <cell r="N3240"/>
          <cell r="O3240"/>
          <cell r="P3240"/>
          <cell r="Q3240"/>
          <cell r="R3240"/>
          <cell r="S3240"/>
          <cell r="T3240"/>
          <cell r="U3240"/>
          <cell r="V3240"/>
          <cell r="W3240"/>
          <cell r="X3240"/>
          <cell r="Y3240"/>
          <cell r="Z3240"/>
          <cell r="AA3240"/>
          <cell r="AB3240"/>
          <cell r="AC3240"/>
          <cell r="AD3240"/>
          <cell r="AE3240"/>
          <cell r="AF3240"/>
          <cell r="AG3240"/>
          <cell r="AH3240"/>
          <cell r="AI3240"/>
          <cell r="AJ3240"/>
          <cell r="AK3240"/>
          <cell r="AL3240"/>
        </row>
        <row r="3241">
          <cell r="E3241"/>
          <cell r="F3241"/>
          <cell r="G3241"/>
          <cell r="H3241"/>
          <cell r="I3241"/>
          <cell r="J3241"/>
          <cell r="K3241"/>
          <cell r="L3241"/>
          <cell r="M3241"/>
          <cell r="N3241"/>
          <cell r="O3241"/>
          <cell r="P3241"/>
          <cell r="Q3241"/>
          <cell r="R3241"/>
          <cell r="S3241"/>
          <cell r="T3241"/>
          <cell r="U3241"/>
          <cell r="V3241"/>
          <cell r="W3241"/>
          <cell r="X3241"/>
          <cell r="Y3241"/>
          <cell r="Z3241"/>
          <cell r="AA3241"/>
          <cell r="AB3241"/>
          <cell r="AC3241"/>
          <cell r="AD3241"/>
          <cell r="AE3241"/>
          <cell r="AF3241"/>
          <cell r="AG3241"/>
          <cell r="AH3241"/>
          <cell r="AI3241"/>
          <cell r="AJ3241"/>
          <cell r="AK3241"/>
          <cell r="AL3241"/>
        </row>
        <row r="3242">
          <cell r="E3242"/>
          <cell r="F3242"/>
          <cell r="G3242"/>
          <cell r="H3242"/>
          <cell r="I3242"/>
          <cell r="J3242"/>
          <cell r="K3242"/>
          <cell r="L3242"/>
          <cell r="M3242"/>
          <cell r="N3242"/>
          <cell r="O3242"/>
          <cell r="P3242"/>
          <cell r="Q3242"/>
          <cell r="R3242"/>
          <cell r="S3242"/>
          <cell r="T3242"/>
          <cell r="U3242"/>
          <cell r="V3242"/>
          <cell r="W3242"/>
          <cell r="X3242"/>
          <cell r="Y3242"/>
          <cell r="Z3242"/>
          <cell r="AA3242"/>
          <cell r="AB3242"/>
          <cell r="AC3242"/>
          <cell r="AD3242"/>
          <cell r="AE3242"/>
          <cell r="AF3242"/>
          <cell r="AG3242"/>
          <cell r="AH3242"/>
          <cell r="AI3242"/>
          <cell r="AJ3242"/>
          <cell r="AK3242"/>
          <cell r="AL3242"/>
        </row>
        <row r="3243">
          <cell r="E3243"/>
          <cell r="F3243"/>
          <cell r="G3243"/>
          <cell r="H3243"/>
          <cell r="I3243"/>
          <cell r="J3243"/>
          <cell r="K3243"/>
          <cell r="L3243"/>
          <cell r="M3243"/>
          <cell r="N3243"/>
          <cell r="O3243"/>
          <cell r="P3243"/>
          <cell r="Q3243"/>
          <cell r="R3243"/>
          <cell r="S3243"/>
          <cell r="T3243"/>
          <cell r="U3243"/>
          <cell r="V3243"/>
          <cell r="W3243"/>
          <cell r="X3243"/>
          <cell r="Y3243"/>
          <cell r="Z3243"/>
          <cell r="AA3243"/>
          <cell r="AB3243"/>
          <cell r="AC3243"/>
          <cell r="AD3243"/>
          <cell r="AE3243"/>
          <cell r="AF3243"/>
          <cell r="AG3243"/>
          <cell r="AH3243"/>
          <cell r="AI3243"/>
          <cell r="AJ3243"/>
          <cell r="AK3243"/>
          <cell r="AL3243"/>
        </row>
        <row r="3244">
          <cell r="E3244"/>
          <cell r="F3244"/>
          <cell r="G3244"/>
          <cell r="H3244"/>
          <cell r="I3244"/>
          <cell r="J3244"/>
          <cell r="K3244"/>
          <cell r="L3244"/>
          <cell r="M3244"/>
          <cell r="N3244"/>
          <cell r="O3244"/>
          <cell r="P3244"/>
          <cell r="Q3244"/>
          <cell r="R3244"/>
          <cell r="S3244"/>
          <cell r="T3244"/>
          <cell r="U3244"/>
          <cell r="V3244"/>
          <cell r="W3244"/>
          <cell r="X3244"/>
          <cell r="Y3244"/>
          <cell r="Z3244"/>
          <cell r="AA3244"/>
          <cell r="AB3244"/>
          <cell r="AC3244"/>
          <cell r="AD3244"/>
          <cell r="AE3244"/>
          <cell r="AF3244"/>
          <cell r="AG3244"/>
          <cell r="AH3244"/>
          <cell r="AI3244"/>
          <cell r="AJ3244"/>
          <cell r="AK3244"/>
          <cell r="AL3244"/>
        </row>
        <row r="3245">
          <cell r="E3245"/>
          <cell r="F3245"/>
          <cell r="G3245"/>
          <cell r="H3245"/>
          <cell r="I3245"/>
          <cell r="J3245"/>
          <cell r="K3245"/>
          <cell r="L3245"/>
          <cell r="M3245"/>
          <cell r="N3245"/>
          <cell r="O3245"/>
          <cell r="P3245"/>
          <cell r="Q3245"/>
          <cell r="R3245"/>
          <cell r="S3245"/>
          <cell r="T3245"/>
          <cell r="U3245"/>
          <cell r="V3245"/>
          <cell r="W3245"/>
          <cell r="X3245"/>
          <cell r="Y3245"/>
          <cell r="Z3245"/>
          <cell r="AA3245"/>
          <cell r="AB3245"/>
          <cell r="AC3245"/>
          <cell r="AD3245"/>
          <cell r="AE3245"/>
          <cell r="AF3245"/>
          <cell r="AG3245"/>
          <cell r="AH3245"/>
          <cell r="AI3245"/>
          <cell r="AJ3245"/>
          <cell r="AK3245"/>
          <cell r="AL3245"/>
        </row>
        <row r="3246">
          <cell r="E3246"/>
          <cell r="F3246"/>
          <cell r="G3246"/>
          <cell r="H3246"/>
          <cell r="I3246"/>
          <cell r="J3246"/>
          <cell r="K3246"/>
          <cell r="L3246"/>
          <cell r="M3246"/>
          <cell r="N3246"/>
          <cell r="O3246"/>
          <cell r="P3246"/>
          <cell r="Q3246"/>
          <cell r="R3246"/>
          <cell r="S3246"/>
          <cell r="T3246"/>
          <cell r="U3246"/>
          <cell r="V3246"/>
          <cell r="W3246"/>
          <cell r="X3246"/>
          <cell r="Y3246"/>
          <cell r="Z3246"/>
          <cell r="AA3246"/>
          <cell r="AB3246"/>
          <cell r="AC3246"/>
          <cell r="AD3246"/>
          <cell r="AE3246"/>
          <cell r="AF3246"/>
          <cell r="AG3246"/>
          <cell r="AH3246"/>
          <cell r="AI3246"/>
          <cell r="AJ3246"/>
          <cell r="AK3246"/>
          <cell r="AL3246"/>
        </row>
        <row r="3247">
          <cell r="E3247"/>
          <cell r="F3247"/>
          <cell r="G3247"/>
          <cell r="H3247"/>
          <cell r="I3247"/>
          <cell r="J3247"/>
          <cell r="K3247"/>
          <cell r="L3247"/>
          <cell r="M3247"/>
          <cell r="N3247"/>
          <cell r="O3247"/>
          <cell r="P3247"/>
          <cell r="Q3247"/>
          <cell r="R3247"/>
          <cell r="S3247"/>
          <cell r="T3247"/>
          <cell r="U3247"/>
          <cell r="V3247"/>
          <cell r="W3247"/>
          <cell r="X3247"/>
          <cell r="Y3247"/>
          <cell r="Z3247"/>
          <cell r="AA3247"/>
          <cell r="AB3247"/>
          <cell r="AC3247"/>
          <cell r="AD3247"/>
          <cell r="AE3247"/>
          <cell r="AF3247"/>
          <cell r="AG3247"/>
          <cell r="AH3247"/>
          <cell r="AI3247"/>
          <cell r="AJ3247"/>
          <cell r="AK3247"/>
          <cell r="AL3247"/>
        </row>
        <row r="3248">
          <cell r="E3248"/>
          <cell r="F3248"/>
          <cell r="G3248"/>
          <cell r="H3248"/>
          <cell r="I3248"/>
          <cell r="J3248"/>
          <cell r="K3248"/>
          <cell r="L3248"/>
          <cell r="M3248"/>
          <cell r="N3248"/>
          <cell r="O3248"/>
          <cell r="P3248"/>
          <cell r="Q3248"/>
          <cell r="R3248"/>
          <cell r="S3248"/>
          <cell r="T3248"/>
          <cell r="U3248"/>
          <cell r="V3248"/>
          <cell r="W3248"/>
          <cell r="X3248"/>
          <cell r="Y3248"/>
          <cell r="Z3248"/>
          <cell r="AA3248"/>
          <cell r="AB3248"/>
          <cell r="AC3248"/>
          <cell r="AD3248"/>
          <cell r="AE3248"/>
          <cell r="AF3248"/>
          <cell r="AG3248"/>
          <cell r="AH3248"/>
          <cell r="AI3248"/>
          <cell r="AJ3248"/>
          <cell r="AK3248"/>
          <cell r="AL3248"/>
        </row>
        <row r="3249">
          <cell r="E3249"/>
          <cell r="F3249"/>
          <cell r="G3249"/>
          <cell r="H3249"/>
          <cell r="I3249"/>
          <cell r="J3249"/>
          <cell r="K3249"/>
          <cell r="L3249"/>
          <cell r="M3249"/>
          <cell r="N3249"/>
          <cell r="O3249"/>
          <cell r="P3249"/>
          <cell r="Q3249"/>
          <cell r="R3249"/>
          <cell r="S3249"/>
          <cell r="T3249"/>
          <cell r="U3249"/>
          <cell r="V3249"/>
          <cell r="W3249"/>
          <cell r="X3249"/>
          <cell r="Y3249"/>
          <cell r="Z3249"/>
          <cell r="AA3249"/>
          <cell r="AB3249"/>
          <cell r="AC3249"/>
          <cell r="AD3249"/>
          <cell r="AE3249"/>
          <cell r="AF3249"/>
          <cell r="AG3249"/>
          <cell r="AH3249"/>
          <cell r="AI3249"/>
          <cell r="AJ3249"/>
          <cell r="AK3249"/>
          <cell r="AL3249"/>
        </row>
        <row r="3250">
          <cell r="E3250"/>
          <cell r="F3250"/>
          <cell r="G3250"/>
          <cell r="H3250"/>
          <cell r="I3250"/>
          <cell r="J3250"/>
          <cell r="K3250"/>
          <cell r="L3250"/>
          <cell r="M3250"/>
          <cell r="N3250"/>
          <cell r="O3250"/>
          <cell r="P3250"/>
          <cell r="Q3250"/>
          <cell r="R3250"/>
          <cell r="S3250"/>
          <cell r="T3250"/>
          <cell r="U3250"/>
          <cell r="V3250"/>
          <cell r="W3250"/>
          <cell r="X3250"/>
          <cell r="Y3250"/>
          <cell r="Z3250"/>
          <cell r="AA3250"/>
          <cell r="AB3250"/>
          <cell r="AC3250"/>
          <cell r="AD3250"/>
          <cell r="AE3250"/>
          <cell r="AF3250"/>
          <cell r="AG3250"/>
          <cell r="AH3250"/>
          <cell r="AI3250"/>
          <cell r="AJ3250"/>
          <cell r="AK3250"/>
          <cell r="AL3250"/>
        </row>
        <row r="3251">
          <cell r="E3251"/>
          <cell r="F3251"/>
          <cell r="G3251"/>
          <cell r="H3251"/>
          <cell r="I3251"/>
          <cell r="J3251"/>
          <cell r="K3251"/>
          <cell r="L3251"/>
          <cell r="M3251"/>
          <cell r="N3251"/>
          <cell r="O3251"/>
          <cell r="P3251"/>
          <cell r="Q3251"/>
          <cell r="R3251"/>
          <cell r="S3251"/>
          <cell r="T3251"/>
          <cell r="U3251"/>
          <cell r="V3251"/>
          <cell r="W3251"/>
          <cell r="X3251"/>
          <cell r="Y3251"/>
          <cell r="Z3251"/>
          <cell r="AA3251"/>
          <cell r="AB3251"/>
          <cell r="AC3251"/>
          <cell r="AD3251"/>
          <cell r="AE3251"/>
          <cell r="AF3251"/>
          <cell r="AG3251"/>
          <cell r="AH3251"/>
          <cell r="AI3251"/>
          <cell r="AJ3251"/>
          <cell r="AK3251"/>
          <cell r="AL3251"/>
        </row>
        <row r="3252">
          <cell r="E3252"/>
          <cell r="F3252"/>
          <cell r="G3252"/>
          <cell r="H3252"/>
          <cell r="I3252"/>
          <cell r="J3252"/>
          <cell r="K3252"/>
          <cell r="L3252"/>
          <cell r="M3252"/>
          <cell r="N3252"/>
          <cell r="O3252"/>
          <cell r="P3252"/>
          <cell r="Q3252"/>
          <cell r="R3252"/>
          <cell r="S3252"/>
          <cell r="T3252"/>
          <cell r="U3252"/>
          <cell r="V3252"/>
          <cell r="W3252"/>
          <cell r="X3252"/>
          <cell r="Y3252"/>
          <cell r="Z3252"/>
          <cell r="AA3252"/>
          <cell r="AB3252"/>
          <cell r="AC3252"/>
          <cell r="AD3252"/>
          <cell r="AE3252"/>
          <cell r="AF3252"/>
          <cell r="AG3252"/>
          <cell r="AH3252"/>
          <cell r="AI3252"/>
          <cell r="AJ3252"/>
          <cell r="AK3252"/>
          <cell r="AL3252"/>
        </row>
        <row r="3253">
          <cell r="E3253"/>
          <cell r="F3253"/>
          <cell r="G3253"/>
          <cell r="H3253"/>
          <cell r="I3253"/>
          <cell r="J3253"/>
          <cell r="K3253"/>
          <cell r="L3253"/>
          <cell r="M3253"/>
          <cell r="N3253"/>
          <cell r="O3253"/>
          <cell r="P3253"/>
          <cell r="Q3253"/>
          <cell r="R3253"/>
          <cell r="S3253"/>
          <cell r="T3253"/>
          <cell r="U3253"/>
          <cell r="V3253"/>
          <cell r="W3253"/>
          <cell r="X3253"/>
          <cell r="Y3253"/>
          <cell r="Z3253"/>
          <cell r="AA3253"/>
          <cell r="AB3253"/>
          <cell r="AC3253"/>
          <cell r="AD3253"/>
          <cell r="AE3253"/>
          <cell r="AF3253"/>
          <cell r="AG3253"/>
          <cell r="AH3253"/>
          <cell r="AI3253"/>
          <cell r="AJ3253"/>
          <cell r="AK3253"/>
          <cell r="AL3253"/>
        </row>
        <row r="3254">
          <cell r="E3254"/>
          <cell r="F3254"/>
          <cell r="G3254"/>
          <cell r="H3254"/>
          <cell r="I3254"/>
          <cell r="J3254"/>
          <cell r="K3254"/>
          <cell r="L3254"/>
          <cell r="M3254"/>
          <cell r="N3254"/>
          <cell r="O3254"/>
          <cell r="P3254"/>
          <cell r="Q3254"/>
          <cell r="R3254"/>
          <cell r="S3254"/>
          <cell r="T3254"/>
          <cell r="U3254"/>
          <cell r="V3254"/>
          <cell r="W3254"/>
          <cell r="X3254"/>
          <cell r="Y3254"/>
          <cell r="Z3254"/>
          <cell r="AA3254"/>
          <cell r="AB3254"/>
          <cell r="AC3254"/>
          <cell r="AD3254"/>
          <cell r="AE3254"/>
          <cell r="AF3254"/>
          <cell r="AG3254"/>
          <cell r="AH3254"/>
          <cell r="AI3254"/>
          <cell r="AJ3254"/>
          <cell r="AK3254"/>
          <cell r="AL3254"/>
        </row>
        <row r="3255">
          <cell r="E3255"/>
          <cell r="F3255"/>
          <cell r="G3255"/>
          <cell r="H3255"/>
          <cell r="I3255"/>
          <cell r="J3255"/>
          <cell r="K3255"/>
          <cell r="L3255"/>
          <cell r="M3255"/>
          <cell r="N3255"/>
          <cell r="O3255"/>
          <cell r="P3255"/>
          <cell r="Q3255"/>
          <cell r="R3255"/>
          <cell r="S3255"/>
          <cell r="T3255"/>
          <cell r="U3255"/>
          <cell r="V3255"/>
          <cell r="W3255"/>
          <cell r="X3255"/>
          <cell r="Y3255"/>
          <cell r="Z3255"/>
          <cell r="AA3255"/>
          <cell r="AB3255"/>
          <cell r="AC3255"/>
          <cell r="AD3255"/>
          <cell r="AE3255"/>
          <cell r="AF3255"/>
          <cell r="AG3255"/>
          <cell r="AH3255"/>
          <cell r="AI3255"/>
          <cell r="AJ3255"/>
          <cell r="AK3255"/>
          <cell r="AL3255"/>
        </row>
        <row r="3256">
          <cell r="E3256"/>
          <cell r="F3256"/>
          <cell r="G3256"/>
          <cell r="H3256"/>
          <cell r="I3256"/>
          <cell r="J3256"/>
          <cell r="K3256"/>
          <cell r="L3256"/>
          <cell r="M3256"/>
          <cell r="N3256"/>
          <cell r="O3256"/>
          <cell r="P3256"/>
          <cell r="Q3256"/>
          <cell r="R3256"/>
          <cell r="S3256"/>
          <cell r="T3256"/>
          <cell r="U3256"/>
          <cell r="V3256"/>
          <cell r="W3256"/>
          <cell r="X3256"/>
          <cell r="Y3256"/>
          <cell r="Z3256"/>
          <cell r="AA3256"/>
          <cell r="AB3256"/>
          <cell r="AC3256"/>
          <cell r="AD3256"/>
          <cell r="AE3256"/>
          <cell r="AF3256"/>
          <cell r="AG3256"/>
          <cell r="AH3256"/>
          <cell r="AI3256"/>
          <cell r="AJ3256"/>
          <cell r="AK3256"/>
          <cell r="AL3256"/>
        </row>
        <row r="3257">
          <cell r="E3257"/>
          <cell r="F3257"/>
          <cell r="G3257"/>
          <cell r="H3257"/>
          <cell r="I3257"/>
          <cell r="J3257"/>
          <cell r="K3257"/>
          <cell r="L3257"/>
          <cell r="M3257"/>
          <cell r="N3257"/>
          <cell r="O3257"/>
          <cell r="P3257"/>
          <cell r="Q3257"/>
          <cell r="R3257"/>
          <cell r="S3257"/>
          <cell r="T3257"/>
          <cell r="U3257"/>
          <cell r="V3257"/>
          <cell r="W3257"/>
          <cell r="X3257"/>
          <cell r="Y3257"/>
          <cell r="Z3257"/>
          <cell r="AA3257"/>
          <cell r="AB3257"/>
          <cell r="AC3257"/>
          <cell r="AD3257"/>
          <cell r="AE3257"/>
          <cell r="AF3257"/>
          <cell r="AG3257"/>
          <cell r="AH3257"/>
          <cell r="AI3257"/>
          <cell r="AJ3257"/>
          <cell r="AK3257"/>
          <cell r="AL3257"/>
        </row>
        <row r="3258">
          <cell r="E3258"/>
          <cell r="F3258"/>
          <cell r="G3258"/>
          <cell r="H3258"/>
          <cell r="I3258"/>
          <cell r="J3258"/>
          <cell r="K3258"/>
          <cell r="L3258"/>
          <cell r="M3258"/>
          <cell r="N3258"/>
          <cell r="O3258"/>
          <cell r="P3258"/>
          <cell r="Q3258"/>
          <cell r="R3258"/>
          <cell r="S3258"/>
          <cell r="T3258"/>
          <cell r="U3258"/>
          <cell r="V3258"/>
          <cell r="W3258"/>
          <cell r="X3258"/>
          <cell r="Y3258"/>
          <cell r="Z3258"/>
          <cell r="AA3258"/>
          <cell r="AB3258"/>
          <cell r="AC3258"/>
          <cell r="AD3258"/>
          <cell r="AE3258"/>
          <cell r="AF3258"/>
          <cell r="AG3258"/>
          <cell r="AH3258"/>
          <cell r="AI3258"/>
          <cell r="AJ3258"/>
          <cell r="AK3258"/>
          <cell r="AL3258"/>
        </row>
        <row r="3259">
          <cell r="E3259"/>
          <cell r="F3259"/>
          <cell r="G3259"/>
          <cell r="H3259"/>
          <cell r="I3259"/>
          <cell r="J3259"/>
          <cell r="K3259"/>
          <cell r="L3259"/>
          <cell r="M3259"/>
          <cell r="N3259"/>
          <cell r="O3259"/>
          <cell r="P3259"/>
          <cell r="Q3259"/>
          <cell r="R3259"/>
          <cell r="S3259"/>
          <cell r="T3259"/>
          <cell r="U3259"/>
          <cell r="V3259"/>
          <cell r="W3259"/>
          <cell r="X3259"/>
          <cell r="Y3259"/>
          <cell r="Z3259"/>
          <cell r="AA3259"/>
          <cell r="AB3259"/>
          <cell r="AC3259"/>
          <cell r="AD3259"/>
          <cell r="AE3259"/>
          <cell r="AF3259"/>
          <cell r="AG3259"/>
          <cell r="AH3259"/>
          <cell r="AI3259"/>
          <cell r="AJ3259"/>
          <cell r="AK3259"/>
          <cell r="AL3259"/>
        </row>
        <row r="3260">
          <cell r="E3260"/>
          <cell r="F3260"/>
          <cell r="G3260"/>
          <cell r="H3260"/>
          <cell r="I3260"/>
          <cell r="J3260"/>
          <cell r="K3260"/>
          <cell r="L3260"/>
          <cell r="M3260"/>
          <cell r="N3260"/>
          <cell r="O3260"/>
          <cell r="P3260"/>
          <cell r="Q3260"/>
          <cell r="R3260"/>
          <cell r="S3260"/>
          <cell r="T3260"/>
          <cell r="U3260"/>
          <cell r="V3260"/>
          <cell r="W3260"/>
          <cell r="X3260"/>
          <cell r="Y3260"/>
          <cell r="Z3260"/>
          <cell r="AA3260"/>
          <cell r="AB3260"/>
          <cell r="AC3260"/>
          <cell r="AD3260"/>
          <cell r="AE3260"/>
          <cell r="AF3260"/>
          <cell r="AG3260"/>
          <cell r="AH3260"/>
          <cell r="AI3260"/>
          <cell r="AJ3260"/>
          <cell r="AK3260"/>
          <cell r="AL3260"/>
        </row>
        <row r="3261">
          <cell r="E3261"/>
          <cell r="F3261"/>
          <cell r="G3261"/>
          <cell r="H3261"/>
          <cell r="I3261"/>
          <cell r="J3261"/>
          <cell r="K3261"/>
          <cell r="L3261"/>
          <cell r="M3261"/>
          <cell r="N3261"/>
          <cell r="O3261"/>
          <cell r="P3261"/>
          <cell r="Q3261"/>
          <cell r="R3261"/>
          <cell r="S3261"/>
          <cell r="T3261"/>
          <cell r="U3261"/>
          <cell r="V3261"/>
          <cell r="W3261"/>
          <cell r="X3261"/>
          <cell r="Y3261"/>
          <cell r="Z3261"/>
          <cell r="AA3261"/>
          <cell r="AB3261"/>
          <cell r="AC3261"/>
          <cell r="AD3261"/>
          <cell r="AE3261"/>
          <cell r="AF3261"/>
          <cell r="AG3261"/>
          <cell r="AH3261"/>
          <cell r="AI3261"/>
          <cell r="AJ3261"/>
          <cell r="AK3261"/>
          <cell r="AL3261"/>
        </row>
        <row r="3262">
          <cell r="E3262"/>
          <cell r="F3262"/>
          <cell r="G3262"/>
          <cell r="H3262"/>
          <cell r="I3262"/>
          <cell r="J3262"/>
          <cell r="K3262"/>
          <cell r="L3262"/>
          <cell r="M3262"/>
          <cell r="N3262"/>
          <cell r="O3262"/>
          <cell r="P3262"/>
          <cell r="Q3262"/>
          <cell r="R3262"/>
          <cell r="S3262"/>
          <cell r="T3262"/>
          <cell r="U3262"/>
          <cell r="V3262"/>
          <cell r="W3262"/>
          <cell r="X3262"/>
          <cell r="Y3262"/>
          <cell r="Z3262"/>
          <cell r="AA3262"/>
          <cell r="AB3262"/>
          <cell r="AC3262"/>
          <cell r="AD3262"/>
          <cell r="AE3262"/>
          <cell r="AF3262"/>
          <cell r="AG3262"/>
          <cell r="AH3262"/>
          <cell r="AI3262"/>
          <cell r="AJ3262"/>
          <cell r="AK3262"/>
          <cell r="AL3262"/>
        </row>
        <row r="3263">
          <cell r="E3263"/>
          <cell r="F3263"/>
          <cell r="G3263"/>
          <cell r="H3263"/>
          <cell r="I3263"/>
          <cell r="J3263"/>
          <cell r="K3263"/>
          <cell r="L3263"/>
          <cell r="M3263"/>
          <cell r="N3263"/>
          <cell r="O3263"/>
          <cell r="P3263"/>
          <cell r="Q3263"/>
          <cell r="R3263"/>
          <cell r="S3263"/>
          <cell r="T3263"/>
          <cell r="U3263"/>
          <cell r="V3263"/>
          <cell r="W3263"/>
          <cell r="X3263"/>
          <cell r="Y3263"/>
          <cell r="Z3263"/>
          <cell r="AA3263"/>
          <cell r="AB3263"/>
          <cell r="AC3263"/>
          <cell r="AD3263"/>
          <cell r="AE3263"/>
          <cell r="AF3263"/>
          <cell r="AG3263"/>
          <cell r="AH3263"/>
          <cell r="AI3263"/>
          <cell r="AJ3263"/>
          <cell r="AK3263"/>
          <cell r="AL3263"/>
        </row>
        <row r="3264">
          <cell r="E3264"/>
          <cell r="F3264"/>
          <cell r="G3264"/>
          <cell r="H3264"/>
          <cell r="I3264"/>
          <cell r="J3264"/>
          <cell r="K3264"/>
          <cell r="L3264"/>
          <cell r="M3264"/>
          <cell r="N3264"/>
          <cell r="O3264"/>
          <cell r="P3264"/>
          <cell r="Q3264"/>
          <cell r="R3264"/>
          <cell r="S3264"/>
          <cell r="T3264"/>
          <cell r="U3264"/>
          <cell r="V3264"/>
          <cell r="W3264"/>
          <cell r="X3264"/>
          <cell r="Y3264"/>
          <cell r="Z3264"/>
          <cell r="AA3264"/>
          <cell r="AB3264"/>
          <cell r="AC3264"/>
          <cell r="AD3264"/>
          <cell r="AE3264"/>
          <cell r="AF3264"/>
          <cell r="AG3264"/>
          <cell r="AH3264"/>
          <cell r="AI3264"/>
          <cell r="AJ3264"/>
          <cell r="AK3264"/>
          <cell r="AL3264"/>
        </row>
        <row r="3265">
          <cell r="E3265"/>
          <cell r="F3265"/>
          <cell r="G3265"/>
          <cell r="H3265"/>
          <cell r="I3265"/>
          <cell r="J3265"/>
          <cell r="K3265"/>
          <cell r="L3265"/>
          <cell r="M3265"/>
          <cell r="N3265"/>
          <cell r="O3265"/>
          <cell r="P3265"/>
          <cell r="Q3265"/>
          <cell r="R3265"/>
          <cell r="S3265"/>
          <cell r="T3265"/>
          <cell r="U3265"/>
          <cell r="V3265"/>
          <cell r="W3265"/>
          <cell r="X3265"/>
          <cell r="Y3265"/>
          <cell r="Z3265"/>
          <cell r="AA3265"/>
          <cell r="AB3265"/>
          <cell r="AC3265"/>
          <cell r="AD3265"/>
          <cell r="AE3265"/>
          <cell r="AF3265"/>
          <cell r="AG3265"/>
          <cell r="AH3265"/>
          <cell r="AI3265"/>
          <cell r="AJ3265"/>
          <cell r="AK3265"/>
          <cell r="AL3265"/>
        </row>
        <row r="3266">
          <cell r="E3266"/>
          <cell r="F3266"/>
          <cell r="G3266"/>
          <cell r="H3266"/>
          <cell r="I3266"/>
          <cell r="J3266"/>
          <cell r="K3266"/>
          <cell r="L3266"/>
          <cell r="M3266"/>
          <cell r="N3266"/>
          <cell r="O3266"/>
          <cell r="P3266"/>
          <cell r="Q3266"/>
          <cell r="R3266"/>
          <cell r="S3266"/>
          <cell r="T3266"/>
          <cell r="U3266"/>
          <cell r="V3266"/>
          <cell r="W3266"/>
          <cell r="X3266"/>
          <cell r="Y3266"/>
          <cell r="Z3266"/>
          <cell r="AA3266"/>
          <cell r="AB3266"/>
          <cell r="AC3266"/>
          <cell r="AD3266"/>
          <cell r="AE3266"/>
          <cell r="AF3266"/>
          <cell r="AG3266"/>
          <cell r="AH3266"/>
          <cell r="AI3266"/>
          <cell r="AJ3266"/>
          <cell r="AK3266"/>
          <cell r="AL3266"/>
        </row>
        <row r="3267">
          <cell r="E3267"/>
          <cell r="F3267"/>
          <cell r="G3267"/>
          <cell r="H3267"/>
          <cell r="I3267"/>
          <cell r="J3267"/>
          <cell r="K3267"/>
          <cell r="L3267"/>
          <cell r="M3267"/>
          <cell r="N3267"/>
          <cell r="O3267"/>
          <cell r="P3267"/>
          <cell r="Q3267"/>
          <cell r="R3267"/>
          <cell r="S3267"/>
          <cell r="T3267"/>
          <cell r="U3267"/>
          <cell r="V3267"/>
          <cell r="W3267"/>
          <cell r="X3267"/>
          <cell r="Y3267"/>
          <cell r="Z3267"/>
          <cell r="AA3267"/>
          <cell r="AB3267"/>
          <cell r="AC3267"/>
          <cell r="AD3267"/>
          <cell r="AE3267"/>
          <cell r="AF3267"/>
          <cell r="AG3267"/>
          <cell r="AH3267"/>
          <cell r="AI3267"/>
          <cell r="AJ3267"/>
          <cell r="AK3267"/>
          <cell r="AL3267"/>
        </row>
        <row r="3268">
          <cell r="E3268"/>
          <cell r="F3268"/>
          <cell r="G3268"/>
          <cell r="H3268"/>
          <cell r="I3268"/>
          <cell r="J3268"/>
          <cell r="K3268"/>
          <cell r="L3268"/>
          <cell r="M3268"/>
          <cell r="N3268"/>
          <cell r="O3268"/>
          <cell r="P3268"/>
          <cell r="Q3268"/>
          <cell r="R3268"/>
          <cell r="S3268"/>
          <cell r="T3268"/>
          <cell r="U3268"/>
          <cell r="V3268"/>
          <cell r="W3268"/>
          <cell r="X3268"/>
          <cell r="Y3268"/>
          <cell r="Z3268"/>
          <cell r="AA3268"/>
          <cell r="AB3268"/>
          <cell r="AC3268"/>
          <cell r="AD3268"/>
          <cell r="AE3268"/>
          <cell r="AF3268"/>
          <cell r="AG3268"/>
          <cell r="AH3268"/>
          <cell r="AI3268"/>
          <cell r="AJ3268"/>
          <cell r="AK3268"/>
          <cell r="AL3268"/>
        </row>
        <row r="3269">
          <cell r="E3269"/>
          <cell r="F3269"/>
          <cell r="G3269"/>
          <cell r="H3269"/>
          <cell r="I3269"/>
          <cell r="J3269"/>
          <cell r="K3269"/>
          <cell r="L3269"/>
          <cell r="M3269"/>
          <cell r="N3269"/>
          <cell r="O3269"/>
          <cell r="P3269"/>
          <cell r="Q3269"/>
          <cell r="R3269"/>
          <cell r="S3269"/>
          <cell r="T3269"/>
          <cell r="U3269"/>
          <cell r="V3269"/>
          <cell r="W3269"/>
          <cell r="X3269"/>
          <cell r="Y3269"/>
          <cell r="Z3269"/>
          <cell r="AA3269"/>
          <cell r="AB3269"/>
          <cell r="AC3269"/>
          <cell r="AD3269"/>
          <cell r="AE3269"/>
          <cell r="AF3269"/>
          <cell r="AG3269"/>
          <cell r="AH3269"/>
          <cell r="AI3269"/>
          <cell r="AJ3269"/>
          <cell r="AK3269"/>
          <cell r="AL3269"/>
        </row>
        <row r="3270">
          <cell r="E3270"/>
          <cell r="F3270"/>
          <cell r="G3270"/>
          <cell r="H3270"/>
          <cell r="I3270"/>
          <cell r="J3270"/>
          <cell r="K3270"/>
          <cell r="L3270"/>
          <cell r="M3270"/>
          <cell r="N3270"/>
          <cell r="O3270"/>
          <cell r="P3270"/>
          <cell r="Q3270"/>
          <cell r="R3270"/>
          <cell r="S3270"/>
          <cell r="T3270"/>
          <cell r="U3270"/>
          <cell r="V3270"/>
          <cell r="W3270"/>
          <cell r="X3270"/>
          <cell r="Y3270"/>
          <cell r="Z3270"/>
          <cell r="AA3270"/>
          <cell r="AB3270"/>
          <cell r="AC3270"/>
          <cell r="AD3270"/>
          <cell r="AE3270"/>
          <cell r="AF3270"/>
          <cell r="AG3270"/>
          <cell r="AH3270"/>
          <cell r="AI3270"/>
          <cell r="AJ3270"/>
          <cell r="AK3270"/>
          <cell r="AL3270"/>
        </row>
        <row r="3271">
          <cell r="E3271"/>
          <cell r="F3271"/>
          <cell r="G3271"/>
          <cell r="H3271"/>
          <cell r="I3271"/>
          <cell r="J3271"/>
          <cell r="K3271"/>
          <cell r="L3271"/>
          <cell r="M3271"/>
          <cell r="N3271"/>
          <cell r="O3271"/>
          <cell r="P3271"/>
          <cell r="Q3271"/>
          <cell r="R3271"/>
          <cell r="S3271"/>
          <cell r="T3271"/>
          <cell r="U3271"/>
          <cell r="V3271"/>
          <cell r="W3271"/>
          <cell r="X3271"/>
          <cell r="Y3271"/>
          <cell r="Z3271"/>
          <cell r="AA3271"/>
          <cell r="AB3271"/>
          <cell r="AC3271"/>
          <cell r="AD3271"/>
          <cell r="AE3271"/>
          <cell r="AF3271"/>
          <cell r="AG3271"/>
          <cell r="AH3271"/>
          <cell r="AI3271"/>
          <cell r="AJ3271"/>
          <cell r="AK3271"/>
          <cell r="AL3271"/>
        </row>
        <row r="3272">
          <cell r="E3272"/>
          <cell r="F3272"/>
          <cell r="G3272"/>
          <cell r="H3272"/>
          <cell r="I3272"/>
          <cell r="J3272"/>
          <cell r="K3272"/>
          <cell r="L3272"/>
          <cell r="M3272"/>
          <cell r="N3272"/>
          <cell r="O3272"/>
          <cell r="P3272"/>
          <cell r="Q3272"/>
          <cell r="R3272"/>
          <cell r="S3272"/>
          <cell r="T3272"/>
          <cell r="U3272"/>
          <cell r="V3272"/>
          <cell r="W3272"/>
          <cell r="X3272"/>
          <cell r="Y3272"/>
          <cell r="Z3272"/>
          <cell r="AA3272"/>
          <cell r="AB3272"/>
          <cell r="AC3272"/>
          <cell r="AD3272"/>
          <cell r="AE3272"/>
          <cell r="AF3272"/>
          <cell r="AG3272"/>
          <cell r="AH3272"/>
          <cell r="AI3272"/>
          <cell r="AJ3272"/>
          <cell r="AK3272"/>
          <cell r="AL3272"/>
        </row>
        <row r="3273">
          <cell r="E3273"/>
          <cell r="F3273"/>
          <cell r="G3273"/>
          <cell r="H3273"/>
          <cell r="I3273"/>
          <cell r="J3273"/>
          <cell r="K3273"/>
          <cell r="L3273"/>
          <cell r="M3273"/>
          <cell r="N3273"/>
          <cell r="O3273"/>
          <cell r="P3273"/>
          <cell r="Q3273"/>
          <cell r="R3273"/>
          <cell r="S3273"/>
          <cell r="T3273"/>
          <cell r="U3273"/>
          <cell r="V3273"/>
          <cell r="W3273"/>
          <cell r="X3273"/>
          <cell r="Y3273"/>
          <cell r="Z3273"/>
          <cell r="AA3273"/>
          <cell r="AB3273"/>
          <cell r="AC3273"/>
          <cell r="AD3273"/>
          <cell r="AE3273"/>
          <cell r="AF3273"/>
          <cell r="AG3273"/>
          <cell r="AH3273"/>
          <cell r="AI3273"/>
          <cell r="AJ3273"/>
          <cell r="AK3273"/>
          <cell r="AL3273"/>
        </row>
        <row r="3274">
          <cell r="E3274"/>
          <cell r="F3274"/>
          <cell r="G3274"/>
          <cell r="H3274"/>
          <cell r="I3274"/>
          <cell r="J3274"/>
          <cell r="K3274"/>
          <cell r="L3274"/>
          <cell r="M3274"/>
          <cell r="N3274"/>
          <cell r="O3274"/>
          <cell r="P3274"/>
          <cell r="Q3274"/>
          <cell r="R3274"/>
          <cell r="S3274"/>
          <cell r="T3274"/>
          <cell r="U3274"/>
          <cell r="V3274"/>
          <cell r="W3274"/>
          <cell r="X3274"/>
          <cell r="Y3274"/>
          <cell r="Z3274"/>
          <cell r="AA3274"/>
          <cell r="AB3274"/>
          <cell r="AC3274"/>
          <cell r="AD3274"/>
          <cell r="AE3274"/>
          <cell r="AF3274"/>
          <cell r="AG3274"/>
          <cell r="AH3274"/>
          <cell r="AI3274"/>
          <cell r="AJ3274"/>
          <cell r="AK3274"/>
          <cell r="AL3274"/>
        </row>
        <row r="3275">
          <cell r="E3275"/>
          <cell r="F3275"/>
          <cell r="G3275"/>
          <cell r="H3275"/>
          <cell r="I3275"/>
          <cell r="J3275"/>
          <cell r="K3275"/>
          <cell r="L3275"/>
          <cell r="M3275"/>
          <cell r="N3275"/>
          <cell r="O3275"/>
          <cell r="P3275"/>
          <cell r="Q3275"/>
          <cell r="R3275"/>
          <cell r="S3275"/>
          <cell r="T3275"/>
          <cell r="U3275"/>
          <cell r="V3275"/>
          <cell r="W3275"/>
          <cell r="X3275"/>
          <cell r="Y3275"/>
          <cell r="Z3275"/>
          <cell r="AA3275"/>
          <cell r="AB3275"/>
          <cell r="AC3275"/>
          <cell r="AD3275"/>
          <cell r="AE3275"/>
          <cell r="AF3275"/>
          <cell r="AG3275"/>
          <cell r="AH3275"/>
          <cell r="AI3275"/>
          <cell r="AJ3275"/>
          <cell r="AK3275"/>
          <cell r="AL3275"/>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別表"/>
      <sheetName val="提出"/>
      <sheetName val="原価"/>
      <sheetName val="引込"/>
      <sheetName val="受変"/>
      <sheetName val="発電"/>
      <sheetName val="S3"/>
      <sheetName val="S5"/>
      <sheetName val="Help"/>
      <sheetName val="非誘"/>
      <sheetName val="火煙"/>
      <sheetName val="雷保"/>
      <sheetName val="電話"/>
      <sheetName val="放送"/>
      <sheetName val="TV"/>
      <sheetName val="S1"/>
      <sheetName val="S2"/>
      <sheetName val="S4"/>
      <sheetName val="S6"/>
      <sheetName val="S7"/>
    </sheetNames>
    <sheetDataSet>
      <sheetData sheetId="0" refreshError="1"/>
      <sheetData sheetId="1"/>
      <sheetData sheetId="2"/>
      <sheetData sheetId="3"/>
      <sheetData sheetId="4"/>
      <sheetData sheetId="5"/>
      <sheetData sheetId="6"/>
      <sheetData sheetId="7"/>
      <sheetData sheetId="8"/>
      <sheetData sheetId="9"/>
      <sheetData sheetId="10">
        <row r="72">
          <cell r="W72">
            <v>345.6</v>
          </cell>
          <cell r="AA72">
            <v>3</v>
          </cell>
        </row>
        <row r="73">
          <cell r="AA73">
            <v>0</v>
          </cell>
        </row>
        <row r="74">
          <cell r="W74" t="str">
            <v>VV-F 1.6mm-2C</v>
          </cell>
        </row>
        <row r="75">
          <cell r="AA75">
            <v>0</v>
          </cell>
        </row>
        <row r="76">
          <cell r="W76">
            <v>0</v>
          </cell>
        </row>
        <row r="77">
          <cell r="AA77">
            <v>0</v>
          </cell>
        </row>
        <row r="78">
          <cell r="W78">
            <v>345.6</v>
          </cell>
        </row>
        <row r="79">
          <cell r="AA79">
            <v>0</v>
          </cell>
        </row>
        <row r="80">
          <cell r="W80" t="str">
            <v>VV-F 1.6mm-2C</v>
          </cell>
        </row>
        <row r="81">
          <cell r="W81" t="str">
            <v>PF-S-16mm</v>
          </cell>
          <cell r="AA81">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低幹"/>
      <sheetName val="動配"/>
      <sheetName val="照差"/>
    </sheetNames>
    <sheetDataSet>
      <sheetData sheetId="0" refreshError="1"/>
      <sheetData sheetId="1" refreshError="1"/>
      <sheetData sheetId="2" refreshError="1">
        <row r="16">
          <cell r="I16" t="str">
            <v>( 15)</v>
          </cell>
        </row>
        <row r="24">
          <cell r="W24" t="str">
            <v>⑦</v>
          </cell>
        </row>
        <row r="31">
          <cell r="W31" t="str">
            <v>⑦</v>
          </cell>
        </row>
        <row r="32">
          <cell r="C32" t="str">
            <v xml:space="preserve">  1F</v>
          </cell>
          <cell r="G32">
            <v>5</v>
          </cell>
        </row>
        <row r="59">
          <cell r="W59" t="str">
            <v>⑦</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hyperlink" Target="RECS_1&#65381;2(UL).xlsx" TargetMode="External"/><Relationship Id="rId2" Type="http://schemas.openxmlformats.org/officeDocument/2006/relationships/hyperlink" Target="RECS-3(UL).xlsx" TargetMode="External"/><Relationship Id="rId1" Type="http://schemas.openxmlformats.org/officeDocument/2006/relationships/hyperlink" Target="RECS-3(UL).xlsx" TargetMode="External"/><Relationship Id="rId5" Type="http://schemas.openxmlformats.org/officeDocument/2006/relationships/drawing" Target="../drawings/drawing2.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hyperlink" Target="RECS_1&#65381;2(UL).xlsx" TargetMode="External"/><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8" Type="http://schemas.openxmlformats.org/officeDocument/2006/relationships/hyperlink" Target="RECS_1&#65381;2(UL).xlsx" TargetMode="External"/><Relationship Id="rId3" Type="http://schemas.openxmlformats.org/officeDocument/2006/relationships/hyperlink" Target="file:///C:\Users\FMV\AppData\Roaming\RECS-1.xlsx" TargetMode="External"/><Relationship Id="rId7" Type="http://schemas.openxmlformats.org/officeDocument/2006/relationships/hyperlink" Target="RECS-3(UL).xlsx" TargetMode="External"/><Relationship Id="rId2" Type="http://schemas.openxmlformats.org/officeDocument/2006/relationships/hyperlink" Target="file:///C:\Users\FMV\AppData\Roaming\RECS-1.xlsx" TargetMode="External"/><Relationship Id="rId1" Type="http://schemas.openxmlformats.org/officeDocument/2006/relationships/hyperlink" Target="file:///C:\Users\FMV\AppData\Roaming\RECS-3.xlsx" TargetMode="External"/><Relationship Id="rId6" Type="http://schemas.openxmlformats.org/officeDocument/2006/relationships/hyperlink" Target="RECS_1&#65381;2(UL).xlsx" TargetMode="External"/><Relationship Id="rId5" Type="http://schemas.openxmlformats.org/officeDocument/2006/relationships/hyperlink" Target="file:///C:\Users\FMV\AppData\Roaming\RECS-1.xlsx" TargetMode="External"/><Relationship Id="rId4" Type="http://schemas.openxmlformats.org/officeDocument/2006/relationships/hyperlink" Target="file:///C:\Users\FMV\AppData\Roaming\RECS-1.xlsx"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hyperlink" Target="RECS_1&#65381;2(UL).xlsx" TargetMode="External"/><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5" Type="http://schemas.openxmlformats.org/officeDocument/2006/relationships/drawing" Target="../drawings/drawing1.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V272"/>
  <sheetViews>
    <sheetView tabSelected="1" view="pageBreakPreview" zoomScale="140" zoomScaleSheetLayoutView="140" workbookViewId="0"/>
  </sheetViews>
  <sheetFormatPr defaultRowHeight="14.25"/>
  <cols>
    <col min="1" max="1" width="2" style="4" customWidth="1"/>
    <col min="2" max="72" width="1.42578125" style="4" customWidth="1"/>
    <col min="73" max="73" width="1.7109375" style="4" customWidth="1"/>
    <col min="74" max="121" width="3.7109375" style="4" hidden="1" customWidth="1"/>
    <col min="122" max="122" width="1.7109375" style="4" hidden="1" customWidth="1"/>
    <col min="123" max="126" width="3.7109375" style="4" hidden="1" customWidth="1"/>
    <col min="127" max="131" width="3.7109375" style="4" customWidth="1"/>
    <col min="132" max="16384" width="9.140625" style="4"/>
  </cols>
  <sheetData>
    <row r="1" spans="2:121" ht="11.25" customHeight="1">
      <c r="Y1" s="81"/>
    </row>
    <row r="2" spans="2:121" ht="7.5" customHeight="1" thickBot="1">
      <c r="B2" s="80">
        <v>1</v>
      </c>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row>
    <row r="3" spans="2:121" ht="12" customHeight="1" thickBot="1">
      <c r="B3" s="2221">
        <f>[3]Top!$G$99</f>
        <v>8</v>
      </c>
      <c r="C3" s="2221"/>
      <c r="D3" s="2221"/>
      <c r="E3" s="2440" t="str">
        <f>IF(B2=0,"",[3]Top!$L$99)</f>
        <v xml:space="preserve"> 非常照明・誘導灯設備工事</v>
      </c>
      <c r="F3" s="2441"/>
      <c r="G3" s="2441"/>
      <c r="H3" s="2441"/>
      <c r="I3" s="2441"/>
      <c r="J3" s="2441"/>
      <c r="K3" s="2441"/>
      <c r="L3" s="2441"/>
      <c r="M3" s="2441"/>
      <c r="N3" s="2441"/>
      <c r="O3" s="2441"/>
      <c r="P3" s="2441"/>
      <c r="Q3" s="2441"/>
      <c r="R3" s="2441"/>
      <c r="S3" s="2441"/>
      <c r="T3" s="2441"/>
      <c r="U3" s="2441"/>
      <c r="V3" s="2441"/>
      <c r="W3" s="2441"/>
      <c r="X3" s="73"/>
      <c r="Y3" s="2432" t="s">
        <v>258</v>
      </c>
      <c r="Z3" s="2433"/>
      <c r="AA3" s="2433"/>
      <c r="AB3" s="2433"/>
      <c r="AC3" s="2434"/>
      <c r="AD3" s="35"/>
      <c r="AE3" s="2442" t="s">
        <v>107</v>
      </c>
      <c r="AF3" s="2443"/>
      <c r="AG3" s="2443"/>
      <c r="AH3" s="2443"/>
      <c r="AI3" s="2444"/>
      <c r="AJ3" s="35"/>
      <c r="AK3" s="35"/>
      <c r="AL3" s="35"/>
      <c r="AM3" s="35"/>
      <c r="AN3" s="35"/>
      <c r="AO3" s="35"/>
      <c r="AP3" s="35"/>
      <c r="AQ3" s="35"/>
      <c r="AR3" s="35"/>
      <c r="AS3" s="35"/>
      <c r="AT3" s="35"/>
      <c r="AU3" s="35"/>
      <c r="AV3" s="35"/>
      <c r="AW3" s="35"/>
      <c r="AX3" s="35"/>
      <c r="AY3" s="35"/>
      <c r="AZ3" s="35"/>
      <c r="BA3" s="2432" t="s">
        <v>257</v>
      </c>
      <c r="BB3" s="2433"/>
      <c r="BC3" s="2433"/>
      <c r="BD3" s="2433"/>
      <c r="BE3" s="2434"/>
      <c r="BF3" s="35"/>
      <c r="BG3" s="2225" t="s">
        <v>256</v>
      </c>
      <c r="BH3" s="2226"/>
      <c r="BI3" s="2226"/>
      <c r="BJ3" s="2226"/>
      <c r="BK3" s="2226"/>
      <c r="BL3" s="2226"/>
      <c r="BM3" s="2226"/>
      <c r="BN3" s="2226"/>
      <c r="BO3" s="2226"/>
      <c r="BP3" s="2226"/>
      <c r="BQ3" s="2226"/>
      <c r="BR3" s="2226"/>
      <c r="BS3" s="2227"/>
      <c r="BT3" s="35"/>
      <c r="BU3" s="19"/>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row>
    <row r="4" spans="2:121" ht="3.75" customHeight="1" thickBot="1">
      <c r="B4" s="71"/>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2228"/>
      <c r="BH4" s="2229"/>
      <c r="BI4" s="2229"/>
      <c r="BJ4" s="2229"/>
      <c r="BK4" s="2229"/>
      <c r="BL4" s="2229"/>
      <c r="BM4" s="2229"/>
      <c r="BN4" s="2229"/>
      <c r="BO4" s="2229"/>
      <c r="BP4" s="2229"/>
      <c r="BQ4" s="2229"/>
      <c r="BR4" s="2229"/>
      <c r="BS4" s="2230"/>
      <c r="BT4" s="35"/>
      <c r="BU4" s="19"/>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2:121" ht="3.75" customHeight="1" thickTop="1">
      <c r="B5" s="23"/>
      <c r="C5" s="35"/>
      <c r="D5" s="35"/>
      <c r="E5" s="35"/>
      <c r="F5" s="35"/>
      <c r="G5" s="35"/>
      <c r="H5" s="35"/>
      <c r="I5" s="35"/>
      <c r="J5" s="35"/>
      <c r="K5" s="35"/>
      <c r="L5" s="35"/>
      <c r="M5" s="35"/>
      <c r="N5" s="35"/>
      <c r="O5" s="35"/>
      <c r="P5" s="35"/>
      <c r="Q5" s="305"/>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c r="BB5" s="304"/>
      <c r="BC5" s="304"/>
      <c r="BD5" s="304"/>
      <c r="BE5" s="303"/>
      <c r="BF5" s="35"/>
      <c r="BG5" s="2228"/>
      <c r="BH5" s="2229"/>
      <c r="BI5" s="2229"/>
      <c r="BJ5" s="2229"/>
      <c r="BK5" s="2229"/>
      <c r="BL5" s="2229"/>
      <c r="BM5" s="2229"/>
      <c r="BN5" s="2229"/>
      <c r="BO5" s="2229"/>
      <c r="BP5" s="2229"/>
      <c r="BQ5" s="2229"/>
      <c r="BR5" s="2229"/>
      <c r="BS5" s="2230"/>
      <c r="BT5" s="35"/>
      <c r="BU5" s="19"/>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row>
    <row r="6" spans="2:121" ht="12" customHeight="1">
      <c r="B6" s="23"/>
      <c r="C6" s="35"/>
      <c r="D6" s="35"/>
      <c r="E6" s="35"/>
      <c r="F6" s="35"/>
      <c r="G6" s="35"/>
      <c r="H6" s="35"/>
      <c r="I6" s="35"/>
      <c r="J6" s="35"/>
      <c r="K6" s="35"/>
      <c r="L6" s="120"/>
      <c r="M6" s="120"/>
      <c r="N6" s="302"/>
      <c r="O6" s="301"/>
      <c r="P6" s="301"/>
      <c r="Q6" s="283"/>
      <c r="R6" s="300"/>
      <c r="S6" s="299"/>
      <c r="T6" s="236"/>
      <c r="U6" s="236"/>
      <c r="V6" s="236"/>
      <c r="W6" s="236"/>
      <c r="X6" s="236"/>
      <c r="Y6" s="236"/>
      <c r="Z6" s="236"/>
      <c r="AA6" s="236"/>
      <c r="AB6" s="235" t="s">
        <v>255</v>
      </c>
      <c r="AC6" s="2399" t="s">
        <v>245</v>
      </c>
      <c r="AD6" s="2399"/>
      <c r="AE6" s="2399"/>
      <c r="AF6" s="2399"/>
      <c r="AG6" s="237"/>
      <c r="AH6" s="236"/>
      <c r="AI6" s="236"/>
      <c r="AJ6" s="236"/>
      <c r="AK6" s="236"/>
      <c r="AL6" s="236"/>
      <c r="AM6" s="236"/>
      <c r="AN6" s="236"/>
      <c r="AO6" s="236"/>
      <c r="AP6" s="236"/>
      <c r="AQ6" s="235" t="s">
        <v>254</v>
      </c>
      <c r="AR6" s="2399" t="s">
        <v>245</v>
      </c>
      <c r="AS6" s="2399"/>
      <c r="AT6" s="2399"/>
      <c r="AU6" s="2399"/>
      <c r="AV6" s="2400" t="s">
        <v>253</v>
      </c>
      <c r="AW6" s="2400"/>
      <c r="AX6" s="2400"/>
      <c r="AY6" s="2400"/>
      <c r="AZ6" s="2400"/>
      <c r="BA6" s="2400"/>
      <c r="BB6" s="2400"/>
      <c r="BC6" s="2400"/>
      <c r="BD6" s="2400"/>
      <c r="BE6" s="234"/>
      <c r="BF6" s="35"/>
      <c r="BG6" s="2228"/>
      <c r="BH6" s="2229"/>
      <c r="BI6" s="2229"/>
      <c r="BJ6" s="2229"/>
      <c r="BK6" s="2229"/>
      <c r="BL6" s="2229"/>
      <c r="BM6" s="2229"/>
      <c r="BN6" s="2229"/>
      <c r="BO6" s="2229"/>
      <c r="BP6" s="2229"/>
      <c r="BQ6" s="2229"/>
      <c r="BR6" s="2229"/>
      <c r="BS6" s="2230"/>
      <c r="BT6" s="35"/>
      <c r="BU6" s="19"/>
      <c r="BV6" s="9"/>
      <c r="BW6" s="9"/>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row>
    <row r="7" spans="2:121" ht="9.75" customHeight="1">
      <c r="B7" s="23"/>
      <c r="C7" s="35"/>
      <c r="D7" s="290"/>
      <c r="E7" s="290"/>
      <c r="F7" s="290"/>
      <c r="G7" s="290"/>
      <c r="H7" s="290"/>
      <c r="I7" s="290"/>
      <c r="J7" s="290"/>
      <c r="K7" s="290"/>
      <c r="L7" s="290"/>
      <c r="M7" s="290"/>
      <c r="N7" s="290"/>
      <c r="O7" s="298"/>
      <c r="P7" s="298"/>
      <c r="Q7" s="283"/>
      <c r="R7" s="2404" t="s">
        <v>141</v>
      </c>
      <c r="S7" s="2405"/>
      <c r="T7" s="2405"/>
      <c r="U7" s="2405"/>
      <c r="V7" s="2405"/>
      <c r="W7" s="2405"/>
      <c r="X7" s="2406"/>
      <c r="Y7" s="2407">
        <f>IF(B2=0,"",IF(AC7="",1800,AC7))</f>
        <v>1800</v>
      </c>
      <c r="Z7" s="2407"/>
      <c r="AA7" s="2407"/>
      <c r="AB7" s="2408"/>
      <c r="AC7" s="2401"/>
      <c r="AD7" s="2402"/>
      <c r="AE7" s="2402"/>
      <c r="AF7" s="2403"/>
      <c r="AG7" s="48"/>
      <c r="AH7" s="215"/>
      <c r="AI7" s="2404" t="s">
        <v>136</v>
      </c>
      <c r="AJ7" s="2405"/>
      <c r="AK7" s="2405"/>
      <c r="AL7" s="2405"/>
      <c r="AM7" s="2406"/>
      <c r="AN7" s="2407">
        <f>IF(B2=0,"",IF(AR7="",800,AR7))</f>
        <v>800</v>
      </c>
      <c r="AO7" s="2407"/>
      <c r="AP7" s="2407"/>
      <c r="AQ7" s="2408"/>
      <c r="AR7" s="2401"/>
      <c r="AS7" s="2402"/>
      <c r="AT7" s="2402"/>
      <c r="AU7" s="2403"/>
      <c r="AV7" s="103"/>
      <c r="AW7" s="2418" t="s">
        <v>142</v>
      </c>
      <c r="AX7" s="2418"/>
      <c r="AY7" s="2418"/>
      <c r="AZ7" s="2418"/>
      <c r="BA7" s="2418" t="s">
        <v>245</v>
      </c>
      <c r="BB7" s="2418"/>
      <c r="BC7" s="2418"/>
      <c r="BD7" s="2418"/>
      <c r="BE7" s="234"/>
      <c r="BF7" s="35"/>
      <c r="BG7" s="297" t="s">
        <v>250</v>
      </c>
      <c r="BH7" s="292" t="s">
        <v>252</v>
      </c>
      <c r="BI7" s="293"/>
      <c r="BJ7" s="296" t="s">
        <v>250</v>
      </c>
      <c r="BK7" s="292" t="s">
        <v>251</v>
      </c>
      <c r="BL7" s="293"/>
      <c r="BM7" s="296" t="s">
        <v>250</v>
      </c>
      <c r="BN7" s="292" t="s">
        <v>249</v>
      </c>
      <c r="BO7" s="58"/>
      <c r="BP7" s="58"/>
      <c r="BQ7" s="58"/>
      <c r="BR7" s="58"/>
      <c r="BS7" s="291"/>
      <c r="BT7" s="35"/>
      <c r="BU7" s="19"/>
      <c r="BV7" s="9"/>
      <c r="BW7" s="9"/>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row>
    <row r="8" spans="2:121" ht="9.75" customHeight="1">
      <c r="B8" s="23"/>
      <c r="C8" s="35"/>
      <c r="D8" s="290"/>
      <c r="E8" s="290"/>
      <c r="F8" s="290"/>
      <c r="G8" s="290"/>
      <c r="H8" s="290"/>
      <c r="I8" s="290"/>
      <c r="J8" s="290"/>
      <c r="K8" s="290"/>
      <c r="L8" s="290"/>
      <c r="M8" s="290"/>
      <c r="N8" s="290"/>
      <c r="O8" s="295"/>
      <c r="P8" s="295"/>
      <c r="Q8" s="283"/>
      <c r="R8" s="2404" t="s">
        <v>138</v>
      </c>
      <c r="S8" s="2405"/>
      <c r="T8" s="2405"/>
      <c r="U8" s="2405"/>
      <c r="V8" s="2405"/>
      <c r="W8" s="2405"/>
      <c r="X8" s="2406"/>
      <c r="Y8" s="2407">
        <f>IF(B2=0,"",IF(AC8="",500,AC8))</f>
        <v>500</v>
      </c>
      <c r="Z8" s="2407"/>
      <c r="AA8" s="2407"/>
      <c r="AB8" s="2408"/>
      <c r="AC8" s="2401"/>
      <c r="AD8" s="2402"/>
      <c r="AE8" s="2402"/>
      <c r="AF8" s="2431"/>
      <c r="AG8" s="48"/>
      <c r="AH8" s="215"/>
      <c r="AI8" s="2404" t="s">
        <v>137</v>
      </c>
      <c r="AJ8" s="2405"/>
      <c r="AK8" s="2405"/>
      <c r="AL8" s="2405"/>
      <c r="AM8" s="2406"/>
      <c r="AN8" s="2427">
        <f>IF(B2=0,"",IF(AR8="",2500,AR8))</f>
        <v>2500</v>
      </c>
      <c r="AO8" s="2427"/>
      <c r="AP8" s="2427"/>
      <c r="AQ8" s="2428"/>
      <c r="AR8" s="2429"/>
      <c r="AS8" s="2430"/>
      <c r="AT8" s="2430"/>
      <c r="AU8" s="2431"/>
      <c r="AV8" s="103"/>
      <c r="AW8" s="2422">
        <f>IF(B2=0,"",IF(BA8="",700,BA8))</f>
        <v>700</v>
      </c>
      <c r="AX8" s="2407"/>
      <c r="AY8" s="2407"/>
      <c r="AZ8" s="2408"/>
      <c r="BA8" s="2401"/>
      <c r="BB8" s="2402"/>
      <c r="BC8" s="2402"/>
      <c r="BD8" s="2403"/>
      <c r="BE8" s="234"/>
      <c r="BF8" s="35"/>
      <c r="BG8" s="294" t="s">
        <v>242</v>
      </c>
      <c r="BH8" s="292" t="s">
        <v>248</v>
      </c>
      <c r="BI8" s="293"/>
      <c r="BJ8" s="293" t="s">
        <v>242</v>
      </c>
      <c r="BK8" s="292" t="s">
        <v>247</v>
      </c>
      <c r="BL8" s="293"/>
      <c r="BM8" s="293" t="s">
        <v>242</v>
      </c>
      <c r="BN8" s="292" t="s">
        <v>246</v>
      </c>
      <c r="BO8" s="58"/>
      <c r="BP8" s="58"/>
      <c r="BQ8" s="58"/>
      <c r="BR8" s="58"/>
      <c r="BS8" s="291"/>
      <c r="BT8" s="35"/>
      <c r="BU8" s="19"/>
      <c r="BV8" s="9"/>
      <c r="BW8" s="9"/>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row>
    <row r="9" spans="2:121" ht="9.75" customHeight="1">
      <c r="B9" s="23"/>
      <c r="C9" s="35"/>
      <c r="D9" s="290"/>
      <c r="E9" s="290"/>
      <c r="F9" s="290"/>
      <c r="G9" s="290"/>
      <c r="H9" s="290"/>
      <c r="I9" s="290"/>
      <c r="J9" s="290"/>
      <c r="K9" s="290"/>
      <c r="L9" s="290"/>
      <c r="M9" s="290"/>
      <c r="N9" s="290"/>
      <c r="O9" s="35"/>
      <c r="P9" s="35"/>
      <c r="Q9" s="283"/>
      <c r="R9" s="103"/>
      <c r="S9" s="103"/>
      <c r="T9" s="103"/>
      <c r="U9" s="103"/>
      <c r="V9" s="103"/>
      <c r="W9" s="103"/>
      <c r="X9" s="103"/>
      <c r="Y9" s="103"/>
      <c r="Z9" s="103"/>
      <c r="AA9" s="103"/>
      <c r="AB9" s="103"/>
      <c r="AC9" s="103"/>
      <c r="AD9" s="103"/>
      <c r="AE9" s="289"/>
      <c r="AF9" s="289"/>
      <c r="AG9" s="57"/>
      <c r="AH9" s="103"/>
      <c r="AI9" s="2423"/>
      <c r="AJ9" s="2423"/>
      <c r="AK9" s="2423"/>
      <c r="AL9" s="2423"/>
      <c r="AM9" s="2423"/>
      <c r="AN9" s="2424"/>
      <c r="AO9" s="2424"/>
      <c r="AP9" s="2424"/>
      <c r="AQ9" s="2424"/>
      <c r="AR9" s="2425"/>
      <c r="AS9" s="2425"/>
      <c r="AT9" s="2425"/>
      <c r="AU9" s="2425"/>
      <c r="AV9" s="103"/>
      <c r="AW9" s="2418" t="s">
        <v>140</v>
      </c>
      <c r="AX9" s="2418"/>
      <c r="AY9" s="2418"/>
      <c r="AZ9" s="2418"/>
      <c r="BA9" s="2418" t="s">
        <v>245</v>
      </c>
      <c r="BB9" s="2418"/>
      <c r="BC9" s="2418"/>
      <c r="BD9" s="2418"/>
      <c r="BE9" s="234"/>
      <c r="BF9" s="35"/>
      <c r="BG9" s="288" t="s">
        <v>242</v>
      </c>
      <c r="BH9" s="286" t="s">
        <v>244</v>
      </c>
      <c r="BI9" s="287"/>
      <c r="BJ9" s="287" t="s">
        <v>242</v>
      </c>
      <c r="BK9" s="286" t="s">
        <v>243</v>
      </c>
      <c r="BL9" s="287"/>
      <c r="BM9" s="287" t="s">
        <v>242</v>
      </c>
      <c r="BN9" s="286" t="s">
        <v>241</v>
      </c>
      <c r="BO9" s="285"/>
      <c r="BP9" s="285"/>
      <c r="BQ9" s="285"/>
      <c r="BR9" s="285"/>
      <c r="BS9" s="284"/>
      <c r="BT9" s="35"/>
      <c r="BU9" s="19"/>
      <c r="BV9" s="9"/>
      <c r="BW9" s="162" t="s">
        <v>240</v>
      </c>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row>
    <row r="10" spans="2:121" ht="9.75" customHeight="1">
      <c r="B10" s="23"/>
      <c r="C10" s="35"/>
      <c r="D10" s="35"/>
      <c r="E10" s="35"/>
      <c r="F10" s="35"/>
      <c r="G10" s="35"/>
      <c r="H10" s="35"/>
      <c r="I10" s="35"/>
      <c r="J10" s="35"/>
      <c r="K10" s="35"/>
      <c r="L10" s="35"/>
      <c r="M10" s="35"/>
      <c r="N10" s="35"/>
      <c r="O10" s="35"/>
      <c r="P10" s="35"/>
      <c r="Q10" s="283"/>
      <c r="R10" s="2419" t="s">
        <v>239</v>
      </c>
      <c r="S10" s="2419"/>
      <c r="T10" s="2419"/>
      <c r="U10" s="2419"/>
      <c r="V10" s="2419"/>
      <c r="W10" s="2419"/>
      <c r="X10" s="2419"/>
      <c r="Y10" s="2419"/>
      <c r="Z10" s="2419"/>
      <c r="AA10" s="103"/>
      <c r="AB10" s="2416" t="str">
        <f>IF(B2=0,"","非常照明")</f>
        <v>非常照明</v>
      </c>
      <c r="AC10" s="2416"/>
      <c r="AD10" s="2416"/>
      <c r="AE10" s="2416"/>
      <c r="AF10" s="2417"/>
      <c r="AG10" s="2410" t="str">
        <f>IF(B2=0,"",IF(AM10&lt;&gt;"",AM10,IF([4]Top!$CV$75=1,"義務設置","設置不要")))</f>
        <v>義務設置</v>
      </c>
      <c r="AH10" s="2411"/>
      <c r="AI10" s="2411"/>
      <c r="AJ10" s="2411"/>
      <c r="AK10" s="2412"/>
      <c r="AL10" s="104" t="s">
        <v>238</v>
      </c>
      <c r="AM10" s="2413"/>
      <c r="AN10" s="2414"/>
      <c r="AO10" s="2414"/>
      <c r="AP10" s="2414"/>
      <c r="AQ10" s="2415"/>
      <c r="AR10" s="2421"/>
      <c r="AS10" s="2421"/>
      <c r="AT10" s="2421"/>
      <c r="AU10" s="2421"/>
      <c r="AV10" s="103"/>
      <c r="AW10" s="2422">
        <f>IF(B2=0,"",IF(BA10="",6000,BA10))</f>
        <v>6000</v>
      </c>
      <c r="AX10" s="2407"/>
      <c r="AY10" s="2407"/>
      <c r="AZ10" s="2408"/>
      <c r="BA10" s="2401"/>
      <c r="BB10" s="2402"/>
      <c r="BC10" s="2402"/>
      <c r="BD10" s="2403"/>
      <c r="BE10" s="234"/>
      <c r="BF10" s="35"/>
      <c r="BG10" s="35"/>
      <c r="BH10" s="35"/>
      <c r="BI10" s="2426" t="s">
        <v>237</v>
      </c>
      <c r="BJ10" s="2426"/>
      <c r="BK10" s="2426"/>
      <c r="BL10" s="2426"/>
      <c r="BM10" s="2426"/>
      <c r="BN10" s="2426"/>
      <c r="BO10" s="2426"/>
      <c r="BP10" s="2409" t="str">
        <f>[5]照差!$BH$7</f>
        <v>⑦</v>
      </c>
      <c r="BQ10" s="2409"/>
      <c r="BR10" s="35"/>
      <c r="BS10" s="35"/>
      <c r="BT10" s="35"/>
      <c r="BU10" s="19"/>
      <c r="BV10" s="9"/>
      <c r="BW10" s="88">
        <f>IF(RIGHT(AG10,1)="置",1,0)</f>
        <v>1</v>
      </c>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row>
    <row r="11" spans="2:121" ht="4.5" customHeight="1" thickBot="1">
      <c r="B11" s="23"/>
      <c r="C11" s="35"/>
      <c r="D11" s="35"/>
      <c r="E11" s="35"/>
      <c r="F11" s="35"/>
      <c r="G11" s="35"/>
      <c r="H11" s="35"/>
      <c r="I11" s="35"/>
      <c r="J11" s="35"/>
      <c r="K11" s="35"/>
      <c r="L11" s="35"/>
      <c r="M11" s="35"/>
      <c r="N11" s="35"/>
      <c r="O11" s="35"/>
      <c r="P11" s="35"/>
      <c r="Q11" s="282"/>
      <c r="R11" s="2420"/>
      <c r="S11" s="2420"/>
      <c r="T11" s="2420"/>
      <c r="U11" s="2420"/>
      <c r="V11" s="2420"/>
      <c r="W11" s="2420"/>
      <c r="X11" s="2420"/>
      <c r="Y11" s="2420"/>
      <c r="Z11" s="2420"/>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33"/>
      <c r="BF11" s="35"/>
      <c r="BG11" s="35"/>
      <c r="BH11" s="35"/>
      <c r="BI11" s="35"/>
      <c r="BJ11" s="35"/>
      <c r="BK11" s="35"/>
      <c r="BL11" s="35"/>
      <c r="BM11" s="35"/>
      <c r="BN11" s="35"/>
      <c r="BO11" s="35"/>
      <c r="BP11" s="35"/>
      <c r="BQ11" s="35"/>
      <c r="BR11" s="35"/>
      <c r="BS11" s="35"/>
      <c r="BT11" s="35"/>
      <c r="BU11" s="19"/>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row>
    <row r="12" spans="2:121" ht="4.5" customHeight="1" thickTop="1" thickBot="1">
      <c r="B12" s="23"/>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19"/>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row>
    <row r="13" spans="2:121" ht="10.5" customHeight="1" thickBot="1">
      <c r="B13" s="23"/>
      <c r="C13" s="2299" t="s">
        <v>16</v>
      </c>
      <c r="D13" s="2299"/>
      <c r="E13" s="2299"/>
      <c r="F13" s="2299" t="s">
        <v>22</v>
      </c>
      <c r="G13" s="2299"/>
      <c r="H13" s="2299"/>
      <c r="I13" s="2299"/>
      <c r="J13" s="2299" t="s">
        <v>5</v>
      </c>
      <c r="K13" s="2299"/>
      <c r="L13" s="2299"/>
      <c r="M13" s="2299"/>
      <c r="N13" s="2299" t="s">
        <v>6</v>
      </c>
      <c r="O13" s="2299"/>
      <c r="P13" s="2299"/>
      <c r="Q13" s="2299"/>
      <c r="R13" s="2299"/>
      <c r="S13" s="2299" t="s">
        <v>236</v>
      </c>
      <c r="T13" s="2299"/>
      <c r="U13" s="2299"/>
      <c r="V13" s="2299"/>
      <c r="W13" s="2299"/>
      <c r="X13" s="2299"/>
      <c r="Y13" s="2299"/>
      <c r="Z13" s="2299"/>
      <c r="AA13" s="2299" t="s">
        <v>9</v>
      </c>
      <c r="AB13" s="2299"/>
      <c r="AC13" s="2299"/>
      <c r="AD13" s="2299" t="s">
        <v>9</v>
      </c>
      <c r="AE13" s="2299"/>
      <c r="AF13" s="2299"/>
      <c r="AG13" s="2299" t="s">
        <v>130</v>
      </c>
      <c r="AH13" s="2299"/>
      <c r="AI13" s="2299"/>
      <c r="AJ13" s="2299"/>
      <c r="AK13" s="2299"/>
      <c r="AL13" s="2299"/>
      <c r="AM13" s="2299"/>
      <c r="AN13" s="2299"/>
      <c r="AO13" s="2299"/>
      <c r="AP13" s="2299"/>
      <c r="AQ13" s="2396"/>
      <c r="AR13" s="2396"/>
      <c r="AS13" s="2396"/>
      <c r="AT13" s="2396"/>
      <c r="AU13" s="2396"/>
      <c r="AV13" s="2396"/>
      <c r="AW13" s="2396"/>
      <c r="AX13" s="2396"/>
      <c r="AY13" s="2396"/>
      <c r="AZ13" s="2381" t="s">
        <v>222</v>
      </c>
      <c r="BA13" s="2382"/>
      <c r="BB13" s="2383"/>
      <c r="BC13" s="2381" t="s">
        <v>221</v>
      </c>
      <c r="BD13" s="2382"/>
      <c r="BE13" s="2383"/>
      <c r="BF13" s="2396"/>
      <c r="BG13" s="2396"/>
      <c r="BH13" s="2396"/>
      <c r="BI13" s="2396"/>
      <c r="BJ13" s="2396"/>
      <c r="BK13" s="2396"/>
      <c r="BL13" s="2396"/>
      <c r="BM13" s="2396"/>
      <c r="BN13" s="2396"/>
      <c r="BO13" s="2381" t="s">
        <v>222</v>
      </c>
      <c r="BP13" s="2382"/>
      <c r="BQ13" s="2383"/>
      <c r="BR13" s="2381" t="s">
        <v>221</v>
      </c>
      <c r="BS13" s="2382"/>
      <c r="BT13" s="2383"/>
      <c r="BU13" s="19"/>
      <c r="BV13" s="8"/>
      <c r="BW13" s="159" t="str">
        <f>[6]Top!$AS$16</f>
        <v>(16)イ</v>
      </c>
      <c r="BX13" s="8"/>
      <c r="BY13" s="8"/>
      <c r="BZ13" s="8"/>
      <c r="CA13" s="8"/>
      <c r="CB13" s="8"/>
      <c r="CC13" s="8"/>
      <c r="CD13" s="8"/>
      <c r="CE13" s="8"/>
      <c r="CF13" s="8"/>
      <c r="CG13" s="8"/>
      <c r="CH13" s="8"/>
      <c r="CI13" s="280"/>
      <c r="CJ13" s="280"/>
      <c r="CK13" s="280"/>
      <c r="CL13" s="280"/>
      <c r="CM13" s="280"/>
      <c r="CN13" s="280"/>
      <c r="CO13" s="280"/>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row>
    <row r="14" spans="2:121" ht="10.5" customHeight="1">
      <c r="B14" s="23"/>
      <c r="C14" s="2299"/>
      <c r="D14" s="2299"/>
      <c r="E14" s="2299"/>
      <c r="F14" s="2396"/>
      <c r="G14" s="2396"/>
      <c r="H14" s="2396"/>
      <c r="I14" s="2396"/>
      <c r="J14" s="2396"/>
      <c r="K14" s="2396"/>
      <c r="L14" s="2396"/>
      <c r="M14" s="2396"/>
      <c r="N14" s="2396"/>
      <c r="O14" s="2396"/>
      <c r="P14" s="2396"/>
      <c r="Q14" s="2396"/>
      <c r="R14" s="2396"/>
      <c r="S14" s="2396" t="s">
        <v>7</v>
      </c>
      <c r="T14" s="2396"/>
      <c r="U14" s="2396"/>
      <c r="V14" s="2396"/>
      <c r="W14" s="2396" t="s">
        <v>8</v>
      </c>
      <c r="X14" s="2396"/>
      <c r="Y14" s="2396"/>
      <c r="Z14" s="2396"/>
      <c r="AA14" s="2396"/>
      <c r="AB14" s="2396"/>
      <c r="AC14" s="2396"/>
      <c r="AD14" s="2396"/>
      <c r="AE14" s="2396"/>
      <c r="AF14" s="2396"/>
      <c r="AG14" s="2299" t="s">
        <v>18</v>
      </c>
      <c r="AH14" s="2299"/>
      <c r="AI14" s="2299"/>
      <c r="AJ14" s="2299"/>
      <c r="AK14" s="2299"/>
      <c r="AL14" s="2299" t="s">
        <v>220</v>
      </c>
      <c r="AM14" s="2299"/>
      <c r="AN14" s="2299"/>
      <c r="AO14" s="2299"/>
      <c r="AP14" s="2299"/>
      <c r="AQ14" s="2397" t="s">
        <v>219</v>
      </c>
      <c r="AR14" s="2397"/>
      <c r="AS14" s="2397"/>
      <c r="AT14" s="2397"/>
      <c r="AU14" s="2397"/>
      <c r="AV14" s="2397"/>
      <c r="AW14" s="2397"/>
      <c r="AX14" s="2397"/>
      <c r="AY14" s="2397"/>
      <c r="AZ14" s="2384"/>
      <c r="BA14" s="2385"/>
      <c r="BB14" s="2386"/>
      <c r="BC14" s="2384"/>
      <c r="BD14" s="2385"/>
      <c r="BE14" s="2386"/>
      <c r="BF14" s="2397" t="s">
        <v>219</v>
      </c>
      <c r="BG14" s="2397"/>
      <c r="BH14" s="2397"/>
      <c r="BI14" s="2397"/>
      <c r="BJ14" s="2397"/>
      <c r="BK14" s="2397"/>
      <c r="BL14" s="2397"/>
      <c r="BM14" s="2397"/>
      <c r="BN14" s="2397"/>
      <c r="BO14" s="2384"/>
      <c r="BP14" s="2385"/>
      <c r="BQ14" s="2386"/>
      <c r="BR14" s="2384"/>
      <c r="BS14" s="2385"/>
      <c r="BT14" s="2386"/>
      <c r="BU14" s="19"/>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row>
    <row r="15" spans="2:121" ht="13.5" customHeight="1" thickBot="1">
      <c r="B15" s="23"/>
      <c r="C15" s="2396"/>
      <c r="D15" s="2396"/>
      <c r="E15" s="2396"/>
      <c r="F15" s="2390" t="s">
        <v>235</v>
      </c>
      <c r="G15" s="2390"/>
      <c r="H15" s="2390"/>
      <c r="I15" s="2390"/>
      <c r="J15" s="2390" t="s">
        <v>235</v>
      </c>
      <c r="K15" s="2390"/>
      <c r="L15" s="2390"/>
      <c r="M15" s="2390"/>
      <c r="N15" s="2390" t="s">
        <v>128</v>
      </c>
      <c r="O15" s="2390"/>
      <c r="P15" s="2390"/>
      <c r="Q15" s="2390"/>
      <c r="R15" s="2390"/>
      <c r="S15" s="2390" t="s">
        <v>128</v>
      </c>
      <c r="T15" s="2390"/>
      <c r="U15" s="2390"/>
      <c r="V15" s="2390"/>
      <c r="W15" s="2390" t="s">
        <v>128</v>
      </c>
      <c r="X15" s="2390"/>
      <c r="Y15" s="2390"/>
      <c r="Z15" s="2390"/>
      <c r="AA15" s="2390" t="s">
        <v>111</v>
      </c>
      <c r="AB15" s="2390"/>
      <c r="AC15" s="2390"/>
      <c r="AD15" s="2390" t="s">
        <v>110</v>
      </c>
      <c r="AE15" s="2390"/>
      <c r="AF15" s="2390"/>
      <c r="AG15" s="2396"/>
      <c r="AH15" s="2396"/>
      <c r="AI15" s="2396"/>
      <c r="AJ15" s="2396"/>
      <c r="AK15" s="2396"/>
      <c r="AL15" s="2396"/>
      <c r="AM15" s="2396"/>
      <c r="AN15" s="2396"/>
      <c r="AO15" s="2396"/>
      <c r="AP15" s="2396"/>
      <c r="AQ15" s="2397"/>
      <c r="AR15" s="2390"/>
      <c r="AS15" s="2390"/>
      <c r="AT15" s="2390"/>
      <c r="AU15" s="2390"/>
      <c r="AV15" s="2390"/>
      <c r="AW15" s="2390"/>
      <c r="AX15" s="2390"/>
      <c r="AY15" s="2390"/>
      <c r="AZ15" s="2387"/>
      <c r="BA15" s="2388"/>
      <c r="BB15" s="2389"/>
      <c r="BC15" s="2387"/>
      <c r="BD15" s="2388"/>
      <c r="BE15" s="2389"/>
      <c r="BF15" s="2390"/>
      <c r="BG15" s="2390"/>
      <c r="BH15" s="2397"/>
      <c r="BI15" s="2397"/>
      <c r="BJ15" s="2397"/>
      <c r="BK15" s="2397"/>
      <c r="BL15" s="2397"/>
      <c r="BM15" s="2397"/>
      <c r="BN15" s="2390"/>
      <c r="BO15" s="2387"/>
      <c r="BP15" s="2388"/>
      <c r="BQ15" s="2389"/>
      <c r="BR15" s="2387"/>
      <c r="BS15" s="2388"/>
      <c r="BT15" s="2389"/>
      <c r="BU15" s="19"/>
      <c r="BV15" s="8"/>
      <c r="BW15" s="8"/>
      <c r="BX15" s="8"/>
      <c r="BY15" s="8"/>
      <c r="BZ15" s="15"/>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row>
    <row r="16" spans="2:121" ht="11.25" customHeight="1" thickBot="1">
      <c r="B16" s="176"/>
      <c r="C16" s="2391" t="s">
        <v>112</v>
      </c>
      <c r="D16" s="2391"/>
      <c r="E16" s="2391"/>
      <c r="F16" s="2391"/>
      <c r="G16" s="2391"/>
      <c r="H16" s="2391"/>
      <c r="I16" s="2288"/>
      <c r="J16" s="2356" t="str">
        <f>[5]照差!$I$16</f>
        <v>( 15)</v>
      </c>
      <c r="K16" s="2357"/>
      <c r="L16" s="2358"/>
      <c r="M16" s="2375" t="str">
        <f>[5]照差!$M$16</f>
        <v>前各項以外</v>
      </c>
      <c r="N16" s="2376"/>
      <c r="O16" s="2376"/>
      <c r="P16" s="2376"/>
      <c r="Q16" s="2376"/>
      <c r="R16" s="2376"/>
      <c r="S16" s="2376"/>
      <c r="T16" s="2376"/>
      <c r="U16" s="2377"/>
      <c r="V16" s="2275" t="s">
        <v>232</v>
      </c>
      <c r="W16" s="2276"/>
      <c r="X16" s="2276"/>
      <c r="Y16" s="2276"/>
      <c r="Z16" s="2277"/>
      <c r="AA16" s="2394" t="str">
        <f>[6]Top!$I$24</f>
        <v>A</v>
      </c>
      <c r="AB16" s="2279"/>
      <c r="AC16" s="2280" t="s">
        <v>231</v>
      </c>
      <c r="AD16" s="2280"/>
      <c r="AE16" s="2280"/>
      <c r="AF16" s="2280"/>
      <c r="AG16" s="2280"/>
      <c r="AH16" s="2280"/>
      <c r="AI16" s="2280"/>
      <c r="AJ16" s="2280"/>
      <c r="AK16" s="2280"/>
      <c r="AL16" s="2356" t="str">
        <f>IF($BW$10=0,"設置しない",IF(AS16="","設置する",AS16))</f>
        <v>設置する</v>
      </c>
      <c r="AM16" s="2357"/>
      <c r="AN16" s="2357"/>
      <c r="AO16" s="2357"/>
      <c r="AP16" s="2357"/>
      <c r="AQ16" s="2358"/>
      <c r="AR16" s="265" t="s">
        <v>103</v>
      </c>
      <c r="AS16" s="2284"/>
      <c r="AT16" s="2285"/>
      <c r="AU16" s="2285"/>
      <c r="AV16" s="2285"/>
      <c r="AW16" s="2285"/>
      <c r="AX16" s="2286"/>
      <c r="AY16" s="2280" t="s">
        <v>215</v>
      </c>
      <c r="AZ16" s="2280"/>
      <c r="BA16" s="2280"/>
      <c r="BB16" s="2280"/>
      <c r="BC16" s="2280"/>
      <c r="BD16" s="2280"/>
      <c r="BE16" s="2280"/>
      <c r="BF16" s="2280"/>
      <c r="BG16" s="2280"/>
      <c r="BH16" s="2356" t="str">
        <f>IF($BW$10=0,"設置しない",IF(BO16="","設置する",BO16))</f>
        <v>設置する</v>
      </c>
      <c r="BI16" s="2357"/>
      <c r="BJ16" s="2357"/>
      <c r="BK16" s="2357"/>
      <c r="BL16" s="2357"/>
      <c r="BM16" s="2358"/>
      <c r="BN16" s="265" t="s">
        <v>103</v>
      </c>
      <c r="BO16" s="2284"/>
      <c r="BP16" s="2285"/>
      <c r="BQ16" s="2285"/>
      <c r="BR16" s="2285"/>
      <c r="BS16" s="2285"/>
      <c r="BT16" s="2286"/>
      <c r="BU16" s="19"/>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90" t="s">
        <v>226</v>
      </c>
      <c r="CV16" s="90" t="s">
        <v>225</v>
      </c>
      <c r="CW16" s="8"/>
      <c r="CX16" s="88">
        <v>1</v>
      </c>
      <c r="CY16" s="45"/>
      <c r="CZ16" s="45"/>
      <c r="DA16" s="45"/>
      <c r="DB16" s="45"/>
      <c r="DC16" s="45"/>
      <c r="DD16" s="45"/>
      <c r="DE16" s="45" t="s">
        <v>109</v>
      </c>
      <c r="DF16" s="45"/>
      <c r="DG16" s="45" t="s">
        <v>108</v>
      </c>
      <c r="DH16" s="45"/>
      <c r="DI16" s="45"/>
      <c r="DJ16" s="45"/>
      <c r="DK16" s="45"/>
      <c r="DL16" s="45"/>
      <c r="DM16" s="45"/>
      <c r="DN16" s="45" t="s">
        <v>109</v>
      </c>
      <c r="DO16" s="45"/>
      <c r="DP16" s="45" t="s">
        <v>108</v>
      </c>
      <c r="DQ16" s="88">
        <v>1</v>
      </c>
    </row>
    <row r="17" spans="1:121" ht="11.25" customHeight="1" thickBot="1">
      <c r="B17" s="23"/>
      <c r="C17" s="2300" t="s">
        <v>214</v>
      </c>
      <c r="D17" s="2301"/>
      <c r="E17" s="2301"/>
      <c r="F17" s="2301"/>
      <c r="G17" s="2301"/>
      <c r="H17" s="2301"/>
      <c r="I17" s="2302"/>
      <c r="J17" s="2297">
        <f>[5]照差!$K$17</f>
        <v>0.72727272727272729</v>
      </c>
      <c r="K17" s="2298"/>
      <c r="L17" s="2298"/>
      <c r="M17" s="2298"/>
      <c r="N17" s="2435" t="s">
        <v>230</v>
      </c>
      <c r="O17" s="2435"/>
      <c r="P17" s="2435"/>
      <c r="Q17" s="2435"/>
      <c r="R17" s="2435"/>
      <c r="S17" s="2435"/>
      <c r="T17" s="2435"/>
      <c r="U17" s="2435"/>
      <c r="V17" s="2366" t="str">
        <f>[5]照差!$W$17</f>
        <v>⑦</v>
      </c>
      <c r="W17" s="2366"/>
      <c r="X17" s="2366"/>
      <c r="Y17" s="2435" t="s">
        <v>135</v>
      </c>
      <c r="Z17" s="2435"/>
      <c r="AA17" s="2299"/>
      <c r="AB17" s="2299"/>
      <c r="AC17" s="2299"/>
      <c r="AD17" s="2437" t="s">
        <v>18</v>
      </c>
      <c r="AE17" s="2438"/>
      <c r="AF17" s="2438"/>
      <c r="AG17" s="2438"/>
      <c r="AH17" s="2439"/>
      <c r="AI17" s="2337" t="str">
        <f>IF($B$2=0,"",IF(AQ17="","非:天井ケーブル",AQ17))</f>
        <v>非:天井ケーブル</v>
      </c>
      <c r="AJ17" s="2337"/>
      <c r="AK17" s="2337"/>
      <c r="AL17" s="2337"/>
      <c r="AM17" s="2337"/>
      <c r="AN17" s="2337"/>
      <c r="AO17" s="2337"/>
      <c r="AP17" s="175" t="s">
        <v>103</v>
      </c>
      <c r="AQ17" s="2338"/>
      <c r="AR17" s="2338"/>
      <c r="AS17" s="2338"/>
      <c r="AT17" s="2338"/>
      <c r="AU17" s="2338"/>
      <c r="AV17" s="2338"/>
      <c r="AW17" s="2338"/>
      <c r="AX17" s="2395" t="s">
        <v>212</v>
      </c>
      <c r="AY17" s="2395"/>
      <c r="AZ17" s="2395"/>
      <c r="BA17" s="2395"/>
      <c r="BB17" s="2395"/>
      <c r="BC17" s="2337" t="str">
        <f>IF($B$2=0,"",IF(BK17="","誘:天井ケーブル",BK17))</f>
        <v>誘:天井ケーブル</v>
      </c>
      <c r="BD17" s="2337"/>
      <c r="BE17" s="2337"/>
      <c r="BF17" s="2337"/>
      <c r="BG17" s="2337"/>
      <c r="BH17" s="2366"/>
      <c r="BI17" s="2366"/>
      <c r="BJ17" s="225" t="s">
        <v>103</v>
      </c>
      <c r="BK17" s="2398"/>
      <c r="BL17" s="2398"/>
      <c r="BM17" s="2398"/>
      <c r="BN17" s="2338"/>
      <c r="BO17" s="2338"/>
      <c r="BP17" s="2338"/>
      <c r="BQ17" s="2338"/>
      <c r="BR17" s="2299"/>
      <c r="BS17" s="2299"/>
      <c r="BT17" s="2299"/>
      <c r="BU17" s="19"/>
      <c r="BV17" s="8">
        <v>16</v>
      </c>
      <c r="BW17" s="88" t="s">
        <v>229</v>
      </c>
      <c r="BX17" s="88" t="s">
        <v>228</v>
      </c>
      <c r="BY17" s="2336" t="s">
        <v>126</v>
      </c>
      <c r="BZ17" s="2336"/>
      <c r="CA17" s="2336"/>
      <c r="CB17" s="2336"/>
      <c r="CC17" s="2336" t="s">
        <v>125</v>
      </c>
      <c r="CD17" s="2336"/>
      <c r="CE17" s="2336"/>
      <c r="CF17" s="2336"/>
      <c r="CG17" s="2336" t="s">
        <v>124</v>
      </c>
      <c r="CH17" s="2336"/>
      <c r="CI17" s="2336"/>
      <c r="CJ17" s="2336"/>
      <c r="CK17" s="2336" t="s">
        <v>123</v>
      </c>
      <c r="CL17" s="2336"/>
      <c r="CM17" s="2336"/>
      <c r="CN17" s="2336"/>
      <c r="CO17" s="88" t="s">
        <v>227</v>
      </c>
      <c r="CP17" s="88" t="s">
        <v>226</v>
      </c>
      <c r="CQ17" s="88" t="s">
        <v>225</v>
      </c>
      <c r="CR17" s="88" t="s">
        <v>227</v>
      </c>
      <c r="CS17" s="88" t="s">
        <v>226</v>
      </c>
      <c r="CT17" s="221" t="s">
        <v>225</v>
      </c>
      <c r="CU17" s="264">
        <f>IF(BW18="","",SUM(CP18:CP21)+CS18+CS19)</f>
        <v>205.2</v>
      </c>
      <c r="CV17" s="264">
        <f>IF(BW18="","",SUM(CQ18:CQ21)+CT18+CT19)</f>
        <v>310.97043921024891</v>
      </c>
      <c r="CW17" s="9"/>
      <c r="CX17" s="8"/>
      <c r="CY17" s="197">
        <f t="shared" ref="CY17:CY48" si="0">IF(DE17&lt;&gt;"",CY16+1,CY16)</f>
        <v>1</v>
      </c>
      <c r="CZ17" s="197">
        <f t="shared" ref="CZ17:CZ48" si="1">IF(AND(CY17&lt;&gt;"",DE17&lt;&gt;""),CY17,"")</f>
        <v>1</v>
      </c>
      <c r="DA17" s="10" t="str">
        <f>C19</f>
        <v>VV-F 2.0mm-2C</v>
      </c>
      <c r="DB17" s="8"/>
      <c r="DC17" s="8"/>
      <c r="DD17" s="8"/>
      <c r="DE17" s="249" t="str">
        <f>IF(COUNTIF($DA$15:DA16,DA17)&gt;0,"",DA17)</f>
        <v>VV-F 2.0mm-2C</v>
      </c>
      <c r="DF17" s="26">
        <f>S19</f>
        <v>136.80000000000001</v>
      </c>
      <c r="DG17" s="32">
        <f t="shared" ref="DG17:DG48" si="2">SUMIF($DA$17:$DA$179,DE17,$DF$17:$DF$179)</f>
        <v>2017.9000000000005</v>
      </c>
      <c r="DH17" s="198">
        <f t="shared" ref="DH17:DH48" si="3">IF(OR(DN17=0,DN17=""),DH16,DH16+1)</f>
        <v>1</v>
      </c>
      <c r="DI17" s="199">
        <f t="shared" ref="DI17:DI48" si="4">IF(AND(DH17&lt;&gt;"",DN17&lt;&gt;0,DN17&lt;&gt;""),DH17,"")</f>
        <v>1</v>
      </c>
      <c r="DJ17" s="10" t="str">
        <f>AQ18</f>
        <v>Xh1-Ae</v>
      </c>
      <c r="DK17" s="10"/>
      <c r="DL17" s="10"/>
      <c r="DM17" s="8"/>
      <c r="DN17" s="249" t="str">
        <f>IF(COUNTIF($DJ$15:DJ16,DJ17)&gt;0,"",DJ17)</f>
        <v>Xh1-Ae</v>
      </c>
      <c r="DO17" s="200">
        <f>AZ18</f>
        <v>7</v>
      </c>
      <c r="DP17" s="32">
        <f t="shared" ref="DP17:DP48" si="5">SUMIF($DJ$17:$DJ$179,DN17,$DO$17:$DO$179)</f>
        <v>111</v>
      </c>
      <c r="DQ17" s="8"/>
    </row>
    <row r="18" spans="1:121" ht="11.25" customHeight="1">
      <c r="B18" s="23"/>
      <c r="C18" s="2367" t="str">
        <f>[5]照差!$C$18</f>
        <v xml:space="preserve"> B2F</v>
      </c>
      <c r="D18" s="2368"/>
      <c r="E18" s="2369"/>
      <c r="F18" s="2370">
        <f>[5]照差!$G$18</f>
        <v>5</v>
      </c>
      <c r="G18" s="2371"/>
      <c r="H18" s="2371"/>
      <c r="I18" s="2372"/>
      <c r="J18" s="2370" t="str">
        <f>[5]照差!$J$18</f>
        <v>直天</v>
      </c>
      <c r="K18" s="2373"/>
      <c r="L18" s="2373"/>
      <c r="M18" s="2374"/>
      <c r="N18" s="2330">
        <f>[5]照差!$M$18</f>
        <v>3168</v>
      </c>
      <c r="O18" s="2331"/>
      <c r="P18" s="2331"/>
      <c r="Q18" s="2331"/>
      <c r="R18" s="2332"/>
      <c r="S18" s="2330">
        <f>[5]照差!$Q$18</f>
        <v>2534.4</v>
      </c>
      <c r="T18" s="2331"/>
      <c r="U18" s="2331"/>
      <c r="V18" s="2332"/>
      <c r="W18" s="2330">
        <f>[5]照差!$U$18</f>
        <v>633.59999999999991</v>
      </c>
      <c r="X18" s="2331"/>
      <c r="Y18" s="2331"/>
      <c r="Z18" s="2332"/>
      <c r="AA18" s="2340">
        <f>[5]照差!$Y$18</f>
        <v>34</v>
      </c>
      <c r="AB18" s="2341"/>
      <c r="AC18" s="2342"/>
      <c r="AD18" s="2343">
        <f>[5]照差!$AB$18</f>
        <v>32</v>
      </c>
      <c r="AE18" s="2344"/>
      <c r="AF18" s="2345"/>
      <c r="AG18" s="2346">
        <f>IF(OR(C18="",C18="  RF"),"",2+INT(N18/1000))</f>
        <v>5</v>
      </c>
      <c r="AH18" s="2346"/>
      <c r="AI18" s="2346"/>
      <c r="AJ18" s="2346"/>
      <c r="AK18" s="2346"/>
      <c r="AL18" s="2346">
        <f>IF(OR(C18="",C18="  RF"),"",1+INT(N18/500))</f>
        <v>7</v>
      </c>
      <c r="AM18" s="2346"/>
      <c r="AN18" s="2346"/>
      <c r="AO18" s="2346"/>
      <c r="AP18" s="2346"/>
      <c r="AQ18" s="2347" t="str">
        <f>IF(OR(C18="",AL16="設置しない"),"",IF(OR(AND(LEFT($C$18,2)=" B",[6]Top!$U$72&lt;&gt;""),AND(LEFT($C$18,3)="  1",[6]Top!$U$73&lt;&gt;""),AND(LEFT($C$18,3)="  2",[6]Top!$U$75&lt;&gt;""),AND(LEFT($C$18,3)="  3",[6]Top!$U$77&lt;&gt;""),[6]Top!$U$79&lt;&gt;"",[6]Top!$U$81&lt;&gt;""),"Xh1-Ae",IF(OR(AND(LEFT($C$18,2)=" B",[6]Top!$U$72="BL"),AND(LEFT($C$18,3)="  1",[6]Top!$U$73="BL"),AND(LEFT($C$18,3)="  2",[6]Top!$U$75="BL"),AND(LEFT($C$18,3)="  3",[6]Top!$U$77="BL"),[6]Top!$U$79="BL",[6]Top!$U$81="BL"),"Xh1-BLe","")))</f>
        <v>Xh1-Ae</v>
      </c>
      <c r="AR18" s="2348"/>
      <c r="AS18" s="2348"/>
      <c r="AT18" s="2348"/>
      <c r="AU18" s="2348"/>
      <c r="AV18" s="2348"/>
      <c r="AW18" s="2348"/>
      <c r="AX18" s="2348"/>
      <c r="AY18" s="2349"/>
      <c r="AZ18" s="2353">
        <f>IF(OR(N18="",AQ18=""),"",IF(BC18&lt;&gt;"",BC18,1+INT(N18/500)))</f>
        <v>7</v>
      </c>
      <c r="BA18" s="2354"/>
      <c r="BB18" s="2355"/>
      <c r="BC18" s="2305"/>
      <c r="BD18" s="2305"/>
      <c r="BE18" s="2305"/>
      <c r="BF18" s="2281" t="str">
        <f>IF(C18="","",IF(OR(AND(LEFT(C18,2)=" B",[6]Top!$AD$72="要"),AND(LEFT(C18,3)="  1",[6]Top!$AD$73="要"),AND(LEFT(C18,3)="  2",[6]Top!$AD$75="要"),AND(LEFT(C18,3)="  3",[6]Top!$AD$77="要"),[6]Top!$AD$79="C",[6]Top!$AD$81="要"),"Ya1-Ce",""))</f>
        <v>Ya1-Ce</v>
      </c>
      <c r="BG18" s="2281"/>
      <c r="BH18" s="2281"/>
      <c r="BI18" s="2281"/>
      <c r="BJ18" s="2281"/>
      <c r="BK18" s="2281"/>
      <c r="BL18" s="2281"/>
      <c r="BM18" s="2281"/>
      <c r="BN18" s="2281"/>
      <c r="BO18" s="2304">
        <f>IF(OR(C18="",C18="  RF"),"",IF(BR18&lt;&gt;"",BR18,1+INT((BW18+BX18)/20)))</f>
        <v>3</v>
      </c>
      <c r="BP18" s="2304"/>
      <c r="BQ18" s="2304"/>
      <c r="BR18" s="2339"/>
      <c r="BS18" s="2339"/>
      <c r="BT18" s="2339"/>
      <c r="BU18" s="19"/>
      <c r="BV18" s="8">
        <v>1</v>
      </c>
      <c r="BW18" s="98">
        <f>IF(OR(C18="",C18="  RF"),0,SQRT(N18*J17)/2)</f>
        <v>24</v>
      </c>
      <c r="BX18" s="98">
        <f>IF(OR(C18="",C18="  RF"),0,SQRT(N18/J17)/2)</f>
        <v>33</v>
      </c>
      <c r="BY18" s="88" t="s">
        <v>204</v>
      </c>
      <c r="BZ18" s="92">
        <f>IF(OR($BW$10=0,AL16="設置しない",C18="  RF",C18=""),0,IF(LEFT(C18,2)&lt;&gt;"PH",AG18*BW19/2,BW19))</f>
        <v>108.75</v>
      </c>
      <c r="CA18" s="88" t="s">
        <v>205</v>
      </c>
      <c r="CB18" s="88">
        <f>IF(OR($BW$10=0,AL16="設置しない",C18="  RF",C18=""),0,IF(LEFT(C18,2)="PH",0,(BN20-1)*SQRT(S18/BN20)))</f>
        <v>284.91286593706258</v>
      </c>
      <c r="CC18" s="88" t="s">
        <v>204</v>
      </c>
      <c r="CD18" s="262">
        <f>IF(OR($BW$10=0,AL16="設置しない",F18=0),0,AG18*(F18-0.1-($Y$7-$AN$8)/1000))</f>
        <v>28.000000000000004</v>
      </c>
      <c r="CE18" s="88" t="s">
        <v>205</v>
      </c>
      <c r="CF18" s="88">
        <f>IF(OR($BW$10=0,AL16="設置しない",LEFT(C18,2)="PH",C18="  RF",C18=""),0,(2*BN20-1)*$AN$7/1000)</f>
        <v>53.6</v>
      </c>
      <c r="CG18" s="88" t="s">
        <v>204</v>
      </c>
      <c r="CH18" s="92">
        <f>IF(OR($BW$10=0,AL16="設置しない",AI17="非:天井ケーブル"),0,BZ18)</f>
        <v>0</v>
      </c>
      <c r="CI18" s="88" t="s">
        <v>205</v>
      </c>
      <c r="CJ18" s="88">
        <f>IF(OR($BW$10=0,AL16="設置しない",AI17="非:天井ケーブル"),0,CB18)</f>
        <v>0</v>
      </c>
      <c r="CK18" s="88" t="s">
        <v>204</v>
      </c>
      <c r="CL18" s="92">
        <f>IF(OR($BW$10=0,AL16="設置しない",C18="  RF",C18=""),0,IF(J18="直天",AG18*(F18-$Y$7/1000),AG18*(J18+0.1-$Y$7/1000)))</f>
        <v>16</v>
      </c>
      <c r="CM18" s="220"/>
      <c r="CN18" s="219"/>
      <c r="CO18" s="134">
        <f>IF(AZ18="",0,VLOOKUP(AQ18,[7]建物1802!$E$5:$AL$3275,33,FALSE)*AZ18)</f>
        <v>132.86000000000001</v>
      </c>
      <c r="CP18" s="136">
        <f>IF(AZ18="",0,VLOOKUP(AQ18,[7]建物1802!$E$5:$AL$3275,30,FALSE)*AZ18)</f>
        <v>73.5</v>
      </c>
      <c r="CQ18" s="136">
        <f>IF(CO18="","",SQRT(CO18^2-CP18^2))</f>
        <v>110.67759303490479</v>
      </c>
      <c r="CR18" s="189">
        <f>IF(BO18="",0,VLOOKUP(BF18,[7]建物1802!$E$5:$AL$3275,33,FALSE)*BO18)</f>
        <v>12</v>
      </c>
      <c r="CS18" s="189">
        <f>IF(BO18="",0,VLOOKUP(BF18,[7]建物1802!$E$5:$AL$3275,30,FALSE)*BO18)</f>
        <v>5.6999999999999993</v>
      </c>
      <c r="CT18" s="259">
        <f>IF(CR18="",0,SQRT(CR18^2-CS18^2))</f>
        <v>10.559829544078825</v>
      </c>
      <c r="CU18" s="14"/>
      <c r="CV18" s="14"/>
      <c r="CW18" s="216"/>
      <c r="CX18" s="8"/>
      <c r="CY18" s="197">
        <f t="shared" si="0"/>
        <v>1</v>
      </c>
      <c r="CZ18" s="197" t="str">
        <f t="shared" si="1"/>
        <v/>
      </c>
      <c r="DA18" s="10" t="str">
        <f>W19</f>
        <v>VV-F 2.0mm-2C</v>
      </c>
      <c r="DB18" s="8"/>
      <c r="DC18" s="8"/>
      <c r="DD18" s="8"/>
      <c r="DE18" s="249" t="str">
        <f>IF(COUNTIF($DA$15:DA17,DA18)&gt;0,"",DA18)</f>
        <v/>
      </c>
      <c r="DF18" s="26">
        <f>AM19</f>
        <v>84</v>
      </c>
      <c r="DG18" s="32">
        <f t="shared" si="2"/>
        <v>0</v>
      </c>
      <c r="DH18" s="198">
        <f t="shared" si="3"/>
        <v>1</v>
      </c>
      <c r="DI18" s="198" t="str">
        <f t="shared" si="4"/>
        <v/>
      </c>
      <c r="DJ18" s="10" t="str">
        <f>AQ19</f>
        <v>Xh1-Ae</v>
      </c>
      <c r="DK18" s="10"/>
      <c r="DL18" s="10"/>
      <c r="DM18" s="8"/>
      <c r="DN18" s="8" t="str">
        <f>IF(COUNTIF($DJ$15:DJ17,DJ18)&gt;0,"",DJ18)</f>
        <v/>
      </c>
      <c r="DO18" s="200">
        <f>AZ19</f>
        <v>12</v>
      </c>
      <c r="DP18" s="32">
        <f t="shared" si="5"/>
        <v>0</v>
      </c>
      <c r="DQ18" s="8"/>
    </row>
    <row r="19" spans="1:121" ht="11.25" customHeight="1">
      <c r="A19" s="15">
        <v>1</v>
      </c>
      <c r="B19" s="176"/>
      <c r="C19" s="2378" t="str">
        <f>IF(C18="","",IF(K19="","VV-F 2.0mm-2C",K19))</f>
        <v>VV-F 2.0mm-2C</v>
      </c>
      <c r="D19" s="2379"/>
      <c r="E19" s="2379"/>
      <c r="F19" s="2379"/>
      <c r="G19" s="2379"/>
      <c r="H19" s="2379"/>
      <c r="I19" s="2379"/>
      <c r="J19" s="2380"/>
      <c r="K19" s="2313"/>
      <c r="L19" s="2314"/>
      <c r="M19" s="2314"/>
      <c r="N19" s="2314"/>
      <c r="O19" s="2314"/>
      <c r="P19" s="2314"/>
      <c r="Q19" s="2314"/>
      <c r="R19" s="2315"/>
      <c r="S19" s="2312">
        <f>IF(OR(C18="",AL16="設置しない",BH16="設置しない"),"",ROUND((BZ18+CD18),1))</f>
        <v>136.80000000000001</v>
      </c>
      <c r="T19" s="2312"/>
      <c r="U19" s="2312"/>
      <c r="V19" s="2312"/>
      <c r="W19" s="2306" t="str">
        <f>IF(C18="","",IF(AE19="","VV-F 2.0mm-2C",AE19))</f>
        <v>VV-F 2.0mm-2C</v>
      </c>
      <c r="X19" s="2307"/>
      <c r="Y19" s="2307"/>
      <c r="Z19" s="2307"/>
      <c r="AA19" s="2307"/>
      <c r="AB19" s="2307"/>
      <c r="AC19" s="2307"/>
      <c r="AD19" s="2308"/>
      <c r="AE19" s="2313"/>
      <c r="AF19" s="2314"/>
      <c r="AG19" s="2314"/>
      <c r="AH19" s="2314"/>
      <c r="AI19" s="2314"/>
      <c r="AJ19" s="2314"/>
      <c r="AK19" s="2314"/>
      <c r="AL19" s="2315"/>
      <c r="AM19" s="2312">
        <f>IF(OR(C18="",,AL16="設置しない",BH16="設置しない"),"",ROUND(BZ21,1))</f>
        <v>84</v>
      </c>
      <c r="AN19" s="2312"/>
      <c r="AO19" s="2312"/>
      <c r="AP19" s="2312"/>
      <c r="AQ19" s="2347" t="str">
        <f>IF(OR(C18="",AL16="設置しない"),"",IF(OR(AND(LEFT($C$18,2)=" B",[6]Top!$U$72&lt;&gt;""),AND(LEFT($C$18,3)="  1",[6]Top!$U$73&lt;&gt;""),AND(LEFT($C$18,3)="  2",[6]Top!$U$75&lt;&gt;""),AND(LEFT($C$18,3)="  3",[6]Top!$U$77&lt;&gt;""),[6]Top!$U$79&lt;&gt;"",[6]Top!$U$81&lt;&gt;""),"Xh1-Ae",IF(OR(AND(LEFT($C$18,2)=" B",[6]Top!$U$72="BL"),AND(LEFT($C$18,3)="  1",[6]Top!$U$73="BL"),AND(LEFT($C$18,3)="  2",[6]Top!$U$75="BL"),AND(LEFT($C$18,3)="  3",[6]Top!$U$77="BL"),[6]Top!$U$79="BL",[6]Top!$U$81="BL"),"Xh1-BLe","")))</f>
        <v>Xh1-Ae</v>
      </c>
      <c r="AR19" s="2348"/>
      <c r="AS19" s="2348"/>
      <c r="AT19" s="2348"/>
      <c r="AU19" s="2348"/>
      <c r="AV19" s="2348"/>
      <c r="AW19" s="2348"/>
      <c r="AX19" s="2348"/>
      <c r="AY19" s="2349"/>
      <c r="AZ19" s="2304">
        <f>IF(AA18="","",IF(BC19&lt;&gt;"",BC19,IF(AQ19&lt;&gt;"",1+INT(AA18/3),"")))</f>
        <v>12</v>
      </c>
      <c r="BA19" s="2304"/>
      <c r="BB19" s="2304"/>
      <c r="BC19" s="2305"/>
      <c r="BD19" s="2305"/>
      <c r="BE19" s="2305"/>
      <c r="BF19" s="2281" t="str">
        <f>IF(C18="","",IF(OR(AND(LEFT(C18,2)=" B",[6]Top!$AF$72="要"),AND(LEFT(C18,3)="  1",[6]Top!$AF$73="要"),AND(LEFT(C18,3)="  2",[6]Top!$AF$75="要"),AND(LEFT(C18,3)="  3",[6]Top!$AF$77="要"),[6]Top!$AF$79="要",[6]Top!$AF$81="要"),"D15V-321PXe",""))</f>
        <v/>
      </c>
      <c r="BG19" s="2281"/>
      <c r="BH19" s="2281"/>
      <c r="BI19" s="2282"/>
      <c r="BJ19" s="2282"/>
      <c r="BK19" s="2282"/>
      <c r="BL19" s="2282"/>
      <c r="BM19" s="2282"/>
      <c r="BN19" s="2282"/>
      <c r="BO19" s="2283" t="str">
        <f>IF(OR(C18="",C18="  RF",BF19=""),"",IF(BR19&lt;&gt;"",BR19,2*(1+INT(N18/500))))</f>
        <v/>
      </c>
      <c r="BP19" s="2283"/>
      <c r="BQ19" s="2283"/>
      <c r="BR19" s="2303"/>
      <c r="BS19" s="2303"/>
      <c r="BT19" s="2303"/>
      <c r="BU19" s="19"/>
      <c r="BV19" s="46" t="str">
        <f>V17</f>
        <v>⑦</v>
      </c>
      <c r="BW19" s="263">
        <f>IF(C18="","",IF(BV19="①",BW18+BX18+3,IF(BV19="②",BW18*5/8+BX18+3,IF(BV19="③",BW18/2+BX18+3,IF(BV19="④",BW18+BX18*5/8+3,IF(BV19="⑤",(BW18+BX18)*5/8+3,IF(BV19="⑥",BW18/2+BX18*5/8+3,IF(BV19="⑦",BW18+BX18/2+3,IF(BV19="⑧",BW18*5/8+BX18/2+3,IF(BV19="⑨",(BW18+BX18)/2+3))))))))))</f>
        <v>43.5</v>
      </c>
      <c r="BX19" s="8"/>
      <c r="BY19" s="88" t="s">
        <v>202</v>
      </c>
      <c r="BZ19" s="92">
        <f>IF(OR($BW$10=0,BH16="設置しない",C18="  RF",C18=""),0,IF(LEFT(C18,2)&lt;&gt;"PH",AL18*BW19/2,BW19))</f>
        <v>152.25</v>
      </c>
      <c r="CA19" s="88" t="s">
        <v>203</v>
      </c>
      <c r="CB19" s="88">
        <f>IF(OR($BW$10=0,AY16="設置しない",BN21=""),0,(BN21-1)*SQRT(W18/BN21))</f>
        <v>151.08366451807595</v>
      </c>
      <c r="CC19" s="88" t="s">
        <v>202</v>
      </c>
      <c r="CD19" s="262">
        <f>IF(OR($BW$10=0,BH16="設置しない",F18=0),0,AG18*(F18-0.1-($AN$8-$Y$7)/1000))</f>
        <v>21</v>
      </c>
      <c r="CE19" s="88" t="s">
        <v>203</v>
      </c>
      <c r="CF19" s="88">
        <f>IF(OR($BW$10=0,BH16="設置しない",BN21=""),0,(2*BN21-1)*$AN$7/1000)</f>
        <v>60</v>
      </c>
      <c r="CG19" s="88" t="s">
        <v>202</v>
      </c>
      <c r="CH19" s="92">
        <f>IF(OR($BW$10=0,BH16="設置しない",AI17="非:天井ケーブル"),0,BZ19)</f>
        <v>0</v>
      </c>
      <c r="CI19" s="88" t="s">
        <v>203</v>
      </c>
      <c r="CJ19" s="88">
        <f>IF(OR($BW$10=0,BH16="設置しない",AI17="非:天井ケーブル"),0,CB19)</f>
        <v>0</v>
      </c>
      <c r="CK19" s="88" t="s">
        <v>202</v>
      </c>
      <c r="CL19" s="92">
        <f>IF(OR($BW$10=0,BH16="設置しない",C18="  RF",C18=""),0,IF(J18="直天",AG18*(F18-$Y$7/1000),AG18*(J18+0.1-$Y$7/1000)))</f>
        <v>16</v>
      </c>
      <c r="CM19" s="141"/>
      <c r="CN19" s="142"/>
      <c r="CO19" s="136">
        <f>IF(AZ19="",0,(VLOOKUP(AQ19,[7]建物1802!$E$5:$AL$3275,33,FALSE))*AZ19)</f>
        <v>227.76</v>
      </c>
      <c r="CP19" s="136">
        <f>IF(AZ19="",0,VLOOKUP(AQ19,[7]建物1802!$E$5:$AL$3275,30,FALSE)*AZ19)</f>
        <v>126</v>
      </c>
      <c r="CQ19" s="136">
        <f>IF(CO19="","",SQRT(CO19^2-CP19^2))</f>
        <v>189.73301663126531</v>
      </c>
      <c r="CR19" s="189">
        <f>IF(BO19="",0,VLOOKUP(BF19,[7]建物1802!$E$5:$AL$3275,33,FALSE)*BO19)</f>
        <v>0</v>
      </c>
      <c r="CS19" s="189">
        <f>IF(BO19="",0,VLOOKUP(BF19,[7]建物1802!$E$5:$AL$3275,30,FALSE)*BO19)</f>
        <v>0</v>
      </c>
      <c r="CT19" s="259">
        <f>IF(CR19="",0,SQRT(CR19^2-CS19^2))</f>
        <v>0</v>
      </c>
      <c r="CU19" s="14"/>
      <c r="CV19" s="14"/>
      <c r="CW19" s="216"/>
      <c r="CX19" s="8"/>
      <c r="CY19" s="197">
        <f t="shared" si="0"/>
        <v>2</v>
      </c>
      <c r="CZ19" s="197">
        <f t="shared" si="1"/>
        <v>2</v>
      </c>
      <c r="DA19" s="10" t="str">
        <f>C20</f>
        <v>VV-F 1.6mm-2C</v>
      </c>
      <c r="DB19" s="8"/>
      <c r="DC19" s="8"/>
      <c r="DD19" s="8"/>
      <c r="DE19" s="249" t="str">
        <f>IF(COUNTIF($DA$15:DA18,DA19)&gt;0,"",DA19)</f>
        <v>VV-F 1.6mm-2C</v>
      </c>
      <c r="DF19" s="26">
        <f>S20</f>
        <v>938</v>
      </c>
      <c r="DG19" s="32">
        <f t="shared" si="2"/>
        <v>13527</v>
      </c>
      <c r="DH19" s="198">
        <f t="shared" si="3"/>
        <v>1</v>
      </c>
      <c r="DI19" s="198" t="str">
        <f t="shared" si="4"/>
        <v/>
      </c>
      <c r="DJ19" s="10" t="str">
        <f>AQ20</f>
        <v/>
      </c>
      <c r="DK19" s="10"/>
      <c r="DL19" s="10"/>
      <c r="DM19" s="8"/>
      <c r="DN19" s="8" t="str">
        <f>IF(COUNTIF($DJ$15:DJ18,DJ19)&gt;0,"",DJ19)</f>
        <v/>
      </c>
      <c r="DO19" s="200" t="str">
        <f>AZ20</f>
        <v/>
      </c>
      <c r="DP19" s="32">
        <f t="shared" si="5"/>
        <v>0</v>
      </c>
      <c r="DQ19" s="8"/>
    </row>
    <row r="20" spans="1:121" ht="11.25" customHeight="1">
      <c r="A20" s="15"/>
      <c r="B20" s="23"/>
      <c r="C20" s="2378" t="str">
        <f>IF(C18="","",IF(K20="","VV-F 1.6mm-2C",K20))</f>
        <v>VV-F 1.6mm-2C</v>
      </c>
      <c r="D20" s="2379"/>
      <c r="E20" s="2379"/>
      <c r="F20" s="2379"/>
      <c r="G20" s="2379"/>
      <c r="H20" s="2379"/>
      <c r="I20" s="2379"/>
      <c r="J20" s="2380"/>
      <c r="K20" s="2313"/>
      <c r="L20" s="2314"/>
      <c r="M20" s="2314"/>
      <c r="N20" s="2314"/>
      <c r="O20" s="2314"/>
      <c r="P20" s="2314"/>
      <c r="Q20" s="2314"/>
      <c r="R20" s="2315"/>
      <c r="S20" s="2312">
        <f>IF(OR(C18="",C18="  RF"),"",INT(CB18+CB19+CF18+CF19+CD20))</f>
        <v>938</v>
      </c>
      <c r="T20" s="2312"/>
      <c r="U20" s="2312"/>
      <c r="V20" s="2312"/>
      <c r="W20" s="2306" t="str">
        <f>IF(C18="","",IF(AE20="","VV-F 1.6mm-2C",AE20))</f>
        <v>VV-F 1.6mm-2C</v>
      </c>
      <c r="X20" s="2307"/>
      <c r="Y20" s="2307"/>
      <c r="Z20" s="2307"/>
      <c r="AA20" s="2307"/>
      <c r="AB20" s="2307"/>
      <c r="AC20" s="2307"/>
      <c r="AD20" s="2308"/>
      <c r="AE20" s="2313"/>
      <c r="AF20" s="2314"/>
      <c r="AG20" s="2314"/>
      <c r="AH20" s="2314"/>
      <c r="AI20" s="2314"/>
      <c r="AJ20" s="2314"/>
      <c r="AK20" s="2314"/>
      <c r="AL20" s="2315"/>
      <c r="AM20" s="2306">
        <f>IF(OR(C18="",C18="  RF"),"",INT(CB21+CD20))</f>
        <v>707</v>
      </c>
      <c r="AN20" s="2307"/>
      <c r="AO20" s="2307"/>
      <c r="AP20" s="2308"/>
      <c r="AQ20" s="2309" t="str">
        <f>IF(OR(C18="",S18=""),"",IF(OR(AND(LEFT(C18,2)=" B",[8]非誘!$W$72="C"),AND(LEFT(C18,3)="  1",[8]非誘!$W$74="C"),AND(LEFT(C18,3)="  2",[8]非誘!$W$76="C"),AND(LEFT(C18,3)="  3",[8]非誘!$W$78="C"),[8]非誘!$W$80="C",[8]非誘!$W$81="C"),"Yd2-BHe",""))</f>
        <v/>
      </c>
      <c r="AR20" s="2310"/>
      <c r="AS20" s="2310"/>
      <c r="AT20" s="2310"/>
      <c r="AU20" s="2310"/>
      <c r="AV20" s="2310"/>
      <c r="AW20" s="2310"/>
      <c r="AX20" s="2310"/>
      <c r="AY20" s="2311"/>
      <c r="AZ20" s="2304" t="str">
        <f>IF(AQ20="","",IF(OR(C18="",C18="  RF"),"",IF(BC20&lt;&gt;"",BC20,AA18)))</f>
        <v/>
      </c>
      <c r="BA20" s="2304"/>
      <c r="BB20" s="2304"/>
      <c r="BC20" s="2305"/>
      <c r="BD20" s="2305"/>
      <c r="BE20" s="2305"/>
      <c r="BF20" s="2316" t="s">
        <v>10</v>
      </c>
      <c r="BG20" s="2317"/>
      <c r="BH20" s="2318"/>
      <c r="BI20" s="2319" t="str">
        <f>IF(OR($BW$10=0,AL16="設置しない",C18="",C18="  RF"),"",IF(OR(AND(LEFT(C18,2)=" B",[6]Top!$O$72="要"),AND(LEFT(C18,3)="  1",[6]Top!$O$74="要"),AND(LEFT(C18,3)="  2",[6]Top!$O$76="要"),AND(LEFT(C18,3)="  3",[6]Top!$O$78="要"),[6]Top!$O$80="要",[6]Top!$O$81="要",$Y$9="設置する"),"d4-30e",""))</f>
        <v>d4-30e</v>
      </c>
      <c r="BJ20" s="2320"/>
      <c r="BK20" s="2320"/>
      <c r="BL20" s="2320"/>
      <c r="BM20" s="2321"/>
      <c r="BN20" s="2319">
        <f>IF(OR($BW$10=0,AL16="設置しない",C18="",C18="  RF"),"",IF(LEFT(C18,2)="PH","",IF(BR20&lt;&gt;"",BR20,IF((1+INT(S18/110))&lt;=AA18,AA18,1+INT(S18/110)))))</f>
        <v>34</v>
      </c>
      <c r="BO20" s="2320"/>
      <c r="BP20" s="2321"/>
      <c r="BQ20" s="31" t="s">
        <v>103</v>
      </c>
      <c r="BR20" s="2322"/>
      <c r="BS20" s="2323"/>
      <c r="BT20" s="2324"/>
      <c r="BU20" s="19"/>
      <c r="BV20" s="226"/>
      <c r="BW20" s="196"/>
      <c r="BX20" s="8"/>
      <c r="BY20" s="88" t="s">
        <v>200</v>
      </c>
      <c r="BZ20" s="222">
        <f>SUM(AZ18:BB21)+SUM(BO18:BQ21)</f>
        <v>22</v>
      </c>
      <c r="CA20" s="8"/>
      <c r="CB20" s="8"/>
      <c r="CC20" s="88" t="s">
        <v>121</v>
      </c>
      <c r="CD20" s="88">
        <f>IF($AW$8=0,0,2*($AW$8/1000-0.15-0.1)*(INT(1000*2*BW18/$AW$10)+1)*(INT(1000*2*BX18/$AW$10)+1)*4)</f>
        <v>388.79999999999995</v>
      </c>
      <c r="CE20" s="8"/>
      <c r="CF20" s="8"/>
      <c r="CG20" s="168"/>
      <c r="CH20" s="261"/>
      <c r="CI20" s="8"/>
      <c r="CJ20" s="8"/>
      <c r="CK20" s="168"/>
      <c r="CL20" s="261"/>
      <c r="CM20" s="8"/>
      <c r="CN20" s="167">
        <f>IF(F18=0,0,IF(J18="直天",BO18*(2*BO18-1)*(F18-0.5),BO18*(2*BO18-1)*(J18-0.4)))</f>
        <v>67.5</v>
      </c>
      <c r="CO20" s="136">
        <f>IF(AZ20="",0,VLOOKUP(AQ20,[7]建物1802!$E$5:$AL$3275,33,FALSE)*AZ20)</f>
        <v>0</v>
      </c>
      <c r="CP20" s="136">
        <f>IF(AZ20="",0,VLOOKUP(AQ20,[7]建物1802!$E$5:$AL$3275,30,FALSE)*AZ20)</f>
        <v>0</v>
      </c>
      <c r="CQ20" s="136">
        <f>IF(CO20="","",SQRT(CO20^2-CP20^2))</f>
        <v>0</v>
      </c>
      <c r="CR20" s="260"/>
      <c r="CS20" s="14"/>
      <c r="CT20" s="14"/>
      <c r="CU20" s="14"/>
      <c r="CV20" s="14"/>
      <c r="CW20" s="216"/>
      <c r="CX20" s="8"/>
      <c r="CY20" s="197">
        <f t="shared" si="0"/>
        <v>2</v>
      </c>
      <c r="CZ20" s="197" t="str">
        <f t="shared" si="1"/>
        <v/>
      </c>
      <c r="DA20" s="10" t="str">
        <f>W20</f>
        <v>VV-F 1.6mm-2C</v>
      </c>
      <c r="DB20" s="8"/>
      <c r="DC20" s="8"/>
      <c r="DD20" s="8"/>
      <c r="DE20" s="249" t="str">
        <f>IF(COUNTIF($DA$15:DA19,DA20)&gt;0,"",DA20)</f>
        <v/>
      </c>
      <c r="DF20" s="26">
        <f>AM20</f>
        <v>707</v>
      </c>
      <c r="DG20" s="32">
        <f t="shared" si="2"/>
        <v>0</v>
      </c>
      <c r="DH20" s="198">
        <f t="shared" si="3"/>
        <v>1</v>
      </c>
      <c r="DI20" s="124" t="str">
        <f t="shared" si="4"/>
        <v/>
      </c>
      <c r="DJ20" s="11" t="str">
        <f>AQ21</f>
        <v/>
      </c>
      <c r="DK20" s="11"/>
      <c r="DL20" s="11"/>
      <c r="DM20" s="9"/>
      <c r="DN20" s="9" t="str">
        <f>IF(COUNTIF($DJ$15:DJ19,DJ20)&gt;0,"",DJ20)</f>
        <v/>
      </c>
      <c r="DO20" s="101" t="str">
        <f>AZ21</f>
        <v/>
      </c>
      <c r="DP20" s="32">
        <f t="shared" si="5"/>
        <v>0</v>
      </c>
      <c r="DQ20" s="8"/>
    </row>
    <row r="21" spans="1:121" ht="11.25" customHeight="1" thickBot="1">
      <c r="A21" s="15"/>
      <c r="B21" s="23"/>
      <c r="C21" s="2359" t="str">
        <f>IF(C18="","",IF(I21="","",IF(AI17="非:天井(C管)","C-19mm",IF(AI17="非:天井(G管)","G- 16mm","PF-S-16mm"))))</f>
        <v/>
      </c>
      <c r="D21" s="2360"/>
      <c r="E21" s="2360"/>
      <c r="F21" s="2360"/>
      <c r="G21" s="2360"/>
      <c r="H21" s="2360"/>
      <c r="I21" s="2335" t="str">
        <f>IF(OR(C18="",AL16="設置しない",BH16="設置しない",$BW$10=0,CH18=0,CJ18=0),"",IF(J18="直天",ROUND((BZ18+CB18),1),ROUND((CH18+CJ18),1)))</f>
        <v/>
      </c>
      <c r="J21" s="2335"/>
      <c r="K21" s="2335"/>
      <c r="L21" s="2335"/>
      <c r="M21" s="2359" t="str">
        <f>IF(C18="","",IF(S21="","",IF(BC17="誘:天井(C管)","C-19mm",IF(BC17="誘:天井(G管)","G- 16mm","PF-S-16mm"))))</f>
        <v/>
      </c>
      <c r="N21" s="2360"/>
      <c r="O21" s="2360"/>
      <c r="P21" s="2360"/>
      <c r="Q21" s="2360"/>
      <c r="R21" s="2361"/>
      <c r="S21" s="2312" t="str">
        <f>IF(OR(C18="",,AL16="設置しない",BH16="設置しない",$BW$10=0,CH21=0,CJ21=0),"",IF(J18="直天",ROUND((BZ21+CB21),1),ROUND((CH21+CJ21),1)))</f>
        <v/>
      </c>
      <c r="T21" s="2312"/>
      <c r="U21" s="2312"/>
      <c r="V21" s="2312"/>
      <c r="W21" s="2359" t="str">
        <f>IF(C18="","",IF($B$2=0,"",IF(OR(AI17="非:天井(C管)",AI17="非:床(C管)"),"C-19mm",IF(OR(AI17="非:天井(G管)",AI17="非:床(G管)"),"G-16mm",IF(AI17="非:床(CD管)","CD-16mm","PF-S-16mm")))))</f>
        <v>PF-S-16mm</v>
      </c>
      <c r="X21" s="2360"/>
      <c r="Y21" s="2360"/>
      <c r="Z21" s="2360"/>
      <c r="AA21" s="2360"/>
      <c r="AB21" s="2361"/>
      <c r="AC21" s="2362">
        <f>IF(OR(C18="",AL16="設置しない",BH16="設置しない"),"",ROUND(CL18,1))</f>
        <v>16</v>
      </c>
      <c r="AD21" s="2312"/>
      <c r="AE21" s="2312"/>
      <c r="AF21" s="2312"/>
      <c r="AG21" s="2333" t="str">
        <f>IF(C18="","",IF($B$2=0,"",IF(BC17="誘:天井(C管)","C-19mm",IF(BC17="誘:天井(G管)","G-16mm","PF-S-16mm"))))</f>
        <v>PF-S-16mm</v>
      </c>
      <c r="AH21" s="2333"/>
      <c r="AI21" s="2333"/>
      <c r="AJ21" s="2333"/>
      <c r="AK21" s="2333"/>
      <c r="AL21" s="2333"/>
      <c r="AM21" s="2334">
        <f>IF(OR(C18="",AL16="設置しない",BH16="設置しない"),"",ROUND((CL21+CN21),1))</f>
        <v>23.4</v>
      </c>
      <c r="AN21" s="2335"/>
      <c r="AO21" s="2335"/>
      <c r="AP21" s="2335"/>
      <c r="AQ21" s="2291" t="str">
        <f>IF(C18="","",IF(OR(AND(LEFT(C18,2)=" B",[8]非誘!$AA$72="C"),AND(LEFT(C18,3)="  1",[8]非誘!$AA$73="C"),AND(LEFT(C18,3)="  2",[8]非誘!$AA$75="C"),AND(LEFT(C18,3)="  3",[8]非誘!$AA$77="C"),[8]非誘!$AA$79="C",[8]非誘!$AA$81="C"),"Yd2-Ce",""))</f>
        <v/>
      </c>
      <c r="AR21" s="2292"/>
      <c r="AS21" s="2292"/>
      <c r="AT21" s="2292"/>
      <c r="AU21" s="2292"/>
      <c r="AV21" s="2292"/>
      <c r="AW21" s="2292"/>
      <c r="AX21" s="2292"/>
      <c r="AY21" s="2293"/>
      <c r="AZ21" s="2294" t="str">
        <f>IF(OR(C18="",C18="  RF",AQ21=""),"",IF(BC21&lt;&gt;"",BC21,1+INT((BW18+BX18)/20)))</f>
        <v/>
      </c>
      <c r="BA21" s="2295"/>
      <c r="BB21" s="2296"/>
      <c r="BC21" s="2287"/>
      <c r="BD21" s="2287"/>
      <c r="BE21" s="2287"/>
      <c r="BF21" s="2363" t="s">
        <v>127</v>
      </c>
      <c r="BG21" s="2364"/>
      <c r="BH21" s="2365"/>
      <c r="BI21" s="2335" t="str">
        <f>IF(OR($BW$10=0,AY16="設置しない",C18="",C18="  RF"),"",IF(OR(AND(LEFT(C18,2)=" B",[6]Top!$O$72="要"),AND(LEFT(C18,3)="  1",[6]Top!$O$74="要"),AND(LEFT(C18,3)="  2",[6]Top!$O$76="要"),AND(LEFT(C18,3)="  3",[6]Top!$O$78="要"),[6]Top!$O$80="要",[6]Top!$O$81="要",$Y$10="設置する"),"d4-13e",""))</f>
        <v>d4-13e</v>
      </c>
      <c r="BJ21" s="2335"/>
      <c r="BK21" s="2335"/>
      <c r="BL21" s="2335"/>
      <c r="BM21" s="2335"/>
      <c r="BN21" s="2335">
        <f>IF(OR($BW$10=0,BH16="設置しない",C18="",C18="  RF"),"",IF(BR21&lt;&gt;"",BR21,INT(AD18*1.2)))</f>
        <v>38</v>
      </c>
      <c r="BO21" s="2335"/>
      <c r="BP21" s="2335"/>
      <c r="BQ21" s="31" t="s">
        <v>103</v>
      </c>
      <c r="BR21" s="2350"/>
      <c r="BS21" s="2351"/>
      <c r="BT21" s="2352"/>
      <c r="BU21" s="19"/>
      <c r="BV21" s="8"/>
      <c r="BW21" s="8"/>
      <c r="BX21" s="8"/>
      <c r="BY21" s="88" t="s">
        <v>199</v>
      </c>
      <c r="BZ21" s="151">
        <f>IF(AL18="",0,AL18*SQRT(N18/BZ20))</f>
        <v>84</v>
      </c>
      <c r="CA21" s="88" t="s">
        <v>198</v>
      </c>
      <c r="CB21" s="151">
        <f>IF(BZ20=0,0,(BZ20/3)*BW19)</f>
        <v>319</v>
      </c>
      <c r="CC21" s="88" t="s">
        <v>199</v>
      </c>
      <c r="CD21" s="151">
        <f>IF(F18=0,0,F18-0.25-$Y$7/1000)</f>
        <v>2.95</v>
      </c>
      <c r="CE21" s="88" t="s">
        <v>198</v>
      </c>
      <c r="CF21" s="151">
        <f>IF(F18=0,0,(2*(BZ20-BO18)-1)*$AN$7/1000+(2*BO18-1)*(F18-0.75))</f>
        <v>50.85</v>
      </c>
      <c r="CG21" s="88" t="s">
        <v>199</v>
      </c>
      <c r="CH21" s="151">
        <f>IF(BC17="誘:天井ケーブル",0,BZ21)</f>
        <v>0</v>
      </c>
      <c r="CI21" s="88" t="s">
        <v>198</v>
      </c>
      <c r="CJ21" s="151">
        <f>IF(BC17="誘:天井ケーブル",0,CB21)</f>
        <v>0</v>
      </c>
      <c r="CK21" s="88" t="s">
        <v>199</v>
      </c>
      <c r="CL21" s="259">
        <f>IF(F18=0,0,IF(J18="直天",AL18*(F18-$Y$7/1000),AL18*(J18+0.1-$Y$7/1000)))</f>
        <v>22.400000000000002</v>
      </c>
      <c r="CM21" s="88" t="s">
        <v>198</v>
      </c>
      <c r="CN21" s="151">
        <v>1</v>
      </c>
      <c r="CO21" s="136">
        <f>IF(AZ21="",0,VLOOKUP(AQ21,[7]建物1802!$E$5:$AL$3275,33,FALSE)*AZ21)</f>
        <v>0</v>
      </c>
      <c r="CP21" s="136">
        <f>IF(AZ21="",0,VLOOKUP(AQ21,[7]建物1802!$E$5:$AL$3275,30,FALSE)*AZ21)</f>
        <v>0</v>
      </c>
      <c r="CQ21" s="136">
        <f>IF(CO21="","",SQRT(CO21^2-CP21^2))</f>
        <v>0</v>
      </c>
      <c r="CR21" s="26"/>
      <c r="CS21" s="26"/>
      <c r="CT21" s="26"/>
      <c r="CU21" s="26"/>
      <c r="CV21" s="26"/>
      <c r="CW21" s="218"/>
      <c r="CX21" s="8"/>
      <c r="CY21" s="197">
        <f t="shared" si="0"/>
        <v>2</v>
      </c>
      <c r="CZ21" s="197" t="str">
        <f t="shared" si="1"/>
        <v/>
      </c>
      <c r="DA21" s="10" t="str">
        <f>C21</f>
        <v/>
      </c>
      <c r="DB21" s="8"/>
      <c r="DC21" s="8"/>
      <c r="DD21" s="8"/>
      <c r="DE21" s="249" t="str">
        <f>IF(COUNTIF($DA$15:DA20,DA21)&gt;0,"",DA21)</f>
        <v/>
      </c>
      <c r="DF21" s="26" t="str">
        <f>I21</f>
        <v/>
      </c>
      <c r="DG21" s="32">
        <f t="shared" si="2"/>
        <v>0</v>
      </c>
      <c r="DH21" s="198">
        <f t="shared" si="3"/>
        <v>2</v>
      </c>
      <c r="DI21" s="124">
        <f t="shared" si="4"/>
        <v>2</v>
      </c>
      <c r="DJ21" s="11" t="str">
        <f>BF18</f>
        <v>Ya1-Ce</v>
      </c>
      <c r="DK21" s="11"/>
      <c r="DL21" s="11"/>
      <c r="DM21" s="9"/>
      <c r="DN21" s="9" t="str">
        <f>IF(COUNTIF($DJ$15:DJ20,DJ21)&gt;0,"",DJ21)</f>
        <v>Ya1-Ce</v>
      </c>
      <c r="DO21" s="101">
        <f>BO18</f>
        <v>3</v>
      </c>
      <c r="DP21" s="13">
        <f t="shared" si="5"/>
        <v>38</v>
      </c>
      <c r="DQ21" s="8"/>
    </row>
    <row r="22" spans="1:121" ht="11.25" customHeight="1" thickBot="1">
      <c r="A22" s="15"/>
      <c r="B22" s="23"/>
      <c r="C22" s="2435" t="s">
        <v>112</v>
      </c>
      <c r="D22" s="2435"/>
      <c r="E22" s="2435"/>
      <c r="F22" s="2435"/>
      <c r="G22" s="2435"/>
      <c r="H22" s="2435"/>
      <c r="I22" s="2436"/>
      <c r="J22" s="2356" t="str">
        <f>[5]照差!$I$23</f>
        <v>(13)イ</v>
      </c>
      <c r="K22" s="2357"/>
      <c r="L22" s="2358"/>
      <c r="M22" s="2375" t="str">
        <f>[5]照差!$M$23</f>
        <v>車庫等</v>
      </c>
      <c r="N22" s="2376"/>
      <c r="O22" s="2376"/>
      <c r="P22" s="2376"/>
      <c r="Q22" s="2376"/>
      <c r="R22" s="2376"/>
      <c r="S22" s="2376"/>
      <c r="T22" s="2376"/>
      <c r="U22" s="2377"/>
      <c r="V22" s="2275" t="s">
        <v>232</v>
      </c>
      <c r="W22" s="2276"/>
      <c r="X22" s="2276"/>
      <c r="Y22" s="2276"/>
      <c r="Z22" s="2277"/>
      <c r="AA22" s="2394" t="str">
        <f>[6]Top!$I$26</f>
        <v>A</v>
      </c>
      <c r="AB22" s="2279"/>
      <c r="AC22" s="2280" t="s">
        <v>231</v>
      </c>
      <c r="AD22" s="2280"/>
      <c r="AE22" s="2280"/>
      <c r="AF22" s="2280"/>
      <c r="AG22" s="2280"/>
      <c r="AH22" s="2280"/>
      <c r="AI22" s="2280"/>
      <c r="AJ22" s="2280"/>
      <c r="AK22" s="2280"/>
      <c r="AL22" s="2356" t="str">
        <f>IF($BW$10=0,"設置しない",IF(AS22="","設置する",AS22))</f>
        <v>設置する</v>
      </c>
      <c r="AM22" s="2357"/>
      <c r="AN22" s="2357"/>
      <c r="AO22" s="2357"/>
      <c r="AP22" s="2357"/>
      <c r="AQ22" s="2358"/>
      <c r="AR22" s="265" t="s">
        <v>103</v>
      </c>
      <c r="AS22" s="2284"/>
      <c r="AT22" s="2285"/>
      <c r="AU22" s="2285"/>
      <c r="AV22" s="2285"/>
      <c r="AW22" s="2285"/>
      <c r="AX22" s="2286"/>
      <c r="AY22" s="2280" t="s">
        <v>215</v>
      </c>
      <c r="AZ22" s="2280"/>
      <c r="BA22" s="2280"/>
      <c r="BB22" s="2280"/>
      <c r="BC22" s="2280"/>
      <c r="BD22" s="2280"/>
      <c r="BE22" s="2280"/>
      <c r="BF22" s="2280"/>
      <c r="BG22" s="2280"/>
      <c r="BH22" s="2356" t="str">
        <f>IF($BW$10=0,"設置しない",IF(BO22="","設置する",BO22))</f>
        <v>設置する</v>
      </c>
      <c r="BI22" s="2357"/>
      <c r="BJ22" s="2357"/>
      <c r="BK22" s="2357"/>
      <c r="BL22" s="2357"/>
      <c r="BM22" s="2358"/>
      <c r="BN22" s="265" t="s">
        <v>103</v>
      </c>
      <c r="BO22" s="2284"/>
      <c r="BP22" s="2285"/>
      <c r="BQ22" s="2285"/>
      <c r="BR22" s="2392"/>
      <c r="BS22" s="2392"/>
      <c r="BT22" s="2393"/>
      <c r="BU22" s="19"/>
      <c r="BV22" s="8"/>
      <c r="BW22" s="8"/>
      <c r="BX22" s="8"/>
      <c r="BY22" s="9"/>
      <c r="BZ22" s="9"/>
      <c r="CA22" s="9"/>
      <c r="CB22" s="9"/>
      <c r="CC22" s="9"/>
      <c r="CD22" s="9"/>
      <c r="CE22" s="9"/>
      <c r="CF22" s="9"/>
      <c r="CG22" s="9"/>
      <c r="CH22" s="9"/>
      <c r="CI22" s="9"/>
      <c r="CJ22" s="9"/>
      <c r="CK22" s="9"/>
      <c r="CL22" s="9"/>
      <c r="CM22" s="9"/>
      <c r="CN22" s="9"/>
      <c r="CO22" s="266"/>
      <c r="CP22" s="266"/>
      <c r="CQ22" s="266"/>
      <c r="CR22" s="14"/>
      <c r="CS22" s="14"/>
      <c r="CT22" s="14"/>
      <c r="CU22" s="14"/>
      <c r="CV22" s="14"/>
      <c r="CW22" s="216"/>
      <c r="CX22" s="8"/>
      <c r="CY22" s="197">
        <f t="shared" si="0"/>
        <v>2</v>
      </c>
      <c r="CZ22" s="197" t="str">
        <f t="shared" si="1"/>
        <v/>
      </c>
      <c r="DA22" s="10" t="str">
        <f>M21</f>
        <v/>
      </c>
      <c r="DB22" s="8"/>
      <c r="DC22" s="8"/>
      <c r="DD22" s="8"/>
      <c r="DE22" s="249" t="str">
        <f>IF(COUNTIF($DA$15:DA21,DA22)&gt;0,"",DA22)</f>
        <v/>
      </c>
      <c r="DF22" s="26" t="str">
        <f>S21</f>
        <v/>
      </c>
      <c r="DG22" s="32">
        <f t="shared" si="2"/>
        <v>0</v>
      </c>
      <c r="DH22" s="198">
        <f t="shared" si="3"/>
        <v>2</v>
      </c>
      <c r="DI22" s="124" t="str">
        <f t="shared" si="4"/>
        <v/>
      </c>
      <c r="DJ22" s="11" t="str">
        <f>BF19</f>
        <v/>
      </c>
      <c r="DK22" s="11"/>
      <c r="DL22" s="11"/>
      <c r="DM22" s="9"/>
      <c r="DN22" s="9" t="str">
        <f>IF(COUNTIF($DJ$15:DJ21,DJ22)&gt;0,"",DJ22)</f>
        <v/>
      </c>
      <c r="DO22" s="101" t="str">
        <f>BO19</f>
        <v/>
      </c>
      <c r="DP22" s="13">
        <f t="shared" si="5"/>
        <v>0</v>
      </c>
      <c r="DQ22" s="9"/>
    </row>
    <row r="23" spans="1:121" ht="11.25" customHeight="1" thickBot="1">
      <c r="A23" s="15"/>
      <c r="B23" s="23"/>
      <c r="C23" s="2300" t="s">
        <v>214</v>
      </c>
      <c r="D23" s="2301"/>
      <c r="E23" s="2301"/>
      <c r="F23" s="2301"/>
      <c r="G23" s="2301"/>
      <c r="H23" s="2301"/>
      <c r="I23" s="2302"/>
      <c r="J23" s="2297">
        <f>[5]照差!$K$24</f>
        <v>0.72727272727272729</v>
      </c>
      <c r="K23" s="2298"/>
      <c r="L23" s="2298"/>
      <c r="M23" s="2298"/>
      <c r="N23" s="2299" t="s">
        <v>230</v>
      </c>
      <c r="O23" s="2299"/>
      <c r="P23" s="2299"/>
      <c r="Q23" s="2299"/>
      <c r="R23" s="2299"/>
      <c r="S23" s="2299"/>
      <c r="T23" s="2299"/>
      <c r="U23" s="2299"/>
      <c r="V23" s="2366" t="str">
        <f>[9]照差!$W$24</f>
        <v>⑦</v>
      </c>
      <c r="W23" s="2366"/>
      <c r="X23" s="2366"/>
      <c r="Y23" s="2299" t="s">
        <v>135</v>
      </c>
      <c r="Z23" s="2299"/>
      <c r="AA23" s="2299"/>
      <c r="AB23" s="2299"/>
      <c r="AC23" s="2299"/>
      <c r="AD23" s="2299" t="s">
        <v>18</v>
      </c>
      <c r="AE23" s="2299"/>
      <c r="AF23" s="2299"/>
      <c r="AG23" s="2299"/>
      <c r="AH23" s="2299"/>
      <c r="AI23" s="2337" t="str">
        <f>IF($B$2=0,"",IF(AQ23="","非:天井ケーブル",AQ23))</f>
        <v>非:天井ケーブル</v>
      </c>
      <c r="AJ23" s="2337"/>
      <c r="AK23" s="2337"/>
      <c r="AL23" s="2337"/>
      <c r="AM23" s="2337"/>
      <c r="AN23" s="2337"/>
      <c r="AO23" s="2337"/>
      <c r="AP23" s="175" t="s">
        <v>103</v>
      </c>
      <c r="AQ23" s="2338"/>
      <c r="AR23" s="2338"/>
      <c r="AS23" s="2338"/>
      <c r="AT23" s="2338"/>
      <c r="AU23" s="2338"/>
      <c r="AV23" s="2338"/>
      <c r="AW23" s="2338"/>
      <c r="AX23" s="2299" t="s">
        <v>212</v>
      </c>
      <c r="AY23" s="2299"/>
      <c r="AZ23" s="2299"/>
      <c r="BA23" s="2299"/>
      <c r="BB23" s="2299"/>
      <c r="BC23" s="2337" t="str">
        <f>IF($B$2=0,"",IF(BK23="","誘:天井ケーブル",BK23))</f>
        <v>誘:天井ケーブル</v>
      </c>
      <c r="BD23" s="2337"/>
      <c r="BE23" s="2337"/>
      <c r="BF23" s="2337"/>
      <c r="BG23" s="2337"/>
      <c r="BH23" s="2337"/>
      <c r="BI23" s="2337"/>
      <c r="BJ23" s="175" t="s">
        <v>103</v>
      </c>
      <c r="BK23" s="2338"/>
      <c r="BL23" s="2338"/>
      <c r="BM23" s="2338"/>
      <c r="BN23" s="2338"/>
      <c r="BO23" s="2338"/>
      <c r="BP23" s="2338"/>
      <c r="BQ23" s="2338"/>
      <c r="BR23" s="2299"/>
      <c r="BS23" s="2299"/>
      <c r="BT23" s="2299"/>
      <c r="BU23" s="19"/>
      <c r="BV23" s="8">
        <v>23</v>
      </c>
      <c r="BW23" s="88" t="s">
        <v>229</v>
      </c>
      <c r="BX23" s="88" t="s">
        <v>228</v>
      </c>
      <c r="BY23" s="2336" t="s">
        <v>126</v>
      </c>
      <c r="BZ23" s="2336"/>
      <c r="CA23" s="2336"/>
      <c r="CB23" s="2336"/>
      <c r="CC23" s="2336" t="s">
        <v>125</v>
      </c>
      <c r="CD23" s="2336"/>
      <c r="CE23" s="2336"/>
      <c r="CF23" s="2336"/>
      <c r="CG23" s="2336" t="s">
        <v>124</v>
      </c>
      <c r="CH23" s="2336"/>
      <c r="CI23" s="2336"/>
      <c r="CJ23" s="2336"/>
      <c r="CK23" s="2336" t="s">
        <v>123</v>
      </c>
      <c r="CL23" s="2336"/>
      <c r="CM23" s="2336"/>
      <c r="CN23" s="2336"/>
      <c r="CO23" s="88" t="s">
        <v>227</v>
      </c>
      <c r="CP23" s="88" t="s">
        <v>226</v>
      </c>
      <c r="CQ23" s="88" t="s">
        <v>225</v>
      </c>
      <c r="CR23" s="88" t="s">
        <v>227</v>
      </c>
      <c r="CS23" s="88" t="s">
        <v>226</v>
      </c>
      <c r="CT23" s="221" t="s">
        <v>225</v>
      </c>
      <c r="CU23" s="264">
        <f>IF(BW24="","",SUM(CP24:CP27)+CS24+CS25)</f>
        <v>118.5</v>
      </c>
      <c r="CV23" s="264">
        <f>IF(BW24="","",SUM(CQ24:CQ27)+CT24+CT25)</f>
        <v>182.49156310490238</v>
      </c>
      <c r="CW23" s="216"/>
      <c r="CX23" s="8"/>
      <c r="CY23" s="197">
        <f t="shared" si="0"/>
        <v>3</v>
      </c>
      <c r="CZ23" s="197">
        <f t="shared" si="1"/>
        <v>3</v>
      </c>
      <c r="DA23" s="10" t="str">
        <f>W21</f>
        <v>PF-S-16mm</v>
      </c>
      <c r="DB23" s="8"/>
      <c r="DC23" s="8"/>
      <c r="DD23" s="8"/>
      <c r="DE23" s="249" t="str">
        <f>IF(COUNTIF($DA$15:DA22,DA23)&gt;0,"",DA23)</f>
        <v>PF-S-16mm</v>
      </c>
      <c r="DF23" s="26">
        <f>AC21</f>
        <v>16</v>
      </c>
      <c r="DG23" s="32">
        <f t="shared" si="2"/>
        <v>574.39999999999986</v>
      </c>
      <c r="DH23" s="198">
        <f t="shared" si="3"/>
        <v>3</v>
      </c>
      <c r="DI23" s="199">
        <f t="shared" si="4"/>
        <v>3</v>
      </c>
      <c r="DJ23" s="201" t="str">
        <f>BI20</f>
        <v>d4-30e</v>
      </c>
      <c r="DK23" s="10"/>
      <c r="DL23" s="10"/>
      <c r="DM23" s="8"/>
      <c r="DN23" s="249" t="str">
        <f>IF(COUNTIF($DJ$15:DJ22,DJ23)&gt;0,"",DJ23)</f>
        <v>d4-30e</v>
      </c>
      <c r="DO23" s="200">
        <f>BN20</f>
        <v>34</v>
      </c>
      <c r="DP23" s="32">
        <f t="shared" si="5"/>
        <v>202</v>
      </c>
      <c r="DQ23" s="8"/>
    </row>
    <row r="24" spans="1:121" ht="11.25" customHeight="1">
      <c r="A24" s="15"/>
      <c r="B24" s="23"/>
      <c r="C24" s="2367" t="str">
        <f>[5]照差!$C$25</f>
        <v xml:space="preserve"> B1F</v>
      </c>
      <c r="D24" s="2368"/>
      <c r="E24" s="2369"/>
      <c r="F24" s="2370">
        <f>[5]照差!$G$25</f>
        <v>5</v>
      </c>
      <c r="G24" s="2371"/>
      <c r="H24" s="2371"/>
      <c r="I24" s="2372"/>
      <c r="J24" s="2370">
        <f>[5]照差!$J$25</f>
        <v>3</v>
      </c>
      <c r="K24" s="2373"/>
      <c r="L24" s="2373"/>
      <c r="M24" s="2374"/>
      <c r="N24" s="2330">
        <f>[5]照差!$M$25</f>
        <v>3168</v>
      </c>
      <c r="O24" s="2331"/>
      <c r="P24" s="2331"/>
      <c r="Q24" s="2331"/>
      <c r="R24" s="2332"/>
      <c r="S24" s="2330">
        <f>[5]照差!$Q$25</f>
        <v>2851.2</v>
      </c>
      <c r="T24" s="2331"/>
      <c r="U24" s="2331"/>
      <c r="V24" s="2332"/>
      <c r="W24" s="2330">
        <f>[5]照差!$U$25</f>
        <v>316.80000000000018</v>
      </c>
      <c r="X24" s="2331"/>
      <c r="Y24" s="2331"/>
      <c r="Z24" s="2332"/>
      <c r="AA24" s="2340">
        <f>[5]照差!$Y$25</f>
        <v>6</v>
      </c>
      <c r="AB24" s="2341"/>
      <c r="AC24" s="2342"/>
      <c r="AD24" s="2343">
        <f>[5]照差!$AB$25</f>
        <v>16</v>
      </c>
      <c r="AE24" s="2344"/>
      <c r="AF24" s="2345"/>
      <c r="AG24" s="2346">
        <f>IF(OR(C24="",C24="  RF"),"",2+INT(N24/1000))</f>
        <v>5</v>
      </c>
      <c r="AH24" s="2346"/>
      <c r="AI24" s="2346"/>
      <c r="AJ24" s="2346"/>
      <c r="AK24" s="2346"/>
      <c r="AL24" s="2346">
        <f>IF(OR(C24="",C24="  RF"),"",1+INT(N24/500))</f>
        <v>7</v>
      </c>
      <c r="AM24" s="2346"/>
      <c r="AN24" s="2346"/>
      <c r="AO24" s="2346"/>
      <c r="AP24" s="2346"/>
      <c r="AQ24" s="2347" t="str">
        <f>IF(OR(C24="",AL22="設置しない"),"",IF(OR(AND(LEFT($C$18,2)=" B",[6]Top!$U$72&lt;&gt;""),AND(LEFT($C$18,3)="  1",[6]Top!$U$73&lt;&gt;""),AND(LEFT($C$18,3)="  2",[6]Top!$U$75&lt;&gt;""),AND(LEFT($C$18,3)="  3",[6]Top!$U$77&lt;&gt;""),[6]Top!$U$79&lt;&gt;"",[6]Top!$U$81&lt;&gt;""),"Xh1-Ae",IF(OR(AND(LEFT($C$18,2)=" B",[6]Top!$U$72="BL"),AND(LEFT($C$18,3)="  1",[6]Top!$U$73="BL"),AND(LEFT($C$18,3)="  2",[6]Top!$U$75="BL"),AND(LEFT($C$18,3)="  3",[6]Top!$U$77="BL"),[6]Top!$U$79="BL",[6]Top!$U$81="BL"),"Xh1-BLe","")))</f>
        <v>Xh1-Ae</v>
      </c>
      <c r="AR24" s="2348"/>
      <c r="AS24" s="2348"/>
      <c r="AT24" s="2348"/>
      <c r="AU24" s="2348"/>
      <c r="AV24" s="2348"/>
      <c r="AW24" s="2348"/>
      <c r="AX24" s="2348"/>
      <c r="AY24" s="2349"/>
      <c r="AZ24" s="2353">
        <f>IF(OR(N24="",AQ24=""),"",IF(BC24&lt;&gt;"",BC24,1+INT(N24/500)))</f>
        <v>7</v>
      </c>
      <c r="BA24" s="2354"/>
      <c r="BB24" s="2355"/>
      <c r="BC24" s="2305"/>
      <c r="BD24" s="2305"/>
      <c r="BE24" s="2305"/>
      <c r="BF24" s="2281" t="str">
        <f>IF(C24="","",IF(OR(AND(LEFT(C24,2)=" B",[6]Top!$AD$72="要"),AND(LEFT(C24,3)="  1",[6]Top!$AD$73="要"),AND(LEFT(C24,3)="  2",[6]Top!$AD$75="要"),AND(LEFT(C24,3)="  3",[6]Top!$AD$77="要"),[6]Top!$AD$79="C",[6]Top!$AD$81="要"),"Ya1-Ce",""))</f>
        <v>Ya1-Ce</v>
      </c>
      <c r="BG24" s="2281"/>
      <c r="BH24" s="2281"/>
      <c r="BI24" s="2281"/>
      <c r="BJ24" s="2281"/>
      <c r="BK24" s="2281"/>
      <c r="BL24" s="2281"/>
      <c r="BM24" s="2281"/>
      <c r="BN24" s="2281"/>
      <c r="BO24" s="2304">
        <f>IF(OR(C24="",C24="  RF"),"",IF(BR24&lt;&gt;"",BR24,1+INT((BW24+BX24)/20)))</f>
        <v>3</v>
      </c>
      <c r="BP24" s="2304"/>
      <c r="BQ24" s="2304"/>
      <c r="BR24" s="2339"/>
      <c r="BS24" s="2339"/>
      <c r="BT24" s="2339"/>
      <c r="BU24" s="19"/>
      <c r="BV24" s="8">
        <v>2</v>
      </c>
      <c r="BW24" s="98">
        <f>IF(OR(C24="",C24="  RF"),0,SQRT(N24*J23)/2)</f>
        <v>24</v>
      </c>
      <c r="BX24" s="98">
        <f>IF(OR(C24="",C24="  RF"),0,SQRT(N24/J23)/2)</f>
        <v>33</v>
      </c>
      <c r="BY24" s="88" t="s">
        <v>204</v>
      </c>
      <c r="BZ24" s="92">
        <f>IF(OR($BW$10=0,AL22="設置しない",C24="  RF",C24=""),0,IF(LEFT(C24,2)&lt;&gt;"PH",AG24*BW25/2,BW25))</f>
        <v>108.75</v>
      </c>
      <c r="CA24" s="88" t="s">
        <v>205</v>
      </c>
      <c r="CB24" s="88">
        <f>IF(OR($BW$10=0,AL22="設置しない",C24="  RF",C24=""),0,IF(LEFT(C24,2)="PH",0,(BN26-1)*SQRT(S24/BN26)))</f>
        <v>261.79851324723285</v>
      </c>
      <c r="CC24" s="88" t="s">
        <v>204</v>
      </c>
      <c r="CD24" s="262">
        <f>IF(OR($BW$10=0,AL22="設置しない",F24=0),0,AG24*(F24-0.1-($Y$7-$AN$8)/1000))</f>
        <v>28.000000000000004</v>
      </c>
      <c r="CE24" s="88" t="s">
        <v>205</v>
      </c>
      <c r="CF24" s="88">
        <f>IF(OR($BW$10=0,AL22="設置しない",LEFT(C24,2)="PH",C24="  RF",C24=""),0,(2*BN26-1)*$AN$7/1000)</f>
        <v>40.799999999999997</v>
      </c>
      <c r="CG24" s="88" t="s">
        <v>204</v>
      </c>
      <c r="CH24" s="92">
        <f>IF(OR($BW$10=0,AL22="設置しない",AI23="非:天井ケーブル"),0,BZ24)</f>
        <v>0</v>
      </c>
      <c r="CI24" s="88" t="s">
        <v>205</v>
      </c>
      <c r="CJ24" s="88">
        <f>IF(OR($BW$10=0,AL22="設置しない",AI23="非:天井ケーブル"),0,CB24)</f>
        <v>0</v>
      </c>
      <c r="CK24" s="88" t="s">
        <v>204</v>
      </c>
      <c r="CL24" s="92">
        <f>IF(OR($BW$10=0,AL22="設置しない",C24="  RF",C24=""),0,IF(J24="直天",AG24*(F24-$Y$7/1000),AG24*(J24+0.1-$Y$7/1000)))</f>
        <v>6.5</v>
      </c>
      <c r="CM24" s="220"/>
      <c r="CN24" s="219"/>
      <c r="CO24" s="134">
        <f>IF(AZ24="",0,VLOOKUP(AQ24,[7]建物1802!$E$5:$AL$3275,33,FALSE)*AZ24)</f>
        <v>132.86000000000001</v>
      </c>
      <c r="CP24" s="136">
        <f>IF(AZ24="",0,VLOOKUP(AQ24,[7]建物1802!$E$5:$AL$3275,30,FALSE)*AZ24)</f>
        <v>73.5</v>
      </c>
      <c r="CQ24" s="136">
        <f>IF(CO24="","",SQRT(CO24^2-CP24^2))</f>
        <v>110.67759303490479</v>
      </c>
      <c r="CR24" s="189">
        <f>IF(BO24="",0,VLOOKUP(BF24,[7]建物1802!$E$5:$AL$3275,33,FALSE)*BO24)</f>
        <v>12</v>
      </c>
      <c r="CS24" s="189">
        <f>IF(BO24="",0,VLOOKUP(BF24,[7]建物1802!$E$5:$AL$3275,30,FALSE)*BO24)</f>
        <v>5.6999999999999993</v>
      </c>
      <c r="CT24" s="259">
        <f>IF(CR24="",0,SQRT(CR24^2-CS24^2))</f>
        <v>10.559829544078825</v>
      </c>
      <c r="CU24" s="14"/>
      <c r="CV24" s="14"/>
      <c r="CW24" s="216"/>
      <c r="CX24" s="88">
        <v>2</v>
      </c>
      <c r="CY24" s="204">
        <f t="shared" si="0"/>
        <v>3</v>
      </c>
      <c r="CZ24" s="155" t="str">
        <f t="shared" si="1"/>
        <v/>
      </c>
      <c r="DA24" s="154" t="str">
        <f>AG21</f>
        <v>PF-S-16mm</v>
      </c>
      <c r="DB24" s="45"/>
      <c r="DC24" s="45"/>
      <c r="DD24" s="45"/>
      <c r="DE24" s="153" t="str">
        <f>IF(COUNTIF($DA$15:DA23,DA24)&gt;0,"",DA24)</f>
        <v/>
      </c>
      <c r="DF24" s="152">
        <f>AM21</f>
        <v>23.4</v>
      </c>
      <c r="DG24" s="32">
        <f t="shared" si="2"/>
        <v>0</v>
      </c>
      <c r="DH24" s="124">
        <f t="shared" si="3"/>
        <v>4</v>
      </c>
      <c r="DI24" s="149">
        <f t="shared" si="4"/>
        <v>4</v>
      </c>
      <c r="DJ24" s="210" t="str">
        <f>BI21</f>
        <v>d4-13e</v>
      </c>
      <c r="DK24" s="154"/>
      <c r="DL24" s="154"/>
      <c r="DM24" s="45"/>
      <c r="DN24" s="45" t="str">
        <f>IF(COUNTIF($DJ$15:DJ23,DJ24)&gt;0,"",DJ24)</f>
        <v>d4-13e</v>
      </c>
      <c r="DO24" s="209">
        <f>BN21</f>
        <v>38</v>
      </c>
      <c r="DP24" s="169">
        <f t="shared" si="5"/>
        <v>273</v>
      </c>
      <c r="DQ24" s="88">
        <v>2</v>
      </c>
    </row>
    <row r="25" spans="1:121" ht="11.25" customHeight="1">
      <c r="A25" s="15">
        <v>2</v>
      </c>
      <c r="B25" s="176"/>
      <c r="C25" s="2378" t="str">
        <f>IF(C24="","",IF(K25="","VV-F 2.0mm-2C",K25))</f>
        <v>VV-F 2.0mm-2C</v>
      </c>
      <c r="D25" s="2379"/>
      <c r="E25" s="2379"/>
      <c r="F25" s="2379"/>
      <c r="G25" s="2379"/>
      <c r="H25" s="2379"/>
      <c r="I25" s="2379"/>
      <c r="J25" s="2380"/>
      <c r="K25" s="2313"/>
      <c r="L25" s="2314"/>
      <c r="M25" s="2314"/>
      <c r="N25" s="2314"/>
      <c r="O25" s="2314"/>
      <c r="P25" s="2314"/>
      <c r="Q25" s="2314"/>
      <c r="R25" s="2315"/>
      <c r="S25" s="2312">
        <f>IF(OR(C24="",AL22="設置しない",BH22="設置しない"),"",ROUND((BZ24+CD24),1))</f>
        <v>136.80000000000001</v>
      </c>
      <c r="T25" s="2312"/>
      <c r="U25" s="2312"/>
      <c r="V25" s="2312"/>
      <c r="W25" s="2306" t="str">
        <f>IF(C24="","",IF(AE25="","VV-F 2.0mm-2C",AE25))</f>
        <v>VV-F 2.0mm-2C</v>
      </c>
      <c r="X25" s="2307"/>
      <c r="Y25" s="2307"/>
      <c r="Z25" s="2307"/>
      <c r="AA25" s="2307"/>
      <c r="AB25" s="2307"/>
      <c r="AC25" s="2307"/>
      <c r="AD25" s="2308"/>
      <c r="AE25" s="2313"/>
      <c r="AF25" s="2314"/>
      <c r="AG25" s="2314"/>
      <c r="AH25" s="2314"/>
      <c r="AI25" s="2314"/>
      <c r="AJ25" s="2314"/>
      <c r="AK25" s="2314"/>
      <c r="AL25" s="2315"/>
      <c r="AM25" s="2312">
        <f>IF(OR(C24="",,AL22="設置しない",BH22="設置しない"),"",ROUND(BZ27,1))</f>
        <v>98.5</v>
      </c>
      <c r="AN25" s="2312"/>
      <c r="AO25" s="2312"/>
      <c r="AP25" s="2312"/>
      <c r="AQ25" s="2347" t="str">
        <f>IF(OR(C24="",AL22="設置しない"),"",IF(OR(AND(LEFT($C$18,2)=" B",[6]Top!$U$72&lt;&gt;""),AND(LEFT($C$18,3)="  1",[6]Top!$U$73&lt;&gt;""),AND(LEFT($C$18,3)="  2",[6]Top!$U$75&lt;&gt;""),AND(LEFT($C$18,3)="  3",[6]Top!$U$77&lt;&gt;""),[6]Top!$U$79&lt;&gt;"",[6]Top!$U$81&lt;&gt;""),"Xh1-Ae",IF(OR(AND(LEFT($C$18,2)=" B",[6]Top!$U$72="BL"),AND(LEFT($C$18,3)="  1",[6]Top!$U$73="BL"),AND(LEFT($C$18,3)="  2",[6]Top!$U$75="BL"),AND(LEFT($C$18,3)="  3",[6]Top!$U$77="BL"),[6]Top!$U$79="BL",[6]Top!$U$81="BL"),"Xh1-BLe","")))</f>
        <v>Xh1-Ae</v>
      </c>
      <c r="AR25" s="2348"/>
      <c r="AS25" s="2348"/>
      <c r="AT25" s="2348"/>
      <c r="AU25" s="2348"/>
      <c r="AV25" s="2348"/>
      <c r="AW25" s="2348"/>
      <c r="AX25" s="2348"/>
      <c r="AY25" s="2349"/>
      <c r="AZ25" s="2304">
        <f>IF(AA24="","",IF(BC25&lt;&gt;"",BC25,IF(AQ25&lt;&gt;"",1+INT(AA24/3),"")))</f>
        <v>3</v>
      </c>
      <c r="BA25" s="2304"/>
      <c r="BB25" s="2304"/>
      <c r="BC25" s="2305"/>
      <c r="BD25" s="2305"/>
      <c r="BE25" s="2305"/>
      <c r="BF25" s="2281" t="str">
        <f>IF(C24="","",IF(OR(AND(LEFT(C24,2)=" B",[6]Top!$AF$72="要"),AND(LEFT(C24,3)="  1",[6]Top!$AF$73="要"),AND(LEFT(C24,3)="  2",[6]Top!$AF$75="要"),AND(LEFT(C24,3)="  3",[6]Top!$AF$77="要"),[6]Top!$AF$79="要",[6]Top!$AF$81="要"),"D15V-321PXe",""))</f>
        <v/>
      </c>
      <c r="BG25" s="2281"/>
      <c r="BH25" s="2281"/>
      <c r="BI25" s="2282"/>
      <c r="BJ25" s="2282"/>
      <c r="BK25" s="2282"/>
      <c r="BL25" s="2282"/>
      <c r="BM25" s="2282"/>
      <c r="BN25" s="2282"/>
      <c r="BO25" s="2283" t="str">
        <f>IF(OR(C24="",C24="  RF",BF25=""),"",IF(BR25&lt;&gt;"",BR25,2*(1+INT(N24/500))))</f>
        <v/>
      </c>
      <c r="BP25" s="2283"/>
      <c r="BQ25" s="2283"/>
      <c r="BR25" s="2303"/>
      <c r="BS25" s="2303"/>
      <c r="BT25" s="2303"/>
      <c r="BU25" s="19"/>
      <c r="BV25" s="46" t="str">
        <f>V23</f>
        <v>⑦</v>
      </c>
      <c r="BW25" s="263">
        <f>IF(C24="","",IF(BV25="①",BW24+BX24+3,IF(BV25="②",BW24*5/8+BX24+3,IF(BV25="③",BW24/2+BX24+3,IF(BV25="④",BW24+BX24*5/8+3,IF(BV25="⑤",(BW24+BX24)*5/8+3,IF(BV25="⑥",BW24/2+BX24*5/8+3,IF(BV25="⑦",BW24+BX24/2+3,IF(BV25="⑧",BW24*5/8+BX24/2+3,IF(BV25="⑨",(BW24+BX24)/2+3))))))))))</f>
        <v>43.5</v>
      </c>
      <c r="BX25" s="8"/>
      <c r="BY25" s="88" t="s">
        <v>202</v>
      </c>
      <c r="BZ25" s="92">
        <f>IF(OR($BW$10=0,BH22="設置しない",C24="  RF",C24=""),0,IF(LEFT(C24,2)&lt;&gt;"PH",AL24*BW25/2,BW25))</f>
        <v>152.25</v>
      </c>
      <c r="CA25" s="88" t="s">
        <v>203</v>
      </c>
      <c r="CB25" s="88">
        <f>IF(OR($BW$10=0,AY22="設置しない",BN27=""),0,(BN27-1)*SQRT(W24/BN27))</f>
        <v>73.50016111690185</v>
      </c>
      <c r="CC25" s="88" t="s">
        <v>202</v>
      </c>
      <c r="CD25" s="262">
        <f>IF(OR($BW$10=0,BH22="設置しない",F24=0),0,AG24*(F24-0.1-($AN$8-$Y$7)/1000))</f>
        <v>21</v>
      </c>
      <c r="CE25" s="88" t="s">
        <v>203</v>
      </c>
      <c r="CF25" s="88">
        <f>IF(OR($BW$10=0,BH22="設置しない",BN27=""),0,(2*BN27-1)*$AN$7/1000)</f>
        <v>29.6</v>
      </c>
      <c r="CG25" s="88" t="s">
        <v>202</v>
      </c>
      <c r="CH25" s="92">
        <f>IF(OR($BW$10=0,BH22="設置しない",AI23="非:天井ケーブル"),0,BZ25)</f>
        <v>0</v>
      </c>
      <c r="CI25" s="88" t="s">
        <v>203</v>
      </c>
      <c r="CJ25" s="88">
        <f>IF(OR($BW$10=0,BH22="設置しない",AI23="非:天井ケーブル"),0,CB25)</f>
        <v>0</v>
      </c>
      <c r="CK25" s="88" t="s">
        <v>202</v>
      </c>
      <c r="CL25" s="92">
        <f>IF(OR($BW$10=0,BH22="設置しない",C24="  RF",C24=""),0,IF(J24="直天",AG24*(F24-$Y$7/1000),AG24*(J24+0.1-$Y$7/1000)))</f>
        <v>6.5</v>
      </c>
      <c r="CM25" s="141"/>
      <c r="CN25" s="142"/>
      <c r="CO25" s="136">
        <f>IF(AZ25="",0,(VLOOKUP(AQ25,[7]建物1802!$E$5:$AL$3275,33,FALSE))*AZ25)</f>
        <v>56.94</v>
      </c>
      <c r="CP25" s="136">
        <f>IF(AZ25="",0,VLOOKUP(AQ25,[7]建物1802!$E$5:$AL$3275,30,FALSE)*AZ25)</f>
        <v>31.5</v>
      </c>
      <c r="CQ25" s="136">
        <f>IF(CO25="","",SQRT(CO25^2-CP25^2))</f>
        <v>47.433254157816329</v>
      </c>
      <c r="CR25" s="189">
        <f>IF(BO25="",0,VLOOKUP(BF25,[7]建物1802!$E$5:$AL$3275,33,FALSE)*BO25)</f>
        <v>0</v>
      </c>
      <c r="CS25" s="189">
        <f>IF(BO25="",0,VLOOKUP(BF25,[7]建物1802!$E$5:$AL$3275,30,FALSE)*BO25)</f>
        <v>0</v>
      </c>
      <c r="CT25" s="259">
        <f>IF(CR25="",0,SQRT(CR25^2-CS25^2))</f>
        <v>0</v>
      </c>
      <c r="CU25" s="14"/>
      <c r="CV25" s="14"/>
      <c r="CW25" s="216"/>
      <c r="CX25" s="8"/>
      <c r="CY25" s="197">
        <f t="shared" si="0"/>
        <v>3</v>
      </c>
      <c r="CZ25" s="197" t="str">
        <f t="shared" si="1"/>
        <v/>
      </c>
      <c r="DA25" s="10" t="str">
        <f>C25</f>
        <v>VV-F 2.0mm-2C</v>
      </c>
      <c r="DB25" s="8"/>
      <c r="DC25" s="8"/>
      <c r="DD25" s="8"/>
      <c r="DE25" s="249" t="str">
        <f>IF(COUNTIF($DA$15:DA24,DA25)&gt;0,"",DA25)</f>
        <v/>
      </c>
      <c r="DF25" s="26">
        <f>S25</f>
        <v>136.80000000000001</v>
      </c>
      <c r="DG25" s="32">
        <f t="shared" si="2"/>
        <v>0</v>
      </c>
      <c r="DH25" s="198">
        <f t="shared" si="3"/>
        <v>4</v>
      </c>
      <c r="DI25" s="199" t="str">
        <f t="shared" si="4"/>
        <v/>
      </c>
      <c r="DJ25" s="10" t="str">
        <f>AQ24</f>
        <v>Xh1-Ae</v>
      </c>
      <c r="DK25" s="10"/>
      <c r="DL25" s="10"/>
      <c r="DM25" s="8"/>
      <c r="DN25" s="249" t="str">
        <f>IF(COUNTIF($DJ$15:DJ24,DJ25)&gt;0,"",DJ25)</f>
        <v/>
      </c>
      <c r="DO25" s="200">
        <f>AZ24</f>
        <v>7</v>
      </c>
      <c r="DP25" s="32">
        <f t="shared" si="5"/>
        <v>0</v>
      </c>
      <c r="DQ25" s="8"/>
    </row>
    <row r="26" spans="1:121" ht="11.25" customHeight="1">
      <c r="A26" s="15"/>
      <c r="B26" s="23"/>
      <c r="C26" s="2378" t="str">
        <f>IF(C24="","",IF(K26="","VV-F 1.6mm-2C",K26))</f>
        <v>VV-F 1.6mm-2C</v>
      </c>
      <c r="D26" s="2379"/>
      <c r="E26" s="2379"/>
      <c r="F26" s="2379"/>
      <c r="G26" s="2379"/>
      <c r="H26" s="2379"/>
      <c r="I26" s="2379"/>
      <c r="J26" s="2380"/>
      <c r="K26" s="2313"/>
      <c r="L26" s="2314"/>
      <c r="M26" s="2314"/>
      <c r="N26" s="2314"/>
      <c r="O26" s="2314"/>
      <c r="P26" s="2314"/>
      <c r="Q26" s="2314"/>
      <c r="R26" s="2315"/>
      <c r="S26" s="2312">
        <f>IF(OR(C24="",C24="  RF"),"",INT(CB24+CB25+CF24+CF25+CD26))</f>
        <v>794</v>
      </c>
      <c r="T26" s="2312"/>
      <c r="U26" s="2312"/>
      <c r="V26" s="2312"/>
      <c r="W26" s="2306" t="str">
        <f>IF(C24="","",IF(AE26="","VV-F 1.6mm-2C",AE26))</f>
        <v>VV-F 1.6mm-2C</v>
      </c>
      <c r="X26" s="2307"/>
      <c r="Y26" s="2307"/>
      <c r="Z26" s="2307"/>
      <c r="AA26" s="2307"/>
      <c r="AB26" s="2307"/>
      <c r="AC26" s="2307"/>
      <c r="AD26" s="2308"/>
      <c r="AE26" s="2313"/>
      <c r="AF26" s="2314"/>
      <c r="AG26" s="2314"/>
      <c r="AH26" s="2314"/>
      <c r="AI26" s="2314"/>
      <c r="AJ26" s="2314"/>
      <c r="AK26" s="2314"/>
      <c r="AL26" s="2315"/>
      <c r="AM26" s="2306">
        <f>IF(OR(C24="",C24="  RF"),"",INT(CB27+CD26))</f>
        <v>620</v>
      </c>
      <c r="AN26" s="2307"/>
      <c r="AO26" s="2307"/>
      <c r="AP26" s="2308"/>
      <c r="AQ26" s="2309" t="str">
        <f>IF(OR(C24="",S24=""),"",IF(OR(AND(LEFT(C24,2)=" B",[8]非誘!$W$72="C"),AND(LEFT(C24,3)="  1",[8]非誘!$W$74="C"),AND(LEFT(C24,3)="  2",[8]非誘!$W$76="C"),AND(LEFT(C24,3)="  3",[8]非誘!$W$78="C"),[8]非誘!$W$80="C",[8]非誘!$W$81="C"),"Yd2-BHe",""))</f>
        <v/>
      </c>
      <c r="AR26" s="2310"/>
      <c r="AS26" s="2310"/>
      <c r="AT26" s="2310"/>
      <c r="AU26" s="2310"/>
      <c r="AV26" s="2310"/>
      <c r="AW26" s="2310"/>
      <c r="AX26" s="2310"/>
      <c r="AY26" s="2311"/>
      <c r="AZ26" s="2304" t="str">
        <f>IF(AQ26="","",IF(OR(C24="",C24="  RF"),"",IF(BC26&lt;&gt;"",BC26,AA24)))</f>
        <v/>
      </c>
      <c r="BA26" s="2304"/>
      <c r="BB26" s="2304"/>
      <c r="BC26" s="2305"/>
      <c r="BD26" s="2305"/>
      <c r="BE26" s="2305"/>
      <c r="BF26" s="2316" t="s">
        <v>10</v>
      </c>
      <c r="BG26" s="2317"/>
      <c r="BH26" s="2318"/>
      <c r="BI26" s="2319" t="str">
        <f>IF(OR($BW$10=0,AL22="設置しない",C24="",C24="  RF"),"",IF(OR(AND(LEFT(C24,2)=" B",[6]Top!$O$72="要"),AND(LEFT(C24,3)="  1",[6]Top!$O$74="要"),AND(LEFT(C24,3)="  2",[6]Top!$O$76="要"),AND(LEFT(C24,3)="  3",[6]Top!$O$78="要"),[6]Top!$O$80="要",[6]Top!$O$81="要",$Y$9="設置する"),"d4-30e",""))</f>
        <v>d4-30e</v>
      </c>
      <c r="BJ26" s="2320"/>
      <c r="BK26" s="2320"/>
      <c r="BL26" s="2320"/>
      <c r="BM26" s="2321"/>
      <c r="BN26" s="2319">
        <f>IF(OR($BW$10=0,AL22="設置しない",C24="",C24="  RF"),"",IF(LEFT(C24,2)="PH","",IF(BR26&lt;&gt;"",BR26,IF((1+INT(S24/110))&lt;=AA24,AA24,1+INT(S24/110)))))</f>
        <v>26</v>
      </c>
      <c r="BO26" s="2320"/>
      <c r="BP26" s="2321"/>
      <c r="BQ26" s="31" t="s">
        <v>103</v>
      </c>
      <c r="BR26" s="2322"/>
      <c r="BS26" s="2323"/>
      <c r="BT26" s="2324"/>
      <c r="BU26" s="19"/>
      <c r="BV26" s="226"/>
      <c r="BW26" s="196"/>
      <c r="BX26" s="8"/>
      <c r="BY26" s="88" t="s">
        <v>200</v>
      </c>
      <c r="BZ26" s="222">
        <f>SUM(AZ24:BB27)+SUM(BO24:BQ27)</f>
        <v>16</v>
      </c>
      <c r="CA26" s="8"/>
      <c r="CB26" s="8"/>
      <c r="CC26" s="88" t="s">
        <v>121</v>
      </c>
      <c r="CD26" s="88">
        <f>IF($AW$8=0,0,2*($AW$8/1000-0.15-0.1)*(INT(1000*2*BW24/$AW$10)+1)*(INT(1000*2*BX24/$AW$10)+1)*4)</f>
        <v>388.79999999999995</v>
      </c>
      <c r="CE26" s="8"/>
      <c r="CF26" s="8"/>
      <c r="CG26" s="168"/>
      <c r="CH26" s="261"/>
      <c r="CI26" s="8"/>
      <c r="CJ26" s="8"/>
      <c r="CK26" s="168"/>
      <c r="CL26" s="261"/>
      <c r="CM26" s="8"/>
      <c r="CN26" s="8"/>
      <c r="CO26" s="136">
        <f>IF(AZ26="",0,VLOOKUP(AQ26,[7]建物1802!$E$5:$AL$3275,33,FALSE)*AZ26)</f>
        <v>0</v>
      </c>
      <c r="CP26" s="136">
        <f>IF(AZ26="",0,VLOOKUP(AQ26,[7]建物1802!$E$5:$AL$3275,30,FALSE)*AZ26)</f>
        <v>0</v>
      </c>
      <c r="CQ26" s="136">
        <f>IF(CO26="","",SQRT(CO26^2-CP26^2))</f>
        <v>0</v>
      </c>
      <c r="CR26" s="260"/>
      <c r="CS26" s="14"/>
      <c r="CT26" s="14"/>
      <c r="CU26" s="14"/>
      <c r="CV26" s="14"/>
      <c r="CW26" s="216"/>
      <c r="CX26" s="8"/>
      <c r="CY26" s="197">
        <f t="shared" si="0"/>
        <v>3</v>
      </c>
      <c r="CZ26" s="197" t="str">
        <f t="shared" si="1"/>
        <v/>
      </c>
      <c r="DA26" s="10" t="str">
        <f>W25</f>
        <v>VV-F 2.0mm-2C</v>
      </c>
      <c r="DB26" s="8"/>
      <c r="DC26" s="8"/>
      <c r="DD26" s="8"/>
      <c r="DE26" s="249" t="str">
        <f>IF(COUNTIF($DA$15:DA25,DA26)&gt;0,"",DA26)</f>
        <v/>
      </c>
      <c r="DF26" s="26">
        <f>AM25</f>
        <v>98.5</v>
      </c>
      <c r="DG26" s="32">
        <f t="shared" si="2"/>
        <v>0</v>
      </c>
      <c r="DH26" s="198">
        <f t="shared" si="3"/>
        <v>4</v>
      </c>
      <c r="DI26" s="198" t="str">
        <f t="shared" si="4"/>
        <v/>
      </c>
      <c r="DJ26" s="10" t="str">
        <f>AQ25</f>
        <v>Xh1-Ae</v>
      </c>
      <c r="DK26" s="10"/>
      <c r="DL26" s="10"/>
      <c r="DM26" s="8"/>
      <c r="DN26" s="8" t="str">
        <f>IF(COUNTIF($DJ$15:DJ25,DJ26)&gt;0,"",DJ26)</f>
        <v/>
      </c>
      <c r="DO26" s="200">
        <f>AZ25</f>
        <v>3</v>
      </c>
      <c r="DP26" s="32">
        <f t="shared" si="5"/>
        <v>0</v>
      </c>
      <c r="DQ26" s="8"/>
    </row>
    <row r="27" spans="1:121" ht="11.25" customHeight="1" thickBot="1">
      <c r="A27" s="15"/>
      <c r="B27" s="23"/>
      <c r="C27" s="2359" t="str">
        <f>IF(C24="","",IF(I27="","",IF(AI23="非:天井(C管)","C-19mm",IF(AI23="非:天井(G管)","G- 16mm","PF-S-16mm"))))</f>
        <v/>
      </c>
      <c r="D27" s="2360"/>
      <c r="E27" s="2360"/>
      <c r="F27" s="2360"/>
      <c r="G27" s="2360"/>
      <c r="H27" s="2360"/>
      <c r="I27" s="2335" t="str">
        <f>IF(OR(C24="",AL22="設置しない",BH22="設置しない",$BW$10=0,CH24=0,CJ24=0),"",IF(J24="直天",ROUND((BZ24+CB24),1),ROUND((CH24+CJ24),1)))</f>
        <v/>
      </c>
      <c r="J27" s="2335"/>
      <c r="K27" s="2335"/>
      <c r="L27" s="2335"/>
      <c r="M27" s="2359" t="str">
        <f>IF(C24="","",IF(S27="","",IF(BC23="誘:天井(C管)","C-19mm",IF(BC23="誘:天井(G管)","G- 16mm","PF-S-16mm"))))</f>
        <v/>
      </c>
      <c r="N27" s="2360"/>
      <c r="O27" s="2360"/>
      <c r="P27" s="2360"/>
      <c r="Q27" s="2360"/>
      <c r="R27" s="2361"/>
      <c r="S27" s="2312" t="str">
        <f>IF(OR(C24="",,AL22="設置しない",BH22="設置しない",$BW$10=0,CH27=0,CJ27=0),"",IF(J24="直天",ROUND((BZ27+CB27),1),ROUND((CH27+CJ27),1)))</f>
        <v/>
      </c>
      <c r="T27" s="2312"/>
      <c r="U27" s="2312"/>
      <c r="V27" s="2312"/>
      <c r="W27" s="2359" t="str">
        <f>IF(C24="","",IF($B$2=0,"",IF(OR(AI23="非:天井(C管)",AI23="非:床(C管)"),"C-19mm",IF(OR(AI23="非:天井(G管)",AI23="非:床(G管)"),"G-16mm",IF(AI23="非:床(CD管)","CD-16mm","PF-S-16mm")))))</f>
        <v>PF-S-16mm</v>
      </c>
      <c r="X27" s="2360"/>
      <c r="Y27" s="2360"/>
      <c r="Z27" s="2360"/>
      <c r="AA27" s="2360"/>
      <c r="AB27" s="2361"/>
      <c r="AC27" s="2362">
        <f>IF(OR(C24="",AL22="設置しない",BH22="設置しない"),"",ROUND(CL24,1))</f>
        <v>6.5</v>
      </c>
      <c r="AD27" s="2312"/>
      <c r="AE27" s="2312"/>
      <c r="AF27" s="2312"/>
      <c r="AG27" s="2333" t="str">
        <f>IF(C24="","",IF($B$2=0,"",IF(BC23="誘:天井(C管)","C-19mm",IF(BC23="誘:天井(G管)","G-16mm","PF-S-16mm"))))</f>
        <v>PF-S-16mm</v>
      </c>
      <c r="AH27" s="2333"/>
      <c r="AI27" s="2333"/>
      <c r="AJ27" s="2333"/>
      <c r="AK27" s="2333"/>
      <c r="AL27" s="2333"/>
      <c r="AM27" s="2334">
        <f>IF(OR(C24="",AL22="設置しない",BH22="設置しない"),"",ROUND((CL27+CN27),1))</f>
        <v>48.1</v>
      </c>
      <c r="AN27" s="2335"/>
      <c r="AO27" s="2335"/>
      <c r="AP27" s="2335"/>
      <c r="AQ27" s="2291" t="str">
        <f>IF(C24="","",IF(OR(AND(LEFT(C24,2)=" B",[6]Top!$AA$72="C"),AND(LEFT(C24,3)="  1",[6]Top!$AA$73="C"),AND(LEFT(C24,3)="  2",[6]Top!$AA$75="C"),AND(LEFT(C24,3)="  3",[6]Top!$AA$77="C"),[6]Top!$AA$79="C",[6]Top!$AA$81="C"),"Yd2-Ce",""))</f>
        <v>Yd2-Ce</v>
      </c>
      <c r="AR27" s="2292"/>
      <c r="AS27" s="2292"/>
      <c r="AT27" s="2292"/>
      <c r="AU27" s="2292"/>
      <c r="AV27" s="2292"/>
      <c r="AW27" s="2292"/>
      <c r="AX27" s="2292"/>
      <c r="AY27" s="2293"/>
      <c r="AZ27" s="2294">
        <f>IF(OR(C24="",C24="  RF",AQ27=""),"",IF(BC27&lt;&gt;"",BC27,1+INT((BW24+BX24)/20)))</f>
        <v>3</v>
      </c>
      <c r="BA27" s="2295"/>
      <c r="BB27" s="2296"/>
      <c r="BC27" s="2287"/>
      <c r="BD27" s="2287"/>
      <c r="BE27" s="2287"/>
      <c r="BF27" s="2363" t="s">
        <v>127</v>
      </c>
      <c r="BG27" s="2364"/>
      <c r="BH27" s="2365"/>
      <c r="BI27" s="2335" t="str">
        <f>IF(OR($BW$10=0,AY22="設置しない",C24="",C24="  RF"),"",IF(OR(AND(LEFT(C24,2)=" B",[6]Top!$O$72="要"),AND(LEFT(C24,3)="  1",[6]Top!$O$74="要"),AND(LEFT(C24,3)="  2",[6]Top!$O$76="要"),AND(LEFT(C24,3)="  3",[6]Top!$O$78="要"),[6]Top!$O$80="要",[6]Top!$O$81="要",$Y$10="設置する"),"d4-13e",""))</f>
        <v>d4-13e</v>
      </c>
      <c r="BJ27" s="2335"/>
      <c r="BK27" s="2335"/>
      <c r="BL27" s="2335"/>
      <c r="BM27" s="2335"/>
      <c r="BN27" s="2335">
        <f>IF(OR($BW$10=0,BH22="設置しない",C24="",C24="  RF"),"",IF(BR27&lt;&gt;"",BR27,INT(AD24*1.2)))</f>
        <v>19</v>
      </c>
      <c r="BO27" s="2335"/>
      <c r="BP27" s="2335"/>
      <c r="BQ27" s="31" t="s">
        <v>103</v>
      </c>
      <c r="BR27" s="2350"/>
      <c r="BS27" s="2351"/>
      <c r="BT27" s="2352"/>
      <c r="BU27" s="19"/>
      <c r="BV27" s="8"/>
      <c r="BW27" s="8"/>
      <c r="BX27" s="8"/>
      <c r="BY27" s="88" t="s">
        <v>199</v>
      </c>
      <c r="BZ27" s="151">
        <f>IF(AL24="",0,AL24*SQRT(N24/BZ26))</f>
        <v>98.498730956292022</v>
      </c>
      <c r="CA27" s="88" t="s">
        <v>198</v>
      </c>
      <c r="CB27" s="151">
        <f>IF(BZ26=0,0,(BZ26/3)*BW25)</f>
        <v>232</v>
      </c>
      <c r="CC27" s="88" t="s">
        <v>199</v>
      </c>
      <c r="CD27" s="151">
        <f>IF(F24=0,0,F24-0.25-$Y$7/1000)</f>
        <v>2.95</v>
      </c>
      <c r="CE27" s="88" t="s">
        <v>198</v>
      </c>
      <c r="CF27" s="151">
        <f>IF(F24=0,0,(2*(BZ26-BO24)-1)*$AN$7/1000+(2*BO24-1)*(F24-0.75))</f>
        <v>41.25</v>
      </c>
      <c r="CG27" s="88" t="s">
        <v>199</v>
      </c>
      <c r="CH27" s="151">
        <f>IF(BC23="誘:天井ケーブル",0,BZ27)</f>
        <v>0</v>
      </c>
      <c r="CI27" s="88" t="s">
        <v>198</v>
      </c>
      <c r="CJ27" s="151">
        <f>IF(BC23="誘:天井ケーブル",0,CB27)</f>
        <v>0</v>
      </c>
      <c r="CK27" s="88" t="s">
        <v>199</v>
      </c>
      <c r="CL27" s="259">
        <f>IF(F24=0,0,IF(J24="直天",AL24*(F24-$Y$7/1000),AL24*(J24+0.1-$Y$7/1000)))</f>
        <v>9.1</v>
      </c>
      <c r="CM27" s="88" t="s">
        <v>198</v>
      </c>
      <c r="CN27" s="151">
        <f>IF(F24=0,0,IF(J24="直天",BO24*(2*BO24-1)*(F24-0.5),BO24*(2*BO24-1)*(J24-0.4)))</f>
        <v>39</v>
      </c>
      <c r="CO27" s="136">
        <f>IF(AZ27="",0,VLOOKUP(AQ27,[7]建物1802!$E$5:$AL$3275,33,FALSE)*AZ27)</f>
        <v>15.870000000000001</v>
      </c>
      <c r="CP27" s="136">
        <f>IF(AZ27="",0,VLOOKUP(AQ27,[7]建物1802!$E$5:$AL$3275,30,FALSE)*AZ27)</f>
        <v>7.8000000000000007</v>
      </c>
      <c r="CQ27" s="136">
        <f>IF(CO27="","",SQRT(CO27^2-CP27^2))</f>
        <v>13.820886368102446</v>
      </c>
      <c r="CR27" s="26"/>
      <c r="CS27" s="26"/>
      <c r="CT27" s="26"/>
      <c r="CU27" s="26"/>
      <c r="CV27" s="26"/>
      <c r="CW27" s="218"/>
      <c r="CX27" s="8"/>
      <c r="CY27" s="197">
        <f t="shared" si="0"/>
        <v>3</v>
      </c>
      <c r="CZ27" s="197" t="str">
        <f t="shared" si="1"/>
        <v/>
      </c>
      <c r="DA27" s="10" t="str">
        <f>C26</f>
        <v>VV-F 1.6mm-2C</v>
      </c>
      <c r="DB27" s="8"/>
      <c r="DC27" s="8"/>
      <c r="DD27" s="8"/>
      <c r="DE27" s="249" t="str">
        <f>IF(COUNTIF($DA$15:DA26,DA27)&gt;0,"",DA27)</f>
        <v/>
      </c>
      <c r="DF27" s="26">
        <f>S26</f>
        <v>794</v>
      </c>
      <c r="DG27" s="32">
        <f t="shared" si="2"/>
        <v>0</v>
      </c>
      <c r="DH27" s="198">
        <f t="shared" si="3"/>
        <v>4</v>
      </c>
      <c r="DI27" s="198" t="str">
        <f t="shared" si="4"/>
        <v/>
      </c>
      <c r="DJ27" s="10" t="str">
        <f>AQ26</f>
        <v/>
      </c>
      <c r="DK27" s="10"/>
      <c r="DL27" s="10"/>
      <c r="DM27" s="8"/>
      <c r="DN27" s="8" t="str">
        <f>IF(COUNTIF($DJ$15:DJ26,DJ27)&gt;0,"",DJ27)</f>
        <v/>
      </c>
      <c r="DO27" s="200" t="str">
        <f>AZ26</f>
        <v/>
      </c>
      <c r="DP27" s="32">
        <f t="shared" si="5"/>
        <v>0</v>
      </c>
      <c r="DQ27" s="8"/>
    </row>
    <row r="28" spans="1:121" ht="11.25" customHeight="1" thickBot="1">
      <c r="A28" s="15"/>
      <c r="B28" s="23"/>
      <c r="C28" s="2391" t="s">
        <v>112</v>
      </c>
      <c r="D28" s="2391"/>
      <c r="E28" s="2391"/>
      <c r="F28" s="2391"/>
      <c r="G28" s="2391"/>
      <c r="H28" s="2391"/>
      <c r="I28" s="2288"/>
      <c r="J28" s="2356" t="str">
        <f>[5]照差!$I$30</f>
        <v>( 4 )</v>
      </c>
      <c r="K28" s="2357"/>
      <c r="L28" s="2358"/>
      <c r="M28" s="2375" t="str">
        <f>[5]照差!$M$30</f>
        <v>百貨店等</v>
      </c>
      <c r="N28" s="2376"/>
      <c r="O28" s="2376"/>
      <c r="P28" s="2376"/>
      <c r="Q28" s="2376"/>
      <c r="R28" s="2376"/>
      <c r="S28" s="2376"/>
      <c r="T28" s="2376"/>
      <c r="U28" s="2377"/>
      <c r="V28" s="2275" t="s">
        <v>232</v>
      </c>
      <c r="W28" s="2276"/>
      <c r="X28" s="2276"/>
      <c r="Y28" s="2276"/>
      <c r="Z28" s="2277"/>
      <c r="AA28" s="2394" t="str">
        <f>[6]Top!$I$28</f>
        <v>B1</v>
      </c>
      <c r="AB28" s="2279"/>
      <c r="AC28" s="2280" t="s">
        <v>231</v>
      </c>
      <c r="AD28" s="2280"/>
      <c r="AE28" s="2280"/>
      <c r="AF28" s="2280"/>
      <c r="AG28" s="2280"/>
      <c r="AH28" s="2280"/>
      <c r="AI28" s="2280"/>
      <c r="AJ28" s="2280"/>
      <c r="AK28" s="2280"/>
      <c r="AL28" s="2356" t="str">
        <f>IF($BW$10=0,"設置しない",IF(AS28="","設置する",AS28))</f>
        <v>設置する</v>
      </c>
      <c r="AM28" s="2357"/>
      <c r="AN28" s="2357"/>
      <c r="AO28" s="2357"/>
      <c r="AP28" s="2357"/>
      <c r="AQ28" s="2358"/>
      <c r="AR28" s="265" t="s">
        <v>103</v>
      </c>
      <c r="AS28" s="2284"/>
      <c r="AT28" s="2285"/>
      <c r="AU28" s="2285"/>
      <c r="AV28" s="2285"/>
      <c r="AW28" s="2285"/>
      <c r="AX28" s="2286"/>
      <c r="AY28" s="2280" t="s">
        <v>215</v>
      </c>
      <c r="AZ28" s="2280"/>
      <c r="BA28" s="2280"/>
      <c r="BB28" s="2280"/>
      <c r="BC28" s="2280"/>
      <c r="BD28" s="2280"/>
      <c r="BE28" s="2280"/>
      <c r="BF28" s="2280"/>
      <c r="BG28" s="2280"/>
      <c r="BH28" s="2356" t="str">
        <f>IF($BW$10=0,"設置しない",IF(BO28="","設置する",BO28))</f>
        <v>設置する</v>
      </c>
      <c r="BI28" s="2357"/>
      <c r="BJ28" s="2357"/>
      <c r="BK28" s="2357"/>
      <c r="BL28" s="2357"/>
      <c r="BM28" s="2358"/>
      <c r="BN28" s="265" t="s">
        <v>103</v>
      </c>
      <c r="BO28" s="2284"/>
      <c r="BP28" s="2285"/>
      <c r="BQ28" s="2285"/>
      <c r="BR28" s="2285"/>
      <c r="BS28" s="2285"/>
      <c r="BT28" s="2286"/>
      <c r="BU28" s="19"/>
      <c r="BV28" s="8"/>
      <c r="BW28" s="8"/>
      <c r="BX28" s="8"/>
      <c r="BY28" s="9"/>
      <c r="BZ28" s="9"/>
      <c r="CA28" s="9"/>
      <c r="CB28" s="9"/>
      <c r="CC28" s="9"/>
      <c r="CD28" s="9"/>
      <c r="CE28" s="9"/>
      <c r="CF28" s="9"/>
      <c r="CG28" s="9"/>
      <c r="CH28" s="9"/>
      <c r="CI28" s="9"/>
      <c r="CJ28" s="9"/>
      <c r="CK28" s="9"/>
      <c r="CL28" s="9"/>
      <c r="CM28" s="9"/>
      <c r="CN28" s="9"/>
      <c r="CO28" s="266"/>
      <c r="CP28" s="266"/>
      <c r="CQ28" s="266"/>
      <c r="CR28" s="14"/>
      <c r="CS28" s="14"/>
      <c r="CT28" s="14"/>
      <c r="CU28" s="14"/>
      <c r="CV28" s="14"/>
      <c r="CW28" s="216"/>
      <c r="CX28" s="8"/>
      <c r="CY28" s="197">
        <f t="shared" si="0"/>
        <v>3</v>
      </c>
      <c r="CZ28" s="197" t="str">
        <f t="shared" si="1"/>
        <v/>
      </c>
      <c r="DA28" s="10" t="str">
        <f>W26</f>
        <v>VV-F 1.6mm-2C</v>
      </c>
      <c r="DB28" s="8"/>
      <c r="DC28" s="8"/>
      <c r="DD28" s="8"/>
      <c r="DE28" s="249" t="str">
        <f>IF(COUNTIF($DA$15:DA27,DA28)&gt;0,"",DA28)</f>
        <v/>
      </c>
      <c r="DF28" s="26">
        <f>AM26</f>
        <v>620</v>
      </c>
      <c r="DG28" s="32">
        <f t="shared" si="2"/>
        <v>0</v>
      </c>
      <c r="DH28" s="198">
        <f t="shared" si="3"/>
        <v>5</v>
      </c>
      <c r="DI28" s="124">
        <f t="shared" si="4"/>
        <v>5</v>
      </c>
      <c r="DJ28" s="11" t="str">
        <f>AQ27</f>
        <v>Yd2-Ce</v>
      </c>
      <c r="DK28" s="11"/>
      <c r="DL28" s="11"/>
      <c r="DM28" s="9"/>
      <c r="DN28" s="9" t="str">
        <f>IF(COUNTIF($DJ$15:DJ27,DJ28)&gt;0,"",DJ28)</f>
        <v>Yd2-Ce</v>
      </c>
      <c r="DO28" s="101">
        <f>AZ27</f>
        <v>3</v>
      </c>
      <c r="DP28" s="32">
        <f t="shared" si="5"/>
        <v>35</v>
      </c>
      <c r="DQ28" s="8"/>
    </row>
    <row r="29" spans="1:121" ht="11.25" customHeight="1" thickBot="1">
      <c r="A29" s="15"/>
      <c r="B29" s="23"/>
      <c r="C29" s="2300" t="s">
        <v>214</v>
      </c>
      <c r="D29" s="2301"/>
      <c r="E29" s="2301"/>
      <c r="F29" s="2301"/>
      <c r="G29" s="2301"/>
      <c r="H29" s="2301"/>
      <c r="I29" s="2302"/>
      <c r="J29" s="2297">
        <f>[5]照差!$K$31</f>
        <v>0.94339622641509435</v>
      </c>
      <c r="K29" s="2298"/>
      <c r="L29" s="2298"/>
      <c r="M29" s="2298"/>
      <c r="N29" s="2299" t="s">
        <v>230</v>
      </c>
      <c r="O29" s="2299"/>
      <c r="P29" s="2299"/>
      <c r="Q29" s="2299"/>
      <c r="R29" s="2299"/>
      <c r="S29" s="2299"/>
      <c r="T29" s="2299"/>
      <c r="U29" s="2299"/>
      <c r="V29" s="2366" t="str">
        <f>[9]照差!$W$31</f>
        <v>⑦</v>
      </c>
      <c r="W29" s="2366"/>
      <c r="X29" s="2366"/>
      <c r="Y29" s="2299" t="s">
        <v>135</v>
      </c>
      <c r="Z29" s="2299"/>
      <c r="AA29" s="2299"/>
      <c r="AB29" s="2299"/>
      <c r="AC29" s="2299"/>
      <c r="AD29" s="2299" t="s">
        <v>18</v>
      </c>
      <c r="AE29" s="2299"/>
      <c r="AF29" s="2299"/>
      <c r="AG29" s="2299"/>
      <c r="AH29" s="2299"/>
      <c r="AI29" s="2337" t="str">
        <f>IF($B$2=0,"",IF(AQ29="","非:天井ケーブル",AQ29))</f>
        <v>非:天井ケーブル</v>
      </c>
      <c r="AJ29" s="2337"/>
      <c r="AK29" s="2337"/>
      <c r="AL29" s="2337"/>
      <c r="AM29" s="2337"/>
      <c r="AN29" s="2337"/>
      <c r="AO29" s="2337"/>
      <c r="AP29" s="175" t="s">
        <v>103</v>
      </c>
      <c r="AQ29" s="2338"/>
      <c r="AR29" s="2338"/>
      <c r="AS29" s="2338"/>
      <c r="AT29" s="2338"/>
      <c r="AU29" s="2338"/>
      <c r="AV29" s="2338"/>
      <c r="AW29" s="2338"/>
      <c r="AX29" s="2299" t="s">
        <v>212</v>
      </c>
      <c r="AY29" s="2299"/>
      <c r="AZ29" s="2299"/>
      <c r="BA29" s="2299"/>
      <c r="BB29" s="2299"/>
      <c r="BC29" s="2337" t="str">
        <f>IF($B$2=0,"",IF(BK29="","誘:天井ケーブル",BK29))</f>
        <v>誘:天井ケーブル</v>
      </c>
      <c r="BD29" s="2337"/>
      <c r="BE29" s="2337"/>
      <c r="BF29" s="2337"/>
      <c r="BG29" s="2337"/>
      <c r="BH29" s="2337"/>
      <c r="BI29" s="2337"/>
      <c r="BJ29" s="175" t="s">
        <v>103</v>
      </c>
      <c r="BK29" s="2338"/>
      <c r="BL29" s="2338"/>
      <c r="BM29" s="2338"/>
      <c r="BN29" s="2338"/>
      <c r="BO29" s="2338"/>
      <c r="BP29" s="2338"/>
      <c r="BQ29" s="2338"/>
      <c r="BR29" s="2299"/>
      <c r="BS29" s="2299"/>
      <c r="BT29" s="2299"/>
      <c r="BU29" s="19"/>
      <c r="BV29" s="8">
        <v>30</v>
      </c>
      <c r="BW29" s="88" t="s">
        <v>229</v>
      </c>
      <c r="BX29" s="88" t="s">
        <v>228</v>
      </c>
      <c r="BY29" s="2336" t="s">
        <v>126</v>
      </c>
      <c r="BZ29" s="2336"/>
      <c r="CA29" s="2336"/>
      <c r="CB29" s="2336"/>
      <c r="CC29" s="2336" t="s">
        <v>125</v>
      </c>
      <c r="CD29" s="2336"/>
      <c r="CE29" s="2336"/>
      <c r="CF29" s="2336"/>
      <c r="CG29" s="2336" t="s">
        <v>124</v>
      </c>
      <c r="CH29" s="2336"/>
      <c r="CI29" s="2336"/>
      <c r="CJ29" s="2336"/>
      <c r="CK29" s="2336" t="s">
        <v>123</v>
      </c>
      <c r="CL29" s="2336"/>
      <c r="CM29" s="2336"/>
      <c r="CN29" s="2336"/>
      <c r="CO29" s="88" t="s">
        <v>227</v>
      </c>
      <c r="CP29" s="88" t="s">
        <v>226</v>
      </c>
      <c r="CQ29" s="88" t="s">
        <v>225</v>
      </c>
      <c r="CR29" s="88" t="s">
        <v>227</v>
      </c>
      <c r="CS29" s="88" t="s">
        <v>226</v>
      </c>
      <c r="CT29" s="221" t="s">
        <v>225</v>
      </c>
      <c r="CU29" s="264">
        <f>IF(BW30="","",SUM(CP30:CP33)+CS30+CS31)</f>
        <v>144</v>
      </c>
      <c r="CV29" s="264">
        <f>IF(BW30="","",SUM(CQ30:CQ33)+CT30+CT31)</f>
        <v>222.240637847507</v>
      </c>
      <c r="CW29" s="216"/>
      <c r="CX29" s="8"/>
      <c r="CY29" s="197">
        <f t="shared" si="0"/>
        <v>3</v>
      </c>
      <c r="CZ29" s="197" t="str">
        <f t="shared" si="1"/>
        <v/>
      </c>
      <c r="DA29" s="10" t="str">
        <f>C27</f>
        <v/>
      </c>
      <c r="DB29" s="8"/>
      <c r="DC29" s="8"/>
      <c r="DD29" s="8"/>
      <c r="DE29" s="249" t="str">
        <f>IF(COUNTIF($DA$15:DA28,DA29)&gt;0,"",DA29)</f>
        <v/>
      </c>
      <c r="DF29" s="26" t="str">
        <f>I27</f>
        <v/>
      </c>
      <c r="DG29" s="32">
        <f t="shared" si="2"/>
        <v>0</v>
      </c>
      <c r="DH29" s="198">
        <f t="shared" si="3"/>
        <v>5</v>
      </c>
      <c r="DI29" s="124" t="str">
        <f t="shared" si="4"/>
        <v/>
      </c>
      <c r="DJ29" s="11" t="str">
        <f>BF24</f>
        <v>Ya1-Ce</v>
      </c>
      <c r="DK29" s="11"/>
      <c r="DL29" s="11"/>
      <c r="DM29" s="9"/>
      <c r="DN29" s="9" t="str">
        <f>IF(COUNTIF($DJ$15:DJ28,DJ29)&gt;0,"",DJ29)</f>
        <v/>
      </c>
      <c r="DO29" s="101">
        <f>BO24</f>
        <v>3</v>
      </c>
      <c r="DP29" s="13">
        <f t="shared" si="5"/>
        <v>0</v>
      </c>
      <c r="DQ29" s="8"/>
    </row>
    <row r="30" spans="1:121" ht="11.25" customHeight="1">
      <c r="A30" s="15"/>
      <c r="B30" s="23"/>
      <c r="C30" s="2367" t="str">
        <f>[9]照差!$C$32</f>
        <v xml:space="preserve">  1F</v>
      </c>
      <c r="D30" s="2368"/>
      <c r="E30" s="2369"/>
      <c r="F30" s="2370">
        <f>[9]照差!$G$32</f>
        <v>5</v>
      </c>
      <c r="G30" s="2371"/>
      <c r="H30" s="2371"/>
      <c r="I30" s="2372"/>
      <c r="J30" s="2370">
        <f>[5]照差!$J$32</f>
        <v>3</v>
      </c>
      <c r="K30" s="2373"/>
      <c r="L30" s="2373"/>
      <c r="M30" s="2374"/>
      <c r="N30" s="2330">
        <f>[5]照差!$M$32</f>
        <v>3816</v>
      </c>
      <c r="O30" s="2331"/>
      <c r="P30" s="2331"/>
      <c r="Q30" s="2331"/>
      <c r="R30" s="2332"/>
      <c r="S30" s="2330">
        <f>[5]照差!$Q$32</f>
        <v>2671.2</v>
      </c>
      <c r="T30" s="2331"/>
      <c r="U30" s="2331"/>
      <c r="V30" s="2332"/>
      <c r="W30" s="2330">
        <f>[5]照差!$U$32</f>
        <v>1144.8000000000002</v>
      </c>
      <c r="X30" s="2331"/>
      <c r="Y30" s="2331"/>
      <c r="Z30" s="2332"/>
      <c r="AA30" s="2340">
        <f>[5]照差!$Y$32</f>
        <v>9</v>
      </c>
      <c r="AB30" s="2341"/>
      <c r="AC30" s="2342"/>
      <c r="AD30" s="2343">
        <f>[5]照差!$AB$32</f>
        <v>29</v>
      </c>
      <c r="AE30" s="2344"/>
      <c r="AF30" s="2345"/>
      <c r="AG30" s="2346">
        <f>IF(OR(C30="",C30="  RF"),"",2+INT(N30/1000))</f>
        <v>5</v>
      </c>
      <c r="AH30" s="2346"/>
      <c r="AI30" s="2346"/>
      <c r="AJ30" s="2346"/>
      <c r="AK30" s="2346"/>
      <c r="AL30" s="2346">
        <f>IF(OR(C30="",C30="  RF"),"",1+INT(N30/500))</f>
        <v>8</v>
      </c>
      <c r="AM30" s="2346"/>
      <c r="AN30" s="2346"/>
      <c r="AO30" s="2346"/>
      <c r="AP30" s="2346"/>
      <c r="AQ30" s="2347" t="str">
        <f>IF(OR(C30="",AL28="設置しない"),"",IF(OR(AND(LEFT($C$18,2)=" B",[6]Top!$U$72&lt;&gt;""),AND(LEFT($C$18,3)="  1",[6]Top!$U$73&lt;&gt;""),AND(LEFT($C$18,3)="  2",[6]Top!$U$75&lt;&gt;""),AND(LEFT($C$18,3)="  3",[6]Top!$U$77&lt;&gt;""),[6]Top!$U$79&lt;&gt;"",[6]Top!$U$81&lt;&gt;""),"Xh1-Ae",IF(OR(AND(LEFT($C$18,2)=" B",[6]Top!$U$72="BL"),AND(LEFT($C$18,3)="  1",[6]Top!$U$73="BL"),AND(LEFT($C$18,3)="  2",[6]Top!$U$75="BL"),AND(LEFT($C$18,3)="  3",[6]Top!$U$77="BL"),[6]Top!$U$79="BL",[6]Top!$U$81="BL"),"Xh1-BLe","")))</f>
        <v>Xh1-Ae</v>
      </c>
      <c r="AR30" s="2348"/>
      <c r="AS30" s="2348"/>
      <c r="AT30" s="2348"/>
      <c r="AU30" s="2348"/>
      <c r="AV30" s="2348"/>
      <c r="AW30" s="2348"/>
      <c r="AX30" s="2348"/>
      <c r="AY30" s="2349"/>
      <c r="AZ30" s="2353">
        <f>IF(OR(N30="",AQ30=""),"",IF(BC30&lt;&gt;"",BC30,1+INT(N30/500)))</f>
        <v>8</v>
      </c>
      <c r="BA30" s="2354"/>
      <c r="BB30" s="2355"/>
      <c r="BC30" s="2305"/>
      <c r="BD30" s="2305"/>
      <c r="BE30" s="2305"/>
      <c r="BF30" s="2281" t="str">
        <f>IF(C30="","",IF(OR(AND(LEFT(C30,2)=" B",[6]Top!$AD$72="要"),AND(LEFT(C30,3)="  1",[6]Top!$AD$73="要"),AND(LEFT(C30,3)="  2",[6]Top!$AD$75="要"),AND(LEFT(C30,3)="  3",[6]Top!$AD$77="要"),[6]Top!$AD$79="C",[6]Top!$AD$81="要"),"Ya1-Ce",""))</f>
        <v>Ya1-Ce</v>
      </c>
      <c r="BG30" s="2281"/>
      <c r="BH30" s="2281"/>
      <c r="BI30" s="2281"/>
      <c r="BJ30" s="2281"/>
      <c r="BK30" s="2281"/>
      <c r="BL30" s="2281"/>
      <c r="BM30" s="2281"/>
      <c r="BN30" s="2281"/>
      <c r="BO30" s="2304">
        <f>IF(OR(C30="",C30="  RF"),"",IF(BR30&lt;&gt;"",BR30,1+INT((BW30+BX30)/20)))</f>
        <v>4</v>
      </c>
      <c r="BP30" s="2304"/>
      <c r="BQ30" s="2304"/>
      <c r="BR30" s="2339"/>
      <c r="BS30" s="2339"/>
      <c r="BT30" s="2339"/>
      <c r="BU30" s="19"/>
      <c r="BV30" s="8">
        <v>3</v>
      </c>
      <c r="BW30" s="98">
        <f>IF(OR(C30="",C30="  RF"),0,SQRT(N30*J29)/2)</f>
        <v>30</v>
      </c>
      <c r="BX30" s="98">
        <f>IF(OR(C30="",C30="  RF"),0,SQRT(N30/J29)/2)</f>
        <v>31.8</v>
      </c>
      <c r="BY30" s="88" t="s">
        <v>204</v>
      </c>
      <c r="BZ30" s="92">
        <f>IF(OR($BW$10=0,AL28="設置しない",C30="  RF",C30=""),0,IF(LEFT(C30,2)&lt;&gt;"PH",AG30*BW31/2,BW31))</f>
        <v>122.25</v>
      </c>
      <c r="CA30" s="88" t="s">
        <v>205</v>
      </c>
      <c r="CB30" s="88">
        <f>IF(OR($BW$10=0,AL28="設置しない",C30="  RF",C30=""),0,IF(LEFT(C30,2)="PH",0,(BN32-1)*SQRT(S30/BN32)))</f>
        <v>248.08153498396447</v>
      </c>
      <c r="CC30" s="88" t="s">
        <v>204</v>
      </c>
      <c r="CD30" s="262">
        <f>IF(OR($BW$10=0,AL28="設置しない",F30=0),0,AG30*(F30-0.1-($Y$7-$AN$8)/1000))</f>
        <v>28.000000000000004</v>
      </c>
      <c r="CE30" s="88" t="s">
        <v>205</v>
      </c>
      <c r="CF30" s="88">
        <f>IF(OR($BW$10=0,AL28="設置しない",LEFT(C30,2)="PH",C30="  RF",C30=""),0,(2*BN32-1)*$AN$7/1000)</f>
        <v>39.200000000000003</v>
      </c>
      <c r="CG30" s="88" t="s">
        <v>204</v>
      </c>
      <c r="CH30" s="92">
        <f>IF(OR($BW$10=0,AL28="設置しない",AI29="非:天井ケーブル"),0,BZ30)</f>
        <v>0</v>
      </c>
      <c r="CI30" s="88" t="s">
        <v>205</v>
      </c>
      <c r="CJ30" s="88">
        <f>IF(OR($BW$10=0,AL28="設置しない",AI29="非:天井ケーブル"),0,CB30)</f>
        <v>0</v>
      </c>
      <c r="CK30" s="88" t="s">
        <v>204</v>
      </c>
      <c r="CL30" s="92">
        <f>IF(OR($BW$10=0,AL28="設置しない",C30="  RF",C30=""),0,IF(J30="直天",AG30*(F30-$Y$7/1000),AG30*(J30+0.1-$Y$7/1000)))</f>
        <v>6.5</v>
      </c>
      <c r="CM30" s="220"/>
      <c r="CN30" s="219"/>
      <c r="CO30" s="134">
        <f>IF(AZ30="",0,VLOOKUP(AQ30,[7]建物1802!$E$5:$AL$3275,33,FALSE)*AZ30)</f>
        <v>151.84</v>
      </c>
      <c r="CP30" s="136">
        <f>IF(AZ30="",0,VLOOKUP(AQ30,[7]建物1802!$E$5:$AL$3275,30,FALSE)*AZ30)</f>
        <v>84</v>
      </c>
      <c r="CQ30" s="136">
        <f>IF(CO30="","",SQRT(CO30^2-CP30^2))</f>
        <v>126.48867775417688</v>
      </c>
      <c r="CR30" s="189">
        <f>IF(BO30="",0,VLOOKUP(BF30,[7]建物1802!$E$5:$AL$3275,33,FALSE)*BO30)</f>
        <v>16</v>
      </c>
      <c r="CS30" s="189">
        <f>IF(BO30="",0,VLOOKUP(BF30,[7]建物1802!$E$5:$AL$3275,30,FALSE)*BO30)</f>
        <v>7.6</v>
      </c>
      <c r="CT30" s="259">
        <f>IF(CR30="",0,SQRT(CR30^2-CS30^2))</f>
        <v>14.079772725438433</v>
      </c>
      <c r="CU30" s="14"/>
      <c r="CV30" s="14"/>
      <c r="CW30" s="216"/>
      <c r="CX30" s="8"/>
      <c r="CY30" s="197">
        <f t="shared" si="0"/>
        <v>3</v>
      </c>
      <c r="CZ30" s="197" t="str">
        <f t="shared" si="1"/>
        <v/>
      </c>
      <c r="DA30" s="10" t="str">
        <f>M27</f>
        <v/>
      </c>
      <c r="DB30" s="8"/>
      <c r="DC30" s="8"/>
      <c r="DD30" s="8"/>
      <c r="DE30" s="249" t="str">
        <f>IF(COUNTIF($DA$15:DA29,DA30)&gt;0,"",DA30)</f>
        <v/>
      </c>
      <c r="DF30" s="26" t="str">
        <f>S27</f>
        <v/>
      </c>
      <c r="DG30" s="32">
        <f t="shared" si="2"/>
        <v>0</v>
      </c>
      <c r="DH30" s="198">
        <f t="shared" si="3"/>
        <v>5</v>
      </c>
      <c r="DI30" s="124" t="str">
        <f t="shared" si="4"/>
        <v/>
      </c>
      <c r="DJ30" s="11" t="str">
        <f>BF25</f>
        <v/>
      </c>
      <c r="DK30" s="11"/>
      <c r="DL30" s="11"/>
      <c r="DM30" s="9"/>
      <c r="DN30" s="9" t="str">
        <f>IF(COUNTIF($DJ$15:DJ29,DJ30)&gt;0,"",DJ30)</f>
        <v/>
      </c>
      <c r="DO30" s="101" t="str">
        <f>BO25</f>
        <v/>
      </c>
      <c r="DP30" s="13">
        <f t="shared" si="5"/>
        <v>0</v>
      </c>
      <c r="DQ30" s="9"/>
    </row>
    <row r="31" spans="1:121" ht="11.25" customHeight="1">
      <c r="A31" s="15">
        <v>3</v>
      </c>
      <c r="B31" s="176"/>
      <c r="C31" s="2378" t="str">
        <f>IF(C30="","",IF(K31="","VV-F 2.0mm-2C",K31))</f>
        <v>VV-F 2.0mm-2C</v>
      </c>
      <c r="D31" s="2379"/>
      <c r="E31" s="2379"/>
      <c r="F31" s="2379"/>
      <c r="G31" s="2379"/>
      <c r="H31" s="2379"/>
      <c r="I31" s="2379"/>
      <c r="J31" s="2380"/>
      <c r="K31" s="2313"/>
      <c r="L31" s="2314"/>
      <c r="M31" s="2314"/>
      <c r="N31" s="2314"/>
      <c r="O31" s="2314"/>
      <c r="P31" s="2314"/>
      <c r="Q31" s="2314"/>
      <c r="R31" s="2315"/>
      <c r="S31" s="2312">
        <f>IF(OR(C30="",AL28="設置しない",BH28="設置しない"),"",ROUND((BZ30+CD30),1))</f>
        <v>150.30000000000001</v>
      </c>
      <c r="T31" s="2312"/>
      <c r="U31" s="2312"/>
      <c r="V31" s="2312"/>
      <c r="W31" s="2306" t="str">
        <f>IF(C30="","",IF(AE31="","VV-F 2.0mm-2C",AE31))</f>
        <v>VV-F 2.0mm-2C</v>
      </c>
      <c r="X31" s="2307"/>
      <c r="Y31" s="2307"/>
      <c r="Z31" s="2307"/>
      <c r="AA31" s="2307"/>
      <c r="AB31" s="2307"/>
      <c r="AC31" s="2307"/>
      <c r="AD31" s="2308"/>
      <c r="AE31" s="2313"/>
      <c r="AF31" s="2314"/>
      <c r="AG31" s="2314"/>
      <c r="AH31" s="2314"/>
      <c r="AI31" s="2314"/>
      <c r="AJ31" s="2314"/>
      <c r="AK31" s="2314"/>
      <c r="AL31" s="2315"/>
      <c r="AM31" s="2312">
        <f>IF(OR(C30="",,AL28="設置しない",BH28="設置しない"),"",ROUND(BZ33,1))</f>
        <v>110.5</v>
      </c>
      <c r="AN31" s="2312"/>
      <c r="AO31" s="2312"/>
      <c r="AP31" s="2312"/>
      <c r="AQ31" s="2347" t="str">
        <f>IF(OR(C30="",AL28="設置しない"),"",IF(OR(AND(LEFT($C$18,2)=" B",[6]Top!$U$72&lt;&gt;""),AND(LEFT($C$18,3)="  1",[6]Top!$U$73&lt;&gt;""),AND(LEFT($C$18,3)="  2",[6]Top!$U$75&lt;&gt;""),AND(LEFT($C$18,3)="  3",[6]Top!$U$77&lt;&gt;""),[6]Top!$U$79&lt;&gt;"",[6]Top!$U$81&lt;&gt;""),"Xh1-Ae",IF(OR(AND(LEFT($C$18,2)=" B",[6]Top!$U$72="BL"),AND(LEFT($C$18,3)="  1",[6]Top!$U$73="BL"),AND(LEFT($C$18,3)="  2",[6]Top!$U$75="BL"),AND(LEFT($C$18,3)="  3",[6]Top!$U$77="BL"),[6]Top!$U$79="BL",[6]Top!$U$81="BL"),"Xh1-BLe","")))</f>
        <v>Xh1-Ae</v>
      </c>
      <c r="AR31" s="2348"/>
      <c r="AS31" s="2348"/>
      <c r="AT31" s="2348"/>
      <c r="AU31" s="2348"/>
      <c r="AV31" s="2348"/>
      <c r="AW31" s="2348"/>
      <c r="AX31" s="2348"/>
      <c r="AY31" s="2349"/>
      <c r="AZ31" s="2304">
        <f>IF(AA30="","",IF(BC31&lt;&gt;"",BC31,IF(AQ31&lt;&gt;"",1+INT(AA30/3),"")))</f>
        <v>4</v>
      </c>
      <c r="BA31" s="2304"/>
      <c r="BB31" s="2304"/>
      <c r="BC31" s="2305"/>
      <c r="BD31" s="2305"/>
      <c r="BE31" s="2305"/>
      <c r="BF31" s="2281" t="str">
        <f>IF(C30="","",IF(OR(AND(LEFT(C30,2)=" B",[6]Top!$AF$72="要"),AND(LEFT(C30,3)="  1",[6]Top!$AF$73="要"),AND(LEFT(C30,3)="  2",[6]Top!$AF$75="要"),AND(LEFT(C30,3)="  3",[6]Top!$AF$77="要"),[6]Top!$AF$79="要",[6]Top!$AF$81="要"),"D15V-321PXe",""))</f>
        <v/>
      </c>
      <c r="BG31" s="2281"/>
      <c r="BH31" s="2281"/>
      <c r="BI31" s="2282"/>
      <c r="BJ31" s="2282"/>
      <c r="BK31" s="2282"/>
      <c r="BL31" s="2282"/>
      <c r="BM31" s="2282"/>
      <c r="BN31" s="2282"/>
      <c r="BO31" s="2283" t="str">
        <f>IF(OR(C30="",C30="  RF",BF31=""),"",IF(BR31&lt;&gt;"",BR31,2*(1+INT(N30/500))))</f>
        <v/>
      </c>
      <c r="BP31" s="2283"/>
      <c r="BQ31" s="2283"/>
      <c r="BR31" s="2303"/>
      <c r="BS31" s="2303"/>
      <c r="BT31" s="2303"/>
      <c r="BU31" s="19"/>
      <c r="BV31" s="46" t="str">
        <f>V29</f>
        <v>⑦</v>
      </c>
      <c r="BW31" s="263">
        <f>IF(C30="","",IF(BV31="①",BW30+BX30+3,IF(BV31="②",BW30*5/8+BX30+3,IF(BV31="③",BW30/2+BX30+3,IF(BV31="④",BW30+BX30*5/8+3,IF(BV31="⑤",(BW30+BX30)*5/8+3,IF(BV31="⑥",BW30/2+BX30*5/8+3,IF(BV31="⑦",BW30+BX30/2+3,IF(BV31="⑧",BW30*5/8+BX30/2+3,IF(BV31="⑨",(BW30+BX30)/2+3))))))))))</f>
        <v>48.9</v>
      </c>
      <c r="BX31" s="8"/>
      <c r="BY31" s="88" t="s">
        <v>202</v>
      </c>
      <c r="BZ31" s="92">
        <f>IF(OR($BW$10=0,BH28="設置しない",C30="  RF",C30=""),0,IF(LEFT(C30,2)&lt;&gt;"PH",AL30*BW31/2,BW31))</f>
        <v>195.6</v>
      </c>
      <c r="CA31" s="88" t="s">
        <v>203</v>
      </c>
      <c r="CB31" s="88">
        <f>IF(OR($BW$10=0,AY28="設置しない",BN33=""),0,(BN33-1)*SQRT(W30/BN33))</f>
        <v>191.48699848354013</v>
      </c>
      <c r="CC31" s="88" t="s">
        <v>202</v>
      </c>
      <c r="CD31" s="262">
        <f>IF(OR($BW$10=0,BH28="設置しない",F30=0),0,AG30*(F30-0.1-($AN$8-$Y$7)/1000))</f>
        <v>21</v>
      </c>
      <c r="CE31" s="88" t="s">
        <v>203</v>
      </c>
      <c r="CF31" s="88">
        <f>IF(OR($BW$10=0,BH28="設置しない",BN33=""),0,(2*BN33-1)*$AN$7/1000)</f>
        <v>53.6</v>
      </c>
      <c r="CG31" s="88" t="s">
        <v>202</v>
      </c>
      <c r="CH31" s="92">
        <f>IF(OR($BW$10=0,BH28="設置しない",AI29="非:天井ケーブル"),0,BZ31)</f>
        <v>0</v>
      </c>
      <c r="CI31" s="88" t="s">
        <v>203</v>
      </c>
      <c r="CJ31" s="88">
        <f>IF(OR($BW$10=0,BH28="設置しない",AI29="非:天井ケーブル"),0,CB31)</f>
        <v>0</v>
      </c>
      <c r="CK31" s="88" t="s">
        <v>202</v>
      </c>
      <c r="CL31" s="92">
        <f>IF(OR($BW$10=0,BH28="設置しない",C30="  RF",C30=""),0,IF(J30="直天",AG30*(F30-$Y$7/1000),AG30*(J30+0.1-$Y$7/1000)))</f>
        <v>6.5</v>
      </c>
      <c r="CM31" s="141"/>
      <c r="CN31" s="142"/>
      <c r="CO31" s="136">
        <f>IF(AZ31="",0,(VLOOKUP(AQ31,[7]建物1802!$E$5:$AL$3275,33,FALSE))*AZ31)</f>
        <v>75.92</v>
      </c>
      <c r="CP31" s="136">
        <f>IF(AZ31="",0,VLOOKUP(AQ31,[7]建物1802!$E$5:$AL$3275,30,FALSE)*AZ31)</f>
        <v>42</v>
      </c>
      <c r="CQ31" s="136">
        <f>IF(CO31="","",SQRT(CO31^2-CP31^2))</f>
        <v>63.244338877088438</v>
      </c>
      <c r="CR31" s="189">
        <f>IF(BO31="",0,VLOOKUP(BF31,[7]建物1802!$E$5:$AL$3275,33,FALSE)*BO31)</f>
        <v>0</v>
      </c>
      <c r="CS31" s="189">
        <f>IF(BO31="",0,VLOOKUP(BF31,[7]建物1802!$E$5:$AL$3275,30,FALSE)*BO31)</f>
        <v>0</v>
      </c>
      <c r="CT31" s="259">
        <f>IF(CR31="",0,SQRT(CR31^2-CS31^2))</f>
        <v>0</v>
      </c>
      <c r="CU31" s="14"/>
      <c r="CV31" s="14"/>
      <c r="CW31" s="216"/>
      <c r="CX31" s="8"/>
      <c r="CY31" s="197">
        <f t="shared" si="0"/>
        <v>3</v>
      </c>
      <c r="CZ31" s="197" t="str">
        <f t="shared" si="1"/>
        <v/>
      </c>
      <c r="DA31" s="10" t="str">
        <f>W27</f>
        <v>PF-S-16mm</v>
      </c>
      <c r="DB31" s="8"/>
      <c r="DC31" s="8"/>
      <c r="DD31" s="8"/>
      <c r="DE31" s="249" t="str">
        <f>IF(COUNTIF($DA$15:DA30,DA31)&gt;0,"",DA31)</f>
        <v/>
      </c>
      <c r="DF31" s="26">
        <f>AC27</f>
        <v>6.5</v>
      </c>
      <c r="DG31" s="32">
        <f t="shared" si="2"/>
        <v>0</v>
      </c>
      <c r="DH31" s="198">
        <f t="shared" si="3"/>
        <v>5</v>
      </c>
      <c r="DI31" s="199" t="str">
        <f t="shared" si="4"/>
        <v/>
      </c>
      <c r="DJ31" s="201" t="str">
        <f>BI26</f>
        <v>d4-30e</v>
      </c>
      <c r="DK31" s="10"/>
      <c r="DL31" s="10"/>
      <c r="DM31" s="8"/>
      <c r="DN31" s="249" t="str">
        <f>IF(COUNTIF($DJ$15:DJ30,DJ31)&gt;0,"",DJ31)</f>
        <v/>
      </c>
      <c r="DO31" s="200">
        <f>BN26</f>
        <v>26</v>
      </c>
      <c r="DP31" s="32">
        <f t="shared" si="5"/>
        <v>0</v>
      </c>
      <c r="DQ31" s="8"/>
    </row>
    <row r="32" spans="1:121" ht="11.25" customHeight="1">
      <c r="A32" s="15"/>
      <c r="B32" s="23"/>
      <c r="C32" s="2378" t="str">
        <f>IF(C30="","",IF(K32="","VV-F 1.6mm-2C",K32))</f>
        <v>VV-F 1.6mm-2C</v>
      </c>
      <c r="D32" s="2379"/>
      <c r="E32" s="2379"/>
      <c r="F32" s="2379"/>
      <c r="G32" s="2379"/>
      <c r="H32" s="2379"/>
      <c r="I32" s="2379"/>
      <c r="J32" s="2380"/>
      <c r="K32" s="2313"/>
      <c r="L32" s="2314"/>
      <c r="M32" s="2314"/>
      <c r="N32" s="2314"/>
      <c r="O32" s="2314"/>
      <c r="P32" s="2314"/>
      <c r="Q32" s="2314"/>
      <c r="R32" s="2315"/>
      <c r="S32" s="2312">
        <f>IF(OR(C30="",C30="  RF"),"",INT(CB30+CB31+CF30+CF31+CD32))</f>
        <v>967</v>
      </c>
      <c r="T32" s="2312"/>
      <c r="U32" s="2312"/>
      <c r="V32" s="2312"/>
      <c r="W32" s="2306" t="str">
        <f>IF(C30="","",IF(AE32="","VV-F 1.6mm-2C",AE32))</f>
        <v>VV-F 1.6mm-2C</v>
      </c>
      <c r="X32" s="2307"/>
      <c r="Y32" s="2307"/>
      <c r="Z32" s="2307"/>
      <c r="AA32" s="2307"/>
      <c r="AB32" s="2307"/>
      <c r="AC32" s="2307"/>
      <c r="AD32" s="2308"/>
      <c r="AE32" s="2313"/>
      <c r="AF32" s="2314"/>
      <c r="AG32" s="2314"/>
      <c r="AH32" s="2314"/>
      <c r="AI32" s="2314"/>
      <c r="AJ32" s="2314"/>
      <c r="AK32" s="2314"/>
      <c r="AL32" s="2315"/>
      <c r="AM32" s="2306">
        <f>IF(OR(C30="",C30="  RF"),"",INT(CB33+CD32))</f>
        <v>761</v>
      </c>
      <c r="AN32" s="2307"/>
      <c r="AO32" s="2307"/>
      <c r="AP32" s="2308"/>
      <c r="AQ32" s="2309" t="str">
        <f>IF(OR(C30="",S30=""),"",IF(OR(AND(LEFT(C30,2)=" B",[8]非誘!$W$72="C"),AND(LEFT(C30,3)="  1",[8]非誘!$W$74="C"),AND(LEFT(C30,3)="  2",[8]非誘!$W$76="C"),AND(LEFT(C30,3)="  3",[8]非誘!$W$78="C"),[8]非誘!$W$80="C",[8]非誘!$W$81="C"),"Yd2-BHe",""))</f>
        <v/>
      </c>
      <c r="AR32" s="2310"/>
      <c r="AS32" s="2310"/>
      <c r="AT32" s="2310"/>
      <c r="AU32" s="2310"/>
      <c r="AV32" s="2310"/>
      <c r="AW32" s="2310"/>
      <c r="AX32" s="2310"/>
      <c r="AY32" s="2311"/>
      <c r="AZ32" s="2304" t="str">
        <f>IF(AQ32="","",IF(OR(C30="",C30="  RF"),"",IF(BC32&lt;&gt;"",BC32,AA30)))</f>
        <v/>
      </c>
      <c r="BA32" s="2304"/>
      <c r="BB32" s="2304"/>
      <c r="BC32" s="2305"/>
      <c r="BD32" s="2305"/>
      <c r="BE32" s="2305"/>
      <c r="BF32" s="2316" t="s">
        <v>10</v>
      </c>
      <c r="BG32" s="2317"/>
      <c r="BH32" s="2318"/>
      <c r="BI32" s="2319" t="str">
        <f>IF(OR($BW$10=0,AL28="設置しない",C30="",C30="  RF"),"",IF(OR(AND(LEFT(C30,2)=" B",[6]Top!$O$72="要"),AND(LEFT(C30,3)="  1",[6]Top!$O$74="要"),AND(LEFT(C30,3)="  2",[6]Top!$O$76="要"),AND(LEFT(C30,3)="  3",[6]Top!$O$78="要"),[6]Top!$O$80="要",[6]Top!$O$81="要",$Y$9="設置する"),"d4-30e",""))</f>
        <v>d4-30e</v>
      </c>
      <c r="BJ32" s="2320"/>
      <c r="BK32" s="2320"/>
      <c r="BL32" s="2320"/>
      <c r="BM32" s="2321"/>
      <c r="BN32" s="2319">
        <f>IF(OR($BW$10=0,AL28="設置しない",C30="",C30="  RF"),"",IF(LEFT(C30,2)="PH","",IF(BR32&lt;&gt;"",BR32,IF((1+INT(S30/110))&lt;=AA30,AA30,1+INT(S30/110)))))</f>
        <v>25</v>
      </c>
      <c r="BO32" s="2320"/>
      <c r="BP32" s="2321"/>
      <c r="BQ32" s="31" t="s">
        <v>103</v>
      </c>
      <c r="BR32" s="2322"/>
      <c r="BS32" s="2323"/>
      <c r="BT32" s="2324"/>
      <c r="BU32" s="19"/>
      <c r="BV32" s="226"/>
      <c r="BW32" s="196"/>
      <c r="BX32" s="8"/>
      <c r="BY32" s="88" t="s">
        <v>200</v>
      </c>
      <c r="BZ32" s="222">
        <f>SUM(AZ30:BB33)+SUM(BO30:BQ33)</f>
        <v>20</v>
      </c>
      <c r="CA32" s="8"/>
      <c r="CB32" s="8"/>
      <c r="CC32" s="88" t="s">
        <v>121</v>
      </c>
      <c r="CD32" s="88">
        <f>IF($AW$8=0,0,2*($AW$8/1000-0.15-0.1)*(INT(1000*2*BW30/$AW$10)+1)*(INT(1000*2*BX30/$AW$10)+1)*4)</f>
        <v>435.59999999999991</v>
      </c>
      <c r="CE32" s="8"/>
      <c r="CF32" s="8"/>
      <c r="CG32" s="168"/>
      <c r="CH32" s="261"/>
      <c r="CI32" s="8"/>
      <c r="CJ32" s="8"/>
      <c r="CK32" s="168"/>
      <c r="CL32" s="261"/>
      <c r="CM32" s="8"/>
      <c r="CN32" s="8"/>
      <c r="CO32" s="136">
        <f>IF(AZ32="",0,VLOOKUP(AQ32,[7]建物1802!$E$5:$AL$3275,33,FALSE)*AZ32)</f>
        <v>0</v>
      </c>
      <c r="CP32" s="136">
        <f>IF(AZ32="",0,VLOOKUP(AQ32,[7]建物1802!$E$5:$AL$3275,30,FALSE)*AZ32)</f>
        <v>0</v>
      </c>
      <c r="CQ32" s="136">
        <f>IF(CO32="","",SQRT(CO32^2-CP32^2))</f>
        <v>0</v>
      </c>
      <c r="CR32" s="260"/>
      <c r="CS32" s="14"/>
      <c r="CT32" s="14"/>
      <c r="CU32" s="14"/>
      <c r="CV32" s="14"/>
      <c r="CW32" s="216"/>
      <c r="CX32" s="88">
        <v>3</v>
      </c>
      <c r="CY32" s="204">
        <f t="shared" si="0"/>
        <v>3</v>
      </c>
      <c r="CZ32" s="155" t="str">
        <f t="shared" si="1"/>
        <v/>
      </c>
      <c r="DA32" s="154" t="str">
        <f>AG27</f>
        <v>PF-S-16mm</v>
      </c>
      <c r="DB32" s="45"/>
      <c r="DC32" s="45"/>
      <c r="DD32" s="45"/>
      <c r="DE32" s="153" t="str">
        <f>IF(COUNTIF($DA$15:DA31,DA32)&gt;0,"",DA32)</f>
        <v/>
      </c>
      <c r="DF32" s="152">
        <f>AM27</f>
        <v>48.1</v>
      </c>
      <c r="DG32" s="32">
        <f t="shared" si="2"/>
        <v>0</v>
      </c>
      <c r="DH32" s="124">
        <f t="shared" si="3"/>
        <v>5</v>
      </c>
      <c r="DI32" s="149" t="str">
        <f t="shared" si="4"/>
        <v/>
      </c>
      <c r="DJ32" s="210" t="str">
        <f>BI27</f>
        <v>d4-13e</v>
      </c>
      <c r="DK32" s="154"/>
      <c r="DL32" s="154"/>
      <c r="DM32" s="45"/>
      <c r="DN32" s="45" t="str">
        <f>IF(COUNTIF($DJ$15:DJ31,DJ32)&gt;0,"",DJ32)</f>
        <v/>
      </c>
      <c r="DO32" s="209">
        <f>BN27</f>
        <v>19</v>
      </c>
      <c r="DP32" s="169">
        <f t="shared" si="5"/>
        <v>0</v>
      </c>
      <c r="DQ32" s="88">
        <v>3</v>
      </c>
    </row>
    <row r="33" spans="1:121" ht="11.25" customHeight="1" thickBot="1">
      <c r="A33" s="15"/>
      <c r="B33" s="23"/>
      <c r="C33" s="2359" t="str">
        <f>IF(C30="","",IF(I33="","",IF(AI29="非:天井(C管)","C-19mm",IF(AI29="非:天井(G管)","G- 16mm","PF-S-16mm"))))</f>
        <v/>
      </c>
      <c r="D33" s="2360"/>
      <c r="E33" s="2360"/>
      <c r="F33" s="2360"/>
      <c r="G33" s="2360"/>
      <c r="H33" s="2360"/>
      <c r="I33" s="2335" t="str">
        <f>IF(OR(C30="",AL28="設置しない",BH28="設置しない",$BW$10=0,CH30=0,CJ30=0),"",IF(J30="直天",ROUND((BZ30+CB30),1),ROUND((CH30+CJ30),1)))</f>
        <v/>
      </c>
      <c r="J33" s="2335"/>
      <c r="K33" s="2335"/>
      <c r="L33" s="2335"/>
      <c r="M33" s="2359" t="str">
        <f>IF(C30="","",IF(S33="","",IF(BC29="誘:天井(C管)","C-19mm",IF(BC29="誘:天井(G管)","G- 16mm","PF-S-16mm"))))</f>
        <v/>
      </c>
      <c r="N33" s="2360"/>
      <c r="O33" s="2360"/>
      <c r="P33" s="2360"/>
      <c r="Q33" s="2360"/>
      <c r="R33" s="2361"/>
      <c r="S33" s="2312" t="str">
        <f>IF(OR(C30="",,AL28="設置しない",BH28="設置しない",$BW$10=0,CH33=0,CJ33=0),"",IF(J30="直天",ROUND((BZ33+CB33),1),ROUND((CH33+CJ33),1)))</f>
        <v/>
      </c>
      <c r="T33" s="2312"/>
      <c r="U33" s="2312"/>
      <c r="V33" s="2312"/>
      <c r="W33" s="2359" t="str">
        <f>IF(C30="","",IF($B$2=0,"",IF(OR(AI29="非:天井(C管)",AI29="非:床(C管)"),"C-19mm",IF(OR(AI29="非:天井(G管)",AI29="非:床(G管)"),"G-16mm",IF(AI29="非:床(CD管)","CD-16mm","PF-S-16mm")))))</f>
        <v>PF-S-16mm</v>
      </c>
      <c r="X33" s="2360"/>
      <c r="Y33" s="2360"/>
      <c r="Z33" s="2360"/>
      <c r="AA33" s="2360"/>
      <c r="AB33" s="2361"/>
      <c r="AC33" s="2362">
        <f>IF(OR(C30="",AL28="設置しない",BH28="設置しない"),"",ROUND(CL30,1))</f>
        <v>6.5</v>
      </c>
      <c r="AD33" s="2312"/>
      <c r="AE33" s="2312"/>
      <c r="AF33" s="2312"/>
      <c r="AG33" s="2333" t="str">
        <f>IF(C30="","",IF($B$2=0,"",IF(BC29="誘:天井(C管)","C-19mm",IF(BC29="誘:天井(G管)","G-16mm","PF-S-16mm"))))</f>
        <v>PF-S-16mm</v>
      </c>
      <c r="AH33" s="2333"/>
      <c r="AI33" s="2333"/>
      <c r="AJ33" s="2333"/>
      <c r="AK33" s="2333"/>
      <c r="AL33" s="2333"/>
      <c r="AM33" s="2334">
        <f>IF(OR(C30="",AL28="設置しない",BH28="設置しない"),"",ROUND((CL33+CN33),1))</f>
        <v>83.2</v>
      </c>
      <c r="AN33" s="2335"/>
      <c r="AO33" s="2335"/>
      <c r="AP33" s="2335"/>
      <c r="AQ33" s="2291" t="str">
        <f>IF(C30="","",IF(OR(AND(LEFT(C30,2)=" B",[6]Top!$AA$72="C"),AND(LEFT(C30,3)="  1",[6]Top!$AA$73="C"),AND(LEFT(C30,3)="  2",[6]Top!$AA$75="C"),AND(LEFT(C30,3)="  3",[6]Top!$AA$77="C"),[6]Top!$AA$79="C",[6]Top!$AA$81="C"),"Yd2-Ce",""))</f>
        <v>Yd2-Ce</v>
      </c>
      <c r="AR33" s="2292"/>
      <c r="AS33" s="2292"/>
      <c r="AT33" s="2292"/>
      <c r="AU33" s="2292"/>
      <c r="AV33" s="2292"/>
      <c r="AW33" s="2292"/>
      <c r="AX33" s="2292"/>
      <c r="AY33" s="2293"/>
      <c r="AZ33" s="2294">
        <f>IF(OR(C30="",C30="  RF",AQ33=""),"",IF(BC33&lt;&gt;"",BC33,1+INT((BW30+BX30)/20)))</f>
        <v>4</v>
      </c>
      <c r="BA33" s="2295"/>
      <c r="BB33" s="2296"/>
      <c r="BC33" s="2287"/>
      <c r="BD33" s="2287"/>
      <c r="BE33" s="2287"/>
      <c r="BF33" s="2363" t="s">
        <v>127</v>
      </c>
      <c r="BG33" s="2364"/>
      <c r="BH33" s="2365"/>
      <c r="BI33" s="2335" t="str">
        <f>IF(OR($BW$10=0,AY28="設置しない",C30="",C30="  RF"),"",IF(OR(AND(LEFT(C30,2)=" B",[6]Top!$O$72="要"),AND(LEFT(C30,3)="  1",[6]Top!$O$74="要"),AND(LEFT(C30,3)="  2",[6]Top!$O$76="要"),AND(LEFT(C30,3)="  3",[6]Top!$O$78="要"),[6]Top!$O$80="要",[6]Top!$O$81="要",$Y$10="設置する"),"d4-13e",""))</f>
        <v>d4-13e</v>
      </c>
      <c r="BJ33" s="2335"/>
      <c r="BK33" s="2335"/>
      <c r="BL33" s="2335"/>
      <c r="BM33" s="2335"/>
      <c r="BN33" s="2335">
        <f>IF(OR($BW$10=0,BH28="設置しない",C30="",C30="  RF"),"",IF(BR33&lt;&gt;"",BR33,INT(AD30*1.2)))</f>
        <v>34</v>
      </c>
      <c r="BO33" s="2335"/>
      <c r="BP33" s="2335"/>
      <c r="BQ33" s="31" t="s">
        <v>103</v>
      </c>
      <c r="BR33" s="2350"/>
      <c r="BS33" s="2351"/>
      <c r="BT33" s="2352"/>
      <c r="BU33" s="19"/>
      <c r="BV33" s="8"/>
      <c r="BW33" s="8"/>
      <c r="BX33" s="8"/>
      <c r="BY33" s="88" t="s">
        <v>199</v>
      </c>
      <c r="BZ33" s="151">
        <f>IF(AL30="",0,AL30*SQRT(N30/BZ32))</f>
        <v>110.50429855892484</v>
      </c>
      <c r="CA33" s="88" t="s">
        <v>198</v>
      </c>
      <c r="CB33" s="151">
        <f>IF(BZ32=0,0,(BZ32/3)*BW31)</f>
        <v>326</v>
      </c>
      <c r="CC33" s="88" t="s">
        <v>199</v>
      </c>
      <c r="CD33" s="151">
        <f>IF(F30=0,0,F30-0.25-$Y$7/1000)</f>
        <v>2.95</v>
      </c>
      <c r="CE33" s="88" t="s">
        <v>198</v>
      </c>
      <c r="CF33" s="151">
        <f>IF(F30=0,0,(2*(BZ32-BO30)-1)*$AN$7/1000+(2*BO30-1)*(F30-0.75))</f>
        <v>54.55</v>
      </c>
      <c r="CG33" s="88" t="s">
        <v>199</v>
      </c>
      <c r="CH33" s="151">
        <f>IF(BC29="誘:天井ケーブル",0,BZ33)</f>
        <v>0</v>
      </c>
      <c r="CI33" s="88" t="s">
        <v>198</v>
      </c>
      <c r="CJ33" s="151">
        <f>IF(BC29="誘:天井ケーブル",0,CB33)</f>
        <v>0</v>
      </c>
      <c r="CK33" s="88" t="s">
        <v>199</v>
      </c>
      <c r="CL33" s="259">
        <f>IF(F30=0,0,IF(J30="直天",AL30*(F30-$Y$7/1000),AL30*(J30+0.1-$Y$7/1000)))</f>
        <v>10.4</v>
      </c>
      <c r="CM33" s="88" t="s">
        <v>198</v>
      </c>
      <c r="CN33" s="151">
        <f>IF(F30=0,0,IF(J30="直天",BO30*(2*BO30-1)*(F30-0.5),BO30*(2*BO30-1)*(J30-0.4)))</f>
        <v>72.8</v>
      </c>
      <c r="CO33" s="136">
        <f>IF(AZ33="",0,VLOOKUP(AQ33,[7]建物1802!$E$5:$AL$3275,33,FALSE)*AZ33)</f>
        <v>21.16</v>
      </c>
      <c r="CP33" s="136">
        <f>IF(AZ33="",0,VLOOKUP(AQ33,[7]建物1802!$E$5:$AL$3275,30,FALSE)*AZ33)</f>
        <v>10.4</v>
      </c>
      <c r="CQ33" s="136">
        <f>IF(CO33="","",SQRT(CO33^2-CP33^2))</f>
        <v>18.42784849080326</v>
      </c>
      <c r="CR33" s="26"/>
      <c r="CS33" s="26"/>
      <c r="CT33" s="26"/>
      <c r="CU33" s="26"/>
      <c r="CV33" s="26"/>
      <c r="CW33" s="218"/>
      <c r="CX33" s="8"/>
      <c r="CY33" s="197">
        <f t="shared" si="0"/>
        <v>3</v>
      </c>
      <c r="CZ33" s="197" t="str">
        <f t="shared" si="1"/>
        <v/>
      </c>
      <c r="DA33" s="10" t="str">
        <f>C31</f>
        <v>VV-F 2.0mm-2C</v>
      </c>
      <c r="DB33" s="8"/>
      <c r="DC33" s="8"/>
      <c r="DD33" s="8"/>
      <c r="DE33" s="249" t="str">
        <f>IF(COUNTIF($DA$15:DA32,DA33)&gt;0,"",DA33)</f>
        <v/>
      </c>
      <c r="DF33" s="26">
        <f>S31</f>
        <v>150.30000000000001</v>
      </c>
      <c r="DG33" s="32">
        <f t="shared" si="2"/>
        <v>0</v>
      </c>
      <c r="DH33" s="198">
        <f t="shared" si="3"/>
        <v>5</v>
      </c>
      <c r="DI33" s="199" t="str">
        <f t="shared" si="4"/>
        <v/>
      </c>
      <c r="DJ33" s="10" t="str">
        <f>AQ30</f>
        <v>Xh1-Ae</v>
      </c>
      <c r="DK33" s="10"/>
      <c r="DL33" s="10"/>
      <c r="DM33" s="8"/>
      <c r="DN33" s="249" t="str">
        <f>IF(COUNTIF($DJ$15:DJ32,DJ33)&gt;0,"",DJ33)</f>
        <v/>
      </c>
      <c r="DO33" s="200">
        <f>AZ30</f>
        <v>8</v>
      </c>
      <c r="DP33" s="32">
        <f t="shared" si="5"/>
        <v>0</v>
      </c>
      <c r="DQ33" s="8"/>
    </row>
    <row r="34" spans="1:121" ht="11.25" customHeight="1" thickBot="1">
      <c r="A34" s="15"/>
      <c r="B34" s="23"/>
      <c r="C34" s="2391" t="s">
        <v>112</v>
      </c>
      <c r="D34" s="2391"/>
      <c r="E34" s="2391"/>
      <c r="F34" s="2391"/>
      <c r="G34" s="2391"/>
      <c r="H34" s="2391"/>
      <c r="I34" s="2288"/>
      <c r="J34" s="2356" t="str">
        <f>[5]照差!$I$37</f>
        <v>(3) イ</v>
      </c>
      <c r="K34" s="2357"/>
      <c r="L34" s="2358"/>
      <c r="M34" s="2375" t="str">
        <f>[5]照差!$M$37</f>
        <v>料理店等</v>
      </c>
      <c r="N34" s="2376"/>
      <c r="O34" s="2376"/>
      <c r="P34" s="2376"/>
      <c r="Q34" s="2376"/>
      <c r="R34" s="2376"/>
      <c r="S34" s="2376"/>
      <c r="T34" s="2376"/>
      <c r="U34" s="2377"/>
      <c r="V34" s="2275" t="s">
        <v>232</v>
      </c>
      <c r="W34" s="2276"/>
      <c r="X34" s="2276"/>
      <c r="Y34" s="2276"/>
      <c r="Z34" s="2277"/>
      <c r="AA34" s="2394" t="str">
        <f>[6]Top!$I$30</f>
        <v>B1</v>
      </c>
      <c r="AB34" s="2279"/>
      <c r="AC34" s="2280" t="s">
        <v>231</v>
      </c>
      <c r="AD34" s="2280"/>
      <c r="AE34" s="2280"/>
      <c r="AF34" s="2280"/>
      <c r="AG34" s="2280"/>
      <c r="AH34" s="2280"/>
      <c r="AI34" s="2280"/>
      <c r="AJ34" s="2280"/>
      <c r="AK34" s="2280"/>
      <c r="AL34" s="2356" t="str">
        <f>IF($BW$10=0,"設置しない",IF(AS34="","設置する",AS34))</f>
        <v>設置する</v>
      </c>
      <c r="AM34" s="2357"/>
      <c r="AN34" s="2357"/>
      <c r="AO34" s="2357"/>
      <c r="AP34" s="2357"/>
      <c r="AQ34" s="2358"/>
      <c r="AR34" s="265" t="s">
        <v>103</v>
      </c>
      <c r="AS34" s="2284"/>
      <c r="AT34" s="2285"/>
      <c r="AU34" s="2285"/>
      <c r="AV34" s="2285"/>
      <c r="AW34" s="2285"/>
      <c r="AX34" s="2286"/>
      <c r="AY34" s="2280" t="s">
        <v>215</v>
      </c>
      <c r="AZ34" s="2280"/>
      <c r="BA34" s="2280"/>
      <c r="BB34" s="2280"/>
      <c r="BC34" s="2280"/>
      <c r="BD34" s="2280"/>
      <c r="BE34" s="2280"/>
      <c r="BF34" s="2280"/>
      <c r="BG34" s="2280"/>
      <c r="BH34" s="2356" t="str">
        <f>IF($BW$10=0,"設置しない",IF(BO34="","設置する",BO34))</f>
        <v>設置する</v>
      </c>
      <c r="BI34" s="2357"/>
      <c r="BJ34" s="2357"/>
      <c r="BK34" s="2357"/>
      <c r="BL34" s="2357"/>
      <c r="BM34" s="2358"/>
      <c r="BN34" s="265" t="s">
        <v>103</v>
      </c>
      <c r="BO34" s="2284"/>
      <c r="BP34" s="2285"/>
      <c r="BQ34" s="2285"/>
      <c r="BR34" s="2285"/>
      <c r="BS34" s="2285"/>
      <c r="BT34" s="2286"/>
      <c r="BU34" s="19"/>
      <c r="BV34" s="8"/>
      <c r="BW34" s="8"/>
      <c r="BX34" s="8"/>
      <c r="BY34" s="9"/>
      <c r="BZ34" s="9"/>
      <c r="CA34" s="9"/>
      <c r="CB34" s="9"/>
      <c r="CC34" s="9"/>
      <c r="CD34" s="9"/>
      <c r="CE34" s="9"/>
      <c r="CF34" s="9"/>
      <c r="CG34" s="9"/>
      <c r="CH34" s="9"/>
      <c r="CI34" s="9"/>
      <c r="CJ34" s="9"/>
      <c r="CK34" s="9"/>
      <c r="CL34" s="9"/>
      <c r="CM34" s="9"/>
      <c r="CN34" s="9"/>
      <c r="CO34" s="266"/>
      <c r="CP34" s="266"/>
      <c r="CQ34" s="266"/>
      <c r="CR34" s="14"/>
      <c r="CS34" s="14"/>
      <c r="CT34" s="14"/>
      <c r="CU34" s="14"/>
      <c r="CV34" s="14"/>
      <c r="CW34" s="216"/>
      <c r="CX34" s="8"/>
      <c r="CY34" s="197">
        <f t="shared" si="0"/>
        <v>3</v>
      </c>
      <c r="CZ34" s="197" t="str">
        <f t="shared" si="1"/>
        <v/>
      </c>
      <c r="DA34" s="10" t="str">
        <f>W31</f>
        <v>VV-F 2.0mm-2C</v>
      </c>
      <c r="DB34" s="8"/>
      <c r="DC34" s="8"/>
      <c r="DD34" s="8"/>
      <c r="DE34" s="249" t="str">
        <f>IF(COUNTIF($DA$15:DA33,DA34)&gt;0,"",DA34)</f>
        <v/>
      </c>
      <c r="DF34" s="26">
        <f>AM31</f>
        <v>110.5</v>
      </c>
      <c r="DG34" s="32">
        <f t="shared" si="2"/>
        <v>0</v>
      </c>
      <c r="DH34" s="198">
        <f t="shared" si="3"/>
        <v>5</v>
      </c>
      <c r="DI34" s="198" t="str">
        <f t="shared" si="4"/>
        <v/>
      </c>
      <c r="DJ34" s="10" t="str">
        <f>AQ31</f>
        <v>Xh1-Ae</v>
      </c>
      <c r="DK34" s="10"/>
      <c r="DL34" s="10"/>
      <c r="DM34" s="8"/>
      <c r="DN34" s="8" t="str">
        <f>IF(COUNTIF($DJ$15:DJ33,DJ34)&gt;0,"",DJ34)</f>
        <v/>
      </c>
      <c r="DO34" s="200">
        <f>AZ31</f>
        <v>4</v>
      </c>
      <c r="DP34" s="32">
        <f t="shared" si="5"/>
        <v>0</v>
      </c>
      <c r="DQ34" s="8"/>
    </row>
    <row r="35" spans="1:121" ht="11.25" customHeight="1" thickBot="1">
      <c r="A35" s="15"/>
      <c r="B35" s="23"/>
      <c r="C35" s="2300" t="s">
        <v>214</v>
      </c>
      <c r="D35" s="2301"/>
      <c r="E35" s="2301"/>
      <c r="F35" s="2301"/>
      <c r="G35" s="2301"/>
      <c r="H35" s="2301"/>
      <c r="I35" s="2302"/>
      <c r="J35" s="2297">
        <f>[5]照差!$K$38</f>
        <v>0.94339622641509435</v>
      </c>
      <c r="K35" s="2298"/>
      <c r="L35" s="2298"/>
      <c r="M35" s="2298"/>
      <c r="N35" s="2299" t="s">
        <v>230</v>
      </c>
      <c r="O35" s="2299"/>
      <c r="P35" s="2299"/>
      <c r="Q35" s="2299"/>
      <c r="R35" s="2299"/>
      <c r="S35" s="2299"/>
      <c r="T35" s="2299"/>
      <c r="U35" s="2299"/>
      <c r="V35" s="2366" t="str">
        <f>[5]照差!$W$38</f>
        <v>⑦</v>
      </c>
      <c r="W35" s="2366"/>
      <c r="X35" s="2366"/>
      <c r="Y35" s="2299" t="s">
        <v>135</v>
      </c>
      <c r="Z35" s="2299"/>
      <c r="AA35" s="2299"/>
      <c r="AB35" s="2299"/>
      <c r="AC35" s="2299"/>
      <c r="AD35" s="2299" t="s">
        <v>18</v>
      </c>
      <c r="AE35" s="2299"/>
      <c r="AF35" s="2299"/>
      <c r="AG35" s="2299"/>
      <c r="AH35" s="2299"/>
      <c r="AI35" s="2337" t="str">
        <f>IF($B$2=0,"",IF(AQ35="","非:天井ケーブル",AQ35))</f>
        <v>非:天井ケーブル</v>
      </c>
      <c r="AJ35" s="2337"/>
      <c r="AK35" s="2337"/>
      <c r="AL35" s="2337"/>
      <c r="AM35" s="2337"/>
      <c r="AN35" s="2337"/>
      <c r="AO35" s="2337"/>
      <c r="AP35" s="175" t="s">
        <v>103</v>
      </c>
      <c r="AQ35" s="2338"/>
      <c r="AR35" s="2338"/>
      <c r="AS35" s="2338"/>
      <c r="AT35" s="2338"/>
      <c r="AU35" s="2338"/>
      <c r="AV35" s="2338"/>
      <c r="AW35" s="2338"/>
      <c r="AX35" s="2299" t="s">
        <v>212</v>
      </c>
      <c r="AY35" s="2299"/>
      <c r="AZ35" s="2299"/>
      <c r="BA35" s="2299"/>
      <c r="BB35" s="2299"/>
      <c r="BC35" s="2337" t="str">
        <f>IF($B$2=0,"",IF(BK35="","誘:天井ケーブル",BK35))</f>
        <v>誘:天井ケーブル</v>
      </c>
      <c r="BD35" s="2337"/>
      <c r="BE35" s="2337"/>
      <c r="BF35" s="2337"/>
      <c r="BG35" s="2337"/>
      <c r="BH35" s="2337"/>
      <c r="BI35" s="2337"/>
      <c r="BJ35" s="175" t="s">
        <v>103</v>
      </c>
      <c r="BK35" s="2338"/>
      <c r="BL35" s="2338"/>
      <c r="BM35" s="2338"/>
      <c r="BN35" s="2338"/>
      <c r="BO35" s="2338"/>
      <c r="BP35" s="2338"/>
      <c r="BQ35" s="2338"/>
      <c r="BR35" s="2299"/>
      <c r="BS35" s="2299"/>
      <c r="BT35" s="2299"/>
      <c r="BU35" s="19"/>
      <c r="BV35" s="8">
        <v>37</v>
      </c>
      <c r="BW35" s="88" t="s">
        <v>229</v>
      </c>
      <c r="BX35" s="88" t="s">
        <v>228</v>
      </c>
      <c r="BY35" s="2336" t="s">
        <v>126</v>
      </c>
      <c r="BZ35" s="2336"/>
      <c r="CA35" s="2336"/>
      <c r="CB35" s="2336"/>
      <c r="CC35" s="2336" t="s">
        <v>125</v>
      </c>
      <c r="CD35" s="2336"/>
      <c r="CE35" s="2336"/>
      <c r="CF35" s="2336"/>
      <c r="CG35" s="2336" t="s">
        <v>124</v>
      </c>
      <c r="CH35" s="2336"/>
      <c r="CI35" s="2336"/>
      <c r="CJ35" s="2336"/>
      <c r="CK35" s="2336" t="s">
        <v>123</v>
      </c>
      <c r="CL35" s="2336"/>
      <c r="CM35" s="2336"/>
      <c r="CN35" s="2336"/>
      <c r="CO35" s="88" t="s">
        <v>227</v>
      </c>
      <c r="CP35" s="88" t="s">
        <v>226</v>
      </c>
      <c r="CQ35" s="88" t="s">
        <v>225</v>
      </c>
      <c r="CR35" s="88" t="s">
        <v>227</v>
      </c>
      <c r="CS35" s="88" t="s">
        <v>226</v>
      </c>
      <c r="CT35" s="221" t="s">
        <v>225</v>
      </c>
      <c r="CU35" s="264">
        <f>IF(BW36="","",SUM(CP36:CP39)+CS36+CS37)</f>
        <v>165</v>
      </c>
      <c r="CV35" s="264">
        <f>IF(BW36="","",SUM(CQ36:CQ39)+CT36+CT37)</f>
        <v>253.86280728605121</v>
      </c>
      <c r="CW35" s="216"/>
      <c r="CX35" s="8"/>
      <c r="CY35" s="197">
        <f t="shared" si="0"/>
        <v>3</v>
      </c>
      <c r="CZ35" s="197" t="str">
        <f t="shared" si="1"/>
        <v/>
      </c>
      <c r="DA35" s="10" t="str">
        <f>C32</f>
        <v>VV-F 1.6mm-2C</v>
      </c>
      <c r="DB35" s="8"/>
      <c r="DC35" s="8"/>
      <c r="DD35" s="8"/>
      <c r="DE35" s="249" t="str">
        <f>IF(COUNTIF($DA$15:DA34,DA35)&gt;0,"",DA35)</f>
        <v/>
      </c>
      <c r="DF35" s="26">
        <f>S32</f>
        <v>967</v>
      </c>
      <c r="DG35" s="32">
        <f t="shared" si="2"/>
        <v>0</v>
      </c>
      <c r="DH35" s="198">
        <f t="shared" si="3"/>
        <v>5</v>
      </c>
      <c r="DI35" s="198" t="str">
        <f t="shared" si="4"/>
        <v/>
      </c>
      <c r="DJ35" s="10" t="str">
        <f>AQ32</f>
        <v/>
      </c>
      <c r="DK35" s="10"/>
      <c r="DL35" s="10"/>
      <c r="DM35" s="8"/>
      <c r="DN35" s="8" t="str">
        <f>IF(COUNTIF($DJ$15:DJ34,DJ35)&gt;0,"",DJ35)</f>
        <v/>
      </c>
      <c r="DO35" s="200" t="str">
        <f>AZ32</f>
        <v/>
      </c>
      <c r="DP35" s="32">
        <f t="shared" si="5"/>
        <v>0</v>
      </c>
      <c r="DQ35" s="8"/>
    </row>
    <row r="36" spans="1:121" ht="11.25" customHeight="1">
      <c r="A36" s="15"/>
      <c r="B36" s="23"/>
      <c r="C36" s="2367" t="str">
        <f>[5]照差!$C$39</f>
        <v xml:space="preserve">  2F</v>
      </c>
      <c r="D36" s="2368"/>
      <c r="E36" s="2369"/>
      <c r="F36" s="2370">
        <f>[5]照差!$G$39</f>
        <v>4</v>
      </c>
      <c r="G36" s="2371"/>
      <c r="H36" s="2371"/>
      <c r="I36" s="2372"/>
      <c r="J36" s="2370">
        <f>[5]照差!$J$39</f>
        <v>3</v>
      </c>
      <c r="K36" s="2373"/>
      <c r="L36" s="2373"/>
      <c r="M36" s="2374"/>
      <c r="N36" s="2330">
        <f>[5]照差!$M$39</f>
        <v>3816</v>
      </c>
      <c r="O36" s="2331"/>
      <c r="P36" s="2331"/>
      <c r="Q36" s="2331"/>
      <c r="R36" s="2332"/>
      <c r="S36" s="2330">
        <f>[5]照差!$Q$39</f>
        <v>2289.6</v>
      </c>
      <c r="T36" s="2331"/>
      <c r="U36" s="2331"/>
      <c r="V36" s="2332"/>
      <c r="W36" s="2330">
        <f>[5]照差!$U$39</f>
        <v>1526.4</v>
      </c>
      <c r="X36" s="2331"/>
      <c r="Y36" s="2331"/>
      <c r="Z36" s="2332"/>
      <c r="AA36" s="2340">
        <f>[5]照差!$Y$39</f>
        <v>16</v>
      </c>
      <c r="AB36" s="2341"/>
      <c r="AC36" s="2342"/>
      <c r="AD36" s="2343">
        <f>[5]照差!$AB$39</f>
        <v>39</v>
      </c>
      <c r="AE36" s="2344"/>
      <c r="AF36" s="2345"/>
      <c r="AG36" s="2346">
        <f>IF(OR(C36="",C36="  RF"),"",2+INT(N36/1000))</f>
        <v>5</v>
      </c>
      <c r="AH36" s="2346"/>
      <c r="AI36" s="2346"/>
      <c r="AJ36" s="2346"/>
      <c r="AK36" s="2346"/>
      <c r="AL36" s="2346">
        <f>IF(OR(C36="",C36="  RF"),"",1+INT(N36/500))</f>
        <v>8</v>
      </c>
      <c r="AM36" s="2346"/>
      <c r="AN36" s="2346"/>
      <c r="AO36" s="2346"/>
      <c r="AP36" s="2346"/>
      <c r="AQ36" s="2347" t="str">
        <f>IF(OR(C36="",AL34="設置しない"),"",IF(OR(AND(LEFT($C$18,2)=" B",[6]Top!$U$72&lt;&gt;""),AND(LEFT($C$18,3)="  1",[6]Top!$U$73&lt;&gt;""),AND(LEFT($C$18,3)="  2",[6]Top!$U$75&lt;&gt;""),AND(LEFT($C$18,3)="  3",[6]Top!$U$77&lt;&gt;""),[6]Top!$U$79&lt;&gt;"",[6]Top!$U$81&lt;&gt;""),"Xh1-Ae",IF(OR(AND(LEFT($C$18,2)=" B",[6]Top!$U$72="BL"),AND(LEFT($C$18,3)="  1",[6]Top!$U$73="BL"),AND(LEFT($C$18,3)="  2",[6]Top!$U$75="BL"),AND(LEFT($C$18,3)="  3",[6]Top!$U$77="BL"),[6]Top!$U$79="BL",[6]Top!$U$81="BL"),"Xh1-BLe","")))</f>
        <v>Xh1-Ae</v>
      </c>
      <c r="AR36" s="2348"/>
      <c r="AS36" s="2348"/>
      <c r="AT36" s="2348"/>
      <c r="AU36" s="2348"/>
      <c r="AV36" s="2348"/>
      <c r="AW36" s="2348"/>
      <c r="AX36" s="2348"/>
      <c r="AY36" s="2349"/>
      <c r="AZ36" s="2353">
        <f>IF(OR(N36="",AQ36=""),"",IF(BC36&lt;&gt;"",BC36,1+INT(N36/500)))</f>
        <v>8</v>
      </c>
      <c r="BA36" s="2354"/>
      <c r="BB36" s="2355"/>
      <c r="BC36" s="2305"/>
      <c r="BD36" s="2305"/>
      <c r="BE36" s="2305"/>
      <c r="BF36" s="2281" t="str">
        <f>IF(C36="","",IF(OR(AND(LEFT(C36,2)=" B",[6]Top!$AD$72="要"),AND(LEFT(C36,3)="  1",[6]Top!$AD$73="要"),AND(LEFT(C36,3)="  2",[6]Top!$AD$75="要"),AND(LEFT(C36,3)="  3",[6]Top!$AD$77="要"),[6]Top!$AD$79="C",[6]Top!$AD$81="要"),"Ya1-Ce",""))</f>
        <v>Ya1-Ce</v>
      </c>
      <c r="BG36" s="2281"/>
      <c r="BH36" s="2281"/>
      <c r="BI36" s="2281"/>
      <c r="BJ36" s="2281"/>
      <c r="BK36" s="2281"/>
      <c r="BL36" s="2281"/>
      <c r="BM36" s="2281"/>
      <c r="BN36" s="2281"/>
      <c r="BO36" s="2304">
        <f>IF(OR(C36="",C36="  RF"),"",IF(BR36&lt;&gt;"",BR36,1+INT((BW36+BX36)/20)))</f>
        <v>4</v>
      </c>
      <c r="BP36" s="2304"/>
      <c r="BQ36" s="2304"/>
      <c r="BR36" s="2339"/>
      <c r="BS36" s="2339"/>
      <c r="BT36" s="2339"/>
      <c r="BU36" s="19"/>
      <c r="BV36" s="8">
        <v>4</v>
      </c>
      <c r="BW36" s="98">
        <f>IF(OR(C36="",C36="  RF"),0,SQRT(N36*J35)/2)</f>
        <v>30</v>
      </c>
      <c r="BX36" s="98">
        <f>IF(OR(C36="",C36="  RF"),0,SQRT(N36/J35)/2)</f>
        <v>31.8</v>
      </c>
      <c r="BY36" s="88" t="s">
        <v>204</v>
      </c>
      <c r="BZ36" s="92">
        <f>IF(OR($BW$10=0,AL34="設置しない",C36="  RF",C36=""),0,IF(LEFT(C36,2)&lt;&gt;"PH",AG36*BW37/2,BW37))</f>
        <v>122.25</v>
      </c>
      <c r="CA36" s="88" t="s">
        <v>205</v>
      </c>
      <c r="CB36" s="88">
        <f>IF(OR($BW$10=0,AL34="設置しない",C36="  RF",C36=""),0,IF(LEFT(C36,2)="PH",0,(BN38-1)*SQRT(S36/BN38)))</f>
        <v>208.83349485039167</v>
      </c>
      <c r="CC36" s="88" t="s">
        <v>204</v>
      </c>
      <c r="CD36" s="262">
        <f>IF(OR($BW$10=0,AL34="設置しない",F36=0),0,AG36*(F36-0.1-($Y$7-$AN$8)/1000))</f>
        <v>23</v>
      </c>
      <c r="CE36" s="88" t="s">
        <v>205</v>
      </c>
      <c r="CF36" s="88">
        <f>IF(OR($BW$10=0,AL34="設置しない",LEFT(C36,2)="PH",C36="  RF",C36=""),0,(2*BN38-1)*$AN$7/1000)</f>
        <v>32.799999999999997</v>
      </c>
      <c r="CG36" s="88" t="s">
        <v>204</v>
      </c>
      <c r="CH36" s="92">
        <f>IF(OR($BW$10=0,AL34="設置しない",AI35="非:天井ケーブル"),0,BZ36)</f>
        <v>0</v>
      </c>
      <c r="CI36" s="88" t="s">
        <v>205</v>
      </c>
      <c r="CJ36" s="88">
        <f>IF(OR($BW$10=0,AL34="設置しない",AI35="非:天井ケーブル"),0,CB36)</f>
        <v>0</v>
      </c>
      <c r="CK36" s="88" t="s">
        <v>204</v>
      </c>
      <c r="CL36" s="92">
        <f>IF(OR($BW$10=0,AL34="設置しない",C36="  RF",C36=""),0,IF(J36="直天",AG36*(F36-$Y$7/1000),AG36*(J36+0.1-$Y$7/1000)))</f>
        <v>6.5</v>
      </c>
      <c r="CM36" s="220"/>
      <c r="CN36" s="219"/>
      <c r="CO36" s="134">
        <f>IF(AZ36="",0,VLOOKUP(AQ36,[7]建物1802!$E$5:$AL$3275,33,FALSE)*AZ36)</f>
        <v>151.84</v>
      </c>
      <c r="CP36" s="136">
        <f>IF(AZ36="",0,VLOOKUP(AQ36,[7]建物1802!$E$5:$AL$3275,30,FALSE)*AZ36)</f>
        <v>84</v>
      </c>
      <c r="CQ36" s="136">
        <f>IF(CO36="","",SQRT(CO36^2-CP36^2))</f>
        <v>126.48867775417688</v>
      </c>
      <c r="CR36" s="189">
        <f>IF(BO36="",0,VLOOKUP(BF36,[7]建物1802!$E$5:$AL$3275,33,FALSE)*BO36)</f>
        <v>16</v>
      </c>
      <c r="CS36" s="189">
        <f>IF(BO36="",0,VLOOKUP(BF36,[7]建物1802!$E$5:$AL$3275,30,FALSE)*BO36)</f>
        <v>7.6</v>
      </c>
      <c r="CT36" s="259">
        <f>IF(CR36="",0,SQRT(CR36^2-CS36^2))</f>
        <v>14.079772725438433</v>
      </c>
      <c r="CU36" s="14"/>
      <c r="CV36" s="14"/>
      <c r="CW36" s="216"/>
      <c r="CX36" s="8"/>
      <c r="CY36" s="197">
        <f t="shared" si="0"/>
        <v>3</v>
      </c>
      <c r="CZ36" s="197" t="str">
        <f t="shared" si="1"/>
        <v/>
      </c>
      <c r="DA36" s="10" t="str">
        <f>W32</f>
        <v>VV-F 1.6mm-2C</v>
      </c>
      <c r="DB36" s="8"/>
      <c r="DC36" s="8"/>
      <c r="DD36" s="8"/>
      <c r="DE36" s="249" t="str">
        <f>IF(COUNTIF($DA$15:DA35,DA36)&gt;0,"",DA36)</f>
        <v/>
      </c>
      <c r="DF36" s="26">
        <f>AM32</f>
        <v>761</v>
      </c>
      <c r="DG36" s="32">
        <f t="shared" si="2"/>
        <v>0</v>
      </c>
      <c r="DH36" s="198">
        <f t="shared" si="3"/>
        <v>5</v>
      </c>
      <c r="DI36" s="124" t="str">
        <f t="shared" si="4"/>
        <v/>
      </c>
      <c r="DJ36" s="11" t="str">
        <f>AQ33</f>
        <v>Yd2-Ce</v>
      </c>
      <c r="DK36" s="11"/>
      <c r="DL36" s="11"/>
      <c r="DM36" s="9"/>
      <c r="DN36" s="9" t="str">
        <f>IF(COUNTIF($DJ$15:DJ35,DJ36)&gt;0,"",DJ36)</f>
        <v/>
      </c>
      <c r="DO36" s="101">
        <f>AZ33</f>
        <v>4</v>
      </c>
      <c r="DP36" s="32">
        <f t="shared" si="5"/>
        <v>0</v>
      </c>
      <c r="DQ36" s="8"/>
    </row>
    <row r="37" spans="1:121" ht="11.25" customHeight="1">
      <c r="A37" s="15">
        <v>4</v>
      </c>
      <c r="B37" s="176"/>
      <c r="C37" s="2378" t="str">
        <f>IF(C36="","",IF(K37="","VV-F 2.0mm-2C",K37))</f>
        <v>VV-F 2.0mm-2C</v>
      </c>
      <c r="D37" s="2379"/>
      <c r="E37" s="2379"/>
      <c r="F37" s="2379"/>
      <c r="G37" s="2379"/>
      <c r="H37" s="2379"/>
      <c r="I37" s="2379"/>
      <c r="J37" s="2380"/>
      <c r="K37" s="2313"/>
      <c r="L37" s="2314"/>
      <c r="M37" s="2314"/>
      <c r="N37" s="2314"/>
      <c r="O37" s="2314"/>
      <c r="P37" s="2314"/>
      <c r="Q37" s="2314"/>
      <c r="R37" s="2315"/>
      <c r="S37" s="2312">
        <f>IF(OR(C36="",AL34="設置しない",BH34="設置しない"),"",ROUND((BZ36+CD36),1))</f>
        <v>145.30000000000001</v>
      </c>
      <c r="T37" s="2312"/>
      <c r="U37" s="2312"/>
      <c r="V37" s="2312"/>
      <c r="W37" s="2306" t="str">
        <f>IF(C36="","",IF(AE37="","VV-F 2.0mm-2C",AE37))</f>
        <v>VV-F 2.0mm-2C</v>
      </c>
      <c r="X37" s="2307"/>
      <c r="Y37" s="2307"/>
      <c r="Z37" s="2307"/>
      <c r="AA37" s="2307"/>
      <c r="AB37" s="2307"/>
      <c r="AC37" s="2307"/>
      <c r="AD37" s="2308"/>
      <c r="AE37" s="2313"/>
      <c r="AF37" s="2314"/>
      <c r="AG37" s="2314"/>
      <c r="AH37" s="2314"/>
      <c r="AI37" s="2314"/>
      <c r="AJ37" s="2314"/>
      <c r="AK37" s="2314"/>
      <c r="AL37" s="2315"/>
      <c r="AM37" s="2312">
        <f>IF(OR(C36="",,AL34="設置しない",BH34="設置しない"),"",ROUND(BZ39,1))</f>
        <v>105.4</v>
      </c>
      <c r="AN37" s="2312"/>
      <c r="AO37" s="2312"/>
      <c r="AP37" s="2312"/>
      <c r="AQ37" s="2347" t="str">
        <f>IF(OR(C36="",AL34="設置しない"),"",IF(OR(AND(LEFT($C$18,2)=" B",[6]Top!$U$72&lt;&gt;""),AND(LEFT($C$18,3)="  1",[6]Top!$U$73&lt;&gt;""),AND(LEFT($C$18,3)="  2",[6]Top!$U$75&lt;&gt;""),AND(LEFT($C$18,3)="  3",[6]Top!$U$77&lt;&gt;""),[6]Top!$U$79&lt;&gt;"",[6]Top!$U$81&lt;&gt;""),"Xh1-Ae",IF(OR(AND(LEFT($C$18,2)=" B",[6]Top!$U$72="BL"),AND(LEFT($C$18,3)="  1",[6]Top!$U$73="BL"),AND(LEFT($C$18,3)="  2",[6]Top!$U$75="BL"),AND(LEFT($C$18,3)="  3",[6]Top!$U$77="BL"),[6]Top!$U$79="BL",[6]Top!$U$81="BL"),"Xh1-BLe","")))</f>
        <v>Xh1-Ae</v>
      </c>
      <c r="AR37" s="2348"/>
      <c r="AS37" s="2348"/>
      <c r="AT37" s="2348"/>
      <c r="AU37" s="2348"/>
      <c r="AV37" s="2348"/>
      <c r="AW37" s="2348"/>
      <c r="AX37" s="2348"/>
      <c r="AY37" s="2349"/>
      <c r="AZ37" s="2304">
        <f>IF(AA36="","",IF(BC37&lt;&gt;"",BC37,IF(AQ37&lt;&gt;"",1+INT(AA36/3),"")))</f>
        <v>6</v>
      </c>
      <c r="BA37" s="2304"/>
      <c r="BB37" s="2304"/>
      <c r="BC37" s="2305"/>
      <c r="BD37" s="2305"/>
      <c r="BE37" s="2305"/>
      <c r="BF37" s="2281" t="str">
        <f>IF(C36="","",IF(OR(AND(LEFT(C36,2)=" B",[6]Top!$AF$72="要"),AND(LEFT(C36,3)="  1",[6]Top!$AF$73="要"),AND(LEFT(C36,3)="  2",[6]Top!$AF$75="要"),AND(LEFT(C36,3)="  3",[6]Top!$AF$77="要"),[6]Top!$AF$79="要",[6]Top!$AF$81="要"),"D15V-321PXe",""))</f>
        <v/>
      </c>
      <c r="BG37" s="2281"/>
      <c r="BH37" s="2281"/>
      <c r="BI37" s="2282"/>
      <c r="BJ37" s="2282"/>
      <c r="BK37" s="2282"/>
      <c r="BL37" s="2282"/>
      <c r="BM37" s="2282"/>
      <c r="BN37" s="2282"/>
      <c r="BO37" s="2283" t="str">
        <f>IF(OR(C36="",C36="  RF",BF37=""),"",IF(BR37&lt;&gt;"",BR37,2*(1+INT(N36/500))))</f>
        <v/>
      </c>
      <c r="BP37" s="2283"/>
      <c r="BQ37" s="2283"/>
      <c r="BR37" s="2303"/>
      <c r="BS37" s="2303"/>
      <c r="BT37" s="2303"/>
      <c r="BU37" s="19"/>
      <c r="BV37" s="46" t="str">
        <f>V35</f>
        <v>⑦</v>
      </c>
      <c r="BW37" s="263">
        <f>IF(C36="","",IF(BV37="①",BW36+BX36+3,IF(BV37="②",BW36*5/8+BX36+3,IF(BV37="③",BW36/2+BX36+3,IF(BV37="④",BW36+BX36*5/8+3,IF(BV37="⑤",(BW36+BX36)*5/8+3,IF(BV37="⑥",BW36/2+BX36*5/8+3,IF(BV37="⑦",BW36+BX36/2+3,IF(BV37="⑧",BW36*5/8+BX36/2+3,IF(BV37="⑨",(BW36+BX36)/2+3))))))))))</f>
        <v>48.9</v>
      </c>
      <c r="BX37" s="8"/>
      <c r="BY37" s="88" t="s">
        <v>202</v>
      </c>
      <c r="BZ37" s="92">
        <f>IF(OR($BW$10=0,BH34="設置しない",C36="  RF",C36=""),0,IF(LEFT(C36,2)&lt;&gt;"PH",AL36*BW37/2,BW37))</f>
        <v>195.6</v>
      </c>
      <c r="CA37" s="88" t="s">
        <v>203</v>
      </c>
      <c r="CB37" s="88">
        <f>IF(OR($BW$10=0,AY34="設置しない",BN39=""),0,(BN39-1)*SQRT(W36/BN39))</f>
        <v>259.21956447902551</v>
      </c>
      <c r="CC37" s="88" t="s">
        <v>202</v>
      </c>
      <c r="CD37" s="262">
        <f>IF(OR($BW$10=0,BH34="設置しない",F36=0),0,AG36*(F36-0.1-($AN$8-$Y$7)/1000))</f>
        <v>16</v>
      </c>
      <c r="CE37" s="88" t="s">
        <v>203</v>
      </c>
      <c r="CF37" s="88">
        <f>IF(OR($BW$10=0,BH34="設置しない",BN39=""),0,(2*BN39-1)*$AN$7/1000)</f>
        <v>72.8</v>
      </c>
      <c r="CG37" s="88" t="s">
        <v>202</v>
      </c>
      <c r="CH37" s="92">
        <f>IF(OR($BW$10=0,BH34="設置しない",AI35="非:天井ケーブル"),0,BZ37)</f>
        <v>0</v>
      </c>
      <c r="CI37" s="88" t="s">
        <v>203</v>
      </c>
      <c r="CJ37" s="88">
        <f>IF(OR($BW$10=0,BH34="設置しない",AI35="非:天井ケーブル"),0,CB37)</f>
        <v>0</v>
      </c>
      <c r="CK37" s="88" t="s">
        <v>202</v>
      </c>
      <c r="CL37" s="92">
        <f>IF(OR($BW$10=0,BH34="設置しない",C36="  RF",C36=""),0,IF(J36="直天",AG36*(F36-$Y$7/1000),AG36*(J36+0.1-$Y$7/1000)))</f>
        <v>6.5</v>
      </c>
      <c r="CM37" s="141"/>
      <c r="CN37" s="142"/>
      <c r="CO37" s="136">
        <f>IF(AZ37="",0,(VLOOKUP(AQ37,[7]建物1802!$E$5:$AL$3275,33,FALSE))*AZ37)</f>
        <v>113.88</v>
      </c>
      <c r="CP37" s="136">
        <f>IF(AZ37="",0,VLOOKUP(AQ37,[7]建物1802!$E$5:$AL$3275,30,FALSE)*AZ37)</f>
        <v>63</v>
      </c>
      <c r="CQ37" s="136">
        <f>IF(CO37="","",SQRT(CO37^2-CP37^2))</f>
        <v>94.866508315632657</v>
      </c>
      <c r="CR37" s="189">
        <f>IF(BO37="",0,VLOOKUP(BF37,[7]建物1802!$E$5:$AL$3275,33,FALSE)*BO37)</f>
        <v>0</v>
      </c>
      <c r="CS37" s="189">
        <f>IF(BO37="",0,VLOOKUP(BF37,[7]建物1802!$E$5:$AL$3275,30,FALSE)*BO37)</f>
        <v>0</v>
      </c>
      <c r="CT37" s="259">
        <f>IF(CR37="",0,SQRT(CR37^2-CS37^2))</f>
        <v>0</v>
      </c>
      <c r="CU37" s="14"/>
      <c r="CV37" s="14"/>
      <c r="CW37" s="216"/>
      <c r="CX37" s="8"/>
      <c r="CY37" s="197">
        <f t="shared" si="0"/>
        <v>3</v>
      </c>
      <c r="CZ37" s="197" t="str">
        <f t="shared" si="1"/>
        <v/>
      </c>
      <c r="DA37" s="10" t="str">
        <f>C33</f>
        <v/>
      </c>
      <c r="DB37" s="8"/>
      <c r="DC37" s="8"/>
      <c r="DD37" s="8"/>
      <c r="DE37" s="249" t="str">
        <f>IF(COUNTIF($DA$15:DA36,DA37)&gt;0,"",DA37)</f>
        <v/>
      </c>
      <c r="DF37" s="26" t="str">
        <f>I33</f>
        <v/>
      </c>
      <c r="DG37" s="32">
        <f t="shared" si="2"/>
        <v>0</v>
      </c>
      <c r="DH37" s="198">
        <f t="shared" si="3"/>
        <v>5</v>
      </c>
      <c r="DI37" s="124" t="str">
        <f t="shared" si="4"/>
        <v/>
      </c>
      <c r="DJ37" s="11" t="str">
        <f>BF30</f>
        <v>Ya1-Ce</v>
      </c>
      <c r="DK37" s="11"/>
      <c r="DL37" s="11"/>
      <c r="DM37" s="9"/>
      <c r="DN37" s="9" t="str">
        <f>IF(COUNTIF($DJ$15:DJ36,DJ37)&gt;0,"",DJ37)</f>
        <v/>
      </c>
      <c r="DO37" s="101">
        <f>BO30</f>
        <v>4</v>
      </c>
      <c r="DP37" s="13">
        <f t="shared" si="5"/>
        <v>0</v>
      </c>
      <c r="DQ37" s="8"/>
    </row>
    <row r="38" spans="1:121" ht="11.25" customHeight="1">
      <c r="A38" s="15"/>
      <c r="B38" s="23"/>
      <c r="C38" s="2378" t="str">
        <f>IF(C36="","",IF(K38="","VV-F 1.6mm-2C",K38))</f>
        <v>VV-F 1.6mm-2C</v>
      </c>
      <c r="D38" s="2379"/>
      <c r="E38" s="2379"/>
      <c r="F38" s="2379"/>
      <c r="G38" s="2379"/>
      <c r="H38" s="2379"/>
      <c r="I38" s="2379"/>
      <c r="J38" s="2380"/>
      <c r="K38" s="2313"/>
      <c r="L38" s="2314"/>
      <c r="M38" s="2314"/>
      <c r="N38" s="2314"/>
      <c r="O38" s="2314"/>
      <c r="P38" s="2314"/>
      <c r="Q38" s="2314"/>
      <c r="R38" s="2315"/>
      <c r="S38" s="2312">
        <f>IF(OR(C36="",C36="  RF"),"",INT(CB36+CB37+CF36+CF37+CD38))</f>
        <v>1009</v>
      </c>
      <c r="T38" s="2312"/>
      <c r="U38" s="2312"/>
      <c r="V38" s="2312"/>
      <c r="W38" s="2306" t="str">
        <f>IF(C36="","",IF(AE38="","VV-F 1.6mm-2C",AE38))</f>
        <v>VV-F 1.6mm-2C</v>
      </c>
      <c r="X38" s="2307"/>
      <c r="Y38" s="2307"/>
      <c r="Z38" s="2307"/>
      <c r="AA38" s="2307"/>
      <c r="AB38" s="2307"/>
      <c r="AC38" s="2307"/>
      <c r="AD38" s="2308"/>
      <c r="AE38" s="2313"/>
      <c r="AF38" s="2314"/>
      <c r="AG38" s="2314"/>
      <c r="AH38" s="2314"/>
      <c r="AI38" s="2314"/>
      <c r="AJ38" s="2314"/>
      <c r="AK38" s="2314"/>
      <c r="AL38" s="2315"/>
      <c r="AM38" s="2306">
        <f>IF(OR(C36="",C36="  RF"),"",INT(CB39+CD38))</f>
        <v>794</v>
      </c>
      <c r="AN38" s="2307"/>
      <c r="AO38" s="2307"/>
      <c r="AP38" s="2308"/>
      <c r="AQ38" s="2309" t="str">
        <f>IF(OR(C36="",S36=""),"",IF(OR(AND(LEFT(C36,2)=" B",[8]非誘!$W$72="C"),AND(LEFT(C36,3)="  1",[8]非誘!$W$74="C"),AND(LEFT(C36,3)="  2",[8]非誘!$W$76="C"),AND(LEFT(C36,3)="  3",[8]非誘!$W$78="C"),[8]非誘!$W$80="C",[8]非誘!$W$81="C"),"Yd2-BHe",""))</f>
        <v/>
      </c>
      <c r="AR38" s="2310"/>
      <c r="AS38" s="2310"/>
      <c r="AT38" s="2310"/>
      <c r="AU38" s="2310"/>
      <c r="AV38" s="2310"/>
      <c r="AW38" s="2310"/>
      <c r="AX38" s="2310"/>
      <c r="AY38" s="2311"/>
      <c r="AZ38" s="2304" t="str">
        <f>IF(AQ38="","",IF(OR(C36="",C36="  RF"),"",IF(BC38&lt;&gt;"",BC38,AA36)))</f>
        <v/>
      </c>
      <c r="BA38" s="2304"/>
      <c r="BB38" s="2304"/>
      <c r="BC38" s="2305"/>
      <c r="BD38" s="2305"/>
      <c r="BE38" s="2305"/>
      <c r="BF38" s="2316" t="s">
        <v>10</v>
      </c>
      <c r="BG38" s="2317"/>
      <c r="BH38" s="2318"/>
      <c r="BI38" s="2319" t="str">
        <f>IF(OR($BW$10=0,AL34="設置しない",C36="",C36="  RF"),"",IF(OR(AND(LEFT(C36,2)=" B",[6]Top!$O$72="要"),AND(LEFT(C36,3)="  1",[6]Top!$O$74="要"),AND(LEFT(C36,3)="  2",[6]Top!$O$76="要"),AND(LEFT(C36,3)="  3",[6]Top!$O$78="要"),[6]Top!$O$80="要",[6]Top!$O$81="要",$Y$9="設置する"),"d4-30e",""))</f>
        <v>d4-30e</v>
      </c>
      <c r="BJ38" s="2320"/>
      <c r="BK38" s="2320"/>
      <c r="BL38" s="2320"/>
      <c r="BM38" s="2321"/>
      <c r="BN38" s="2319">
        <f>IF(OR($BW$10=0,AL34="設置しない",C36="",C36="  RF"),"",IF(LEFT(C36,2)="PH","",IF(BR38&lt;&gt;"",BR38,IF((1+INT(S36/110))&lt;=AA36,AA36,1+INT(S36/110)))))</f>
        <v>21</v>
      </c>
      <c r="BO38" s="2320"/>
      <c r="BP38" s="2321"/>
      <c r="BQ38" s="31" t="s">
        <v>103</v>
      </c>
      <c r="BR38" s="2322"/>
      <c r="BS38" s="2323"/>
      <c r="BT38" s="2324"/>
      <c r="BU38" s="19"/>
      <c r="BV38" s="226"/>
      <c r="BW38" s="196"/>
      <c r="BX38" s="8"/>
      <c r="BY38" s="88" t="s">
        <v>200</v>
      </c>
      <c r="BZ38" s="222">
        <f>SUM(AZ36:BB39)+SUM(BO36:BQ39)</f>
        <v>22</v>
      </c>
      <c r="CA38" s="8"/>
      <c r="CB38" s="8"/>
      <c r="CC38" s="88" t="s">
        <v>121</v>
      </c>
      <c r="CD38" s="88">
        <f>IF($AW$8=0,0,2*($AW$8/1000-0.15-0.1)*(INT(1000*2*BW36/$AW$10)+1)*(INT(1000*2*BX36/$AW$10)+1)*4)</f>
        <v>435.59999999999991</v>
      </c>
      <c r="CE38" s="8"/>
      <c r="CF38" s="8"/>
      <c r="CG38" s="168"/>
      <c r="CH38" s="261"/>
      <c r="CI38" s="8"/>
      <c r="CJ38" s="8"/>
      <c r="CK38" s="168"/>
      <c r="CL38" s="261"/>
      <c r="CM38" s="8"/>
      <c r="CN38" s="8"/>
      <c r="CO38" s="136">
        <f>IF(AZ38="",0,VLOOKUP(AQ38,[7]建物1802!$E$5:$AL$3275,33,FALSE)*AZ38)</f>
        <v>0</v>
      </c>
      <c r="CP38" s="136">
        <f>IF(AZ38="",0,VLOOKUP(AQ38,[7]建物1802!$E$5:$AL$3275,30,FALSE)*AZ38)</f>
        <v>0</v>
      </c>
      <c r="CQ38" s="136">
        <f>IF(CO38="","",SQRT(CO38^2-CP38^2))</f>
        <v>0</v>
      </c>
      <c r="CR38" s="260"/>
      <c r="CS38" s="14"/>
      <c r="CT38" s="14"/>
      <c r="CU38" s="14"/>
      <c r="CV38" s="14"/>
      <c r="CW38" s="216"/>
      <c r="CX38" s="8"/>
      <c r="CY38" s="197">
        <f t="shared" si="0"/>
        <v>3</v>
      </c>
      <c r="CZ38" s="197" t="str">
        <f t="shared" si="1"/>
        <v/>
      </c>
      <c r="DA38" s="10" t="str">
        <f>M33</f>
        <v/>
      </c>
      <c r="DB38" s="8"/>
      <c r="DC38" s="8"/>
      <c r="DD38" s="8"/>
      <c r="DE38" s="249" t="str">
        <f>IF(COUNTIF($DA$15:DA37,DA38)&gt;0,"",DA38)</f>
        <v/>
      </c>
      <c r="DF38" s="26" t="str">
        <f>S33</f>
        <v/>
      </c>
      <c r="DG38" s="32">
        <f t="shared" si="2"/>
        <v>0</v>
      </c>
      <c r="DH38" s="198">
        <f t="shared" si="3"/>
        <v>5</v>
      </c>
      <c r="DI38" s="124" t="str">
        <f t="shared" si="4"/>
        <v/>
      </c>
      <c r="DJ38" s="11" t="str">
        <f>BF31</f>
        <v/>
      </c>
      <c r="DK38" s="11"/>
      <c r="DL38" s="11"/>
      <c r="DM38" s="9"/>
      <c r="DN38" s="9" t="str">
        <f>IF(COUNTIF($DJ$15:DJ37,DJ38)&gt;0,"",DJ38)</f>
        <v/>
      </c>
      <c r="DO38" s="101" t="str">
        <f>BO31</f>
        <v/>
      </c>
      <c r="DP38" s="13">
        <f t="shared" si="5"/>
        <v>0</v>
      </c>
      <c r="DQ38" s="9"/>
    </row>
    <row r="39" spans="1:121" ht="11.25" customHeight="1" thickBot="1">
      <c r="A39" s="15"/>
      <c r="B39" s="23"/>
      <c r="C39" s="2359" t="str">
        <f>IF(C36="","",IF(I39="","",IF(AI35="非:天井(C管)","C-19mm",IF(AI35="非:天井(G管)","G- 16mm","PF-S-16mm"))))</f>
        <v/>
      </c>
      <c r="D39" s="2360"/>
      <c r="E39" s="2360"/>
      <c r="F39" s="2360"/>
      <c r="G39" s="2360"/>
      <c r="H39" s="2360"/>
      <c r="I39" s="2335" t="str">
        <f>IF(OR(C36="",AL34="設置しない",BH34="設置しない",$BW$10=0,CH36=0,CJ36=0),"",IF(J36="直天",ROUND((BZ36+CB36),1),ROUND((CH36+CJ36),1)))</f>
        <v/>
      </c>
      <c r="J39" s="2335"/>
      <c r="K39" s="2335"/>
      <c r="L39" s="2335"/>
      <c r="M39" s="2359" t="str">
        <f>IF(C36="","",IF(S39="","",IF(BC35="誘:天井(C管)","C-19mm",IF(BC35="誘:天井(G管)","G- 16mm","PF-S-16mm"))))</f>
        <v/>
      </c>
      <c r="N39" s="2360"/>
      <c r="O39" s="2360"/>
      <c r="P39" s="2360"/>
      <c r="Q39" s="2360"/>
      <c r="R39" s="2361"/>
      <c r="S39" s="2312" t="str">
        <f>IF(OR(C36="",,AL34="設置しない",BH34="設置しない",$BW$10=0,CH39=0,CJ39=0),"",IF(J36="直天",ROUND((BZ39+CB39),1),ROUND((CH39+CJ39),1)))</f>
        <v/>
      </c>
      <c r="T39" s="2312"/>
      <c r="U39" s="2312"/>
      <c r="V39" s="2312"/>
      <c r="W39" s="2359" t="str">
        <f>IF(C36="","",IF($B$2=0,"",IF(OR(AI35="非:天井(C管)",AI35="非:床(C管)"),"C-19mm",IF(OR(AI35="非:天井(G管)",AI35="非:床(G管)"),"G-16mm",IF(AI35="非:床(CD管)","CD-16mm","PF-S-16mm")))))</f>
        <v>PF-S-16mm</v>
      </c>
      <c r="X39" s="2360"/>
      <c r="Y39" s="2360"/>
      <c r="Z39" s="2360"/>
      <c r="AA39" s="2360"/>
      <c r="AB39" s="2361"/>
      <c r="AC39" s="2362">
        <f>IF(OR(C36="",AL34="設置しない",BH34="設置しない"),"",ROUND(CL36,1))</f>
        <v>6.5</v>
      </c>
      <c r="AD39" s="2312"/>
      <c r="AE39" s="2312"/>
      <c r="AF39" s="2312"/>
      <c r="AG39" s="2333" t="str">
        <f>IF(C36="","",IF($B$2=0,"",IF(BC35="誘:天井(C管)","C-19mm",IF(BC35="誘:天井(G管)","G-16mm","PF-S-16mm"))))</f>
        <v>PF-S-16mm</v>
      </c>
      <c r="AH39" s="2333"/>
      <c r="AI39" s="2333"/>
      <c r="AJ39" s="2333"/>
      <c r="AK39" s="2333"/>
      <c r="AL39" s="2333"/>
      <c r="AM39" s="2334">
        <f>IF(OR(C36="",AL34="設置しない",BH34="設置しない"),"",ROUND((CL39+CN39),1))</f>
        <v>83.2</v>
      </c>
      <c r="AN39" s="2335"/>
      <c r="AO39" s="2335"/>
      <c r="AP39" s="2335"/>
      <c r="AQ39" s="2291" t="str">
        <f>IF(C36="","",IF(OR(AND(LEFT(C36,2)=" B",[6]Top!$AA$72="C"),AND(LEFT(C36,3)="  1",[6]Top!$AA$73="C"),AND(LEFT(C36,3)="  2",[6]Top!$AA$75="C"),AND(LEFT(C36,3)="  3",[6]Top!$AA$77="C"),[6]Top!$AA$79="C",[6]Top!$AA$81="C"),"Yd2-Ce",""))</f>
        <v>Yd2-Ce</v>
      </c>
      <c r="AR39" s="2292"/>
      <c r="AS39" s="2292"/>
      <c r="AT39" s="2292"/>
      <c r="AU39" s="2292"/>
      <c r="AV39" s="2292"/>
      <c r="AW39" s="2292"/>
      <c r="AX39" s="2292"/>
      <c r="AY39" s="2293"/>
      <c r="AZ39" s="2294">
        <f>IF(OR(C36="",C36="  RF",AQ39=""),"",IF(BC39&lt;&gt;"",BC39,1+INT((BW36+BX36)/20)))</f>
        <v>4</v>
      </c>
      <c r="BA39" s="2295"/>
      <c r="BB39" s="2296"/>
      <c r="BC39" s="2287"/>
      <c r="BD39" s="2287"/>
      <c r="BE39" s="2287"/>
      <c r="BF39" s="2363" t="s">
        <v>127</v>
      </c>
      <c r="BG39" s="2364"/>
      <c r="BH39" s="2365"/>
      <c r="BI39" s="2335" t="str">
        <f>IF(OR($BW$10=0,AY34="設置しない",C36="",C36="  RF"),"",IF(OR(AND(LEFT(C36,2)=" B",[6]Top!$O$72="要"),AND(LEFT(C36,3)="  1",[6]Top!$O$74="要"),AND(LEFT(C36,3)="  2",[6]Top!$O$76="要"),AND(LEFT(C36,3)="  3",[6]Top!$O$78="要"),[6]Top!$O$80="要",[6]Top!$O$81="要",$Y$10="設置する"),"d4-13e",""))</f>
        <v>d4-13e</v>
      </c>
      <c r="BJ39" s="2335"/>
      <c r="BK39" s="2335"/>
      <c r="BL39" s="2335"/>
      <c r="BM39" s="2335"/>
      <c r="BN39" s="2335">
        <f>IF(OR($BW$10=0,BH34="設置しない",C36="",C36="  RF"),"",IF(BR39&lt;&gt;"",BR39,INT(AD36*1.2)))</f>
        <v>46</v>
      </c>
      <c r="BO39" s="2335"/>
      <c r="BP39" s="2335"/>
      <c r="BQ39" s="31" t="s">
        <v>103</v>
      </c>
      <c r="BR39" s="2350"/>
      <c r="BS39" s="2351"/>
      <c r="BT39" s="2352"/>
      <c r="BU39" s="19"/>
      <c r="BV39" s="8"/>
      <c r="BW39" s="8"/>
      <c r="BX39" s="8"/>
      <c r="BY39" s="88" t="s">
        <v>199</v>
      </c>
      <c r="BZ39" s="151">
        <f>IF(AL36="",0,AL36*SQRT(N36/BZ38))</f>
        <v>105.36171462676046</v>
      </c>
      <c r="CA39" s="88" t="s">
        <v>198</v>
      </c>
      <c r="CB39" s="151">
        <f>IF(BZ38=0,0,(BZ38/3)*BW37)</f>
        <v>358.59999999999997</v>
      </c>
      <c r="CC39" s="88" t="s">
        <v>199</v>
      </c>
      <c r="CD39" s="151">
        <f>IF(F36=0,0,F36-0.25-$Y$7/1000)</f>
        <v>1.95</v>
      </c>
      <c r="CE39" s="88" t="s">
        <v>198</v>
      </c>
      <c r="CF39" s="151">
        <f>IF(F36=0,0,(2*(BZ38-BO36)-1)*$AN$7/1000+(2*BO36-1)*(F36-0.75))</f>
        <v>50.75</v>
      </c>
      <c r="CG39" s="88" t="s">
        <v>199</v>
      </c>
      <c r="CH39" s="151">
        <f>IF(BC35="誘:天井ケーブル",0,BZ39)</f>
        <v>0</v>
      </c>
      <c r="CI39" s="88" t="s">
        <v>198</v>
      </c>
      <c r="CJ39" s="151">
        <f>IF(BC35="誘:天井ケーブル",0,CB39)</f>
        <v>0</v>
      </c>
      <c r="CK39" s="88" t="s">
        <v>199</v>
      </c>
      <c r="CL39" s="259">
        <f>IF(F36=0,0,IF(J36="直天",AL36*(F36-$Y$7/1000),AL36*(J36+0.1-$Y$7/1000)))</f>
        <v>10.4</v>
      </c>
      <c r="CM39" s="88" t="s">
        <v>198</v>
      </c>
      <c r="CN39" s="151">
        <f>IF(F36=0,0,IF(J36="直天",BO36*(2*BO36-1)*(F36-0.5),BO36*(2*BO36-1)*(J36-0.4)))</f>
        <v>72.8</v>
      </c>
      <c r="CO39" s="136">
        <f>IF(AZ39="",0,VLOOKUP(AQ39,[7]建物1802!$E$5:$AL$3275,33,FALSE)*AZ39)</f>
        <v>21.16</v>
      </c>
      <c r="CP39" s="136">
        <f>IF(AZ39="",0,VLOOKUP(AQ39,[7]建物1802!$E$5:$AL$3275,30,FALSE)*AZ39)</f>
        <v>10.4</v>
      </c>
      <c r="CQ39" s="136">
        <f>IF(CO39="","",SQRT(CO39^2-CP39^2))</f>
        <v>18.42784849080326</v>
      </c>
      <c r="CR39" s="26"/>
      <c r="CS39" s="26"/>
      <c r="CT39" s="26"/>
      <c r="CU39" s="26"/>
      <c r="CV39" s="26"/>
      <c r="CW39" s="218"/>
      <c r="CX39" s="8"/>
      <c r="CY39" s="197">
        <f t="shared" si="0"/>
        <v>3</v>
      </c>
      <c r="CZ39" s="197" t="str">
        <f t="shared" si="1"/>
        <v/>
      </c>
      <c r="DA39" s="10" t="str">
        <f>W33</f>
        <v>PF-S-16mm</v>
      </c>
      <c r="DB39" s="8"/>
      <c r="DC39" s="8"/>
      <c r="DD39" s="8"/>
      <c r="DE39" s="249" t="str">
        <f>IF(COUNTIF($DA$15:DA38,DA39)&gt;0,"",DA39)</f>
        <v/>
      </c>
      <c r="DF39" s="26">
        <f>AC33</f>
        <v>6.5</v>
      </c>
      <c r="DG39" s="32">
        <f t="shared" si="2"/>
        <v>0</v>
      </c>
      <c r="DH39" s="198">
        <f t="shared" si="3"/>
        <v>5</v>
      </c>
      <c r="DI39" s="199" t="str">
        <f t="shared" si="4"/>
        <v/>
      </c>
      <c r="DJ39" s="201" t="str">
        <f>BI32</f>
        <v>d4-30e</v>
      </c>
      <c r="DK39" s="10"/>
      <c r="DL39" s="10"/>
      <c r="DM39" s="8"/>
      <c r="DN39" s="249" t="str">
        <f>IF(COUNTIF($DJ$15:DJ38,DJ39)&gt;0,"",DJ39)</f>
        <v/>
      </c>
      <c r="DO39" s="200">
        <f>BN32</f>
        <v>25</v>
      </c>
      <c r="DP39" s="32">
        <f t="shared" si="5"/>
        <v>0</v>
      </c>
      <c r="DQ39" s="8"/>
    </row>
    <row r="40" spans="1:121" ht="11.25" customHeight="1" thickBot="1">
      <c r="A40" s="15"/>
      <c r="B40" s="23"/>
      <c r="C40" s="2391" t="s">
        <v>112</v>
      </c>
      <c r="D40" s="2391"/>
      <c r="E40" s="2391"/>
      <c r="F40" s="2391"/>
      <c r="G40" s="2391"/>
      <c r="H40" s="2391"/>
      <c r="I40" s="2288"/>
      <c r="J40" s="2356" t="str">
        <f>[5]照差!$I$44</f>
        <v>( 4 )</v>
      </c>
      <c r="K40" s="2357"/>
      <c r="L40" s="2358"/>
      <c r="M40" s="2375" t="str">
        <f>[5]照差!$M$44</f>
        <v>百貨店等</v>
      </c>
      <c r="N40" s="2376"/>
      <c r="O40" s="2376"/>
      <c r="P40" s="2376"/>
      <c r="Q40" s="2376"/>
      <c r="R40" s="2376"/>
      <c r="S40" s="2376"/>
      <c r="T40" s="2376"/>
      <c r="U40" s="2377"/>
      <c r="V40" s="2275" t="s">
        <v>232</v>
      </c>
      <c r="W40" s="2276"/>
      <c r="X40" s="2276"/>
      <c r="Y40" s="2276"/>
      <c r="Z40" s="2277"/>
      <c r="AA40" s="2278" t="str">
        <f>[6]Top!$I$32</f>
        <v>B1</v>
      </c>
      <c r="AB40" s="2279"/>
      <c r="AC40" s="2280" t="s">
        <v>231</v>
      </c>
      <c r="AD40" s="2280"/>
      <c r="AE40" s="2280"/>
      <c r="AF40" s="2280"/>
      <c r="AG40" s="2280"/>
      <c r="AH40" s="2280"/>
      <c r="AI40" s="2280"/>
      <c r="AJ40" s="2280"/>
      <c r="AK40" s="2280"/>
      <c r="AL40" s="2356" t="str">
        <f>IF($BW$10=0,"設置しない",IF(AS40="","設置する",AS40))</f>
        <v>設置する</v>
      </c>
      <c r="AM40" s="2357"/>
      <c r="AN40" s="2357"/>
      <c r="AO40" s="2357"/>
      <c r="AP40" s="2357"/>
      <c r="AQ40" s="2358"/>
      <c r="AR40" s="265" t="s">
        <v>103</v>
      </c>
      <c r="AS40" s="2284"/>
      <c r="AT40" s="2285"/>
      <c r="AU40" s="2285"/>
      <c r="AV40" s="2285"/>
      <c r="AW40" s="2285"/>
      <c r="AX40" s="2286"/>
      <c r="AY40" s="2280" t="s">
        <v>215</v>
      </c>
      <c r="AZ40" s="2280"/>
      <c r="BA40" s="2280"/>
      <c r="BB40" s="2280"/>
      <c r="BC40" s="2280"/>
      <c r="BD40" s="2280"/>
      <c r="BE40" s="2280"/>
      <c r="BF40" s="2280"/>
      <c r="BG40" s="2280"/>
      <c r="BH40" s="2356" t="str">
        <f>IF($BW$10=0,"設置しない",IF(BO40="","設置する",BO40))</f>
        <v>設置する</v>
      </c>
      <c r="BI40" s="2357"/>
      <c r="BJ40" s="2357"/>
      <c r="BK40" s="2357"/>
      <c r="BL40" s="2357"/>
      <c r="BM40" s="2358"/>
      <c r="BN40" s="265" t="s">
        <v>103</v>
      </c>
      <c r="BO40" s="2284"/>
      <c r="BP40" s="2285"/>
      <c r="BQ40" s="2285"/>
      <c r="BR40" s="2285"/>
      <c r="BS40" s="2285"/>
      <c r="BT40" s="2286"/>
      <c r="BU40" s="19"/>
      <c r="BV40" s="8"/>
      <c r="BW40" s="8"/>
      <c r="BX40" s="8"/>
      <c r="BY40" s="9"/>
      <c r="BZ40" s="9"/>
      <c r="CA40" s="9"/>
      <c r="CB40" s="9"/>
      <c r="CC40" s="9"/>
      <c r="CD40" s="9"/>
      <c r="CE40" s="9"/>
      <c r="CF40" s="9"/>
      <c r="CG40" s="9"/>
      <c r="CH40" s="9"/>
      <c r="CI40" s="9"/>
      <c r="CJ40" s="9"/>
      <c r="CK40" s="9"/>
      <c r="CL40" s="9"/>
      <c r="CM40" s="9"/>
      <c r="CN40" s="9"/>
      <c r="CO40" s="266"/>
      <c r="CP40" s="266"/>
      <c r="CQ40" s="266"/>
      <c r="CR40" s="14"/>
      <c r="CS40" s="14"/>
      <c r="CT40" s="14"/>
      <c r="CU40" s="14"/>
      <c r="CV40" s="14"/>
      <c r="CW40" s="216"/>
      <c r="CX40" s="88">
        <v>4</v>
      </c>
      <c r="CY40" s="204">
        <f t="shared" si="0"/>
        <v>3</v>
      </c>
      <c r="CZ40" s="155" t="str">
        <f t="shared" si="1"/>
        <v/>
      </c>
      <c r="DA40" s="154" t="str">
        <f>AG33</f>
        <v>PF-S-16mm</v>
      </c>
      <c r="DB40" s="45"/>
      <c r="DC40" s="45"/>
      <c r="DD40" s="45"/>
      <c r="DE40" s="153" t="str">
        <f>IF(COUNTIF($DA$15:DA39,DA40)&gt;0,"",DA40)</f>
        <v/>
      </c>
      <c r="DF40" s="152">
        <f>AM33</f>
        <v>83.2</v>
      </c>
      <c r="DG40" s="32">
        <f t="shared" si="2"/>
        <v>0</v>
      </c>
      <c r="DH40" s="124">
        <f t="shared" si="3"/>
        <v>5</v>
      </c>
      <c r="DI40" s="149" t="str">
        <f t="shared" si="4"/>
        <v/>
      </c>
      <c r="DJ40" s="210" t="str">
        <f>BI33</f>
        <v>d4-13e</v>
      </c>
      <c r="DK40" s="154"/>
      <c r="DL40" s="154"/>
      <c r="DM40" s="45"/>
      <c r="DN40" s="45" t="str">
        <f>IF(COUNTIF($DJ$15:DJ39,DJ40)&gt;0,"",DJ40)</f>
        <v/>
      </c>
      <c r="DO40" s="209">
        <f>BN33</f>
        <v>34</v>
      </c>
      <c r="DP40" s="169">
        <f t="shared" si="5"/>
        <v>0</v>
      </c>
      <c r="DQ40" s="88">
        <v>4</v>
      </c>
    </row>
    <row r="41" spans="1:121" ht="11.25" customHeight="1" thickBot="1">
      <c r="A41" s="15"/>
      <c r="B41" s="23"/>
      <c r="C41" s="2300" t="s">
        <v>214</v>
      </c>
      <c r="D41" s="2301"/>
      <c r="E41" s="2301"/>
      <c r="F41" s="2301"/>
      <c r="G41" s="2301"/>
      <c r="H41" s="2301"/>
      <c r="I41" s="2302"/>
      <c r="J41" s="2297">
        <f>[5]照差!$K$45</f>
        <v>0.94339622641509435</v>
      </c>
      <c r="K41" s="2298"/>
      <c r="L41" s="2298"/>
      <c r="M41" s="2298"/>
      <c r="N41" s="2299" t="s">
        <v>230</v>
      </c>
      <c r="O41" s="2299"/>
      <c r="P41" s="2299"/>
      <c r="Q41" s="2299"/>
      <c r="R41" s="2299"/>
      <c r="S41" s="2299"/>
      <c r="T41" s="2299"/>
      <c r="U41" s="2299"/>
      <c r="V41" s="2366" t="str">
        <f>[5]照差!$W$45</f>
        <v>⑦</v>
      </c>
      <c r="W41" s="2366"/>
      <c r="X41" s="2366"/>
      <c r="Y41" s="2299" t="s">
        <v>135</v>
      </c>
      <c r="Z41" s="2299"/>
      <c r="AA41" s="2299"/>
      <c r="AB41" s="2299"/>
      <c r="AC41" s="2299"/>
      <c r="AD41" s="2299" t="s">
        <v>18</v>
      </c>
      <c r="AE41" s="2299"/>
      <c r="AF41" s="2299"/>
      <c r="AG41" s="2299"/>
      <c r="AH41" s="2299"/>
      <c r="AI41" s="2337" t="str">
        <f>IF($B$2=0,"",IF(AQ41="","非:天井ケーブル",AQ41))</f>
        <v>非:天井ケーブル</v>
      </c>
      <c r="AJ41" s="2337"/>
      <c r="AK41" s="2337"/>
      <c r="AL41" s="2337"/>
      <c r="AM41" s="2337"/>
      <c r="AN41" s="2337"/>
      <c r="AO41" s="2337"/>
      <c r="AP41" s="175" t="s">
        <v>103</v>
      </c>
      <c r="AQ41" s="2338"/>
      <c r="AR41" s="2338"/>
      <c r="AS41" s="2338"/>
      <c r="AT41" s="2338"/>
      <c r="AU41" s="2338"/>
      <c r="AV41" s="2338"/>
      <c r="AW41" s="2338"/>
      <c r="AX41" s="2299" t="s">
        <v>212</v>
      </c>
      <c r="AY41" s="2299"/>
      <c r="AZ41" s="2299"/>
      <c r="BA41" s="2299"/>
      <c r="BB41" s="2299"/>
      <c r="BC41" s="2337" t="str">
        <f>IF($B$2=0,"",IF(BK41="","誘:天井ケーブル",BK41))</f>
        <v>誘:天井ケーブル</v>
      </c>
      <c r="BD41" s="2337"/>
      <c r="BE41" s="2337"/>
      <c r="BF41" s="2337"/>
      <c r="BG41" s="2337"/>
      <c r="BH41" s="2337"/>
      <c r="BI41" s="2337"/>
      <c r="BJ41" s="175" t="s">
        <v>103</v>
      </c>
      <c r="BK41" s="2338"/>
      <c r="BL41" s="2338"/>
      <c r="BM41" s="2338"/>
      <c r="BN41" s="2338"/>
      <c r="BO41" s="2338"/>
      <c r="BP41" s="2338"/>
      <c r="BQ41" s="2338"/>
      <c r="BR41" s="2299"/>
      <c r="BS41" s="2299"/>
      <c r="BT41" s="2299"/>
      <c r="BU41" s="19"/>
      <c r="BV41" s="8">
        <v>44</v>
      </c>
      <c r="BW41" s="88" t="s">
        <v>229</v>
      </c>
      <c r="BX41" s="88" t="s">
        <v>228</v>
      </c>
      <c r="BY41" s="2336" t="s">
        <v>126</v>
      </c>
      <c r="BZ41" s="2336"/>
      <c r="CA41" s="2336"/>
      <c r="CB41" s="2336"/>
      <c r="CC41" s="2336" t="s">
        <v>125</v>
      </c>
      <c r="CD41" s="2336"/>
      <c r="CE41" s="2336"/>
      <c r="CF41" s="2336"/>
      <c r="CG41" s="2336" t="s">
        <v>124</v>
      </c>
      <c r="CH41" s="2336"/>
      <c r="CI41" s="2336"/>
      <c r="CJ41" s="2336"/>
      <c r="CK41" s="2336" t="s">
        <v>123</v>
      </c>
      <c r="CL41" s="2336"/>
      <c r="CM41" s="2336"/>
      <c r="CN41" s="2336"/>
      <c r="CO41" s="88" t="s">
        <v>227</v>
      </c>
      <c r="CP41" s="88" t="s">
        <v>226</v>
      </c>
      <c r="CQ41" s="88" t="s">
        <v>225</v>
      </c>
      <c r="CR41" s="88" t="s">
        <v>227</v>
      </c>
      <c r="CS41" s="88" t="s">
        <v>226</v>
      </c>
      <c r="CT41" s="221" t="s">
        <v>225</v>
      </c>
      <c r="CU41" s="264">
        <f>IF(BW42="","",SUM(CP42:CP45)+CS42+CS43)</f>
        <v>144</v>
      </c>
      <c r="CV41" s="264">
        <f>IF(BW42="","",SUM(CQ42:CQ45)+CT42+CT43)</f>
        <v>222.240637847507</v>
      </c>
      <c r="CW41" s="216"/>
      <c r="CX41" s="8"/>
      <c r="CY41" s="197">
        <f t="shared" si="0"/>
        <v>3</v>
      </c>
      <c r="CZ41" s="197" t="str">
        <f t="shared" si="1"/>
        <v/>
      </c>
      <c r="DA41" s="10" t="str">
        <f>C37</f>
        <v>VV-F 2.0mm-2C</v>
      </c>
      <c r="DB41" s="8"/>
      <c r="DC41" s="8"/>
      <c r="DD41" s="8"/>
      <c r="DE41" s="249" t="str">
        <f>IF(COUNTIF($DA$15:DA40,DA41)&gt;0,"",DA41)</f>
        <v/>
      </c>
      <c r="DF41" s="26">
        <f>S37</f>
        <v>145.30000000000001</v>
      </c>
      <c r="DG41" s="32">
        <f t="shared" si="2"/>
        <v>0</v>
      </c>
      <c r="DH41" s="198">
        <f t="shared" si="3"/>
        <v>5</v>
      </c>
      <c r="DI41" s="199" t="str">
        <f t="shared" si="4"/>
        <v/>
      </c>
      <c r="DJ41" s="10" t="str">
        <f>AQ36</f>
        <v>Xh1-Ae</v>
      </c>
      <c r="DK41" s="10"/>
      <c r="DL41" s="10"/>
      <c r="DM41" s="8"/>
      <c r="DN41" s="249" t="str">
        <f>IF(COUNTIF($DJ$15:DJ40,DJ41)&gt;0,"",DJ41)</f>
        <v/>
      </c>
      <c r="DO41" s="200">
        <f>AZ36</f>
        <v>8</v>
      </c>
      <c r="DP41" s="32">
        <f t="shared" si="5"/>
        <v>0</v>
      </c>
      <c r="DQ41" s="8"/>
    </row>
    <row r="42" spans="1:121" ht="11.25" customHeight="1">
      <c r="A42" s="15"/>
      <c r="B42" s="23"/>
      <c r="C42" s="2367" t="str">
        <f>[5]照差!$C$46</f>
        <v xml:space="preserve">  3F</v>
      </c>
      <c r="D42" s="2368"/>
      <c r="E42" s="2369"/>
      <c r="F42" s="2370">
        <f>[5]照差!$G$46</f>
        <v>4</v>
      </c>
      <c r="G42" s="2371"/>
      <c r="H42" s="2371"/>
      <c r="I42" s="2372"/>
      <c r="J42" s="2370">
        <f>[5]照差!$J$46</f>
        <v>3</v>
      </c>
      <c r="K42" s="2373"/>
      <c r="L42" s="2373"/>
      <c r="M42" s="2374"/>
      <c r="N42" s="2330">
        <f>[5]照差!$M$46</f>
        <v>3816</v>
      </c>
      <c r="O42" s="2331"/>
      <c r="P42" s="2331"/>
      <c r="Q42" s="2331"/>
      <c r="R42" s="2332"/>
      <c r="S42" s="2330">
        <f>[5]照差!$Q$46</f>
        <v>2671.2</v>
      </c>
      <c r="T42" s="2331"/>
      <c r="U42" s="2331"/>
      <c r="V42" s="2332"/>
      <c r="W42" s="2330">
        <f>[5]照差!$U$46</f>
        <v>1144.8000000000002</v>
      </c>
      <c r="X42" s="2331"/>
      <c r="Y42" s="2331"/>
      <c r="Z42" s="2332"/>
      <c r="AA42" s="2340">
        <f>[5]照差!$Y$46</f>
        <v>9</v>
      </c>
      <c r="AB42" s="2341"/>
      <c r="AC42" s="2342"/>
      <c r="AD42" s="2343">
        <f>[5]照差!$AB$46</f>
        <v>29</v>
      </c>
      <c r="AE42" s="2344"/>
      <c r="AF42" s="2345"/>
      <c r="AG42" s="2346">
        <f>IF(OR(C42="",C42="  RF"),"",2+INT(N42/1000))</f>
        <v>5</v>
      </c>
      <c r="AH42" s="2346"/>
      <c r="AI42" s="2346"/>
      <c r="AJ42" s="2346"/>
      <c r="AK42" s="2346"/>
      <c r="AL42" s="2346">
        <f>IF(OR(C42="",C42="  RF"),"",1+INT(N42/500))</f>
        <v>8</v>
      </c>
      <c r="AM42" s="2346"/>
      <c r="AN42" s="2346"/>
      <c r="AO42" s="2346"/>
      <c r="AP42" s="2346"/>
      <c r="AQ42" s="2347" t="str">
        <f>IF(OR(C42="",AL40="設置しない"),"",IF(OR(AND(LEFT($C$18,2)=" B",[6]Top!$U$72&lt;&gt;""),AND(LEFT($C$18,3)="  1",[6]Top!$U$73&lt;&gt;""),AND(LEFT($C$18,3)="  2",[6]Top!$U$75&lt;&gt;""),AND(LEFT($C$18,3)="  3",[6]Top!$U$77&lt;&gt;""),[6]Top!$U$79&lt;&gt;"",[6]Top!$U$81&lt;&gt;""),"Xh1-Ae",IF(OR(AND(LEFT($C$18,2)=" B",[6]Top!$U$72="BL"),AND(LEFT($C$18,3)="  1",[6]Top!$U$73="BL"),AND(LEFT($C$18,3)="  2",[6]Top!$U$75="BL"),AND(LEFT($C$18,3)="  3",[6]Top!$U$77="BL"),[6]Top!$U$79="BL",[6]Top!$U$81="BL"),"Xh1-BLe","")))</f>
        <v>Xh1-Ae</v>
      </c>
      <c r="AR42" s="2348"/>
      <c r="AS42" s="2348"/>
      <c r="AT42" s="2348"/>
      <c r="AU42" s="2348"/>
      <c r="AV42" s="2348"/>
      <c r="AW42" s="2348"/>
      <c r="AX42" s="2348"/>
      <c r="AY42" s="2349"/>
      <c r="AZ42" s="2353">
        <f>IF(OR(N42="",AQ42=""),"",IF(BC42&lt;&gt;"",BC42,1+INT(N42/500)))</f>
        <v>8</v>
      </c>
      <c r="BA42" s="2354"/>
      <c r="BB42" s="2355"/>
      <c r="BC42" s="2305"/>
      <c r="BD42" s="2305"/>
      <c r="BE42" s="2305"/>
      <c r="BF42" s="2281" t="str">
        <f>IF(C42="","",IF(OR(AND(LEFT(C42,2)=" B",[6]Top!$AD$72="要"),AND(LEFT(C42,3)="  1",[6]Top!$AD$73="要"),AND(LEFT(C42,3)="  2",[6]Top!$AD$75="要"),AND(LEFT(C42,3)="  3",[6]Top!$AD$77="要"),[6]Top!$AD$79="C",[6]Top!$AD$81="要"),"Ya1-Ce",""))</f>
        <v>Ya1-Ce</v>
      </c>
      <c r="BG42" s="2281"/>
      <c r="BH42" s="2281"/>
      <c r="BI42" s="2281"/>
      <c r="BJ42" s="2281"/>
      <c r="BK42" s="2281"/>
      <c r="BL42" s="2281"/>
      <c r="BM42" s="2281"/>
      <c r="BN42" s="2281"/>
      <c r="BO42" s="2304">
        <f>IF(OR(C42="",C42="  RF"),"",IF(BR42&lt;&gt;"",BR42,1+INT((BW42+BX42)/20)))</f>
        <v>4</v>
      </c>
      <c r="BP42" s="2304"/>
      <c r="BQ42" s="2304"/>
      <c r="BR42" s="2339"/>
      <c r="BS42" s="2339"/>
      <c r="BT42" s="2339"/>
      <c r="BU42" s="19"/>
      <c r="BV42" s="8">
        <v>5</v>
      </c>
      <c r="BW42" s="98">
        <f>IF(OR(C42="",C42="  RF"),0,SQRT(N42*J41)/2)</f>
        <v>30</v>
      </c>
      <c r="BX42" s="98">
        <f>IF(OR(C42="",C42="  RF"),0,SQRT(N42/J41)/2)</f>
        <v>31.8</v>
      </c>
      <c r="BY42" s="88" t="s">
        <v>204</v>
      </c>
      <c r="BZ42" s="92">
        <f>IF(OR($BW$10=0,AL40="設置しない",C42="  RF",C42=""),0,IF(LEFT(C42,2)&lt;&gt;"PH",AG42*BW43/2,BW43))</f>
        <v>122.25</v>
      </c>
      <c r="CA42" s="88" t="s">
        <v>205</v>
      </c>
      <c r="CB42" s="88">
        <f>IF(OR($BW$10=0,AL40="設置しない",C42="  RF",C42=""),0,IF(LEFT(C42,2)="PH",0,(BN44-1)*SQRT(S42/BN44)))</f>
        <v>248.08153498396447</v>
      </c>
      <c r="CC42" s="88" t="s">
        <v>204</v>
      </c>
      <c r="CD42" s="262">
        <f>IF(OR($BW$10=0,AL40="設置しない",F42=0),0,AG42*(F42-0.1-($Y$7-$AN$8)/1000))</f>
        <v>23</v>
      </c>
      <c r="CE42" s="88" t="s">
        <v>205</v>
      </c>
      <c r="CF42" s="88">
        <f>IF(OR($BW$10=0,AL40="設置しない",LEFT(C42,2)="PH",C42="  RF",C42=""),0,(2*BN44-1)*$AN$7/1000)</f>
        <v>39.200000000000003</v>
      </c>
      <c r="CG42" s="88" t="s">
        <v>204</v>
      </c>
      <c r="CH42" s="92">
        <f>IF(OR($BW$10=0,AL40="設置しない",AI41="非:天井ケーブル"),0,BZ42)</f>
        <v>0</v>
      </c>
      <c r="CI42" s="88" t="s">
        <v>205</v>
      </c>
      <c r="CJ42" s="88">
        <f>IF(OR($BW$10=0,AL40="設置しない",AI41="非:天井ケーブル"),0,CB42)</f>
        <v>0</v>
      </c>
      <c r="CK42" s="88" t="s">
        <v>204</v>
      </c>
      <c r="CL42" s="92">
        <f>IF(OR($BW$10=0,AL40="設置しない",C42="  RF",C42=""),0,IF(J42="直天",AG42*(F42-$Y$7/1000),AG42*(J42+0.1-$Y$7/1000)))</f>
        <v>6.5</v>
      </c>
      <c r="CM42" s="220"/>
      <c r="CN42" s="219"/>
      <c r="CO42" s="134">
        <f>IF(AZ42="",0,VLOOKUP(AQ42,[7]建物1802!$E$5:$AL$3275,33,FALSE)*AZ42)</f>
        <v>151.84</v>
      </c>
      <c r="CP42" s="136">
        <f>IF(AZ42="",0,VLOOKUP(AQ42,[7]建物1802!$E$5:$AL$3275,30,FALSE)*AZ42)</f>
        <v>84</v>
      </c>
      <c r="CQ42" s="136">
        <f>IF(CO42="","",SQRT(CO42^2-CP42^2))</f>
        <v>126.48867775417688</v>
      </c>
      <c r="CR42" s="189">
        <f>IF(BO42="",0,VLOOKUP(BF42,[7]建物1802!$E$5:$AL$3275,33,FALSE)*BO42)</f>
        <v>16</v>
      </c>
      <c r="CS42" s="189">
        <f>IF(BO42="",0,VLOOKUP(BF42,[7]建物1802!$E$5:$AL$3275,30,FALSE)*BO42)</f>
        <v>7.6</v>
      </c>
      <c r="CT42" s="259">
        <f>IF(CR42="",0,SQRT(CR42^2-CS42^2))</f>
        <v>14.079772725438433</v>
      </c>
      <c r="CU42" s="14"/>
      <c r="CV42" s="14"/>
      <c r="CW42" s="216"/>
      <c r="CX42" s="8"/>
      <c r="CY42" s="197">
        <f t="shared" si="0"/>
        <v>3</v>
      </c>
      <c r="CZ42" s="197" t="str">
        <f t="shared" si="1"/>
        <v/>
      </c>
      <c r="DA42" s="10" t="str">
        <f>W37</f>
        <v>VV-F 2.0mm-2C</v>
      </c>
      <c r="DB42" s="8"/>
      <c r="DC42" s="8"/>
      <c r="DD42" s="8"/>
      <c r="DE42" s="249" t="str">
        <f>IF(COUNTIF($DA$15:DA41,DA42)&gt;0,"",DA42)</f>
        <v/>
      </c>
      <c r="DF42" s="26">
        <f>AM37</f>
        <v>105.4</v>
      </c>
      <c r="DG42" s="32">
        <f t="shared" si="2"/>
        <v>0</v>
      </c>
      <c r="DH42" s="198">
        <f t="shared" si="3"/>
        <v>5</v>
      </c>
      <c r="DI42" s="124" t="str">
        <f t="shared" si="4"/>
        <v/>
      </c>
      <c r="DJ42" s="10" t="str">
        <f>AQ37</f>
        <v>Xh1-Ae</v>
      </c>
      <c r="DK42" s="10"/>
      <c r="DL42" s="10"/>
      <c r="DM42" s="8"/>
      <c r="DN42" s="8" t="str">
        <f>IF(COUNTIF($DJ$15:DJ41,DJ42)&gt;0,"",DJ42)</f>
        <v/>
      </c>
      <c r="DO42" s="200">
        <f>AZ37</f>
        <v>6</v>
      </c>
      <c r="DP42" s="32">
        <f t="shared" si="5"/>
        <v>0</v>
      </c>
      <c r="DQ42" s="8"/>
    </row>
    <row r="43" spans="1:121" ht="11.25" customHeight="1">
      <c r="A43" s="15">
        <v>5</v>
      </c>
      <c r="B43" s="176"/>
      <c r="C43" s="2378" t="str">
        <f>IF(C42="","",IF(K43="","VV-F 2.0mm-2C",K43))</f>
        <v>VV-F 2.0mm-2C</v>
      </c>
      <c r="D43" s="2379"/>
      <c r="E43" s="2379"/>
      <c r="F43" s="2379"/>
      <c r="G43" s="2379"/>
      <c r="H43" s="2379"/>
      <c r="I43" s="2379"/>
      <c r="J43" s="2380"/>
      <c r="K43" s="2313"/>
      <c r="L43" s="2314"/>
      <c r="M43" s="2314"/>
      <c r="N43" s="2314"/>
      <c r="O43" s="2314"/>
      <c r="P43" s="2314"/>
      <c r="Q43" s="2314"/>
      <c r="R43" s="2315"/>
      <c r="S43" s="2312">
        <f>IF(OR(C42="",AL40="設置しない",BH40="設置しない"),"",ROUND((BZ42+CD42),1))</f>
        <v>145.30000000000001</v>
      </c>
      <c r="T43" s="2312"/>
      <c r="U43" s="2312"/>
      <c r="V43" s="2312"/>
      <c r="W43" s="2306" t="str">
        <f>IF(C42="","",IF(AE43="","VV-F 2.0mm-2C",AE43))</f>
        <v>VV-F 2.0mm-2C</v>
      </c>
      <c r="X43" s="2307"/>
      <c r="Y43" s="2307"/>
      <c r="Z43" s="2307"/>
      <c r="AA43" s="2307"/>
      <c r="AB43" s="2307"/>
      <c r="AC43" s="2307"/>
      <c r="AD43" s="2308"/>
      <c r="AE43" s="2313"/>
      <c r="AF43" s="2314"/>
      <c r="AG43" s="2314"/>
      <c r="AH43" s="2314"/>
      <c r="AI43" s="2314"/>
      <c r="AJ43" s="2314"/>
      <c r="AK43" s="2314"/>
      <c r="AL43" s="2315"/>
      <c r="AM43" s="2312">
        <f>IF(OR(C42="",,AL40="設置しない",BH40="設置しない"),"",ROUND(BZ45,1))</f>
        <v>110.5</v>
      </c>
      <c r="AN43" s="2312"/>
      <c r="AO43" s="2312"/>
      <c r="AP43" s="2312"/>
      <c r="AQ43" s="2347" t="str">
        <f>IF(OR(C42="",AL40="設置しない"),"",IF(OR(AND(LEFT($C$18,2)=" B",[6]Top!$U$72&lt;&gt;""),AND(LEFT($C$18,3)="  1",[6]Top!$U$73&lt;&gt;""),AND(LEFT($C$18,3)="  2",[6]Top!$U$75&lt;&gt;""),AND(LEFT($C$18,3)="  3",[6]Top!$U$77&lt;&gt;""),[6]Top!$U$79&lt;&gt;"",[6]Top!$U$81&lt;&gt;""),"Xh1-Ae",IF(OR(AND(LEFT($C$18,2)=" B",[6]Top!$U$72="BL"),AND(LEFT($C$18,3)="  1",[6]Top!$U$73="BL"),AND(LEFT($C$18,3)="  2",[6]Top!$U$75="BL"),AND(LEFT($C$18,3)="  3",[6]Top!$U$77="BL"),[6]Top!$U$79="BL",[6]Top!$U$81="BL"),"Xh1-BLe","")))</f>
        <v>Xh1-Ae</v>
      </c>
      <c r="AR43" s="2348"/>
      <c r="AS43" s="2348"/>
      <c r="AT43" s="2348"/>
      <c r="AU43" s="2348"/>
      <c r="AV43" s="2348"/>
      <c r="AW43" s="2348"/>
      <c r="AX43" s="2348"/>
      <c r="AY43" s="2349"/>
      <c r="AZ43" s="2304">
        <f>IF(AA42="","",IF(BC43&lt;&gt;"",BC43,IF(AQ43&lt;&gt;"",1+INT(AA42/3),"")))</f>
        <v>4</v>
      </c>
      <c r="BA43" s="2304"/>
      <c r="BB43" s="2304"/>
      <c r="BC43" s="2305"/>
      <c r="BD43" s="2305"/>
      <c r="BE43" s="2305"/>
      <c r="BF43" s="2281" t="str">
        <f>IF(C42="","",IF(OR(AND(LEFT(C42,2)=" B",[6]Top!$AF$72="要"),AND(LEFT(C42,3)="  1",[6]Top!$AF$73="要"),AND(LEFT(C42,3)="  2",[6]Top!$AF$75="要"),AND(LEFT(C42,3)="  3",[6]Top!$AF$77="要"),[6]Top!$AF$79="要",[6]Top!$AF$81="要"),"D15V-321PXe",""))</f>
        <v/>
      </c>
      <c r="BG43" s="2281"/>
      <c r="BH43" s="2281"/>
      <c r="BI43" s="2282"/>
      <c r="BJ43" s="2282"/>
      <c r="BK43" s="2282"/>
      <c r="BL43" s="2282"/>
      <c r="BM43" s="2282"/>
      <c r="BN43" s="2282"/>
      <c r="BO43" s="2283" t="str">
        <f>IF(OR(C42="",C42="  RF",BF43=""),"",IF(BR43&lt;&gt;"",BR43,2*(1+INT(N42/500))))</f>
        <v/>
      </c>
      <c r="BP43" s="2283"/>
      <c r="BQ43" s="2283"/>
      <c r="BR43" s="2303"/>
      <c r="BS43" s="2303"/>
      <c r="BT43" s="2303"/>
      <c r="BU43" s="19"/>
      <c r="BV43" s="46" t="str">
        <f>V41</f>
        <v>⑦</v>
      </c>
      <c r="BW43" s="263">
        <f>IF(C42="","",IF(BV43="①",BW42+BX42+3,IF(BV43="②",BW42*5/8+BX42+3,IF(BV43="③",BW42/2+BX42+3,IF(BV43="④",BW42+BX42*5/8+3,IF(BV43="⑤",(BW42+BX42)*5/8+3,IF(BV43="⑥",BW42/2+BX42*5/8+3,IF(BV43="⑦",BW42+BX42/2+3,IF(BV43="⑧",BW42*5/8+BX42/2+3,IF(BV43="⑨",(BW42+BX42)/2+3))))))))))</f>
        <v>48.9</v>
      </c>
      <c r="BX43" s="8"/>
      <c r="BY43" s="88" t="s">
        <v>202</v>
      </c>
      <c r="BZ43" s="92">
        <f>IF(OR($BW$10=0,BH40="設置しない",C42="  RF",C42=""),0,IF(LEFT(C42,2)&lt;&gt;"PH",AL42*BW43/2,BW43))</f>
        <v>195.6</v>
      </c>
      <c r="CA43" s="88" t="s">
        <v>203</v>
      </c>
      <c r="CB43" s="88">
        <f>IF(OR($BW$10=0,AY40="設置しない",BN45=""),0,(BN45-1)*SQRT(W42/BN45))</f>
        <v>191.48699848354013</v>
      </c>
      <c r="CC43" s="88" t="s">
        <v>202</v>
      </c>
      <c r="CD43" s="262">
        <f>IF(OR($BW$10=0,BH40="設置しない",F42=0),0,AG42*(F42-0.1-($AN$8-$Y$7)/1000))</f>
        <v>16</v>
      </c>
      <c r="CE43" s="88" t="s">
        <v>203</v>
      </c>
      <c r="CF43" s="88">
        <f>IF(OR($BW$10=0,BH40="設置しない",BN45=""),0,(2*BN45-1)*$AN$7/1000)</f>
        <v>53.6</v>
      </c>
      <c r="CG43" s="88" t="s">
        <v>202</v>
      </c>
      <c r="CH43" s="92">
        <f>IF(OR($BW$10=0,BH40="設置しない",AI41="非:天井ケーブル"),0,BZ43)</f>
        <v>0</v>
      </c>
      <c r="CI43" s="88" t="s">
        <v>203</v>
      </c>
      <c r="CJ43" s="88">
        <f>IF(OR($BW$10=0,BH40="設置しない",AI41="非:天井ケーブル"),0,CB43)</f>
        <v>0</v>
      </c>
      <c r="CK43" s="88" t="s">
        <v>202</v>
      </c>
      <c r="CL43" s="92">
        <f>IF(OR($BW$10=0,BH40="設置しない",C42="  RF",C42=""),0,IF(J42="直天",AG42*(F42-$Y$7/1000),AG42*(J42+0.1-$Y$7/1000)))</f>
        <v>6.5</v>
      </c>
      <c r="CM43" s="141"/>
      <c r="CN43" s="142"/>
      <c r="CO43" s="136">
        <f>IF(AZ43="",0,(VLOOKUP(AQ43,[7]建物1802!$E$5:$AL$3275,33,FALSE))*AZ43)</f>
        <v>75.92</v>
      </c>
      <c r="CP43" s="136">
        <f>IF(AZ43="",0,VLOOKUP(AQ43,[7]建物1802!$E$5:$AL$3275,30,FALSE)*AZ43)</f>
        <v>42</v>
      </c>
      <c r="CQ43" s="136">
        <f>IF(CO43="","",SQRT(CO43^2-CP43^2))</f>
        <v>63.244338877088438</v>
      </c>
      <c r="CR43" s="189">
        <f>IF(BO43="",0,VLOOKUP(BF43,[7]建物1802!$E$5:$AL$3275,33,FALSE)*BO43)</f>
        <v>0</v>
      </c>
      <c r="CS43" s="189">
        <f>IF(BO43="",0,VLOOKUP(BF43,[7]建物1802!$E$5:$AL$3275,30,FALSE)*BO43)</f>
        <v>0</v>
      </c>
      <c r="CT43" s="259">
        <f>IF(CR43="",0,SQRT(CR43^2-CS43^2))</f>
        <v>0</v>
      </c>
      <c r="CU43" s="14"/>
      <c r="CV43" s="14"/>
      <c r="CW43" s="216"/>
      <c r="CX43" s="8"/>
      <c r="CY43" s="197">
        <f t="shared" si="0"/>
        <v>3</v>
      </c>
      <c r="CZ43" s="197" t="str">
        <f t="shared" si="1"/>
        <v/>
      </c>
      <c r="DA43" s="10" t="str">
        <f>C38</f>
        <v>VV-F 1.6mm-2C</v>
      </c>
      <c r="DB43" s="8"/>
      <c r="DC43" s="8"/>
      <c r="DD43" s="8"/>
      <c r="DE43" s="249" t="str">
        <f>IF(COUNTIF($DA$15:DA42,DA43)&gt;0,"",DA43)</f>
        <v/>
      </c>
      <c r="DF43" s="26">
        <f>S38</f>
        <v>1009</v>
      </c>
      <c r="DG43" s="32">
        <f t="shared" si="2"/>
        <v>0</v>
      </c>
      <c r="DH43" s="198">
        <f t="shared" si="3"/>
        <v>5</v>
      </c>
      <c r="DI43" s="124" t="str">
        <f t="shared" si="4"/>
        <v/>
      </c>
      <c r="DJ43" s="10" t="str">
        <f>AQ38</f>
        <v/>
      </c>
      <c r="DK43" s="10"/>
      <c r="DL43" s="10"/>
      <c r="DM43" s="8"/>
      <c r="DN43" s="8" t="str">
        <f>IF(COUNTIF($DJ$15:DJ42,DJ43)&gt;0,"",DJ43)</f>
        <v/>
      </c>
      <c r="DO43" s="200" t="str">
        <f>AZ38</f>
        <v/>
      </c>
      <c r="DP43" s="13">
        <f t="shared" si="5"/>
        <v>0</v>
      </c>
      <c r="DQ43" s="8"/>
    </row>
    <row r="44" spans="1:121" ht="11.25" customHeight="1">
      <c r="A44" s="15"/>
      <c r="B44" s="23"/>
      <c r="C44" s="2378" t="str">
        <f>IF(C42="","",IF(K44="","VV-F 1.6mm-2C",K44))</f>
        <v>VV-F 1.6mm-2C</v>
      </c>
      <c r="D44" s="2379"/>
      <c r="E44" s="2379"/>
      <c r="F44" s="2379"/>
      <c r="G44" s="2379"/>
      <c r="H44" s="2379"/>
      <c r="I44" s="2379"/>
      <c r="J44" s="2380"/>
      <c r="K44" s="2313"/>
      <c r="L44" s="2314"/>
      <c r="M44" s="2314"/>
      <c r="N44" s="2314"/>
      <c r="O44" s="2314"/>
      <c r="P44" s="2314"/>
      <c r="Q44" s="2314"/>
      <c r="R44" s="2315"/>
      <c r="S44" s="2312">
        <f>IF(OR(C42="",C42="  RF"),"",INT(CB42+CB43+CF42+CF43+CD44))</f>
        <v>967</v>
      </c>
      <c r="T44" s="2312"/>
      <c r="U44" s="2312"/>
      <c r="V44" s="2312"/>
      <c r="W44" s="2306" t="str">
        <f>IF(C42="","",IF(AE44="","VV-F 1.6mm-2C",AE44))</f>
        <v>VV-F 1.6mm-2C</v>
      </c>
      <c r="X44" s="2307"/>
      <c r="Y44" s="2307"/>
      <c r="Z44" s="2307"/>
      <c r="AA44" s="2307"/>
      <c r="AB44" s="2307"/>
      <c r="AC44" s="2307"/>
      <c r="AD44" s="2308"/>
      <c r="AE44" s="2313"/>
      <c r="AF44" s="2314"/>
      <c r="AG44" s="2314"/>
      <c r="AH44" s="2314"/>
      <c r="AI44" s="2314"/>
      <c r="AJ44" s="2314"/>
      <c r="AK44" s="2314"/>
      <c r="AL44" s="2315"/>
      <c r="AM44" s="2306">
        <f>IF(OR(C42="",C42="  RF"),"",INT(CB45+CD44))</f>
        <v>761</v>
      </c>
      <c r="AN44" s="2307"/>
      <c r="AO44" s="2307"/>
      <c r="AP44" s="2308"/>
      <c r="AQ44" s="2309" t="str">
        <f>IF(OR(C42="",S42=""),"",IF(OR(AND(LEFT(C42,2)=" B",[8]非誘!$W$72="C"),AND(LEFT(C42,3)="  1",[8]非誘!$W$74="C"),AND(LEFT(C42,3)="  2",[8]非誘!$W$76="C"),AND(LEFT(C42,3)="  3",[8]非誘!$W$78="C"),[8]非誘!$W$80="C",[8]非誘!$W$81="C"),"Yd2-BHe",""))</f>
        <v/>
      </c>
      <c r="AR44" s="2310"/>
      <c r="AS44" s="2310"/>
      <c r="AT44" s="2310"/>
      <c r="AU44" s="2310"/>
      <c r="AV44" s="2310"/>
      <c r="AW44" s="2310"/>
      <c r="AX44" s="2310"/>
      <c r="AY44" s="2311"/>
      <c r="AZ44" s="2304" t="str">
        <f>IF(AQ44="","",IF(OR(C42="",C42="  RF"),"",IF(BC44&lt;&gt;"",BC44,AA42)))</f>
        <v/>
      </c>
      <c r="BA44" s="2304"/>
      <c r="BB44" s="2304"/>
      <c r="BC44" s="2305"/>
      <c r="BD44" s="2305"/>
      <c r="BE44" s="2305"/>
      <c r="BF44" s="2316" t="s">
        <v>10</v>
      </c>
      <c r="BG44" s="2317"/>
      <c r="BH44" s="2318"/>
      <c r="BI44" s="2319" t="str">
        <f>IF(OR($BW$10=0,AL40="設置しない",C42="",C42="  RF"),"",IF(OR(AND(LEFT(C42,2)=" B",[6]Top!$O$72="要"),AND(LEFT(C42,3)="  1",[6]Top!$O$74="要"),AND(LEFT(C42,3)="  2",[6]Top!$O$76="要"),AND(LEFT(C42,3)="  3",[6]Top!$O$78="要"),[6]Top!$O$80="要",[6]Top!$O$81="要",$Y$9="設置する"),"d4-30e",""))</f>
        <v>d4-30e</v>
      </c>
      <c r="BJ44" s="2320"/>
      <c r="BK44" s="2320"/>
      <c r="BL44" s="2320"/>
      <c r="BM44" s="2321"/>
      <c r="BN44" s="2319">
        <f>IF(OR($BW$10=0,AL40="設置しない",C42="",C42="  RF"),"",IF(LEFT(C42,2)="PH","",IF(BR44&lt;&gt;"",BR44,IF((1+INT(S42/110))&lt;=AA42,AA42,1+INT(S42/110)))))</f>
        <v>25</v>
      </c>
      <c r="BO44" s="2320"/>
      <c r="BP44" s="2321"/>
      <c r="BQ44" s="31" t="s">
        <v>103</v>
      </c>
      <c r="BR44" s="2322"/>
      <c r="BS44" s="2323"/>
      <c r="BT44" s="2324"/>
      <c r="BU44" s="19"/>
      <c r="BV44" s="226"/>
      <c r="BW44" s="196"/>
      <c r="BX44" s="8"/>
      <c r="BY44" s="88" t="s">
        <v>200</v>
      </c>
      <c r="BZ44" s="222">
        <f>SUM(AZ42:BB45)+SUM(BO42:BQ45)</f>
        <v>20</v>
      </c>
      <c r="CA44" s="8"/>
      <c r="CB44" s="8"/>
      <c r="CC44" s="88" t="s">
        <v>121</v>
      </c>
      <c r="CD44" s="88">
        <f>IF($AW$8=0,0,2*($AW$8/1000-0.15-0.1)*(INT(1000*2*BW42/$AW$10)+1)*(INT(1000*2*BX42/$AW$10)+1)*4)</f>
        <v>435.59999999999991</v>
      </c>
      <c r="CE44" s="8"/>
      <c r="CF44" s="8"/>
      <c r="CG44" s="168"/>
      <c r="CH44" s="261"/>
      <c r="CI44" s="8"/>
      <c r="CJ44" s="8"/>
      <c r="CK44" s="168"/>
      <c r="CL44" s="261"/>
      <c r="CM44" s="8"/>
      <c r="CN44" s="8"/>
      <c r="CO44" s="136">
        <f>IF(AZ44="",0,VLOOKUP(AQ44,[7]建物1802!$E$5:$AL$3275,33,FALSE)*AZ44)</f>
        <v>0</v>
      </c>
      <c r="CP44" s="136">
        <f>IF(AZ44="",0,VLOOKUP(AQ44,[7]建物1802!$E$5:$AL$3275,30,FALSE)*AZ44)</f>
        <v>0</v>
      </c>
      <c r="CQ44" s="136">
        <f>IF(CO44="","",SQRT(CO44^2-CP44^2))</f>
        <v>0</v>
      </c>
      <c r="CR44" s="260"/>
      <c r="CS44" s="14"/>
      <c r="CT44" s="14"/>
      <c r="CU44" s="14"/>
      <c r="CV44" s="14"/>
      <c r="CW44" s="216"/>
      <c r="CX44" s="8"/>
      <c r="CY44" s="197">
        <f t="shared" si="0"/>
        <v>3</v>
      </c>
      <c r="CZ44" s="197" t="str">
        <f t="shared" si="1"/>
        <v/>
      </c>
      <c r="DA44" s="10" t="str">
        <f>W38</f>
        <v>VV-F 1.6mm-2C</v>
      </c>
      <c r="DB44" s="8"/>
      <c r="DC44" s="8"/>
      <c r="DD44" s="8"/>
      <c r="DE44" s="249" t="str">
        <f>IF(COUNTIF($DA$15:DA43,DA44)&gt;0,"",DA44)</f>
        <v/>
      </c>
      <c r="DF44" s="26">
        <f>AM38</f>
        <v>794</v>
      </c>
      <c r="DG44" s="32">
        <f t="shared" si="2"/>
        <v>0</v>
      </c>
      <c r="DH44" s="198">
        <f t="shared" si="3"/>
        <v>5</v>
      </c>
      <c r="DI44" s="124" t="str">
        <f t="shared" si="4"/>
        <v/>
      </c>
      <c r="DJ44" s="11" t="str">
        <f>AQ39</f>
        <v>Yd2-Ce</v>
      </c>
      <c r="DK44" s="11"/>
      <c r="DL44" s="11"/>
      <c r="DM44" s="9"/>
      <c r="DN44" s="9" t="str">
        <f>IF(COUNTIF($DJ$15:DJ43,DJ44)&gt;0,"",DJ44)</f>
        <v/>
      </c>
      <c r="DO44" s="101">
        <f>AZ39</f>
        <v>4</v>
      </c>
      <c r="DP44" s="13">
        <f t="shared" si="5"/>
        <v>0</v>
      </c>
      <c r="DQ44" s="9"/>
    </row>
    <row r="45" spans="1:121" ht="11.25" customHeight="1" thickBot="1">
      <c r="A45" s="15"/>
      <c r="B45" s="23"/>
      <c r="C45" s="2359" t="str">
        <f>IF(C42="","",IF(I45="","",IF(AI41="非:天井(C管)","C-19mm",IF(AI41="非:天井(G管)","G- 16mm","PF-S-16mm"))))</f>
        <v/>
      </c>
      <c r="D45" s="2360"/>
      <c r="E45" s="2360"/>
      <c r="F45" s="2360"/>
      <c r="G45" s="2360"/>
      <c r="H45" s="2360"/>
      <c r="I45" s="2335" t="str">
        <f>IF(OR(C42="",AL40="設置しない",BH40="設置しない",$BW$10=0,CH42=0,CJ42=0),"",IF(J42="直天",ROUND((BZ42+CB42),1),ROUND((CH42+CJ42),1)))</f>
        <v/>
      </c>
      <c r="J45" s="2335"/>
      <c r="K45" s="2335"/>
      <c r="L45" s="2335"/>
      <c r="M45" s="2359" t="str">
        <f>IF(C42="","",IF(S45="","",IF(BC41="誘:天井(C管)","C-19mm",IF(BC41="誘:天井(G管)","G- 16mm","PF-S-16mm"))))</f>
        <v/>
      </c>
      <c r="N45" s="2360"/>
      <c r="O45" s="2360"/>
      <c r="P45" s="2360"/>
      <c r="Q45" s="2360"/>
      <c r="R45" s="2361"/>
      <c r="S45" s="2312" t="str">
        <f>IF(OR(C42="",,AL40="設置しない",BH40="設置しない",$BW$10=0,CH45=0,CJ45=0),"",IF(J42="直天",ROUND((BZ45+CB45),1),ROUND((CH45+CJ45),1)))</f>
        <v/>
      </c>
      <c r="T45" s="2312"/>
      <c r="U45" s="2312"/>
      <c r="V45" s="2312"/>
      <c r="W45" s="2359" t="str">
        <f>IF(C42="","",IF($B$2=0,"",IF(OR(AI41="非:天井(C管)",AI41="非:床(C管)"),"C-19mm",IF(OR(AI41="非:天井(G管)",AI41="非:床(G管)"),"G-16mm",IF(AI41="非:床(CD管)","CD-16mm","PF-S-16mm")))))</f>
        <v>PF-S-16mm</v>
      </c>
      <c r="X45" s="2360"/>
      <c r="Y45" s="2360"/>
      <c r="Z45" s="2360"/>
      <c r="AA45" s="2360"/>
      <c r="AB45" s="2361"/>
      <c r="AC45" s="2362">
        <f>IF(OR(C42="",AL40="設置しない",BH40="設置しない"),"",ROUND(CL42,1))</f>
        <v>6.5</v>
      </c>
      <c r="AD45" s="2312"/>
      <c r="AE45" s="2312"/>
      <c r="AF45" s="2312"/>
      <c r="AG45" s="2333" t="str">
        <f>IF(C42="","",IF($B$2=0,"",IF(BC41="誘:天井(C管)","C-19mm",IF(BC41="誘:天井(G管)","G-16mm","PF-S-16mm"))))</f>
        <v>PF-S-16mm</v>
      </c>
      <c r="AH45" s="2333"/>
      <c r="AI45" s="2333"/>
      <c r="AJ45" s="2333"/>
      <c r="AK45" s="2333"/>
      <c r="AL45" s="2333"/>
      <c r="AM45" s="2334">
        <f>IF(OR(C42="",AL40="設置しない",BH40="設置しない"),"",ROUND((CL45+CN45),1))</f>
        <v>83.2</v>
      </c>
      <c r="AN45" s="2335"/>
      <c r="AO45" s="2335"/>
      <c r="AP45" s="2335"/>
      <c r="AQ45" s="2291" t="str">
        <f>IF(C42="","",IF(OR(AND(LEFT(C42,2)=" B",[6]Top!$AA$72="C"),AND(LEFT(C42,3)="  1",[6]Top!$AA$73="C"),AND(LEFT(C42,3)="  2",[6]Top!$AA$75="C"),AND(LEFT(C42,3)="  3",[6]Top!$AA$77="C"),[6]Top!$AA$79="C",[6]Top!$AA$81="C"),"Yd2-Ce",""))</f>
        <v>Yd2-Ce</v>
      </c>
      <c r="AR45" s="2292"/>
      <c r="AS45" s="2292"/>
      <c r="AT45" s="2292"/>
      <c r="AU45" s="2292"/>
      <c r="AV45" s="2292"/>
      <c r="AW45" s="2292"/>
      <c r="AX45" s="2292"/>
      <c r="AY45" s="2293"/>
      <c r="AZ45" s="2294">
        <f>IF(OR(C42="",C42="  RF",AQ45=""),"",IF(BC45&lt;&gt;"",BC45,1+INT((BW42+BX42)/20)))</f>
        <v>4</v>
      </c>
      <c r="BA45" s="2295"/>
      <c r="BB45" s="2296"/>
      <c r="BC45" s="2287"/>
      <c r="BD45" s="2287"/>
      <c r="BE45" s="2287"/>
      <c r="BF45" s="2363" t="s">
        <v>127</v>
      </c>
      <c r="BG45" s="2364"/>
      <c r="BH45" s="2365"/>
      <c r="BI45" s="2335" t="str">
        <f>IF(OR($BW$10=0,AY40="設置しない",C42="",C42="  RF"),"",IF(OR(AND(LEFT(C42,2)=" B",[6]Top!$O$72="要"),AND(LEFT(C42,3)="  1",[6]Top!$O$74="要"),AND(LEFT(C42,3)="  2",[6]Top!$O$76="要"),AND(LEFT(C42,3)="  3",[6]Top!$O$78="要"),[6]Top!$O$80="要",[6]Top!$O$81="要",$Y$10="設置する"),"d4-13e",""))</f>
        <v>d4-13e</v>
      </c>
      <c r="BJ45" s="2335"/>
      <c r="BK45" s="2335"/>
      <c r="BL45" s="2335"/>
      <c r="BM45" s="2335"/>
      <c r="BN45" s="2335">
        <f>IF(OR($BW$10=0,BH40="設置しない",C42="",C42="  RF"),"",IF(BR45&lt;&gt;"",BR45,INT(AD42*1.2)))</f>
        <v>34</v>
      </c>
      <c r="BO45" s="2335"/>
      <c r="BP45" s="2335"/>
      <c r="BQ45" s="31" t="s">
        <v>103</v>
      </c>
      <c r="BR45" s="2350"/>
      <c r="BS45" s="2351"/>
      <c r="BT45" s="2352"/>
      <c r="BU45" s="19"/>
      <c r="BV45" s="8"/>
      <c r="BW45" s="8"/>
      <c r="BX45" s="8"/>
      <c r="BY45" s="88" t="s">
        <v>199</v>
      </c>
      <c r="BZ45" s="151">
        <f>IF(AL42="",0,AL42*SQRT(N42/BZ44))</f>
        <v>110.50429855892484</v>
      </c>
      <c r="CA45" s="88" t="s">
        <v>198</v>
      </c>
      <c r="CB45" s="151">
        <f>IF(BZ44=0,0,(BZ44/3)*BW43)</f>
        <v>326</v>
      </c>
      <c r="CC45" s="88" t="s">
        <v>199</v>
      </c>
      <c r="CD45" s="151">
        <f>IF(F42=0,0,F42-0.25-$Y$7/1000)</f>
        <v>1.95</v>
      </c>
      <c r="CE45" s="88" t="s">
        <v>198</v>
      </c>
      <c r="CF45" s="151">
        <f>IF(F42=0,0,(2*(BZ44-BO42)-1)*$AN$7/1000+(2*BO42-1)*(F42-0.75))</f>
        <v>47.55</v>
      </c>
      <c r="CG45" s="88" t="s">
        <v>199</v>
      </c>
      <c r="CH45" s="151">
        <f>IF(BC41="誘:天井ケーブル",0,BZ45)</f>
        <v>0</v>
      </c>
      <c r="CI45" s="88" t="s">
        <v>198</v>
      </c>
      <c r="CJ45" s="151">
        <f>IF(BC41="誘:天井ケーブル",0,CB45)</f>
        <v>0</v>
      </c>
      <c r="CK45" s="88" t="s">
        <v>199</v>
      </c>
      <c r="CL45" s="259">
        <f>IF(F42=0,0,IF(J42="直天",AL42*(F42-$Y$7/1000),AL42*(J42+0.1-$Y$7/1000)))</f>
        <v>10.4</v>
      </c>
      <c r="CM45" s="88" t="s">
        <v>198</v>
      </c>
      <c r="CN45" s="151">
        <f>IF(F42=0,0,IF(J42="直天",BO42*(2*BO42-1)*(F42-0.5),BO42*(2*BO42-1)*(J42-0.4)))</f>
        <v>72.8</v>
      </c>
      <c r="CO45" s="136">
        <f>IF(AZ45="",0,VLOOKUP(AQ45,[7]建物1802!$E$5:$AL$3275,33,FALSE)*AZ45)</f>
        <v>21.16</v>
      </c>
      <c r="CP45" s="136">
        <f>IF(AZ45="",0,VLOOKUP(AQ45,[7]建物1802!$E$5:$AL$3275,30,FALSE)*AZ45)</f>
        <v>10.4</v>
      </c>
      <c r="CQ45" s="136">
        <f>IF(CO45="","",SQRT(CO45^2-CP45^2))</f>
        <v>18.42784849080326</v>
      </c>
      <c r="CR45" s="26"/>
      <c r="CS45" s="26"/>
      <c r="CT45" s="26"/>
      <c r="CU45" s="26"/>
      <c r="CV45" s="26"/>
      <c r="CW45" s="218"/>
      <c r="CX45" s="8"/>
      <c r="CY45" s="197">
        <f t="shared" si="0"/>
        <v>3</v>
      </c>
      <c r="CZ45" s="197" t="str">
        <f t="shared" si="1"/>
        <v/>
      </c>
      <c r="DA45" s="10" t="str">
        <f>C39</f>
        <v/>
      </c>
      <c r="DB45" s="8"/>
      <c r="DC45" s="8"/>
      <c r="DD45" s="8"/>
      <c r="DE45" s="249" t="str">
        <f>IF(COUNTIF($DA$15:DA44,DA45)&gt;0,"",DA45)</f>
        <v/>
      </c>
      <c r="DF45" s="26" t="str">
        <f>I39</f>
        <v/>
      </c>
      <c r="DG45" s="32">
        <f t="shared" si="2"/>
        <v>0</v>
      </c>
      <c r="DH45" s="198">
        <f t="shared" si="3"/>
        <v>5</v>
      </c>
      <c r="DI45" s="199" t="str">
        <f t="shared" si="4"/>
        <v/>
      </c>
      <c r="DJ45" s="11" t="str">
        <f>BF36</f>
        <v>Ya1-Ce</v>
      </c>
      <c r="DK45" s="11"/>
      <c r="DL45" s="11"/>
      <c r="DM45" s="9"/>
      <c r="DN45" s="9" t="str">
        <f>IF(COUNTIF($DJ$15:DJ44,DJ45)&gt;0,"",DJ45)</f>
        <v/>
      </c>
      <c r="DO45" s="101">
        <f>BO36</f>
        <v>4</v>
      </c>
      <c r="DP45" s="32">
        <f t="shared" si="5"/>
        <v>0</v>
      </c>
      <c r="DQ45" s="8"/>
    </row>
    <row r="46" spans="1:121" ht="11.25" customHeight="1" thickBot="1">
      <c r="A46" s="15"/>
      <c r="B46" s="23"/>
      <c r="C46" s="2391" t="s">
        <v>112</v>
      </c>
      <c r="D46" s="2391"/>
      <c r="E46" s="2391"/>
      <c r="F46" s="2391"/>
      <c r="G46" s="2391"/>
      <c r="H46" s="2391"/>
      <c r="I46" s="2288"/>
      <c r="J46" s="2356" t="str">
        <f>[5]照差!$I$51</f>
        <v>( 4 )</v>
      </c>
      <c r="K46" s="2357"/>
      <c r="L46" s="2358"/>
      <c r="M46" s="2375" t="str">
        <f>[5]照差!$M$51</f>
        <v>百貨店等</v>
      </c>
      <c r="N46" s="2376"/>
      <c r="O46" s="2376"/>
      <c r="P46" s="2376"/>
      <c r="Q46" s="2376"/>
      <c r="R46" s="2376"/>
      <c r="S46" s="2376"/>
      <c r="T46" s="2376"/>
      <c r="U46" s="2377"/>
      <c r="V46" s="2275" t="s">
        <v>232</v>
      </c>
      <c r="W46" s="2276"/>
      <c r="X46" s="2276"/>
      <c r="Y46" s="2276"/>
      <c r="Z46" s="2277"/>
      <c r="AA46" s="2278" t="str">
        <f>[6]Top!$I$34</f>
        <v>A</v>
      </c>
      <c r="AB46" s="2279"/>
      <c r="AC46" s="2280" t="s">
        <v>231</v>
      </c>
      <c r="AD46" s="2280"/>
      <c r="AE46" s="2280"/>
      <c r="AF46" s="2280"/>
      <c r="AG46" s="2280"/>
      <c r="AH46" s="2280"/>
      <c r="AI46" s="2280"/>
      <c r="AJ46" s="2280"/>
      <c r="AK46" s="2280"/>
      <c r="AL46" s="2356" t="str">
        <f>IF($BW$10=0,"設置しない",IF(AS46="","設置する",AS46))</f>
        <v>設置する</v>
      </c>
      <c r="AM46" s="2357"/>
      <c r="AN46" s="2357"/>
      <c r="AO46" s="2357"/>
      <c r="AP46" s="2357"/>
      <c r="AQ46" s="2358"/>
      <c r="AR46" s="265" t="s">
        <v>103</v>
      </c>
      <c r="AS46" s="2284"/>
      <c r="AT46" s="2285"/>
      <c r="AU46" s="2285"/>
      <c r="AV46" s="2285"/>
      <c r="AW46" s="2285"/>
      <c r="AX46" s="2286"/>
      <c r="AY46" s="2280" t="s">
        <v>215</v>
      </c>
      <c r="AZ46" s="2280"/>
      <c r="BA46" s="2280"/>
      <c r="BB46" s="2280"/>
      <c r="BC46" s="2280"/>
      <c r="BD46" s="2280"/>
      <c r="BE46" s="2280"/>
      <c r="BF46" s="2280"/>
      <c r="BG46" s="2280"/>
      <c r="BH46" s="2356" t="str">
        <f>IF($BW$10=0,"設置しない",IF(BO46="","設置する",BO46))</f>
        <v>設置する</v>
      </c>
      <c r="BI46" s="2357"/>
      <c r="BJ46" s="2357"/>
      <c r="BK46" s="2357"/>
      <c r="BL46" s="2357"/>
      <c r="BM46" s="2358"/>
      <c r="BN46" s="265" t="s">
        <v>103</v>
      </c>
      <c r="BO46" s="2284"/>
      <c r="BP46" s="2285"/>
      <c r="BQ46" s="2285"/>
      <c r="BR46" s="2285"/>
      <c r="BS46" s="2285"/>
      <c r="BT46" s="2286"/>
      <c r="BU46" s="19"/>
      <c r="BV46" s="8"/>
      <c r="BW46" s="8"/>
      <c r="BX46" s="8"/>
      <c r="BY46" s="9"/>
      <c r="BZ46" s="9"/>
      <c r="CA46" s="9"/>
      <c r="CB46" s="9"/>
      <c r="CC46" s="9"/>
      <c r="CD46" s="9"/>
      <c r="CE46" s="9"/>
      <c r="CF46" s="9"/>
      <c r="CG46" s="9"/>
      <c r="CH46" s="9"/>
      <c r="CI46" s="9"/>
      <c r="CJ46" s="9"/>
      <c r="CK46" s="9"/>
      <c r="CL46" s="9"/>
      <c r="CM46" s="9"/>
      <c r="CN46" s="9"/>
      <c r="CO46" s="266"/>
      <c r="CP46" s="266"/>
      <c r="CQ46" s="266"/>
      <c r="CR46" s="14"/>
      <c r="CS46" s="14"/>
      <c r="CT46" s="14"/>
      <c r="CU46" s="14"/>
      <c r="CV46" s="14"/>
      <c r="CW46" s="216"/>
      <c r="CX46" s="8"/>
      <c r="CY46" s="197">
        <f t="shared" si="0"/>
        <v>3</v>
      </c>
      <c r="CZ46" s="197" t="str">
        <f t="shared" si="1"/>
        <v/>
      </c>
      <c r="DA46" s="10" t="str">
        <f>M39</f>
        <v/>
      </c>
      <c r="DB46" s="8"/>
      <c r="DC46" s="8"/>
      <c r="DD46" s="8"/>
      <c r="DE46" s="249" t="str">
        <f>IF(COUNTIF($DA$15:DA45,DA46)&gt;0,"",DA46)</f>
        <v/>
      </c>
      <c r="DF46" s="26" t="str">
        <f>S39</f>
        <v/>
      </c>
      <c r="DG46" s="32">
        <f t="shared" si="2"/>
        <v>0</v>
      </c>
      <c r="DH46" s="198">
        <f t="shared" si="3"/>
        <v>5</v>
      </c>
      <c r="DI46" s="124" t="str">
        <f t="shared" si="4"/>
        <v/>
      </c>
      <c r="DJ46" s="11" t="str">
        <f>BF37</f>
        <v/>
      </c>
      <c r="DK46" s="11"/>
      <c r="DL46" s="11"/>
      <c r="DM46" s="9"/>
      <c r="DN46" s="9" t="str">
        <f>IF(COUNTIF($DJ$15:DJ45,DJ46)&gt;0,"",DJ46)</f>
        <v/>
      </c>
      <c r="DO46" s="101" t="str">
        <f>BO37</f>
        <v/>
      </c>
      <c r="DP46" s="13">
        <f t="shared" si="5"/>
        <v>0</v>
      </c>
      <c r="DQ46" s="9"/>
    </row>
    <row r="47" spans="1:121" ht="11.25" customHeight="1" thickBot="1">
      <c r="A47" s="15"/>
      <c r="B47" s="23"/>
      <c r="C47" s="2300" t="s">
        <v>214</v>
      </c>
      <c r="D47" s="2301"/>
      <c r="E47" s="2301"/>
      <c r="F47" s="2301"/>
      <c r="G47" s="2301"/>
      <c r="H47" s="2301"/>
      <c r="I47" s="2302"/>
      <c r="J47" s="2297">
        <f>[5]照差!$K$52</f>
        <v>0.5</v>
      </c>
      <c r="K47" s="2298"/>
      <c r="L47" s="2298"/>
      <c r="M47" s="2298"/>
      <c r="N47" s="2299" t="s">
        <v>230</v>
      </c>
      <c r="O47" s="2299"/>
      <c r="P47" s="2299"/>
      <c r="Q47" s="2299"/>
      <c r="R47" s="2299"/>
      <c r="S47" s="2299"/>
      <c r="T47" s="2299"/>
      <c r="U47" s="2299"/>
      <c r="V47" s="2366" t="str">
        <f>[5]照差!$W$52</f>
        <v>⑦</v>
      </c>
      <c r="W47" s="2366"/>
      <c r="X47" s="2366"/>
      <c r="Y47" s="2299" t="s">
        <v>135</v>
      </c>
      <c r="Z47" s="2299"/>
      <c r="AA47" s="2299"/>
      <c r="AB47" s="2299"/>
      <c r="AC47" s="2299"/>
      <c r="AD47" s="2299" t="s">
        <v>18</v>
      </c>
      <c r="AE47" s="2299"/>
      <c r="AF47" s="2299"/>
      <c r="AG47" s="2299"/>
      <c r="AH47" s="2299"/>
      <c r="AI47" s="2337" t="str">
        <f>IF($B$2=0,"",IF(AQ47="","非:天井ケーブル",AQ47))</f>
        <v>非:天井ケーブル</v>
      </c>
      <c r="AJ47" s="2337"/>
      <c r="AK47" s="2337"/>
      <c r="AL47" s="2337"/>
      <c r="AM47" s="2337"/>
      <c r="AN47" s="2337"/>
      <c r="AO47" s="2337"/>
      <c r="AP47" s="175" t="s">
        <v>103</v>
      </c>
      <c r="AQ47" s="2338"/>
      <c r="AR47" s="2338"/>
      <c r="AS47" s="2338"/>
      <c r="AT47" s="2338"/>
      <c r="AU47" s="2338"/>
      <c r="AV47" s="2338"/>
      <c r="AW47" s="2338"/>
      <c r="AX47" s="2299" t="s">
        <v>212</v>
      </c>
      <c r="AY47" s="2299"/>
      <c r="AZ47" s="2299"/>
      <c r="BA47" s="2299"/>
      <c r="BB47" s="2299"/>
      <c r="BC47" s="2337" t="str">
        <f>IF($B$2=0,"",IF(BK47="","誘:天井ケーブル",BK47))</f>
        <v>誘:天井ケーブル</v>
      </c>
      <c r="BD47" s="2337"/>
      <c r="BE47" s="2337"/>
      <c r="BF47" s="2337"/>
      <c r="BG47" s="2337"/>
      <c r="BH47" s="2337"/>
      <c r="BI47" s="2337"/>
      <c r="BJ47" s="175" t="s">
        <v>103</v>
      </c>
      <c r="BK47" s="2338"/>
      <c r="BL47" s="2338"/>
      <c r="BM47" s="2338"/>
      <c r="BN47" s="2338"/>
      <c r="BO47" s="2338"/>
      <c r="BP47" s="2338"/>
      <c r="BQ47" s="2338"/>
      <c r="BR47" s="2299"/>
      <c r="BS47" s="2299"/>
      <c r="BT47" s="2299"/>
      <c r="BU47" s="19"/>
      <c r="BV47" s="8">
        <v>51</v>
      </c>
      <c r="BW47" s="88" t="s">
        <v>229</v>
      </c>
      <c r="BX47" s="88" t="s">
        <v>228</v>
      </c>
      <c r="BY47" s="2336" t="s">
        <v>126</v>
      </c>
      <c r="BZ47" s="2336"/>
      <c r="CA47" s="2336"/>
      <c r="CB47" s="2336"/>
      <c r="CC47" s="2336" t="s">
        <v>125</v>
      </c>
      <c r="CD47" s="2336"/>
      <c r="CE47" s="2336"/>
      <c r="CF47" s="2336"/>
      <c r="CG47" s="2336" t="s">
        <v>124</v>
      </c>
      <c r="CH47" s="2336"/>
      <c r="CI47" s="2336"/>
      <c r="CJ47" s="2336"/>
      <c r="CK47" s="2336" t="s">
        <v>123</v>
      </c>
      <c r="CL47" s="2336"/>
      <c r="CM47" s="2336"/>
      <c r="CN47" s="2336"/>
      <c r="CO47" s="88" t="s">
        <v>227</v>
      </c>
      <c r="CP47" s="88" t="s">
        <v>226</v>
      </c>
      <c r="CQ47" s="88" t="s">
        <v>225</v>
      </c>
      <c r="CR47" s="88" t="s">
        <v>227</v>
      </c>
      <c r="CS47" s="88" t="s">
        <v>226</v>
      </c>
      <c r="CT47" s="221" t="s">
        <v>225</v>
      </c>
      <c r="CU47" s="264">
        <f>IF(BW48="","",SUM(CP48:CP51)+CS48+CS49)</f>
        <v>61.5</v>
      </c>
      <c r="CV47" s="264">
        <f>IF(BW48="","",SUM(CQ48:CQ51)+CT48+CT49)</f>
        <v>95.309234204481399</v>
      </c>
      <c r="CW47" s="216"/>
      <c r="CX47" s="8"/>
      <c r="CY47" s="197">
        <f t="shared" si="0"/>
        <v>3</v>
      </c>
      <c r="CZ47" s="197" t="str">
        <f t="shared" si="1"/>
        <v/>
      </c>
      <c r="DA47" s="10" t="str">
        <f>W39</f>
        <v>PF-S-16mm</v>
      </c>
      <c r="DB47" s="8"/>
      <c r="DC47" s="8"/>
      <c r="DD47" s="8"/>
      <c r="DE47" s="249" t="str">
        <f>IF(COUNTIF($DA$15:DA46,DA47)&gt;0,"",DA47)</f>
        <v/>
      </c>
      <c r="DF47" s="26">
        <f>AC39</f>
        <v>6.5</v>
      </c>
      <c r="DG47" s="32">
        <f t="shared" si="2"/>
        <v>0</v>
      </c>
      <c r="DH47" s="198">
        <f t="shared" si="3"/>
        <v>5</v>
      </c>
      <c r="DI47" s="199" t="str">
        <f t="shared" si="4"/>
        <v/>
      </c>
      <c r="DJ47" s="201" t="str">
        <f>BI38</f>
        <v>d4-30e</v>
      </c>
      <c r="DK47" s="10"/>
      <c r="DL47" s="10"/>
      <c r="DM47" s="8"/>
      <c r="DN47" s="249" t="str">
        <f>IF(COUNTIF($DJ$15:DJ46,DJ47)&gt;0,"",DJ47)</f>
        <v/>
      </c>
      <c r="DO47" s="200">
        <f>BN38</f>
        <v>21</v>
      </c>
      <c r="DP47" s="32">
        <f t="shared" si="5"/>
        <v>0</v>
      </c>
      <c r="DQ47" s="8"/>
    </row>
    <row r="48" spans="1:121" ht="11.25" customHeight="1">
      <c r="A48" s="15"/>
      <c r="B48" s="23"/>
      <c r="C48" s="2367" t="str">
        <f>[5]照差!$C$53</f>
        <v xml:space="preserve">  4F</v>
      </c>
      <c r="D48" s="2368"/>
      <c r="E48" s="2369"/>
      <c r="F48" s="2370">
        <f>[5]照差!$G$53</f>
        <v>4</v>
      </c>
      <c r="G48" s="2371"/>
      <c r="H48" s="2371"/>
      <c r="I48" s="2372"/>
      <c r="J48" s="2370">
        <f>[5]照差!$J$53</f>
        <v>3</v>
      </c>
      <c r="K48" s="2373"/>
      <c r="L48" s="2373"/>
      <c r="M48" s="2374"/>
      <c r="N48" s="2330">
        <f>[5]照差!$M$53</f>
        <v>1152</v>
      </c>
      <c r="O48" s="2331"/>
      <c r="P48" s="2331"/>
      <c r="Q48" s="2331"/>
      <c r="R48" s="2332"/>
      <c r="S48" s="2330">
        <f>[5]照差!$Q$53</f>
        <v>806.4</v>
      </c>
      <c r="T48" s="2331"/>
      <c r="U48" s="2331"/>
      <c r="V48" s="2332"/>
      <c r="W48" s="2330">
        <f>[5]照差!$U$53</f>
        <v>345.6</v>
      </c>
      <c r="X48" s="2331"/>
      <c r="Y48" s="2331"/>
      <c r="Z48" s="2332"/>
      <c r="AA48" s="2340">
        <f>[5]照差!$Y$53</f>
        <v>3</v>
      </c>
      <c r="AB48" s="2341"/>
      <c r="AC48" s="2342"/>
      <c r="AD48" s="2343">
        <f>[5]照差!$AB$53</f>
        <v>9</v>
      </c>
      <c r="AE48" s="2344"/>
      <c r="AF48" s="2345"/>
      <c r="AG48" s="2346">
        <f>IF(OR(C48="",C48="  RF"),"",2+INT(N48/1000))</f>
        <v>3</v>
      </c>
      <c r="AH48" s="2346"/>
      <c r="AI48" s="2346"/>
      <c r="AJ48" s="2346"/>
      <c r="AK48" s="2346"/>
      <c r="AL48" s="2346">
        <f>IF(OR(C48="",C48="  RF"),"",1+INT(N48/500))</f>
        <v>3</v>
      </c>
      <c r="AM48" s="2346"/>
      <c r="AN48" s="2346"/>
      <c r="AO48" s="2346"/>
      <c r="AP48" s="2346"/>
      <c r="AQ48" s="2347" t="str">
        <f>IF(OR(C48="",AL46="設置しない"),"",IF(OR(AND(LEFT($C$18,2)=" B",[6]Top!$U$72&lt;&gt;""),AND(LEFT($C$18,3)="  1",[6]Top!$U$73&lt;&gt;""),AND(LEFT($C$18,3)="  2",[6]Top!$U$75&lt;&gt;""),AND(LEFT($C$18,3)="  3",[6]Top!$U$77&lt;&gt;""),[6]Top!$U$79&lt;&gt;"",[6]Top!$U$81&lt;&gt;""),"Xh1-Ae",IF(OR(AND(LEFT($C$18,2)=" B",[6]Top!$U$72="BL"),AND(LEFT($C$18,3)="  1",[6]Top!$U$73="BL"),AND(LEFT($C$18,3)="  2",[6]Top!$U$75="BL"),AND(LEFT($C$18,3)="  3",[6]Top!$U$77="BL"),[6]Top!$U$79="BL",[6]Top!$U$81="BL"),"Xh1-BLe","")))</f>
        <v>Xh1-Ae</v>
      </c>
      <c r="AR48" s="2348"/>
      <c r="AS48" s="2348"/>
      <c r="AT48" s="2348"/>
      <c r="AU48" s="2348"/>
      <c r="AV48" s="2348"/>
      <c r="AW48" s="2348"/>
      <c r="AX48" s="2348"/>
      <c r="AY48" s="2349"/>
      <c r="AZ48" s="2353">
        <f>IF(OR(N48="",AQ48=""),"",IF(BC48&lt;&gt;"",BC48,1+INT(N48/500)))</f>
        <v>3</v>
      </c>
      <c r="BA48" s="2354"/>
      <c r="BB48" s="2355"/>
      <c r="BC48" s="2305"/>
      <c r="BD48" s="2305"/>
      <c r="BE48" s="2305"/>
      <c r="BF48" s="2281" t="str">
        <f>IF(C48="","",IF(OR(AND(LEFT(C48,2)=" B",[6]Top!$AD$72="要"),AND(LEFT(C48,3)="  1",[6]Top!$AD$73="要"),AND(LEFT(C48,3)="  2",[6]Top!$AD$75="要"),AND(LEFT(C48,3)="  3",[6]Top!$AD$77="要"),[6]Top!$AD$79="C",[6]Top!$AD$81="要"),"Ya1-Ce",""))</f>
        <v>Ya1-Ce</v>
      </c>
      <c r="BG48" s="2281"/>
      <c r="BH48" s="2281"/>
      <c r="BI48" s="2281"/>
      <c r="BJ48" s="2281"/>
      <c r="BK48" s="2281"/>
      <c r="BL48" s="2281"/>
      <c r="BM48" s="2281"/>
      <c r="BN48" s="2281"/>
      <c r="BO48" s="2304">
        <f>IF(OR(C48="",C48="  RF"),"",IF(BR48&lt;&gt;"",BR48,1+INT((BW48+BX48)/20)))</f>
        <v>2</v>
      </c>
      <c r="BP48" s="2304"/>
      <c r="BQ48" s="2304"/>
      <c r="BR48" s="2339"/>
      <c r="BS48" s="2339"/>
      <c r="BT48" s="2339"/>
      <c r="BU48" s="19"/>
      <c r="BV48" s="8">
        <v>6</v>
      </c>
      <c r="BW48" s="98">
        <f>IF(OR(C48="",C48="  RF"),0,SQRT(N48*J47)/2)</f>
        <v>12</v>
      </c>
      <c r="BX48" s="98">
        <f>IF(OR(C48="",C48="  RF"),0,SQRT(N48/J47)/2)</f>
        <v>24</v>
      </c>
      <c r="BY48" s="88" t="s">
        <v>204</v>
      </c>
      <c r="BZ48" s="92">
        <f>IF(OR($BW$10=0,AL46="設置しない",C48="  RF",C48=""),0,IF(LEFT(C48,2)&lt;&gt;"PH",AG48*BW49/2,BW49))</f>
        <v>40.5</v>
      </c>
      <c r="CA48" s="88" t="s">
        <v>205</v>
      </c>
      <c r="CB48" s="88">
        <f>IF(OR($BW$10=0,AL46="設置しない",C48="  RF",C48=""),0,IF(LEFT(C48,2)="PH",0,(BN50-1)*SQRT(S48/BN50)))</f>
        <v>70.279442228862351</v>
      </c>
      <c r="CC48" s="88" t="s">
        <v>204</v>
      </c>
      <c r="CD48" s="262">
        <f>IF(OR($BW$10=0,AL46="設置しない",F48=0),0,AG48*(F48-0.1-($Y$7-$AN$8)/1000))</f>
        <v>13.799999999999999</v>
      </c>
      <c r="CE48" s="88" t="s">
        <v>205</v>
      </c>
      <c r="CF48" s="88">
        <f>IF(OR($BW$10=0,AL46="設置しない",LEFT(C48,2)="PH",C48="  RF",C48=""),0,(2*BN50-1)*$AN$7/1000)</f>
        <v>12</v>
      </c>
      <c r="CG48" s="88" t="s">
        <v>204</v>
      </c>
      <c r="CH48" s="92">
        <f>IF(OR($BW$10=0,AL46="設置しない",AI47="非:天井ケーブル"),0,BZ48)</f>
        <v>0</v>
      </c>
      <c r="CI48" s="88" t="s">
        <v>205</v>
      </c>
      <c r="CJ48" s="88">
        <f>IF(OR($BW$10=0,AL46="設置しない",AI47="非:天井ケーブル"),0,CB48)</f>
        <v>0</v>
      </c>
      <c r="CK48" s="88" t="s">
        <v>204</v>
      </c>
      <c r="CL48" s="92">
        <f>IF(OR($BW$10=0,AL46="設置しない",C48="  RF",C48=""),0,IF(J48="直天",AG48*(F48-$Y$7/1000),AG48*(J48+0.1-$Y$7/1000)))</f>
        <v>3.9000000000000004</v>
      </c>
      <c r="CM48" s="220"/>
      <c r="CN48" s="219"/>
      <c r="CO48" s="134">
        <f>IF(AZ48="",0,VLOOKUP(AQ48,[7]建物1802!$E$5:$AL$3275,33,FALSE)*AZ48)</f>
        <v>56.94</v>
      </c>
      <c r="CP48" s="136">
        <f>IF(AZ48="",0,VLOOKUP(AQ48,[7]建物1802!$E$5:$AL$3275,30,FALSE)*AZ48)</f>
        <v>31.5</v>
      </c>
      <c r="CQ48" s="136">
        <f>IF(CO48="","",SQRT(CO48^2-CP48^2))</f>
        <v>47.433254157816329</v>
      </c>
      <c r="CR48" s="189">
        <f>IF(BO48="",0,VLOOKUP(BF48,[7]建物1802!$E$5:$AL$3275,33,FALSE)*BO48)</f>
        <v>8</v>
      </c>
      <c r="CS48" s="189">
        <f>IF(BO48="",0,VLOOKUP(BF48,[7]建物1802!$E$5:$AL$3275,30,FALSE)*BO48)</f>
        <v>3.8</v>
      </c>
      <c r="CT48" s="259">
        <f>IF(CR48="",0,SQRT(CR48^2-CS48^2))</f>
        <v>7.0398863627192165</v>
      </c>
      <c r="CU48" s="14"/>
      <c r="CV48" s="14"/>
      <c r="CW48" s="216"/>
      <c r="CX48" s="88">
        <v>5</v>
      </c>
      <c r="CY48" s="204">
        <f t="shared" si="0"/>
        <v>3</v>
      </c>
      <c r="CZ48" s="155" t="str">
        <f t="shared" si="1"/>
        <v/>
      </c>
      <c r="DA48" s="154" t="str">
        <f>AG39</f>
        <v>PF-S-16mm</v>
      </c>
      <c r="DB48" s="45"/>
      <c r="DC48" s="45"/>
      <c r="DD48" s="45"/>
      <c r="DE48" s="153" t="str">
        <f>IF(COUNTIF($DA$15:DA47,DA48)&gt;0,"",DA48)</f>
        <v/>
      </c>
      <c r="DF48" s="152">
        <f>AM39</f>
        <v>83.2</v>
      </c>
      <c r="DG48" s="32">
        <f t="shared" si="2"/>
        <v>0</v>
      </c>
      <c r="DH48" s="124">
        <f t="shared" si="3"/>
        <v>5</v>
      </c>
      <c r="DI48" s="149" t="str">
        <f t="shared" si="4"/>
        <v/>
      </c>
      <c r="DJ48" s="210" t="str">
        <f>BI39</f>
        <v>d4-13e</v>
      </c>
      <c r="DK48" s="154"/>
      <c r="DL48" s="154"/>
      <c r="DM48" s="45"/>
      <c r="DN48" s="45" t="str">
        <f>IF(COUNTIF($DJ$15:DJ47,DJ48)&gt;0,"",DJ48)</f>
        <v/>
      </c>
      <c r="DO48" s="209">
        <f>BN39</f>
        <v>46</v>
      </c>
      <c r="DP48" s="169">
        <f t="shared" si="5"/>
        <v>0</v>
      </c>
      <c r="DQ48" s="88">
        <v>5</v>
      </c>
    </row>
    <row r="49" spans="1:121" ht="11.25" customHeight="1">
      <c r="A49" s="15">
        <v>6</v>
      </c>
      <c r="B49" s="176"/>
      <c r="C49" s="2378" t="str">
        <f>IF(C48="","",IF(K49="","VV-F 2.0mm-2C",K49))</f>
        <v>VV-F 2.0mm-2C</v>
      </c>
      <c r="D49" s="2379"/>
      <c r="E49" s="2379"/>
      <c r="F49" s="2379"/>
      <c r="G49" s="2379"/>
      <c r="H49" s="2379"/>
      <c r="I49" s="2379"/>
      <c r="J49" s="2380"/>
      <c r="K49" s="2313"/>
      <c r="L49" s="2314"/>
      <c r="M49" s="2314"/>
      <c r="N49" s="2314"/>
      <c r="O49" s="2314"/>
      <c r="P49" s="2314"/>
      <c r="Q49" s="2314"/>
      <c r="R49" s="2315"/>
      <c r="S49" s="2312">
        <f>IF(OR(C48="",AL46="設置しない",BH46="設置しない"),"",ROUND((BZ48+CD48),1))</f>
        <v>54.3</v>
      </c>
      <c r="T49" s="2312"/>
      <c r="U49" s="2312"/>
      <c r="V49" s="2312"/>
      <c r="W49" s="2306" t="str">
        <f>IF(C48="","",IF(AE49="","VV-F 2.0mm-2C",AE49))</f>
        <v>VV-F 2.0mm-2C</v>
      </c>
      <c r="X49" s="2307"/>
      <c r="Y49" s="2307"/>
      <c r="Z49" s="2307"/>
      <c r="AA49" s="2307"/>
      <c r="AB49" s="2307"/>
      <c r="AC49" s="2307"/>
      <c r="AD49" s="2308"/>
      <c r="AE49" s="2313"/>
      <c r="AF49" s="2314"/>
      <c r="AG49" s="2314"/>
      <c r="AH49" s="2314"/>
      <c r="AI49" s="2314"/>
      <c r="AJ49" s="2314"/>
      <c r="AK49" s="2314"/>
      <c r="AL49" s="2315"/>
      <c r="AM49" s="2312">
        <f>IF(OR(C48="",,AL46="設置しない",BH46="設置しない"),"",ROUND(BZ51,1))</f>
        <v>33.9</v>
      </c>
      <c r="AN49" s="2312"/>
      <c r="AO49" s="2312"/>
      <c r="AP49" s="2312"/>
      <c r="AQ49" s="2347" t="str">
        <f>IF(OR(C48="",AL46="設置しない"),"",IF(OR(AND(LEFT($C$18,2)=" B",[6]Top!$U$72&lt;&gt;""),AND(LEFT($C$18,3)="  1",[6]Top!$U$73&lt;&gt;""),AND(LEFT($C$18,3)="  2",[6]Top!$U$75&lt;&gt;""),AND(LEFT($C$18,3)="  3",[6]Top!$U$77&lt;&gt;""),[6]Top!$U$79&lt;&gt;"",[6]Top!$U$81&lt;&gt;""),"Xh1-Ae",IF(OR(AND(LEFT($C$18,2)=" B",[6]Top!$U$72="BL"),AND(LEFT($C$18,3)="  1",[6]Top!$U$73="BL"),AND(LEFT($C$18,3)="  2",[6]Top!$U$75="BL"),AND(LEFT($C$18,3)="  3",[6]Top!$U$77="BL"),[6]Top!$U$79="BL",[6]Top!$U$81="BL"),"Xh1-BLe","")))</f>
        <v>Xh1-Ae</v>
      </c>
      <c r="AR49" s="2348"/>
      <c r="AS49" s="2348"/>
      <c r="AT49" s="2348"/>
      <c r="AU49" s="2348"/>
      <c r="AV49" s="2348"/>
      <c r="AW49" s="2348"/>
      <c r="AX49" s="2348"/>
      <c r="AY49" s="2349"/>
      <c r="AZ49" s="2304">
        <f>IF(AA48="","",IF(BC49&lt;&gt;"",BC49,IF(AQ49&lt;&gt;"",1+INT(AA48/3),"")))</f>
        <v>2</v>
      </c>
      <c r="BA49" s="2304"/>
      <c r="BB49" s="2304"/>
      <c r="BC49" s="2305"/>
      <c r="BD49" s="2305"/>
      <c r="BE49" s="2305"/>
      <c r="BF49" s="2281" t="str">
        <f>IF(C48="","",IF(OR(AND(LEFT(C48,2)=" B",[6]Top!$AF$72="要"),AND(LEFT(C48,3)="  1",[6]Top!$AF$73="要"),AND(LEFT(C48,3)="  2",[6]Top!$AF$75="要"),AND(LEFT(C48,3)="  3",[6]Top!$AF$77="要"),[6]Top!$AF$79="要",[6]Top!$AF$81="要"),"D15V-321PXe",""))</f>
        <v/>
      </c>
      <c r="BG49" s="2281"/>
      <c r="BH49" s="2281"/>
      <c r="BI49" s="2282"/>
      <c r="BJ49" s="2282"/>
      <c r="BK49" s="2282"/>
      <c r="BL49" s="2282"/>
      <c r="BM49" s="2282"/>
      <c r="BN49" s="2282"/>
      <c r="BO49" s="2283" t="str">
        <f>IF(OR(C48="",C48="  RF",BF49=""),"",IF(BR49&lt;&gt;"",BR49,2*(1+INT(N48/500))))</f>
        <v/>
      </c>
      <c r="BP49" s="2283"/>
      <c r="BQ49" s="2283"/>
      <c r="BR49" s="2303"/>
      <c r="BS49" s="2303"/>
      <c r="BT49" s="2303"/>
      <c r="BU49" s="19"/>
      <c r="BV49" s="46" t="str">
        <f>V47</f>
        <v>⑦</v>
      </c>
      <c r="BW49" s="263">
        <f>IF(C48="","",IF(BV49="①",BW48+BX48+3,IF(BV49="②",BW48*5/8+BX48+3,IF(BV49="③",BW48/2+BX48+3,IF(BV49="④",BW48+BX48*5/8+3,IF(BV49="⑤",(BW48+BX48)*5/8+3,IF(BV49="⑥",BW48/2+BX48*5/8+3,IF(BV49="⑦",BW48+BX48/2+3,IF(BV49="⑧",BW48*5/8+BX48/2+3,IF(BV49="⑨",(BW48+BX48)/2+3))))))))))</f>
        <v>27</v>
      </c>
      <c r="BX49" s="8"/>
      <c r="BY49" s="88" t="s">
        <v>202</v>
      </c>
      <c r="BZ49" s="92">
        <f>IF(OR($BW$10=0,BH46="設置しない",C48="  RF",C48=""),0,IF(LEFT(C48,2)&lt;&gt;"PH",AL48*BW49/2,BW49))</f>
        <v>40.5</v>
      </c>
      <c r="CA49" s="88" t="s">
        <v>203</v>
      </c>
      <c r="CB49" s="88">
        <f>IF(OR($BW$10=0,AY46="設置しない",BN51=""),0,(BN51-1)*SQRT(W48/BN51))</f>
        <v>52.908978444116649</v>
      </c>
      <c r="CC49" s="88" t="s">
        <v>202</v>
      </c>
      <c r="CD49" s="262">
        <f>IF(OR($BW$10=0,BH46="設置しない",F48=0),0,AG48*(F48-0.1-($AN$8-$Y$7)/1000))</f>
        <v>9.6000000000000014</v>
      </c>
      <c r="CE49" s="88" t="s">
        <v>203</v>
      </c>
      <c r="CF49" s="88">
        <f>IF(OR($BW$10=0,BH46="設置しない",BN51=""),0,(2*BN51-1)*$AN$7/1000)</f>
        <v>15.2</v>
      </c>
      <c r="CG49" s="88" t="s">
        <v>202</v>
      </c>
      <c r="CH49" s="92">
        <f>IF(OR($BW$10=0,BH46="設置しない",AI47="非:天井ケーブル"),0,BZ49)</f>
        <v>0</v>
      </c>
      <c r="CI49" s="88" t="s">
        <v>203</v>
      </c>
      <c r="CJ49" s="88">
        <f>IF(OR($BW$10=0,BH46="設置しない",AI47="非:天井ケーブル"),0,CB49)</f>
        <v>0</v>
      </c>
      <c r="CK49" s="88" t="s">
        <v>202</v>
      </c>
      <c r="CL49" s="92">
        <f>IF(OR($BW$10=0,BH46="設置しない",C48="  RF",C48=""),0,IF(J48="直天",AG48*(F48-$Y$7/1000),AG48*(J48+0.1-$Y$7/1000)))</f>
        <v>3.9000000000000004</v>
      </c>
      <c r="CM49" s="141"/>
      <c r="CN49" s="142"/>
      <c r="CO49" s="136">
        <f>IF(AZ49="",0,(VLOOKUP(AQ49,[7]建物1802!$E$5:$AL$3275,33,FALSE))*AZ49)</f>
        <v>37.96</v>
      </c>
      <c r="CP49" s="136">
        <f>IF(AZ49="",0,VLOOKUP(AQ49,[7]建物1802!$E$5:$AL$3275,30,FALSE)*AZ49)</f>
        <v>21</v>
      </c>
      <c r="CQ49" s="136">
        <f>IF(CO49="","",SQRT(CO49^2-CP49^2))</f>
        <v>31.622169438544219</v>
      </c>
      <c r="CR49" s="189">
        <f>IF(BO49="",0,VLOOKUP(BF49,[7]建物1802!$E$5:$AL$3275,33,FALSE)*BO49)</f>
        <v>0</v>
      </c>
      <c r="CS49" s="189">
        <f>IF(BO49="",0,VLOOKUP(BF49,[7]建物1802!$E$5:$AL$3275,30,FALSE)*BO49)</f>
        <v>0</v>
      </c>
      <c r="CT49" s="259">
        <f>IF(CR49="",0,SQRT(CR49^2-CS49^2))</f>
        <v>0</v>
      </c>
      <c r="CU49" s="14"/>
      <c r="CV49" s="14"/>
      <c r="CW49" s="216"/>
      <c r="CX49" s="8"/>
      <c r="CY49" s="197">
        <f t="shared" ref="CY49:CY80" si="6">IF(DE49&lt;&gt;"",CY48+1,CY48)</f>
        <v>3</v>
      </c>
      <c r="CZ49" s="197" t="str">
        <f t="shared" ref="CZ49:CZ80" si="7">IF(AND(CY49&lt;&gt;"",DE49&lt;&gt;""),CY49,"")</f>
        <v/>
      </c>
      <c r="DA49" s="10" t="str">
        <f>C43</f>
        <v>VV-F 2.0mm-2C</v>
      </c>
      <c r="DB49" s="8"/>
      <c r="DC49" s="8"/>
      <c r="DD49" s="8"/>
      <c r="DE49" s="249" t="str">
        <f>IF(COUNTIF($DA$15:DA48,DA49)&gt;0,"",DA49)</f>
        <v/>
      </c>
      <c r="DF49" s="26">
        <f>S43</f>
        <v>145.30000000000001</v>
      </c>
      <c r="DG49" s="32">
        <f t="shared" ref="DG49:DG80" si="8">SUMIF($DA$17:$DA$179,DE49,$DF$17:$DF$179)</f>
        <v>0</v>
      </c>
      <c r="DH49" s="198">
        <f t="shared" ref="DH49:DH80" si="9">IF(OR(DN49=0,DN49=""),DH48,DH48+1)</f>
        <v>5</v>
      </c>
      <c r="DI49" s="199" t="str">
        <f t="shared" ref="DI49:DI80" si="10">IF(AND(DH49&lt;&gt;"",DN49&lt;&gt;0,DN49&lt;&gt;""),DH49,"")</f>
        <v/>
      </c>
      <c r="DJ49" s="10" t="str">
        <f>AQ42</f>
        <v>Xh1-Ae</v>
      </c>
      <c r="DK49" s="10"/>
      <c r="DL49" s="10"/>
      <c r="DM49" s="8"/>
      <c r="DN49" s="249" t="str">
        <f>IF(COUNTIF($DJ$15:DJ48,DJ49)&gt;0,"",DJ49)</f>
        <v/>
      </c>
      <c r="DO49" s="200">
        <f>AZ42</f>
        <v>8</v>
      </c>
      <c r="DP49" s="32">
        <f t="shared" ref="DP49:DP80" si="11">SUMIF($DJ$17:$DJ$179,DN49,$DO$17:$DO$179)</f>
        <v>0</v>
      </c>
      <c r="DQ49" s="8"/>
    </row>
    <row r="50" spans="1:121" ht="11.25" customHeight="1">
      <c r="A50" s="15"/>
      <c r="B50" s="23"/>
      <c r="C50" s="2378" t="str">
        <f>IF(C48="","",IF(K50="","VV-F 1.6mm-2C",K50))</f>
        <v>VV-F 1.6mm-2C</v>
      </c>
      <c r="D50" s="2379"/>
      <c r="E50" s="2379"/>
      <c r="F50" s="2379"/>
      <c r="G50" s="2379"/>
      <c r="H50" s="2379"/>
      <c r="I50" s="2379"/>
      <c r="J50" s="2380"/>
      <c r="K50" s="2313"/>
      <c r="L50" s="2314"/>
      <c r="M50" s="2314"/>
      <c r="N50" s="2314"/>
      <c r="O50" s="2314"/>
      <c r="P50" s="2314"/>
      <c r="Q50" s="2314"/>
      <c r="R50" s="2315"/>
      <c r="S50" s="2312">
        <f>IF(OR(C48="",C48="  RF"),"",INT(CB48+CB49+CF48+CF49+CD50))</f>
        <v>312</v>
      </c>
      <c r="T50" s="2312"/>
      <c r="U50" s="2312"/>
      <c r="V50" s="2312"/>
      <c r="W50" s="2306" t="str">
        <f>IF(C48="","",IF(AE50="","VV-F 1.6mm-2C",AE50))</f>
        <v>VV-F 1.6mm-2C</v>
      </c>
      <c r="X50" s="2307"/>
      <c r="Y50" s="2307"/>
      <c r="Z50" s="2307"/>
      <c r="AA50" s="2307"/>
      <c r="AB50" s="2307"/>
      <c r="AC50" s="2307"/>
      <c r="AD50" s="2308"/>
      <c r="AE50" s="2313"/>
      <c r="AF50" s="2314"/>
      <c r="AG50" s="2314"/>
      <c r="AH50" s="2314"/>
      <c r="AI50" s="2314"/>
      <c r="AJ50" s="2314"/>
      <c r="AK50" s="2314"/>
      <c r="AL50" s="2315"/>
      <c r="AM50" s="2306">
        <f>IF(OR(C48="",C48="  RF"),"",INT(CB51+CD50))</f>
        <v>243</v>
      </c>
      <c r="AN50" s="2307"/>
      <c r="AO50" s="2307"/>
      <c r="AP50" s="2308"/>
      <c r="AQ50" s="2309" t="str">
        <f>IF(OR(C48="",S48=""),"",IF(OR(AND(LEFT(C48,2)=" B",[8]非誘!$W$72="C"),AND(LEFT(C48,3)="  1",[8]非誘!$W$74="C"),AND(LEFT(C48,3)="  2",[8]非誘!$W$76="C"),AND(LEFT(C48,3)="  3",[8]非誘!$W$78="C"),[8]非誘!$W$80="C",[8]非誘!$W$81="C"),"Yd2-BHe",""))</f>
        <v/>
      </c>
      <c r="AR50" s="2310"/>
      <c r="AS50" s="2310"/>
      <c r="AT50" s="2310"/>
      <c r="AU50" s="2310"/>
      <c r="AV50" s="2310"/>
      <c r="AW50" s="2310"/>
      <c r="AX50" s="2310"/>
      <c r="AY50" s="2311"/>
      <c r="AZ50" s="2304" t="str">
        <f>IF(AQ50="","",IF(OR(C48="",C48="  RF"),"",IF(BC50&lt;&gt;"",BC50,AA48)))</f>
        <v/>
      </c>
      <c r="BA50" s="2304"/>
      <c r="BB50" s="2304"/>
      <c r="BC50" s="2305"/>
      <c r="BD50" s="2305"/>
      <c r="BE50" s="2305"/>
      <c r="BF50" s="2316" t="s">
        <v>10</v>
      </c>
      <c r="BG50" s="2317"/>
      <c r="BH50" s="2318"/>
      <c r="BI50" s="2319" t="str">
        <f>IF(OR($BW$10=0,AL46="設置しない",C48="",C48="  RF"),"",IF(OR(AND(LEFT(C48,2)=" B",[6]Top!$O$72="要"),AND(LEFT(C48,3)="  1",[6]Top!$O$74="要"),AND(LEFT(C48,3)="  2",[6]Top!$O$76="要"),AND(LEFT(C48,3)="  3",[6]Top!$O$78="要"),[6]Top!$O$80="要",[6]Top!$O$81="要",$Y$9="設置する"),"d4-30e",""))</f>
        <v>d4-30e</v>
      </c>
      <c r="BJ50" s="2320"/>
      <c r="BK50" s="2320"/>
      <c r="BL50" s="2320"/>
      <c r="BM50" s="2321"/>
      <c r="BN50" s="2319">
        <f>IF(OR($BW$10=0,AL46="設置しない",C48="",C48="  RF"),"",IF(LEFT(C48,2)="PH","",IF(BR50&lt;&gt;"",BR50,IF((1+INT(S48/110))&lt;=AA48,AA48,1+INT(S48/110)))))</f>
        <v>8</v>
      </c>
      <c r="BO50" s="2320"/>
      <c r="BP50" s="2321"/>
      <c r="BQ50" s="31" t="s">
        <v>103</v>
      </c>
      <c r="BR50" s="2322"/>
      <c r="BS50" s="2323"/>
      <c r="BT50" s="2324"/>
      <c r="BU50" s="19"/>
      <c r="BV50" s="226"/>
      <c r="BW50" s="196"/>
      <c r="BX50" s="8"/>
      <c r="BY50" s="88" t="s">
        <v>200</v>
      </c>
      <c r="BZ50" s="222">
        <f>SUM(AZ48:BB51)+SUM(BO48:BQ51)</f>
        <v>9</v>
      </c>
      <c r="CA50" s="8"/>
      <c r="CB50" s="8"/>
      <c r="CC50" s="88" t="s">
        <v>121</v>
      </c>
      <c r="CD50" s="88">
        <f>IF($AW$8=0,0,2*($AW$8/1000-0.15-0.1)*(INT(1000*2*BW48/$AW$10)+1)*(INT(1000*2*BX48/$AW$10)+1)*4)</f>
        <v>162</v>
      </c>
      <c r="CE50" s="8"/>
      <c r="CF50" s="8"/>
      <c r="CG50" s="168"/>
      <c r="CH50" s="261"/>
      <c r="CI50" s="8"/>
      <c r="CJ50" s="8"/>
      <c r="CK50" s="168"/>
      <c r="CL50" s="261"/>
      <c r="CM50" s="8"/>
      <c r="CN50" s="8"/>
      <c r="CO50" s="136">
        <f>IF(AZ50="",0,VLOOKUP(AQ50,[7]建物1802!$E$5:$AL$3275,33,FALSE)*AZ50)</f>
        <v>0</v>
      </c>
      <c r="CP50" s="136">
        <f>IF(AZ50="",0,VLOOKUP(AQ50,[7]建物1802!$E$5:$AL$3275,30,FALSE)*AZ50)</f>
        <v>0</v>
      </c>
      <c r="CQ50" s="136">
        <f>IF(CO50="","",SQRT(CO50^2-CP50^2))</f>
        <v>0</v>
      </c>
      <c r="CR50" s="260"/>
      <c r="CS50" s="14"/>
      <c r="CT50" s="14"/>
      <c r="CU50" s="14"/>
      <c r="CV50" s="14"/>
      <c r="CW50" s="216"/>
      <c r="CX50" s="8"/>
      <c r="CY50" s="197">
        <f t="shared" si="6"/>
        <v>3</v>
      </c>
      <c r="CZ50" s="197" t="str">
        <f t="shared" si="7"/>
        <v/>
      </c>
      <c r="DA50" s="10" t="str">
        <f>W43</f>
        <v>VV-F 2.0mm-2C</v>
      </c>
      <c r="DB50" s="8"/>
      <c r="DC50" s="8"/>
      <c r="DD50" s="8"/>
      <c r="DE50" s="249" t="str">
        <f>IF(COUNTIF($DA$15:DA49,DA50)&gt;0,"",DA50)</f>
        <v/>
      </c>
      <c r="DF50" s="26">
        <f>AM43</f>
        <v>110.5</v>
      </c>
      <c r="DG50" s="32">
        <f t="shared" si="8"/>
        <v>0</v>
      </c>
      <c r="DH50" s="198">
        <f t="shared" si="9"/>
        <v>5</v>
      </c>
      <c r="DI50" s="198" t="str">
        <f t="shared" si="10"/>
        <v/>
      </c>
      <c r="DJ50" s="10" t="str">
        <f>AQ43</f>
        <v>Xh1-Ae</v>
      </c>
      <c r="DK50" s="10"/>
      <c r="DL50" s="10"/>
      <c r="DM50" s="8"/>
      <c r="DN50" s="8" t="str">
        <f>IF(COUNTIF($DJ$15:DJ49,DJ50)&gt;0,"",DJ50)</f>
        <v/>
      </c>
      <c r="DO50" s="200">
        <f>AZ43</f>
        <v>4</v>
      </c>
      <c r="DP50" s="32">
        <f t="shared" si="11"/>
        <v>0</v>
      </c>
      <c r="DQ50" s="8"/>
    </row>
    <row r="51" spans="1:121" ht="11.25" customHeight="1" thickBot="1">
      <c r="A51" s="15"/>
      <c r="B51" s="23"/>
      <c r="C51" s="2359" t="str">
        <f>IF(C48="","",IF(I51="","",IF(AI47="非:天井(C管)","C-19mm",IF(AI47="非:天井(G管)","G- 16mm","PF-S-16mm"))))</f>
        <v/>
      </c>
      <c r="D51" s="2360"/>
      <c r="E51" s="2360"/>
      <c r="F51" s="2360"/>
      <c r="G51" s="2360"/>
      <c r="H51" s="2360"/>
      <c r="I51" s="2335" t="str">
        <f>IF(OR(C48="",AL46="設置しない",BH46="設置しない",$BW$10=0,CH48=0,CJ48=0),"",IF(J48="直天",ROUND((BZ48+CB48),1),ROUND((CH48+CJ48),1)))</f>
        <v/>
      </c>
      <c r="J51" s="2335"/>
      <c r="K51" s="2335"/>
      <c r="L51" s="2335"/>
      <c r="M51" s="2359" t="str">
        <f>IF(C48="","",IF(S51="","",IF(BC47="誘:天井(C管)","C-19mm",IF(BC47="誘:天井(G管)","G- 16mm","PF-S-16mm"))))</f>
        <v/>
      </c>
      <c r="N51" s="2360"/>
      <c r="O51" s="2360"/>
      <c r="P51" s="2360"/>
      <c r="Q51" s="2360"/>
      <c r="R51" s="2361"/>
      <c r="S51" s="2312" t="str">
        <f>IF(OR(C48="",,AL46="設置しない",BH46="設置しない",$BW$10=0,CH51=0,CJ51=0),"",IF(J48="直天",ROUND((BZ51+CB51),1),ROUND((CH51+CJ51),1)))</f>
        <v/>
      </c>
      <c r="T51" s="2312"/>
      <c r="U51" s="2312"/>
      <c r="V51" s="2312"/>
      <c r="W51" s="2359" t="str">
        <f>IF(C48="","",IF($B$2=0,"",IF(OR(AI47="非:天井(C管)",AI47="非:床(C管)"),"C-19mm",IF(OR(AI47="非:天井(G管)",AI47="非:床(G管)"),"G-16mm",IF(AI47="非:床(CD管)","CD-16mm","PF-S-16mm")))))</f>
        <v>PF-S-16mm</v>
      </c>
      <c r="X51" s="2360"/>
      <c r="Y51" s="2360"/>
      <c r="Z51" s="2360"/>
      <c r="AA51" s="2360"/>
      <c r="AB51" s="2361"/>
      <c r="AC51" s="2362">
        <f>IF(OR(C48="",AL46="設置しない",BH46="設置しない"),"",ROUND(CL48,1))</f>
        <v>3.9</v>
      </c>
      <c r="AD51" s="2312"/>
      <c r="AE51" s="2312"/>
      <c r="AF51" s="2312"/>
      <c r="AG51" s="2333" t="str">
        <f>IF(C48="","",IF($B$2=0,"",IF(BC47="誘:天井(C管)","C-19mm",IF(BC47="誘:天井(G管)","G-16mm","PF-S-16mm"))))</f>
        <v>PF-S-16mm</v>
      </c>
      <c r="AH51" s="2333"/>
      <c r="AI51" s="2333"/>
      <c r="AJ51" s="2333"/>
      <c r="AK51" s="2333"/>
      <c r="AL51" s="2333"/>
      <c r="AM51" s="2334">
        <f>IF(OR(C48="",AL46="設置しない",BH46="設置しない"),"",ROUND((CL51+CN51),1))</f>
        <v>19.5</v>
      </c>
      <c r="AN51" s="2335"/>
      <c r="AO51" s="2335"/>
      <c r="AP51" s="2335"/>
      <c r="AQ51" s="2291" t="str">
        <f>IF(C48="","",IF(OR(AND(LEFT(C48,2)=" B",[6]Top!$AA$72="C"),AND(LEFT(C48,3)="  1",[6]Top!$AA$73="C"),AND(LEFT(C48,3)="  2",[6]Top!$AA$75="C"),AND(LEFT(C48,3)="  3",[6]Top!$AA$77="C"),[6]Top!$AA$79="C",[6]Top!$AA$81="C"),"Yd2-Ce",""))</f>
        <v>Yd2-Ce</v>
      </c>
      <c r="AR51" s="2292"/>
      <c r="AS51" s="2292"/>
      <c r="AT51" s="2292"/>
      <c r="AU51" s="2292"/>
      <c r="AV51" s="2292"/>
      <c r="AW51" s="2292"/>
      <c r="AX51" s="2292"/>
      <c r="AY51" s="2293"/>
      <c r="AZ51" s="2294">
        <f>IF(OR(C48="",C48="  RF",AQ51=""),"",IF(BC51&lt;&gt;"",BC51,1+INT((BW48+BX48)/20)))</f>
        <v>2</v>
      </c>
      <c r="BA51" s="2295"/>
      <c r="BB51" s="2296"/>
      <c r="BC51" s="2287"/>
      <c r="BD51" s="2287"/>
      <c r="BE51" s="2287"/>
      <c r="BF51" s="2363" t="s">
        <v>127</v>
      </c>
      <c r="BG51" s="2364"/>
      <c r="BH51" s="2365"/>
      <c r="BI51" s="2335" t="str">
        <f>IF(OR($BW$10=0,AY46="設置しない",C48="",C48="  RF"),"",IF(OR(AND(LEFT(C48,2)=" B",[6]Top!$O$72="要"),AND(LEFT(C48,3)="  1",[6]Top!$O$74="要"),AND(LEFT(C48,3)="  2",[6]Top!$O$76="要"),AND(LEFT(C48,3)="  3",[6]Top!$O$78="要"),[6]Top!$O$80="要",[6]Top!$O$81="要",$Y$10="設置する"),"d4-13e",""))</f>
        <v>d4-13e</v>
      </c>
      <c r="BJ51" s="2335"/>
      <c r="BK51" s="2335"/>
      <c r="BL51" s="2335"/>
      <c r="BM51" s="2335"/>
      <c r="BN51" s="2335">
        <f>IF(OR($BW$10=0,BH46="設置しない",C48="",C48="  RF"),"",IF(BR51&lt;&gt;"",BR51,INT(AD48*1.2)))</f>
        <v>10</v>
      </c>
      <c r="BO51" s="2335"/>
      <c r="BP51" s="2335"/>
      <c r="BQ51" s="31" t="s">
        <v>103</v>
      </c>
      <c r="BR51" s="2350"/>
      <c r="BS51" s="2351"/>
      <c r="BT51" s="2352"/>
      <c r="BU51" s="19"/>
      <c r="BV51" s="8"/>
      <c r="BW51" s="8"/>
      <c r="BX51" s="8"/>
      <c r="BY51" s="88" t="s">
        <v>199</v>
      </c>
      <c r="BZ51" s="151">
        <f>IF(AL48="",0,AL48*SQRT(N48/BZ50))</f>
        <v>33.941125496954285</v>
      </c>
      <c r="CA51" s="88" t="s">
        <v>198</v>
      </c>
      <c r="CB51" s="151">
        <f>IF(BZ50=0,0,(BZ50/3)*BW49)</f>
        <v>81</v>
      </c>
      <c r="CC51" s="88" t="s">
        <v>199</v>
      </c>
      <c r="CD51" s="151">
        <f>IF(F48=0,0,F48-0.25-$Y$7/1000)</f>
        <v>1.95</v>
      </c>
      <c r="CE51" s="88" t="s">
        <v>198</v>
      </c>
      <c r="CF51" s="151">
        <f>IF(F48=0,0,(2*(BZ50-BO48)-1)*$AN$7/1000+(2*BO48-1)*(F48-0.75))</f>
        <v>20.149999999999999</v>
      </c>
      <c r="CG51" s="88" t="s">
        <v>199</v>
      </c>
      <c r="CH51" s="151">
        <f>IF(BC47="誘:天井ケーブル",0,BZ51)</f>
        <v>0</v>
      </c>
      <c r="CI51" s="88" t="s">
        <v>198</v>
      </c>
      <c r="CJ51" s="151">
        <f>IF(BC47="誘:天井ケーブル",0,CB51)</f>
        <v>0</v>
      </c>
      <c r="CK51" s="88" t="s">
        <v>199</v>
      </c>
      <c r="CL51" s="259">
        <f>IF(F48=0,0,IF(J48="直天",AL48*(F48-$Y$7/1000),AL48*(J48+0.1-$Y$7/1000)))</f>
        <v>3.9000000000000004</v>
      </c>
      <c r="CM51" s="88" t="s">
        <v>198</v>
      </c>
      <c r="CN51" s="151">
        <f>IF(F48=0,0,IF(J48="直天",BO48*(2*BO48-1)*(F48-0.5),BO48*(2*BO48-1)*(J48-0.4)))</f>
        <v>15.600000000000001</v>
      </c>
      <c r="CO51" s="136">
        <f>IF(AZ51="",0,VLOOKUP(AQ51,[7]建物1802!$E$5:$AL$3275,33,FALSE)*AZ51)</f>
        <v>10.58</v>
      </c>
      <c r="CP51" s="136">
        <f>IF(AZ51="",0,VLOOKUP(AQ51,[7]建物1802!$E$5:$AL$3275,30,FALSE)*AZ51)</f>
        <v>5.2</v>
      </c>
      <c r="CQ51" s="136">
        <f>IF(CO51="","",SQRT(CO51^2-CP51^2))</f>
        <v>9.2139242454016301</v>
      </c>
      <c r="CR51" s="26"/>
      <c r="CS51" s="26"/>
      <c r="CT51" s="26"/>
      <c r="CU51" s="26"/>
      <c r="CV51" s="26"/>
      <c r="CW51" s="218"/>
      <c r="CX51" s="8"/>
      <c r="CY51" s="197">
        <f t="shared" si="6"/>
        <v>3</v>
      </c>
      <c r="CZ51" s="197" t="str">
        <f t="shared" si="7"/>
        <v/>
      </c>
      <c r="DA51" s="10" t="str">
        <f>C44</f>
        <v>VV-F 1.6mm-2C</v>
      </c>
      <c r="DB51" s="8"/>
      <c r="DC51" s="8"/>
      <c r="DD51" s="8"/>
      <c r="DE51" s="249" t="str">
        <f>IF(COUNTIF($DA$15:DA50,DA51)&gt;0,"",DA51)</f>
        <v/>
      </c>
      <c r="DF51" s="26">
        <f>S44</f>
        <v>967</v>
      </c>
      <c r="DG51" s="32">
        <f t="shared" si="8"/>
        <v>0</v>
      </c>
      <c r="DH51" s="198">
        <f t="shared" si="9"/>
        <v>5</v>
      </c>
      <c r="DI51" s="198" t="str">
        <f t="shared" si="10"/>
        <v/>
      </c>
      <c r="DJ51" s="10" t="str">
        <f>AQ44</f>
        <v/>
      </c>
      <c r="DK51" s="10"/>
      <c r="DL51" s="10"/>
      <c r="DM51" s="8"/>
      <c r="DN51" s="8" t="str">
        <f>IF(COUNTIF($DJ$15:DJ50,DJ51)&gt;0,"",DJ51)</f>
        <v/>
      </c>
      <c r="DO51" s="200" t="str">
        <f>AZ44</f>
        <v/>
      </c>
      <c r="DP51" s="32">
        <f t="shared" si="11"/>
        <v>0</v>
      </c>
      <c r="DQ51" s="8"/>
    </row>
    <row r="52" spans="1:121" ht="11.25" customHeight="1" thickBot="1">
      <c r="A52" s="15"/>
      <c r="B52" s="23"/>
      <c r="C52" s="2391" t="s">
        <v>112</v>
      </c>
      <c r="D52" s="2391"/>
      <c r="E52" s="2391"/>
      <c r="F52" s="2391"/>
      <c r="G52" s="2391"/>
      <c r="H52" s="2391"/>
      <c r="I52" s="2288"/>
      <c r="J52" s="2356" t="str">
        <f>[5]照差!$I$58</f>
        <v>( 4 )</v>
      </c>
      <c r="K52" s="2357"/>
      <c r="L52" s="2358"/>
      <c r="M52" s="2375" t="str">
        <f>[5]照差!$M$58</f>
        <v>百貨店等</v>
      </c>
      <c r="N52" s="2376"/>
      <c r="O52" s="2376"/>
      <c r="P52" s="2376"/>
      <c r="Q52" s="2376"/>
      <c r="R52" s="2376"/>
      <c r="S52" s="2376"/>
      <c r="T52" s="2376"/>
      <c r="U52" s="2377"/>
      <c r="V52" s="2275" t="s">
        <v>232</v>
      </c>
      <c r="W52" s="2276"/>
      <c r="X52" s="2276"/>
      <c r="Y52" s="2276"/>
      <c r="Z52" s="2277"/>
      <c r="AA52" s="2278" t="str">
        <f>[6]Top!$I$36</f>
        <v>A</v>
      </c>
      <c r="AB52" s="2279"/>
      <c r="AC52" s="2280" t="s">
        <v>231</v>
      </c>
      <c r="AD52" s="2280"/>
      <c r="AE52" s="2280"/>
      <c r="AF52" s="2280"/>
      <c r="AG52" s="2280"/>
      <c r="AH52" s="2280"/>
      <c r="AI52" s="2280"/>
      <c r="AJ52" s="2280"/>
      <c r="AK52" s="2280"/>
      <c r="AL52" s="2356" t="str">
        <f>IF($BW$10=0,"設置しない",IF(AS52="","設置する",AS52))</f>
        <v>設置する</v>
      </c>
      <c r="AM52" s="2357"/>
      <c r="AN52" s="2357"/>
      <c r="AO52" s="2357"/>
      <c r="AP52" s="2357"/>
      <c r="AQ52" s="2358"/>
      <c r="AR52" s="265" t="s">
        <v>103</v>
      </c>
      <c r="AS52" s="2284"/>
      <c r="AT52" s="2285"/>
      <c r="AU52" s="2285"/>
      <c r="AV52" s="2285"/>
      <c r="AW52" s="2285"/>
      <c r="AX52" s="2286"/>
      <c r="AY52" s="2280" t="s">
        <v>215</v>
      </c>
      <c r="AZ52" s="2280"/>
      <c r="BA52" s="2280"/>
      <c r="BB52" s="2280"/>
      <c r="BC52" s="2280"/>
      <c r="BD52" s="2280"/>
      <c r="BE52" s="2280"/>
      <c r="BF52" s="2280"/>
      <c r="BG52" s="2280"/>
      <c r="BH52" s="2356" t="str">
        <f>IF($BW$10=0,"設置しない",IF(BO52="","設置する",BO52))</f>
        <v>設置する</v>
      </c>
      <c r="BI52" s="2357"/>
      <c r="BJ52" s="2357"/>
      <c r="BK52" s="2357"/>
      <c r="BL52" s="2357"/>
      <c r="BM52" s="2358"/>
      <c r="BN52" s="265" t="s">
        <v>103</v>
      </c>
      <c r="BO52" s="2284"/>
      <c r="BP52" s="2285"/>
      <c r="BQ52" s="2285"/>
      <c r="BR52" s="2285"/>
      <c r="BS52" s="2285"/>
      <c r="BT52" s="2286"/>
      <c r="BU52" s="19"/>
      <c r="BV52" s="8"/>
      <c r="BW52" s="8"/>
      <c r="BX52" s="8"/>
      <c r="BY52" s="9"/>
      <c r="BZ52" s="9"/>
      <c r="CA52" s="9"/>
      <c r="CB52" s="9"/>
      <c r="CC52" s="9"/>
      <c r="CD52" s="9"/>
      <c r="CE52" s="9"/>
      <c r="CF52" s="9"/>
      <c r="CG52" s="9"/>
      <c r="CH52" s="9"/>
      <c r="CI52" s="9"/>
      <c r="CJ52" s="9"/>
      <c r="CK52" s="9"/>
      <c r="CL52" s="9"/>
      <c r="CM52" s="9"/>
      <c r="CN52" s="9"/>
      <c r="CO52" s="266"/>
      <c r="CP52" s="266"/>
      <c r="CQ52" s="266"/>
      <c r="CR52" s="14"/>
      <c r="CS52" s="14"/>
      <c r="CT52" s="14"/>
      <c r="CU52" s="14"/>
      <c r="CV52" s="14"/>
      <c r="CW52" s="216"/>
      <c r="CX52" s="8"/>
      <c r="CY52" s="197">
        <f t="shared" si="6"/>
        <v>3</v>
      </c>
      <c r="CZ52" s="197" t="str">
        <f t="shared" si="7"/>
        <v/>
      </c>
      <c r="DA52" s="10" t="str">
        <f>W44</f>
        <v>VV-F 1.6mm-2C</v>
      </c>
      <c r="DB52" s="8"/>
      <c r="DC52" s="8"/>
      <c r="DD52" s="8"/>
      <c r="DE52" s="249" t="str">
        <f>IF(COUNTIF($DA$15:DA51,DA52)&gt;0,"",DA52)</f>
        <v/>
      </c>
      <c r="DF52" s="26">
        <f>AM44</f>
        <v>761</v>
      </c>
      <c r="DG52" s="32">
        <f t="shared" si="8"/>
        <v>0</v>
      </c>
      <c r="DH52" s="198">
        <f t="shared" si="9"/>
        <v>5</v>
      </c>
      <c r="DI52" s="124" t="str">
        <f t="shared" si="10"/>
        <v/>
      </c>
      <c r="DJ52" s="11" t="str">
        <f>AQ45</f>
        <v>Yd2-Ce</v>
      </c>
      <c r="DK52" s="11"/>
      <c r="DL52" s="11"/>
      <c r="DM52" s="9"/>
      <c r="DN52" s="9" t="str">
        <f>IF(COUNTIF($DJ$15:DJ51,DJ52)&gt;0,"",DJ52)</f>
        <v/>
      </c>
      <c r="DO52" s="101">
        <f>AZ45</f>
        <v>4</v>
      </c>
      <c r="DP52" s="32">
        <f t="shared" si="11"/>
        <v>0</v>
      </c>
      <c r="DQ52" s="8"/>
    </row>
    <row r="53" spans="1:121" ht="11.25" customHeight="1" thickBot="1">
      <c r="A53" s="15"/>
      <c r="B53" s="23"/>
      <c r="C53" s="2300" t="s">
        <v>214</v>
      </c>
      <c r="D53" s="2301"/>
      <c r="E53" s="2301"/>
      <c r="F53" s="2301"/>
      <c r="G53" s="2301"/>
      <c r="H53" s="2301"/>
      <c r="I53" s="2302"/>
      <c r="J53" s="2297">
        <f>[5]照差!$K$59</f>
        <v>0.5</v>
      </c>
      <c r="K53" s="2298"/>
      <c r="L53" s="2298"/>
      <c r="M53" s="2298"/>
      <c r="N53" s="2299" t="s">
        <v>230</v>
      </c>
      <c r="O53" s="2299"/>
      <c r="P53" s="2299"/>
      <c r="Q53" s="2299"/>
      <c r="R53" s="2299"/>
      <c r="S53" s="2299"/>
      <c r="T53" s="2299"/>
      <c r="U53" s="2299"/>
      <c r="V53" s="2366" t="str">
        <f>[9]照差!$W$59</f>
        <v>⑦</v>
      </c>
      <c r="W53" s="2366"/>
      <c r="X53" s="2366"/>
      <c r="Y53" s="2299" t="s">
        <v>135</v>
      </c>
      <c r="Z53" s="2299"/>
      <c r="AA53" s="2299"/>
      <c r="AB53" s="2299"/>
      <c r="AC53" s="2299"/>
      <c r="AD53" s="2299" t="s">
        <v>18</v>
      </c>
      <c r="AE53" s="2299"/>
      <c r="AF53" s="2299"/>
      <c r="AG53" s="2299"/>
      <c r="AH53" s="2299"/>
      <c r="AI53" s="2337" t="str">
        <f>IF($B$2=0,"",IF(AQ53="","非:天井ケーブル",AQ53))</f>
        <v>非:天井ケーブル</v>
      </c>
      <c r="AJ53" s="2337"/>
      <c r="AK53" s="2337"/>
      <c r="AL53" s="2337"/>
      <c r="AM53" s="2337"/>
      <c r="AN53" s="2337"/>
      <c r="AO53" s="2337"/>
      <c r="AP53" s="175" t="s">
        <v>103</v>
      </c>
      <c r="AQ53" s="2338"/>
      <c r="AR53" s="2338"/>
      <c r="AS53" s="2338"/>
      <c r="AT53" s="2338"/>
      <c r="AU53" s="2338"/>
      <c r="AV53" s="2338"/>
      <c r="AW53" s="2338"/>
      <c r="AX53" s="2299" t="s">
        <v>212</v>
      </c>
      <c r="AY53" s="2299"/>
      <c r="AZ53" s="2299"/>
      <c r="BA53" s="2299"/>
      <c r="BB53" s="2299"/>
      <c r="BC53" s="2337" t="str">
        <f>IF($B$2=0,"",IF(BK53="","誘:天井ケーブル",BK53))</f>
        <v>誘:天井ケーブル</v>
      </c>
      <c r="BD53" s="2337"/>
      <c r="BE53" s="2337"/>
      <c r="BF53" s="2337"/>
      <c r="BG53" s="2337"/>
      <c r="BH53" s="2337"/>
      <c r="BI53" s="2337"/>
      <c r="BJ53" s="175" t="s">
        <v>103</v>
      </c>
      <c r="BK53" s="2338"/>
      <c r="BL53" s="2338"/>
      <c r="BM53" s="2338"/>
      <c r="BN53" s="2338"/>
      <c r="BO53" s="2338"/>
      <c r="BP53" s="2338"/>
      <c r="BQ53" s="2338"/>
      <c r="BR53" s="2299"/>
      <c r="BS53" s="2299"/>
      <c r="BT53" s="2299"/>
      <c r="BU53" s="19"/>
      <c r="BV53" s="8">
        <v>58</v>
      </c>
      <c r="BW53" s="88" t="s">
        <v>229</v>
      </c>
      <c r="BX53" s="88" t="s">
        <v>228</v>
      </c>
      <c r="BY53" s="2336" t="s">
        <v>126</v>
      </c>
      <c r="BZ53" s="2336"/>
      <c r="CA53" s="2336"/>
      <c r="CB53" s="2336"/>
      <c r="CC53" s="2336" t="s">
        <v>125</v>
      </c>
      <c r="CD53" s="2336"/>
      <c r="CE53" s="2336"/>
      <c r="CF53" s="2336"/>
      <c r="CG53" s="2336" t="s">
        <v>124</v>
      </c>
      <c r="CH53" s="2336"/>
      <c r="CI53" s="2336"/>
      <c r="CJ53" s="2336"/>
      <c r="CK53" s="2336" t="s">
        <v>123</v>
      </c>
      <c r="CL53" s="2336"/>
      <c r="CM53" s="2336"/>
      <c r="CN53" s="2336"/>
      <c r="CO53" s="88" t="s">
        <v>227</v>
      </c>
      <c r="CP53" s="88" t="s">
        <v>226</v>
      </c>
      <c r="CQ53" s="88" t="s">
        <v>225</v>
      </c>
      <c r="CR53" s="88" t="s">
        <v>227</v>
      </c>
      <c r="CS53" s="88" t="s">
        <v>226</v>
      </c>
      <c r="CT53" s="221" t="s">
        <v>225</v>
      </c>
      <c r="CU53" s="264">
        <f>IF(BW54="","",SUM(CP54:CP57)+CS54+CS55)</f>
        <v>61.5</v>
      </c>
      <c r="CV53" s="264">
        <f>IF(BW54="",0,SUM(CQ54:CQ57)+CT54+CT55)</f>
        <v>95.309234204481399</v>
      </c>
      <c r="CW53" s="216"/>
      <c r="CX53" s="8"/>
      <c r="CY53" s="197">
        <f t="shared" si="6"/>
        <v>3</v>
      </c>
      <c r="CZ53" s="197" t="str">
        <f t="shared" si="7"/>
        <v/>
      </c>
      <c r="DA53" s="10" t="str">
        <f>C45</f>
        <v/>
      </c>
      <c r="DB53" s="8"/>
      <c r="DC53" s="8"/>
      <c r="DD53" s="8"/>
      <c r="DE53" s="249" t="str">
        <f>IF(COUNTIF($DA$15:DA52,DA53)&gt;0,"",DA53)</f>
        <v/>
      </c>
      <c r="DF53" s="26" t="str">
        <f>I45</f>
        <v/>
      </c>
      <c r="DG53" s="32">
        <f t="shared" si="8"/>
        <v>0</v>
      </c>
      <c r="DH53" s="198">
        <f t="shared" si="9"/>
        <v>5</v>
      </c>
      <c r="DI53" s="124" t="str">
        <f t="shared" si="10"/>
        <v/>
      </c>
      <c r="DJ53" s="11" t="str">
        <f>BF42</f>
        <v>Ya1-Ce</v>
      </c>
      <c r="DK53" s="11"/>
      <c r="DL53" s="11"/>
      <c r="DM53" s="9"/>
      <c r="DN53" s="9" t="str">
        <f>IF(COUNTIF($DJ$15:DJ52,DJ53)&gt;0,"",DJ53)</f>
        <v/>
      </c>
      <c r="DO53" s="101">
        <f>BO42</f>
        <v>4</v>
      </c>
      <c r="DP53" s="13">
        <f t="shared" si="11"/>
        <v>0</v>
      </c>
      <c r="DQ53" s="8"/>
    </row>
    <row r="54" spans="1:121" ht="11.25" customHeight="1">
      <c r="A54" s="15"/>
      <c r="B54" s="23"/>
      <c r="C54" s="2367" t="str">
        <f>[5]照差!$C$60</f>
        <v xml:space="preserve">  5F</v>
      </c>
      <c r="D54" s="2368"/>
      <c r="E54" s="2369"/>
      <c r="F54" s="2370">
        <f>[5]照差!$G$60</f>
        <v>4</v>
      </c>
      <c r="G54" s="2371"/>
      <c r="H54" s="2371"/>
      <c r="I54" s="2372"/>
      <c r="J54" s="2370">
        <f>[5]照差!$J$60</f>
        <v>3</v>
      </c>
      <c r="K54" s="2373"/>
      <c r="L54" s="2373"/>
      <c r="M54" s="2374"/>
      <c r="N54" s="2330">
        <f>[5]照差!$M$60</f>
        <v>1152</v>
      </c>
      <c r="O54" s="2331"/>
      <c r="P54" s="2331"/>
      <c r="Q54" s="2331"/>
      <c r="R54" s="2332"/>
      <c r="S54" s="2330">
        <f>[5]照差!$Q$60</f>
        <v>806.4</v>
      </c>
      <c r="T54" s="2331"/>
      <c r="U54" s="2331"/>
      <c r="V54" s="2332"/>
      <c r="W54" s="2330">
        <f>[5]照差!$U$60</f>
        <v>345.6</v>
      </c>
      <c r="X54" s="2331"/>
      <c r="Y54" s="2331"/>
      <c r="Z54" s="2332"/>
      <c r="AA54" s="2340">
        <f>[5]照差!$Y$60</f>
        <v>3</v>
      </c>
      <c r="AB54" s="2341"/>
      <c r="AC54" s="2342"/>
      <c r="AD54" s="2343">
        <f>[5]照差!$AB$60</f>
        <v>9</v>
      </c>
      <c r="AE54" s="2344"/>
      <c r="AF54" s="2345"/>
      <c r="AG54" s="2346">
        <f>IF(OR(C54="",C54="  RF"),"",2+INT(N54/1000))</f>
        <v>3</v>
      </c>
      <c r="AH54" s="2346"/>
      <c r="AI54" s="2346"/>
      <c r="AJ54" s="2346"/>
      <c r="AK54" s="2346"/>
      <c r="AL54" s="2346">
        <f>IF(OR(C54="",C54="  RF"),"",1+INT(N54/500))</f>
        <v>3</v>
      </c>
      <c r="AM54" s="2346"/>
      <c r="AN54" s="2346"/>
      <c r="AO54" s="2346"/>
      <c r="AP54" s="2346"/>
      <c r="AQ54" s="2347" t="str">
        <f>IF(OR(C54="",AL52="設置しない"),"",IF(OR(AND(LEFT($C$18,2)=" B",[6]Top!$U$72&lt;&gt;""),AND(LEFT($C$18,3)="  1",[6]Top!$U$73&lt;&gt;""),AND(LEFT($C$18,3)="  2",[6]Top!$U$75&lt;&gt;""),AND(LEFT($C$18,3)="  3",[6]Top!$U$77&lt;&gt;""),[6]Top!$U$79&lt;&gt;"",[6]Top!$U$81&lt;&gt;""),"Xh1-Ae",IF(OR(AND(LEFT($C$18,2)=" B",[6]Top!$U$72="BL"),AND(LEFT($C$18,3)="  1",[6]Top!$U$73="BL"),AND(LEFT($C$18,3)="  2",[6]Top!$U$75="BL"),AND(LEFT($C$18,3)="  3",[6]Top!$U$77="BL"),[6]Top!$U$79="BL",[6]Top!$U$81="BL"),"Xh1-BLe","")))</f>
        <v>Xh1-Ae</v>
      </c>
      <c r="AR54" s="2348"/>
      <c r="AS54" s="2348"/>
      <c r="AT54" s="2348"/>
      <c r="AU54" s="2348"/>
      <c r="AV54" s="2348"/>
      <c r="AW54" s="2348"/>
      <c r="AX54" s="2348"/>
      <c r="AY54" s="2349"/>
      <c r="AZ54" s="2353">
        <f>IF(OR(N54="",AQ54=""),"",IF(BC54&lt;&gt;"",BC54,1+INT(N54/500)))</f>
        <v>3</v>
      </c>
      <c r="BA54" s="2354"/>
      <c r="BB54" s="2355"/>
      <c r="BC54" s="2305"/>
      <c r="BD54" s="2305"/>
      <c r="BE54" s="2305"/>
      <c r="BF54" s="2281" t="str">
        <f>IF(C54="","",IF(OR(AND(LEFT(C54,2)=" B",[6]Top!$AD$72="要"),AND(LEFT(C54,3)="  1",[6]Top!$AD$73="要"),AND(LEFT(C54,3)="  2",[6]Top!$AD$75="要"),AND(LEFT(C54,3)="  3",[6]Top!$AD$77="要"),[6]Top!$AD$79="C",[6]Top!$AD$81="要"),"Ya1-Ce",""))</f>
        <v>Ya1-Ce</v>
      </c>
      <c r="BG54" s="2281"/>
      <c r="BH54" s="2281"/>
      <c r="BI54" s="2281"/>
      <c r="BJ54" s="2281"/>
      <c r="BK54" s="2281"/>
      <c r="BL54" s="2281"/>
      <c r="BM54" s="2281"/>
      <c r="BN54" s="2281"/>
      <c r="BO54" s="2304">
        <f>IF(OR(C54="",C54="  RF"),"",IF(BR54&lt;&gt;"",BR54,1+INT((BW54+BX54)/20)))</f>
        <v>2</v>
      </c>
      <c r="BP54" s="2304"/>
      <c r="BQ54" s="2304"/>
      <c r="BR54" s="2339"/>
      <c r="BS54" s="2339"/>
      <c r="BT54" s="2339"/>
      <c r="BU54" s="19"/>
      <c r="BV54" s="8">
        <v>7</v>
      </c>
      <c r="BW54" s="98">
        <f>IF(OR(C54="",C54="  RF"),0,SQRT(N54*J53)/2)</f>
        <v>12</v>
      </c>
      <c r="BX54" s="98">
        <f>IF(OR(C54="",C54="  RF"),0,SQRT(N54/J53)/2)</f>
        <v>24</v>
      </c>
      <c r="BY54" s="88" t="s">
        <v>204</v>
      </c>
      <c r="BZ54" s="92">
        <f>IF(OR($BW$10=0,AL52="設置しない",C54="  RF",C54=""),0,IF(LEFT(C54,2)&lt;&gt;"PH",AG54*BW55/2,BW55))</f>
        <v>40.5</v>
      </c>
      <c r="CA54" s="88" t="s">
        <v>205</v>
      </c>
      <c r="CB54" s="88">
        <f>IF(OR($BW$10=0,AL52="設置しない",C54="  RF",C54=""),0,IF(LEFT(C54,2)="PH",0,(BN56-1)*SQRT(S54/BN56)))</f>
        <v>70.279442228862351</v>
      </c>
      <c r="CC54" s="88" t="s">
        <v>204</v>
      </c>
      <c r="CD54" s="262">
        <f>IF(OR($BW$10=0,AL52="設置しない",F54=0),0,AG54*(F54-0.1-($Y$7-$AN$8)/1000))</f>
        <v>13.799999999999999</v>
      </c>
      <c r="CE54" s="88" t="s">
        <v>205</v>
      </c>
      <c r="CF54" s="88">
        <f>IF(OR($BW$10=0,AL52="設置しない",LEFT(C54,2)="PH",C54="  RF",C54=""),0,(2*BN56-1)*$AN$7/1000)</f>
        <v>12</v>
      </c>
      <c r="CG54" s="88" t="s">
        <v>204</v>
      </c>
      <c r="CH54" s="92">
        <f>IF(OR($BW$10=0,AL52="設置しない",AI53="非:天井ケーブル"),0,BZ54)</f>
        <v>0</v>
      </c>
      <c r="CI54" s="88" t="s">
        <v>205</v>
      </c>
      <c r="CJ54" s="88">
        <f>IF(OR($BW$10=0,AL52="設置しない",AI53="非:天井ケーブル"),0,CB54)</f>
        <v>0</v>
      </c>
      <c r="CK54" s="88" t="s">
        <v>204</v>
      </c>
      <c r="CL54" s="92">
        <f>IF(OR($BW$10=0,AL52="設置しない",C54="  RF",C54=""),0,IF(J54="直天",AG54*(F54-$Y$7/1000),AG54*(J54+0.1-$Y$7/1000)))</f>
        <v>3.9000000000000004</v>
      </c>
      <c r="CM54" s="220"/>
      <c r="CN54" s="219"/>
      <c r="CO54" s="134">
        <f>IF(AZ54="",0,VLOOKUP(AQ54,[7]建物1802!$E$5:$AL$3275,33,FALSE)*AZ54)</f>
        <v>56.94</v>
      </c>
      <c r="CP54" s="136">
        <f>IF(AZ54="",0,VLOOKUP(AQ54,[7]建物1802!$E$5:$AL$3275,30,FALSE)*AZ54)</f>
        <v>31.5</v>
      </c>
      <c r="CQ54" s="136">
        <f>IF(CO54="","",SQRT(CO54^2-CP54^2))</f>
        <v>47.433254157816329</v>
      </c>
      <c r="CR54" s="189">
        <f>IF(BO54="",0,VLOOKUP(BF54,[7]建物1802!$E$5:$AL$3275,33,FALSE)*BO54)</f>
        <v>8</v>
      </c>
      <c r="CS54" s="189">
        <f>IF(BO54="",0,VLOOKUP(BF54,[7]建物1802!$E$5:$AL$3275,30,FALSE)*BO54)</f>
        <v>3.8</v>
      </c>
      <c r="CT54" s="259">
        <f>IF(CR54="",0,SQRT(CR54^2-CS54^2))</f>
        <v>7.0398863627192165</v>
      </c>
      <c r="CU54" s="14"/>
      <c r="CV54" s="14"/>
      <c r="CW54" s="216"/>
      <c r="CX54" s="8"/>
      <c r="CY54" s="197">
        <f t="shared" si="6"/>
        <v>3</v>
      </c>
      <c r="CZ54" s="197" t="str">
        <f t="shared" si="7"/>
        <v/>
      </c>
      <c r="DA54" s="10" t="str">
        <f>M45</f>
        <v/>
      </c>
      <c r="DB54" s="8"/>
      <c r="DC54" s="8"/>
      <c r="DD54" s="8"/>
      <c r="DE54" s="249" t="str">
        <f>IF(COUNTIF($DA$15:DA53,DA54)&gt;0,"",DA54)</f>
        <v/>
      </c>
      <c r="DF54" s="26" t="str">
        <f>S45</f>
        <v/>
      </c>
      <c r="DG54" s="32">
        <f t="shared" si="8"/>
        <v>0</v>
      </c>
      <c r="DH54" s="198">
        <f t="shared" si="9"/>
        <v>5</v>
      </c>
      <c r="DI54" s="124" t="str">
        <f t="shared" si="10"/>
        <v/>
      </c>
      <c r="DJ54" s="11" t="str">
        <f>BF43</f>
        <v/>
      </c>
      <c r="DK54" s="11"/>
      <c r="DL54" s="11"/>
      <c r="DM54" s="9"/>
      <c r="DN54" s="9" t="str">
        <f>IF(COUNTIF($DJ$15:DJ53,DJ54)&gt;0,"",DJ54)</f>
        <v/>
      </c>
      <c r="DO54" s="101" t="str">
        <f>BO43</f>
        <v/>
      </c>
      <c r="DP54" s="13">
        <f t="shared" si="11"/>
        <v>0</v>
      </c>
      <c r="DQ54" s="9"/>
    </row>
    <row r="55" spans="1:121" ht="11.25" customHeight="1">
      <c r="A55" s="15">
        <v>7</v>
      </c>
      <c r="B55" s="176"/>
      <c r="C55" s="2378" t="str">
        <f>IF(C54="","",IF(K55="","VV-F 2.0mm-2C",K55))</f>
        <v>VV-F 2.0mm-2C</v>
      </c>
      <c r="D55" s="2379"/>
      <c r="E55" s="2379"/>
      <c r="F55" s="2379"/>
      <c r="G55" s="2379"/>
      <c r="H55" s="2379"/>
      <c r="I55" s="2379"/>
      <c r="J55" s="2380"/>
      <c r="K55" s="2313"/>
      <c r="L55" s="2314"/>
      <c r="M55" s="2314"/>
      <c r="N55" s="2314"/>
      <c r="O55" s="2314"/>
      <c r="P55" s="2314"/>
      <c r="Q55" s="2314"/>
      <c r="R55" s="2315"/>
      <c r="S55" s="2312">
        <f>IF(OR(C54="",AL52="設置しない",BH52="設置しない"),"",ROUND((BZ54+CD54),1))</f>
        <v>54.3</v>
      </c>
      <c r="T55" s="2312"/>
      <c r="U55" s="2312"/>
      <c r="V55" s="2312"/>
      <c r="W55" s="2306" t="str">
        <f>IF(C54="","",IF(AE55="","VV-F 2.0mm-2C",AE55))</f>
        <v>VV-F 2.0mm-2C</v>
      </c>
      <c r="X55" s="2307"/>
      <c r="Y55" s="2307"/>
      <c r="Z55" s="2307"/>
      <c r="AA55" s="2307"/>
      <c r="AB55" s="2307"/>
      <c r="AC55" s="2307"/>
      <c r="AD55" s="2308"/>
      <c r="AE55" s="2313"/>
      <c r="AF55" s="2314"/>
      <c r="AG55" s="2314"/>
      <c r="AH55" s="2314"/>
      <c r="AI55" s="2314"/>
      <c r="AJ55" s="2314"/>
      <c r="AK55" s="2314"/>
      <c r="AL55" s="2315"/>
      <c r="AM55" s="2312">
        <f>IF(OR(C54="",,AL52="設置しない",BH52="設置しない"),"",ROUND(BZ57,1))</f>
        <v>33.9</v>
      </c>
      <c r="AN55" s="2312"/>
      <c r="AO55" s="2312"/>
      <c r="AP55" s="2312"/>
      <c r="AQ55" s="2347" t="str">
        <f>IF(OR(C54="",AL52="設置しない"),"",IF(OR(AND(LEFT($C$18,2)=" B",[6]Top!$U$72&lt;&gt;""),AND(LEFT($C$18,3)="  1",[6]Top!$U$73&lt;&gt;""),AND(LEFT($C$18,3)="  2",[6]Top!$U$75&lt;&gt;""),AND(LEFT($C$18,3)="  3",[6]Top!$U$77&lt;&gt;""),[6]Top!$U$79&lt;&gt;"",[6]Top!$U$81&lt;&gt;""),"Xh1-Ae",IF(OR(AND(LEFT($C$18,2)=" B",[6]Top!$U$72="BL"),AND(LEFT($C$18,3)="  1",[6]Top!$U$73="BL"),AND(LEFT($C$18,3)="  2",[6]Top!$U$75="BL"),AND(LEFT($C$18,3)="  3",[6]Top!$U$77="BL"),[6]Top!$U$79="BL",[6]Top!$U$81="BL"),"Xh1-BLe","")))</f>
        <v>Xh1-Ae</v>
      </c>
      <c r="AR55" s="2348"/>
      <c r="AS55" s="2348"/>
      <c r="AT55" s="2348"/>
      <c r="AU55" s="2348"/>
      <c r="AV55" s="2348"/>
      <c r="AW55" s="2348"/>
      <c r="AX55" s="2348"/>
      <c r="AY55" s="2349"/>
      <c r="AZ55" s="2304">
        <f>IF(AA54="","",IF(BC55&lt;&gt;"",BC55,IF(AQ55&lt;&gt;"",1+INT(AA54/3),"")))</f>
        <v>2</v>
      </c>
      <c r="BA55" s="2304"/>
      <c r="BB55" s="2304"/>
      <c r="BC55" s="2305"/>
      <c r="BD55" s="2305"/>
      <c r="BE55" s="2305"/>
      <c r="BF55" s="2281" t="str">
        <f>IF(C54="","",IF(OR(AND(LEFT(C54,2)=" B",[6]Top!$AF$72="要"),AND(LEFT(C54,3)="  1",[6]Top!$AF$73="要"),AND(LEFT(C54,3)="  2",[6]Top!$AF$75="要"),AND(LEFT(C54,3)="  3",[6]Top!$AF$77="要"),[6]Top!$AF$79="要",[6]Top!$AF$81="要"),"D15V-321PXe",""))</f>
        <v/>
      </c>
      <c r="BG55" s="2281"/>
      <c r="BH55" s="2281"/>
      <c r="BI55" s="2282"/>
      <c r="BJ55" s="2282"/>
      <c r="BK55" s="2282"/>
      <c r="BL55" s="2282"/>
      <c r="BM55" s="2282"/>
      <c r="BN55" s="2282"/>
      <c r="BO55" s="2283" t="str">
        <f>IF(OR(C54="",C54="  RF",BF55=""),"",IF(BR55&lt;&gt;"",BR55,2*(1+INT(N54/500))))</f>
        <v/>
      </c>
      <c r="BP55" s="2283"/>
      <c r="BQ55" s="2283"/>
      <c r="BR55" s="2303"/>
      <c r="BS55" s="2303"/>
      <c r="BT55" s="2303"/>
      <c r="BU55" s="19"/>
      <c r="BV55" s="46" t="str">
        <f>V53</f>
        <v>⑦</v>
      </c>
      <c r="BW55" s="263">
        <f>IF(C54="","",IF(BV55="①",BW54+BX54+3,IF(BV55="②",BW54*5/8+BX54+3,IF(BV55="③",BW54/2+BX54+3,IF(BV55="④",BW54+BX54*5/8+3,IF(BV55="⑤",(BW54+BX54)*5/8+3,IF(BV55="⑥",BW54/2+BX54*5/8+3,IF(BV55="⑦",BW54+BX54/2+3,IF(BV55="⑧",BW54*5/8+BX54/2+3,IF(BV55="⑨",(BW54+BX54)/2+3))))))))))</f>
        <v>27</v>
      </c>
      <c r="BX55" s="8"/>
      <c r="BY55" s="88" t="s">
        <v>202</v>
      </c>
      <c r="BZ55" s="92">
        <f>IF(OR($BW$10=0,BH52="設置しない",C54="  RF",C54=""),0,IF(LEFT(C54,2)&lt;&gt;"PH",AL54*BW55/2,BW55))</f>
        <v>40.5</v>
      </c>
      <c r="CA55" s="88" t="s">
        <v>203</v>
      </c>
      <c r="CB55" s="88">
        <f>IF(OR($BW$10=0,AY52="設置しない",BN57=""),0,(BN57-1)*SQRT(W54/BN57))</f>
        <v>52.908978444116649</v>
      </c>
      <c r="CC55" s="88" t="s">
        <v>202</v>
      </c>
      <c r="CD55" s="262">
        <f>IF(OR($BW$10=0,BH52="設置しない",F54=0),0,AG54*(F54-0.1-($AN$8-$Y$7)/1000))</f>
        <v>9.6000000000000014</v>
      </c>
      <c r="CE55" s="88" t="s">
        <v>203</v>
      </c>
      <c r="CF55" s="88">
        <f>IF(OR($BW$10=0,BH52="設置しない",BN57=""),0,(2*BN57-1)*$AN$7/1000)</f>
        <v>15.2</v>
      </c>
      <c r="CG55" s="88" t="s">
        <v>202</v>
      </c>
      <c r="CH55" s="92">
        <f>IF(OR($BW$10=0,BH52="設置しない",AI53="非:天井ケーブル"),0,BZ55)</f>
        <v>0</v>
      </c>
      <c r="CI55" s="88" t="s">
        <v>203</v>
      </c>
      <c r="CJ55" s="88">
        <f>IF(OR($BW$10=0,BH52="設置しない",AI53="非:天井ケーブル"),0,CB55)</f>
        <v>0</v>
      </c>
      <c r="CK55" s="88" t="s">
        <v>202</v>
      </c>
      <c r="CL55" s="92">
        <f>IF(OR($BW$10=0,BH52="設置しない",C54="  RF",C54=""),0,IF(J54="直天",AG54*(F54-$Y$7/1000),AG54*(J54+0.1-$Y$7/1000)))</f>
        <v>3.9000000000000004</v>
      </c>
      <c r="CM55" s="141"/>
      <c r="CN55" s="142"/>
      <c r="CO55" s="136">
        <f>IF(AZ55="",0,(VLOOKUP(AQ55,[7]建物1802!$E$5:$AL$3275,33,FALSE))*AZ55)</f>
        <v>37.96</v>
      </c>
      <c r="CP55" s="136">
        <f>IF(AZ55="",0,VLOOKUP(AQ55,[7]建物1802!$E$5:$AL$3275,30,FALSE)*AZ55)</f>
        <v>21</v>
      </c>
      <c r="CQ55" s="136">
        <f>IF(CO55="","",SQRT(CO55^2-CP55^2))</f>
        <v>31.622169438544219</v>
      </c>
      <c r="CR55" s="189">
        <f>IF(BO55="",0,VLOOKUP(BF55,[7]建物1802!$E$5:$AL$3275,33,FALSE)*BO55)</f>
        <v>0</v>
      </c>
      <c r="CS55" s="189">
        <f>IF(BO55="",0,VLOOKUP(BF55,[7]建物1802!$E$5:$AL$3275,30,FALSE)*BO55)</f>
        <v>0</v>
      </c>
      <c r="CT55" s="259">
        <f>IF(CR55="",0,SQRT(CR55^2-CS55^2))</f>
        <v>0</v>
      </c>
      <c r="CU55" s="14"/>
      <c r="CV55" s="14"/>
      <c r="CW55" s="216"/>
      <c r="CX55" s="8"/>
      <c r="CY55" s="197">
        <f t="shared" si="6"/>
        <v>3</v>
      </c>
      <c r="CZ55" s="197" t="str">
        <f t="shared" si="7"/>
        <v/>
      </c>
      <c r="DA55" s="10" t="str">
        <f>W45</f>
        <v>PF-S-16mm</v>
      </c>
      <c r="DB55" s="8"/>
      <c r="DC55" s="8"/>
      <c r="DD55" s="8"/>
      <c r="DE55" s="249" t="str">
        <f>IF(COUNTIF($DA$15:DA54,DA55)&gt;0,"",DA55)</f>
        <v/>
      </c>
      <c r="DF55" s="26">
        <f>AC45</f>
        <v>6.5</v>
      </c>
      <c r="DG55" s="32">
        <f t="shared" si="8"/>
        <v>0</v>
      </c>
      <c r="DH55" s="198">
        <f t="shared" si="9"/>
        <v>5</v>
      </c>
      <c r="DI55" s="199" t="str">
        <f t="shared" si="10"/>
        <v/>
      </c>
      <c r="DJ55" s="201" t="str">
        <f>BI44</f>
        <v>d4-30e</v>
      </c>
      <c r="DK55" s="10"/>
      <c r="DL55" s="10"/>
      <c r="DM55" s="8"/>
      <c r="DN55" s="249" t="str">
        <f>IF(COUNTIF($DJ$15:DJ54,DJ55)&gt;0,"",DJ55)</f>
        <v/>
      </c>
      <c r="DO55" s="200">
        <f>BN44</f>
        <v>25</v>
      </c>
      <c r="DP55" s="32">
        <f t="shared" si="11"/>
        <v>0</v>
      </c>
      <c r="DQ55" s="8"/>
    </row>
    <row r="56" spans="1:121" ht="11.25" customHeight="1">
      <c r="A56" s="15"/>
      <c r="B56" s="23"/>
      <c r="C56" s="2378" t="str">
        <f>IF(C54="","",IF(K56="","VV-F 1.6mm-2C",K56))</f>
        <v>VV-F 1.6mm-2C</v>
      </c>
      <c r="D56" s="2379"/>
      <c r="E56" s="2379"/>
      <c r="F56" s="2379"/>
      <c r="G56" s="2379"/>
      <c r="H56" s="2379"/>
      <c r="I56" s="2379"/>
      <c r="J56" s="2380"/>
      <c r="K56" s="2313"/>
      <c r="L56" s="2314"/>
      <c r="M56" s="2314"/>
      <c r="N56" s="2314"/>
      <c r="O56" s="2314"/>
      <c r="P56" s="2314"/>
      <c r="Q56" s="2314"/>
      <c r="R56" s="2315"/>
      <c r="S56" s="2312">
        <f>IF(OR(C54="",C54="  RF"),"",INT(CB54+CB55+CF54+CF55+CD56))</f>
        <v>312</v>
      </c>
      <c r="T56" s="2312"/>
      <c r="U56" s="2312"/>
      <c r="V56" s="2312"/>
      <c r="W56" s="2306" t="str">
        <f>IF(C54="","",IF(AE56="","VV-F 1.6mm-2C",AE56))</f>
        <v>VV-F 1.6mm-2C</v>
      </c>
      <c r="X56" s="2307"/>
      <c r="Y56" s="2307"/>
      <c r="Z56" s="2307"/>
      <c r="AA56" s="2307"/>
      <c r="AB56" s="2307"/>
      <c r="AC56" s="2307"/>
      <c r="AD56" s="2308"/>
      <c r="AE56" s="2313"/>
      <c r="AF56" s="2314"/>
      <c r="AG56" s="2314"/>
      <c r="AH56" s="2314"/>
      <c r="AI56" s="2314"/>
      <c r="AJ56" s="2314"/>
      <c r="AK56" s="2314"/>
      <c r="AL56" s="2315"/>
      <c r="AM56" s="2306">
        <f>IF(OR(C54="",C54="  RF"),"",INT(CB57+CD56))</f>
        <v>243</v>
      </c>
      <c r="AN56" s="2307"/>
      <c r="AO56" s="2307"/>
      <c r="AP56" s="2308"/>
      <c r="AQ56" s="2309" t="str">
        <f>IF(OR(C54="",S54=""),"",IF(OR(AND(LEFT(C54,2)=" B",[8]非誘!$W$72="C"),AND(LEFT(C54,3)="  1",[8]非誘!$W$74="C"),AND(LEFT(C54,3)="  2",[8]非誘!$W$76="C"),AND(LEFT(C54,3)="  3",[8]非誘!$W$78="C"),[8]非誘!$W$80="C",[8]非誘!$W$81="C"),"Yd2-BHe",""))</f>
        <v/>
      </c>
      <c r="AR56" s="2310"/>
      <c r="AS56" s="2310"/>
      <c r="AT56" s="2310"/>
      <c r="AU56" s="2310"/>
      <c r="AV56" s="2310"/>
      <c r="AW56" s="2310"/>
      <c r="AX56" s="2310"/>
      <c r="AY56" s="2311"/>
      <c r="AZ56" s="2304" t="str">
        <f>IF(AQ56="","",IF(OR(C54="",C54="  RF"),"",IF(BC56&lt;&gt;"",BC56,AA54)))</f>
        <v/>
      </c>
      <c r="BA56" s="2304"/>
      <c r="BB56" s="2304"/>
      <c r="BC56" s="2305"/>
      <c r="BD56" s="2305"/>
      <c r="BE56" s="2305"/>
      <c r="BF56" s="2316" t="s">
        <v>10</v>
      </c>
      <c r="BG56" s="2317"/>
      <c r="BH56" s="2318"/>
      <c r="BI56" s="2319" t="str">
        <f>IF(OR($BW$10=0,AL52="設置しない",C54="",C54="  RF"),"",IF(OR(AND(LEFT(C54,2)=" B",[6]Top!$O$72="要"),AND(LEFT(C54,3)="  1",[6]Top!$O$74="要"),AND(LEFT(C54,3)="  2",[6]Top!$O$76="要"),AND(LEFT(C54,3)="  3",[6]Top!$O$78="要"),[6]Top!$O$80="要",[6]Top!$O$81="要",$Y$9="設置する"),"d4-30e",""))</f>
        <v>d4-30e</v>
      </c>
      <c r="BJ56" s="2320"/>
      <c r="BK56" s="2320"/>
      <c r="BL56" s="2320"/>
      <c r="BM56" s="2321"/>
      <c r="BN56" s="2319">
        <f>IF(OR($BW$10=0,AL52="設置しない",C54="",C54="  RF"),"",IF(LEFT(C54,2)="PH","",IF(BR56&lt;&gt;"",BR56,IF((1+INT(S54/110))&lt;=AA54,AA54,1+INT(S54/110)))))</f>
        <v>8</v>
      </c>
      <c r="BO56" s="2320"/>
      <c r="BP56" s="2321"/>
      <c r="BQ56" s="31" t="s">
        <v>103</v>
      </c>
      <c r="BR56" s="2322"/>
      <c r="BS56" s="2323"/>
      <c r="BT56" s="2324"/>
      <c r="BU56" s="19"/>
      <c r="BV56" s="226"/>
      <c r="BW56" s="196"/>
      <c r="BX56" s="8"/>
      <c r="BY56" s="88" t="s">
        <v>200</v>
      </c>
      <c r="BZ56" s="222">
        <f>SUM(AZ54:BB57)+SUM(BO54:BQ57)</f>
        <v>9</v>
      </c>
      <c r="CA56" s="8"/>
      <c r="CB56" s="8"/>
      <c r="CC56" s="88" t="s">
        <v>121</v>
      </c>
      <c r="CD56" s="88">
        <f>IF($AW$8=0,0,2*($AW$8/1000-0.15-0.1)*(INT(1000*2*BW54/$AW$10)+1)*(INT(1000*2*BX54/$AW$10)+1)*4)</f>
        <v>162</v>
      </c>
      <c r="CE56" s="8"/>
      <c r="CF56" s="8"/>
      <c r="CG56" s="168"/>
      <c r="CH56" s="261"/>
      <c r="CI56" s="8"/>
      <c r="CJ56" s="8"/>
      <c r="CK56" s="168"/>
      <c r="CL56" s="261"/>
      <c r="CM56" s="8"/>
      <c r="CN56" s="8"/>
      <c r="CO56" s="136">
        <f>IF(AZ56="",0,VLOOKUP(AQ56,[7]建物1802!$E$5:$AL$3275,33,FALSE)*AZ56)</f>
        <v>0</v>
      </c>
      <c r="CP56" s="136">
        <f>IF(AZ56="",0,VLOOKUP(AQ56,[7]建物1802!$E$5:$AL$3275,30,FALSE)*AZ56)</f>
        <v>0</v>
      </c>
      <c r="CQ56" s="136">
        <f>IF(CO56="","",SQRT(CO56^2-CP56^2))</f>
        <v>0</v>
      </c>
      <c r="CR56" s="260"/>
      <c r="CS56" s="14"/>
      <c r="CT56" s="14"/>
      <c r="CU56" s="14"/>
      <c r="CV56" s="14"/>
      <c r="CW56" s="216"/>
      <c r="CX56" s="88">
        <v>6</v>
      </c>
      <c r="CY56" s="204">
        <f t="shared" si="6"/>
        <v>3</v>
      </c>
      <c r="CZ56" s="155" t="str">
        <f t="shared" si="7"/>
        <v/>
      </c>
      <c r="DA56" s="154" t="str">
        <f>AG45</f>
        <v>PF-S-16mm</v>
      </c>
      <c r="DB56" s="45"/>
      <c r="DC56" s="45"/>
      <c r="DD56" s="45"/>
      <c r="DE56" s="153" t="str">
        <f>IF(COUNTIF($DA$15:DA55,DA56)&gt;0,"",DA56)</f>
        <v/>
      </c>
      <c r="DF56" s="152">
        <f>AM45</f>
        <v>83.2</v>
      </c>
      <c r="DG56" s="32">
        <f t="shared" si="8"/>
        <v>0</v>
      </c>
      <c r="DH56" s="124">
        <f t="shared" si="9"/>
        <v>5</v>
      </c>
      <c r="DI56" s="149" t="str">
        <f t="shared" si="10"/>
        <v/>
      </c>
      <c r="DJ56" s="210" t="str">
        <f>BI45</f>
        <v>d4-13e</v>
      </c>
      <c r="DK56" s="154"/>
      <c r="DL56" s="154"/>
      <c r="DM56" s="45"/>
      <c r="DN56" s="45" t="str">
        <f>IF(COUNTIF($DJ$15:DJ55,DJ56)&gt;0,"",DJ56)</f>
        <v/>
      </c>
      <c r="DO56" s="209">
        <f>BN45</f>
        <v>34</v>
      </c>
      <c r="DP56" s="169">
        <f t="shared" si="11"/>
        <v>0</v>
      </c>
      <c r="DQ56" s="88">
        <v>6</v>
      </c>
    </row>
    <row r="57" spans="1:121" ht="11.25" customHeight="1" thickBot="1">
      <c r="A57" s="15"/>
      <c r="B57" s="23"/>
      <c r="C57" s="2359" t="str">
        <f>IF(C54="","",IF(I57="","",IF(AI53="非:天井(C管)","C-19mm",IF(AI53="非:天井(G管)","G- 16mm","PF-S-16mm"))))</f>
        <v/>
      </c>
      <c r="D57" s="2360"/>
      <c r="E57" s="2360"/>
      <c r="F57" s="2360"/>
      <c r="G57" s="2360"/>
      <c r="H57" s="2360"/>
      <c r="I57" s="2335" t="str">
        <f>IF(OR(C54="",AL52="設置しない",BH52="設置しない",$BW$10=0,CH54=0,CJ54=0),"",IF(J54="直天",ROUND((BZ54+CB54),1),ROUND((CH54+CJ54),1)))</f>
        <v/>
      </c>
      <c r="J57" s="2335"/>
      <c r="K57" s="2335"/>
      <c r="L57" s="2335"/>
      <c r="M57" s="2359" t="str">
        <f>IF(C54="","",IF(S57="","",IF(BC53="誘:天井(C管)","C-19mm",IF(BC53="誘:天井(G管)","G- 16mm","PF-S-16mm"))))</f>
        <v/>
      </c>
      <c r="N57" s="2360"/>
      <c r="O57" s="2360"/>
      <c r="P57" s="2360"/>
      <c r="Q57" s="2360"/>
      <c r="R57" s="2361"/>
      <c r="S57" s="2312" t="str">
        <f>IF(OR(C54="",,AL52="設置しない",BH52="設置しない",$BW$10=0,CH57=0,CJ57=0),"",IF(J54="直天",ROUND((BZ57+CB57),1),ROUND((CH57+CJ57),1)))</f>
        <v/>
      </c>
      <c r="T57" s="2312"/>
      <c r="U57" s="2312"/>
      <c r="V57" s="2312"/>
      <c r="W57" s="2359" t="str">
        <f>IF(C54="","",IF($B$2=0,"",IF(OR(AI53="非:天井(C管)",AI53="非:床(C管)"),"C-19mm",IF(OR(AI53="非:天井(G管)",AI53="非:床(G管)"),"G-16mm",IF(AI53="非:床(CD管)","CD-16mm","PF-S-16mm")))))</f>
        <v>PF-S-16mm</v>
      </c>
      <c r="X57" s="2360"/>
      <c r="Y57" s="2360"/>
      <c r="Z57" s="2360"/>
      <c r="AA57" s="2360"/>
      <c r="AB57" s="2361"/>
      <c r="AC57" s="2362">
        <f>IF(OR(C54="",AL52="設置しない",BH52="設置しない"),"",ROUND(CL54,1))</f>
        <v>3.9</v>
      </c>
      <c r="AD57" s="2312"/>
      <c r="AE57" s="2312"/>
      <c r="AF57" s="2312"/>
      <c r="AG57" s="2333" t="str">
        <f>IF(C54="","",IF($B$2=0,"",IF(BC53="誘:天井(C管)","C-19mm",IF(BC53="誘:天井(G管)","G-16mm","PF-S-16mm"))))</f>
        <v>PF-S-16mm</v>
      </c>
      <c r="AH57" s="2333"/>
      <c r="AI57" s="2333"/>
      <c r="AJ57" s="2333"/>
      <c r="AK57" s="2333"/>
      <c r="AL57" s="2333"/>
      <c r="AM57" s="2334">
        <f>IF(OR(C54="",AL52="設置しない",BH52="設置しない"),"",ROUND((CL57+CN57),1))</f>
        <v>19.5</v>
      </c>
      <c r="AN57" s="2335"/>
      <c r="AO57" s="2335"/>
      <c r="AP57" s="2335"/>
      <c r="AQ57" s="2291" t="str">
        <f>IF(C54="","",IF(OR(AND(LEFT(C54,2)=" B",[6]Top!$AA$72="C"),AND(LEFT(C54,3)="  1",[6]Top!$AA$73="C"),AND(LEFT(C54,3)="  2",[6]Top!$AA$75="C"),AND(LEFT(C54,3)="  3",[6]Top!$AA$77="C"),[6]Top!$AA$79="C",[6]Top!$AA$81="C"),"Yd2-Ce",""))</f>
        <v>Yd2-Ce</v>
      </c>
      <c r="AR57" s="2292"/>
      <c r="AS57" s="2292"/>
      <c r="AT57" s="2292"/>
      <c r="AU57" s="2292"/>
      <c r="AV57" s="2292"/>
      <c r="AW57" s="2292"/>
      <c r="AX57" s="2292"/>
      <c r="AY57" s="2293"/>
      <c r="AZ57" s="2294">
        <f>IF(OR(C54="",C54="  RF",AQ57=""),"",IF(BC57&lt;&gt;"",BC57,1+INT((BW54+BX54)/20)))</f>
        <v>2</v>
      </c>
      <c r="BA57" s="2295"/>
      <c r="BB57" s="2296"/>
      <c r="BC57" s="2287"/>
      <c r="BD57" s="2287"/>
      <c r="BE57" s="2287"/>
      <c r="BF57" s="2363" t="s">
        <v>127</v>
      </c>
      <c r="BG57" s="2364"/>
      <c r="BH57" s="2365"/>
      <c r="BI57" s="2335" t="str">
        <f>IF(OR($BW$10=0,AY52="設置しない",C54="",C54="  RF"),"",IF(OR(AND(LEFT(C54,2)=" B",[6]Top!$O$72="要"),AND(LEFT(C54,3)="  1",[6]Top!$O$74="要"),AND(LEFT(C54,3)="  2",[6]Top!$O$76="要"),AND(LEFT(C54,3)="  3",[6]Top!$O$78="要"),[6]Top!$O$80="要",[6]Top!$O$81="要",$Y$10="設置する"),"d4-13e",""))</f>
        <v>d4-13e</v>
      </c>
      <c r="BJ57" s="2335"/>
      <c r="BK57" s="2335"/>
      <c r="BL57" s="2335"/>
      <c r="BM57" s="2335"/>
      <c r="BN57" s="2335">
        <f>IF(OR($BW$10=0,BH52="設置しない",C54="",C54="  RF"),"",IF(BR57&lt;&gt;"",BR57,INT(AD54*1.2)))</f>
        <v>10</v>
      </c>
      <c r="BO57" s="2335"/>
      <c r="BP57" s="2335"/>
      <c r="BQ57" s="31" t="s">
        <v>103</v>
      </c>
      <c r="BR57" s="2350"/>
      <c r="BS57" s="2351"/>
      <c r="BT57" s="2352"/>
      <c r="BU57" s="19"/>
      <c r="BV57" s="8"/>
      <c r="BW57" s="8"/>
      <c r="BX57" s="8"/>
      <c r="BY57" s="88" t="s">
        <v>199</v>
      </c>
      <c r="BZ57" s="151">
        <f>IF(AL54="",0,AL54*SQRT(N54/BZ56))</f>
        <v>33.941125496954285</v>
      </c>
      <c r="CA57" s="88" t="s">
        <v>198</v>
      </c>
      <c r="CB57" s="151">
        <f>IF(BZ56=0,0,(BZ56/3)*BW55)</f>
        <v>81</v>
      </c>
      <c r="CC57" s="88" t="s">
        <v>199</v>
      </c>
      <c r="CD57" s="151">
        <f>IF(F54=0,0,F54-0.25-$Y$7/1000)</f>
        <v>1.95</v>
      </c>
      <c r="CE57" s="88" t="s">
        <v>198</v>
      </c>
      <c r="CF57" s="151">
        <f>IF(F54=0,0,(2*(BZ56-BO54)-1)*$AN$7/1000+(2*BO54-1)*(F54-0.75))</f>
        <v>20.149999999999999</v>
      </c>
      <c r="CG57" s="88" t="s">
        <v>199</v>
      </c>
      <c r="CH57" s="151">
        <f>IF(BC53="誘:天井ケーブル",0,BZ57)</f>
        <v>0</v>
      </c>
      <c r="CI57" s="88" t="s">
        <v>198</v>
      </c>
      <c r="CJ57" s="151">
        <f>IF(BC53="誘:天井ケーブル",0,CB57)</f>
        <v>0</v>
      </c>
      <c r="CK57" s="88" t="s">
        <v>199</v>
      </c>
      <c r="CL57" s="259">
        <f>IF(F54=0,0,IF(J54="直天",AL54*(F54-$Y$7/1000),AL54*(J54+0.1-$Y$7/1000)))</f>
        <v>3.9000000000000004</v>
      </c>
      <c r="CM57" s="88" t="s">
        <v>198</v>
      </c>
      <c r="CN57" s="151">
        <f>IF(F54=0,0,IF(J54="直天",BO54*(2*BO54-1)*(F54-0.5),BO54*(2*BO54-1)*(J54-0.4)))</f>
        <v>15.600000000000001</v>
      </c>
      <c r="CO57" s="136">
        <f>IF(AZ57="",0,VLOOKUP(AQ57,[7]建物1802!$E$5:$AL$3275,33,FALSE)*AZ57)</f>
        <v>10.58</v>
      </c>
      <c r="CP57" s="136">
        <f>IF(AZ57="",0,VLOOKUP(AQ57,[7]建物1802!$E$5:$AL$3275,30,FALSE)*AZ57)</f>
        <v>5.2</v>
      </c>
      <c r="CQ57" s="136">
        <f>IF(CO57="","",SQRT(CO57^2-CP57^2))</f>
        <v>9.2139242454016301</v>
      </c>
      <c r="CR57" s="26"/>
      <c r="CS57" s="26"/>
      <c r="CT57" s="26"/>
      <c r="CU57" s="26"/>
      <c r="CV57" s="26"/>
      <c r="CW57" s="218"/>
      <c r="CX57" s="8"/>
      <c r="CY57" s="197">
        <f t="shared" si="6"/>
        <v>3</v>
      </c>
      <c r="CZ57" s="197" t="str">
        <f t="shared" si="7"/>
        <v/>
      </c>
      <c r="DA57" s="10" t="str">
        <f>C49</f>
        <v>VV-F 2.0mm-2C</v>
      </c>
      <c r="DB57" s="8"/>
      <c r="DC57" s="8"/>
      <c r="DD57" s="8"/>
      <c r="DE57" s="249" t="str">
        <f>IF(COUNTIF($DA$15:DA56,DA57)&gt;0,"",DA57)</f>
        <v/>
      </c>
      <c r="DF57" s="26">
        <f>S49</f>
        <v>54.3</v>
      </c>
      <c r="DG57" s="32">
        <f t="shared" si="8"/>
        <v>0</v>
      </c>
      <c r="DH57" s="198">
        <f t="shared" si="9"/>
        <v>5</v>
      </c>
      <c r="DI57" s="199" t="str">
        <f t="shared" si="10"/>
        <v/>
      </c>
      <c r="DJ57" s="10" t="str">
        <f>AQ48</f>
        <v>Xh1-Ae</v>
      </c>
      <c r="DK57" s="10"/>
      <c r="DL57" s="10"/>
      <c r="DM57" s="8"/>
      <c r="DN57" s="249" t="str">
        <f>IF(COUNTIF($DJ$15:DJ56,DJ57)&gt;0,"",DJ57)</f>
        <v/>
      </c>
      <c r="DO57" s="200">
        <f>AZ48</f>
        <v>3</v>
      </c>
      <c r="DP57" s="32">
        <f t="shared" si="11"/>
        <v>0</v>
      </c>
      <c r="DQ57" s="8"/>
    </row>
    <row r="58" spans="1:121" ht="11.25" customHeight="1" thickBot="1">
      <c r="A58" s="15"/>
      <c r="B58" s="23"/>
      <c r="C58" s="2391" t="s">
        <v>112</v>
      </c>
      <c r="D58" s="2391"/>
      <c r="E58" s="2391"/>
      <c r="F58" s="2391"/>
      <c r="G58" s="2391"/>
      <c r="H58" s="2391"/>
      <c r="I58" s="2288"/>
      <c r="J58" s="2356" t="str">
        <f>[5]照差!$I$65</f>
        <v>( 4 )</v>
      </c>
      <c r="K58" s="2357"/>
      <c r="L58" s="2358"/>
      <c r="M58" s="2375" t="str">
        <f>[5]照差!$M$65</f>
        <v>百貨店等</v>
      </c>
      <c r="N58" s="2376"/>
      <c r="O58" s="2376"/>
      <c r="P58" s="2376"/>
      <c r="Q58" s="2376"/>
      <c r="R58" s="2376"/>
      <c r="S58" s="2376"/>
      <c r="T58" s="2376"/>
      <c r="U58" s="2377"/>
      <c r="V58" s="2275" t="s">
        <v>232</v>
      </c>
      <c r="W58" s="2276"/>
      <c r="X58" s="2276"/>
      <c r="Y58" s="2276"/>
      <c r="Z58" s="2277"/>
      <c r="AA58" s="2278" t="str">
        <f>[6]Top!$I$38</f>
        <v>A</v>
      </c>
      <c r="AB58" s="2279"/>
      <c r="AC58" s="2280" t="s">
        <v>231</v>
      </c>
      <c r="AD58" s="2280"/>
      <c r="AE58" s="2280"/>
      <c r="AF58" s="2280"/>
      <c r="AG58" s="2280"/>
      <c r="AH58" s="2280"/>
      <c r="AI58" s="2280"/>
      <c r="AJ58" s="2280"/>
      <c r="AK58" s="2280"/>
      <c r="AL58" s="2356" t="str">
        <f>IF($BW$10=0,"設置しない",IF(AS58="","設置する",AS58))</f>
        <v>設置する</v>
      </c>
      <c r="AM58" s="2357"/>
      <c r="AN58" s="2357"/>
      <c r="AO58" s="2357"/>
      <c r="AP58" s="2357"/>
      <c r="AQ58" s="2358"/>
      <c r="AR58" s="265" t="s">
        <v>103</v>
      </c>
      <c r="AS58" s="2284"/>
      <c r="AT58" s="2285"/>
      <c r="AU58" s="2285"/>
      <c r="AV58" s="2285"/>
      <c r="AW58" s="2285"/>
      <c r="AX58" s="2286"/>
      <c r="AY58" s="2280" t="s">
        <v>215</v>
      </c>
      <c r="AZ58" s="2280"/>
      <c r="BA58" s="2280"/>
      <c r="BB58" s="2280"/>
      <c r="BC58" s="2280"/>
      <c r="BD58" s="2280"/>
      <c r="BE58" s="2280"/>
      <c r="BF58" s="2280"/>
      <c r="BG58" s="2280"/>
      <c r="BH58" s="2356" t="str">
        <f>IF($BW$10=0,"設置しない",IF(BO58="","設置する",BO58))</f>
        <v>設置する</v>
      </c>
      <c r="BI58" s="2357"/>
      <c r="BJ58" s="2357"/>
      <c r="BK58" s="2357"/>
      <c r="BL58" s="2357"/>
      <c r="BM58" s="2358"/>
      <c r="BN58" s="265" t="s">
        <v>103</v>
      </c>
      <c r="BO58" s="2284"/>
      <c r="BP58" s="2285"/>
      <c r="BQ58" s="2285"/>
      <c r="BR58" s="2285"/>
      <c r="BS58" s="2285"/>
      <c r="BT58" s="2286"/>
      <c r="BU58" s="19"/>
      <c r="BV58" s="8"/>
      <c r="BW58" s="8"/>
      <c r="BX58" s="8"/>
      <c r="BY58" s="9"/>
      <c r="BZ58" s="9"/>
      <c r="CA58" s="9"/>
      <c r="CB58" s="9"/>
      <c r="CC58" s="9"/>
      <c r="CD58" s="9"/>
      <c r="CE58" s="9"/>
      <c r="CF58" s="9"/>
      <c r="CG58" s="9"/>
      <c r="CH58" s="9"/>
      <c r="CI58" s="9"/>
      <c r="CJ58" s="9"/>
      <c r="CK58" s="9"/>
      <c r="CL58" s="9"/>
      <c r="CM58" s="9"/>
      <c r="CN58" s="9"/>
      <c r="CO58" s="266"/>
      <c r="CP58" s="266"/>
      <c r="CQ58" s="266"/>
      <c r="CR58" s="14"/>
      <c r="CS58" s="14"/>
      <c r="CT58" s="14"/>
      <c r="CU58" s="14"/>
      <c r="CV58" s="14"/>
      <c r="CW58" s="216"/>
      <c r="CX58" s="8"/>
      <c r="CY58" s="197">
        <f t="shared" si="6"/>
        <v>3</v>
      </c>
      <c r="CZ58" s="197" t="str">
        <f t="shared" si="7"/>
        <v/>
      </c>
      <c r="DA58" s="10" t="str">
        <f>W49</f>
        <v>VV-F 2.0mm-2C</v>
      </c>
      <c r="DB58" s="8"/>
      <c r="DC58" s="8"/>
      <c r="DD58" s="8"/>
      <c r="DE58" s="249" t="str">
        <f>IF(COUNTIF($DA$15:DA57,DA58)&gt;0,"",DA58)</f>
        <v/>
      </c>
      <c r="DF58" s="26">
        <f>AM49</f>
        <v>33.9</v>
      </c>
      <c r="DG58" s="32">
        <f t="shared" si="8"/>
        <v>0</v>
      </c>
      <c r="DH58" s="198">
        <f t="shared" si="9"/>
        <v>5</v>
      </c>
      <c r="DI58" s="198" t="str">
        <f t="shared" si="10"/>
        <v/>
      </c>
      <c r="DJ58" s="10" t="str">
        <f>AQ49</f>
        <v>Xh1-Ae</v>
      </c>
      <c r="DK58" s="10"/>
      <c r="DL58" s="10"/>
      <c r="DM58" s="8"/>
      <c r="DN58" s="8" t="str">
        <f>IF(COUNTIF($DJ$15:DJ57,DJ58)&gt;0,"",DJ58)</f>
        <v/>
      </c>
      <c r="DO58" s="200">
        <f>AZ49</f>
        <v>2</v>
      </c>
      <c r="DP58" s="32">
        <f t="shared" si="11"/>
        <v>0</v>
      </c>
      <c r="DQ58" s="8"/>
    </row>
    <row r="59" spans="1:121" ht="11.25" customHeight="1" thickBot="1">
      <c r="A59" s="15"/>
      <c r="B59" s="23"/>
      <c r="C59" s="2300" t="s">
        <v>214</v>
      </c>
      <c r="D59" s="2301"/>
      <c r="E59" s="2301"/>
      <c r="F59" s="2301"/>
      <c r="G59" s="2301"/>
      <c r="H59" s="2301"/>
      <c r="I59" s="2302"/>
      <c r="J59" s="2297">
        <f>[5]照差!$K$66</f>
        <v>0.5</v>
      </c>
      <c r="K59" s="2298"/>
      <c r="L59" s="2298"/>
      <c r="M59" s="2298"/>
      <c r="N59" s="2299" t="s">
        <v>230</v>
      </c>
      <c r="O59" s="2299"/>
      <c r="P59" s="2299"/>
      <c r="Q59" s="2299"/>
      <c r="R59" s="2299"/>
      <c r="S59" s="2299"/>
      <c r="T59" s="2299"/>
      <c r="U59" s="2299"/>
      <c r="V59" s="2366" t="str">
        <f>[5]照差!$W$66</f>
        <v>⑦</v>
      </c>
      <c r="W59" s="2366"/>
      <c r="X59" s="2366"/>
      <c r="Y59" s="2299" t="s">
        <v>135</v>
      </c>
      <c r="Z59" s="2299"/>
      <c r="AA59" s="2299"/>
      <c r="AB59" s="2299"/>
      <c r="AC59" s="2299"/>
      <c r="AD59" s="2299" t="s">
        <v>18</v>
      </c>
      <c r="AE59" s="2299"/>
      <c r="AF59" s="2299"/>
      <c r="AG59" s="2299"/>
      <c r="AH59" s="2299"/>
      <c r="AI59" s="2337" t="str">
        <f>IF($B$2=0,"",IF(AQ59="","非:天井ケーブル",AQ59))</f>
        <v>非:天井ケーブル</v>
      </c>
      <c r="AJ59" s="2337"/>
      <c r="AK59" s="2337"/>
      <c r="AL59" s="2337"/>
      <c r="AM59" s="2337"/>
      <c r="AN59" s="2337"/>
      <c r="AO59" s="2337"/>
      <c r="AP59" s="175" t="s">
        <v>103</v>
      </c>
      <c r="AQ59" s="2338"/>
      <c r="AR59" s="2338"/>
      <c r="AS59" s="2338"/>
      <c r="AT59" s="2338"/>
      <c r="AU59" s="2338"/>
      <c r="AV59" s="2338"/>
      <c r="AW59" s="2338"/>
      <c r="AX59" s="2299" t="s">
        <v>212</v>
      </c>
      <c r="AY59" s="2299"/>
      <c r="AZ59" s="2299"/>
      <c r="BA59" s="2299"/>
      <c r="BB59" s="2299"/>
      <c r="BC59" s="2337" t="str">
        <f>IF($B$2=0,"",IF(BK59="","誘:天井ケーブル",BK59))</f>
        <v>誘:天井ケーブル</v>
      </c>
      <c r="BD59" s="2337"/>
      <c r="BE59" s="2337"/>
      <c r="BF59" s="2337"/>
      <c r="BG59" s="2337"/>
      <c r="BH59" s="2337"/>
      <c r="BI59" s="2337"/>
      <c r="BJ59" s="175" t="s">
        <v>103</v>
      </c>
      <c r="BK59" s="2338"/>
      <c r="BL59" s="2338"/>
      <c r="BM59" s="2338"/>
      <c r="BN59" s="2338"/>
      <c r="BO59" s="2338"/>
      <c r="BP59" s="2338"/>
      <c r="BQ59" s="2338"/>
      <c r="BR59" s="2299"/>
      <c r="BS59" s="2299"/>
      <c r="BT59" s="2299"/>
      <c r="BU59" s="19"/>
      <c r="BV59" s="8">
        <v>65</v>
      </c>
      <c r="BW59" s="88" t="s">
        <v>229</v>
      </c>
      <c r="BX59" s="88" t="s">
        <v>228</v>
      </c>
      <c r="BY59" s="2336" t="s">
        <v>126</v>
      </c>
      <c r="BZ59" s="2336"/>
      <c r="CA59" s="2336"/>
      <c r="CB59" s="2336"/>
      <c r="CC59" s="2336" t="s">
        <v>125</v>
      </c>
      <c r="CD59" s="2336"/>
      <c r="CE59" s="2336"/>
      <c r="CF59" s="2336"/>
      <c r="CG59" s="2336" t="s">
        <v>124</v>
      </c>
      <c r="CH59" s="2336"/>
      <c r="CI59" s="2336"/>
      <c r="CJ59" s="2336"/>
      <c r="CK59" s="2336" t="s">
        <v>123</v>
      </c>
      <c r="CL59" s="2336"/>
      <c r="CM59" s="2336"/>
      <c r="CN59" s="2336"/>
      <c r="CO59" s="88" t="s">
        <v>227</v>
      </c>
      <c r="CP59" s="88" t="s">
        <v>226</v>
      </c>
      <c r="CQ59" s="88" t="s">
        <v>225</v>
      </c>
      <c r="CR59" s="88" t="s">
        <v>227</v>
      </c>
      <c r="CS59" s="88" t="s">
        <v>226</v>
      </c>
      <c r="CT59" s="221" t="s">
        <v>225</v>
      </c>
      <c r="CU59" s="264">
        <f>IF(BW60="","",SUM(CP60:CP63)+CS60+CS61)</f>
        <v>61.5</v>
      </c>
      <c r="CV59" s="264">
        <f>IF(BW60="","",SUM(CQ60:CQ63)+CT60+CT61)</f>
        <v>95.309234204481399</v>
      </c>
      <c r="CW59" s="216"/>
      <c r="CX59" s="8"/>
      <c r="CY59" s="197">
        <f t="shared" si="6"/>
        <v>3</v>
      </c>
      <c r="CZ59" s="197" t="str">
        <f t="shared" si="7"/>
        <v/>
      </c>
      <c r="DA59" s="10" t="str">
        <f>C50</f>
        <v>VV-F 1.6mm-2C</v>
      </c>
      <c r="DB59" s="8"/>
      <c r="DC59" s="8"/>
      <c r="DD59" s="8"/>
      <c r="DE59" s="249" t="str">
        <f>IF(COUNTIF($DA$15:DA58,DA59)&gt;0,"",DA59)</f>
        <v/>
      </c>
      <c r="DF59" s="26">
        <f>S50</f>
        <v>312</v>
      </c>
      <c r="DG59" s="32">
        <f t="shared" si="8"/>
        <v>0</v>
      </c>
      <c r="DH59" s="198">
        <f t="shared" si="9"/>
        <v>5</v>
      </c>
      <c r="DI59" s="198" t="str">
        <f t="shared" si="10"/>
        <v/>
      </c>
      <c r="DJ59" s="10" t="str">
        <f>AQ50</f>
        <v/>
      </c>
      <c r="DK59" s="10"/>
      <c r="DL59" s="10"/>
      <c r="DM59" s="8"/>
      <c r="DN59" s="8" t="str">
        <f>IF(COUNTIF($DJ$15:DJ58,DJ59)&gt;0,"",DJ59)</f>
        <v/>
      </c>
      <c r="DO59" s="200" t="str">
        <f>AZ50</f>
        <v/>
      </c>
      <c r="DP59" s="32">
        <f t="shared" si="11"/>
        <v>0</v>
      </c>
      <c r="DQ59" s="8"/>
    </row>
    <row r="60" spans="1:121" ht="11.25" customHeight="1">
      <c r="A60" s="15"/>
      <c r="B60" s="23"/>
      <c r="C60" s="2367" t="str">
        <f>[5]照差!$C$67</f>
        <v xml:space="preserve">  6F</v>
      </c>
      <c r="D60" s="2368"/>
      <c r="E60" s="2369"/>
      <c r="F60" s="2370">
        <f>[5]照差!$G$67</f>
        <v>4</v>
      </c>
      <c r="G60" s="2371"/>
      <c r="H60" s="2371"/>
      <c r="I60" s="2372"/>
      <c r="J60" s="2370">
        <f>[5]照差!$J$67</f>
        <v>3</v>
      </c>
      <c r="K60" s="2373"/>
      <c r="L60" s="2373"/>
      <c r="M60" s="2374"/>
      <c r="N60" s="2330">
        <f>[5]照差!$M$67</f>
        <v>1152</v>
      </c>
      <c r="O60" s="2331"/>
      <c r="P60" s="2331"/>
      <c r="Q60" s="2331"/>
      <c r="R60" s="2332"/>
      <c r="S60" s="2330">
        <f>[5]照差!$Q$67</f>
        <v>806.4</v>
      </c>
      <c r="T60" s="2331"/>
      <c r="U60" s="2331"/>
      <c r="V60" s="2332"/>
      <c r="W60" s="2330">
        <f>[5]照差!$U$67</f>
        <v>345.6</v>
      </c>
      <c r="X60" s="2331"/>
      <c r="Y60" s="2331"/>
      <c r="Z60" s="2332"/>
      <c r="AA60" s="2340">
        <f>[5]照差!$Y$67</f>
        <v>3</v>
      </c>
      <c r="AB60" s="2341"/>
      <c r="AC60" s="2342"/>
      <c r="AD60" s="2343">
        <f>[5]照差!$AB$67</f>
        <v>9</v>
      </c>
      <c r="AE60" s="2344"/>
      <c r="AF60" s="2345"/>
      <c r="AG60" s="2346">
        <f>IF(OR(C60="",C60="  RF"),"",2+INT(N60/1000))</f>
        <v>3</v>
      </c>
      <c r="AH60" s="2346"/>
      <c r="AI60" s="2346"/>
      <c r="AJ60" s="2346"/>
      <c r="AK60" s="2346"/>
      <c r="AL60" s="2346">
        <f>IF(OR(C60="",C60="  RF"),"",1+INT(N60/500))</f>
        <v>3</v>
      </c>
      <c r="AM60" s="2346"/>
      <c r="AN60" s="2346"/>
      <c r="AO60" s="2346"/>
      <c r="AP60" s="2346"/>
      <c r="AQ60" s="2347" t="str">
        <f>IF(OR(C60="",AL58="設置しない"),"",IF(OR(AND(LEFT($C$18,2)=" B",[6]Top!$U$72&lt;&gt;""),AND(LEFT($C$18,3)="  1",[6]Top!$U$73&lt;&gt;""),AND(LEFT($C$18,3)="  2",[6]Top!$U$75&lt;&gt;""),AND(LEFT($C$18,3)="  3",[6]Top!$U$77&lt;&gt;""),[6]Top!$U$79&lt;&gt;"",[6]Top!$U$81&lt;&gt;""),"Xh1-Ae",IF(OR(AND(LEFT($C$18,2)=" B",[6]Top!$U$72="BL"),AND(LEFT($C$18,3)="  1",[6]Top!$U$73="BL"),AND(LEFT($C$18,3)="  2",[6]Top!$U$75="BL"),AND(LEFT($C$18,3)="  3",[6]Top!$U$77="BL"),[6]Top!$U$79="BL",[6]Top!$U$81="BL"),"Xh1-BLe","")))</f>
        <v>Xh1-Ae</v>
      </c>
      <c r="AR60" s="2348"/>
      <c r="AS60" s="2348"/>
      <c r="AT60" s="2348"/>
      <c r="AU60" s="2348"/>
      <c r="AV60" s="2348"/>
      <c r="AW60" s="2348"/>
      <c r="AX60" s="2348"/>
      <c r="AY60" s="2349"/>
      <c r="AZ60" s="2353">
        <f>IF(OR(N60="",AQ60=""),"",IF(BC60&lt;&gt;"",BC60,1+INT(N60/500)))</f>
        <v>3</v>
      </c>
      <c r="BA60" s="2354"/>
      <c r="BB60" s="2355"/>
      <c r="BC60" s="2305"/>
      <c r="BD60" s="2305"/>
      <c r="BE60" s="2305"/>
      <c r="BF60" s="2281" t="str">
        <f>IF(C60="","",IF(OR(AND(LEFT(C60,2)=" B",[6]Top!$AD$72="要"),AND(LEFT(C60,3)="  1",[6]Top!$AD$73="要"),AND(LEFT(C60,3)="  2",[6]Top!$AD$75="要"),AND(LEFT(C60,3)="  3",[6]Top!$AD$77="要"),[6]Top!$AD$79="C",[6]Top!$AD$81="要"),"Ya1-Ce",""))</f>
        <v>Ya1-Ce</v>
      </c>
      <c r="BG60" s="2281"/>
      <c r="BH60" s="2281"/>
      <c r="BI60" s="2281"/>
      <c r="BJ60" s="2281"/>
      <c r="BK60" s="2281"/>
      <c r="BL60" s="2281"/>
      <c r="BM60" s="2281"/>
      <c r="BN60" s="2281"/>
      <c r="BO60" s="2304">
        <f>IF(OR(C60="",C60="  RF"),"",IF(BR60&lt;&gt;"",BR60,1+INT((BW60+BX60)/20)))</f>
        <v>2</v>
      </c>
      <c r="BP60" s="2304"/>
      <c r="BQ60" s="2304"/>
      <c r="BR60" s="2339"/>
      <c r="BS60" s="2339"/>
      <c r="BT60" s="2339"/>
      <c r="BU60" s="19"/>
      <c r="BV60" s="8">
        <v>8</v>
      </c>
      <c r="BW60" s="98">
        <f>IF(OR(C60="",C60="  RF"),0,SQRT(N60*J59)/2)</f>
        <v>12</v>
      </c>
      <c r="BX60" s="98">
        <f>IF(OR(C60="",C60="  RF"),0,SQRT(N60/J59)/2)</f>
        <v>24</v>
      </c>
      <c r="BY60" s="88" t="s">
        <v>204</v>
      </c>
      <c r="BZ60" s="92">
        <f>IF(OR($BW$10=0,AL58="設置しない",C60="  RF",C60=""),0,IF(LEFT(C60,2)&lt;&gt;"PH",AG60*BW61/2,BW61))</f>
        <v>40.5</v>
      </c>
      <c r="CA60" s="88" t="s">
        <v>205</v>
      </c>
      <c r="CB60" s="88">
        <f>IF(OR($BW$10=0,AL58="設置しない",C60="  RF",C60=""),0,IF(LEFT(C60,2)="PH",0,(BN62-1)*SQRT(S60/BN62)))</f>
        <v>70.279442228862351</v>
      </c>
      <c r="CC60" s="88" t="s">
        <v>204</v>
      </c>
      <c r="CD60" s="262">
        <f>IF(OR($BW$10=0,AL58="設置しない",F60=0),0,AG60*(F60-0.1-($Y$7-$AN$8)/1000))</f>
        <v>13.799999999999999</v>
      </c>
      <c r="CE60" s="88" t="s">
        <v>205</v>
      </c>
      <c r="CF60" s="88">
        <f>IF(OR($BW$10=0,AL58="設置しない",LEFT(C60,2)="PH",C60="  RF",C60=""),0,(2*BN62-1)*$AN$7/1000)</f>
        <v>12</v>
      </c>
      <c r="CG60" s="88" t="s">
        <v>204</v>
      </c>
      <c r="CH60" s="92">
        <f>IF(OR($BW$10=0,AL58="設置しない",AI59="非:天井ケーブル"),0,BZ60)</f>
        <v>0</v>
      </c>
      <c r="CI60" s="88" t="s">
        <v>205</v>
      </c>
      <c r="CJ60" s="88">
        <f>IF(OR($BW$10=0,AL58="設置しない",AI59="非:天井ケーブル"),0,CB60)</f>
        <v>0</v>
      </c>
      <c r="CK60" s="88" t="s">
        <v>204</v>
      </c>
      <c r="CL60" s="92">
        <f>IF(OR($BW$10=0,AL58="設置しない",C60="  RF",C60=""),0,IF(J60="直天",AG60*(F60-$Y$7/1000),AG60*(J60+0.1-$Y$7/1000)))</f>
        <v>3.9000000000000004</v>
      </c>
      <c r="CM60" s="220"/>
      <c r="CN60" s="219"/>
      <c r="CO60" s="134">
        <f>IF(AZ60="",0,VLOOKUP(AQ60,[7]建物1802!$E$5:$AL$3275,33,FALSE)*AZ60)</f>
        <v>56.94</v>
      </c>
      <c r="CP60" s="136">
        <f>IF(AZ60="",0,VLOOKUP(AQ60,[7]建物1802!$E$5:$AL$3275,30,FALSE)*AZ60)</f>
        <v>31.5</v>
      </c>
      <c r="CQ60" s="136">
        <f>IF(CO60="","",SQRT(CO60^2-CP60^2))</f>
        <v>47.433254157816329</v>
      </c>
      <c r="CR60" s="189">
        <f>IF(BO60="",0,VLOOKUP(BF60,[7]建物1802!$E$5:$AL$3275,33,FALSE)*BO60)</f>
        <v>8</v>
      </c>
      <c r="CS60" s="189">
        <f>IF(BO60="",0,VLOOKUP(BF60,[7]建物1802!$E$5:$AL$3275,30,FALSE)*BO60)</f>
        <v>3.8</v>
      </c>
      <c r="CT60" s="259">
        <f>IF(CR60="",0,SQRT(CR60^2-CS60^2))</f>
        <v>7.0398863627192165</v>
      </c>
      <c r="CU60" s="14"/>
      <c r="CV60" s="14"/>
      <c r="CW60" s="216"/>
      <c r="CX60" s="8"/>
      <c r="CY60" s="197">
        <f t="shared" si="6"/>
        <v>3</v>
      </c>
      <c r="CZ60" s="197" t="str">
        <f t="shared" si="7"/>
        <v/>
      </c>
      <c r="DA60" s="10" t="str">
        <f>W50</f>
        <v>VV-F 1.6mm-2C</v>
      </c>
      <c r="DB60" s="8"/>
      <c r="DC60" s="8"/>
      <c r="DD60" s="8"/>
      <c r="DE60" s="249" t="str">
        <f>IF(COUNTIF($DA$15:DA59,DA60)&gt;0,"",DA60)</f>
        <v/>
      </c>
      <c r="DF60" s="26">
        <f>AM50</f>
        <v>243</v>
      </c>
      <c r="DG60" s="32">
        <f t="shared" si="8"/>
        <v>0</v>
      </c>
      <c r="DH60" s="198">
        <f t="shared" si="9"/>
        <v>5</v>
      </c>
      <c r="DI60" s="124" t="str">
        <f t="shared" si="10"/>
        <v/>
      </c>
      <c r="DJ60" s="11" t="str">
        <f>AQ51</f>
        <v>Yd2-Ce</v>
      </c>
      <c r="DK60" s="11"/>
      <c r="DL60" s="11"/>
      <c r="DM60" s="9"/>
      <c r="DN60" s="9" t="str">
        <f>IF(COUNTIF($DJ$15:DJ59,DJ60)&gt;0,"",DJ60)</f>
        <v/>
      </c>
      <c r="DO60" s="101">
        <f>AZ51</f>
        <v>2</v>
      </c>
      <c r="DP60" s="32">
        <f t="shared" si="11"/>
        <v>0</v>
      </c>
      <c r="DQ60" s="8"/>
    </row>
    <row r="61" spans="1:121" ht="11.25" customHeight="1">
      <c r="A61" s="15">
        <v>8</v>
      </c>
      <c r="B61" s="176"/>
      <c r="C61" s="2378" t="str">
        <f>IF(C60="","",IF(K61="","VV-F 2.0mm-2C",K61))</f>
        <v>VV-F 2.0mm-2C</v>
      </c>
      <c r="D61" s="2379"/>
      <c r="E61" s="2379"/>
      <c r="F61" s="2379"/>
      <c r="G61" s="2379"/>
      <c r="H61" s="2379"/>
      <c r="I61" s="2379"/>
      <c r="J61" s="2380"/>
      <c r="K61" s="2313"/>
      <c r="L61" s="2314"/>
      <c r="M61" s="2314"/>
      <c r="N61" s="2314"/>
      <c r="O61" s="2314"/>
      <c r="P61" s="2314"/>
      <c r="Q61" s="2314"/>
      <c r="R61" s="2315"/>
      <c r="S61" s="2312">
        <f>IF(OR(C60="",AL58="設置しない",BH58="設置しない"),"",ROUND((BZ60+CD60),1))</f>
        <v>54.3</v>
      </c>
      <c r="T61" s="2312"/>
      <c r="U61" s="2312"/>
      <c r="V61" s="2312"/>
      <c r="W61" s="2306" t="str">
        <f>IF(C60="","",IF(AE61="","VV-F 2.0mm-2C",AE61))</f>
        <v>VV-F 2.0mm-2C</v>
      </c>
      <c r="X61" s="2307"/>
      <c r="Y61" s="2307"/>
      <c r="Z61" s="2307"/>
      <c r="AA61" s="2307"/>
      <c r="AB61" s="2307"/>
      <c r="AC61" s="2307"/>
      <c r="AD61" s="2308"/>
      <c r="AE61" s="2313"/>
      <c r="AF61" s="2314"/>
      <c r="AG61" s="2314"/>
      <c r="AH61" s="2314"/>
      <c r="AI61" s="2314"/>
      <c r="AJ61" s="2314"/>
      <c r="AK61" s="2314"/>
      <c r="AL61" s="2315"/>
      <c r="AM61" s="2312">
        <f>IF(OR(C60="",,AL58="設置しない",BH58="設置しない"),"",ROUND(BZ63,1))</f>
        <v>33.9</v>
      </c>
      <c r="AN61" s="2312"/>
      <c r="AO61" s="2312"/>
      <c r="AP61" s="2312"/>
      <c r="AQ61" s="2347" t="str">
        <f>IF(OR(C60="",AL58="設置しない"),"",IF(OR(AND(LEFT($C$18,2)=" B",[6]Top!$U$72&lt;&gt;""),AND(LEFT($C$18,3)="  1",[6]Top!$U$73&lt;&gt;""),AND(LEFT($C$18,3)="  2",[6]Top!$U$75&lt;&gt;""),AND(LEFT($C$18,3)="  3",[6]Top!$U$77&lt;&gt;""),[6]Top!$U$79&lt;&gt;"",[6]Top!$U$81&lt;&gt;""),"Xh1-Ae",IF(OR(AND(LEFT($C$18,2)=" B",[6]Top!$U$72="BL"),AND(LEFT($C$18,3)="  1",[6]Top!$U$73="BL"),AND(LEFT($C$18,3)="  2",[6]Top!$U$75="BL"),AND(LEFT($C$18,3)="  3",[6]Top!$U$77="BL"),[6]Top!$U$79="BL",[6]Top!$U$81="BL"),"Xh1-BLe","")))</f>
        <v>Xh1-Ae</v>
      </c>
      <c r="AR61" s="2348"/>
      <c r="AS61" s="2348"/>
      <c r="AT61" s="2348"/>
      <c r="AU61" s="2348"/>
      <c r="AV61" s="2348"/>
      <c r="AW61" s="2348"/>
      <c r="AX61" s="2348"/>
      <c r="AY61" s="2349"/>
      <c r="AZ61" s="2304">
        <f>IF(AA60="","",IF(BC61&lt;&gt;"",BC61,IF(AQ61&lt;&gt;"",1+INT(AA60/3),"")))</f>
        <v>2</v>
      </c>
      <c r="BA61" s="2304"/>
      <c r="BB61" s="2304"/>
      <c r="BC61" s="2305"/>
      <c r="BD61" s="2305"/>
      <c r="BE61" s="2305"/>
      <c r="BF61" s="2281" t="str">
        <f>IF(C60="","",IF(OR(AND(LEFT(C60,2)=" B",[6]Top!$AF$72="要"),AND(LEFT(C60,3)="  1",[6]Top!$AF$73="要"),AND(LEFT(C60,3)="  2",[6]Top!$AF$75="要"),AND(LEFT(C60,3)="  3",[6]Top!$AF$77="要"),[6]Top!$AF$79="要",[6]Top!$AF$81="要"),"D15V-321PXe",""))</f>
        <v/>
      </c>
      <c r="BG61" s="2281"/>
      <c r="BH61" s="2281"/>
      <c r="BI61" s="2282"/>
      <c r="BJ61" s="2282"/>
      <c r="BK61" s="2282"/>
      <c r="BL61" s="2282"/>
      <c r="BM61" s="2282"/>
      <c r="BN61" s="2282"/>
      <c r="BO61" s="2283" t="str">
        <f>IF(OR(C60="",C60="  RF",BF61=""),"",IF(BR61&lt;&gt;"",BR61,2*(1+INT(N60/500))))</f>
        <v/>
      </c>
      <c r="BP61" s="2283"/>
      <c r="BQ61" s="2283"/>
      <c r="BR61" s="2303"/>
      <c r="BS61" s="2303"/>
      <c r="BT61" s="2303"/>
      <c r="BU61" s="19"/>
      <c r="BV61" s="46" t="str">
        <f>V59</f>
        <v>⑦</v>
      </c>
      <c r="BW61" s="263">
        <f>IF(C60="","",IF(BV61="①",BW60+BX60+3,IF(BV61="②",BW60*5/8+BX60+3,IF(BV61="③",BW60/2+BX60+3,IF(BV61="④",BW60+BX60*5/8+3,IF(BV61="⑤",(BW60+BX60)*5/8+3,IF(BV61="⑥",BW60/2+BX60*5/8+3,IF(BV61="⑦",BW60+BX60/2+3,IF(BV61="⑧",BW60*5/8+BX60/2+3,IF(BV61="⑨",(BW60+BX60)/2+3))))))))))</f>
        <v>27</v>
      </c>
      <c r="BX61" s="8"/>
      <c r="BY61" s="88" t="s">
        <v>202</v>
      </c>
      <c r="BZ61" s="92">
        <f>IF(OR($BW$10=0,BH58="設置しない",C60="  RF",C60=""),0,IF(LEFT(C60,2)&lt;&gt;"PH",AL60*BW61/2,BW61))</f>
        <v>40.5</v>
      </c>
      <c r="CA61" s="88" t="s">
        <v>203</v>
      </c>
      <c r="CB61" s="88">
        <f>IF(OR($BW$10=0,AY58="設置しない",BN63=""),0,(BN63-1)*SQRT(W60/BN63))</f>
        <v>52.908978444116649</v>
      </c>
      <c r="CC61" s="88" t="s">
        <v>202</v>
      </c>
      <c r="CD61" s="262">
        <f>IF(OR($BW$10=0,BH58="設置しない",F60=0),0,AG60*(F60-0.1-($AN$8-$Y$7)/1000))</f>
        <v>9.6000000000000014</v>
      </c>
      <c r="CE61" s="88" t="s">
        <v>203</v>
      </c>
      <c r="CF61" s="88">
        <f>IF(OR($BW$10=0,BH58="設置しない",BN63=""),0,(2*BN63-1)*$AN$7/1000)</f>
        <v>15.2</v>
      </c>
      <c r="CG61" s="88" t="s">
        <v>202</v>
      </c>
      <c r="CH61" s="92">
        <f>IF(OR($BW$10=0,BH58="設置しない",AI59="非:天井ケーブル"),0,BZ61)</f>
        <v>0</v>
      </c>
      <c r="CI61" s="88" t="s">
        <v>203</v>
      </c>
      <c r="CJ61" s="88">
        <f>IF(OR($BW$10=0,BH58="設置しない",AI59="非:天井ケーブル"),0,CB61)</f>
        <v>0</v>
      </c>
      <c r="CK61" s="88" t="s">
        <v>202</v>
      </c>
      <c r="CL61" s="92">
        <f>IF(OR($BW$10=0,BH58="設置しない",C60="  RF",C60=""),0,IF(J60="直天",AG60*(F60-$Y$7/1000),AG60*(J60+0.1-$Y$7/1000)))</f>
        <v>3.9000000000000004</v>
      </c>
      <c r="CM61" s="141"/>
      <c r="CN61" s="142"/>
      <c r="CO61" s="136">
        <f>IF(AZ61="",0,(VLOOKUP(AQ61,[7]建物1802!$E$5:$AL$3275,33,FALSE))*AZ61)</f>
        <v>37.96</v>
      </c>
      <c r="CP61" s="136">
        <f>IF(AZ61="",0,VLOOKUP(AQ61,[7]建物1802!$E$5:$AL$3275,30,FALSE)*AZ61)</f>
        <v>21</v>
      </c>
      <c r="CQ61" s="136">
        <f>IF(CO61="","",SQRT(CO61^2-CP61^2))</f>
        <v>31.622169438544219</v>
      </c>
      <c r="CR61" s="189">
        <f>IF(BO61="",0,VLOOKUP(BF61,[7]建物1802!$E$5:$AL$3275,33,FALSE)*BO61)</f>
        <v>0</v>
      </c>
      <c r="CS61" s="189">
        <f>IF(BO61="",0,VLOOKUP(BF61,[7]建物1802!$E$5:$AL$3275,30,FALSE)*BO61)</f>
        <v>0</v>
      </c>
      <c r="CT61" s="259">
        <f>IF(CR61="",0,SQRT(CR61^2-CS61^2))</f>
        <v>0</v>
      </c>
      <c r="CU61" s="14"/>
      <c r="CV61" s="14"/>
      <c r="CW61" s="216"/>
      <c r="CX61" s="8"/>
      <c r="CY61" s="197">
        <f t="shared" si="6"/>
        <v>3</v>
      </c>
      <c r="CZ61" s="197" t="str">
        <f t="shared" si="7"/>
        <v/>
      </c>
      <c r="DA61" s="10" t="str">
        <f>C51</f>
        <v/>
      </c>
      <c r="DB61" s="8"/>
      <c r="DC61" s="8"/>
      <c r="DD61" s="8"/>
      <c r="DE61" s="249" t="str">
        <f>IF(COUNTIF($DA$15:DA60,DA61)&gt;0,"",DA61)</f>
        <v/>
      </c>
      <c r="DF61" s="26" t="str">
        <f>I51</f>
        <v/>
      </c>
      <c r="DG61" s="32">
        <f t="shared" si="8"/>
        <v>0</v>
      </c>
      <c r="DH61" s="198">
        <f t="shared" si="9"/>
        <v>5</v>
      </c>
      <c r="DI61" s="124" t="str">
        <f t="shared" si="10"/>
        <v/>
      </c>
      <c r="DJ61" s="11" t="str">
        <f>BF48</f>
        <v>Ya1-Ce</v>
      </c>
      <c r="DK61" s="11"/>
      <c r="DL61" s="11"/>
      <c r="DM61" s="9"/>
      <c r="DN61" s="9" t="str">
        <f>IF(COUNTIF($DJ$15:DJ60,DJ61)&gt;0,"",DJ61)</f>
        <v/>
      </c>
      <c r="DO61" s="101">
        <f>BO48</f>
        <v>2</v>
      </c>
      <c r="DP61" s="13">
        <f t="shared" si="11"/>
        <v>0</v>
      </c>
      <c r="DQ61" s="8"/>
    </row>
    <row r="62" spans="1:121" ht="11.25" customHeight="1">
      <c r="A62" s="15"/>
      <c r="B62" s="23"/>
      <c r="C62" s="2378" t="str">
        <f>IF(C60="","",IF(K62="","VV-F 1.6mm-2C",K62))</f>
        <v>VV-F 1.6mm-2C</v>
      </c>
      <c r="D62" s="2379"/>
      <c r="E62" s="2379"/>
      <c r="F62" s="2379"/>
      <c r="G62" s="2379"/>
      <c r="H62" s="2379"/>
      <c r="I62" s="2379"/>
      <c r="J62" s="2380"/>
      <c r="K62" s="2313"/>
      <c r="L62" s="2314"/>
      <c r="M62" s="2314"/>
      <c r="N62" s="2314"/>
      <c r="O62" s="2314"/>
      <c r="P62" s="2314"/>
      <c r="Q62" s="2314"/>
      <c r="R62" s="2315"/>
      <c r="S62" s="2312">
        <f>IF(OR(C60="",C60="  RF"),"",INT(CB60+CB61+CF60+CF61+CD62))</f>
        <v>312</v>
      </c>
      <c r="T62" s="2312"/>
      <c r="U62" s="2312"/>
      <c r="V62" s="2312"/>
      <c r="W62" s="2306" t="str">
        <f>IF(C60="","",IF(AE62="","VV-F 1.6mm-2C",AE62))</f>
        <v>VV-F 1.6mm-2C</v>
      </c>
      <c r="X62" s="2307"/>
      <c r="Y62" s="2307"/>
      <c r="Z62" s="2307"/>
      <c r="AA62" s="2307"/>
      <c r="AB62" s="2307"/>
      <c r="AC62" s="2307"/>
      <c r="AD62" s="2308"/>
      <c r="AE62" s="2313"/>
      <c r="AF62" s="2314"/>
      <c r="AG62" s="2314"/>
      <c r="AH62" s="2314"/>
      <c r="AI62" s="2314"/>
      <c r="AJ62" s="2314"/>
      <c r="AK62" s="2314"/>
      <c r="AL62" s="2315"/>
      <c r="AM62" s="2306">
        <f>IF(OR(C60="",C60="  RF"),"",INT(CB63+CD62))</f>
        <v>243</v>
      </c>
      <c r="AN62" s="2307"/>
      <c r="AO62" s="2307"/>
      <c r="AP62" s="2308"/>
      <c r="AQ62" s="2309" t="str">
        <f>IF(OR(C60="",S60=""),"",IF(OR(AND(LEFT(C60,2)=" B",[8]非誘!$W$72="C"),AND(LEFT(C60,3)="  1",[8]非誘!$W$74="C"),AND(LEFT(C60,3)="  2",[8]非誘!$W$76="C"),AND(LEFT(C60,3)="  3",[8]非誘!$W$78="C"),[8]非誘!$W$80="C",[8]非誘!$W$81="C"),"Yd2-BHe",""))</f>
        <v/>
      </c>
      <c r="AR62" s="2310"/>
      <c r="AS62" s="2310"/>
      <c r="AT62" s="2310"/>
      <c r="AU62" s="2310"/>
      <c r="AV62" s="2310"/>
      <c r="AW62" s="2310"/>
      <c r="AX62" s="2310"/>
      <c r="AY62" s="2311"/>
      <c r="AZ62" s="2304" t="str">
        <f>IF(AQ62="","",IF(OR(C60="",C60="  RF"),"",IF(BC62&lt;&gt;"",BC62,AA60)))</f>
        <v/>
      </c>
      <c r="BA62" s="2304"/>
      <c r="BB62" s="2304"/>
      <c r="BC62" s="2305"/>
      <c r="BD62" s="2305"/>
      <c r="BE62" s="2305"/>
      <c r="BF62" s="2316" t="s">
        <v>10</v>
      </c>
      <c r="BG62" s="2317"/>
      <c r="BH62" s="2318"/>
      <c r="BI62" s="2319" t="str">
        <f>IF(OR($BW$10=0,AL58="設置しない",C60="",C60="  RF"),"",IF(OR(AND(LEFT(C60,2)=" B",[6]Top!$O$72="要"),AND(LEFT(C60,3)="  1",[6]Top!$O$74="要"),AND(LEFT(C60,3)="  2",[6]Top!$O$76="要"),AND(LEFT(C60,3)="  3",[6]Top!$O$78="要"),[6]Top!$O$80="要",[6]Top!$O$81="要",$Y$9="設置する"),"d4-30e",""))</f>
        <v>d4-30e</v>
      </c>
      <c r="BJ62" s="2320"/>
      <c r="BK62" s="2320"/>
      <c r="BL62" s="2320"/>
      <c r="BM62" s="2321"/>
      <c r="BN62" s="2319">
        <f>IF(OR($BW$10=0,AL58="設置しない",C60="",C60="  RF"),"",IF(LEFT(C60,2)="PH","",IF(BR62&lt;&gt;"",BR62,IF((1+INT(S60/110))&lt;=AA60,AA60,1+INT(S60/110)))))</f>
        <v>8</v>
      </c>
      <c r="BO62" s="2320"/>
      <c r="BP62" s="2321"/>
      <c r="BQ62" s="31" t="s">
        <v>103</v>
      </c>
      <c r="BR62" s="2322"/>
      <c r="BS62" s="2323"/>
      <c r="BT62" s="2324"/>
      <c r="BU62" s="19"/>
      <c r="BV62" s="226"/>
      <c r="BW62" s="196"/>
      <c r="BX62" s="8"/>
      <c r="BY62" s="88" t="s">
        <v>200</v>
      </c>
      <c r="BZ62" s="222">
        <f>SUM(AZ60:BB63)+SUM(BO60:BQ63)</f>
        <v>9</v>
      </c>
      <c r="CA62" s="8"/>
      <c r="CB62" s="8"/>
      <c r="CC62" s="88" t="s">
        <v>121</v>
      </c>
      <c r="CD62" s="88">
        <f>IF($AW$8=0,0,2*($AW$8/1000-0.15-0.1)*(INT(1000*2*BW60/$AW$10)+1)*(INT(1000*2*BX60/$AW$10)+1)*4)</f>
        <v>162</v>
      </c>
      <c r="CE62" s="8"/>
      <c r="CF62" s="8"/>
      <c r="CG62" s="168"/>
      <c r="CH62" s="261"/>
      <c r="CI62" s="8"/>
      <c r="CJ62" s="8"/>
      <c r="CK62" s="168"/>
      <c r="CL62" s="261"/>
      <c r="CM62" s="8"/>
      <c r="CN62" s="8"/>
      <c r="CO62" s="136">
        <f>IF(AZ62="",0,VLOOKUP(AQ62,[7]建物1802!$E$5:$AL$3275,33,FALSE)*AZ62)</f>
        <v>0</v>
      </c>
      <c r="CP62" s="136">
        <f>IF(AZ62="",0,VLOOKUP(AQ62,[7]建物1802!$E$5:$AL$3275,30,FALSE)*AZ62)</f>
        <v>0</v>
      </c>
      <c r="CQ62" s="136">
        <f>IF(CO62="","",SQRT(CO62^2-CP62^2))</f>
        <v>0</v>
      </c>
      <c r="CR62" s="260"/>
      <c r="CS62" s="14"/>
      <c r="CT62" s="14"/>
      <c r="CU62" s="14"/>
      <c r="CV62" s="14"/>
      <c r="CW62" s="216"/>
      <c r="CX62" s="8"/>
      <c r="CY62" s="197">
        <f t="shared" si="6"/>
        <v>3</v>
      </c>
      <c r="CZ62" s="197" t="str">
        <f t="shared" si="7"/>
        <v/>
      </c>
      <c r="DA62" s="10" t="str">
        <f>M51</f>
        <v/>
      </c>
      <c r="DB62" s="8"/>
      <c r="DC62" s="8"/>
      <c r="DD62" s="8"/>
      <c r="DE62" s="249" t="str">
        <f>IF(COUNTIF($DA$15:DA61,DA62)&gt;0,"",DA62)</f>
        <v/>
      </c>
      <c r="DF62" s="26" t="str">
        <f>S51</f>
        <v/>
      </c>
      <c r="DG62" s="32">
        <f t="shared" si="8"/>
        <v>0</v>
      </c>
      <c r="DH62" s="198">
        <f t="shared" si="9"/>
        <v>5</v>
      </c>
      <c r="DI62" s="124" t="str">
        <f t="shared" si="10"/>
        <v/>
      </c>
      <c r="DJ62" s="11" t="str">
        <f>BF49</f>
        <v/>
      </c>
      <c r="DK62" s="11"/>
      <c r="DL62" s="11"/>
      <c r="DM62" s="9"/>
      <c r="DN62" s="9" t="str">
        <f>IF(COUNTIF($DJ$15:DJ61,DJ62)&gt;0,"",DJ62)</f>
        <v/>
      </c>
      <c r="DO62" s="101" t="str">
        <f>BO49</f>
        <v/>
      </c>
      <c r="DP62" s="13">
        <f t="shared" si="11"/>
        <v>0</v>
      </c>
      <c r="DQ62" s="9"/>
    </row>
    <row r="63" spans="1:121" ht="11.25" customHeight="1" thickBot="1">
      <c r="A63" s="15"/>
      <c r="B63" s="23"/>
      <c r="C63" s="2359" t="str">
        <f>IF(C60="","",IF(I63="","",IF(AI59="非:天井(C管)","C-19mm",IF(AI59="非:天井(G管)","G- 16mm","PF-S-16mm"))))</f>
        <v/>
      </c>
      <c r="D63" s="2360"/>
      <c r="E63" s="2360"/>
      <c r="F63" s="2360"/>
      <c r="G63" s="2360"/>
      <c r="H63" s="2360"/>
      <c r="I63" s="2335" t="str">
        <f>IF(OR(C60="",AL58="設置しない",BH58="設置しない",$BW$10=0,CH60=0,CJ60=0),"",IF(J60="直天",ROUND((BZ60+CB60),1),ROUND((CH60+CJ60),1)))</f>
        <v/>
      </c>
      <c r="J63" s="2335"/>
      <c r="K63" s="2335"/>
      <c r="L63" s="2335"/>
      <c r="M63" s="2359" t="str">
        <f>IF(C60="","",IF(S63="","",IF(BC59="誘:天井(C管)","C-19mm",IF(BC59="誘:天井(G管)","G- 16mm","PF-S-16mm"))))</f>
        <v/>
      </c>
      <c r="N63" s="2360"/>
      <c r="O63" s="2360"/>
      <c r="P63" s="2360"/>
      <c r="Q63" s="2360"/>
      <c r="R63" s="2361"/>
      <c r="S63" s="2312" t="str">
        <f>IF(OR(C60="",,AL58="設置しない",BH58="設置しない",$BW$10=0,CH63=0,CJ63=0),"",IF(J60="直天",ROUND((BZ63+CB63),1),ROUND((CH63+CJ63),1)))</f>
        <v/>
      </c>
      <c r="T63" s="2312"/>
      <c r="U63" s="2312"/>
      <c r="V63" s="2312"/>
      <c r="W63" s="2359" t="str">
        <f>IF(C60="","",IF($B$2=0,"",IF(OR(AI59="非:天井(C管)",AI59="非:床(C管)"),"C-19mm",IF(OR(AI59="非:天井(G管)",AI59="非:床(G管)"),"G-16mm",IF(AI59="非:床(CD管)","CD-16mm","PF-S-16mm")))))</f>
        <v>PF-S-16mm</v>
      </c>
      <c r="X63" s="2360"/>
      <c r="Y63" s="2360"/>
      <c r="Z63" s="2360"/>
      <c r="AA63" s="2360"/>
      <c r="AB63" s="2361"/>
      <c r="AC63" s="2362">
        <f>IF(OR(C60="",AL58="設置しない",BH58="設置しない"),"",ROUND(CL60,1))</f>
        <v>3.9</v>
      </c>
      <c r="AD63" s="2312"/>
      <c r="AE63" s="2312"/>
      <c r="AF63" s="2312"/>
      <c r="AG63" s="2333" t="str">
        <f>IF(C60="","",IF($B$2=0,"",IF(BC59="誘:天井(C管)","C-19mm",IF(BC59="誘:天井(G管)","G-16mm","PF-S-16mm"))))</f>
        <v>PF-S-16mm</v>
      </c>
      <c r="AH63" s="2333"/>
      <c r="AI63" s="2333"/>
      <c r="AJ63" s="2333"/>
      <c r="AK63" s="2333"/>
      <c r="AL63" s="2333"/>
      <c r="AM63" s="2334">
        <f>IF(OR(C60="",AL58="設置しない",BH58="設置しない"),"",ROUND((CL63+CN63),1))</f>
        <v>19.5</v>
      </c>
      <c r="AN63" s="2335"/>
      <c r="AO63" s="2335"/>
      <c r="AP63" s="2335"/>
      <c r="AQ63" s="2291" t="str">
        <f>IF(C60="","",IF(OR(AND(LEFT(C60,2)=" B",[6]Top!$AA$72="C"),AND(LEFT(C60,3)="  1",[6]Top!$AA$73="C"),AND(LEFT(C60,3)="  2",[6]Top!$AA$75="C"),AND(LEFT(C60,3)="  3",[6]Top!$AA$77="C"),[6]Top!$AA$79="C",[6]Top!$AA$81="C"),"Yd2-Ce",""))</f>
        <v>Yd2-Ce</v>
      </c>
      <c r="AR63" s="2292"/>
      <c r="AS63" s="2292"/>
      <c r="AT63" s="2292"/>
      <c r="AU63" s="2292"/>
      <c r="AV63" s="2292"/>
      <c r="AW63" s="2292"/>
      <c r="AX63" s="2292"/>
      <c r="AY63" s="2293"/>
      <c r="AZ63" s="2294">
        <f>IF(OR(C60="",C60="  RF",AQ63=""),"",IF(BC63&lt;&gt;"",BC63,1+INT((BW60+BX60)/20)))</f>
        <v>2</v>
      </c>
      <c r="BA63" s="2295"/>
      <c r="BB63" s="2296"/>
      <c r="BC63" s="2287"/>
      <c r="BD63" s="2287"/>
      <c r="BE63" s="2287"/>
      <c r="BF63" s="2363" t="s">
        <v>127</v>
      </c>
      <c r="BG63" s="2364"/>
      <c r="BH63" s="2365"/>
      <c r="BI63" s="2335" t="str">
        <f>IF(OR($BW$10=0,AY58="設置しない",C60="",C60="  RF"),"",IF(OR(AND(LEFT(C60,2)=" B",[6]Top!$O$72="要"),AND(LEFT(C60,3)="  1",[6]Top!$O$74="要"),AND(LEFT(C60,3)="  2",[6]Top!$O$76="要"),AND(LEFT(C60,3)="  3",[6]Top!$O$78="要"),[6]Top!$O$80="要",[6]Top!$O$81="要",$Y$10="設置する"),"d4-13e",""))</f>
        <v>d4-13e</v>
      </c>
      <c r="BJ63" s="2335"/>
      <c r="BK63" s="2335"/>
      <c r="BL63" s="2335"/>
      <c r="BM63" s="2335"/>
      <c r="BN63" s="2335">
        <f>IF(OR($BW$10=0,BH58="設置しない",C60="",C60="  RF"),"",IF(BR63&lt;&gt;"",BR63,INT(AD60*1.2)))</f>
        <v>10</v>
      </c>
      <c r="BO63" s="2335"/>
      <c r="BP63" s="2335"/>
      <c r="BQ63" s="31" t="s">
        <v>103</v>
      </c>
      <c r="BR63" s="2350"/>
      <c r="BS63" s="2351"/>
      <c r="BT63" s="2352"/>
      <c r="BU63" s="19"/>
      <c r="BV63" s="8"/>
      <c r="BW63" s="8"/>
      <c r="BX63" s="8"/>
      <c r="BY63" s="88" t="s">
        <v>199</v>
      </c>
      <c r="BZ63" s="151">
        <f>IF(AL60="",0,AL60*SQRT(N60/BZ62))</f>
        <v>33.941125496954285</v>
      </c>
      <c r="CA63" s="88" t="s">
        <v>198</v>
      </c>
      <c r="CB63" s="151">
        <f>IF(BZ62=0,0,(BZ62/3)*BW61)</f>
        <v>81</v>
      </c>
      <c r="CC63" s="88" t="s">
        <v>199</v>
      </c>
      <c r="CD63" s="151">
        <f>IF(F60=0,0,F60-0.25-$Y$7/1000)</f>
        <v>1.95</v>
      </c>
      <c r="CE63" s="88" t="s">
        <v>198</v>
      </c>
      <c r="CF63" s="151">
        <f>IF(F60=0,0,(2*(BZ62-BO60)-1)*$AN$7/1000+(2*BO60-1)*(F60-0.75))</f>
        <v>20.149999999999999</v>
      </c>
      <c r="CG63" s="88" t="s">
        <v>199</v>
      </c>
      <c r="CH63" s="151">
        <f>IF(BC59="誘:天井ケーブル",0,BZ63)</f>
        <v>0</v>
      </c>
      <c r="CI63" s="88" t="s">
        <v>198</v>
      </c>
      <c r="CJ63" s="151">
        <f>IF(BC59="誘:天井ケーブル",0,CB63)</f>
        <v>0</v>
      </c>
      <c r="CK63" s="88" t="s">
        <v>199</v>
      </c>
      <c r="CL63" s="259">
        <f>IF(F60=0,0,IF(J60="直天",AL60*(F60-$Y$7/1000),AL60*(J60+0.1-$Y$7/1000)))</f>
        <v>3.9000000000000004</v>
      </c>
      <c r="CM63" s="88" t="s">
        <v>198</v>
      </c>
      <c r="CN63" s="151">
        <f>IF(F60=0,0,IF(J60="直天",BO60*(2*BO60-1)*(F60-0.5),BO60*(2*BO60-1)*(J60-0.4)))</f>
        <v>15.600000000000001</v>
      </c>
      <c r="CO63" s="136">
        <f>IF(AZ63="",0,VLOOKUP(AQ63,[7]建物1802!$E$5:$AL$3275,33,FALSE)*AZ63)</f>
        <v>10.58</v>
      </c>
      <c r="CP63" s="136">
        <f>IF(AZ63="",0,VLOOKUP(AQ63,[7]建物1802!$E$5:$AL$3275,30,FALSE)*AZ63)</f>
        <v>5.2</v>
      </c>
      <c r="CQ63" s="136">
        <f>IF(CO63="","",SQRT(CO63^2-CP63^2))</f>
        <v>9.2139242454016301</v>
      </c>
      <c r="CR63" s="26"/>
      <c r="CS63" s="26"/>
      <c r="CT63" s="26"/>
      <c r="CU63" s="26"/>
      <c r="CV63" s="26"/>
      <c r="CW63" s="218"/>
      <c r="CX63" s="8"/>
      <c r="CY63" s="197">
        <f t="shared" si="6"/>
        <v>3</v>
      </c>
      <c r="CZ63" s="197" t="str">
        <f t="shared" si="7"/>
        <v/>
      </c>
      <c r="DA63" s="10" t="str">
        <f>W51</f>
        <v>PF-S-16mm</v>
      </c>
      <c r="DB63" s="8"/>
      <c r="DC63" s="8"/>
      <c r="DD63" s="8"/>
      <c r="DE63" s="249" t="str">
        <f>IF(COUNTIF($DA$15:DA62,DA63)&gt;0,"",DA63)</f>
        <v/>
      </c>
      <c r="DF63" s="26">
        <f>AC51</f>
        <v>3.9</v>
      </c>
      <c r="DG63" s="32">
        <f t="shared" si="8"/>
        <v>0</v>
      </c>
      <c r="DH63" s="198">
        <f t="shared" si="9"/>
        <v>5</v>
      </c>
      <c r="DI63" s="199" t="str">
        <f t="shared" si="10"/>
        <v/>
      </c>
      <c r="DJ63" s="201" t="str">
        <f>BI50</f>
        <v>d4-30e</v>
      </c>
      <c r="DK63" s="10"/>
      <c r="DL63" s="10"/>
      <c r="DM63" s="8"/>
      <c r="DN63" s="249" t="str">
        <f>IF(COUNTIF($DJ$15:DJ62,DJ63)&gt;0,"",DJ63)</f>
        <v/>
      </c>
      <c r="DO63" s="200">
        <f>BN50</f>
        <v>8</v>
      </c>
      <c r="DP63" s="32">
        <f t="shared" si="11"/>
        <v>0</v>
      </c>
      <c r="DQ63" s="8"/>
    </row>
    <row r="64" spans="1:121" ht="11.25" customHeight="1" thickBot="1">
      <c r="A64" s="15"/>
      <c r="B64" s="23"/>
      <c r="C64" s="2391" t="s">
        <v>112</v>
      </c>
      <c r="D64" s="2391"/>
      <c r="E64" s="2391"/>
      <c r="F64" s="2391"/>
      <c r="G64" s="2391"/>
      <c r="H64" s="2391"/>
      <c r="I64" s="2288"/>
      <c r="J64" s="2356" t="str">
        <f>[5]照差!$I$72</f>
        <v>( 4 )</v>
      </c>
      <c r="K64" s="2357"/>
      <c r="L64" s="2358"/>
      <c r="M64" s="2375" t="str">
        <f>[5]照差!$M$72</f>
        <v>百貨店等</v>
      </c>
      <c r="N64" s="2376"/>
      <c r="O64" s="2376"/>
      <c r="P64" s="2376"/>
      <c r="Q64" s="2376"/>
      <c r="R64" s="2376"/>
      <c r="S64" s="2376"/>
      <c r="T64" s="2376"/>
      <c r="U64" s="2377"/>
      <c r="V64" s="2275" t="s">
        <v>232</v>
      </c>
      <c r="W64" s="2276"/>
      <c r="X64" s="2276"/>
      <c r="Y64" s="2276"/>
      <c r="Z64" s="2277"/>
      <c r="AA64" s="2278" t="str">
        <f>[6]Top!$I$40</f>
        <v>A</v>
      </c>
      <c r="AB64" s="2279"/>
      <c r="AC64" s="2280" t="s">
        <v>231</v>
      </c>
      <c r="AD64" s="2280"/>
      <c r="AE64" s="2280"/>
      <c r="AF64" s="2280"/>
      <c r="AG64" s="2280"/>
      <c r="AH64" s="2280"/>
      <c r="AI64" s="2280"/>
      <c r="AJ64" s="2280"/>
      <c r="AK64" s="2280"/>
      <c r="AL64" s="2356" t="str">
        <f>IF($BW$10=0,"設置しない",IF(AS64="","設置する",AS64))</f>
        <v>設置する</v>
      </c>
      <c r="AM64" s="2357"/>
      <c r="AN64" s="2357"/>
      <c r="AO64" s="2357"/>
      <c r="AP64" s="2357"/>
      <c r="AQ64" s="2358"/>
      <c r="AR64" s="265" t="s">
        <v>103</v>
      </c>
      <c r="AS64" s="2284"/>
      <c r="AT64" s="2285"/>
      <c r="AU64" s="2285"/>
      <c r="AV64" s="2285"/>
      <c r="AW64" s="2285"/>
      <c r="AX64" s="2286"/>
      <c r="AY64" s="2280" t="s">
        <v>215</v>
      </c>
      <c r="AZ64" s="2280"/>
      <c r="BA64" s="2280"/>
      <c r="BB64" s="2280"/>
      <c r="BC64" s="2280"/>
      <c r="BD64" s="2280"/>
      <c r="BE64" s="2280"/>
      <c r="BF64" s="2280"/>
      <c r="BG64" s="2280"/>
      <c r="BH64" s="2356" t="str">
        <f>IF($BW$10=0,"設置しない",IF(BO64="","設置する",BO64))</f>
        <v>設置する</v>
      </c>
      <c r="BI64" s="2357"/>
      <c r="BJ64" s="2357"/>
      <c r="BK64" s="2357"/>
      <c r="BL64" s="2357"/>
      <c r="BM64" s="2358"/>
      <c r="BN64" s="265" t="s">
        <v>103</v>
      </c>
      <c r="BO64" s="2284"/>
      <c r="BP64" s="2285"/>
      <c r="BQ64" s="2285"/>
      <c r="BR64" s="2285"/>
      <c r="BS64" s="2285"/>
      <c r="BT64" s="2286"/>
      <c r="BU64" s="19"/>
      <c r="BV64" s="8"/>
      <c r="BW64" s="8"/>
      <c r="BX64" s="8"/>
      <c r="BY64" s="9"/>
      <c r="BZ64" s="9"/>
      <c r="CA64" s="9"/>
      <c r="CB64" s="9"/>
      <c r="CC64" s="9"/>
      <c r="CD64" s="9"/>
      <c r="CE64" s="9"/>
      <c r="CF64" s="9"/>
      <c r="CG64" s="9"/>
      <c r="CH64" s="9"/>
      <c r="CI64" s="9"/>
      <c r="CJ64" s="9"/>
      <c r="CK64" s="9"/>
      <c r="CL64" s="9"/>
      <c r="CM64" s="9"/>
      <c r="CN64" s="9"/>
      <c r="CO64" s="266"/>
      <c r="CP64" s="266"/>
      <c r="CQ64" s="266"/>
      <c r="CR64" s="14"/>
      <c r="CS64" s="14"/>
      <c r="CT64" s="14"/>
      <c r="CU64" s="14"/>
      <c r="CV64" s="14"/>
      <c r="CW64" s="216"/>
      <c r="CX64" s="88">
        <v>7</v>
      </c>
      <c r="CY64" s="204">
        <f t="shared" si="6"/>
        <v>3</v>
      </c>
      <c r="CZ64" s="155" t="str">
        <f t="shared" si="7"/>
        <v/>
      </c>
      <c r="DA64" s="154" t="str">
        <f>AG51</f>
        <v>PF-S-16mm</v>
      </c>
      <c r="DB64" s="45"/>
      <c r="DC64" s="45"/>
      <c r="DD64" s="45"/>
      <c r="DE64" s="153" t="str">
        <f>IF(COUNTIF($DA$15:DA63,DA64)&gt;0,"",DA64)</f>
        <v/>
      </c>
      <c r="DF64" s="152">
        <f>AM51</f>
        <v>19.5</v>
      </c>
      <c r="DG64" s="32">
        <f t="shared" si="8"/>
        <v>0</v>
      </c>
      <c r="DH64" s="124">
        <f t="shared" si="9"/>
        <v>5</v>
      </c>
      <c r="DI64" s="149" t="str">
        <f t="shared" si="10"/>
        <v/>
      </c>
      <c r="DJ64" s="210" t="str">
        <f>BI51</f>
        <v>d4-13e</v>
      </c>
      <c r="DK64" s="154"/>
      <c r="DL64" s="154"/>
      <c r="DM64" s="45"/>
      <c r="DN64" s="45" t="str">
        <f>IF(COUNTIF($DJ$15:DJ63,DJ64)&gt;0,"",DJ64)</f>
        <v/>
      </c>
      <c r="DO64" s="209">
        <f>BN51</f>
        <v>10</v>
      </c>
      <c r="DP64" s="169">
        <f t="shared" si="11"/>
        <v>0</v>
      </c>
      <c r="DQ64" s="88">
        <v>7</v>
      </c>
    </row>
    <row r="65" spans="1:121" ht="11.25" customHeight="1" thickBot="1">
      <c r="A65" s="15"/>
      <c r="B65" s="23"/>
      <c r="C65" s="2300" t="s">
        <v>214</v>
      </c>
      <c r="D65" s="2301"/>
      <c r="E65" s="2301"/>
      <c r="F65" s="2301"/>
      <c r="G65" s="2301"/>
      <c r="H65" s="2301"/>
      <c r="I65" s="2302"/>
      <c r="J65" s="2297">
        <f>[5]照差!$K$73</f>
        <v>0.5</v>
      </c>
      <c r="K65" s="2298"/>
      <c r="L65" s="2298"/>
      <c r="M65" s="2298"/>
      <c r="N65" s="2299" t="s">
        <v>230</v>
      </c>
      <c r="O65" s="2299"/>
      <c r="P65" s="2299"/>
      <c r="Q65" s="2299"/>
      <c r="R65" s="2299"/>
      <c r="S65" s="2299"/>
      <c r="T65" s="2299"/>
      <c r="U65" s="2299"/>
      <c r="V65" s="2366" t="str">
        <f>[5]照差!$W$73</f>
        <v>⑦</v>
      </c>
      <c r="W65" s="2366"/>
      <c r="X65" s="2366"/>
      <c r="Y65" s="2299" t="s">
        <v>135</v>
      </c>
      <c r="Z65" s="2299"/>
      <c r="AA65" s="2299"/>
      <c r="AB65" s="2299"/>
      <c r="AC65" s="2299"/>
      <c r="AD65" s="2299" t="s">
        <v>18</v>
      </c>
      <c r="AE65" s="2299"/>
      <c r="AF65" s="2299"/>
      <c r="AG65" s="2299"/>
      <c r="AH65" s="2299"/>
      <c r="AI65" s="2337" t="str">
        <f>IF($B$2=0,"",IF(AQ65="","非:天井ケーブル",AQ65))</f>
        <v>非:天井ケーブル</v>
      </c>
      <c r="AJ65" s="2337"/>
      <c r="AK65" s="2337"/>
      <c r="AL65" s="2337"/>
      <c r="AM65" s="2337"/>
      <c r="AN65" s="2337"/>
      <c r="AO65" s="2337"/>
      <c r="AP65" s="175" t="s">
        <v>103</v>
      </c>
      <c r="AQ65" s="2338"/>
      <c r="AR65" s="2338"/>
      <c r="AS65" s="2338"/>
      <c r="AT65" s="2338"/>
      <c r="AU65" s="2338"/>
      <c r="AV65" s="2338"/>
      <c r="AW65" s="2338"/>
      <c r="AX65" s="2299" t="s">
        <v>212</v>
      </c>
      <c r="AY65" s="2299"/>
      <c r="AZ65" s="2299"/>
      <c r="BA65" s="2299"/>
      <c r="BB65" s="2299"/>
      <c r="BC65" s="2337" t="str">
        <f>IF($B$2=0,"",IF(BK65="","誘:天井ケーブル",BK65))</f>
        <v>誘:天井ケーブル</v>
      </c>
      <c r="BD65" s="2337"/>
      <c r="BE65" s="2337"/>
      <c r="BF65" s="2337"/>
      <c r="BG65" s="2337"/>
      <c r="BH65" s="2337"/>
      <c r="BI65" s="2337"/>
      <c r="BJ65" s="175" t="s">
        <v>103</v>
      </c>
      <c r="BK65" s="2338"/>
      <c r="BL65" s="2338"/>
      <c r="BM65" s="2338"/>
      <c r="BN65" s="2338"/>
      <c r="BO65" s="2338"/>
      <c r="BP65" s="2338"/>
      <c r="BQ65" s="2338"/>
      <c r="BR65" s="2299"/>
      <c r="BS65" s="2299"/>
      <c r="BT65" s="2299"/>
      <c r="BU65" s="19"/>
      <c r="BV65" s="8">
        <v>72</v>
      </c>
      <c r="BW65" s="88" t="s">
        <v>229</v>
      </c>
      <c r="BX65" s="88" t="s">
        <v>228</v>
      </c>
      <c r="BY65" s="2336" t="s">
        <v>126</v>
      </c>
      <c r="BZ65" s="2336"/>
      <c r="CA65" s="2336"/>
      <c r="CB65" s="2336"/>
      <c r="CC65" s="2336" t="s">
        <v>125</v>
      </c>
      <c r="CD65" s="2336"/>
      <c r="CE65" s="2336"/>
      <c r="CF65" s="2336"/>
      <c r="CG65" s="2336" t="s">
        <v>124</v>
      </c>
      <c r="CH65" s="2336"/>
      <c r="CI65" s="2336"/>
      <c r="CJ65" s="2336"/>
      <c r="CK65" s="2336" t="s">
        <v>123</v>
      </c>
      <c r="CL65" s="2336"/>
      <c r="CM65" s="2336"/>
      <c r="CN65" s="2336"/>
      <c r="CO65" s="88" t="s">
        <v>227</v>
      </c>
      <c r="CP65" s="88" t="s">
        <v>226</v>
      </c>
      <c r="CQ65" s="88" t="s">
        <v>225</v>
      </c>
      <c r="CR65" s="88" t="s">
        <v>227</v>
      </c>
      <c r="CS65" s="88" t="s">
        <v>226</v>
      </c>
      <c r="CT65" s="221" t="s">
        <v>225</v>
      </c>
      <c r="CU65" s="264">
        <f>IF(BW66="","",SUM(CP66:CP69)+CS66+CS67)</f>
        <v>61.5</v>
      </c>
      <c r="CV65" s="264">
        <f>IF(BW66="","",SUM(CQ66:CQ69)+CT66+CT67)</f>
        <v>95.309234204481399</v>
      </c>
      <c r="CW65" s="216"/>
      <c r="CX65" s="8"/>
      <c r="CY65" s="197">
        <f t="shared" si="6"/>
        <v>3</v>
      </c>
      <c r="CZ65" s="197" t="str">
        <f t="shared" si="7"/>
        <v/>
      </c>
      <c r="DA65" s="10" t="str">
        <f>C55</f>
        <v>VV-F 2.0mm-2C</v>
      </c>
      <c r="DB65" s="8"/>
      <c r="DC65" s="8"/>
      <c r="DD65" s="8"/>
      <c r="DE65" s="249" t="str">
        <f>IF(COUNTIF($DA$15:DA64,DA65)&gt;0,"",DA65)</f>
        <v/>
      </c>
      <c r="DF65" s="26">
        <f>S55</f>
        <v>54.3</v>
      </c>
      <c r="DG65" s="32">
        <f t="shared" si="8"/>
        <v>0</v>
      </c>
      <c r="DH65" s="198">
        <f t="shared" si="9"/>
        <v>5</v>
      </c>
      <c r="DI65" s="199" t="str">
        <f t="shared" si="10"/>
        <v/>
      </c>
      <c r="DJ65" s="10" t="str">
        <f>AQ54</f>
        <v>Xh1-Ae</v>
      </c>
      <c r="DK65" s="10"/>
      <c r="DL65" s="10"/>
      <c r="DM65" s="8"/>
      <c r="DN65" s="249" t="str">
        <f>IF(COUNTIF($DJ$15:DJ64,DJ65)&gt;0,"",DJ65)</f>
        <v/>
      </c>
      <c r="DO65" s="200">
        <f>AZ54</f>
        <v>3</v>
      </c>
      <c r="DP65" s="32">
        <f t="shared" si="11"/>
        <v>0</v>
      </c>
      <c r="DQ65" s="8"/>
    </row>
    <row r="66" spans="1:121" ht="11.25" customHeight="1">
      <c r="A66" s="15"/>
      <c r="B66" s="23"/>
      <c r="C66" s="2367" t="str">
        <f>[5]照差!$C$74</f>
        <v xml:space="preserve">  7F</v>
      </c>
      <c r="D66" s="2368"/>
      <c r="E66" s="2369"/>
      <c r="F66" s="2370">
        <f>[5]照差!$G$74</f>
        <v>4</v>
      </c>
      <c r="G66" s="2371"/>
      <c r="H66" s="2371"/>
      <c r="I66" s="2372"/>
      <c r="J66" s="2370">
        <f>[5]照差!$J$74</f>
        <v>3</v>
      </c>
      <c r="K66" s="2373"/>
      <c r="L66" s="2373"/>
      <c r="M66" s="2374"/>
      <c r="N66" s="2330">
        <f>[5]照差!$M$74</f>
        <v>1152</v>
      </c>
      <c r="O66" s="2331"/>
      <c r="P66" s="2331"/>
      <c r="Q66" s="2331"/>
      <c r="R66" s="2332"/>
      <c r="S66" s="2330">
        <f>[5]照差!$Q$74</f>
        <v>806.4</v>
      </c>
      <c r="T66" s="2331"/>
      <c r="U66" s="2331"/>
      <c r="V66" s="2332"/>
      <c r="W66" s="2330">
        <f>[5]照差!$U$74</f>
        <v>345.6</v>
      </c>
      <c r="X66" s="2331"/>
      <c r="Y66" s="2331"/>
      <c r="Z66" s="2332"/>
      <c r="AA66" s="2340">
        <f>[5]照差!$Y$74</f>
        <v>3</v>
      </c>
      <c r="AB66" s="2341"/>
      <c r="AC66" s="2342"/>
      <c r="AD66" s="2343">
        <f>[5]照差!$AB$74</f>
        <v>9</v>
      </c>
      <c r="AE66" s="2344"/>
      <c r="AF66" s="2345"/>
      <c r="AG66" s="2346">
        <f>IF(OR(C66="",C66="  RF"),"",2+INT(N66/1000))</f>
        <v>3</v>
      </c>
      <c r="AH66" s="2346"/>
      <c r="AI66" s="2346"/>
      <c r="AJ66" s="2346"/>
      <c r="AK66" s="2346"/>
      <c r="AL66" s="2346">
        <f>IF(OR(C66="",C66="  RF"),"",1+INT(N66/500))</f>
        <v>3</v>
      </c>
      <c r="AM66" s="2346"/>
      <c r="AN66" s="2346"/>
      <c r="AO66" s="2346"/>
      <c r="AP66" s="2346"/>
      <c r="AQ66" s="2347" t="str">
        <f>IF(OR(C66="",AL64="設置しない"),"",IF(OR(AND(LEFT($C$18,2)=" B",[6]Top!$U$72&lt;&gt;""),AND(LEFT($C$18,3)="  1",[6]Top!$U$73&lt;&gt;""),AND(LEFT($C$18,3)="  2",[6]Top!$U$75&lt;&gt;""),AND(LEFT($C$18,3)="  3",[6]Top!$U$77&lt;&gt;""),[6]Top!$U$79&lt;&gt;"",[6]Top!$U$81&lt;&gt;""),"Xh1-Ae",IF(OR(AND(LEFT($C$18,2)=" B",[6]Top!$U$72="BL"),AND(LEFT($C$18,3)="  1",[6]Top!$U$73="BL"),AND(LEFT($C$18,3)="  2",[6]Top!$U$75="BL"),AND(LEFT($C$18,3)="  3",[6]Top!$U$77="BL"),[6]Top!$U$79="BL",[6]Top!$U$81="BL"),"Xh1-BLe","")))</f>
        <v>Xh1-Ae</v>
      </c>
      <c r="AR66" s="2348"/>
      <c r="AS66" s="2348"/>
      <c r="AT66" s="2348"/>
      <c r="AU66" s="2348"/>
      <c r="AV66" s="2348"/>
      <c r="AW66" s="2348"/>
      <c r="AX66" s="2348"/>
      <c r="AY66" s="2349"/>
      <c r="AZ66" s="2353">
        <f>IF(OR(N66="",AQ66=""),"",IF(BC66&lt;&gt;"",BC66,1+INT(N66/500)))</f>
        <v>3</v>
      </c>
      <c r="BA66" s="2354"/>
      <c r="BB66" s="2355"/>
      <c r="BC66" s="2305"/>
      <c r="BD66" s="2305"/>
      <c r="BE66" s="2305"/>
      <c r="BF66" s="2281" t="str">
        <f>IF(C66="","",IF(OR(AND(LEFT(C66,2)=" B",[6]Top!$AD$72="要"),AND(LEFT(C66,3)="  1",[6]Top!$AD$73="要"),AND(LEFT(C66,3)="  2",[6]Top!$AD$75="要"),AND(LEFT(C66,3)="  3",[6]Top!$AD$77="要"),[6]Top!$AD$79="C",[6]Top!$AD$81="要"),"Ya1-Ce",""))</f>
        <v>Ya1-Ce</v>
      </c>
      <c r="BG66" s="2281"/>
      <c r="BH66" s="2281"/>
      <c r="BI66" s="2281"/>
      <c r="BJ66" s="2281"/>
      <c r="BK66" s="2281"/>
      <c r="BL66" s="2281"/>
      <c r="BM66" s="2281"/>
      <c r="BN66" s="2281"/>
      <c r="BO66" s="2304">
        <f>IF(OR(C66="",C66="  RF"),"",IF(BR66&lt;&gt;"",BR66,1+INT((BW66+BX66)/20)))</f>
        <v>2</v>
      </c>
      <c r="BP66" s="2304"/>
      <c r="BQ66" s="2304"/>
      <c r="BR66" s="2339"/>
      <c r="BS66" s="2339"/>
      <c r="BT66" s="2339"/>
      <c r="BU66" s="19"/>
      <c r="BV66" s="8">
        <v>9</v>
      </c>
      <c r="BW66" s="98">
        <f>IF(OR(C66="",C66="  RF"),0,SQRT(N66*J65)/2)</f>
        <v>12</v>
      </c>
      <c r="BX66" s="98">
        <f>IF(OR(C66="",C66="  RF"),0,SQRT(N66/J65)/2)</f>
        <v>24</v>
      </c>
      <c r="BY66" s="88" t="s">
        <v>204</v>
      </c>
      <c r="BZ66" s="92">
        <f>IF(OR($BW$10=0,AL64="設置しない",C66="  RF",C66=""),0,IF(LEFT(C66,2)&lt;&gt;"PH",AG66*BW67/2,BW67))</f>
        <v>40.5</v>
      </c>
      <c r="CA66" s="88" t="s">
        <v>205</v>
      </c>
      <c r="CB66" s="88">
        <f>IF(OR($BW$10=0,AL64="設置しない",C66="  RF",C66=""),0,IF(LEFT(C66,2)="PH",0,(BN68-1)*SQRT(S66/BN68)))</f>
        <v>70.279442228862351</v>
      </c>
      <c r="CC66" s="88" t="s">
        <v>204</v>
      </c>
      <c r="CD66" s="262">
        <f>IF(OR($BW$10=0,AL64="設置しない",F66=0),0,AG66*(F66-0.1-($Y$7-$AN$8)/1000))</f>
        <v>13.799999999999999</v>
      </c>
      <c r="CE66" s="88" t="s">
        <v>205</v>
      </c>
      <c r="CF66" s="88">
        <f>IF(OR($BW$10=0,AL64="設置しない",LEFT(C66,2)="PH",C66="  RF",C66=""),0,(2*BN68-1)*$AN$7/1000)</f>
        <v>12</v>
      </c>
      <c r="CG66" s="88" t="s">
        <v>204</v>
      </c>
      <c r="CH66" s="92">
        <f>IF(OR($BW$10=0,AL64="設置しない",AI65="非:天井ケーブル"),0,BZ66)</f>
        <v>0</v>
      </c>
      <c r="CI66" s="88" t="s">
        <v>205</v>
      </c>
      <c r="CJ66" s="88">
        <f>IF(OR($BW$10=0,AL64="設置しない",AI65="非:天井ケーブル"),0,CB66)</f>
        <v>0</v>
      </c>
      <c r="CK66" s="88" t="s">
        <v>204</v>
      </c>
      <c r="CL66" s="92">
        <f>IF(OR($BW$10=0,AL64="設置しない",C66="  RF",C66=""),0,IF(J66="直天",AG66*(F66-$Y$7/1000),AG66*(J66+0.1-$Y$7/1000)))</f>
        <v>3.9000000000000004</v>
      </c>
      <c r="CM66" s="220"/>
      <c r="CN66" s="219"/>
      <c r="CO66" s="134">
        <f>IF(AZ66="",0,VLOOKUP(AQ66,[7]建物1802!$E$5:$AL$3275,33,FALSE)*AZ66)</f>
        <v>56.94</v>
      </c>
      <c r="CP66" s="136">
        <f>IF(AZ66="",0,VLOOKUP(AQ66,[7]建物1802!$E$5:$AL$3275,30,FALSE)*AZ66)</f>
        <v>31.5</v>
      </c>
      <c r="CQ66" s="136">
        <f>IF(CO66="","",SQRT(CO66^2-CP66^2))</f>
        <v>47.433254157816329</v>
      </c>
      <c r="CR66" s="189">
        <f>IF(BO66="",0,VLOOKUP(BF66,[7]建物1802!$E$5:$AL$3275,33,FALSE)*BO66)</f>
        <v>8</v>
      </c>
      <c r="CS66" s="189">
        <f>IF(BO66="",0,VLOOKUP(BF66,[7]建物1802!$E$5:$AL$3275,30,FALSE)*BO66)</f>
        <v>3.8</v>
      </c>
      <c r="CT66" s="259">
        <f>IF(CR66="",0,SQRT(CR66^2-CS66^2))</f>
        <v>7.0398863627192165</v>
      </c>
      <c r="CU66" s="14"/>
      <c r="CV66" s="14"/>
      <c r="CW66" s="216"/>
      <c r="CX66" s="8"/>
      <c r="CY66" s="197">
        <f t="shared" si="6"/>
        <v>3</v>
      </c>
      <c r="CZ66" s="197" t="str">
        <f t="shared" si="7"/>
        <v/>
      </c>
      <c r="DA66" s="10" t="str">
        <f>W55</f>
        <v>VV-F 2.0mm-2C</v>
      </c>
      <c r="DB66" s="8"/>
      <c r="DC66" s="8"/>
      <c r="DD66" s="8"/>
      <c r="DE66" s="249" t="str">
        <f>IF(COUNTIF($DA$15:DA65,DA66)&gt;0,"",DA66)</f>
        <v/>
      </c>
      <c r="DF66" s="26">
        <f>AM55</f>
        <v>33.9</v>
      </c>
      <c r="DG66" s="32">
        <f t="shared" si="8"/>
        <v>0</v>
      </c>
      <c r="DH66" s="198">
        <f t="shared" si="9"/>
        <v>5</v>
      </c>
      <c r="DI66" s="198" t="str">
        <f t="shared" si="10"/>
        <v/>
      </c>
      <c r="DJ66" s="10" t="str">
        <f>AQ55</f>
        <v>Xh1-Ae</v>
      </c>
      <c r="DK66" s="10"/>
      <c r="DL66" s="10"/>
      <c r="DM66" s="8"/>
      <c r="DN66" s="8" t="str">
        <f>IF(COUNTIF($DJ$15:DJ65,DJ66)&gt;0,"",DJ66)</f>
        <v/>
      </c>
      <c r="DO66" s="200">
        <f>AZ55</f>
        <v>2</v>
      </c>
      <c r="DP66" s="32">
        <f t="shared" si="11"/>
        <v>0</v>
      </c>
      <c r="DQ66" s="8"/>
    </row>
    <row r="67" spans="1:121" ht="11.25" customHeight="1">
      <c r="A67" s="15">
        <v>9</v>
      </c>
      <c r="B67" s="176"/>
      <c r="C67" s="2378" t="str">
        <f>IF(C66="","",IF(K67="","VV-F 2.0mm-2C",K67))</f>
        <v>VV-F 2.0mm-2C</v>
      </c>
      <c r="D67" s="2379"/>
      <c r="E67" s="2379"/>
      <c r="F67" s="2379"/>
      <c r="G67" s="2379"/>
      <c r="H67" s="2379"/>
      <c r="I67" s="2379"/>
      <c r="J67" s="2380"/>
      <c r="K67" s="2313"/>
      <c r="L67" s="2314"/>
      <c r="M67" s="2314"/>
      <c r="N67" s="2314"/>
      <c r="O67" s="2314"/>
      <c r="P67" s="2314"/>
      <c r="Q67" s="2314"/>
      <c r="R67" s="2315"/>
      <c r="S67" s="2312">
        <f>IF(OR(C66="",AL64="設置しない",BH64="設置しない"),"",ROUND((BZ66+CD66),1))</f>
        <v>54.3</v>
      </c>
      <c r="T67" s="2312"/>
      <c r="U67" s="2312"/>
      <c r="V67" s="2312"/>
      <c r="W67" s="2306" t="str">
        <f>IF(C66="","",IF(AE67="","VV-F 2.0mm-2C",AE67))</f>
        <v>VV-F 2.0mm-2C</v>
      </c>
      <c r="X67" s="2307"/>
      <c r="Y67" s="2307"/>
      <c r="Z67" s="2307"/>
      <c r="AA67" s="2307"/>
      <c r="AB67" s="2307"/>
      <c r="AC67" s="2307"/>
      <c r="AD67" s="2308"/>
      <c r="AE67" s="2313"/>
      <c r="AF67" s="2314"/>
      <c r="AG67" s="2314"/>
      <c r="AH67" s="2314"/>
      <c r="AI67" s="2314"/>
      <c r="AJ67" s="2314"/>
      <c r="AK67" s="2314"/>
      <c r="AL67" s="2315"/>
      <c r="AM67" s="2312">
        <f>IF(OR(C66="",,AL64="設置しない",BH64="設置しない"),"",ROUND(BZ69,1))</f>
        <v>33.9</v>
      </c>
      <c r="AN67" s="2312"/>
      <c r="AO67" s="2312"/>
      <c r="AP67" s="2312"/>
      <c r="AQ67" s="2347" t="str">
        <f>IF(OR(C66="",AL64="設置しない"),"",IF(OR(AND(LEFT($C$18,2)=" B",[6]Top!$U$72&lt;&gt;""),AND(LEFT($C$18,3)="  1",[6]Top!$U$73&lt;&gt;""),AND(LEFT($C$18,3)="  2",[6]Top!$U$75&lt;&gt;""),AND(LEFT($C$18,3)="  3",[6]Top!$U$77&lt;&gt;""),[6]Top!$U$79&lt;&gt;"",[6]Top!$U$81&lt;&gt;""),"Xh1-Ae",IF(OR(AND(LEFT($C$18,2)=" B",[6]Top!$U$72="BL"),AND(LEFT($C$18,3)="  1",[6]Top!$U$73="BL"),AND(LEFT($C$18,3)="  2",[6]Top!$U$75="BL"),AND(LEFT($C$18,3)="  3",[6]Top!$U$77="BL"),[6]Top!$U$79="BL",[6]Top!$U$81="BL"),"Xh1-BLe","")))</f>
        <v>Xh1-Ae</v>
      </c>
      <c r="AR67" s="2348"/>
      <c r="AS67" s="2348"/>
      <c r="AT67" s="2348"/>
      <c r="AU67" s="2348"/>
      <c r="AV67" s="2348"/>
      <c r="AW67" s="2348"/>
      <c r="AX67" s="2348"/>
      <c r="AY67" s="2349"/>
      <c r="AZ67" s="2304">
        <f>IF(AA66="","",IF(BC67&lt;&gt;"",BC67,IF(AQ67&lt;&gt;"",1+INT(AA66/3),"")))</f>
        <v>2</v>
      </c>
      <c r="BA67" s="2304"/>
      <c r="BB67" s="2304"/>
      <c r="BC67" s="2305"/>
      <c r="BD67" s="2305"/>
      <c r="BE67" s="2305"/>
      <c r="BF67" s="2281" t="str">
        <f>IF(C66="","",IF(OR(AND(LEFT(C66,2)=" B",[6]Top!$AF$72="要"),AND(LEFT(C66,3)="  1",[6]Top!$AF$73="要"),AND(LEFT(C66,3)="  2",[6]Top!$AF$75="要"),AND(LEFT(C66,3)="  3",[6]Top!$AF$77="要"),[6]Top!$AF$79="要",[6]Top!$AF$81="要"),"D15V-321PXe",""))</f>
        <v/>
      </c>
      <c r="BG67" s="2281"/>
      <c r="BH67" s="2281"/>
      <c r="BI67" s="2282"/>
      <c r="BJ67" s="2282"/>
      <c r="BK67" s="2282"/>
      <c r="BL67" s="2282"/>
      <c r="BM67" s="2282"/>
      <c r="BN67" s="2282"/>
      <c r="BO67" s="2283" t="str">
        <f>IF(OR(C66="",C66="  RF",BF67=""),"",IF(BR67&lt;&gt;"",BR67,2*(1+INT(N66/500))))</f>
        <v/>
      </c>
      <c r="BP67" s="2283"/>
      <c r="BQ67" s="2283"/>
      <c r="BR67" s="2303"/>
      <c r="BS67" s="2303"/>
      <c r="BT67" s="2303"/>
      <c r="BU67" s="19"/>
      <c r="BV67" s="46" t="str">
        <f>V65</f>
        <v>⑦</v>
      </c>
      <c r="BW67" s="263">
        <f>IF(C66="","",IF(BV67="①",BW66+BX66+3,IF(BV67="②",BW66*5/8+BX66+3,IF(BV67="③",BW66/2+BX66+3,IF(BV67="④",BW66+BX66*5/8+3,IF(BV67="⑤",(BW66+BX66)*5/8+3,IF(BV67="⑥",BW66/2+BX66*5/8+3,IF(BV67="⑦",BW66+BX66/2+3,IF(BV67="⑧",BW66*5/8+BX66/2+3,IF(BV67="⑨",(BW66+BX66)/2+3))))))))))</f>
        <v>27</v>
      </c>
      <c r="BX67" s="8"/>
      <c r="BY67" s="88" t="s">
        <v>202</v>
      </c>
      <c r="BZ67" s="92">
        <f>IF(OR($BW$10=0,BH64="設置しない",C66="  RF",C66=""),0,IF(LEFT(C66,2)&lt;&gt;"PH",AL66*BW67/2,BW67))</f>
        <v>40.5</v>
      </c>
      <c r="CA67" s="88" t="s">
        <v>203</v>
      </c>
      <c r="CB67" s="88">
        <f>IF(OR($BW$10=0,AY64="設置しない",BN69=""),0,(BN69-1)*SQRT(W66/BN69))</f>
        <v>52.908978444116649</v>
      </c>
      <c r="CC67" s="88" t="s">
        <v>202</v>
      </c>
      <c r="CD67" s="262">
        <f>IF(OR($BW$10=0,BH64="設置しない",F66=0),0,AG66*(F66-0.1-($AN$8-$Y$7)/1000))</f>
        <v>9.6000000000000014</v>
      </c>
      <c r="CE67" s="88" t="s">
        <v>203</v>
      </c>
      <c r="CF67" s="88">
        <f>IF(OR($BW$10=0,BH64="設置しない",BN69=""),0,(2*BN69-1)*$AN$7/1000)</f>
        <v>15.2</v>
      </c>
      <c r="CG67" s="88" t="s">
        <v>202</v>
      </c>
      <c r="CH67" s="92">
        <f>IF(OR($BW$10=0,BH64="設置しない",AI65="非:天井ケーブル"),0,BZ67)</f>
        <v>0</v>
      </c>
      <c r="CI67" s="88" t="s">
        <v>203</v>
      </c>
      <c r="CJ67" s="88">
        <f>IF(OR($BW$10=0,BH64="設置しない",AI65="非:天井ケーブル"),0,CB67)</f>
        <v>0</v>
      </c>
      <c r="CK67" s="88" t="s">
        <v>202</v>
      </c>
      <c r="CL67" s="92">
        <f>IF(OR($BW$10=0,BH64="設置しない",C66="  RF",C66=""),0,IF(J66="直天",AG66*(F66-$Y$7/1000),AG66*(J66+0.1-$Y$7/1000)))</f>
        <v>3.9000000000000004</v>
      </c>
      <c r="CM67" s="141"/>
      <c r="CN67" s="142"/>
      <c r="CO67" s="136">
        <f>IF(AZ67="",0,(VLOOKUP(AQ67,[7]建物1802!$E$5:$AL$3275,33,FALSE))*AZ67)</f>
        <v>37.96</v>
      </c>
      <c r="CP67" s="136">
        <f>IF(AZ67="",0,VLOOKUP(AQ67,[7]建物1802!$E$5:$AL$3275,30,FALSE)*AZ67)</f>
        <v>21</v>
      </c>
      <c r="CQ67" s="136">
        <f>IF(CO67="","",SQRT(CO67^2-CP67^2))</f>
        <v>31.622169438544219</v>
      </c>
      <c r="CR67" s="189">
        <f>IF(BO67="",0,VLOOKUP(BF67,[7]建物1802!$E$5:$AL$3275,33,FALSE)*BO67)</f>
        <v>0</v>
      </c>
      <c r="CS67" s="189">
        <f>IF(BO67="",0,VLOOKUP(BF67,[7]建物1802!$E$5:$AL$3275,30,FALSE)*BO67)</f>
        <v>0</v>
      </c>
      <c r="CT67" s="259">
        <f>IF(CR67="",0,SQRT(CR67^2-CS67^2))</f>
        <v>0</v>
      </c>
      <c r="CU67" s="14"/>
      <c r="CV67" s="14"/>
      <c r="CW67" s="216"/>
      <c r="CX67" s="8"/>
      <c r="CY67" s="197">
        <f t="shared" si="6"/>
        <v>3</v>
      </c>
      <c r="CZ67" s="197" t="str">
        <f t="shared" si="7"/>
        <v/>
      </c>
      <c r="DA67" s="10" t="str">
        <f>C56</f>
        <v>VV-F 1.6mm-2C</v>
      </c>
      <c r="DB67" s="8"/>
      <c r="DC67" s="8"/>
      <c r="DD67" s="8"/>
      <c r="DE67" s="249" t="str">
        <f>IF(COUNTIF($DA$15:DA66,DA67)&gt;0,"",DA67)</f>
        <v/>
      </c>
      <c r="DF67" s="26">
        <f>S56</f>
        <v>312</v>
      </c>
      <c r="DG67" s="32">
        <f t="shared" si="8"/>
        <v>0</v>
      </c>
      <c r="DH67" s="198">
        <f t="shared" si="9"/>
        <v>5</v>
      </c>
      <c r="DI67" s="198" t="str">
        <f t="shared" si="10"/>
        <v/>
      </c>
      <c r="DJ67" s="10" t="str">
        <f>AQ56</f>
        <v/>
      </c>
      <c r="DK67" s="10"/>
      <c r="DL67" s="10"/>
      <c r="DM67" s="8"/>
      <c r="DN67" s="8" t="str">
        <f>IF(COUNTIF($DJ$15:DJ66,DJ67)&gt;0,"",DJ67)</f>
        <v/>
      </c>
      <c r="DO67" s="200" t="str">
        <f>AZ56</f>
        <v/>
      </c>
      <c r="DP67" s="32">
        <f t="shared" si="11"/>
        <v>0</v>
      </c>
      <c r="DQ67" s="8"/>
    </row>
    <row r="68" spans="1:121" ht="11.25" customHeight="1">
      <c r="A68" s="15"/>
      <c r="B68" s="23"/>
      <c r="C68" s="2378" t="str">
        <f>IF(C66="","",IF(K68="","VV-F 1.6mm-2C",K68))</f>
        <v>VV-F 1.6mm-2C</v>
      </c>
      <c r="D68" s="2379"/>
      <c r="E68" s="2379"/>
      <c r="F68" s="2379"/>
      <c r="G68" s="2379"/>
      <c r="H68" s="2379"/>
      <c r="I68" s="2379"/>
      <c r="J68" s="2380"/>
      <c r="K68" s="2313"/>
      <c r="L68" s="2314"/>
      <c r="M68" s="2314"/>
      <c r="N68" s="2314"/>
      <c r="O68" s="2314"/>
      <c r="P68" s="2314"/>
      <c r="Q68" s="2314"/>
      <c r="R68" s="2315"/>
      <c r="S68" s="2312">
        <f>IF(OR(C66="",C66="  RF"),"",INT(CB66+CB67+CF66+CF67+CD68))</f>
        <v>312</v>
      </c>
      <c r="T68" s="2312"/>
      <c r="U68" s="2312"/>
      <c r="V68" s="2312"/>
      <c r="W68" s="2306" t="str">
        <f>IF(C66="","",IF(AE68="","VV-F 1.6mm-2C",AE68))</f>
        <v>VV-F 1.6mm-2C</v>
      </c>
      <c r="X68" s="2307"/>
      <c r="Y68" s="2307"/>
      <c r="Z68" s="2307"/>
      <c r="AA68" s="2307"/>
      <c r="AB68" s="2307"/>
      <c r="AC68" s="2307"/>
      <c r="AD68" s="2308"/>
      <c r="AE68" s="2313"/>
      <c r="AF68" s="2314"/>
      <c r="AG68" s="2314"/>
      <c r="AH68" s="2314"/>
      <c r="AI68" s="2314"/>
      <c r="AJ68" s="2314"/>
      <c r="AK68" s="2314"/>
      <c r="AL68" s="2315"/>
      <c r="AM68" s="2306">
        <f>IF(OR(C66="",C66="  RF"),"",INT(CB69+CD68))</f>
        <v>243</v>
      </c>
      <c r="AN68" s="2307"/>
      <c r="AO68" s="2307"/>
      <c r="AP68" s="2308"/>
      <c r="AQ68" s="2309" t="str">
        <f>IF(OR(C66="",S66=""),"",IF(OR(AND(LEFT(C66,2)=" B",[8]非誘!$W$72="C"),AND(LEFT(C66,3)="  1",[8]非誘!$W$74="C"),AND(LEFT(C66,3)="  2",[8]非誘!$W$76="C"),AND(LEFT(C66,3)="  3",[8]非誘!$W$78="C"),[8]非誘!$W$80="C",[8]非誘!$W$81="C"),"Yd2-BHe",""))</f>
        <v/>
      </c>
      <c r="AR68" s="2310"/>
      <c r="AS68" s="2310"/>
      <c r="AT68" s="2310"/>
      <c r="AU68" s="2310"/>
      <c r="AV68" s="2310"/>
      <c r="AW68" s="2310"/>
      <c r="AX68" s="2310"/>
      <c r="AY68" s="2311"/>
      <c r="AZ68" s="2304" t="str">
        <f>IF(AQ68="","",IF(OR(C66="",C66="  RF"),"",IF(BC68&lt;&gt;"",BC68,AA66)))</f>
        <v/>
      </c>
      <c r="BA68" s="2304"/>
      <c r="BB68" s="2304"/>
      <c r="BC68" s="2305"/>
      <c r="BD68" s="2305"/>
      <c r="BE68" s="2305"/>
      <c r="BF68" s="2316" t="s">
        <v>10</v>
      </c>
      <c r="BG68" s="2317"/>
      <c r="BH68" s="2318"/>
      <c r="BI68" s="2319" t="str">
        <f>IF(OR($BW$10=0,AL64="設置しない",C66="",C66="  RF"),"",IF(OR(AND(LEFT(C66,2)=" B",[6]Top!$O$72="要"),AND(LEFT(C66,3)="  1",[6]Top!$O$74="要"),AND(LEFT(C66,3)="  2",[6]Top!$O$76="要"),AND(LEFT(C66,3)="  3",[6]Top!$O$78="要"),[6]Top!$O$80="要",[6]Top!$O$81="要",$Y$9="設置する"),"d4-30e",""))</f>
        <v>d4-30e</v>
      </c>
      <c r="BJ68" s="2320"/>
      <c r="BK68" s="2320"/>
      <c r="BL68" s="2320"/>
      <c r="BM68" s="2321"/>
      <c r="BN68" s="2319">
        <f>IF(OR($BW$10=0,AL64="設置しない",C66="",C66="  RF"),"",IF(LEFT(C66,2)="PH","",IF(BR68&lt;&gt;"",BR68,IF((1+INT(S66/110))&lt;=AA66,AA66,1+INT(S66/110)))))</f>
        <v>8</v>
      </c>
      <c r="BO68" s="2320"/>
      <c r="BP68" s="2321"/>
      <c r="BQ68" s="31" t="s">
        <v>103</v>
      </c>
      <c r="BR68" s="2322"/>
      <c r="BS68" s="2323"/>
      <c r="BT68" s="2324"/>
      <c r="BU68" s="19"/>
      <c r="BV68" s="226"/>
      <c r="BW68" s="196"/>
      <c r="BX68" s="8"/>
      <c r="BY68" s="88" t="s">
        <v>200</v>
      </c>
      <c r="BZ68" s="222">
        <f>SUM(AZ66:BB69)+SUM(BO66:BQ69)</f>
        <v>9</v>
      </c>
      <c r="CA68" s="8"/>
      <c r="CB68" s="8"/>
      <c r="CC68" s="88" t="s">
        <v>121</v>
      </c>
      <c r="CD68" s="88">
        <f>IF($AW$8=0,0,2*($AW$8/1000-0.15-0.1)*(INT(1000*2*BW66/$AW$10)+1)*(INT(1000*2*BX66/$AW$10)+1)*4)</f>
        <v>162</v>
      </c>
      <c r="CE68" s="8"/>
      <c r="CF68" s="8"/>
      <c r="CG68" s="168"/>
      <c r="CH68" s="261"/>
      <c r="CI68" s="8"/>
      <c r="CJ68" s="8"/>
      <c r="CK68" s="168"/>
      <c r="CL68" s="261"/>
      <c r="CM68" s="8"/>
      <c r="CN68" s="8"/>
      <c r="CO68" s="136">
        <f>IF(AZ68="",0,VLOOKUP(AQ68,[7]建物1802!$E$5:$AL$3275,33,FALSE)*AZ68)</f>
        <v>0</v>
      </c>
      <c r="CP68" s="136">
        <f>IF(AZ68="",0,VLOOKUP(AQ68,[7]建物1802!$E$5:$AL$3275,30,FALSE)*AZ68)</f>
        <v>0</v>
      </c>
      <c r="CQ68" s="136">
        <f>IF(CO68="","",SQRT(CO68^2-CP68^2))</f>
        <v>0</v>
      </c>
      <c r="CR68" s="260"/>
      <c r="CS68" s="14"/>
      <c r="CT68" s="14"/>
      <c r="CU68" s="14"/>
      <c r="CV68" s="14"/>
      <c r="CW68" s="216"/>
      <c r="CX68" s="8"/>
      <c r="CY68" s="197">
        <f t="shared" si="6"/>
        <v>3</v>
      </c>
      <c r="CZ68" s="197" t="str">
        <f t="shared" si="7"/>
        <v/>
      </c>
      <c r="DA68" s="10" t="str">
        <f>W56</f>
        <v>VV-F 1.6mm-2C</v>
      </c>
      <c r="DB68" s="8"/>
      <c r="DC68" s="8"/>
      <c r="DD68" s="8"/>
      <c r="DE68" s="249" t="str">
        <f>IF(COUNTIF($DA$15:DA67,DA68)&gt;0,"",DA68)</f>
        <v/>
      </c>
      <c r="DF68" s="26">
        <f>AM56</f>
        <v>243</v>
      </c>
      <c r="DG68" s="32">
        <f t="shared" si="8"/>
        <v>0</v>
      </c>
      <c r="DH68" s="198">
        <f t="shared" si="9"/>
        <v>5</v>
      </c>
      <c r="DI68" s="124" t="str">
        <f t="shared" si="10"/>
        <v/>
      </c>
      <c r="DJ68" s="11" t="str">
        <f>AQ57</f>
        <v>Yd2-Ce</v>
      </c>
      <c r="DK68" s="11"/>
      <c r="DL68" s="11"/>
      <c r="DM68" s="9"/>
      <c r="DN68" s="9" t="str">
        <f>IF(COUNTIF($DJ$15:DJ67,DJ68)&gt;0,"",DJ68)</f>
        <v/>
      </c>
      <c r="DO68" s="101">
        <f>AZ57</f>
        <v>2</v>
      </c>
      <c r="DP68" s="32">
        <f t="shared" si="11"/>
        <v>0</v>
      </c>
      <c r="DQ68" s="8"/>
    </row>
    <row r="69" spans="1:121" ht="11.25" customHeight="1" thickBot="1">
      <c r="A69" s="15"/>
      <c r="B69" s="23"/>
      <c r="C69" s="2359" t="str">
        <f>IF(C66="","",IF(I69="","",IF(AI65="非:天井(C管)","C-19mm",IF(AI65="非:天井(G管)","G- 16mm","PF-S-16mm"))))</f>
        <v/>
      </c>
      <c r="D69" s="2360"/>
      <c r="E69" s="2360"/>
      <c r="F69" s="2360"/>
      <c r="G69" s="2360"/>
      <c r="H69" s="2360"/>
      <c r="I69" s="2335" t="str">
        <f>IF(OR(C66="",AL64="設置しない",BH64="設置しない",$BW$10=0,CH66=0,CJ66=0),"",IF(J66="直天",ROUND((BZ66+CB66),1),ROUND((CH66+CJ66),1)))</f>
        <v/>
      </c>
      <c r="J69" s="2335"/>
      <c r="K69" s="2335"/>
      <c r="L69" s="2335"/>
      <c r="M69" s="2359" t="str">
        <f>IF(C66="","",IF(S69="","",IF(BC65="誘:天井(C管)","C-19mm",IF(BC65="誘:天井(G管)","G- 16mm","PF-S-16mm"))))</f>
        <v/>
      </c>
      <c r="N69" s="2360"/>
      <c r="O69" s="2360"/>
      <c r="P69" s="2360"/>
      <c r="Q69" s="2360"/>
      <c r="R69" s="2361"/>
      <c r="S69" s="2312" t="str">
        <f>IF(OR(C66="",,AL64="設置しない",BH64="設置しない",$BW$10=0,CH69=0,CJ69=0),"",IF(J66="直天",ROUND((BZ69+CB69),1),ROUND((CH69+CJ69),1)))</f>
        <v/>
      </c>
      <c r="T69" s="2312"/>
      <c r="U69" s="2312"/>
      <c r="V69" s="2312"/>
      <c r="W69" s="2359" t="str">
        <f>IF(C66="","",IF($B$2=0,"",IF(OR(AI65="非:天井(C管)",AI65="非:床(C管)"),"C-19mm",IF(OR(AI65="非:天井(G管)",AI65="非:床(G管)"),"G-16mm",IF(AI65="非:床(CD管)","CD-16mm","PF-S-16mm")))))</f>
        <v>PF-S-16mm</v>
      </c>
      <c r="X69" s="2360"/>
      <c r="Y69" s="2360"/>
      <c r="Z69" s="2360"/>
      <c r="AA69" s="2360"/>
      <c r="AB69" s="2361"/>
      <c r="AC69" s="2362">
        <f>IF(OR(C66="",AL64="設置しない",BH64="設置しない"),"",ROUND(CL66,1))</f>
        <v>3.9</v>
      </c>
      <c r="AD69" s="2312"/>
      <c r="AE69" s="2312"/>
      <c r="AF69" s="2312"/>
      <c r="AG69" s="2333" t="str">
        <f>IF(C66="","",IF($B$2=0,"",IF(BC65="誘:天井(C管)","C-19mm",IF(BC65="誘:天井(G管)","G-16mm","PF-S-16mm"))))</f>
        <v>PF-S-16mm</v>
      </c>
      <c r="AH69" s="2333"/>
      <c r="AI69" s="2333"/>
      <c r="AJ69" s="2333"/>
      <c r="AK69" s="2333"/>
      <c r="AL69" s="2333"/>
      <c r="AM69" s="2334">
        <f>IF(OR(C66="",AL64="設置しない",BH64="設置しない"),"",ROUND((CL69+CN69),1))</f>
        <v>19.5</v>
      </c>
      <c r="AN69" s="2335"/>
      <c r="AO69" s="2335"/>
      <c r="AP69" s="2335"/>
      <c r="AQ69" s="2291" t="str">
        <f>IF(C66="","",IF(OR(AND(LEFT(C66,2)=" B",[6]Top!$AA$72="C"),AND(LEFT(C66,3)="  1",[6]Top!$AA$73="C"),AND(LEFT(C66,3)="  2",[6]Top!$AA$75="C"),AND(LEFT(C66,3)="  3",[6]Top!$AA$77="C"),[6]Top!$AA$79="C",[6]Top!$AA$81="C"),"Yd2-Ce",""))</f>
        <v>Yd2-Ce</v>
      </c>
      <c r="AR69" s="2292"/>
      <c r="AS69" s="2292"/>
      <c r="AT69" s="2292"/>
      <c r="AU69" s="2292"/>
      <c r="AV69" s="2292"/>
      <c r="AW69" s="2292"/>
      <c r="AX69" s="2292"/>
      <c r="AY69" s="2293"/>
      <c r="AZ69" s="2294">
        <f>IF(OR(C66="",C66="  RF",AQ69=""),"",IF(BC69&lt;&gt;"",BC69,1+INT((BW66+BX66)/20)))</f>
        <v>2</v>
      </c>
      <c r="BA69" s="2295"/>
      <c r="BB69" s="2296"/>
      <c r="BC69" s="2287"/>
      <c r="BD69" s="2287"/>
      <c r="BE69" s="2287"/>
      <c r="BF69" s="2363" t="s">
        <v>127</v>
      </c>
      <c r="BG69" s="2364"/>
      <c r="BH69" s="2365"/>
      <c r="BI69" s="2335" t="str">
        <f>IF(OR($BW$10=0,AY64="設置しない",C66="",C66="  RF"),"",IF(OR(AND(LEFT(C66,2)=" B",[6]Top!$O$72="要"),AND(LEFT(C66,3)="  1",[6]Top!$O$74="要"),AND(LEFT(C66,3)="  2",[6]Top!$O$76="要"),AND(LEFT(C66,3)="  3",[6]Top!$O$78="要"),[6]Top!$O$80="要",[6]Top!$O$81="要",$Y$10="設置する"),"d4-13e",""))</f>
        <v>d4-13e</v>
      </c>
      <c r="BJ69" s="2335"/>
      <c r="BK69" s="2335"/>
      <c r="BL69" s="2335"/>
      <c r="BM69" s="2335"/>
      <c r="BN69" s="2335">
        <f>IF(OR($BW$10=0,BH64="設置しない",C66="",C66="  RF"),"",IF(BR69&lt;&gt;"",BR69,INT(AD66*1.2)))</f>
        <v>10</v>
      </c>
      <c r="BO69" s="2335"/>
      <c r="BP69" s="2335"/>
      <c r="BQ69" s="31" t="s">
        <v>103</v>
      </c>
      <c r="BR69" s="2350"/>
      <c r="BS69" s="2351"/>
      <c r="BT69" s="2352"/>
      <c r="BU69" s="19"/>
      <c r="BV69" s="8"/>
      <c r="BW69" s="8"/>
      <c r="BX69" s="8"/>
      <c r="BY69" s="88" t="s">
        <v>199</v>
      </c>
      <c r="BZ69" s="151">
        <f>IF(AL66="",0,AL66*SQRT(N66/BZ68))</f>
        <v>33.941125496954285</v>
      </c>
      <c r="CA69" s="88" t="s">
        <v>198</v>
      </c>
      <c r="CB69" s="151">
        <f>IF(BZ68=0,0,(BZ68/3)*BW67)</f>
        <v>81</v>
      </c>
      <c r="CC69" s="88" t="s">
        <v>199</v>
      </c>
      <c r="CD69" s="151">
        <f>IF(F66=0,0,F66-0.25-$Y$7/1000)</f>
        <v>1.95</v>
      </c>
      <c r="CE69" s="88" t="s">
        <v>198</v>
      </c>
      <c r="CF69" s="151">
        <f>IF(F66=0,0,(2*(BZ68-BO66)-1)*$AN$7/1000+(2*BO66-1)*(F66-0.75))</f>
        <v>20.149999999999999</v>
      </c>
      <c r="CG69" s="88" t="s">
        <v>199</v>
      </c>
      <c r="CH69" s="151">
        <f>IF(BC65="誘:天井ケーブル",0,BZ69)</f>
        <v>0</v>
      </c>
      <c r="CI69" s="88" t="s">
        <v>198</v>
      </c>
      <c r="CJ69" s="151">
        <f>IF(BC65="誘:天井ケーブル",0,CB69)</f>
        <v>0</v>
      </c>
      <c r="CK69" s="88" t="s">
        <v>199</v>
      </c>
      <c r="CL69" s="259">
        <f>IF(F66=0,0,IF(J66="直天",AL66*(F66-$Y$7/1000),AL66*(J66+0.1-$Y$7/1000)))</f>
        <v>3.9000000000000004</v>
      </c>
      <c r="CM69" s="88" t="s">
        <v>198</v>
      </c>
      <c r="CN69" s="151">
        <f>IF(F66=0,0,IF(J66="直天",BO66*(2*BO66-1)*(F66-0.5),BO66*(2*BO66-1)*(J66-0.4)))</f>
        <v>15.600000000000001</v>
      </c>
      <c r="CO69" s="136">
        <f>IF(AZ69="",0,VLOOKUP(AQ69,[7]建物1802!$E$5:$AL$3275,33,FALSE)*AZ69)</f>
        <v>10.58</v>
      </c>
      <c r="CP69" s="136">
        <f>IF(AZ69="",0,VLOOKUP(AQ69,[7]建物1802!$E$5:$AL$3275,30,FALSE)*AZ69)</f>
        <v>5.2</v>
      </c>
      <c r="CQ69" s="136">
        <f>IF(CO69="","",SQRT(CO69^2-CP69^2))</f>
        <v>9.2139242454016301</v>
      </c>
      <c r="CR69" s="26"/>
      <c r="CS69" s="26"/>
      <c r="CT69" s="26"/>
      <c r="CU69" s="26"/>
      <c r="CV69" s="26"/>
      <c r="CW69" s="218"/>
      <c r="CX69" s="8"/>
      <c r="CY69" s="197">
        <f t="shared" si="6"/>
        <v>3</v>
      </c>
      <c r="CZ69" s="197" t="str">
        <f t="shared" si="7"/>
        <v/>
      </c>
      <c r="DA69" s="10" t="str">
        <f>C57</f>
        <v/>
      </c>
      <c r="DB69" s="8"/>
      <c r="DC69" s="8"/>
      <c r="DD69" s="8"/>
      <c r="DE69" s="249" t="str">
        <f>IF(COUNTIF($DA$15:DA68,DA69)&gt;0,"",DA69)</f>
        <v/>
      </c>
      <c r="DF69" s="26" t="str">
        <f>I57</f>
        <v/>
      </c>
      <c r="DG69" s="32">
        <f t="shared" si="8"/>
        <v>0</v>
      </c>
      <c r="DH69" s="198">
        <f t="shared" si="9"/>
        <v>5</v>
      </c>
      <c r="DI69" s="124" t="str">
        <f t="shared" si="10"/>
        <v/>
      </c>
      <c r="DJ69" s="11" t="str">
        <f>BF54</f>
        <v>Ya1-Ce</v>
      </c>
      <c r="DK69" s="11"/>
      <c r="DL69" s="11"/>
      <c r="DM69" s="9"/>
      <c r="DN69" s="9" t="str">
        <f>IF(COUNTIF($DJ$15:DJ68,DJ69)&gt;0,"",DJ69)</f>
        <v/>
      </c>
      <c r="DO69" s="101">
        <f>BO54</f>
        <v>2</v>
      </c>
      <c r="DP69" s="13">
        <f t="shared" si="11"/>
        <v>0</v>
      </c>
      <c r="DQ69" s="8"/>
    </row>
    <row r="70" spans="1:121" ht="11.25" customHeight="1" thickBot="1">
      <c r="A70" s="15"/>
      <c r="B70" s="23"/>
      <c r="C70" s="2391" t="s">
        <v>112</v>
      </c>
      <c r="D70" s="2391"/>
      <c r="E70" s="2391"/>
      <c r="F70" s="2391"/>
      <c r="G70" s="2391"/>
      <c r="H70" s="2391"/>
      <c r="I70" s="2288"/>
      <c r="J70" s="2356" t="str">
        <f>[5]照差!$I$83</f>
        <v>( 4 )</v>
      </c>
      <c r="K70" s="2357"/>
      <c r="L70" s="2358"/>
      <c r="M70" s="2375" t="str">
        <f>[5]照差!$M$83</f>
        <v>百貨店等</v>
      </c>
      <c r="N70" s="2376"/>
      <c r="O70" s="2376"/>
      <c r="P70" s="2376"/>
      <c r="Q70" s="2376"/>
      <c r="R70" s="2376"/>
      <c r="S70" s="2376"/>
      <c r="T70" s="2376"/>
      <c r="U70" s="2377"/>
      <c r="V70" s="2275" t="s">
        <v>232</v>
      </c>
      <c r="W70" s="2276"/>
      <c r="X70" s="2276"/>
      <c r="Y70" s="2276"/>
      <c r="Z70" s="2277"/>
      <c r="AA70" s="2278" t="str">
        <f>[6]Top!$I$42</f>
        <v>A</v>
      </c>
      <c r="AB70" s="2279"/>
      <c r="AC70" s="2280" t="s">
        <v>231</v>
      </c>
      <c r="AD70" s="2280"/>
      <c r="AE70" s="2280"/>
      <c r="AF70" s="2280"/>
      <c r="AG70" s="2280"/>
      <c r="AH70" s="2280"/>
      <c r="AI70" s="2280"/>
      <c r="AJ70" s="2280"/>
      <c r="AK70" s="2280"/>
      <c r="AL70" s="2356" t="str">
        <f>IF($BW$10=0,"設置しない",IF(AS70="","設置する",AS70))</f>
        <v>設置する</v>
      </c>
      <c r="AM70" s="2357"/>
      <c r="AN70" s="2357"/>
      <c r="AO70" s="2357"/>
      <c r="AP70" s="2357"/>
      <c r="AQ70" s="2358"/>
      <c r="AR70" s="265" t="s">
        <v>103</v>
      </c>
      <c r="AS70" s="2284"/>
      <c r="AT70" s="2285"/>
      <c r="AU70" s="2285"/>
      <c r="AV70" s="2285"/>
      <c r="AW70" s="2285"/>
      <c r="AX70" s="2286"/>
      <c r="AY70" s="2280" t="s">
        <v>215</v>
      </c>
      <c r="AZ70" s="2280"/>
      <c r="BA70" s="2280"/>
      <c r="BB70" s="2280"/>
      <c r="BC70" s="2280"/>
      <c r="BD70" s="2280"/>
      <c r="BE70" s="2280"/>
      <c r="BF70" s="2280"/>
      <c r="BG70" s="2280"/>
      <c r="BH70" s="2356" t="str">
        <f>IF($BW$10=0,"設置しない",IF(BO70="","設置する",BO70))</f>
        <v>設置する</v>
      </c>
      <c r="BI70" s="2357"/>
      <c r="BJ70" s="2357"/>
      <c r="BK70" s="2357"/>
      <c r="BL70" s="2357"/>
      <c r="BM70" s="2358"/>
      <c r="BN70" s="265" t="s">
        <v>103</v>
      </c>
      <c r="BO70" s="2284"/>
      <c r="BP70" s="2285"/>
      <c r="BQ70" s="2285"/>
      <c r="BR70" s="2285"/>
      <c r="BS70" s="2285"/>
      <c r="BT70" s="2286"/>
      <c r="BU70" s="19"/>
      <c r="BV70" s="8"/>
      <c r="BW70" s="8"/>
      <c r="BX70" s="8"/>
      <c r="BY70" s="9"/>
      <c r="BZ70" s="9"/>
      <c r="CA70" s="9"/>
      <c r="CB70" s="9"/>
      <c r="CC70" s="9"/>
      <c r="CD70" s="9"/>
      <c r="CE70" s="9"/>
      <c r="CF70" s="9"/>
      <c r="CG70" s="9"/>
      <c r="CH70" s="9"/>
      <c r="CI70" s="9"/>
      <c r="CJ70" s="9"/>
      <c r="CK70" s="9"/>
      <c r="CL70" s="9"/>
      <c r="CM70" s="9"/>
      <c r="CN70" s="9"/>
      <c r="CO70" s="266"/>
      <c r="CP70" s="266"/>
      <c r="CQ70" s="266"/>
      <c r="CR70" s="14"/>
      <c r="CS70" s="14"/>
      <c r="CT70" s="14"/>
      <c r="CU70" s="14"/>
      <c r="CV70" s="14"/>
      <c r="CW70" s="216"/>
      <c r="CX70" s="8"/>
      <c r="CY70" s="197">
        <f t="shared" si="6"/>
        <v>3</v>
      </c>
      <c r="CZ70" s="197" t="str">
        <f t="shared" si="7"/>
        <v/>
      </c>
      <c r="DA70" s="10" t="str">
        <f>M57</f>
        <v/>
      </c>
      <c r="DB70" s="8"/>
      <c r="DC70" s="8"/>
      <c r="DD70" s="8"/>
      <c r="DE70" s="249" t="str">
        <f>IF(COUNTIF($DA$15:DA69,DA70)&gt;0,"",DA70)</f>
        <v/>
      </c>
      <c r="DF70" s="26" t="str">
        <f>S57</f>
        <v/>
      </c>
      <c r="DG70" s="32">
        <f t="shared" si="8"/>
        <v>0</v>
      </c>
      <c r="DH70" s="198">
        <f t="shared" si="9"/>
        <v>5</v>
      </c>
      <c r="DI70" s="124" t="str">
        <f t="shared" si="10"/>
        <v/>
      </c>
      <c r="DJ70" s="11" t="str">
        <f>BF55</f>
        <v/>
      </c>
      <c r="DK70" s="11"/>
      <c r="DL70" s="11"/>
      <c r="DM70" s="9"/>
      <c r="DN70" s="9" t="str">
        <f>IF(COUNTIF($DJ$15:DJ69,DJ70)&gt;0,"",DJ70)</f>
        <v/>
      </c>
      <c r="DO70" s="101" t="str">
        <f>BO55</f>
        <v/>
      </c>
      <c r="DP70" s="13">
        <f t="shared" si="11"/>
        <v>0</v>
      </c>
      <c r="DQ70" s="9"/>
    </row>
    <row r="71" spans="1:121" ht="11.25" customHeight="1" thickBot="1">
      <c r="A71" s="15"/>
      <c r="B71" s="23"/>
      <c r="C71" s="2300" t="s">
        <v>214</v>
      </c>
      <c r="D71" s="2301"/>
      <c r="E71" s="2301"/>
      <c r="F71" s="2301"/>
      <c r="G71" s="2301"/>
      <c r="H71" s="2301"/>
      <c r="I71" s="2302"/>
      <c r="J71" s="2297">
        <f>[5]照差!$K$84</f>
        <v>0.5</v>
      </c>
      <c r="K71" s="2298"/>
      <c r="L71" s="2298"/>
      <c r="M71" s="2298"/>
      <c r="N71" s="2299" t="s">
        <v>230</v>
      </c>
      <c r="O71" s="2299"/>
      <c r="P71" s="2299"/>
      <c r="Q71" s="2299"/>
      <c r="R71" s="2299"/>
      <c r="S71" s="2299"/>
      <c r="T71" s="2299"/>
      <c r="U71" s="2299"/>
      <c r="V71" s="2366" t="str">
        <f>[5]照差!$W$84</f>
        <v>⑦</v>
      </c>
      <c r="W71" s="2366"/>
      <c r="X71" s="2366"/>
      <c r="Y71" s="2299" t="s">
        <v>135</v>
      </c>
      <c r="Z71" s="2299"/>
      <c r="AA71" s="2299"/>
      <c r="AB71" s="2299"/>
      <c r="AC71" s="2299"/>
      <c r="AD71" s="2299" t="s">
        <v>18</v>
      </c>
      <c r="AE71" s="2299"/>
      <c r="AF71" s="2299"/>
      <c r="AG71" s="2299"/>
      <c r="AH71" s="2299"/>
      <c r="AI71" s="2337" t="str">
        <f>IF($B$2=0,"",IF(AQ71="","非:天井ケーブル",AQ71))</f>
        <v>非:天井ケーブル</v>
      </c>
      <c r="AJ71" s="2337"/>
      <c r="AK71" s="2337"/>
      <c r="AL71" s="2337"/>
      <c r="AM71" s="2337"/>
      <c r="AN71" s="2337"/>
      <c r="AO71" s="2337"/>
      <c r="AP71" s="175" t="s">
        <v>103</v>
      </c>
      <c r="AQ71" s="2338"/>
      <c r="AR71" s="2338"/>
      <c r="AS71" s="2338"/>
      <c r="AT71" s="2338"/>
      <c r="AU71" s="2338"/>
      <c r="AV71" s="2338"/>
      <c r="AW71" s="2338"/>
      <c r="AX71" s="2299" t="s">
        <v>212</v>
      </c>
      <c r="AY71" s="2299"/>
      <c r="AZ71" s="2299"/>
      <c r="BA71" s="2299"/>
      <c r="BB71" s="2299"/>
      <c r="BC71" s="2337" t="str">
        <f>IF($B$2=0,"",IF(BK71="","誘:天井ケーブル",BK71))</f>
        <v>誘:天井ケーブル</v>
      </c>
      <c r="BD71" s="2337"/>
      <c r="BE71" s="2337"/>
      <c r="BF71" s="2337"/>
      <c r="BG71" s="2337"/>
      <c r="BH71" s="2337"/>
      <c r="BI71" s="2337"/>
      <c r="BJ71" s="175" t="s">
        <v>103</v>
      </c>
      <c r="BK71" s="2338"/>
      <c r="BL71" s="2338"/>
      <c r="BM71" s="2338"/>
      <c r="BN71" s="2338"/>
      <c r="BO71" s="2338"/>
      <c r="BP71" s="2338"/>
      <c r="BQ71" s="2338"/>
      <c r="BR71" s="2299"/>
      <c r="BS71" s="2299"/>
      <c r="BT71" s="2299"/>
      <c r="BU71" s="19"/>
      <c r="BV71" s="8">
        <v>83</v>
      </c>
      <c r="BW71" s="88" t="s">
        <v>229</v>
      </c>
      <c r="BX71" s="88" t="s">
        <v>228</v>
      </c>
      <c r="BY71" s="2336" t="s">
        <v>126</v>
      </c>
      <c r="BZ71" s="2336"/>
      <c r="CA71" s="2336"/>
      <c r="CB71" s="2336"/>
      <c r="CC71" s="2336" t="s">
        <v>125</v>
      </c>
      <c r="CD71" s="2336"/>
      <c r="CE71" s="2336"/>
      <c r="CF71" s="2336"/>
      <c r="CG71" s="2336" t="s">
        <v>124</v>
      </c>
      <c r="CH71" s="2336"/>
      <c r="CI71" s="2336"/>
      <c r="CJ71" s="2336"/>
      <c r="CK71" s="2336" t="s">
        <v>123</v>
      </c>
      <c r="CL71" s="2336"/>
      <c r="CM71" s="2336"/>
      <c r="CN71" s="2336"/>
      <c r="CO71" s="88" t="s">
        <v>227</v>
      </c>
      <c r="CP71" s="88" t="s">
        <v>226</v>
      </c>
      <c r="CQ71" s="88" t="s">
        <v>225</v>
      </c>
      <c r="CR71" s="88" t="s">
        <v>227</v>
      </c>
      <c r="CS71" s="88" t="s">
        <v>226</v>
      </c>
      <c r="CT71" s="221" t="s">
        <v>225</v>
      </c>
      <c r="CU71" s="264">
        <f>IF(BW72="","",SUM(CP72:CP75)+CS72+CS73)</f>
        <v>61.5</v>
      </c>
      <c r="CV71" s="264">
        <f>IF(BW72="","",SUM(CQ72:CQ75)+CT72+CT73)</f>
        <v>95.309234204481399</v>
      </c>
      <c r="CW71" s="216"/>
      <c r="CX71" s="8"/>
      <c r="CY71" s="197">
        <f t="shared" si="6"/>
        <v>3</v>
      </c>
      <c r="CZ71" s="197" t="str">
        <f t="shared" si="7"/>
        <v/>
      </c>
      <c r="DA71" s="10" t="str">
        <f>W57</f>
        <v>PF-S-16mm</v>
      </c>
      <c r="DB71" s="8"/>
      <c r="DC71" s="8"/>
      <c r="DD71" s="8"/>
      <c r="DE71" s="249" t="str">
        <f>IF(COUNTIF($DA$15:DA70,DA71)&gt;0,"",DA71)</f>
        <v/>
      </c>
      <c r="DF71" s="26">
        <f>AC57</f>
        <v>3.9</v>
      </c>
      <c r="DG71" s="32">
        <f t="shared" si="8"/>
        <v>0</v>
      </c>
      <c r="DH71" s="198">
        <f t="shared" si="9"/>
        <v>5</v>
      </c>
      <c r="DI71" s="199" t="str">
        <f t="shared" si="10"/>
        <v/>
      </c>
      <c r="DJ71" s="201" t="str">
        <f>BI56</f>
        <v>d4-30e</v>
      </c>
      <c r="DK71" s="10"/>
      <c r="DL71" s="10"/>
      <c r="DM71" s="8"/>
      <c r="DN71" s="249" t="str">
        <f>IF(COUNTIF($DJ$15:DJ70,DJ71)&gt;0,"",DJ71)</f>
        <v/>
      </c>
      <c r="DO71" s="200">
        <f>BN56</f>
        <v>8</v>
      </c>
      <c r="DP71" s="32">
        <f t="shared" si="11"/>
        <v>0</v>
      </c>
      <c r="DQ71" s="8"/>
    </row>
    <row r="72" spans="1:121" ht="11.25" customHeight="1">
      <c r="A72" s="15"/>
      <c r="B72" s="23"/>
      <c r="C72" s="2367" t="str">
        <f>[5]照差!$C$85</f>
        <v xml:space="preserve">  8F</v>
      </c>
      <c r="D72" s="2368"/>
      <c r="E72" s="2369"/>
      <c r="F72" s="2370">
        <f>[5]照差!$G$85</f>
        <v>4</v>
      </c>
      <c r="G72" s="2371"/>
      <c r="H72" s="2371"/>
      <c r="I72" s="2372"/>
      <c r="J72" s="2370">
        <f>[5]照差!$J$85</f>
        <v>3</v>
      </c>
      <c r="K72" s="2373"/>
      <c r="L72" s="2373"/>
      <c r="M72" s="2374"/>
      <c r="N72" s="2330">
        <f>[5]照差!$M$85</f>
        <v>1152</v>
      </c>
      <c r="O72" s="2331"/>
      <c r="P72" s="2331"/>
      <c r="Q72" s="2331"/>
      <c r="R72" s="2332"/>
      <c r="S72" s="2330">
        <f>[5]照差!$Q$85</f>
        <v>806.4</v>
      </c>
      <c r="T72" s="2331"/>
      <c r="U72" s="2331"/>
      <c r="V72" s="2332"/>
      <c r="W72" s="2330">
        <f>[5]照差!$U$85</f>
        <v>345.6</v>
      </c>
      <c r="X72" s="2331"/>
      <c r="Y72" s="2331"/>
      <c r="Z72" s="2332"/>
      <c r="AA72" s="2340">
        <f>[5]照差!$Y$85</f>
        <v>3</v>
      </c>
      <c r="AB72" s="2341"/>
      <c r="AC72" s="2342"/>
      <c r="AD72" s="2343">
        <f>[5]照差!$AB$85</f>
        <v>9</v>
      </c>
      <c r="AE72" s="2344"/>
      <c r="AF72" s="2345"/>
      <c r="AG72" s="2346">
        <f>IF(OR(C72="",C72="  RF"),"",2+INT(N72/1000))</f>
        <v>3</v>
      </c>
      <c r="AH72" s="2346"/>
      <c r="AI72" s="2346"/>
      <c r="AJ72" s="2346"/>
      <c r="AK72" s="2346"/>
      <c r="AL72" s="2346">
        <f>IF(OR(C72="",C72="  RF"),"",1+INT(N72/500))</f>
        <v>3</v>
      </c>
      <c r="AM72" s="2346"/>
      <c r="AN72" s="2346"/>
      <c r="AO72" s="2346"/>
      <c r="AP72" s="2346"/>
      <c r="AQ72" s="2347" t="str">
        <f>IF(OR(C72="",AL70="設置しない"),"",IF(OR(AND(LEFT($C$18,2)=" B",[6]Top!$U$72&lt;&gt;""),AND(LEFT($C$18,3)="  1",[6]Top!$U$73&lt;&gt;""),AND(LEFT($C$18,3)="  2",[6]Top!$U$75&lt;&gt;""),AND(LEFT($C$18,3)="  3",[6]Top!$U$77&lt;&gt;""),[6]Top!$U$79&lt;&gt;"",[6]Top!$U$81&lt;&gt;""),"Xh1-Ae",IF(OR(AND(LEFT($C$18,2)=" B",[6]Top!$U$72="BL"),AND(LEFT($C$18,3)="  1",[6]Top!$U$73="BL"),AND(LEFT($C$18,3)="  2",[6]Top!$U$75="BL"),AND(LEFT($C$18,3)="  3",[6]Top!$U$77="BL"),[6]Top!$U$79="BL",[6]Top!$U$81="BL"),"Xh1-BLe","")))</f>
        <v>Xh1-Ae</v>
      </c>
      <c r="AR72" s="2348"/>
      <c r="AS72" s="2348"/>
      <c r="AT72" s="2348"/>
      <c r="AU72" s="2348"/>
      <c r="AV72" s="2348"/>
      <c r="AW72" s="2348"/>
      <c r="AX72" s="2348"/>
      <c r="AY72" s="2349"/>
      <c r="AZ72" s="2353">
        <f>IF(OR(N72="",AQ72=""),"",IF(BC72&lt;&gt;"",BC72,1+INT(N72/500)))</f>
        <v>3</v>
      </c>
      <c r="BA72" s="2354"/>
      <c r="BB72" s="2355"/>
      <c r="BC72" s="2305"/>
      <c r="BD72" s="2305"/>
      <c r="BE72" s="2305"/>
      <c r="BF72" s="2281" t="str">
        <f>IF(C72="","",IF(OR(AND(LEFT(C72,2)=" B",[6]Top!$AD$72="要"),AND(LEFT(C72,3)="  1",[6]Top!$AD$73="要"),AND(LEFT(C72,3)="  2",[6]Top!$AD$75="要"),AND(LEFT(C72,3)="  3",[6]Top!$AD$77="要"),[6]Top!$AD$79="C",[6]Top!$AD$81="要"),"Ya1-Ce",""))</f>
        <v>Ya1-Ce</v>
      </c>
      <c r="BG72" s="2281"/>
      <c r="BH72" s="2281"/>
      <c r="BI72" s="2281"/>
      <c r="BJ72" s="2281"/>
      <c r="BK72" s="2281"/>
      <c r="BL72" s="2281"/>
      <c r="BM72" s="2281"/>
      <c r="BN72" s="2281"/>
      <c r="BO72" s="2304">
        <f>IF(OR(C72="",C72="  RF"),"",IF(BR72&lt;&gt;"",BR72,1+INT((BW72+BX72)/20)))</f>
        <v>2</v>
      </c>
      <c r="BP72" s="2304"/>
      <c r="BQ72" s="2304"/>
      <c r="BR72" s="2339"/>
      <c r="BS72" s="2339"/>
      <c r="BT72" s="2339"/>
      <c r="BU72" s="19"/>
      <c r="BV72" s="8">
        <v>10</v>
      </c>
      <c r="BW72" s="98">
        <f>IF(OR(C72="",C72="  RF"),0,SQRT(N72*J71)/2)</f>
        <v>12</v>
      </c>
      <c r="BX72" s="98">
        <f>IF(OR(C72="",C72="  RF"),0,SQRT(N72/J71)/2)</f>
        <v>24</v>
      </c>
      <c r="BY72" s="88" t="s">
        <v>204</v>
      </c>
      <c r="BZ72" s="92">
        <f>IF(OR($BW$10=0,AL70="設置しない",C72="  RF",C72=""),0,IF(LEFT(C72,2)&lt;&gt;"PH",AG72*BW73/2,BW73))</f>
        <v>40.5</v>
      </c>
      <c r="CA72" s="88" t="s">
        <v>205</v>
      </c>
      <c r="CB72" s="88">
        <f>IF(OR($BW$10=0,AL70="設置しない",C72="  RF",C72=""),0,IF(LEFT(C72,2)="PH",0,(BN74-1)*SQRT(S72/BN74)))</f>
        <v>70.279442228862351</v>
      </c>
      <c r="CC72" s="88" t="s">
        <v>204</v>
      </c>
      <c r="CD72" s="262">
        <f>IF(OR($BW$10=0,AL70="設置しない",F72=0),0,AG72*(F72-0.1-($Y$7-$AN$8)/1000))</f>
        <v>13.799999999999999</v>
      </c>
      <c r="CE72" s="88" t="s">
        <v>205</v>
      </c>
      <c r="CF72" s="88">
        <f>IF(OR($BW$10=0,AL70="設置しない",LEFT(C72,2)="PH",C72="  RF",C72=""),0,(2*BN74-1)*$AN$7/1000)</f>
        <v>12</v>
      </c>
      <c r="CG72" s="88" t="s">
        <v>204</v>
      </c>
      <c r="CH72" s="92">
        <f>IF(OR($BW$10=0,AL70="設置しない",AI71="非:天井ケーブル"),0,BZ72)</f>
        <v>0</v>
      </c>
      <c r="CI72" s="88" t="s">
        <v>205</v>
      </c>
      <c r="CJ72" s="88">
        <f>IF(OR($BW$10=0,AL70="設置しない",AI71="非:天井ケーブル"),0,CB72)</f>
        <v>0</v>
      </c>
      <c r="CK72" s="88" t="s">
        <v>204</v>
      </c>
      <c r="CL72" s="92">
        <f>IF(OR($BW$10=0,AL70="設置しない",C72="  RF",C72=""),0,IF(J72="直天",AG72*(F72-$Y$7/1000),AG72*(J72+0.1-$Y$7/1000)))</f>
        <v>3.9000000000000004</v>
      </c>
      <c r="CM72" s="220"/>
      <c r="CN72" s="219"/>
      <c r="CO72" s="134">
        <f>IF(AZ72="",0,VLOOKUP(AQ72,[7]建物1802!$E$5:$AL$3275,33,FALSE)*AZ72)</f>
        <v>56.94</v>
      </c>
      <c r="CP72" s="136">
        <f>IF(AZ72="",0,VLOOKUP(AQ72,[7]建物1802!$E$5:$AL$3275,30,FALSE)*AZ72)</f>
        <v>31.5</v>
      </c>
      <c r="CQ72" s="136">
        <f>IF(CO72="","",SQRT(CO72^2-CP72^2))</f>
        <v>47.433254157816329</v>
      </c>
      <c r="CR72" s="189">
        <f>IF(BO72="",0,VLOOKUP(BF72,[7]建物1802!$E$5:$AL$3275,33,FALSE)*BO72)</f>
        <v>8</v>
      </c>
      <c r="CS72" s="189">
        <f>IF(BO72="",0,VLOOKUP(BF72,[7]建物1802!$E$5:$AL$3275,30,FALSE)*BO72)</f>
        <v>3.8</v>
      </c>
      <c r="CT72" s="259">
        <f>IF(CR72="",0,SQRT(CR72^2-CS72^2))</f>
        <v>7.0398863627192165</v>
      </c>
      <c r="CU72" s="14"/>
      <c r="CV72" s="14"/>
      <c r="CW72" s="216"/>
      <c r="CX72" s="88">
        <v>8</v>
      </c>
      <c r="CY72" s="204">
        <f t="shared" si="6"/>
        <v>3</v>
      </c>
      <c r="CZ72" s="155" t="str">
        <f t="shared" si="7"/>
        <v/>
      </c>
      <c r="DA72" s="154" t="str">
        <f>AG57</f>
        <v>PF-S-16mm</v>
      </c>
      <c r="DB72" s="45"/>
      <c r="DC72" s="45"/>
      <c r="DD72" s="45"/>
      <c r="DE72" s="153" t="str">
        <f>IF(COUNTIF($DA$15:DA71,DA72)&gt;0,"",DA72)</f>
        <v/>
      </c>
      <c r="DF72" s="152">
        <f>AM57</f>
        <v>19.5</v>
      </c>
      <c r="DG72" s="32">
        <f t="shared" si="8"/>
        <v>0</v>
      </c>
      <c r="DH72" s="124">
        <f t="shared" si="9"/>
        <v>5</v>
      </c>
      <c r="DI72" s="149" t="str">
        <f t="shared" si="10"/>
        <v/>
      </c>
      <c r="DJ72" s="210" t="str">
        <f>BI57</f>
        <v>d4-13e</v>
      </c>
      <c r="DK72" s="154"/>
      <c r="DL72" s="154"/>
      <c r="DM72" s="45"/>
      <c r="DN72" s="45" t="str">
        <f>IF(COUNTIF($DJ$15:DJ71,DJ72)&gt;0,"",DJ72)</f>
        <v/>
      </c>
      <c r="DO72" s="209">
        <f>BN57</f>
        <v>10</v>
      </c>
      <c r="DP72" s="169">
        <f t="shared" si="11"/>
        <v>0</v>
      </c>
      <c r="DQ72" s="88">
        <v>8</v>
      </c>
    </row>
    <row r="73" spans="1:121" ht="11.25" customHeight="1">
      <c r="A73" s="15">
        <v>10</v>
      </c>
      <c r="B73" s="227"/>
      <c r="C73" s="2378" t="str">
        <f>IF(C72="","",IF(K73="","VV-F 2.0mm-2C",K73))</f>
        <v>VV-F 2.0mm-2C</v>
      </c>
      <c r="D73" s="2379"/>
      <c r="E73" s="2379"/>
      <c r="F73" s="2379"/>
      <c r="G73" s="2379"/>
      <c r="H73" s="2379"/>
      <c r="I73" s="2379"/>
      <c r="J73" s="2380"/>
      <c r="K73" s="2313"/>
      <c r="L73" s="2314"/>
      <c r="M73" s="2314"/>
      <c r="N73" s="2314"/>
      <c r="O73" s="2314"/>
      <c r="P73" s="2314"/>
      <c r="Q73" s="2314"/>
      <c r="R73" s="2315"/>
      <c r="S73" s="2312">
        <f>IF(OR(C72="",AL70="設置しない",BH70="設置しない"),"",ROUND((BZ72+CD72),1))</f>
        <v>54.3</v>
      </c>
      <c r="T73" s="2312"/>
      <c r="U73" s="2312"/>
      <c r="V73" s="2312"/>
      <c r="W73" s="2306" t="str">
        <f>IF(C72="","",IF(AE73="","VV-F 2.0mm-2C",AE73))</f>
        <v>VV-F 2.0mm-2C</v>
      </c>
      <c r="X73" s="2307"/>
      <c r="Y73" s="2307"/>
      <c r="Z73" s="2307"/>
      <c r="AA73" s="2307"/>
      <c r="AB73" s="2307"/>
      <c r="AC73" s="2307"/>
      <c r="AD73" s="2308"/>
      <c r="AE73" s="2313"/>
      <c r="AF73" s="2314"/>
      <c r="AG73" s="2314"/>
      <c r="AH73" s="2314"/>
      <c r="AI73" s="2314"/>
      <c r="AJ73" s="2314"/>
      <c r="AK73" s="2314"/>
      <c r="AL73" s="2315"/>
      <c r="AM73" s="2312">
        <f>IF(OR(C72="",,AL70="設置しない",BH70="設置しない"),"",ROUND(BZ75,1))</f>
        <v>33.9</v>
      </c>
      <c r="AN73" s="2312"/>
      <c r="AO73" s="2312"/>
      <c r="AP73" s="2312"/>
      <c r="AQ73" s="2347" t="str">
        <f>IF(OR(C72="",AL70="設置しない"),"",IF(OR(AND(LEFT($C$18,2)=" B",[6]Top!$U$72&lt;&gt;""),AND(LEFT($C$18,3)="  1",[6]Top!$U$73&lt;&gt;""),AND(LEFT($C$18,3)="  2",[6]Top!$U$75&lt;&gt;""),AND(LEFT($C$18,3)="  3",[6]Top!$U$77&lt;&gt;""),[6]Top!$U$79&lt;&gt;"",[6]Top!$U$81&lt;&gt;""),"Xh1-Ae",IF(OR(AND(LEFT($C$18,2)=" B",[6]Top!$U$72="BL"),AND(LEFT($C$18,3)="  1",[6]Top!$U$73="BL"),AND(LEFT($C$18,3)="  2",[6]Top!$U$75="BL"),AND(LEFT($C$18,3)="  3",[6]Top!$U$77="BL"),[6]Top!$U$79="BL",[6]Top!$U$81="BL"),"Xh1-BLe","")))</f>
        <v>Xh1-Ae</v>
      </c>
      <c r="AR73" s="2348"/>
      <c r="AS73" s="2348"/>
      <c r="AT73" s="2348"/>
      <c r="AU73" s="2348"/>
      <c r="AV73" s="2348"/>
      <c r="AW73" s="2348"/>
      <c r="AX73" s="2348"/>
      <c r="AY73" s="2349"/>
      <c r="AZ73" s="2304">
        <f>IF(AA72="","",IF(BC73&lt;&gt;"",BC73,IF(AQ73&lt;&gt;"",1+INT(AA72/3),"")))</f>
        <v>2</v>
      </c>
      <c r="BA73" s="2304"/>
      <c r="BB73" s="2304"/>
      <c r="BC73" s="2305"/>
      <c r="BD73" s="2305"/>
      <c r="BE73" s="2305"/>
      <c r="BF73" s="2281" t="str">
        <f>IF(C72="","",IF(OR(AND(LEFT(C72,2)=" B",[6]Top!$AF$72="要"),AND(LEFT(C72,3)="  1",[6]Top!$AF$73="要"),AND(LEFT(C72,3)="  2",[6]Top!$AF$75="要"),AND(LEFT(C72,3)="  3",[6]Top!$AF$77="要"),[6]Top!$AF$79="要",[6]Top!$AF$81="要"),"D15V-321PXe",""))</f>
        <v/>
      </c>
      <c r="BG73" s="2281"/>
      <c r="BH73" s="2281"/>
      <c r="BI73" s="2282"/>
      <c r="BJ73" s="2282"/>
      <c r="BK73" s="2282"/>
      <c r="BL73" s="2282"/>
      <c r="BM73" s="2282"/>
      <c r="BN73" s="2282"/>
      <c r="BO73" s="2283" t="str">
        <f>IF(OR(C72="",C72="  RF",BF73=""),"",IF(BR73&lt;&gt;"",BR73,2*(1+INT(N72/500))))</f>
        <v/>
      </c>
      <c r="BP73" s="2283"/>
      <c r="BQ73" s="2283"/>
      <c r="BR73" s="2303"/>
      <c r="BS73" s="2303"/>
      <c r="BT73" s="2303"/>
      <c r="BU73" s="19"/>
      <c r="BV73" s="46" t="str">
        <f>V71</f>
        <v>⑦</v>
      </c>
      <c r="BW73" s="263">
        <f>IF(C72="","",IF(BV73="①",BW72+BX72+3,IF(BV73="②",BW72*5/8+BX72+3,IF(BV73="③",BW72/2+BX72+3,IF(BV73="④",BW72+BX72*5/8+3,IF(BV73="⑤",(BW72+BX72)*5/8+3,IF(BV73="⑥",BW72/2+BX72*5/8+3,IF(BV73="⑦",BW72+BX72/2+3,IF(BV73="⑧",BW72*5/8+BX72/2+3,IF(BV73="⑨",(BW72+BX72)/2+3))))))))))</f>
        <v>27</v>
      </c>
      <c r="BX73" s="8"/>
      <c r="BY73" s="88" t="s">
        <v>202</v>
      </c>
      <c r="BZ73" s="92">
        <f>IF(OR($BW$10=0,BH70="設置しない",C72="  RF",C72=""),0,IF(LEFT(C72,2)&lt;&gt;"PH",AL72*BW73/2,BW73))</f>
        <v>40.5</v>
      </c>
      <c r="CA73" s="88" t="s">
        <v>203</v>
      </c>
      <c r="CB73" s="88">
        <f>IF(OR($BW$10=0,AY70="設置しない",BN75=""),0,(BN75-1)*SQRT(W72/BN75))</f>
        <v>52.908978444116649</v>
      </c>
      <c r="CC73" s="88" t="s">
        <v>202</v>
      </c>
      <c r="CD73" s="262">
        <f>IF(OR($BW$10=0,BH70="設置しない",F72=0),0,AG72*(F72-0.1-($AN$8-$Y$7)/1000))</f>
        <v>9.6000000000000014</v>
      </c>
      <c r="CE73" s="88" t="s">
        <v>203</v>
      </c>
      <c r="CF73" s="88">
        <f>IF(OR($BW$10=0,BH70="設置しない",BN75=""),0,(2*BN75-1)*$AN$7/1000)</f>
        <v>15.2</v>
      </c>
      <c r="CG73" s="88" t="s">
        <v>202</v>
      </c>
      <c r="CH73" s="92">
        <f>IF(OR($BW$10=0,BH70="設置しない",AI71="非:天井ケーブル"),0,BZ73)</f>
        <v>0</v>
      </c>
      <c r="CI73" s="88" t="s">
        <v>203</v>
      </c>
      <c r="CJ73" s="88">
        <f>IF(OR($BW$10=0,BH70="設置しない",AI71="非:天井ケーブル"),0,CB73)</f>
        <v>0</v>
      </c>
      <c r="CK73" s="88" t="s">
        <v>202</v>
      </c>
      <c r="CL73" s="92">
        <f>IF(OR($BW$10=0,BH70="設置しない",C72="  RF",C72=""),0,IF(J72="直天",AG72*(F72-$Y$7/1000),AG72*(J72+0.1-$Y$7/1000)))</f>
        <v>3.9000000000000004</v>
      </c>
      <c r="CM73" s="141"/>
      <c r="CN73" s="142"/>
      <c r="CO73" s="136">
        <f>IF(AZ73="",0,(VLOOKUP(AQ73,[7]建物1802!$E$5:$AL$3275,33,FALSE))*AZ73)</f>
        <v>37.96</v>
      </c>
      <c r="CP73" s="136">
        <f>IF(AZ73="",0,VLOOKUP(AQ73,[7]建物1802!$E$5:$AL$3275,30,FALSE)*AZ73)</f>
        <v>21</v>
      </c>
      <c r="CQ73" s="136">
        <f>IF(CO73="","",SQRT(CO73^2-CP73^2))</f>
        <v>31.622169438544219</v>
      </c>
      <c r="CR73" s="189">
        <f>IF(BO73="",0,VLOOKUP(BF73,[7]建物1802!$E$5:$AL$3275,33,FALSE)*BO73)</f>
        <v>0</v>
      </c>
      <c r="CS73" s="189">
        <f>IF(BO73="",0,VLOOKUP(BF73,[7]建物1802!$E$5:$AL$3275,30,FALSE)*BO73)</f>
        <v>0</v>
      </c>
      <c r="CT73" s="259">
        <f>IF(CR73="",0,SQRT(CR73^2-CS73^2))</f>
        <v>0</v>
      </c>
      <c r="CU73" s="14"/>
      <c r="CV73" s="14"/>
      <c r="CW73" s="216"/>
      <c r="CX73" s="8"/>
      <c r="CY73" s="197">
        <f t="shared" si="6"/>
        <v>3</v>
      </c>
      <c r="CZ73" s="197" t="str">
        <f t="shared" si="7"/>
        <v/>
      </c>
      <c r="DA73" s="10" t="str">
        <f>C61</f>
        <v>VV-F 2.0mm-2C</v>
      </c>
      <c r="DB73" s="8"/>
      <c r="DC73" s="8"/>
      <c r="DD73" s="8"/>
      <c r="DE73" s="249" t="str">
        <f>IF(COUNTIF($DA$15:DA72,DA73)&gt;0,"",DA73)</f>
        <v/>
      </c>
      <c r="DF73" s="26">
        <f>S61</f>
        <v>54.3</v>
      </c>
      <c r="DG73" s="32">
        <f t="shared" si="8"/>
        <v>0</v>
      </c>
      <c r="DH73" s="198">
        <f t="shared" si="9"/>
        <v>5</v>
      </c>
      <c r="DI73" s="199" t="str">
        <f t="shared" si="10"/>
        <v/>
      </c>
      <c r="DJ73" s="10" t="str">
        <f>AQ60</f>
        <v>Xh1-Ae</v>
      </c>
      <c r="DK73" s="10"/>
      <c r="DL73" s="10"/>
      <c r="DM73" s="8"/>
      <c r="DN73" s="249" t="str">
        <f>IF(COUNTIF($DJ$15:DJ72,DJ73)&gt;0,"",DJ73)</f>
        <v/>
      </c>
      <c r="DO73" s="200">
        <f>AZ60</f>
        <v>3</v>
      </c>
      <c r="DP73" s="32">
        <f t="shared" si="11"/>
        <v>0</v>
      </c>
      <c r="DQ73" s="8"/>
    </row>
    <row r="74" spans="1:121" ht="11.25" customHeight="1">
      <c r="A74" s="15"/>
      <c r="B74" s="23"/>
      <c r="C74" s="2378" t="str">
        <f>IF(C72="","",IF(K74="","VV-F 1.6mm-2C",K74))</f>
        <v>VV-F 1.6mm-2C</v>
      </c>
      <c r="D74" s="2379"/>
      <c r="E74" s="2379"/>
      <c r="F74" s="2379"/>
      <c r="G74" s="2379"/>
      <c r="H74" s="2379"/>
      <c r="I74" s="2379"/>
      <c r="J74" s="2380"/>
      <c r="K74" s="2313"/>
      <c r="L74" s="2314"/>
      <c r="M74" s="2314"/>
      <c r="N74" s="2314"/>
      <c r="O74" s="2314"/>
      <c r="P74" s="2314"/>
      <c r="Q74" s="2314"/>
      <c r="R74" s="2315"/>
      <c r="S74" s="2312">
        <f>IF(OR(C72="",C72="  RF"),"",INT(CB72+CB73+CF72+CF73+CD74))</f>
        <v>312</v>
      </c>
      <c r="T74" s="2312"/>
      <c r="U74" s="2312"/>
      <c r="V74" s="2312"/>
      <c r="W74" s="2306" t="str">
        <f>IF(C72="","",IF(AE74="","VV-F 1.6mm-2C",AE74))</f>
        <v>VV-F 1.6mm-2C</v>
      </c>
      <c r="X74" s="2307"/>
      <c r="Y74" s="2307"/>
      <c r="Z74" s="2307"/>
      <c r="AA74" s="2307"/>
      <c r="AB74" s="2307"/>
      <c r="AC74" s="2307"/>
      <c r="AD74" s="2308"/>
      <c r="AE74" s="2313"/>
      <c r="AF74" s="2314"/>
      <c r="AG74" s="2314"/>
      <c r="AH74" s="2314"/>
      <c r="AI74" s="2314"/>
      <c r="AJ74" s="2314"/>
      <c r="AK74" s="2314"/>
      <c r="AL74" s="2315"/>
      <c r="AM74" s="2306">
        <f>IF(OR(C72="",C72="  RF"),"",INT(CB75+CD74))</f>
        <v>243</v>
      </c>
      <c r="AN74" s="2307"/>
      <c r="AO74" s="2307"/>
      <c r="AP74" s="2308"/>
      <c r="AQ74" s="2309" t="str">
        <f>IF(OR(C72="",S72=""),"",IF(OR(AND(LEFT(C72,2)=" B",[8]非誘!$W$72="C"),AND(LEFT(C72,3)="  1",[8]非誘!$W$74="C"),AND(LEFT(C72,3)="  2",[8]非誘!$W$76="C"),AND(LEFT(C72,3)="  3",[8]非誘!$W$78="C"),[8]非誘!$W$80="C",[8]非誘!$W$81="C"),"Yd2-BHe",""))</f>
        <v/>
      </c>
      <c r="AR74" s="2310"/>
      <c r="AS74" s="2310"/>
      <c r="AT74" s="2310"/>
      <c r="AU74" s="2310"/>
      <c r="AV74" s="2310"/>
      <c r="AW74" s="2310"/>
      <c r="AX74" s="2310"/>
      <c r="AY74" s="2311"/>
      <c r="AZ74" s="2304" t="str">
        <f>IF(AQ74="","",IF(OR(C72="",C72="  RF"),"",IF(BC74&lt;&gt;"",BC74,AA72)))</f>
        <v/>
      </c>
      <c r="BA74" s="2304"/>
      <c r="BB74" s="2304"/>
      <c r="BC74" s="2305"/>
      <c r="BD74" s="2305"/>
      <c r="BE74" s="2305"/>
      <c r="BF74" s="2316" t="s">
        <v>10</v>
      </c>
      <c r="BG74" s="2317"/>
      <c r="BH74" s="2318"/>
      <c r="BI74" s="2319" t="str">
        <f>IF(OR($BW$10=0,AL70="設置しない",C72="",C72="  RF"),"",IF(OR(AND(LEFT(C72,2)=" B",[6]Top!$O$72="要"),AND(LEFT(C72,3)="  1",[6]Top!$O$74="要"),AND(LEFT(C72,3)="  2",[6]Top!$O$76="要"),AND(LEFT(C72,3)="  3",[6]Top!$O$78="要"),[6]Top!$O$80="要",[6]Top!$O$81="要",$Y$9="設置する"),"d4-30e",""))</f>
        <v>d4-30e</v>
      </c>
      <c r="BJ74" s="2320"/>
      <c r="BK74" s="2320"/>
      <c r="BL74" s="2320"/>
      <c r="BM74" s="2321"/>
      <c r="BN74" s="2319">
        <f>IF(OR($BW$10=0,AL70="設置しない",C72="",C72="  RF"),"",IF(LEFT(C72,2)="PH","",IF(BR74&lt;&gt;"",BR74,IF((1+INT(S72/110))&lt;=AA72,AA72,1+INT(S72/110)))))</f>
        <v>8</v>
      </c>
      <c r="BO74" s="2320"/>
      <c r="BP74" s="2321"/>
      <c r="BQ74" s="31" t="s">
        <v>103</v>
      </c>
      <c r="BR74" s="2322"/>
      <c r="BS74" s="2323"/>
      <c r="BT74" s="2324"/>
      <c r="BU74" s="19"/>
      <c r="BV74" s="226"/>
      <c r="BW74" s="196"/>
      <c r="BX74" s="8"/>
      <c r="BY74" s="88" t="s">
        <v>200</v>
      </c>
      <c r="BZ74" s="222">
        <f>SUM(AZ72:BB75)+SUM(BO72:BQ75)</f>
        <v>9</v>
      </c>
      <c r="CA74" s="8"/>
      <c r="CB74" s="8"/>
      <c r="CC74" s="88" t="s">
        <v>121</v>
      </c>
      <c r="CD74" s="88">
        <f>IF($AW$8=0,0,2*($AW$8/1000-0.15-0.1)*(INT(1000*2*BW72/$AW$10)+1)*(INT(1000*2*BX72/$AW$10)+1)*4)</f>
        <v>162</v>
      </c>
      <c r="CE74" s="8"/>
      <c r="CF74" s="8"/>
      <c r="CG74" s="168"/>
      <c r="CH74" s="261"/>
      <c r="CI74" s="8"/>
      <c r="CJ74" s="8"/>
      <c r="CK74" s="168"/>
      <c r="CL74" s="261"/>
      <c r="CM74" s="8"/>
      <c r="CN74" s="8"/>
      <c r="CO74" s="136">
        <f>IF(AZ74="",0,VLOOKUP(AQ74,[7]建物1802!$E$5:$AL$3275,33,FALSE)*AZ74)</f>
        <v>0</v>
      </c>
      <c r="CP74" s="136">
        <f>IF(AZ74="",0,VLOOKUP(AQ74,[7]建物1802!$E$5:$AL$3275,30,FALSE)*AZ74)</f>
        <v>0</v>
      </c>
      <c r="CQ74" s="136">
        <f>IF(CO74="","",SQRT(CO74^2-CP74^2))</f>
        <v>0</v>
      </c>
      <c r="CR74" s="260"/>
      <c r="CS74" s="14"/>
      <c r="CT74" s="14"/>
      <c r="CU74" s="14"/>
      <c r="CV74" s="14"/>
      <c r="CW74" s="216"/>
      <c r="CX74" s="8"/>
      <c r="CY74" s="197">
        <f t="shared" si="6"/>
        <v>3</v>
      </c>
      <c r="CZ74" s="197" t="str">
        <f t="shared" si="7"/>
        <v/>
      </c>
      <c r="DA74" s="10" t="str">
        <f>W61</f>
        <v>VV-F 2.0mm-2C</v>
      </c>
      <c r="DB74" s="8"/>
      <c r="DC74" s="8"/>
      <c r="DD74" s="8"/>
      <c r="DE74" s="249" t="str">
        <f>IF(COUNTIF($DA$15:DA73,DA74)&gt;0,"",DA74)</f>
        <v/>
      </c>
      <c r="DF74" s="26">
        <f>AM61</f>
        <v>33.9</v>
      </c>
      <c r="DG74" s="32">
        <f t="shared" si="8"/>
        <v>0</v>
      </c>
      <c r="DH74" s="198">
        <f t="shared" si="9"/>
        <v>5</v>
      </c>
      <c r="DI74" s="198" t="str">
        <f t="shared" si="10"/>
        <v/>
      </c>
      <c r="DJ74" s="10" t="str">
        <f>AQ61</f>
        <v>Xh1-Ae</v>
      </c>
      <c r="DK74" s="10"/>
      <c r="DL74" s="10"/>
      <c r="DM74" s="8"/>
      <c r="DN74" s="8" t="str">
        <f>IF(COUNTIF($DJ$15:DJ73,DJ74)&gt;0,"",DJ74)</f>
        <v/>
      </c>
      <c r="DO74" s="200">
        <f>AZ61</f>
        <v>2</v>
      </c>
      <c r="DP74" s="32">
        <f t="shared" si="11"/>
        <v>0</v>
      </c>
      <c r="DQ74" s="8"/>
    </row>
    <row r="75" spans="1:121" ht="11.25" customHeight="1" thickBot="1">
      <c r="A75" s="15"/>
      <c r="B75" s="23"/>
      <c r="C75" s="2359" t="str">
        <f>IF(C72="","",IF(I75="","",IF(AI71="非:天井(C管)","C-19mm",IF(AI71="非:天井(G管)","G- 16mm","PF-S-16mm"))))</f>
        <v/>
      </c>
      <c r="D75" s="2360"/>
      <c r="E75" s="2360"/>
      <c r="F75" s="2360"/>
      <c r="G75" s="2360"/>
      <c r="H75" s="2360"/>
      <c r="I75" s="2335" t="str">
        <f>IF(OR(C72="",AL70="設置しない",BH70="設置しない",$BW$10=0,CH72=0,CJ72=0),"",IF(J72="直天",ROUND((BZ72+CB72),1),ROUND((CH72+CJ72),1)))</f>
        <v/>
      </c>
      <c r="J75" s="2335"/>
      <c r="K75" s="2335"/>
      <c r="L75" s="2335"/>
      <c r="M75" s="2359" t="str">
        <f>IF(C72="","",IF(S75="","",IF(BC71="誘:天井(C管)","C-19mm",IF(BC71="誘:天井(G管)","G- 16mm","PF-S-16mm"))))</f>
        <v/>
      </c>
      <c r="N75" s="2360"/>
      <c r="O75" s="2360"/>
      <c r="P75" s="2360"/>
      <c r="Q75" s="2360"/>
      <c r="R75" s="2361"/>
      <c r="S75" s="2312" t="str">
        <f>IF(OR(C72="",,AL70="設置しない",BH70="設置しない",$BW$10=0,CH75=0,CJ75=0),"",IF(J72="直天",ROUND((BZ75+CB75),1),ROUND((CH75+CJ75),1)))</f>
        <v/>
      </c>
      <c r="T75" s="2312"/>
      <c r="U75" s="2312"/>
      <c r="V75" s="2312"/>
      <c r="W75" s="2359" t="str">
        <f>IF(C72="","",IF($B$2=0,"",IF(OR(AI71="非:天井(C管)",AI71="非:床(C管)"),"C-19mm",IF(OR(AI71="非:天井(G管)",AI71="非:床(G管)"),"G-16mm",IF(AI71="非:床(CD管)","CD-16mm","PF-S-16mm")))))</f>
        <v>PF-S-16mm</v>
      </c>
      <c r="X75" s="2360"/>
      <c r="Y75" s="2360"/>
      <c r="Z75" s="2360"/>
      <c r="AA75" s="2360"/>
      <c r="AB75" s="2361"/>
      <c r="AC75" s="2362">
        <f>IF(OR(C72="",AL70="設置しない",BH70="設置しない"),"",ROUND(CL72,1))</f>
        <v>3.9</v>
      </c>
      <c r="AD75" s="2312"/>
      <c r="AE75" s="2312"/>
      <c r="AF75" s="2312"/>
      <c r="AG75" s="2333" t="str">
        <f>IF(C72="","",IF($B$2=0,"",IF(BC71="誘:天井(C管)","C-19mm",IF(BC71="誘:天井(G管)","G-16mm","PF-S-16mm"))))</f>
        <v>PF-S-16mm</v>
      </c>
      <c r="AH75" s="2333"/>
      <c r="AI75" s="2333"/>
      <c r="AJ75" s="2333"/>
      <c r="AK75" s="2333"/>
      <c r="AL75" s="2333"/>
      <c r="AM75" s="2334">
        <f>IF(OR(C72="",AL70="設置しない",BH70="設置しない"),"",ROUND((CL75+CN75),1))</f>
        <v>19.5</v>
      </c>
      <c r="AN75" s="2335"/>
      <c r="AO75" s="2335"/>
      <c r="AP75" s="2335"/>
      <c r="AQ75" s="2291" t="str">
        <f>IF(C72="","",IF(OR(AND(LEFT(C72,2)=" B",[6]Top!$AA$72="C"),AND(LEFT(C72,3)="  1",[6]Top!$AA$73="C"),AND(LEFT(C72,3)="  2",[6]Top!$AA$75="C"),AND(LEFT(C72,3)="  3",[6]Top!$AA$77="C"),[6]Top!$AA$79="C",[6]Top!$AA$81="C"),"Yd2-Ce",""))</f>
        <v>Yd2-Ce</v>
      </c>
      <c r="AR75" s="2292"/>
      <c r="AS75" s="2292"/>
      <c r="AT75" s="2292"/>
      <c r="AU75" s="2292"/>
      <c r="AV75" s="2292"/>
      <c r="AW75" s="2292"/>
      <c r="AX75" s="2292"/>
      <c r="AY75" s="2293"/>
      <c r="AZ75" s="2294">
        <f>IF(OR(C72="",C72="  RF",AQ75=""),"",IF(BC75&lt;&gt;"",BC75,1+INT((BW72+BX72)/20)))</f>
        <v>2</v>
      </c>
      <c r="BA75" s="2295"/>
      <c r="BB75" s="2296"/>
      <c r="BC75" s="2287"/>
      <c r="BD75" s="2287"/>
      <c r="BE75" s="2287"/>
      <c r="BF75" s="2363" t="s">
        <v>127</v>
      </c>
      <c r="BG75" s="2364"/>
      <c r="BH75" s="2365"/>
      <c r="BI75" s="2335" t="str">
        <f>IF(OR($BW$10=0,AY70="設置しない",C72="",C72="  RF"),"",IF(OR(AND(LEFT(C72,2)=" B",[6]Top!$O$72="要"),AND(LEFT(C72,3)="  1",[6]Top!$O$74="要"),AND(LEFT(C72,3)="  2",[6]Top!$O$76="要"),AND(LEFT(C72,3)="  3",[6]Top!$O$78="要"),[6]Top!$O$80="要",[6]Top!$O$81="要",$Y$10="設置する"),"d4-13e",""))</f>
        <v>d4-13e</v>
      </c>
      <c r="BJ75" s="2335"/>
      <c r="BK75" s="2335"/>
      <c r="BL75" s="2335"/>
      <c r="BM75" s="2335"/>
      <c r="BN75" s="2335">
        <f>IF(OR($BW$10=0,BH70="設置しない",C72="",C72="  RF"),"",IF(BR75&lt;&gt;"",BR75,INT(AD72*1.2)))</f>
        <v>10</v>
      </c>
      <c r="BO75" s="2335"/>
      <c r="BP75" s="2335"/>
      <c r="BQ75" s="31" t="s">
        <v>103</v>
      </c>
      <c r="BR75" s="2350"/>
      <c r="BS75" s="2351"/>
      <c r="BT75" s="2352"/>
      <c r="BU75" s="19"/>
      <c r="BV75" s="8"/>
      <c r="BW75" s="8"/>
      <c r="BX75" s="8"/>
      <c r="BY75" s="88" t="s">
        <v>199</v>
      </c>
      <c r="BZ75" s="151">
        <f>IF(AL72="",0,AL72*SQRT(N72/BZ74))</f>
        <v>33.941125496954285</v>
      </c>
      <c r="CA75" s="88" t="s">
        <v>198</v>
      </c>
      <c r="CB75" s="151">
        <f>IF(BZ74=0,0,(BZ74/3)*BW73)</f>
        <v>81</v>
      </c>
      <c r="CC75" s="88" t="s">
        <v>199</v>
      </c>
      <c r="CD75" s="151">
        <f>IF(F72=0,0,F72-0.25-$Y$7/1000)</f>
        <v>1.95</v>
      </c>
      <c r="CE75" s="88" t="s">
        <v>198</v>
      </c>
      <c r="CF75" s="151">
        <f>IF(F72=0,0,(2*(BZ74-BO72)-1)*$AN$7/1000+(2*BO72-1)*(F72-0.75))</f>
        <v>20.149999999999999</v>
      </c>
      <c r="CG75" s="88" t="s">
        <v>199</v>
      </c>
      <c r="CH75" s="151">
        <f>IF(BC71="誘:天井ケーブル",0,BZ75)</f>
        <v>0</v>
      </c>
      <c r="CI75" s="88" t="s">
        <v>198</v>
      </c>
      <c r="CJ75" s="151">
        <f>IF(BC71="誘:天井ケーブル",0,CB75)</f>
        <v>0</v>
      </c>
      <c r="CK75" s="88" t="s">
        <v>199</v>
      </c>
      <c r="CL75" s="259">
        <f>IF(F72=0,0,IF(J72="直天",AL72*(F72-$Y$7/1000),AL72*(J72+0.1-$Y$7/1000)))</f>
        <v>3.9000000000000004</v>
      </c>
      <c r="CM75" s="88" t="s">
        <v>198</v>
      </c>
      <c r="CN75" s="151">
        <f>IF(F72=0,0,IF(J72="直天",BO72*(2*BO72-1)*(F72-0.5),BO72*(2*BO72-1)*(J72-0.4)))</f>
        <v>15.600000000000001</v>
      </c>
      <c r="CO75" s="136">
        <f>IF(AZ75="",0,VLOOKUP(AQ75,[7]建物1802!$E$5:$AL$3275,33,FALSE)*AZ75)</f>
        <v>10.58</v>
      </c>
      <c r="CP75" s="136">
        <f>IF(AZ75="",0,VLOOKUP(AQ75,[7]建物1802!$E$5:$AL$3275,30,FALSE)*AZ75)</f>
        <v>5.2</v>
      </c>
      <c r="CQ75" s="136">
        <f>IF(CO75="","",SQRT(CO75^2-CP75^2))</f>
        <v>9.2139242454016301</v>
      </c>
      <c r="CR75" s="26"/>
      <c r="CS75" s="26"/>
      <c r="CT75" s="26"/>
      <c r="CU75" s="26"/>
      <c r="CV75" s="26"/>
      <c r="CW75" s="218"/>
      <c r="CX75" s="8"/>
      <c r="CY75" s="197">
        <f t="shared" si="6"/>
        <v>3</v>
      </c>
      <c r="CZ75" s="197" t="str">
        <f t="shared" si="7"/>
        <v/>
      </c>
      <c r="DA75" s="10" t="str">
        <f>C62</f>
        <v>VV-F 1.6mm-2C</v>
      </c>
      <c r="DB75" s="8"/>
      <c r="DC75" s="8"/>
      <c r="DD75" s="8"/>
      <c r="DE75" s="249" t="str">
        <f>IF(COUNTIF($DA$15:DA74,DA75)&gt;0,"",DA75)</f>
        <v/>
      </c>
      <c r="DF75" s="26">
        <f>S62</f>
        <v>312</v>
      </c>
      <c r="DG75" s="32">
        <f t="shared" si="8"/>
        <v>0</v>
      </c>
      <c r="DH75" s="198">
        <f t="shared" si="9"/>
        <v>5</v>
      </c>
      <c r="DI75" s="198" t="str">
        <f t="shared" si="10"/>
        <v/>
      </c>
      <c r="DJ75" s="10" t="str">
        <f>AQ62</f>
        <v/>
      </c>
      <c r="DK75" s="10"/>
      <c r="DL75" s="10"/>
      <c r="DM75" s="8"/>
      <c r="DN75" s="8" t="str">
        <f>IF(COUNTIF($DJ$15:DJ74,DJ75)&gt;0,"",DJ75)</f>
        <v/>
      </c>
      <c r="DO75" s="200" t="str">
        <f>AZ62</f>
        <v/>
      </c>
      <c r="DP75" s="32">
        <f t="shared" si="11"/>
        <v>0</v>
      </c>
      <c r="DQ75" s="8"/>
    </row>
    <row r="76" spans="1:121" ht="11.25" customHeight="1" thickBot="1">
      <c r="A76" s="15"/>
      <c r="B76" s="23"/>
      <c r="C76" s="2391" t="s">
        <v>112</v>
      </c>
      <c r="D76" s="2391"/>
      <c r="E76" s="2391"/>
      <c r="F76" s="2391"/>
      <c r="G76" s="2391"/>
      <c r="H76" s="2391"/>
      <c r="I76" s="2288"/>
      <c r="J76" s="2356" t="str">
        <f>[5]照差!$I$90</f>
        <v>( 4 )</v>
      </c>
      <c r="K76" s="2357"/>
      <c r="L76" s="2358"/>
      <c r="M76" s="2375" t="str">
        <f>[5]照差!$M$90</f>
        <v>百貨店等</v>
      </c>
      <c r="N76" s="2376"/>
      <c r="O76" s="2376"/>
      <c r="P76" s="2376"/>
      <c r="Q76" s="2376"/>
      <c r="R76" s="2376"/>
      <c r="S76" s="2376"/>
      <c r="T76" s="2376"/>
      <c r="U76" s="2377"/>
      <c r="V76" s="2275" t="s">
        <v>232</v>
      </c>
      <c r="W76" s="2276"/>
      <c r="X76" s="2276"/>
      <c r="Y76" s="2276"/>
      <c r="Z76" s="2277"/>
      <c r="AA76" s="2278" t="str">
        <f>[6]Top!$I$44</f>
        <v>A</v>
      </c>
      <c r="AB76" s="2279"/>
      <c r="AC76" s="2280" t="s">
        <v>231</v>
      </c>
      <c r="AD76" s="2280"/>
      <c r="AE76" s="2280"/>
      <c r="AF76" s="2280"/>
      <c r="AG76" s="2280"/>
      <c r="AH76" s="2280"/>
      <c r="AI76" s="2280"/>
      <c r="AJ76" s="2280"/>
      <c r="AK76" s="2280"/>
      <c r="AL76" s="2356" t="str">
        <f>IF($BW$10=0,"設置しない",IF(AS76="","設置する",AS76))</f>
        <v>設置する</v>
      </c>
      <c r="AM76" s="2357"/>
      <c r="AN76" s="2357"/>
      <c r="AO76" s="2357"/>
      <c r="AP76" s="2357"/>
      <c r="AQ76" s="2358"/>
      <c r="AR76" s="265" t="s">
        <v>103</v>
      </c>
      <c r="AS76" s="2284"/>
      <c r="AT76" s="2285"/>
      <c r="AU76" s="2285"/>
      <c r="AV76" s="2285"/>
      <c r="AW76" s="2285"/>
      <c r="AX76" s="2286"/>
      <c r="AY76" s="2280" t="s">
        <v>215</v>
      </c>
      <c r="AZ76" s="2280"/>
      <c r="BA76" s="2280"/>
      <c r="BB76" s="2280"/>
      <c r="BC76" s="2280"/>
      <c r="BD76" s="2280"/>
      <c r="BE76" s="2280"/>
      <c r="BF76" s="2280"/>
      <c r="BG76" s="2280"/>
      <c r="BH76" s="2356" t="str">
        <f>IF($BW$10=0,"設置しない",IF(BO76="","設置する",BO76))</f>
        <v>設置する</v>
      </c>
      <c r="BI76" s="2357"/>
      <c r="BJ76" s="2357"/>
      <c r="BK76" s="2357"/>
      <c r="BL76" s="2357"/>
      <c r="BM76" s="2358"/>
      <c r="BN76" s="265" t="s">
        <v>103</v>
      </c>
      <c r="BO76" s="2284"/>
      <c r="BP76" s="2285"/>
      <c r="BQ76" s="2285"/>
      <c r="BR76" s="2285"/>
      <c r="BS76" s="2285"/>
      <c r="BT76" s="2286"/>
      <c r="BU76" s="19"/>
      <c r="BV76" s="8"/>
      <c r="BW76" s="8"/>
      <c r="BX76" s="8"/>
      <c r="BY76" s="9"/>
      <c r="BZ76" s="9"/>
      <c r="CA76" s="9"/>
      <c r="CB76" s="9"/>
      <c r="CC76" s="9"/>
      <c r="CD76" s="9"/>
      <c r="CE76" s="9"/>
      <c r="CF76" s="9"/>
      <c r="CG76" s="9"/>
      <c r="CH76" s="9"/>
      <c r="CI76" s="9"/>
      <c r="CJ76" s="9"/>
      <c r="CK76" s="9"/>
      <c r="CL76" s="9"/>
      <c r="CM76" s="9"/>
      <c r="CN76" s="9"/>
      <c r="CO76" s="266"/>
      <c r="CP76" s="266"/>
      <c r="CQ76" s="266"/>
      <c r="CR76" s="14"/>
      <c r="CS76" s="14"/>
      <c r="CT76" s="14"/>
      <c r="CU76" s="14"/>
      <c r="CV76" s="14"/>
      <c r="CW76" s="216"/>
      <c r="CX76" s="8"/>
      <c r="CY76" s="197">
        <f t="shared" si="6"/>
        <v>3</v>
      </c>
      <c r="CZ76" s="197" t="str">
        <f t="shared" si="7"/>
        <v/>
      </c>
      <c r="DA76" s="10" t="str">
        <f>W62</f>
        <v>VV-F 1.6mm-2C</v>
      </c>
      <c r="DB76" s="8"/>
      <c r="DC76" s="8"/>
      <c r="DD76" s="8"/>
      <c r="DE76" s="249" t="str">
        <f>IF(COUNTIF($DA$15:DA75,DA76)&gt;0,"",DA76)</f>
        <v/>
      </c>
      <c r="DF76" s="26">
        <f>AM62</f>
        <v>243</v>
      </c>
      <c r="DG76" s="32">
        <f t="shared" si="8"/>
        <v>0</v>
      </c>
      <c r="DH76" s="198">
        <f t="shared" si="9"/>
        <v>5</v>
      </c>
      <c r="DI76" s="124" t="str">
        <f t="shared" si="10"/>
        <v/>
      </c>
      <c r="DJ76" s="11" t="str">
        <f>AQ63</f>
        <v>Yd2-Ce</v>
      </c>
      <c r="DK76" s="11"/>
      <c r="DL76" s="11"/>
      <c r="DM76" s="9"/>
      <c r="DN76" s="9" t="str">
        <f>IF(COUNTIF($DJ$15:DJ75,DJ76)&gt;0,"",DJ76)</f>
        <v/>
      </c>
      <c r="DO76" s="101">
        <f>AZ63</f>
        <v>2</v>
      </c>
      <c r="DP76" s="32">
        <f t="shared" si="11"/>
        <v>0</v>
      </c>
      <c r="DQ76" s="8"/>
    </row>
    <row r="77" spans="1:121" ht="11.25" customHeight="1" thickBot="1">
      <c r="A77" s="15"/>
      <c r="B77" s="23"/>
      <c r="C77" s="2300" t="s">
        <v>214</v>
      </c>
      <c r="D77" s="2301"/>
      <c r="E77" s="2301"/>
      <c r="F77" s="2301"/>
      <c r="G77" s="2301"/>
      <c r="H77" s="2301"/>
      <c r="I77" s="2302"/>
      <c r="J77" s="2297">
        <f>[5]照差!$K$91</f>
        <v>0.5</v>
      </c>
      <c r="K77" s="2298"/>
      <c r="L77" s="2298"/>
      <c r="M77" s="2298"/>
      <c r="N77" s="2299" t="s">
        <v>230</v>
      </c>
      <c r="O77" s="2299"/>
      <c r="P77" s="2299"/>
      <c r="Q77" s="2299"/>
      <c r="R77" s="2299"/>
      <c r="S77" s="2299"/>
      <c r="T77" s="2299"/>
      <c r="U77" s="2299"/>
      <c r="V77" s="2366" t="str">
        <f>[5]照差!$W$91</f>
        <v>⑦</v>
      </c>
      <c r="W77" s="2366"/>
      <c r="X77" s="2366"/>
      <c r="Y77" s="2299" t="s">
        <v>135</v>
      </c>
      <c r="Z77" s="2299"/>
      <c r="AA77" s="2299"/>
      <c r="AB77" s="2299"/>
      <c r="AC77" s="2299"/>
      <c r="AD77" s="2299" t="s">
        <v>18</v>
      </c>
      <c r="AE77" s="2299"/>
      <c r="AF77" s="2299"/>
      <c r="AG77" s="2299"/>
      <c r="AH77" s="2299"/>
      <c r="AI77" s="2337" t="str">
        <f>IF($B$2=0,"",IF(AQ77="","非:天井ケーブル",AQ77))</f>
        <v>非:天井ケーブル</v>
      </c>
      <c r="AJ77" s="2337"/>
      <c r="AK77" s="2337"/>
      <c r="AL77" s="2337"/>
      <c r="AM77" s="2337"/>
      <c r="AN77" s="2337"/>
      <c r="AO77" s="2337"/>
      <c r="AP77" s="175" t="s">
        <v>103</v>
      </c>
      <c r="AQ77" s="2338"/>
      <c r="AR77" s="2338"/>
      <c r="AS77" s="2338"/>
      <c r="AT77" s="2338"/>
      <c r="AU77" s="2338"/>
      <c r="AV77" s="2338"/>
      <c r="AW77" s="2338"/>
      <c r="AX77" s="2299" t="s">
        <v>212</v>
      </c>
      <c r="AY77" s="2299"/>
      <c r="AZ77" s="2299"/>
      <c r="BA77" s="2299"/>
      <c r="BB77" s="2299"/>
      <c r="BC77" s="2337" t="str">
        <f>IF($B$2=0,"",IF(BK77="","誘:天井ケーブル",BK77))</f>
        <v>誘:天井ケーブル</v>
      </c>
      <c r="BD77" s="2337"/>
      <c r="BE77" s="2337"/>
      <c r="BF77" s="2337"/>
      <c r="BG77" s="2337"/>
      <c r="BH77" s="2337"/>
      <c r="BI77" s="2337"/>
      <c r="BJ77" s="175" t="s">
        <v>103</v>
      </c>
      <c r="BK77" s="2338"/>
      <c r="BL77" s="2338"/>
      <c r="BM77" s="2338"/>
      <c r="BN77" s="2338"/>
      <c r="BO77" s="2338"/>
      <c r="BP77" s="2338"/>
      <c r="BQ77" s="2338"/>
      <c r="BR77" s="2299"/>
      <c r="BS77" s="2299"/>
      <c r="BT77" s="2299"/>
      <c r="BU77" s="19"/>
      <c r="BV77" s="8">
        <v>90</v>
      </c>
      <c r="BW77" s="88" t="s">
        <v>229</v>
      </c>
      <c r="BX77" s="88" t="s">
        <v>228</v>
      </c>
      <c r="BY77" s="2336" t="s">
        <v>126</v>
      </c>
      <c r="BZ77" s="2336"/>
      <c r="CA77" s="2336"/>
      <c r="CB77" s="2336"/>
      <c r="CC77" s="2336" t="s">
        <v>125</v>
      </c>
      <c r="CD77" s="2336"/>
      <c r="CE77" s="2336"/>
      <c r="CF77" s="2336"/>
      <c r="CG77" s="2336" t="s">
        <v>124</v>
      </c>
      <c r="CH77" s="2336"/>
      <c r="CI77" s="2336"/>
      <c r="CJ77" s="2336"/>
      <c r="CK77" s="2336" t="s">
        <v>123</v>
      </c>
      <c r="CL77" s="2336"/>
      <c r="CM77" s="2336"/>
      <c r="CN77" s="2336"/>
      <c r="CO77" s="88" t="s">
        <v>227</v>
      </c>
      <c r="CP77" s="88" t="s">
        <v>226</v>
      </c>
      <c r="CQ77" s="88" t="s">
        <v>225</v>
      </c>
      <c r="CR77" s="88" t="s">
        <v>227</v>
      </c>
      <c r="CS77" s="88" t="s">
        <v>226</v>
      </c>
      <c r="CT77" s="221" t="s">
        <v>225</v>
      </c>
      <c r="CU77" s="264">
        <f>IF(BW78="","",SUM(CP78:CP81)+CS78+CS79)</f>
        <v>61.5</v>
      </c>
      <c r="CV77" s="264">
        <f>IF(BW78="","",SUM(CQ78:CQ81)+CT78+CT79)</f>
        <v>95.309234204481399</v>
      </c>
      <c r="CW77" s="216"/>
      <c r="CX77" s="8"/>
      <c r="CY77" s="197">
        <f t="shared" si="6"/>
        <v>3</v>
      </c>
      <c r="CZ77" s="197" t="str">
        <f t="shared" si="7"/>
        <v/>
      </c>
      <c r="DA77" s="10" t="str">
        <f>C63</f>
        <v/>
      </c>
      <c r="DB77" s="8"/>
      <c r="DC77" s="8"/>
      <c r="DD77" s="8"/>
      <c r="DE77" s="249" t="str">
        <f>IF(COUNTIF($DA$15:DA76,DA77)&gt;0,"",DA77)</f>
        <v/>
      </c>
      <c r="DF77" s="26" t="str">
        <f>I63</f>
        <v/>
      </c>
      <c r="DG77" s="32">
        <f t="shared" si="8"/>
        <v>0</v>
      </c>
      <c r="DH77" s="198">
        <f t="shared" si="9"/>
        <v>5</v>
      </c>
      <c r="DI77" s="124" t="str">
        <f t="shared" si="10"/>
        <v/>
      </c>
      <c r="DJ77" s="11" t="str">
        <f>BF60</f>
        <v>Ya1-Ce</v>
      </c>
      <c r="DK77" s="11"/>
      <c r="DL77" s="11"/>
      <c r="DM77" s="9"/>
      <c r="DN77" s="9" t="str">
        <f>IF(COUNTIF($DJ$15:DJ76,DJ77)&gt;0,"",DJ77)</f>
        <v/>
      </c>
      <c r="DO77" s="101">
        <f>BO60</f>
        <v>2</v>
      </c>
      <c r="DP77" s="13">
        <f t="shared" si="11"/>
        <v>0</v>
      </c>
      <c r="DQ77" s="8"/>
    </row>
    <row r="78" spans="1:121" ht="11.25" customHeight="1">
      <c r="A78" s="15"/>
      <c r="B78" s="23"/>
      <c r="C78" s="2367" t="str">
        <f>[5]照差!$C$92</f>
        <v xml:space="preserve">  9F</v>
      </c>
      <c r="D78" s="2368"/>
      <c r="E78" s="2369"/>
      <c r="F78" s="2370">
        <f>[5]照差!$G$92</f>
        <v>4</v>
      </c>
      <c r="G78" s="2371"/>
      <c r="H78" s="2371"/>
      <c r="I78" s="2372"/>
      <c r="J78" s="2370">
        <f>[5]照差!$J$92</f>
        <v>3</v>
      </c>
      <c r="K78" s="2373"/>
      <c r="L78" s="2373"/>
      <c r="M78" s="2374"/>
      <c r="N78" s="2330">
        <f>[5]照差!$M$92</f>
        <v>1152</v>
      </c>
      <c r="O78" s="2331"/>
      <c r="P78" s="2331"/>
      <c r="Q78" s="2331"/>
      <c r="R78" s="2332"/>
      <c r="S78" s="2330">
        <f>[5]照差!$Q$92</f>
        <v>806.4</v>
      </c>
      <c r="T78" s="2331"/>
      <c r="U78" s="2331"/>
      <c r="V78" s="2332"/>
      <c r="W78" s="2330">
        <f>[5]照差!$U$92</f>
        <v>345.6</v>
      </c>
      <c r="X78" s="2331"/>
      <c r="Y78" s="2331"/>
      <c r="Z78" s="2332"/>
      <c r="AA78" s="2340">
        <f>[5]照差!$Y$92</f>
        <v>3</v>
      </c>
      <c r="AB78" s="2341"/>
      <c r="AC78" s="2342"/>
      <c r="AD78" s="2343">
        <f>[5]照差!$AB$92</f>
        <v>9</v>
      </c>
      <c r="AE78" s="2344"/>
      <c r="AF78" s="2345"/>
      <c r="AG78" s="2346">
        <f>IF(OR(C78="",C78="  RF"),"",2+INT(N78/1000))</f>
        <v>3</v>
      </c>
      <c r="AH78" s="2346"/>
      <c r="AI78" s="2346"/>
      <c r="AJ78" s="2346"/>
      <c r="AK78" s="2346"/>
      <c r="AL78" s="2346">
        <f>IF(OR(C78="",C78="  RF"),"",1+INT(N78/500))</f>
        <v>3</v>
      </c>
      <c r="AM78" s="2346"/>
      <c r="AN78" s="2346"/>
      <c r="AO78" s="2346"/>
      <c r="AP78" s="2346"/>
      <c r="AQ78" s="2347" t="str">
        <f>IF(OR(C78="",AL76="設置しない"),"",IF(OR(AND(LEFT($C$18,2)=" B",[6]Top!$U$72&lt;&gt;""),AND(LEFT($C$18,3)="  1",[6]Top!$U$73&lt;&gt;""),AND(LEFT($C$18,3)="  2",[6]Top!$U$75&lt;&gt;""),AND(LEFT($C$18,3)="  3",[6]Top!$U$77&lt;&gt;""),[6]Top!$U$79&lt;&gt;"",[6]Top!$U$81&lt;&gt;""),"Xh1-Ae",IF(OR(AND(LEFT($C$18,2)=" B",[6]Top!$U$72="BL"),AND(LEFT($C$18,3)="  1",[6]Top!$U$73="BL"),AND(LEFT($C$18,3)="  2",[6]Top!$U$75="BL"),AND(LEFT($C$18,3)="  3",[6]Top!$U$77="BL"),[6]Top!$U$79="BL",[6]Top!$U$81="BL"),"Xh1-BLe","")))</f>
        <v>Xh1-Ae</v>
      </c>
      <c r="AR78" s="2348"/>
      <c r="AS78" s="2348"/>
      <c r="AT78" s="2348"/>
      <c r="AU78" s="2348"/>
      <c r="AV78" s="2348"/>
      <c r="AW78" s="2348"/>
      <c r="AX78" s="2348"/>
      <c r="AY78" s="2349"/>
      <c r="AZ78" s="2353">
        <f>IF(OR(N78="",AQ78=""),"",IF(BC78&lt;&gt;"",BC78,1+INT(N78/500)))</f>
        <v>3</v>
      </c>
      <c r="BA78" s="2354"/>
      <c r="BB78" s="2355"/>
      <c r="BC78" s="2305"/>
      <c r="BD78" s="2305"/>
      <c r="BE78" s="2305"/>
      <c r="BF78" s="2281" t="str">
        <f>IF(C78="","",IF(OR(AND(LEFT(C78,2)=" B",[6]Top!$AD$72="要"),AND(LEFT(C78,3)="  1",[6]Top!$AD$73="要"),AND(LEFT(C78,3)="  2",[6]Top!$AD$75="要"),AND(LEFT(C78,3)="  3",[6]Top!$AD$77="要"),[6]Top!$AD$79="C",[6]Top!$AD$81="要"),"Ya1-Ce",""))</f>
        <v>Ya1-Ce</v>
      </c>
      <c r="BG78" s="2281"/>
      <c r="BH78" s="2281"/>
      <c r="BI78" s="2281"/>
      <c r="BJ78" s="2281"/>
      <c r="BK78" s="2281"/>
      <c r="BL78" s="2281"/>
      <c r="BM78" s="2281"/>
      <c r="BN78" s="2281"/>
      <c r="BO78" s="2304">
        <f>IF(OR(C78="",C78="  RF"),"",IF(BR78&lt;&gt;"",BR78,1+INT((BW78+BX78)/20)))</f>
        <v>2</v>
      </c>
      <c r="BP78" s="2304"/>
      <c r="BQ78" s="2304"/>
      <c r="BR78" s="2339"/>
      <c r="BS78" s="2339"/>
      <c r="BT78" s="2339"/>
      <c r="BU78" s="19"/>
      <c r="BV78" s="8">
        <v>11</v>
      </c>
      <c r="BW78" s="98">
        <f>IF(OR(C78="",C78="  RF"),0,SQRT(N78*J77)/2)</f>
        <v>12</v>
      </c>
      <c r="BX78" s="98">
        <f>IF(OR(C78="",C78="  RF"),0,SQRT(N78/J77)/2)</f>
        <v>24</v>
      </c>
      <c r="BY78" s="88" t="s">
        <v>204</v>
      </c>
      <c r="BZ78" s="92">
        <f>IF(OR($BW$10=0,AL76="設置しない",C78="  RF",C78=""),0,IF(LEFT(C78,2)&lt;&gt;"PH",AG78*BW79/2,BW79))</f>
        <v>40.5</v>
      </c>
      <c r="CA78" s="88" t="s">
        <v>205</v>
      </c>
      <c r="CB78" s="88">
        <f>IF(OR($BW$10=0,AL76="設置しない",C78="  RF",C78=""),0,IF(LEFT(C78,2)="PH",0,(BN80-1)*SQRT(S78/BN80)))</f>
        <v>70.279442228862351</v>
      </c>
      <c r="CC78" s="88" t="s">
        <v>204</v>
      </c>
      <c r="CD78" s="262">
        <f>IF(OR($BW$10=0,AL76="設置しない",F78=0),0,AG78*(F78-0.1-($Y$7-$AN$8)/1000))</f>
        <v>13.799999999999999</v>
      </c>
      <c r="CE78" s="88" t="s">
        <v>205</v>
      </c>
      <c r="CF78" s="88">
        <f>IF(OR($BW$10=0,AL76="設置しない",LEFT(C78,2)="PH",C78="  RF",C78=""),0,(2*BN80-1)*$AN$7/1000)</f>
        <v>12</v>
      </c>
      <c r="CG78" s="88" t="s">
        <v>204</v>
      </c>
      <c r="CH78" s="92">
        <f>IF(OR($BW$10=0,AL76="設置しない",AI77="非:天井ケーブル"),0,BZ78)</f>
        <v>0</v>
      </c>
      <c r="CI78" s="88" t="s">
        <v>205</v>
      </c>
      <c r="CJ78" s="88">
        <f>IF(OR($BW$10=0,AL76="設置しない",AI77="非:天井ケーブル"),0,CB78)</f>
        <v>0</v>
      </c>
      <c r="CK78" s="88" t="s">
        <v>204</v>
      </c>
      <c r="CL78" s="92">
        <f>IF(OR($BW$10=0,AL76="設置しない",C78="  RF",C78=""),0,IF(J78="直天",AG78*(F78-$Y$7/1000),AG78*(J78+0.1-$Y$7/1000)))</f>
        <v>3.9000000000000004</v>
      </c>
      <c r="CM78" s="220"/>
      <c r="CN78" s="219"/>
      <c r="CO78" s="134">
        <f>IF(AZ78="",0,VLOOKUP(AQ78,[7]建物1802!$E$5:$AL$3275,33,FALSE)*AZ78)</f>
        <v>56.94</v>
      </c>
      <c r="CP78" s="136">
        <f>IF(AZ78="",0,VLOOKUP(AQ78,[7]建物1802!$E$5:$AL$3275,30,FALSE)*AZ78)</f>
        <v>31.5</v>
      </c>
      <c r="CQ78" s="136">
        <f>IF(CO78="","",SQRT(CO78^2-CP78^2))</f>
        <v>47.433254157816329</v>
      </c>
      <c r="CR78" s="189">
        <f>IF(BO78="",0,VLOOKUP(BF78,[7]建物1802!$E$5:$AL$3275,33,FALSE)*BO78)</f>
        <v>8</v>
      </c>
      <c r="CS78" s="189">
        <f>IF(BO78="",0,VLOOKUP(BF78,[7]建物1802!$E$5:$AL$3275,30,FALSE)*BO78)</f>
        <v>3.8</v>
      </c>
      <c r="CT78" s="259">
        <f>IF(CR78="",0,SQRT(CR78^2-CS78^2))</f>
        <v>7.0398863627192165</v>
      </c>
      <c r="CU78" s="14"/>
      <c r="CV78" s="14"/>
      <c r="CW78" s="216"/>
      <c r="CX78" s="8"/>
      <c r="CY78" s="197">
        <f t="shared" si="6"/>
        <v>3</v>
      </c>
      <c r="CZ78" s="197" t="str">
        <f t="shared" si="7"/>
        <v/>
      </c>
      <c r="DA78" s="10" t="str">
        <f>M63</f>
        <v/>
      </c>
      <c r="DB78" s="8"/>
      <c r="DC78" s="8"/>
      <c r="DD78" s="8"/>
      <c r="DE78" s="249" t="str">
        <f>IF(COUNTIF($DA$15:DA77,DA78)&gt;0,"",DA78)</f>
        <v/>
      </c>
      <c r="DF78" s="26" t="str">
        <f>S63</f>
        <v/>
      </c>
      <c r="DG78" s="32">
        <f t="shared" si="8"/>
        <v>0</v>
      </c>
      <c r="DH78" s="198">
        <f t="shared" si="9"/>
        <v>5</v>
      </c>
      <c r="DI78" s="124" t="str">
        <f t="shared" si="10"/>
        <v/>
      </c>
      <c r="DJ78" s="11" t="str">
        <f>BF61</f>
        <v/>
      </c>
      <c r="DK78" s="11"/>
      <c r="DL78" s="11"/>
      <c r="DM78" s="9"/>
      <c r="DN78" s="9" t="str">
        <f>IF(COUNTIF($DJ$15:DJ77,DJ78)&gt;0,"",DJ78)</f>
        <v/>
      </c>
      <c r="DO78" s="101" t="str">
        <f>BO61</f>
        <v/>
      </c>
      <c r="DP78" s="13">
        <f t="shared" si="11"/>
        <v>0</v>
      </c>
      <c r="DQ78" s="9"/>
    </row>
    <row r="79" spans="1:121" ht="11.25" customHeight="1">
      <c r="A79" s="15">
        <v>11</v>
      </c>
      <c r="B79" s="227"/>
      <c r="C79" s="2378" t="str">
        <f>IF(C78="","",IF(K79="","VV-F 2.0mm-2C",K79))</f>
        <v>VV-F 2.0mm-2C</v>
      </c>
      <c r="D79" s="2379"/>
      <c r="E79" s="2379"/>
      <c r="F79" s="2379"/>
      <c r="G79" s="2379"/>
      <c r="H79" s="2379"/>
      <c r="I79" s="2379"/>
      <c r="J79" s="2380"/>
      <c r="K79" s="2313"/>
      <c r="L79" s="2314"/>
      <c r="M79" s="2314"/>
      <c r="N79" s="2314"/>
      <c r="O79" s="2314"/>
      <c r="P79" s="2314"/>
      <c r="Q79" s="2314"/>
      <c r="R79" s="2315"/>
      <c r="S79" s="2312">
        <f>IF(OR(C78="",AL76="設置しない",BH76="設置しない"),"",ROUND((BZ78+CD78),1))</f>
        <v>54.3</v>
      </c>
      <c r="T79" s="2312"/>
      <c r="U79" s="2312"/>
      <c r="V79" s="2312"/>
      <c r="W79" s="2306" t="str">
        <f>IF(C78="","",IF(AE79="","VV-F 2.0mm-2C",AE79))</f>
        <v>VV-F 2.0mm-2C</v>
      </c>
      <c r="X79" s="2307"/>
      <c r="Y79" s="2307"/>
      <c r="Z79" s="2307"/>
      <c r="AA79" s="2307"/>
      <c r="AB79" s="2307"/>
      <c r="AC79" s="2307"/>
      <c r="AD79" s="2308"/>
      <c r="AE79" s="2313"/>
      <c r="AF79" s="2314"/>
      <c r="AG79" s="2314"/>
      <c r="AH79" s="2314"/>
      <c r="AI79" s="2314"/>
      <c r="AJ79" s="2314"/>
      <c r="AK79" s="2314"/>
      <c r="AL79" s="2315"/>
      <c r="AM79" s="2312">
        <f>IF(OR(C78="",,AL76="設置しない",BH76="設置しない"),"",ROUND(BZ81,1))</f>
        <v>33.9</v>
      </c>
      <c r="AN79" s="2312"/>
      <c r="AO79" s="2312"/>
      <c r="AP79" s="2312"/>
      <c r="AQ79" s="2347" t="str">
        <f>IF(OR(C78="",AL76="設置しない"),"",IF(OR(AND(LEFT($C$18,2)=" B",[6]Top!$U$72&lt;&gt;""),AND(LEFT($C$18,3)="  1",[6]Top!$U$73&lt;&gt;""),AND(LEFT($C$18,3)="  2",[6]Top!$U$75&lt;&gt;""),AND(LEFT($C$18,3)="  3",[6]Top!$U$77&lt;&gt;""),[6]Top!$U$79&lt;&gt;"",[6]Top!$U$81&lt;&gt;""),"Xh1-Ae",IF(OR(AND(LEFT($C$18,2)=" B",[6]Top!$U$72="BL"),AND(LEFT($C$18,3)="  1",[6]Top!$U$73="BL"),AND(LEFT($C$18,3)="  2",[6]Top!$U$75="BL"),AND(LEFT($C$18,3)="  3",[6]Top!$U$77="BL"),[6]Top!$U$79="BL",[6]Top!$U$81="BL"),"Xh1-BLe","")))</f>
        <v>Xh1-Ae</v>
      </c>
      <c r="AR79" s="2348"/>
      <c r="AS79" s="2348"/>
      <c r="AT79" s="2348"/>
      <c r="AU79" s="2348"/>
      <c r="AV79" s="2348"/>
      <c r="AW79" s="2348"/>
      <c r="AX79" s="2348"/>
      <c r="AY79" s="2349"/>
      <c r="AZ79" s="2304">
        <f>IF(AA78="","",IF(BC79&lt;&gt;"",BC79,IF(AQ79&lt;&gt;"",1+INT(AA78/3),"")))</f>
        <v>2</v>
      </c>
      <c r="BA79" s="2304"/>
      <c r="BB79" s="2304"/>
      <c r="BC79" s="2305"/>
      <c r="BD79" s="2305"/>
      <c r="BE79" s="2305"/>
      <c r="BF79" s="2281" t="str">
        <f>IF(C78="","",IF(OR(AND(LEFT(C78,2)=" B",[6]Top!$AF$72="要"),AND(LEFT(C78,3)="  1",[6]Top!$AF$73="要"),AND(LEFT(C78,3)="  2",[6]Top!$AF$75="要"),AND(LEFT(C78,3)="  3",[6]Top!$AF$77="要"),[6]Top!$AF$79="要",[6]Top!$AF$81="要"),"D15V-321PXe",""))</f>
        <v/>
      </c>
      <c r="BG79" s="2281"/>
      <c r="BH79" s="2281"/>
      <c r="BI79" s="2282"/>
      <c r="BJ79" s="2282"/>
      <c r="BK79" s="2282"/>
      <c r="BL79" s="2282"/>
      <c r="BM79" s="2282"/>
      <c r="BN79" s="2282"/>
      <c r="BO79" s="2283" t="str">
        <f>IF(OR(C78="",C78="  RF",BF79=""),"",IF(BR79&lt;&gt;"",BR79,2*(1+INT(N78/500))))</f>
        <v/>
      </c>
      <c r="BP79" s="2283"/>
      <c r="BQ79" s="2283"/>
      <c r="BR79" s="2303"/>
      <c r="BS79" s="2303"/>
      <c r="BT79" s="2303"/>
      <c r="BU79" s="19"/>
      <c r="BV79" s="46" t="str">
        <f>V77</f>
        <v>⑦</v>
      </c>
      <c r="BW79" s="263">
        <f>IF(C78="","",IF(BV79="①",BW78+BX78+3,IF(BV79="②",BW78*5/8+BX78+3,IF(BV79="③",BW78/2+BX78+3,IF(BV79="④",BW78+BX78*5/8+3,IF(BV79="⑤",(BW78+BX78)*5/8+3,IF(BV79="⑥",BW78/2+BX78*5/8+3,IF(BV79="⑦",BW78+BX78/2+3,IF(BV79="⑧",BW78*5/8+BX78/2+3,IF(BV79="⑨",(BW78+BX78)/2+3))))))))))</f>
        <v>27</v>
      </c>
      <c r="BX79" s="8"/>
      <c r="BY79" s="88" t="s">
        <v>202</v>
      </c>
      <c r="BZ79" s="92">
        <f>IF(OR($BW$10=0,BH76="設置しない",C78="  RF",C78=""),0,IF(LEFT(C78,2)&lt;&gt;"PH",AL78*BW79/2,BW79))</f>
        <v>40.5</v>
      </c>
      <c r="CA79" s="88" t="s">
        <v>203</v>
      </c>
      <c r="CB79" s="88">
        <f>IF(OR($BW$10=0,AY76="設置しない",BN81=""),0,(BN81-1)*SQRT(W78/BN81))</f>
        <v>52.908978444116649</v>
      </c>
      <c r="CC79" s="88" t="s">
        <v>202</v>
      </c>
      <c r="CD79" s="262">
        <f>IF(OR($BW$10=0,BH76="設置しない",F78=0),0,AG78*(F78-0.1-($AN$8-$Y$7)/1000))</f>
        <v>9.6000000000000014</v>
      </c>
      <c r="CE79" s="88" t="s">
        <v>203</v>
      </c>
      <c r="CF79" s="88">
        <f>IF(OR($BW$10=0,BH76="設置しない",BN81=""),0,(2*BN81-1)*$AN$7/1000)</f>
        <v>15.2</v>
      </c>
      <c r="CG79" s="88" t="s">
        <v>202</v>
      </c>
      <c r="CH79" s="92">
        <f>IF(OR($BW$10=0,BH76="設置しない",AI77="非:天井ケーブル"),0,BZ79)</f>
        <v>0</v>
      </c>
      <c r="CI79" s="88" t="s">
        <v>203</v>
      </c>
      <c r="CJ79" s="88">
        <f>IF(OR($BW$10=0,BH76="設置しない",AI77="非:天井ケーブル"),0,CB79)</f>
        <v>0</v>
      </c>
      <c r="CK79" s="88" t="s">
        <v>202</v>
      </c>
      <c r="CL79" s="92">
        <f>IF(OR($BW$10=0,BH76="設置しない",C78="  RF",C78=""),0,IF(J78="直天",AG78*(F78-$Y$7/1000),AG78*(J78+0.1-$Y$7/1000)))</f>
        <v>3.9000000000000004</v>
      </c>
      <c r="CM79" s="141"/>
      <c r="CN79" s="142"/>
      <c r="CO79" s="136">
        <f>IF(AZ79="",0,(VLOOKUP(AQ79,[7]建物1802!$E$5:$AL$3275,33,FALSE))*AZ79)</f>
        <v>37.96</v>
      </c>
      <c r="CP79" s="136">
        <f>IF(AZ79="",0,VLOOKUP(AQ79,[7]建物1802!$E$5:$AL$3275,30,FALSE)*AZ79)</f>
        <v>21</v>
      </c>
      <c r="CQ79" s="136">
        <f>IF(CO79="","",SQRT(CO79^2-CP79^2))</f>
        <v>31.622169438544219</v>
      </c>
      <c r="CR79" s="189">
        <f>IF(BO79="",0,VLOOKUP(BF79,[7]建物1802!$E$5:$AL$3275,33,FALSE)*BO79)</f>
        <v>0</v>
      </c>
      <c r="CS79" s="189">
        <f>IF(BO79="",0,VLOOKUP(BF79,[7]建物1802!$E$5:$AL$3275,30,FALSE)*BO79)</f>
        <v>0</v>
      </c>
      <c r="CT79" s="259">
        <f>IF(CR79="",0,SQRT(CR79^2-CS79^2))</f>
        <v>0</v>
      </c>
      <c r="CU79" s="14"/>
      <c r="CV79" s="14"/>
      <c r="CW79" s="216"/>
      <c r="CX79" s="8"/>
      <c r="CY79" s="197">
        <f t="shared" si="6"/>
        <v>3</v>
      </c>
      <c r="CZ79" s="197" t="str">
        <f t="shared" si="7"/>
        <v/>
      </c>
      <c r="DA79" s="10" t="str">
        <f>W63</f>
        <v>PF-S-16mm</v>
      </c>
      <c r="DB79" s="8"/>
      <c r="DC79" s="8"/>
      <c r="DD79" s="8"/>
      <c r="DE79" s="249" t="str">
        <f>IF(COUNTIF($DA$15:DA78,DA79)&gt;0,"",DA79)</f>
        <v/>
      </c>
      <c r="DF79" s="26">
        <f>AC63</f>
        <v>3.9</v>
      </c>
      <c r="DG79" s="32">
        <f t="shared" si="8"/>
        <v>0</v>
      </c>
      <c r="DH79" s="198">
        <f t="shared" si="9"/>
        <v>5</v>
      </c>
      <c r="DI79" s="199" t="str">
        <f t="shared" si="10"/>
        <v/>
      </c>
      <c r="DJ79" s="201" t="str">
        <f>BI62</f>
        <v>d4-30e</v>
      </c>
      <c r="DK79" s="10"/>
      <c r="DL79" s="10"/>
      <c r="DM79" s="8"/>
      <c r="DN79" s="249" t="str">
        <f>IF(COUNTIF($DJ$15:DJ78,DJ79)&gt;0,"",DJ79)</f>
        <v/>
      </c>
      <c r="DO79" s="200">
        <f>BN62</f>
        <v>8</v>
      </c>
      <c r="DP79" s="32">
        <f t="shared" si="11"/>
        <v>0</v>
      </c>
      <c r="DQ79" s="8"/>
    </row>
    <row r="80" spans="1:121" ht="11.25" customHeight="1">
      <c r="A80" s="15"/>
      <c r="B80" s="23"/>
      <c r="C80" s="2378" t="str">
        <f>IF(C78="","",IF(K80="","VV-F 1.6mm-2C",K80))</f>
        <v>VV-F 1.6mm-2C</v>
      </c>
      <c r="D80" s="2379"/>
      <c r="E80" s="2379"/>
      <c r="F80" s="2379"/>
      <c r="G80" s="2379"/>
      <c r="H80" s="2379"/>
      <c r="I80" s="2379"/>
      <c r="J80" s="2380"/>
      <c r="K80" s="2313"/>
      <c r="L80" s="2314"/>
      <c r="M80" s="2314"/>
      <c r="N80" s="2314"/>
      <c r="O80" s="2314"/>
      <c r="P80" s="2314"/>
      <c r="Q80" s="2314"/>
      <c r="R80" s="2315"/>
      <c r="S80" s="2312">
        <f>IF(OR(C78="",C78="  RF"),"",INT(CB78+CB79+CF78+CF79+CD80))</f>
        <v>312</v>
      </c>
      <c r="T80" s="2312"/>
      <c r="U80" s="2312"/>
      <c r="V80" s="2312"/>
      <c r="W80" s="2306" t="str">
        <f>IF(C78="","",IF(AE80="","VV-F 1.6mm-2C",AE80))</f>
        <v>VV-F 1.6mm-2C</v>
      </c>
      <c r="X80" s="2307"/>
      <c r="Y80" s="2307"/>
      <c r="Z80" s="2307"/>
      <c r="AA80" s="2307"/>
      <c r="AB80" s="2307"/>
      <c r="AC80" s="2307"/>
      <c r="AD80" s="2308"/>
      <c r="AE80" s="2313"/>
      <c r="AF80" s="2314"/>
      <c r="AG80" s="2314"/>
      <c r="AH80" s="2314"/>
      <c r="AI80" s="2314"/>
      <c r="AJ80" s="2314"/>
      <c r="AK80" s="2314"/>
      <c r="AL80" s="2315"/>
      <c r="AM80" s="2306">
        <f>IF(OR(C78="",C78="  RF"),"",INT(CB81+CD80))</f>
        <v>243</v>
      </c>
      <c r="AN80" s="2307"/>
      <c r="AO80" s="2307"/>
      <c r="AP80" s="2308"/>
      <c r="AQ80" s="2309" t="str">
        <f>IF(OR(C78="",S78=""),"",IF(OR(AND(LEFT(C78,2)=" B",[8]非誘!$W$72="C"),AND(LEFT(C78,3)="  1",[8]非誘!$W$74="C"),AND(LEFT(C78,3)="  2",[8]非誘!$W$76="C"),AND(LEFT(C78,3)="  3",[8]非誘!$W$78="C"),[8]非誘!$W$80="C",[8]非誘!$W$81="C"),"Yd2-BHe",""))</f>
        <v/>
      </c>
      <c r="AR80" s="2310"/>
      <c r="AS80" s="2310"/>
      <c r="AT80" s="2310"/>
      <c r="AU80" s="2310"/>
      <c r="AV80" s="2310"/>
      <c r="AW80" s="2310"/>
      <c r="AX80" s="2310"/>
      <c r="AY80" s="2311"/>
      <c r="AZ80" s="2304" t="str">
        <f>IF(AQ80="","",IF(OR(C78="",C78="  RF"),"",IF(BC80&lt;&gt;"",BC80,AA78)))</f>
        <v/>
      </c>
      <c r="BA80" s="2304"/>
      <c r="BB80" s="2304"/>
      <c r="BC80" s="2305"/>
      <c r="BD80" s="2305"/>
      <c r="BE80" s="2305"/>
      <c r="BF80" s="2316" t="s">
        <v>10</v>
      </c>
      <c r="BG80" s="2317"/>
      <c r="BH80" s="2318"/>
      <c r="BI80" s="2319" t="str">
        <f>IF(OR($BW$10=0,AL76="設置しない",C78="",C78="  RF"),"",IF(OR(AND(LEFT(C78,2)=" B",[6]Top!$O$72="要"),AND(LEFT(C78,3)="  1",[6]Top!$O$74="要"),AND(LEFT(C78,3)="  2",[6]Top!$O$76="要"),AND(LEFT(C78,3)="  3",[6]Top!$O$78="要"),[6]Top!$O$80="要",[6]Top!$O$81="要",$Y$9="設置する"),"d4-30e",""))</f>
        <v>d4-30e</v>
      </c>
      <c r="BJ80" s="2320"/>
      <c r="BK80" s="2320"/>
      <c r="BL80" s="2320"/>
      <c r="BM80" s="2321"/>
      <c r="BN80" s="2319">
        <f>IF(OR($BW$10=0,AL76="設置しない",C78="",C78="  RF"),"",IF(LEFT(C78,2)="PH","",IF(BR80&lt;&gt;"",BR80,IF((1+INT(S78/110))&lt;=AA78,AA78,1+INT(S78/110)))))</f>
        <v>8</v>
      </c>
      <c r="BO80" s="2320"/>
      <c r="BP80" s="2321"/>
      <c r="BQ80" s="31" t="s">
        <v>103</v>
      </c>
      <c r="BR80" s="2322"/>
      <c r="BS80" s="2323"/>
      <c r="BT80" s="2324"/>
      <c r="BU80" s="19"/>
      <c r="BV80" s="226"/>
      <c r="BW80" s="196"/>
      <c r="BX80" s="8"/>
      <c r="BY80" s="88" t="s">
        <v>200</v>
      </c>
      <c r="BZ80" s="222">
        <f>SUM(AZ78:BB81)+SUM(BO78:BQ81)</f>
        <v>9</v>
      </c>
      <c r="CA80" s="8"/>
      <c r="CB80" s="8"/>
      <c r="CC80" s="88" t="s">
        <v>121</v>
      </c>
      <c r="CD80" s="88">
        <f>IF($AW$8=0,0,2*($AW$8/1000-0.15-0.1)*(INT(1000*2*BW78/$AW$10)+1)*(INT(1000*2*BX78/$AW$10)+1)*4)</f>
        <v>162</v>
      </c>
      <c r="CE80" s="8"/>
      <c r="CF80" s="8"/>
      <c r="CG80" s="168"/>
      <c r="CH80" s="261"/>
      <c r="CI80" s="8"/>
      <c r="CJ80" s="8"/>
      <c r="CK80" s="168"/>
      <c r="CL80" s="261"/>
      <c r="CM80" s="8"/>
      <c r="CN80" s="8"/>
      <c r="CO80" s="136">
        <f>IF(AZ80="",0,VLOOKUP(AQ80,[7]建物1802!$E$5:$AL$3275,33,FALSE)*AZ80)</f>
        <v>0</v>
      </c>
      <c r="CP80" s="136">
        <f>IF(AZ80="",0,VLOOKUP(AQ80,[7]建物1802!$E$5:$AL$3275,30,FALSE)*AZ80)</f>
        <v>0</v>
      </c>
      <c r="CQ80" s="136">
        <f>IF(CO80="","",SQRT(CO80^2-CP80^2))</f>
        <v>0</v>
      </c>
      <c r="CR80" s="260"/>
      <c r="CS80" s="14"/>
      <c r="CT80" s="14"/>
      <c r="CU80" s="14"/>
      <c r="CV80" s="14"/>
      <c r="CW80" s="216"/>
      <c r="CX80" s="88">
        <v>9</v>
      </c>
      <c r="CY80" s="204">
        <f t="shared" si="6"/>
        <v>3</v>
      </c>
      <c r="CZ80" s="155" t="str">
        <f t="shared" si="7"/>
        <v/>
      </c>
      <c r="DA80" s="154" t="str">
        <f>AG63</f>
        <v>PF-S-16mm</v>
      </c>
      <c r="DB80" s="45"/>
      <c r="DC80" s="45"/>
      <c r="DD80" s="45"/>
      <c r="DE80" s="153" t="str">
        <f>IF(COUNTIF($DA$15:DA79,DA80)&gt;0,"",DA80)</f>
        <v/>
      </c>
      <c r="DF80" s="152">
        <f>AM63</f>
        <v>19.5</v>
      </c>
      <c r="DG80" s="32">
        <f t="shared" si="8"/>
        <v>0</v>
      </c>
      <c r="DH80" s="124">
        <f t="shared" si="9"/>
        <v>5</v>
      </c>
      <c r="DI80" s="149" t="str">
        <f t="shared" si="10"/>
        <v/>
      </c>
      <c r="DJ80" s="210" t="str">
        <f>BI63</f>
        <v>d4-13e</v>
      </c>
      <c r="DK80" s="154"/>
      <c r="DL80" s="154"/>
      <c r="DM80" s="45"/>
      <c r="DN80" s="45" t="str">
        <f>IF(COUNTIF($DJ$15:DJ79,DJ80)&gt;0,"",DJ80)</f>
        <v/>
      </c>
      <c r="DO80" s="209">
        <f>BN63</f>
        <v>10</v>
      </c>
      <c r="DP80" s="169">
        <f t="shared" si="11"/>
        <v>0</v>
      </c>
      <c r="DQ80" s="88">
        <v>9</v>
      </c>
    </row>
    <row r="81" spans="1:121" ht="11.25" customHeight="1" thickBot="1">
      <c r="A81" s="15"/>
      <c r="B81" s="23"/>
      <c r="C81" s="2359" t="str">
        <f>IF(C78="","",IF(I81="","",IF(AI77="非:天井(C管)","C-19mm",IF(AI77="非:天井(G管)","G- 16mm","PF-S-16mm"))))</f>
        <v/>
      </c>
      <c r="D81" s="2360"/>
      <c r="E81" s="2360"/>
      <c r="F81" s="2360"/>
      <c r="G81" s="2360"/>
      <c r="H81" s="2360"/>
      <c r="I81" s="2335" t="str">
        <f>IF(OR(C78="",AL76="設置しない",BH76="設置しない",$BW$10=0,CH78=0,CJ78=0),"",IF(J78="直天",ROUND((BZ78+CB78),1),ROUND((CH78+CJ78),1)))</f>
        <v/>
      </c>
      <c r="J81" s="2335"/>
      <c r="K81" s="2335"/>
      <c r="L81" s="2335"/>
      <c r="M81" s="2359" t="str">
        <f>IF(C78="","",IF(S81="","",IF(BC77="誘:天井(C管)","C-19mm",IF(BC77="誘:天井(G管)","G- 16mm","PF-S-16mm"))))</f>
        <v/>
      </c>
      <c r="N81" s="2360"/>
      <c r="O81" s="2360"/>
      <c r="P81" s="2360"/>
      <c r="Q81" s="2360"/>
      <c r="R81" s="2361"/>
      <c r="S81" s="2312" t="str">
        <f>IF(OR(C78="",,AL76="設置しない",BH76="設置しない",$BW$10=0,CH81=0,CJ81=0),"",IF(J78="直天",ROUND((BZ81+CB81),1),ROUND((CH81+CJ81),1)))</f>
        <v/>
      </c>
      <c r="T81" s="2312"/>
      <c r="U81" s="2312"/>
      <c r="V81" s="2312"/>
      <c r="W81" s="2359" t="str">
        <f>IF(C78="","",IF($B$2=0,"",IF(OR(AI77="非:天井(C管)",AI77="非:床(C管)"),"C-19mm",IF(OR(AI77="非:天井(G管)",AI77="非:床(G管)"),"G-16mm",IF(AI77="非:床(CD管)","CD-16mm","PF-S-16mm")))))</f>
        <v>PF-S-16mm</v>
      </c>
      <c r="X81" s="2360"/>
      <c r="Y81" s="2360"/>
      <c r="Z81" s="2360"/>
      <c r="AA81" s="2360"/>
      <c r="AB81" s="2361"/>
      <c r="AC81" s="2362">
        <f>IF(OR(C78="",AL76="設置しない",BH76="設置しない"),"",ROUND(CL78,1))</f>
        <v>3.9</v>
      </c>
      <c r="AD81" s="2312"/>
      <c r="AE81" s="2312"/>
      <c r="AF81" s="2312"/>
      <c r="AG81" s="2333" t="str">
        <f>IF(C78="","",IF($B$2=0,"",IF(BC77="誘:天井(C管)","C-19mm",IF(BC77="誘:天井(G管)","G-16mm","PF-S-16mm"))))</f>
        <v>PF-S-16mm</v>
      </c>
      <c r="AH81" s="2333"/>
      <c r="AI81" s="2333"/>
      <c r="AJ81" s="2333"/>
      <c r="AK81" s="2333"/>
      <c r="AL81" s="2333"/>
      <c r="AM81" s="2334">
        <f>IF(OR(C78="",AL76="設置しない",BH76="設置しない"),"",ROUND((CL81+CN81),1))</f>
        <v>19.5</v>
      </c>
      <c r="AN81" s="2335"/>
      <c r="AO81" s="2335"/>
      <c r="AP81" s="2335"/>
      <c r="AQ81" s="2291" t="str">
        <f>IF(C78="","",IF(OR(AND(LEFT(C78,2)=" B",[6]Top!$AA$72="C"),AND(LEFT(C78,3)="  1",[6]Top!$AA$73="C"),AND(LEFT(C78,3)="  2",[6]Top!$AA$75="C"),AND(LEFT(C78,3)="  3",[6]Top!$AA$77="C"),[6]Top!$AA$79="C",[6]Top!$AA$81="C"),"Yd2-Ce",""))</f>
        <v>Yd2-Ce</v>
      </c>
      <c r="AR81" s="2292"/>
      <c r="AS81" s="2292"/>
      <c r="AT81" s="2292"/>
      <c r="AU81" s="2292"/>
      <c r="AV81" s="2292"/>
      <c r="AW81" s="2292"/>
      <c r="AX81" s="2292"/>
      <c r="AY81" s="2293"/>
      <c r="AZ81" s="2294">
        <f>IF(OR(C78="",C78="  RF",AQ81=""),"",IF(BC81&lt;&gt;"",BC81,1+INT((BW78+BX78)/20)))</f>
        <v>2</v>
      </c>
      <c r="BA81" s="2295"/>
      <c r="BB81" s="2296"/>
      <c r="BC81" s="2287"/>
      <c r="BD81" s="2287"/>
      <c r="BE81" s="2287"/>
      <c r="BF81" s="2363" t="s">
        <v>127</v>
      </c>
      <c r="BG81" s="2364"/>
      <c r="BH81" s="2365"/>
      <c r="BI81" s="2335" t="str">
        <f>IF(OR($BW$10=0,AY76="設置しない",C78="",C78="  RF"),"",IF(OR(AND(LEFT(C78,2)=" B",[6]Top!$O$72="要"),AND(LEFT(C78,3)="  1",[6]Top!$O$74="要"),AND(LEFT(C78,3)="  2",[6]Top!$O$76="要"),AND(LEFT(C78,3)="  3",[6]Top!$O$78="要"),[6]Top!$O$80="要",[6]Top!$O$81="要",$Y$10="設置する"),"d4-13e",""))</f>
        <v>d4-13e</v>
      </c>
      <c r="BJ81" s="2335"/>
      <c r="BK81" s="2335"/>
      <c r="BL81" s="2335"/>
      <c r="BM81" s="2335"/>
      <c r="BN81" s="2335">
        <f>IF(OR($BW$10=0,BH76="設置しない",C78="",C78="  RF"),"",IF(BR81&lt;&gt;"",BR81,INT(AD78*1.2)))</f>
        <v>10</v>
      </c>
      <c r="BO81" s="2335"/>
      <c r="BP81" s="2335"/>
      <c r="BQ81" s="31" t="s">
        <v>103</v>
      </c>
      <c r="BR81" s="2350"/>
      <c r="BS81" s="2351"/>
      <c r="BT81" s="2352"/>
      <c r="BU81" s="19"/>
      <c r="BV81" s="8"/>
      <c r="BW81" s="8"/>
      <c r="BX81" s="8"/>
      <c r="BY81" s="88" t="s">
        <v>199</v>
      </c>
      <c r="BZ81" s="151">
        <f>IF(AL78="",0,AL78*SQRT(N78/BZ80))</f>
        <v>33.941125496954285</v>
      </c>
      <c r="CA81" s="88" t="s">
        <v>198</v>
      </c>
      <c r="CB81" s="151">
        <f>IF(BZ80=0,0,(BZ80/3)*BW79)</f>
        <v>81</v>
      </c>
      <c r="CC81" s="88" t="s">
        <v>199</v>
      </c>
      <c r="CD81" s="151">
        <f>IF(F78=0,0,F78-0.25-$Y$7/1000)</f>
        <v>1.95</v>
      </c>
      <c r="CE81" s="88" t="s">
        <v>198</v>
      </c>
      <c r="CF81" s="151">
        <f>IF(F78=0,0,(2*(BZ80-BO78)-1)*$AN$7/1000+(2*BO78-1)*(F78-0.75))</f>
        <v>20.149999999999999</v>
      </c>
      <c r="CG81" s="88" t="s">
        <v>199</v>
      </c>
      <c r="CH81" s="151">
        <f>IF(BC77="誘:天井ケーブル",0,BZ81)</f>
        <v>0</v>
      </c>
      <c r="CI81" s="88" t="s">
        <v>198</v>
      </c>
      <c r="CJ81" s="151">
        <f>IF(BC77="誘:天井ケーブル",0,CB81)</f>
        <v>0</v>
      </c>
      <c r="CK81" s="88" t="s">
        <v>199</v>
      </c>
      <c r="CL81" s="259">
        <f>IF(F78=0,0,IF(J78="直天",AL78*(F78-$Y$7/1000),AL78*(J78+0.1-$Y$7/1000)))</f>
        <v>3.9000000000000004</v>
      </c>
      <c r="CM81" s="88" t="s">
        <v>198</v>
      </c>
      <c r="CN81" s="151">
        <f>IF(F78=0,0,IF(J78="直天",BO78*(2*BO78-1)*(F78-0.5),BO78*(2*BO78-1)*(J78-0.4)))</f>
        <v>15.600000000000001</v>
      </c>
      <c r="CO81" s="136">
        <f>IF(AZ81="",0,VLOOKUP(AQ81,[7]建物1802!$E$5:$AL$3275,33,FALSE)*AZ81)</f>
        <v>10.58</v>
      </c>
      <c r="CP81" s="136">
        <f>IF(AZ81="",0,VLOOKUP(AQ81,[7]建物1802!$E$5:$AL$3275,30,FALSE)*AZ81)</f>
        <v>5.2</v>
      </c>
      <c r="CQ81" s="136">
        <f>IF(CO81="","",SQRT(CO81^2-CP81^2))</f>
        <v>9.2139242454016301</v>
      </c>
      <c r="CR81" s="26"/>
      <c r="CS81" s="26"/>
      <c r="CT81" s="26"/>
      <c r="CU81" s="26"/>
      <c r="CV81" s="26"/>
      <c r="CW81" s="218"/>
      <c r="CX81" s="8"/>
      <c r="CY81" s="197">
        <f t="shared" ref="CY81:CY112" si="12">IF(DE81&lt;&gt;"",CY80+1,CY80)</f>
        <v>3</v>
      </c>
      <c r="CZ81" s="197" t="str">
        <f t="shared" ref="CZ81:CZ112" si="13">IF(AND(CY81&lt;&gt;"",DE81&lt;&gt;""),CY81,"")</f>
        <v/>
      </c>
      <c r="DA81" s="10" t="str">
        <f>C67</f>
        <v>VV-F 2.0mm-2C</v>
      </c>
      <c r="DB81" s="8"/>
      <c r="DC81" s="8"/>
      <c r="DD81" s="8"/>
      <c r="DE81" s="249" t="str">
        <f>IF(COUNTIF($DA$15:DA80,DA81)&gt;0,"",DA81)</f>
        <v/>
      </c>
      <c r="DF81" s="26">
        <f>S67</f>
        <v>54.3</v>
      </c>
      <c r="DG81" s="32">
        <f t="shared" ref="DG81:DG88" si="14">SUMIF($DA$17:$DA$179,DE81,$DF$17:$DF$179)</f>
        <v>0</v>
      </c>
      <c r="DH81" s="198">
        <f t="shared" ref="DH81:DH112" si="15">IF(OR(DN81=0,DN81=""),DH80,DH80+1)</f>
        <v>5</v>
      </c>
      <c r="DI81" s="199" t="str">
        <f t="shared" ref="DI81:DI88" si="16">IF(AND(DH81&lt;&gt;"",DN81&lt;&gt;0,DN81&lt;&gt;""),DH81,"")</f>
        <v/>
      </c>
      <c r="DJ81" s="10" t="str">
        <f>AQ66</f>
        <v>Xh1-Ae</v>
      </c>
      <c r="DK81" s="10"/>
      <c r="DL81" s="10"/>
      <c r="DM81" s="8"/>
      <c r="DN81" s="249" t="str">
        <f>IF(COUNTIF($DJ$15:DJ80,DJ81)&gt;0,"",DJ81)</f>
        <v/>
      </c>
      <c r="DO81" s="200">
        <f>AZ66</f>
        <v>3</v>
      </c>
      <c r="DP81" s="32">
        <f t="shared" ref="DP81:DP112" si="17">SUMIF($DJ$17:$DJ$179,DN81,$DO$17:$DO$179)</f>
        <v>0</v>
      </c>
      <c r="DQ81" s="8"/>
    </row>
    <row r="82" spans="1:121" ht="11.25" customHeight="1">
      <c r="A82" s="15"/>
      <c r="B82" s="18"/>
      <c r="C82" s="279"/>
      <c r="D82" s="279"/>
      <c r="E82" s="279"/>
      <c r="F82" s="279"/>
      <c r="G82" s="279"/>
      <c r="H82" s="279"/>
      <c r="I82" s="279"/>
      <c r="J82" s="278"/>
      <c r="K82" s="278"/>
      <c r="L82" s="278"/>
      <c r="M82" s="278"/>
      <c r="N82" s="278"/>
      <c r="O82" s="278"/>
      <c r="P82" s="278"/>
      <c r="Q82" s="278"/>
      <c r="R82" s="277"/>
      <c r="S82" s="276"/>
      <c r="T82" s="276"/>
      <c r="U82" s="278"/>
      <c r="V82" s="278"/>
      <c r="W82" s="278"/>
      <c r="X82" s="278"/>
      <c r="Y82" s="278"/>
      <c r="Z82" s="278"/>
      <c r="AA82" s="278"/>
      <c r="AB82" s="278"/>
      <c r="AC82" s="277"/>
      <c r="AD82" s="276"/>
      <c r="AE82" s="276"/>
      <c r="AF82" s="271"/>
      <c r="AG82" s="271"/>
      <c r="AH82" s="271"/>
      <c r="AI82" s="271"/>
      <c r="AJ82" s="271"/>
      <c r="AK82" s="275"/>
      <c r="AL82" s="274"/>
      <c r="AM82" s="274"/>
      <c r="AN82" s="274"/>
      <c r="AO82" s="274"/>
      <c r="AP82" s="274"/>
      <c r="AQ82" s="272"/>
      <c r="AR82" s="272"/>
      <c r="AS82" s="272"/>
      <c r="AT82" s="272"/>
      <c r="AU82" s="272"/>
      <c r="AV82" s="272"/>
      <c r="AW82" s="272"/>
      <c r="AX82" s="272"/>
      <c r="AY82" s="272"/>
      <c r="AZ82" s="271"/>
      <c r="BA82" s="271"/>
      <c r="BB82" s="271"/>
      <c r="BC82" s="273"/>
      <c r="BD82" s="273"/>
      <c r="BE82" s="273"/>
      <c r="BF82" s="272"/>
      <c r="BG82" s="272"/>
      <c r="BH82" s="272"/>
      <c r="BI82" s="272"/>
      <c r="BJ82" s="272"/>
      <c r="BK82" s="272"/>
      <c r="BL82" s="272"/>
      <c r="BM82" s="272"/>
      <c r="BN82" s="272"/>
      <c r="BO82" s="271"/>
      <c r="BP82" s="271"/>
      <c r="BQ82" s="271"/>
      <c r="BR82" s="270"/>
      <c r="BS82" s="270"/>
      <c r="BT82" s="270"/>
      <c r="BU82" s="16"/>
      <c r="BV82" s="8"/>
      <c r="BW82" s="8"/>
      <c r="BX82" s="8"/>
      <c r="BY82" s="9"/>
      <c r="BZ82" s="60"/>
      <c r="CA82" s="9"/>
      <c r="CB82" s="60"/>
      <c r="CC82" s="9"/>
      <c r="CD82" s="60"/>
      <c r="CE82" s="9"/>
      <c r="CF82" s="60"/>
      <c r="CG82" s="9"/>
      <c r="CH82" s="60"/>
      <c r="CI82" s="9"/>
      <c r="CJ82" s="60"/>
      <c r="CK82" s="9"/>
      <c r="CL82" s="40"/>
      <c r="CM82" s="9"/>
      <c r="CN82" s="60"/>
      <c r="CO82" s="254"/>
      <c r="CP82" s="254"/>
      <c r="CQ82" s="254"/>
      <c r="CR82" s="26"/>
      <c r="CS82" s="26"/>
      <c r="CT82" s="26"/>
      <c r="CU82" s="26"/>
      <c r="CV82" s="26"/>
      <c r="CW82" s="218"/>
      <c r="CX82" s="8"/>
      <c r="CY82" s="197">
        <f t="shared" si="12"/>
        <v>3</v>
      </c>
      <c r="CZ82" s="197" t="str">
        <f t="shared" si="13"/>
        <v/>
      </c>
      <c r="DA82" s="10" t="str">
        <f>W67</f>
        <v>VV-F 2.0mm-2C</v>
      </c>
      <c r="DB82" s="8"/>
      <c r="DC82" s="8"/>
      <c r="DD82" s="8"/>
      <c r="DE82" s="249" t="str">
        <f>IF(COUNTIF($DA$15:DA81,DA82)&gt;0,"",DA82)</f>
        <v/>
      </c>
      <c r="DF82" s="26">
        <f>AM67</f>
        <v>33.9</v>
      </c>
      <c r="DG82" s="32">
        <f t="shared" si="14"/>
        <v>0</v>
      </c>
      <c r="DH82" s="198">
        <f t="shared" si="15"/>
        <v>5</v>
      </c>
      <c r="DI82" s="199" t="str">
        <f t="shared" si="16"/>
        <v/>
      </c>
      <c r="DJ82" s="10" t="str">
        <f>AQ67</f>
        <v>Xh1-Ae</v>
      </c>
      <c r="DK82" s="10"/>
      <c r="DL82" s="10"/>
      <c r="DM82" s="8"/>
      <c r="DN82" s="8" t="str">
        <f>IF(COUNTIF($DJ$15:DJ81,DJ82)&gt;0,"",DJ82)</f>
        <v/>
      </c>
      <c r="DO82" s="200">
        <f>AZ67</f>
        <v>2</v>
      </c>
      <c r="DP82" s="32">
        <f t="shared" si="17"/>
        <v>0</v>
      </c>
      <c r="DQ82" s="8"/>
    </row>
    <row r="83" spans="1:121" ht="11.25" customHeight="1">
      <c r="A83" s="15"/>
      <c r="B83" s="93"/>
      <c r="C83" s="269"/>
      <c r="D83" s="269"/>
      <c r="E83" s="269"/>
      <c r="F83" s="269"/>
      <c r="G83" s="269"/>
      <c r="H83" s="269"/>
      <c r="I83" s="269"/>
      <c r="J83" s="269"/>
      <c r="K83" s="269"/>
      <c r="L83" s="269"/>
      <c r="M83" s="269"/>
      <c r="N83" s="269"/>
      <c r="O83" s="269"/>
      <c r="P83" s="269"/>
      <c r="Q83" s="269"/>
      <c r="R83" s="269"/>
      <c r="S83" s="269"/>
      <c r="T83" s="269"/>
      <c r="U83" s="269"/>
      <c r="V83" s="269"/>
      <c r="W83" s="269"/>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7"/>
      <c r="BE83" s="267"/>
      <c r="BF83" s="267"/>
      <c r="BG83" s="268"/>
      <c r="BH83" s="268"/>
      <c r="BI83" s="268"/>
      <c r="BJ83" s="268"/>
      <c r="BK83" s="268"/>
      <c r="BL83" s="268"/>
      <c r="BM83" s="268"/>
      <c r="BN83" s="268"/>
      <c r="BO83" s="268"/>
      <c r="BP83" s="268"/>
      <c r="BQ83" s="268"/>
      <c r="BR83" s="267"/>
      <c r="BS83" s="267"/>
      <c r="BT83" s="267"/>
      <c r="BU83" s="78"/>
      <c r="BV83" s="8"/>
      <c r="BW83" s="8"/>
      <c r="BX83" s="8"/>
      <c r="BY83" s="9"/>
      <c r="BZ83" s="9"/>
      <c r="CA83" s="9"/>
      <c r="CB83" s="9"/>
      <c r="CC83" s="9"/>
      <c r="CD83" s="9"/>
      <c r="CE83" s="9"/>
      <c r="CF83" s="9"/>
      <c r="CG83" s="9"/>
      <c r="CH83" s="9"/>
      <c r="CI83" s="9"/>
      <c r="CJ83" s="9"/>
      <c r="CK83" s="9"/>
      <c r="CL83" s="9"/>
      <c r="CM83" s="9"/>
      <c r="CN83" s="9"/>
      <c r="CO83" s="40"/>
      <c r="CP83" s="40"/>
      <c r="CQ83" s="40"/>
      <c r="CR83" s="14"/>
      <c r="CS83" s="14"/>
      <c r="CT83" s="14"/>
      <c r="CU83" s="14"/>
      <c r="CV83" s="14"/>
      <c r="CW83" s="216"/>
      <c r="CX83" s="8"/>
      <c r="CY83" s="197">
        <f t="shared" si="12"/>
        <v>3</v>
      </c>
      <c r="CZ83" s="197" t="str">
        <f t="shared" si="13"/>
        <v/>
      </c>
      <c r="DA83" s="10" t="str">
        <f>C68</f>
        <v>VV-F 1.6mm-2C</v>
      </c>
      <c r="DB83" s="8"/>
      <c r="DC83" s="8"/>
      <c r="DD83" s="8"/>
      <c r="DE83" s="249" t="str">
        <f>IF(COUNTIF($DA$15:DA82,DA83)&gt;0,"",DA83)</f>
        <v/>
      </c>
      <c r="DF83" s="26">
        <f>S68</f>
        <v>312</v>
      </c>
      <c r="DG83" s="32">
        <f t="shared" si="14"/>
        <v>0</v>
      </c>
      <c r="DH83" s="198">
        <f t="shared" si="15"/>
        <v>5</v>
      </c>
      <c r="DI83" s="198" t="str">
        <f t="shared" si="16"/>
        <v/>
      </c>
      <c r="DJ83" s="10" t="str">
        <f>AQ68</f>
        <v/>
      </c>
      <c r="DK83" s="10"/>
      <c r="DL83" s="10"/>
      <c r="DM83" s="8"/>
      <c r="DN83" s="8" t="str">
        <f>IF(COUNTIF($DJ$15:DJ82,DJ83)&gt;0,"",DJ83)</f>
        <v/>
      </c>
      <c r="DO83" s="200" t="str">
        <f>AZ68</f>
        <v/>
      </c>
      <c r="DP83" s="32">
        <f t="shared" si="17"/>
        <v>0</v>
      </c>
      <c r="DQ83" s="8"/>
    </row>
    <row r="84" spans="1:121" ht="10.5" customHeight="1">
      <c r="A84" s="15"/>
      <c r="B84" s="23"/>
      <c r="C84" s="2299" t="s">
        <v>16</v>
      </c>
      <c r="D84" s="2299"/>
      <c r="E84" s="2299"/>
      <c r="F84" s="2299" t="s">
        <v>22</v>
      </c>
      <c r="G84" s="2299"/>
      <c r="H84" s="2299"/>
      <c r="I84" s="2299"/>
      <c r="J84" s="2299" t="s">
        <v>5</v>
      </c>
      <c r="K84" s="2299"/>
      <c r="L84" s="2299"/>
      <c r="M84" s="2299"/>
      <c r="N84" s="2299" t="s">
        <v>6</v>
      </c>
      <c r="O84" s="2299"/>
      <c r="P84" s="2299"/>
      <c r="Q84" s="2299"/>
      <c r="R84" s="2299"/>
      <c r="S84" s="2299" t="s">
        <v>224</v>
      </c>
      <c r="T84" s="2299"/>
      <c r="U84" s="2299"/>
      <c r="V84" s="2299"/>
      <c r="W84" s="2299"/>
      <c r="X84" s="2299"/>
      <c r="Y84" s="2299"/>
      <c r="Z84" s="2299"/>
      <c r="AA84" s="2299" t="s">
        <v>9</v>
      </c>
      <c r="AB84" s="2299"/>
      <c r="AC84" s="2299"/>
      <c r="AD84" s="2299" t="s">
        <v>9</v>
      </c>
      <c r="AE84" s="2299"/>
      <c r="AF84" s="2299"/>
      <c r="AG84" s="2299" t="s">
        <v>130</v>
      </c>
      <c r="AH84" s="2299"/>
      <c r="AI84" s="2299"/>
      <c r="AJ84" s="2299"/>
      <c r="AK84" s="2299"/>
      <c r="AL84" s="2299"/>
      <c r="AM84" s="2299"/>
      <c r="AN84" s="2299"/>
      <c r="AO84" s="2299"/>
      <c r="AP84" s="2299"/>
      <c r="AQ84" s="2396"/>
      <c r="AR84" s="2396"/>
      <c r="AS84" s="2396"/>
      <c r="AT84" s="2396"/>
      <c r="AU84" s="2396"/>
      <c r="AV84" s="2396"/>
      <c r="AW84" s="2396"/>
      <c r="AX84" s="2396"/>
      <c r="AY84" s="2396"/>
      <c r="AZ84" s="2381" t="s">
        <v>222</v>
      </c>
      <c r="BA84" s="2382"/>
      <c r="BB84" s="2383"/>
      <c r="BC84" s="2381" t="s">
        <v>221</v>
      </c>
      <c r="BD84" s="2382"/>
      <c r="BE84" s="2383"/>
      <c r="BF84" s="2396"/>
      <c r="BG84" s="2396"/>
      <c r="BH84" s="2396"/>
      <c r="BI84" s="2396"/>
      <c r="BJ84" s="2396"/>
      <c r="BK84" s="2396"/>
      <c r="BL84" s="2396"/>
      <c r="BM84" s="2396"/>
      <c r="BN84" s="2396"/>
      <c r="BO84" s="2381" t="s">
        <v>222</v>
      </c>
      <c r="BP84" s="2382"/>
      <c r="BQ84" s="2383"/>
      <c r="BR84" s="2381" t="s">
        <v>221</v>
      </c>
      <c r="BS84" s="2382"/>
      <c r="BT84" s="2383"/>
      <c r="BU84" s="19"/>
      <c r="BV84" s="8"/>
      <c r="BW84" s="8"/>
      <c r="BX84" s="8"/>
      <c r="BY84" s="8"/>
      <c r="BZ84" s="8"/>
      <c r="CA84" s="8"/>
      <c r="CB84" s="8"/>
      <c r="CC84" s="8"/>
      <c r="CD84" s="8"/>
      <c r="CE84" s="8"/>
      <c r="CF84" s="8"/>
      <c r="CG84" s="8"/>
      <c r="CH84" s="8"/>
      <c r="CI84" s="8"/>
      <c r="CJ84" s="8"/>
      <c r="CK84" s="8"/>
      <c r="CL84" s="8"/>
      <c r="CM84" s="8"/>
      <c r="CN84" s="8"/>
      <c r="CO84" s="9"/>
      <c r="CP84" s="9"/>
      <c r="CQ84" s="9"/>
      <c r="CR84" s="218"/>
      <c r="CS84" s="218"/>
      <c r="CT84" s="218"/>
      <c r="CU84" s="218"/>
      <c r="CV84" s="218"/>
      <c r="CW84" s="218"/>
      <c r="CX84" s="8"/>
      <c r="CY84" s="197">
        <f t="shared" si="12"/>
        <v>3</v>
      </c>
      <c r="CZ84" s="197" t="str">
        <f t="shared" si="13"/>
        <v/>
      </c>
      <c r="DA84" s="10" t="str">
        <f>W68</f>
        <v>VV-F 1.6mm-2C</v>
      </c>
      <c r="DB84" s="8"/>
      <c r="DC84" s="8"/>
      <c r="DD84" s="8"/>
      <c r="DE84" s="249" t="str">
        <f>IF(COUNTIF($DA$15:DA83,DA84)&gt;0,"",DA84)</f>
        <v/>
      </c>
      <c r="DF84" s="26">
        <f>AM68</f>
        <v>243</v>
      </c>
      <c r="DG84" s="32">
        <f t="shared" si="14"/>
        <v>0</v>
      </c>
      <c r="DH84" s="198">
        <f t="shared" si="15"/>
        <v>5</v>
      </c>
      <c r="DI84" s="198" t="str">
        <f t="shared" si="16"/>
        <v/>
      </c>
      <c r="DJ84" s="11" t="str">
        <f>AQ69</f>
        <v>Yd2-Ce</v>
      </c>
      <c r="DK84" s="11"/>
      <c r="DL84" s="11"/>
      <c r="DM84" s="9"/>
      <c r="DN84" s="9" t="str">
        <f>IF(COUNTIF($DJ$15:DJ83,DJ84)&gt;0,"",DJ84)</f>
        <v/>
      </c>
      <c r="DO84" s="101">
        <f>AZ69</f>
        <v>2</v>
      </c>
      <c r="DP84" s="32">
        <f t="shared" si="17"/>
        <v>0</v>
      </c>
      <c r="DQ84" s="8"/>
    </row>
    <row r="85" spans="1:121" ht="10.5" customHeight="1">
      <c r="A85" s="15"/>
      <c r="B85" s="23"/>
      <c r="C85" s="2299"/>
      <c r="D85" s="2299"/>
      <c r="E85" s="2299"/>
      <c r="F85" s="2396"/>
      <c r="G85" s="2396"/>
      <c r="H85" s="2396"/>
      <c r="I85" s="2396"/>
      <c r="J85" s="2396"/>
      <c r="K85" s="2396"/>
      <c r="L85" s="2396"/>
      <c r="M85" s="2396"/>
      <c r="N85" s="2396"/>
      <c r="O85" s="2396"/>
      <c r="P85" s="2396"/>
      <c r="Q85" s="2396"/>
      <c r="R85" s="2396"/>
      <c r="S85" s="2396" t="s">
        <v>7</v>
      </c>
      <c r="T85" s="2396"/>
      <c r="U85" s="2396"/>
      <c r="V85" s="2396"/>
      <c r="W85" s="2396" t="s">
        <v>8</v>
      </c>
      <c r="X85" s="2396"/>
      <c r="Y85" s="2396"/>
      <c r="Z85" s="2396"/>
      <c r="AA85" s="2396"/>
      <c r="AB85" s="2396"/>
      <c r="AC85" s="2396"/>
      <c r="AD85" s="2396"/>
      <c r="AE85" s="2396"/>
      <c r="AF85" s="2396"/>
      <c r="AG85" s="2299" t="s">
        <v>18</v>
      </c>
      <c r="AH85" s="2299"/>
      <c r="AI85" s="2299"/>
      <c r="AJ85" s="2299"/>
      <c r="AK85" s="2299"/>
      <c r="AL85" s="2299" t="s">
        <v>220</v>
      </c>
      <c r="AM85" s="2299"/>
      <c r="AN85" s="2299"/>
      <c r="AO85" s="2299"/>
      <c r="AP85" s="2299"/>
      <c r="AQ85" s="2397" t="s">
        <v>219</v>
      </c>
      <c r="AR85" s="2397"/>
      <c r="AS85" s="2397"/>
      <c r="AT85" s="2397"/>
      <c r="AU85" s="2397"/>
      <c r="AV85" s="2397"/>
      <c r="AW85" s="2397"/>
      <c r="AX85" s="2397"/>
      <c r="AY85" s="2397"/>
      <c r="AZ85" s="2384"/>
      <c r="BA85" s="2385"/>
      <c r="BB85" s="2386"/>
      <c r="BC85" s="2384"/>
      <c r="BD85" s="2385"/>
      <c r="BE85" s="2386"/>
      <c r="BF85" s="2397" t="s">
        <v>219</v>
      </c>
      <c r="BG85" s="2397"/>
      <c r="BH85" s="2397"/>
      <c r="BI85" s="2397"/>
      <c r="BJ85" s="2397"/>
      <c r="BK85" s="2397"/>
      <c r="BL85" s="2397"/>
      <c r="BM85" s="2397"/>
      <c r="BN85" s="2397"/>
      <c r="BO85" s="2384"/>
      <c r="BP85" s="2385"/>
      <c r="BQ85" s="2386"/>
      <c r="BR85" s="2384"/>
      <c r="BS85" s="2385"/>
      <c r="BT85" s="2386"/>
      <c r="BU85" s="19"/>
      <c r="BV85" s="8"/>
      <c r="BW85" s="8"/>
      <c r="BX85" s="8"/>
      <c r="BY85" s="8"/>
      <c r="BZ85" s="8"/>
      <c r="CA85" s="8"/>
      <c r="CB85" s="8"/>
      <c r="CC85" s="8"/>
      <c r="CD85" s="8"/>
      <c r="CE85" s="8"/>
      <c r="CF85" s="8"/>
      <c r="CG85" s="8"/>
      <c r="CH85" s="8"/>
      <c r="CI85" s="8"/>
      <c r="CJ85" s="8"/>
      <c r="CK85" s="8"/>
      <c r="CL85" s="8"/>
      <c r="CM85" s="8"/>
      <c r="CN85" s="8"/>
      <c r="CO85" s="8"/>
      <c r="CP85" s="8"/>
      <c r="CQ85" s="8"/>
      <c r="CR85" s="218"/>
      <c r="CS85" s="218"/>
      <c r="CT85" s="218"/>
      <c r="CU85" s="218"/>
      <c r="CV85" s="218"/>
      <c r="CW85" s="218"/>
      <c r="CX85" s="8"/>
      <c r="CY85" s="197">
        <f t="shared" si="12"/>
        <v>3</v>
      </c>
      <c r="CZ85" s="197" t="str">
        <f t="shared" si="13"/>
        <v/>
      </c>
      <c r="DA85" s="10" t="str">
        <f>C69</f>
        <v/>
      </c>
      <c r="DB85" s="8"/>
      <c r="DC85" s="8"/>
      <c r="DD85" s="8"/>
      <c r="DE85" s="249" t="str">
        <f>IF(COUNTIF($DA$15:DA84,DA85)&gt;0,"",DA85)</f>
        <v/>
      </c>
      <c r="DF85" s="26" t="str">
        <f>I69</f>
        <v/>
      </c>
      <c r="DG85" s="32">
        <f t="shared" si="14"/>
        <v>0</v>
      </c>
      <c r="DH85" s="198">
        <f t="shared" si="15"/>
        <v>5</v>
      </c>
      <c r="DI85" s="124" t="str">
        <f t="shared" si="16"/>
        <v/>
      </c>
      <c r="DJ85" s="11" t="str">
        <f>BF66</f>
        <v>Ya1-Ce</v>
      </c>
      <c r="DK85" s="11"/>
      <c r="DL85" s="11"/>
      <c r="DM85" s="9"/>
      <c r="DN85" s="9" t="str">
        <f>IF(COUNTIF($DJ$15:DJ84,DJ85)&gt;0,"",DJ85)</f>
        <v/>
      </c>
      <c r="DO85" s="101">
        <f>BO66</f>
        <v>2</v>
      </c>
      <c r="DP85" s="32">
        <f t="shared" si="17"/>
        <v>0</v>
      </c>
      <c r="DQ85" s="8"/>
    </row>
    <row r="86" spans="1:121" ht="13.5" customHeight="1" thickBot="1">
      <c r="A86" s="15"/>
      <c r="B86" s="23"/>
      <c r="C86" s="2396"/>
      <c r="D86" s="2396"/>
      <c r="E86" s="2396"/>
      <c r="F86" s="2390" t="s">
        <v>218</v>
      </c>
      <c r="G86" s="2390"/>
      <c r="H86" s="2390"/>
      <c r="I86" s="2390"/>
      <c r="J86" s="2390" t="s">
        <v>218</v>
      </c>
      <c r="K86" s="2390"/>
      <c r="L86" s="2390"/>
      <c r="M86" s="2390"/>
      <c r="N86" s="2390" t="s">
        <v>128</v>
      </c>
      <c r="O86" s="2390"/>
      <c r="P86" s="2390"/>
      <c r="Q86" s="2390"/>
      <c r="R86" s="2390"/>
      <c r="S86" s="2390" t="s">
        <v>128</v>
      </c>
      <c r="T86" s="2390"/>
      <c r="U86" s="2390"/>
      <c r="V86" s="2390"/>
      <c r="W86" s="2390" t="s">
        <v>128</v>
      </c>
      <c r="X86" s="2390"/>
      <c r="Y86" s="2390"/>
      <c r="Z86" s="2390"/>
      <c r="AA86" s="2390" t="s">
        <v>111</v>
      </c>
      <c r="AB86" s="2390"/>
      <c r="AC86" s="2390"/>
      <c r="AD86" s="2390" t="s">
        <v>110</v>
      </c>
      <c r="AE86" s="2390"/>
      <c r="AF86" s="2390"/>
      <c r="AG86" s="2396"/>
      <c r="AH86" s="2396"/>
      <c r="AI86" s="2396"/>
      <c r="AJ86" s="2396"/>
      <c r="AK86" s="2396"/>
      <c r="AL86" s="2396"/>
      <c r="AM86" s="2396"/>
      <c r="AN86" s="2396"/>
      <c r="AO86" s="2396"/>
      <c r="AP86" s="2396"/>
      <c r="AQ86" s="2390"/>
      <c r="AR86" s="2390"/>
      <c r="AS86" s="2390"/>
      <c r="AT86" s="2390"/>
      <c r="AU86" s="2390"/>
      <c r="AV86" s="2390"/>
      <c r="AW86" s="2390"/>
      <c r="AX86" s="2390"/>
      <c r="AY86" s="2390"/>
      <c r="AZ86" s="2387"/>
      <c r="BA86" s="2388"/>
      <c r="BB86" s="2389"/>
      <c r="BC86" s="2387"/>
      <c r="BD86" s="2388"/>
      <c r="BE86" s="2389"/>
      <c r="BF86" s="2390"/>
      <c r="BG86" s="2390"/>
      <c r="BH86" s="2390"/>
      <c r="BI86" s="2390"/>
      <c r="BJ86" s="2390"/>
      <c r="BK86" s="2390"/>
      <c r="BL86" s="2390"/>
      <c r="BM86" s="2390"/>
      <c r="BN86" s="2390"/>
      <c r="BO86" s="2387"/>
      <c r="BP86" s="2388"/>
      <c r="BQ86" s="2389"/>
      <c r="BR86" s="2387"/>
      <c r="BS86" s="2388"/>
      <c r="BT86" s="2389"/>
      <c r="BU86" s="19"/>
      <c r="BV86" s="8"/>
      <c r="BW86" s="8"/>
      <c r="BX86" s="8"/>
      <c r="BY86" s="8"/>
      <c r="BZ86" s="8"/>
      <c r="CA86" s="8"/>
      <c r="CB86" s="8"/>
      <c r="CC86" s="8"/>
      <c r="CD86" s="8"/>
      <c r="CE86" s="8"/>
      <c r="CF86" s="8"/>
      <c r="CG86" s="8"/>
      <c r="CH86" s="8"/>
      <c r="CI86" s="8"/>
      <c r="CJ86" s="8"/>
      <c r="CK86" s="8"/>
      <c r="CL86" s="8"/>
      <c r="CM86" s="8"/>
      <c r="CN86" s="8"/>
      <c r="CO86" s="8"/>
      <c r="CP86" s="8"/>
      <c r="CQ86" s="8"/>
      <c r="CR86" s="218"/>
      <c r="CS86" s="218"/>
      <c r="CT86" s="218"/>
      <c r="CU86" s="218"/>
      <c r="CV86" s="218"/>
      <c r="CW86" s="218"/>
      <c r="CX86" s="8"/>
      <c r="CY86" s="197">
        <f t="shared" si="12"/>
        <v>3</v>
      </c>
      <c r="CZ86" s="197" t="str">
        <f t="shared" si="13"/>
        <v/>
      </c>
      <c r="DA86" s="10" t="str">
        <f>M69</f>
        <v/>
      </c>
      <c r="DB86" s="8"/>
      <c r="DC86" s="8"/>
      <c r="DD86" s="8"/>
      <c r="DE86" s="249" t="str">
        <f>IF(COUNTIF($DA$15:DA85,DA86)&gt;0,"",DA86)</f>
        <v/>
      </c>
      <c r="DF86" s="26" t="str">
        <f>S69</f>
        <v/>
      </c>
      <c r="DG86" s="32">
        <f t="shared" si="14"/>
        <v>0</v>
      </c>
      <c r="DH86" s="198">
        <f t="shared" si="15"/>
        <v>5</v>
      </c>
      <c r="DI86" s="124" t="str">
        <f t="shared" si="16"/>
        <v/>
      </c>
      <c r="DJ86" s="11" t="str">
        <f>BF67</f>
        <v/>
      </c>
      <c r="DK86" s="11"/>
      <c r="DL86" s="11"/>
      <c r="DM86" s="9"/>
      <c r="DN86" s="9" t="str">
        <f>IF(COUNTIF($DJ$15:DJ85,DJ86)&gt;0,"",DJ86)</f>
        <v/>
      </c>
      <c r="DO86" s="101" t="str">
        <f>BO67</f>
        <v/>
      </c>
      <c r="DP86" s="13">
        <f t="shared" si="17"/>
        <v>0</v>
      </c>
      <c r="DQ86" s="8"/>
    </row>
    <row r="87" spans="1:121" ht="11.25" customHeight="1" thickBot="1">
      <c r="A87" s="15"/>
      <c r="B87" s="23"/>
      <c r="C87" s="2288" t="s">
        <v>112</v>
      </c>
      <c r="D87" s="2289"/>
      <c r="E87" s="2289"/>
      <c r="F87" s="2289"/>
      <c r="G87" s="2289"/>
      <c r="H87" s="2289"/>
      <c r="I87" s="2290"/>
      <c r="J87" s="2356" t="str">
        <f>[5]照差!$I$97</f>
        <v>( 4 )</v>
      </c>
      <c r="K87" s="2357"/>
      <c r="L87" s="2358"/>
      <c r="M87" s="2375" t="str">
        <f>[5]照差!$M$97</f>
        <v>百貨店等</v>
      </c>
      <c r="N87" s="2376"/>
      <c r="O87" s="2376"/>
      <c r="P87" s="2376"/>
      <c r="Q87" s="2376"/>
      <c r="R87" s="2376"/>
      <c r="S87" s="2376"/>
      <c r="T87" s="2376"/>
      <c r="U87" s="2377"/>
      <c r="V87" s="2275" t="s">
        <v>217</v>
      </c>
      <c r="W87" s="2276"/>
      <c r="X87" s="2276"/>
      <c r="Y87" s="2276"/>
      <c r="Z87" s="2277"/>
      <c r="AA87" s="2278" t="str">
        <f>[6]Top!$I$46</f>
        <v>A</v>
      </c>
      <c r="AB87" s="2279"/>
      <c r="AC87" s="2280" t="s">
        <v>216</v>
      </c>
      <c r="AD87" s="2280"/>
      <c r="AE87" s="2280"/>
      <c r="AF87" s="2280"/>
      <c r="AG87" s="2280"/>
      <c r="AH87" s="2280"/>
      <c r="AI87" s="2280"/>
      <c r="AJ87" s="2280"/>
      <c r="AK87" s="2280"/>
      <c r="AL87" s="2356" t="str">
        <f>IF($BW$10=0,"設置しない",IF(AS87="","設置する",AS87))</f>
        <v>設置する</v>
      </c>
      <c r="AM87" s="2357"/>
      <c r="AN87" s="2357"/>
      <c r="AO87" s="2357"/>
      <c r="AP87" s="2357"/>
      <c r="AQ87" s="2358"/>
      <c r="AR87" s="265" t="s">
        <v>211</v>
      </c>
      <c r="AS87" s="2284"/>
      <c r="AT87" s="2285"/>
      <c r="AU87" s="2285"/>
      <c r="AV87" s="2285"/>
      <c r="AW87" s="2285"/>
      <c r="AX87" s="2286"/>
      <c r="AY87" s="2280" t="s">
        <v>215</v>
      </c>
      <c r="AZ87" s="2280"/>
      <c r="BA87" s="2280"/>
      <c r="BB87" s="2280"/>
      <c r="BC87" s="2280"/>
      <c r="BD87" s="2280"/>
      <c r="BE87" s="2280"/>
      <c r="BF87" s="2280"/>
      <c r="BG87" s="2280"/>
      <c r="BH87" s="2356" t="str">
        <f>IF($BW$10=0,"設置しない",IF(BO87="","設置する",BO87))</f>
        <v>設置する</v>
      </c>
      <c r="BI87" s="2357"/>
      <c r="BJ87" s="2357"/>
      <c r="BK87" s="2357"/>
      <c r="BL87" s="2357"/>
      <c r="BM87" s="2358"/>
      <c r="BN87" s="265" t="s">
        <v>211</v>
      </c>
      <c r="BO87" s="2284"/>
      <c r="BP87" s="2285"/>
      <c r="BQ87" s="2285"/>
      <c r="BR87" s="2285"/>
      <c r="BS87" s="2285"/>
      <c r="BT87" s="2286"/>
      <c r="BU87" s="19"/>
      <c r="BV87" s="8"/>
      <c r="BW87" s="8"/>
      <c r="BX87" s="8"/>
      <c r="BY87" s="8"/>
      <c r="BZ87" s="8"/>
      <c r="CA87" s="8"/>
      <c r="CB87" s="8"/>
      <c r="CC87" s="8"/>
      <c r="CD87" s="8"/>
      <c r="CE87" s="8"/>
      <c r="CF87" s="8"/>
      <c r="CG87" s="8"/>
      <c r="CH87" s="8"/>
      <c r="CI87" s="8"/>
      <c r="CJ87" s="8"/>
      <c r="CK87" s="8"/>
      <c r="CL87" s="8"/>
      <c r="CM87" s="8"/>
      <c r="CN87" s="8"/>
      <c r="CO87" s="8"/>
      <c r="CP87" s="8"/>
      <c r="CQ87" s="8"/>
      <c r="CR87" s="218"/>
      <c r="CS87" s="218"/>
      <c r="CT87" s="218"/>
      <c r="CU87" s="218"/>
      <c r="CV87" s="218"/>
      <c r="CW87" s="218"/>
      <c r="CX87" s="8"/>
      <c r="CY87" s="197">
        <f t="shared" si="12"/>
        <v>3</v>
      </c>
      <c r="CZ87" s="197" t="str">
        <f t="shared" si="13"/>
        <v/>
      </c>
      <c r="DA87" s="10" t="str">
        <f>W69</f>
        <v>PF-S-16mm</v>
      </c>
      <c r="DB87" s="8"/>
      <c r="DC87" s="8"/>
      <c r="DD87" s="8"/>
      <c r="DE87" s="249" t="str">
        <f>IF(COUNTIF($DA$15:DA86,DA87)&gt;0,"",DA87)</f>
        <v/>
      </c>
      <c r="DF87" s="26">
        <f>AC69</f>
        <v>3.9</v>
      </c>
      <c r="DG87" s="32">
        <f t="shared" si="14"/>
        <v>0</v>
      </c>
      <c r="DH87" s="198">
        <f t="shared" si="15"/>
        <v>5</v>
      </c>
      <c r="DI87" s="124" t="str">
        <f t="shared" si="16"/>
        <v/>
      </c>
      <c r="DJ87" s="201" t="str">
        <f>BI68</f>
        <v>d4-30e</v>
      </c>
      <c r="DK87" s="10"/>
      <c r="DL87" s="10"/>
      <c r="DM87" s="8"/>
      <c r="DN87" s="249" t="str">
        <f>IF(COUNTIF($DJ$15:DJ86,DJ87)&gt;0,"",DJ87)</f>
        <v/>
      </c>
      <c r="DO87" s="200">
        <f>BN68</f>
        <v>8</v>
      </c>
      <c r="DP87" s="13">
        <f t="shared" si="17"/>
        <v>0</v>
      </c>
      <c r="DQ87" s="9"/>
    </row>
    <row r="88" spans="1:121" ht="11.25" customHeight="1" thickBot="1">
      <c r="A88" s="15"/>
      <c r="B88" s="23"/>
      <c r="C88" s="2300" t="s">
        <v>214</v>
      </c>
      <c r="D88" s="2301"/>
      <c r="E88" s="2301"/>
      <c r="F88" s="2301"/>
      <c r="G88" s="2301"/>
      <c r="H88" s="2301"/>
      <c r="I88" s="2302"/>
      <c r="J88" s="2297">
        <f>[5]照差!$K$98</f>
        <v>0.5</v>
      </c>
      <c r="K88" s="2298"/>
      <c r="L88" s="2298"/>
      <c r="M88" s="2298"/>
      <c r="N88" s="2299" t="s">
        <v>213</v>
      </c>
      <c r="O88" s="2299"/>
      <c r="P88" s="2299"/>
      <c r="Q88" s="2299"/>
      <c r="R88" s="2299"/>
      <c r="S88" s="2299"/>
      <c r="T88" s="2299"/>
      <c r="U88" s="2299"/>
      <c r="V88" s="2366" t="str">
        <f>[5]照差!$W$98</f>
        <v>⑦</v>
      </c>
      <c r="W88" s="2366"/>
      <c r="X88" s="2366"/>
      <c r="Y88" s="2299" t="s">
        <v>135</v>
      </c>
      <c r="Z88" s="2299"/>
      <c r="AA88" s="2299"/>
      <c r="AB88" s="2299"/>
      <c r="AC88" s="2299"/>
      <c r="AD88" s="2299" t="s">
        <v>18</v>
      </c>
      <c r="AE88" s="2299"/>
      <c r="AF88" s="2299"/>
      <c r="AG88" s="2299"/>
      <c r="AH88" s="2299"/>
      <c r="AI88" s="2337" t="str">
        <f>IF($B$2=0,"",IF(AQ88="","非:天井ケーブル",AQ88))</f>
        <v>非:天井ケーブル</v>
      </c>
      <c r="AJ88" s="2337"/>
      <c r="AK88" s="2337"/>
      <c r="AL88" s="2337"/>
      <c r="AM88" s="2337"/>
      <c r="AN88" s="2337"/>
      <c r="AO88" s="2337"/>
      <c r="AP88" s="175" t="s">
        <v>211</v>
      </c>
      <c r="AQ88" s="2338"/>
      <c r="AR88" s="2338"/>
      <c r="AS88" s="2338"/>
      <c r="AT88" s="2338"/>
      <c r="AU88" s="2338"/>
      <c r="AV88" s="2338"/>
      <c r="AW88" s="2338"/>
      <c r="AX88" s="2299" t="s">
        <v>212</v>
      </c>
      <c r="AY88" s="2299"/>
      <c r="AZ88" s="2299"/>
      <c r="BA88" s="2299"/>
      <c r="BB88" s="2299"/>
      <c r="BC88" s="2337" t="str">
        <f>IF($B$2=0,"",IF(BK88="","誘:天井ケーブル",BK88))</f>
        <v>誘:天井ケーブル</v>
      </c>
      <c r="BD88" s="2337"/>
      <c r="BE88" s="2337"/>
      <c r="BF88" s="2337"/>
      <c r="BG88" s="2337"/>
      <c r="BH88" s="2337"/>
      <c r="BI88" s="2337"/>
      <c r="BJ88" s="175" t="s">
        <v>211</v>
      </c>
      <c r="BK88" s="2338"/>
      <c r="BL88" s="2338"/>
      <c r="BM88" s="2338"/>
      <c r="BN88" s="2338"/>
      <c r="BO88" s="2338"/>
      <c r="BP88" s="2338"/>
      <c r="BQ88" s="2338"/>
      <c r="BR88" s="2299"/>
      <c r="BS88" s="2299"/>
      <c r="BT88" s="2299"/>
      <c r="BU88" s="19"/>
      <c r="BV88" s="8">
        <v>97</v>
      </c>
      <c r="BW88" s="88" t="s">
        <v>210</v>
      </c>
      <c r="BX88" s="88" t="s">
        <v>209</v>
      </c>
      <c r="BY88" s="2336" t="s">
        <v>126</v>
      </c>
      <c r="BZ88" s="2336"/>
      <c r="CA88" s="2336"/>
      <c r="CB88" s="2336"/>
      <c r="CC88" s="2336" t="s">
        <v>125</v>
      </c>
      <c r="CD88" s="2336"/>
      <c r="CE88" s="2336"/>
      <c r="CF88" s="2336"/>
      <c r="CG88" s="2336" t="s">
        <v>124</v>
      </c>
      <c r="CH88" s="2336"/>
      <c r="CI88" s="2336"/>
      <c r="CJ88" s="2336"/>
      <c r="CK88" s="2336" t="s">
        <v>123</v>
      </c>
      <c r="CL88" s="2336"/>
      <c r="CM88" s="2336"/>
      <c r="CN88" s="2336"/>
      <c r="CO88" s="88" t="s">
        <v>208</v>
      </c>
      <c r="CP88" s="88" t="s">
        <v>207</v>
      </c>
      <c r="CQ88" s="88" t="s">
        <v>206</v>
      </c>
      <c r="CR88" s="88" t="s">
        <v>208</v>
      </c>
      <c r="CS88" s="88" t="s">
        <v>207</v>
      </c>
      <c r="CT88" s="221" t="s">
        <v>206</v>
      </c>
      <c r="CU88" s="264">
        <f>IF(BW89="","",SUM(CP89:CP92)+CS89+CS90)</f>
        <v>61.5</v>
      </c>
      <c r="CV88" s="264">
        <f>IF(BW89="","",SUM(CQ89:CQ92)+CT89+CT90)</f>
        <v>95.309234204481399</v>
      </c>
      <c r="CW88" s="216"/>
      <c r="CX88" s="8"/>
      <c r="CY88" s="197">
        <f t="shared" si="12"/>
        <v>3</v>
      </c>
      <c r="CZ88" s="127" t="str">
        <f t="shared" si="13"/>
        <v/>
      </c>
      <c r="DA88" s="11" t="str">
        <f>AG69</f>
        <v>PF-S-16mm</v>
      </c>
      <c r="DB88" s="9"/>
      <c r="DC88" s="9"/>
      <c r="DD88" s="9"/>
      <c r="DE88" s="126" t="str">
        <f>IF(COUNTIF($DA$15:DA87,DA88)&gt;0,"",DA88)</f>
        <v/>
      </c>
      <c r="DF88" s="14">
        <f>AM69</f>
        <v>19.5</v>
      </c>
      <c r="DG88" s="32">
        <f t="shared" si="14"/>
        <v>0</v>
      </c>
      <c r="DH88" s="198">
        <f t="shared" si="15"/>
        <v>5</v>
      </c>
      <c r="DI88" s="199" t="str">
        <f t="shared" si="16"/>
        <v/>
      </c>
      <c r="DJ88" s="203" t="str">
        <f>BI69</f>
        <v>d4-13e</v>
      </c>
      <c r="DK88" s="11"/>
      <c r="DL88" s="11"/>
      <c r="DM88" s="9"/>
      <c r="DN88" s="9" t="str">
        <f>IF(COUNTIF($DJ$15:DJ87,DJ88)&gt;0,"",DJ88)</f>
        <v/>
      </c>
      <c r="DO88" s="101">
        <f>BN69</f>
        <v>10</v>
      </c>
      <c r="DP88" s="32">
        <f t="shared" si="17"/>
        <v>0</v>
      </c>
      <c r="DQ88" s="8"/>
    </row>
    <row r="89" spans="1:121" ht="11.25" customHeight="1">
      <c r="A89" s="15"/>
      <c r="B89" s="23"/>
      <c r="C89" s="2367" t="str">
        <f>[5]照差!$C$99</f>
        <v xml:space="preserve"> 10F</v>
      </c>
      <c r="D89" s="2368"/>
      <c r="E89" s="2369"/>
      <c r="F89" s="2370">
        <f>[5]照差!$G$99</f>
        <v>4</v>
      </c>
      <c r="G89" s="2371"/>
      <c r="H89" s="2371"/>
      <c r="I89" s="2372"/>
      <c r="J89" s="2370">
        <f>[5]照差!$J$99</f>
        <v>3</v>
      </c>
      <c r="K89" s="2373"/>
      <c r="L89" s="2373"/>
      <c r="M89" s="2374"/>
      <c r="N89" s="2330">
        <f>[5]照差!$M$99</f>
        <v>1152</v>
      </c>
      <c r="O89" s="2331"/>
      <c r="P89" s="2331"/>
      <c r="Q89" s="2331"/>
      <c r="R89" s="2332"/>
      <c r="S89" s="2330">
        <f>[5]照差!$Q$99</f>
        <v>806.4</v>
      </c>
      <c r="T89" s="2331"/>
      <c r="U89" s="2331"/>
      <c r="V89" s="2332"/>
      <c r="W89" s="2330">
        <f>[5]照差!$U$99</f>
        <v>345.6</v>
      </c>
      <c r="X89" s="2331"/>
      <c r="Y89" s="2331"/>
      <c r="Z89" s="2332"/>
      <c r="AA89" s="2340">
        <f>[5]照差!$Y$99</f>
        <v>3</v>
      </c>
      <c r="AB89" s="2341"/>
      <c r="AC89" s="2342"/>
      <c r="AD89" s="2343">
        <f>[5]照差!$AB$99</f>
        <v>9</v>
      </c>
      <c r="AE89" s="2344"/>
      <c r="AF89" s="2345"/>
      <c r="AG89" s="2346">
        <f>IF(OR(C89="",C89="  RF"),"",2+INT(N89/1000))</f>
        <v>3</v>
      </c>
      <c r="AH89" s="2346"/>
      <c r="AI89" s="2346"/>
      <c r="AJ89" s="2346"/>
      <c r="AK89" s="2346"/>
      <c r="AL89" s="2346">
        <f>IF(OR(C89="",C89="  RF"),"",1+INT(N89/500))</f>
        <v>3</v>
      </c>
      <c r="AM89" s="2346"/>
      <c r="AN89" s="2346"/>
      <c r="AO89" s="2346"/>
      <c r="AP89" s="2346"/>
      <c r="AQ89" s="2347" t="str">
        <f>IF(OR(C89="",AL87="設置しない"),"",IF(OR(AND(LEFT($C$18,2)=" B",[6]Top!$U$72&lt;&gt;""),AND(LEFT($C$18,3)="  1",[6]Top!$U$73&lt;&gt;""),AND(LEFT($C$18,3)="  2",[6]Top!$U$75&lt;&gt;""),AND(LEFT($C$18,3)="  3",[6]Top!$U$77&lt;&gt;""),[6]Top!$U$79&lt;&gt;"",[6]Top!$U$81&lt;&gt;""),"Xh1-Ae",IF(OR(AND(LEFT($C$18,2)=" B",[6]Top!$U$72="BL"),AND(LEFT($C$18,3)="  1",[6]Top!$U$73="BL"),AND(LEFT($C$18,3)="  2",[6]Top!$U$75="BL"),AND(LEFT($C$18,3)="  3",[6]Top!$U$77="BL"),[6]Top!$U$79="BL",[6]Top!$U$81="BL"),"Xh1-BLe","")))</f>
        <v>Xh1-Ae</v>
      </c>
      <c r="AR89" s="2348"/>
      <c r="AS89" s="2348"/>
      <c r="AT89" s="2348"/>
      <c r="AU89" s="2348"/>
      <c r="AV89" s="2348"/>
      <c r="AW89" s="2348"/>
      <c r="AX89" s="2348"/>
      <c r="AY89" s="2349"/>
      <c r="AZ89" s="2353">
        <f>IF(OR(N89="",AQ89=""),"",IF(BC89&lt;&gt;"",BC89,1+INT(N89/500)))</f>
        <v>3</v>
      </c>
      <c r="BA89" s="2354"/>
      <c r="BB89" s="2355"/>
      <c r="BC89" s="2305"/>
      <c r="BD89" s="2305"/>
      <c r="BE89" s="2305"/>
      <c r="BF89" s="2281" t="str">
        <f>IF(C89="","",IF(OR(AND(LEFT(C89,2)=" B",[6]Top!$AD$72="要"),AND(LEFT(C89,3)="  1",[6]Top!$AD$73="要"),AND(LEFT(C89,3)="  2",[6]Top!$AD$75="要"),AND(LEFT(C89,3)="  3",[6]Top!$AD$77="要"),[6]Top!$AD$79="C",[6]Top!$AD$81="要"),"Ya1-Ce",""))</f>
        <v>Ya1-Ce</v>
      </c>
      <c r="BG89" s="2281"/>
      <c r="BH89" s="2281"/>
      <c r="BI89" s="2281"/>
      <c r="BJ89" s="2281"/>
      <c r="BK89" s="2281"/>
      <c r="BL89" s="2281"/>
      <c r="BM89" s="2281"/>
      <c r="BN89" s="2281"/>
      <c r="BO89" s="2304">
        <f>IF(OR(C89="",C89="  RF"),"",IF(BR89&lt;&gt;"",BR89,1+INT((BW89+BX89)/20)))</f>
        <v>2</v>
      </c>
      <c r="BP89" s="2304"/>
      <c r="BQ89" s="2304"/>
      <c r="BR89" s="2339"/>
      <c r="BS89" s="2339"/>
      <c r="BT89" s="2339"/>
      <c r="BU89" s="19"/>
      <c r="BV89" s="8">
        <v>12</v>
      </c>
      <c r="BW89" s="98">
        <f>IF(OR(C89="",C89="  RF"),0,SQRT(N89*J88)/2)</f>
        <v>12</v>
      </c>
      <c r="BX89" s="98">
        <f>IF(OR(C89="",C89="  RF"),0,SQRT(N89/J88)/2)</f>
        <v>24</v>
      </c>
      <c r="BY89" s="88" t="s">
        <v>204</v>
      </c>
      <c r="BZ89" s="92">
        <f>IF(OR($BW$10=0,AL87="設置しない",C89="  RF",C89=""),0,IF(LEFT(C89,2)&lt;&gt;"PH",AG89*BW90/2,BW90))</f>
        <v>40.5</v>
      </c>
      <c r="CA89" s="88" t="s">
        <v>205</v>
      </c>
      <c r="CB89" s="88">
        <f>IF(OR($BW$10=0,AL87="設置しない",C89="  RF",C89=""),0,IF(LEFT(C89,2)="PH",0,(BN91-1)*SQRT(S89/BN91)))</f>
        <v>70.279442228862351</v>
      </c>
      <c r="CC89" s="88" t="s">
        <v>204</v>
      </c>
      <c r="CD89" s="262">
        <f>IF(OR($BW$10=0,AL87="設置しない",F89=0),0,AG89*(F89-0.1-($Y$7-$AN$8)/1000))</f>
        <v>13.799999999999999</v>
      </c>
      <c r="CE89" s="88" t="s">
        <v>205</v>
      </c>
      <c r="CF89" s="88">
        <f>IF(OR($BW$10=0,AL87="設置しない",LEFT(C89,2)="PH",C89="  RF",C89=""),0,(2*BN91-1)*$AN$7/1000)</f>
        <v>12</v>
      </c>
      <c r="CG89" s="88" t="s">
        <v>204</v>
      </c>
      <c r="CH89" s="92">
        <f>IF(OR($BW$10=0,AL87="設置しない",AI88="非:天井ケーブル"),0,BZ89)</f>
        <v>0</v>
      </c>
      <c r="CI89" s="88" t="s">
        <v>205</v>
      </c>
      <c r="CJ89" s="88">
        <f>IF(OR($BW$10=0,AL87="設置しない",AI88="非:天井ケーブル"),0,CB89)</f>
        <v>0</v>
      </c>
      <c r="CK89" s="88" t="s">
        <v>204</v>
      </c>
      <c r="CL89" s="92">
        <f>IF(OR($BW$10=0,AL87="設置しない",C89="  RF",C89=""),0,IF(J89="直天",AG89*(F89-$Y$7/1000),AG89*(J89+0.1-$Y$7/1000)))</f>
        <v>3.9000000000000004</v>
      </c>
      <c r="CM89" s="220"/>
      <c r="CN89" s="219"/>
      <c r="CO89" s="134">
        <f>IF(AZ89="",0,VLOOKUP(AQ89,[7]建物1802!$E$5:$AL$3275,33,FALSE)*AZ89)</f>
        <v>56.94</v>
      </c>
      <c r="CP89" s="136">
        <f>IF(AZ89="",0,VLOOKUP(AQ89,[7]建物1802!$E$5:$AL$3275,30,FALSE)*AZ89)</f>
        <v>31.5</v>
      </c>
      <c r="CQ89" s="136">
        <f>IF(CO89="","",SQRT(CO89^2-CP89^2))</f>
        <v>47.433254157816329</v>
      </c>
      <c r="CR89" s="189">
        <f>IF(BO89="",0,VLOOKUP(BF89,[7]建物1802!$E$5:$AL$3275,33,FALSE)*BO89)</f>
        <v>8</v>
      </c>
      <c r="CS89" s="189">
        <f>IF(BO89="",0,VLOOKUP(BF89,[7]建物1802!$E$5:$AL$3275,30,FALSE)*BO89)</f>
        <v>3.8</v>
      </c>
      <c r="CT89" s="259">
        <f>IF(CR89="",0,SQRT(CR89^2-CS89^2))</f>
        <v>7.0398863627192165</v>
      </c>
      <c r="CU89" s="14"/>
      <c r="CV89" s="14"/>
      <c r="CW89" s="216"/>
      <c r="CX89" s="88">
        <v>10</v>
      </c>
      <c r="CY89" s="204">
        <f t="shared" si="12"/>
        <v>3</v>
      </c>
      <c r="CZ89" s="155" t="str">
        <f t="shared" si="13"/>
        <v/>
      </c>
      <c r="DA89" s="153"/>
      <c r="DB89" s="45"/>
      <c r="DC89" s="45"/>
      <c r="DD89" s="45"/>
      <c r="DE89" s="153"/>
      <c r="DF89" s="251"/>
      <c r="DG89" s="32"/>
      <c r="DH89" s="124">
        <f t="shared" si="15"/>
        <v>5</v>
      </c>
      <c r="DI89" s="149"/>
      <c r="DJ89" s="210"/>
      <c r="DK89" s="154"/>
      <c r="DL89" s="154"/>
      <c r="DM89" s="45"/>
      <c r="DN89" s="45"/>
      <c r="DO89" s="209"/>
      <c r="DP89" s="32">
        <f t="shared" si="17"/>
        <v>0</v>
      </c>
      <c r="DQ89" s="88">
        <v>10</v>
      </c>
    </row>
    <row r="90" spans="1:121" ht="11.25" customHeight="1">
      <c r="A90" s="15">
        <v>12</v>
      </c>
      <c r="B90" s="227"/>
      <c r="C90" s="2378" t="str">
        <f>IF(C89="","",IF(K90="","VV-F 2.0mm-2C",K90))</f>
        <v>VV-F 2.0mm-2C</v>
      </c>
      <c r="D90" s="2379"/>
      <c r="E90" s="2379"/>
      <c r="F90" s="2379"/>
      <c r="G90" s="2379"/>
      <c r="H90" s="2379"/>
      <c r="I90" s="2379"/>
      <c r="J90" s="2380"/>
      <c r="K90" s="2313"/>
      <c r="L90" s="2314"/>
      <c r="M90" s="2314"/>
      <c r="N90" s="2314"/>
      <c r="O90" s="2314"/>
      <c r="P90" s="2314"/>
      <c r="Q90" s="2314"/>
      <c r="R90" s="2315"/>
      <c r="S90" s="2312">
        <f>IF(OR(C89="",AL87="設置しない",BH87="設置しない"),"",ROUND((BZ89+CD89),1))</f>
        <v>54.3</v>
      </c>
      <c r="T90" s="2312"/>
      <c r="U90" s="2312"/>
      <c r="V90" s="2312"/>
      <c r="W90" s="2306" t="str">
        <f>IF(C89="","",IF(AE90="","VV-F 2.0mm-2C",AE90))</f>
        <v>VV-F 2.0mm-2C</v>
      </c>
      <c r="X90" s="2307"/>
      <c r="Y90" s="2307"/>
      <c r="Z90" s="2307"/>
      <c r="AA90" s="2307"/>
      <c r="AB90" s="2307"/>
      <c r="AC90" s="2307"/>
      <c r="AD90" s="2308"/>
      <c r="AE90" s="2313"/>
      <c r="AF90" s="2314"/>
      <c r="AG90" s="2314"/>
      <c r="AH90" s="2314"/>
      <c r="AI90" s="2314"/>
      <c r="AJ90" s="2314"/>
      <c r="AK90" s="2314"/>
      <c r="AL90" s="2315"/>
      <c r="AM90" s="2312">
        <f>IF(OR(C89="",,AL87="設置しない",BH87="設置しない"),"",ROUND(BZ92,1))</f>
        <v>33.9</v>
      </c>
      <c r="AN90" s="2312"/>
      <c r="AO90" s="2312"/>
      <c r="AP90" s="2312"/>
      <c r="AQ90" s="2347" t="str">
        <f>IF(OR(C89="",AL87="設置しない"),"",IF(OR(AND(LEFT($C$18,2)=" B",[6]Top!$U$72&lt;&gt;""),AND(LEFT($C$18,3)="  1",[6]Top!$U$73&lt;&gt;""),AND(LEFT($C$18,3)="  2",[6]Top!$U$75&lt;&gt;""),AND(LEFT($C$18,3)="  3",[6]Top!$U$77&lt;&gt;""),[6]Top!$U$79&lt;&gt;"",[6]Top!$U$81&lt;&gt;""),"Xh1-Ae",IF(OR(AND(LEFT($C$18,2)=" B",[6]Top!$U$72="BL"),AND(LEFT($C$18,3)="  1",[6]Top!$U$73="BL"),AND(LEFT($C$18,3)="  2",[6]Top!$U$75="BL"),AND(LEFT($C$18,3)="  3",[6]Top!$U$77="BL"),[6]Top!$U$79="BL",[6]Top!$U$81="BL"),"Xh1-BLe","")))</f>
        <v>Xh1-Ae</v>
      </c>
      <c r="AR90" s="2348"/>
      <c r="AS90" s="2348"/>
      <c r="AT90" s="2348"/>
      <c r="AU90" s="2348"/>
      <c r="AV90" s="2348"/>
      <c r="AW90" s="2348"/>
      <c r="AX90" s="2348"/>
      <c r="AY90" s="2349"/>
      <c r="AZ90" s="2304">
        <f>IF(AA89="","",IF(BC90&lt;&gt;"",BC90,IF(AQ90&lt;&gt;"",1+INT(AA89/3),"")))</f>
        <v>2</v>
      </c>
      <c r="BA90" s="2304"/>
      <c r="BB90" s="2304"/>
      <c r="BC90" s="2305"/>
      <c r="BD90" s="2305"/>
      <c r="BE90" s="2305"/>
      <c r="BF90" s="2281" t="str">
        <f>IF(C89="","",IF(OR(AND(LEFT(C89,2)=" B",[6]Top!$AF$72="要"),AND(LEFT(C89,3)="  1",[6]Top!$AF$73="要"),AND(LEFT(C89,3)="  2",[6]Top!$AF$75="要"),AND(LEFT(C89,3)="  3",[6]Top!$AF$77="要"),[6]Top!$AF$79="要",[6]Top!$AF$81="要"),"D15V-321PXe",""))</f>
        <v/>
      </c>
      <c r="BG90" s="2281"/>
      <c r="BH90" s="2281"/>
      <c r="BI90" s="2282"/>
      <c r="BJ90" s="2282"/>
      <c r="BK90" s="2282"/>
      <c r="BL90" s="2282"/>
      <c r="BM90" s="2282"/>
      <c r="BN90" s="2282"/>
      <c r="BO90" s="2283" t="str">
        <f>IF(OR(C89="",C89="  RF",BF90=""),"",IF(BR90&lt;&gt;"",BR90,2*(1+INT(N89/500))))</f>
        <v/>
      </c>
      <c r="BP90" s="2283"/>
      <c r="BQ90" s="2283"/>
      <c r="BR90" s="2303"/>
      <c r="BS90" s="2303"/>
      <c r="BT90" s="2303"/>
      <c r="BU90" s="19"/>
      <c r="BV90" s="46" t="str">
        <f>V88</f>
        <v>⑦</v>
      </c>
      <c r="BW90" s="263">
        <f>IF(C89="","",IF(BV90="①",BW89+BX89+3,IF(BV90="②",BW89*5/8+BX89+3,IF(BV90="③",BW89/2+BX89+3,IF(BV90="④",BW89+BX89*5/8+3,IF(BV90="⑤",(BW89+BX89)*5/8+3,IF(BV90="⑥",BW89/2+BX89*5/8+3,IF(BV90="⑦",BW89+BX89/2+3,IF(BV90="⑧",BW89*5/8+BX89/2+3,IF(BV90="⑨",(BW89+BX89)/2+3))))))))))</f>
        <v>27</v>
      </c>
      <c r="BX90" s="8"/>
      <c r="BY90" s="88" t="s">
        <v>202</v>
      </c>
      <c r="BZ90" s="92">
        <f>IF(OR($BW$10=0,BH87="設置しない",C89="  RF",C89=""),0,IF(LEFT(C89,2)&lt;&gt;"PH",AL89*BW90/2,BW90))</f>
        <v>40.5</v>
      </c>
      <c r="CA90" s="88" t="s">
        <v>203</v>
      </c>
      <c r="CB90" s="88">
        <f>IF(OR($BW$10=0,AY87="設置しない",BN92=""),0,(BN92-1)*SQRT(W89/BN92))</f>
        <v>52.908978444116649</v>
      </c>
      <c r="CC90" s="88" t="s">
        <v>202</v>
      </c>
      <c r="CD90" s="262">
        <f>IF(OR($BW$10=0,BH87="設置しない",F89=0),0,AG89*(F89-0.1-($AN$8-$Y$7)/1000))</f>
        <v>9.6000000000000014</v>
      </c>
      <c r="CE90" s="88" t="s">
        <v>203</v>
      </c>
      <c r="CF90" s="88">
        <f>IF(OR($BW$10=0,BH87="設置しない",BN92=""),0,(2*BN92-1)*$AN$7/1000)</f>
        <v>15.2</v>
      </c>
      <c r="CG90" s="88" t="s">
        <v>202</v>
      </c>
      <c r="CH90" s="92">
        <f>IF(OR($BW$10=0,BH87="設置しない",AI88="非:天井ケーブル"),0,BZ90)</f>
        <v>0</v>
      </c>
      <c r="CI90" s="88" t="s">
        <v>203</v>
      </c>
      <c r="CJ90" s="88">
        <f>IF(OR($BW$10=0,BH87="設置しない",AI88="非:天井ケーブル"),0,CB90)</f>
        <v>0</v>
      </c>
      <c r="CK90" s="88" t="s">
        <v>202</v>
      </c>
      <c r="CL90" s="92">
        <f>IF(OR($BW$10=0,BH87="設置しない",C89="  RF",C89=""),0,IF(J89="直天",AG89*(F89-$Y$7/1000),AG89*(J89+0.1-$Y$7/1000)))</f>
        <v>3.9000000000000004</v>
      </c>
      <c r="CM90" s="141"/>
      <c r="CN90" s="142"/>
      <c r="CO90" s="136">
        <f>IF(AZ90="",0,(VLOOKUP(AQ90,[7]建物1802!$E$5:$AL$3275,33,FALSE))*AZ90)</f>
        <v>37.96</v>
      </c>
      <c r="CP90" s="136">
        <f>IF(AZ90="",0,VLOOKUP(AQ90,[7]建物1802!$E$5:$AL$3275,30,FALSE)*AZ90)</f>
        <v>21</v>
      </c>
      <c r="CQ90" s="136">
        <f>IF(CO90="","",SQRT(CO90^2-CP90^2))</f>
        <v>31.622169438544219</v>
      </c>
      <c r="CR90" s="189">
        <f>IF(BO90="",0,VLOOKUP(BF90,[7]建物1802!$E$5:$AL$3275,33,FALSE)*BO90)</f>
        <v>0</v>
      </c>
      <c r="CS90" s="189">
        <f>IF(BO90="",0,VLOOKUP(BF90,[7]建物1802!$E$5:$AL$3275,30,FALSE)*BO90)</f>
        <v>0</v>
      </c>
      <c r="CT90" s="259">
        <f>IF(CR90="",0,SQRT(CR90^2-CS90^2))</f>
        <v>0</v>
      </c>
      <c r="CU90" s="14"/>
      <c r="CV90" s="14"/>
      <c r="CW90" s="216"/>
      <c r="CX90" s="8"/>
      <c r="CY90" s="197">
        <f t="shared" si="12"/>
        <v>3</v>
      </c>
      <c r="CZ90" s="197" t="str">
        <f t="shared" si="13"/>
        <v/>
      </c>
      <c r="DA90" s="10" t="str">
        <f>C73</f>
        <v>VV-F 2.0mm-2C</v>
      </c>
      <c r="DB90" s="8"/>
      <c r="DC90" s="8"/>
      <c r="DD90" s="8"/>
      <c r="DE90" s="249" t="str">
        <f>IF(COUNTIF($DA$15:DA89,DA90)&gt;0,"",DA90)</f>
        <v/>
      </c>
      <c r="DF90" s="26">
        <f>S73</f>
        <v>54.3</v>
      </c>
      <c r="DG90" s="32">
        <f t="shared" ref="DG90:DG120" si="18">SUMIF($DA$17:$DA$179,DE90,$DF$17:$DF$179)</f>
        <v>0</v>
      </c>
      <c r="DH90" s="198">
        <f t="shared" si="15"/>
        <v>5</v>
      </c>
      <c r="DI90" s="199" t="str">
        <f t="shared" ref="DI90:DI120" si="19">IF(AND(DH90&lt;&gt;"",DN90&lt;&gt;0,DN90&lt;&gt;""),DH90,"")</f>
        <v/>
      </c>
      <c r="DJ90" s="10" t="str">
        <f>AQ72</f>
        <v>Xh1-Ae</v>
      </c>
      <c r="DK90" s="10"/>
      <c r="DL90" s="10"/>
      <c r="DM90" s="8"/>
      <c r="DN90" s="249" t="str">
        <f>IF(COUNTIF($DJ$15:DJ89,DJ90)&gt;0,"",DJ90)</f>
        <v/>
      </c>
      <c r="DO90" s="200">
        <f>AZ72</f>
        <v>3</v>
      </c>
      <c r="DP90" s="32">
        <f t="shared" si="17"/>
        <v>0</v>
      </c>
      <c r="DQ90" s="8"/>
    </row>
    <row r="91" spans="1:121" ht="11.25" customHeight="1">
      <c r="A91" s="15"/>
      <c r="B91" s="23"/>
      <c r="C91" s="2378" t="str">
        <f>IF(C89="","",IF(K91="","VV-F 1.6mm-2C",K91))</f>
        <v>VV-F 1.6mm-2C</v>
      </c>
      <c r="D91" s="2379"/>
      <c r="E91" s="2379"/>
      <c r="F91" s="2379"/>
      <c r="G91" s="2379"/>
      <c r="H91" s="2379"/>
      <c r="I91" s="2379"/>
      <c r="J91" s="2380"/>
      <c r="K91" s="2313"/>
      <c r="L91" s="2314"/>
      <c r="M91" s="2314"/>
      <c r="N91" s="2314"/>
      <c r="O91" s="2314"/>
      <c r="P91" s="2314"/>
      <c r="Q91" s="2314"/>
      <c r="R91" s="2315"/>
      <c r="S91" s="2312">
        <f>IF(OR(C89="",C89="  RF"),"",INT(CB89+CB90+CF89+CF90+CD91))</f>
        <v>312</v>
      </c>
      <c r="T91" s="2312"/>
      <c r="U91" s="2312"/>
      <c r="V91" s="2312"/>
      <c r="W91" s="2306" t="str">
        <f>IF(C89="","",IF(AE91="","VV-F 1.6mm-2C",AE91))</f>
        <v>VV-F 1.6mm-2C</v>
      </c>
      <c r="X91" s="2307"/>
      <c r="Y91" s="2307"/>
      <c r="Z91" s="2307"/>
      <c r="AA91" s="2307"/>
      <c r="AB91" s="2307"/>
      <c r="AC91" s="2307"/>
      <c r="AD91" s="2308"/>
      <c r="AE91" s="2313"/>
      <c r="AF91" s="2314"/>
      <c r="AG91" s="2314"/>
      <c r="AH91" s="2314"/>
      <c r="AI91" s="2314"/>
      <c r="AJ91" s="2314"/>
      <c r="AK91" s="2314"/>
      <c r="AL91" s="2315"/>
      <c r="AM91" s="2306">
        <f>IF(OR(C89="",C89="  RF"),"",INT(CB92+CD91))</f>
        <v>243</v>
      </c>
      <c r="AN91" s="2307"/>
      <c r="AO91" s="2307"/>
      <c r="AP91" s="2308"/>
      <c r="AQ91" s="2309" t="str">
        <f>IF(OR(C89="",S89=""),"",IF(OR(AND(LEFT(C89,2)=" B",[8]非誘!$W$72="C"),AND(LEFT(C89,3)="  1",[8]非誘!$W$74="C"),AND(LEFT(C89,3)="  2",[8]非誘!$W$76="C"),AND(LEFT(C89,3)="  3",[8]非誘!$W$78="C"),[8]非誘!$W$80="C",[8]非誘!$W$81="C"),"Yd2-BHe",""))</f>
        <v/>
      </c>
      <c r="AR91" s="2310"/>
      <c r="AS91" s="2310"/>
      <c r="AT91" s="2310"/>
      <c r="AU91" s="2310"/>
      <c r="AV91" s="2310"/>
      <c r="AW91" s="2310"/>
      <c r="AX91" s="2310"/>
      <c r="AY91" s="2311"/>
      <c r="AZ91" s="2304" t="str">
        <f>IF(AQ91="","",IF(OR(C89="",C89="  RF"),"",IF(BC91&lt;&gt;"",BC91,AA89)))</f>
        <v/>
      </c>
      <c r="BA91" s="2304"/>
      <c r="BB91" s="2304"/>
      <c r="BC91" s="2305"/>
      <c r="BD91" s="2305"/>
      <c r="BE91" s="2305"/>
      <c r="BF91" s="2316" t="s">
        <v>10</v>
      </c>
      <c r="BG91" s="2317"/>
      <c r="BH91" s="2318"/>
      <c r="BI91" s="2319" t="str">
        <f>IF(OR($BW$10=0,AL87="設置しない",C89="",C89="  RF"),"",IF(OR(AND(LEFT(C89,2)=" B",[6]Top!$O$72="要"),AND(LEFT(C89,3)="  1",[6]Top!$O$74="要"),AND(LEFT(C89,3)="  2",[6]Top!$O$76="要"),AND(LEFT(C89,3)="  3",[6]Top!$O$78="要"),[6]Top!$O$80="要",[6]Top!$O$81="要",$Y$9="設置する"),"d4-30e",""))</f>
        <v>d4-30e</v>
      </c>
      <c r="BJ91" s="2320"/>
      <c r="BK91" s="2320"/>
      <c r="BL91" s="2320"/>
      <c r="BM91" s="2321"/>
      <c r="BN91" s="2319">
        <f>IF(OR($BW$10=0,AL87="設置しない",C89="",C89="  RF"),"",IF(LEFT(C89,2)="PH","",IF(BR91&lt;&gt;"",BR91,IF((1+INT(S89/110))&lt;=AA89,AA89,1+INT(S89/110)))))</f>
        <v>8</v>
      </c>
      <c r="BO91" s="2320"/>
      <c r="BP91" s="2321"/>
      <c r="BQ91" s="31" t="s">
        <v>211</v>
      </c>
      <c r="BR91" s="2322"/>
      <c r="BS91" s="2323"/>
      <c r="BT91" s="2324"/>
      <c r="BU91" s="19"/>
      <c r="BV91" s="226"/>
      <c r="BW91" s="196"/>
      <c r="BX91" s="8"/>
      <c r="BY91" s="88" t="s">
        <v>200</v>
      </c>
      <c r="BZ91" s="222">
        <f>SUM(AZ89:BB92)+SUM(BO89:BQ92)</f>
        <v>9</v>
      </c>
      <c r="CA91" s="8"/>
      <c r="CB91" s="8"/>
      <c r="CC91" s="88" t="s">
        <v>121</v>
      </c>
      <c r="CD91" s="88">
        <f>IF($AW$8=0,0,2*($AW$8/1000-0.15-0.1)*(INT(1000*2*BW89/$AW$10)+1)*(INT(1000*2*BX89/$AW$10)+1)*4)</f>
        <v>162</v>
      </c>
      <c r="CE91" s="8"/>
      <c r="CF91" s="8"/>
      <c r="CG91" s="168"/>
      <c r="CH91" s="261"/>
      <c r="CI91" s="8"/>
      <c r="CJ91" s="8"/>
      <c r="CK91" s="168"/>
      <c r="CL91" s="261"/>
      <c r="CM91" s="8"/>
      <c r="CN91" s="8"/>
      <c r="CO91" s="136">
        <f>IF(AZ91="",0,VLOOKUP(AQ91,[7]建物1802!$E$5:$AL$3275,33,FALSE)*AZ91)</f>
        <v>0</v>
      </c>
      <c r="CP91" s="136">
        <f>IF(AZ91="",0,VLOOKUP(AQ91,[7]建物1802!$E$5:$AL$3275,30,FALSE)*AZ91)</f>
        <v>0</v>
      </c>
      <c r="CQ91" s="136">
        <f>IF(CO91="","",SQRT(CO91^2-CP91^2))</f>
        <v>0</v>
      </c>
      <c r="CR91" s="260"/>
      <c r="CS91" s="14"/>
      <c r="CT91" s="14"/>
      <c r="CU91" s="14"/>
      <c r="CV91" s="14"/>
      <c r="CW91" s="216"/>
      <c r="CX91" s="8"/>
      <c r="CY91" s="197">
        <f t="shared" si="12"/>
        <v>3</v>
      </c>
      <c r="CZ91" s="197" t="str">
        <f t="shared" si="13"/>
        <v/>
      </c>
      <c r="DA91" s="10" t="str">
        <f>W73</f>
        <v>VV-F 2.0mm-2C</v>
      </c>
      <c r="DB91" s="8"/>
      <c r="DC91" s="8"/>
      <c r="DD91" s="8"/>
      <c r="DE91" s="249" t="str">
        <f>IF(COUNTIF($DA$15:DA90,DA91)&gt;0,"",DA91)</f>
        <v/>
      </c>
      <c r="DF91" s="26">
        <f>AM73</f>
        <v>33.9</v>
      </c>
      <c r="DG91" s="32">
        <f t="shared" si="18"/>
        <v>0</v>
      </c>
      <c r="DH91" s="198">
        <f t="shared" si="15"/>
        <v>5</v>
      </c>
      <c r="DI91" s="198" t="str">
        <f t="shared" si="19"/>
        <v/>
      </c>
      <c r="DJ91" s="10" t="str">
        <f>AQ73</f>
        <v>Xh1-Ae</v>
      </c>
      <c r="DK91" s="10"/>
      <c r="DL91" s="10"/>
      <c r="DM91" s="8"/>
      <c r="DN91" s="8" t="str">
        <f>IF(COUNTIF($DJ$15:DJ90,DJ91)&gt;0,"",DJ91)</f>
        <v/>
      </c>
      <c r="DO91" s="200">
        <f>AZ73</f>
        <v>2</v>
      </c>
      <c r="DP91" s="32">
        <f t="shared" si="17"/>
        <v>0</v>
      </c>
      <c r="DQ91" s="8"/>
    </row>
    <row r="92" spans="1:121" ht="11.25" customHeight="1" thickBot="1">
      <c r="A92" s="15"/>
      <c r="B92" s="23"/>
      <c r="C92" s="2359" t="str">
        <f>IF(C89="","",IF(I92="","",IF(AI88="非:天井(C管)","C-19mm",IF(AI88="非:天井(G管)","G- 16mm","PF-S-16mm"))))</f>
        <v/>
      </c>
      <c r="D92" s="2360"/>
      <c r="E92" s="2360"/>
      <c r="F92" s="2360"/>
      <c r="G92" s="2360"/>
      <c r="H92" s="2360"/>
      <c r="I92" s="2335" t="str">
        <f>IF(OR(C89="",AL87="設置しない",BH87="設置しない",$BW$10=0,CH89=0,CJ89=0),"",IF(J89="直天",ROUND((BZ89+CB89),1),ROUND((CH89+CJ89),1)))</f>
        <v/>
      </c>
      <c r="J92" s="2335"/>
      <c r="K92" s="2335"/>
      <c r="L92" s="2335"/>
      <c r="M92" s="2359" t="str">
        <f>IF(C89="","",IF(S92="","",IF(BC88="誘:天井(C管)","C-19mm",IF(BC88="誘:天井(G管)","G- 16mm","PF-S-16mm"))))</f>
        <v/>
      </c>
      <c r="N92" s="2360"/>
      <c r="O92" s="2360"/>
      <c r="P92" s="2360"/>
      <c r="Q92" s="2360"/>
      <c r="R92" s="2361"/>
      <c r="S92" s="2312" t="str">
        <f>IF(OR(C89="",,AL87="設置しない",BH87="設置しない",$BW$10=0,CH92=0,CJ92=0),"",IF(J89="直天",ROUND((BZ92+CB92),1),ROUND((CH92+CJ92),1)))</f>
        <v/>
      </c>
      <c r="T92" s="2312"/>
      <c r="U92" s="2312"/>
      <c r="V92" s="2312"/>
      <c r="W92" s="2359" t="str">
        <f>IF(C89="","",IF($B$2=0,"",IF(OR(AI88="非:天井(C管)",AI88="非:床(C管)"),"C-19mm",IF(OR(AI88="非:天井(G管)",AI88="非:床(G管)"),"G-16mm",IF(AI88="非:床(CD管)","CD-16mm","PF-S-16mm")))))</f>
        <v>PF-S-16mm</v>
      </c>
      <c r="X92" s="2360"/>
      <c r="Y92" s="2360"/>
      <c r="Z92" s="2360"/>
      <c r="AA92" s="2360"/>
      <c r="AB92" s="2361"/>
      <c r="AC92" s="2362">
        <f>IF(OR(C89="",AL87="設置しない",BH87="設置しない"),"",ROUND(CL89,1))</f>
        <v>3.9</v>
      </c>
      <c r="AD92" s="2312"/>
      <c r="AE92" s="2312"/>
      <c r="AF92" s="2312"/>
      <c r="AG92" s="2333" t="str">
        <f>IF(C89="","",IF($B$2=0,"",IF(BC88="誘:天井(C管)","C-19mm",IF(BC88="誘:天井(G管)","G-16mm","PF-S-16mm"))))</f>
        <v>PF-S-16mm</v>
      </c>
      <c r="AH92" s="2333"/>
      <c r="AI92" s="2333"/>
      <c r="AJ92" s="2333"/>
      <c r="AK92" s="2333"/>
      <c r="AL92" s="2333"/>
      <c r="AM92" s="2334">
        <f>IF(OR(C89="",AL87="設置しない",BH87="設置しない"),"",ROUND((CL92+CN92),1))</f>
        <v>19.5</v>
      </c>
      <c r="AN92" s="2335"/>
      <c r="AO92" s="2335"/>
      <c r="AP92" s="2335"/>
      <c r="AQ92" s="2291" t="str">
        <f>IF(C89="","",IF(OR(AND(LEFT(C89,2)=" B",[6]Top!$AA$72="C"),AND(LEFT(C89,3)="  1",[6]Top!$AA$73="C"),AND(LEFT(C89,3)="  2",[6]Top!$AA$75="C"),AND(LEFT(C89,3)="  3",[6]Top!$AA$77="C"),[6]Top!$AA$79="C",[6]Top!$AA$81="C"),"Yd2-Ce",""))</f>
        <v>Yd2-Ce</v>
      </c>
      <c r="AR92" s="2292"/>
      <c r="AS92" s="2292"/>
      <c r="AT92" s="2292"/>
      <c r="AU92" s="2292"/>
      <c r="AV92" s="2292"/>
      <c r="AW92" s="2292"/>
      <c r="AX92" s="2292"/>
      <c r="AY92" s="2293"/>
      <c r="AZ92" s="2294">
        <f>IF(OR(C89="",C89="  RF",AQ92=""),"",IF(BC92&lt;&gt;"",BC92,1+INT((BW89+BX89)/20)))</f>
        <v>2</v>
      </c>
      <c r="BA92" s="2295"/>
      <c r="BB92" s="2296"/>
      <c r="BC92" s="2287"/>
      <c r="BD92" s="2287"/>
      <c r="BE92" s="2287"/>
      <c r="BF92" s="2363" t="s">
        <v>127</v>
      </c>
      <c r="BG92" s="2364"/>
      <c r="BH92" s="2365"/>
      <c r="BI92" s="2335" t="str">
        <f>IF(OR($BW$10=0,AY87="設置しない",C89="",C89="  RF"),"",IF(OR(AND(LEFT(C89,2)=" B",[6]Top!$O$72="要"),AND(LEFT(C89,3)="  1",[6]Top!$O$74="要"),AND(LEFT(C89,3)="  2",[6]Top!$O$76="要"),AND(LEFT(C89,3)="  3",[6]Top!$O$78="要"),[6]Top!$O$80="要",[6]Top!$O$81="要",$Y$10="設置する"),"d4-13e",""))</f>
        <v>d4-13e</v>
      </c>
      <c r="BJ92" s="2335"/>
      <c r="BK92" s="2335"/>
      <c r="BL92" s="2335"/>
      <c r="BM92" s="2335"/>
      <c r="BN92" s="2335">
        <f>IF(OR($BW$10=0,BH87="設置しない",C89="",C89="  RF"),"",IF(BR92&lt;&gt;"",BR92,INT(AD89*1.2)))</f>
        <v>10</v>
      </c>
      <c r="BO92" s="2335"/>
      <c r="BP92" s="2335"/>
      <c r="BQ92" s="31" t="s">
        <v>211</v>
      </c>
      <c r="BR92" s="2350"/>
      <c r="BS92" s="2351"/>
      <c r="BT92" s="2352"/>
      <c r="BU92" s="19"/>
      <c r="BV92" s="8"/>
      <c r="BW92" s="8"/>
      <c r="BX92" s="8"/>
      <c r="BY92" s="88" t="s">
        <v>199</v>
      </c>
      <c r="BZ92" s="151">
        <f>IF(AL89="",0,AL89*SQRT(N89/BZ91))</f>
        <v>33.941125496954285</v>
      </c>
      <c r="CA92" s="88" t="s">
        <v>198</v>
      </c>
      <c r="CB92" s="151">
        <f>IF(BZ91=0,0,(BZ91/3)*BW90)</f>
        <v>81</v>
      </c>
      <c r="CC92" s="88" t="s">
        <v>199</v>
      </c>
      <c r="CD92" s="151">
        <f>IF(F89=0,0,F89-0.25-$Y$7/1000)</f>
        <v>1.95</v>
      </c>
      <c r="CE92" s="88" t="s">
        <v>198</v>
      </c>
      <c r="CF92" s="151">
        <f>IF(F89=0,0,(2*(BZ91-BO89)-1)*$AN$7/1000+(2*BO89-1)*(F89-0.75))</f>
        <v>20.149999999999999</v>
      </c>
      <c r="CG92" s="88" t="s">
        <v>199</v>
      </c>
      <c r="CH92" s="151">
        <f>IF(BC88="誘:天井ケーブル",0,BZ92)</f>
        <v>0</v>
      </c>
      <c r="CI92" s="88" t="s">
        <v>198</v>
      </c>
      <c r="CJ92" s="151">
        <f>IF(BC88="誘:天井ケーブル",0,CB92)</f>
        <v>0</v>
      </c>
      <c r="CK92" s="88" t="s">
        <v>199</v>
      </c>
      <c r="CL92" s="259">
        <f>IF(F89=0,0,IF(J89="直天",AL89*(F89-$Y$7/1000),AL89*(J89+0.1-$Y$7/1000)))</f>
        <v>3.9000000000000004</v>
      </c>
      <c r="CM92" s="88" t="s">
        <v>198</v>
      </c>
      <c r="CN92" s="151">
        <f>IF(F89=0,0,IF(J89="直天",BO89*(2*BO89-1)*(F89-0.5),BO89*(2*BO89-1)*(J89-0.4)))</f>
        <v>15.600000000000001</v>
      </c>
      <c r="CO92" s="136">
        <f>IF(AZ92="",0,VLOOKUP(AQ92,[7]建物1802!$E$5:$AL$3275,33,FALSE)*AZ92)</f>
        <v>10.58</v>
      </c>
      <c r="CP92" s="136">
        <f>IF(AZ92="",0,VLOOKUP(AQ92,[7]建物1802!$E$5:$AL$3275,30,FALSE)*AZ92)</f>
        <v>5.2</v>
      </c>
      <c r="CQ92" s="136">
        <f>IF(CO92="","",SQRT(CO92^2-CP92^2))</f>
        <v>9.2139242454016301</v>
      </c>
      <c r="CR92" s="26"/>
      <c r="CS92" s="26"/>
      <c r="CT92" s="26"/>
      <c r="CU92" s="26"/>
      <c r="CV92" s="26"/>
      <c r="CW92" s="218"/>
      <c r="CX92" s="8"/>
      <c r="CY92" s="197">
        <f t="shared" si="12"/>
        <v>3</v>
      </c>
      <c r="CZ92" s="197" t="str">
        <f t="shared" si="13"/>
        <v/>
      </c>
      <c r="DA92" s="10" t="str">
        <f>C74</f>
        <v>VV-F 1.6mm-2C</v>
      </c>
      <c r="DB92" s="8"/>
      <c r="DC92" s="8"/>
      <c r="DD92" s="8"/>
      <c r="DE92" s="249" t="str">
        <f>IF(COUNTIF($DA$15:DA91,DA92)&gt;0,"",DA92)</f>
        <v/>
      </c>
      <c r="DF92" s="26">
        <f>S74</f>
        <v>312</v>
      </c>
      <c r="DG92" s="32">
        <f t="shared" si="18"/>
        <v>0</v>
      </c>
      <c r="DH92" s="198">
        <f t="shared" si="15"/>
        <v>5</v>
      </c>
      <c r="DI92" s="198" t="str">
        <f t="shared" si="19"/>
        <v/>
      </c>
      <c r="DJ92" s="10" t="str">
        <f>AQ74</f>
        <v/>
      </c>
      <c r="DK92" s="10"/>
      <c r="DL92" s="10"/>
      <c r="DM92" s="8"/>
      <c r="DN92" s="8" t="str">
        <f>IF(COUNTIF($DJ$15:DJ91,DJ92)&gt;0,"",DJ92)</f>
        <v/>
      </c>
      <c r="DO92" s="200" t="str">
        <f>AZ74</f>
        <v/>
      </c>
      <c r="DP92" s="32">
        <f t="shared" si="17"/>
        <v>0</v>
      </c>
      <c r="DQ92" s="8"/>
    </row>
    <row r="93" spans="1:121" ht="11.25" customHeight="1" thickBot="1">
      <c r="A93" s="15"/>
      <c r="B93" s="23"/>
      <c r="C93" s="2288" t="s">
        <v>112</v>
      </c>
      <c r="D93" s="2289"/>
      <c r="E93" s="2289"/>
      <c r="F93" s="2289"/>
      <c r="G93" s="2289"/>
      <c r="H93" s="2289"/>
      <c r="I93" s="2290"/>
      <c r="J93" s="2356" t="str">
        <f>[5]照差!$I$104</f>
        <v>( 4 )</v>
      </c>
      <c r="K93" s="2357"/>
      <c r="L93" s="2358"/>
      <c r="M93" s="2375" t="str">
        <f>[5]照差!$M$104</f>
        <v>百貨店等</v>
      </c>
      <c r="N93" s="2376"/>
      <c r="O93" s="2376"/>
      <c r="P93" s="2376"/>
      <c r="Q93" s="2376"/>
      <c r="R93" s="2376"/>
      <c r="S93" s="2376"/>
      <c r="T93" s="2376"/>
      <c r="U93" s="2377"/>
      <c r="V93" s="2275" t="s">
        <v>217</v>
      </c>
      <c r="W93" s="2276"/>
      <c r="X93" s="2276"/>
      <c r="Y93" s="2276"/>
      <c r="Z93" s="2277"/>
      <c r="AA93" s="2278" t="str">
        <f>[6]Top!$I$48</f>
        <v>A</v>
      </c>
      <c r="AB93" s="2279"/>
      <c r="AC93" s="2280" t="s">
        <v>216</v>
      </c>
      <c r="AD93" s="2280"/>
      <c r="AE93" s="2280"/>
      <c r="AF93" s="2280"/>
      <c r="AG93" s="2280"/>
      <c r="AH93" s="2280"/>
      <c r="AI93" s="2280"/>
      <c r="AJ93" s="2280"/>
      <c r="AK93" s="2280"/>
      <c r="AL93" s="2356" t="str">
        <f>IF($BW$10=0,"設置しない",IF(AS93="","設置する",AS93))</f>
        <v>設置する</v>
      </c>
      <c r="AM93" s="2357"/>
      <c r="AN93" s="2357"/>
      <c r="AO93" s="2357"/>
      <c r="AP93" s="2357"/>
      <c r="AQ93" s="2358"/>
      <c r="AR93" s="265" t="s">
        <v>211</v>
      </c>
      <c r="AS93" s="2284"/>
      <c r="AT93" s="2285"/>
      <c r="AU93" s="2285"/>
      <c r="AV93" s="2285"/>
      <c r="AW93" s="2285"/>
      <c r="AX93" s="2286"/>
      <c r="AY93" s="2280" t="s">
        <v>215</v>
      </c>
      <c r="AZ93" s="2280"/>
      <c r="BA93" s="2280"/>
      <c r="BB93" s="2280"/>
      <c r="BC93" s="2280"/>
      <c r="BD93" s="2280"/>
      <c r="BE93" s="2280"/>
      <c r="BF93" s="2280"/>
      <c r="BG93" s="2280"/>
      <c r="BH93" s="2356" t="str">
        <f>IF($BW$10=0,"設置しない",IF(BO93="","設置する",BO93))</f>
        <v>設置する</v>
      </c>
      <c r="BI93" s="2357"/>
      <c r="BJ93" s="2357"/>
      <c r="BK93" s="2357"/>
      <c r="BL93" s="2357"/>
      <c r="BM93" s="2358"/>
      <c r="BN93" s="265" t="s">
        <v>211</v>
      </c>
      <c r="BO93" s="2284"/>
      <c r="BP93" s="2285"/>
      <c r="BQ93" s="2285"/>
      <c r="BR93" s="2285"/>
      <c r="BS93" s="2285"/>
      <c r="BT93" s="2286"/>
      <c r="BU93" s="19"/>
      <c r="BV93" s="8"/>
      <c r="BW93" s="8"/>
      <c r="BX93" s="8"/>
      <c r="BY93" s="9"/>
      <c r="BZ93" s="9"/>
      <c r="CA93" s="9"/>
      <c r="CB93" s="9"/>
      <c r="CC93" s="9"/>
      <c r="CD93" s="9"/>
      <c r="CE93" s="9"/>
      <c r="CF93" s="9"/>
      <c r="CG93" s="9"/>
      <c r="CH93" s="9"/>
      <c r="CI93" s="9"/>
      <c r="CJ93" s="9"/>
      <c r="CK93" s="9"/>
      <c r="CL93" s="9"/>
      <c r="CM93" s="9"/>
      <c r="CN93" s="9"/>
      <c r="CO93" s="266"/>
      <c r="CP93" s="266"/>
      <c r="CQ93" s="266"/>
      <c r="CR93" s="14"/>
      <c r="CS93" s="14"/>
      <c r="CT93" s="14"/>
      <c r="CU93" s="14"/>
      <c r="CV93" s="14"/>
      <c r="CW93" s="216"/>
      <c r="CX93" s="8"/>
      <c r="CY93" s="197">
        <f t="shared" si="12"/>
        <v>3</v>
      </c>
      <c r="CZ93" s="197" t="str">
        <f t="shared" si="13"/>
        <v/>
      </c>
      <c r="DA93" s="10" t="str">
        <f>W74</f>
        <v>VV-F 1.6mm-2C</v>
      </c>
      <c r="DB93" s="8"/>
      <c r="DC93" s="8"/>
      <c r="DD93" s="8"/>
      <c r="DE93" s="249" t="str">
        <f>IF(COUNTIF($DA$15:DA92,DA93)&gt;0,"",DA93)</f>
        <v/>
      </c>
      <c r="DF93" s="26">
        <f>AM74</f>
        <v>243</v>
      </c>
      <c r="DG93" s="32">
        <f t="shared" si="18"/>
        <v>0</v>
      </c>
      <c r="DH93" s="198">
        <f t="shared" si="15"/>
        <v>5</v>
      </c>
      <c r="DI93" s="124" t="str">
        <f t="shared" si="19"/>
        <v/>
      </c>
      <c r="DJ93" s="11" t="str">
        <f>AQ75</f>
        <v>Yd2-Ce</v>
      </c>
      <c r="DK93" s="11"/>
      <c r="DL93" s="11"/>
      <c r="DM93" s="9"/>
      <c r="DN93" s="9" t="str">
        <f>IF(COUNTIF($DJ$15:DJ92,DJ93)&gt;0,"",DJ93)</f>
        <v/>
      </c>
      <c r="DO93" s="101">
        <f>AZ75</f>
        <v>2</v>
      </c>
      <c r="DP93" s="32">
        <f t="shared" si="17"/>
        <v>0</v>
      </c>
      <c r="DQ93" s="8"/>
    </row>
    <row r="94" spans="1:121" ht="11.25" customHeight="1" thickBot="1">
      <c r="A94" s="15"/>
      <c r="B94" s="23"/>
      <c r="C94" s="2300" t="s">
        <v>214</v>
      </c>
      <c r="D94" s="2301"/>
      <c r="E94" s="2301"/>
      <c r="F94" s="2301"/>
      <c r="G94" s="2301"/>
      <c r="H94" s="2301"/>
      <c r="I94" s="2302"/>
      <c r="J94" s="2297">
        <f>[5]照差!$K$105</f>
        <v>0.5</v>
      </c>
      <c r="K94" s="2298"/>
      <c r="L94" s="2298"/>
      <c r="M94" s="2298"/>
      <c r="N94" s="2299" t="s">
        <v>213</v>
      </c>
      <c r="O94" s="2299"/>
      <c r="P94" s="2299"/>
      <c r="Q94" s="2299"/>
      <c r="R94" s="2299"/>
      <c r="S94" s="2299"/>
      <c r="T94" s="2299"/>
      <c r="U94" s="2299"/>
      <c r="V94" s="2366" t="str">
        <f>[5]照差!$W$105</f>
        <v>⑦</v>
      </c>
      <c r="W94" s="2366"/>
      <c r="X94" s="2366"/>
      <c r="Y94" s="2299" t="s">
        <v>135</v>
      </c>
      <c r="Z94" s="2299"/>
      <c r="AA94" s="2299"/>
      <c r="AB94" s="2299"/>
      <c r="AC94" s="2299"/>
      <c r="AD94" s="2299" t="s">
        <v>18</v>
      </c>
      <c r="AE94" s="2299"/>
      <c r="AF94" s="2299"/>
      <c r="AG94" s="2299"/>
      <c r="AH94" s="2299"/>
      <c r="AI94" s="2337" t="str">
        <f>IF($B$2=0,"",IF(AQ94="","非:天井ケーブル",AQ94))</f>
        <v>非:天井ケーブル</v>
      </c>
      <c r="AJ94" s="2337"/>
      <c r="AK94" s="2337"/>
      <c r="AL94" s="2337"/>
      <c r="AM94" s="2337"/>
      <c r="AN94" s="2337"/>
      <c r="AO94" s="2337"/>
      <c r="AP94" s="175" t="s">
        <v>211</v>
      </c>
      <c r="AQ94" s="2338"/>
      <c r="AR94" s="2338"/>
      <c r="AS94" s="2338"/>
      <c r="AT94" s="2338"/>
      <c r="AU94" s="2338"/>
      <c r="AV94" s="2338"/>
      <c r="AW94" s="2338"/>
      <c r="AX94" s="2299" t="s">
        <v>212</v>
      </c>
      <c r="AY94" s="2299"/>
      <c r="AZ94" s="2299"/>
      <c r="BA94" s="2299"/>
      <c r="BB94" s="2299"/>
      <c r="BC94" s="2337" t="str">
        <f>IF($B$2=0,"",IF(BK94="","誘:天井ケーブル",BK94))</f>
        <v>誘:天井ケーブル</v>
      </c>
      <c r="BD94" s="2337"/>
      <c r="BE94" s="2337"/>
      <c r="BF94" s="2337"/>
      <c r="BG94" s="2337"/>
      <c r="BH94" s="2337"/>
      <c r="BI94" s="2337"/>
      <c r="BJ94" s="175" t="s">
        <v>211</v>
      </c>
      <c r="BK94" s="2338"/>
      <c r="BL94" s="2338"/>
      <c r="BM94" s="2338"/>
      <c r="BN94" s="2338"/>
      <c r="BO94" s="2338"/>
      <c r="BP94" s="2338"/>
      <c r="BQ94" s="2338"/>
      <c r="BR94" s="2299"/>
      <c r="BS94" s="2299"/>
      <c r="BT94" s="2299"/>
      <c r="BU94" s="19"/>
      <c r="BV94" s="8">
        <v>104</v>
      </c>
      <c r="BW94" s="88" t="s">
        <v>210</v>
      </c>
      <c r="BX94" s="88" t="s">
        <v>209</v>
      </c>
      <c r="BY94" s="2336" t="s">
        <v>126</v>
      </c>
      <c r="BZ94" s="2336"/>
      <c r="CA94" s="2336"/>
      <c r="CB94" s="2336"/>
      <c r="CC94" s="2336" t="s">
        <v>125</v>
      </c>
      <c r="CD94" s="2336"/>
      <c r="CE94" s="2336"/>
      <c r="CF94" s="2336"/>
      <c r="CG94" s="2336" t="s">
        <v>124</v>
      </c>
      <c r="CH94" s="2336"/>
      <c r="CI94" s="2336"/>
      <c r="CJ94" s="2336"/>
      <c r="CK94" s="2336" t="s">
        <v>123</v>
      </c>
      <c r="CL94" s="2336"/>
      <c r="CM94" s="2336"/>
      <c r="CN94" s="2336"/>
      <c r="CO94" s="88" t="s">
        <v>208</v>
      </c>
      <c r="CP94" s="88" t="s">
        <v>207</v>
      </c>
      <c r="CQ94" s="88" t="s">
        <v>206</v>
      </c>
      <c r="CR94" s="88" t="s">
        <v>208</v>
      </c>
      <c r="CS94" s="88" t="s">
        <v>207</v>
      </c>
      <c r="CT94" s="221" t="s">
        <v>206</v>
      </c>
      <c r="CU94" s="264">
        <f>IF(BW95="","",SUM(CP95:CP98)+CS95+CS96)</f>
        <v>61.5</v>
      </c>
      <c r="CV94" s="264">
        <f>IF(BW95="","",SUM(CQ95:CQ98)+CT95+CT96)</f>
        <v>95.309234204481399</v>
      </c>
      <c r="CW94" s="9"/>
      <c r="CX94" s="8"/>
      <c r="CY94" s="197">
        <f t="shared" si="12"/>
        <v>3</v>
      </c>
      <c r="CZ94" s="197" t="str">
        <f t="shared" si="13"/>
        <v/>
      </c>
      <c r="DA94" s="10" t="str">
        <f>C75</f>
        <v/>
      </c>
      <c r="DB94" s="8"/>
      <c r="DC94" s="8"/>
      <c r="DD94" s="8"/>
      <c r="DE94" s="249" t="str">
        <f>IF(COUNTIF($DA$15:DA93,DA94)&gt;0,"",DA94)</f>
        <v/>
      </c>
      <c r="DF94" s="26" t="str">
        <f>I75</f>
        <v/>
      </c>
      <c r="DG94" s="32">
        <f t="shared" si="18"/>
        <v>0</v>
      </c>
      <c r="DH94" s="198">
        <f t="shared" si="15"/>
        <v>5</v>
      </c>
      <c r="DI94" s="124" t="str">
        <f t="shared" si="19"/>
        <v/>
      </c>
      <c r="DJ94" s="11" t="str">
        <f>BF72</f>
        <v>Ya1-Ce</v>
      </c>
      <c r="DK94" s="11"/>
      <c r="DL94" s="11"/>
      <c r="DM94" s="9"/>
      <c r="DN94" s="9" t="str">
        <f>IF(COUNTIF($DJ$15:DJ93,DJ94)&gt;0,"",DJ94)</f>
        <v/>
      </c>
      <c r="DO94" s="101">
        <f>BO72</f>
        <v>2</v>
      </c>
      <c r="DP94" s="13">
        <f t="shared" si="17"/>
        <v>0</v>
      </c>
      <c r="DQ94" s="8"/>
    </row>
    <row r="95" spans="1:121" ht="11.25" customHeight="1">
      <c r="A95" s="15"/>
      <c r="B95" s="23"/>
      <c r="C95" s="2367" t="str">
        <f>[5]照差!$C$106</f>
        <v xml:space="preserve"> 11F</v>
      </c>
      <c r="D95" s="2368"/>
      <c r="E95" s="2369"/>
      <c r="F95" s="2370">
        <f>[5]照差!$G$106</f>
        <v>4</v>
      </c>
      <c r="G95" s="2371"/>
      <c r="H95" s="2371"/>
      <c r="I95" s="2372"/>
      <c r="J95" s="2370">
        <f>[5]照差!$J$106</f>
        <v>3</v>
      </c>
      <c r="K95" s="2373"/>
      <c r="L95" s="2373"/>
      <c r="M95" s="2374"/>
      <c r="N95" s="2330">
        <f>[5]照差!$M$106</f>
        <v>1152</v>
      </c>
      <c r="O95" s="2331"/>
      <c r="P95" s="2331"/>
      <c r="Q95" s="2331"/>
      <c r="R95" s="2332"/>
      <c r="S95" s="2330">
        <f>[5]照差!$Q$106</f>
        <v>806.4</v>
      </c>
      <c r="T95" s="2331"/>
      <c r="U95" s="2331"/>
      <c r="V95" s="2332"/>
      <c r="W95" s="2330">
        <f>[5]照差!$U$106</f>
        <v>345.6</v>
      </c>
      <c r="X95" s="2331"/>
      <c r="Y95" s="2331"/>
      <c r="Z95" s="2332"/>
      <c r="AA95" s="2340">
        <f>[5]照差!$Y$106</f>
        <v>3</v>
      </c>
      <c r="AB95" s="2341"/>
      <c r="AC95" s="2342"/>
      <c r="AD95" s="2343">
        <f>[5]照差!$AB$106</f>
        <v>9</v>
      </c>
      <c r="AE95" s="2344"/>
      <c r="AF95" s="2345"/>
      <c r="AG95" s="2346">
        <f>IF(OR(C95="",C95="  RF"),"",2+INT(N95/1000))</f>
        <v>3</v>
      </c>
      <c r="AH95" s="2346"/>
      <c r="AI95" s="2346"/>
      <c r="AJ95" s="2346"/>
      <c r="AK95" s="2346"/>
      <c r="AL95" s="2346">
        <f>IF(OR(C95="",C95="  RF"),"",1+INT(N95/500))</f>
        <v>3</v>
      </c>
      <c r="AM95" s="2346"/>
      <c r="AN95" s="2346"/>
      <c r="AO95" s="2346"/>
      <c r="AP95" s="2346"/>
      <c r="AQ95" s="2347" t="str">
        <f>IF(OR(C95="",AL93="設置しない"),"",IF(OR(AND(LEFT($C$18,2)=" B",[6]Top!$U$72&lt;&gt;""),AND(LEFT($C$18,3)="  1",[6]Top!$U$73&lt;&gt;""),AND(LEFT($C$18,3)="  2",[6]Top!$U$75&lt;&gt;""),AND(LEFT($C$18,3)="  3",[6]Top!$U$77&lt;&gt;""),[6]Top!$U$79&lt;&gt;"",[6]Top!$U$81&lt;&gt;""),"Xh1-Ae",IF(OR(AND(LEFT($C$18,2)=" B",[6]Top!$U$72="BL"),AND(LEFT($C$18,3)="  1",[6]Top!$U$73="BL"),AND(LEFT($C$18,3)="  2",[6]Top!$U$75="BL"),AND(LEFT($C$18,3)="  3",[6]Top!$U$77="BL"),[6]Top!$U$79="BL",[6]Top!$U$81="BL"),"Xh1-BLe","")))</f>
        <v>Xh1-Ae</v>
      </c>
      <c r="AR95" s="2348"/>
      <c r="AS95" s="2348"/>
      <c r="AT95" s="2348"/>
      <c r="AU95" s="2348"/>
      <c r="AV95" s="2348"/>
      <c r="AW95" s="2348"/>
      <c r="AX95" s="2348"/>
      <c r="AY95" s="2349"/>
      <c r="AZ95" s="2353">
        <f>IF(OR(N95="",AQ95=""),"",IF(BC95&lt;&gt;"",BC95,1+INT(N95/500)))</f>
        <v>3</v>
      </c>
      <c r="BA95" s="2354"/>
      <c r="BB95" s="2355"/>
      <c r="BC95" s="2305"/>
      <c r="BD95" s="2305"/>
      <c r="BE95" s="2305"/>
      <c r="BF95" s="2281" t="str">
        <f>IF(C95="","",IF(OR(AND(LEFT(C95,2)=" B",[6]Top!$AD$72="要"),AND(LEFT(C95,3)="  1",[6]Top!$AD$73="要"),AND(LEFT(C95,3)="  2",[6]Top!$AD$75="要"),AND(LEFT(C95,3)="  3",[6]Top!$AD$77="要"),[6]Top!$AD$79="C",[6]Top!$AD$81="要"),"Ya1-Ce",""))</f>
        <v>Ya1-Ce</v>
      </c>
      <c r="BG95" s="2281"/>
      <c r="BH95" s="2281"/>
      <c r="BI95" s="2281"/>
      <c r="BJ95" s="2281"/>
      <c r="BK95" s="2281"/>
      <c r="BL95" s="2281"/>
      <c r="BM95" s="2281"/>
      <c r="BN95" s="2281"/>
      <c r="BO95" s="2304">
        <f>IF(OR(C95="",C95="  RF"),"",IF(BR95&lt;&gt;"",BR95,1+INT((BW95+BX95)/20)))</f>
        <v>2</v>
      </c>
      <c r="BP95" s="2304"/>
      <c r="BQ95" s="2304"/>
      <c r="BR95" s="2339"/>
      <c r="BS95" s="2339"/>
      <c r="BT95" s="2339"/>
      <c r="BU95" s="19"/>
      <c r="BV95" s="8">
        <v>13</v>
      </c>
      <c r="BW95" s="98">
        <f>IF(OR(C95="",C95="  RF"),0,SQRT(N95*J94)/2)</f>
        <v>12</v>
      </c>
      <c r="BX95" s="98">
        <f>IF(OR(C95="",C95="  RF"),0,SQRT(N95/J94)/2)</f>
        <v>24</v>
      </c>
      <c r="BY95" s="88" t="s">
        <v>204</v>
      </c>
      <c r="BZ95" s="92">
        <f>IF(OR($BW$10=0,AL93="設置しない",C95="  RF",C95=""),0,IF(LEFT(C95,2)&lt;&gt;"PH",AG95*BW96/2,BW96))</f>
        <v>40.5</v>
      </c>
      <c r="CA95" s="88" t="s">
        <v>205</v>
      </c>
      <c r="CB95" s="88">
        <f>IF(OR($BW$10=0,AL93="設置しない",C95="  RF",C95=""),0,IF(LEFT(C95,2)="PH",0,(BN97-1)*SQRT(S95/BN97)))</f>
        <v>70.279442228862351</v>
      </c>
      <c r="CC95" s="88" t="s">
        <v>204</v>
      </c>
      <c r="CD95" s="262">
        <f>IF(OR($BW$10=0,AL93="設置しない",F95=0),0,AG95*(F95-0.1-($Y$7-$AN$8)/1000))</f>
        <v>13.799999999999999</v>
      </c>
      <c r="CE95" s="88" t="s">
        <v>205</v>
      </c>
      <c r="CF95" s="88">
        <f>IF(OR($BW$10=0,AL93="設置しない",LEFT(C95,2)="PH",C95="  RF",C95=""),0,(2*BN97-1)*$AN$7/1000)</f>
        <v>12</v>
      </c>
      <c r="CG95" s="88" t="s">
        <v>204</v>
      </c>
      <c r="CH95" s="92">
        <f>IF(OR($BW$10=0,AL93="設置しない",AI94="非:天井ケーブル"),0,BZ95)</f>
        <v>0</v>
      </c>
      <c r="CI95" s="88" t="s">
        <v>205</v>
      </c>
      <c r="CJ95" s="88">
        <f>IF(OR($BW$10=0,AL93="設置しない",AI94="非:天井ケーブル"),0,CB95)</f>
        <v>0</v>
      </c>
      <c r="CK95" s="88" t="s">
        <v>204</v>
      </c>
      <c r="CL95" s="92">
        <f>IF(OR($BW$10=0,AL93="設置しない",C95="  RF",C95=""),0,IF(J95="直天",AG95*(F95-$Y$7/1000),AG95*(J95+0.1-$Y$7/1000)))</f>
        <v>3.9000000000000004</v>
      </c>
      <c r="CM95" s="220"/>
      <c r="CN95" s="219"/>
      <c r="CO95" s="134">
        <f>IF(AZ95="",0,VLOOKUP(AQ95,[7]建物1802!$E$5:$AL$3275,33,FALSE)*AZ95)</f>
        <v>56.94</v>
      </c>
      <c r="CP95" s="136">
        <f>IF(AZ95="",0,VLOOKUP(AQ95,[7]建物1802!$E$5:$AL$3275,30,FALSE)*AZ95)</f>
        <v>31.5</v>
      </c>
      <c r="CQ95" s="136">
        <f>IF(CO95="","",SQRT(CO95^2-CP95^2))</f>
        <v>47.433254157816329</v>
      </c>
      <c r="CR95" s="189">
        <f>IF(BO95="",0,VLOOKUP(BF95,[7]建物1802!$E$5:$AL$3275,33,FALSE)*BO95)</f>
        <v>8</v>
      </c>
      <c r="CS95" s="189">
        <f>IF(BO95="",0,VLOOKUP(BF95,[7]建物1802!$E$5:$AL$3275,30,FALSE)*BO95)</f>
        <v>3.8</v>
      </c>
      <c r="CT95" s="259">
        <f>IF(CR95="",0,SQRT(CR95^2-CS95^2))</f>
        <v>7.0398863627192165</v>
      </c>
      <c r="CU95" s="14"/>
      <c r="CV95" s="14"/>
      <c r="CW95" s="216"/>
      <c r="CX95" s="8"/>
      <c r="CY95" s="197">
        <f t="shared" si="12"/>
        <v>3</v>
      </c>
      <c r="CZ95" s="197" t="str">
        <f t="shared" si="13"/>
        <v/>
      </c>
      <c r="DA95" s="10" t="str">
        <f>M75</f>
        <v/>
      </c>
      <c r="DB95" s="8"/>
      <c r="DC95" s="8"/>
      <c r="DD95" s="8"/>
      <c r="DE95" s="249" t="str">
        <f>IF(COUNTIF($DA$15:DA94,DA95)&gt;0,"",DA95)</f>
        <v/>
      </c>
      <c r="DF95" s="26" t="str">
        <f>S75</f>
        <v/>
      </c>
      <c r="DG95" s="32">
        <f t="shared" si="18"/>
        <v>0</v>
      </c>
      <c r="DH95" s="198">
        <f t="shared" si="15"/>
        <v>5</v>
      </c>
      <c r="DI95" s="124" t="str">
        <f t="shared" si="19"/>
        <v/>
      </c>
      <c r="DJ95" s="11" t="str">
        <f>BF73</f>
        <v/>
      </c>
      <c r="DK95" s="11"/>
      <c r="DL95" s="11"/>
      <c r="DM95" s="9"/>
      <c r="DN95" s="9" t="str">
        <f>IF(COUNTIF($DJ$15:DJ94,DJ95)&gt;0,"",DJ95)</f>
        <v/>
      </c>
      <c r="DO95" s="101" t="str">
        <f>BO73</f>
        <v/>
      </c>
      <c r="DP95" s="13">
        <f t="shared" si="17"/>
        <v>0</v>
      </c>
      <c r="DQ95" s="9"/>
    </row>
    <row r="96" spans="1:121" ht="11.25" customHeight="1">
      <c r="A96" s="15">
        <v>13</v>
      </c>
      <c r="B96" s="227"/>
      <c r="C96" s="2378" t="str">
        <f>IF(C95="","",IF(K96="","VV-F 2.0mm-2C",K96))</f>
        <v>VV-F 2.0mm-2C</v>
      </c>
      <c r="D96" s="2379"/>
      <c r="E96" s="2379"/>
      <c r="F96" s="2379"/>
      <c r="G96" s="2379"/>
      <c r="H96" s="2379"/>
      <c r="I96" s="2379"/>
      <c r="J96" s="2380"/>
      <c r="K96" s="2313"/>
      <c r="L96" s="2314"/>
      <c r="M96" s="2314"/>
      <c r="N96" s="2314"/>
      <c r="O96" s="2314"/>
      <c r="P96" s="2314"/>
      <c r="Q96" s="2314"/>
      <c r="R96" s="2315"/>
      <c r="S96" s="2312">
        <f>IF(OR(C95="",AL93="設置しない",BH93="設置しない"),"",ROUND((BZ95+CD95),1))</f>
        <v>54.3</v>
      </c>
      <c r="T96" s="2312"/>
      <c r="U96" s="2312"/>
      <c r="V96" s="2312"/>
      <c r="W96" s="2306" t="str">
        <f>IF(C95="","",IF(AE96="","VV-F 2.0mm-2C",AE96))</f>
        <v>VV-F 2.0mm-2C</v>
      </c>
      <c r="X96" s="2307"/>
      <c r="Y96" s="2307"/>
      <c r="Z96" s="2307"/>
      <c r="AA96" s="2307"/>
      <c r="AB96" s="2307"/>
      <c r="AC96" s="2307"/>
      <c r="AD96" s="2308"/>
      <c r="AE96" s="2313"/>
      <c r="AF96" s="2314"/>
      <c r="AG96" s="2314"/>
      <c r="AH96" s="2314"/>
      <c r="AI96" s="2314"/>
      <c r="AJ96" s="2314"/>
      <c r="AK96" s="2314"/>
      <c r="AL96" s="2315"/>
      <c r="AM96" s="2312">
        <f>IF(OR(C95="",,AL93="設置しない",BH93="設置しない"),"",ROUND(BZ98,1))</f>
        <v>33.9</v>
      </c>
      <c r="AN96" s="2312"/>
      <c r="AO96" s="2312"/>
      <c r="AP96" s="2312"/>
      <c r="AQ96" s="2347" t="str">
        <f>IF(OR(C95="",AL93="設置しない"),"",IF(OR(AND(LEFT($C$18,2)=" B",[6]Top!$U$72&lt;&gt;""),AND(LEFT($C$18,3)="  1",[6]Top!$U$73&lt;&gt;""),AND(LEFT($C$18,3)="  2",[6]Top!$U$75&lt;&gt;""),AND(LEFT($C$18,3)="  3",[6]Top!$U$77&lt;&gt;""),[6]Top!$U$79&lt;&gt;"",[6]Top!$U$81&lt;&gt;""),"Xh1-Ae",IF(OR(AND(LEFT($C$18,2)=" B",[6]Top!$U$72="BL"),AND(LEFT($C$18,3)="  1",[6]Top!$U$73="BL"),AND(LEFT($C$18,3)="  2",[6]Top!$U$75="BL"),AND(LEFT($C$18,3)="  3",[6]Top!$U$77="BL"),[6]Top!$U$79="BL",[6]Top!$U$81="BL"),"Xh1-BLe","")))</f>
        <v>Xh1-Ae</v>
      </c>
      <c r="AR96" s="2348"/>
      <c r="AS96" s="2348"/>
      <c r="AT96" s="2348"/>
      <c r="AU96" s="2348"/>
      <c r="AV96" s="2348"/>
      <c r="AW96" s="2348"/>
      <c r="AX96" s="2348"/>
      <c r="AY96" s="2349"/>
      <c r="AZ96" s="2304">
        <f>IF(AA95="","",IF(BC96&lt;&gt;"",BC96,IF(AQ96&lt;&gt;"",1+INT(AA95/3),"")))</f>
        <v>2</v>
      </c>
      <c r="BA96" s="2304"/>
      <c r="BB96" s="2304"/>
      <c r="BC96" s="2305"/>
      <c r="BD96" s="2305"/>
      <c r="BE96" s="2305"/>
      <c r="BF96" s="2281" t="str">
        <f>IF(C95="","",IF(OR(AND(LEFT(C95,2)=" B",[6]Top!$AF$72="要"),AND(LEFT(C95,3)="  1",[6]Top!$AF$73="要"),AND(LEFT(C95,3)="  2",[6]Top!$AF$75="要"),AND(LEFT(C95,3)="  3",[6]Top!$AF$77="要"),[6]Top!$AF$79="要",[6]Top!$AF$81="要"),"D15V-321PXe",""))</f>
        <v/>
      </c>
      <c r="BG96" s="2281"/>
      <c r="BH96" s="2281"/>
      <c r="BI96" s="2282"/>
      <c r="BJ96" s="2282"/>
      <c r="BK96" s="2282"/>
      <c r="BL96" s="2282"/>
      <c r="BM96" s="2282"/>
      <c r="BN96" s="2282"/>
      <c r="BO96" s="2283" t="str">
        <f>IF(OR(C95="",C95="  RF",BF96=""),"",IF(BR96&lt;&gt;"",BR96,2*(1+INT(N95/500))))</f>
        <v/>
      </c>
      <c r="BP96" s="2283"/>
      <c r="BQ96" s="2283"/>
      <c r="BR96" s="2303"/>
      <c r="BS96" s="2303"/>
      <c r="BT96" s="2303"/>
      <c r="BU96" s="19"/>
      <c r="BV96" s="46" t="str">
        <f>V94</f>
        <v>⑦</v>
      </c>
      <c r="BW96" s="263">
        <f>IF(C95="","",IF(BV96="①",BW95+BX95+3,IF(BV96="②",BW95*5/8+BX95+3,IF(BV96="③",BW95/2+BX95+3,IF(BV96="④",BW95+BX95*5/8+3,IF(BV96="⑤",(BW95+BX95)*5/8+3,IF(BV96="⑥",BW95/2+BX95*5/8+3,IF(BV96="⑦",BW95+BX95/2+3,IF(BV96="⑧",BW95*5/8+BX95/2+3,IF(BV96="⑨",(BW95+BX95)/2+3))))))))))</f>
        <v>27</v>
      </c>
      <c r="BX96" s="8"/>
      <c r="BY96" s="88" t="s">
        <v>202</v>
      </c>
      <c r="BZ96" s="92">
        <f>IF(OR($BW$10=0,BH93="設置しない",C95="  RF",C95=""),0,IF(LEFT(C95,2)&lt;&gt;"PH",AL95*BW96/2,BW96))</f>
        <v>40.5</v>
      </c>
      <c r="CA96" s="88" t="s">
        <v>203</v>
      </c>
      <c r="CB96" s="88">
        <f>IF(OR($BW$10=0,AY93="設置しない",BN98=""),0,(BN98-1)*SQRT(W95/BN98))</f>
        <v>52.908978444116649</v>
      </c>
      <c r="CC96" s="88" t="s">
        <v>202</v>
      </c>
      <c r="CD96" s="262">
        <f>IF(OR($BW$10=0,BH93="設置しない",F95=0),0,AG95*(F95-0.1-($AN$8-$Y$7)/1000))</f>
        <v>9.6000000000000014</v>
      </c>
      <c r="CE96" s="88" t="s">
        <v>203</v>
      </c>
      <c r="CF96" s="88">
        <f>IF(OR($BW$10=0,BH93="設置しない",BN98=""),0,(2*BN98-1)*$AN$7/1000)</f>
        <v>15.2</v>
      </c>
      <c r="CG96" s="88" t="s">
        <v>202</v>
      </c>
      <c r="CH96" s="92">
        <f>IF(OR($BW$10=0,BH93="設置しない",AI94="非:天井ケーブル"),0,BZ96)</f>
        <v>0</v>
      </c>
      <c r="CI96" s="88" t="s">
        <v>203</v>
      </c>
      <c r="CJ96" s="88">
        <f>IF(OR($BW$10=0,BH93="設置しない",AI94="非:天井ケーブル"),0,CB96)</f>
        <v>0</v>
      </c>
      <c r="CK96" s="88" t="s">
        <v>202</v>
      </c>
      <c r="CL96" s="92">
        <f>IF(OR($BW$10=0,BH93="設置しない",C95="  RF",C95=""),0,IF(J95="直天",AG95*(F95-$Y$7/1000),AG95*(J95+0.1-$Y$7/1000)))</f>
        <v>3.9000000000000004</v>
      </c>
      <c r="CM96" s="141"/>
      <c r="CN96" s="142"/>
      <c r="CO96" s="136">
        <f>IF(AZ96="",0,(VLOOKUP(AQ96,[7]建物1802!$E$5:$AL$3275,33,FALSE))*AZ96)</f>
        <v>37.96</v>
      </c>
      <c r="CP96" s="136">
        <f>IF(AZ96="",0,VLOOKUP(AQ96,[7]建物1802!$E$5:$AL$3275,30,FALSE)*AZ96)</f>
        <v>21</v>
      </c>
      <c r="CQ96" s="136">
        <f>IF(CO96="","",SQRT(CO96^2-CP96^2))</f>
        <v>31.622169438544219</v>
      </c>
      <c r="CR96" s="189">
        <f>IF(BO96="",0,VLOOKUP(BF96,[7]建物1802!$E$5:$AL$3275,33,FALSE)*BO96)</f>
        <v>0</v>
      </c>
      <c r="CS96" s="189">
        <f>IF(BO96="",0,VLOOKUP(BF96,[7]建物1802!$E$5:$AL$3275,30,FALSE)*BO96)</f>
        <v>0</v>
      </c>
      <c r="CT96" s="259">
        <f>IF(CR96="",0,SQRT(CR96^2-CS96^2))</f>
        <v>0</v>
      </c>
      <c r="CU96" s="14"/>
      <c r="CV96" s="14"/>
      <c r="CW96" s="216"/>
      <c r="CX96" s="8"/>
      <c r="CY96" s="197">
        <f t="shared" si="12"/>
        <v>3</v>
      </c>
      <c r="CZ96" s="197" t="str">
        <f t="shared" si="13"/>
        <v/>
      </c>
      <c r="DA96" s="10" t="str">
        <f>W75</f>
        <v>PF-S-16mm</v>
      </c>
      <c r="DB96" s="8"/>
      <c r="DC96" s="8"/>
      <c r="DD96" s="8"/>
      <c r="DE96" s="249" t="str">
        <f>IF(COUNTIF($DA$15:DA95,DA96)&gt;0,"",DA96)</f>
        <v/>
      </c>
      <c r="DF96" s="26">
        <f>AC75</f>
        <v>3.9</v>
      </c>
      <c r="DG96" s="32">
        <f t="shared" si="18"/>
        <v>0</v>
      </c>
      <c r="DH96" s="198">
        <f t="shared" si="15"/>
        <v>5</v>
      </c>
      <c r="DI96" s="199" t="str">
        <f t="shared" si="19"/>
        <v/>
      </c>
      <c r="DJ96" s="201" t="str">
        <f>BI74</f>
        <v>d4-30e</v>
      </c>
      <c r="DK96" s="10"/>
      <c r="DL96" s="10"/>
      <c r="DM96" s="8"/>
      <c r="DN96" s="249" t="str">
        <f>IF(COUNTIF($DJ$15:DJ95,DJ96)&gt;0,"",DJ96)</f>
        <v/>
      </c>
      <c r="DO96" s="200">
        <f>BN74</f>
        <v>8</v>
      </c>
      <c r="DP96" s="32">
        <f t="shared" si="17"/>
        <v>0</v>
      </c>
      <c r="DQ96" s="8"/>
    </row>
    <row r="97" spans="1:121" ht="11.25" customHeight="1">
      <c r="A97" s="15"/>
      <c r="B97" s="23"/>
      <c r="C97" s="2378" t="str">
        <f>IF(C95="","",IF(K97="","VV-F 1.6mm-2C",K97))</f>
        <v>VV-F 1.6mm-2C</v>
      </c>
      <c r="D97" s="2379"/>
      <c r="E97" s="2379"/>
      <c r="F97" s="2379"/>
      <c r="G97" s="2379"/>
      <c r="H97" s="2379"/>
      <c r="I97" s="2379"/>
      <c r="J97" s="2380"/>
      <c r="K97" s="2313"/>
      <c r="L97" s="2314"/>
      <c r="M97" s="2314"/>
      <c r="N97" s="2314"/>
      <c r="O97" s="2314"/>
      <c r="P97" s="2314"/>
      <c r="Q97" s="2314"/>
      <c r="R97" s="2315"/>
      <c r="S97" s="2312">
        <f>IF(OR(C95="",C95="  RF"),"",INT(CB95+CB96+CF95+CF96+CD97))</f>
        <v>312</v>
      </c>
      <c r="T97" s="2312"/>
      <c r="U97" s="2312"/>
      <c r="V97" s="2312"/>
      <c r="W97" s="2306" t="str">
        <f>IF(C95="","",IF(AE97="","VV-F 1.6mm-2C",AE97))</f>
        <v>VV-F 1.6mm-2C</v>
      </c>
      <c r="X97" s="2307"/>
      <c r="Y97" s="2307"/>
      <c r="Z97" s="2307"/>
      <c r="AA97" s="2307"/>
      <c r="AB97" s="2307"/>
      <c r="AC97" s="2307"/>
      <c r="AD97" s="2308"/>
      <c r="AE97" s="2313"/>
      <c r="AF97" s="2314"/>
      <c r="AG97" s="2314"/>
      <c r="AH97" s="2314"/>
      <c r="AI97" s="2314"/>
      <c r="AJ97" s="2314"/>
      <c r="AK97" s="2314"/>
      <c r="AL97" s="2315"/>
      <c r="AM97" s="2306">
        <f>IF(OR(C95="",C95="  RF"),"",INT(CB98+CD97))</f>
        <v>243</v>
      </c>
      <c r="AN97" s="2307"/>
      <c r="AO97" s="2307"/>
      <c r="AP97" s="2308"/>
      <c r="AQ97" s="2309" t="str">
        <f>IF(OR(C95="",S95=""),"",IF(OR(AND(LEFT(C95,2)=" B",[8]非誘!$W$72="C"),AND(LEFT(C95,3)="  1",[8]非誘!$W$74="C"),AND(LEFT(C95,3)="  2",[8]非誘!$W$76="C"),AND(LEFT(C95,3)="  3",[8]非誘!$W$78="C"),[8]非誘!$W$80="C",[8]非誘!$W$81="C"),"Yd2-BHe",""))</f>
        <v/>
      </c>
      <c r="AR97" s="2310"/>
      <c r="AS97" s="2310"/>
      <c r="AT97" s="2310"/>
      <c r="AU97" s="2310"/>
      <c r="AV97" s="2310"/>
      <c r="AW97" s="2310"/>
      <c r="AX97" s="2310"/>
      <c r="AY97" s="2311"/>
      <c r="AZ97" s="2304" t="str">
        <f>IF(AQ97="","",IF(OR(C95="",C95="  RF"),"",IF(BC97&lt;&gt;"",BC97,AA95)))</f>
        <v/>
      </c>
      <c r="BA97" s="2304"/>
      <c r="BB97" s="2304"/>
      <c r="BC97" s="2305"/>
      <c r="BD97" s="2305"/>
      <c r="BE97" s="2305"/>
      <c r="BF97" s="2316" t="s">
        <v>10</v>
      </c>
      <c r="BG97" s="2317"/>
      <c r="BH97" s="2318"/>
      <c r="BI97" s="2319" t="str">
        <f>IF(OR($BW$10=0,AL93="設置しない",C95="",C95="  RF"),"",IF(OR(AND(LEFT(C95,2)=" B",[6]Top!$O$72="要"),AND(LEFT(C95,3)="  1",[6]Top!$O$74="要"),AND(LEFT(C95,3)="  2",[6]Top!$O$76="要"),AND(LEFT(C95,3)="  3",[6]Top!$O$78="要"),[6]Top!$O$80="要",[6]Top!$O$81="要",$Y$9="設置する"),"d4-30e",""))</f>
        <v>d4-30e</v>
      </c>
      <c r="BJ97" s="2320"/>
      <c r="BK97" s="2320"/>
      <c r="BL97" s="2320"/>
      <c r="BM97" s="2321"/>
      <c r="BN97" s="2319">
        <f>IF(OR($BW$10=0,AL93="設置しない",C95="",C95="  RF"),"",IF(LEFT(C95,2)="PH","",IF(BR97&lt;&gt;"",BR97,IF((1+INT(S95/110))&lt;=AA95,AA95,1+INT(S95/110)))))</f>
        <v>8</v>
      </c>
      <c r="BO97" s="2320"/>
      <c r="BP97" s="2321"/>
      <c r="BQ97" s="31" t="s">
        <v>211</v>
      </c>
      <c r="BR97" s="2322"/>
      <c r="BS97" s="2323"/>
      <c r="BT97" s="2324"/>
      <c r="BU97" s="19"/>
      <c r="BV97" s="226"/>
      <c r="BW97" s="196"/>
      <c r="BX97" s="8"/>
      <c r="BY97" s="88" t="s">
        <v>200</v>
      </c>
      <c r="BZ97" s="222">
        <f>SUM(AZ95:BB98)+SUM(BO95:BQ98)</f>
        <v>9</v>
      </c>
      <c r="CA97" s="8"/>
      <c r="CB97" s="8"/>
      <c r="CC97" s="88" t="s">
        <v>121</v>
      </c>
      <c r="CD97" s="88">
        <f>IF($AW$8=0,0,2*($AW$8/1000-0.15-0.1)*(INT(1000*2*BW95/$AW$10)+1)*(INT(1000*2*BX95/$AW$10)+1)*4)</f>
        <v>162</v>
      </c>
      <c r="CE97" s="8"/>
      <c r="CF97" s="8"/>
      <c r="CG97" s="168"/>
      <c r="CH97" s="261"/>
      <c r="CI97" s="8"/>
      <c r="CJ97" s="8"/>
      <c r="CK97" s="168"/>
      <c r="CL97" s="261"/>
      <c r="CM97" s="8"/>
      <c r="CN97" s="8"/>
      <c r="CO97" s="136">
        <f>IF(AZ97="",0,VLOOKUP(AQ97,[7]建物1802!$E$5:$AL$3275,33,FALSE)*AZ97)</f>
        <v>0</v>
      </c>
      <c r="CP97" s="136">
        <f>IF(AZ97="",0,VLOOKUP(AQ97,[7]建物1802!$E$5:$AL$3275,30,FALSE)*AZ97)</f>
        <v>0</v>
      </c>
      <c r="CQ97" s="136">
        <f>IF(CO97="","",SQRT(CO97^2-CP97^2))</f>
        <v>0</v>
      </c>
      <c r="CR97" s="260"/>
      <c r="CS97" s="14"/>
      <c r="CT97" s="14"/>
      <c r="CU97" s="14"/>
      <c r="CV97" s="14"/>
      <c r="CW97" s="216"/>
      <c r="CX97" s="88">
        <v>11</v>
      </c>
      <c r="CY97" s="204">
        <f t="shared" si="12"/>
        <v>3</v>
      </c>
      <c r="CZ97" s="155" t="str">
        <f t="shared" si="13"/>
        <v/>
      </c>
      <c r="DA97" s="154" t="str">
        <f>AG75</f>
        <v>PF-S-16mm</v>
      </c>
      <c r="DB97" s="45"/>
      <c r="DC97" s="45"/>
      <c r="DD97" s="45"/>
      <c r="DE97" s="153" t="str">
        <f>IF(COUNTIF($DA$15:DA96,DA97)&gt;0,"",DA97)</f>
        <v/>
      </c>
      <c r="DF97" s="152">
        <f>AM75</f>
        <v>19.5</v>
      </c>
      <c r="DG97" s="32">
        <f t="shared" si="18"/>
        <v>0</v>
      </c>
      <c r="DH97" s="124">
        <f t="shared" si="15"/>
        <v>5</v>
      </c>
      <c r="DI97" s="149" t="str">
        <f t="shared" si="19"/>
        <v/>
      </c>
      <c r="DJ97" s="210" t="str">
        <f>BI75</f>
        <v>d4-13e</v>
      </c>
      <c r="DK97" s="154"/>
      <c r="DL97" s="154"/>
      <c r="DM97" s="45"/>
      <c r="DN97" s="45" t="str">
        <f>IF(COUNTIF($DJ$15:DJ96,DJ97)&gt;0,"",DJ97)</f>
        <v/>
      </c>
      <c r="DO97" s="209">
        <f>BN75</f>
        <v>10</v>
      </c>
      <c r="DP97" s="169">
        <f t="shared" si="17"/>
        <v>0</v>
      </c>
      <c r="DQ97" s="88">
        <v>11</v>
      </c>
    </row>
    <row r="98" spans="1:121" ht="11.25" customHeight="1" thickBot="1">
      <c r="A98" s="15"/>
      <c r="B98" s="23"/>
      <c r="C98" s="2359" t="str">
        <f>IF(C95="","",IF(I98="","",IF(AI94="非:天井(C管)","C-19mm",IF(AI94="非:天井(G管)","G- 16mm","PF-S-16mm"))))</f>
        <v/>
      </c>
      <c r="D98" s="2360"/>
      <c r="E98" s="2360"/>
      <c r="F98" s="2360"/>
      <c r="G98" s="2360"/>
      <c r="H98" s="2360"/>
      <c r="I98" s="2335" t="str">
        <f>IF(OR(C95="",AL93="設置しない",BH93="設置しない",$BW$10=0,CH95=0,CJ95=0),"",IF(J95="直天",ROUND((BZ95+CB95),1),ROUND((CH95+CJ95),1)))</f>
        <v/>
      </c>
      <c r="J98" s="2335"/>
      <c r="K98" s="2335"/>
      <c r="L98" s="2335"/>
      <c r="M98" s="2359" t="str">
        <f>IF(C95="","",IF(S98="","",IF(BC94="誘:天井(C管)","C-19mm",IF(BC94="誘:天井(G管)","G- 16mm","PF-S-16mm"))))</f>
        <v/>
      </c>
      <c r="N98" s="2360"/>
      <c r="O98" s="2360"/>
      <c r="P98" s="2360"/>
      <c r="Q98" s="2360"/>
      <c r="R98" s="2361"/>
      <c r="S98" s="2312" t="str">
        <f>IF(OR(C95="",,AL93="設置しない",BH93="設置しない",$BW$10=0,CH98=0,CJ98=0),"",IF(J95="直天",ROUND((BZ98+CB98),1),ROUND((CH98+CJ98),1)))</f>
        <v/>
      </c>
      <c r="T98" s="2312"/>
      <c r="U98" s="2312"/>
      <c r="V98" s="2312"/>
      <c r="W98" s="2359" t="str">
        <f>IF(C95="","",IF($B$2=0,"",IF(OR(AI94="非:天井(C管)",AI94="非:床(C管)"),"C-19mm",IF(OR(AI94="非:天井(G管)",AI94="非:床(G管)"),"G-16mm",IF(AI94="非:床(CD管)","CD-16mm","PF-S-16mm")))))</f>
        <v>PF-S-16mm</v>
      </c>
      <c r="X98" s="2360"/>
      <c r="Y98" s="2360"/>
      <c r="Z98" s="2360"/>
      <c r="AA98" s="2360"/>
      <c r="AB98" s="2361"/>
      <c r="AC98" s="2362">
        <f>IF(OR(C95="",AL93="設置しない",BH93="設置しない"),"",ROUND(CL95,1))</f>
        <v>3.9</v>
      </c>
      <c r="AD98" s="2312"/>
      <c r="AE98" s="2312"/>
      <c r="AF98" s="2312"/>
      <c r="AG98" s="2333" t="str">
        <f>IF(C95="","",IF($B$2=0,"",IF(BC94="誘:天井(C管)","C-19mm",IF(BC94="誘:天井(G管)","G-16mm","PF-S-16mm"))))</f>
        <v>PF-S-16mm</v>
      </c>
      <c r="AH98" s="2333"/>
      <c r="AI98" s="2333"/>
      <c r="AJ98" s="2333"/>
      <c r="AK98" s="2333"/>
      <c r="AL98" s="2333"/>
      <c r="AM98" s="2334">
        <f>IF(OR(C95="",AL93="設置しない",BH93="設置しない"),"",ROUND((CL98+CN98),1))</f>
        <v>19.5</v>
      </c>
      <c r="AN98" s="2335"/>
      <c r="AO98" s="2335"/>
      <c r="AP98" s="2335"/>
      <c r="AQ98" s="2291" t="str">
        <f>IF(C95="","",IF(OR(AND(LEFT(C95,2)=" B",[6]Top!$AA$72="C"),AND(LEFT(C95,3)="  1",[6]Top!$AA$73="C"),AND(LEFT(C95,3)="  2",[6]Top!$AA$75="C"),AND(LEFT(C95,3)="  3",[6]Top!$AA$77="C"),[6]Top!$AA$79="C",[6]Top!$AA$81="C"),"Yd2-Ce",""))</f>
        <v>Yd2-Ce</v>
      </c>
      <c r="AR98" s="2292"/>
      <c r="AS98" s="2292"/>
      <c r="AT98" s="2292"/>
      <c r="AU98" s="2292"/>
      <c r="AV98" s="2292"/>
      <c r="AW98" s="2292"/>
      <c r="AX98" s="2292"/>
      <c r="AY98" s="2293"/>
      <c r="AZ98" s="2294">
        <f>IF(OR(C95="",C95="  RF",AQ98=""),"",IF(BC98&lt;&gt;"",BC98,1+INT((BW95+BX95)/20)))</f>
        <v>2</v>
      </c>
      <c r="BA98" s="2295"/>
      <c r="BB98" s="2296"/>
      <c r="BC98" s="2287"/>
      <c r="BD98" s="2287"/>
      <c r="BE98" s="2287"/>
      <c r="BF98" s="2363" t="s">
        <v>127</v>
      </c>
      <c r="BG98" s="2364"/>
      <c r="BH98" s="2365"/>
      <c r="BI98" s="2335" t="str">
        <f>IF(OR($BW$10=0,AY93="設置しない",C95="",C95="  RF"),"",IF(OR(AND(LEFT(C95,2)=" B",[6]Top!$O$72="要"),AND(LEFT(C95,3)="  1",[6]Top!$O$74="要"),AND(LEFT(C95,3)="  2",[6]Top!$O$76="要"),AND(LEFT(C95,3)="  3",[6]Top!$O$78="要"),[6]Top!$O$80="要",[6]Top!$O$81="要",$Y$10="設置する"),"d4-13e",""))</f>
        <v>d4-13e</v>
      </c>
      <c r="BJ98" s="2335"/>
      <c r="BK98" s="2335"/>
      <c r="BL98" s="2335"/>
      <c r="BM98" s="2335"/>
      <c r="BN98" s="2335">
        <f>IF(OR($BW$10=0,BH93="設置しない",C95="",C95="  RF"),"",IF(BR98&lt;&gt;"",BR98,INT(AD95*1.2)))</f>
        <v>10</v>
      </c>
      <c r="BO98" s="2335"/>
      <c r="BP98" s="2335"/>
      <c r="BQ98" s="31" t="s">
        <v>211</v>
      </c>
      <c r="BR98" s="2350"/>
      <c r="BS98" s="2351"/>
      <c r="BT98" s="2352"/>
      <c r="BU98" s="19"/>
      <c r="BV98" s="8"/>
      <c r="BW98" s="8"/>
      <c r="BX98" s="8"/>
      <c r="BY98" s="88" t="s">
        <v>199</v>
      </c>
      <c r="BZ98" s="151">
        <f>IF(AL95="",0,AL95*SQRT(N95/BZ97))</f>
        <v>33.941125496954285</v>
      </c>
      <c r="CA98" s="88" t="s">
        <v>198</v>
      </c>
      <c r="CB98" s="151">
        <f>IF(BZ97=0,0,(BZ97/3)*BW96)</f>
        <v>81</v>
      </c>
      <c r="CC98" s="88" t="s">
        <v>199</v>
      </c>
      <c r="CD98" s="151">
        <f>IF(F95=0,0,F95-0.25-$Y$7/1000)</f>
        <v>1.95</v>
      </c>
      <c r="CE98" s="88" t="s">
        <v>198</v>
      </c>
      <c r="CF98" s="151">
        <f>IF(F95=0,0,(2*(BZ97-BO95)-1)*$AN$7/1000+(2*BO95-1)*(F95-0.75))</f>
        <v>20.149999999999999</v>
      </c>
      <c r="CG98" s="88" t="s">
        <v>199</v>
      </c>
      <c r="CH98" s="151">
        <f>IF(BC94="誘:天井ケーブル",0,BZ98)</f>
        <v>0</v>
      </c>
      <c r="CI98" s="88" t="s">
        <v>198</v>
      </c>
      <c r="CJ98" s="151">
        <f>IF(BC94="誘:天井ケーブル",0,CB98)</f>
        <v>0</v>
      </c>
      <c r="CK98" s="88" t="s">
        <v>199</v>
      </c>
      <c r="CL98" s="259">
        <f>IF(F95=0,0,IF(J95="直天",AL95*(F95-$Y$7/1000),AL95*(J95+0.1-$Y$7/1000)))</f>
        <v>3.9000000000000004</v>
      </c>
      <c r="CM98" s="88" t="s">
        <v>198</v>
      </c>
      <c r="CN98" s="151">
        <f>IF(F95=0,0,IF(J95="直天",BO95*(2*BO95-1)*(F95-0.5),BO95*(2*BO95-1)*(J95-0.4)))</f>
        <v>15.600000000000001</v>
      </c>
      <c r="CO98" s="136">
        <f>IF(AZ98="",0,VLOOKUP(AQ98,[7]建物1802!$E$5:$AL$3275,33,FALSE)*AZ98)</f>
        <v>10.58</v>
      </c>
      <c r="CP98" s="136">
        <f>IF(AZ98="",0,VLOOKUP(AQ98,[7]建物1802!$E$5:$AL$3275,30,FALSE)*AZ98)</f>
        <v>5.2</v>
      </c>
      <c r="CQ98" s="136">
        <f>IF(CO98="","",SQRT(CO98^2-CP98^2))</f>
        <v>9.2139242454016301</v>
      </c>
      <c r="CR98" s="26"/>
      <c r="CS98" s="26"/>
      <c r="CT98" s="26"/>
      <c r="CU98" s="26"/>
      <c r="CV98" s="26"/>
      <c r="CW98" s="218"/>
      <c r="CX98" s="8"/>
      <c r="CY98" s="197">
        <f t="shared" si="12"/>
        <v>3</v>
      </c>
      <c r="CZ98" s="197" t="str">
        <f t="shared" si="13"/>
        <v/>
      </c>
      <c r="DA98" s="10" t="str">
        <f>C79</f>
        <v>VV-F 2.0mm-2C</v>
      </c>
      <c r="DB98" s="8"/>
      <c r="DC98" s="8"/>
      <c r="DD98" s="8"/>
      <c r="DE98" s="249" t="str">
        <f>IF(COUNTIF($DA$15:DA97,DA98)&gt;0,"",DA98)</f>
        <v/>
      </c>
      <c r="DF98" s="26">
        <f>S79</f>
        <v>54.3</v>
      </c>
      <c r="DG98" s="32">
        <f t="shared" si="18"/>
        <v>0</v>
      </c>
      <c r="DH98" s="198">
        <f t="shared" si="15"/>
        <v>5</v>
      </c>
      <c r="DI98" s="199" t="str">
        <f t="shared" si="19"/>
        <v/>
      </c>
      <c r="DJ98" s="10" t="str">
        <f>AQ78</f>
        <v>Xh1-Ae</v>
      </c>
      <c r="DK98" s="10"/>
      <c r="DL98" s="10"/>
      <c r="DM98" s="8"/>
      <c r="DN98" s="249" t="str">
        <f>IF(COUNTIF($DJ$15:DJ97,DJ98)&gt;0,"",DJ98)</f>
        <v/>
      </c>
      <c r="DO98" s="200">
        <f>AZ78</f>
        <v>3</v>
      </c>
      <c r="DP98" s="32">
        <f t="shared" si="17"/>
        <v>0</v>
      </c>
      <c r="DQ98" s="8"/>
    </row>
    <row r="99" spans="1:121" ht="11.25" customHeight="1" thickBot="1">
      <c r="A99" s="15"/>
      <c r="B99" s="23"/>
      <c r="C99" s="2288" t="s">
        <v>112</v>
      </c>
      <c r="D99" s="2289"/>
      <c r="E99" s="2289"/>
      <c r="F99" s="2289"/>
      <c r="G99" s="2289"/>
      <c r="H99" s="2289"/>
      <c r="I99" s="2290"/>
      <c r="J99" s="2356" t="str">
        <f>[5]照差!$I$111</f>
        <v>(3) イ</v>
      </c>
      <c r="K99" s="2357"/>
      <c r="L99" s="2358"/>
      <c r="M99" s="2375" t="str">
        <f>[5]照差!$M$111</f>
        <v>料理店等</v>
      </c>
      <c r="N99" s="2376"/>
      <c r="O99" s="2376"/>
      <c r="P99" s="2376"/>
      <c r="Q99" s="2376"/>
      <c r="R99" s="2376"/>
      <c r="S99" s="2376"/>
      <c r="T99" s="2376"/>
      <c r="U99" s="2377"/>
      <c r="V99" s="2275" t="s">
        <v>217</v>
      </c>
      <c r="W99" s="2276"/>
      <c r="X99" s="2276"/>
      <c r="Y99" s="2276"/>
      <c r="Z99" s="2277"/>
      <c r="AA99" s="2278" t="str">
        <f>[6]Top!$I$50</f>
        <v>A</v>
      </c>
      <c r="AB99" s="2279"/>
      <c r="AC99" s="2280" t="s">
        <v>216</v>
      </c>
      <c r="AD99" s="2280"/>
      <c r="AE99" s="2280"/>
      <c r="AF99" s="2280"/>
      <c r="AG99" s="2280"/>
      <c r="AH99" s="2280"/>
      <c r="AI99" s="2280"/>
      <c r="AJ99" s="2280"/>
      <c r="AK99" s="2280"/>
      <c r="AL99" s="2356" t="str">
        <f>IF($BW$10=0,"設置しない",IF(AS99="","設置する",AS99))</f>
        <v>設置する</v>
      </c>
      <c r="AM99" s="2357"/>
      <c r="AN99" s="2357"/>
      <c r="AO99" s="2357"/>
      <c r="AP99" s="2357"/>
      <c r="AQ99" s="2358"/>
      <c r="AR99" s="265" t="s">
        <v>211</v>
      </c>
      <c r="AS99" s="2284"/>
      <c r="AT99" s="2285"/>
      <c r="AU99" s="2285"/>
      <c r="AV99" s="2285"/>
      <c r="AW99" s="2285"/>
      <c r="AX99" s="2286"/>
      <c r="AY99" s="2280" t="s">
        <v>215</v>
      </c>
      <c r="AZ99" s="2280"/>
      <c r="BA99" s="2280"/>
      <c r="BB99" s="2280"/>
      <c r="BC99" s="2280"/>
      <c r="BD99" s="2280"/>
      <c r="BE99" s="2280"/>
      <c r="BF99" s="2280"/>
      <c r="BG99" s="2280"/>
      <c r="BH99" s="2356" t="str">
        <f>IF($BW$10=0,"設置しない",IF(BO99="","設置する",BO99))</f>
        <v>設置する</v>
      </c>
      <c r="BI99" s="2357"/>
      <c r="BJ99" s="2357"/>
      <c r="BK99" s="2357"/>
      <c r="BL99" s="2357"/>
      <c r="BM99" s="2358"/>
      <c r="BN99" s="265" t="s">
        <v>211</v>
      </c>
      <c r="BO99" s="2284"/>
      <c r="BP99" s="2285"/>
      <c r="BQ99" s="2285"/>
      <c r="BR99" s="2285"/>
      <c r="BS99" s="2285"/>
      <c r="BT99" s="2286"/>
      <c r="BU99" s="19"/>
      <c r="BV99" s="8"/>
      <c r="BW99" s="8"/>
      <c r="BX99" s="8"/>
      <c r="BY99" s="9"/>
      <c r="BZ99" s="9"/>
      <c r="CA99" s="9"/>
      <c r="CB99" s="9"/>
      <c r="CC99" s="9"/>
      <c r="CD99" s="9"/>
      <c r="CE99" s="9"/>
      <c r="CF99" s="9"/>
      <c r="CG99" s="9"/>
      <c r="CH99" s="9"/>
      <c r="CI99" s="9"/>
      <c r="CJ99" s="9"/>
      <c r="CK99" s="9"/>
      <c r="CL99" s="9"/>
      <c r="CM99" s="9"/>
      <c r="CN99" s="9"/>
      <c r="CO99" s="266"/>
      <c r="CP99" s="266"/>
      <c r="CQ99" s="266"/>
      <c r="CR99" s="14"/>
      <c r="CS99" s="14"/>
      <c r="CT99" s="14"/>
      <c r="CU99" s="14"/>
      <c r="CV99" s="14"/>
      <c r="CW99" s="216"/>
      <c r="CX99" s="8"/>
      <c r="CY99" s="197">
        <f t="shared" si="12"/>
        <v>3</v>
      </c>
      <c r="CZ99" s="197" t="str">
        <f t="shared" si="13"/>
        <v/>
      </c>
      <c r="DA99" s="10" t="str">
        <f>W79</f>
        <v>VV-F 2.0mm-2C</v>
      </c>
      <c r="DB99" s="8"/>
      <c r="DC99" s="8"/>
      <c r="DD99" s="8"/>
      <c r="DE99" s="249" t="str">
        <f>IF(COUNTIF($DA$15:DA98,DA99)&gt;0,"",DA99)</f>
        <v/>
      </c>
      <c r="DF99" s="26">
        <f>AM79</f>
        <v>33.9</v>
      </c>
      <c r="DG99" s="32">
        <f t="shared" si="18"/>
        <v>0</v>
      </c>
      <c r="DH99" s="198">
        <f t="shared" si="15"/>
        <v>5</v>
      </c>
      <c r="DI99" s="198" t="str">
        <f t="shared" si="19"/>
        <v/>
      </c>
      <c r="DJ99" s="10" t="str">
        <f>AQ79</f>
        <v>Xh1-Ae</v>
      </c>
      <c r="DK99" s="10"/>
      <c r="DL99" s="10"/>
      <c r="DM99" s="8"/>
      <c r="DN99" s="8" t="str">
        <f>IF(COUNTIF($DJ$15:DJ98,DJ99)&gt;0,"",DJ99)</f>
        <v/>
      </c>
      <c r="DO99" s="200">
        <f>AZ79</f>
        <v>2</v>
      </c>
      <c r="DP99" s="32">
        <f t="shared" si="17"/>
        <v>0</v>
      </c>
      <c r="DQ99" s="8"/>
    </row>
    <row r="100" spans="1:121" ht="11.25" customHeight="1" thickBot="1">
      <c r="A100" s="15"/>
      <c r="B100" s="23"/>
      <c r="C100" s="2300" t="s">
        <v>214</v>
      </c>
      <c r="D100" s="2301"/>
      <c r="E100" s="2301"/>
      <c r="F100" s="2301"/>
      <c r="G100" s="2301"/>
      <c r="H100" s="2301"/>
      <c r="I100" s="2302"/>
      <c r="J100" s="2297">
        <f>[5]照差!$K$112</f>
        <v>0.5</v>
      </c>
      <c r="K100" s="2298"/>
      <c r="L100" s="2298"/>
      <c r="M100" s="2298"/>
      <c r="N100" s="2299" t="s">
        <v>213</v>
      </c>
      <c r="O100" s="2299"/>
      <c r="P100" s="2299"/>
      <c r="Q100" s="2299"/>
      <c r="R100" s="2299"/>
      <c r="S100" s="2299"/>
      <c r="T100" s="2299"/>
      <c r="U100" s="2299"/>
      <c r="V100" s="2366" t="str">
        <f>[5]照差!$W$112</f>
        <v>⑦</v>
      </c>
      <c r="W100" s="2366"/>
      <c r="X100" s="2366"/>
      <c r="Y100" s="2299" t="s">
        <v>135</v>
      </c>
      <c r="Z100" s="2299"/>
      <c r="AA100" s="2299"/>
      <c r="AB100" s="2299"/>
      <c r="AC100" s="2299"/>
      <c r="AD100" s="2299" t="s">
        <v>18</v>
      </c>
      <c r="AE100" s="2299"/>
      <c r="AF100" s="2299"/>
      <c r="AG100" s="2299"/>
      <c r="AH100" s="2299"/>
      <c r="AI100" s="2337" t="str">
        <f>IF($B$2=0,"",IF(AQ100="","非:天井ケーブル",AQ100))</f>
        <v>非:天井ケーブル</v>
      </c>
      <c r="AJ100" s="2337"/>
      <c r="AK100" s="2337"/>
      <c r="AL100" s="2337"/>
      <c r="AM100" s="2337"/>
      <c r="AN100" s="2337"/>
      <c r="AO100" s="2337"/>
      <c r="AP100" s="175" t="s">
        <v>211</v>
      </c>
      <c r="AQ100" s="2338"/>
      <c r="AR100" s="2338"/>
      <c r="AS100" s="2338"/>
      <c r="AT100" s="2338"/>
      <c r="AU100" s="2338"/>
      <c r="AV100" s="2338"/>
      <c r="AW100" s="2338"/>
      <c r="AX100" s="2299" t="s">
        <v>212</v>
      </c>
      <c r="AY100" s="2299"/>
      <c r="AZ100" s="2299"/>
      <c r="BA100" s="2299"/>
      <c r="BB100" s="2299"/>
      <c r="BC100" s="2337" t="str">
        <f>IF($B$2=0,"",IF(BK100="","誘:天井ケーブル",BK100))</f>
        <v>誘:天井ケーブル</v>
      </c>
      <c r="BD100" s="2337"/>
      <c r="BE100" s="2337"/>
      <c r="BF100" s="2337"/>
      <c r="BG100" s="2337"/>
      <c r="BH100" s="2337"/>
      <c r="BI100" s="2337"/>
      <c r="BJ100" s="175" t="s">
        <v>211</v>
      </c>
      <c r="BK100" s="2338"/>
      <c r="BL100" s="2338"/>
      <c r="BM100" s="2338"/>
      <c r="BN100" s="2338"/>
      <c r="BO100" s="2338"/>
      <c r="BP100" s="2338"/>
      <c r="BQ100" s="2338"/>
      <c r="BR100" s="2299"/>
      <c r="BS100" s="2299"/>
      <c r="BT100" s="2299"/>
      <c r="BU100" s="19"/>
      <c r="BV100" s="8">
        <v>111</v>
      </c>
      <c r="BW100" s="88" t="s">
        <v>210</v>
      </c>
      <c r="BX100" s="88" t="s">
        <v>209</v>
      </c>
      <c r="BY100" s="2336" t="s">
        <v>126</v>
      </c>
      <c r="BZ100" s="2336"/>
      <c r="CA100" s="2336"/>
      <c r="CB100" s="2336"/>
      <c r="CC100" s="2336" t="s">
        <v>125</v>
      </c>
      <c r="CD100" s="2336"/>
      <c r="CE100" s="2336"/>
      <c r="CF100" s="2336"/>
      <c r="CG100" s="2336" t="s">
        <v>124</v>
      </c>
      <c r="CH100" s="2336"/>
      <c r="CI100" s="2336"/>
      <c r="CJ100" s="2336"/>
      <c r="CK100" s="2336" t="s">
        <v>123</v>
      </c>
      <c r="CL100" s="2336"/>
      <c r="CM100" s="2336"/>
      <c r="CN100" s="2336"/>
      <c r="CO100" s="88" t="s">
        <v>208</v>
      </c>
      <c r="CP100" s="88" t="s">
        <v>207</v>
      </c>
      <c r="CQ100" s="88" t="s">
        <v>206</v>
      </c>
      <c r="CR100" s="88" t="s">
        <v>208</v>
      </c>
      <c r="CS100" s="88" t="s">
        <v>207</v>
      </c>
      <c r="CT100" s="221" t="s">
        <v>206</v>
      </c>
      <c r="CU100" s="264">
        <f>IF(BW101="","",SUM(CP101:CP104)+CS101+CS102)</f>
        <v>61.5</v>
      </c>
      <c r="CV100" s="264">
        <f>IF(BW101="","",SUM(CQ101:CQ104)+CT101+CT102)</f>
        <v>95.309234204481399</v>
      </c>
      <c r="CW100" s="9"/>
      <c r="CX100" s="8"/>
      <c r="CY100" s="197">
        <f t="shared" si="12"/>
        <v>3</v>
      </c>
      <c r="CZ100" s="197" t="str">
        <f t="shared" si="13"/>
        <v/>
      </c>
      <c r="DA100" s="10" t="str">
        <f>C80</f>
        <v>VV-F 1.6mm-2C</v>
      </c>
      <c r="DB100" s="8"/>
      <c r="DC100" s="8"/>
      <c r="DD100" s="8"/>
      <c r="DE100" s="249" t="str">
        <f>IF(COUNTIF($DA$15:DA99,DA100)&gt;0,"",DA100)</f>
        <v/>
      </c>
      <c r="DF100" s="26">
        <f>S80</f>
        <v>312</v>
      </c>
      <c r="DG100" s="32">
        <f t="shared" si="18"/>
        <v>0</v>
      </c>
      <c r="DH100" s="198">
        <f t="shared" si="15"/>
        <v>5</v>
      </c>
      <c r="DI100" s="198" t="str">
        <f t="shared" si="19"/>
        <v/>
      </c>
      <c r="DJ100" s="10" t="str">
        <f>AQ80</f>
        <v/>
      </c>
      <c r="DK100" s="10"/>
      <c r="DL100" s="10"/>
      <c r="DM100" s="8"/>
      <c r="DN100" s="8" t="str">
        <f>IF(COUNTIF($DJ$15:DJ99,DJ100)&gt;0,"",DJ100)</f>
        <v/>
      </c>
      <c r="DO100" s="200" t="str">
        <f>AZ80</f>
        <v/>
      </c>
      <c r="DP100" s="32">
        <f t="shared" si="17"/>
        <v>0</v>
      </c>
      <c r="DQ100" s="8"/>
    </row>
    <row r="101" spans="1:121" ht="11.25" customHeight="1">
      <c r="A101" s="15"/>
      <c r="B101" s="23"/>
      <c r="C101" s="2367" t="str">
        <f>[5]照差!$C$113</f>
        <v xml:space="preserve"> 12F</v>
      </c>
      <c r="D101" s="2368"/>
      <c r="E101" s="2369"/>
      <c r="F101" s="2370">
        <f>[5]照差!$G$113</f>
        <v>4</v>
      </c>
      <c r="G101" s="2371"/>
      <c r="H101" s="2371"/>
      <c r="I101" s="2372"/>
      <c r="J101" s="2370">
        <f>[5]照差!$J$113</f>
        <v>3</v>
      </c>
      <c r="K101" s="2373"/>
      <c r="L101" s="2373"/>
      <c r="M101" s="2374"/>
      <c r="N101" s="2330">
        <f>[5]照差!$M$113</f>
        <v>1152</v>
      </c>
      <c r="O101" s="2331"/>
      <c r="P101" s="2331"/>
      <c r="Q101" s="2331"/>
      <c r="R101" s="2332"/>
      <c r="S101" s="2330">
        <f>[5]照差!$Q$113</f>
        <v>691.2</v>
      </c>
      <c r="T101" s="2331"/>
      <c r="U101" s="2331"/>
      <c r="V101" s="2332"/>
      <c r="W101" s="2330">
        <f>[5]照差!$U$113</f>
        <v>460.79999999999995</v>
      </c>
      <c r="X101" s="2331"/>
      <c r="Y101" s="2331"/>
      <c r="Z101" s="2332"/>
      <c r="AA101" s="2340">
        <f>[5]照差!$Y$113</f>
        <v>5</v>
      </c>
      <c r="AB101" s="2341"/>
      <c r="AC101" s="2342"/>
      <c r="AD101" s="2343">
        <f>[5]照差!$AB$113</f>
        <v>12</v>
      </c>
      <c r="AE101" s="2344"/>
      <c r="AF101" s="2345"/>
      <c r="AG101" s="2346">
        <f>IF(OR(C101="",C101="  RF"),"",2+INT(N101/1000))</f>
        <v>3</v>
      </c>
      <c r="AH101" s="2346"/>
      <c r="AI101" s="2346"/>
      <c r="AJ101" s="2346"/>
      <c r="AK101" s="2346"/>
      <c r="AL101" s="2346">
        <f>IF(OR(C101="",C101="  RF"),"",1+INT(N101/500))</f>
        <v>3</v>
      </c>
      <c r="AM101" s="2346"/>
      <c r="AN101" s="2346"/>
      <c r="AO101" s="2346"/>
      <c r="AP101" s="2346"/>
      <c r="AQ101" s="2347" t="str">
        <f>IF(OR(C101="",AL99="設置しない"),"",IF(OR(AND(LEFT($C$18,2)=" B",[6]Top!$U$72&lt;&gt;""),AND(LEFT($C$18,3)="  1",[6]Top!$U$73&lt;&gt;""),AND(LEFT($C$18,3)="  2",[6]Top!$U$75&lt;&gt;""),AND(LEFT($C$18,3)="  3",[6]Top!$U$77&lt;&gt;""),[6]Top!$U$79&lt;&gt;"",[6]Top!$U$81&lt;&gt;""),"Xh1-Ae",IF(OR(AND(LEFT($C$18,2)=" B",[6]Top!$U$72="BL"),AND(LEFT($C$18,3)="  1",[6]Top!$U$73="BL"),AND(LEFT($C$18,3)="  2",[6]Top!$U$75="BL"),AND(LEFT($C$18,3)="  3",[6]Top!$U$77="BL"),[6]Top!$U$79="BL",[6]Top!$U$81="BL"),"Xh1-BLe","")))</f>
        <v>Xh1-Ae</v>
      </c>
      <c r="AR101" s="2348"/>
      <c r="AS101" s="2348"/>
      <c r="AT101" s="2348"/>
      <c r="AU101" s="2348"/>
      <c r="AV101" s="2348"/>
      <c r="AW101" s="2348"/>
      <c r="AX101" s="2348"/>
      <c r="AY101" s="2349"/>
      <c r="AZ101" s="2353">
        <f>IF(OR(N101="",AQ101=""),"",IF(BC101&lt;&gt;"",BC101,1+INT(N101/500)))</f>
        <v>3</v>
      </c>
      <c r="BA101" s="2354"/>
      <c r="BB101" s="2355"/>
      <c r="BC101" s="2305"/>
      <c r="BD101" s="2305"/>
      <c r="BE101" s="2305"/>
      <c r="BF101" s="2281" t="str">
        <f>IF(C101="","",IF(OR(AND(LEFT(C101,2)=" B",[6]Top!$AD$72="要"),AND(LEFT(C101,3)="  1",[6]Top!$AD$73="要"),AND(LEFT(C101,3)="  2",[6]Top!$AD$75="要"),AND(LEFT(C101,3)="  3",[6]Top!$AD$77="要"),[6]Top!$AD$79="C",[6]Top!$AD$81="要"),"Ya1-Ce",""))</f>
        <v>Ya1-Ce</v>
      </c>
      <c r="BG101" s="2281"/>
      <c r="BH101" s="2281"/>
      <c r="BI101" s="2281"/>
      <c r="BJ101" s="2281"/>
      <c r="BK101" s="2281"/>
      <c r="BL101" s="2281"/>
      <c r="BM101" s="2281"/>
      <c r="BN101" s="2281"/>
      <c r="BO101" s="2304">
        <f>IF(OR(C101="",C101="  RF"),"",IF(BR101&lt;&gt;"",BR101,1+INT((BW101+BX101)/20)))</f>
        <v>2</v>
      </c>
      <c r="BP101" s="2304"/>
      <c r="BQ101" s="2304"/>
      <c r="BR101" s="2339"/>
      <c r="BS101" s="2339"/>
      <c r="BT101" s="2339"/>
      <c r="BU101" s="19"/>
      <c r="BV101" s="8">
        <v>14</v>
      </c>
      <c r="BW101" s="98">
        <f>IF(OR(C101="",C101="  RF"),0,SQRT(N101*J100)/2)</f>
        <v>12</v>
      </c>
      <c r="BX101" s="98">
        <f>IF(OR(C101="",C101="  RF"),0,SQRT(N101/J100)/2)</f>
        <v>24</v>
      </c>
      <c r="BY101" s="88" t="s">
        <v>204</v>
      </c>
      <c r="BZ101" s="92">
        <f>IF(OR($BW$10=0,AL99="設置しない",C101="  RF",C101=""),0,IF(LEFT(C101,2)&lt;&gt;"PH",AG101*BW102/2,BW102))</f>
        <v>40.5</v>
      </c>
      <c r="CA101" s="88" t="s">
        <v>205</v>
      </c>
      <c r="CB101" s="88">
        <f>IF(OR($BW$10=0,AL99="設置しない",C101="  RF",C101=""),0,IF(LEFT(C101,2)="PH",0,(BN103-1)*SQRT(S101/BN103)))</f>
        <v>59.621664327179403</v>
      </c>
      <c r="CC101" s="88" t="s">
        <v>204</v>
      </c>
      <c r="CD101" s="262">
        <f>IF(OR($BW$10=0,AL99="設置しない",F101=0),0,AG101*(F101-0.1-($Y$7-$AN$8)/1000))</f>
        <v>13.799999999999999</v>
      </c>
      <c r="CE101" s="88" t="s">
        <v>205</v>
      </c>
      <c r="CF101" s="88">
        <f>IF(OR($BW$10=0,AL99="設置しない",LEFT(C101,2)="PH",C101="  RF",C101=""),0,(2*BN103-1)*$AN$7/1000)</f>
        <v>10.4</v>
      </c>
      <c r="CG101" s="88" t="s">
        <v>204</v>
      </c>
      <c r="CH101" s="92">
        <f>IF(OR($BW$10=0,AL99="設置しない",AI100="非:天井ケーブル"),0,BZ101)</f>
        <v>0</v>
      </c>
      <c r="CI101" s="88" t="s">
        <v>205</v>
      </c>
      <c r="CJ101" s="88">
        <f>IF(OR($BW$10=0,AL99="設置しない",AI100="非:天井ケーブル"),0,CB101)</f>
        <v>0</v>
      </c>
      <c r="CK101" s="88" t="s">
        <v>204</v>
      </c>
      <c r="CL101" s="92">
        <f>IF(OR($BW$10=0,AL99="設置しない",C101="  RF",C101=""),0,IF(J101="直天",AG101*(F101-$Y$7/1000),AG101*(J101+0.1-$Y$7/1000)))</f>
        <v>3.9000000000000004</v>
      </c>
      <c r="CM101" s="220"/>
      <c r="CN101" s="219"/>
      <c r="CO101" s="134">
        <f>IF(AZ101="",0,VLOOKUP(AQ101,[7]建物1802!$E$5:$AL$3275,33,FALSE)*AZ101)</f>
        <v>56.94</v>
      </c>
      <c r="CP101" s="136">
        <f>IF(AZ101="",0,VLOOKUP(AQ101,[7]建物1802!$E$5:$AL$3275,30,FALSE)*AZ101)</f>
        <v>31.5</v>
      </c>
      <c r="CQ101" s="136">
        <f>IF(CO101="","",SQRT(CO101^2-CP101^2))</f>
        <v>47.433254157816329</v>
      </c>
      <c r="CR101" s="189">
        <f>IF(BO101="",0,VLOOKUP(BF101,[7]建物1802!$E$5:$AL$3275,33,FALSE)*BO101)</f>
        <v>8</v>
      </c>
      <c r="CS101" s="189">
        <f>IF(BO101="",0,VLOOKUP(BF101,[7]建物1802!$E$5:$AL$3275,30,FALSE)*BO101)</f>
        <v>3.8</v>
      </c>
      <c r="CT101" s="259">
        <f>IF(CR101="",0,SQRT(CR101^2-CS101^2))</f>
        <v>7.0398863627192165</v>
      </c>
      <c r="CU101" s="14"/>
      <c r="CV101" s="14"/>
      <c r="CW101" s="216"/>
      <c r="CX101" s="8"/>
      <c r="CY101" s="197">
        <f t="shared" si="12"/>
        <v>3</v>
      </c>
      <c r="CZ101" s="197" t="str">
        <f t="shared" si="13"/>
        <v/>
      </c>
      <c r="DA101" s="10" t="str">
        <f>W80</f>
        <v>VV-F 1.6mm-2C</v>
      </c>
      <c r="DB101" s="8"/>
      <c r="DC101" s="8"/>
      <c r="DD101" s="8"/>
      <c r="DE101" s="249" t="str">
        <f>IF(COUNTIF($DA$15:DA100,DA101)&gt;0,"",DA101)</f>
        <v/>
      </c>
      <c r="DF101" s="26">
        <f>AM80</f>
        <v>243</v>
      </c>
      <c r="DG101" s="32">
        <f t="shared" si="18"/>
        <v>0</v>
      </c>
      <c r="DH101" s="198">
        <f t="shared" si="15"/>
        <v>5</v>
      </c>
      <c r="DI101" s="124" t="str">
        <f t="shared" si="19"/>
        <v/>
      </c>
      <c r="DJ101" s="11" t="str">
        <f>AQ81</f>
        <v>Yd2-Ce</v>
      </c>
      <c r="DK101" s="11"/>
      <c r="DL101" s="11"/>
      <c r="DM101" s="9"/>
      <c r="DN101" s="9" t="str">
        <f>IF(COUNTIF($DJ$15:DJ100,DJ101)&gt;0,"",DJ101)</f>
        <v/>
      </c>
      <c r="DO101" s="101">
        <f>AZ81</f>
        <v>2</v>
      </c>
      <c r="DP101" s="32">
        <f t="shared" si="17"/>
        <v>0</v>
      </c>
      <c r="DQ101" s="8"/>
    </row>
    <row r="102" spans="1:121" ht="11.25" customHeight="1">
      <c r="A102" s="15">
        <v>14</v>
      </c>
      <c r="B102" s="227"/>
      <c r="C102" s="2378" t="str">
        <f>IF(C101="","",IF(K102="","VV-F 2.0mm-2C",K102))</f>
        <v>VV-F 2.0mm-2C</v>
      </c>
      <c r="D102" s="2379"/>
      <c r="E102" s="2379"/>
      <c r="F102" s="2379"/>
      <c r="G102" s="2379"/>
      <c r="H102" s="2379"/>
      <c r="I102" s="2379"/>
      <c r="J102" s="2380"/>
      <c r="K102" s="2313"/>
      <c r="L102" s="2314"/>
      <c r="M102" s="2314"/>
      <c r="N102" s="2314"/>
      <c r="O102" s="2314"/>
      <c r="P102" s="2314"/>
      <c r="Q102" s="2314"/>
      <c r="R102" s="2315"/>
      <c r="S102" s="2312">
        <f>IF(OR(C101="",AL99="設置しない",BH99="設置しない"),"",ROUND((BZ101+CD101),1))</f>
        <v>54.3</v>
      </c>
      <c r="T102" s="2312"/>
      <c r="U102" s="2312"/>
      <c r="V102" s="2312"/>
      <c r="W102" s="2306" t="str">
        <f>IF(C101="","",IF(AE102="","VV-F 2.0mm-2C",AE102))</f>
        <v>VV-F 2.0mm-2C</v>
      </c>
      <c r="X102" s="2307"/>
      <c r="Y102" s="2307"/>
      <c r="Z102" s="2307"/>
      <c r="AA102" s="2307"/>
      <c r="AB102" s="2307"/>
      <c r="AC102" s="2307"/>
      <c r="AD102" s="2308"/>
      <c r="AE102" s="2313"/>
      <c r="AF102" s="2314"/>
      <c r="AG102" s="2314"/>
      <c r="AH102" s="2314"/>
      <c r="AI102" s="2314"/>
      <c r="AJ102" s="2314"/>
      <c r="AK102" s="2314"/>
      <c r="AL102" s="2315"/>
      <c r="AM102" s="2312">
        <f>IF(OR(C101="",,AL99="設置しない",BH99="設置しない"),"",ROUND(BZ104,1))</f>
        <v>33.9</v>
      </c>
      <c r="AN102" s="2312"/>
      <c r="AO102" s="2312"/>
      <c r="AP102" s="2312"/>
      <c r="AQ102" s="2347" t="str">
        <f>IF(OR(C101="",AL99="設置しない"),"",IF(OR(AND(LEFT($C$18,2)=" B",[6]Top!$U$72&lt;&gt;""),AND(LEFT($C$18,3)="  1",[6]Top!$U$73&lt;&gt;""),AND(LEFT($C$18,3)="  2",[6]Top!$U$75&lt;&gt;""),AND(LEFT($C$18,3)="  3",[6]Top!$U$77&lt;&gt;""),[6]Top!$U$79&lt;&gt;"",[6]Top!$U$81&lt;&gt;""),"Xh1-Ae",IF(OR(AND(LEFT($C$18,2)=" B",[6]Top!$U$72="BL"),AND(LEFT($C$18,3)="  1",[6]Top!$U$73="BL"),AND(LEFT($C$18,3)="  2",[6]Top!$U$75="BL"),AND(LEFT($C$18,3)="  3",[6]Top!$U$77="BL"),[6]Top!$U$79="BL",[6]Top!$U$81="BL"),"Xh1-BLe","")))</f>
        <v>Xh1-Ae</v>
      </c>
      <c r="AR102" s="2348"/>
      <c r="AS102" s="2348"/>
      <c r="AT102" s="2348"/>
      <c r="AU102" s="2348"/>
      <c r="AV102" s="2348"/>
      <c r="AW102" s="2348"/>
      <c r="AX102" s="2348"/>
      <c r="AY102" s="2349"/>
      <c r="AZ102" s="2304">
        <f>IF(AA101="","",IF(BC102&lt;&gt;"",BC102,IF(AQ102&lt;&gt;"",1+INT(AA101/3),"")))</f>
        <v>2</v>
      </c>
      <c r="BA102" s="2304"/>
      <c r="BB102" s="2304"/>
      <c r="BC102" s="2305"/>
      <c r="BD102" s="2305"/>
      <c r="BE102" s="2305"/>
      <c r="BF102" s="2281" t="str">
        <f>IF(C101="","",IF(OR(AND(LEFT(C101,2)=" B",[6]Top!$AF$72="要"),AND(LEFT(C101,3)="  1",[6]Top!$AF$73="要"),AND(LEFT(C101,3)="  2",[6]Top!$AF$75="要"),AND(LEFT(C101,3)="  3",[6]Top!$AF$77="要"),[6]Top!$AF$79="要",[6]Top!$AF$81="要"),"D15V-321PXe",""))</f>
        <v/>
      </c>
      <c r="BG102" s="2281"/>
      <c r="BH102" s="2281"/>
      <c r="BI102" s="2282"/>
      <c r="BJ102" s="2282"/>
      <c r="BK102" s="2282"/>
      <c r="BL102" s="2282"/>
      <c r="BM102" s="2282"/>
      <c r="BN102" s="2282"/>
      <c r="BO102" s="2283" t="str">
        <f>IF(OR(C101="",C101="  RF",BF102=""),"",IF(BR102&lt;&gt;"",BR102,2*(1+INT(N101/500))))</f>
        <v/>
      </c>
      <c r="BP102" s="2283"/>
      <c r="BQ102" s="2283"/>
      <c r="BR102" s="2303"/>
      <c r="BS102" s="2303"/>
      <c r="BT102" s="2303"/>
      <c r="BU102" s="19"/>
      <c r="BV102" s="46" t="str">
        <f>V100</f>
        <v>⑦</v>
      </c>
      <c r="BW102" s="263">
        <f>IF(C101="","",IF(BV102="①",BW101+BX101+3,IF(BV102="②",BW101*5/8+BX101+3,IF(BV102="③",BW101/2+BX101+3,IF(BV102="④",BW101+BX101*5/8+3,IF(BV102="⑤",(BW101+BX101)*5/8+3,IF(BV102="⑥",BW101/2+BX101*5/8+3,IF(BV102="⑦",BW101+BX101/2+3,IF(BV102="⑧",BW101*5/8+BX101/2+3,IF(BV102="⑨",(BW101+BX101)/2+3))))))))))</f>
        <v>27</v>
      </c>
      <c r="BX102" s="8"/>
      <c r="BY102" s="88" t="s">
        <v>202</v>
      </c>
      <c r="BZ102" s="92">
        <f>IF(OR($BW$10=0,BH99="設置しない",C101="  RF",C101=""),0,IF(LEFT(C101,2)&lt;&gt;"PH",AL101*BW102/2,BW102))</f>
        <v>40.5</v>
      </c>
      <c r="CA102" s="88" t="s">
        <v>203</v>
      </c>
      <c r="CB102" s="88">
        <f>IF(OR($BW$10=0,AY99="設置しない",BN104=""),0,(BN104-1)*SQRT(W101/BN104))</f>
        <v>74.582265222466162</v>
      </c>
      <c r="CC102" s="88" t="s">
        <v>202</v>
      </c>
      <c r="CD102" s="262">
        <f>IF(OR($BW$10=0,BH99="設置しない",F101=0),0,AG101*(F101-0.1-($AN$8-$Y$7)/1000))</f>
        <v>9.6000000000000014</v>
      </c>
      <c r="CE102" s="88" t="s">
        <v>203</v>
      </c>
      <c r="CF102" s="88">
        <f>IF(OR($BW$10=0,BH99="設置しない",BN104=""),0,(2*BN104-1)*$AN$7/1000)</f>
        <v>21.6</v>
      </c>
      <c r="CG102" s="88" t="s">
        <v>202</v>
      </c>
      <c r="CH102" s="92">
        <f>IF(OR($BW$10=0,BH99="設置しない",AI100="非:天井ケーブル"),0,BZ102)</f>
        <v>0</v>
      </c>
      <c r="CI102" s="88" t="s">
        <v>203</v>
      </c>
      <c r="CJ102" s="88">
        <f>IF(OR($BW$10=0,BH99="設置しない",AI100="非:天井ケーブル"),0,CB102)</f>
        <v>0</v>
      </c>
      <c r="CK102" s="88" t="s">
        <v>202</v>
      </c>
      <c r="CL102" s="92">
        <f>IF(OR($BW$10=0,BH99="設置しない",C101="  RF",C101=""),0,IF(J101="直天",AG101*(F101-$Y$7/1000),AG101*(J101+0.1-$Y$7/1000)))</f>
        <v>3.9000000000000004</v>
      </c>
      <c r="CM102" s="141"/>
      <c r="CN102" s="142"/>
      <c r="CO102" s="136">
        <f>IF(AZ102="",0,(VLOOKUP(AQ102,[7]建物1802!$E$5:$AL$3275,33,FALSE))*AZ102)</f>
        <v>37.96</v>
      </c>
      <c r="CP102" s="136">
        <f>IF(AZ102="",0,VLOOKUP(AQ102,[7]建物1802!$E$5:$AL$3275,30,FALSE)*AZ102)</f>
        <v>21</v>
      </c>
      <c r="CQ102" s="136">
        <f>IF(CO102="","",SQRT(CO102^2-CP102^2))</f>
        <v>31.622169438544219</v>
      </c>
      <c r="CR102" s="189">
        <f>IF(BO102="",0,VLOOKUP(BF102,[7]建物1802!$E$5:$AL$3275,33,FALSE)*BO102)</f>
        <v>0</v>
      </c>
      <c r="CS102" s="189">
        <f>IF(BO102="",0,VLOOKUP(BF102,[7]建物1802!$E$5:$AL$3275,30,FALSE)*BO102)</f>
        <v>0</v>
      </c>
      <c r="CT102" s="259">
        <f>IF(CR102="",0,SQRT(CR102^2-CS102^2))</f>
        <v>0</v>
      </c>
      <c r="CU102" s="14"/>
      <c r="CV102" s="14"/>
      <c r="CW102" s="216"/>
      <c r="CX102" s="8"/>
      <c r="CY102" s="197">
        <f t="shared" si="12"/>
        <v>3</v>
      </c>
      <c r="CZ102" s="197" t="str">
        <f t="shared" si="13"/>
        <v/>
      </c>
      <c r="DA102" s="10" t="str">
        <f>C81</f>
        <v/>
      </c>
      <c r="DB102" s="8"/>
      <c r="DC102" s="8"/>
      <c r="DD102" s="8"/>
      <c r="DE102" s="249" t="str">
        <f>IF(COUNTIF($DA$15:DA101,DA102)&gt;0,"",DA102)</f>
        <v/>
      </c>
      <c r="DF102" s="26" t="str">
        <f>I81</f>
        <v/>
      </c>
      <c r="DG102" s="32">
        <f t="shared" si="18"/>
        <v>0</v>
      </c>
      <c r="DH102" s="198">
        <f t="shared" si="15"/>
        <v>5</v>
      </c>
      <c r="DI102" s="124" t="str">
        <f t="shared" si="19"/>
        <v/>
      </c>
      <c r="DJ102" s="11" t="str">
        <f>BF78</f>
        <v>Ya1-Ce</v>
      </c>
      <c r="DK102" s="11"/>
      <c r="DL102" s="11"/>
      <c r="DM102" s="9"/>
      <c r="DN102" s="9" t="str">
        <f>IF(COUNTIF($DJ$15:DJ101,DJ102)&gt;0,"",DJ102)</f>
        <v/>
      </c>
      <c r="DO102" s="101">
        <f>BO78</f>
        <v>2</v>
      </c>
      <c r="DP102" s="13">
        <f t="shared" si="17"/>
        <v>0</v>
      </c>
      <c r="DQ102" s="8"/>
    </row>
    <row r="103" spans="1:121" ht="11.25" customHeight="1">
      <c r="A103" s="15"/>
      <c r="B103" s="23"/>
      <c r="C103" s="2378" t="str">
        <f>IF(C101="","",IF(K103="","VV-F 1.6mm-2C",K103))</f>
        <v>VV-F 1.6mm-2C</v>
      </c>
      <c r="D103" s="2379"/>
      <c r="E103" s="2379"/>
      <c r="F103" s="2379"/>
      <c r="G103" s="2379"/>
      <c r="H103" s="2379"/>
      <c r="I103" s="2379"/>
      <c r="J103" s="2380"/>
      <c r="K103" s="2313"/>
      <c r="L103" s="2314"/>
      <c r="M103" s="2314"/>
      <c r="N103" s="2314"/>
      <c r="O103" s="2314"/>
      <c r="P103" s="2314"/>
      <c r="Q103" s="2314"/>
      <c r="R103" s="2315"/>
      <c r="S103" s="2312">
        <f>IF(OR(C101="",C101="  RF"),"",INT(CB101+CB102+CF101+CF102+CD103))</f>
        <v>328</v>
      </c>
      <c r="T103" s="2312"/>
      <c r="U103" s="2312"/>
      <c r="V103" s="2312"/>
      <c r="W103" s="2306" t="str">
        <f>IF(C101="","",IF(AE103="","VV-F 1.6mm-2C",AE103))</f>
        <v>VV-F 1.6mm-2C</v>
      </c>
      <c r="X103" s="2307"/>
      <c r="Y103" s="2307"/>
      <c r="Z103" s="2307"/>
      <c r="AA103" s="2307"/>
      <c r="AB103" s="2307"/>
      <c r="AC103" s="2307"/>
      <c r="AD103" s="2308"/>
      <c r="AE103" s="2313"/>
      <c r="AF103" s="2314"/>
      <c r="AG103" s="2314"/>
      <c r="AH103" s="2314"/>
      <c r="AI103" s="2314"/>
      <c r="AJ103" s="2314"/>
      <c r="AK103" s="2314"/>
      <c r="AL103" s="2315"/>
      <c r="AM103" s="2306">
        <f>IF(OR(C101="",C101="  RF"),"",INT(CB104+CD103))</f>
        <v>243</v>
      </c>
      <c r="AN103" s="2307"/>
      <c r="AO103" s="2307"/>
      <c r="AP103" s="2308"/>
      <c r="AQ103" s="2309" t="str">
        <f>IF(OR(C101="",S101=""),"",IF(OR(AND(LEFT(C101,2)=" B",[8]非誘!$W$72="C"),AND(LEFT(C101,3)="  1",[8]非誘!$W$74="C"),AND(LEFT(C101,3)="  2",[8]非誘!$W$76="C"),AND(LEFT(C101,3)="  3",[8]非誘!$W$78="C"),[8]非誘!$W$80="C",[8]非誘!$W$81="C"),"Yd2-BHe",""))</f>
        <v/>
      </c>
      <c r="AR103" s="2310"/>
      <c r="AS103" s="2310"/>
      <c r="AT103" s="2310"/>
      <c r="AU103" s="2310"/>
      <c r="AV103" s="2310"/>
      <c r="AW103" s="2310"/>
      <c r="AX103" s="2310"/>
      <c r="AY103" s="2311"/>
      <c r="AZ103" s="2304" t="str">
        <f>IF(AQ103="","",IF(OR(C101="",C101="  RF"),"",IF(BC103&lt;&gt;"",BC103,AA101)))</f>
        <v/>
      </c>
      <c r="BA103" s="2304"/>
      <c r="BB103" s="2304"/>
      <c r="BC103" s="2305"/>
      <c r="BD103" s="2305"/>
      <c r="BE103" s="2305"/>
      <c r="BF103" s="2316" t="s">
        <v>10</v>
      </c>
      <c r="BG103" s="2317"/>
      <c r="BH103" s="2318"/>
      <c r="BI103" s="2319" t="str">
        <f>IF(OR($BW$10=0,AL99="設置しない",C101="",C101="  RF"),"",IF(OR(AND(LEFT(C101,2)=" B",[6]Top!$O$72="要"),AND(LEFT(C101,3)="  1",[6]Top!$O$74="要"),AND(LEFT(C101,3)="  2",[6]Top!$O$76="要"),AND(LEFT(C101,3)="  3",[6]Top!$O$78="要"),[6]Top!$O$80="要",[6]Top!$O$81="要",$Y$9="設置する"),"d4-30e",""))</f>
        <v>d4-30e</v>
      </c>
      <c r="BJ103" s="2320"/>
      <c r="BK103" s="2320"/>
      <c r="BL103" s="2320"/>
      <c r="BM103" s="2321"/>
      <c r="BN103" s="2319">
        <f>IF(OR($BW$10=0,AL99="設置しない",C101="",C101="  RF"),"",IF(LEFT(C101,2)="PH","",IF(BR103&lt;&gt;"",BR103,IF((1+INT(S101/110))&lt;=AA101,AA101,1+INT(S101/110)))))</f>
        <v>7</v>
      </c>
      <c r="BO103" s="2320"/>
      <c r="BP103" s="2321"/>
      <c r="BQ103" s="31" t="s">
        <v>211</v>
      </c>
      <c r="BR103" s="2322"/>
      <c r="BS103" s="2323"/>
      <c r="BT103" s="2324"/>
      <c r="BU103" s="19"/>
      <c r="BV103" s="226"/>
      <c r="BW103" s="196"/>
      <c r="BX103" s="8"/>
      <c r="BY103" s="88" t="s">
        <v>200</v>
      </c>
      <c r="BZ103" s="222">
        <f>SUM(AZ101:BB104)+SUM(BO101:BQ104)</f>
        <v>9</v>
      </c>
      <c r="CA103" s="8"/>
      <c r="CB103" s="8"/>
      <c r="CC103" s="88" t="s">
        <v>121</v>
      </c>
      <c r="CD103" s="88">
        <f>IF($AW$8=0,0,2*($AW$8/1000-0.15-0.1)*(INT(1000*2*BW101/$AW$10)+1)*(INT(1000*2*BX101/$AW$10)+1)*4)</f>
        <v>162</v>
      </c>
      <c r="CE103" s="8"/>
      <c r="CF103" s="8"/>
      <c r="CG103" s="168"/>
      <c r="CH103" s="261"/>
      <c r="CI103" s="8"/>
      <c r="CJ103" s="8"/>
      <c r="CK103" s="168"/>
      <c r="CL103" s="261"/>
      <c r="CM103" s="8"/>
      <c r="CN103" s="8"/>
      <c r="CO103" s="136">
        <f>IF(AZ103="",0,VLOOKUP(AQ103,[7]建物1802!$E$5:$AL$3275,33,FALSE)*AZ103)</f>
        <v>0</v>
      </c>
      <c r="CP103" s="136">
        <f>IF(AZ103="",0,VLOOKUP(AQ103,[7]建物1802!$E$5:$AL$3275,30,FALSE)*AZ103)</f>
        <v>0</v>
      </c>
      <c r="CQ103" s="136">
        <f>IF(CO103="","",SQRT(CO103^2-CP103^2))</f>
        <v>0</v>
      </c>
      <c r="CR103" s="260"/>
      <c r="CS103" s="14"/>
      <c r="CT103" s="14"/>
      <c r="CU103" s="14"/>
      <c r="CV103" s="14"/>
      <c r="CW103" s="216"/>
      <c r="CX103" s="8"/>
      <c r="CY103" s="197">
        <f t="shared" si="12"/>
        <v>3</v>
      </c>
      <c r="CZ103" s="197" t="str">
        <f t="shared" si="13"/>
        <v/>
      </c>
      <c r="DA103" s="10" t="str">
        <f>M81</f>
        <v/>
      </c>
      <c r="DB103" s="8"/>
      <c r="DC103" s="8"/>
      <c r="DD103" s="8"/>
      <c r="DE103" s="249" t="str">
        <f>IF(COUNTIF($DA$15:DA102,DA103)&gt;0,"",DA103)</f>
        <v/>
      </c>
      <c r="DF103" s="26" t="str">
        <f>S81</f>
        <v/>
      </c>
      <c r="DG103" s="32">
        <f t="shared" si="18"/>
        <v>0</v>
      </c>
      <c r="DH103" s="198">
        <f t="shared" si="15"/>
        <v>5</v>
      </c>
      <c r="DI103" s="124" t="str">
        <f t="shared" si="19"/>
        <v/>
      </c>
      <c r="DJ103" s="11" t="str">
        <f>BF79</f>
        <v/>
      </c>
      <c r="DK103" s="11"/>
      <c r="DL103" s="11"/>
      <c r="DM103" s="9"/>
      <c r="DN103" s="9" t="str">
        <f>IF(COUNTIF($DJ$15:DJ102,DJ103)&gt;0,"",DJ103)</f>
        <v/>
      </c>
      <c r="DO103" s="101" t="str">
        <f>BO79</f>
        <v/>
      </c>
      <c r="DP103" s="13">
        <f t="shared" si="17"/>
        <v>0</v>
      </c>
      <c r="DQ103" s="9"/>
    </row>
    <row r="104" spans="1:121" ht="11.25" customHeight="1" thickBot="1">
      <c r="A104" s="15"/>
      <c r="B104" s="23"/>
      <c r="C104" s="2359" t="str">
        <f>IF(C101="","",IF(I104="","",IF(AI100="非:天井(C管)","C-19mm",IF(AI100="非:天井(G管)","G- 16mm","PF-S-16mm"))))</f>
        <v/>
      </c>
      <c r="D104" s="2360"/>
      <c r="E104" s="2360"/>
      <c r="F104" s="2360"/>
      <c r="G104" s="2360"/>
      <c r="H104" s="2360"/>
      <c r="I104" s="2335" t="str">
        <f>IF(OR(C101="",AL99="設置しない",BH99="設置しない",$BW$10=0,CH101=0,CJ101=0),"",IF(J101="直天",ROUND((BZ101+CB101),1),ROUND((CH101+CJ101),1)))</f>
        <v/>
      </c>
      <c r="J104" s="2335"/>
      <c r="K104" s="2335"/>
      <c r="L104" s="2335"/>
      <c r="M104" s="2359" t="str">
        <f>IF(C101="","",IF(S104="","",IF(BC100="誘:天井(C管)","C-19mm",IF(BC100="誘:天井(G管)","G- 16mm","PF-S-16mm"))))</f>
        <v/>
      </c>
      <c r="N104" s="2360"/>
      <c r="O104" s="2360"/>
      <c r="P104" s="2360"/>
      <c r="Q104" s="2360"/>
      <c r="R104" s="2361"/>
      <c r="S104" s="2312" t="str">
        <f>IF(OR(C101="",,AL99="設置しない",BH99="設置しない",$BW$10=0,CH104=0,CJ104=0),"",IF(J101="直天",ROUND((BZ104+CB104),1),ROUND((CH104+CJ104),1)))</f>
        <v/>
      </c>
      <c r="T104" s="2312"/>
      <c r="U104" s="2312"/>
      <c r="V104" s="2312"/>
      <c r="W104" s="2359" t="str">
        <f>IF(C101="","",IF($B$2=0,"",IF(OR(AI100="非:天井(C管)",AI100="非:床(C管)"),"C-19mm",IF(OR(AI100="非:天井(G管)",AI100="非:床(G管)"),"G-16mm",IF(AI100="非:床(CD管)","CD-16mm","PF-S-16mm")))))</f>
        <v>PF-S-16mm</v>
      </c>
      <c r="X104" s="2360"/>
      <c r="Y104" s="2360"/>
      <c r="Z104" s="2360"/>
      <c r="AA104" s="2360"/>
      <c r="AB104" s="2361"/>
      <c r="AC104" s="2362">
        <f>IF(OR(C101="",AL99="設置しない",BH99="設置しない"),"",ROUND(CL101,1))</f>
        <v>3.9</v>
      </c>
      <c r="AD104" s="2312"/>
      <c r="AE104" s="2312"/>
      <c r="AF104" s="2312"/>
      <c r="AG104" s="2333" t="str">
        <f>IF(C101="","",IF($B$2=0,"",IF(BC100="誘:天井(C管)","C-19mm",IF(BC100="誘:天井(G管)","G-16mm","PF-S-16mm"))))</f>
        <v>PF-S-16mm</v>
      </c>
      <c r="AH104" s="2333"/>
      <c r="AI104" s="2333"/>
      <c r="AJ104" s="2333"/>
      <c r="AK104" s="2333"/>
      <c r="AL104" s="2333"/>
      <c r="AM104" s="2334">
        <f>IF(OR(C101="",AL99="設置しない",BH99="設置しない"),"",ROUND((CL104+CN104),1))</f>
        <v>19.5</v>
      </c>
      <c r="AN104" s="2335"/>
      <c r="AO104" s="2335"/>
      <c r="AP104" s="2335"/>
      <c r="AQ104" s="2291" t="str">
        <f>IF(C101="","",IF(OR(AND(LEFT(C101,2)=" B",[6]Top!$AA$72="C"),AND(LEFT(C101,3)="  1",[6]Top!$AA$73="C"),AND(LEFT(C101,3)="  2",[6]Top!$AA$75="C"),AND(LEFT(C101,3)="  3",[6]Top!$AA$77="C"),[6]Top!$AA$79="C",[6]Top!$AA$81="C"),"Yd2-Ce",""))</f>
        <v>Yd2-Ce</v>
      </c>
      <c r="AR104" s="2292"/>
      <c r="AS104" s="2292"/>
      <c r="AT104" s="2292"/>
      <c r="AU104" s="2292"/>
      <c r="AV104" s="2292"/>
      <c r="AW104" s="2292"/>
      <c r="AX104" s="2292"/>
      <c r="AY104" s="2293"/>
      <c r="AZ104" s="2294">
        <f>IF(OR(C101="",C101="  RF",AQ104=""),"",IF(BC104&lt;&gt;"",BC104,1+INT((BW101+BX101)/20)))</f>
        <v>2</v>
      </c>
      <c r="BA104" s="2295"/>
      <c r="BB104" s="2296"/>
      <c r="BC104" s="2287"/>
      <c r="BD104" s="2287"/>
      <c r="BE104" s="2287"/>
      <c r="BF104" s="2363" t="s">
        <v>127</v>
      </c>
      <c r="BG104" s="2364"/>
      <c r="BH104" s="2365"/>
      <c r="BI104" s="2335" t="str">
        <f>IF(OR($BW$10=0,AY99="設置しない",C101="",C101="  RF"),"",IF(OR(AND(LEFT(C101,2)=" B",[6]Top!$O$72="要"),AND(LEFT(C101,3)="  1",[6]Top!$O$74="要"),AND(LEFT(C101,3)="  2",[6]Top!$O$76="要"),AND(LEFT(C101,3)="  3",[6]Top!$O$78="要"),[6]Top!$O$80="要",[6]Top!$O$81="要",$Y$10="設置する"),"d4-13e",""))</f>
        <v>d4-13e</v>
      </c>
      <c r="BJ104" s="2335"/>
      <c r="BK104" s="2335"/>
      <c r="BL104" s="2335"/>
      <c r="BM104" s="2335"/>
      <c r="BN104" s="2335">
        <f>IF(OR($BW$10=0,BH99="設置しない",C101="",C101="  RF"),"",IF(BR104&lt;&gt;"",BR104,INT(AD101*1.2)))</f>
        <v>14</v>
      </c>
      <c r="BO104" s="2335"/>
      <c r="BP104" s="2335"/>
      <c r="BQ104" s="31" t="s">
        <v>211</v>
      </c>
      <c r="BR104" s="2350"/>
      <c r="BS104" s="2351"/>
      <c r="BT104" s="2352"/>
      <c r="BU104" s="19"/>
      <c r="BV104" s="8"/>
      <c r="BW104" s="8"/>
      <c r="BX104" s="8"/>
      <c r="BY104" s="88" t="s">
        <v>199</v>
      </c>
      <c r="BZ104" s="151">
        <f>IF(AL101="",0,AL101*SQRT(N101/BZ103))</f>
        <v>33.941125496954285</v>
      </c>
      <c r="CA104" s="88" t="s">
        <v>198</v>
      </c>
      <c r="CB104" s="151">
        <f>IF(BZ103=0,0,(BZ103/3)*BW102)</f>
        <v>81</v>
      </c>
      <c r="CC104" s="88" t="s">
        <v>199</v>
      </c>
      <c r="CD104" s="151">
        <f>IF(F101=0,0,F101-0.25-$Y$7/1000)</f>
        <v>1.95</v>
      </c>
      <c r="CE104" s="88" t="s">
        <v>198</v>
      </c>
      <c r="CF104" s="151">
        <f>IF(F101=0,0,(2*(BZ103-BO101)-1)*$AN$7/1000+(2*BO101-1)*(F101-0.75))</f>
        <v>20.149999999999999</v>
      </c>
      <c r="CG104" s="88" t="s">
        <v>199</v>
      </c>
      <c r="CH104" s="151">
        <f>IF(BC100="誘:天井ケーブル",0,BZ104)</f>
        <v>0</v>
      </c>
      <c r="CI104" s="88" t="s">
        <v>198</v>
      </c>
      <c r="CJ104" s="151">
        <f>IF(BC100="誘:天井ケーブル",0,CB104)</f>
        <v>0</v>
      </c>
      <c r="CK104" s="88" t="s">
        <v>199</v>
      </c>
      <c r="CL104" s="259">
        <f>IF(F101=0,0,IF(J101="直天",AL101*(F101-$Y$7/1000),AL101*(J101+0.1-$Y$7/1000)))</f>
        <v>3.9000000000000004</v>
      </c>
      <c r="CM104" s="88" t="s">
        <v>198</v>
      </c>
      <c r="CN104" s="151">
        <f>IF(F101=0,0,IF(J101="直天",BO101*(2*BO101-1)*(F101-0.5),BO101*(2*BO101-1)*(J101-0.4)))</f>
        <v>15.600000000000001</v>
      </c>
      <c r="CO104" s="136">
        <f>IF(AZ104="",0,VLOOKUP(AQ104,[7]建物1802!$E$5:$AL$3275,33,FALSE)*AZ104)</f>
        <v>10.58</v>
      </c>
      <c r="CP104" s="136">
        <f>IF(AZ104="",0,VLOOKUP(AQ104,[7]建物1802!$E$5:$AL$3275,30,FALSE)*AZ104)</f>
        <v>5.2</v>
      </c>
      <c r="CQ104" s="136">
        <f>IF(CO104="","",SQRT(CO104^2-CP104^2))</f>
        <v>9.2139242454016301</v>
      </c>
      <c r="CR104" s="26"/>
      <c r="CS104" s="26"/>
      <c r="CT104" s="26"/>
      <c r="CU104" s="26"/>
      <c r="CV104" s="26"/>
      <c r="CW104" s="218"/>
      <c r="CX104" s="8"/>
      <c r="CY104" s="197">
        <f t="shared" si="12"/>
        <v>3</v>
      </c>
      <c r="CZ104" s="197" t="str">
        <f t="shared" si="13"/>
        <v/>
      </c>
      <c r="DA104" s="10" t="str">
        <f>W81</f>
        <v>PF-S-16mm</v>
      </c>
      <c r="DB104" s="8"/>
      <c r="DC104" s="8"/>
      <c r="DD104" s="8"/>
      <c r="DE104" s="249" t="str">
        <f>IF(COUNTIF($DA$15:DA103,DA104)&gt;0,"",DA104)</f>
        <v/>
      </c>
      <c r="DF104" s="26">
        <f>AC81</f>
        <v>3.9</v>
      </c>
      <c r="DG104" s="32">
        <f t="shared" si="18"/>
        <v>0</v>
      </c>
      <c r="DH104" s="198">
        <f t="shared" si="15"/>
        <v>5</v>
      </c>
      <c r="DI104" s="199" t="str">
        <f t="shared" si="19"/>
        <v/>
      </c>
      <c r="DJ104" s="201" t="str">
        <f>BI80</f>
        <v>d4-30e</v>
      </c>
      <c r="DK104" s="10"/>
      <c r="DL104" s="10"/>
      <c r="DM104" s="8"/>
      <c r="DN104" s="249" t="str">
        <f>IF(COUNTIF($DJ$15:DJ103,DJ104)&gt;0,"",DJ104)</f>
        <v/>
      </c>
      <c r="DO104" s="200">
        <f>BN80</f>
        <v>8</v>
      </c>
      <c r="DP104" s="32">
        <f t="shared" si="17"/>
        <v>0</v>
      </c>
      <c r="DQ104" s="8"/>
    </row>
    <row r="105" spans="1:121" ht="11.25" customHeight="1" thickBot="1">
      <c r="A105" s="15"/>
      <c r="B105" s="23"/>
      <c r="C105" s="2288" t="s">
        <v>112</v>
      </c>
      <c r="D105" s="2289"/>
      <c r="E105" s="2289"/>
      <c r="F105" s="2289"/>
      <c r="G105" s="2289"/>
      <c r="H105" s="2289"/>
      <c r="I105" s="2290"/>
      <c r="J105" s="2356" t="str">
        <f>[5]照差!$I$118</f>
        <v>( 15)</v>
      </c>
      <c r="K105" s="2357"/>
      <c r="L105" s="2358"/>
      <c r="M105" s="2375" t="str">
        <f>[5]照差!$M$118</f>
        <v>前各項以外</v>
      </c>
      <c r="N105" s="2376"/>
      <c r="O105" s="2376"/>
      <c r="P105" s="2376"/>
      <c r="Q105" s="2376"/>
      <c r="R105" s="2376"/>
      <c r="S105" s="2376"/>
      <c r="T105" s="2376"/>
      <c r="U105" s="2377"/>
      <c r="V105" s="2275" t="s">
        <v>217</v>
      </c>
      <c r="W105" s="2276"/>
      <c r="X105" s="2276"/>
      <c r="Y105" s="2276"/>
      <c r="Z105" s="2277"/>
      <c r="AA105" s="2278" t="str">
        <f>[6]Top!$I$52</f>
        <v>A</v>
      </c>
      <c r="AB105" s="2279"/>
      <c r="AC105" s="2280" t="s">
        <v>216</v>
      </c>
      <c r="AD105" s="2280"/>
      <c r="AE105" s="2280"/>
      <c r="AF105" s="2280"/>
      <c r="AG105" s="2280"/>
      <c r="AH105" s="2280"/>
      <c r="AI105" s="2280"/>
      <c r="AJ105" s="2280"/>
      <c r="AK105" s="2280"/>
      <c r="AL105" s="2356" t="str">
        <f>IF($BW$10=0,"設置しない",IF(AS105="","設置する",AS105))</f>
        <v>設置する</v>
      </c>
      <c r="AM105" s="2357"/>
      <c r="AN105" s="2357"/>
      <c r="AO105" s="2357"/>
      <c r="AP105" s="2357"/>
      <c r="AQ105" s="2358"/>
      <c r="AR105" s="265" t="s">
        <v>211</v>
      </c>
      <c r="AS105" s="2284"/>
      <c r="AT105" s="2285"/>
      <c r="AU105" s="2285"/>
      <c r="AV105" s="2285"/>
      <c r="AW105" s="2285"/>
      <c r="AX105" s="2286"/>
      <c r="AY105" s="2280" t="s">
        <v>215</v>
      </c>
      <c r="AZ105" s="2280"/>
      <c r="BA105" s="2280"/>
      <c r="BB105" s="2280"/>
      <c r="BC105" s="2280"/>
      <c r="BD105" s="2280"/>
      <c r="BE105" s="2280"/>
      <c r="BF105" s="2280"/>
      <c r="BG105" s="2280"/>
      <c r="BH105" s="2356" t="str">
        <f>IF($BW$10=0,"設置しない",IF(BO105="","設置する",BO105))</f>
        <v>設置する</v>
      </c>
      <c r="BI105" s="2357"/>
      <c r="BJ105" s="2357"/>
      <c r="BK105" s="2357"/>
      <c r="BL105" s="2357"/>
      <c r="BM105" s="2358"/>
      <c r="BN105" s="265" t="s">
        <v>211</v>
      </c>
      <c r="BO105" s="2284"/>
      <c r="BP105" s="2285"/>
      <c r="BQ105" s="2285"/>
      <c r="BR105" s="2285"/>
      <c r="BS105" s="2285"/>
      <c r="BT105" s="2286"/>
      <c r="BU105" s="19"/>
      <c r="BV105" s="8"/>
      <c r="BW105" s="8"/>
      <c r="BX105" s="8"/>
      <c r="BY105" s="9"/>
      <c r="BZ105" s="9"/>
      <c r="CA105" s="9"/>
      <c r="CB105" s="9"/>
      <c r="CC105" s="9"/>
      <c r="CD105" s="9"/>
      <c r="CE105" s="9"/>
      <c r="CF105" s="9"/>
      <c r="CG105" s="9"/>
      <c r="CH105" s="9"/>
      <c r="CI105" s="9"/>
      <c r="CJ105" s="9"/>
      <c r="CK105" s="9"/>
      <c r="CL105" s="9"/>
      <c r="CM105" s="9"/>
      <c r="CN105" s="9"/>
      <c r="CO105" s="266"/>
      <c r="CP105" s="266"/>
      <c r="CQ105" s="266"/>
      <c r="CR105" s="14"/>
      <c r="CS105" s="14"/>
      <c r="CT105" s="14"/>
      <c r="CU105" s="14"/>
      <c r="CV105" s="14"/>
      <c r="CW105" s="216"/>
      <c r="CX105" s="88">
        <v>12</v>
      </c>
      <c r="CY105" s="204">
        <f t="shared" si="12"/>
        <v>3</v>
      </c>
      <c r="CZ105" s="155" t="str">
        <f t="shared" si="13"/>
        <v/>
      </c>
      <c r="DA105" s="154" t="str">
        <f>AG81</f>
        <v>PF-S-16mm</v>
      </c>
      <c r="DB105" s="45"/>
      <c r="DC105" s="45"/>
      <c r="DD105" s="45"/>
      <c r="DE105" s="153" t="str">
        <f>IF(COUNTIF($DA$15:DA104,DA105)&gt;0,"",DA105)</f>
        <v/>
      </c>
      <c r="DF105" s="152">
        <f>AM81</f>
        <v>19.5</v>
      </c>
      <c r="DG105" s="32">
        <f t="shared" si="18"/>
        <v>0</v>
      </c>
      <c r="DH105" s="124">
        <f t="shared" si="15"/>
        <v>5</v>
      </c>
      <c r="DI105" s="149" t="str">
        <f t="shared" si="19"/>
        <v/>
      </c>
      <c r="DJ105" s="210" t="str">
        <f>BI81</f>
        <v>d4-13e</v>
      </c>
      <c r="DK105" s="154"/>
      <c r="DL105" s="154"/>
      <c r="DM105" s="45"/>
      <c r="DN105" s="45" t="str">
        <f>IF(COUNTIF($DJ$15:DJ104,DJ105)&gt;0,"",DJ105)</f>
        <v/>
      </c>
      <c r="DO105" s="209">
        <f>BN81</f>
        <v>10</v>
      </c>
      <c r="DP105" s="169">
        <f t="shared" si="17"/>
        <v>0</v>
      </c>
      <c r="DQ105" s="88">
        <v>12</v>
      </c>
    </row>
    <row r="106" spans="1:121" ht="11.25" customHeight="1" thickBot="1">
      <c r="A106" s="15"/>
      <c r="B106" s="23"/>
      <c r="C106" s="2300" t="s">
        <v>214</v>
      </c>
      <c r="D106" s="2301"/>
      <c r="E106" s="2301"/>
      <c r="F106" s="2301"/>
      <c r="G106" s="2301"/>
      <c r="H106" s="2301"/>
      <c r="I106" s="2302"/>
      <c r="J106" s="2297">
        <f>[5]照差!$K$119</f>
        <v>0.7142857142857143</v>
      </c>
      <c r="K106" s="2298"/>
      <c r="L106" s="2298"/>
      <c r="M106" s="2298"/>
      <c r="N106" s="2299" t="s">
        <v>213</v>
      </c>
      <c r="O106" s="2299"/>
      <c r="P106" s="2299"/>
      <c r="Q106" s="2299"/>
      <c r="R106" s="2299"/>
      <c r="S106" s="2299"/>
      <c r="T106" s="2299"/>
      <c r="U106" s="2299"/>
      <c r="V106" s="2366" t="str">
        <f>[5]照差!$W$119</f>
        <v>⑦</v>
      </c>
      <c r="W106" s="2366"/>
      <c r="X106" s="2366"/>
      <c r="Y106" s="2299" t="s">
        <v>135</v>
      </c>
      <c r="Z106" s="2299"/>
      <c r="AA106" s="2299"/>
      <c r="AB106" s="2299"/>
      <c r="AC106" s="2299"/>
      <c r="AD106" s="2299" t="s">
        <v>18</v>
      </c>
      <c r="AE106" s="2299"/>
      <c r="AF106" s="2299"/>
      <c r="AG106" s="2299"/>
      <c r="AH106" s="2299"/>
      <c r="AI106" s="2337" t="str">
        <f>IF($B$2=0,"",IF(AQ106="","非:天井ケーブル",AQ106))</f>
        <v>非:天井ケーブル</v>
      </c>
      <c r="AJ106" s="2337"/>
      <c r="AK106" s="2337"/>
      <c r="AL106" s="2337"/>
      <c r="AM106" s="2337"/>
      <c r="AN106" s="2337"/>
      <c r="AO106" s="2337"/>
      <c r="AP106" s="175" t="s">
        <v>211</v>
      </c>
      <c r="AQ106" s="2338"/>
      <c r="AR106" s="2338"/>
      <c r="AS106" s="2338"/>
      <c r="AT106" s="2338"/>
      <c r="AU106" s="2338"/>
      <c r="AV106" s="2338"/>
      <c r="AW106" s="2338"/>
      <c r="AX106" s="2299" t="s">
        <v>212</v>
      </c>
      <c r="AY106" s="2299"/>
      <c r="AZ106" s="2299"/>
      <c r="BA106" s="2299"/>
      <c r="BB106" s="2299"/>
      <c r="BC106" s="2337" t="str">
        <f>IF($B$2=0,"",IF(BK106="","誘:天井ケーブル",BK106))</f>
        <v>誘:天井ケーブル</v>
      </c>
      <c r="BD106" s="2337"/>
      <c r="BE106" s="2337"/>
      <c r="BF106" s="2337"/>
      <c r="BG106" s="2337"/>
      <c r="BH106" s="2337"/>
      <c r="BI106" s="2337"/>
      <c r="BJ106" s="175" t="s">
        <v>211</v>
      </c>
      <c r="BK106" s="2338"/>
      <c r="BL106" s="2338"/>
      <c r="BM106" s="2338"/>
      <c r="BN106" s="2338"/>
      <c r="BO106" s="2338"/>
      <c r="BP106" s="2338"/>
      <c r="BQ106" s="2338"/>
      <c r="BR106" s="2299"/>
      <c r="BS106" s="2299"/>
      <c r="BT106" s="2299"/>
      <c r="BU106" s="19"/>
      <c r="BV106" s="8">
        <v>118</v>
      </c>
      <c r="BW106" s="88" t="s">
        <v>210</v>
      </c>
      <c r="BX106" s="88" t="s">
        <v>209</v>
      </c>
      <c r="BY106" s="2336" t="s">
        <v>126</v>
      </c>
      <c r="BZ106" s="2336"/>
      <c r="CA106" s="2336"/>
      <c r="CB106" s="2336"/>
      <c r="CC106" s="2336" t="s">
        <v>125</v>
      </c>
      <c r="CD106" s="2336"/>
      <c r="CE106" s="2336"/>
      <c r="CF106" s="2336"/>
      <c r="CG106" s="2336" t="s">
        <v>124</v>
      </c>
      <c r="CH106" s="2336"/>
      <c r="CI106" s="2336"/>
      <c r="CJ106" s="2336"/>
      <c r="CK106" s="2336" t="s">
        <v>123</v>
      </c>
      <c r="CL106" s="2336"/>
      <c r="CM106" s="2336"/>
      <c r="CN106" s="2336"/>
      <c r="CO106" s="88" t="s">
        <v>208</v>
      </c>
      <c r="CP106" s="88" t="s">
        <v>207</v>
      </c>
      <c r="CQ106" s="88" t="s">
        <v>206</v>
      </c>
      <c r="CR106" s="88" t="s">
        <v>208</v>
      </c>
      <c r="CS106" s="88" t="s">
        <v>207</v>
      </c>
      <c r="CT106" s="221" t="s">
        <v>206</v>
      </c>
      <c r="CU106" s="264">
        <f>IF(BW107="","",SUM(CP107:CP110)+CS107+CS108)</f>
        <v>15</v>
      </c>
      <c r="CV106" s="264">
        <f>IF(BW107="","",SUM(CQ107:CQ110)+CT107+CT108)</f>
        <v>23.937990023332532</v>
      </c>
      <c r="CW106" s="9"/>
      <c r="CX106" s="8"/>
      <c r="CY106" s="197">
        <f t="shared" si="12"/>
        <v>3</v>
      </c>
      <c r="CZ106" s="197" t="str">
        <f t="shared" si="13"/>
        <v/>
      </c>
      <c r="DA106" s="10" t="str">
        <f>C90</f>
        <v>VV-F 2.0mm-2C</v>
      </c>
      <c r="DB106" s="8"/>
      <c r="DC106" s="8"/>
      <c r="DD106" s="8"/>
      <c r="DE106" s="249" t="str">
        <f>IF(COUNTIF($DA$15:DA105,DA106)&gt;0,"",DA106)</f>
        <v/>
      </c>
      <c r="DF106" s="26">
        <f>S90</f>
        <v>54.3</v>
      </c>
      <c r="DG106" s="32">
        <f t="shared" si="18"/>
        <v>0</v>
      </c>
      <c r="DH106" s="198">
        <f t="shared" si="15"/>
        <v>5</v>
      </c>
      <c r="DI106" s="199" t="str">
        <f t="shared" si="19"/>
        <v/>
      </c>
      <c r="DJ106" s="10" t="str">
        <f>AQ89</f>
        <v>Xh1-Ae</v>
      </c>
      <c r="DK106" s="10"/>
      <c r="DL106" s="10"/>
      <c r="DM106" s="8"/>
      <c r="DN106" s="249" t="str">
        <f>IF(COUNTIF($DJ$15:DJ105,DJ106)&gt;0,"",DJ106)</f>
        <v/>
      </c>
      <c r="DO106" s="200">
        <f>AZ89</f>
        <v>3</v>
      </c>
      <c r="DP106" s="32">
        <f t="shared" si="17"/>
        <v>0</v>
      </c>
      <c r="DQ106" s="8"/>
    </row>
    <row r="107" spans="1:121" ht="11.25" customHeight="1">
      <c r="A107" s="15"/>
      <c r="B107" s="23"/>
      <c r="C107" s="2367" t="str">
        <f>[5]照差!$C$120</f>
        <v>PH1F</v>
      </c>
      <c r="D107" s="2368"/>
      <c r="E107" s="2369"/>
      <c r="F107" s="2370">
        <f>[5]照差!$G$120</f>
        <v>4</v>
      </c>
      <c r="G107" s="2371"/>
      <c r="H107" s="2371"/>
      <c r="I107" s="2372"/>
      <c r="J107" s="2370" t="str">
        <f>[5]照差!$J$120</f>
        <v>直天</v>
      </c>
      <c r="K107" s="2373"/>
      <c r="L107" s="2373"/>
      <c r="M107" s="2374"/>
      <c r="N107" s="2330">
        <f>[5]照差!$M$120</f>
        <v>140</v>
      </c>
      <c r="O107" s="2331"/>
      <c r="P107" s="2331"/>
      <c r="Q107" s="2331"/>
      <c r="R107" s="2332"/>
      <c r="S107" s="2330" t="str">
        <f>[5]照差!$Q$120</f>
        <v/>
      </c>
      <c r="T107" s="2331"/>
      <c r="U107" s="2331"/>
      <c r="V107" s="2332"/>
      <c r="W107" s="2330">
        <f>[5]照差!$U$120</f>
        <v>140</v>
      </c>
      <c r="X107" s="2331"/>
      <c r="Y107" s="2331"/>
      <c r="Z107" s="2332"/>
      <c r="AA107" s="2340" t="str">
        <f>[5]照差!$Y$120</f>
        <v/>
      </c>
      <c r="AB107" s="2341"/>
      <c r="AC107" s="2342"/>
      <c r="AD107" s="2343">
        <f>[5]照差!$AB$120</f>
        <v>8</v>
      </c>
      <c r="AE107" s="2344"/>
      <c r="AF107" s="2345"/>
      <c r="AG107" s="2346">
        <f>IF(OR(C107="",C107="  RF"),"",2+INT(N107/1000))</f>
        <v>2</v>
      </c>
      <c r="AH107" s="2346"/>
      <c r="AI107" s="2346"/>
      <c r="AJ107" s="2346"/>
      <c r="AK107" s="2346"/>
      <c r="AL107" s="2346">
        <f>IF(OR(C107="",C107="  RF"),"",1+INT(N107/500))</f>
        <v>1</v>
      </c>
      <c r="AM107" s="2346"/>
      <c r="AN107" s="2346"/>
      <c r="AO107" s="2346"/>
      <c r="AP107" s="2346"/>
      <c r="AQ107" s="2347" t="str">
        <f>IF(OR(C107="",AL105="設置しない"),"",IF(OR(AND(LEFT($C$18,2)=" B",[6]Top!$U$72&lt;&gt;""),AND(LEFT($C$18,3)="  1",[6]Top!$U$73&lt;&gt;""),AND(LEFT($C$18,3)="  2",[6]Top!$U$75&lt;&gt;""),AND(LEFT($C$18,3)="  3",[6]Top!$U$77&lt;&gt;""),[6]Top!$U$79&lt;&gt;"",[6]Top!$U$81&lt;&gt;""),"Xh1-Ae",IF(OR(AND(LEFT($C$18,2)=" B",[6]Top!$U$72="BL"),AND(LEFT($C$18,3)="  1",[6]Top!$U$73="BL"),AND(LEFT($C$18,3)="  2",[6]Top!$U$75="BL"),AND(LEFT($C$18,3)="  3",[6]Top!$U$77="BL"),[6]Top!$U$79="BL",[6]Top!$U$81="BL"),"Xh1-BLe","")))</f>
        <v>Xh1-Ae</v>
      </c>
      <c r="AR107" s="2348"/>
      <c r="AS107" s="2348"/>
      <c r="AT107" s="2348"/>
      <c r="AU107" s="2348"/>
      <c r="AV107" s="2348"/>
      <c r="AW107" s="2348"/>
      <c r="AX107" s="2348"/>
      <c r="AY107" s="2349"/>
      <c r="AZ107" s="2353">
        <f>IF(OR(N107="",AQ107=""),"",IF(BC107&lt;&gt;"",BC107,1+INT(N107/500)))</f>
        <v>1</v>
      </c>
      <c r="BA107" s="2354"/>
      <c r="BB107" s="2355"/>
      <c r="BC107" s="2305"/>
      <c r="BD107" s="2305"/>
      <c r="BE107" s="2305"/>
      <c r="BF107" s="2281" t="str">
        <f>IF(C107="","",IF(OR(AND(LEFT(C107,2)=" B",[6]Top!$AD$72="要"),AND(LEFT(C107,3)="  1",[6]Top!$AD$73="要"),AND(LEFT(C107,3)="  2",[6]Top!$AD$75="要"),AND(LEFT(C107,3)="  3",[6]Top!$AD$77="要"),[6]Top!$AD$79="C",[6]Top!$AD$81="要"),"Ya1-Ce",""))</f>
        <v>Ya1-Ce</v>
      </c>
      <c r="BG107" s="2281"/>
      <c r="BH107" s="2281"/>
      <c r="BI107" s="2281"/>
      <c r="BJ107" s="2281"/>
      <c r="BK107" s="2281"/>
      <c r="BL107" s="2281"/>
      <c r="BM107" s="2281"/>
      <c r="BN107" s="2281"/>
      <c r="BO107" s="2304">
        <f>IF(OR(C107="",C107="  RF"),"",IF(BR107&lt;&gt;"",BR107,1+INT((BW107+BX107)/20)))</f>
        <v>1</v>
      </c>
      <c r="BP107" s="2304"/>
      <c r="BQ107" s="2304"/>
      <c r="BR107" s="2339"/>
      <c r="BS107" s="2339"/>
      <c r="BT107" s="2339"/>
      <c r="BU107" s="19"/>
      <c r="BV107" s="8">
        <v>15</v>
      </c>
      <c r="BW107" s="98">
        <f>IF(OR(C107="",C107="  RF"),0,SQRT(N107*J106)/2)</f>
        <v>5</v>
      </c>
      <c r="BX107" s="98">
        <f>IF(OR(C107="",C107="  RF"),0,SQRT(N107/J106)/2)</f>
        <v>7</v>
      </c>
      <c r="BY107" s="88" t="s">
        <v>204</v>
      </c>
      <c r="BZ107" s="92">
        <f>IF(OR($BW$10=0,AL105="設置しない",C107="  RF",C107=""),0,IF(LEFT(C107,2)&lt;&gt;"PH",AG107*BW108/2,BW108))</f>
        <v>11.5</v>
      </c>
      <c r="CA107" s="88" t="s">
        <v>205</v>
      </c>
      <c r="CB107" s="88">
        <f>IF(OR($BW$10=0,AL105="設置しない",C107="  RF",C107=""),0,IF(LEFT(C107,2)="PH",0,(BN109-1)*SQRT(S107/BN109)))</f>
        <v>0</v>
      </c>
      <c r="CC107" s="88" t="s">
        <v>204</v>
      </c>
      <c r="CD107" s="262">
        <f>IF(OR($BW$10=0,AL105="設置しない",F107=0),0,AG107*(F107-0.1-($Y$7-$AN$8)/1000))</f>
        <v>9.1999999999999993</v>
      </c>
      <c r="CE107" s="88" t="s">
        <v>205</v>
      </c>
      <c r="CF107" s="88">
        <f>IF(OR($BW$10=0,AL105="設置しない",LEFT(C107,2)="PH",C107="  RF",C107=""),0,(2*BN109-1)*$AN$7/1000)</f>
        <v>0</v>
      </c>
      <c r="CG107" s="88" t="s">
        <v>204</v>
      </c>
      <c r="CH107" s="92">
        <f>IF(OR($BW$10=0,AL105="設置しない",AI106="非:天井ケーブル"),0,BZ107)</f>
        <v>0</v>
      </c>
      <c r="CI107" s="88" t="s">
        <v>205</v>
      </c>
      <c r="CJ107" s="88">
        <f>IF(OR($BW$10=0,AL105="設置しない",AI106="非:天井ケーブル"),0,CB107)</f>
        <v>0</v>
      </c>
      <c r="CK107" s="88" t="s">
        <v>204</v>
      </c>
      <c r="CL107" s="92">
        <f>IF(OR($BW$10=0,AL105="設置しない",C107="  RF",C107=""),0,IF(J107="直天",AG107*(F107-$Y$7/1000),AG107*(J107+0.1-$Y$7/1000)))</f>
        <v>4.4000000000000004</v>
      </c>
      <c r="CM107" s="220"/>
      <c r="CN107" s="219"/>
      <c r="CO107" s="134">
        <f>IF(AZ107="",0,VLOOKUP(AQ107,[7]建物1802!$E$5:$AL$3275,33,FALSE)*AZ107)</f>
        <v>18.98</v>
      </c>
      <c r="CP107" s="136">
        <f>IF(AZ107="",0,VLOOKUP(AQ107,[7]建物1802!$E$5:$AL$3275,30,FALSE)*AZ107)</f>
        <v>10.5</v>
      </c>
      <c r="CQ107" s="136">
        <f>IF(CO107="","",SQRT(CO107^2-CP107^2))</f>
        <v>15.81108471927211</v>
      </c>
      <c r="CR107" s="189">
        <f>IF(BO107="",0,VLOOKUP(BF107,[7]建物1802!$E$5:$AL$3275,33,FALSE)*BO107)</f>
        <v>4</v>
      </c>
      <c r="CS107" s="189">
        <f>IF(BO107="",0,VLOOKUP(BF107,[7]建物1802!$E$5:$AL$3275,30,FALSE)*BO107)</f>
        <v>1.9</v>
      </c>
      <c r="CT107" s="259">
        <f>IF(CR107="",0,SQRT(CR107^2-CS107^2))</f>
        <v>3.5199431813596083</v>
      </c>
      <c r="CU107" s="14"/>
      <c r="CV107" s="14"/>
      <c r="CW107" s="216"/>
      <c r="CX107" s="8"/>
      <c r="CY107" s="197">
        <f t="shared" si="12"/>
        <v>3</v>
      </c>
      <c r="CZ107" s="197" t="str">
        <f t="shared" si="13"/>
        <v/>
      </c>
      <c r="DA107" s="201" t="str">
        <f>W90</f>
        <v>VV-F 2.0mm-2C</v>
      </c>
      <c r="DB107" s="8"/>
      <c r="DC107" s="8"/>
      <c r="DD107" s="8"/>
      <c r="DE107" s="249" t="str">
        <f>IF(COUNTIF($DA$15:DA106,DA107)&gt;0,"",DA107)</f>
        <v/>
      </c>
      <c r="DF107" s="26">
        <f>AM90</f>
        <v>33.9</v>
      </c>
      <c r="DG107" s="32">
        <f t="shared" si="18"/>
        <v>0</v>
      </c>
      <c r="DH107" s="198">
        <f t="shared" si="15"/>
        <v>5</v>
      </c>
      <c r="DI107" s="198" t="str">
        <f t="shared" si="19"/>
        <v/>
      </c>
      <c r="DJ107" s="10" t="str">
        <f>AQ90</f>
        <v>Xh1-Ae</v>
      </c>
      <c r="DK107" s="10"/>
      <c r="DL107" s="10"/>
      <c r="DM107" s="8"/>
      <c r="DN107" s="8" t="str">
        <f>IF(COUNTIF($DJ$15:DJ106,DJ107)&gt;0,"",DJ107)</f>
        <v/>
      </c>
      <c r="DO107" s="200">
        <f>AZ90</f>
        <v>2</v>
      </c>
      <c r="DP107" s="32">
        <f t="shared" si="17"/>
        <v>0</v>
      </c>
      <c r="DQ107" s="8"/>
    </row>
    <row r="108" spans="1:121" ht="11.25" customHeight="1">
      <c r="A108" s="15">
        <v>15</v>
      </c>
      <c r="B108" s="227"/>
      <c r="C108" s="2378" t="str">
        <f>IF(C107="","",IF(K108="","VV-F 2.0mm-2C",K108))</f>
        <v>VV-F 2.0mm-2C</v>
      </c>
      <c r="D108" s="2379"/>
      <c r="E108" s="2379"/>
      <c r="F108" s="2379"/>
      <c r="G108" s="2379"/>
      <c r="H108" s="2379"/>
      <c r="I108" s="2379"/>
      <c r="J108" s="2380"/>
      <c r="K108" s="2313"/>
      <c r="L108" s="2314"/>
      <c r="M108" s="2314"/>
      <c r="N108" s="2314"/>
      <c r="O108" s="2314"/>
      <c r="P108" s="2314"/>
      <c r="Q108" s="2314"/>
      <c r="R108" s="2315"/>
      <c r="S108" s="2312">
        <f>IF(OR(C107="",AL105="設置しない",BH105="設置しない"),"",ROUND((BZ107+CD107),1))</f>
        <v>20.7</v>
      </c>
      <c r="T108" s="2312"/>
      <c r="U108" s="2312"/>
      <c r="V108" s="2312"/>
      <c r="W108" s="2306" t="str">
        <f>IF(C107="","",IF(AE108="","VV-F 2.0mm-2C",AE108))</f>
        <v>VV-F 2.0mm-2C</v>
      </c>
      <c r="X108" s="2307"/>
      <c r="Y108" s="2307"/>
      <c r="Z108" s="2307"/>
      <c r="AA108" s="2307"/>
      <c r="AB108" s="2307"/>
      <c r="AC108" s="2307"/>
      <c r="AD108" s="2308"/>
      <c r="AE108" s="2313"/>
      <c r="AF108" s="2314"/>
      <c r="AG108" s="2314"/>
      <c r="AH108" s="2314"/>
      <c r="AI108" s="2314"/>
      <c r="AJ108" s="2314"/>
      <c r="AK108" s="2314"/>
      <c r="AL108" s="2315"/>
      <c r="AM108" s="2312">
        <f>IF(OR(C107="",,AL105="設置しない",BH105="設置しない"),"",ROUND(BZ110,1))</f>
        <v>6.8</v>
      </c>
      <c r="AN108" s="2312"/>
      <c r="AO108" s="2312"/>
      <c r="AP108" s="2312"/>
      <c r="AQ108" s="2347" t="str">
        <f>IF(OR(C107="",AL105="設置しない"),"",IF(OR(AND(LEFT($C$18,2)=" B",[6]Top!$U$72&lt;&gt;""),AND(LEFT($C$18,3)="  1",[6]Top!$U$73&lt;&gt;""),AND(LEFT($C$18,3)="  2",[6]Top!$U$75&lt;&gt;""),AND(LEFT($C$18,3)="  3",[6]Top!$U$77&lt;&gt;""),[6]Top!$U$79&lt;&gt;"",[6]Top!$U$81&lt;&gt;""),"Xh1-Ae",IF(OR(AND(LEFT($C$18,2)=" B",[6]Top!$U$72="BL"),AND(LEFT($C$18,3)="  1",[6]Top!$U$73="BL"),AND(LEFT($C$18,3)="  2",[6]Top!$U$75="BL"),AND(LEFT($C$18,3)="  3",[6]Top!$U$77="BL"),[6]Top!$U$79="BL",[6]Top!$U$81="BL"),"Xh1-BLe","")))</f>
        <v>Xh1-Ae</v>
      </c>
      <c r="AR108" s="2348"/>
      <c r="AS108" s="2348"/>
      <c r="AT108" s="2348"/>
      <c r="AU108" s="2348"/>
      <c r="AV108" s="2348"/>
      <c r="AW108" s="2348"/>
      <c r="AX108" s="2348"/>
      <c r="AY108" s="2349"/>
      <c r="AZ108" s="2304" t="str">
        <f>IF(AA107="","",IF(BC108&lt;&gt;"",BC108,IF(AQ108&lt;&gt;"",1+INT(AA107/3),"")))</f>
        <v/>
      </c>
      <c r="BA108" s="2304"/>
      <c r="BB108" s="2304"/>
      <c r="BC108" s="2305"/>
      <c r="BD108" s="2305"/>
      <c r="BE108" s="2305"/>
      <c r="BF108" s="2281" t="str">
        <f>IF(C107="","",IF(OR(AND(LEFT(C107,2)=" B",[6]Top!$AF$72="要"),AND(LEFT(C107,3)="  1",[6]Top!$AF$73="要"),AND(LEFT(C107,3)="  2",[6]Top!$AF$75="要"),AND(LEFT(C107,3)="  3",[6]Top!$AF$77="要"),[6]Top!$AF$79="要",[6]Top!$AF$81="要"),"D15V-321PXe",""))</f>
        <v/>
      </c>
      <c r="BG108" s="2281"/>
      <c r="BH108" s="2281"/>
      <c r="BI108" s="2282"/>
      <c r="BJ108" s="2282"/>
      <c r="BK108" s="2282"/>
      <c r="BL108" s="2282"/>
      <c r="BM108" s="2282"/>
      <c r="BN108" s="2282"/>
      <c r="BO108" s="2283" t="str">
        <f>IF(OR(C107="",C107="  RF",BF108=""),"",IF(BR108&lt;&gt;"",BR108,2*(1+INT(N107/500))))</f>
        <v/>
      </c>
      <c r="BP108" s="2283"/>
      <c r="BQ108" s="2283"/>
      <c r="BR108" s="2303"/>
      <c r="BS108" s="2303"/>
      <c r="BT108" s="2303"/>
      <c r="BU108" s="19"/>
      <c r="BV108" s="46" t="str">
        <f>V106</f>
        <v>⑦</v>
      </c>
      <c r="BW108" s="263">
        <f>IF(C107="","",IF(BV108="①",BW107+BX107+3,IF(BV108="②",BW107*5/8+BX107+3,IF(BV108="③",BW107/2+BX107+3,IF(BV108="④",BW107+BX107*5/8+3,IF(BV108="⑤",(BW107+BX107)*5/8+3,IF(BV108="⑥",BW107/2+BX107*5/8+3,IF(BV108="⑦",BW107+BX107/2+3,IF(BV108="⑧",BW107*5/8+BX107/2+3,IF(BV108="⑨",(BW107+BX107)/2+3))))))))))</f>
        <v>11.5</v>
      </c>
      <c r="BX108" s="8"/>
      <c r="BY108" s="88" t="s">
        <v>202</v>
      </c>
      <c r="BZ108" s="92">
        <f>IF(OR($BW$10=0,BH105="設置しない",C107="  RF",C107=""),0,IF(LEFT(C107,2)&lt;&gt;"PH",AL107*BW108/2,BW108))</f>
        <v>11.5</v>
      </c>
      <c r="CA108" s="88" t="s">
        <v>203</v>
      </c>
      <c r="CB108" s="88">
        <f>IF(OR($BW$10=0,AY105="設置しない",BN110=""),0,(BN110-1)*SQRT(W107/BN110))</f>
        <v>31.552425509864619</v>
      </c>
      <c r="CC108" s="88" t="s">
        <v>202</v>
      </c>
      <c r="CD108" s="262">
        <f>IF(OR($BW$10=0,BH105="設置しない",F107=0),0,AG107*(F107-0.1-($AN$8-$Y$7)/1000))</f>
        <v>6.4</v>
      </c>
      <c r="CE108" s="88" t="s">
        <v>203</v>
      </c>
      <c r="CF108" s="88">
        <f>IF(OR($BW$10=0,BH105="設置しない",BN110=""),0,(2*BN110-1)*$AN$7/1000)</f>
        <v>13.6</v>
      </c>
      <c r="CG108" s="88" t="s">
        <v>202</v>
      </c>
      <c r="CH108" s="92">
        <f>IF(OR($BW$10=0,BH105="設置しない",AI106="非:天井ケーブル"),0,BZ108)</f>
        <v>0</v>
      </c>
      <c r="CI108" s="88" t="s">
        <v>203</v>
      </c>
      <c r="CJ108" s="88">
        <f>IF(OR($BW$10=0,BH105="設置しない",AI106="非:天井ケーブル"),0,CB108)</f>
        <v>0</v>
      </c>
      <c r="CK108" s="88" t="s">
        <v>202</v>
      </c>
      <c r="CL108" s="92">
        <f>IF(OR($BW$10=0,BH105="設置しない",C107="  RF",C107=""),0,IF(J107="直天",AG107*(F107-$Y$7/1000),AG107*(J107+0.1-$Y$7/1000)))</f>
        <v>4.4000000000000004</v>
      </c>
      <c r="CM108" s="141"/>
      <c r="CN108" s="142"/>
      <c r="CO108" s="136">
        <f>IF(AZ108="",0,(VLOOKUP(AQ108,[7]建物1802!$E$5:$AL$3275,33,FALSE))*AZ108)</f>
        <v>0</v>
      </c>
      <c r="CP108" s="136">
        <f>IF(AZ108="",0,VLOOKUP(AQ108,[7]建物1802!$E$5:$AL$3275,30,FALSE)*AZ108)</f>
        <v>0</v>
      </c>
      <c r="CQ108" s="136">
        <f>IF(CO108="","",SQRT(CO108^2-CP108^2))</f>
        <v>0</v>
      </c>
      <c r="CR108" s="189">
        <f>IF(BO108="",0,VLOOKUP(BF108,[7]建物1802!$E$5:$AL$3275,33,FALSE)*BO108)</f>
        <v>0</v>
      </c>
      <c r="CS108" s="189">
        <f>IF(BO108="",0,VLOOKUP(BF108,[7]建物1802!$E$5:$AL$3275,30,FALSE)*BO108)</f>
        <v>0</v>
      </c>
      <c r="CT108" s="259">
        <f>IF(CR108="",0,SQRT(CR108^2-CS108^2))</f>
        <v>0</v>
      </c>
      <c r="CU108" s="14"/>
      <c r="CV108" s="14"/>
      <c r="CW108" s="216"/>
      <c r="CX108" s="8"/>
      <c r="CY108" s="197">
        <f t="shared" si="12"/>
        <v>3</v>
      </c>
      <c r="CZ108" s="197" t="str">
        <f t="shared" si="13"/>
        <v/>
      </c>
      <c r="DA108" s="10" t="str">
        <f>C91</f>
        <v>VV-F 1.6mm-2C</v>
      </c>
      <c r="DB108" s="8"/>
      <c r="DC108" s="8"/>
      <c r="DD108" s="8"/>
      <c r="DE108" s="249" t="str">
        <f>IF(COUNTIF($DA$15:DA107,DA108)&gt;0,"",DA108)</f>
        <v/>
      </c>
      <c r="DF108" s="26">
        <f>S91</f>
        <v>312</v>
      </c>
      <c r="DG108" s="32">
        <f t="shared" si="18"/>
        <v>0</v>
      </c>
      <c r="DH108" s="198">
        <f t="shared" si="15"/>
        <v>5</v>
      </c>
      <c r="DI108" s="198" t="str">
        <f t="shared" si="19"/>
        <v/>
      </c>
      <c r="DJ108" s="10" t="str">
        <f>AQ91</f>
        <v/>
      </c>
      <c r="DK108" s="10"/>
      <c r="DL108" s="10"/>
      <c r="DM108" s="8"/>
      <c r="DN108" s="8" t="str">
        <f>IF(COUNTIF($DJ$15:DJ107,DJ108)&gt;0,"",DJ108)</f>
        <v/>
      </c>
      <c r="DO108" s="200" t="str">
        <f>AZ91</f>
        <v/>
      </c>
      <c r="DP108" s="32">
        <f t="shared" si="17"/>
        <v>0</v>
      </c>
      <c r="DQ108" s="8"/>
    </row>
    <row r="109" spans="1:121" ht="11.25" customHeight="1">
      <c r="A109" s="15"/>
      <c r="B109" s="23"/>
      <c r="C109" s="2378" t="str">
        <f>IF(C107="","",IF(K109="","VV-F 1.6mm-2C",K109))</f>
        <v>VV-F 1.6mm-2C</v>
      </c>
      <c r="D109" s="2379"/>
      <c r="E109" s="2379"/>
      <c r="F109" s="2379"/>
      <c r="G109" s="2379"/>
      <c r="H109" s="2379"/>
      <c r="I109" s="2379"/>
      <c r="J109" s="2380"/>
      <c r="K109" s="2313"/>
      <c r="L109" s="2314"/>
      <c r="M109" s="2314"/>
      <c r="N109" s="2314"/>
      <c r="O109" s="2314"/>
      <c r="P109" s="2314"/>
      <c r="Q109" s="2314"/>
      <c r="R109" s="2315"/>
      <c r="S109" s="2312">
        <f>IF(OR(C107="",C107="  RF"),"",INT(CB107+CB108+CF107+CF108+CD109))</f>
        <v>66</v>
      </c>
      <c r="T109" s="2312"/>
      <c r="U109" s="2312"/>
      <c r="V109" s="2312"/>
      <c r="W109" s="2306" t="str">
        <f>IF(C107="","",IF(AE109="","VV-F 1.6mm-2C",AE109))</f>
        <v>VV-F 1.6mm-2C</v>
      </c>
      <c r="X109" s="2307"/>
      <c r="Y109" s="2307"/>
      <c r="Z109" s="2307"/>
      <c r="AA109" s="2307"/>
      <c r="AB109" s="2307"/>
      <c r="AC109" s="2307"/>
      <c r="AD109" s="2308"/>
      <c r="AE109" s="2313"/>
      <c r="AF109" s="2314"/>
      <c r="AG109" s="2314"/>
      <c r="AH109" s="2314"/>
      <c r="AI109" s="2314"/>
      <c r="AJ109" s="2314"/>
      <c r="AK109" s="2314"/>
      <c r="AL109" s="2315"/>
      <c r="AM109" s="2306">
        <f>IF(OR(C107="",C107="  RF"),"",INT(CB110+CD109))</f>
        <v>33</v>
      </c>
      <c r="AN109" s="2307"/>
      <c r="AO109" s="2307"/>
      <c r="AP109" s="2308"/>
      <c r="AQ109" s="2309" t="str">
        <f>IF(OR(C107="",S107=""),"",IF(OR(AND(LEFT(C107,2)=" B",[8]非誘!$W$72="C"),AND(LEFT(C107,3)="  1",[8]非誘!$W$74="C"),AND(LEFT(C107,3)="  2",[8]非誘!$W$76="C"),AND(LEFT(C107,3)="  3",[8]非誘!$W$78="C"),[8]非誘!$W$80="C",[8]非誘!$W$81="C"),"Yd2-BHe",""))</f>
        <v/>
      </c>
      <c r="AR109" s="2310"/>
      <c r="AS109" s="2310"/>
      <c r="AT109" s="2310"/>
      <c r="AU109" s="2310"/>
      <c r="AV109" s="2310"/>
      <c r="AW109" s="2310"/>
      <c r="AX109" s="2310"/>
      <c r="AY109" s="2311"/>
      <c r="AZ109" s="2304" t="str">
        <f>IF(AQ109="","",IF(OR(C107="",C107="  RF"),"",IF(BC109&lt;&gt;"",BC109,AA107)))</f>
        <v/>
      </c>
      <c r="BA109" s="2304"/>
      <c r="BB109" s="2304"/>
      <c r="BC109" s="2305"/>
      <c r="BD109" s="2305"/>
      <c r="BE109" s="2305"/>
      <c r="BF109" s="2316" t="s">
        <v>10</v>
      </c>
      <c r="BG109" s="2317"/>
      <c r="BH109" s="2318"/>
      <c r="BI109" s="2319" t="str">
        <f>IF(OR($BW$10=0,AL105="設置しない",C107="",C107="  RF"),"",IF(OR(AND(LEFT(C107,2)=" B",[6]Top!$O$72="要"),AND(LEFT(C107,3)="  1",[6]Top!$O$74="要"),AND(LEFT(C107,3)="  2",[6]Top!$O$76="要"),AND(LEFT(C107,3)="  3",[6]Top!$O$78="要"),[6]Top!$O$80="要",[6]Top!$O$81="要",$Y$9="設置する"),"d4-30e",""))</f>
        <v>d4-30e</v>
      </c>
      <c r="BJ109" s="2320"/>
      <c r="BK109" s="2320"/>
      <c r="BL109" s="2320"/>
      <c r="BM109" s="2321"/>
      <c r="BN109" s="2319" t="str">
        <f>IF(OR($BW$10=0,AL105="設置しない",C107="",C107="  RF"),"",IF(LEFT(C107,2)="PH","",IF(BR109&lt;&gt;"",BR109,IF((1+INT(S107/110))&lt;=AA107,AA107,1+INT(S107/110)))))</f>
        <v/>
      </c>
      <c r="BO109" s="2320"/>
      <c r="BP109" s="2321"/>
      <c r="BQ109" s="31" t="s">
        <v>211</v>
      </c>
      <c r="BR109" s="2322"/>
      <c r="BS109" s="2323"/>
      <c r="BT109" s="2324"/>
      <c r="BU109" s="19"/>
      <c r="BV109" s="226"/>
      <c r="BW109" s="196"/>
      <c r="BX109" s="8"/>
      <c r="BY109" s="88" t="s">
        <v>200</v>
      </c>
      <c r="BZ109" s="222">
        <f>SUM(AZ107:BB110)+SUM(BO107:BQ110)</f>
        <v>3</v>
      </c>
      <c r="CA109" s="8"/>
      <c r="CB109" s="8"/>
      <c r="CC109" s="88" t="s">
        <v>121</v>
      </c>
      <c r="CD109" s="88">
        <f>IF($AW$8=0,0,2*($AW$8/1000-0.15-0.1)*(INT(1000*2*BW107/$AW$10)+1)*(INT(1000*2*BX107/$AW$10)+1)*4)</f>
        <v>21.599999999999998</v>
      </c>
      <c r="CE109" s="8"/>
      <c r="CF109" s="8"/>
      <c r="CG109" s="168"/>
      <c r="CH109" s="261"/>
      <c r="CI109" s="8"/>
      <c r="CJ109" s="8"/>
      <c r="CK109" s="168"/>
      <c r="CL109" s="261"/>
      <c r="CM109" s="8"/>
      <c r="CN109" s="8"/>
      <c r="CO109" s="136">
        <f>IF(AZ109="",0,VLOOKUP(AQ109,[7]建物1802!$E$5:$AL$3275,33,FALSE)*AZ109)</f>
        <v>0</v>
      </c>
      <c r="CP109" s="136">
        <f>IF(AZ109="",0,VLOOKUP(AQ109,[7]建物1802!$E$5:$AL$3275,30,FALSE)*AZ109)</f>
        <v>0</v>
      </c>
      <c r="CQ109" s="136">
        <f>IF(CO109="","",SQRT(CO109^2-CP109^2))</f>
        <v>0</v>
      </c>
      <c r="CR109" s="260"/>
      <c r="CS109" s="14"/>
      <c r="CT109" s="14"/>
      <c r="CU109" s="14"/>
      <c r="CV109" s="14"/>
      <c r="CW109" s="216"/>
      <c r="CX109" s="8"/>
      <c r="CY109" s="197">
        <f t="shared" si="12"/>
        <v>3</v>
      </c>
      <c r="CZ109" s="197" t="str">
        <f t="shared" si="13"/>
        <v/>
      </c>
      <c r="DA109" s="201" t="str">
        <f>W91</f>
        <v>VV-F 1.6mm-2C</v>
      </c>
      <c r="DB109" s="8"/>
      <c r="DC109" s="8"/>
      <c r="DD109" s="8"/>
      <c r="DE109" s="249" t="str">
        <f>IF(COUNTIF($DA$15:DA108,DA109)&gt;0,"",DA109)</f>
        <v/>
      </c>
      <c r="DF109" s="26">
        <f>AM91</f>
        <v>243</v>
      </c>
      <c r="DG109" s="32">
        <f t="shared" si="18"/>
        <v>0</v>
      </c>
      <c r="DH109" s="198">
        <f t="shared" si="15"/>
        <v>5</v>
      </c>
      <c r="DI109" s="124" t="str">
        <f t="shared" si="19"/>
        <v/>
      </c>
      <c r="DJ109" s="11" t="str">
        <f>AQ92</f>
        <v>Yd2-Ce</v>
      </c>
      <c r="DK109" s="11"/>
      <c r="DL109" s="11"/>
      <c r="DM109" s="9"/>
      <c r="DN109" s="9" t="str">
        <f>IF(COUNTIF($DJ$15:DJ108,DJ109)&gt;0,"",DJ109)</f>
        <v/>
      </c>
      <c r="DO109" s="101">
        <f>AZ92</f>
        <v>2</v>
      </c>
      <c r="DP109" s="32">
        <f t="shared" si="17"/>
        <v>0</v>
      </c>
      <c r="DQ109" s="8"/>
    </row>
    <row r="110" spans="1:121" ht="11.25" customHeight="1" thickBot="1">
      <c r="A110" s="15"/>
      <c r="B110" s="23"/>
      <c r="C110" s="2359" t="str">
        <f>IF(C107="","",IF(I110="","",IF(AI106="非:天井(C管)","C-19mm",IF(AI106="非:天井(G管)","G- 16mm","PF-S-16mm"))))</f>
        <v/>
      </c>
      <c r="D110" s="2360"/>
      <c r="E110" s="2360"/>
      <c r="F110" s="2360"/>
      <c r="G110" s="2360"/>
      <c r="H110" s="2360"/>
      <c r="I110" s="2335" t="str">
        <f>IF(OR(C107="",AL105="設置しない",BH105="設置しない",$BW$10=0,CH107=0,CJ107=0),"",IF(J107="直天",ROUND((BZ107+CB107),1),ROUND((CH107+CJ107),1)))</f>
        <v/>
      </c>
      <c r="J110" s="2335"/>
      <c r="K110" s="2335"/>
      <c r="L110" s="2335"/>
      <c r="M110" s="2359" t="str">
        <f>IF(C107="","",IF(S110="","",IF(BC106="誘:天井(C管)","C-19mm",IF(BC106="誘:天井(G管)","G- 16mm","PF-S-16mm"))))</f>
        <v/>
      </c>
      <c r="N110" s="2360"/>
      <c r="O110" s="2360"/>
      <c r="P110" s="2360"/>
      <c r="Q110" s="2360"/>
      <c r="R110" s="2361"/>
      <c r="S110" s="2312" t="str">
        <f>IF(OR(C107="",,AL105="設置しない",BH105="設置しない",$BW$10=0,CH110=0,CJ110=0),"",IF(J107="直天",ROUND((BZ110+CB110),1),ROUND((CH110+CJ110),1)))</f>
        <v/>
      </c>
      <c r="T110" s="2312"/>
      <c r="U110" s="2312"/>
      <c r="V110" s="2312"/>
      <c r="W110" s="2359" t="str">
        <f>IF(C107="","",IF($B$2=0,"",IF(OR(AI106="非:天井(C管)",AI106="非:床(C管)"),"C-19mm",IF(OR(AI106="非:天井(G管)",AI106="非:床(G管)"),"G-16mm",IF(AI106="非:床(CD管)","CD-16mm","PF-S-16mm")))))</f>
        <v>PF-S-16mm</v>
      </c>
      <c r="X110" s="2360"/>
      <c r="Y110" s="2360"/>
      <c r="Z110" s="2360"/>
      <c r="AA110" s="2360"/>
      <c r="AB110" s="2361"/>
      <c r="AC110" s="2362">
        <f>IF(OR(C107="",AL105="設置しない",BH105="設置しない"),"",ROUND(CL107,1))</f>
        <v>4.4000000000000004</v>
      </c>
      <c r="AD110" s="2312"/>
      <c r="AE110" s="2312"/>
      <c r="AF110" s="2312"/>
      <c r="AG110" s="2333" t="str">
        <f>IF(C107="","",IF($B$2=0,"",IF(BC106="誘:天井(C管)","C-19mm",IF(BC106="誘:天井(G管)","G-16mm","PF-S-16mm"))))</f>
        <v>PF-S-16mm</v>
      </c>
      <c r="AH110" s="2333"/>
      <c r="AI110" s="2333"/>
      <c r="AJ110" s="2333"/>
      <c r="AK110" s="2333"/>
      <c r="AL110" s="2333"/>
      <c r="AM110" s="2334">
        <f>IF(OR(C107="",AL105="設置しない",BH105="設置しない"),"",ROUND((CL110+CN110),1))</f>
        <v>5.7</v>
      </c>
      <c r="AN110" s="2335"/>
      <c r="AO110" s="2335"/>
      <c r="AP110" s="2335"/>
      <c r="AQ110" s="2291" t="str">
        <f>IF(C107="","",IF(OR(AND(LEFT(C107,2)=" B",[6]Top!$AA$72="C"),AND(LEFT(C107,3)="  1",[6]Top!$AA$73="C"),AND(LEFT(C107,3)="  2",[6]Top!$AA$75="C"),AND(LEFT(C107,3)="  3",[6]Top!$AA$77="C"),[6]Top!$AA$79="C",[6]Top!$AA$81="C"),"Yd2-Ce",""))</f>
        <v>Yd2-Ce</v>
      </c>
      <c r="AR110" s="2292"/>
      <c r="AS110" s="2292"/>
      <c r="AT110" s="2292"/>
      <c r="AU110" s="2292"/>
      <c r="AV110" s="2292"/>
      <c r="AW110" s="2292"/>
      <c r="AX110" s="2292"/>
      <c r="AY110" s="2293"/>
      <c r="AZ110" s="2294">
        <f>IF(OR(C107="",C107="  RF",AQ110=""),"",IF(BC110&lt;&gt;"",BC110,1+INT((BW107+BX107)/20)))</f>
        <v>1</v>
      </c>
      <c r="BA110" s="2295"/>
      <c r="BB110" s="2296"/>
      <c r="BC110" s="2287"/>
      <c r="BD110" s="2287"/>
      <c r="BE110" s="2287"/>
      <c r="BF110" s="2363" t="s">
        <v>127</v>
      </c>
      <c r="BG110" s="2364"/>
      <c r="BH110" s="2365"/>
      <c r="BI110" s="2335" t="str">
        <f>IF(OR($BW$10=0,AY105="設置しない",C107="",C107="  RF"),"",IF(OR(AND(LEFT(C107,2)=" B",[6]Top!$O$72="要"),AND(LEFT(C107,3)="  1",[6]Top!$O$74="要"),AND(LEFT(C107,3)="  2",[6]Top!$O$76="要"),AND(LEFT(C107,3)="  3",[6]Top!$O$78="要"),[6]Top!$O$80="要",[6]Top!$O$81="要",$Y$10="設置する"),"d4-13e",""))</f>
        <v>d4-13e</v>
      </c>
      <c r="BJ110" s="2335"/>
      <c r="BK110" s="2335"/>
      <c r="BL110" s="2335"/>
      <c r="BM110" s="2335"/>
      <c r="BN110" s="2335">
        <f>IF(OR($BW$10=0,BH105="設置しない",C107="",C107="  RF"),"",IF(BR110&lt;&gt;"",BR110,INT(AD107*1.2)))</f>
        <v>9</v>
      </c>
      <c r="BO110" s="2335"/>
      <c r="BP110" s="2335"/>
      <c r="BQ110" s="31" t="s">
        <v>211</v>
      </c>
      <c r="BR110" s="2350"/>
      <c r="BS110" s="2351"/>
      <c r="BT110" s="2352"/>
      <c r="BU110" s="19"/>
      <c r="BV110" s="8"/>
      <c r="BW110" s="8"/>
      <c r="BX110" s="8"/>
      <c r="BY110" s="88" t="s">
        <v>199</v>
      </c>
      <c r="BZ110" s="151">
        <f>IF(AL107="",0,AL107*SQRT(N107/BZ109))</f>
        <v>6.831300510639732</v>
      </c>
      <c r="CA110" s="88" t="s">
        <v>198</v>
      </c>
      <c r="CB110" s="151">
        <f>IF(BZ109=0,0,(BZ109/3)*BW108)</f>
        <v>11.5</v>
      </c>
      <c r="CC110" s="88" t="s">
        <v>199</v>
      </c>
      <c r="CD110" s="151">
        <f>IF(F107=0,0,F107-0.25-$Y$7/1000)</f>
        <v>1.95</v>
      </c>
      <c r="CE110" s="88" t="s">
        <v>198</v>
      </c>
      <c r="CF110" s="151">
        <f>IF(F107=0,0,(2*(BZ109-BO107)-1)*$AN$7/1000+(2*BO107-1)*(F107-0.75))</f>
        <v>5.65</v>
      </c>
      <c r="CG110" s="88" t="s">
        <v>199</v>
      </c>
      <c r="CH110" s="151">
        <f>IF(BC106="誘:天井ケーブル",0,BZ110)</f>
        <v>0</v>
      </c>
      <c r="CI110" s="88" t="s">
        <v>198</v>
      </c>
      <c r="CJ110" s="151">
        <f>IF(BC106="誘:天井ケーブル",0,CB110)</f>
        <v>0</v>
      </c>
      <c r="CK110" s="88" t="s">
        <v>199</v>
      </c>
      <c r="CL110" s="259">
        <f>IF(F107=0,0,IF(J107="直天",AL107*(F107-$Y$7/1000),AL107*(J107+0.1-$Y$7/1000)))</f>
        <v>2.2000000000000002</v>
      </c>
      <c r="CM110" s="88" t="s">
        <v>198</v>
      </c>
      <c r="CN110" s="151">
        <f>IF(F107=0,0,IF(J107="直天",BO107*(2*BO107-1)*(F107-0.5),BO107*(2*BO107-1)*(J107-0.4)))</f>
        <v>3.5</v>
      </c>
      <c r="CO110" s="136">
        <f>IF(AZ110="",0,VLOOKUP(AQ110,[7]建物1802!$E$5:$AL$3275,33,FALSE)*AZ110)</f>
        <v>5.29</v>
      </c>
      <c r="CP110" s="136">
        <f>IF(AZ110="",0,VLOOKUP(AQ110,[7]建物1802!$E$5:$AL$3275,30,FALSE)*AZ110)</f>
        <v>2.6</v>
      </c>
      <c r="CQ110" s="136">
        <f>IF(CO110="","",SQRT(CO110^2-CP110^2))</f>
        <v>4.6069621227008151</v>
      </c>
      <c r="CR110" s="26"/>
      <c r="CS110" s="26"/>
      <c r="CT110" s="26"/>
      <c r="CU110" s="26"/>
      <c r="CV110" s="26"/>
      <c r="CW110" s="218"/>
      <c r="CX110" s="8"/>
      <c r="CY110" s="197">
        <f t="shared" si="12"/>
        <v>3</v>
      </c>
      <c r="CZ110" s="197" t="str">
        <f t="shared" si="13"/>
        <v/>
      </c>
      <c r="DA110" s="10" t="str">
        <f>C92</f>
        <v/>
      </c>
      <c r="DB110" s="8"/>
      <c r="DC110" s="8"/>
      <c r="DD110" s="8"/>
      <c r="DE110" s="249" t="str">
        <f>IF(COUNTIF($DA$15:DA109,DA110)&gt;0,"",DA110)</f>
        <v/>
      </c>
      <c r="DF110" s="26" t="str">
        <f>I92</f>
        <v/>
      </c>
      <c r="DG110" s="32">
        <f t="shared" si="18"/>
        <v>0</v>
      </c>
      <c r="DH110" s="198">
        <f t="shared" si="15"/>
        <v>5</v>
      </c>
      <c r="DI110" s="124" t="str">
        <f t="shared" si="19"/>
        <v/>
      </c>
      <c r="DJ110" s="11" t="str">
        <f>BF89</f>
        <v>Ya1-Ce</v>
      </c>
      <c r="DK110" s="11"/>
      <c r="DL110" s="11"/>
      <c r="DM110" s="9"/>
      <c r="DN110" s="9" t="str">
        <f>IF(COUNTIF($DJ$15:DJ109,DJ110)&gt;0,"",DJ110)</f>
        <v/>
      </c>
      <c r="DO110" s="101">
        <f>BO89</f>
        <v>2</v>
      </c>
      <c r="DP110" s="13">
        <f t="shared" si="17"/>
        <v>0</v>
      </c>
      <c r="DQ110" s="8"/>
    </row>
    <row r="111" spans="1:121" ht="11.25" customHeight="1" thickBot="1">
      <c r="A111" s="15"/>
      <c r="B111" s="23"/>
      <c r="C111" s="2288" t="s">
        <v>112</v>
      </c>
      <c r="D111" s="2289"/>
      <c r="E111" s="2289"/>
      <c r="F111" s="2289"/>
      <c r="G111" s="2289"/>
      <c r="H111" s="2289"/>
      <c r="I111" s="2290"/>
      <c r="J111" s="2356" t="str">
        <f>[5]照差!$I$125</f>
        <v>( 15)</v>
      </c>
      <c r="K111" s="2357"/>
      <c r="L111" s="2358"/>
      <c r="M111" s="2375" t="str">
        <f>[5]照差!$M$125</f>
        <v>前各項以外</v>
      </c>
      <c r="N111" s="2376"/>
      <c r="O111" s="2376"/>
      <c r="P111" s="2376"/>
      <c r="Q111" s="2376"/>
      <c r="R111" s="2376"/>
      <c r="S111" s="2376"/>
      <c r="T111" s="2376"/>
      <c r="U111" s="2377"/>
      <c r="V111" s="2275" t="s">
        <v>217</v>
      </c>
      <c r="W111" s="2276"/>
      <c r="X111" s="2276"/>
      <c r="Y111" s="2276"/>
      <c r="Z111" s="2277"/>
      <c r="AA111" s="2278" t="str">
        <f>[10]Top!$I$54</f>
        <v>A</v>
      </c>
      <c r="AB111" s="2279"/>
      <c r="AC111" s="2280" t="s">
        <v>216</v>
      </c>
      <c r="AD111" s="2280"/>
      <c r="AE111" s="2280"/>
      <c r="AF111" s="2280"/>
      <c r="AG111" s="2280"/>
      <c r="AH111" s="2280"/>
      <c r="AI111" s="2280"/>
      <c r="AJ111" s="2280"/>
      <c r="AK111" s="2280"/>
      <c r="AL111" s="2356" t="str">
        <f>IF($BW$10=0,"設置しない",IF(AS111="","設置する",AS111))</f>
        <v>設置する</v>
      </c>
      <c r="AM111" s="2357"/>
      <c r="AN111" s="2357"/>
      <c r="AO111" s="2357"/>
      <c r="AP111" s="2357"/>
      <c r="AQ111" s="2358"/>
      <c r="AR111" s="265" t="s">
        <v>211</v>
      </c>
      <c r="AS111" s="2284"/>
      <c r="AT111" s="2285"/>
      <c r="AU111" s="2285"/>
      <c r="AV111" s="2285"/>
      <c r="AW111" s="2285"/>
      <c r="AX111" s="2286"/>
      <c r="AY111" s="2280" t="s">
        <v>215</v>
      </c>
      <c r="AZ111" s="2280"/>
      <c r="BA111" s="2280"/>
      <c r="BB111" s="2280"/>
      <c r="BC111" s="2280"/>
      <c r="BD111" s="2280"/>
      <c r="BE111" s="2280"/>
      <c r="BF111" s="2280"/>
      <c r="BG111" s="2280"/>
      <c r="BH111" s="2356" t="str">
        <f>IF($BW$10=0,"設置しない",IF(BO111="","設置する",BO111))</f>
        <v>設置する</v>
      </c>
      <c r="BI111" s="2357"/>
      <c r="BJ111" s="2357"/>
      <c r="BK111" s="2357"/>
      <c r="BL111" s="2357"/>
      <c r="BM111" s="2358"/>
      <c r="BN111" s="265" t="s">
        <v>211</v>
      </c>
      <c r="BO111" s="2284"/>
      <c r="BP111" s="2285"/>
      <c r="BQ111" s="2285"/>
      <c r="BR111" s="2285"/>
      <c r="BS111" s="2285"/>
      <c r="BT111" s="2286"/>
      <c r="BU111" s="19"/>
      <c r="BV111" s="8"/>
      <c r="BW111" s="8"/>
      <c r="BX111" s="8"/>
      <c r="BY111" s="9"/>
      <c r="BZ111" s="9"/>
      <c r="CA111" s="9"/>
      <c r="CB111" s="9"/>
      <c r="CC111" s="9"/>
      <c r="CD111" s="9"/>
      <c r="CE111" s="9"/>
      <c r="CF111" s="9"/>
      <c r="CG111" s="9"/>
      <c r="CH111" s="9"/>
      <c r="CI111" s="9"/>
      <c r="CJ111" s="9"/>
      <c r="CK111" s="9"/>
      <c r="CL111" s="9"/>
      <c r="CM111" s="9"/>
      <c r="CN111" s="9"/>
      <c r="CO111" s="254"/>
      <c r="CP111" s="254"/>
      <c r="CQ111" s="254"/>
      <c r="CR111" s="14"/>
      <c r="CS111" s="14"/>
      <c r="CT111" s="14"/>
      <c r="CU111" s="14"/>
      <c r="CV111" s="14"/>
      <c r="CW111" s="216"/>
      <c r="CX111" s="8"/>
      <c r="CY111" s="197">
        <f t="shared" si="12"/>
        <v>3</v>
      </c>
      <c r="CZ111" s="197" t="str">
        <f t="shared" si="13"/>
        <v/>
      </c>
      <c r="DA111" s="201" t="str">
        <f>M92</f>
        <v/>
      </c>
      <c r="DB111" s="8"/>
      <c r="DC111" s="8"/>
      <c r="DD111" s="8"/>
      <c r="DE111" s="249" t="str">
        <f>IF(COUNTIF($DA$15:DA110,DA111)&gt;0,"",DA111)</f>
        <v/>
      </c>
      <c r="DF111" s="26" t="str">
        <f>S92</f>
        <v/>
      </c>
      <c r="DG111" s="32">
        <f t="shared" si="18"/>
        <v>0</v>
      </c>
      <c r="DH111" s="198">
        <f t="shared" si="15"/>
        <v>5</v>
      </c>
      <c r="DI111" s="124" t="str">
        <f t="shared" si="19"/>
        <v/>
      </c>
      <c r="DJ111" s="11" t="str">
        <f>BF90</f>
        <v/>
      </c>
      <c r="DK111" s="11"/>
      <c r="DL111" s="11"/>
      <c r="DM111" s="9"/>
      <c r="DN111" s="9" t="str">
        <f>IF(COUNTIF($DJ$15:DJ110,DJ111)&gt;0,"",DJ111)</f>
        <v/>
      </c>
      <c r="DO111" s="101" t="str">
        <f>BO90</f>
        <v/>
      </c>
      <c r="DP111" s="13">
        <f t="shared" si="17"/>
        <v>0</v>
      </c>
      <c r="DQ111" s="9"/>
    </row>
    <row r="112" spans="1:121" ht="11.25" customHeight="1" thickBot="1">
      <c r="A112" s="15"/>
      <c r="B112" s="23"/>
      <c r="C112" s="2300" t="s">
        <v>214</v>
      </c>
      <c r="D112" s="2301"/>
      <c r="E112" s="2301"/>
      <c r="F112" s="2301"/>
      <c r="G112" s="2301"/>
      <c r="H112" s="2301"/>
      <c r="I112" s="2302"/>
      <c r="J112" s="2297">
        <f>[5]照差!$K$126</f>
        <v>0.7142857142857143</v>
      </c>
      <c r="K112" s="2298"/>
      <c r="L112" s="2298"/>
      <c r="M112" s="2298"/>
      <c r="N112" s="2299" t="s">
        <v>213</v>
      </c>
      <c r="O112" s="2299"/>
      <c r="P112" s="2299"/>
      <c r="Q112" s="2299"/>
      <c r="R112" s="2299"/>
      <c r="S112" s="2299"/>
      <c r="T112" s="2299"/>
      <c r="U112" s="2299"/>
      <c r="V112" s="2366" t="str">
        <f>[3]照差!$W$126</f>
        <v>⑦</v>
      </c>
      <c r="W112" s="2366"/>
      <c r="X112" s="2366"/>
      <c r="Y112" s="2299" t="s">
        <v>135</v>
      </c>
      <c r="Z112" s="2299"/>
      <c r="AA112" s="2299"/>
      <c r="AB112" s="2299"/>
      <c r="AC112" s="2299"/>
      <c r="AD112" s="2299" t="s">
        <v>18</v>
      </c>
      <c r="AE112" s="2299"/>
      <c r="AF112" s="2299"/>
      <c r="AG112" s="2299"/>
      <c r="AH112" s="2299"/>
      <c r="AI112" s="2337" t="str">
        <f>IF($B$2=0,"",IF(AQ112="","非:天井ケーブル",AQ112))</f>
        <v>非:天井ケーブル</v>
      </c>
      <c r="AJ112" s="2337"/>
      <c r="AK112" s="2337"/>
      <c r="AL112" s="2337"/>
      <c r="AM112" s="2337"/>
      <c r="AN112" s="2337"/>
      <c r="AO112" s="2337"/>
      <c r="AP112" s="175" t="s">
        <v>211</v>
      </c>
      <c r="AQ112" s="2338"/>
      <c r="AR112" s="2338"/>
      <c r="AS112" s="2338"/>
      <c r="AT112" s="2338"/>
      <c r="AU112" s="2338"/>
      <c r="AV112" s="2338"/>
      <c r="AW112" s="2338"/>
      <c r="AX112" s="2299" t="s">
        <v>212</v>
      </c>
      <c r="AY112" s="2299"/>
      <c r="AZ112" s="2299"/>
      <c r="BA112" s="2299"/>
      <c r="BB112" s="2299"/>
      <c r="BC112" s="2337" t="str">
        <f>IF($B$2=0,"",IF(BK112="","誘:天井ケーブル",BK112))</f>
        <v>誘:天井ケーブル</v>
      </c>
      <c r="BD112" s="2337"/>
      <c r="BE112" s="2337"/>
      <c r="BF112" s="2337"/>
      <c r="BG112" s="2337"/>
      <c r="BH112" s="2337"/>
      <c r="BI112" s="2337"/>
      <c r="BJ112" s="175" t="s">
        <v>211</v>
      </c>
      <c r="BK112" s="2338"/>
      <c r="BL112" s="2338"/>
      <c r="BM112" s="2338"/>
      <c r="BN112" s="2338"/>
      <c r="BO112" s="2338"/>
      <c r="BP112" s="2338"/>
      <c r="BQ112" s="2338"/>
      <c r="BR112" s="2299"/>
      <c r="BS112" s="2299"/>
      <c r="BT112" s="2299"/>
      <c r="BU112" s="19"/>
      <c r="BV112" s="8">
        <v>125</v>
      </c>
      <c r="BW112" s="88" t="s">
        <v>210</v>
      </c>
      <c r="BX112" s="88" t="s">
        <v>209</v>
      </c>
      <c r="BY112" s="2336" t="s">
        <v>126</v>
      </c>
      <c r="BZ112" s="2336"/>
      <c r="CA112" s="2336"/>
      <c r="CB112" s="2336"/>
      <c r="CC112" s="2336" t="s">
        <v>125</v>
      </c>
      <c r="CD112" s="2336"/>
      <c r="CE112" s="2336"/>
      <c r="CF112" s="2336"/>
      <c r="CG112" s="2336" t="s">
        <v>124</v>
      </c>
      <c r="CH112" s="2336"/>
      <c r="CI112" s="2336"/>
      <c r="CJ112" s="2336"/>
      <c r="CK112" s="2336" t="s">
        <v>123</v>
      </c>
      <c r="CL112" s="2336"/>
      <c r="CM112" s="2336"/>
      <c r="CN112" s="2336"/>
      <c r="CO112" s="88" t="s">
        <v>208</v>
      </c>
      <c r="CP112" s="88" t="s">
        <v>207</v>
      </c>
      <c r="CQ112" s="88" t="s">
        <v>206</v>
      </c>
      <c r="CR112" s="88" t="s">
        <v>208</v>
      </c>
      <c r="CS112" s="88" t="s">
        <v>207</v>
      </c>
      <c r="CT112" s="221" t="s">
        <v>206</v>
      </c>
      <c r="CU112" s="264">
        <f>IF(BW113="","",SUM(CP113:CP116)+CS113+CS114)</f>
        <v>15</v>
      </c>
      <c r="CV112" s="264">
        <f>IF(BW113="","",SUM(CQ113:CQ116)+CT113+CT114)</f>
        <v>23.937990023332532</v>
      </c>
      <c r="CW112" s="9"/>
      <c r="CX112" s="8"/>
      <c r="CY112" s="197">
        <f t="shared" si="12"/>
        <v>3</v>
      </c>
      <c r="CZ112" s="197" t="str">
        <f t="shared" si="13"/>
        <v/>
      </c>
      <c r="DA112" s="201" t="str">
        <f>W92</f>
        <v>PF-S-16mm</v>
      </c>
      <c r="DB112" s="8"/>
      <c r="DC112" s="8"/>
      <c r="DD112" s="8"/>
      <c r="DE112" s="249" t="str">
        <f>IF(COUNTIF($DA$15:DA111,DA112)&gt;0,"",DA112)</f>
        <v/>
      </c>
      <c r="DF112" s="26">
        <f>AC92</f>
        <v>3.9</v>
      </c>
      <c r="DG112" s="32">
        <f t="shared" si="18"/>
        <v>0</v>
      </c>
      <c r="DH112" s="198">
        <f t="shared" si="15"/>
        <v>5</v>
      </c>
      <c r="DI112" s="199" t="str">
        <f t="shared" si="19"/>
        <v/>
      </c>
      <c r="DJ112" s="201" t="str">
        <f>BI91</f>
        <v>d4-30e</v>
      </c>
      <c r="DK112" s="10"/>
      <c r="DL112" s="10"/>
      <c r="DM112" s="8"/>
      <c r="DN112" s="249" t="str">
        <f>IF(COUNTIF($DJ$15:DJ111,DJ112)&gt;0,"",DJ112)</f>
        <v/>
      </c>
      <c r="DO112" s="200">
        <f>BN91</f>
        <v>8</v>
      </c>
      <c r="DP112" s="32">
        <f t="shared" si="17"/>
        <v>0</v>
      </c>
      <c r="DQ112" s="8"/>
    </row>
    <row r="113" spans="1:126" ht="11.25" customHeight="1">
      <c r="A113" s="15"/>
      <c r="B113" s="23"/>
      <c r="C113" s="2367" t="str">
        <f>[5]照差!$C$127</f>
        <v>PH2F</v>
      </c>
      <c r="D113" s="2368"/>
      <c r="E113" s="2369"/>
      <c r="F113" s="2370">
        <f>[5]照差!$G$127</f>
        <v>4</v>
      </c>
      <c r="G113" s="2371"/>
      <c r="H113" s="2371"/>
      <c r="I113" s="2372"/>
      <c r="J113" s="2370" t="str">
        <f>[5]照差!$J$127</f>
        <v>直天</v>
      </c>
      <c r="K113" s="2373"/>
      <c r="L113" s="2373"/>
      <c r="M113" s="2374"/>
      <c r="N113" s="2330">
        <f>[5]照差!$M$127</f>
        <v>140</v>
      </c>
      <c r="O113" s="2331"/>
      <c r="P113" s="2331"/>
      <c r="Q113" s="2331"/>
      <c r="R113" s="2332"/>
      <c r="S113" s="2330" t="str">
        <f>[5]照差!$Q$127</f>
        <v/>
      </c>
      <c r="T113" s="2331"/>
      <c r="U113" s="2331"/>
      <c r="V113" s="2332"/>
      <c r="W113" s="2330">
        <f>[5]照差!$U$127</f>
        <v>140</v>
      </c>
      <c r="X113" s="2331"/>
      <c r="Y113" s="2331"/>
      <c r="Z113" s="2332"/>
      <c r="AA113" s="2340" t="str">
        <f>[5]照差!$Y$127</f>
        <v/>
      </c>
      <c r="AB113" s="2341"/>
      <c r="AC113" s="2342"/>
      <c r="AD113" s="2343">
        <f>[5]照差!$AB$127</f>
        <v>8</v>
      </c>
      <c r="AE113" s="2344"/>
      <c r="AF113" s="2345"/>
      <c r="AG113" s="2346">
        <f>IF(OR(C113="",C113="  RF"),"",2+INT(N113/1000))</f>
        <v>2</v>
      </c>
      <c r="AH113" s="2346"/>
      <c r="AI113" s="2346"/>
      <c r="AJ113" s="2346"/>
      <c r="AK113" s="2346"/>
      <c r="AL113" s="2346">
        <f>IF(OR(C113="",C113="  RF"),"",1+INT(N113/500))</f>
        <v>1</v>
      </c>
      <c r="AM113" s="2346"/>
      <c r="AN113" s="2346"/>
      <c r="AO113" s="2346"/>
      <c r="AP113" s="2346"/>
      <c r="AQ113" s="2347" t="str">
        <f>IF(OR(C113="",AL111="設置しない"),"",IF(OR(AND(LEFT($C$18,2)=" B",[6]Top!$U$72&lt;&gt;""),AND(LEFT($C$18,3)="  1",[6]Top!$U$73&lt;&gt;""),AND(LEFT($C$18,3)="  2",[6]Top!$U$75&lt;&gt;""),AND(LEFT($C$18,3)="  3",[6]Top!$U$77&lt;&gt;""),[6]Top!$U$79&lt;&gt;"",[6]Top!$U$81&lt;&gt;""),"Xh1-Ae",IF(OR(AND(LEFT($C$18,2)=" B",[6]Top!$U$72="BL"),AND(LEFT($C$18,3)="  1",[6]Top!$U$73="BL"),AND(LEFT($C$18,3)="  2",[6]Top!$U$75="BL"),AND(LEFT($C$18,3)="  3",[6]Top!$U$77="BL"),[6]Top!$U$79="BL",[6]Top!$U$81="BL"),"Xh1-BLe","")))</f>
        <v>Xh1-Ae</v>
      </c>
      <c r="AR113" s="2348"/>
      <c r="AS113" s="2348"/>
      <c r="AT113" s="2348"/>
      <c r="AU113" s="2348"/>
      <c r="AV113" s="2348"/>
      <c r="AW113" s="2348"/>
      <c r="AX113" s="2348"/>
      <c r="AY113" s="2349"/>
      <c r="AZ113" s="2353">
        <f>IF(OR(N113="",AQ113=""),"",IF(BC113&lt;&gt;"",BC113,1+INT(N113/500)))</f>
        <v>1</v>
      </c>
      <c r="BA113" s="2354"/>
      <c r="BB113" s="2355"/>
      <c r="BC113" s="2305"/>
      <c r="BD113" s="2305"/>
      <c r="BE113" s="2305"/>
      <c r="BF113" s="2281" t="str">
        <f>IF(C113="","",IF(OR(AND(LEFT(C113,2)=" B",[6]Top!$AD$72="要"),AND(LEFT(C113,3)="  1",[6]Top!$AD$73="要"),AND(LEFT(C113,3)="  2",[6]Top!$AD$75="要"),AND(LEFT(C113,3)="  3",[6]Top!$AD$77="要"),[6]Top!$AD$79="C",[6]Top!$AD$81="要"),"Ya1-Ce",""))</f>
        <v>Ya1-Ce</v>
      </c>
      <c r="BG113" s="2281"/>
      <c r="BH113" s="2281"/>
      <c r="BI113" s="2281"/>
      <c r="BJ113" s="2281"/>
      <c r="BK113" s="2281"/>
      <c r="BL113" s="2281"/>
      <c r="BM113" s="2281"/>
      <c r="BN113" s="2281"/>
      <c r="BO113" s="2304">
        <f>IF(OR(C113="",C113="  RF"),"",IF(BR113&lt;&gt;"",BR113,1+INT((BW113+BX113)/20)))</f>
        <v>1</v>
      </c>
      <c r="BP113" s="2304"/>
      <c r="BQ113" s="2304"/>
      <c r="BR113" s="2339"/>
      <c r="BS113" s="2339"/>
      <c r="BT113" s="2339"/>
      <c r="BU113" s="19"/>
      <c r="BV113" s="8">
        <v>16</v>
      </c>
      <c r="BW113" s="98">
        <f>IF(OR(C113="",C113="  RF"),0,SQRT(N113*J112)/2)</f>
        <v>5</v>
      </c>
      <c r="BX113" s="98">
        <f>IF(OR(C113="",C113="  RF"),0,SQRT(N113/J112)/2)</f>
        <v>7</v>
      </c>
      <c r="BY113" s="88" t="s">
        <v>204</v>
      </c>
      <c r="BZ113" s="92">
        <f>IF(OR($BW$10=0,AL111="設置しない",C113="  RF",C113=""),0,IF(LEFT(C113,2)&lt;&gt;"PH",AG113*BW114/2,BW114))</f>
        <v>11.5</v>
      </c>
      <c r="CA113" s="88" t="s">
        <v>205</v>
      </c>
      <c r="CB113" s="88">
        <f>IF(OR($BW$10=0,AL111="設置しない",C113="  RF",C113=""),0,IF(LEFT(C113,2)="PH",0,(BN115-1)*SQRT(S113/BN115)))</f>
        <v>0</v>
      </c>
      <c r="CC113" s="88" t="s">
        <v>204</v>
      </c>
      <c r="CD113" s="262">
        <f>IF(OR($BW$10=0,AL111="設置しない",F113=0),0,AG113*(F113-0.1-($Y$7-$AN$8)/1000))</f>
        <v>9.1999999999999993</v>
      </c>
      <c r="CE113" s="88" t="s">
        <v>205</v>
      </c>
      <c r="CF113" s="88">
        <f>IF(OR($BW$10=0,AL111="設置しない",LEFT(C113,2)="PH",C113="  RF",C113=""),0,(2*BN115-1)*$AN$7/1000)</f>
        <v>0</v>
      </c>
      <c r="CG113" s="88" t="s">
        <v>204</v>
      </c>
      <c r="CH113" s="92">
        <f>IF(OR($BW$10=0,AL111="設置しない",AI112="非:天井ケーブル"),0,BZ113)</f>
        <v>0</v>
      </c>
      <c r="CI113" s="88" t="s">
        <v>205</v>
      </c>
      <c r="CJ113" s="88">
        <f>IF(OR($BW$10=0,AL111="設置しない",AI112="非:天井ケーブル"),0,CB113)</f>
        <v>0</v>
      </c>
      <c r="CK113" s="88" t="s">
        <v>204</v>
      </c>
      <c r="CL113" s="92">
        <f>IF(OR($BW$10=0,AL111="設置しない",C113="  RF",C113=""),0,IF(J113="直天",AG113*(F113-$Y$7/1000),AG113*(J113+0.1-$Y$7/1000)))</f>
        <v>4.4000000000000004</v>
      </c>
      <c r="CM113" s="220"/>
      <c r="CN113" s="219"/>
      <c r="CO113" s="134">
        <f>IF(AZ113="",0,VLOOKUP(AQ113,[7]建物1802!$E$5:$AL$3275,33,FALSE)*AZ113)</f>
        <v>18.98</v>
      </c>
      <c r="CP113" s="136">
        <f>IF(AZ113="",0,VLOOKUP(AQ113,[7]建物1802!$E$5:$AL$3275,30,FALSE)*AZ113)</f>
        <v>10.5</v>
      </c>
      <c r="CQ113" s="136">
        <f>IF(CO113="","",SQRT(CO113^2-CP113^2))</f>
        <v>15.81108471927211</v>
      </c>
      <c r="CR113" s="189">
        <f>IF(BO113="",0,VLOOKUP(BF113,[7]建物1802!$E$5:$AL$3275,33,FALSE)*BO113)</f>
        <v>4</v>
      </c>
      <c r="CS113" s="189">
        <f>IF(BO113="",0,VLOOKUP(BF113,[7]建物1802!$E$5:$AL$3275,30,FALSE)*BO113)</f>
        <v>1.9</v>
      </c>
      <c r="CT113" s="259">
        <f>IF(CR113="",0,SQRT(CR113^2-CS113^2))</f>
        <v>3.5199431813596083</v>
      </c>
      <c r="CU113" s="14"/>
      <c r="CV113" s="14"/>
      <c r="CW113" s="216"/>
      <c r="CX113" s="88">
        <v>13</v>
      </c>
      <c r="CY113" s="204">
        <f t="shared" ref="CY113:CY120" si="20">IF(DE113&lt;&gt;"",CY112+1,CY112)</f>
        <v>3</v>
      </c>
      <c r="CZ113" s="155" t="str">
        <f t="shared" ref="CZ113:CZ120" si="21">IF(AND(CY113&lt;&gt;"",DE113&lt;&gt;""),CY113,"")</f>
        <v/>
      </c>
      <c r="DA113" s="210" t="str">
        <f>AG92</f>
        <v>PF-S-16mm</v>
      </c>
      <c r="DB113" s="45"/>
      <c r="DC113" s="45"/>
      <c r="DD113" s="45"/>
      <c r="DE113" s="153" t="str">
        <f>IF(COUNTIF($DA$15:DA112,DA113)&gt;0,"",DA113)</f>
        <v/>
      </c>
      <c r="DF113" s="152">
        <f>AM92</f>
        <v>19.5</v>
      </c>
      <c r="DG113" s="32">
        <f t="shared" si="18"/>
        <v>0</v>
      </c>
      <c r="DH113" s="124">
        <f t="shared" ref="DH113:DH120" si="22">IF(OR(DN113=0,DN113=""),DH112,DH112+1)</f>
        <v>5</v>
      </c>
      <c r="DI113" s="149" t="str">
        <f t="shared" si="19"/>
        <v/>
      </c>
      <c r="DJ113" s="210" t="str">
        <f>BI92</f>
        <v>d4-13e</v>
      </c>
      <c r="DK113" s="154"/>
      <c r="DL113" s="154"/>
      <c r="DM113" s="45"/>
      <c r="DN113" s="45" t="str">
        <f>IF(COUNTIF($DJ$15:DJ112,DJ113)&gt;0,"",DJ113)</f>
        <v/>
      </c>
      <c r="DO113" s="209">
        <f>BN92</f>
        <v>10</v>
      </c>
      <c r="DP113" s="169">
        <f t="shared" ref="DP113:DP120" si="23">SUMIF($DJ$17:$DJ$179,DN113,$DO$17:$DO$179)</f>
        <v>0</v>
      </c>
      <c r="DQ113" s="88">
        <v>13</v>
      </c>
    </row>
    <row r="114" spans="1:126" ht="11.25" customHeight="1">
      <c r="A114" s="15">
        <v>16</v>
      </c>
      <c r="B114" s="227"/>
      <c r="C114" s="2378" t="str">
        <f>IF(C113="","",IF(K114="","VV-F 2.0mm-2C",K114))</f>
        <v>VV-F 2.0mm-2C</v>
      </c>
      <c r="D114" s="2379"/>
      <c r="E114" s="2379"/>
      <c r="F114" s="2379"/>
      <c r="G114" s="2379"/>
      <c r="H114" s="2379"/>
      <c r="I114" s="2379"/>
      <c r="J114" s="2380"/>
      <c r="K114" s="2313"/>
      <c r="L114" s="2314"/>
      <c r="M114" s="2314"/>
      <c r="N114" s="2314"/>
      <c r="O114" s="2314"/>
      <c r="P114" s="2314"/>
      <c r="Q114" s="2314"/>
      <c r="R114" s="2315"/>
      <c r="S114" s="2312">
        <f>IF(OR(C113="",AL111="設置しない",BH111="設置しない"),"",ROUND((BZ113+CD113),1))</f>
        <v>20.7</v>
      </c>
      <c r="T114" s="2312"/>
      <c r="U114" s="2312"/>
      <c r="V114" s="2312"/>
      <c r="W114" s="2306" t="str">
        <f>IF(C113="","",IF(AE114="","VV-F 2.0mm-2C",AE114))</f>
        <v>VV-F 2.0mm-2C</v>
      </c>
      <c r="X114" s="2307"/>
      <c r="Y114" s="2307"/>
      <c r="Z114" s="2307"/>
      <c r="AA114" s="2307"/>
      <c r="AB114" s="2307"/>
      <c r="AC114" s="2307"/>
      <c r="AD114" s="2308"/>
      <c r="AE114" s="2313"/>
      <c r="AF114" s="2314"/>
      <c r="AG114" s="2314"/>
      <c r="AH114" s="2314"/>
      <c r="AI114" s="2314"/>
      <c r="AJ114" s="2314"/>
      <c r="AK114" s="2314"/>
      <c r="AL114" s="2315"/>
      <c r="AM114" s="2312">
        <f>IF(OR(C113="",,AL111="設置しない",BH111="設置しない"),"",ROUND(BZ116,1))</f>
        <v>6.8</v>
      </c>
      <c r="AN114" s="2312"/>
      <c r="AO114" s="2312"/>
      <c r="AP114" s="2312"/>
      <c r="AQ114" s="2347" t="str">
        <f>IF(OR(C113="",AL111="設置しない"),"",IF(OR(AND(LEFT($C$18,2)=" B",[6]Top!$U$72&lt;&gt;""),AND(LEFT($C$18,3)="  1",[6]Top!$U$73&lt;&gt;""),AND(LEFT($C$18,3)="  2",[6]Top!$U$75&lt;&gt;""),AND(LEFT($C$18,3)="  3",[6]Top!$U$77&lt;&gt;""),[6]Top!$U$79&lt;&gt;"",[6]Top!$U$81&lt;&gt;""),"Xh1-Ae",IF(OR(AND(LEFT($C$18,2)=" B",[6]Top!$U$72="BL"),AND(LEFT($C$18,3)="  1",[6]Top!$U$73="BL"),AND(LEFT($C$18,3)="  2",[6]Top!$U$75="BL"),AND(LEFT($C$18,3)="  3",[6]Top!$U$77="BL"),[6]Top!$U$79="BL",[6]Top!$U$81="BL"),"Xh1-BLe","")))</f>
        <v>Xh1-Ae</v>
      </c>
      <c r="AR114" s="2348"/>
      <c r="AS114" s="2348"/>
      <c r="AT114" s="2348"/>
      <c r="AU114" s="2348"/>
      <c r="AV114" s="2348"/>
      <c r="AW114" s="2348"/>
      <c r="AX114" s="2348"/>
      <c r="AY114" s="2349"/>
      <c r="AZ114" s="2304" t="str">
        <f>IF(AA113="","",IF(BC114&lt;&gt;"",BC114,IF(AQ114&lt;&gt;"",1+INT(AA113/3),"")))</f>
        <v/>
      </c>
      <c r="BA114" s="2304"/>
      <c r="BB114" s="2304"/>
      <c r="BC114" s="2305"/>
      <c r="BD114" s="2305"/>
      <c r="BE114" s="2305"/>
      <c r="BF114" s="2281" t="str">
        <f>IF(C113="","",IF(OR(AND(LEFT(C113,2)=" B",[6]Top!$AF$72="要"),AND(LEFT(C113,3)="  1",[6]Top!$AF$73="要"),AND(LEFT(C113,3)="  2",[6]Top!$AF$75="要"),AND(LEFT(C113,3)="  3",[6]Top!$AF$77="要"),[6]Top!$AF$79="要",[6]Top!$AF$81="要"),"D15V-321PXe",""))</f>
        <v/>
      </c>
      <c r="BG114" s="2281"/>
      <c r="BH114" s="2281"/>
      <c r="BI114" s="2282"/>
      <c r="BJ114" s="2282"/>
      <c r="BK114" s="2282"/>
      <c r="BL114" s="2282"/>
      <c r="BM114" s="2282"/>
      <c r="BN114" s="2282"/>
      <c r="BO114" s="2283" t="str">
        <f>IF(OR(C113="",C113="  RF",BF114=""),"",IF(BR114&lt;&gt;"",BR114,2*(1+INT(N113/500))))</f>
        <v/>
      </c>
      <c r="BP114" s="2283"/>
      <c r="BQ114" s="2283"/>
      <c r="BR114" s="2303"/>
      <c r="BS114" s="2303"/>
      <c r="BT114" s="2303"/>
      <c r="BU114" s="19"/>
      <c r="BV114" s="46" t="str">
        <f>V112</f>
        <v>⑦</v>
      </c>
      <c r="BW114" s="263">
        <f>IF(C113="","",IF(BV114="①",BW113+BX113+3,IF(BV114="②",BW113*5/8+BX113+3,IF(BV114="③",BW113/2+BX113+3,IF(BV114="④",BW113+BX113*5/8+3,IF(BV114="⑤",(BW113+BX113)*5/8+3,IF(BV114="⑥",BW113/2+BX113*5/8+3,IF(BV114="⑦",BW113+BX113/2+3,IF(BV114="⑧",BW113*5/8+BX113/2+3,IF(BV114="⑨",(BW113+BX113)/2+3))))))))))</f>
        <v>11.5</v>
      </c>
      <c r="BX114" s="8"/>
      <c r="BY114" s="88" t="s">
        <v>202</v>
      </c>
      <c r="BZ114" s="92">
        <f>IF(OR($BW$10=0,BH111="設置しない",C113="  RF",C113=""),0,IF(LEFT(C113,2)&lt;&gt;"PH",AL113*BW114/2,BW114))</f>
        <v>11.5</v>
      </c>
      <c r="CA114" s="88" t="s">
        <v>203</v>
      </c>
      <c r="CB114" s="88">
        <f>IF(OR($BW$10=0,AY111="設置しない",BN116=""),0,(BN116-1)*SQRT(W113/BN116))</f>
        <v>31.552425509864619</v>
      </c>
      <c r="CC114" s="88" t="s">
        <v>202</v>
      </c>
      <c r="CD114" s="262">
        <f>IF(OR($BW$10=0,BH111="設置しない",F113=0),0,AG113*(F113-0.1-($AN$8-$Y$7)/1000))</f>
        <v>6.4</v>
      </c>
      <c r="CE114" s="88" t="s">
        <v>203</v>
      </c>
      <c r="CF114" s="88">
        <f>IF(OR($BW$10=0,BH111="設置しない",BN116=""),0,(2*BN116-1)*$AN$7/1000)</f>
        <v>13.6</v>
      </c>
      <c r="CG114" s="88" t="s">
        <v>202</v>
      </c>
      <c r="CH114" s="92">
        <f>IF(OR($BW$10=0,BH111="設置しない",AI112="非:天井ケーブル"),0,BZ114)</f>
        <v>0</v>
      </c>
      <c r="CI114" s="88" t="s">
        <v>203</v>
      </c>
      <c r="CJ114" s="88">
        <f>IF(OR($BW$10=0,BH111="設置しない",AI112="非:天井ケーブル"),0,CB114)</f>
        <v>0</v>
      </c>
      <c r="CK114" s="88" t="s">
        <v>202</v>
      </c>
      <c r="CL114" s="92">
        <f>IF(OR($BW$10=0,BH111="設置しない",C113="  RF",C113=""),0,IF(J113="直天",AG113*(F113-$Y$7/1000),AG113*(J113+0.1-$Y$7/1000)))</f>
        <v>4.4000000000000004</v>
      </c>
      <c r="CM114" s="141"/>
      <c r="CN114" s="142"/>
      <c r="CO114" s="136">
        <f>IF(AZ114="",0,(VLOOKUP(AQ114,[7]建物1802!$E$5:$AL$3275,33,FALSE))*AZ114)</f>
        <v>0</v>
      </c>
      <c r="CP114" s="136">
        <f>IF(AZ114="",0,VLOOKUP(AQ114,[7]建物1802!$E$5:$AL$3275,30,FALSE)*AZ114)</f>
        <v>0</v>
      </c>
      <c r="CQ114" s="136">
        <f>IF(CO114="","",SQRT(CO114^2-CP114^2))</f>
        <v>0</v>
      </c>
      <c r="CR114" s="189">
        <f>IF(BO114="",0,VLOOKUP(BF114,[7]建物1802!$E$5:$AL$3275,33,FALSE)*BO114)</f>
        <v>0</v>
      </c>
      <c r="CS114" s="189">
        <f>IF(BO114="",0,VLOOKUP(BF114,[7]建物1802!$E$5:$AL$3275,30,FALSE)*BO114)</f>
        <v>0</v>
      </c>
      <c r="CT114" s="259">
        <f>IF(CR114="",0,SQRT(CR114^2-CS114^2))</f>
        <v>0</v>
      </c>
      <c r="CU114" s="14"/>
      <c r="CV114" s="14"/>
      <c r="CW114" s="216"/>
      <c r="CX114" s="8"/>
      <c r="CY114" s="197">
        <f t="shared" si="20"/>
        <v>3</v>
      </c>
      <c r="CZ114" s="197" t="str">
        <f t="shared" si="21"/>
        <v/>
      </c>
      <c r="DA114" s="10" t="str">
        <f>C96</f>
        <v>VV-F 2.0mm-2C</v>
      </c>
      <c r="DB114" s="8"/>
      <c r="DC114" s="8"/>
      <c r="DD114" s="8"/>
      <c r="DE114" s="249" t="str">
        <f>IF(COUNTIF($DA$15:DA113,DA114)&gt;0,"",DA114)</f>
        <v/>
      </c>
      <c r="DF114" s="26">
        <f>S96</f>
        <v>54.3</v>
      </c>
      <c r="DG114" s="32">
        <f t="shared" si="18"/>
        <v>0</v>
      </c>
      <c r="DH114" s="198">
        <f t="shared" si="22"/>
        <v>5</v>
      </c>
      <c r="DI114" s="199" t="str">
        <f t="shared" si="19"/>
        <v/>
      </c>
      <c r="DJ114" s="10" t="str">
        <f>AQ95</f>
        <v>Xh1-Ae</v>
      </c>
      <c r="DK114" s="10"/>
      <c r="DL114" s="10"/>
      <c r="DM114" s="8"/>
      <c r="DN114" s="249" t="str">
        <f>IF(COUNTIF($DJ$15:DJ113,DJ114)&gt;0,"",DJ114)</f>
        <v/>
      </c>
      <c r="DO114" s="200">
        <f>AZ95</f>
        <v>3</v>
      </c>
      <c r="DP114" s="32">
        <f t="shared" si="23"/>
        <v>0</v>
      </c>
      <c r="DQ114" s="8"/>
    </row>
    <row r="115" spans="1:126" ht="11.25" customHeight="1">
      <c r="A115" s="15"/>
      <c r="B115" s="23"/>
      <c r="C115" s="2378" t="str">
        <f>IF(C113="","",IF(K115="","VV-F 1.6mm-2C",K115))</f>
        <v>VV-F 1.6mm-2C</v>
      </c>
      <c r="D115" s="2379"/>
      <c r="E115" s="2379"/>
      <c r="F115" s="2379"/>
      <c r="G115" s="2379"/>
      <c r="H115" s="2379"/>
      <c r="I115" s="2379"/>
      <c r="J115" s="2380"/>
      <c r="K115" s="2313"/>
      <c r="L115" s="2314"/>
      <c r="M115" s="2314"/>
      <c r="N115" s="2314"/>
      <c r="O115" s="2314"/>
      <c r="P115" s="2314"/>
      <c r="Q115" s="2314"/>
      <c r="R115" s="2315"/>
      <c r="S115" s="2312">
        <f>IF(OR(C113="",C113="  RF"),"",INT(CB113+CB114+CF113+CF114+CD115))</f>
        <v>66</v>
      </c>
      <c r="T115" s="2312"/>
      <c r="U115" s="2312"/>
      <c r="V115" s="2312"/>
      <c r="W115" s="2306" t="str">
        <f>IF(C113="","",IF(AE115="","VV-F 1.6mm-2C",AE115))</f>
        <v>VV-F 1.6mm-2C</v>
      </c>
      <c r="X115" s="2307"/>
      <c r="Y115" s="2307"/>
      <c r="Z115" s="2307"/>
      <c r="AA115" s="2307"/>
      <c r="AB115" s="2307"/>
      <c r="AC115" s="2307"/>
      <c r="AD115" s="2308"/>
      <c r="AE115" s="2313"/>
      <c r="AF115" s="2314"/>
      <c r="AG115" s="2314"/>
      <c r="AH115" s="2314"/>
      <c r="AI115" s="2314"/>
      <c r="AJ115" s="2314"/>
      <c r="AK115" s="2314"/>
      <c r="AL115" s="2315"/>
      <c r="AM115" s="2306">
        <f>IF(OR(C113="",C113="  RF"),"",INT(CB116+CD115))</f>
        <v>33</v>
      </c>
      <c r="AN115" s="2307"/>
      <c r="AO115" s="2307"/>
      <c r="AP115" s="2308"/>
      <c r="AQ115" s="2309" t="str">
        <f>IF(OR(C113="",S113=""),"",IF(OR(AND(LEFT(C113,2)=" B",[8]非誘!$W$72="C"),AND(LEFT(C113,3)="  1",[8]非誘!$W$74="C"),AND(LEFT(C113,3)="  2",[8]非誘!$W$76="C"),AND(LEFT(C113,3)="  3",[8]非誘!$W$78="C"),[8]非誘!$W$80="C",[8]非誘!$W$81="C"),"Yd2-BHe",""))</f>
        <v/>
      </c>
      <c r="AR115" s="2310"/>
      <c r="AS115" s="2310"/>
      <c r="AT115" s="2310"/>
      <c r="AU115" s="2310"/>
      <c r="AV115" s="2310"/>
      <c r="AW115" s="2310"/>
      <c r="AX115" s="2310"/>
      <c r="AY115" s="2311"/>
      <c r="AZ115" s="2304" t="str">
        <f>IF(AQ115="","",IF(OR(C113="",C113="  RF"),"",IF(BC115&lt;&gt;"",BC115,AA113)))</f>
        <v/>
      </c>
      <c r="BA115" s="2304"/>
      <c r="BB115" s="2304"/>
      <c r="BC115" s="2305"/>
      <c r="BD115" s="2305"/>
      <c r="BE115" s="2305"/>
      <c r="BF115" s="2316" t="s">
        <v>10</v>
      </c>
      <c r="BG115" s="2317"/>
      <c r="BH115" s="2318"/>
      <c r="BI115" s="2319" t="str">
        <f>IF(OR($BW$10=0,AL111="設置しない",C113="",C113="  RF"),"",IF(OR(AND(LEFT(C113,2)=" B",[6]Top!$O$72="要"),AND(LEFT(C113,3)="  1",[6]Top!$O$74="要"),AND(LEFT(C113,3)="  2",[6]Top!$O$76="要"),AND(LEFT(C113,3)="  3",[6]Top!$O$78="要"),[6]Top!$O$80="要",[6]Top!$O$81="要",$Y$9="設置する"),"d4-30e",""))</f>
        <v>d4-30e</v>
      </c>
      <c r="BJ115" s="2320"/>
      <c r="BK115" s="2320"/>
      <c r="BL115" s="2320"/>
      <c r="BM115" s="2321"/>
      <c r="BN115" s="2319" t="str">
        <f>IF(OR($BW$10=0,AL111="設置しない",C113="",C113="  RF"),"",IF(LEFT(C113,2)="PH","",IF(BR115&lt;&gt;"",BR115,IF((1+INT(S113/110))&lt;=AA113,AA113,1+INT(S113/110)))))</f>
        <v/>
      </c>
      <c r="BO115" s="2320"/>
      <c r="BP115" s="2321"/>
      <c r="BQ115" s="31" t="s">
        <v>211</v>
      </c>
      <c r="BR115" s="2322"/>
      <c r="BS115" s="2323"/>
      <c r="BT115" s="2324"/>
      <c r="BU115" s="19"/>
      <c r="BV115" s="226"/>
      <c r="BW115" s="196"/>
      <c r="BX115" s="8"/>
      <c r="BY115" s="88" t="s">
        <v>200</v>
      </c>
      <c r="BZ115" s="222">
        <f>SUM(AZ113:BB116)+SUM(BO113:BQ116)</f>
        <v>3</v>
      </c>
      <c r="CA115" s="8"/>
      <c r="CB115" s="8"/>
      <c r="CC115" s="88" t="s">
        <v>121</v>
      </c>
      <c r="CD115" s="88">
        <f>IF($AW$8=0,0,2*($AW$8/1000-0.15-0.1)*(INT(1000*2*BW113/$AW$10)+1)*(INT(1000*2*BX113/$AW$10)+1)*4)</f>
        <v>21.599999999999998</v>
      </c>
      <c r="CE115" s="8"/>
      <c r="CF115" s="8"/>
      <c r="CG115" s="168"/>
      <c r="CH115" s="261"/>
      <c r="CI115" s="8"/>
      <c r="CJ115" s="8"/>
      <c r="CK115" s="168"/>
      <c r="CL115" s="261"/>
      <c r="CM115" s="8"/>
      <c r="CN115" s="8"/>
      <c r="CO115" s="136">
        <f>IF(AZ115="",0,VLOOKUP(AQ115,[7]建物1802!$E$5:$AL$3275,33,FALSE)*AZ115)</f>
        <v>0</v>
      </c>
      <c r="CP115" s="136">
        <f>IF(AZ115="",0,VLOOKUP(AQ115,[7]建物1802!$E$5:$AL$3275,30,FALSE)*AZ115)</f>
        <v>0</v>
      </c>
      <c r="CQ115" s="136">
        <f>IF(CO115="","",SQRT(CO115^2-CP115^2))</f>
        <v>0</v>
      </c>
      <c r="CR115" s="260"/>
      <c r="CS115" s="14"/>
      <c r="CT115" s="14"/>
      <c r="CU115" s="14"/>
      <c r="CV115" s="14"/>
      <c r="CW115" s="216"/>
      <c r="CX115" s="8"/>
      <c r="CY115" s="197">
        <f t="shared" si="20"/>
        <v>3</v>
      </c>
      <c r="CZ115" s="197" t="str">
        <f t="shared" si="21"/>
        <v/>
      </c>
      <c r="DA115" s="201" t="str">
        <f>W96</f>
        <v>VV-F 2.0mm-2C</v>
      </c>
      <c r="DB115" s="8"/>
      <c r="DC115" s="8"/>
      <c r="DD115" s="8"/>
      <c r="DE115" s="249" t="str">
        <f>IF(COUNTIF($DA$15:DA114,DA115)&gt;0,"",DA115)</f>
        <v/>
      </c>
      <c r="DF115" s="26">
        <f>AM96</f>
        <v>33.9</v>
      </c>
      <c r="DG115" s="32">
        <f t="shared" si="18"/>
        <v>0</v>
      </c>
      <c r="DH115" s="198">
        <f t="shared" si="22"/>
        <v>5</v>
      </c>
      <c r="DI115" s="198" t="str">
        <f t="shared" si="19"/>
        <v/>
      </c>
      <c r="DJ115" s="10" t="str">
        <f>AQ96</f>
        <v>Xh1-Ae</v>
      </c>
      <c r="DK115" s="10"/>
      <c r="DL115" s="10"/>
      <c r="DM115" s="8"/>
      <c r="DN115" s="8" t="str">
        <f>IF(COUNTIF($DJ$15:DJ114,DJ115)&gt;0,"",DJ115)</f>
        <v/>
      </c>
      <c r="DO115" s="200">
        <f>AZ96</f>
        <v>2</v>
      </c>
      <c r="DP115" s="32">
        <f t="shared" si="23"/>
        <v>0</v>
      </c>
      <c r="DQ115" s="8"/>
    </row>
    <row r="116" spans="1:126" ht="11.25" customHeight="1" thickBot="1">
      <c r="A116" s="15"/>
      <c r="B116" s="23"/>
      <c r="C116" s="2359" t="str">
        <f>IF(C113="","",IF(I116="","",IF(AI112="非:天井(C管)","C-19mm",IF(AI112="非:天井(G管)","G- 16mm","PF-S-16mm"))))</f>
        <v/>
      </c>
      <c r="D116" s="2360"/>
      <c r="E116" s="2360"/>
      <c r="F116" s="2360"/>
      <c r="G116" s="2360"/>
      <c r="H116" s="2360"/>
      <c r="I116" s="2335" t="str">
        <f>IF(OR(C113="",AL111="設置しない",BH111="設置しない",$BW$10=0,CH113=0,CJ113=0),"",IF(J113="直天",ROUND((BZ113+CB113),1),ROUND((CH113+CJ113),1)))</f>
        <v/>
      </c>
      <c r="J116" s="2335"/>
      <c r="K116" s="2335"/>
      <c r="L116" s="2335"/>
      <c r="M116" s="2359" t="str">
        <f>IF(C113="","",IF(S116="","",IF(BC112="誘:天井(C管)","C-19mm",IF(BC112="誘:天井(G管)","G- 16mm","PF-S-16mm"))))</f>
        <v/>
      </c>
      <c r="N116" s="2360"/>
      <c r="O116" s="2360"/>
      <c r="P116" s="2360"/>
      <c r="Q116" s="2360"/>
      <c r="R116" s="2361"/>
      <c r="S116" s="2312" t="str">
        <f>IF(OR(C113="",,AL111="設置しない",BH111="設置しない",$BW$10=0,CH116=0,CJ116=0),"",IF(J113="直天",ROUND((BZ116+CB116),1),ROUND((CH116+CJ116),1)))</f>
        <v/>
      </c>
      <c r="T116" s="2312"/>
      <c r="U116" s="2312"/>
      <c r="V116" s="2312"/>
      <c r="W116" s="2359" t="str">
        <f>IF(C113="","",IF($B$2=0,"",IF(OR(AI112="非:天井(C管)",AI112="非:床(C管)"),"C-19mm",IF(OR(AI112="非:天井(G管)",AI112="非:床(G管)"),"G-16mm",IF(AI112="非:床(CD管)","CD-16mm","PF-S-16mm")))))</f>
        <v>PF-S-16mm</v>
      </c>
      <c r="X116" s="2360"/>
      <c r="Y116" s="2360"/>
      <c r="Z116" s="2360"/>
      <c r="AA116" s="2360"/>
      <c r="AB116" s="2361"/>
      <c r="AC116" s="2362">
        <f>IF(OR(C113="",AL111="設置しない",BH111="設置しない"),"",ROUND(CL113,1))</f>
        <v>4.4000000000000004</v>
      </c>
      <c r="AD116" s="2312"/>
      <c r="AE116" s="2312"/>
      <c r="AF116" s="2312"/>
      <c r="AG116" s="2333" t="str">
        <f>IF(C113="","",IF($B$2=0,"",IF(BC112="誘:天井(C管)","C-19mm",IF(BC112="誘:天井(G管)","G-16mm","PF-S-16mm"))))</f>
        <v>PF-S-16mm</v>
      </c>
      <c r="AH116" s="2333"/>
      <c r="AI116" s="2333"/>
      <c r="AJ116" s="2333"/>
      <c r="AK116" s="2333"/>
      <c r="AL116" s="2333"/>
      <c r="AM116" s="2334">
        <f>IF(OR(C113="",AL111="設置しない",BH111="設置しない"),"",ROUND((CL116+CN116),1))</f>
        <v>5.7</v>
      </c>
      <c r="AN116" s="2335"/>
      <c r="AO116" s="2335"/>
      <c r="AP116" s="2335"/>
      <c r="AQ116" s="2291" t="str">
        <f>IF(C113="","",IF(OR(AND(LEFT(C113,2)=" B",[6]Top!$AA$72="C"),AND(LEFT(C113,3)="  1",[6]Top!$AA$73="C"),AND(LEFT(C113,3)="  2",[6]Top!$AA$75="C"),AND(LEFT(C113,3)="  3",[6]Top!$AA$77="C"),[6]Top!$AA$79="C",[6]Top!$AA$81="C"),"Yd2-Ce",""))</f>
        <v>Yd2-Ce</v>
      </c>
      <c r="AR116" s="2292"/>
      <c r="AS116" s="2292"/>
      <c r="AT116" s="2292"/>
      <c r="AU116" s="2292"/>
      <c r="AV116" s="2292"/>
      <c r="AW116" s="2292"/>
      <c r="AX116" s="2292"/>
      <c r="AY116" s="2293"/>
      <c r="AZ116" s="2294">
        <f>IF(OR(C113="",C113="  RF",AQ116=""),"",IF(BC116&lt;&gt;"",BC116,1+INT((BW113+BX113)/20)))</f>
        <v>1</v>
      </c>
      <c r="BA116" s="2295"/>
      <c r="BB116" s="2296"/>
      <c r="BC116" s="2287"/>
      <c r="BD116" s="2287"/>
      <c r="BE116" s="2287"/>
      <c r="BF116" s="2363" t="s">
        <v>127</v>
      </c>
      <c r="BG116" s="2364"/>
      <c r="BH116" s="2365"/>
      <c r="BI116" s="2335" t="str">
        <f>IF(OR($BW$10=0,AY111="設置しない",C113="",C113="  RF"),"",IF(OR(AND(LEFT(C113,2)=" B",[6]Top!$O$72="要"),AND(LEFT(C113,3)="  1",[6]Top!$O$74="要"),AND(LEFT(C113,3)="  2",[6]Top!$O$76="要"),AND(LEFT(C113,3)="  3",[6]Top!$O$78="要"),[6]Top!$O$80="要",[6]Top!$O$81="要",$Y$10="設置する"),"d4-13e",""))</f>
        <v>d4-13e</v>
      </c>
      <c r="BJ116" s="2335"/>
      <c r="BK116" s="2335"/>
      <c r="BL116" s="2335"/>
      <c r="BM116" s="2335"/>
      <c r="BN116" s="2335">
        <f>IF(OR($BW$10=0,BH111="設置しない",C113="",C113="  RF"),"",IF(BR116&lt;&gt;"",BR116,INT(AD113*1.2)))</f>
        <v>9</v>
      </c>
      <c r="BO116" s="2335"/>
      <c r="BP116" s="2335"/>
      <c r="BQ116" s="31" t="s">
        <v>211</v>
      </c>
      <c r="BR116" s="2350"/>
      <c r="BS116" s="2351"/>
      <c r="BT116" s="2352"/>
      <c r="BU116" s="19"/>
      <c r="BV116" s="8"/>
      <c r="BW116" s="8"/>
      <c r="BX116" s="8"/>
      <c r="BY116" s="88" t="s">
        <v>199</v>
      </c>
      <c r="BZ116" s="151">
        <f>IF(AL113="",0,AL113*SQRT(N113/BZ115))</f>
        <v>6.831300510639732</v>
      </c>
      <c r="CA116" s="88" t="s">
        <v>198</v>
      </c>
      <c r="CB116" s="151">
        <f>IF(BZ115=0,0,(BZ115/3)*BW114)</f>
        <v>11.5</v>
      </c>
      <c r="CC116" s="88" t="s">
        <v>199</v>
      </c>
      <c r="CD116" s="151">
        <f>IF(F113=0,0,F113-0.25-$Y$7/1000)</f>
        <v>1.95</v>
      </c>
      <c r="CE116" s="88" t="s">
        <v>198</v>
      </c>
      <c r="CF116" s="151">
        <f>IF(F113=0,0,(2*(BZ115-BO113)-1)*$AN$7/1000+(2*BO113-1)*(F113-0.75))</f>
        <v>5.65</v>
      </c>
      <c r="CG116" s="88" t="s">
        <v>199</v>
      </c>
      <c r="CH116" s="151">
        <f>IF(BC112="誘:天井ケーブル",0,BZ116)</f>
        <v>0</v>
      </c>
      <c r="CI116" s="88" t="s">
        <v>198</v>
      </c>
      <c r="CJ116" s="151">
        <f>IF(BC112="誘:天井ケーブル",0,CB116)</f>
        <v>0</v>
      </c>
      <c r="CK116" s="88" t="s">
        <v>199</v>
      </c>
      <c r="CL116" s="259">
        <f>IF(F113=0,0,IF(J113="直天",AL113*(F113-$Y$7/1000),AL113*(J113+0.1-$Y$7/1000)))</f>
        <v>2.2000000000000002</v>
      </c>
      <c r="CM116" s="88" t="s">
        <v>198</v>
      </c>
      <c r="CN116" s="151">
        <f>IF(F113=0,0,IF(J113="直天",BO113*(2*BO113-1)*(F113-0.5),BO113*(2*BO113-1)*(J113-0.4)))</f>
        <v>3.5</v>
      </c>
      <c r="CO116" s="136">
        <f>IF(AZ116="",0,VLOOKUP(AQ116,[7]建物1802!$E$5:$AL$3275,33,FALSE)*AZ116)</f>
        <v>5.29</v>
      </c>
      <c r="CP116" s="136">
        <f>IF(AZ116="",0,VLOOKUP(AQ116,[7]建物1802!$E$5:$AL$3275,30,FALSE)*AZ116)</f>
        <v>2.6</v>
      </c>
      <c r="CQ116" s="136">
        <f>IF(CO116="","",SQRT(CO116^2-CP116^2))</f>
        <v>4.6069621227008151</v>
      </c>
      <c r="CR116" s="26"/>
      <c r="CS116" s="26"/>
      <c r="CT116" s="26"/>
      <c r="CU116" s="26"/>
      <c r="CV116" s="26"/>
      <c r="CW116" s="218"/>
      <c r="CX116" s="8"/>
      <c r="CY116" s="197">
        <f t="shared" si="20"/>
        <v>3</v>
      </c>
      <c r="CZ116" s="197" t="str">
        <f t="shared" si="21"/>
        <v/>
      </c>
      <c r="DA116" s="10" t="str">
        <f>C97</f>
        <v>VV-F 1.6mm-2C</v>
      </c>
      <c r="DB116" s="8"/>
      <c r="DC116" s="8"/>
      <c r="DD116" s="8"/>
      <c r="DE116" s="249" t="str">
        <f>IF(COUNTIF($DA$15:DA115,DA116)&gt;0,"",DA116)</f>
        <v/>
      </c>
      <c r="DF116" s="26">
        <f>S97</f>
        <v>312</v>
      </c>
      <c r="DG116" s="32">
        <f t="shared" si="18"/>
        <v>0</v>
      </c>
      <c r="DH116" s="198">
        <f t="shared" si="22"/>
        <v>5</v>
      </c>
      <c r="DI116" s="198" t="str">
        <f t="shared" si="19"/>
        <v/>
      </c>
      <c r="DJ116" s="10" t="str">
        <f>AQ97</f>
        <v/>
      </c>
      <c r="DK116" s="10"/>
      <c r="DL116" s="10"/>
      <c r="DM116" s="8"/>
      <c r="DN116" s="8" t="str">
        <f>IF(COUNTIF($DJ$15:DJ115,DJ116)&gt;0,"",DJ116)</f>
        <v/>
      </c>
      <c r="DO116" s="200" t="str">
        <f>AZ97</f>
        <v/>
      </c>
      <c r="DP116" s="32">
        <f t="shared" si="23"/>
        <v>0</v>
      </c>
      <c r="DQ116" s="8"/>
    </row>
    <row r="117" spans="1:126" ht="11.25" customHeight="1" thickBot="1">
      <c r="A117" s="15"/>
      <c r="B117" s="23"/>
      <c r="C117" s="2288" t="s">
        <v>112</v>
      </c>
      <c r="D117" s="2289"/>
      <c r="E117" s="2289"/>
      <c r="F117" s="2289"/>
      <c r="G117" s="2289"/>
      <c r="H117" s="2289"/>
      <c r="I117" s="2290"/>
      <c r="J117" s="2356" t="str">
        <f>[5]照差!$I$132</f>
        <v/>
      </c>
      <c r="K117" s="2357"/>
      <c r="L117" s="2358"/>
      <c r="M117" s="2375" t="str">
        <f>[5]照差!$M$132</f>
        <v/>
      </c>
      <c r="N117" s="2376"/>
      <c r="O117" s="2376"/>
      <c r="P117" s="2376"/>
      <c r="Q117" s="2376"/>
      <c r="R117" s="2376"/>
      <c r="S117" s="2376"/>
      <c r="T117" s="2376"/>
      <c r="U117" s="2377"/>
      <c r="V117" s="2275" t="s">
        <v>217</v>
      </c>
      <c r="W117" s="2276"/>
      <c r="X117" s="2276"/>
      <c r="Y117" s="2276"/>
      <c r="Z117" s="2277"/>
      <c r="AA117" s="2278" t="str">
        <f>[6]Top!$I$56</f>
        <v/>
      </c>
      <c r="AB117" s="2279"/>
      <c r="AC117" s="2280" t="s">
        <v>216</v>
      </c>
      <c r="AD117" s="2280"/>
      <c r="AE117" s="2280"/>
      <c r="AF117" s="2280"/>
      <c r="AG117" s="2280"/>
      <c r="AH117" s="2280"/>
      <c r="AI117" s="2280"/>
      <c r="AJ117" s="2280"/>
      <c r="AK117" s="2280"/>
      <c r="AL117" s="2356" t="str">
        <f>IF($BW$10=0,"設置しない",IF(AS117="","設置する",AS117))</f>
        <v>設置する</v>
      </c>
      <c r="AM117" s="2357"/>
      <c r="AN117" s="2357"/>
      <c r="AO117" s="2357"/>
      <c r="AP117" s="2357"/>
      <c r="AQ117" s="2358"/>
      <c r="AR117" s="265" t="s">
        <v>211</v>
      </c>
      <c r="AS117" s="2284"/>
      <c r="AT117" s="2285"/>
      <c r="AU117" s="2285"/>
      <c r="AV117" s="2285"/>
      <c r="AW117" s="2285"/>
      <c r="AX117" s="2286"/>
      <c r="AY117" s="2280" t="s">
        <v>215</v>
      </c>
      <c r="AZ117" s="2280"/>
      <c r="BA117" s="2280"/>
      <c r="BB117" s="2280"/>
      <c r="BC117" s="2280"/>
      <c r="BD117" s="2280"/>
      <c r="BE117" s="2280"/>
      <c r="BF117" s="2280"/>
      <c r="BG117" s="2280"/>
      <c r="BH117" s="2356" t="str">
        <f>IF($BW$10=0,"設置しない",IF(BO117="","設置する",BO117))</f>
        <v>設置する</v>
      </c>
      <c r="BI117" s="2357"/>
      <c r="BJ117" s="2357"/>
      <c r="BK117" s="2357"/>
      <c r="BL117" s="2357"/>
      <c r="BM117" s="2358"/>
      <c r="BN117" s="265" t="s">
        <v>211</v>
      </c>
      <c r="BO117" s="2284"/>
      <c r="BP117" s="2285"/>
      <c r="BQ117" s="2285"/>
      <c r="BR117" s="2285"/>
      <c r="BS117" s="2285"/>
      <c r="BT117" s="2286"/>
      <c r="BU117" s="19"/>
      <c r="BV117" s="8"/>
      <c r="BW117" s="8"/>
      <c r="BX117" s="8"/>
      <c r="BY117" s="9"/>
      <c r="BZ117" s="9"/>
      <c r="CA117" s="9"/>
      <c r="CB117" s="9"/>
      <c r="CC117" s="9"/>
      <c r="CD117" s="9"/>
      <c r="CE117" s="9"/>
      <c r="CF117" s="9"/>
      <c r="CG117" s="9"/>
      <c r="CH117" s="9"/>
      <c r="CI117" s="9"/>
      <c r="CJ117" s="9"/>
      <c r="CK117" s="9"/>
      <c r="CL117" s="9"/>
      <c r="CM117" s="9"/>
      <c r="CN117" s="9"/>
      <c r="CO117" s="254"/>
      <c r="CP117" s="254"/>
      <c r="CQ117" s="254"/>
      <c r="CR117" s="14"/>
      <c r="CS117" s="14"/>
      <c r="CT117" s="14"/>
      <c r="CU117" s="14"/>
      <c r="CV117" s="14"/>
      <c r="CW117" s="216"/>
      <c r="CX117" s="8"/>
      <c r="CY117" s="197">
        <f t="shared" si="20"/>
        <v>3</v>
      </c>
      <c r="CZ117" s="197" t="str">
        <f t="shared" si="21"/>
        <v/>
      </c>
      <c r="DA117" s="201" t="str">
        <f>W97</f>
        <v>VV-F 1.6mm-2C</v>
      </c>
      <c r="DB117" s="8"/>
      <c r="DC117" s="8"/>
      <c r="DD117" s="8"/>
      <c r="DE117" s="249" t="str">
        <f>IF(COUNTIF($DA$15:DA116,DA117)&gt;0,"",DA117)</f>
        <v/>
      </c>
      <c r="DF117" s="26">
        <f>AM97</f>
        <v>243</v>
      </c>
      <c r="DG117" s="32">
        <f t="shared" si="18"/>
        <v>0</v>
      </c>
      <c r="DH117" s="198">
        <f t="shared" si="22"/>
        <v>5</v>
      </c>
      <c r="DI117" s="124" t="str">
        <f t="shared" si="19"/>
        <v/>
      </c>
      <c r="DJ117" s="11" t="str">
        <f>AQ98</f>
        <v>Yd2-Ce</v>
      </c>
      <c r="DK117" s="11"/>
      <c r="DL117" s="11"/>
      <c r="DM117" s="9"/>
      <c r="DN117" s="9" t="str">
        <f>IF(COUNTIF($DJ$15:DJ116,DJ117)&gt;0,"",DJ117)</f>
        <v/>
      </c>
      <c r="DO117" s="101">
        <f>AZ98</f>
        <v>2</v>
      </c>
      <c r="DP117" s="32">
        <f t="shared" si="23"/>
        <v>0</v>
      </c>
      <c r="DQ117" s="8"/>
    </row>
    <row r="118" spans="1:126" ht="11.25" customHeight="1" thickBot="1">
      <c r="A118" s="15"/>
      <c r="B118" s="23"/>
      <c r="C118" s="2300" t="s">
        <v>214</v>
      </c>
      <c r="D118" s="2301"/>
      <c r="E118" s="2301"/>
      <c r="F118" s="2301"/>
      <c r="G118" s="2301"/>
      <c r="H118" s="2301"/>
      <c r="I118" s="2302"/>
      <c r="J118" s="2297" t="str">
        <f>[5]照差!$K$133</f>
        <v/>
      </c>
      <c r="K118" s="2298"/>
      <c r="L118" s="2298"/>
      <c r="M118" s="2298"/>
      <c r="N118" s="2299" t="s">
        <v>213</v>
      </c>
      <c r="O118" s="2299"/>
      <c r="P118" s="2299"/>
      <c r="Q118" s="2299"/>
      <c r="R118" s="2299"/>
      <c r="S118" s="2299"/>
      <c r="T118" s="2299"/>
      <c r="U118" s="2299"/>
      <c r="V118" s="2366" t="str">
        <f>[5]照差!$W$133</f>
        <v/>
      </c>
      <c r="W118" s="2366"/>
      <c r="X118" s="2366"/>
      <c r="Y118" s="2299" t="s">
        <v>135</v>
      </c>
      <c r="Z118" s="2299"/>
      <c r="AA118" s="2299"/>
      <c r="AB118" s="2299"/>
      <c r="AC118" s="2299"/>
      <c r="AD118" s="2299" t="s">
        <v>18</v>
      </c>
      <c r="AE118" s="2299"/>
      <c r="AF118" s="2299"/>
      <c r="AG118" s="2299"/>
      <c r="AH118" s="2299"/>
      <c r="AI118" s="2337" t="str">
        <f>IF($B$2=0,"",IF(AQ118="","非:天井ケーブル",AQ118))</f>
        <v>非:天井ケーブル</v>
      </c>
      <c r="AJ118" s="2337"/>
      <c r="AK118" s="2337"/>
      <c r="AL118" s="2337"/>
      <c r="AM118" s="2337"/>
      <c r="AN118" s="2337"/>
      <c r="AO118" s="2337"/>
      <c r="AP118" s="175" t="s">
        <v>211</v>
      </c>
      <c r="AQ118" s="2338"/>
      <c r="AR118" s="2338"/>
      <c r="AS118" s="2338"/>
      <c r="AT118" s="2338"/>
      <c r="AU118" s="2338"/>
      <c r="AV118" s="2338"/>
      <c r="AW118" s="2338"/>
      <c r="AX118" s="2299" t="s">
        <v>212</v>
      </c>
      <c r="AY118" s="2299"/>
      <c r="AZ118" s="2299"/>
      <c r="BA118" s="2299"/>
      <c r="BB118" s="2299"/>
      <c r="BC118" s="2337" t="str">
        <f>IF($B$2=0,"",IF(BK118="","誘:天井ケーブル",BK118))</f>
        <v>誘:天井ケーブル</v>
      </c>
      <c r="BD118" s="2337"/>
      <c r="BE118" s="2337"/>
      <c r="BF118" s="2337"/>
      <c r="BG118" s="2337"/>
      <c r="BH118" s="2337"/>
      <c r="BI118" s="2337"/>
      <c r="BJ118" s="175" t="s">
        <v>211</v>
      </c>
      <c r="BK118" s="2338"/>
      <c r="BL118" s="2338"/>
      <c r="BM118" s="2338"/>
      <c r="BN118" s="2338"/>
      <c r="BO118" s="2338"/>
      <c r="BP118" s="2338"/>
      <c r="BQ118" s="2338"/>
      <c r="BR118" s="2299"/>
      <c r="BS118" s="2299"/>
      <c r="BT118" s="2299"/>
      <c r="BU118" s="19"/>
      <c r="BV118" s="8">
        <v>132</v>
      </c>
      <c r="BW118" s="88" t="s">
        <v>210</v>
      </c>
      <c r="BX118" s="88" t="s">
        <v>209</v>
      </c>
      <c r="BY118" s="2336" t="s">
        <v>126</v>
      </c>
      <c r="BZ118" s="2336"/>
      <c r="CA118" s="2336"/>
      <c r="CB118" s="2336"/>
      <c r="CC118" s="2336" t="s">
        <v>125</v>
      </c>
      <c r="CD118" s="2336"/>
      <c r="CE118" s="2336"/>
      <c r="CF118" s="2336"/>
      <c r="CG118" s="2336" t="s">
        <v>124</v>
      </c>
      <c r="CH118" s="2336"/>
      <c r="CI118" s="2336"/>
      <c r="CJ118" s="2336"/>
      <c r="CK118" s="2336" t="s">
        <v>123</v>
      </c>
      <c r="CL118" s="2336"/>
      <c r="CM118" s="2336"/>
      <c r="CN118" s="2336"/>
      <c r="CO118" s="88" t="s">
        <v>208</v>
      </c>
      <c r="CP118" s="88" t="s">
        <v>207</v>
      </c>
      <c r="CQ118" s="88" t="s">
        <v>206</v>
      </c>
      <c r="CR118" s="88" t="s">
        <v>208</v>
      </c>
      <c r="CS118" s="88" t="s">
        <v>207</v>
      </c>
      <c r="CT118" s="221" t="s">
        <v>206</v>
      </c>
      <c r="CU118" s="264">
        <f>IF(BW119="","",SUM(CP119:CP122)+CS119+CS120)</f>
        <v>0</v>
      </c>
      <c r="CV118" s="264" t="e">
        <f>IF(BW119="","",SUM(CQ119:CQ122)+CT119+CT120)</f>
        <v>#VALUE!</v>
      </c>
      <c r="CW118" s="9"/>
      <c r="CX118" s="8"/>
      <c r="CY118" s="197">
        <f t="shared" si="20"/>
        <v>3</v>
      </c>
      <c r="CZ118" s="197" t="str">
        <f t="shared" si="21"/>
        <v/>
      </c>
      <c r="DA118" s="10" t="str">
        <f>C98</f>
        <v/>
      </c>
      <c r="DB118" s="8"/>
      <c r="DC118" s="8"/>
      <c r="DD118" s="8"/>
      <c r="DE118" s="249" t="str">
        <f>IF(COUNTIF($DA$15:DA117,DA118)&gt;0,"",DA118)</f>
        <v/>
      </c>
      <c r="DF118" s="26" t="str">
        <f>I98</f>
        <v/>
      </c>
      <c r="DG118" s="32">
        <f t="shared" si="18"/>
        <v>0</v>
      </c>
      <c r="DH118" s="198">
        <f t="shared" si="22"/>
        <v>5</v>
      </c>
      <c r="DI118" s="124" t="str">
        <f t="shared" si="19"/>
        <v/>
      </c>
      <c r="DJ118" s="11" t="str">
        <f>BF95</f>
        <v>Ya1-Ce</v>
      </c>
      <c r="DK118" s="11"/>
      <c r="DL118" s="11"/>
      <c r="DM118" s="9"/>
      <c r="DN118" s="9" t="str">
        <f>IF(COUNTIF($DJ$15:DJ117,DJ118)&gt;0,"",DJ118)</f>
        <v/>
      </c>
      <c r="DO118" s="101">
        <f>BO95</f>
        <v>2</v>
      </c>
      <c r="DP118" s="13">
        <f t="shared" si="23"/>
        <v>0</v>
      </c>
      <c r="DQ118" s="8"/>
    </row>
    <row r="119" spans="1:126" ht="11.25" customHeight="1">
      <c r="A119" s="15"/>
      <c r="B119" s="23"/>
      <c r="C119" s="2367" t="str">
        <f>[5]照差!$C$134</f>
        <v/>
      </c>
      <c r="D119" s="2368"/>
      <c r="E119" s="2369"/>
      <c r="F119" s="2370" t="str">
        <f>[5]照差!$G$134</f>
        <v/>
      </c>
      <c r="G119" s="2371"/>
      <c r="H119" s="2371"/>
      <c r="I119" s="2372"/>
      <c r="J119" s="2370" t="str">
        <f>[5]照差!$J$134</f>
        <v/>
      </c>
      <c r="K119" s="2373"/>
      <c r="L119" s="2373"/>
      <c r="M119" s="2374"/>
      <c r="N119" s="2330" t="str">
        <f>[5]照差!$M$134</f>
        <v/>
      </c>
      <c r="O119" s="2331"/>
      <c r="P119" s="2331"/>
      <c r="Q119" s="2331"/>
      <c r="R119" s="2332"/>
      <c r="S119" s="2330" t="str">
        <f>[5]照差!$Q$134</f>
        <v/>
      </c>
      <c r="T119" s="2331"/>
      <c r="U119" s="2331"/>
      <c r="V119" s="2332"/>
      <c r="W119" s="2330" t="str">
        <f>[5]照差!$U$134</f>
        <v/>
      </c>
      <c r="X119" s="2331"/>
      <c r="Y119" s="2331"/>
      <c r="Z119" s="2332"/>
      <c r="AA119" s="2340" t="str">
        <f>[5]照差!$Y$134</f>
        <v/>
      </c>
      <c r="AB119" s="2341"/>
      <c r="AC119" s="2342"/>
      <c r="AD119" s="2343" t="str">
        <f>[5]照差!$AB$134</f>
        <v/>
      </c>
      <c r="AE119" s="2344"/>
      <c r="AF119" s="2345"/>
      <c r="AG119" s="2346" t="str">
        <f>IF(OR(C119="",C119="  RF"),"",2+INT(N119/1000))</f>
        <v/>
      </c>
      <c r="AH119" s="2346"/>
      <c r="AI119" s="2346"/>
      <c r="AJ119" s="2346"/>
      <c r="AK119" s="2346"/>
      <c r="AL119" s="2346" t="str">
        <f>IF(OR(C119="",C119="  RF"),"",1+INT(N119/500))</f>
        <v/>
      </c>
      <c r="AM119" s="2346"/>
      <c r="AN119" s="2346"/>
      <c r="AO119" s="2346"/>
      <c r="AP119" s="2346"/>
      <c r="AQ119" s="2347" t="str">
        <f>IF(OR(C119="",AL117="設置しない"),"",IF(OR(AND(LEFT($C$18,2)=" B",[6]Top!$U$72&lt;&gt;""),AND(LEFT($C$18,3)="  1",[6]Top!$U$73&lt;&gt;""),AND(LEFT($C$18,3)="  2",[6]Top!$U$75&lt;&gt;""),AND(LEFT($C$18,3)="  3",[6]Top!$U$77&lt;&gt;""),[6]Top!$U$79&lt;&gt;"",[6]Top!$U$81&lt;&gt;""),"Xh1-Ae",IF(OR(AND(LEFT($C$18,2)=" B",[6]Top!$U$72="BL"),AND(LEFT($C$18,3)="  1",[6]Top!$U$73="BL"),AND(LEFT($C$18,3)="  2",[6]Top!$U$75="BL"),AND(LEFT($C$18,3)="  3",[6]Top!$U$77="BL"),[6]Top!$U$79="BL",[6]Top!$U$81="BL"),"Xh1-BLe","")))</f>
        <v/>
      </c>
      <c r="AR119" s="2348"/>
      <c r="AS119" s="2348"/>
      <c r="AT119" s="2348"/>
      <c r="AU119" s="2348"/>
      <c r="AV119" s="2348"/>
      <c r="AW119" s="2348"/>
      <c r="AX119" s="2348"/>
      <c r="AY119" s="2349"/>
      <c r="AZ119" s="2353" t="str">
        <f>IF(OR(N119="",AQ119=""),"",IF(BC119&lt;&gt;"",BC119,1+INT(N119/500)))</f>
        <v/>
      </c>
      <c r="BA119" s="2354"/>
      <c r="BB119" s="2355"/>
      <c r="BC119" s="2305"/>
      <c r="BD119" s="2305"/>
      <c r="BE119" s="2305"/>
      <c r="BF119" s="2281" t="str">
        <f>IF(C119="","",IF(OR(AND(LEFT(C119,2)=" B",[6]Top!$AD$72="要"),AND(LEFT(C119,3)="  1",[6]Top!$AD$73="要"),AND(LEFT(C119,3)="  2",[6]Top!$AD$75="要"),AND(LEFT(C119,3)="  3",[6]Top!$AD$77="要"),[6]Top!$AD$79="C",[6]Top!$AD$81="要"),"Ya1-Ce",""))</f>
        <v/>
      </c>
      <c r="BG119" s="2281"/>
      <c r="BH119" s="2281"/>
      <c r="BI119" s="2281"/>
      <c r="BJ119" s="2281"/>
      <c r="BK119" s="2281"/>
      <c r="BL119" s="2281"/>
      <c r="BM119" s="2281"/>
      <c r="BN119" s="2281"/>
      <c r="BO119" s="2304" t="str">
        <f>IF(OR(C119="",C119="  RF"),"",IF(BR119&lt;&gt;"",BR119,1+INT((BW119+BX119)/20)))</f>
        <v/>
      </c>
      <c r="BP119" s="2304"/>
      <c r="BQ119" s="2304"/>
      <c r="BR119" s="2339"/>
      <c r="BS119" s="2339"/>
      <c r="BT119" s="2339"/>
      <c r="BU119" s="19"/>
      <c r="BV119" s="8">
        <v>17</v>
      </c>
      <c r="BW119" s="98">
        <f>IF(OR(C119="",C119="  RF"),0,SQRT(N119*J118)/2)</f>
        <v>0</v>
      </c>
      <c r="BX119" s="98">
        <f>IF(OR(C119="",C119="  RF"),0,SQRT(N119/J118)/2)</f>
        <v>0</v>
      </c>
      <c r="BY119" s="88" t="s">
        <v>204</v>
      </c>
      <c r="BZ119" s="92">
        <f>IF(OR($BW$10=0,AL117="設置しない",C119="  RF",C119=""),0,IF(LEFT(C119,2)&lt;&gt;"PH",AG119*BW120/2,BW120))</f>
        <v>0</v>
      </c>
      <c r="CA119" s="88" t="s">
        <v>205</v>
      </c>
      <c r="CB119" s="88">
        <f>IF(OR($BW$10=0,AL117="設置しない",C119="  RF",C119=""),0,IF(LEFT(C119,2)="PH",0,(BS121-1)*SQRT(S119/BS121)))</f>
        <v>0</v>
      </c>
      <c r="CC119" s="88" t="s">
        <v>204</v>
      </c>
      <c r="CD119" s="262" t="e">
        <f>IF(OR($BW$10=0,AL117="設置しない",F119=0),0,AG119*(F119-0.1-($Y$7-$AN$8)/1000))</f>
        <v>#VALUE!</v>
      </c>
      <c r="CE119" s="88" t="s">
        <v>205</v>
      </c>
      <c r="CF119" s="88">
        <f>IF(OR($BW$10=0,AL117="設置しない",LEFT(C119,2)="PH",C119="  RF",C119=""),0,(2*BS121-1)*$AN$7/1000)</f>
        <v>0</v>
      </c>
      <c r="CG119" s="88" t="s">
        <v>204</v>
      </c>
      <c r="CH119" s="92">
        <f>IF(OR($BW$10=0,AL117="設置しない",AI118="非:天井ケーブル"),0,BZ119)</f>
        <v>0</v>
      </c>
      <c r="CI119" s="88" t="s">
        <v>205</v>
      </c>
      <c r="CJ119" s="88">
        <f>IF(OR($BW$10=0,AL117="設置しない",AI118="非:天井ケーブル"),0,CB119)</f>
        <v>0</v>
      </c>
      <c r="CK119" s="88" t="s">
        <v>204</v>
      </c>
      <c r="CL119" s="92">
        <f>IF(OR($BW$10=0,AL117="設置しない",C119="  RF",C119=""),0,IF(J119="直天",AG119*(F119-$Y$7/1000),AG119*(J119+0.1-$Y$7/1000)))</f>
        <v>0</v>
      </c>
      <c r="CM119" s="220"/>
      <c r="CN119" s="219"/>
      <c r="CO119" s="134">
        <f>IF(AZ119="",0,VLOOKUP(AQ119,[7]建物1802!$E$5:$AL$3275,33,FALSE)*AZ119)</f>
        <v>0</v>
      </c>
      <c r="CP119" s="136">
        <f>IF(AZ119="",0,VLOOKUP(AQ119,[7]建物1802!$E$5:$AL$3275,30,FALSE)*AZ119)</f>
        <v>0</v>
      </c>
      <c r="CQ119" s="136">
        <f>IF(CO119="","",SQRT(CO119^2-CP119^2))</f>
        <v>0</v>
      </c>
      <c r="CR119" s="189">
        <f>IF(BO119="",0,VLOOKUP(BF119,[7]建物1802!$E$5:$AL$3275,33,FALSE)*BO119)</f>
        <v>0</v>
      </c>
      <c r="CS119" s="189">
        <f>IF(BO119="",0,VLOOKUP(BF119,[7]建物1802!$E$5:$AL$3275,30,FALSE)*BO119)</f>
        <v>0</v>
      </c>
      <c r="CT119" s="259">
        <f>IF(CR119="",0,SQRT(CR119^2-CS119^2))</f>
        <v>0</v>
      </c>
      <c r="CU119" s="14"/>
      <c r="CV119" s="14"/>
      <c r="CW119" s="216"/>
      <c r="CX119" s="8"/>
      <c r="CY119" s="197">
        <f t="shared" si="20"/>
        <v>3</v>
      </c>
      <c r="CZ119" s="197" t="str">
        <f t="shared" si="21"/>
        <v/>
      </c>
      <c r="DA119" s="201" t="str">
        <f>M98</f>
        <v/>
      </c>
      <c r="DB119" s="8"/>
      <c r="DC119" s="8"/>
      <c r="DD119" s="8"/>
      <c r="DE119" s="249" t="str">
        <f>IF(COUNTIF($DA$15:DA118,DA119)&gt;0,"",DA119)</f>
        <v/>
      </c>
      <c r="DF119" s="26" t="str">
        <f>S98</f>
        <v/>
      </c>
      <c r="DG119" s="32">
        <f t="shared" si="18"/>
        <v>0</v>
      </c>
      <c r="DH119" s="198">
        <f t="shared" si="22"/>
        <v>5</v>
      </c>
      <c r="DI119" s="124" t="str">
        <f t="shared" si="19"/>
        <v/>
      </c>
      <c r="DJ119" s="11" t="str">
        <f>BF96</f>
        <v/>
      </c>
      <c r="DK119" s="11"/>
      <c r="DL119" s="11"/>
      <c r="DM119" s="9"/>
      <c r="DN119" s="9" t="str">
        <f>IF(COUNTIF($DJ$15:DJ118,DJ119)&gt;0,"",DJ119)</f>
        <v/>
      </c>
      <c r="DO119" s="101" t="str">
        <f>BO96</f>
        <v/>
      </c>
      <c r="DP119" s="13">
        <f t="shared" si="23"/>
        <v>0</v>
      </c>
      <c r="DQ119" s="9"/>
    </row>
    <row r="120" spans="1:126" ht="11.25" customHeight="1">
      <c r="A120" s="15">
        <v>17</v>
      </c>
      <c r="B120" s="227"/>
      <c r="C120" s="2378" t="str">
        <f>IF(C119="","",IF(K120="","VV-F 2.0mm-2C",K120))</f>
        <v/>
      </c>
      <c r="D120" s="2379"/>
      <c r="E120" s="2379"/>
      <c r="F120" s="2379"/>
      <c r="G120" s="2379"/>
      <c r="H120" s="2379"/>
      <c r="I120" s="2379"/>
      <c r="J120" s="2380"/>
      <c r="K120" s="2313"/>
      <c r="L120" s="2314"/>
      <c r="M120" s="2314"/>
      <c r="N120" s="2314"/>
      <c r="O120" s="2314"/>
      <c r="P120" s="2314"/>
      <c r="Q120" s="2314"/>
      <c r="R120" s="2315"/>
      <c r="S120" s="2312" t="str">
        <f>IF(OR(C119="",AL117="設置しない",BH117="設置しない"),"",ROUND((BZ119+CD119),1))</f>
        <v/>
      </c>
      <c r="T120" s="2312"/>
      <c r="U120" s="2312"/>
      <c r="V120" s="2312"/>
      <c r="W120" s="2306" t="str">
        <f>IF(C119="","",IF(AE120="","VV-F 2.0mm-2C",AE120))</f>
        <v/>
      </c>
      <c r="X120" s="2307"/>
      <c r="Y120" s="2307"/>
      <c r="Z120" s="2307"/>
      <c r="AA120" s="2307"/>
      <c r="AB120" s="2307"/>
      <c r="AC120" s="2307"/>
      <c r="AD120" s="2308"/>
      <c r="AE120" s="2313"/>
      <c r="AF120" s="2314"/>
      <c r="AG120" s="2314"/>
      <c r="AH120" s="2314"/>
      <c r="AI120" s="2314"/>
      <c r="AJ120" s="2314"/>
      <c r="AK120" s="2314"/>
      <c r="AL120" s="2315"/>
      <c r="AM120" s="2312" t="str">
        <f>IF(OR(C119="",,AL117="設置しない",BH117="設置しない"),"",ROUND(CE122,1))</f>
        <v/>
      </c>
      <c r="AN120" s="2312"/>
      <c r="AO120" s="2312"/>
      <c r="AP120" s="2312"/>
      <c r="AQ120" s="2347" t="str">
        <f>IF(OR(C119="",AL117="設置しない"),"",IF(OR(AND(LEFT($C$18,2)=" B",[6]Top!$U$72&lt;&gt;""),AND(LEFT($C$18,3)="  1",[6]Top!$U$73&lt;&gt;""),AND(LEFT($C$18,3)="  2",[6]Top!$U$75&lt;&gt;""),AND(LEFT($C$18,3)="  3",[6]Top!$U$77&lt;&gt;""),[6]Top!$U$79&lt;&gt;"",[6]Top!$U$81&lt;&gt;""),"Xh1-Ae",IF(OR(AND(LEFT($C$18,2)=" B",[6]Top!$U$72="BL"),AND(LEFT($C$18,3)="  1",[6]Top!$U$73="BL"),AND(LEFT($C$18,3)="  2",[6]Top!$U$75="BL"),AND(LEFT($C$18,3)="  3",[6]Top!$U$77="BL"),[6]Top!$U$79="BL",[6]Top!$U$81="BL"),"Xh1-BLe","")))</f>
        <v/>
      </c>
      <c r="AR120" s="2348"/>
      <c r="AS120" s="2348"/>
      <c r="AT120" s="2348"/>
      <c r="AU120" s="2348"/>
      <c r="AV120" s="2348"/>
      <c r="AW120" s="2348"/>
      <c r="AX120" s="2348"/>
      <c r="AY120" s="2349"/>
      <c r="AZ120" s="2304" t="str">
        <f>IF(AA119="","",IF(BC120&lt;&gt;"",BC120,IF(AQ120&lt;&gt;"",1+INT(AA119/3),"")))</f>
        <v/>
      </c>
      <c r="BA120" s="2304"/>
      <c r="BB120" s="2304"/>
      <c r="BC120" s="2305"/>
      <c r="BD120" s="2305"/>
      <c r="BE120" s="2305"/>
      <c r="BF120" s="2281" t="str">
        <f>IF(C119="","",IF(OR(AND(LEFT(C119,2)=" B",[6]Top!$AF$72="要"),AND(LEFT(C119,3)="  1",[6]Top!$AF$73="要"),AND(LEFT(C119,3)="  2",[6]Top!$AF$75="要"),AND(LEFT(C119,3)="  3",[6]Top!$AF$77="要"),[6]Top!$AF$79="要",[6]Top!$AF$81="要"),"D15V-321PXe",""))</f>
        <v/>
      </c>
      <c r="BG120" s="2281"/>
      <c r="BH120" s="2281"/>
      <c r="BI120" s="2282"/>
      <c r="BJ120" s="2282"/>
      <c r="BK120" s="2282"/>
      <c r="BL120" s="2282"/>
      <c r="BM120" s="2282"/>
      <c r="BN120" s="2282"/>
      <c r="BO120" s="2283" t="str">
        <f>IF(OR(C119="",C119="  RF",BF120=""),"",IF(BR120&lt;&gt;"",BR120,2*(1+INT(N119/500))))</f>
        <v/>
      </c>
      <c r="BP120" s="2283"/>
      <c r="BQ120" s="2283"/>
      <c r="BR120" s="2303"/>
      <c r="BS120" s="2303"/>
      <c r="BT120" s="2303"/>
      <c r="BU120" s="19"/>
      <c r="BV120" s="46" t="str">
        <f>V118</f>
        <v/>
      </c>
      <c r="BW120" s="263" t="str">
        <f>IF(C119="","",IF(BV120="①",BW119+BX119+3,IF(BV120="②",BW119*5/8+BX119+3,IF(BV120="③",BW119/2+BX119+3,IF(BV120="④",BW119+BX119*5/8+3,IF(BV120="⑤",(BW119+BX119)*5/8+3,IF(BV120="⑥",BW119/2+BX119*5/8+3,IF(BV120="⑦",BW119+BX119/2+3,IF(BV120="⑧",BW119*5/8+BX119/2+3,IF(BV120="⑨",(BW119+BX119)/2+3))))))))))</f>
        <v/>
      </c>
      <c r="BX120" s="8"/>
      <c r="BY120" s="88" t="s">
        <v>202</v>
      </c>
      <c r="BZ120" s="92">
        <f>IF(OR($BW$10=0,BH117="設置しない",C119="  RF",C119=""),0,IF(LEFT(C119,2)&lt;&gt;"PH",AL119*BW120/2,BW120))</f>
        <v>0</v>
      </c>
      <c r="CA120" s="88" t="s">
        <v>203</v>
      </c>
      <c r="CB120" s="88">
        <f>IF(OR($BW$10=0,AY117="設置しない",BS122=""),0,(BS122-1)*SQRT(W119/BS122))</f>
        <v>0</v>
      </c>
      <c r="CC120" s="88" t="s">
        <v>202</v>
      </c>
      <c r="CD120" s="262" t="e">
        <f>IF(OR($BW$10=0,BH117="設置しない",F119=0),0,AG119*(F119-0.1-($AN$8-$Y$7)/1000))</f>
        <v>#VALUE!</v>
      </c>
      <c r="CE120" s="88" t="s">
        <v>203</v>
      </c>
      <c r="CF120" s="88">
        <f>IF(OR($BW$10=0,BH117="設置しない",BS122=""),0,(2*BS122-1)*$AN$7/1000)</f>
        <v>0</v>
      </c>
      <c r="CG120" s="88" t="s">
        <v>202</v>
      </c>
      <c r="CH120" s="92">
        <f>IF(OR($BW$10=0,BH117="設置しない",AI118="非:天井ケーブル"),0,BZ120)</f>
        <v>0</v>
      </c>
      <c r="CI120" s="88" t="s">
        <v>203</v>
      </c>
      <c r="CJ120" s="88">
        <f>IF(OR($BW$10=0,BH117="設置しない",AI118="非:天井ケーブル"),0,CB120)</f>
        <v>0</v>
      </c>
      <c r="CK120" s="88" t="s">
        <v>202</v>
      </c>
      <c r="CL120" s="92">
        <f>IF(OR($BW$10=0,BH117="設置しない",C119="  RF",C119=""),0,IF(J119="直天",AG119*(F119-$Y$7/1000),AG119*(J119+0.1-$Y$7/1000)))</f>
        <v>0</v>
      </c>
      <c r="CM120" s="141"/>
      <c r="CN120" s="142"/>
      <c r="CO120" s="136">
        <f>IF(AZ120="",0,(VLOOKUP(AQ120,[7]建物1802!$E$5:$AL$3275,33,FALSE))*AZ120)</f>
        <v>0</v>
      </c>
      <c r="CP120" s="136">
        <f>IF(AZ120="",0,VLOOKUP(AQ120,[7]建物1802!$E$5:$AL$3275,30,FALSE)*AZ120)</f>
        <v>0</v>
      </c>
      <c r="CQ120" s="136">
        <f>IF(CO120="","",SQRT(CO120^2-CP120^2))</f>
        <v>0</v>
      </c>
      <c r="CR120" s="189">
        <f>IF(BO120="",0,VLOOKUP(BF120,[7]建物1802!$E$5:$AL$3275,33,FALSE)*BO120)</f>
        <v>0</v>
      </c>
      <c r="CS120" s="189">
        <f>IF(BO120="",0,VLOOKUP(BF120,[7]建物1802!$E$5:$AL$3275,30,FALSE)*BO120)</f>
        <v>0</v>
      </c>
      <c r="CT120" s="259">
        <f>IF(CR120="",0,SQRT(CR120^2-CS120^2))</f>
        <v>0</v>
      </c>
      <c r="CU120" s="14"/>
      <c r="CV120" s="14"/>
      <c r="CW120" s="216"/>
      <c r="CX120" s="8"/>
      <c r="CY120" s="197">
        <f t="shared" si="20"/>
        <v>3</v>
      </c>
      <c r="CZ120" s="197" t="str">
        <f t="shared" si="21"/>
        <v/>
      </c>
      <c r="DA120" s="201" t="str">
        <f>W98</f>
        <v>PF-S-16mm</v>
      </c>
      <c r="DB120" s="8"/>
      <c r="DC120" s="8"/>
      <c r="DD120" s="8"/>
      <c r="DE120" s="249" t="str">
        <f>IF(COUNTIF($DA$15:DA119,DA120)&gt;0,"",DA120)</f>
        <v/>
      </c>
      <c r="DF120" s="26">
        <f>AC98</f>
        <v>3.9</v>
      </c>
      <c r="DG120" s="32">
        <f t="shared" si="18"/>
        <v>0</v>
      </c>
      <c r="DH120" s="198">
        <f t="shared" si="22"/>
        <v>5</v>
      </c>
      <c r="DI120" s="199" t="str">
        <f t="shared" si="19"/>
        <v/>
      </c>
      <c r="DJ120" s="201" t="str">
        <f>BI97</f>
        <v>d4-30e</v>
      </c>
      <c r="DK120" s="10"/>
      <c r="DL120" s="10"/>
      <c r="DM120" s="8"/>
      <c r="DN120" s="249" t="str">
        <f>IF(COUNTIF($DJ$15:DJ119,DJ120)&gt;0,"",DJ120)</f>
        <v/>
      </c>
      <c r="DO120" s="200">
        <f>BN97</f>
        <v>8</v>
      </c>
      <c r="DP120" s="32">
        <f t="shared" si="23"/>
        <v>0</v>
      </c>
      <c r="DQ120" s="8"/>
    </row>
    <row r="121" spans="1:126" ht="11.25" customHeight="1">
      <c r="A121" s="15"/>
      <c r="B121" s="23"/>
      <c r="C121" s="2378" t="str">
        <f>IF(C119="","",IF(K121="","VV-F 1.6mm-2C",K121))</f>
        <v/>
      </c>
      <c r="D121" s="2379"/>
      <c r="E121" s="2379"/>
      <c r="F121" s="2379"/>
      <c r="G121" s="2379"/>
      <c r="H121" s="2379"/>
      <c r="I121" s="2379"/>
      <c r="J121" s="2380"/>
      <c r="K121" s="2313"/>
      <c r="L121" s="2314"/>
      <c r="M121" s="2314"/>
      <c r="N121" s="2314"/>
      <c r="O121" s="2314"/>
      <c r="P121" s="2314"/>
      <c r="Q121" s="2314"/>
      <c r="R121" s="2315"/>
      <c r="S121" s="2312" t="str">
        <f>IF(OR(C119="",C119="  RF"),"",INT(CB119+CB120+CF119+CF120+CI121))</f>
        <v/>
      </c>
      <c r="T121" s="2312"/>
      <c r="U121" s="2312"/>
      <c r="V121" s="2312"/>
      <c r="W121" s="2306" t="str">
        <f>IF(C119="","",IF(AE121="","VV-F 1.6mm-2C",AE121))</f>
        <v/>
      </c>
      <c r="X121" s="2307"/>
      <c r="Y121" s="2307"/>
      <c r="Z121" s="2307"/>
      <c r="AA121" s="2307"/>
      <c r="AB121" s="2307"/>
      <c r="AC121" s="2307"/>
      <c r="AD121" s="2308"/>
      <c r="AE121" s="2313"/>
      <c r="AF121" s="2314"/>
      <c r="AG121" s="2314"/>
      <c r="AH121" s="2314"/>
      <c r="AI121" s="2314"/>
      <c r="AJ121" s="2314"/>
      <c r="AK121" s="2314"/>
      <c r="AL121" s="2315"/>
      <c r="AM121" s="2306" t="str">
        <f>IF(OR(C119="",C119="  RF"),"",INT(CG122+CI121))</f>
        <v/>
      </c>
      <c r="AN121" s="2307"/>
      <c r="AO121" s="2307"/>
      <c r="AP121" s="2308"/>
      <c r="AQ121" s="2309" t="str">
        <f>IF(OR(C119="",S119=""),"",IF(OR(AND(LEFT(C119,2)=" B",[8]非誘!$W$72="C"),AND(LEFT(C119,3)="  1",[8]非誘!$W$74="C"),AND(LEFT(C119,3)="  2",[8]非誘!$W$76="C"),AND(LEFT(C119,3)="  3",[8]非誘!$W$78="C"),[8]非誘!$W$80="C",[8]非誘!$W$81="C"),"Yd2-BHe",""))</f>
        <v/>
      </c>
      <c r="AR121" s="2310"/>
      <c r="AS121" s="2310"/>
      <c r="AT121" s="2310"/>
      <c r="AU121" s="2310"/>
      <c r="AV121" s="2310"/>
      <c r="AW121" s="2310"/>
      <c r="AX121" s="2310"/>
      <c r="AY121" s="2311"/>
      <c r="AZ121" s="2304" t="str">
        <f>IF(AQ121="","",IF(OR(C119="",C119="  RF"),"",IF(BC121&lt;&gt;"",BC121,AA119)))</f>
        <v/>
      </c>
      <c r="BA121" s="2304"/>
      <c r="BB121" s="2304"/>
      <c r="BC121" s="2305"/>
      <c r="BD121" s="2305"/>
      <c r="BE121" s="2305"/>
      <c r="BF121" s="2316" t="s">
        <v>10</v>
      </c>
      <c r="BG121" s="2317"/>
      <c r="BH121" s="2318"/>
      <c r="BI121" s="2319" t="str">
        <f>IF(OR($BW$10=0,AL117="設置しない",C119="",C119="  RF"),"",IF(OR(AND(LEFT(C119,2)=" B",[6]Top!$O$72="要"),AND(LEFT(C119,3)="  1",[6]Top!$O$74="要"),AND(LEFT(C119,3)="  2",[6]Top!$O$76="要"),AND(LEFT(C119,3)="  3",[6]Top!$O$78="要"),[6]Top!$O$80="要",[6]Top!$O$81="要",$Y$9="設置する"),"d4-30e",""))</f>
        <v/>
      </c>
      <c r="BJ121" s="2320"/>
      <c r="BK121" s="2320"/>
      <c r="BL121" s="2320"/>
      <c r="BM121" s="2321"/>
      <c r="BN121" s="2319" t="str">
        <f>IF(OR($BW$10=0,AL117="設置しない",C119="",C119="  RF"),"",IF(LEFT(C119,2)="PH","",IF(BR121&lt;&gt;"",BR121,IF((1+INT(S119/110))&lt;=AA119,AA119,1+INT(S119/110)))))</f>
        <v/>
      </c>
      <c r="BO121" s="2320"/>
      <c r="BP121" s="2321"/>
      <c r="BQ121" s="31" t="s">
        <v>211</v>
      </c>
      <c r="BR121" s="2322"/>
      <c r="BS121" s="2323"/>
      <c r="BT121" s="2324"/>
      <c r="BU121" s="2206"/>
      <c r="BV121" s="226"/>
      <c r="BW121" s="196"/>
      <c r="BX121" s="8"/>
      <c r="BY121" s="2205" t="s">
        <v>200</v>
      </c>
      <c r="BZ121" s="222">
        <f>SUM(AZ119:BB122)+SUM(BO119:BQ122)</f>
        <v>0</v>
      </c>
      <c r="CA121" s="8"/>
      <c r="CB121" s="8"/>
      <c r="CC121" s="2205" t="s">
        <v>121</v>
      </c>
      <c r="CD121" s="88" t="s">
        <v>200</v>
      </c>
      <c r="CE121" s="222">
        <f>SUM(AZ119:BB122)+SUM(BO119:BQ122)</f>
        <v>0</v>
      </c>
      <c r="CF121" s="8"/>
      <c r="CG121" s="8"/>
      <c r="CH121" s="88" t="s">
        <v>121</v>
      </c>
      <c r="CI121" s="88">
        <f>IF($AW$8=0,0,2*($AW$8/1000-0.15-0.1)*(INT(1000*2*BW119/$AW$10)+1)*(INT(1000*2*BX119/$AW$10)+1)*4)</f>
        <v>3.5999999999999996</v>
      </c>
      <c r="CJ121" s="8"/>
      <c r="CK121" s="8"/>
      <c r="CL121" s="168"/>
      <c r="CM121" s="261"/>
      <c r="CN121" s="8"/>
      <c r="CO121" s="8"/>
      <c r="CP121" s="168"/>
      <c r="CQ121" s="261"/>
      <c r="CR121" s="8"/>
      <c r="CS121" s="8"/>
      <c r="CT121" s="136">
        <f>IF(AZ121="",0,VLOOKUP(AQ121,[7]建物1802!$E$5:$AL$3275,33,FALSE)*AZ121)</f>
        <v>0</v>
      </c>
      <c r="CU121" s="136">
        <f>IF(AZ121="",0,VLOOKUP(AQ121,[7]建物1802!$E$5:$AL$3275,30,FALSE)*AZ121)</f>
        <v>0</v>
      </c>
      <c r="CV121" s="136">
        <f>IF(CT121="","",SQRT(CT121^2-CU121^2))</f>
        <v>0</v>
      </c>
      <c r="CW121" s="260"/>
      <c r="CX121" s="14"/>
      <c r="CY121" s="14"/>
      <c r="CZ121" s="14"/>
      <c r="DA121" s="14"/>
      <c r="DB121" s="216"/>
      <c r="DC121" s="88">
        <v>14</v>
      </c>
      <c r="DD121" s="204">
        <f>IF(DJ121&lt;&gt;"",CY120+1,CY120)</f>
        <v>3</v>
      </c>
      <c r="DE121" s="155" t="str">
        <f>IF(AND(DD121&lt;&gt;"",DJ121&lt;&gt;""),DD121,"")</f>
        <v/>
      </c>
      <c r="DF121" s="210" t="str">
        <f>AG98</f>
        <v>PF-S-16mm</v>
      </c>
      <c r="DG121" s="45"/>
      <c r="DH121" s="45"/>
      <c r="DI121" s="45"/>
      <c r="DJ121" s="153" t="str">
        <f>IF(COUNTIF($DA$15:DA120,DF121)&gt;0,"",DF121)</f>
        <v/>
      </c>
      <c r="DK121" s="152">
        <f>AM98</f>
        <v>19.5</v>
      </c>
      <c r="DL121" s="32">
        <f>SUMIF($DA$17:$DA$179,DJ121,$DF$17:$DF$179)</f>
        <v>0</v>
      </c>
      <c r="DM121" s="124">
        <f>IF(OR(DS121=0,DS121=""),DH120,DH120+1)</f>
        <v>5</v>
      </c>
      <c r="DN121" s="149" t="str">
        <f>IF(AND(DM121&lt;&gt;"",DS121&lt;&gt;0,DS121&lt;&gt;""),DM121,"")</f>
        <v/>
      </c>
      <c r="DO121" s="210" t="str">
        <f>BI98</f>
        <v>d4-13e</v>
      </c>
      <c r="DP121" s="154"/>
      <c r="DQ121" s="154"/>
      <c r="DR121" s="45"/>
      <c r="DS121" s="45" t="str">
        <f>IF(COUNTIF($DJ$15:DJ120,DO121)&gt;0,"",DO121)</f>
        <v/>
      </c>
      <c r="DT121" s="209">
        <f>BN98</f>
        <v>10</v>
      </c>
      <c r="DU121" s="169">
        <f>SUMIF($DJ$17:$DJ$179,DS121,$DO$17:$DO$179)</f>
        <v>0</v>
      </c>
      <c r="DV121" s="88">
        <v>14</v>
      </c>
    </row>
    <row r="122" spans="1:126" ht="11.25" customHeight="1" thickBot="1">
      <c r="A122" s="15"/>
      <c r="B122" s="23"/>
      <c r="C122" s="2359" t="str">
        <f>IF(C119="","",IF(I122="","",IF(AI118="非:天井(C管)","C-19mm",IF(AI118="非:天井(G管)","G- 16mm","PF-S-16mm"))))</f>
        <v/>
      </c>
      <c r="D122" s="2360"/>
      <c r="E122" s="2360"/>
      <c r="F122" s="2360"/>
      <c r="G122" s="2360"/>
      <c r="H122" s="2360"/>
      <c r="I122" s="2335" t="str">
        <f>IF(OR(C119="",AL117="設置しない",BH117="設置しない",$BW$10=0,CH119=0,CJ119=0),"",IF(J119="直天",ROUND((BZ119+CB119),1),ROUND((CH119+CJ119),1)))</f>
        <v/>
      </c>
      <c r="J122" s="2335"/>
      <c r="K122" s="2335"/>
      <c r="L122" s="2335"/>
      <c r="M122" s="2359" t="str">
        <f>IF(C119="","",IF(S122="","",IF(BC118="誘:天井(C管)","C-19mm",IF(BC118="誘:天井(G管)","G- 16mm","PF-S-16mm"))))</f>
        <v/>
      </c>
      <c r="N122" s="2360"/>
      <c r="O122" s="2360"/>
      <c r="P122" s="2360"/>
      <c r="Q122" s="2360"/>
      <c r="R122" s="2361"/>
      <c r="S122" s="2312" t="str">
        <f>IF(OR(C119="",,AL117="設置しない",BH117="設置しない",$BW$10=0,CM122=0,CO122=0),"",IF(J119="直天",ROUND((CE122+CG122),1),ROUND((CM122+CO122),1)))</f>
        <v/>
      </c>
      <c r="T122" s="2312"/>
      <c r="U122" s="2312"/>
      <c r="V122" s="2312"/>
      <c r="W122" s="2359" t="str">
        <f>IF(C119="","",IF($B$2=0,"",IF(OR(AI118="非:天井(C管)",AI118="非:床(C管)"),"C-19mm",IF(OR(AI118="非:天井(G管)",AI118="非:床(G管)"),"G-16mm",IF(AI118="非:床(CD管)","CD-16mm","PF-S-16mm")))))</f>
        <v/>
      </c>
      <c r="X122" s="2360"/>
      <c r="Y122" s="2360"/>
      <c r="Z122" s="2360"/>
      <c r="AA122" s="2360"/>
      <c r="AB122" s="2361"/>
      <c r="AC122" s="2362" t="str">
        <f>IF(OR(C119="",AL117="設置しない",BH117="設置しない"),"",ROUND(CL119,1))</f>
        <v/>
      </c>
      <c r="AD122" s="2312"/>
      <c r="AE122" s="2312"/>
      <c r="AF122" s="2312"/>
      <c r="AG122" s="2333" t="str">
        <f>IF(C119="","",IF($B$2=0,"",IF(BC118="誘:天井(C管)","C-19mm",IF(BC118="誘:天井(G管)","G-16mm","PF-S-16mm"))))</f>
        <v/>
      </c>
      <c r="AH122" s="2333"/>
      <c r="AI122" s="2333"/>
      <c r="AJ122" s="2333"/>
      <c r="AK122" s="2333"/>
      <c r="AL122" s="2333"/>
      <c r="AM122" s="2334" t="str">
        <f>IF(OR(C119="",AL117="設置しない",BH117="設置しない"),"",ROUND((CQ122+CS122),1))</f>
        <v/>
      </c>
      <c r="AN122" s="2335"/>
      <c r="AO122" s="2335"/>
      <c r="AP122" s="2335"/>
      <c r="AQ122" s="2291" t="str">
        <f>IF(C119="","",IF(OR(AND(LEFT(C119,2)=" B",[6]Top!$AA$72="C"),AND(LEFT(C119,3)="  1",[6]Top!$AA$73="C"),AND(LEFT(C119,3)="  2",[6]Top!$AA$75="C"),AND(LEFT(C119,3)="  3",[6]Top!$AA$77="C"),[6]Top!$AA$79="C",[6]Top!$AA$81="C"),"Yd2-Ce",""))</f>
        <v/>
      </c>
      <c r="AR122" s="2292"/>
      <c r="AS122" s="2292"/>
      <c r="AT122" s="2292"/>
      <c r="AU122" s="2292"/>
      <c r="AV122" s="2292"/>
      <c r="AW122" s="2292"/>
      <c r="AX122" s="2292"/>
      <c r="AY122" s="2293"/>
      <c r="AZ122" s="2294" t="str">
        <f>IF(OR(C119="",C119="  RF",AQ122=""),"",IF(BC122&lt;&gt;"",BC122,1+INT((BW119+BX119)/20)))</f>
        <v/>
      </c>
      <c r="BA122" s="2295"/>
      <c r="BB122" s="2296"/>
      <c r="BC122" s="2287"/>
      <c r="BD122" s="2287"/>
      <c r="BE122" s="2287"/>
      <c r="BF122" s="2363" t="s">
        <v>127</v>
      </c>
      <c r="BG122" s="2364"/>
      <c r="BH122" s="2365"/>
      <c r="BI122" s="2335" t="str">
        <f>IF(OR($BW$10=0,AY117="設置しない",C119="",C119="  RF"),"",IF(OR(AND(LEFT(C119,2)=" B",[6]Top!$O$72="要"),AND(LEFT(C119,3)="  1",[6]Top!$O$74="要"),AND(LEFT(C119,3)="  2",[6]Top!$O$76="要"),AND(LEFT(C119,3)="  3",[6]Top!$O$78="要"),[6]Top!$O$80="要",[6]Top!$O$81="要",$Y$10="設置する"),"d4-13e",""))</f>
        <v/>
      </c>
      <c r="BJ122" s="2335"/>
      <c r="BK122" s="2335"/>
      <c r="BL122" s="2335"/>
      <c r="BM122" s="2335"/>
      <c r="BN122" s="2335" t="str">
        <f>IF(OR($BW$10=0,BH117="設置しない",C119="",C119="  RF"),"",IF(BR122&lt;&gt;"",BR122,INT(AD119*1.2)))</f>
        <v/>
      </c>
      <c r="BO122" s="2335"/>
      <c r="BP122" s="2335"/>
      <c r="BQ122" s="31" t="s">
        <v>211</v>
      </c>
      <c r="BR122" s="2350"/>
      <c r="BS122" s="2351"/>
      <c r="BT122" s="2352"/>
      <c r="BU122" s="2206"/>
      <c r="BV122" s="8"/>
      <c r="BW122" s="8"/>
      <c r="BX122" s="8"/>
      <c r="BY122" s="2205" t="s">
        <v>199</v>
      </c>
      <c r="BZ122" s="151">
        <f>IF(AL119="",0,AL119*SQRT(N119/BZ121))</f>
        <v>0</v>
      </c>
      <c r="CA122" s="2205" t="s">
        <v>198</v>
      </c>
      <c r="CB122" s="151">
        <f>IF(BZ121=0,0,(BZ121/3)*BW120)</f>
        <v>0</v>
      </c>
      <c r="CC122" s="2205" t="s">
        <v>199</v>
      </c>
      <c r="CD122" s="88" t="s">
        <v>199</v>
      </c>
      <c r="CE122" s="151">
        <f>IF(AL119="",0,AL119*SQRT(N119/CE121))</f>
        <v>0</v>
      </c>
      <c r="CF122" s="88" t="s">
        <v>198</v>
      </c>
      <c r="CG122" s="151">
        <f>IF(CE121=0,0,(CE121/3)*BW120)</f>
        <v>0</v>
      </c>
      <c r="CH122" s="88" t="s">
        <v>199</v>
      </c>
      <c r="CI122" s="151" t="e">
        <f>IF(F119=0,0,F119-0.25-$Y$7/1000)</f>
        <v>#VALUE!</v>
      </c>
      <c r="CJ122" s="88" t="s">
        <v>198</v>
      </c>
      <c r="CK122" s="151" t="e">
        <f>IF(F119=0,0,(2*(CE121-BO119)-1)*$AN$7/1000+(2*BO119-1)*(F119-0.75))</f>
        <v>#VALUE!</v>
      </c>
      <c r="CL122" s="88" t="s">
        <v>199</v>
      </c>
      <c r="CM122" s="151">
        <f>IF(BC118="誘:天井ケーブル",0,CE122)</f>
        <v>0</v>
      </c>
      <c r="CN122" s="88" t="s">
        <v>198</v>
      </c>
      <c r="CO122" s="151">
        <f>IF(BC118="誘:天井ケーブル",0,CG122)</f>
        <v>0</v>
      </c>
      <c r="CP122" s="88" t="s">
        <v>199</v>
      </c>
      <c r="CQ122" s="259" t="e">
        <f>IF(F119=0,0,IF(J119="直天",AL119*(F119-$Y$7/1000),AL119*(J119+0.1-$Y$7/1000)))</f>
        <v>#VALUE!</v>
      </c>
      <c r="CR122" s="88" t="s">
        <v>198</v>
      </c>
      <c r="CS122" s="151" t="e">
        <f>IF(F119=0,0,IF(J119="直天",BO119*(2*BO119-1)*(F119-0.5),BO119*(2*BO119-1)*(J119-0.4)))</f>
        <v>#VALUE!</v>
      </c>
      <c r="CT122" s="136">
        <f>IF(AZ122="",0,VLOOKUP(AQ122,[7]建物1802!$E$5:$AL$3275,33,FALSE)*AZ122)</f>
        <v>0</v>
      </c>
      <c r="CU122" s="136">
        <f>IF(AZ122="",0,VLOOKUP(AQ122,[7]建物1802!$E$5:$AL$3275,30,FALSE)*AZ122)</f>
        <v>0</v>
      </c>
      <c r="CV122" s="136">
        <f>IF(CT122="","",SQRT(CT122^2-CU122^2))</f>
        <v>0</v>
      </c>
      <c r="CW122" s="26"/>
      <c r="CX122" s="26"/>
      <c r="CY122" s="26"/>
      <c r="CZ122" s="26"/>
      <c r="DA122" s="26"/>
      <c r="DB122" s="218"/>
      <c r="DC122" s="8"/>
      <c r="DD122" s="197">
        <f>IF(DJ122&lt;&gt;"",DD121+1,DD121)</f>
        <v>3</v>
      </c>
      <c r="DE122" s="197" t="str">
        <f>IF(AND(DD122&lt;&gt;"",DJ122&lt;&gt;""),DD122,"")</f>
        <v/>
      </c>
      <c r="DF122" s="10" t="str">
        <f>C102</f>
        <v>VV-F 2.0mm-2C</v>
      </c>
      <c r="DG122" s="8"/>
      <c r="DH122" s="8"/>
      <c r="DI122" s="8"/>
      <c r="DJ122" s="249" t="str">
        <f>IF(COUNTIF($DA$15:DA121,DF122)&gt;0,"",DF122)</f>
        <v/>
      </c>
      <c r="DK122" s="26">
        <f>S102</f>
        <v>54.3</v>
      </c>
      <c r="DL122" s="32">
        <f>SUMIF($DA$17:$DA$179,DJ122,$DF$17:$DF$179)</f>
        <v>0</v>
      </c>
      <c r="DM122" s="198">
        <f>IF(OR(DS122=0,DS122=""),DM121,DM121+1)</f>
        <v>5</v>
      </c>
      <c r="DN122" s="199" t="str">
        <f>IF(AND(DM122&lt;&gt;"",DS122&lt;&gt;0,DS122&lt;&gt;""),DM122,"")</f>
        <v/>
      </c>
      <c r="DO122" s="10" t="str">
        <f>AQ101</f>
        <v>Xh1-Ae</v>
      </c>
      <c r="DP122" s="10"/>
      <c r="DQ122" s="10"/>
      <c r="DR122" s="8"/>
      <c r="DS122" s="249" t="str">
        <f>IF(COUNTIF($DJ$15:DJ121,DO122)&gt;0,"",DO122)</f>
        <v/>
      </c>
      <c r="DT122" s="200">
        <f>AZ101</f>
        <v>3</v>
      </c>
      <c r="DU122" s="32">
        <f>SUMIF($DJ$17:$DJ$179,DS122,$DO$17:$DO$179)</f>
        <v>0</v>
      </c>
      <c r="DV122" s="8"/>
    </row>
    <row r="123" spans="1:126" ht="11.25" customHeight="1" thickBot="1">
      <c r="A123" s="15"/>
      <c r="B123" s="23"/>
      <c r="C123" s="2288" t="s">
        <v>112</v>
      </c>
      <c r="D123" s="2289"/>
      <c r="E123" s="2289"/>
      <c r="F123" s="2289"/>
      <c r="G123" s="2289"/>
      <c r="H123" s="2289"/>
      <c r="I123" s="2290"/>
      <c r="J123" s="2356" t="str">
        <f>[5]照差!$I$139</f>
        <v/>
      </c>
      <c r="K123" s="2357"/>
      <c r="L123" s="2358"/>
      <c r="M123" s="2375" t="str">
        <f>[5]照差!$M$139</f>
        <v/>
      </c>
      <c r="N123" s="2376"/>
      <c r="O123" s="2376"/>
      <c r="P123" s="2376"/>
      <c r="Q123" s="2376"/>
      <c r="R123" s="2376"/>
      <c r="S123" s="2376"/>
      <c r="T123" s="2376"/>
      <c r="U123" s="2377"/>
      <c r="V123" s="2275" t="s">
        <v>217</v>
      </c>
      <c r="W123" s="2276"/>
      <c r="X123" s="2276"/>
      <c r="Y123" s="2276"/>
      <c r="Z123" s="2277"/>
      <c r="AA123" s="2278" t="str">
        <f>[6]Top!$I$58</f>
        <v/>
      </c>
      <c r="AB123" s="2279"/>
      <c r="AC123" s="2280" t="s">
        <v>216</v>
      </c>
      <c r="AD123" s="2280"/>
      <c r="AE123" s="2280"/>
      <c r="AF123" s="2280"/>
      <c r="AG123" s="2280"/>
      <c r="AH123" s="2280"/>
      <c r="AI123" s="2280"/>
      <c r="AJ123" s="2280"/>
      <c r="AK123" s="2280"/>
      <c r="AL123" s="2356" t="str">
        <f>IF($BW$10=0,"設置しない",IF(AS123="","設置する",AS123))</f>
        <v>設置する</v>
      </c>
      <c r="AM123" s="2357"/>
      <c r="AN123" s="2357"/>
      <c r="AO123" s="2357"/>
      <c r="AP123" s="2357"/>
      <c r="AQ123" s="2358"/>
      <c r="AR123" s="265" t="s">
        <v>211</v>
      </c>
      <c r="AS123" s="2284"/>
      <c r="AT123" s="2285"/>
      <c r="AU123" s="2285"/>
      <c r="AV123" s="2285"/>
      <c r="AW123" s="2285"/>
      <c r="AX123" s="2286"/>
      <c r="AY123" s="2280" t="s">
        <v>215</v>
      </c>
      <c r="AZ123" s="2280"/>
      <c r="BA123" s="2280"/>
      <c r="BB123" s="2280"/>
      <c r="BC123" s="2280"/>
      <c r="BD123" s="2280"/>
      <c r="BE123" s="2280"/>
      <c r="BF123" s="2280"/>
      <c r="BG123" s="2280"/>
      <c r="BH123" s="2356" t="str">
        <f>IF($BW$10=0,"設置しない",IF(BO123="","設置する",BO123))</f>
        <v>設置する</v>
      </c>
      <c r="BI123" s="2357"/>
      <c r="BJ123" s="2357"/>
      <c r="BK123" s="2357"/>
      <c r="BL123" s="2357"/>
      <c r="BM123" s="2358"/>
      <c r="BN123" s="265" t="s">
        <v>211</v>
      </c>
      <c r="BO123" s="2284"/>
      <c r="BP123" s="2285"/>
      <c r="BQ123" s="2285"/>
      <c r="BR123" s="2285"/>
      <c r="BS123" s="2285"/>
      <c r="BT123" s="2286"/>
      <c r="BU123" s="19"/>
      <c r="BV123" s="8"/>
      <c r="BW123" s="8"/>
      <c r="BX123" s="8"/>
      <c r="BY123" s="9"/>
      <c r="BZ123" s="9"/>
      <c r="CA123" s="9"/>
      <c r="CB123" s="9"/>
      <c r="CC123" s="9"/>
      <c r="CD123" s="9"/>
      <c r="CE123" s="9"/>
      <c r="CF123" s="9"/>
      <c r="CG123" s="9"/>
      <c r="CH123" s="9"/>
      <c r="CI123" s="9"/>
      <c r="CJ123" s="9"/>
      <c r="CK123" s="9"/>
      <c r="CL123" s="9"/>
      <c r="CM123" s="9"/>
      <c r="CN123" s="9"/>
      <c r="CO123" s="254"/>
      <c r="CP123" s="254"/>
      <c r="CQ123" s="254"/>
      <c r="CR123" s="14"/>
      <c r="CS123" s="14"/>
      <c r="CT123" s="14"/>
      <c r="CU123" s="14"/>
      <c r="CV123" s="14"/>
      <c r="CW123" s="216"/>
      <c r="CX123" s="8"/>
      <c r="CY123" s="197">
        <f>IF(DE123&lt;&gt;"",DD122+1,DD122)</f>
        <v>3</v>
      </c>
      <c r="CZ123" s="197" t="str">
        <f t="shared" ref="CZ123:CZ144" si="24">IF(AND(CY123&lt;&gt;"",DE123&lt;&gt;""),CY123,"")</f>
        <v/>
      </c>
      <c r="DA123" s="201" t="str">
        <f>W102</f>
        <v>VV-F 2.0mm-2C</v>
      </c>
      <c r="DB123" s="8"/>
      <c r="DC123" s="8"/>
      <c r="DD123" s="8"/>
      <c r="DE123" s="249" t="str">
        <f>IF(COUNTIF($DA$15:DA122,DA123)&gt;0,"",DA123)</f>
        <v/>
      </c>
      <c r="DF123" s="26">
        <f>AM102</f>
        <v>33.9</v>
      </c>
      <c r="DG123" s="32">
        <f t="shared" ref="DG123:DG153" si="25">SUMIF($DA$17:$DA$179,DE123,$DF$17:$DF$179)</f>
        <v>0</v>
      </c>
      <c r="DH123" s="198">
        <f>IF(OR(DN123=0,DN123=""),DM122,DM122+1)</f>
        <v>5</v>
      </c>
      <c r="DI123" s="198" t="str">
        <f t="shared" ref="DI123:DI153" si="26">IF(AND(DH123&lt;&gt;"",DN123&lt;&gt;0,DN123&lt;&gt;""),DH123,"")</f>
        <v/>
      </c>
      <c r="DJ123" s="10" t="str">
        <f>AQ102</f>
        <v>Xh1-Ae</v>
      </c>
      <c r="DK123" s="10"/>
      <c r="DL123" s="10"/>
      <c r="DM123" s="8"/>
      <c r="DN123" s="8" t="str">
        <f>IF(COUNTIF($DJ$15:DJ122,DJ123)&gt;0,"",DJ123)</f>
        <v/>
      </c>
      <c r="DO123" s="200">
        <f>AZ102</f>
        <v>2</v>
      </c>
      <c r="DP123" s="32">
        <f t="shared" ref="DP123:DP144" si="27">SUMIF($DJ$17:$DJ$179,DN123,$DO$17:$DO$179)</f>
        <v>0</v>
      </c>
      <c r="DQ123" s="8"/>
    </row>
    <row r="124" spans="1:126" ht="11.25" customHeight="1" thickBot="1">
      <c r="A124" s="15"/>
      <c r="B124" s="23"/>
      <c r="C124" s="2300" t="s">
        <v>214</v>
      </c>
      <c r="D124" s="2301"/>
      <c r="E124" s="2301"/>
      <c r="F124" s="2301"/>
      <c r="G124" s="2301"/>
      <c r="H124" s="2301"/>
      <c r="I124" s="2302"/>
      <c r="J124" s="2297" t="str">
        <f>[5]照差!$K$140</f>
        <v/>
      </c>
      <c r="K124" s="2298"/>
      <c r="L124" s="2298"/>
      <c r="M124" s="2298"/>
      <c r="N124" s="2299" t="s">
        <v>213</v>
      </c>
      <c r="O124" s="2299"/>
      <c r="P124" s="2299"/>
      <c r="Q124" s="2299"/>
      <c r="R124" s="2299"/>
      <c r="S124" s="2299"/>
      <c r="T124" s="2299"/>
      <c r="U124" s="2299"/>
      <c r="V124" s="2366" t="str">
        <f>[5]照差!$W$140</f>
        <v/>
      </c>
      <c r="W124" s="2366"/>
      <c r="X124" s="2366"/>
      <c r="Y124" s="2299" t="s">
        <v>135</v>
      </c>
      <c r="Z124" s="2299"/>
      <c r="AA124" s="2299"/>
      <c r="AB124" s="2299"/>
      <c r="AC124" s="2299"/>
      <c r="AD124" s="2299" t="s">
        <v>18</v>
      </c>
      <c r="AE124" s="2299"/>
      <c r="AF124" s="2299"/>
      <c r="AG124" s="2299"/>
      <c r="AH124" s="2299"/>
      <c r="AI124" s="2337" t="str">
        <f>IF($B$2=0,"",IF(AQ124="","非:天井ケーブル",AQ124))</f>
        <v>非:天井ケーブル</v>
      </c>
      <c r="AJ124" s="2337"/>
      <c r="AK124" s="2337"/>
      <c r="AL124" s="2337"/>
      <c r="AM124" s="2337"/>
      <c r="AN124" s="2337"/>
      <c r="AO124" s="2337"/>
      <c r="AP124" s="175" t="s">
        <v>211</v>
      </c>
      <c r="AQ124" s="2338"/>
      <c r="AR124" s="2338"/>
      <c r="AS124" s="2338"/>
      <c r="AT124" s="2338"/>
      <c r="AU124" s="2338"/>
      <c r="AV124" s="2338"/>
      <c r="AW124" s="2338"/>
      <c r="AX124" s="2299" t="s">
        <v>212</v>
      </c>
      <c r="AY124" s="2299"/>
      <c r="AZ124" s="2299"/>
      <c r="BA124" s="2299"/>
      <c r="BB124" s="2299"/>
      <c r="BC124" s="2337" t="str">
        <f>IF($B$2=0,"",IF(BK124="","誘:天井ケーブル",BK124))</f>
        <v>誘:天井ケーブル</v>
      </c>
      <c r="BD124" s="2337"/>
      <c r="BE124" s="2337"/>
      <c r="BF124" s="2337"/>
      <c r="BG124" s="2337"/>
      <c r="BH124" s="2337"/>
      <c r="BI124" s="2337"/>
      <c r="BJ124" s="175" t="s">
        <v>211</v>
      </c>
      <c r="BK124" s="2338"/>
      <c r="BL124" s="2338"/>
      <c r="BM124" s="2338"/>
      <c r="BN124" s="2338"/>
      <c r="BO124" s="2338"/>
      <c r="BP124" s="2338"/>
      <c r="BQ124" s="2338"/>
      <c r="BR124" s="2299"/>
      <c r="BS124" s="2299"/>
      <c r="BT124" s="2299"/>
      <c r="BU124" s="19"/>
      <c r="BV124" s="8">
        <v>139</v>
      </c>
      <c r="BW124" s="88" t="s">
        <v>210</v>
      </c>
      <c r="BX124" s="88" t="s">
        <v>209</v>
      </c>
      <c r="BY124" s="2336" t="s">
        <v>126</v>
      </c>
      <c r="BZ124" s="2336"/>
      <c r="CA124" s="2336"/>
      <c r="CB124" s="2336"/>
      <c r="CC124" s="2336" t="s">
        <v>125</v>
      </c>
      <c r="CD124" s="2336"/>
      <c r="CE124" s="2336"/>
      <c r="CF124" s="2336"/>
      <c r="CG124" s="2336" t="s">
        <v>124</v>
      </c>
      <c r="CH124" s="2336"/>
      <c r="CI124" s="2336"/>
      <c r="CJ124" s="2336"/>
      <c r="CK124" s="2336" t="s">
        <v>123</v>
      </c>
      <c r="CL124" s="2336"/>
      <c r="CM124" s="2336"/>
      <c r="CN124" s="2336"/>
      <c r="CO124" s="88" t="s">
        <v>208</v>
      </c>
      <c r="CP124" s="88" t="s">
        <v>207</v>
      </c>
      <c r="CQ124" s="88" t="s">
        <v>206</v>
      </c>
      <c r="CR124" s="88" t="s">
        <v>208</v>
      </c>
      <c r="CS124" s="88" t="s">
        <v>207</v>
      </c>
      <c r="CT124" s="221" t="s">
        <v>206</v>
      </c>
      <c r="CU124" s="264">
        <f>IF(BW125="","",SUM(CP125:CP128)+CS125+CS126)</f>
        <v>0</v>
      </c>
      <c r="CV124" s="264">
        <f>IF(BW125="","",SUM(CQ125:CQ128)+CT125+CT126)</f>
        <v>0</v>
      </c>
      <c r="CW124" s="9"/>
      <c r="CX124" s="8"/>
      <c r="CY124" s="197">
        <f t="shared" ref="CY124:CY144" si="28">IF(DE124&lt;&gt;"",CY123+1,CY123)</f>
        <v>3</v>
      </c>
      <c r="CZ124" s="197" t="str">
        <f t="shared" si="24"/>
        <v/>
      </c>
      <c r="DA124" s="10" t="str">
        <f>C103</f>
        <v>VV-F 1.6mm-2C</v>
      </c>
      <c r="DB124" s="8"/>
      <c r="DC124" s="8"/>
      <c r="DD124" s="8"/>
      <c r="DE124" s="249" t="str">
        <f>IF(COUNTIF($DA$15:DA123,DA124)&gt;0,"",DA124)</f>
        <v/>
      </c>
      <c r="DF124" s="26">
        <f>S103</f>
        <v>328</v>
      </c>
      <c r="DG124" s="32">
        <f t="shared" si="25"/>
        <v>0</v>
      </c>
      <c r="DH124" s="198">
        <f t="shared" ref="DH124:DH144" si="29">IF(OR(DN124=0,DN124=""),DH123,DH123+1)</f>
        <v>5</v>
      </c>
      <c r="DI124" s="198" t="str">
        <f t="shared" si="26"/>
        <v/>
      </c>
      <c r="DJ124" s="10" t="str">
        <f>AQ103</f>
        <v/>
      </c>
      <c r="DK124" s="10"/>
      <c r="DL124" s="10"/>
      <c r="DM124" s="8"/>
      <c r="DN124" s="8" t="str">
        <f>IF(COUNTIF($DJ$15:DJ123,DJ124)&gt;0,"",DJ124)</f>
        <v/>
      </c>
      <c r="DO124" s="200" t="str">
        <f>AZ103</f>
        <v/>
      </c>
      <c r="DP124" s="32">
        <f t="shared" si="27"/>
        <v>0</v>
      </c>
      <c r="DQ124" s="8"/>
    </row>
    <row r="125" spans="1:126" ht="11.25" customHeight="1">
      <c r="A125" s="15"/>
      <c r="B125" s="23"/>
      <c r="C125" s="2367" t="str">
        <f>[5]照差!$C$141</f>
        <v/>
      </c>
      <c r="D125" s="2368"/>
      <c r="E125" s="2369"/>
      <c r="F125" s="2370" t="str">
        <f>[5]照差!$G$141</f>
        <v/>
      </c>
      <c r="G125" s="2371"/>
      <c r="H125" s="2371"/>
      <c r="I125" s="2372"/>
      <c r="J125" s="2370" t="str">
        <f>[5]照差!$J$141</f>
        <v/>
      </c>
      <c r="K125" s="2373"/>
      <c r="L125" s="2373"/>
      <c r="M125" s="2374"/>
      <c r="N125" s="2330" t="str">
        <f>[5]照差!$M$141</f>
        <v/>
      </c>
      <c r="O125" s="2331"/>
      <c r="P125" s="2331"/>
      <c r="Q125" s="2331"/>
      <c r="R125" s="2332"/>
      <c r="S125" s="2330" t="str">
        <f>[5]照差!$Q$141</f>
        <v/>
      </c>
      <c r="T125" s="2331"/>
      <c r="U125" s="2331"/>
      <c r="V125" s="2332"/>
      <c r="W125" s="2330" t="str">
        <f>[5]照差!$U$141</f>
        <v/>
      </c>
      <c r="X125" s="2331"/>
      <c r="Y125" s="2331"/>
      <c r="Z125" s="2332"/>
      <c r="AA125" s="2340" t="str">
        <f>[5]照差!$Y$141</f>
        <v/>
      </c>
      <c r="AB125" s="2341"/>
      <c r="AC125" s="2342"/>
      <c r="AD125" s="2343" t="str">
        <f>[5]照差!$AB$141</f>
        <v/>
      </c>
      <c r="AE125" s="2344"/>
      <c r="AF125" s="2345"/>
      <c r="AG125" s="2346" t="str">
        <f>IF(OR(C125="",C125="  RF"),"",2+INT(N125/1000))</f>
        <v/>
      </c>
      <c r="AH125" s="2346"/>
      <c r="AI125" s="2346"/>
      <c r="AJ125" s="2346"/>
      <c r="AK125" s="2346"/>
      <c r="AL125" s="2346" t="str">
        <f>IF(OR(C125="",C125="  RF"),"",1+INT(N125/500))</f>
        <v/>
      </c>
      <c r="AM125" s="2346"/>
      <c r="AN125" s="2346"/>
      <c r="AO125" s="2346"/>
      <c r="AP125" s="2346"/>
      <c r="AQ125" s="2347" t="str">
        <f>IF(OR(C125="",AL123="設置しない"),"",IF(OR(AND(LEFT($C$18,2)=" B",[6]Top!$U$72&lt;&gt;""),AND(LEFT($C$18,3)="  1",[6]Top!$U$73&lt;&gt;""),AND(LEFT($C$18,3)="  2",[6]Top!$U$75&lt;&gt;""),AND(LEFT($C$18,3)="  3",[6]Top!$U$77&lt;&gt;""),[6]Top!$U$79&lt;&gt;"",[6]Top!$U$81&lt;&gt;""),"Xh1-Ae",IF(OR(AND(LEFT($C$18,2)=" B",[6]Top!$U$72="BL"),AND(LEFT($C$18,3)="  1",[6]Top!$U$73="BL"),AND(LEFT($C$18,3)="  2",[6]Top!$U$75="BL"),AND(LEFT($C$18,3)="  3",[6]Top!$U$77="BL"),[6]Top!$U$79="BL",[6]Top!$U$81="BL"),"Xh1-BLe","")))</f>
        <v/>
      </c>
      <c r="AR125" s="2348"/>
      <c r="AS125" s="2348"/>
      <c r="AT125" s="2348"/>
      <c r="AU125" s="2348"/>
      <c r="AV125" s="2348"/>
      <c r="AW125" s="2348"/>
      <c r="AX125" s="2348"/>
      <c r="AY125" s="2349"/>
      <c r="AZ125" s="2353" t="str">
        <f>IF(OR(N125="",AQ125=""),"",IF(BC125&lt;&gt;"",BC125,1+INT(N125/500)))</f>
        <v/>
      </c>
      <c r="BA125" s="2354"/>
      <c r="BB125" s="2355"/>
      <c r="BC125" s="2305"/>
      <c r="BD125" s="2305"/>
      <c r="BE125" s="2305"/>
      <c r="BF125" s="2281" t="str">
        <f>IF(C125="","",IF(OR(AND(LEFT(C125,2)=" B",[6]Top!$AD$72="要"),AND(LEFT(C125,3)="  1",[6]Top!$AD$73="要"),AND(LEFT(C125,3)="  2",[6]Top!$AD$75="要"),AND(LEFT(C125,3)="  3",[6]Top!$AD$77="要"),[6]Top!$AD$79="C",[6]Top!$AD$81="要"),"Ya1-Ce",""))</f>
        <v/>
      </c>
      <c r="BG125" s="2281"/>
      <c r="BH125" s="2281"/>
      <c r="BI125" s="2281"/>
      <c r="BJ125" s="2281"/>
      <c r="BK125" s="2281"/>
      <c r="BL125" s="2281"/>
      <c r="BM125" s="2281"/>
      <c r="BN125" s="2281"/>
      <c r="BO125" s="2304" t="str">
        <f>IF(OR(C125="",C125="  RF"),"",IF(BR125&lt;&gt;"",BR125,1+INT((BW125+BX125)/20)))</f>
        <v/>
      </c>
      <c r="BP125" s="2304"/>
      <c r="BQ125" s="2304"/>
      <c r="BR125" s="2339"/>
      <c r="BS125" s="2339"/>
      <c r="BT125" s="2339"/>
      <c r="BU125" s="19"/>
      <c r="BV125" s="8">
        <v>18</v>
      </c>
      <c r="BW125" s="98">
        <f>IF(OR(C125="",C125="  RF"),0,SQRT(N125*J124)/2)</f>
        <v>0</v>
      </c>
      <c r="BX125" s="98">
        <f>IF(OR(C125="",C125="  RF"),0,SQRT(N125/J124)/2)</f>
        <v>0</v>
      </c>
      <c r="BY125" s="88" t="s">
        <v>204</v>
      </c>
      <c r="BZ125" s="92">
        <f>IF(OR($BW$10=0,AL123="設置しない",C125="  RF",C125=""),0,IF(LEFT(C125,2)&lt;&gt;"PH",AG125*BW126/2,BW126))</f>
        <v>0</v>
      </c>
      <c r="CA125" s="88" t="s">
        <v>205</v>
      </c>
      <c r="CB125" s="88">
        <f>IF(OR($BW$10=0,AL123="設置しない",C125="  RF",C125=""),0,IF(LEFT(C125,2)="PH",0,(BN127-1)*SQRT(S125/BN127)))</f>
        <v>0</v>
      </c>
      <c r="CC125" s="88" t="s">
        <v>204</v>
      </c>
      <c r="CD125" s="262" t="e">
        <f>IF(OR($BW$10=0,AL123="設置しない",F125=0),0,AG125*(F125-0.1-($Y$7-$AN$8)/1000))</f>
        <v>#VALUE!</v>
      </c>
      <c r="CE125" s="88" t="s">
        <v>205</v>
      </c>
      <c r="CF125" s="88">
        <f>IF(OR($BW$10=0,AL123="設置しない",LEFT(C125,2)="PH",C125="  RF",C125=""),0,(2*BN127-1)*$AN$7/1000)</f>
        <v>0</v>
      </c>
      <c r="CG125" s="88" t="s">
        <v>204</v>
      </c>
      <c r="CH125" s="92">
        <f>IF(OR($BW$10=0,AL123="設置しない",AI124="非:天井ケーブル"),0,BZ125)</f>
        <v>0</v>
      </c>
      <c r="CI125" s="88" t="s">
        <v>205</v>
      </c>
      <c r="CJ125" s="88">
        <f>IF(OR($BW$10=0,AL123="設置しない",AI124="非:天井ケーブル"),0,CB125)</f>
        <v>0</v>
      </c>
      <c r="CK125" s="88" t="s">
        <v>204</v>
      </c>
      <c r="CL125" s="92">
        <f>IF(OR($BW$10=0,AL123="設置しない",C125="  RF",C125=""),0,IF(J125="直天",AG125*(F125-$Y$7/1000),AG125*(J125+0.1-$Y$7/1000)))</f>
        <v>0</v>
      </c>
      <c r="CM125" s="220"/>
      <c r="CN125" s="219"/>
      <c r="CO125" s="134">
        <f>IF(AZ125="",0,VLOOKUP(AQ125,[7]建物1802!$E$5:$AL$3275,33,FALSE)*AZ125)</f>
        <v>0</v>
      </c>
      <c r="CP125" s="136">
        <f>IF(AZ125="",0,VLOOKUP(AQ125,[7]建物1802!$E$5:$AL$3275,30,FALSE)*AZ125)</f>
        <v>0</v>
      </c>
      <c r="CQ125" s="136">
        <f>IF(CO125="","",SQRT(CO125^2-CP125^2))</f>
        <v>0</v>
      </c>
      <c r="CR125" s="189">
        <f>IF(BO125="",0,VLOOKUP(BF125,[7]建物1802!$E$5:$AL$3275,33,FALSE)*BO125)</f>
        <v>0</v>
      </c>
      <c r="CS125" s="189">
        <f>IF(BO125="",0,VLOOKUP(BF125,[7]建物1802!$E$5:$AL$3275,30,FALSE)*BO125)</f>
        <v>0</v>
      </c>
      <c r="CT125" s="259">
        <f>IF(CR125="",0,SQRT(CR125^2-CS125^2))</f>
        <v>0</v>
      </c>
      <c r="CU125" s="14"/>
      <c r="CV125" s="14"/>
      <c r="CW125" s="216"/>
      <c r="CX125" s="8"/>
      <c r="CY125" s="197">
        <f t="shared" si="28"/>
        <v>3</v>
      </c>
      <c r="CZ125" s="197" t="str">
        <f t="shared" si="24"/>
        <v/>
      </c>
      <c r="DA125" s="201" t="str">
        <f>W103</f>
        <v>VV-F 1.6mm-2C</v>
      </c>
      <c r="DB125" s="8"/>
      <c r="DC125" s="8"/>
      <c r="DD125" s="8"/>
      <c r="DE125" s="249" t="str">
        <f>IF(COUNTIF($DA$15:DA124,DA125)&gt;0,"",DA125)</f>
        <v/>
      </c>
      <c r="DF125" s="26">
        <f>AM103</f>
        <v>243</v>
      </c>
      <c r="DG125" s="32">
        <f t="shared" si="25"/>
        <v>0</v>
      </c>
      <c r="DH125" s="198">
        <f t="shared" si="29"/>
        <v>5</v>
      </c>
      <c r="DI125" s="124" t="str">
        <f t="shared" si="26"/>
        <v/>
      </c>
      <c r="DJ125" s="11" t="str">
        <f>AQ104</f>
        <v>Yd2-Ce</v>
      </c>
      <c r="DK125" s="11"/>
      <c r="DL125" s="11"/>
      <c r="DM125" s="9"/>
      <c r="DN125" s="9" t="str">
        <f>IF(COUNTIF($DJ$15:DJ124,DJ125)&gt;0,"",DJ125)</f>
        <v/>
      </c>
      <c r="DO125" s="101">
        <f>AZ104</f>
        <v>2</v>
      </c>
      <c r="DP125" s="32">
        <f t="shared" si="27"/>
        <v>0</v>
      </c>
      <c r="DQ125" s="8"/>
    </row>
    <row r="126" spans="1:126" ht="11.25" customHeight="1">
      <c r="A126" s="15">
        <v>18</v>
      </c>
      <c r="B126" s="227"/>
      <c r="C126" s="2378" t="str">
        <f>IF(C125="","",IF(K126="","VV-F 2.0mm-2C",K126))</f>
        <v/>
      </c>
      <c r="D126" s="2379"/>
      <c r="E126" s="2379"/>
      <c r="F126" s="2379"/>
      <c r="G126" s="2379"/>
      <c r="H126" s="2379"/>
      <c r="I126" s="2379"/>
      <c r="J126" s="2380"/>
      <c r="K126" s="2313"/>
      <c r="L126" s="2314"/>
      <c r="M126" s="2314"/>
      <c r="N126" s="2314"/>
      <c r="O126" s="2314"/>
      <c r="P126" s="2314"/>
      <c r="Q126" s="2314"/>
      <c r="R126" s="2315"/>
      <c r="S126" s="2312" t="str">
        <f>IF(OR(C125="",AL123="設置しない",BH123="設置しない"),"",ROUND((BZ125+CD125),1))</f>
        <v/>
      </c>
      <c r="T126" s="2312"/>
      <c r="U126" s="2312"/>
      <c r="V126" s="2312"/>
      <c r="W126" s="2306" t="str">
        <f>IF(C125="","",IF(AE126="","VV-F 2.0mm-2C",AE126))</f>
        <v/>
      </c>
      <c r="X126" s="2307"/>
      <c r="Y126" s="2307"/>
      <c r="Z126" s="2307"/>
      <c r="AA126" s="2307"/>
      <c r="AB126" s="2307"/>
      <c r="AC126" s="2307"/>
      <c r="AD126" s="2308"/>
      <c r="AE126" s="2313"/>
      <c r="AF126" s="2314"/>
      <c r="AG126" s="2314"/>
      <c r="AH126" s="2314"/>
      <c r="AI126" s="2314"/>
      <c r="AJ126" s="2314"/>
      <c r="AK126" s="2314"/>
      <c r="AL126" s="2315"/>
      <c r="AM126" s="2312" t="str">
        <f>IF(OR(C125="",,AL123="設置しない",BH123="設置しない"),"",ROUND(BZ128,1))</f>
        <v/>
      </c>
      <c r="AN126" s="2312"/>
      <c r="AO126" s="2312"/>
      <c r="AP126" s="2312"/>
      <c r="AQ126" s="2347" t="str">
        <f>IF(OR(C125="",AL123="設置しない"),"",IF(OR(AND(LEFT($C$18,2)=" B",[6]Top!$U$72&lt;&gt;""),AND(LEFT($C$18,3)="  1",[6]Top!$U$73&lt;&gt;""),AND(LEFT($C$18,3)="  2",[6]Top!$U$75&lt;&gt;""),AND(LEFT($C$18,3)="  3",[6]Top!$U$77&lt;&gt;""),[6]Top!$U$79&lt;&gt;"",[6]Top!$U$81&lt;&gt;""),"Xh1-Ae",IF(OR(AND(LEFT($C$18,2)=" B",[6]Top!$U$72="BL"),AND(LEFT($C$18,3)="  1",[6]Top!$U$73="BL"),AND(LEFT($C$18,3)="  2",[6]Top!$U$75="BL"),AND(LEFT($C$18,3)="  3",[6]Top!$U$77="BL"),[6]Top!$U$79="BL",[6]Top!$U$81="BL"),"Xh1-BLe","")))</f>
        <v/>
      </c>
      <c r="AR126" s="2348"/>
      <c r="AS126" s="2348"/>
      <c r="AT126" s="2348"/>
      <c r="AU126" s="2348"/>
      <c r="AV126" s="2348"/>
      <c r="AW126" s="2348"/>
      <c r="AX126" s="2348"/>
      <c r="AY126" s="2349"/>
      <c r="AZ126" s="2304" t="str">
        <f>IF(AA125="","",IF(BC126&lt;&gt;"",BC126,IF(AQ126&lt;&gt;"",1+INT(AA125/3),"")))</f>
        <v/>
      </c>
      <c r="BA126" s="2304"/>
      <c r="BB126" s="2304"/>
      <c r="BC126" s="2305"/>
      <c r="BD126" s="2305"/>
      <c r="BE126" s="2305"/>
      <c r="BF126" s="2281" t="str">
        <f>IF(C125="","",IF(OR(AND(LEFT(C125,2)=" B",[6]Top!$AF$72="要"),AND(LEFT(C125,3)="  1",[6]Top!$AF$73="要"),AND(LEFT(C125,3)="  2",[6]Top!$AF$75="要"),AND(LEFT(C125,3)="  3",[6]Top!$AF$77="要"),[6]Top!$AF$79="要",[6]Top!$AF$81="要"),"D15V-321PXe",""))</f>
        <v/>
      </c>
      <c r="BG126" s="2281"/>
      <c r="BH126" s="2281"/>
      <c r="BI126" s="2282"/>
      <c r="BJ126" s="2282"/>
      <c r="BK126" s="2282"/>
      <c r="BL126" s="2282"/>
      <c r="BM126" s="2282"/>
      <c r="BN126" s="2282"/>
      <c r="BO126" s="2283" t="str">
        <f>IF(OR(C125="",C125="  RF",BF126=""),"",IF(BR126&lt;&gt;"",BR126,2*(1+INT(N125/500))))</f>
        <v/>
      </c>
      <c r="BP126" s="2283"/>
      <c r="BQ126" s="2283"/>
      <c r="BR126" s="2303"/>
      <c r="BS126" s="2303"/>
      <c r="BT126" s="2303"/>
      <c r="BU126" s="19"/>
      <c r="BV126" s="46" t="str">
        <f>V124</f>
        <v/>
      </c>
      <c r="BW126" s="263" t="str">
        <f>IF(C125="","",IF(BV126="①",BW125+BX125+3,IF(BV126="②",BW125*5/8+BX125+3,IF(BV126="③",BW125/2+BX125+3,IF(BV126="④",BW125+BX125*5/8+3,IF(BV126="⑤",(BW125+BX125)*5/8+3,IF(BV126="⑥",BW125/2+BX125*5/8+3,IF(BV126="⑦",BW125+BX125/2+3,IF(BV126="⑧",BW125*5/8+BX125/2+3,IF(BV126="⑨",(BW125+BX125)/2+3))))))))))</f>
        <v/>
      </c>
      <c r="BX126" s="8"/>
      <c r="BY126" s="88" t="s">
        <v>202</v>
      </c>
      <c r="BZ126" s="92">
        <f>IF(OR($BW$10=0,BH123="設置しない",C125="  RF",C125=""),0,IF(LEFT(C125,2)&lt;&gt;"PH",AL125*BW126/2,BW126))</f>
        <v>0</v>
      </c>
      <c r="CA126" s="88" t="s">
        <v>203</v>
      </c>
      <c r="CB126" s="88">
        <f>IF(OR($BW$10=0,AY123="設置しない",BN128=""),0,(BN128-1)*SQRT(W125/BN128))</f>
        <v>0</v>
      </c>
      <c r="CC126" s="88" t="s">
        <v>202</v>
      </c>
      <c r="CD126" s="262" t="e">
        <f>IF(OR($BW$10=0,BH123="設置しない",F125=0),0,AG125*(F125-0.1-($AN$8-$Y$7)/1000))</f>
        <v>#VALUE!</v>
      </c>
      <c r="CE126" s="88" t="s">
        <v>203</v>
      </c>
      <c r="CF126" s="88">
        <f>IF(OR($BW$10=0,BH123="設置しない",BN128=""),0,(2*BN128-1)*$AN$7/1000)</f>
        <v>0</v>
      </c>
      <c r="CG126" s="88" t="s">
        <v>202</v>
      </c>
      <c r="CH126" s="92">
        <f>IF(OR($BW$10=0,BH123="設置しない",AI124="非:天井ケーブル"),0,BZ126)</f>
        <v>0</v>
      </c>
      <c r="CI126" s="88" t="s">
        <v>203</v>
      </c>
      <c r="CJ126" s="88">
        <f>IF(OR($BW$10=0,BH123="設置しない",AI124="非:天井ケーブル"),0,CB126)</f>
        <v>0</v>
      </c>
      <c r="CK126" s="88" t="s">
        <v>202</v>
      </c>
      <c r="CL126" s="92">
        <f>IF(OR($BW$10=0,BH123="設置しない",C125="  RF",C125=""),0,IF(J125="直天",AG125*(F125-$Y$7/1000),AG125*(J125+0.1-$Y$7/1000)))</f>
        <v>0</v>
      </c>
      <c r="CM126" s="141"/>
      <c r="CN126" s="142"/>
      <c r="CO126" s="136">
        <f>IF(AZ126="",0,(VLOOKUP(AQ126,[7]建物1802!$E$5:$AL$3275,33,FALSE))*AZ126)</f>
        <v>0</v>
      </c>
      <c r="CP126" s="136">
        <f>IF(AZ126="",0,VLOOKUP(AQ126,[7]建物1802!$E$5:$AL$3275,30,FALSE)*AZ126)</f>
        <v>0</v>
      </c>
      <c r="CQ126" s="136">
        <f>IF(CO126="","",SQRT(CO126^2-CP126^2))</f>
        <v>0</v>
      </c>
      <c r="CR126" s="189">
        <f>IF(BO126="",0,VLOOKUP(BF126,[7]建物1802!$E$5:$AL$3275,33,FALSE)*BO126)</f>
        <v>0</v>
      </c>
      <c r="CS126" s="189">
        <f>IF(BO126="",0,VLOOKUP(BF126,[7]建物1802!$E$5:$AL$3275,30,FALSE)*BO126)</f>
        <v>0</v>
      </c>
      <c r="CT126" s="259">
        <f>IF(CR126="",0,SQRT(CR126^2-CS126^2))</f>
        <v>0</v>
      </c>
      <c r="CU126" s="14"/>
      <c r="CV126" s="14"/>
      <c r="CW126" s="216"/>
      <c r="CX126" s="8"/>
      <c r="CY126" s="197">
        <f t="shared" si="28"/>
        <v>3</v>
      </c>
      <c r="CZ126" s="197" t="str">
        <f t="shared" si="24"/>
        <v/>
      </c>
      <c r="DA126" s="10" t="str">
        <f>C104</f>
        <v/>
      </c>
      <c r="DB126" s="8"/>
      <c r="DC126" s="8"/>
      <c r="DD126" s="8"/>
      <c r="DE126" s="249" t="str">
        <f>IF(COUNTIF($DA$15:DA125,DA126)&gt;0,"",DA126)</f>
        <v/>
      </c>
      <c r="DF126" s="26" t="str">
        <f>I104</f>
        <v/>
      </c>
      <c r="DG126" s="32">
        <f t="shared" si="25"/>
        <v>0</v>
      </c>
      <c r="DH126" s="198">
        <f t="shared" si="29"/>
        <v>5</v>
      </c>
      <c r="DI126" s="124" t="str">
        <f t="shared" si="26"/>
        <v/>
      </c>
      <c r="DJ126" s="11" t="str">
        <f>BF101</f>
        <v>Ya1-Ce</v>
      </c>
      <c r="DK126" s="11"/>
      <c r="DL126" s="11"/>
      <c r="DM126" s="9"/>
      <c r="DN126" s="9" t="str">
        <f>IF(COUNTIF($DJ$15:DJ125,DJ126)&gt;0,"",DJ126)</f>
        <v/>
      </c>
      <c r="DO126" s="101">
        <f>BO101</f>
        <v>2</v>
      </c>
      <c r="DP126" s="13">
        <f t="shared" si="27"/>
        <v>0</v>
      </c>
      <c r="DQ126" s="8"/>
    </row>
    <row r="127" spans="1:126" ht="11.25" customHeight="1">
      <c r="A127" s="15"/>
      <c r="B127" s="23"/>
      <c r="C127" s="2378" t="str">
        <f>IF(C125="","",IF(K127="","VV-F 1.6mm-2C",K127))</f>
        <v/>
      </c>
      <c r="D127" s="2379"/>
      <c r="E127" s="2379"/>
      <c r="F127" s="2379"/>
      <c r="G127" s="2379"/>
      <c r="H127" s="2379"/>
      <c r="I127" s="2379"/>
      <c r="J127" s="2380"/>
      <c r="K127" s="2313"/>
      <c r="L127" s="2314"/>
      <c r="M127" s="2314"/>
      <c r="N127" s="2314"/>
      <c r="O127" s="2314"/>
      <c r="P127" s="2314"/>
      <c r="Q127" s="2314"/>
      <c r="R127" s="2315"/>
      <c r="S127" s="2312" t="str">
        <f>IF(OR(C125="",C125="  RF"),"",INT(CB125+CB126+CF125+CF126+CD127))</f>
        <v/>
      </c>
      <c r="T127" s="2312"/>
      <c r="U127" s="2312"/>
      <c r="V127" s="2312"/>
      <c r="W127" s="2306" t="str">
        <f>IF(C125="","",IF(AE127="","VV-F 1.6mm-2C",AE127))</f>
        <v/>
      </c>
      <c r="X127" s="2307"/>
      <c r="Y127" s="2307"/>
      <c r="Z127" s="2307"/>
      <c r="AA127" s="2307"/>
      <c r="AB127" s="2307"/>
      <c r="AC127" s="2307"/>
      <c r="AD127" s="2308"/>
      <c r="AE127" s="2313"/>
      <c r="AF127" s="2314"/>
      <c r="AG127" s="2314"/>
      <c r="AH127" s="2314"/>
      <c r="AI127" s="2314"/>
      <c r="AJ127" s="2314"/>
      <c r="AK127" s="2314"/>
      <c r="AL127" s="2315"/>
      <c r="AM127" s="2306" t="str">
        <f>IF(OR(C125="",C125="  RF"),"",INT(CB128+CD127))</f>
        <v/>
      </c>
      <c r="AN127" s="2307"/>
      <c r="AO127" s="2307"/>
      <c r="AP127" s="2308"/>
      <c r="AQ127" s="2309" t="str">
        <f>IF(OR(C125="",S125=""),"",IF(OR(AND(LEFT(C125,2)=" B",[8]非誘!$W$72="C"),AND(LEFT(C125,3)="  1",[8]非誘!$W$74="C"),AND(LEFT(C125,3)="  2",[8]非誘!$W$76="C"),AND(LEFT(C125,3)="  3",[8]非誘!$W$78="C"),[8]非誘!$W$80="C",[8]非誘!$W$81="C"),"Yd2-BHe",""))</f>
        <v/>
      </c>
      <c r="AR127" s="2310"/>
      <c r="AS127" s="2310"/>
      <c r="AT127" s="2310"/>
      <c r="AU127" s="2310"/>
      <c r="AV127" s="2310"/>
      <c r="AW127" s="2310"/>
      <c r="AX127" s="2310"/>
      <c r="AY127" s="2311"/>
      <c r="AZ127" s="2304" t="str">
        <f>IF(AQ127="","",IF(OR(C125="",C125="  RF"),"",IF(BC127&lt;&gt;"",BC127,AA125)))</f>
        <v/>
      </c>
      <c r="BA127" s="2304"/>
      <c r="BB127" s="2304"/>
      <c r="BC127" s="2305"/>
      <c r="BD127" s="2305"/>
      <c r="BE127" s="2305"/>
      <c r="BF127" s="2316" t="s">
        <v>10</v>
      </c>
      <c r="BG127" s="2317"/>
      <c r="BH127" s="2318"/>
      <c r="BI127" s="2319" t="str">
        <f>IF(OR($BW$10=0,AL123="設置しない",C125="",C125="  RF"),"",IF(OR(AND(LEFT(C125,2)=" B",[6]Top!$O$72="要"),AND(LEFT(C125,3)="  1",[6]Top!$O$74="要"),AND(LEFT(C125,3)="  2",[6]Top!$O$76="要"),AND(LEFT(C125,3)="  3",[6]Top!$O$78="要"),[6]Top!$O$80="要",[6]Top!$O$81="要",$Y$9="設置する"),"d4-30e",""))</f>
        <v/>
      </c>
      <c r="BJ127" s="2320"/>
      <c r="BK127" s="2320"/>
      <c r="BL127" s="2320"/>
      <c r="BM127" s="2321"/>
      <c r="BN127" s="2319" t="str">
        <f>IF(OR($BW$10=0,AL123="設置しない",C125="",C125="  RF"),"",IF(LEFT(C125,2)="PH","",IF(BR127&lt;&gt;"",BR127,IF((1+INT(S125/110))&lt;=AA125,AA125,1+INT(S125/110)))))</f>
        <v/>
      </c>
      <c r="BO127" s="2320"/>
      <c r="BP127" s="2321"/>
      <c r="BQ127" s="31" t="s">
        <v>211</v>
      </c>
      <c r="BR127" s="2322"/>
      <c r="BS127" s="2323"/>
      <c r="BT127" s="2324"/>
      <c r="BU127" s="19"/>
      <c r="BV127" s="226"/>
      <c r="BW127" s="196"/>
      <c r="BX127" s="8"/>
      <c r="BY127" s="88" t="s">
        <v>200</v>
      </c>
      <c r="BZ127" s="222">
        <f>SUM(AZ125:BB128)+SUM(BO125:BQ128)</f>
        <v>0</v>
      </c>
      <c r="CA127" s="8"/>
      <c r="CB127" s="8"/>
      <c r="CC127" s="88" t="s">
        <v>121</v>
      </c>
      <c r="CD127" s="88">
        <f>IF($AW$8=0,0,2*($AW$8/1000-0.15-0.1)*(INT(1000*2*BW125/$AW$10)+1)*(INT(1000*2*BX125/$AW$10)+1)*4)</f>
        <v>3.5999999999999996</v>
      </c>
      <c r="CE127" s="8"/>
      <c r="CF127" s="8"/>
      <c r="CG127" s="168"/>
      <c r="CH127" s="261"/>
      <c r="CI127" s="8"/>
      <c r="CJ127" s="8"/>
      <c r="CK127" s="168"/>
      <c r="CL127" s="261"/>
      <c r="CM127" s="8"/>
      <c r="CN127" s="8"/>
      <c r="CO127" s="136">
        <f>IF(AZ127="",0,VLOOKUP(AQ127,[7]建物1802!$E$5:$AL$3275,33,FALSE)*AZ127)</f>
        <v>0</v>
      </c>
      <c r="CP127" s="136">
        <f>IF(AZ127="",0,VLOOKUP(AQ127,[7]建物1802!$E$5:$AL$3275,30,FALSE)*AZ127)</f>
        <v>0</v>
      </c>
      <c r="CQ127" s="136">
        <f>IF(CO127="","",SQRT(CO127^2-CP127^2))</f>
        <v>0</v>
      </c>
      <c r="CR127" s="260"/>
      <c r="CS127" s="14"/>
      <c r="CT127" s="14"/>
      <c r="CU127" s="14"/>
      <c r="CV127" s="14"/>
      <c r="CW127" s="216"/>
      <c r="CX127" s="8"/>
      <c r="CY127" s="197">
        <f t="shared" si="28"/>
        <v>3</v>
      </c>
      <c r="CZ127" s="197" t="str">
        <f t="shared" si="24"/>
        <v/>
      </c>
      <c r="DA127" s="201" t="str">
        <f>M104</f>
        <v/>
      </c>
      <c r="DB127" s="8"/>
      <c r="DC127" s="8"/>
      <c r="DD127" s="8"/>
      <c r="DE127" s="249" t="str">
        <f>IF(COUNTIF($DA$15:DA126,DA127)&gt;0,"",DA127)</f>
        <v/>
      </c>
      <c r="DF127" s="26" t="str">
        <f>S104</f>
        <v/>
      </c>
      <c r="DG127" s="32">
        <f t="shared" si="25"/>
        <v>0</v>
      </c>
      <c r="DH127" s="198">
        <f t="shared" si="29"/>
        <v>5</v>
      </c>
      <c r="DI127" s="124" t="str">
        <f t="shared" si="26"/>
        <v/>
      </c>
      <c r="DJ127" s="11" t="str">
        <f>BF102</f>
        <v/>
      </c>
      <c r="DK127" s="11"/>
      <c r="DL127" s="11"/>
      <c r="DM127" s="9"/>
      <c r="DN127" s="9" t="str">
        <f>IF(COUNTIF($DJ$15:DJ126,DJ127)&gt;0,"",DJ127)</f>
        <v/>
      </c>
      <c r="DO127" s="101" t="str">
        <f>BO102</f>
        <v/>
      </c>
      <c r="DP127" s="13">
        <f t="shared" si="27"/>
        <v>0</v>
      </c>
      <c r="DQ127" s="9"/>
    </row>
    <row r="128" spans="1:126" ht="11.25" customHeight="1" thickBot="1">
      <c r="A128" s="15"/>
      <c r="B128" s="23"/>
      <c r="C128" s="2359" t="str">
        <f>IF(C125="","",IF(I128="","",IF(AI124="非:天井(C管)","C-19mm",IF(AI124="非:天井(G管)","G- 16mm","PF-S-16mm"))))</f>
        <v/>
      </c>
      <c r="D128" s="2360"/>
      <c r="E128" s="2360"/>
      <c r="F128" s="2360"/>
      <c r="G128" s="2360"/>
      <c r="H128" s="2360"/>
      <c r="I128" s="2335" t="str">
        <f>IF(OR(C125="",AL123="設置しない",BH123="設置しない",$BW$10=0,CH125=0,CJ125=0),"",IF(J125="直天",ROUND((BZ125+CB125),1),ROUND((CH125+CJ125),1)))</f>
        <v/>
      </c>
      <c r="J128" s="2335"/>
      <c r="K128" s="2335"/>
      <c r="L128" s="2335"/>
      <c r="M128" s="2359" t="str">
        <f>IF(C125="","",IF(S128="","",IF(BC124="誘:天井(C管)","C-19mm",IF(BC124="誘:天井(G管)","G- 16mm","PF-S-16mm"))))</f>
        <v/>
      </c>
      <c r="N128" s="2360"/>
      <c r="O128" s="2360"/>
      <c r="P128" s="2360"/>
      <c r="Q128" s="2360"/>
      <c r="R128" s="2361"/>
      <c r="S128" s="2312" t="str">
        <f>IF(OR(C125="",,AL123="設置しない",BH123="設置しない",$BW$10=0,CH128=0,CJ128=0),"",IF(J125="直天",ROUND((BZ128+CB128),1),ROUND((CH128+CJ128),1)))</f>
        <v/>
      </c>
      <c r="T128" s="2312"/>
      <c r="U128" s="2312"/>
      <c r="V128" s="2312"/>
      <c r="W128" s="2359" t="str">
        <f>IF(C125="","",IF($B$2=0,"",IF(OR(AI124="非:天井(C管)",AI124="非:床(C管)"),"C-19mm",IF(OR(AI124="非:天井(G管)",AI124="非:床(G管)"),"G-16mm",IF(AI124="非:床(CD管)","CD-16mm","PF-S-16mm")))))</f>
        <v/>
      </c>
      <c r="X128" s="2360"/>
      <c r="Y128" s="2360"/>
      <c r="Z128" s="2360"/>
      <c r="AA128" s="2360"/>
      <c r="AB128" s="2361"/>
      <c r="AC128" s="2362" t="str">
        <f>IF(OR(C125="",AL123="設置しない",BH123="設置しない"),"",ROUND(CL125,1))</f>
        <v/>
      </c>
      <c r="AD128" s="2312"/>
      <c r="AE128" s="2312"/>
      <c r="AF128" s="2312"/>
      <c r="AG128" s="2333" t="str">
        <f>IF(C125="","",IF($B$2=0,"",IF(BC124="誘:天井(C管)","C-19mm",IF(BC124="誘:天井(G管)","G-16mm","PF-S-16mm"))))</f>
        <v/>
      </c>
      <c r="AH128" s="2333"/>
      <c r="AI128" s="2333"/>
      <c r="AJ128" s="2333"/>
      <c r="AK128" s="2333"/>
      <c r="AL128" s="2333"/>
      <c r="AM128" s="2334" t="str">
        <f>IF(OR(C125="",AL123="設置しない",BH123="設置しない"),"",ROUND((CL128+CN128),1))</f>
        <v/>
      </c>
      <c r="AN128" s="2335"/>
      <c r="AO128" s="2335"/>
      <c r="AP128" s="2335"/>
      <c r="AQ128" s="2291" t="str">
        <f>IF(C125="","",IF(OR(AND(LEFT(C125,2)=" B",[6]Top!$AA$72="C"),AND(LEFT(C125,3)="  1",[6]Top!$AA$73="C"),AND(LEFT(C125,3)="  2",[6]Top!$AA$75="C"),AND(LEFT(C125,3)="  3",[6]Top!$AA$77="C"),[6]Top!$AA$79="C",[6]Top!$AA$81="C"),"Yd2-Ce",""))</f>
        <v/>
      </c>
      <c r="AR128" s="2292"/>
      <c r="AS128" s="2292"/>
      <c r="AT128" s="2292"/>
      <c r="AU128" s="2292"/>
      <c r="AV128" s="2292"/>
      <c r="AW128" s="2292"/>
      <c r="AX128" s="2292"/>
      <c r="AY128" s="2293"/>
      <c r="AZ128" s="2294" t="str">
        <f>IF(OR(C125="",C125="  RF",AQ128=""),"",IF(BC128&lt;&gt;"",BC128,1+INT((BW125+BX125)/20)))</f>
        <v/>
      </c>
      <c r="BA128" s="2295"/>
      <c r="BB128" s="2296"/>
      <c r="BC128" s="2287"/>
      <c r="BD128" s="2287"/>
      <c r="BE128" s="2287"/>
      <c r="BF128" s="2363" t="s">
        <v>127</v>
      </c>
      <c r="BG128" s="2364"/>
      <c r="BH128" s="2365"/>
      <c r="BI128" s="2335" t="str">
        <f>IF(OR($BW$10=0,AY123="設置しない",C125="",C125="  RF"),"",IF(OR(AND(LEFT(C125,2)=" B",[6]Top!$O$72="要"),AND(LEFT(C125,3)="  1",[6]Top!$O$74="要"),AND(LEFT(C125,3)="  2",[6]Top!$O$76="要"),AND(LEFT(C125,3)="  3",[6]Top!$O$78="要"),[6]Top!$O$80="要",[6]Top!$O$81="要",$Y$10="設置する"),"d4-13e",""))</f>
        <v/>
      </c>
      <c r="BJ128" s="2335"/>
      <c r="BK128" s="2335"/>
      <c r="BL128" s="2335"/>
      <c r="BM128" s="2335"/>
      <c r="BN128" s="2335" t="str">
        <f>IF(OR($BW$10=0,BH123="設置しない",C125="",C125="  RF"),"",IF(BR128&lt;&gt;"",BR128,INT(AD125*1.2)))</f>
        <v/>
      </c>
      <c r="BO128" s="2335"/>
      <c r="BP128" s="2335"/>
      <c r="BQ128" s="31" t="s">
        <v>211</v>
      </c>
      <c r="BR128" s="2350"/>
      <c r="BS128" s="2351"/>
      <c r="BT128" s="2352"/>
      <c r="BU128" s="19"/>
      <c r="BV128" s="8"/>
      <c r="BW128" s="8"/>
      <c r="BX128" s="8"/>
      <c r="BY128" s="88" t="s">
        <v>199</v>
      </c>
      <c r="BZ128" s="151">
        <f>IF(AL125="",0,AL125*SQRT(N125/BZ127))</f>
        <v>0</v>
      </c>
      <c r="CA128" s="88" t="s">
        <v>198</v>
      </c>
      <c r="CB128" s="151">
        <f>IF(BZ127=0,0,(BZ127/3)*BW126)</f>
        <v>0</v>
      </c>
      <c r="CC128" s="88" t="s">
        <v>199</v>
      </c>
      <c r="CD128" s="151" t="e">
        <f>IF(F125=0,0,F125-0.25-$Y$7/1000)</f>
        <v>#VALUE!</v>
      </c>
      <c r="CE128" s="88" t="s">
        <v>198</v>
      </c>
      <c r="CF128" s="151" t="e">
        <f>IF(F125=0,0,(2*(BZ127-BO125)-1)*$AN$7/1000+(2*BO125-1)*(F125-0.75))</f>
        <v>#VALUE!</v>
      </c>
      <c r="CG128" s="88" t="s">
        <v>199</v>
      </c>
      <c r="CH128" s="151">
        <f>IF(BC124="誘:天井ケーブル",0,BZ128)</f>
        <v>0</v>
      </c>
      <c r="CI128" s="88" t="s">
        <v>198</v>
      </c>
      <c r="CJ128" s="151">
        <f>IF(BC124="誘:天井ケーブル",0,CB128)</f>
        <v>0</v>
      </c>
      <c r="CK128" s="88" t="s">
        <v>199</v>
      </c>
      <c r="CL128" s="259" t="e">
        <f>IF(F125=0,0,IF(J125="直天",AL125*(F125-$Y$7/1000),AL125*(J125+0.1-$Y$7/1000)))</f>
        <v>#VALUE!</v>
      </c>
      <c r="CM128" s="88" t="s">
        <v>198</v>
      </c>
      <c r="CN128" s="151" t="e">
        <f>IF(F125=0,0,IF(J125="直天",BO125*(2*BO125-1)*(F125-0.5),BO125*(2*BO125-1)*(J125-0.4)))</f>
        <v>#VALUE!</v>
      </c>
      <c r="CO128" s="136">
        <f>IF(AZ128="",0,VLOOKUP(AQ128,[7]建物1802!$E$5:$AL$3275,33,FALSE)*AZ128)</f>
        <v>0</v>
      </c>
      <c r="CP128" s="136">
        <f>IF(AZ128="",0,VLOOKUP(AQ128,[7]建物1802!$E$5:$AL$3275,30,FALSE)*AZ128)</f>
        <v>0</v>
      </c>
      <c r="CQ128" s="136">
        <f>IF(CO128="","",SQRT(CO128^2-CP128^2))</f>
        <v>0</v>
      </c>
      <c r="CR128" s="26"/>
      <c r="CS128" s="26"/>
      <c r="CT128" s="26"/>
      <c r="CU128" s="26"/>
      <c r="CV128" s="26"/>
      <c r="CW128" s="218"/>
      <c r="CX128" s="8"/>
      <c r="CY128" s="197">
        <f t="shared" si="28"/>
        <v>3</v>
      </c>
      <c r="CZ128" s="197" t="str">
        <f t="shared" si="24"/>
        <v/>
      </c>
      <c r="DA128" s="201" t="str">
        <f>W104</f>
        <v>PF-S-16mm</v>
      </c>
      <c r="DB128" s="8"/>
      <c r="DC128" s="8"/>
      <c r="DD128" s="8"/>
      <c r="DE128" s="249" t="str">
        <f>IF(COUNTIF($DA$15:DA127,DA128)&gt;0,"",DA128)</f>
        <v/>
      </c>
      <c r="DF128" s="26">
        <f>AC104</f>
        <v>3.9</v>
      </c>
      <c r="DG128" s="32">
        <f t="shared" si="25"/>
        <v>0</v>
      </c>
      <c r="DH128" s="198">
        <f t="shared" si="29"/>
        <v>5</v>
      </c>
      <c r="DI128" s="199" t="str">
        <f t="shared" si="26"/>
        <v/>
      </c>
      <c r="DJ128" s="201" t="str">
        <f>BI103</f>
        <v>d4-30e</v>
      </c>
      <c r="DK128" s="10"/>
      <c r="DL128" s="10"/>
      <c r="DM128" s="8"/>
      <c r="DN128" s="249" t="str">
        <f>IF(COUNTIF($DJ$15:DJ127,DJ128)&gt;0,"",DJ128)</f>
        <v/>
      </c>
      <c r="DO128" s="200">
        <f>BN103</f>
        <v>7</v>
      </c>
      <c r="DP128" s="32">
        <f t="shared" si="27"/>
        <v>0</v>
      </c>
      <c r="DQ128" s="8"/>
    </row>
    <row r="129" spans="1:121" ht="11.25" customHeight="1" thickBot="1">
      <c r="A129" s="15"/>
      <c r="B129" s="23"/>
      <c r="C129" s="2288" t="s">
        <v>112</v>
      </c>
      <c r="D129" s="2289"/>
      <c r="E129" s="2289"/>
      <c r="F129" s="2289"/>
      <c r="G129" s="2289"/>
      <c r="H129" s="2289"/>
      <c r="I129" s="2290"/>
      <c r="J129" s="2356" t="str">
        <f>[5]照差!$I$146</f>
        <v/>
      </c>
      <c r="K129" s="2357"/>
      <c r="L129" s="2358"/>
      <c r="M129" s="2375" t="str">
        <f>[5]照差!$M$146</f>
        <v/>
      </c>
      <c r="N129" s="2376"/>
      <c r="O129" s="2376"/>
      <c r="P129" s="2376"/>
      <c r="Q129" s="2376"/>
      <c r="R129" s="2376"/>
      <c r="S129" s="2376"/>
      <c r="T129" s="2376"/>
      <c r="U129" s="2377"/>
      <c r="V129" s="2275" t="s">
        <v>217</v>
      </c>
      <c r="W129" s="2276"/>
      <c r="X129" s="2276"/>
      <c r="Y129" s="2276"/>
      <c r="Z129" s="2277"/>
      <c r="AA129" s="2278" t="str">
        <f>[6]Top!$I$60</f>
        <v/>
      </c>
      <c r="AB129" s="2279"/>
      <c r="AC129" s="2280" t="s">
        <v>216</v>
      </c>
      <c r="AD129" s="2280"/>
      <c r="AE129" s="2280"/>
      <c r="AF129" s="2280"/>
      <c r="AG129" s="2280"/>
      <c r="AH129" s="2280"/>
      <c r="AI129" s="2280"/>
      <c r="AJ129" s="2280"/>
      <c r="AK129" s="2280"/>
      <c r="AL129" s="2356" t="str">
        <f>IF($BW$10=0,"設置しない",IF(AS129="","設置する",AS129))</f>
        <v>設置する</v>
      </c>
      <c r="AM129" s="2357"/>
      <c r="AN129" s="2357"/>
      <c r="AO129" s="2357"/>
      <c r="AP129" s="2357"/>
      <c r="AQ129" s="2358"/>
      <c r="AR129" s="265" t="s">
        <v>211</v>
      </c>
      <c r="AS129" s="2284"/>
      <c r="AT129" s="2285"/>
      <c r="AU129" s="2285"/>
      <c r="AV129" s="2285"/>
      <c r="AW129" s="2285"/>
      <c r="AX129" s="2286"/>
      <c r="AY129" s="2280" t="s">
        <v>215</v>
      </c>
      <c r="AZ129" s="2280"/>
      <c r="BA129" s="2280"/>
      <c r="BB129" s="2280"/>
      <c r="BC129" s="2280"/>
      <c r="BD129" s="2280"/>
      <c r="BE129" s="2280"/>
      <c r="BF129" s="2280"/>
      <c r="BG129" s="2280"/>
      <c r="BH129" s="2356" t="str">
        <f>IF($BW$10=0,"設置しない",IF(BO129="","設置する",BO129))</f>
        <v>設置する</v>
      </c>
      <c r="BI129" s="2357"/>
      <c r="BJ129" s="2357"/>
      <c r="BK129" s="2357"/>
      <c r="BL129" s="2357"/>
      <c r="BM129" s="2358"/>
      <c r="BN129" s="265" t="s">
        <v>211</v>
      </c>
      <c r="BO129" s="2284"/>
      <c r="BP129" s="2285"/>
      <c r="BQ129" s="2285"/>
      <c r="BR129" s="2285"/>
      <c r="BS129" s="2285"/>
      <c r="BT129" s="2286"/>
      <c r="BU129" s="19"/>
      <c r="BV129" s="8"/>
      <c r="BW129" s="8"/>
      <c r="BX129" s="8"/>
      <c r="BY129" s="9"/>
      <c r="BZ129" s="9"/>
      <c r="CA129" s="9"/>
      <c r="CB129" s="9"/>
      <c r="CC129" s="9"/>
      <c r="CD129" s="9"/>
      <c r="CE129" s="9"/>
      <c r="CF129" s="9"/>
      <c r="CG129" s="9"/>
      <c r="CH129" s="9"/>
      <c r="CI129" s="9"/>
      <c r="CJ129" s="9"/>
      <c r="CK129" s="9"/>
      <c r="CL129" s="9"/>
      <c r="CM129" s="9"/>
      <c r="CN129" s="9"/>
      <c r="CO129" s="254"/>
      <c r="CP129" s="254"/>
      <c r="CQ129" s="254"/>
      <c r="CR129" s="14"/>
      <c r="CS129" s="14"/>
      <c r="CT129" s="14"/>
      <c r="CU129" s="14"/>
      <c r="CV129" s="14"/>
      <c r="CW129" s="216"/>
      <c r="CX129" s="88">
        <v>15</v>
      </c>
      <c r="CY129" s="204">
        <f t="shared" si="28"/>
        <v>3</v>
      </c>
      <c r="CZ129" s="155" t="str">
        <f t="shared" si="24"/>
        <v/>
      </c>
      <c r="DA129" s="210" t="str">
        <f>AG104</f>
        <v>PF-S-16mm</v>
      </c>
      <c r="DB129" s="45"/>
      <c r="DC129" s="45"/>
      <c r="DD129" s="45"/>
      <c r="DE129" s="153" t="str">
        <f>IF(COUNTIF($DA$15:DA128,DA129)&gt;0,"",DA129)</f>
        <v/>
      </c>
      <c r="DF129" s="152">
        <f>AM104</f>
        <v>19.5</v>
      </c>
      <c r="DG129" s="32">
        <f t="shared" si="25"/>
        <v>0</v>
      </c>
      <c r="DH129" s="124">
        <f t="shared" si="29"/>
        <v>5</v>
      </c>
      <c r="DI129" s="149" t="str">
        <f t="shared" si="26"/>
        <v/>
      </c>
      <c r="DJ129" s="210" t="str">
        <f>BI104</f>
        <v>d4-13e</v>
      </c>
      <c r="DK129" s="154"/>
      <c r="DL129" s="154"/>
      <c r="DM129" s="45"/>
      <c r="DN129" s="45" t="str">
        <f>IF(COUNTIF($DJ$15:DJ128,DJ129)&gt;0,"",DJ129)</f>
        <v/>
      </c>
      <c r="DO129" s="209">
        <f>BN104</f>
        <v>14</v>
      </c>
      <c r="DP129" s="169">
        <f t="shared" si="27"/>
        <v>0</v>
      </c>
      <c r="DQ129" s="88">
        <v>15</v>
      </c>
    </row>
    <row r="130" spans="1:121" ht="11.25" customHeight="1" thickBot="1">
      <c r="A130" s="15"/>
      <c r="B130" s="23"/>
      <c r="C130" s="2300" t="s">
        <v>214</v>
      </c>
      <c r="D130" s="2301"/>
      <c r="E130" s="2301"/>
      <c r="F130" s="2301"/>
      <c r="G130" s="2301"/>
      <c r="H130" s="2301"/>
      <c r="I130" s="2302"/>
      <c r="J130" s="2297" t="str">
        <f>[5]照差!$K$147</f>
        <v/>
      </c>
      <c r="K130" s="2298"/>
      <c r="L130" s="2298"/>
      <c r="M130" s="2298"/>
      <c r="N130" s="2299" t="s">
        <v>213</v>
      </c>
      <c r="O130" s="2299"/>
      <c r="P130" s="2299"/>
      <c r="Q130" s="2299"/>
      <c r="R130" s="2299"/>
      <c r="S130" s="2299"/>
      <c r="T130" s="2299"/>
      <c r="U130" s="2299"/>
      <c r="V130" s="2366" t="str">
        <f>[5]照差!$W$147</f>
        <v/>
      </c>
      <c r="W130" s="2366"/>
      <c r="X130" s="2366"/>
      <c r="Y130" s="2299" t="s">
        <v>135</v>
      </c>
      <c r="Z130" s="2299"/>
      <c r="AA130" s="2299"/>
      <c r="AB130" s="2299"/>
      <c r="AC130" s="2299"/>
      <c r="AD130" s="2299" t="s">
        <v>18</v>
      </c>
      <c r="AE130" s="2299"/>
      <c r="AF130" s="2299"/>
      <c r="AG130" s="2299"/>
      <c r="AH130" s="2299"/>
      <c r="AI130" s="2337" t="str">
        <f>IF($B$2=0,"",IF(AQ130="","非:天井ケーブル",AQ130))</f>
        <v>非:天井ケーブル</v>
      </c>
      <c r="AJ130" s="2337"/>
      <c r="AK130" s="2337"/>
      <c r="AL130" s="2337"/>
      <c r="AM130" s="2337"/>
      <c r="AN130" s="2337"/>
      <c r="AO130" s="2337"/>
      <c r="AP130" s="175" t="s">
        <v>211</v>
      </c>
      <c r="AQ130" s="2338"/>
      <c r="AR130" s="2338"/>
      <c r="AS130" s="2338"/>
      <c r="AT130" s="2338"/>
      <c r="AU130" s="2338"/>
      <c r="AV130" s="2338"/>
      <c r="AW130" s="2338"/>
      <c r="AX130" s="2299" t="s">
        <v>212</v>
      </c>
      <c r="AY130" s="2299"/>
      <c r="AZ130" s="2299"/>
      <c r="BA130" s="2299"/>
      <c r="BB130" s="2299"/>
      <c r="BC130" s="2337" t="str">
        <f>IF($B$2=0,"",IF(BK130="","誘:天井ケーブル",BK130))</f>
        <v>誘:天井ケーブル</v>
      </c>
      <c r="BD130" s="2337"/>
      <c r="BE130" s="2337"/>
      <c r="BF130" s="2337"/>
      <c r="BG130" s="2337"/>
      <c r="BH130" s="2337"/>
      <c r="BI130" s="2337"/>
      <c r="BJ130" s="175" t="s">
        <v>211</v>
      </c>
      <c r="BK130" s="2338"/>
      <c r="BL130" s="2338"/>
      <c r="BM130" s="2338"/>
      <c r="BN130" s="2338"/>
      <c r="BO130" s="2338"/>
      <c r="BP130" s="2338"/>
      <c r="BQ130" s="2338"/>
      <c r="BR130" s="2299"/>
      <c r="BS130" s="2299"/>
      <c r="BT130" s="2299"/>
      <c r="BU130" s="19"/>
      <c r="BV130" s="8">
        <v>146</v>
      </c>
      <c r="BW130" s="88" t="s">
        <v>210</v>
      </c>
      <c r="BX130" s="88" t="s">
        <v>209</v>
      </c>
      <c r="BY130" s="2336" t="s">
        <v>126</v>
      </c>
      <c r="BZ130" s="2336"/>
      <c r="CA130" s="2336"/>
      <c r="CB130" s="2336"/>
      <c r="CC130" s="2336" t="s">
        <v>125</v>
      </c>
      <c r="CD130" s="2336"/>
      <c r="CE130" s="2336"/>
      <c r="CF130" s="2336"/>
      <c r="CG130" s="2336" t="s">
        <v>124</v>
      </c>
      <c r="CH130" s="2336"/>
      <c r="CI130" s="2336"/>
      <c r="CJ130" s="2336"/>
      <c r="CK130" s="2336" t="s">
        <v>123</v>
      </c>
      <c r="CL130" s="2336"/>
      <c r="CM130" s="2336"/>
      <c r="CN130" s="2336"/>
      <c r="CO130" s="88" t="s">
        <v>208</v>
      </c>
      <c r="CP130" s="88" t="s">
        <v>207</v>
      </c>
      <c r="CQ130" s="88" t="s">
        <v>206</v>
      </c>
      <c r="CR130" s="88" t="s">
        <v>208</v>
      </c>
      <c r="CS130" s="88" t="s">
        <v>207</v>
      </c>
      <c r="CT130" s="221" t="s">
        <v>206</v>
      </c>
      <c r="CU130" s="264">
        <f>IF(BW131="","",SUM(CP131:CP134)+CS131+CS132)</f>
        <v>0</v>
      </c>
      <c r="CV130" s="264">
        <f>IF(BW131="","",SUM(CQ131:CQ134)+CT131+CT132)</f>
        <v>0</v>
      </c>
      <c r="CW130" s="9"/>
      <c r="CX130" s="8"/>
      <c r="CY130" s="197">
        <f t="shared" si="28"/>
        <v>3</v>
      </c>
      <c r="CZ130" s="197" t="str">
        <f t="shared" si="24"/>
        <v/>
      </c>
      <c r="DA130" s="10" t="str">
        <f>C108</f>
        <v>VV-F 2.0mm-2C</v>
      </c>
      <c r="DB130" s="8"/>
      <c r="DC130" s="8"/>
      <c r="DD130" s="8"/>
      <c r="DE130" s="249" t="str">
        <f>IF(COUNTIF($DA$15:DA129,DA130)&gt;0,"",DA130)</f>
        <v/>
      </c>
      <c r="DF130" s="26">
        <f>S108</f>
        <v>20.7</v>
      </c>
      <c r="DG130" s="32">
        <f t="shared" si="25"/>
        <v>0</v>
      </c>
      <c r="DH130" s="198">
        <f t="shared" si="29"/>
        <v>5</v>
      </c>
      <c r="DI130" s="199" t="str">
        <f t="shared" si="26"/>
        <v/>
      </c>
      <c r="DJ130" s="10" t="str">
        <f>AQ107</f>
        <v>Xh1-Ae</v>
      </c>
      <c r="DK130" s="10"/>
      <c r="DL130" s="10"/>
      <c r="DM130" s="8"/>
      <c r="DN130" s="249" t="str">
        <f>IF(COUNTIF($DJ$15:DJ129,DJ130)&gt;0,"",DJ130)</f>
        <v/>
      </c>
      <c r="DO130" s="200">
        <f>AZ107</f>
        <v>1</v>
      </c>
      <c r="DP130" s="32">
        <f t="shared" si="27"/>
        <v>0</v>
      </c>
      <c r="DQ130" s="8"/>
    </row>
    <row r="131" spans="1:121" ht="11.25" customHeight="1">
      <c r="A131" s="15"/>
      <c r="B131" s="23"/>
      <c r="C131" s="2367" t="str">
        <f>[5]照差!$C$148</f>
        <v/>
      </c>
      <c r="D131" s="2368"/>
      <c r="E131" s="2369"/>
      <c r="F131" s="2370" t="str">
        <f>[5]照差!$G$148</f>
        <v/>
      </c>
      <c r="G131" s="2371"/>
      <c r="H131" s="2371"/>
      <c r="I131" s="2372"/>
      <c r="J131" s="2370" t="str">
        <f>[5]照差!$J$148</f>
        <v/>
      </c>
      <c r="K131" s="2373"/>
      <c r="L131" s="2373"/>
      <c r="M131" s="2374"/>
      <c r="N131" s="2330" t="str">
        <f>[5]照差!$M$148</f>
        <v/>
      </c>
      <c r="O131" s="2331"/>
      <c r="P131" s="2331"/>
      <c r="Q131" s="2331"/>
      <c r="R131" s="2332"/>
      <c r="S131" s="2330" t="str">
        <f>[5]照差!$Q$148</f>
        <v/>
      </c>
      <c r="T131" s="2331"/>
      <c r="U131" s="2331"/>
      <c r="V131" s="2332"/>
      <c r="W131" s="2330" t="str">
        <f>[5]照差!$U$148</f>
        <v/>
      </c>
      <c r="X131" s="2331"/>
      <c r="Y131" s="2331"/>
      <c r="Z131" s="2332"/>
      <c r="AA131" s="2340" t="str">
        <f>[5]照差!$Y$148</f>
        <v/>
      </c>
      <c r="AB131" s="2341"/>
      <c r="AC131" s="2342"/>
      <c r="AD131" s="2343" t="str">
        <f>[5]照差!$AB$148</f>
        <v/>
      </c>
      <c r="AE131" s="2344"/>
      <c r="AF131" s="2345"/>
      <c r="AG131" s="2346" t="str">
        <f>IF(OR(C131="",C131="  RF"),"",2+INT(N131/1000))</f>
        <v/>
      </c>
      <c r="AH131" s="2346"/>
      <c r="AI131" s="2346"/>
      <c r="AJ131" s="2346"/>
      <c r="AK131" s="2346"/>
      <c r="AL131" s="2346" t="str">
        <f>IF(OR(C131="",C131="  RF"),"",1+INT(N131/500))</f>
        <v/>
      </c>
      <c r="AM131" s="2346"/>
      <c r="AN131" s="2346"/>
      <c r="AO131" s="2346"/>
      <c r="AP131" s="2346"/>
      <c r="AQ131" s="2347" t="str">
        <f>IF(OR(C131="",AL129="設置しない"),"",IF(OR(AND(LEFT($C$18,2)=" B",[6]Top!$U$72&lt;&gt;""),AND(LEFT($C$18,3)="  1",[6]Top!$U$73&lt;&gt;""),AND(LEFT($C$18,3)="  2",[6]Top!$U$75&lt;&gt;""),AND(LEFT($C$18,3)="  3",[6]Top!$U$77&lt;&gt;""),[6]Top!$U$79&lt;&gt;"",[6]Top!$U$81&lt;&gt;""),"Xh1-Ae",IF(OR(AND(LEFT($C$18,2)=" B",[6]Top!$U$72="BL"),AND(LEFT($C$18,3)="  1",[6]Top!$U$73="BL"),AND(LEFT($C$18,3)="  2",[6]Top!$U$75="BL"),AND(LEFT($C$18,3)="  3",[6]Top!$U$77="BL"),[6]Top!$U$79="BL",[6]Top!$U$81="BL"),"Xh1-BLe","")))</f>
        <v/>
      </c>
      <c r="AR131" s="2348"/>
      <c r="AS131" s="2348"/>
      <c r="AT131" s="2348"/>
      <c r="AU131" s="2348"/>
      <c r="AV131" s="2348"/>
      <c r="AW131" s="2348"/>
      <c r="AX131" s="2348"/>
      <c r="AY131" s="2349"/>
      <c r="AZ131" s="2353" t="str">
        <f>IF(OR(N131="",AQ131=""),"",IF(BC131&lt;&gt;"",BC131,1+INT(N131/500)))</f>
        <v/>
      </c>
      <c r="BA131" s="2354"/>
      <c r="BB131" s="2355"/>
      <c r="BC131" s="2305"/>
      <c r="BD131" s="2305"/>
      <c r="BE131" s="2305"/>
      <c r="BF131" s="2281" t="str">
        <f>IF(C131="","",IF(OR(AND(LEFT(C131,2)=" B",[6]Top!$AD$72="要"),AND(LEFT(C131,3)="  1",[6]Top!$AD$73="要"),AND(LEFT(C131,3)="  2",[6]Top!$AD$75="要"),AND(LEFT(C131,3)="  3",[6]Top!$AD$77="要"),[6]Top!$AD$79="C",[6]Top!$AD$81="要"),"Ya1-Ce",""))</f>
        <v/>
      </c>
      <c r="BG131" s="2281"/>
      <c r="BH131" s="2281"/>
      <c r="BI131" s="2281"/>
      <c r="BJ131" s="2281"/>
      <c r="BK131" s="2281"/>
      <c r="BL131" s="2281"/>
      <c r="BM131" s="2281"/>
      <c r="BN131" s="2281"/>
      <c r="BO131" s="2304" t="str">
        <f>IF(OR(C131="",C131="  RF"),"",IF(BR131&lt;&gt;"",BR131,1+INT((BW131+BX131)/20)))</f>
        <v/>
      </c>
      <c r="BP131" s="2304"/>
      <c r="BQ131" s="2304"/>
      <c r="BR131" s="2339"/>
      <c r="BS131" s="2339"/>
      <c r="BT131" s="2339"/>
      <c r="BU131" s="19"/>
      <c r="BV131" s="8">
        <v>19</v>
      </c>
      <c r="BW131" s="98">
        <f>IF(OR(C131="",C131="  RF"),0,SQRT(N131*J130)/2)</f>
        <v>0</v>
      </c>
      <c r="BX131" s="98">
        <f>IF(OR(C131="",C131="  RF"),0,SQRT(N131/J130)/2)</f>
        <v>0</v>
      </c>
      <c r="BY131" s="88" t="s">
        <v>204</v>
      </c>
      <c r="BZ131" s="92">
        <f>IF(OR($BW$10=0,AL129="設置しない",C131="  RF",C131=""),0,IF(LEFT(C131,2)&lt;&gt;"PH",AG131*BW132/2,BW132))</f>
        <v>0</v>
      </c>
      <c r="CA131" s="88" t="s">
        <v>205</v>
      </c>
      <c r="CB131" s="88">
        <f>IF(OR($BW$10=0,AL129="設置しない",C131="  RF",C131=""),0,IF(LEFT(C131,2)="PH",0,(BN133-1)*SQRT(S131/BN133)))</f>
        <v>0</v>
      </c>
      <c r="CC131" s="88" t="s">
        <v>204</v>
      </c>
      <c r="CD131" s="262" t="e">
        <f>IF(OR($BW$10=0,AL129="設置しない",F131=0),0,AG131*(F131-0.1-($Y$7-$AN$8)/1000))</f>
        <v>#VALUE!</v>
      </c>
      <c r="CE131" s="88" t="s">
        <v>205</v>
      </c>
      <c r="CF131" s="88">
        <f>IF(OR($BW$10=0,AL129="設置しない",LEFT(C131,2)="PH",C131="  RF",C131=""),0,(2*BN133-1)*$AN$7/1000)</f>
        <v>0</v>
      </c>
      <c r="CG131" s="88" t="s">
        <v>204</v>
      </c>
      <c r="CH131" s="92">
        <f>IF(OR($BW$10=0,AL129="設置しない",AI130="非:天井ケーブル"),0,BZ131)</f>
        <v>0</v>
      </c>
      <c r="CI131" s="88" t="s">
        <v>205</v>
      </c>
      <c r="CJ131" s="88">
        <f>IF(OR($BW$10=0,AL129="設置しない",AI130="非:天井ケーブル"),0,CB131)</f>
        <v>0</v>
      </c>
      <c r="CK131" s="88" t="s">
        <v>204</v>
      </c>
      <c r="CL131" s="92">
        <f>IF(OR($BW$10=0,AL129="設置しない",C131="  RF",C131=""),0,IF(J131="直天",AG131*(F131-$Y$7/1000),AG131*(J131+0.1-$Y$7/1000)))</f>
        <v>0</v>
      </c>
      <c r="CM131" s="220"/>
      <c r="CN131" s="219"/>
      <c r="CO131" s="134">
        <f>IF(AZ131="",0,VLOOKUP(AQ131,[7]建物1802!$E$5:$AL$3275,33,FALSE)*AZ131)</f>
        <v>0</v>
      </c>
      <c r="CP131" s="136">
        <f>IF(AZ131="",0,VLOOKUP(AQ131,[7]建物1802!$E$5:$AL$3275,30,FALSE)*AZ131)</f>
        <v>0</v>
      </c>
      <c r="CQ131" s="136">
        <f>IF(CO131="","",SQRT(CO131^2-CP131^2))</f>
        <v>0</v>
      </c>
      <c r="CR131" s="189">
        <f>IF(BO131="",0,VLOOKUP(BF131,[7]建物1802!$E$5:$AL$3275,33,FALSE)*BO131)</f>
        <v>0</v>
      </c>
      <c r="CS131" s="189">
        <f>IF(BO131="",0,VLOOKUP(BF131,[7]建物1802!$E$5:$AL$3275,30,FALSE)*BO131)</f>
        <v>0</v>
      </c>
      <c r="CT131" s="259">
        <f>IF(CR131="",0,SQRT(CR131^2-CS131^2))</f>
        <v>0</v>
      </c>
      <c r="CU131" s="14"/>
      <c r="CV131" s="14"/>
      <c r="CW131" s="216"/>
      <c r="CX131" s="8"/>
      <c r="CY131" s="197">
        <f t="shared" si="28"/>
        <v>3</v>
      </c>
      <c r="CZ131" s="197" t="str">
        <f t="shared" si="24"/>
        <v/>
      </c>
      <c r="DA131" s="201" t="str">
        <f>W108</f>
        <v>VV-F 2.0mm-2C</v>
      </c>
      <c r="DB131" s="8"/>
      <c r="DC131" s="8"/>
      <c r="DD131" s="8"/>
      <c r="DE131" s="249" t="str">
        <f>IF(COUNTIF($DA$15:DA130,DA131)&gt;0,"",DA131)</f>
        <v/>
      </c>
      <c r="DF131" s="26">
        <f>AM108</f>
        <v>6.8</v>
      </c>
      <c r="DG131" s="32">
        <f t="shared" si="25"/>
        <v>0</v>
      </c>
      <c r="DH131" s="198">
        <f t="shared" si="29"/>
        <v>5</v>
      </c>
      <c r="DI131" s="198" t="str">
        <f t="shared" si="26"/>
        <v/>
      </c>
      <c r="DJ131" s="10" t="str">
        <f>AQ108</f>
        <v>Xh1-Ae</v>
      </c>
      <c r="DK131" s="10"/>
      <c r="DL131" s="10"/>
      <c r="DM131" s="8"/>
      <c r="DN131" s="8" t="str">
        <f>IF(COUNTIF($DJ$15:DJ130,DJ131)&gt;0,"",DJ131)</f>
        <v/>
      </c>
      <c r="DO131" s="200" t="str">
        <f>AZ108</f>
        <v/>
      </c>
      <c r="DP131" s="32">
        <f t="shared" si="27"/>
        <v>0</v>
      </c>
      <c r="DQ131" s="8"/>
    </row>
    <row r="132" spans="1:121" ht="11.25" customHeight="1">
      <c r="A132" s="15">
        <v>19</v>
      </c>
      <c r="B132" s="227"/>
      <c r="C132" s="2378" t="str">
        <f>IF(C131="","",IF(K132="","VV-F 2.0mm-2C",K132))</f>
        <v/>
      </c>
      <c r="D132" s="2379"/>
      <c r="E132" s="2379"/>
      <c r="F132" s="2379"/>
      <c r="G132" s="2379"/>
      <c r="H132" s="2379"/>
      <c r="I132" s="2379"/>
      <c r="J132" s="2380"/>
      <c r="K132" s="2313"/>
      <c r="L132" s="2314"/>
      <c r="M132" s="2314"/>
      <c r="N132" s="2314"/>
      <c r="O132" s="2314"/>
      <c r="P132" s="2314"/>
      <c r="Q132" s="2314"/>
      <c r="R132" s="2315"/>
      <c r="S132" s="2312" t="str">
        <f>IF(OR(C131="",AL129="設置しない",BH129="設置しない"),"",ROUND((BZ131+CD131),1))</f>
        <v/>
      </c>
      <c r="T132" s="2312"/>
      <c r="U132" s="2312"/>
      <c r="V132" s="2312"/>
      <c r="W132" s="2306" t="str">
        <f>IF(C131="","",IF(AE132="","VV-F 2.0mm-2C",AE132))</f>
        <v/>
      </c>
      <c r="X132" s="2307"/>
      <c r="Y132" s="2307"/>
      <c r="Z132" s="2307"/>
      <c r="AA132" s="2307"/>
      <c r="AB132" s="2307"/>
      <c r="AC132" s="2307"/>
      <c r="AD132" s="2308"/>
      <c r="AE132" s="2313"/>
      <c r="AF132" s="2314"/>
      <c r="AG132" s="2314"/>
      <c r="AH132" s="2314"/>
      <c r="AI132" s="2314"/>
      <c r="AJ132" s="2314"/>
      <c r="AK132" s="2314"/>
      <c r="AL132" s="2315"/>
      <c r="AM132" s="2312" t="str">
        <f>IF(OR(C131="",,AL129="設置しない",BH129="設置しない"),"",ROUND(BZ134,1))</f>
        <v/>
      </c>
      <c r="AN132" s="2312"/>
      <c r="AO132" s="2312"/>
      <c r="AP132" s="2312"/>
      <c r="AQ132" s="2347" t="str">
        <f>IF(OR(C131="",AL129="設置しない"),"",IF(OR(AND(LEFT($C$18,2)=" B",[6]Top!$U$72&lt;&gt;""),AND(LEFT($C$18,3)="  1",[6]Top!$U$73&lt;&gt;""),AND(LEFT($C$18,3)="  2",[6]Top!$U$75&lt;&gt;""),AND(LEFT($C$18,3)="  3",[6]Top!$U$77&lt;&gt;""),[6]Top!$U$79&lt;&gt;"",[6]Top!$U$81&lt;&gt;""),"Xh1-Ae",IF(OR(AND(LEFT($C$18,2)=" B",[6]Top!$U$72="BL"),AND(LEFT($C$18,3)="  1",[6]Top!$U$73="BL"),AND(LEFT($C$18,3)="  2",[6]Top!$U$75="BL"),AND(LEFT($C$18,3)="  3",[6]Top!$U$77="BL"),[6]Top!$U$79="BL",[6]Top!$U$81="BL"),"Xh1-BLe","")))</f>
        <v/>
      </c>
      <c r="AR132" s="2348"/>
      <c r="AS132" s="2348"/>
      <c r="AT132" s="2348"/>
      <c r="AU132" s="2348"/>
      <c r="AV132" s="2348"/>
      <c r="AW132" s="2348"/>
      <c r="AX132" s="2348"/>
      <c r="AY132" s="2349"/>
      <c r="AZ132" s="2304" t="str">
        <f>IF(AA131="","",IF(BC132&lt;&gt;"",BC132,IF(AQ132&lt;&gt;"",1+INT(AA131/3),"")))</f>
        <v/>
      </c>
      <c r="BA132" s="2304"/>
      <c r="BB132" s="2304"/>
      <c r="BC132" s="2305"/>
      <c r="BD132" s="2305"/>
      <c r="BE132" s="2305"/>
      <c r="BF132" s="2281" t="str">
        <f>IF(C131="","",IF(OR(AND(LEFT(C131,2)=" B",[6]Top!$AF$72="要"),AND(LEFT(C131,3)="  1",[6]Top!$AF$73="要"),AND(LEFT(C131,3)="  2",[6]Top!$AF$75="要"),AND(LEFT(C131,3)="  3",[6]Top!$AF$77="要"),[6]Top!$AF$79="要",[6]Top!$AF$81="要"),"D15V-321PXe",""))</f>
        <v/>
      </c>
      <c r="BG132" s="2281"/>
      <c r="BH132" s="2281"/>
      <c r="BI132" s="2282"/>
      <c r="BJ132" s="2282"/>
      <c r="BK132" s="2282"/>
      <c r="BL132" s="2282"/>
      <c r="BM132" s="2282"/>
      <c r="BN132" s="2282"/>
      <c r="BO132" s="2283" t="str">
        <f>IF(OR(C131="",C131="  RF",BF132=""),"",IF(BR132&lt;&gt;"",BR132,2*(1+INT(N131/500))))</f>
        <v/>
      </c>
      <c r="BP132" s="2283"/>
      <c r="BQ132" s="2283"/>
      <c r="BR132" s="2303"/>
      <c r="BS132" s="2303"/>
      <c r="BT132" s="2303"/>
      <c r="BU132" s="19"/>
      <c r="BV132" s="46" t="str">
        <f>V130</f>
        <v/>
      </c>
      <c r="BW132" s="263" t="str">
        <f>IF(C131="","",IF(BV132="①",BW131+BX131+3,IF(BV132="②",BW131*5/8+BX131+3,IF(BV132="③",BW131/2+BX131+3,IF(BV132="④",BW131+BX131*5/8+3,IF(BV132="⑤",(BW131+BX131)*5/8+3,IF(BV132="⑥",BW131/2+BX131*5/8+3,IF(BV132="⑦",BW131+BX131/2+3,IF(BV132="⑧",BW131*5/8+BX131/2+3,IF(BV132="⑨",(BW131+BX131)/2+3))))))))))</f>
        <v/>
      </c>
      <c r="BX132" s="8"/>
      <c r="BY132" s="88" t="s">
        <v>202</v>
      </c>
      <c r="BZ132" s="92">
        <f>IF(OR($BW$10=0,BH129="設置しない",C131="  RF",C131=""),0,IF(LEFT(C131,2)&lt;&gt;"PH",AL131*BW132/2,BW132))</f>
        <v>0</v>
      </c>
      <c r="CA132" s="88" t="s">
        <v>203</v>
      </c>
      <c r="CB132" s="88">
        <f>IF(OR($BW$10=0,AY129="設置しない",BN134=""),0,(BN134-1)*SQRT(W131/BN134))</f>
        <v>0</v>
      </c>
      <c r="CC132" s="88" t="s">
        <v>202</v>
      </c>
      <c r="CD132" s="262" t="e">
        <f>IF(OR($BW$10=0,BH129="設置しない",F131=0),0,AG131*(F131-0.1-($AN$8-$Y$7)/1000))</f>
        <v>#VALUE!</v>
      </c>
      <c r="CE132" s="88" t="s">
        <v>203</v>
      </c>
      <c r="CF132" s="88">
        <f>IF(OR($BW$10=0,BH129="設置しない",BN134=""),0,(2*BN134-1)*$AN$7/1000)</f>
        <v>0</v>
      </c>
      <c r="CG132" s="88" t="s">
        <v>202</v>
      </c>
      <c r="CH132" s="92">
        <f>IF(OR($BW$10=0,BH129="設置しない",AI130="非:天井ケーブル"),0,BZ132)</f>
        <v>0</v>
      </c>
      <c r="CI132" s="88" t="s">
        <v>203</v>
      </c>
      <c r="CJ132" s="88">
        <f>IF(OR($BW$10=0,BH129="設置しない",AI130="非:天井ケーブル"),0,CB132)</f>
        <v>0</v>
      </c>
      <c r="CK132" s="88" t="s">
        <v>202</v>
      </c>
      <c r="CL132" s="92">
        <f>IF(OR($BW$10=0,BH129="設置しない",C131="  RF",C131=""),0,IF(J131="直天",AG131*(F131-$Y$7/1000),AG131*(J131+0.1-$Y$7/1000)))</f>
        <v>0</v>
      </c>
      <c r="CM132" s="141"/>
      <c r="CN132" s="142"/>
      <c r="CO132" s="136">
        <f>IF(AZ132="",0,(VLOOKUP(AQ132,[7]建物1802!$E$5:$AL$3275,33,FALSE))*AZ132)</f>
        <v>0</v>
      </c>
      <c r="CP132" s="136">
        <f>IF(AZ132="",0,VLOOKUP(AQ132,[7]建物1802!$E$5:$AL$3275,30,FALSE)*AZ132)</f>
        <v>0</v>
      </c>
      <c r="CQ132" s="136">
        <f>IF(CO132="","",SQRT(CO132^2-CP132^2))</f>
        <v>0</v>
      </c>
      <c r="CR132" s="189">
        <f>IF(BO132="",0,VLOOKUP(BF132,[7]建物1802!$E$5:$AL$3275,33,FALSE)*BO132)</f>
        <v>0</v>
      </c>
      <c r="CS132" s="189">
        <f>IF(BO132="",0,VLOOKUP(BF132,[7]建物1802!$E$5:$AL$3275,30,FALSE)*BO132)</f>
        <v>0</v>
      </c>
      <c r="CT132" s="259">
        <f>IF(CR132="",0,SQRT(CR132^2-CS132^2))</f>
        <v>0</v>
      </c>
      <c r="CU132" s="14"/>
      <c r="CV132" s="14"/>
      <c r="CW132" s="216"/>
      <c r="CX132" s="8"/>
      <c r="CY132" s="197">
        <f t="shared" si="28"/>
        <v>3</v>
      </c>
      <c r="CZ132" s="197" t="str">
        <f t="shared" si="24"/>
        <v/>
      </c>
      <c r="DA132" s="10" t="str">
        <f>C109</f>
        <v>VV-F 1.6mm-2C</v>
      </c>
      <c r="DB132" s="8"/>
      <c r="DC132" s="8"/>
      <c r="DD132" s="8"/>
      <c r="DE132" s="249" t="str">
        <f>IF(COUNTIF($DA$15:DA131,DA132)&gt;0,"",DA132)</f>
        <v/>
      </c>
      <c r="DF132" s="26">
        <f>S109</f>
        <v>66</v>
      </c>
      <c r="DG132" s="32">
        <f t="shared" si="25"/>
        <v>0</v>
      </c>
      <c r="DH132" s="198">
        <f t="shared" si="29"/>
        <v>5</v>
      </c>
      <c r="DI132" s="198" t="str">
        <f t="shared" si="26"/>
        <v/>
      </c>
      <c r="DJ132" s="10" t="str">
        <f>AQ109</f>
        <v/>
      </c>
      <c r="DK132" s="10"/>
      <c r="DL132" s="10"/>
      <c r="DM132" s="8"/>
      <c r="DN132" s="8" t="str">
        <f>IF(COUNTIF($DJ$15:DJ131,DJ132)&gt;0,"",DJ132)</f>
        <v/>
      </c>
      <c r="DO132" s="200" t="str">
        <f>AZ109</f>
        <v/>
      </c>
      <c r="DP132" s="32">
        <f t="shared" si="27"/>
        <v>0</v>
      </c>
      <c r="DQ132" s="8"/>
    </row>
    <row r="133" spans="1:121" ht="11.25" customHeight="1">
      <c r="A133" s="15"/>
      <c r="B133" s="23"/>
      <c r="C133" s="2378" t="str">
        <f>IF(C131="","",IF(K133="","VV-F 1.6mm-2C",K133))</f>
        <v/>
      </c>
      <c r="D133" s="2379"/>
      <c r="E133" s="2379"/>
      <c r="F133" s="2379"/>
      <c r="G133" s="2379"/>
      <c r="H133" s="2379"/>
      <c r="I133" s="2379"/>
      <c r="J133" s="2380"/>
      <c r="K133" s="2313"/>
      <c r="L133" s="2314"/>
      <c r="M133" s="2314"/>
      <c r="N133" s="2314"/>
      <c r="O133" s="2314"/>
      <c r="P133" s="2314"/>
      <c r="Q133" s="2314"/>
      <c r="R133" s="2315"/>
      <c r="S133" s="2312" t="str">
        <f>IF(OR(C131="",C131="  RF"),"",INT(CB131+CB132+CF131+CF132+CD133))</f>
        <v/>
      </c>
      <c r="T133" s="2312"/>
      <c r="U133" s="2312"/>
      <c r="V133" s="2312"/>
      <c r="W133" s="2306" t="str">
        <f>IF(C131="","",IF(AE133="","VV-F 1.6mm-2C",AE133))</f>
        <v/>
      </c>
      <c r="X133" s="2307"/>
      <c r="Y133" s="2307"/>
      <c r="Z133" s="2307"/>
      <c r="AA133" s="2307"/>
      <c r="AB133" s="2307"/>
      <c r="AC133" s="2307"/>
      <c r="AD133" s="2308"/>
      <c r="AE133" s="2313"/>
      <c r="AF133" s="2314"/>
      <c r="AG133" s="2314"/>
      <c r="AH133" s="2314"/>
      <c r="AI133" s="2314"/>
      <c r="AJ133" s="2314"/>
      <c r="AK133" s="2314"/>
      <c r="AL133" s="2315"/>
      <c r="AM133" s="2306" t="str">
        <f>IF(OR(C131="",C131="  RF"),"",INT(CB134+CD133))</f>
        <v/>
      </c>
      <c r="AN133" s="2307"/>
      <c r="AO133" s="2307"/>
      <c r="AP133" s="2308"/>
      <c r="AQ133" s="2309" t="str">
        <f>IF(OR(C131="",S131=""),"",IF(OR(AND(LEFT(C131,2)=" B",[8]非誘!$W$72="C"),AND(LEFT(C131,3)="  1",[8]非誘!$W$74="C"),AND(LEFT(C131,3)="  2",[8]非誘!$W$76="C"),AND(LEFT(C131,3)="  3",[8]非誘!$W$78="C"),[8]非誘!$W$80="C",[8]非誘!$W$81="C"),"Yd2-BHe",""))</f>
        <v/>
      </c>
      <c r="AR133" s="2310"/>
      <c r="AS133" s="2310"/>
      <c r="AT133" s="2310"/>
      <c r="AU133" s="2310"/>
      <c r="AV133" s="2310"/>
      <c r="AW133" s="2310"/>
      <c r="AX133" s="2310"/>
      <c r="AY133" s="2311"/>
      <c r="AZ133" s="2304" t="str">
        <f>IF(AQ133="","",IF(OR(C131="",C131="  RF"),"",IF(BC133&lt;&gt;"",BC133,AA131)))</f>
        <v/>
      </c>
      <c r="BA133" s="2304"/>
      <c r="BB133" s="2304"/>
      <c r="BC133" s="2305"/>
      <c r="BD133" s="2305"/>
      <c r="BE133" s="2305"/>
      <c r="BF133" s="2316" t="s">
        <v>10</v>
      </c>
      <c r="BG133" s="2317"/>
      <c r="BH133" s="2318"/>
      <c r="BI133" s="2319" t="str">
        <f>IF(OR($BW$10=0,AL129="設置しない",C131="",C131="  RF"),"",IF(OR(AND(LEFT(C131,2)=" B",[6]Top!$O$72="要"),AND(LEFT(C131,3)="  1",[6]Top!$O$74="要"),AND(LEFT(C131,3)="  2",[6]Top!$O$76="要"),AND(LEFT(C131,3)="  3",[6]Top!$O$78="要"),[6]Top!$O$80="要",[6]Top!$O$81="要",$Y$9="設置する"),"d4-30e",""))</f>
        <v/>
      </c>
      <c r="BJ133" s="2320"/>
      <c r="BK133" s="2320"/>
      <c r="BL133" s="2320"/>
      <c r="BM133" s="2321"/>
      <c r="BN133" s="2319" t="str">
        <f>IF(OR($BW$10=0,AL129="設置しない",C131="",C131="  RF"),"",IF(LEFT(C131,2)="PH","",IF(BR133&lt;&gt;"",BR133,IF((1+INT(S131/110))&lt;=AA131,AA131,1+INT(S131/110)))))</f>
        <v/>
      </c>
      <c r="BO133" s="2320"/>
      <c r="BP133" s="2321"/>
      <c r="BQ133" s="31" t="s">
        <v>211</v>
      </c>
      <c r="BR133" s="2322"/>
      <c r="BS133" s="2323"/>
      <c r="BT133" s="2324"/>
      <c r="BU133" s="19"/>
      <c r="BV133" s="226"/>
      <c r="BW133" s="196"/>
      <c r="BX133" s="8"/>
      <c r="BY133" s="88" t="s">
        <v>200</v>
      </c>
      <c r="BZ133" s="222">
        <f>SUM(AZ131:BB134)+SUM(BO131:BQ134)</f>
        <v>0</v>
      </c>
      <c r="CA133" s="8"/>
      <c r="CB133" s="8"/>
      <c r="CC133" s="88" t="s">
        <v>121</v>
      </c>
      <c r="CD133" s="88">
        <f>IF($AW$8=0,0,2*($AW$8/1000-0.15-0.1)*(INT(1000*2*BW131/$AW$10)+1)*(INT(1000*2*BX131/$AW$10)+1)*4)</f>
        <v>3.5999999999999996</v>
      </c>
      <c r="CE133" s="8"/>
      <c r="CF133" s="8"/>
      <c r="CG133" s="168"/>
      <c r="CH133" s="261"/>
      <c r="CI133" s="8"/>
      <c r="CJ133" s="8"/>
      <c r="CK133" s="168"/>
      <c r="CL133" s="261"/>
      <c r="CM133" s="8"/>
      <c r="CN133" s="8"/>
      <c r="CO133" s="136">
        <f>IF(AZ133="",0,VLOOKUP(AQ133,[7]建物1802!$E$5:$AL$3275,33,FALSE)*AZ133)</f>
        <v>0</v>
      </c>
      <c r="CP133" s="136">
        <f>IF(AZ133="",0,VLOOKUP(AQ133,[7]建物1802!$E$5:$AL$3275,30,FALSE)*AZ133)</f>
        <v>0</v>
      </c>
      <c r="CQ133" s="136">
        <f>IF(CO133="","",SQRT(CO133^2-CP133^2))</f>
        <v>0</v>
      </c>
      <c r="CR133" s="260"/>
      <c r="CS133" s="14"/>
      <c r="CT133" s="14"/>
      <c r="CU133" s="14"/>
      <c r="CV133" s="14"/>
      <c r="CW133" s="216"/>
      <c r="CX133" s="8"/>
      <c r="CY133" s="197">
        <f t="shared" si="28"/>
        <v>3</v>
      </c>
      <c r="CZ133" s="197" t="str">
        <f t="shared" si="24"/>
        <v/>
      </c>
      <c r="DA133" s="201" t="str">
        <f>W109</f>
        <v>VV-F 1.6mm-2C</v>
      </c>
      <c r="DB133" s="8"/>
      <c r="DC133" s="8"/>
      <c r="DD133" s="8"/>
      <c r="DE133" s="249" t="str">
        <f>IF(COUNTIF($DA$15:DA132,DA133)&gt;0,"",DA133)</f>
        <v/>
      </c>
      <c r="DF133" s="26">
        <f>AM109</f>
        <v>33</v>
      </c>
      <c r="DG133" s="32">
        <f t="shared" si="25"/>
        <v>0</v>
      </c>
      <c r="DH133" s="198">
        <f t="shared" si="29"/>
        <v>5</v>
      </c>
      <c r="DI133" s="124" t="str">
        <f t="shared" si="26"/>
        <v/>
      </c>
      <c r="DJ133" s="11" t="str">
        <f>AQ110</f>
        <v>Yd2-Ce</v>
      </c>
      <c r="DK133" s="11"/>
      <c r="DL133" s="11"/>
      <c r="DM133" s="9"/>
      <c r="DN133" s="9" t="str">
        <f>IF(COUNTIF($DJ$15:DJ132,DJ133)&gt;0,"",DJ133)</f>
        <v/>
      </c>
      <c r="DO133" s="101">
        <f>AZ110</f>
        <v>1</v>
      </c>
      <c r="DP133" s="32">
        <f t="shared" si="27"/>
        <v>0</v>
      </c>
      <c r="DQ133" s="8"/>
    </row>
    <row r="134" spans="1:121" ht="11.25" customHeight="1" thickBot="1">
      <c r="A134" s="15"/>
      <c r="B134" s="23"/>
      <c r="C134" s="2359" t="str">
        <f>IF(C131="","",IF(I134="","",IF(AI130="非:天井(C管)","C-19mm",IF(AI130="非:天井(G管)","G- 16mm","PF-S-16mm"))))</f>
        <v/>
      </c>
      <c r="D134" s="2360"/>
      <c r="E134" s="2360"/>
      <c r="F134" s="2360"/>
      <c r="G134" s="2360"/>
      <c r="H134" s="2360"/>
      <c r="I134" s="2335" t="str">
        <f>IF(OR(C131="",AL129="設置しない",BH129="設置しない",$BW$10=0,CH131=0,CJ131=0),"",IF(J131="直天",ROUND((BZ131+CB131),1),ROUND((CH131+CJ131),1)))</f>
        <v/>
      </c>
      <c r="J134" s="2335"/>
      <c r="K134" s="2335"/>
      <c r="L134" s="2335"/>
      <c r="M134" s="2359" t="str">
        <f>IF(C131="","",IF(S134="","",IF(BC130="誘:天井(C管)","C-19mm",IF(BC130="誘:天井(G管)","G- 16mm","PF-S-16mm"))))</f>
        <v/>
      </c>
      <c r="N134" s="2360"/>
      <c r="O134" s="2360"/>
      <c r="P134" s="2360"/>
      <c r="Q134" s="2360"/>
      <c r="R134" s="2361"/>
      <c r="S134" s="2312" t="str">
        <f>IF(OR(C131="",,AL129="設置しない",BH129="設置しない",$BW$10=0,CH134=0,CJ134=0),"",IF(J131="直天",ROUND((BZ134+CB134),1),ROUND((CH134+CJ134),1)))</f>
        <v/>
      </c>
      <c r="T134" s="2312"/>
      <c r="U134" s="2312"/>
      <c r="V134" s="2312"/>
      <c r="W134" s="2359" t="str">
        <f>IF(C131="","",IF($B$2=0,"",IF(OR(AI130="非:天井(C管)",AI130="非:床(C管)"),"C-19mm",IF(OR(AI130="非:天井(G管)",AI130="非:床(G管)"),"G-16mm",IF(AI130="非:床(CD管)","CD-16mm","PF-S-16mm")))))</f>
        <v/>
      </c>
      <c r="X134" s="2360"/>
      <c r="Y134" s="2360"/>
      <c r="Z134" s="2360"/>
      <c r="AA134" s="2360"/>
      <c r="AB134" s="2361"/>
      <c r="AC134" s="2362" t="str">
        <f>IF(OR(C131="",AL129="設置しない",BH129="設置しない"),"",ROUND(CL131,1))</f>
        <v/>
      </c>
      <c r="AD134" s="2312"/>
      <c r="AE134" s="2312"/>
      <c r="AF134" s="2312"/>
      <c r="AG134" s="2333" t="str">
        <f>IF(C131="","",IF($B$2=0,"",IF(BC130="誘:天井(C管)","C-19mm",IF(BC130="誘:天井(G管)","G-16mm","PF-S-16mm"))))</f>
        <v/>
      </c>
      <c r="AH134" s="2333"/>
      <c r="AI134" s="2333"/>
      <c r="AJ134" s="2333"/>
      <c r="AK134" s="2333"/>
      <c r="AL134" s="2333"/>
      <c r="AM134" s="2334" t="str">
        <f>IF(OR(C131="",AL129="設置しない",BH129="設置しない"),"",ROUND((CL134+CN134),1))</f>
        <v/>
      </c>
      <c r="AN134" s="2335"/>
      <c r="AO134" s="2335"/>
      <c r="AP134" s="2335"/>
      <c r="AQ134" s="2291" t="str">
        <f>IF(C131="","",IF(OR(AND(LEFT(C131,2)=" B",[6]Top!$AA$72="C"),AND(LEFT(C131,3)="  1",[6]Top!$AA$73="C"),AND(LEFT(C131,3)="  2",[6]Top!$AA$75="C"),AND(LEFT(C131,3)="  3",[6]Top!$AA$77="C"),[6]Top!$AA$79="C",[6]Top!$AA$81="C"),"Yd2-Ce",""))</f>
        <v/>
      </c>
      <c r="AR134" s="2292"/>
      <c r="AS134" s="2292"/>
      <c r="AT134" s="2292"/>
      <c r="AU134" s="2292"/>
      <c r="AV134" s="2292"/>
      <c r="AW134" s="2292"/>
      <c r="AX134" s="2292"/>
      <c r="AY134" s="2293"/>
      <c r="AZ134" s="2294" t="str">
        <f>IF(OR(C131="",C131="  RF",AQ134=""),"",IF(BC134&lt;&gt;"",BC134,1+INT((BW131+BX131)/20)))</f>
        <v/>
      </c>
      <c r="BA134" s="2295"/>
      <c r="BB134" s="2296"/>
      <c r="BC134" s="2287"/>
      <c r="BD134" s="2287"/>
      <c r="BE134" s="2287"/>
      <c r="BF134" s="2363" t="s">
        <v>127</v>
      </c>
      <c r="BG134" s="2364"/>
      <c r="BH134" s="2365"/>
      <c r="BI134" s="2335" t="str">
        <f>IF(OR($BW$10=0,AY129="設置しない",C131="",C131="  RF"),"",IF(OR(AND(LEFT(C131,2)=" B",[6]Top!$O$72="要"),AND(LEFT(C131,3)="  1",[6]Top!$O$74="要"),AND(LEFT(C131,3)="  2",[6]Top!$O$76="要"),AND(LEFT(C131,3)="  3",[6]Top!$O$78="要"),[6]Top!$O$80="要",[6]Top!$O$81="要",$Y$10="設置する"),"d4-13e",""))</f>
        <v/>
      </c>
      <c r="BJ134" s="2335"/>
      <c r="BK134" s="2335"/>
      <c r="BL134" s="2335"/>
      <c r="BM134" s="2335"/>
      <c r="BN134" s="2335" t="str">
        <f>IF(OR($BW$10=0,BH129="設置しない",C131="",C131="  RF"),"",IF(BR134&lt;&gt;"",BR134,INT(AD131*1.2)))</f>
        <v/>
      </c>
      <c r="BO134" s="2335"/>
      <c r="BP134" s="2335"/>
      <c r="BQ134" s="31" t="s">
        <v>211</v>
      </c>
      <c r="BR134" s="2350"/>
      <c r="BS134" s="2351"/>
      <c r="BT134" s="2352"/>
      <c r="BU134" s="19"/>
      <c r="BV134" s="8"/>
      <c r="BW134" s="8"/>
      <c r="BX134" s="8"/>
      <c r="BY134" s="88" t="s">
        <v>199</v>
      </c>
      <c r="BZ134" s="151">
        <f>IF(AL131="",0,AL131*SQRT(N131/BZ133))</f>
        <v>0</v>
      </c>
      <c r="CA134" s="88" t="s">
        <v>198</v>
      </c>
      <c r="CB134" s="151">
        <f>IF(BZ133=0,0,(BZ133/3)*BW132)</f>
        <v>0</v>
      </c>
      <c r="CC134" s="88" t="s">
        <v>199</v>
      </c>
      <c r="CD134" s="151" t="e">
        <f>IF(F131=0,0,F131-0.25-$Y$7/1000)</f>
        <v>#VALUE!</v>
      </c>
      <c r="CE134" s="88" t="s">
        <v>198</v>
      </c>
      <c r="CF134" s="151" t="e">
        <f>IF(F131=0,0,(2*(BZ133-BO131)-1)*$AN$7/1000+(2*BO131-1)*(F131-0.75))</f>
        <v>#VALUE!</v>
      </c>
      <c r="CG134" s="88" t="s">
        <v>199</v>
      </c>
      <c r="CH134" s="151">
        <f>IF(BC130="誘:天井ケーブル",0,BZ134)</f>
        <v>0</v>
      </c>
      <c r="CI134" s="88" t="s">
        <v>198</v>
      </c>
      <c r="CJ134" s="151">
        <f>IF(BC130="誘:天井ケーブル",0,CB134)</f>
        <v>0</v>
      </c>
      <c r="CK134" s="88" t="s">
        <v>199</v>
      </c>
      <c r="CL134" s="259" t="e">
        <f>IF(F131=0,0,IF(J131="直天",AL131*(F131-$Y$7/1000),AL131*(J131+0.1-$Y$7/1000)))</f>
        <v>#VALUE!</v>
      </c>
      <c r="CM134" s="88" t="s">
        <v>198</v>
      </c>
      <c r="CN134" s="151" t="e">
        <f>IF(F131=0,0,IF(J131="直天",BO131*(2*BO131-1)*(F131-0.5),BO131*(2*BO131-1)*(J131-0.4)))</f>
        <v>#VALUE!</v>
      </c>
      <c r="CO134" s="136">
        <f>IF(AZ134="",0,VLOOKUP(AQ134,[7]建物1802!$E$5:$AL$3275,33,FALSE)*AZ134)</f>
        <v>0</v>
      </c>
      <c r="CP134" s="136">
        <f>IF(AZ134="",0,VLOOKUP(AQ134,[7]建物1802!$E$5:$AL$3275,30,FALSE)*AZ134)</f>
        <v>0</v>
      </c>
      <c r="CQ134" s="136">
        <f>IF(CO134="","",SQRT(CO134^2-CP134^2))</f>
        <v>0</v>
      </c>
      <c r="CR134" s="26"/>
      <c r="CS134" s="26"/>
      <c r="CT134" s="26"/>
      <c r="CU134" s="26"/>
      <c r="CV134" s="26"/>
      <c r="CW134" s="218"/>
      <c r="CX134" s="8"/>
      <c r="CY134" s="197">
        <f t="shared" si="28"/>
        <v>3</v>
      </c>
      <c r="CZ134" s="197" t="str">
        <f t="shared" si="24"/>
        <v/>
      </c>
      <c r="DA134" s="10" t="str">
        <f>C110</f>
        <v/>
      </c>
      <c r="DB134" s="8"/>
      <c r="DC134" s="8"/>
      <c r="DD134" s="8"/>
      <c r="DE134" s="249" t="str">
        <f>IF(COUNTIF($DA$15:DA133,DA134)&gt;0,"",DA134)</f>
        <v/>
      </c>
      <c r="DF134" s="26" t="str">
        <f>I110</f>
        <v/>
      </c>
      <c r="DG134" s="32">
        <f t="shared" si="25"/>
        <v>0</v>
      </c>
      <c r="DH134" s="198">
        <f t="shared" si="29"/>
        <v>5</v>
      </c>
      <c r="DI134" s="124" t="str">
        <f t="shared" si="26"/>
        <v/>
      </c>
      <c r="DJ134" s="11" t="str">
        <f>BF107</f>
        <v>Ya1-Ce</v>
      </c>
      <c r="DK134" s="11"/>
      <c r="DL134" s="11"/>
      <c r="DM134" s="9"/>
      <c r="DN134" s="9" t="str">
        <f>IF(COUNTIF($DJ$15:DJ133,DJ134)&gt;0,"",DJ134)</f>
        <v/>
      </c>
      <c r="DO134" s="101">
        <f>BO107</f>
        <v>1</v>
      </c>
      <c r="DP134" s="13">
        <f t="shared" si="27"/>
        <v>0</v>
      </c>
      <c r="DQ134" s="8"/>
    </row>
    <row r="135" spans="1:121" ht="11.25" customHeight="1" thickBot="1">
      <c r="A135" s="15"/>
      <c r="B135" s="23"/>
      <c r="C135" s="2288" t="s">
        <v>112</v>
      </c>
      <c r="D135" s="2289"/>
      <c r="E135" s="2289"/>
      <c r="F135" s="2289"/>
      <c r="G135" s="2289"/>
      <c r="H135" s="2289"/>
      <c r="I135" s="2290"/>
      <c r="J135" s="2356" t="str">
        <f>[5]照差!$I$157</f>
        <v/>
      </c>
      <c r="K135" s="2357"/>
      <c r="L135" s="2358"/>
      <c r="M135" s="2375" t="str">
        <f>[5]照差!$M$157</f>
        <v/>
      </c>
      <c r="N135" s="2376"/>
      <c r="O135" s="2376"/>
      <c r="P135" s="2376"/>
      <c r="Q135" s="2376"/>
      <c r="R135" s="2376"/>
      <c r="S135" s="2376"/>
      <c r="T135" s="2376"/>
      <c r="U135" s="2377"/>
      <c r="V135" s="2275" t="s">
        <v>217</v>
      </c>
      <c r="W135" s="2276"/>
      <c r="X135" s="2276"/>
      <c r="Y135" s="2276"/>
      <c r="Z135" s="2277"/>
      <c r="AA135" s="2278" t="str">
        <f>[6]Top!$I$62</f>
        <v/>
      </c>
      <c r="AB135" s="2279"/>
      <c r="AC135" s="2280" t="s">
        <v>216</v>
      </c>
      <c r="AD135" s="2280"/>
      <c r="AE135" s="2280"/>
      <c r="AF135" s="2280"/>
      <c r="AG135" s="2280"/>
      <c r="AH135" s="2280"/>
      <c r="AI135" s="2280"/>
      <c r="AJ135" s="2280"/>
      <c r="AK135" s="2280"/>
      <c r="AL135" s="2356" t="str">
        <f>IF($BW$10=0,"設置しない",IF(AS135="","設置する",AS135))</f>
        <v>設置する</v>
      </c>
      <c r="AM135" s="2357"/>
      <c r="AN135" s="2357"/>
      <c r="AO135" s="2357"/>
      <c r="AP135" s="2357"/>
      <c r="AQ135" s="2358"/>
      <c r="AR135" s="265" t="s">
        <v>211</v>
      </c>
      <c r="AS135" s="2284"/>
      <c r="AT135" s="2285"/>
      <c r="AU135" s="2285"/>
      <c r="AV135" s="2285"/>
      <c r="AW135" s="2285"/>
      <c r="AX135" s="2286"/>
      <c r="AY135" s="2280" t="s">
        <v>215</v>
      </c>
      <c r="AZ135" s="2280"/>
      <c r="BA135" s="2280"/>
      <c r="BB135" s="2280"/>
      <c r="BC135" s="2280"/>
      <c r="BD135" s="2280"/>
      <c r="BE135" s="2280"/>
      <c r="BF135" s="2280"/>
      <c r="BG135" s="2280"/>
      <c r="BH135" s="2356" t="str">
        <f>IF($BW$10=0,"設置しない",IF(BO135="","設置する",BO135))</f>
        <v>設置する</v>
      </c>
      <c r="BI135" s="2357"/>
      <c r="BJ135" s="2357"/>
      <c r="BK135" s="2357"/>
      <c r="BL135" s="2357"/>
      <c r="BM135" s="2358"/>
      <c r="BN135" s="265" t="s">
        <v>211</v>
      </c>
      <c r="BO135" s="2284"/>
      <c r="BP135" s="2285"/>
      <c r="BQ135" s="2285"/>
      <c r="BR135" s="2285"/>
      <c r="BS135" s="2285"/>
      <c r="BT135" s="2286"/>
      <c r="BU135" s="19"/>
      <c r="BV135" s="8"/>
      <c r="BW135" s="8"/>
      <c r="BX135" s="8"/>
      <c r="BY135" s="9"/>
      <c r="BZ135" s="9"/>
      <c r="CA135" s="9"/>
      <c r="CB135" s="9"/>
      <c r="CC135" s="9"/>
      <c r="CD135" s="9"/>
      <c r="CE135" s="9"/>
      <c r="CF135" s="9"/>
      <c r="CG135" s="9"/>
      <c r="CH135" s="9"/>
      <c r="CI135" s="9"/>
      <c r="CJ135" s="9"/>
      <c r="CK135" s="9"/>
      <c r="CL135" s="9"/>
      <c r="CM135" s="9"/>
      <c r="CN135" s="9"/>
      <c r="CO135" s="254"/>
      <c r="CP135" s="254"/>
      <c r="CQ135" s="254"/>
      <c r="CR135" s="14"/>
      <c r="CS135" s="14"/>
      <c r="CT135" s="14"/>
      <c r="CU135" s="14"/>
      <c r="CV135" s="14"/>
      <c r="CW135" s="216"/>
      <c r="CX135" s="8"/>
      <c r="CY135" s="197">
        <f t="shared" si="28"/>
        <v>3</v>
      </c>
      <c r="CZ135" s="197" t="str">
        <f t="shared" si="24"/>
        <v/>
      </c>
      <c r="DA135" s="201" t="str">
        <f>M110</f>
        <v/>
      </c>
      <c r="DB135" s="8"/>
      <c r="DC135" s="8"/>
      <c r="DD135" s="8"/>
      <c r="DE135" s="249" t="str">
        <f>IF(COUNTIF($DA$15:DA134,DA135)&gt;0,"",DA135)</f>
        <v/>
      </c>
      <c r="DF135" s="26" t="str">
        <f>S110</f>
        <v/>
      </c>
      <c r="DG135" s="32">
        <f t="shared" si="25"/>
        <v>0</v>
      </c>
      <c r="DH135" s="198">
        <f t="shared" si="29"/>
        <v>5</v>
      </c>
      <c r="DI135" s="124" t="str">
        <f t="shared" si="26"/>
        <v/>
      </c>
      <c r="DJ135" s="11" t="str">
        <f>BF108</f>
        <v/>
      </c>
      <c r="DK135" s="11"/>
      <c r="DL135" s="11"/>
      <c r="DM135" s="9"/>
      <c r="DN135" s="9" t="str">
        <f>IF(COUNTIF($DJ$15:DJ134,DJ135)&gt;0,"",DJ135)</f>
        <v/>
      </c>
      <c r="DO135" s="101" t="str">
        <f>BO108</f>
        <v/>
      </c>
      <c r="DP135" s="13">
        <f t="shared" si="27"/>
        <v>0</v>
      </c>
      <c r="DQ135" s="9"/>
    </row>
    <row r="136" spans="1:121" ht="11.25" customHeight="1" thickBot="1">
      <c r="A136" s="15"/>
      <c r="B136" s="23"/>
      <c r="C136" s="2300" t="s">
        <v>214</v>
      </c>
      <c r="D136" s="2301"/>
      <c r="E136" s="2301"/>
      <c r="F136" s="2301"/>
      <c r="G136" s="2301"/>
      <c r="H136" s="2301"/>
      <c r="I136" s="2302"/>
      <c r="J136" s="2297" t="str">
        <f>[5]照差!$K$158</f>
        <v/>
      </c>
      <c r="K136" s="2298"/>
      <c r="L136" s="2298"/>
      <c r="M136" s="2298"/>
      <c r="N136" s="2299" t="s">
        <v>213</v>
      </c>
      <c r="O136" s="2299"/>
      <c r="P136" s="2299"/>
      <c r="Q136" s="2299"/>
      <c r="R136" s="2299"/>
      <c r="S136" s="2299"/>
      <c r="T136" s="2299"/>
      <c r="U136" s="2299"/>
      <c r="V136" s="2366" t="str">
        <f>[5]照差!$W$158</f>
        <v/>
      </c>
      <c r="W136" s="2366"/>
      <c r="X136" s="2366"/>
      <c r="Y136" s="2299" t="s">
        <v>135</v>
      </c>
      <c r="Z136" s="2299"/>
      <c r="AA136" s="2299"/>
      <c r="AB136" s="2299"/>
      <c r="AC136" s="2299"/>
      <c r="AD136" s="2299" t="s">
        <v>18</v>
      </c>
      <c r="AE136" s="2299"/>
      <c r="AF136" s="2299"/>
      <c r="AG136" s="2299"/>
      <c r="AH136" s="2299"/>
      <c r="AI136" s="2337" t="str">
        <f>IF($B$2=0,"",IF(AQ136="","非:天井ケーブル",AQ136))</f>
        <v>非:天井ケーブル</v>
      </c>
      <c r="AJ136" s="2337"/>
      <c r="AK136" s="2337"/>
      <c r="AL136" s="2337"/>
      <c r="AM136" s="2337"/>
      <c r="AN136" s="2337"/>
      <c r="AO136" s="2337"/>
      <c r="AP136" s="175" t="s">
        <v>211</v>
      </c>
      <c r="AQ136" s="2338"/>
      <c r="AR136" s="2338"/>
      <c r="AS136" s="2338"/>
      <c r="AT136" s="2338"/>
      <c r="AU136" s="2338"/>
      <c r="AV136" s="2338"/>
      <c r="AW136" s="2338"/>
      <c r="AX136" s="2299" t="s">
        <v>212</v>
      </c>
      <c r="AY136" s="2299"/>
      <c r="AZ136" s="2299"/>
      <c r="BA136" s="2299"/>
      <c r="BB136" s="2299"/>
      <c r="BC136" s="2337" t="str">
        <f>IF($B$2=0,"",IF(BK136="","誘:天井ケーブル",BK136))</f>
        <v>誘:天井ケーブル</v>
      </c>
      <c r="BD136" s="2337"/>
      <c r="BE136" s="2337"/>
      <c r="BF136" s="2337"/>
      <c r="BG136" s="2337"/>
      <c r="BH136" s="2337"/>
      <c r="BI136" s="2337"/>
      <c r="BJ136" s="175" t="s">
        <v>211</v>
      </c>
      <c r="BK136" s="2338"/>
      <c r="BL136" s="2338"/>
      <c r="BM136" s="2338"/>
      <c r="BN136" s="2338"/>
      <c r="BO136" s="2338"/>
      <c r="BP136" s="2338"/>
      <c r="BQ136" s="2338"/>
      <c r="BR136" s="2299"/>
      <c r="BS136" s="2299"/>
      <c r="BT136" s="2299"/>
      <c r="BU136" s="19"/>
      <c r="BV136" s="8">
        <v>157</v>
      </c>
      <c r="BW136" s="88" t="s">
        <v>210</v>
      </c>
      <c r="BX136" s="88" t="s">
        <v>209</v>
      </c>
      <c r="BY136" s="2336" t="s">
        <v>126</v>
      </c>
      <c r="BZ136" s="2336"/>
      <c r="CA136" s="2336"/>
      <c r="CB136" s="2336"/>
      <c r="CC136" s="2336" t="s">
        <v>125</v>
      </c>
      <c r="CD136" s="2336"/>
      <c r="CE136" s="2336"/>
      <c r="CF136" s="2336"/>
      <c r="CG136" s="2336" t="s">
        <v>124</v>
      </c>
      <c r="CH136" s="2336"/>
      <c r="CI136" s="2336"/>
      <c r="CJ136" s="2336"/>
      <c r="CK136" s="2336" t="s">
        <v>123</v>
      </c>
      <c r="CL136" s="2336"/>
      <c r="CM136" s="2336"/>
      <c r="CN136" s="2336"/>
      <c r="CO136" s="88" t="s">
        <v>208</v>
      </c>
      <c r="CP136" s="88" t="s">
        <v>207</v>
      </c>
      <c r="CQ136" s="88" t="s">
        <v>206</v>
      </c>
      <c r="CR136" s="88" t="s">
        <v>208</v>
      </c>
      <c r="CS136" s="88" t="s">
        <v>207</v>
      </c>
      <c r="CT136" s="221" t="s">
        <v>206</v>
      </c>
      <c r="CU136" s="264">
        <f>IF(BW137="","",SUM(CP137:CP140)+CS137+CS138)</f>
        <v>0</v>
      </c>
      <c r="CV136" s="264">
        <f>IF(BW137="","",SUM(CQ137:CQ140)+CT137+CT138)</f>
        <v>0</v>
      </c>
      <c r="CW136" s="9"/>
      <c r="CX136" s="8"/>
      <c r="CY136" s="197">
        <f t="shared" si="28"/>
        <v>3</v>
      </c>
      <c r="CZ136" s="197" t="str">
        <f t="shared" si="24"/>
        <v/>
      </c>
      <c r="DA136" s="201" t="str">
        <f>W110</f>
        <v>PF-S-16mm</v>
      </c>
      <c r="DB136" s="8"/>
      <c r="DC136" s="8"/>
      <c r="DD136" s="8"/>
      <c r="DE136" s="249" t="str">
        <f>IF(COUNTIF($DA$15:DA135,DA136)&gt;0,"",DA136)</f>
        <v/>
      </c>
      <c r="DF136" s="26">
        <f>AC110</f>
        <v>4.4000000000000004</v>
      </c>
      <c r="DG136" s="32">
        <f t="shared" si="25"/>
        <v>0</v>
      </c>
      <c r="DH136" s="198">
        <f t="shared" si="29"/>
        <v>5</v>
      </c>
      <c r="DI136" s="199" t="str">
        <f t="shared" si="26"/>
        <v/>
      </c>
      <c r="DJ136" s="201" t="str">
        <f>BI109</f>
        <v>d4-30e</v>
      </c>
      <c r="DK136" s="10"/>
      <c r="DL136" s="10"/>
      <c r="DM136" s="8"/>
      <c r="DN136" s="249" t="str">
        <f>IF(COUNTIF($DJ$15:DJ135,DJ136)&gt;0,"",DJ136)</f>
        <v/>
      </c>
      <c r="DO136" s="200" t="str">
        <f>BN109</f>
        <v/>
      </c>
      <c r="DP136" s="32">
        <f t="shared" si="27"/>
        <v>0</v>
      </c>
      <c r="DQ136" s="8"/>
    </row>
    <row r="137" spans="1:121" ht="11.25" customHeight="1">
      <c r="A137" s="15"/>
      <c r="B137" s="23"/>
      <c r="C137" s="2367" t="str">
        <f>[5]照差!$C$159</f>
        <v/>
      </c>
      <c r="D137" s="2368"/>
      <c r="E137" s="2369"/>
      <c r="F137" s="2370" t="str">
        <f>[5]照差!$G$159</f>
        <v/>
      </c>
      <c r="G137" s="2371"/>
      <c r="H137" s="2371"/>
      <c r="I137" s="2372"/>
      <c r="J137" s="2370" t="str">
        <f>[5]照差!$J$159</f>
        <v/>
      </c>
      <c r="K137" s="2373"/>
      <c r="L137" s="2373"/>
      <c r="M137" s="2374"/>
      <c r="N137" s="2330" t="str">
        <f>[5]照差!$M$159</f>
        <v/>
      </c>
      <c r="O137" s="2331"/>
      <c r="P137" s="2331"/>
      <c r="Q137" s="2331"/>
      <c r="R137" s="2332"/>
      <c r="S137" s="2330" t="str">
        <f>[5]照差!$Q$159</f>
        <v/>
      </c>
      <c r="T137" s="2331"/>
      <c r="U137" s="2331"/>
      <c r="V137" s="2332"/>
      <c r="W137" s="2330" t="str">
        <f>[5]照差!$U$159</f>
        <v/>
      </c>
      <c r="X137" s="2331"/>
      <c r="Y137" s="2331"/>
      <c r="Z137" s="2332"/>
      <c r="AA137" s="2340" t="str">
        <f>[5]照差!$Y$159</f>
        <v/>
      </c>
      <c r="AB137" s="2341"/>
      <c r="AC137" s="2342"/>
      <c r="AD137" s="2343" t="str">
        <f>[5]照差!$AB$159</f>
        <v/>
      </c>
      <c r="AE137" s="2344"/>
      <c r="AF137" s="2345"/>
      <c r="AG137" s="2346" t="str">
        <f>IF(OR(C137="",C137="  RF"),"",2+INT(N137/1000))</f>
        <v/>
      </c>
      <c r="AH137" s="2346"/>
      <c r="AI137" s="2346"/>
      <c r="AJ137" s="2346"/>
      <c r="AK137" s="2346"/>
      <c r="AL137" s="2346" t="str">
        <f>IF(OR(C137="",C137="  RF"),"",1+INT(N137/500))</f>
        <v/>
      </c>
      <c r="AM137" s="2346"/>
      <c r="AN137" s="2346"/>
      <c r="AO137" s="2346"/>
      <c r="AP137" s="2346"/>
      <c r="AQ137" s="2347" t="str">
        <f>IF(OR(C137="",AL135="設置しない"),"",IF(OR(AND(LEFT($C$18,2)=" B",[6]Top!$U$72&lt;&gt;""),AND(LEFT($C$18,3)="  1",[6]Top!$U$73&lt;&gt;""),AND(LEFT($C$18,3)="  2",[6]Top!$U$75&lt;&gt;""),AND(LEFT($C$18,3)="  3",[6]Top!$U$77&lt;&gt;""),[6]Top!$U$79&lt;&gt;"",[6]Top!$U$81&lt;&gt;""),"Xh1-Ae",IF(OR(AND(LEFT($C$18,2)=" B",[6]Top!$U$72="BL"),AND(LEFT($C$18,3)="  1",[6]Top!$U$73="BL"),AND(LEFT($C$18,3)="  2",[6]Top!$U$75="BL"),AND(LEFT($C$18,3)="  3",[6]Top!$U$77="BL"),[6]Top!$U$79="BL",[6]Top!$U$81="BL"),"Xh1-BLe","")))</f>
        <v/>
      </c>
      <c r="AR137" s="2348"/>
      <c r="AS137" s="2348"/>
      <c r="AT137" s="2348"/>
      <c r="AU137" s="2348"/>
      <c r="AV137" s="2348"/>
      <c r="AW137" s="2348"/>
      <c r="AX137" s="2348"/>
      <c r="AY137" s="2349"/>
      <c r="AZ137" s="2353" t="str">
        <f>IF(OR(N137="",AQ137=""),"",IF(BC137&lt;&gt;"",BC137,1+INT(N137/500)))</f>
        <v/>
      </c>
      <c r="BA137" s="2354"/>
      <c r="BB137" s="2355"/>
      <c r="BC137" s="2305"/>
      <c r="BD137" s="2305"/>
      <c r="BE137" s="2305"/>
      <c r="BF137" s="2281" t="str">
        <f>IF(C137="","",IF(OR(AND(LEFT(C137,2)=" B",[6]Top!$AD$72="要"),AND(LEFT(C137,3)="  1",[6]Top!$AD$73="要"),AND(LEFT(C137,3)="  2",[6]Top!$AD$75="要"),AND(LEFT(C137,3)="  3",[6]Top!$AD$77="要"),[6]Top!$AD$79="C",[6]Top!$AD$81="要"),"Ya1-Ce",""))</f>
        <v/>
      </c>
      <c r="BG137" s="2281"/>
      <c r="BH137" s="2281"/>
      <c r="BI137" s="2281"/>
      <c r="BJ137" s="2281"/>
      <c r="BK137" s="2281"/>
      <c r="BL137" s="2281"/>
      <c r="BM137" s="2281"/>
      <c r="BN137" s="2281"/>
      <c r="BO137" s="2304" t="str">
        <f>IF(OR(C137="",C137="  RF"),"",IF(BR137&lt;&gt;"",BR137,1+INT((BW137+BX137)/20)))</f>
        <v/>
      </c>
      <c r="BP137" s="2304"/>
      <c r="BQ137" s="2304"/>
      <c r="BR137" s="2339"/>
      <c r="BS137" s="2339"/>
      <c r="BT137" s="2339"/>
      <c r="BU137" s="19"/>
      <c r="BV137" s="8">
        <v>20</v>
      </c>
      <c r="BW137" s="98">
        <f>IF(OR(C137="",C137="  RF"),0,SQRT(N137*J136)/2)</f>
        <v>0</v>
      </c>
      <c r="BX137" s="98">
        <f>IF(OR(C137="",C137="  RF"),0,SQRT(N137/J136)/2)</f>
        <v>0</v>
      </c>
      <c r="BY137" s="88" t="s">
        <v>204</v>
      </c>
      <c r="BZ137" s="92">
        <f>IF(OR($BW$10=0,AL135="設置しない",C137="  RF",C137=""),0,IF(LEFT(C137,2)&lt;&gt;"PH",AG137*BW138/2,BW138))</f>
        <v>0</v>
      </c>
      <c r="CA137" s="88" t="s">
        <v>205</v>
      </c>
      <c r="CB137" s="88">
        <f>IF(OR($BW$10=0,AL135="設置しない",C137="  RF",C137=""),0,IF(LEFT(C137,2)="PH",0,(BN139-1)*SQRT(S137/BN139)))</f>
        <v>0</v>
      </c>
      <c r="CC137" s="88" t="s">
        <v>204</v>
      </c>
      <c r="CD137" s="262" t="e">
        <f>IF(OR($BW$10=0,AL135="設置しない",F137=0),0,AG137*(F137-0.1-($Y$7-$AN$8)/1000))</f>
        <v>#VALUE!</v>
      </c>
      <c r="CE137" s="88" t="s">
        <v>205</v>
      </c>
      <c r="CF137" s="88">
        <f>IF(OR($BW$10=0,AL135="設置しない",LEFT(C137,2)="PH",C137="  RF",C137=""),0,(2*BN139-1)*$AN$7/1000)</f>
        <v>0</v>
      </c>
      <c r="CG137" s="88" t="s">
        <v>204</v>
      </c>
      <c r="CH137" s="92">
        <f>IF(OR($BW$10=0,AL135="設置しない",AI136="非:天井ケーブル"),0,BZ137)</f>
        <v>0</v>
      </c>
      <c r="CI137" s="88" t="s">
        <v>205</v>
      </c>
      <c r="CJ137" s="88">
        <f>IF(OR($BW$10=0,AL135="設置しない",AI136="非:天井ケーブル"),0,CB137)</f>
        <v>0</v>
      </c>
      <c r="CK137" s="88" t="s">
        <v>204</v>
      </c>
      <c r="CL137" s="92">
        <f>IF(OR($BW$10=0,AL135="設置しない",C137="  RF",C137=""),0,IF(J137="直天",AG137*(F137-$Y$7/1000),AG137*(J137+0.1-$Y$7/1000)))</f>
        <v>0</v>
      </c>
      <c r="CM137" s="220"/>
      <c r="CN137" s="219"/>
      <c r="CO137" s="134">
        <f>IF(AZ137="",0,VLOOKUP(AQ137,[7]建物1802!$E$5:$AL$3275,33,FALSE)*AZ137)</f>
        <v>0</v>
      </c>
      <c r="CP137" s="136">
        <f>IF(AZ137="",0,VLOOKUP(AQ137,[7]建物1802!$E$5:$AL$3275,30,FALSE)*AZ137)</f>
        <v>0</v>
      </c>
      <c r="CQ137" s="136">
        <f>IF(CO137="","",SQRT(CO137^2-CP137^2))</f>
        <v>0</v>
      </c>
      <c r="CR137" s="189">
        <f>IF(BO137="",0,VLOOKUP(BF137,[7]建物1802!$E$5:$AL$3275,33,FALSE)*BO137)</f>
        <v>0</v>
      </c>
      <c r="CS137" s="189">
        <f>IF(BO137="",0,VLOOKUP(BF137,[7]建物1802!$E$5:$AL$3275,30,FALSE)*BO137)</f>
        <v>0</v>
      </c>
      <c r="CT137" s="259">
        <f>IF(CR137="",0,SQRT(CR137^2-CS137^2))</f>
        <v>0</v>
      </c>
      <c r="CU137" s="14"/>
      <c r="CV137" s="14"/>
      <c r="CW137" s="216"/>
      <c r="CX137" s="88">
        <v>16</v>
      </c>
      <c r="CY137" s="204">
        <f t="shared" si="28"/>
        <v>3</v>
      </c>
      <c r="CZ137" s="155" t="str">
        <f t="shared" si="24"/>
        <v/>
      </c>
      <c r="DA137" s="210" t="str">
        <f>AG110</f>
        <v>PF-S-16mm</v>
      </c>
      <c r="DB137" s="45"/>
      <c r="DC137" s="45"/>
      <c r="DD137" s="45"/>
      <c r="DE137" s="153" t="str">
        <f>IF(COUNTIF($DA$15:DA136,DA137)&gt;0,"",DA137)</f>
        <v/>
      </c>
      <c r="DF137" s="152">
        <f>AM110</f>
        <v>5.7</v>
      </c>
      <c r="DG137" s="32">
        <f t="shared" si="25"/>
        <v>0</v>
      </c>
      <c r="DH137" s="124">
        <f t="shared" si="29"/>
        <v>5</v>
      </c>
      <c r="DI137" s="149" t="str">
        <f t="shared" si="26"/>
        <v/>
      </c>
      <c r="DJ137" s="210" t="str">
        <f>BI110</f>
        <v>d4-13e</v>
      </c>
      <c r="DK137" s="154"/>
      <c r="DL137" s="154"/>
      <c r="DM137" s="45"/>
      <c r="DN137" s="45" t="str">
        <f>IF(COUNTIF($DJ$15:DJ136,DJ137)&gt;0,"",DJ137)</f>
        <v/>
      </c>
      <c r="DO137" s="209">
        <f>BN110</f>
        <v>9</v>
      </c>
      <c r="DP137" s="169">
        <f t="shared" si="27"/>
        <v>0</v>
      </c>
      <c r="DQ137" s="88">
        <v>16</v>
      </c>
    </row>
    <row r="138" spans="1:121" ht="11.25" customHeight="1">
      <c r="A138" s="15">
        <v>20</v>
      </c>
      <c r="B138" s="23"/>
      <c r="C138" s="2378" t="str">
        <f>IF(C137="","",IF(K138="","VV-F 2.0mm-2C",K138))</f>
        <v/>
      </c>
      <c r="D138" s="2379"/>
      <c r="E138" s="2379"/>
      <c r="F138" s="2379"/>
      <c r="G138" s="2379"/>
      <c r="H138" s="2379"/>
      <c r="I138" s="2379"/>
      <c r="J138" s="2380"/>
      <c r="K138" s="2313"/>
      <c r="L138" s="2314"/>
      <c r="M138" s="2314"/>
      <c r="N138" s="2314"/>
      <c r="O138" s="2314"/>
      <c r="P138" s="2314"/>
      <c r="Q138" s="2314"/>
      <c r="R138" s="2315"/>
      <c r="S138" s="2312" t="str">
        <f>IF(OR(C137="",AL135="設置しない",BH135="設置しない"),"",ROUND((BZ137+CD137),1))</f>
        <v/>
      </c>
      <c r="T138" s="2312"/>
      <c r="U138" s="2312"/>
      <c r="V138" s="2312"/>
      <c r="W138" s="2306" t="str">
        <f>IF(C137="","",IF(AE138="","VV-F 2.0mm-2C",AE138))</f>
        <v/>
      </c>
      <c r="X138" s="2307"/>
      <c r="Y138" s="2307"/>
      <c r="Z138" s="2307"/>
      <c r="AA138" s="2307"/>
      <c r="AB138" s="2307"/>
      <c r="AC138" s="2307"/>
      <c r="AD138" s="2308"/>
      <c r="AE138" s="2313"/>
      <c r="AF138" s="2314"/>
      <c r="AG138" s="2314"/>
      <c r="AH138" s="2314"/>
      <c r="AI138" s="2314"/>
      <c r="AJ138" s="2314"/>
      <c r="AK138" s="2314"/>
      <c r="AL138" s="2315"/>
      <c r="AM138" s="2312" t="str">
        <f>IF(OR(C137="",,AL135="設置しない",BH135="設置しない"),"",ROUND(BZ140,1))</f>
        <v/>
      </c>
      <c r="AN138" s="2312"/>
      <c r="AO138" s="2312"/>
      <c r="AP138" s="2312"/>
      <c r="AQ138" s="2347" t="str">
        <f>IF(OR(C137="",AL135="設置しない"),"",IF(OR(AND(LEFT($C$18,2)=" B",[6]Top!$U$72&lt;&gt;""),AND(LEFT($C$18,3)="  1",[6]Top!$U$73&lt;&gt;""),AND(LEFT($C$18,3)="  2",[6]Top!$U$75&lt;&gt;""),AND(LEFT($C$18,3)="  3",[6]Top!$U$77&lt;&gt;""),[6]Top!$U$79&lt;&gt;"",[6]Top!$U$81&lt;&gt;""),"Xh1-Ae",IF(OR(AND(LEFT($C$18,2)=" B",[6]Top!$U$72="BL"),AND(LEFT($C$18,3)="  1",[6]Top!$U$73="BL"),AND(LEFT($C$18,3)="  2",[6]Top!$U$75="BL"),AND(LEFT($C$18,3)="  3",[6]Top!$U$77="BL"),[6]Top!$U$79="BL",[6]Top!$U$81="BL"),"Xh1-BLe","")))</f>
        <v/>
      </c>
      <c r="AR138" s="2348"/>
      <c r="AS138" s="2348"/>
      <c r="AT138" s="2348"/>
      <c r="AU138" s="2348"/>
      <c r="AV138" s="2348"/>
      <c r="AW138" s="2348"/>
      <c r="AX138" s="2348"/>
      <c r="AY138" s="2349"/>
      <c r="AZ138" s="2304" t="str">
        <f>IF(AA137="","",IF(BC138&lt;&gt;"",BC138,IF(AQ138&lt;&gt;"",1+INT(AA137/3),"")))</f>
        <v/>
      </c>
      <c r="BA138" s="2304"/>
      <c r="BB138" s="2304"/>
      <c r="BC138" s="2305"/>
      <c r="BD138" s="2305"/>
      <c r="BE138" s="2305"/>
      <c r="BF138" s="2281" t="str">
        <f>IF(C137="","",IF(OR(AND(LEFT(C137,2)=" B",[6]Top!$AF$72="要"),AND(LEFT(C137,3)="  1",[6]Top!$AF$73="要"),AND(LEFT(C137,3)="  2",[6]Top!$AF$75="要"),AND(LEFT(C137,3)="  3",[6]Top!$AF$77="要"),[6]Top!$AF$79="要",[6]Top!$AF$81="要"),"D15V-321PXe",""))</f>
        <v/>
      </c>
      <c r="BG138" s="2281"/>
      <c r="BH138" s="2281"/>
      <c r="BI138" s="2282"/>
      <c r="BJ138" s="2282"/>
      <c r="BK138" s="2282"/>
      <c r="BL138" s="2282"/>
      <c r="BM138" s="2282"/>
      <c r="BN138" s="2282"/>
      <c r="BO138" s="2283" t="str">
        <f>IF(OR(C137="",C137="  RF",BF138=""),"",IF(BR138&lt;&gt;"",BR138,2*(1+INT(N137/500))))</f>
        <v/>
      </c>
      <c r="BP138" s="2283"/>
      <c r="BQ138" s="2283"/>
      <c r="BR138" s="2303"/>
      <c r="BS138" s="2303"/>
      <c r="BT138" s="2303"/>
      <c r="BU138" s="19"/>
      <c r="BV138" s="46" t="str">
        <f>V136</f>
        <v/>
      </c>
      <c r="BW138" s="263" t="str">
        <f>IF(C137="","",IF(BV138="①",BW137+BX137+3,IF(BV138="②",BW137*5/8+BX137+3,IF(BV138="③",BW137/2+BX137+3,IF(BV138="④",BW137+BX137*5/8+3,IF(BV138="⑤",(BW137+BX137)*5/8+3,IF(BV138="⑥",BW137/2+BX137*5/8+3,IF(BV138="⑦",BW137+BX137/2+3,IF(BV138="⑧",BW137*5/8+BX137/2+3,IF(BV138="⑨",(BW137+BX137)/2+3))))))))))</f>
        <v/>
      </c>
      <c r="BX138" s="8"/>
      <c r="BY138" s="88" t="s">
        <v>202</v>
      </c>
      <c r="BZ138" s="92">
        <f>IF(OR($BW$10=0,BH135="設置しない",C137="  RF",C137=""),0,IF(LEFT(C137,2)&lt;&gt;"PH",AL137*BW138/2,BW138))</f>
        <v>0</v>
      </c>
      <c r="CA138" s="88" t="s">
        <v>203</v>
      </c>
      <c r="CB138" s="88">
        <f>IF(OR($BW$10=0,AY135="設置しない",BN140=""),0,(BN140-1)*SQRT(W137/BN140))</f>
        <v>0</v>
      </c>
      <c r="CC138" s="88" t="s">
        <v>202</v>
      </c>
      <c r="CD138" s="262" t="e">
        <f>IF(OR($BW$10=0,BH135="設置しない",F137=0),0,AG137*(F137-0.1-($AN$8-$Y$7)/1000))</f>
        <v>#VALUE!</v>
      </c>
      <c r="CE138" s="88" t="s">
        <v>203</v>
      </c>
      <c r="CF138" s="88">
        <f>IF(OR($BW$10=0,BH135="設置しない",BN140=""),0,(2*BN140-1)*$AN$7/1000)</f>
        <v>0</v>
      </c>
      <c r="CG138" s="88" t="s">
        <v>202</v>
      </c>
      <c r="CH138" s="92">
        <f>IF(OR($BW$10=0,BH135="設置しない",AI136="非:天井ケーブル"),0,BZ138)</f>
        <v>0</v>
      </c>
      <c r="CI138" s="88" t="s">
        <v>203</v>
      </c>
      <c r="CJ138" s="88">
        <f>IF(OR($BW$10=0,BH135="設置しない",AI136="非:天井ケーブル"),0,CB138)</f>
        <v>0</v>
      </c>
      <c r="CK138" s="88" t="s">
        <v>202</v>
      </c>
      <c r="CL138" s="92">
        <f>IF(OR($BW$10=0,BH135="設置しない",C137="  RF",C137=""),0,IF(J137="直天",AG137*(F137-$Y$7/1000),AG137*(J137+0.1-$Y$7/1000)))</f>
        <v>0</v>
      </c>
      <c r="CM138" s="141"/>
      <c r="CN138" s="142"/>
      <c r="CO138" s="136">
        <f>IF(AZ138="",0,(VLOOKUP(AQ138,[7]建物1802!$E$5:$AL$3275,33,FALSE))*AZ138)</f>
        <v>0</v>
      </c>
      <c r="CP138" s="136">
        <f>IF(AZ138="",0,VLOOKUP(AQ138,[7]建物1802!$E$5:$AL$3275,30,FALSE)*AZ138)</f>
        <v>0</v>
      </c>
      <c r="CQ138" s="136">
        <f>IF(CO138="","",SQRT(CO138^2-CP138^2))</f>
        <v>0</v>
      </c>
      <c r="CR138" s="189">
        <f>IF(BO138="",0,VLOOKUP(BF138,[7]建物1802!$E$5:$AL$3275,33,FALSE)*BO138)</f>
        <v>0</v>
      </c>
      <c r="CS138" s="189">
        <f>IF(BO138="",0,VLOOKUP(BF138,[7]建物1802!$E$5:$AL$3275,30,FALSE)*BO138)</f>
        <v>0</v>
      </c>
      <c r="CT138" s="259">
        <f>IF(CR138="",0,SQRT(CR138^2-CS138^2))</f>
        <v>0</v>
      </c>
      <c r="CU138" s="14"/>
      <c r="CV138" s="14"/>
      <c r="CW138" s="216"/>
      <c r="CX138" s="8"/>
      <c r="CY138" s="197">
        <f t="shared" si="28"/>
        <v>3</v>
      </c>
      <c r="CZ138" s="197" t="str">
        <f t="shared" si="24"/>
        <v/>
      </c>
      <c r="DA138" s="10" t="str">
        <f>C114</f>
        <v>VV-F 2.0mm-2C</v>
      </c>
      <c r="DB138" s="8"/>
      <c r="DC138" s="8"/>
      <c r="DD138" s="8"/>
      <c r="DE138" s="249" t="str">
        <f>IF(COUNTIF($DA$15:DA137,DA138)&gt;0,"",DA138)</f>
        <v/>
      </c>
      <c r="DF138" s="26">
        <f>S114</f>
        <v>20.7</v>
      </c>
      <c r="DG138" s="32">
        <f t="shared" si="25"/>
        <v>0</v>
      </c>
      <c r="DH138" s="198">
        <f t="shared" si="29"/>
        <v>5</v>
      </c>
      <c r="DI138" s="199" t="str">
        <f t="shared" si="26"/>
        <v/>
      </c>
      <c r="DJ138" s="10" t="str">
        <f>AQ113</f>
        <v>Xh1-Ae</v>
      </c>
      <c r="DK138" s="10"/>
      <c r="DL138" s="10"/>
      <c r="DM138" s="8"/>
      <c r="DN138" s="249" t="str">
        <f>IF(COUNTIF($DJ$15:DJ137,DJ138)&gt;0,"",DJ138)</f>
        <v/>
      </c>
      <c r="DO138" s="200">
        <f>AZ113</f>
        <v>1</v>
      </c>
      <c r="DP138" s="32">
        <f t="shared" si="27"/>
        <v>0</v>
      </c>
      <c r="DQ138" s="8"/>
    </row>
    <row r="139" spans="1:121" ht="11.25" customHeight="1">
      <c r="B139" s="23"/>
      <c r="C139" s="2378" t="str">
        <f>IF(C137="","",IF(K139="","VV-F 1.6mm-2C",K139))</f>
        <v/>
      </c>
      <c r="D139" s="2379"/>
      <c r="E139" s="2379"/>
      <c r="F139" s="2379"/>
      <c r="G139" s="2379"/>
      <c r="H139" s="2379"/>
      <c r="I139" s="2379"/>
      <c r="J139" s="2380"/>
      <c r="K139" s="2313"/>
      <c r="L139" s="2314"/>
      <c r="M139" s="2314"/>
      <c r="N139" s="2314"/>
      <c r="O139" s="2314"/>
      <c r="P139" s="2314"/>
      <c r="Q139" s="2314"/>
      <c r="R139" s="2315"/>
      <c r="S139" s="2312" t="str">
        <f>IF(OR(C137="",C137="  RF"),"",INT(CB137+CB138+CF137+CF138+CD139))</f>
        <v/>
      </c>
      <c r="T139" s="2312"/>
      <c r="U139" s="2312"/>
      <c r="V139" s="2312"/>
      <c r="W139" s="2306" t="str">
        <f>IF(C137="","",IF(AE139="","VV-F 1.6mm-2C",AE139))</f>
        <v/>
      </c>
      <c r="X139" s="2307"/>
      <c r="Y139" s="2307"/>
      <c r="Z139" s="2307"/>
      <c r="AA139" s="2307"/>
      <c r="AB139" s="2307"/>
      <c r="AC139" s="2307"/>
      <c r="AD139" s="2308"/>
      <c r="AE139" s="2313"/>
      <c r="AF139" s="2314"/>
      <c r="AG139" s="2314"/>
      <c r="AH139" s="2314"/>
      <c r="AI139" s="2314"/>
      <c r="AJ139" s="2314"/>
      <c r="AK139" s="2314"/>
      <c r="AL139" s="2315"/>
      <c r="AM139" s="2306" t="str">
        <f>IF(OR(C137="",C137="  RF"),"",INT(CB140+CD139))</f>
        <v/>
      </c>
      <c r="AN139" s="2307"/>
      <c r="AO139" s="2307"/>
      <c r="AP139" s="2308"/>
      <c r="AQ139" s="2309" t="str">
        <f>IF(OR(C137="",S137=""),"",IF(OR(AND(LEFT(C137,2)=" B",[8]非誘!$W$72="C"),AND(LEFT(C137,3)="  1",[8]非誘!$W$74="C"),AND(LEFT(C137,3)="  2",[8]非誘!$W$76="C"),AND(LEFT(C137,3)="  3",[8]非誘!$W$78="C"),[8]非誘!$W$80="C",[8]非誘!$W$81="C"),"Yd2-BHe",""))</f>
        <v/>
      </c>
      <c r="AR139" s="2310"/>
      <c r="AS139" s="2310"/>
      <c r="AT139" s="2310"/>
      <c r="AU139" s="2310"/>
      <c r="AV139" s="2310"/>
      <c r="AW139" s="2310"/>
      <c r="AX139" s="2310"/>
      <c r="AY139" s="2311"/>
      <c r="AZ139" s="2304" t="str">
        <f>IF(AQ139="","",IF(OR(C137="",C137="  RF"),"",IF(BC139&lt;&gt;"",BC139,AA137)))</f>
        <v/>
      </c>
      <c r="BA139" s="2304"/>
      <c r="BB139" s="2304"/>
      <c r="BC139" s="2305"/>
      <c r="BD139" s="2305"/>
      <c r="BE139" s="2305"/>
      <c r="BF139" s="2316" t="s">
        <v>10</v>
      </c>
      <c r="BG139" s="2317"/>
      <c r="BH139" s="2318"/>
      <c r="BI139" s="2319" t="str">
        <f>IF(OR($BW$10=0,AL135="設置しない",C137="",C137="  RF"),"",IF(OR(AND(LEFT(C137,2)=" B",[6]Top!$O$72="要"),AND(LEFT(C137,3)="  1",[6]Top!$O$74="要"),AND(LEFT(C137,3)="  2",[6]Top!$O$76="要"),AND(LEFT(C137,3)="  3",[6]Top!$O$78="要"),[6]Top!$O$80="要",[6]Top!$O$81="要",$Y$9="設置する"),"d4-30e",""))</f>
        <v/>
      </c>
      <c r="BJ139" s="2320"/>
      <c r="BK139" s="2320"/>
      <c r="BL139" s="2320"/>
      <c r="BM139" s="2321"/>
      <c r="BN139" s="2319" t="str">
        <f>IF(OR($BW$10=0,AL135="設置しない",C137="",C137="  RF"),"",IF(LEFT(C137,2)="PH","",IF(BR139&lt;&gt;"",BR139,IF((1+INT(S137/110))&lt;=AA137,AA137,1+INT(S137/110)))))</f>
        <v/>
      </c>
      <c r="BO139" s="2320"/>
      <c r="BP139" s="2321"/>
      <c r="BQ139" s="31" t="s">
        <v>201</v>
      </c>
      <c r="BR139" s="2322"/>
      <c r="BS139" s="2323"/>
      <c r="BT139" s="2324"/>
      <c r="BU139" s="19"/>
      <c r="BV139" s="8"/>
      <c r="BW139" s="196"/>
      <c r="BX139" s="8"/>
      <c r="BY139" s="88" t="s">
        <v>200</v>
      </c>
      <c r="BZ139" s="222">
        <f>SUM(AZ137:BB140)+SUM(BO137:BQ140)</f>
        <v>0</v>
      </c>
      <c r="CA139" s="8"/>
      <c r="CB139" s="8"/>
      <c r="CC139" s="88" t="s">
        <v>121</v>
      </c>
      <c r="CD139" s="88">
        <f>IF($AW$8=0,0,2*($AW$8/1000-0.15-0.1)*(INT(1000*2*BW137/$AW$10)+1)*(INT(1000*2*BX137/$AW$10)+1)*4)</f>
        <v>3.5999999999999996</v>
      </c>
      <c r="CE139" s="8"/>
      <c r="CF139" s="8"/>
      <c r="CG139" s="168"/>
      <c r="CH139" s="261"/>
      <c r="CI139" s="8"/>
      <c r="CJ139" s="8"/>
      <c r="CK139" s="168"/>
      <c r="CL139" s="261"/>
      <c r="CM139" s="8"/>
      <c r="CN139" s="8"/>
      <c r="CO139" s="136">
        <f>IF(AZ139="",0,VLOOKUP(AQ139,[7]建物1802!$E$5:$AL$3275,33,FALSE)*AZ139)</f>
        <v>0</v>
      </c>
      <c r="CP139" s="136">
        <f>IF(AZ139="",0,VLOOKUP(AQ139,[7]建物1802!$E$5:$AL$3275,30,FALSE)*AZ139)</f>
        <v>0</v>
      </c>
      <c r="CQ139" s="136">
        <f>IF(CO139="","",SQRT(CO139^2-CP139^2))</f>
        <v>0</v>
      </c>
      <c r="CR139" s="260"/>
      <c r="CS139" s="14"/>
      <c r="CT139" s="14"/>
      <c r="CU139" s="14"/>
      <c r="CV139" s="14"/>
      <c r="CW139" s="216"/>
      <c r="CX139" s="8"/>
      <c r="CY139" s="197">
        <f t="shared" si="28"/>
        <v>3</v>
      </c>
      <c r="CZ139" s="197" t="str">
        <f t="shared" si="24"/>
        <v/>
      </c>
      <c r="DA139" s="201" t="str">
        <f>W114</f>
        <v>VV-F 2.0mm-2C</v>
      </c>
      <c r="DB139" s="8"/>
      <c r="DC139" s="8"/>
      <c r="DD139" s="8"/>
      <c r="DE139" s="249" t="str">
        <f>IF(COUNTIF($DA$15:DA138,DA139)&gt;0,"",DA139)</f>
        <v/>
      </c>
      <c r="DF139" s="26">
        <f>AM114</f>
        <v>6.8</v>
      </c>
      <c r="DG139" s="32">
        <f t="shared" si="25"/>
        <v>0</v>
      </c>
      <c r="DH139" s="198">
        <f t="shared" si="29"/>
        <v>5</v>
      </c>
      <c r="DI139" s="198" t="str">
        <f t="shared" si="26"/>
        <v/>
      </c>
      <c r="DJ139" s="10" t="str">
        <f>AQ114</f>
        <v>Xh1-Ae</v>
      </c>
      <c r="DK139" s="10"/>
      <c r="DL139" s="10"/>
      <c r="DM139" s="8"/>
      <c r="DN139" s="8" t="str">
        <f>IF(COUNTIF($DJ$15:DJ138,DJ139)&gt;0,"",DJ139)</f>
        <v/>
      </c>
      <c r="DO139" s="200" t="str">
        <f>AZ114</f>
        <v/>
      </c>
      <c r="DP139" s="32">
        <f t="shared" si="27"/>
        <v>0</v>
      </c>
      <c r="DQ139" s="8"/>
    </row>
    <row r="140" spans="1:121" ht="11.25" customHeight="1" thickBot="1">
      <c r="B140" s="23"/>
      <c r="C140" s="2359" t="str">
        <f>IF(C137="","",IF(I140="","",IF(AI136="非:天井(C管)","C-19mm",IF(AI136="非:天井(G管)","G- 16mm","PF-S-16mm"))))</f>
        <v/>
      </c>
      <c r="D140" s="2360"/>
      <c r="E140" s="2360"/>
      <c r="F140" s="2360"/>
      <c r="G140" s="2360"/>
      <c r="H140" s="2360"/>
      <c r="I140" s="2335" t="str">
        <f>IF(OR(C137="",AL135="設置しない",BH135="設置しない",$BW$10=0,CH137=0,CJ137=0),"",IF(J137="直天",ROUND((BZ137+CB137),1),ROUND((CH137+CJ137),1)))</f>
        <v/>
      </c>
      <c r="J140" s="2335"/>
      <c r="K140" s="2335"/>
      <c r="L140" s="2335"/>
      <c r="M140" s="2359" t="str">
        <f>IF(C137="","",IF(S140="","",IF(BC136="誘:天井(C管)","C-19mm",IF(BC136="誘:天井(G管)","G- 16mm","PF-S-16mm"))))</f>
        <v/>
      </c>
      <c r="N140" s="2360"/>
      <c r="O140" s="2360"/>
      <c r="P140" s="2360"/>
      <c r="Q140" s="2360"/>
      <c r="R140" s="2361"/>
      <c r="S140" s="2312" t="str">
        <f>IF(OR(C137="",,AL135="設置しない",BH135="設置しない",$BW$10=0,CH140=0,CJ140=0),"",IF(J137="直天",ROUND((BZ140+CB140),1),ROUND((CH140+CJ140),1)))</f>
        <v/>
      </c>
      <c r="T140" s="2312"/>
      <c r="U140" s="2312"/>
      <c r="V140" s="2312"/>
      <c r="W140" s="2359" t="str">
        <f>IF(C137="","",IF($B$2=0,"",IF(OR(AI136="非:天井(C管)",AI136="非:床(C管)"),"C-19mm",IF(OR(AI136="非:天井(G管)",AI136="非:床(G管)"),"G-16mm",IF(AI136="非:床(CD管)","CD-16mm","PF-S-16mm")))))</f>
        <v/>
      </c>
      <c r="X140" s="2360"/>
      <c r="Y140" s="2360"/>
      <c r="Z140" s="2360"/>
      <c r="AA140" s="2360"/>
      <c r="AB140" s="2361"/>
      <c r="AC140" s="2362" t="str">
        <f>IF(OR(C137="",AL135="設置しない",BH135="設置しない"),"",ROUND(CL137,1))</f>
        <v/>
      </c>
      <c r="AD140" s="2312"/>
      <c r="AE140" s="2312"/>
      <c r="AF140" s="2312"/>
      <c r="AG140" s="2333" t="str">
        <f>IF(C137="","",IF($B$2=0,"",IF(BC136="誘:天井(C管)","C-19mm",IF(BC136="誘:天井(G管)","G-16mm","PF-S-16mm"))))</f>
        <v/>
      </c>
      <c r="AH140" s="2333"/>
      <c r="AI140" s="2333"/>
      <c r="AJ140" s="2333"/>
      <c r="AK140" s="2333"/>
      <c r="AL140" s="2333"/>
      <c r="AM140" s="2334" t="str">
        <f>IF(OR(C137="",AL135="設置しない",BH135="設置しない"),"",ROUND((CL140+CN140),1))</f>
        <v/>
      </c>
      <c r="AN140" s="2335"/>
      <c r="AO140" s="2335"/>
      <c r="AP140" s="2335"/>
      <c r="AQ140" s="2291" t="str">
        <f>IF(C137="","",IF(OR(AND(LEFT(C137,2)=" B",[6]Top!$AA$72="C"),AND(LEFT(C137,3)="  1",[6]Top!$AA$73="C"),AND(LEFT(C137,3)="  2",[6]Top!$AA$75="C"),AND(LEFT(C137,3)="  3",[6]Top!$AA$77="C"),[6]Top!$AA$79="C",[6]Top!$AA$81="C"),"Yd2-Ce",""))</f>
        <v/>
      </c>
      <c r="AR140" s="2292"/>
      <c r="AS140" s="2292"/>
      <c r="AT140" s="2292"/>
      <c r="AU140" s="2292"/>
      <c r="AV140" s="2292"/>
      <c r="AW140" s="2292"/>
      <c r="AX140" s="2292"/>
      <c r="AY140" s="2293"/>
      <c r="AZ140" s="2294" t="str">
        <f>IF(OR(C137="",C137="  RF",AQ140=""),"",IF(BC140&lt;&gt;"",BC140,1+INT((BW137+BX137)/20)))</f>
        <v/>
      </c>
      <c r="BA140" s="2295"/>
      <c r="BB140" s="2296"/>
      <c r="BC140" s="2287"/>
      <c r="BD140" s="2287"/>
      <c r="BE140" s="2287"/>
      <c r="BF140" s="2363" t="s">
        <v>127</v>
      </c>
      <c r="BG140" s="2364"/>
      <c r="BH140" s="2365"/>
      <c r="BI140" s="2335" t="str">
        <f>IF(OR($BW$10=0,AY135="設置しない",C137="",C137="  RF"),"",IF(OR(AND(LEFT(C137,2)=" B",[6]Top!$O$72="要"),AND(LEFT(C137,3)="  1",[6]Top!$O$74="要"),AND(LEFT(C137,3)="  2",[6]Top!$O$76="要"),AND(LEFT(C137,3)="  3",[6]Top!$O$78="要"),[6]Top!$O$80="要",[6]Top!$O$81="要",$Y$10="設置する"),"d4-13e",""))</f>
        <v/>
      </c>
      <c r="BJ140" s="2335"/>
      <c r="BK140" s="2335"/>
      <c r="BL140" s="2335"/>
      <c r="BM140" s="2335"/>
      <c r="BN140" s="2335" t="str">
        <f>IF(OR($BW$10=0,BH135="設置しない",C137="",C137="  RF"),"",IF(BR140&lt;&gt;"",BR140,INT(AD137*1.2)))</f>
        <v/>
      </c>
      <c r="BO140" s="2335"/>
      <c r="BP140" s="2335"/>
      <c r="BQ140" s="31" t="s">
        <v>2</v>
      </c>
      <c r="BR140" s="2350"/>
      <c r="BS140" s="2351"/>
      <c r="BT140" s="2352"/>
      <c r="BU140" s="19"/>
      <c r="BV140" s="8"/>
      <c r="BW140" s="8"/>
      <c r="BX140" s="8"/>
      <c r="BY140" s="88" t="s">
        <v>199</v>
      </c>
      <c r="BZ140" s="151">
        <f>IF(AL137="",0,AL137*SQRT(N137/BZ139))</f>
        <v>0</v>
      </c>
      <c r="CA140" s="88" t="s">
        <v>198</v>
      </c>
      <c r="CB140" s="151">
        <f>IF(BZ139=0,0,(BZ139/3)*BW138)</f>
        <v>0</v>
      </c>
      <c r="CC140" s="88" t="s">
        <v>199</v>
      </c>
      <c r="CD140" s="151" t="e">
        <f>IF(F137=0,0,F137-0.25-$Y$7/1000)</f>
        <v>#VALUE!</v>
      </c>
      <c r="CE140" s="88" t="s">
        <v>198</v>
      </c>
      <c r="CF140" s="151" t="e">
        <f>IF(F137=0,0,(2*(BZ139-BO137)-1)*$AN$7/1000+(2*BO137-1)*(F137-0.75))</f>
        <v>#VALUE!</v>
      </c>
      <c r="CG140" s="88" t="s">
        <v>199</v>
      </c>
      <c r="CH140" s="151">
        <f>IF(BC136="誘:天井ケーブル",0,BZ140)</f>
        <v>0</v>
      </c>
      <c r="CI140" s="88" t="s">
        <v>198</v>
      </c>
      <c r="CJ140" s="151">
        <f>IF(BC136="誘:天井ケーブル",0,CB140)</f>
        <v>0</v>
      </c>
      <c r="CK140" s="88" t="s">
        <v>199</v>
      </c>
      <c r="CL140" s="259" t="e">
        <f>IF(F137=0,0,IF(J137="直天",AL137*(F137-$Y$7/1000),AL137*(J137+0.1-$Y$7/1000)))</f>
        <v>#VALUE!</v>
      </c>
      <c r="CM140" s="88" t="s">
        <v>198</v>
      </c>
      <c r="CN140" s="151" t="e">
        <f>IF(F137=0,0,IF(J137="直天",BO137*(2*BO137-1)*(F137-0.5),BO137*(2*BO137-1)*(J137-0.4)))</f>
        <v>#VALUE!</v>
      </c>
      <c r="CO140" s="136">
        <f>IF(AZ140="",0,VLOOKUP(AQ140,[7]建物1802!$E$5:$AL$3275,33,FALSE)*AZ140)</f>
        <v>0</v>
      </c>
      <c r="CP140" s="136">
        <f>IF(AZ140="",0,VLOOKUP(AQ140,[7]建物1802!$E$5:$AL$3275,30,FALSE)*AZ140)</f>
        <v>0</v>
      </c>
      <c r="CQ140" s="136">
        <f>IF(CO140="","",SQRT(CO140^2-CP140^2))</f>
        <v>0</v>
      </c>
      <c r="CR140" s="26"/>
      <c r="CS140" s="26"/>
      <c r="CT140" s="26"/>
      <c r="CU140" s="26"/>
      <c r="CV140" s="26"/>
      <c r="CW140" s="218"/>
      <c r="CX140" s="8"/>
      <c r="CY140" s="197">
        <f t="shared" si="28"/>
        <v>3</v>
      </c>
      <c r="CZ140" s="197" t="str">
        <f t="shared" si="24"/>
        <v/>
      </c>
      <c r="DA140" s="10" t="str">
        <f>C115</f>
        <v>VV-F 1.6mm-2C</v>
      </c>
      <c r="DB140" s="8"/>
      <c r="DC140" s="8"/>
      <c r="DD140" s="8"/>
      <c r="DE140" s="249" t="str">
        <f>IF(COUNTIF($DA$15:DA139,DA140)&gt;0,"",DA140)</f>
        <v/>
      </c>
      <c r="DF140" s="26">
        <f>S115</f>
        <v>66</v>
      </c>
      <c r="DG140" s="32">
        <f t="shared" si="25"/>
        <v>0</v>
      </c>
      <c r="DH140" s="198">
        <f t="shared" si="29"/>
        <v>5</v>
      </c>
      <c r="DI140" s="198" t="str">
        <f t="shared" si="26"/>
        <v/>
      </c>
      <c r="DJ140" s="10" t="str">
        <f>AQ115</f>
        <v/>
      </c>
      <c r="DK140" s="10"/>
      <c r="DL140" s="10"/>
      <c r="DM140" s="8"/>
      <c r="DN140" s="8" t="str">
        <f>IF(COUNTIF($DJ$15:DJ139,DJ140)&gt;0,"",DJ140)</f>
        <v/>
      </c>
      <c r="DO140" s="200" t="str">
        <f>AZ115</f>
        <v/>
      </c>
      <c r="DP140" s="32">
        <f t="shared" si="27"/>
        <v>0</v>
      </c>
      <c r="DQ140" s="8"/>
    </row>
    <row r="141" spans="1:121" ht="11.25" customHeight="1" thickBot="1">
      <c r="B141" s="23"/>
      <c r="C141" s="256"/>
      <c r="D141" s="256"/>
      <c r="E141" s="256"/>
      <c r="F141" s="256"/>
      <c r="G141" s="256"/>
      <c r="H141" s="256"/>
      <c r="I141" s="256"/>
      <c r="J141" s="255"/>
      <c r="K141" s="255"/>
      <c r="L141" s="255"/>
      <c r="M141" s="255"/>
      <c r="N141" s="256"/>
      <c r="O141" s="256"/>
      <c r="P141" s="256"/>
      <c r="Q141" s="256"/>
      <c r="R141" s="256"/>
      <c r="S141" s="256"/>
      <c r="T141" s="256"/>
      <c r="U141" s="255"/>
      <c r="V141" s="255"/>
      <c r="W141" s="255"/>
      <c r="X141" s="255"/>
      <c r="Y141" s="256"/>
      <c r="Z141" s="256"/>
      <c r="AA141" s="256"/>
      <c r="AB141" s="256"/>
      <c r="AC141" s="256"/>
      <c r="AD141" s="255"/>
      <c r="AE141" s="255"/>
      <c r="AF141" s="255"/>
      <c r="AG141" s="255"/>
      <c r="AH141" s="258"/>
      <c r="AI141" s="258"/>
      <c r="AJ141" s="258"/>
      <c r="AK141" s="258"/>
      <c r="AL141" s="257"/>
      <c r="AM141" s="257"/>
      <c r="AN141" s="257"/>
      <c r="AO141" s="257"/>
      <c r="AP141" s="258"/>
      <c r="AQ141" s="258"/>
      <c r="AR141" s="258"/>
      <c r="AS141" s="258"/>
      <c r="AT141" s="258"/>
      <c r="AU141" s="258"/>
      <c r="AV141" s="258"/>
      <c r="AW141" s="258"/>
      <c r="AX141" s="257"/>
      <c r="AY141" s="257"/>
      <c r="AZ141" s="257"/>
      <c r="BA141" s="257"/>
      <c r="BB141" s="257"/>
      <c r="BC141" s="257"/>
      <c r="BD141" s="257"/>
      <c r="BE141" s="257"/>
      <c r="BF141" s="257"/>
      <c r="BG141" s="256"/>
      <c r="BH141" s="256"/>
      <c r="BI141" s="256"/>
      <c r="BJ141" s="256"/>
      <c r="BK141" s="256"/>
      <c r="BL141" s="256"/>
      <c r="BM141" s="256"/>
      <c r="BN141" s="256"/>
      <c r="BO141" s="255"/>
      <c r="BP141" s="255"/>
      <c r="BQ141" s="255"/>
      <c r="BR141" s="255"/>
      <c r="BS141" s="255"/>
      <c r="BT141" s="255"/>
      <c r="BU141" s="19"/>
      <c r="BV141" s="8"/>
      <c r="BW141" s="8"/>
      <c r="BX141" s="8"/>
      <c r="BY141" s="9"/>
      <c r="BZ141" s="9"/>
      <c r="CA141" s="9"/>
      <c r="CB141" s="9"/>
      <c r="CC141" s="9"/>
      <c r="CD141" s="9"/>
      <c r="CE141" s="9"/>
      <c r="CF141" s="9"/>
      <c r="CG141" s="9"/>
      <c r="CH141" s="9"/>
      <c r="CI141" s="9"/>
      <c r="CJ141" s="9"/>
      <c r="CK141" s="9"/>
      <c r="CL141" s="9"/>
      <c r="CM141" s="9"/>
      <c r="CN141" s="9"/>
      <c r="CO141" s="254"/>
      <c r="CP141" s="254"/>
      <c r="CQ141" s="254"/>
      <c r="CR141" s="14"/>
      <c r="CS141" s="14"/>
      <c r="CT141" s="14"/>
      <c r="CU141" s="90" t="s">
        <v>197</v>
      </c>
      <c r="CV141" s="90" t="s">
        <v>196</v>
      </c>
      <c r="CW141" s="216"/>
      <c r="CX141" s="8"/>
      <c r="CY141" s="197">
        <f t="shared" si="28"/>
        <v>3</v>
      </c>
      <c r="CZ141" s="197" t="str">
        <f t="shared" si="24"/>
        <v/>
      </c>
      <c r="DA141" s="201" t="str">
        <f>W115</f>
        <v>VV-F 1.6mm-2C</v>
      </c>
      <c r="DB141" s="8"/>
      <c r="DC141" s="8"/>
      <c r="DD141" s="8"/>
      <c r="DE141" s="249" t="str">
        <f>IF(COUNTIF($DA$15:DA140,DA141)&gt;0,"",DA141)</f>
        <v/>
      </c>
      <c r="DF141" s="26">
        <f>AM115</f>
        <v>33</v>
      </c>
      <c r="DG141" s="32">
        <f t="shared" si="25"/>
        <v>0</v>
      </c>
      <c r="DH141" s="198">
        <f t="shared" si="29"/>
        <v>5</v>
      </c>
      <c r="DI141" s="124" t="str">
        <f t="shared" si="26"/>
        <v/>
      </c>
      <c r="DJ141" s="11" t="str">
        <f>AQ116</f>
        <v>Yd2-Ce</v>
      </c>
      <c r="DK141" s="11"/>
      <c r="DL141" s="11"/>
      <c r="DM141" s="9"/>
      <c r="DN141" s="9" t="str">
        <f>IF(COUNTIF($DJ$15:DJ140,DJ141)&gt;0,"",DJ141)</f>
        <v/>
      </c>
      <c r="DO141" s="101">
        <f>AZ116</f>
        <v>1</v>
      </c>
      <c r="DP141" s="32">
        <f t="shared" si="27"/>
        <v>0</v>
      </c>
      <c r="DQ141" s="8"/>
    </row>
    <row r="142" spans="1:121" ht="11.25" customHeight="1" thickBot="1">
      <c r="B142" s="23"/>
      <c r="C142" s="99"/>
      <c r="D142" s="99"/>
      <c r="E142" s="99"/>
      <c r="F142" s="99"/>
      <c r="G142" s="99"/>
      <c r="H142" s="99"/>
      <c r="I142" s="99"/>
      <c r="J142" s="130"/>
      <c r="K142" s="130"/>
      <c r="L142" s="130"/>
      <c r="M142" s="130"/>
      <c r="N142" s="99"/>
      <c r="O142" s="99"/>
      <c r="P142" s="99"/>
      <c r="Q142" s="99"/>
      <c r="R142" s="99"/>
      <c r="S142" s="99"/>
      <c r="T142" s="99"/>
      <c r="U142" s="130"/>
      <c r="V142" s="130"/>
      <c r="W142" s="130"/>
      <c r="X142" s="130"/>
      <c r="Y142" s="99"/>
      <c r="Z142" s="99"/>
      <c r="AA142" s="99"/>
      <c r="AB142" s="99"/>
      <c r="AC142" s="99"/>
      <c r="AD142" s="130"/>
      <c r="AE142" s="130"/>
      <c r="AF142" s="130"/>
      <c r="AG142" s="130"/>
      <c r="AH142" s="35"/>
      <c r="AI142" s="35"/>
      <c r="AJ142" s="35"/>
      <c r="AK142" s="35"/>
      <c r="AL142" s="217"/>
      <c r="AM142" s="217"/>
      <c r="AN142" s="217"/>
      <c r="AO142" s="217"/>
      <c r="AP142" s="35"/>
      <c r="AQ142" s="35"/>
      <c r="AR142" s="35"/>
      <c r="AS142" s="35"/>
      <c r="AT142" s="35"/>
      <c r="AU142" s="35"/>
      <c r="AV142" s="35"/>
      <c r="AW142" s="35"/>
      <c r="AX142" s="217"/>
      <c r="AY142" s="217"/>
      <c r="AZ142" s="217"/>
      <c r="BA142" s="217"/>
      <c r="BB142" s="217"/>
      <c r="BC142" s="217"/>
      <c r="BD142" s="217"/>
      <c r="BE142" s="217"/>
      <c r="BF142" s="217"/>
      <c r="BG142" s="99"/>
      <c r="BH142" s="99"/>
      <c r="BI142" s="99"/>
      <c r="BJ142" s="99"/>
      <c r="BK142" s="99"/>
      <c r="BL142" s="99"/>
      <c r="BM142" s="99"/>
      <c r="BN142" s="99"/>
      <c r="BO142" s="130"/>
      <c r="BP142" s="130"/>
      <c r="BQ142" s="130"/>
      <c r="BR142" s="130"/>
      <c r="BS142" s="130"/>
      <c r="BT142" s="130"/>
      <c r="BU142" s="19"/>
      <c r="BV142" s="8"/>
      <c r="BW142" s="8"/>
      <c r="BX142" s="8"/>
      <c r="BY142" s="8"/>
      <c r="BZ142" s="8"/>
      <c r="CA142" s="8"/>
      <c r="CB142" s="8"/>
      <c r="CC142" s="8"/>
      <c r="CD142" s="8"/>
      <c r="CE142" s="8"/>
      <c r="CF142" s="8"/>
      <c r="CG142" s="8"/>
      <c r="CH142" s="8"/>
      <c r="CI142" s="8"/>
      <c r="CJ142" s="8"/>
      <c r="CK142" s="8"/>
      <c r="CL142" s="8"/>
      <c r="CM142" s="8"/>
      <c r="CN142" s="8"/>
      <c r="CO142" s="9"/>
      <c r="CP142" s="9"/>
      <c r="CQ142" s="9"/>
      <c r="CR142" s="8"/>
      <c r="CS142" s="8"/>
      <c r="CT142" s="46" t="s">
        <v>195</v>
      </c>
      <c r="CU142" s="253">
        <f>IF(SUM(CU17:CU136)=0,"",SUM(CU17:CU136))</f>
        <v>1360.2</v>
      </c>
      <c r="CV142" s="253" t="e">
        <f>IF(SUM(CV17:CV136)=0,"",SUM(CV17:CV136))</f>
        <v>#VALUE!</v>
      </c>
      <c r="CW142" s="8"/>
      <c r="CX142" s="8"/>
      <c r="CY142" s="197">
        <f t="shared" si="28"/>
        <v>3</v>
      </c>
      <c r="CZ142" s="197" t="str">
        <f t="shared" si="24"/>
        <v/>
      </c>
      <c r="DA142" s="10" t="str">
        <f>C116</f>
        <v/>
      </c>
      <c r="DB142" s="8"/>
      <c r="DC142" s="8"/>
      <c r="DD142" s="8"/>
      <c r="DE142" s="249" t="str">
        <f>IF(COUNTIF($DA$15:DA141,DA142)&gt;0,"",DA142)</f>
        <v/>
      </c>
      <c r="DF142" s="26" t="str">
        <f>I116</f>
        <v/>
      </c>
      <c r="DG142" s="32">
        <f t="shared" si="25"/>
        <v>0</v>
      </c>
      <c r="DH142" s="198">
        <f t="shared" si="29"/>
        <v>5</v>
      </c>
      <c r="DI142" s="124" t="str">
        <f t="shared" si="26"/>
        <v/>
      </c>
      <c r="DJ142" s="11" t="str">
        <f>BF113</f>
        <v>Ya1-Ce</v>
      </c>
      <c r="DK142" s="11"/>
      <c r="DL142" s="11"/>
      <c r="DM142" s="9"/>
      <c r="DN142" s="9" t="str">
        <f>IF(COUNTIF($DJ$15:DJ141,DJ142)&gt;0,"",DJ142)</f>
        <v/>
      </c>
      <c r="DO142" s="101">
        <f>BO113</f>
        <v>1</v>
      </c>
      <c r="DP142" s="13">
        <f t="shared" si="27"/>
        <v>0</v>
      </c>
      <c r="DQ142" s="8"/>
    </row>
    <row r="143" spans="1:121" ht="11.25" customHeight="1">
      <c r="B143" s="23"/>
      <c r="C143" s="99"/>
      <c r="D143" s="99"/>
      <c r="E143" s="99"/>
      <c r="F143" s="99"/>
      <c r="G143" s="99"/>
      <c r="H143" s="99"/>
      <c r="I143" s="99"/>
      <c r="J143" s="130"/>
      <c r="K143" s="130"/>
      <c r="L143" s="130"/>
      <c r="M143" s="130"/>
      <c r="N143" s="99"/>
      <c r="O143" s="99"/>
      <c r="P143" s="99"/>
      <c r="Q143" s="99"/>
      <c r="R143" s="99"/>
      <c r="S143" s="99"/>
      <c r="T143" s="99"/>
      <c r="U143" s="130"/>
      <c r="V143" s="130"/>
      <c r="W143" s="130"/>
      <c r="X143" s="130"/>
      <c r="Y143" s="99"/>
      <c r="Z143" s="99"/>
      <c r="AA143" s="99"/>
      <c r="AB143" s="99"/>
      <c r="AC143" s="99"/>
      <c r="AD143" s="130"/>
      <c r="AE143" s="130"/>
      <c r="AF143" s="130"/>
      <c r="AG143" s="130"/>
      <c r="AH143" s="35"/>
      <c r="AI143" s="35"/>
      <c r="AJ143" s="35"/>
      <c r="AK143" s="35"/>
      <c r="AL143" s="217"/>
      <c r="AM143" s="217"/>
      <c r="AN143" s="217"/>
      <c r="AO143" s="217"/>
      <c r="AP143" s="35"/>
      <c r="AQ143" s="35"/>
      <c r="AR143" s="35"/>
      <c r="AS143" s="35"/>
      <c r="AT143" s="35"/>
      <c r="AU143" s="35"/>
      <c r="AV143" s="35"/>
      <c r="AW143" s="35"/>
      <c r="AX143" s="217"/>
      <c r="AY143" s="217"/>
      <c r="AZ143" s="217"/>
      <c r="BA143" s="217"/>
      <c r="BB143" s="217"/>
      <c r="BC143" s="217"/>
      <c r="BD143" s="217"/>
      <c r="BE143" s="217"/>
      <c r="BF143" s="217"/>
      <c r="BG143" s="99"/>
      <c r="BH143" s="99"/>
      <c r="BI143" s="99"/>
      <c r="BJ143" s="99"/>
      <c r="BK143" s="99"/>
      <c r="BL143" s="99"/>
      <c r="BM143" s="99"/>
      <c r="BN143" s="99"/>
      <c r="BO143" s="130"/>
      <c r="BP143" s="130"/>
      <c r="BQ143" s="130"/>
      <c r="BR143" s="130"/>
      <c r="BS143" s="130"/>
      <c r="BT143" s="130"/>
      <c r="BU143" s="19"/>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197">
        <f t="shared" si="28"/>
        <v>3</v>
      </c>
      <c r="CZ143" s="197" t="str">
        <f t="shared" si="24"/>
        <v/>
      </c>
      <c r="DA143" s="201" t="str">
        <f>M116</f>
        <v/>
      </c>
      <c r="DB143" s="8"/>
      <c r="DC143" s="8"/>
      <c r="DD143" s="8"/>
      <c r="DE143" s="249" t="str">
        <f>IF(COUNTIF($DA$15:DA142,DA143)&gt;0,"",DA143)</f>
        <v/>
      </c>
      <c r="DF143" s="26" t="str">
        <f>S116</f>
        <v/>
      </c>
      <c r="DG143" s="32">
        <f t="shared" si="25"/>
        <v>0</v>
      </c>
      <c r="DH143" s="198">
        <f t="shared" si="29"/>
        <v>5</v>
      </c>
      <c r="DI143" s="124" t="str">
        <f t="shared" si="26"/>
        <v/>
      </c>
      <c r="DJ143" s="11" t="str">
        <f>BF114</f>
        <v/>
      </c>
      <c r="DK143" s="11"/>
      <c r="DL143" s="11"/>
      <c r="DM143" s="9"/>
      <c r="DN143" s="9" t="str">
        <f>IF(COUNTIF($DJ$15:DJ142,DJ143)&gt;0,"",DJ143)</f>
        <v/>
      </c>
      <c r="DO143" s="101" t="str">
        <f>BO114</f>
        <v/>
      </c>
      <c r="DP143" s="13">
        <f t="shared" si="27"/>
        <v>0</v>
      </c>
      <c r="DQ143" s="9"/>
    </row>
    <row r="144" spans="1:121" ht="11.25" customHeight="1">
      <c r="B144" s="23"/>
      <c r="C144" s="99"/>
      <c r="D144" s="99"/>
      <c r="E144" s="99"/>
      <c r="F144" s="99"/>
      <c r="G144" s="99"/>
      <c r="H144" s="99"/>
      <c r="I144" s="99"/>
      <c r="J144" s="130"/>
      <c r="K144" s="130"/>
      <c r="L144" s="130"/>
      <c r="M144" s="130"/>
      <c r="N144" s="99"/>
      <c r="O144" s="99"/>
      <c r="P144" s="99"/>
      <c r="Q144" s="99"/>
      <c r="R144" s="99"/>
      <c r="S144" s="99"/>
      <c r="T144" s="99"/>
      <c r="U144" s="130"/>
      <c r="V144" s="130"/>
      <c r="W144" s="130"/>
      <c r="X144" s="130"/>
      <c r="Y144" s="99"/>
      <c r="Z144" s="99"/>
      <c r="AA144" s="99"/>
      <c r="AB144" s="99"/>
      <c r="AC144" s="99"/>
      <c r="AD144" s="130"/>
      <c r="AE144" s="130"/>
      <c r="AF144" s="130"/>
      <c r="AG144" s="130"/>
      <c r="AH144" s="35"/>
      <c r="AI144" s="35"/>
      <c r="AJ144" s="35"/>
      <c r="AK144" s="35"/>
      <c r="AL144" s="217"/>
      <c r="AM144" s="217"/>
      <c r="AN144" s="217"/>
      <c r="AO144" s="217"/>
      <c r="AP144" s="35"/>
      <c r="AQ144" s="35"/>
      <c r="AR144" s="35"/>
      <c r="AS144" s="35"/>
      <c r="AT144" s="35"/>
      <c r="AU144" s="35"/>
      <c r="AV144" s="35"/>
      <c r="AW144" s="35"/>
      <c r="AX144" s="217"/>
      <c r="AY144" s="217"/>
      <c r="AZ144" s="217"/>
      <c r="BA144" s="217"/>
      <c r="BB144" s="217"/>
      <c r="BC144" s="217"/>
      <c r="BD144" s="217"/>
      <c r="BE144" s="217"/>
      <c r="BF144" s="217"/>
      <c r="BG144" s="99"/>
      <c r="BH144" s="99"/>
      <c r="BI144" s="99"/>
      <c r="BJ144" s="99"/>
      <c r="BK144" s="99"/>
      <c r="BL144" s="99"/>
      <c r="BM144" s="99"/>
      <c r="BN144" s="99"/>
      <c r="BO144" s="130"/>
      <c r="BP144" s="130"/>
      <c r="BQ144" s="130"/>
      <c r="BR144" s="130"/>
      <c r="BS144" s="130"/>
      <c r="BT144" s="130"/>
      <c r="BU144" s="19"/>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197">
        <f t="shared" si="28"/>
        <v>3</v>
      </c>
      <c r="CZ144" s="197" t="str">
        <f t="shared" si="24"/>
        <v/>
      </c>
      <c r="DA144" s="201" t="str">
        <f>W116</f>
        <v>PF-S-16mm</v>
      </c>
      <c r="DB144" s="8"/>
      <c r="DC144" s="8"/>
      <c r="DD144" s="8"/>
      <c r="DE144" s="249" t="str">
        <f>IF(COUNTIF($DA$15:DA143,DA144)&gt;0,"",DA144)</f>
        <v/>
      </c>
      <c r="DF144" s="26">
        <f>AC116</f>
        <v>4.4000000000000004</v>
      </c>
      <c r="DG144" s="32">
        <f t="shared" si="25"/>
        <v>0</v>
      </c>
      <c r="DH144" s="198">
        <f t="shared" si="29"/>
        <v>5</v>
      </c>
      <c r="DI144" s="199" t="str">
        <f t="shared" si="26"/>
        <v/>
      </c>
      <c r="DJ144" s="201" t="str">
        <f>BI115</f>
        <v>d4-30e</v>
      </c>
      <c r="DK144" s="10"/>
      <c r="DL144" s="10"/>
      <c r="DM144" s="8"/>
      <c r="DN144" s="249" t="str">
        <f>IF(COUNTIF($DJ$15:DJ143,DJ144)&gt;0,"",DJ144)</f>
        <v/>
      </c>
      <c r="DO144" s="200" t="str">
        <f>BN115</f>
        <v/>
      </c>
      <c r="DP144" s="32">
        <f t="shared" si="27"/>
        <v>0</v>
      </c>
      <c r="DQ144" s="8"/>
    </row>
    <row r="145" spans="2:122" ht="11.25" customHeight="1">
      <c r="B145" s="23"/>
      <c r="C145" s="99"/>
      <c r="D145" s="99"/>
      <c r="E145" s="99"/>
      <c r="F145" s="99"/>
      <c r="G145" s="99"/>
      <c r="H145" s="99"/>
      <c r="I145" s="99"/>
      <c r="J145" s="130"/>
      <c r="K145" s="130"/>
      <c r="L145" s="130"/>
      <c r="M145" s="130"/>
      <c r="N145" s="99"/>
      <c r="O145" s="99"/>
      <c r="P145" s="99"/>
      <c r="Q145" s="99"/>
      <c r="R145" s="99"/>
      <c r="S145" s="99"/>
      <c r="T145" s="99"/>
      <c r="U145" s="130"/>
      <c r="V145" s="130"/>
      <c r="W145" s="130"/>
      <c r="X145" s="130"/>
      <c r="Y145" s="99"/>
      <c r="Z145" s="99"/>
      <c r="AA145" s="99"/>
      <c r="AB145" s="99"/>
      <c r="AC145" s="99"/>
      <c r="AD145" s="130"/>
      <c r="AE145" s="130"/>
      <c r="AF145" s="130"/>
      <c r="AG145" s="130"/>
      <c r="AH145" s="35"/>
      <c r="AI145" s="35"/>
      <c r="AJ145" s="35"/>
      <c r="AK145" s="35"/>
      <c r="AL145" s="217"/>
      <c r="AM145" s="217"/>
      <c r="AN145" s="217"/>
      <c r="AO145" s="217"/>
      <c r="AP145" s="35"/>
      <c r="AQ145" s="35"/>
      <c r="AR145" s="35"/>
      <c r="AS145" s="35"/>
      <c r="AT145" s="35"/>
      <c r="AU145" s="35"/>
      <c r="AV145" s="35"/>
      <c r="AW145" s="35"/>
      <c r="AX145" s="217"/>
      <c r="AY145" s="217"/>
      <c r="AZ145" s="217"/>
      <c r="BA145" s="217"/>
      <c r="BB145" s="217"/>
      <c r="BC145" s="217"/>
      <c r="BD145" s="217"/>
      <c r="BE145" s="217"/>
      <c r="BF145" s="217"/>
      <c r="BG145" s="99"/>
      <c r="BH145" s="99"/>
      <c r="BI145" s="99"/>
      <c r="BJ145" s="99"/>
      <c r="BK145" s="99"/>
      <c r="BL145" s="99"/>
      <c r="BM145" s="99"/>
      <c r="BN145" s="99"/>
      <c r="BO145" s="130"/>
      <c r="BP145" s="130"/>
      <c r="BQ145" s="130"/>
      <c r="BR145" s="130"/>
      <c r="BS145" s="130"/>
      <c r="BT145" s="130"/>
      <c r="BU145" s="19"/>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8">
        <v>17</v>
      </c>
      <c r="CY145" s="204">
        <f t="shared" ref="CY145:CY162" si="30">IF(DE145&lt;&gt;"",CY144+1,CY144)</f>
        <v>3</v>
      </c>
      <c r="CZ145" s="155" t="str">
        <f t="shared" ref="CZ145:CZ162" si="31">IF(AND(CY145&lt;&gt;"",DE145&lt;&gt;""),CY145,"")</f>
        <v/>
      </c>
      <c r="DA145" s="210" t="str">
        <f>AG116</f>
        <v>PF-S-16mm</v>
      </c>
      <c r="DB145" s="45"/>
      <c r="DC145" s="45"/>
      <c r="DD145" s="45"/>
      <c r="DE145" s="153" t="str">
        <f>IF(COUNTIF($DA$15:DA144,DA145)&gt;0,"",DA145)</f>
        <v/>
      </c>
      <c r="DF145" s="152">
        <f>AM116</f>
        <v>5.7</v>
      </c>
      <c r="DG145" s="32">
        <f t="shared" si="25"/>
        <v>0</v>
      </c>
      <c r="DH145" s="124">
        <f t="shared" ref="DH145:DH162" si="32">IF(OR(DN145=0,DN145=""),DH144,DH144+1)</f>
        <v>5</v>
      </c>
      <c r="DI145" s="149" t="str">
        <f t="shared" si="26"/>
        <v/>
      </c>
      <c r="DJ145" s="210" t="str">
        <f>BI116</f>
        <v>d4-13e</v>
      </c>
      <c r="DK145" s="154"/>
      <c r="DL145" s="154"/>
      <c r="DM145" s="45"/>
      <c r="DN145" s="45" t="str">
        <f>IF(COUNTIF($DJ$15:DJ144,DJ145)&gt;0,"",DJ145)</f>
        <v/>
      </c>
      <c r="DO145" s="209">
        <f>BN116</f>
        <v>9</v>
      </c>
      <c r="DP145" s="169">
        <f t="shared" ref="DP145:DP153" si="33">SUMIF($DJ$17:$DJ$179,DN145,$DO$17:$DO$179)</f>
        <v>0</v>
      </c>
      <c r="DQ145" s="88">
        <v>17</v>
      </c>
    </row>
    <row r="146" spans="2:122" ht="11.25" customHeight="1">
      <c r="B146" s="23"/>
      <c r="C146" s="99"/>
      <c r="D146" s="99"/>
      <c r="E146" s="99"/>
      <c r="F146" s="99"/>
      <c r="G146" s="99"/>
      <c r="H146" s="99"/>
      <c r="I146" s="99"/>
      <c r="J146" s="130"/>
      <c r="K146" s="130"/>
      <c r="L146" s="130"/>
      <c r="M146" s="130"/>
      <c r="N146" s="99"/>
      <c r="O146" s="99"/>
      <c r="P146" s="99"/>
      <c r="Q146" s="99"/>
      <c r="R146" s="99"/>
      <c r="S146" s="99"/>
      <c r="T146" s="99"/>
      <c r="U146" s="130"/>
      <c r="V146" s="130"/>
      <c r="W146" s="130"/>
      <c r="X146" s="130"/>
      <c r="Y146" s="99"/>
      <c r="Z146" s="99"/>
      <c r="AA146" s="99"/>
      <c r="AB146" s="99"/>
      <c r="AC146" s="99"/>
      <c r="AD146" s="130"/>
      <c r="AE146" s="130"/>
      <c r="AF146" s="130"/>
      <c r="AG146" s="130"/>
      <c r="AH146" s="35"/>
      <c r="AI146" s="35"/>
      <c r="AJ146" s="35"/>
      <c r="AK146" s="35"/>
      <c r="AL146" s="217"/>
      <c r="AM146" s="217"/>
      <c r="AN146" s="217"/>
      <c r="AO146" s="217"/>
      <c r="AP146" s="35"/>
      <c r="AQ146" s="35"/>
      <c r="AR146" s="35"/>
      <c r="AS146" s="35"/>
      <c r="AT146" s="35"/>
      <c r="AU146" s="35"/>
      <c r="AV146" s="35"/>
      <c r="AW146" s="35"/>
      <c r="AX146" s="217"/>
      <c r="AY146" s="217"/>
      <c r="AZ146" s="217"/>
      <c r="BA146" s="217"/>
      <c r="BB146" s="217"/>
      <c r="BC146" s="217"/>
      <c r="BD146" s="217"/>
      <c r="BE146" s="217"/>
      <c r="BF146" s="217"/>
      <c r="BG146" s="99"/>
      <c r="BH146" s="99"/>
      <c r="BI146" s="99"/>
      <c r="BJ146" s="99"/>
      <c r="BK146" s="99"/>
      <c r="BL146" s="99"/>
      <c r="BM146" s="99"/>
      <c r="BN146" s="99"/>
      <c r="BO146" s="130"/>
      <c r="BP146" s="130"/>
      <c r="BQ146" s="130"/>
      <c r="BR146" s="130"/>
      <c r="BS146" s="130"/>
      <c r="BT146" s="130"/>
      <c r="BU146" s="19"/>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197">
        <f t="shared" si="30"/>
        <v>3</v>
      </c>
      <c r="CZ146" s="197" t="str">
        <f t="shared" si="31"/>
        <v/>
      </c>
      <c r="DA146" s="10" t="str">
        <f>C120</f>
        <v/>
      </c>
      <c r="DB146" s="8"/>
      <c r="DC146" s="8"/>
      <c r="DD146" s="8"/>
      <c r="DE146" s="249" t="str">
        <f>IF(COUNTIF($DA$15:DA145,DA146)&gt;0,"",DA146)</f>
        <v/>
      </c>
      <c r="DF146" s="26" t="str">
        <f>S120</f>
        <v/>
      </c>
      <c r="DG146" s="32">
        <f t="shared" si="25"/>
        <v>0</v>
      </c>
      <c r="DH146" s="198">
        <f t="shared" si="32"/>
        <v>5</v>
      </c>
      <c r="DI146" s="199" t="str">
        <f t="shared" si="26"/>
        <v/>
      </c>
      <c r="DJ146" s="10" t="str">
        <f>AQ119</f>
        <v/>
      </c>
      <c r="DK146" s="10"/>
      <c r="DL146" s="10"/>
      <c r="DM146" s="8"/>
      <c r="DN146" s="249" t="str">
        <f>IF(COUNTIF($DJ$15:DJ145,DJ146)&gt;0,"",DJ146)</f>
        <v/>
      </c>
      <c r="DO146" s="200" t="str">
        <f>AZ119</f>
        <v/>
      </c>
      <c r="DP146" s="32">
        <f t="shared" si="33"/>
        <v>0</v>
      </c>
      <c r="DQ146" s="8"/>
    </row>
    <row r="147" spans="2:122" ht="11.25" customHeight="1">
      <c r="B147" s="23"/>
      <c r="C147" s="99"/>
      <c r="D147" s="99"/>
      <c r="E147" s="99"/>
      <c r="F147" s="99"/>
      <c r="G147" s="99"/>
      <c r="H147" s="99"/>
      <c r="I147" s="99"/>
      <c r="J147" s="130"/>
      <c r="K147" s="130"/>
      <c r="L147" s="130"/>
      <c r="M147" s="130"/>
      <c r="N147" s="99"/>
      <c r="O147" s="99"/>
      <c r="P147" s="99"/>
      <c r="Q147" s="99"/>
      <c r="R147" s="99"/>
      <c r="S147" s="99"/>
      <c r="T147" s="99"/>
      <c r="U147" s="130"/>
      <c r="V147" s="130"/>
      <c r="W147" s="130"/>
      <c r="X147" s="130"/>
      <c r="Y147" s="99"/>
      <c r="Z147" s="99"/>
      <c r="AA147" s="99"/>
      <c r="AB147" s="99"/>
      <c r="AC147" s="99"/>
      <c r="AD147" s="130"/>
      <c r="AE147" s="130"/>
      <c r="AF147" s="130"/>
      <c r="AG147" s="130"/>
      <c r="AH147" s="35"/>
      <c r="AI147" s="35"/>
      <c r="AJ147" s="35"/>
      <c r="AK147" s="35"/>
      <c r="AL147" s="217"/>
      <c r="AM147" s="217"/>
      <c r="AN147" s="217"/>
      <c r="AO147" s="217"/>
      <c r="AP147" s="35"/>
      <c r="AQ147" s="35"/>
      <c r="AR147" s="35"/>
      <c r="AS147" s="35"/>
      <c r="AT147" s="35"/>
      <c r="AU147" s="35"/>
      <c r="AV147" s="35"/>
      <c r="AW147" s="35"/>
      <c r="AX147" s="217"/>
      <c r="AY147" s="217"/>
      <c r="AZ147" s="217"/>
      <c r="BA147" s="217"/>
      <c r="BB147" s="217"/>
      <c r="BC147" s="217"/>
      <c r="BD147" s="217"/>
      <c r="BE147" s="217"/>
      <c r="BF147" s="217"/>
      <c r="BG147" s="99"/>
      <c r="BH147" s="99"/>
      <c r="BI147" s="99"/>
      <c r="BJ147" s="99"/>
      <c r="BK147" s="99"/>
      <c r="BL147" s="99"/>
      <c r="BM147" s="99"/>
      <c r="BN147" s="99"/>
      <c r="BO147" s="130"/>
      <c r="BP147" s="130"/>
      <c r="BQ147" s="130"/>
      <c r="BR147" s="130"/>
      <c r="BS147" s="130"/>
      <c r="BT147" s="130"/>
      <c r="BU147" s="19"/>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197">
        <f t="shared" si="30"/>
        <v>3</v>
      </c>
      <c r="CZ147" s="197" t="str">
        <f t="shared" si="31"/>
        <v/>
      </c>
      <c r="DA147" s="201" t="str">
        <f>W120</f>
        <v/>
      </c>
      <c r="DB147" s="8"/>
      <c r="DC147" s="8"/>
      <c r="DD147" s="8"/>
      <c r="DE147" s="249" t="str">
        <f>IF(COUNTIF($DA$15:DA146,DA147)&gt;0,"",DA147)</f>
        <v/>
      </c>
      <c r="DF147" s="26" t="str">
        <f>AM120</f>
        <v/>
      </c>
      <c r="DG147" s="32">
        <f t="shared" si="25"/>
        <v>0</v>
      </c>
      <c r="DH147" s="198">
        <f t="shared" si="32"/>
        <v>5</v>
      </c>
      <c r="DI147" s="198" t="str">
        <f t="shared" si="26"/>
        <v/>
      </c>
      <c r="DJ147" s="10" t="str">
        <f>AQ120</f>
        <v/>
      </c>
      <c r="DK147" s="10"/>
      <c r="DL147" s="10"/>
      <c r="DM147" s="8"/>
      <c r="DN147" s="8" t="str">
        <f>IF(COUNTIF($DJ$15:DJ146,DJ147)&gt;0,"",DJ147)</f>
        <v/>
      </c>
      <c r="DO147" s="200" t="str">
        <f>AZ120</f>
        <v/>
      </c>
      <c r="DP147" s="32">
        <f t="shared" si="33"/>
        <v>0</v>
      </c>
      <c r="DQ147" s="8"/>
    </row>
    <row r="148" spans="2:122" ht="10.5" customHeight="1">
      <c r="B148" s="23"/>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19"/>
      <c r="BV148" s="8"/>
      <c r="BW148" s="108" t="s">
        <v>194</v>
      </c>
      <c r="BX148" s="8"/>
      <c r="BY148" s="8"/>
      <c r="BZ148" s="10"/>
      <c r="CA148" s="247" t="s">
        <v>122</v>
      </c>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197">
        <f t="shared" si="30"/>
        <v>3</v>
      </c>
      <c r="CZ148" s="197" t="str">
        <f t="shared" si="31"/>
        <v/>
      </c>
      <c r="DA148" s="10" t="str">
        <f>C121</f>
        <v/>
      </c>
      <c r="DB148" s="8"/>
      <c r="DC148" s="8"/>
      <c r="DD148" s="8"/>
      <c r="DE148" s="249" t="str">
        <f>IF(COUNTIF($DA$15:DA147,DA148)&gt;0,"",DA148)</f>
        <v/>
      </c>
      <c r="DF148" s="26" t="str">
        <f>S121</f>
        <v/>
      </c>
      <c r="DG148" s="32">
        <f t="shared" si="25"/>
        <v>0</v>
      </c>
      <c r="DH148" s="198">
        <f t="shared" si="32"/>
        <v>5</v>
      </c>
      <c r="DI148" s="198" t="str">
        <f t="shared" si="26"/>
        <v/>
      </c>
      <c r="DJ148" s="10" t="str">
        <f>AQ121</f>
        <v/>
      </c>
      <c r="DK148" s="10"/>
      <c r="DL148" s="10"/>
      <c r="DM148" s="8"/>
      <c r="DN148" s="8" t="str">
        <f>IF(COUNTIF($DJ$15:DJ147,DJ148)&gt;0,"",DJ148)</f>
        <v/>
      </c>
      <c r="DO148" s="200" t="str">
        <f>AZ121</f>
        <v/>
      </c>
      <c r="DP148" s="32">
        <f t="shared" si="33"/>
        <v>0</v>
      </c>
      <c r="DQ148" s="8"/>
    </row>
    <row r="149" spans="2:122" ht="10.5" customHeight="1">
      <c r="B149" s="23"/>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19"/>
      <c r="BV149" s="8"/>
      <c r="BW149" s="108" t="s">
        <v>193</v>
      </c>
      <c r="BX149" s="8"/>
      <c r="BY149" s="8"/>
      <c r="BZ149" s="10"/>
      <c r="CA149" s="247" t="s">
        <v>192</v>
      </c>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197">
        <f t="shared" si="30"/>
        <v>3</v>
      </c>
      <c r="CZ149" s="197" t="str">
        <f t="shared" si="31"/>
        <v/>
      </c>
      <c r="DA149" s="201" t="str">
        <f>W121</f>
        <v/>
      </c>
      <c r="DB149" s="8"/>
      <c r="DC149" s="8"/>
      <c r="DD149" s="8"/>
      <c r="DE149" s="249" t="str">
        <f>IF(COUNTIF($DA$15:DA148,DA149)&gt;0,"",DA149)</f>
        <v/>
      </c>
      <c r="DF149" s="26" t="str">
        <f>AM121</f>
        <v/>
      </c>
      <c r="DG149" s="32">
        <f t="shared" si="25"/>
        <v>0</v>
      </c>
      <c r="DH149" s="198">
        <f t="shared" si="32"/>
        <v>5</v>
      </c>
      <c r="DI149" s="124" t="str">
        <f t="shared" si="26"/>
        <v/>
      </c>
      <c r="DJ149" s="11" t="str">
        <f>AQ122</f>
        <v/>
      </c>
      <c r="DK149" s="11"/>
      <c r="DL149" s="11"/>
      <c r="DM149" s="9"/>
      <c r="DN149" s="9" t="str">
        <f>IF(COUNTIF($DJ$15:DJ148,DJ149)&gt;0,"",DJ149)</f>
        <v/>
      </c>
      <c r="DO149" s="101" t="str">
        <f>AZ122</f>
        <v/>
      </c>
      <c r="DP149" s="32">
        <f t="shared" si="33"/>
        <v>0</v>
      </c>
      <c r="DQ149" s="8"/>
    </row>
    <row r="150" spans="2:122" ht="10.5" customHeight="1">
      <c r="B150" s="23"/>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19"/>
      <c r="BV150" s="8"/>
      <c r="BW150" s="108" t="s">
        <v>191</v>
      </c>
      <c r="BX150" s="8"/>
      <c r="BY150" s="8"/>
      <c r="BZ150" s="10"/>
      <c r="CA150" s="247" t="s">
        <v>190</v>
      </c>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197">
        <f t="shared" si="30"/>
        <v>3</v>
      </c>
      <c r="CZ150" s="197" t="str">
        <f t="shared" si="31"/>
        <v/>
      </c>
      <c r="DA150" s="10" t="str">
        <f>C122</f>
        <v/>
      </c>
      <c r="DB150" s="8"/>
      <c r="DC150" s="8"/>
      <c r="DD150" s="8"/>
      <c r="DE150" s="249" t="str">
        <f>IF(COUNTIF($DA$15:DA149,DA150)&gt;0,"",DA150)</f>
        <v/>
      </c>
      <c r="DF150" s="26" t="str">
        <f>I122</f>
        <v/>
      </c>
      <c r="DG150" s="32">
        <f t="shared" si="25"/>
        <v>0</v>
      </c>
      <c r="DH150" s="198">
        <f t="shared" si="32"/>
        <v>5</v>
      </c>
      <c r="DI150" s="124" t="str">
        <f t="shared" si="26"/>
        <v/>
      </c>
      <c r="DJ150" s="11" t="str">
        <f>BF119</f>
        <v/>
      </c>
      <c r="DK150" s="11"/>
      <c r="DL150" s="11"/>
      <c r="DM150" s="9"/>
      <c r="DN150" s="9" t="str">
        <f>IF(COUNTIF($DJ$15:DJ149,DJ150)&gt;0,"",DJ150)</f>
        <v/>
      </c>
      <c r="DO150" s="101" t="str">
        <f>BO119</f>
        <v/>
      </c>
      <c r="DP150" s="13">
        <f t="shared" si="33"/>
        <v>0</v>
      </c>
      <c r="DQ150" s="8"/>
    </row>
    <row r="151" spans="2:122" ht="10.5" customHeight="1">
      <c r="B151" s="23"/>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19"/>
      <c r="BV151" s="8"/>
      <c r="BW151" s="108" t="s">
        <v>189</v>
      </c>
      <c r="BX151" s="8"/>
      <c r="BY151" s="8"/>
      <c r="BZ151" s="10"/>
      <c r="CA151" s="247" t="s">
        <v>188</v>
      </c>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197">
        <f t="shared" si="30"/>
        <v>3</v>
      </c>
      <c r="CZ151" s="197" t="str">
        <f t="shared" si="31"/>
        <v/>
      </c>
      <c r="DA151" s="201" t="str">
        <f>M122</f>
        <v/>
      </c>
      <c r="DB151" s="8"/>
      <c r="DC151" s="8"/>
      <c r="DD151" s="8"/>
      <c r="DE151" s="249" t="str">
        <f>IF(COUNTIF($DA$15:DA150,DA151)&gt;0,"",DA151)</f>
        <v/>
      </c>
      <c r="DF151" s="26" t="str">
        <f>S122</f>
        <v/>
      </c>
      <c r="DG151" s="32">
        <f t="shared" si="25"/>
        <v>0</v>
      </c>
      <c r="DH151" s="198">
        <f t="shared" si="32"/>
        <v>5</v>
      </c>
      <c r="DI151" s="124" t="str">
        <f t="shared" si="26"/>
        <v/>
      </c>
      <c r="DJ151" s="11" t="str">
        <f>BF120</f>
        <v/>
      </c>
      <c r="DK151" s="11"/>
      <c r="DL151" s="11"/>
      <c r="DM151" s="9"/>
      <c r="DN151" s="9" t="str">
        <f>IF(COUNTIF($DJ$15:DJ150,DJ151)&gt;0,"",DJ151)</f>
        <v/>
      </c>
      <c r="DO151" s="101" t="str">
        <f>BO120</f>
        <v/>
      </c>
      <c r="DP151" s="13">
        <f t="shared" si="33"/>
        <v>0</v>
      </c>
      <c r="DQ151" s="9"/>
    </row>
    <row r="152" spans="2:122" ht="10.5" customHeight="1">
      <c r="B152" s="23"/>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19"/>
      <c r="BV152" s="8"/>
      <c r="BW152" s="108" t="s">
        <v>187</v>
      </c>
      <c r="BX152" s="8"/>
      <c r="BY152" s="8"/>
      <c r="BZ152" s="10"/>
      <c r="CA152" s="247" t="s">
        <v>120</v>
      </c>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197">
        <f t="shared" si="30"/>
        <v>3</v>
      </c>
      <c r="CZ152" s="197" t="str">
        <f t="shared" si="31"/>
        <v/>
      </c>
      <c r="DA152" s="201" t="str">
        <f>W122</f>
        <v/>
      </c>
      <c r="DB152" s="8"/>
      <c r="DC152" s="8"/>
      <c r="DD152" s="8"/>
      <c r="DE152" s="249" t="str">
        <f>IF(COUNTIF($DA$15:DA151,DA152)&gt;0,"",DA152)</f>
        <v/>
      </c>
      <c r="DF152" s="26" t="str">
        <f>AC122</f>
        <v/>
      </c>
      <c r="DG152" s="32">
        <f t="shared" si="25"/>
        <v>0</v>
      </c>
      <c r="DH152" s="198">
        <f t="shared" si="32"/>
        <v>5</v>
      </c>
      <c r="DI152" s="199" t="str">
        <f t="shared" si="26"/>
        <v/>
      </c>
      <c r="DJ152" s="201" t="str">
        <f>BN121</f>
        <v/>
      </c>
      <c r="DK152" s="10"/>
      <c r="DL152" s="10"/>
      <c r="DM152" s="8"/>
      <c r="DN152" s="249" t="str">
        <f>IF(COUNTIF($DJ$15:DJ151,DJ152)&gt;0,"",DJ152)</f>
        <v/>
      </c>
      <c r="DO152" s="200">
        <f>BS121</f>
        <v>0</v>
      </c>
      <c r="DP152" s="32">
        <f t="shared" si="33"/>
        <v>0</v>
      </c>
      <c r="DQ152" s="8"/>
    </row>
    <row r="153" spans="2:122" ht="10.5" customHeight="1">
      <c r="B153" s="23"/>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19"/>
      <c r="BV153" s="8"/>
      <c r="BW153" s="108" t="s">
        <v>186</v>
      </c>
      <c r="BX153" s="8"/>
      <c r="BY153" s="8"/>
      <c r="BZ153" s="10"/>
      <c r="CA153" s="247" t="s">
        <v>185</v>
      </c>
      <c r="CB153" s="8"/>
      <c r="CC153" s="8"/>
      <c r="CD153" s="8"/>
      <c r="CE153" s="8"/>
      <c r="CF153" s="8"/>
      <c r="CG153" s="8"/>
      <c r="CH153" s="8"/>
      <c r="CI153" s="8"/>
      <c r="CJ153" s="8"/>
      <c r="CK153" s="8"/>
      <c r="CL153" s="8"/>
      <c r="CM153" s="8"/>
      <c r="CN153" s="8"/>
      <c r="CO153" s="8"/>
      <c r="CP153" s="8"/>
      <c r="CQ153" s="8"/>
      <c r="CR153" s="8"/>
      <c r="CS153" s="8"/>
      <c r="CT153" s="8"/>
      <c r="CU153" s="8"/>
      <c r="CV153" s="8"/>
      <c r="CW153" s="8"/>
      <c r="CX153" s="88">
        <v>18</v>
      </c>
      <c r="CY153" s="204">
        <f t="shared" si="30"/>
        <v>3</v>
      </c>
      <c r="CZ153" s="155" t="str">
        <f t="shared" si="31"/>
        <v/>
      </c>
      <c r="DA153" s="210" t="str">
        <f>AG122</f>
        <v/>
      </c>
      <c r="DB153" s="45"/>
      <c r="DC153" s="45"/>
      <c r="DD153" s="45"/>
      <c r="DE153" s="153" t="str">
        <f>IF(COUNTIF($DA$15:DA152,DA153)&gt;0,"",DA153)</f>
        <v/>
      </c>
      <c r="DF153" s="152" t="str">
        <f>AM122</f>
        <v/>
      </c>
      <c r="DG153" s="32">
        <f t="shared" si="25"/>
        <v>0</v>
      </c>
      <c r="DH153" s="124">
        <f t="shared" si="32"/>
        <v>5</v>
      </c>
      <c r="DI153" s="149" t="str">
        <f t="shared" si="26"/>
        <v/>
      </c>
      <c r="DJ153" s="210" t="str">
        <f>BN122</f>
        <v/>
      </c>
      <c r="DK153" s="154"/>
      <c r="DL153" s="154"/>
      <c r="DM153" s="45"/>
      <c r="DN153" s="45" t="str">
        <f>IF(COUNTIF($DJ$15:DJ152,DJ153)&gt;0,"",DJ153)</f>
        <v/>
      </c>
      <c r="DO153" s="209">
        <f>BS122</f>
        <v>0</v>
      </c>
      <c r="DP153" s="169">
        <f t="shared" si="33"/>
        <v>0</v>
      </c>
      <c r="DQ153" s="88">
        <v>18</v>
      </c>
    </row>
    <row r="154" spans="2:122" ht="10.5" customHeight="1">
      <c r="B154" s="23"/>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19"/>
      <c r="BV154" s="8"/>
      <c r="BW154" s="108" t="s">
        <v>184</v>
      </c>
      <c r="BX154" s="8"/>
      <c r="BY154" s="8"/>
      <c r="BZ154" s="10"/>
      <c r="CA154" s="247" t="s">
        <v>183</v>
      </c>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197">
        <f t="shared" si="30"/>
        <v>3</v>
      </c>
      <c r="CZ154" s="197" t="str">
        <f t="shared" si="31"/>
        <v/>
      </c>
      <c r="DA154" s="10" t="str">
        <f>C126</f>
        <v/>
      </c>
      <c r="DB154" s="8"/>
      <c r="DC154" s="8"/>
      <c r="DD154" s="8"/>
      <c r="DE154" s="249" t="str">
        <f>IF(COUNTIF($DA$15:DA153,DA154)&gt;0,"",DA154)</f>
        <v/>
      </c>
      <c r="DF154" s="26" t="str">
        <f>S126</f>
        <v/>
      </c>
      <c r="DG154" s="32">
        <f t="shared" ref="DG154:DG161" si="34">SUMIF($DA$17:$DA$179,DE154,$DF$17:$DF$179)</f>
        <v>0</v>
      </c>
      <c r="DH154" s="198">
        <f t="shared" si="32"/>
        <v>5</v>
      </c>
      <c r="DI154" s="199" t="str">
        <f t="shared" ref="DI154:DI179" si="35">IF(AND(DH154&lt;&gt;"",DN154&lt;&gt;0,DN154&lt;&gt;""),DH154,"")</f>
        <v/>
      </c>
      <c r="DJ154" s="10" t="str">
        <f>AQ125</f>
        <v/>
      </c>
      <c r="DK154" s="10"/>
      <c r="DL154" s="10"/>
      <c r="DM154" s="8"/>
      <c r="DN154" s="249" t="str">
        <f>IF(COUNTIF($DJ$15:DJ153,DJ154)&gt;0,"",DJ154)</f>
        <v/>
      </c>
      <c r="DO154" s="200" t="str">
        <f>AZ125</f>
        <v/>
      </c>
      <c r="DP154" s="249" t="str">
        <f>IF(COUNTIF($DJ$15:DL153,DL154)&gt;0,"",DL154)</f>
        <v/>
      </c>
      <c r="DQ154" s="200">
        <f>Q122</f>
        <v>0</v>
      </c>
      <c r="DR154" s="32">
        <f>SUMIF($DJ$17:$DJ$179,DP154,$DO$17:$DO$179)</f>
        <v>0</v>
      </c>
    </row>
    <row r="155" spans="2:122" ht="10.5" customHeight="1">
      <c r="B155" s="23"/>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19"/>
      <c r="BV155" s="8"/>
      <c r="BW155" s="108" t="s">
        <v>182</v>
      </c>
      <c r="BX155" s="8"/>
      <c r="BY155" s="8"/>
      <c r="BZ155" s="10"/>
      <c r="CA155" s="247" t="s">
        <v>181</v>
      </c>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197">
        <f t="shared" si="30"/>
        <v>3</v>
      </c>
      <c r="CZ155" s="197" t="str">
        <f t="shared" si="31"/>
        <v/>
      </c>
      <c r="DA155" s="201" t="str">
        <f>W126</f>
        <v/>
      </c>
      <c r="DB155" s="8"/>
      <c r="DC155" s="8"/>
      <c r="DD155" s="8"/>
      <c r="DE155" s="249" t="str">
        <f>IF(COUNTIF($DA$15:DA154,DA155)&gt;0,"",DA155)</f>
        <v/>
      </c>
      <c r="DF155" s="26" t="str">
        <f>AM126</f>
        <v/>
      </c>
      <c r="DG155" s="32">
        <f t="shared" si="34"/>
        <v>0</v>
      </c>
      <c r="DH155" s="198">
        <f t="shared" si="32"/>
        <v>5</v>
      </c>
      <c r="DI155" s="198" t="str">
        <f t="shared" si="35"/>
        <v/>
      </c>
      <c r="DJ155" s="10" t="str">
        <f>AQ126</f>
        <v/>
      </c>
      <c r="DK155" s="10"/>
      <c r="DL155" s="10"/>
      <c r="DM155" s="8"/>
      <c r="DN155" s="8" t="str">
        <f>IF(COUNTIF($DJ$15:DJ154,DJ155)&gt;0,"",DJ155)</f>
        <v/>
      </c>
      <c r="DO155" s="200" t="str">
        <f>AZ126</f>
        <v/>
      </c>
      <c r="DP155" s="32">
        <f t="shared" ref="DP155:DP179" si="36">SUMIF($DJ$17:$DJ$179,DN155,$DO$17:$DO$179)</f>
        <v>0</v>
      </c>
      <c r="DQ155" s="8"/>
    </row>
    <row r="156" spans="2:122" ht="10.5" customHeight="1">
      <c r="B156" s="23"/>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19"/>
      <c r="BV156" s="8"/>
      <c r="BW156" s="108"/>
      <c r="BX156" s="8"/>
      <c r="BY156" s="8"/>
      <c r="BZ156" s="10"/>
      <c r="CA156" s="247" t="s">
        <v>180</v>
      </c>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197">
        <f t="shared" si="30"/>
        <v>3</v>
      </c>
      <c r="CZ156" s="197" t="str">
        <f t="shared" si="31"/>
        <v/>
      </c>
      <c r="DA156" s="10" t="str">
        <f>C127</f>
        <v/>
      </c>
      <c r="DB156" s="8"/>
      <c r="DC156" s="8"/>
      <c r="DD156" s="8"/>
      <c r="DE156" s="249" t="str">
        <f>IF(COUNTIF($DA$15:DA155,DA156)&gt;0,"",DA156)</f>
        <v/>
      </c>
      <c r="DF156" s="26" t="str">
        <f>S127</f>
        <v/>
      </c>
      <c r="DG156" s="32">
        <f t="shared" si="34"/>
        <v>0</v>
      </c>
      <c r="DH156" s="198">
        <f t="shared" si="32"/>
        <v>5</v>
      </c>
      <c r="DI156" s="198" t="str">
        <f t="shared" si="35"/>
        <v/>
      </c>
      <c r="DJ156" s="10" t="str">
        <f>AQ127</f>
        <v/>
      </c>
      <c r="DK156" s="10"/>
      <c r="DL156" s="10"/>
      <c r="DM156" s="8"/>
      <c r="DN156" s="8" t="str">
        <f>IF(COUNTIF($DJ$15:DJ155,DJ156)&gt;0,"",DJ156)</f>
        <v/>
      </c>
      <c r="DO156" s="200" t="str">
        <f>AZ127</f>
        <v/>
      </c>
      <c r="DP156" s="32">
        <f t="shared" si="36"/>
        <v>0</v>
      </c>
      <c r="DQ156" s="8"/>
    </row>
    <row r="157" spans="2:122" ht="10.5" customHeight="1">
      <c r="B157" s="23"/>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19"/>
      <c r="BV157" s="8"/>
      <c r="BW157" s="108"/>
      <c r="BX157" s="8"/>
      <c r="BY157" s="8"/>
      <c r="BZ157" s="10"/>
      <c r="CA157" s="247" t="s">
        <v>179</v>
      </c>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197">
        <f t="shared" si="30"/>
        <v>3</v>
      </c>
      <c r="CZ157" s="197" t="str">
        <f t="shared" si="31"/>
        <v/>
      </c>
      <c r="DA157" s="201" t="str">
        <f>W127</f>
        <v/>
      </c>
      <c r="DB157" s="8"/>
      <c r="DC157" s="8"/>
      <c r="DD157" s="8"/>
      <c r="DE157" s="249" t="str">
        <f>IF(COUNTIF($DA$15:DA156,DA157)&gt;0,"",DA157)</f>
        <v/>
      </c>
      <c r="DF157" s="26" t="str">
        <f>AM127</f>
        <v/>
      </c>
      <c r="DG157" s="32">
        <f t="shared" si="34"/>
        <v>0</v>
      </c>
      <c r="DH157" s="198">
        <f t="shared" si="32"/>
        <v>5</v>
      </c>
      <c r="DI157" s="124" t="str">
        <f t="shared" si="35"/>
        <v/>
      </c>
      <c r="DJ157" s="11" t="str">
        <f>AQ128</f>
        <v/>
      </c>
      <c r="DK157" s="11"/>
      <c r="DL157" s="11"/>
      <c r="DM157" s="9"/>
      <c r="DN157" s="9" t="str">
        <f>IF(COUNTIF($DJ$15:DJ156,DJ157)&gt;0,"",DJ157)</f>
        <v/>
      </c>
      <c r="DO157" s="101" t="str">
        <f>AZ128</f>
        <v/>
      </c>
      <c r="DP157" s="32">
        <f t="shared" si="36"/>
        <v>0</v>
      </c>
      <c r="DQ157" s="8"/>
    </row>
    <row r="158" spans="2:122" ht="10.5" customHeight="1">
      <c r="B158" s="23"/>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19"/>
      <c r="BV158" s="8"/>
      <c r="BW158" s="108"/>
      <c r="BX158" s="8"/>
      <c r="BY158" s="8"/>
      <c r="BZ158" s="10"/>
      <c r="CA158" s="247" t="s">
        <v>178</v>
      </c>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197">
        <f t="shared" si="30"/>
        <v>3</v>
      </c>
      <c r="CZ158" s="197" t="str">
        <f t="shared" si="31"/>
        <v/>
      </c>
      <c r="DA158" s="10" t="str">
        <f>C128</f>
        <v/>
      </c>
      <c r="DB158" s="8"/>
      <c r="DC158" s="8"/>
      <c r="DD158" s="8"/>
      <c r="DE158" s="249" t="str">
        <f>IF(COUNTIF($DA$15:DA157,DA158)&gt;0,"",DA158)</f>
        <v/>
      </c>
      <c r="DF158" s="26" t="str">
        <f>I128</f>
        <v/>
      </c>
      <c r="DG158" s="32">
        <f t="shared" si="34"/>
        <v>0</v>
      </c>
      <c r="DH158" s="198">
        <f t="shared" si="32"/>
        <v>5</v>
      </c>
      <c r="DI158" s="124" t="str">
        <f t="shared" si="35"/>
        <v/>
      </c>
      <c r="DJ158" s="11" t="str">
        <f>BF125</f>
        <v/>
      </c>
      <c r="DK158" s="11"/>
      <c r="DL158" s="11"/>
      <c r="DM158" s="9"/>
      <c r="DN158" s="9" t="str">
        <f>IF(COUNTIF($DJ$15:DJ157,DJ158)&gt;0,"",DJ158)</f>
        <v/>
      </c>
      <c r="DO158" s="101" t="str">
        <f>BO125</f>
        <v/>
      </c>
      <c r="DP158" s="13">
        <f t="shared" si="36"/>
        <v>0</v>
      </c>
      <c r="DQ158" s="8"/>
    </row>
    <row r="159" spans="2:122" ht="10.5" customHeight="1">
      <c r="B159" s="18"/>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16"/>
      <c r="BV159" s="8"/>
      <c r="BW159" s="108"/>
      <c r="BX159" s="8"/>
      <c r="BY159" s="8"/>
      <c r="BZ159" s="10"/>
      <c r="CA159" s="247" t="s">
        <v>177</v>
      </c>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197">
        <f t="shared" si="30"/>
        <v>3</v>
      </c>
      <c r="CZ159" s="197" t="str">
        <f t="shared" si="31"/>
        <v/>
      </c>
      <c r="DA159" s="201" t="str">
        <f>M128</f>
        <v/>
      </c>
      <c r="DB159" s="8"/>
      <c r="DC159" s="8"/>
      <c r="DD159" s="8"/>
      <c r="DE159" s="249" t="str">
        <f>IF(COUNTIF($DA$15:DA158,DA159)&gt;0,"",DA159)</f>
        <v/>
      </c>
      <c r="DF159" s="26" t="str">
        <f>S128</f>
        <v/>
      </c>
      <c r="DG159" s="32">
        <f t="shared" si="34"/>
        <v>0</v>
      </c>
      <c r="DH159" s="198">
        <f t="shared" si="32"/>
        <v>5</v>
      </c>
      <c r="DI159" s="124" t="str">
        <f t="shared" si="35"/>
        <v/>
      </c>
      <c r="DJ159" s="11" t="str">
        <f>BF126</f>
        <v/>
      </c>
      <c r="DK159" s="11"/>
      <c r="DL159" s="11"/>
      <c r="DM159" s="9"/>
      <c r="DN159" s="9" t="str">
        <f>IF(COUNTIF($DJ$15:DJ158,DJ159)&gt;0,"",DJ159)</f>
        <v/>
      </c>
      <c r="DO159" s="101" t="str">
        <f>BO126</f>
        <v/>
      </c>
      <c r="DP159" s="13">
        <f t="shared" si="36"/>
        <v>0</v>
      </c>
      <c r="DQ159" s="9"/>
    </row>
    <row r="160" spans="2:122" ht="10.5" customHeight="1">
      <c r="B160" s="2325"/>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8"/>
      <c r="BV160" s="8"/>
      <c r="BW160" s="108"/>
      <c r="BX160" s="8"/>
      <c r="BY160" s="8"/>
      <c r="BZ160" s="10"/>
      <c r="CA160" s="247" t="s">
        <v>176</v>
      </c>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197">
        <f t="shared" si="30"/>
        <v>3</v>
      </c>
      <c r="CZ160" s="197" t="str">
        <f t="shared" si="31"/>
        <v/>
      </c>
      <c r="DA160" s="201" t="str">
        <f>W128</f>
        <v/>
      </c>
      <c r="DB160" s="8"/>
      <c r="DC160" s="8"/>
      <c r="DD160" s="8"/>
      <c r="DE160" s="249" t="str">
        <f>IF(COUNTIF($DA$15:DA159,DA160)&gt;0,"",DA160)</f>
        <v/>
      </c>
      <c r="DF160" s="26" t="str">
        <f>AC128</f>
        <v/>
      </c>
      <c r="DG160" s="32">
        <f t="shared" si="34"/>
        <v>0</v>
      </c>
      <c r="DH160" s="198">
        <f t="shared" si="32"/>
        <v>5</v>
      </c>
      <c r="DI160" s="199" t="str">
        <f t="shared" si="35"/>
        <v/>
      </c>
      <c r="DJ160" s="201" t="str">
        <f>BI127</f>
        <v/>
      </c>
      <c r="DK160" s="10"/>
      <c r="DL160" s="10"/>
      <c r="DM160" s="8"/>
      <c r="DN160" s="249" t="str">
        <f>IF(COUNTIF($DJ$15:DJ159,DJ160)&gt;0,"",DJ160)</f>
        <v/>
      </c>
      <c r="DO160" s="200" t="str">
        <f>BN127</f>
        <v/>
      </c>
      <c r="DP160" s="32">
        <f t="shared" si="36"/>
        <v>0</v>
      </c>
      <c r="DQ160" s="8"/>
    </row>
    <row r="161" spans="2:121" ht="10.5" customHeight="1">
      <c r="B161" s="2326"/>
      <c r="C161" s="2261" t="str">
        <f>IF(B2=0,"","集 計 表")</f>
        <v>集 計 表</v>
      </c>
      <c r="D161" s="2261"/>
      <c r="E161" s="2261"/>
      <c r="F161" s="2261"/>
      <c r="G161" s="2261"/>
      <c r="H161" s="2261"/>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19"/>
      <c r="BV161" s="8"/>
      <c r="BW161" s="108"/>
      <c r="BX161" s="8"/>
      <c r="BY161" s="8"/>
      <c r="BZ161" s="10"/>
      <c r="CA161" s="247" t="s">
        <v>175</v>
      </c>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127">
        <f t="shared" si="30"/>
        <v>3</v>
      </c>
      <c r="CZ161" s="127" t="str">
        <f t="shared" si="31"/>
        <v/>
      </c>
      <c r="DA161" s="203" t="str">
        <f>AG128</f>
        <v/>
      </c>
      <c r="DB161" s="9"/>
      <c r="DC161" s="9"/>
      <c r="DD161" s="9"/>
      <c r="DE161" s="126" t="str">
        <f>IF(COUNTIF($DA$15:DA160,DA161)&gt;0,"",DA161)</f>
        <v/>
      </c>
      <c r="DF161" s="14" t="str">
        <f>AM128</f>
        <v/>
      </c>
      <c r="DG161" s="32">
        <f t="shared" si="34"/>
        <v>0</v>
      </c>
      <c r="DH161" s="198">
        <f t="shared" si="32"/>
        <v>5</v>
      </c>
      <c r="DI161" s="199" t="str">
        <f t="shared" si="35"/>
        <v/>
      </c>
      <c r="DJ161" s="203" t="str">
        <f>BI128</f>
        <v/>
      </c>
      <c r="DK161" s="11"/>
      <c r="DL161" s="11"/>
      <c r="DM161" s="9"/>
      <c r="DN161" s="9" t="str">
        <f>IF(COUNTIF($DJ$15:DJ160,DJ161)&gt;0,"",DJ161)</f>
        <v/>
      </c>
      <c r="DO161" s="101" t="str">
        <f>BN128</f>
        <v/>
      </c>
      <c r="DP161" s="32">
        <f t="shared" si="36"/>
        <v>0</v>
      </c>
      <c r="DQ161" s="8"/>
    </row>
    <row r="162" spans="2:121" ht="10.5" customHeight="1">
      <c r="B162" s="2326"/>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19"/>
      <c r="BV162" s="8"/>
      <c r="BW162" s="108"/>
      <c r="BX162" s="8"/>
      <c r="BY162" s="8"/>
      <c r="BZ162" s="10"/>
      <c r="CA162" s="247" t="s">
        <v>174</v>
      </c>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127">
        <f t="shared" si="30"/>
        <v>3</v>
      </c>
      <c r="CZ162" s="127" t="str">
        <f t="shared" si="31"/>
        <v/>
      </c>
      <c r="DA162" s="10"/>
      <c r="DB162" s="8"/>
      <c r="DC162" s="8"/>
      <c r="DD162" s="8"/>
      <c r="DE162" s="249"/>
      <c r="DF162" s="252"/>
      <c r="DG162" s="32"/>
      <c r="DH162" s="198">
        <f t="shared" si="32"/>
        <v>5</v>
      </c>
      <c r="DI162" s="199" t="str">
        <f t="shared" si="35"/>
        <v/>
      </c>
      <c r="DJ162" s="201"/>
      <c r="DK162" s="10"/>
      <c r="DL162" s="10"/>
      <c r="DM162" s="8"/>
      <c r="DN162" s="249"/>
      <c r="DO162" s="200"/>
      <c r="DP162" s="32">
        <f t="shared" si="36"/>
        <v>0</v>
      </c>
      <c r="DQ162" s="8"/>
    </row>
    <row r="163" spans="2:121" ht="10.5" customHeight="1" thickBot="1">
      <c r="B163" s="2326"/>
      <c r="C163" s="2261" t="s">
        <v>93</v>
      </c>
      <c r="D163" s="2261"/>
      <c r="E163" s="2261"/>
      <c r="F163" s="2261"/>
      <c r="G163" s="2261"/>
      <c r="H163" s="2261"/>
      <c r="I163" s="2261"/>
      <c r="J163" s="2261"/>
      <c r="K163" s="2261"/>
      <c r="L163" s="2327" t="s">
        <v>92</v>
      </c>
      <c r="M163" s="2328"/>
      <c r="N163" s="2328"/>
      <c r="O163" s="2328"/>
      <c r="P163" s="2329"/>
      <c r="Q163" s="2261" t="s">
        <v>15</v>
      </c>
      <c r="R163" s="2261"/>
      <c r="S163" s="2261"/>
      <c r="T163" s="2327" t="s">
        <v>119</v>
      </c>
      <c r="U163" s="2328"/>
      <c r="V163" s="2328"/>
      <c r="W163" s="2328"/>
      <c r="X163" s="2328"/>
      <c r="Y163" s="2329"/>
      <c r="Z163" s="2327" t="s">
        <v>118</v>
      </c>
      <c r="AA163" s="2328"/>
      <c r="AB163" s="2328"/>
      <c r="AC163" s="2328"/>
      <c r="AD163" s="2328"/>
      <c r="AE163" s="2328"/>
      <c r="AF163" s="2328"/>
      <c r="AG163" s="2329"/>
      <c r="AH163" s="21">
        <f>IF(BN176="北海道",4,IF(BN176="東北",6,IF(BN176="関東",8,IF(BN176="中部",10,IF(BN176="近畿",12,IF(BN176="北陸",14,IF(BN176="中国",16,IF(BN176="四国",18,IF(BN176="九州",20,IF(BN176="沖縄",22,RIGHT(AZ176,1)+21))))))))))</f>
        <v>12</v>
      </c>
      <c r="AI163" s="2327" t="s">
        <v>117</v>
      </c>
      <c r="AJ163" s="2328"/>
      <c r="AK163" s="2328"/>
      <c r="AL163" s="2329"/>
      <c r="AM163" s="2327" t="s">
        <v>43</v>
      </c>
      <c r="AN163" s="2328"/>
      <c r="AO163" s="2328"/>
      <c r="AP163" s="2328"/>
      <c r="AQ163" s="2329"/>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9"/>
      <c r="BV163" s="8"/>
      <c r="BW163" s="108"/>
      <c r="BX163" s="8"/>
      <c r="BY163" s="8"/>
      <c r="BZ163" s="10"/>
      <c r="CA163" s="247" t="s">
        <v>173</v>
      </c>
      <c r="CB163" s="8"/>
      <c r="CC163" s="8"/>
      <c r="CD163" s="8"/>
      <c r="CE163" s="8"/>
      <c r="CF163" s="8"/>
      <c r="CG163" s="8"/>
      <c r="CH163" s="8"/>
      <c r="CI163" s="8"/>
      <c r="CJ163" s="8"/>
      <c r="CK163" s="8"/>
      <c r="CL163" s="8"/>
      <c r="CM163" s="8"/>
      <c r="CN163" s="8"/>
      <c r="CO163" s="8"/>
      <c r="CP163" s="8"/>
      <c r="CQ163" s="8"/>
      <c r="CR163" s="8"/>
      <c r="CS163" s="8"/>
      <c r="CT163" s="8"/>
      <c r="CU163" s="8"/>
      <c r="CV163" s="8"/>
      <c r="CW163" s="8"/>
      <c r="CX163" s="88">
        <v>19</v>
      </c>
      <c r="CY163" s="204">
        <f>IF(DE163&lt;&gt;"",CY161+1,CY161)</f>
        <v>3</v>
      </c>
      <c r="CZ163" s="155"/>
      <c r="DA163" s="154"/>
      <c r="DB163" s="45"/>
      <c r="DC163" s="45"/>
      <c r="DD163" s="45"/>
      <c r="DE163" s="153"/>
      <c r="DF163" s="251"/>
      <c r="DG163" s="32">
        <f t="shared" ref="DG163:DG179" si="37">SUMIF($DA$17:$DA$179,DE163,$DF$17:$DF$179)</f>
        <v>0</v>
      </c>
      <c r="DH163" s="124">
        <f>IF(OR(DN163=0,DN163=""),DH160,DH160+1)</f>
        <v>5</v>
      </c>
      <c r="DI163" s="149" t="str">
        <f t="shared" si="35"/>
        <v/>
      </c>
      <c r="DJ163" s="210"/>
      <c r="DK163" s="154"/>
      <c r="DL163" s="154"/>
      <c r="DM163" s="45"/>
      <c r="DN163" s="45"/>
      <c r="DO163" s="209"/>
      <c r="DP163" s="169">
        <f t="shared" si="36"/>
        <v>0</v>
      </c>
      <c r="DQ163" s="88">
        <v>19</v>
      </c>
    </row>
    <row r="164" spans="2:121" ht="10.5" customHeight="1" thickBot="1">
      <c r="B164" s="2326"/>
      <c r="C164" s="2250" t="str">
        <f t="shared" ref="C164:C177" si="38">IF(OR($B$2=0,L164=""),"",VLOOKUP(BV164,非誘W,6,FALSE))</f>
        <v>VV-F 2.0mm-2C</v>
      </c>
      <c r="D164" s="2251"/>
      <c r="E164" s="2251"/>
      <c r="F164" s="2251"/>
      <c r="G164" s="2251"/>
      <c r="H164" s="2251"/>
      <c r="I164" s="2251"/>
      <c r="J164" s="2251"/>
      <c r="K164" s="2252"/>
      <c r="L164" s="2207">
        <f>IF(B2=0,"",IF(ISNA(VLOOKUP(BV164,非誘W,8,FALSE)),"",1.1*(VLOOKUP(BV164,非誘W,8,FALSE))))</f>
        <v>2219.690000000001</v>
      </c>
      <c r="M164" s="2208"/>
      <c r="N164" s="2208"/>
      <c r="O164" s="2208"/>
      <c r="P164" s="2249"/>
      <c r="Q164" s="2221" t="str">
        <f>IF(C164="","",VLOOKUP(C164,[7]建物1802!$E$5:$AL$3275,2,FALSE))</f>
        <v>ｍ</v>
      </c>
      <c r="R164" s="2221"/>
      <c r="S164" s="2221"/>
      <c r="T164" s="2207">
        <f>IF(C164="","",VLOOKUP(C164,[7]建物1802!$E$5:$AL$3275,$AH$163,FALSE))</f>
        <v>70</v>
      </c>
      <c r="U164" s="2208"/>
      <c r="V164" s="2208"/>
      <c r="W164" s="2208"/>
      <c r="X164" s="2208"/>
      <c r="Y164" s="2208"/>
      <c r="Z164" s="2209">
        <f t="shared" ref="Z164:Z193" si="39">IFERROR(INT(L164*T164),"")</f>
        <v>155378</v>
      </c>
      <c r="AA164" s="2210"/>
      <c r="AB164" s="2210"/>
      <c r="AC164" s="2210"/>
      <c r="AD164" s="2210"/>
      <c r="AE164" s="2210"/>
      <c r="AF164" s="2210"/>
      <c r="AG164" s="2211"/>
      <c r="AH164" s="250">
        <f>RIGHT(AZ177,1)+25</f>
        <v>26</v>
      </c>
      <c r="AI164" s="2212">
        <f>IF(C164="","",VLOOKUP(C164,[7]建物1802!$E$5:$AL$3275,$AH$164,FALSE))</f>
        <v>1.7000000000000001E-2</v>
      </c>
      <c r="AJ164" s="2213"/>
      <c r="AK164" s="2213"/>
      <c r="AL164" s="2214"/>
      <c r="AM164" s="2257">
        <f t="shared" ref="AM164:AM193" si="40">IF(AI164="","",L164*AI164)</f>
        <v>37.73473000000002</v>
      </c>
      <c r="AN164" s="2258"/>
      <c r="AO164" s="2258"/>
      <c r="AP164" s="2258"/>
      <c r="AQ164" s="2259"/>
      <c r="AR164" s="20"/>
      <c r="AS164" s="20"/>
      <c r="AT164" s="2271" t="str">
        <f>IF(B2=0,"","電工単価")</f>
        <v>電工単価</v>
      </c>
      <c r="AU164" s="2272"/>
      <c r="AV164" s="2272"/>
      <c r="AW164" s="2272"/>
      <c r="AX164" s="2272"/>
      <c r="AY164" s="2273"/>
      <c r="AZ164" s="2209">
        <f>IF($B$2=0,"",IF(BG164="",[6]原価!$AD$44,BG164))</f>
        <v>6000</v>
      </c>
      <c r="BA164" s="2210"/>
      <c r="BB164" s="2210"/>
      <c r="BC164" s="2210"/>
      <c r="BD164" s="2210"/>
      <c r="BE164" s="2211"/>
      <c r="BF164" s="31" t="s">
        <v>34</v>
      </c>
      <c r="BG164" s="2265"/>
      <c r="BH164" s="2266"/>
      <c r="BI164" s="2266"/>
      <c r="BJ164" s="2266"/>
      <c r="BK164" s="2266"/>
      <c r="BL164" s="2267"/>
      <c r="BM164" s="20"/>
      <c r="BN164" s="2268" t="s">
        <v>88</v>
      </c>
      <c r="BO164" s="2269"/>
      <c r="BP164" s="2270"/>
      <c r="BQ164" s="20"/>
      <c r="BR164" s="20"/>
      <c r="BS164" s="20"/>
      <c r="BT164" s="20"/>
      <c r="BU164" s="19"/>
      <c r="BV164" s="8">
        <v>1</v>
      </c>
      <c r="BW164" s="108"/>
      <c r="BX164" s="8"/>
      <c r="BY164" s="8"/>
      <c r="BZ164" s="10"/>
      <c r="CA164" s="247" t="s">
        <v>172</v>
      </c>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197">
        <f t="shared" ref="CY164:CY179" si="41">IF(DE164&lt;&gt;"",CY163+1,CY163)</f>
        <v>3</v>
      </c>
      <c r="CZ164" s="197" t="str">
        <f t="shared" ref="CZ164:CZ179" si="42">IF(AND(CY164&lt;&gt;"",DE164&lt;&gt;""),CY164,"")</f>
        <v/>
      </c>
      <c r="DA164" s="10" t="str">
        <f>C132</f>
        <v/>
      </c>
      <c r="DB164" s="8"/>
      <c r="DC164" s="8"/>
      <c r="DD164" s="8"/>
      <c r="DE164" s="249" t="str">
        <f>IF(COUNTIF($DA$15:DA163,DA164)&gt;0,"",DA164)</f>
        <v/>
      </c>
      <c r="DF164" s="26" t="str">
        <f>S132</f>
        <v/>
      </c>
      <c r="DG164" s="32">
        <f t="shared" si="37"/>
        <v>0</v>
      </c>
      <c r="DH164" s="198">
        <f t="shared" ref="DH164:DH179" si="43">IF(OR(DN164=0,DN164=""),DH163,DH163+1)</f>
        <v>5</v>
      </c>
      <c r="DI164" s="199" t="str">
        <f t="shared" si="35"/>
        <v/>
      </c>
      <c r="DJ164" s="10" t="str">
        <f>AQ131</f>
        <v/>
      </c>
      <c r="DK164" s="10"/>
      <c r="DL164" s="10"/>
      <c r="DM164" s="8"/>
      <c r="DN164" s="249" t="str">
        <f>IF(COUNTIF($DJ$15:DJ163,DJ164)&gt;0,"",DJ164)</f>
        <v/>
      </c>
      <c r="DO164" s="200" t="str">
        <f>AZ131</f>
        <v/>
      </c>
      <c r="DP164" s="32">
        <f t="shared" si="36"/>
        <v>0</v>
      </c>
      <c r="DQ164" s="8"/>
    </row>
    <row r="165" spans="2:121" ht="10.5" customHeight="1">
      <c r="B165" s="2326"/>
      <c r="C165" s="2250" t="str">
        <f t="shared" si="38"/>
        <v>VV-F 1.6mm-2C</v>
      </c>
      <c r="D165" s="2251"/>
      <c r="E165" s="2251"/>
      <c r="F165" s="2251"/>
      <c r="G165" s="2251"/>
      <c r="H165" s="2251"/>
      <c r="I165" s="2251"/>
      <c r="J165" s="2251"/>
      <c r="K165" s="2252"/>
      <c r="L165" s="2207">
        <f>IF(B2=0,"",IF(ISNA(VLOOKUP(BV165,非誘W,8,FALSE)),"",1.1*(VLOOKUP(BV165,非誘W,8,FALSE))))</f>
        <v>14879.7</v>
      </c>
      <c r="M165" s="2208"/>
      <c r="N165" s="2208"/>
      <c r="O165" s="2208"/>
      <c r="P165" s="2249"/>
      <c r="Q165" s="2221" t="str">
        <f>IF(C165="","",VLOOKUP(C165,[7]建物1802!$E$5:$AL$3275,2,FALSE))</f>
        <v>ｍ</v>
      </c>
      <c r="R165" s="2221"/>
      <c r="S165" s="2221"/>
      <c r="T165" s="2207">
        <f>IF(C165="","",VLOOKUP(C165,[7]建物1802!$E$5:$AL$3275,$AH$163,FALSE))</f>
        <v>39</v>
      </c>
      <c r="U165" s="2208"/>
      <c r="V165" s="2208"/>
      <c r="W165" s="2208"/>
      <c r="X165" s="2208"/>
      <c r="Y165" s="2208"/>
      <c r="Z165" s="2209">
        <f t="shared" si="39"/>
        <v>580308</v>
      </c>
      <c r="AA165" s="2210"/>
      <c r="AB165" s="2210"/>
      <c r="AC165" s="2210"/>
      <c r="AD165" s="2210"/>
      <c r="AE165" s="2210"/>
      <c r="AF165" s="2210"/>
      <c r="AG165" s="2211"/>
      <c r="AH165" s="250"/>
      <c r="AI165" s="2212">
        <f>IF(C165="","",VLOOKUP(C165,[7]建物1802!$E$5:$AL$3275,$AH$164,FALSE))</f>
        <v>1.2999999999999999E-2</v>
      </c>
      <c r="AJ165" s="2213"/>
      <c r="AK165" s="2213"/>
      <c r="AL165" s="2214"/>
      <c r="AM165" s="2257">
        <f t="shared" si="40"/>
        <v>193.43610000000001</v>
      </c>
      <c r="AN165" s="2258"/>
      <c r="AO165" s="2258"/>
      <c r="AP165" s="2258"/>
      <c r="AQ165" s="2259"/>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19"/>
      <c r="BV165" s="8">
        <v>2</v>
      </c>
      <c r="BW165" s="108"/>
      <c r="BX165" s="8"/>
      <c r="BY165" s="8"/>
      <c r="BZ165" s="10"/>
      <c r="CA165" s="247" t="s">
        <v>171</v>
      </c>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197">
        <f t="shared" si="41"/>
        <v>3</v>
      </c>
      <c r="CZ165" s="197" t="str">
        <f t="shared" si="42"/>
        <v/>
      </c>
      <c r="DA165" s="201" t="str">
        <f>W132</f>
        <v/>
      </c>
      <c r="DB165" s="8"/>
      <c r="DC165" s="8"/>
      <c r="DD165" s="8"/>
      <c r="DE165" s="249" t="str">
        <f>IF(COUNTIF($DA$15:DA164,DA165)&gt;0,"",DA165)</f>
        <v/>
      </c>
      <c r="DF165" s="26" t="str">
        <f>AM132</f>
        <v/>
      </c>
      <c r="DG165" s="32">
        <f t="shared" si="37"/>
        <v>0</v>
      </c>
      <c r="DH165" s="198">
        <f t="shared" si="43"/>
        <v>5</v>
      </c>
      <c r="DI165" s="198" t="str">
        <f t="shared" si="35"/>
        <v/>
      </c>
      <c r="DJ165" s="10" t="str">
        <f>AQ132</f>
        <v/>
      </c>
      <c r="DK165" s="10"/>
      <c r="DL165" s="10"/>
      <c r="DM165" s="8"/>
      <c r="DN165" s="8" t="str">
        <f>IF(COUNTIF($DJ$15:DJ164,DJ165)&gt;0,"",DJ165)</f>
        <v/>
      </c>
      <c r="DO165" s="200" t="str">
        <f>AZ132</f>
        <v/>
      </c>
      <c r="DP165" s="32">
        <f t="shared" si="36"/>
        <v>0</v>
      </c>
      <c r="DQ165" s="8"/>
    </row>
    <row r="166" spans="2:121" ht="10.5" customHeight="1">
      <c r="B166" s="2326"/>
      <c r="C166" s="2250" t="str">
        <f t="shared" si="38"/>
        <v>PF-S-16mm</v>
      </c>
      <c r="D166" s="2251"/>
      <c r="E166" s="2251"/>
      <c r="F166" s="2251"/>
      <c r="G166" s="2251"/>
      <c r="H166" s="2251"/>
      <c r="I166" s="2251"/>
      <c r="J166" s="2251"/>
      <c r="K166" s="2252"/>
      <c r="L166" s="2207">
        <f t="shared" ref="L166:L177" si="44">IF(ISNA(VLOOKUP(BV166,非誘W,8,FALSE)),"",1.1*(VLOOKUP(BV166,非誘W,8,FALSE)))</f>
        <v>631.83999999999992</v>
      </c>
      <c r="M166" s="2208"/>
      <c r="N166" s="2208"/>
      <c r="O166" s="2208"/>
      <c r="P166" s="2249"/>
      <c r="Q166" s="2221" t="str">
        <f>IF(C166="","",VLOOKUP(C166,[7]建物1802!$E$5:$AL$3275,2,FALSE))</f>
        <v>ｍ</v>
      </c>
      <c r="R166" s="2221"/>
      <c r="S166" s="2221"/>
      <c r="T166" s="2207">
        <f>IF(C166="","",VLOOKUP(C166,[7]建物1802!$E$5:$AL$3275,$AH$163,FALSE))</f>
        <v>56</v>
      </c>
      <c r="U166" s="2208"/>
      <c r="V166" s="2208"/>
      <c r="W166" s="2208"/>
      <c r="X166" s="2208"/>
      <c r="Y166" s="2208"/>
      <c r="Z166" s="2209">
        <f t="shared" si="39"/>
        <v>35383</v>
      </c>
      <c r="AA166" s="2210"/>
      <c r="AB166" s="2210"/>
      <c r="AC166" s="2210"/>
      <c r="AD166" s="2210"/>
      <c r="AE166" s="2210"/>
      <c r="AF166" s="2210"/>
      <c r="AG166" s="2211"/>
      <c r="AH166" s="250"/>
      <c r="AI166" s="2212">
        <f>IF(C166="","",VLOOKUP(C166,[7]建物1802!$E$5:$AL$3275,$AH$164,FALSE))</f>
        <v>3.1E-2</v>
      </c>
      <c r="AJ166" s="2213"/>
      <c r="AK166" s="2213"/>
      <c r="AL166" s="2214"/>
      <c r="AM166" s="2257">
        <f t="shared" si="40"/>
        <v>19.587039999999998</v>
      </c>
      <c r="AN166" s="2258"/>
      <c r="AO166" s="2258"/>
      <c r="AP166" s="2258"/>
      <c r="AQ166" s="2259"/>
      <c r="AR166" s="42"/>
      <c r="AS166" s="42"/>
      <c r="AT166" s="2261">
        <f>B3</f>
        <v>8</v>
      </c>
      <c r="AU166" s="2261"/>
      <c r="AV166" s="2261"/>
      <c r="AW166" s="2274" t="str">
        <f>E3</f>
        <v xml:space="preserve"> 非常照明・誘導灯設備工事</v>
      </c>
      <c r="AX166" s="2274"/>
      <c r="AY166" s="2274"/>
      <c r="AZ166" s="2274"/>
      <c r="BA166" s="2274"/>
      <c r="BB166" s="2274"/>
      <c r="BC166" s="2274"/>
      <c r="BD166" s="2274"/>
      <c r="BE166" s="2274"/>
      <c r="BF166" s="2274"/>
      <c r="BG166" s="2274"/>
      <c r="BH166" s="2274"/>
      <c r="BI166" s="2274"/>
      <c r="BJ166" s="2274"/>
      <c r="BK166" s="2274"/>
      <c r="BL166" s="2274"/>
      <c r="BM166" s="244"/>
      <c r="BN166" s="244"/>
      <c r="BO166" s="244"/>
      <c r="BP166" s="244"/>
      <c r="BQ166" s="244"/>
      <c r="BR166" s="42"/>
      <c r="BS166" s="42"/>
      <c r="BT166" s="42"/>
      <c r="BU166" s="19"/>
      <c r="BV166" s="8">
        <v>3</v>
      </c>
      <c r="BW166" s="108"/>
      <c r="BX166" s="8"/>
      <c r="BY166" s="8"/>
      <c r="BZ166" s="10"/>
      <c r="CA166" s="247" t="s">
        <v>170</v>
      </c>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197">
        <f t="shared" si="41"/>
        <v>3</v>
      </c>
      <c r="CZ166" s="197" t="str">
        <f t="shared" si="42"/>
        <v/>
      </c>
      <c r="DA166" s="10" t="str">
        <f>C133</f>
        <v/>
      </c>
      <c r="DB166" s="8"/>
      <c r="DC166" s="8"/>
      <c r="DD166" s="8"/>
      <c r="DE166" s="249" t="str">
        <f>IF(COUNTIF($DA$15:DA165,DA166)&gt;0,"",DA166)</f>
        <v/>
      </c>
      <c r="DF166" s="26" t="str">
        <f>S133</f>
        <v/>
      </c>
      <c r="DG166" s="32">
        <f t="shared" si="37"/>
        <v>0</v>
      </c>
      <c r="DH166" s="198">
        <f t="shared" si="43"/>
        <v>5</v>
      </c>
      <c r="DI166" s="198" t="str">
        <f t="shared" si="35"/>
        <v/>
      </c>
      <c r="DJ166" s="10" t="str">
        <f>AQ133</f>
        <v/>
      </c>
      <c r="DK166" s="10"/>
      <c r="DL166" s="10"/>
      <c r="DM166" s="8"/>
      <c r="DN166" s="8" t="str">
        <f>IF(COUNTIF($DJ$15:DJ165,DJ166)&gt;0,"",DJ166)</f>
        <v/>
      </c>
      <c r="DO166" s="200" t="str">
        <f>AZ133</f>
        <v/>
      </c>
      <c r="DP166" s="32">
        <f t="shared" si="36"/>
        <v>0</v>
      </c>
      <c r="DQ166" s="8"/>
    </row>
    <row r="167" spans="2:121" ht="10.5" customHeight="1">
      <c r="B167" s="2326"/>
      <c r="C167" s="2250" t="str">
        <f t="shared" si="38"/>
        <v/>
      </c>
      <c r="D167" s="2251"/>
      <c r="E167" s="2251"/>
      <c r="F167" s="2251"/>
      <c r="G167" s="2251"/>
      <c r="H167" s="2251"/>
      <c r="I167" s="2251"/>
      <c r="J167" s="2251"/>
      <c r="K167" s="2252"/>
      <c r="L167" s="2207" t="str">
        <f t="shared" si="44"/>
        <v/>
      </c>
      <c r="M167" s="2208"/>
      <c r="N167" s="2208"/>
      <c r="O167" s="2208"/>
      <c r="P167" s="2249"/>
      <c r="Q167" s="2221" t="str">
        <f>IF(C167="","",VLOOKUP(C167,[7]建物1802!$E$5:$AL$3275,2,FALSE))</f>
        <v/>
      </c>
      <c r="R167" s="2221"/>
      <c r="S167" s="2221"/>
      <c r="T167" s="2207" t="str">
        <f>IF(C167="","",VLOOKUP(C167,[7]建物1802!$E$5:$AL$3275,$AH$163,FALSE))</f>
        <v/>
      </c>
      <c r="U167" s="2208"/>
      <c r="V167" s="2208"/>
      <c r="W167" s="2208"/>
      <c r="X167" s="2208"/>
      <c r="Y167" s="2208"/>
      <c r="Z167" s="2209" t="str">
        <f t="shared" si="39"/>
        <v/>
      </c>
      <c r="AA167" s="2210"/>
      <c r="AB167" s="2210"/>
      <c r="AC167" s="2210"/>
      <c r="AD167" s="2210"/>
      <c r="AE167" s="2210"/>
      <c r="AF167" s="2210"/>
      <c r="AG167" s="2211"/>
      <c r="AH167" s="250"/>
      <c r="AI167" s="2212" t="str">
        <f>IF(C167="","",VLOOKUP(C167,[7]建物1802!$E$5:$AL$3275,$AH$164,FALSE))</f>
        <v/>
      </c>
      <c r="AJ167" s="2213"/>
      <c r="AK167" s="2213"/>
      <c r="AL167" s="2214"/>
      <c r="AM167" s="2257" t="str">
        <f t="shared" si="40"/>
        <v/>
      </c>
      <c r="AN167" s="2258"/>
      <c r="AO167" s="2258"/>
      <c r="AP167" s="2258"/>
      <c r="AQ167" s="2259"/>
      <c r="AR167" s="244"/>
      <c r="AS167" s="244"/>
      <c r="AT167" s="2261" t="str">
        <f>IF(B2=0,"","配管配線材料")</f>
        <v>配管配線材料</v>
      </c>
      <c r="AU167" s="2261"/>
      <c r="AV167" s="2261"/>
      <c r="AW167" s="2261"/>
      <c r="AX167" s="2261"/>
      <c r="AY167" s="2261"/>
      <c r="AZ167" s="2261"/>
      <c r="BA167" s="2261"/>
      <c r="BB167" s="2261"/>
      <c r="BC167" s="2261"/>
      <c r="BD167" s="2260">
        <f>IF($B$2=0,"",IF(BI172="",1000*INT(1.3*SUM(Z164:AG178)/1000),1000*INT((1+BI172/100)*1.3*SUM(Z164:AG178)/1000)))</f>
        <v>1135000</v>
      </c>
      <c r="BE167" s="2264"/>
      <c r="BF167" s="2264"/>
      <c r="BG167" s="2264"/>
      <c r="BH167" s="2264"/>
      <c r="BI167" s="2264"/>
      <c r="BJ167" s="2264"/>
      <c r="BK167" s="2264"/>
      <c r="BL167" s="2264"/>
      <c r="BM167" s="244"/>
      <c r="BN167" s="244"/>
      <c r="BO167" s="244"/>
      <c r="BP167" s="244"/>
      <c r="BQ167" s="244"/>
      <c r="BR167" s="244"/>
      <c r="BS167" s="244"/>
      <c r="BT167" s="244"/>
      <c r="BU167" s="19"/>
      <c r="BV167" s="8">
        <v>4</v>
      </c>
      <c r="BW167" s="108"/>
      <c r="BX167" s="8"/>
      <c r="BY167" s="8"/>
      <c r="BZ167" s="10"/>
      <c r="CA167" s="247" t="s">
        <v>169</v>
      </c>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197">
        <f t="shared" si="41"/>
        <v>3</v>
      </c>
      <c r="CZ167" s="197" t="str">
        <f t="shared" si="42"/>
        <v/>
      </c>
      <c r="DA167" s="201" t="str">
        <f>W133</f>
        <v/>
      </c>
      <c r="DB167" s="8"/>
      <c r="DC167" s="8"/>
      <c r="DD167" s="8"/>
      <c r="DE167" s="249" t="str">
        <f>IF(COUNTIF($DA$15:DA166,DA167)&gt;0,"",DA167)</f>
        <v/>
      </c>
      <c r="DF167" s="26" t="str">
        <f>AM133</f>
        <v/>
      </c>
      <c r="DG167" s="32">
        <f t="shared" si="37"/>
        <v>0</v>
      </c>
      <c r="DH167" s="198">
        <f t="shared" si="43"/>
        <v>5</v>
      </c>
      <c r="DI167" s="124" t="str">
        <f t="shared" si="35"/>
        <v/>
      </c>
      <c r="DJ167" s="11" t="str">
        <f>AQ134</f>
        <v/>
      </c>
      <c r="DK167" s="11"/>
      <c r="DL167" s="11"/>
      <c r="DM167" s="9"/>
      <c r="DN167" s="9" t="str">
        <f>IF(COUNTIF($DJ$15:DJ166,DJ167)&gt;0,"",DJ167)</f>
        <v/>
      </c>
      <c r="DO167" s="101" t="str">
        <f>AZ134</f>
        <v/>
      </c>
      <c r="DP167" s="32">
        <f t="shared" si="36"/>
        <v>0</v>
      </c>
      <c r="DQ167" s="8"/>
    </row>
    <row r="168" spans="2:121" ht="10.5" customHeight="1">
      <c r="B168" s="2326"/>
      <c r="C168" s="2250" t="str">
        <f t="shared" si="38"/>
        <v/>
      </c>
      <c r="D168" s="2251"/>
      <c r="E168" s="2251"/>
      <c r="F168" s="2251"/>
      <c r="G168" s="2251"/>
      <c r="H168" s="2251"/>
      <c r="I168" s="2251"/>
      <c r="J168" s="2251"/>
      <c r="K168" s="2252"/>
      <c r="L168" s="2207" t="str">
        <f t="shared" si="44"/>
        <v/>
      </c>
      <c r="M168" s="2208"/>
      <c r="N168" s="2208"/>
      <c r="O168" s="2208"/>
      <c r="P168" s="2249"/>
      <c r="Q168" s="2221" t="str">
        <f>IF(C168="","",VLOOKUP(C168,[7]建物1802!$E$5:$AL$3275,2,FALSE))</f>
        <v/>
      </c>
      <c r="R168" s="2221"/>
      <c r="S168" s="2221"/>
      <c r="T168" s="2207" t="str">
        <f>IF(C168="","",VLOOKUP(C168,[7]建物1802!$E$5:$AL$3275,$AH$163,FALSE))</f>
        <v/>
      </c>
      <c r="U168" s="2208"/>
      <c r="V168" s="2208"/>
      <c r="W168" s="2208"/>
      <c r="X168" s="2208"/>
      <c r="Y168" s="2208"/>
      <c r="Z168" s="2209" t="str">
        <f t="shared" si="39"/>
        <v/>
      </c>
      <c r="AA168" s="2210"/>
      <c r="AB168" s="2210"/>
      <c r="AC168" s="2210"/>
      <c r="AD168" s="2210"/>
      <c r="AE168" s="2210"/>
      <c r="AF168" s="2210"/>
      <c r="AG168" s="2211"/>
      <c r="AH168" s="250"/>
      <c r="AI168" s="2212" t="str">
        <f>IF(C168="","",VLOOKUP(C168,[7]建物1802!$E$5:$AL$3275,$AH$164,FALSE))</f>
        <v/>
      </c>
      <c r="AJ168" s="2213"/>
      <c r="AK168" s="2213"/>
      <c r="AL168" s="2214"/>
      <c r="AM168" s="2257" t="str">
        <f t="shared" si="40"/>
        <v/>
      </c>
      <c r="AN168" s="2258"/>
      <c r="AO168" s="2258"/>
      <c r="AP168" s="2258"/>
      <c r="AQ168" s="2259"/>
      <c r="AR168" s="244"/>
      <c r="AS168" s="244"/>
      <c r="AT168" s="2261" t="str">
        <f>IF(B2=0,"","照　明　器　具")</f>
        <v>照　明　器　具</v>
      </c>
      <c r="AU168" s="2261"/>
      <c r="AV168" s="2261"/>
      <c r="AW168" s="2261"/>
      <c r="AX168" s="2261"/>
      <c r="AY168" s="2261"/>
      <c r="AZ168" s="2261"/>
      <c r="BA168" s="2261"/>
      <c r="BB168" s="2261"/>
      <c r="BC168" s="2261"/>
      <c r="BD168" s="2260">
        <f>IF($B$2=0,"",IF(BI173="",1000*INT(SUM(Z179:AG193)/1000),1000*INT((1+BI173/100)*SUM(Z179:AG193)/1000)))</f>
        <v>14151000</v>
      </c>
      <c r="BE168" s="2264"/>
      <c r="BF168" s="2264"/>
      <c r="BG168" s="2264"/>
      <c r="BH168" s="2264"/>
      <c r="BI168" s="2264"/>
      <c r="BJ168" s="2264"/>
      <c r="BK168" s="2264"/>
      <c r="BL168" s="2264"/>
      <c r="BM168" s="244"/>
      <c r="BN168" s="244"/>
      <c r="BO168" s="244"/>
      <c r="BP168" s="244"/>
      <c r="BQ168" s="244"/>
      <c r="BR168" s="244"/>
      <c r="BS168" s="244"/>
      <c r="BT168" s="244"/>
      <c r="BU168" s="19"/>
      <c r="BV168" s="8">
        <v>5</v>
      </c>
      <c r="BW168" s="8"/>
      <c r="BX168" s="8"/>
      <c r="BY168" s="8"/>
      <c r="BZ168" s="10"/>
      <c r="CA168" s="247" t="s">
        <v>168</v>
      </c>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197">
        <f t="shared" si="41"/>
        <v>3</v>
      </c>
      <c r="CZ168" s="197" t="str">
        <f t="shared" si="42"/>
        <v/>
      </c>
      <c r="DA168" s="10" t="str">
        <f>C134</f>
        <v/>
      </c>
      <c r="DB168" s="8"/>
      <c r="DC168" s="8"/>
      <c r="DD168" s="8"/>
      <c r="DE168" s="249" t="str">
        <f>IF(COUNTIF($DA$15:DA167,DA168)&gt;0,"",DA168)</f>
        <v/>
      </c>
      <c r="DF168" s="26" t="str">
        <f>I134</f>
        <v/>
      </c>
      <c r="DG168" s="32">
        <f t="shared" si="37"/>
        <v>0</v>
      </c>
      <c r="DH168" s="198">
        <f t="shared" si="43"/>
        <v>5</v>
      </c>
      <c r="DI168" s="124" t="str">
        <f t="shared" si="35"/>
        <v/>
      </c>
      <c r="DJ168" s="11" t="str">
        <f>BF131</f>
        <v/>
      </c>
      <c r="DK168" s="11"/>
      <c r="DL168" s="11"/>
      <c r="DM168" s="9"/>
      <c r="DN168" s="9" t="str">
        <f>IF(COUNTIF($DJ$15:DJ167,DJ168)&gt;0,"",DJ168)</f>
        <v/>
      </c>
      <c r="DO168" s="101" t="str">
        <f>BO131</f>
        <v/>
      </c>
      <c r="DP168" s="13">
        <f t="shared" si="36"/>
        <v>0</v>
      </c>
      <c r="DQ168" s="8"/>
    </row>
    <row r="169" spans="2:121" ht="10.5" customHeight="1">
      <c r="B169" s="2326"/>
      <c r="C169" s="2250" t="str">
        <f t="shared" si="38"/>
        <v/>
      </c>
      <c r="D169" s="2251"/>
      <c r="E169" s="2251"/>
      <c r="F169" s="2251"/>
      <c r="G169" s="2251"/>
      <c r="H169" s="2251"/>
      <c r="I169" s="2251"/>
      <c r="J169" s="2251"/>
      <c r="K169" s="2252"/>
      <c r="L169" s="2207" t="str">
        <f t="shared" si="44"/>
        <v/>
      </c>
      <c r="M169" s="2208"/>
      <c r="N169" s="2208"/>
      <c r="O169" s="2208"/>
      <c r="P169" s="2249"/>
      <c r="Q169" s="2221" t="str">
        <f>IF(C169="","",VLOOKUP(C169,[7]建物1802!$E$5:$AL$3275,2,FALSE))</f>
        <v/>
      </c>
      <c r="R169" s="2221"/>
      <c r="S169" s="2221"/>
      <c r="T169" s="2207" t="str">
        <f>IF(C169="","",VLOOKUP(C169,[7]建物1802!$E$5:$AL$3275,$AH$163,FALSE))</f>
        <v/>
      </c>
      <c r="U169" s="2208"/>
      <c r="V169" s="2208"/>
      <c r="W169" s="2208"/>
      <c r="X169" s="2208"/>
      <c r="Y169" s="2208"/>
      <c r="Z169" s="2209" t="str">
        <f t="shared" si="39"/>
        <v/>
      </c>
      <c r="AA169" s="2210"/>
      <c r="AB169" s="2210"/>
      <c r="AC169" s="2210"/>
      <c r="AD169" s="2210"/>
      <c r="AE169" s="2210"/>
      <c r="AF169" s="2210"/>
      <c r="AG169" s="2211"/>
      <c r="AH169" s="250"/>
      <c r="AI169" s="2212" t="str">
        <f>IF(C169="","",VLOOKUP(C169,[7]建物1802!$E$5:$AL$3275,$AH$164,FALSE))</f>
        <v/>
      </c>
      <c r="AJ169" s="2213"/>
      <c r="AK169" s="2213"/>
      <c r="AL169" s="2214"/>
      <c r="AM169" s="2257" t="str">
        <f t="shared" si="40"/>
        <v/>
      </c>
      <c r="AN169" s="2258"/>
      <c r="AO169" s="2258"/>
      <c r="AP169" s="2258"/>
      <c r="AQ169" s="2259"/>
      <c r="AR169" s="244"/>
      <c r="AS169" s="244"/>
      <c r="AT169" s="2261" t="str">
        <f>IF(B2=0,"","電　　工　　費")</f>
        <v>電　　工　　費</v>
      </c>
      <c r="AU169" s="2261"/>
      <c r="AV169" s="2261"/>
      <c r="AW169" s="2261"/>
      <c r="AX169" s="2261"/>
      <c r="AY169" s="2261"/>
      <c r="AZ169" s="2261"/>
      <c r="BA169" s="2261"/>
      <c r="BB169" s="2261"/>
      <c r="BC169" s="2261"/>
      <c r="BD169" s="2260">
        <f>IF($B$2=0,"",1000*INT(1.15*SUM(AM164:AQ193)*AZ164/1000))</f>
        <v>3179000</v>
      </c>
      <c r="BE169" s="2264"/>
      <c r="BF169" s="2264"/>
      <c r="BG169" s="2264"/>
      <c r="BH169" s="2264"/>
      <c r="BI169" s="2264"/>
      <c r="BJ169" s="2264"/>
      <c r="BK169" s="2264"/>
      <c r="BL169" s="2264"/>
      <c r="BM169" s="244"/>
      <c r="BN169" s="244"/>
      <c r="BO169" s="244"/>
      <c r="BP169" s="244"/>
      <c r="BQ169" s="244"/>
      <c r="BR169" s="244"/>
      <c r="BS169" s="244"/>
      <c r="BT169" s="244"/>
      <c r="BU169" s="19"/>
      <c r="BV169" s="8">
        <v>6</v>
      </c>
      <c r="BW169" s="8"/>
      <c r="BX169" s="8"/>
      <c r="BY169" s="8"/>
      <c r="BZ169" s="10"/>
      <c r="CA169" s="247" t="s">
        <v>167</v>
      </c>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197">
        <f t="shared" si="41"/>
        <v>3</v>
      </c>
      <c r="CZ169" s="197" t="str">
        <f t="shared" si="42"/>
        <v/>
      </c>
      <c r="DA169" s="201" t="str">
        <f>M134</f>
        <v/>
      </c>
      <c r="DB169" s="8"/>
      <c r="DC169" s="8"/>
      <c r="DD169" s="8"/>
      <c r="DE169" s="249" t="str">
        <f>IF(COUNTIF($DA$15:DA168,DA169)&gt;0,"",DA169)</f>
        <v/>
      </c>
      <c r="DF169" s="26" t="str">
        <f>S134</f>
        <v/>
      </c>
      <c r="DG169" s="32">
        <f t="shared" si="37"/>
        <v>0</v>
      </c>
      <c r="DH169" s="198">
        <f t="shared" si="43"/>
        <v>5</v>
      </c>
      <c r="DI169" s="124" t="str">
        <f t="shared" si="35"/>
        <v/>
      </c>
      <c r="DJ169" s="11" t="str">
        <f>BF132</f>
        <v/>
      </c>
      <c r="DK169" s="11"/>
      <c r="DL169" s="11"/>
      <c r="DM169" s="9"/>
      <c r="DN169" s="9" t="str">
        <f>IF(COUNTIF($DJ$15:DJ168,DJ169)&gt;0,"",DJ169)</f>
        <v/>
      </c>
      <c r="DO169" s="101" t="str">
        <f>BO132</f>
        <v/>
      </c>
      <c r="DP169" s="13">
        <f t="shared" si="36"/>
        <v>0</v>
      </c>
      <c r="DQ169" s="9"/>
    </row>
    <row r="170" spans="2:121" ht="10.5" customHeight="1">
      <c r="B170" s="2326"/>
      <c r="C170" s="2250" t="str">
        <f t="shared" si="38"/>
        <v/>
      </c>
      <c r="D170" s="2251"/>
      <c r="E170" s="2251"/>
      <c r="F170" s="2251"/>
      <c r="G170" s="2251"/>
      <c r="H170" s="2251"/>
      <c r="I170" s="2251"/>
      <c r="J170" s="2251"/>
      <c r="K170" s="2252"/>
      <c r="L170" s="2207" t="str">
        <f t="shared" si="44"/>
        <v/>
      </c>
      <c r="M170" s="2208"/>
      <c r="N170" s="2208"/>
      <c r="O170" s="2208"/>
      <c r="P170" s="2249"/>
      <c r="Q170" s="2221" t="str">
        <f>IF(C170="","",VLOOKUP(C170,[7]建物1802!$E$5:$AL$3275,2,FALSE))</f>
        <v/>
      </c>
      <c r="R170" s="2221"/>
      <c r="S170" s="2221"/>
      <c r="T170" s="2207" t="str">
        <f>IF(C170="","",VLOOKUP(C170,[7]建物1802!$E$5:$AL$3275,$AH$163,FALSE))</f>
        <v/>
      </c>
      <c r="U170" s="2208"/>
      <c r="V170" s="2208"/>
      <c r="W170" s="2208"/>
      <c r="X170" s="2208"/>
      <c r="Y170" s="2208"/>
      <c r="Z170" s="2209" t="str">
        <f t="shared" si="39"/>
        <v/>
      </c>
      <c r="AA170" s="2210"/>
      <c r="AB170" s="2210"/>
      <c r="AC170" s="2210"/>
      <c r="AD170" s="2210"/>
      <c r="AE170" s="2210"/>
      <c r="AF170" s="2210"/>
      <c r="AG170" s="2211"/>
      <c r="AH170" s="250"/>
      <c r="AI170" s="2212" t="str">
        <f>IF(C170="","",VLOOKUP(C170,[7]建物1802!$E$5:$AL$3275,$AH$164,FALSE))</f>
        <v/>
      </c>
      <c r="AJ170" s="2213"/>
      <c r="AK170" s="2213"/>
      <c r="AL170" s="2214"/>
      <c r="AM170" s="2257" t="str">
        <f t="shared" si="40"/>
        <v/>
      </c>
      <c r="AN170" s="2258"/>
      <c r="AO170" s="2258"/>
      <c r="AP170" s="2258"/>
      <c r="AQ170" s="2259"/>
      <c r="AR170" s="244"/>
      <c r="AS170" s="244"/>
      <c r="AT170" s="2261">
        <f>AT166</f>
        <v>8</v>
      </c>
      <c r="AU170" s="2261"/>
      <c r="AV170" s="2261"/>
      <c r="AW170" s="2274" t="str">
        <f>IF(AT170="","","　の 計")</f>
        <v>　の 計</v>
      </c>
      <c r="AX170" s="2274"/>
      <c r="AY170" s="2274"/>
      <c r="AZ170" s="2274"/>
      <c r="BA170" s="2274"/>
      <c r="BB170" s="2274"/>
      <c r="BC170" s="2274"/>
      <c r="BD170" s="2260">
        <f>IF($B$2=0,"",1000*INT(SUM(BD167:BL169)/1000))</f>
        <v>18465000</v>
      </c>
      <c r="BE170" s="2264"/>
      <c r="BF170" s="2264"/>
      <c r="BG170" s="2264"/>
      <c r="BH170" s="2264"/>
      <c r="BI170" s="2264"/>
      <c r="BJ170" s="2264"/>
      <c r="BK170" s="2264"/>
      <c r="BL170" s="2264"/>
      <c r="BM170" s="244"/>
      <c r="BN170" s="244"/>
      <c r="BO170" s="244"/>
      <c r="BP170" s="244"/>
      <c r="BQ170" s="244"/>
      <c r="BR170" s="244"/>
      <c r="BS170" s="244"/>
      <c r="BT170" s="244"/>
      <c r="BU170" s="19"/>
      <c r="BV170" s="8">
        <v>7</v>
      </c>
      <c r="BW170" s="8"/>
      <c r="BX170" s="8"/>
      <c r="BY170" s="8"/>
      <c r="BZ170" s="10"/>
      <c r="CA170" s="247" t="s">
        <v>166</v>
      </c>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197">
        <f t="shared" si="41"/>
        <v>3</v>
      </c>
      <c r="CZ170" s="197" t="str">
        <f t="shared" si="42"/>
        <v/>
      </c>
      <c r="DA170" s="201" t="str">
        <f>W134</f>
        <v/>
      </c>
      <c r="DB170" s="8"/>
      <c r="DC170" s="8"/>
      <c r="DD170" s="8"/>
      <c r="DE170" s="249" t="str">
        <f>IF(COUNTIF($DA$15:DA169,DA170)&gt;0,"",DA170)</f>
        <v/>
      </c>
      <c r="DF170" s="26" t="str">
        <f>AC134</f>
        <v/>
      </c>
      <c r="DG170" s="32">
        <f t="shared" si="37"/>
        <v>0</v>
      </c>
      <c r="DH170" s="198">
        <f t="shared" si="43"/>
        <v>5</v>
      </c>
      <c r="DI170" s="199" t="str">
        <f t="shared" si="35"/>
        <v/>
      </c>
      <c r="DJ170" s="201" t="str">
        <f>BI133</f>
        <v/>
      </c>
      <c r="DK170" s="10"/>
      <c r="DL170" s="10"/>
      <c r="DM170" s="8"/>
      <c r="DN170" s="249" t="str">
        <f>IF(COUNTIF($DJ$15:DJ169,DJ170)&gt;0,"",DJ170)</f>
        <v/>
      </c>
      <c r="DO170" s="200" t="str">
        <f>BN133</f>
        <v/>
      </c>
      <c r="DP170" s="32">
        <f t="shared" si="36"/>
        <v>0</v>
      </c>
      <c r="DQ170" s="8"/>
    </row>
    <row r="171" spans="2:121" ht="10.5" customHeight="1">
      <c r="B171" s="2326"/>
      <c r="C171" s="2250" t="str">
        <f t="shared" si="38"/>
        <v/>
      </c>
      <c r="D171" s="2251"/>
      <c r="E171" s="2251"/>
      <c r="F171" s="2251"/>
      <c r="G171" s="2251"/>
      <c r="H171" s="2251"/>
      <c r="I171" s="2251"/>
      <c r="J171" s="2251"/>
      <c r="K171" s="2252"/>
      <c r="L171" s="2207" t="str">
        <f t="shared" si="44"/>
        <v/>
      </c>
      <c r="M171" s="2208"/>
      <c r="N171" s="2208"/>
      <c r="O171" s="2208"/>
      <c r="P171" s="2249"/>
      <c r="Q171" s="2221" t="str">
        <f>IF(C171="","",VLOOKUP(C171,[7]建物1802!$E$5:$AL$3275,2,FALSE))</f>
        <v/>
      </c>
      <c r="R171" s="2221"/>
      <c r="S171" s="2221"/>
      <c r="T171" s="2207" t="str">
        <f>IF(C171="","",VLOOKUP(C171,[7]建物1802!$E$5:$AL$3275,$AH$163,FALSE))</f>
        <v/>
      </c>
      <c r="U171" s="2208"/>
      <c r="V171" s="2208"/>
      <c r="W171" s="2208"/>
      <c r="X171" s="2208"/>
      <c r="Y171" s="2208"/>
      <c r="Z171" s="2209" t="str">
        <f t="shared" si="39"/>
        <v/>
      </c>
      <c r="AA171" s="2210"/>
      <c r="AB171" s="2210"/>
      <c r="AC171" s="2210"/>
      <c r="AD171" s="2210"/>
      <c r="AE171" s="2210"/>
      <c r="AF171" s="2210"/>
      <c r="AG171" s="2211"/>
      <c r="AH171" s="250"/>
      <c r="AI171" s="2212" t="str">
        <f>IF(C171="","",VLOOKUP(C171,[7]建物1802!$E$5:$AL$3275,$AH$164,FALSE))</f>
        <v/>
      </c>
      <c r="AJ171" s="2213"/>
      <c r="AK171" s="2213"/>
      <c r="AL171" s="2214"/>
      <c r="AM171" s="2257" t="str">
        <f t="shared" si="40"/>
        <v/>
      </c>
      <c r="AN171" s="2258"/>
      <c r="AO171" s="2258"/>
      <c r="AP171" s="2258"/>
      <c r="AQ171" s="2259"/>
      <c r="AR171" s="244"/>
      <c r="AS171" s="244"/>
      <c r="AT171" s="244"/>
      <c r="AU171" s="244"/>
      <c r="AV171" s="244"/>
      <c r="AW171" s="244"/>
      <c r="AX171" s="244"/>
      <c r="AY171" s="244"/>
      <c r="AZ171" s="244"/>
      <c r="BA171" s="244"/>
      <c r="BB171" s="43"/>
      <c r="BC171" s="43"/>
      <c r="BD171" s="158"/>
      <c r="BE171" s="158"/>
      <c r="BF171" s="158"/>
      <c r="BG171" s="244"/>
      <c r="BH171" s="244"/>
      <c r="BI171" s="244"/>
      <c r="BJ171" s="244"/>
      <c r="BK171" s="244"/>
      <c r="BL171" s="244"/>
      <c r="BM171" s="244"/>
      <c r="BN171" s="244"/>
      <c r="BO171" s="244"/>
      <c r="BP171" s="244"/>
      <c r="BQ171" s="244"/>
      <c r="BR171" s="244"/>
      <c r="BS171" s="244"/>
      <c r="BT171" s="244"/>
      <c r="BU171" s="19"/>
      <c r="BV171" s="8">
        <v>8</v>
      </c>
      <c r="BW171" s="8"/>
      <c r="BX171" s="8"/>
      <c r="BY171" s="8"/>
      <c r="BZ171" s="10"/>
      <c r="CA171" s="247" t="s">
        <v>165</v>
      </c>
      <c r="CB171" s="8"/>
      <c r="CC171" s="8"/>
      <c r="CD171" s="8"/>
      <c r="CE171" s="8"/>
      <c r="CF171" s="8"/>
      <c r="CG171" s="8"/>
      <c r="CH171" s="8"/>
      <c r="CI171" s="8"/>
      <c r="CJ171" s="8"/>
      <c r="CK171" s="8"/>
      <c r="CL171" s="8"/>
      <c r="CM171" s="8"/>
      <c r="CN171" s="8"/>
      <c r="CO171" s="8"/>
      <c r="CP171" s="8"/>
      <c r="CQ171" s="8"/>
      <c r="CR171" s="8"/>
      <c r="CS171" s="8"/>
      <c r="CT171" s="8"/>
      <c r="CU171" s="8"/>
      <c r="CV171" s="8"/>
      <c r="CW171" s="8"/>
      <c r="CX171" s="88">
        <v>20</v>
      </c>
      <c r="CY171" s="204">
        <f t="shared" si="41"/>
        <v>3</v>
      </c>
      <c r="CZ171" s="155" t="str">
        <f t="shared" si="42"/>
        <v/>
      </c>
      <c r="DA171" s="210" t="str">
        <f>AG134</f>
        <v/>
      </c>
      <c r="DB171" s="45"/>
      <c r="DC171" s="45"/>
      <c r="DD171" s="45"/>
      <c r="DE171" s="153" t="str">
        <f>IF(COUNTIF($DA$15:DA170,DA171)&gt;0,"",DA171)</f>
        <v/>
      </c>
      <c r="DF171" s="152" t="str">
        <f>AM134</f>
        <v/>
      </c>
      <c r="DG171" s="32">
        <f t="shared" si="37"/>
        <v>0</v>
      </c>
      <c r="DH171" s="124">
        <f t="shared" si="43"/>
        <v>5</v>
      </c>
      <c r="DI171" s="149" t="str">
        <f t="shared" si="35"/>
        <v/>
      </c>
      <c r="DJ171" s="210" t="str">
        <f>BI134</f>
        <v/>
      </c>
      <c r="DK171" s="154"/>
      <c r="DL171" s="154"/>
      <c r="DM171" s="45"/>
      <c r="DN171" s="45" t="str">
        <f>IF(COUNTIF($DJ$15:DJ170,DJ171)&gt;0,"",DJ171)</f>
        <v/>
      </c>
      <c r="DO171" s="209" t="str">
        <f>BN134</f>
        <v/>
      </c>
      <c r="DP171" s="169">
        <f t="shared" si="36"/>
        <v>0</v>
      </c>
      <c r="DQ171" s="88">
        <v>20</v>
      </c>
    </row>
    <row r="172" spans="2:121" ht="10.5" customHeight="1">
      <c r="B172" s="2326"/>
      <c r="C172" s="2250" t="str">
        <f t="shared" si="38"/>
        <v/>
      </c>
      <c r="D172" s="2251"/>
      <c r="E172" s="2251"/>
      <c r="F172" s="2251"/>
      <c r="G172" s="2251"/>
      <c r="H172" s="2251"/>
      <c r="I172" s="2251"/>
      <c r="J172" s="2251"/>
      <c r="K172" s="2252"/>
      <c r="L172" s="2207" t="str">
        <f t="shared" si="44"/>
        <v/>
      </c>
      <c r="M172" s="2208"/>
      <c r="N172" s="2208"/>
      <c r="O172" s="2208"/>
      <c r="P172" s="2249"/>
      <c r="Q172" s="2221" t="str">
        <f>IF(C172="","",VLOOKUP(C172,[7]建物1802!$E$5:$AL$3275,2,FALSE))</f>
        <v/>
      </c>
      <c r="R172" s="2221"/>
      <c r="S172" s="2221"/>
      <c r="T172" s="2207" t="str">
        <f>IF(C172="","",VLOOKUP(C172,[7]建物1802!$E$5:$AL$3275,$AH$163,FALSE))</f>
        <v/>
      </c>
      <c r="U172" s="2208"/>
      <c r="V172" s="2208"/>
      <c r="W172" s="2208"/>
      <c r="X172" s="2208"/>
      <c r="Y172" s="2208"/>
      <c r="Z172" s="2209" t="str">
        <f t="shared" si="39"/>
        <v/>
      </c>
      <c r="AA172" s="2210"/>
      <c r="AB172" s="2210"/>
      <c r="AC172" s="2210"/>
      <c r="AD172" s="2210"/>
      <c r="AE172" s="2210"/>
      <c r="AF172" s="2210"/>
      <c r="AG172" s="2211"/>
      <c r="AH172" s="250"/>
      <c r="AI172" s="2212" t="str">
        <f>IF(C172="","",VLOOKUP(C172,[7]建物1802!$E$5:$AL$3275,$AH$164,FALSE))</f>
        <v/>
      </c>
      <c r="AJ172" s="2213"/>
      <c r="AK172" s="2213"/>
      <c r="AL172" s="2214"/>
      <c r="AM172" s="2257" t="str">
        <f t="shared" si="40"/>
        <v/>
      </c>
      <c r="AN172" s="2258"/>
      <c r="AO172" s="2258"/>
      <c r="AP172" s="2258"/>
      <c r="AQ172" s="2259"/>
      <c r="AR172" s="244"/>
      <c r="AS172" s="244"/>
      <c r="AT172" s="2261" t="str">
        <f>IF(B2=0,"","配管配線材料")</f>
        <v>配管配線材料</v>
      </c>
      <c r="AU172" s="2261"/>
      <c r="AV172" s="2261"/>
      <c r="AW172" s="2261"/>
      <c r="AX172" s="2261"/>
      <c r="AY172" s="2261"/>
      <c r="AZ172" s="2261"/>
      <c r="BA172" s="2261"/>
      <c r="BB172" s="2261"/>
      <c r="BC172" s="2261"/>
      <c r="BD172" s="31" t="s">
        <v>68</v>
      </c>
      <c r="BE172" s="2262" t="str">
        <f>IF(B2=0,"","掛率％")</f>
        <v>掛率％</v>
      </c>
      <c r="BF172" s="2262"/>
      <c r="BG172" s="2262"/>
      <c r="BH172" s="2262"/>
      <c r="BI172" s="2263"/>
      <c r="BJ172" s="2263"/>
      <c r="BK172" s="2263"/>
      <c r="BL172" s="2263"/>
      <c r="BM172" s="2260" t="str">
        <f>IF(BI172="","",1000*INT(1.3*SUM(Z164:AG178)/1000))</f>
        <v/>
      </c>
      <c r="BN172" s="2260"/>
      <c r="BO172" s="2260"/>
      <c r="BP172" s="2260"/>
      <c r="BQ172" s="2260"/>
      <c r="BR172" s="2260"/>
      <c r="BS172" s="2260"/>
      <c r="BT172" s="2260"/>
      <c r="BU172" s="19"/>
      <c r="BV172" s="8">
        <v>9</v>
      </c>
      <c r="BW172" s="8"/>
      <c r="BX172" s="8"/>
      <c r="BY172" s="8"/>
      <c r="BZ172" s="10"/>
      <c r="CA172" s="247" t="s">
        <v>164</v>
      </c>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197">
        <f t="shared" si="41"/>
        <v>3</v>
      </c>
      <c r="CZ172" s="197" t="str">
        <f t="shared" si="42"/>
        <v/>
      </c>
      <c r="DA172" s="10" t="str">
        <f>C138</f>
        <v/>
      </c>
      <c r="DB172" s="8"/>
      <c r="DC172" s="8"/>
      <c r="DD172" s="8"/>
      <c r="DE172" s="249" t="str">
        <f>IF(COUNTIF($DA$15:DA171,DA172)&gt;0,"",DA172)</f>
        <v/>
      </c>
      <c r="DF172" s="26" t="str">
        <f>S138</f>
        <v/>
      </c>
      <c r="DG172" s="32">
        <f t="shared" si="37"/>
        <v>0</v>
      </c>
      <c r="DH172" s="198">
        <f t="shared" si="43"/>
        <v>5</v>
      </c>
      <c r="DI172" s="199" t="str">
        <f t="shared" si="35"/>
        <v/>
      </c>
      <c r="DJ172" s="10" t="str">
        <f>AQ137</f>
        <v/>
      </c>
      <c r="DK172" s="10"/>
      <c r="DL172" s="10"/>
      <c r="DM172" s="8"/>
      <c r="DN172" s="249" t="str">
        <f>IF(COUNTIF($DJ$15:DJ171,DJ172)&gt;0,"",DJ172)</f>
        <v/>
      </c>
      <c r="DO172" s="200" t="str">
        <f>AZ137</f>
        <v/>
      </c>
      <c r="DP172" s="32">
        <f t="shared" si="36"/>
        <v>0</v>
      </c>
      <c r="DQ172" s="8"/>
    </row>
    <row r="173" spans="2:121" ht="10.5" customHeight="1">
      <c r="B173" s="2326"/>
      <c r="C173" s="2250" t="str">
        <f t="shared" si="38"/>
        <v/>
      </c>
      <c r="D173" s="2251"/>
      <c r="E173" s="2251"/>
      <c r="F173" s="2251"/>
      <c r="G173" s="2251"/>
      <c r="H173" s="2251"/>
      <c r="I173" s="2251"/>
      <c r="J173" s="2251"/>
      <c r="K173" s="2252"/>
      <c r="L173" s="2207" t="str">
        <f t="shared" si="44"/>
        <v/>
      </c>
      <c r="M173" s="2208"/>
      <c r="N173" s="2208"/>
      <c r="O173" s="2208"/>
      <c r="P173" s="2249"/>
      <c r="Q173" s="2221" t="str">
        <f>IF(C173="","",VLOOKUP(C173,[7]建物1802!$E$5:$AL$3275,2,FALSE))</f>
        <v/>
      </c>
      <c r="R173" s="2221"/>
      <c r="S173" s="2221"/>
      <c r="T173" s="2207" t="str">
        <f>IF(C173="","",VLOOKUP(C173,[7]建物1802!$E$5:$AL$3275,$AH$163,FALSE))</f>
        <v/>
      </c>
      <c r="U173" s="2208"/>
      <c r="V173" s="2208"/>
      <c r="W173" s="2208"/>
      <c r="X173" s="2208"/>
      <c r="Y173" s="2208"/>
      <c r="Z173" s="2209" t="str">
        <f t="shared" si="39"/>
        <v/>
      </c>
      <c r="AA173" s="2210"/>
      <c r="AB173" s="2210"/>
      <c r="AC173" s="2210"/>
      <c r="AD173" s="2210"/>
      <c r="AE173" s="2210"/>
      <c r="AF173" s="2210"/>
      <c r="AG173" s="2211"/>
      <c r="AH173" s="250"/>
      <c r="AI173" s="2212" t="str">
        <f>IF(C173="","",VLOOKUP(C173,[7]建物1802!$E$5:$AL$3275,$AH$164,FALSE))</f>
        <v/>
      </c>
      <c r="AJ173" s="2213"/>
      <c r="AK173" s="2213"/>
      <c r="AL173" s="2214"/>
      <c r="AM173" s="2257" t="str">
        <f t="shared" si="40"/>
        <v/>
      </c>
      <c r="AN173" s="2258"/>
      <c r="AO173" s="2258"/>
      <c r="AP173" s="2258"/>
      <c r="AQ173" s="2259"/>
      <c r="AR173" s="244"/>
      <c r="AS173" s="244"/>
      <c r="AT173" s="2261" t="str">
        <f>IF(B2=0,"","照　明　器　具")</f>
        <v>照　明　器　具</v>
      </c>
      <c r="AU173" s="2261"/>
      <c r="AV173" s="2261"/>
      <c r="AW173" s="2261"/>
      <c r="AX173" s="2261"/>
      <c r="AY173" s="2261"/>
      <c r="AZ173" s="2261"/>
      <c r="BA173" s="2261"/>
      <c r="BB173" s="2261"/>
      <c r="BC173" s="2261"/>
      <c r="BD173" s="36" t="s">
        <v>68</v>
      </c>
      <c r="BE173" s="2262" t="str">
        <f>IF(B2=0,"","掛率％")</f>
        <v>掛率％</v>
      </c>
      <c r="BF173" s="2262"/>
      <c r="BG173" s="2262"/>
      <c r="BH173" s="2262"/>
      <c r="BI173" s="2263"/>
      <c r="BJ173" s="2263"/>
      <c r="BK173" s="2263"/>
      <c r="BL173" s="2263"/>
      <c r="BM173" s="2260" t="str">
        <f>IF(BI173="","",1000*INT(SUM(Z179:AG193)/1000))</f>
        <v/>
      </c>
      <c r="BN173" s="2260"/>
      <c r="BO173" s="2260"/>
      <c r="BP173" s="2260"/>
      <c r="BQ173" s="2260"/>
      <c r="BR173" s="2260"/>
      <c r="BS173" s="2260"/>
      <c r="BT173" s="2260"/>
      <c r="BU173" s="19"/>
      <c r="BV173" s="8">
        <v>10</v>
      </c>
      <c r="BW173" s="8"/>
      <c r="BX173" s="8"/>
      <c r="BY173" s="8"/>
      <c r="BZ173" s="10"/>
      <c r="CA173" s="247" t="s">
        <v>163</v>
      </c>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197">
        <f t="shared" si="41"/>
        <v>3</v>
      </c>
      <c r="CZ173" s="197" t="str">
        <f t="shared" si="42"/>
        <v/>
      </c>
      <c r="DA173" s="201" t="str">
        <f>W138</f>
        <v/>
      </c>
      <c r="DB173" s="8"/>
      <c r="DC173" s="8"/>
      <c r="DD173" s="8"/>
      <c r="DE173" s="249" t="str">
        <f>IF(COUNTIF($DA$15:DA172,DA173)&gt;0,"",DA173)</f>
        <v/>
      </c>
      <c r="DF173" s="26" t="str">
        <f>AM138</f>
        <v/>
      </c>
      <c r="DG173" s="32">
        <f t="shared" si="37"/>
        <v>0</v>
      </c>
      <c r="DH173" s="198">
        <f t="shared" si="43"/>
        <v>5</v>
      </c>
      <c r="DI173" s="198" t="str">
        <f t="shared" si="35"/>
        <v/>
      </c>
      <c r="DJ173" s="10" t="str">
        <f>AQ138</f>
        <v/>
      </c>
      <c r="DK173" s="10"/>
      <c r="DL173" s="10"/>
      <c r="DM173" s="8"/>
      <c r="DN173" s="8" t="str">
        <f>IF(COUNTIF($DJ$15:DJ172,DJ173)&gt;0,"",DJ173)</f>
        <v/>
      </c>
      <c r="DO173" s="200" t="str">
        <f>AZ138</f>
        <v/>
      </c>
      <c r="DP173" s="32">
        <f t="shared" si="36"/>
        <v>0</v>
      </c>
      <c r="DQ173" s="8"/>
    </row>
    <row r="174" spans="2:121" ht="10.5" customHeight="1">
      <c r="B174" s="2326"/>
      <c r="C174" s="2250" t="str">
        <f t="shared" si="38"/>
        <v/>
      </c>
      <c r="D174" s="2251"/>
      <c r="E174" s="2251"/>
      <c r="F174" s="2251"/>
      <c r="G174" s="2251"/>
      <c r="H174" s="2251"/>
      <c r="I174" s="2251"/>
      <c r="J174" s="2251"/>
      <c r="K174" s="2252"/>
      <c r="L174" s="2207" t="str">
        <f t="shared" si="44"/>
        <v/>
      </c>
      <c r="M174" s="2208"/>
      <c r="N174" s="2208"/>
      <c r="O174" s="2208"/>
      <c r="P174" s="2249"/>
      <c r="Q174" s="2221" t="str">
        <f>IF(C174="","",VLOOKUP(C174,[7]建物1802!$E$5:$AL$3275,2,FALSE))</f>
        <v/>
      </c>
      <c r="R174" s="2221"/>
      <c r="S174" s="2221"/>
      <c r="T174" s="2207" t="str">
        <f>IF(C174="","",VLOOKUP(C174,[7]建物1802!$E$5:$AL$3275,$AH$163,FALSE))</f>
        <v/>
      </c>
      <c r="U174" s="2208"/>
      <c r="V174" s="2208"/>
      <c r="W174" s="2208"/>
      <c r="X174" s="2208"/>
      <c r="Y174" s="2208"/>
      <c r="Z174" s="2209" t="str">
        <f t="shared" si="39"/>
        <v/>
      </c>
      <c r="AA174" s="2210"/>
      <c r="AB174" s="2210"/>
      <c r="AC174" s="2210"/>
      <c r="AD174" s="2210"/>
      <c r="AE174" s="2210"/>
      <c r="AF174" s="2210"/>
      <c r="AG174" s="2211"/>
      <c r="AH174" s="250"/>
      <c r="AI174" s="2212" t="str">
        <f>IF(C174="","",VLOOKUP(C174,[7]建物1802!$E$5:$AL$3275,$AH$164,FALSE))</f>
        <v/>
      </c>
      <c r="AJ174" s="2213"/>
      <c r="AK174" s="2213"/>
      <c r="AL174" s="2214"/>
      <c r="AM174" s="2257" t="str">
        <f t="shared" si="40"/>
        <v/>
      </c>
      <c r="AN174" s="2258"/>
      <c r="AO174" s="2258"/>
      <c r="AP174" s="2258"/>
      <c r="AQ174" s="2259"/>
      <c r="AR174" s="244"/>
      <c r="AS174" s="244"/>
      <c r="AT174" s="244"/>
      <c r="AU174" s="244"/>
      <c r="AV174" s="244"/>
      <c r="AW174" s="244"/>
      <c r="AX174" s="244"/>
      <c r="AY174" s="244"/>
      <c r="AZ174" s="244"/>
      <c r="BA174" s="244"/>
      <c r="BB174" s="43"/>
      <c r="BC174" s="43"/>
      <c r="BD174" s="158"/>
      <c r="BE174" s="158"/>
      <c r="BF174" s="158"/>
      <c r="BG174" s="244"/>
      <c r="BH174" s="244"/>
      <c r="BI174" s="244"/>
      <c r="BJ174" s="244"/>
      <c r="BK174" s="244"/>
      <c r="BL174" s="244"/>
      <c r="BM174" s="244"/>
      <c r="BN174" s="244"/>
      <c r="BO174" s="244"/>
      <c r="BP174" s="244"/>
      <c r="BQ174" s="244"/>
      <c r="BR174" s="244"/>
      <c r="BS174" s="244"/>
      <c r="BT174" s="244"/>
      <c r="BU174" s="19"/>
      <c r="BV174" s="8">
        <v>11</v>
      </c>
      <c r="BW174" s="8"/>
      <c r="BX174" s="8"/>
      <c r="BY174" s="8"/>
      <c r="BZ174" s="10"/>
      <c r="CA174" s="247" t="s">
        <v>162</v>
      </c>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197">
        <f t="shared" si="41"/>
        <v>3</v>
      </c>
      <c r="CZ174" s="197" t="str">
        <f t="shared" si="42"/>
        <v/>
      </c>
      <c r="DA174" s="10" t="str">
        <f>C139</f>
        <v/>
      </c>
      <c r="DB174" s="8"/>
      <c r="DC174" s="8"/>
      <c r="DD174" s="8"/>
      <c r="DE174" s="249" t="str">
        <f>IF(COUNTIF($DA$15:DA173,DA174)&gt;0,"",DA174)</f>
        <v/>
      </c>
      <c r="DF174" s="26" t="str">
        <f>S139</f>
        <v/>
      </c>
      <c r="DG174" s="32">
        <f t="shared" si="37"/>
        <v>0</v>
      </c>
      <c r="DH174" s="198">
        <f t="shared" si="43"/>
        <v>5</v>
      </c>
      <c r="DI174" s="198" t="str">
        <f t="shared" si="35"/>
        <v/>
      </c>
      <c r="DJ174" s="10" t="str">
        <f>AQ139</f>
        <v/>
      </c>
      <c r="DK174" s="10"/>
      <c r="DL174" s="10"/>
      <c r="DM174" s="8"/>
      <c r="DN174" s="8" t="str">
        <f>IF(COUNTIF($DJ$15:DJ173,DJ174)&gt;0,"",DJ174)</f>
        <v/>
      </c>
      <c r="DO174" s="200" t="str">
        <f>AZ139</f>
        <v/>
      </c>
      <c r="DP174" s="32">
        <f t="shared" si="36"/>
        <v>0</v>
      </c>
      <c r="DQ174" s="8"/>
    </row>
    <row r="175" spans="2:121" ht="10.5" customHeight="1" thickBot="1">
      <c r="B175" s="2326"/>
      <c r="C175" s="2250" t="str">
        <f t="shared" si="38"/>
        <v/>
      </c>
      <c r="D175" s="2251"/>
      <c r="E175" s="2251"/>
      <c r="F175" s="2251"/>
      <c r="G175" s="2251"/>
      <c r="H175" s="2251"/>
      <c r="I175" s="2251"/>
      <c r="J175" s="2251"/>
      <c r="K175" s="2252"/>
      <c r="L175" s="2207" t="str">
        <f t="shared" si="44"/>
        <v/>
      </c>
      <c r="M175" s="2208"/>
      <c r="N175" s="2208"/>
      <c r="O175" s="2208"/>
      <c r="P175" s="2249"/>
      <c r="Q175" s="2221" t="str">
        <f>IF(C175="","",VLOOKUP(C175,[7]建物1802!$E$5:$AL$3275,2,FALSE))</f>
        <v/>
      </c>
      <c r="R175" s="2221"/>
      <c r="S175" s="2221"/>
      <c r="T175" s="2207" t="str">
        <f>IF(C175="","",VLOOKUP(C175,[7]建物1802!$E$5:$AL$3275,$AH$163,FALSE))</f>
        <v/>
      </c>
      <c r="U175" s="2208"/>
      <c r="V175" s="2208"/>
      <c r="W175" s="2208"/>
      <c r="X175" s="2208"/>
      <c r="Y175" s="2208"/>
      <c r="Z175" s="2209" t="str">
        <f t="shared" si="39"/>
        <v/>
      </c>
      <c r="AA175" s="2210"/>
      <c r="AB175" s="2210"/>
      <c r="AC175" s="2210"/>
      <c r="AD175" s="2210"/>
      <c r="AE175" s="2210"/>
      <c r="AF175" s="2210"/>
      <c r="AG175" s="2211"/>
      <c r="AH175" s="250"/>
      <c r="AI175" s="2212" t="str">
        <f>IF(C175="","",VLOOKUP(C175,[7]建物1802!$E$5:$AL$3275,$AH$164,FALSE))</f>
        <v/>
      </c>
      <c r="AJ175" s="2213"/>
      <c r="AK175" s="2213"/>
      <c r="AL175" s="2214"/>
      <c r="AM175" s="2257" t="str">
        <f t="shared" si="40"/>
        <v/>
      </c>
      <c r="AN175" s="2258"/>
      <c r="AO175" s="2258"/>
      <c r="AP175" s="2258"/>
      <c r="AQ175" s="2259"/>
      <c r="AR175" s="244"/>
      <c r="AS175" s="244"/>
      <c r="AT175" s="244"/>
      <c r="AU175" s="244"/>
      <c r="AV175" s="244"/>
      <c r="AW175" s="244"/>
      <c r="AX175" s="244"/>
      <c r="AY175" s="244"/>
      <c r="AZ175" s="244"/>
      <c r="BA175" s="244"/>
      <c r="BB175" s="43"/>
      <c r="BC175" s="43"/>
      <c r="BD175" s="158"/>
      <c r="BE175" s="158"/>
      <c r="BF175" s="158"/>
      <c r="BG175" s="244"/>
      <c r="BH175" s="244"/>
      <c r="BI175" s="244"/>
      <c r="BJ175" s="244"/>
      <c r="BK175" s="244"/>
      <c r="BL175" s="244"/>
      <c r="BM175" s="244"/>
      <c r="BN175" s="244"/>
      <c r="BO175" s="244"/>
      <c r="BP175" s="244"/>
      <c r="BQ175" s="244"/>
      <c r="BR175" s="244"/>
      <c r="BS175" s="244"/>
      <c r="BT175" s="244"/>
      <c r="BU175" s="19"/>
      <c r="BV175" s="8">
        <v>12</v>
      </c>
      <c r="BW175" s="8"/>
      <c r="BX175" s="8"/>
      <c r="BY175" s="8"/>
      <c r="BZ175" s="10"/>
      <c r="CA175" s="247" t="s">
        <v>161</v>
      </c>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197">
        <f t="shared" si="41"/>
        <v>3</v>
      </c>
      <c r="CZ175" s="197" t="str">
        <f t="shared" si="42"/>
        <v/>
      </c>
      <c r="DA175" s="201" t="str">
        <f>W139</f>
        <v/>
      </c>
      <c r="DB175" s="8"/>
      <c r="DC175" s="8"/>
      <c r="DD175" s="8"/>
      <c r="DE175" s="249" t="str">
        <f>IF(COUNTIF($DA$15:DA174,DA175)&gt;0,"",DA175)</f>
        <v/>
      </c>
      <c r="DF175" s="26" t="str">
        <f>AM139</f>
        <v/>
      </c>
      <c r="DG175" s="32">
        <f t="shared" si="37"/>
        <v>0</v>
      </c>
      <c r="DH175" s="198">
        <f t="shared" si="43"/>
        <v>5</v>
      </c>
      <c r="DI175" s="124" t="str">
        <f t="shared" si="35"/>
        <v/>
      </c>
      <c r="DJ175" s="11" t="str">
        <f>AQ140</f>
        <v/>
      </c>
      <c r="DK175" s="11"/>
      <c r="DL175" s="11"/>
      <c r="DM175" s="9"/>
      <c r="DN175" s="9" t="str">
        <f>IF(COUNTIF($DJ$15:DJ174,DJ175)&gt;0,"",DJ175)</f>
        <v/>
      </c>
      <c r="DO175" s="101" t="str">
        <f>AZ140</f>
        <v/>
      </c>
      <c r="DP175" s="32">
        <f t="shared" si="36"/>
        <v>0</v>
      </c>
      <c r="DQ175" s="8"/>
    </row>
    <row r="176" spans="2:121" ht="10.5" customHeight="1" thickTop="1" thickBot="1">
      <c r="B176" s="2326"/>
      <c r="C176" s="2250" t="str">
        <f t="shared" si="38"/>
        <v/>
      </c>
      <c r="D176" s="2251"/>
      <c r="E176" s="2251"/>
      <c r="F176" s="2251"/>
      <c r="G176" s="2251"/>
      <c r="H176" s="2251"/>
      <c r="I176" s="2251"/>
      <c r="J176" s="2251"/>
      <c r="K176" s="2252"/>
      <c r="L176" s="2207" t="str">
        <f t="shared" si="44"/>
        <v/>
      </c>
      <c r="M176" s="2208"/>
      <c r="N176" s="2208"/>
      <c r="O176" s="2208"/>
      <c r="P176" s="2249"/>
      <c r="Q176" s="2221" t="str">
        <f>IF(C176="","",VLOOKUP(C176,[7]建物1802!$E$5:$AL$3275,2,FALSE))</f>
        <v/>
      </c>
      <c r="R176" s="2221"/>
      <c r="S176" s="2221"/>
      <c r="T176" s="2207" t="str">
        <f>IF(C176="","",VLOOKUP(C176,[7]建物1802!$E$5:$AL$3275,$AH$163,FALSE))</f>
        <v/>
      </c>
      <c r="U176" s="2208"/>
      <c r="V176" s="2208"/>
      <c r="W176" s="2208"/>
      <c r="X176" s="2208"/>
      <c r="Y176" s="2208"/>
      <c r="Z176" s="2209" t="str">
        <f t="shared" si="39"/>
        <v/>
      </c>
      <c r="AA176" s="2210"/>
      <c r="AB176" s="2210"/>
      <c r="AC176" s="2210"/>
      <c r="AD176" s="2210"/>
      <c r="AE176" s="2210"/>
      <c r="AF176" s="2210"/>
      <c r="AG176" s="2211"/>
      <c r="AH176" s="250"/>
      <c r="AI176" s="2212" t="str">
        <f>IF(C176="","",VLOOKUP(C176,[7]建物1802!$E$5:$AL$3275,$AH$164,FALSE))</f>
        <v/>
      </c>
      <c r="AJ176" s="2213"/>
      <c r="AK176" s="2213"/>
      <c r="AL176" s="2214"/>
      <c r="AM176" s="2257" t="str">
        <f t="shared" si="40"/>
        <v/>
      </c>
      <c r="AN176" s="2258"/>
      <c r="AO176" s="2258"/>
      <c r="AP176" s="2258"/>
      <c r="AQ176" s="2259"/>
      <c r="AR176" s="244"/>
      <c r="AS176" s="244"/>
      <c r="AT176" s="2253" t="str">
        <f>IF(B2=0,"","単価設定")</f>
        <v>単価設定</v>
      </c>
      <c r="AU176" s="2254"/>
      <c r="AV176" s="2254"/>
      <c r="AW176" s="2254"/>
      <c r="AX176" s="2254"/>
      <c r="AY176" s="2254"/>
      <c r="AZ176" s="2255" t="str">
        <f>IF(B2=0,"",IF(BG176="",[6]原価!$AD$42,BG176))</f>
        <v>単価-1</v>
      </c>
      <c r="BA176" s="2255"/>
      <c r="BB176" s="2255"/>
      <c r="BC176" s="2255"/>
      <c r="BD176" s="2255"/>
      <c r="BE176" s="2255"/>
      <c r="BF176" s="27" t="s">
        <v>68</v>
      </c>
      <c r="BG176" s="2256"/>
      <c r="BH176" s="2256"/>
      <c r="BI176" s="2256"/>
      <c r="BJ176" s="2256"/>
      <c r="BK176" s="2256"/>
      <c r="BL176" s="2256"/>
      <c r="BM176" s="244"/>
      <c r="BN176" s="2233" t="str">
        <f>IF(B2=0,"",IF(AND(AZ176="単価-1",AZ177="歩掛-1"),[6]Top!$BH$15,"User"))</f>
        <v>近畿</v>
      </c>
      <c r="BO176" s="2233"/>
      <c r="BP176" s="2233"/>
      <c r="BQ176" s="2233"/>
      <c r="BR176" s="244"/>
      <c r="BS176" s="244"/>
      <c r="BT176" s="244"/>
      <c r="BU176" s="19"/>
      <c r="BV176" s="8">
        <v>13</v>
      </c>
      <c r="BW176" s="8"/>
      <c r="BX176" s="8"/>
      <c r="BY176" s="8"/>
      <c r="BZ176" s="10"/>
      <c r="CA176" s="247" t="s">
        <v>160</v>
      </c>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197">
        <f t="shared" si="41"/>
        <v>3</v>
      </c>
      <c r="CZ176" s="197" t="str">
        <f t="shared" si="42"/>
        <v/>
      </c>
      <c r="DA176" s="10" t="str">
        <f>C140</f>
        <v/>
      </c>
      <c r="DB176" s="8"/>
      <c r="DC176" s="8"/>
      <c r="DD176" s="8"/>
      <c r="DE176" s="249" t="str">
        <f>IF(COUNTIF($DA$15:DA175,DA176)&gt;0,"",DA176)</f>
        <v/>
      </c>
      <c r="DF176" s="26" t="str">
        <f>I140</f>
        <v/>
      </c>
      <c r="DG176" s="32">
        <f t="shared" si="37"/>
        <v>0</v>
      </c>
      <c r="DH176" s="198">
        <f t="shared" si="43"/>
        <v>5</v>
      </c>
      <c r="DI176" s="124" t="str">
        <f t="shared" si="35"/>
        <v/>
      </c>
      <c r="DJ176" s="11" t="str">
        <f>BF137</f>
        <v/>
      </c>
      <c r="DK176" s="11"/>
      <c r="DL176" s="11"/>
      <c r="DM176" s="9"/>
      <c r="DN176" s="9" t="str">
        <f>IF(COUNTIF($DJ$15:DJ175,DJ176)&gt;0,"",DJ176)</f>
        <v/>
      </c>
      <c r="DO176" s="101" t="str">
        <f>BO137</f>
        <v/>
      </c>
      <c r="DP176" s="13">
        <f t="shared" si="36"/>
        <v>0</v>
      </c>
      <c r="DQ176" s="8"/>
    </row>
    <row r="177" spans="2:121" ht="10.5" customHeight="1" thickTop="1" thickBot="1">
      <c r="B177" s="2326"/>
      <c r="C177" s="2250" t="str">
        <f t="shared" si="38"/>
        <v/>
      </c>
      <c r="D177" s="2251"/>
      <c r="E177" s="2251"/>
      <c r="F177" s="2251"/>
      <c r="G177" s="2251"/>
      <c r="H177" s="2251"/>
      <c r="I177" s="2251"/>
      <c r="J177" s="2251"/>
      <c r="K177" s="2252"/>
      <c r="L177" s="2207" t="str">
        <f t="shared" si="44"/>
        <v/>
      </c>
      <c r="M177" s="2208"/>
      <c r="N177" s="2208"/>
      <c r="O177" s="2208"/>
      <c r="P177" s="2249"/>
      <c r="Q177" s="2221" t="str">
        <f>IF(C177="","",VLOOKUP(C177,[7]建物1802!$E$5:$AL$3275,2,FALSE))</f>
        <v/>
      </c>
      <c r="R177" s="2221"/>
      <c r="S177" s="2221"/>
      <c r="T177" s="2207" t="str">
        <f>IF(C177="","",VLOOKUP(C177,[7]建物1802!$E$5:$AL$3275,$AH$163,FALSE))</f>
        <v/>
      </c>
      <c r="U177" s="2208"/>
      <c r="V177" s="2208"/>
      <c r="W177" s="2208"/>
      <c r="X177" s="2208"/>
      <c r="Y177" s="2208"/>
      <c r="Z177" s="2209" t="str">
        <f t="shared" si="39"/>
        <v/>
      </c>
      <c r="AA177" s="2210"/>
      <c r="AB177" s="2210"/>
      <c r="AC177" s="2210"/>
      <c r="AD177" s="2210"/>
      <c r="AE177" s="2210"/>
      <c r="AF177" s="2210"/>
      <c r="AG177" s="2211"/>
      <c r="AH177" s="250"/>
      <c r="AI177" s="2212" t="str">
        <f>IF(C177="","",VLOOKUP(C177,[7]建物1802!$E$5:$AL$3275,$AH$164,FALSE))</f>
        <v/>
      </c>
      <c r="AJ177" s="2213"/>
      <c r="AK177" s="2213"/>
      <c r="AL177" s="2214"/>
      <c r="AM177" s="2257" t="str">
        <f t="shared" si="40"/>
        <v/>
      </c>
      <c r="AN177" s="2258"/>
      <c r="AO177" s="2258"/>
      <c r="AP177" s="2258"/>
      <c r="AQ177" s="2259"/>
      <c r="AR177" s="244"/>
      <c r="AS177" s="244"/>
      <c r="AT177" s="2253" t="str">
        <f>IF(B2=0,"","歩掛設定")</f>
        <v>歩掛設定</v>
      </c>
      <c r="AU177" s="2254"/>
      <c r="AV177" s="2254"/>
      <c r="AW177" s="2254"/>
      <c r="AX177" s="2254"/>
      <c r="AY177" s="2254"/>
      <c r="AZ177" s="2255" t="str">
        <f>IF(B2=0,"",IF(BG177="",[6]原価!$AD$43,BG177))</f>
        <v>歩掛-1</v>
      </c>
      <c r="BA177" s="2255"/>
      <c r="BB177" s="2255"/>
      <c r="BC177" s="2255"/>
      <c r="BD177" s="2255"/>
      <c r="BE177" s="2255"/>
      <c r="BF177" s="27" t="s">
        <v>68</v>
      </c>
      <c r="BG177" s="2256"/>
      <c r="BH177" s="2256"/>
      <c r="BI177" s="2256"/>
      <c r="BJ177" s="2256"/>
      <c r="BK177" s="2256"/>
      <c r="BL177" s="2256"/>
      <c r="BM177" s="2231" t="str">
        <f>IF(B2=0,"","建設物価")</f>
        <v>建設物価</v>
      </c>
      <c r="BN177" s="2232"/>
      <c r="BO177" s="2232"/>
      <c r="BP177" s="2232"/>
      <c r="BQ177" s="2232"/>
      <c r="BR177" s="2232"/>
      <c r="BS177" s="244"/>
      <c r="BT177" s="244"/>
      <c r="BU177" s="19"/>
      <c r="BV177" s="8">
        <v>14</v>
      </c>
      <c r="BW177" s="8"/>
      <c r="BX177" s="8"/>
      <c r="BY177" s="8"/>
      <c r="BZ177" s="10"/>
      <c r="CA177" s="247" t="s">
        <v>159</v>
      </c>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197">
        <f t="shared" si="41"/>
        <v>3</v>
      </c>
      <c r="CZ177" s="197" t="str">
        <f t="shared" si="42"/>
        <v/>
      </c>
      <c r="DA177" s="201" t="str">
        <f>M140</f>
        <v/>
      </c>
      <c r="DB177" s="8"/>
      <c r="DC177" s="8"/>
      <c r="DD177" s="8"/>
      <c r="DE177" s="249" t="str">
        <f>IF(COUNTIF($DA$15:DA176,DA177)&gt;0,"",DA177)</f>
        <v/>
      </c>
      <c r="DF177" s="26" t="str">
        <f>S140</f>
        <v/>
      </c>
      <c r="DG177" s="32">
        <f t="shared" si="37"/>
        <v>0</v>
      </c>
      <c r="DH177" s="198">
        <f t="shared" si="43"/>
        <v>5</v>
      </c>
      <c r="DI177" s="124" t="str">
        <f t="shared" si="35"/>
        <v/>
      </c>
      <c r="DJ177" s="11" t="str">
        <f>BF138</f>
        <v/>
      </c>
      <c r="DK177" s="11"/>
      <c r="DL177" s="11"/>
      <c r="DM177" s="9"/>
      <c r="DN177" s="9" t="str">
        <f>IF(COUNTIF($DJ$15:DJ176,DJ177)&gt;0,"",DJ177)</f>
        <v/>
      </c>
      <c r="DO177" s="101" t="str">
        <f>BO138</f>
        <v/>
      </c>
      <c r="DP177" s="13">
        <f t="shared" si="36"/>
        <v>0</v>
      </c>
      <c r="DQ177" s="9"/>
    </row>
    <row r="178" spans="2:121" ht="10.5" customHeight="1" thickTop="1">
      <c r="B178" s="2326"/>
      <c r="C178" s="2243" t="str">
        <f>IF(L178&lt;&gt;"","C-OBox4角中深","")</f>
        <v>C-OBox4角中深</v>
      </c>
      <c r="D178" s="2244"/>
      <c r="E178" s="2244"/>
      <c r="F178" s="2244"/>
      <c r="G178" s="2244"/>
      <c r="H178" s="2244"/>
      <c r="I178" s="2244"/>
      <c r="J178" s="2244"/>
      <c r="K178" s="2245"/>
      <c r="L178" s="2246">
        <f>IF(SUM(L179:P193)=0,"",SUM(L179:P193))</f>
        <v>659</v>
      </c>
      <c r="M178" s="2247"/>
      <c r="N178" s="2247"/>
      <c r="O178" s="2247"/>
      <c r="P178" s="2248"/>
      <c r="Q178" s="2221" t="str">
        <f>IF(C178="","",VLOOKUP(C178,[7]建物1802!$E$5:$AL$3275,2,FALSE))</f>
        <v>個</v>
      </c>
      <c r="R178" s="2221"/>
      <c r="S178" s="2221"/>
      <c r="T178" s="2207">
        <f>IF(C178="","",VLOOKUP(C178,[7]建物1802!$E$5:$AL$3275,$AH$163,FALSE))</f>
        <v>155</v>
      </c>
      <c r="U178" s="2208"/>
      <c r="V178" s="2208"/>
      <c r="W178" s="2208"/>
      <c r="X178" s="2208"/>
      <c r="Y178" s="2208"/>
      <c r="Z178" s="2234">
        <f t="shared" si="39"/>
        <v>102145</v>
      </c>
      <c r="AA178" s="2235"/>
      <c r="AB178" s="2235"/>
      <c r="AC178" s="2235"/>
      <c r="AD178" s="2235"/>
      <c r="AE178" s="2235"/>
      <c r="AF178" s="2235"/>
      <c r="AG178" s="2236"/>
      <c r="AH178" s="250"/>
      <c r="AI178" s="2212">
        <f>IF(C178="","",VLOOKUP(C178,[7]建物1802!$E$5:$AL$3275,$AH$164,FALSE))</f>
        <v>0.1</v>
      </c>
      <c r="AJ178" s="2213"/>
      <c r="AK178" s="2213"/>
      <c r="AL178" s="2214"/>
      <c r="AM178" s="2237">
        <f t="shared" si="40"/>
        <v>65.900000000000006</v>
      </c>
      <c r="AN178" s="2238"/>
      <c r="AO178" s="2238"/>
      <c r="AP178" s="2238"/>
      <c r="AQ178" s="2239"/>
      <c r="AR178" s="244"/>
      <c r="AS178" s="244"/>
      <c r="AT178" s="244"/>
      <c r="AU178" s="244"/>
      <c r="AV178" s="244"/>
      <c r="AW178" s="244"/>
      <c r="AX178" s="244"/>
      <c r="AY178" s="244"/>
      <c r="AZ178" s="244"/>
      <c r="BA178" s="244"/>
      <c r="BB178" s="43"/>
      <c r="BC178" s="43"/>
      <c r="BD178" s="158"/>
      <c r="BE178" s="158"/>
      <c r="BF178" s="158"/>
      <c r="BG178" s="244"/>
      <c r="BH178" s="244"/>
      <c r="BI178" s="244"/>
      <c r="BJ178" s="244"/>
      <c r="BK178" s="244"/>
      <c r="BL178" s="244"/>
      <c r="BM178" s="244"/>
      <c r="BN178" s="244"/>
      <c r="BO178" s="244"/>
      <c r="BP178" s="244"/>
      <c r="BQ178" s="244"/>
      <c r="BR178" s="244"/>
      <c r="BS178" s="244"/>
      <c r="BT178" s="244"/>
      <c r="BU178" s="19"/>
      <c r="BV178" s="8">
        <v>15</v>
      </c>
      <c r="BW178" s="8"/>
      <c r="BX178" s="8"/>
      <c r="BY178" s="8"/>
      <c r="BZ178" s="10"/>
      <c r="CA178" s="247" t="s">
        <v>158</v>
      </c>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197">
        <f t="shared" si="41"/>
        <v>3</v>
      </c>
      <c r="CZ178" s="197" t="str">
        <f t="shared" si="42"/>
        <v/>
      </c>
      <c r="DA178" s="201" t="str">
        <f>W140</f>
        <v/>
      </c>
      <c r="DB178" s="8"/>
      <c r="DC178" s="8"/>
      <c r="DD178" s="8"/>
      <c r="DE178" s="249" t="str">
        <f>IF(COUNTIF($DA$15:DA177,DA178)&gt;0,"",DA178)</f>
        <v/>
      </c>
      <c r="DF178" s="26" t="str">
        <f>AC140</f>
        <v/>
      </c>
      <c r="DG178" s="32">
        <f t="shared" si="37"/>
        <v>0</v>
      </c>
      <c r="DH178" s="198">
        <f t="shared" si="43"/>
        <v>5</v>
      </c>
      <c r="DI178" s="199" t="str">
        <f t="shared" si="35"/>
        <v/>
      </c>
      <c r="DJ178" s="201" t="str">
        <f>BI139</f>
        <v/>
      </c>
      <c r="DK178" s="10"/>
      <c r="DL178" s="10"/>
      <c r="DM178" s="8"/>
      <c r="DN178" s="249" t="str">
        <f>IF(COUNTIF($DJ$15:DJ177,DJ178)&gt;0,"",DJ178)</f>
        <v/>
      </c>
      <c r="DO178" s="200" t="str">
        <f>BN139</f>
        <v/>
      </c>
      <c r="DP178" s="32">
        <f t="shared" si="36"/>
        <v>0</v>
      </c>
      <c r="DQ178" s="8"/>
    </row>
    <row r="179" spans="2:121" ht="10.5" customHeight="1">
      <c r="B179" s="2326"/>
      <c r="C179" s="2215" t="str">
        <f t="shared" ref="C179:C193" si="45">IF(OR($B$2=0,L179=""),"",VLOOKUP(BV179,非誘L,6,FALSE))</f>
        <v>Xh1-Ae</v>
      </c>
      <c r="D179" s="2216"/>
      <c r="E179" s="2216"/>
      <c r="F179" s="2216"/>
      <c r="G179" s="2216"/>
      <c r="H179" s="2216"/>
      <c r="I179" s="2216"/>
      <c r="J179" s="2216"/>
      <c r="K179" s="2217"/>
      <c r="L179" s="2218">
        <f t="shared" ref="L179:L193" si="46">IF(ISNA(VLOOKUP(BV179,非誘L,8,FALSE)),"",VLOOKUP(BV179,非誘L,8,FALSE))</f>
        <v>111</v>
      </c>
      <c r="M179" s="2219"/>
      <c r="N179" s="2219"/>
      <c r="O179" s="2219"/>
      <c r="P179" s="2220"/>
      <c r="Q179" s="2221" t="str">
        <f>IF(C179="","",VLOOKUP(C179,[7]建物1802!$E$5:$AL$3275,2,FALSE))</f>
        <v>台</v>
      </c>
      <c r="R179" s="2221"/>
      <c r="S179" s="2221"/>
      <c r="T179" s="2207">
        <f>IF(C179="","",VLOOKUP(C179,[7]建物1802!$E$5:$AL$3275,$AH$163,FALSE))</f>
        <v>45600</v>
      </c>
      <c r="U179" s="2208"/>
      <c r="V179" s="2208"/>
      <c r="W179" s="2208"/>
      <c r="X179" s="2208"/>
      <c r="Y179" s="2208"/>
      <c r="Z179" s="2240">
        <f t="shared" si="39"/>
        <v>5061600</v>
      </c>
      <c r="AA179" s="2241"/>
      <c r="AB179" s="2241"/>
      <c r="AC179" s="2241"/>
      <c r="AD179" s="2241"/>
      <c r="AE179" s="2241"/>
      <c r="AF179" s="2241"/>
      <c r="AG179" s="2242"/>
      <c r="AH179" s="39"/>
      <c r="AI179" s="2212">
        <f>IF(C179="","",VLOOKUP(C179,[7]建物1802!$E$5:$AL$3275,$AH$164,FALSE))</f>
        <v>0.26100000000000001</v>
      </c>
      <c r="AJ179" s="2213"/>
      <c r="AK179" s="2213"/>
      <c r="AL179" s="2214"/>
      <c r="AM179" s="2222">
        <f t="shared" si="40"/>
        <v>28.971</v>
      </c>
      <c r="AN179" s="2223"/>
      <c r="AO179" s="2223"/>
      <c r="AP179" s="2223"/>
      <c r="AQ179" s="2224"/>
      <c r="AR179" s="244"/>
      <c r="AS179" s="244"/>
      <c r="AT179" s="244"/>
      <c r="AU179" s="244"/>
      <c r="AV179" s="244"/>
      <c r="AW179" s="244"/>
      <c r="AX179" s="244"/>
      <c r="AY179" s="244"/>
      <c r="AZ179" s="244"/>
      <c r="BA179" s="244"/>
      <c r="BB179" s="43"/>
      <c r="BC179" s="43"/>
      <c r="BD179" s="158"/>
      <c r="BE179" s="158"/>
      <c r="BF179" s="158"/>
      <c r="BG179" s="244"/>
      <c r="BH179" s="244"/>
      <c r="BI179" s="244"/>
      <c r="BJ179" s="244"/>
      <c r="BK179" s="244"/>
      <c r="BL179" s="244"/>
      <c r="BM179" s="244"/>
      <c r="BN179" s="244"/>
      <c r="BO179" s="244"/>
      <c r="BP179" s="244"/>
      <c r="BQ179" s="244"/>
      <c r="BR179" s="244"/>
      <c r="BS179" s="244"/>
      <c r="BT179" s="244"/>
      <c r="BU179" s="19"/>
      <c r="BV179" s="8">
        <v>1</v>
      </c>
      <c r="BW179" s="8"/>
      <c r="BX179" s="8"/>
      <c r="BY179" s="8"/>
      <c r="BZ179" s="10"/>
      <c r="CA179" s="247" t="s">
        <v>157</v>
      </c>
      <c r="CB179" s="8"/>
      <c r="CC179" s="8"/>
      <c r="CD179" s="8"/>
      <c r="CE179" s="8"/>
      <c r="CF179" s="8"/>
      <c r="CG179" s="8"/>
      <c r="CH179" s="8"/>
      <c r="CI179" s="8"/>
      <c r="CJ179" s="8"/>
      <c r="CK179" s="8"/>
      <c r="CL179" s="8"/>
      <c r="CM179" s="8"/>
      <c r="CN179" s="8"/>
      <c r="CO179" s="8"/>
      <c r="CP179" s="8"/>
      <c r="CQ179" s="8"/>
      <c r="CR179" s="8"/>
      <c r="CS179" s="8"/>
      <c r="CT179" s="8"/>
      <c r="CU179" s="8"/>
      <c r="CV179" s="8"/>
      <c r="CW179" s="8"/>
      <c r="CX179" s="45"/>
      <c r="CY179" s="155">
        <f t="shared" si="41"/>
        <v>3</v>
      </c>
      <c r="CZ179" s="155" t="str">
        <f t="shared" si="42"/>
        <v/>
      </c>
      <c r="DA179" s="210" t="str">
        <f>AG140</f>
        <v/>
      </c>
      <c r="DB179" s="45"/>
      <c r="DC179" s="45"/>
      <c r="DD179" s="45"/>
      <c r="DE179" s="153" t="str">
        <f>IF(COUNTIF($DA$15:DA178,DA179)&gt;0,"",DA179)</f>
        <v/>
      </c>
      <c r="DF179" s="152" t="str">
        <f>AM140</f>
        <v/>
      </c>
      <c r="DG179" s="32">
        <f t="shared" si="37"/>
        <v>0</v>
      </c>
      <c r="DH179" s="124">
        <f t="shared" si="43"/>
        <v>5</v>
      </c>
      <c r="DI179" s="149" t="str">
        <f t="shared" si="35"/>
        <v/>
      </c>
      <c r="DJ179" s="210" t="str">
        <f>BI140</f>
        <v/>
      </c>
      <c r="DK179" s="154"/>
      <c r="DL179" s="154"/>
      <c r="DM179" s="45"/>
      <c r="DN179" s="45" t="str">
        <f>IF(COUNTIF($DJ$15:DJ178,DJ179)&gt;0,"",DJ179)</f>
        <v/>
      </c>
      <c r="DO179" s="209" t="str">
        <f>BN140</f>
        <v/>
      </c>
      <c r="DP179" s="169">
        <f t="shared" si="36"/>
        <v>0</v>
      </c>
      <c r="DQ179" s="45"/>
    </row>
    <row r="180" spans="2:121" ht="13.5" customHeight="1">
      <c r="B180" s="2326"/>
      <c r="C180" s="2215" t="str">
        <f t="shared" si="45"/>
        <v>Ya1-Ce</v>
      </c>
      <c r="D180" s="2216"/>
      <c r="E180" s="2216"/>
      <c r="F180" s="2216"/>
      <c r="G180" s="2216"/>
      <c r="H180" s="2216"/>
      <c r="I180" s="2216"/>
      <c r="J180" s="2216"/>
      <c r="K180" s="2217"/>
      <c r="L180" s="2218">
        <f t="shared" si="46"/>
        <v>38</v>
      </c>
      <c r="M180" s="2219"/>
      <c r="N180" s="2219"/>
      <c r="O180" s="2219"/>
      <c r="P180" s="2220"/>
      <c r="Q180" s="2221" t="str">
        <f>IF(C180="","",VLOOKUP(C180,[7]建物1802!$E$5:$AL$3275,2,FALSE))</f>
        <v>台</v>
      </c>
      <c r="R180" s="2221"/>
      <c r="S180" s="2221"/>
      <c r="T180" s="2207">
        <f>IF(C180="","",VLOOKUP(C180,[7]建物1802!$E$5:$AL$3275,$AH$163,FALSE))</f>
        <v>13600</v>
      </c>
      <c r="U180" s="2208"/>
      <c r="V180" s="2208"/>
      <c r="W180" s="2208"/>
      <c r="X180" s="2208"/>
      <c r="Y180" s="2208"/>
      <c r="Z180" s="2209">
        <f t="shared" si="39"/>
        <v>516800</v>
      </c>
      <c r="AA180" s="2210"/>
      <c r="AB180" s="2210"/>
      <c r="AC180" s="2210"/>
      <c r="AD180" s="2210"/>
      <c r="AE180" s="2210"/>
      <c r="AF180" s="2210"/>
      <c r="AG180" s="2211"/>
      <c r="AH180" s="39"/>
      <c r="AI180" s="2212">
        <f>IF(C180="","",VLOOKUP(C180,[7]建物1802!$E$5:$AL$3275,$AH$164,FALSE))</f>
        <v>0.217</v>
      </c>
      <c r="AJ180" s="2213"/>
      <c r="AK180" s="2213"/>
      <c r="AL180" s="2214"/>
      <c r="AM180" s="2222">
        <f t="shared" si="40"/>
        <v>8.2460000000000004</v>
      </c>
      <c r="AN180" s="2223"/>
      <c r="AO180" s="2223"/>
      <c r="AP180" s="2223"/>
      <c r="AQ180" s="2224"/>
      <c r="AR180" s="20"/>
      <c r="AS180" s="20"/>
      <c r="AT180" s="42"/>
      <c r="AU180" s="42"/>
      <c r="AV180" s="42"/>
      <c r="AW180" s="42"/>
      <c r="AX180" s="42"/>
      <c r="AY180" s="243"/>
      <c r="AZ180" s="243"/>
      <c r="BA180" s="243"/>
      <c r="BB180" s="243"/>
      <c r="BC180" s="243"/>
      <c r="BD180" s="243"/>
      <c r="BE180" s="243"/>
      <c r="BF180" s="243"/>
      <c r="BG180" s="243"/>
      <c r="BH180" s="243"/>
      <c r="BI180" s="243"/>
      <c r="BJ180" s="28"/>
      <c r="BK180" s="28"/>
      <c r="BL180" s="28"/>
      <c r="BM180" s="28"/>
      <c r="BN180" s="28"/>
      <c r="BO180" s="28"/>
      <c r="BP180" s="28"/>
      <c r="BQ180" s="28"/>
      <c r="BR180" s="28"/>
      <c r="BS180" s="28"/>
      <c r="BT180" s="28"/>
      <c r="BU180" s="19"/>
      <c r="BV180" s="8">
        <v>2</v>
      </c>
      <c r="BW180" s="8"/>
      <c r="BX180" s="8"/>
      <c r="BY180" s="8"/>
      <c r="BZ180" s="10"/>
      <c r="CA180" s="247" t="s">
        <v>156</v>
      </c>
      <c r="CB180" s="8"/>
      <c r="CC180" s="8"/>
      <c r="CD180" s="8"/>
      <c r="CE180" s="8"/>
      <c r="CF180" s="8"/>
      <c r="CG180" s="8"/>
      <c r="CH180" s="8"/>
      <c r="CI180" s="8"/>
      <c r="CJ180" s="8"/>
      <c r="CK180" s="8"/>
      <c r="CL180" s="8"/>
      <c r="CM180" s="8"/>
      <c r="CN180" s="8"/>
      <c r="CO180" s="8"/>
      <c r="CP180" s="8"/>
      <c r="CQ180" s="8"/>
      <c r="CR180" s="8"/>
      <c r="CS180" s="8"/>
      <c r="CT180" s="8"/>
      <c r="CU180" s="8"/>
      <c r="CV180" s="8"/>
      <c r="CW180" s="8"/>
      <c r="CX180" s="9"/>
      <c r="CY180" s="127"/>
      <c r="CZ180" s="127"/>
      <c r="DA180" s="11"/>
      <c r="DB180" s="9"/>
      <c r="DC180" s="9"/>
      <c r="DD180" s="9"/>
      <c r="DE180" s="126"/>
      <c r="DF180" s="242"/>
      <c r="DG180" s="124"/>
      <c r="DH180" s="124"/>
      <c r="DI180" s="124"/>
      <c r="DJ180" s="203"/>
      <c r="DK180" s="203"/>
      <c r="DL180" s="203"/>
      <c r="DM180" s="9"/>
      <c r="DN180" s="9"/>
      <c r="DO180" s="101"/>
      <c r="DP180" s="125"/>
      <c r="DQ180" s="9"/>
    </row>
    <row r="181" spans="2:121" ht="12" customHeight="1">
      <c r="B181" s="2326"/>
      <c r="C181" s="2215" t="str">
        <f t="shared" si="45"/>
        <v>d4-30e</v>
      </c>
      <c r="D181" s="2216"/>
      <c r="E181" s="2216"/>
      <c r="F181" s="2216"/>
      <c r="G181" s="2216"/>
      <c r="H181" s="2216"/>
      <c r="I181" s="2216"/>
      <c r="J181" s="2216"/>
      <c r="K181" s="2217"/>
      <c r="L181" s="2218">
        <f t="shared" si="46"/>
        <v>202</v>
      </c>
      <c r="M181" s="2219"/>
      <c r="N181" s="2219"/>
      <c r="O181" s="2219"/>
      <c r="P181" s="2220"/>
      <c r="Q181" s="2221" t="str">
        <f>IF(C181="","",VLOOKUP(C181,[7]建物1802!$E$5:$AL$3275,2,FALSE))</f>
        <v>台</v>
      </c>
      <c r="R181" s="2221"/>
      <c r="S181" s="2221"/>
      <c r="T181" s="2207">
        <f>IF(C181="","",VLOOKUP(C181,[7]建物1802!$E$5:$AL$3275,$AH$163,FALSE))</f>
        <v>22900</v>
      </c>
      <c r="U181" s="2208"/>
      <c r="V181" s="2208"/>
      <c r="W181" s="2208"/>
      <c r="X181" s="2208"/>
      <c r="Y181" s="2208"/>
      <c r="Z181" s="2209">
        <f t="shared" si="39"/>
        <v>4625800</v>
      </c>
      <c r="AA181" s="2210"/>
      <c r="AB181" s="2210"/>
      <c r="AC181" s="2210"/>
      <c r="AD181" s="2210"/>
      <c r="AE181" s="2210"/>
      <c r="AF181" s="2210"/>
      <c r="AG181" s="2211"/>
      <c r="AH181" s="39"/>
      <c r="AI181" s="2212">
        <f>IF(C181="","",VLOOKUP(C181,[7]建物1802!$E$5:$AL$3275,$AH$164,FALSE))</f>
        <v>0.20899999999999999</v>
      </c>
      <c r="AJ181" s="2213"/>
      <c r="AK181" s="2213"/>
      <c r="AL181" s="2214"/>
      <c r="AM181" s="2222">
        <f t="shared" si="40"/>
        <v>42.217999999999996</v>
      </c>
      <c r="AN181" s="2223"/>
      <c r="AO181" s="2223"/>
      <c r="AP181" s="2223"/>
      <c r="AQ181" s="2224"/>
      <c r="AR181" s="20"/>
      <c r="AS181" s="20"/>
      <c r="AT181" s="42"/>
      <c r="AU181" s="42"/>
      <c r="AV181" s="42"/>
      <c r="AW181" s="42"/>
      <c r="AX181" s="42"/>
      <c r="AY181" s="42"/>
      <c r="AZ181" s="248"/>
      <c r="BA181" s="248"/>
      <c r="BB181" s="248"/>
      <c r="BC181" s="248"/>
      <c r="BD181" s="248"/>
      <c r="BE181" s="248"/>
      <c r="BF181" s="248"/>
      <c r="BG181" s="248"/>
      <c r="BH181" s="248"/>
      <c r="BI181" s="28"/>
      <c r="BJ181" s="28"/>
      <c r="BK181" s="28"/>
      <c r="BL181" s="28"/>
      <c r="BM181" s="28"/>
      <c r="BN181" s="28"/>
      <c r="BO181" s="28"/>
      <c r="BP181" s="28"/>
      <c r="BQ181" s="28"/>
      <c r="BR181" s="28"/>
      <c r="BS181" s="28"/>
      <c r="BT181" s="28"/>
      <c r="BU181" s="19"/>
      <c r="BV181" s="8">
        <v>3</v>
      </c>
      <c r="BW181" s="8"/>
      <c r="BX181" s="8"/>
      <c r="BY181" s="8"/>
      <c r="BZ181" s="10"/>
      <c r="CA181" s="247" t="s">
        <v>155</v>
      </c>
      <c r="CB181" s="8"/>
      <c r="CC181" s="8"/>
      <c r="CD181" s="8"/>
      <c r="CE181" s="8"/>
      <c r="CF181" s="8"/>
      <c r="CG181" s="8"/>
      <c r="CH181" s="8"/>
      <c r="CI181" s="8"/>
      <c r="CJ181" s="8"/>
      <c r="CK181" s="8"/>
      <c r="CL181" s="8"/>
      <c r="CM181" s="8"/>
      <c r="CN181" s="8"/>
      <c r="CO181" s="8"/>
      <c r="CP181" s="8"/>
      <c r="CQ181" s="8"/>
      <c r="CR181" s="8"/>
      <c r="CS181" s="8"/>
      <c r="CT181" s="8"/>
      <c r="CU181" s="8"/>
      <c r="CV181" s="8"/>
      <c r="CW181" s="8"/>
      <c r="CX181" s="9"/>
      <c r="CY181" s="127"/>
      <c r="CZ181" s="127"/>
      <c r="DA181" s="11"/>
      <c r="DB181" s="9"/>
      <c r="DC181" s="9"/>
      <c r="DD181" s="9"/>
      <c r="DE181" s="126"/>
      <c r="DF181" s="242"/>
      <c r="DG181" s="124"/>
      <c r="DH181" s="124"/>
      <c r="DI181" s="124"/>
      <c r="DJ181" s="203"/>
      <c r="DK181" s="203"/>
      <c r="DL181" s="203"/>
      <c r="DM181" s="9"/>
      <c r="DN181" s="9"/>
      <c r="DO181" s="101"/>
      <c r="DP181" s="125"/>
      <c r="DQ181" s="9"/>
    </row>
    <row r="182" spans="2:121" ht="12" customHeight="1">
      <c r="B182" s="2326"/>
      <c r="C182" s="2215" t="str">
        <f t="shared" si="45"/>
        <v>d4-13e</v>
      </c>
      <c r="D182" s="2216"/>
      <c r="E182" s="2216"/>
      <c r="F182" s="2216"/>
      <c r="G182" s="2216"/>
      <c r="H182" s="2216"/>
      <c r="I182" s="2216"/>
      <c r="J182" s="2216"/>
      <c r="K182" s="2217"/>
      <c r="L182" s="2218">
        <f t="shared" si="46"/>
        <v>273</v>
      </c>
      <c r="M182" s="2219"/>
      <c r="N182" s="2219"/>
      <c r="O182" s="2219"/>
      <c r="P182" s="2220"/>
      <c r="Q182" s="2221" t="str">
        <f>IF(C182="","",VLOOKUP(C182,[7]建物1802!$E$5:$AL$3275,2,FALSE))</f>
        <v>台</v>
      </c>
      <c r="R182" s="2221"/>
      <c r="S182" s="2221"/>
      <c r="T182" s="2207">
        <f>IF(C182="","",VLOOKUP(C182,[7]建物1802!$E$5:$AL$3275,$AH$163,FALSE))</f>
        <v>12600</v>
      </c>
      <c r="U182" s="2208"/>
      <c r="V182" s="2208"/>
      <c r="W182" s="2208"/>
      <c r="X182" s="2208"/>
      <c r="Y182" s="2208"/>
      <c r="Z182" s="2209">
        <f t="shared" si="39"/>
        <v>3439800</v>
      </c>
      <c r="AA182" s="2210"/>
      <c r="AB182" s="2210"/>
      <c r="AC182" s="2210"/>
      <c r="AD182" s="2210"/>
      <c r="AE182" s="2210"/>
      <c r="AF182" s="2210"/>
      <c r="AG182" s="2211"/>
      <c r="AH182" s="39"/>
      <c r="AI182" s="2212">
        <f>IF(C182="","",VLOOKUP(C182,[7]建物1802!$E$5:$AL$3275,$AH$164,FALSE))</f>
        <v>0.20899999999999999</v>
      </c>
      <c r="AJ182" s="2213"/>
      <c r="AK182" s="2213"/>
      <c r="AL182" s="2214"/>
      <c r="AM182" s="2222">
        <f t="shared" si="40"/>
        <v>57.056999999999995</v>
      </c>
      <c r="AN182" s="2223"/>
      <c r="AO182" s="2223"/>
      <c r="AP182" s="2223"/>
      <c r="AQ182" s="2224"/>
      <c r="AR182" s="20"/>
      <c r="AS182" s="20"/>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19"/>
      <c r="BV182" s="8">
        <v>4</v>
      </c>
      <c r="BW182" s="8"/>
      <c r="BX182" s="8"/>
      <c r="BY182" s="8"/>
      <c r="BZ182" s="10"/>
      <c r="CA182" s="247" t="s">
        <v>154</v>
      </c>
      <c r="CB182" s="8"/>
      <c r="CC182" s="8"/>
      <c r="CD182" s="8"/>
      <c r="CE182" s="8"/>
      <c r="CF182" s="8"/>
      <c r="CG182" s="8"/>
      <c r="CH182" s="8"/>
      <c r="CI182" s="8"/>
      <c r="CJ182" s="8"/>
      <c r="CK182" s="8"/>
      <c r="CL182" s="8"/>
      <c r="CM182" s="8"/>
      <c r="CN182" s="8"/>
      <c r="CO182" s="8"/>
      <c r="CP182" s="8"/>
      <c r="CQ182" s="8"/>
      <c r="CR182" s="8"/>
      <c r="CS182" s="8"/>
      <c r="CT182" s="8"/>
      <c r="CU182" s="8"/>
      <c r="CV182" s="8"/>
      <c r="CW182" s="8"/>
      <c r="CX182" s="9"/>
      <c r="CY182" s="127"/>
      <c r="CZ182" s="127"/>
      <c r="DA182" s="11"/>
      <c r="DB182" s="9"/>
      <c r="DC182" s="9"/>
      <c r="DD182" s="9"/>
      <c r="DE182" s="126"/>
      <c r="DF182" s="242"/>
      <c r="DG182" s="124"/>
      <c r="DH182" s="124"/>
      <c r="DI182" s="124"/>
      <c r="DJ182" s="203"/>
      <c r="DK182" s="203"/>
      <c r="DL182" s="203"/>
      <c r="DM182" s="9"/>
      <c r="DN182" s="9"/>
      <c r="DO182" s="101"/>
      <c r="DP182" s="125"/>
      <c r="DQ182" s="9"/>
    </row>
    <row r="183" spans="2:121" ht="12" customHeight="1">
      <c r="B183" s="2326"/>
      <c r="C183" s="2215" t="str">
        <f t="shared" si="45"/>
        <v>Yd2-Ce</v>
      </c>
      <c r="D183" s="2216"/>
      <c r="E183" s="2216"/>
      <c r="F183" s="2216"/>
      <c r="G183" s="2216"/>
      <c r="H183" s="2216"/>
      <c r="I183" s="2216"/>
      <c r="J183" s="2216"/>
      <c r="K183" s="2217"/>
      <c r="L183" s="2218">
        <f t="shared" si="46"/>
        <v>35</v>
      </c>
      <c r="M183" s="2219"/>
      <c r="N183" s="2219"/>
      <c r="O183" s="2219"/>
      <c r="P183" s="2220"/>
      <c r="Q183" s="2221" t="str">
        <f>IF(C183="","",VLOOKUP(C183,[7]建物1802!$E$5:$AL$3275,2,FALSE))</f>
        <v>台</v>
      </c>
      <c r="R183" s="2221"/>
      <c r="S183" s="2221"/>
      <c r="T183" s="2207">
        <f>IF(C183="","",VLOOKUP(C183,[7]建物1802!$E$5:$AL$3275,$AH$163,FALSE))</f>
        <v>14500</v>
      </c>
      <c r="U183" s="2208"/>
      <c r="V183" s="2208"/>
      <c r="W183" s="2208"/>
      <c r="X183" s="2208"/>
      <c r="Y183" s="2208"/>
      <c r="Z183" s="2209">
        <f t="shared" si="39"/>
        <v>507500</v>
      </c>
      <c r="AA183" s="2210"/>
      <c r="AB183" s="2210"/>
      <c r="AC183" s="2210"/>
      <c r="AD183" s="2210"/>
      <c r="AE183" s="2210"/>
      <c r="AF183" s="2210"/>
      <c r="AG183" s="2211"/>
      <c r="AH183" s="39"/>
      <c r="AI183" s="2212">
        <f>IF(C183="","",VLOOKUP(C183,[7]建物1802!$E$5:$AL$3275,$AH$164,FALSE))</f>
        <v>0.217</v>
      </c>
      <c r="AJ183" s="2213"/>
      <c r="AK183" s="2213"/>
      <c r="AL183" s="2214"/>
      <c r="AM183" s="2222">
        <f t="shared" si="40"/>
        <v>7.5949999999999998</v>
      </c>
      <c r="AN183" s="2223"/>
      <c r="AO183" s="2223"/>
      <c r="AP183" s="2223"/>
      <c r="AQ183" s="2224"/>
      <c r="AR183" s="20"/>
      <c r="AS183" s="20"/>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19"/>
      <c r="BV183" s="8">
        <v>5</v>
      </c>
      <c r="BW183" s="8"/>
      <c r="BX183" s="8"/>
      <c r="BY183" s="8"/>
      <c r="BZ183" s="10"/>
      <c r="CA183" s="247" t="s">
        <v>153</v>
      </c>
      <c r="CB183" s="8"/>
      <c r="CC183" s="8"/>
      <c r="CD183" s="8"/>
      <c r="CE183" s="8"/>
      <c r="CF183" s="8"/>
      <c r="CG183" s="8"/>
      <c r="CH183" s="8"/>
      <c r="CI183" s="8"/>
      <c r="CJ183" s="8"/>
      <c r="CK183" s="8"/>
      <c r="CL183" s="8"/>
      <c r="CM183" s="8"/>
      <c r="CN183" s="8"/>
      <c r="CO183" s="8"/>
      <c r="CP183" s="8"/>
      <c r="CQ183" s="8"/>
      <c r="CR183" s="8"/>
      <c r="CS183" s="8"/>
      <c r="CT183" s="8"/>
      <c r="CU183" s="8"/>
      <c r="CV183" s="8"/>
      <c r="CW183" s="8"/>
      <c r="CX183" s="9"/>
      <c r="CY183" s="127"/>
      <c r="CZ183" s="127"/>
      <c r="DA183" s="11"/>
      <c r="DB183" s="9"/>
      <c r="DC183" s="9"/>
      <c r="DD183" s="9"/>
      <c r="DE183" s="126"/>
      <c r="DF183" s="242"/>
      <c r="DG183" s="124"/>
      <c r="DH183" s="124"/>
      <c r="DI183" s="124"/>
      <c r="DJ183" s="203"/>
      <c r="DK183" s="203"/>
      <c r="DL183" s="203"/>
      <c r="DM183" s="9"/>
      <c r="DN183" s="9"/>
      <c r="DO183" s="101"/>
      <c r="DP183" s="125"/>
      <c r="DQ183" s="9"/>
    </row>
    <row r="184" spans="2:121" ht="12" customHeight="1">
      <c r="B184" s="2326"/>
      <c r="C184" s="2215" t="str">
        <f t="shared" si="45"/>
        <v/>
      </c>
      <c r="D184" s="2216"/>
      <c r="E184" s="2216"/>
      <c r="F184" s="2216"/>
      <c r="G184" s="2216"/>
      <c r="H184" s="2216"/>
      <c r="I184" s="2216"/>
      <c r="J184" s="2216"/>
      <c r="K184" s="2217"/>
      <c r="L184" s="2218" t="str">
        <f t="shared" si="46"/>
        <v/>
      </c>
      <c r="M184" s="2219"/>
      <c r="N184" s="2219"/>
      <c r="O184" s="2219"/>
      <c r="P184" s="2220"/>
      <c r="Q184" s="2221" t="str">
        <f>IF(C184="","",VLOOKUP(C184,[7]建物1802!$E$5:$AL$3275,2,FALSE))</f>
        <v/>
      </c>
      <c r="R184" s="2221"/>
      <c r="S184" s="2221"/>
      <c r="T184" s="2207" t="str">
        <f>IF(C184="","",VLOOKUP(C184,[7]建物1802!$E$5:$AL$3275,$AH$163,FALSE))</f>
        <v/>
      </c>
      <c r="U184" s="2208"/>
      <c r="V184" s="2208"/>
      <c r="W184" s="2208"/>
      <c r="X184" s="2208"/>
      <c r="Y184" s="2208"/>
      <c r="Z184" s="2209" t="str">
        <f t="shared" si="39"/>
        <v/>
      </c>
      <c r="AA184" s="2210"/>
      <c r="AB184" s="2210"/>
      <c r="AC184" s="2210"/>
      <c r="AD184" s="2210"/>
      <c r="AE184" s="2210"/>
      <c r="AF184" s="2210"/>
      <c r="AG184" s="2211"/>
      <c r="AH184" s="39"/>
      <c r="AI184" s="2212" t="str">
        <f>IF(C184="","",VLOOKUP(C184,[7]建物1802!$E$5:$AL$3275,$AH$164,FALSE))</f>
        <v/>
      </c>
      <c r="AJ184" s="2213"/>
      <c r="AK184" s="2213"/>
      <c r="AL184" s="2214"/>
      <c r="AM184" s="2222" t="str">
        <f t="shared" si="40"/>
        <v/>
      </c>
      <c r="AN184" s="2223"/>
      <c r="AO184" s="2223"/>
      <c r="AP184" s="2223"/>
      <c r="AQ184" s="2224"/>
      <c r="AR184" s="20"/>
      <c r="AS184" s="20"/>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19"/>
      <c r="BV184" s="8">
        <v>6</v>
      </c>
      <c r="BW184" s="8"/>
      <c r="BX184" s="8"/>
      <c r="BY184" s="8"/>
      <c r="BZ184" s="10"/>
      <c r="CA184" s="247" t="s">
        <v>152</v>
      </c>
      <c r="CB184" s="8"/>
      <c r="CC184" s="8"/>
      <c r="CD184" s="8"/>
      <c r="CE184" s="8"/>
      <c r="CF184" s="8"/>
      <c r="CG184" s="8"/>
      <c r="CH184" s="8"/>
      <c r="CI184" s="8"/>
      <c r="CJ184" s="8"/>
      <c r="CK184" s="8"/>
      <c r="CL184" s="8"/>
      <c r="CM184" s="8"/>
      <c r="CN184" s="8"/>
      <c r="CO184" s="8"/>
      <c r="CP184" s="8"/>
      <c r="CQ184" s="8"/>
      <c r="CR184" s="8"/>
      <c r="CS184" s="8"/>
      <c r="CT184" s="8"/>
      <c r="CU184" s="8"/>
      <c r="CV184" s="8"/>
      <c r="CW184" s="8"/>
      <c r="CX184" s="9"/>
      <c r="CY184" s="127"/>
      <c r="CZ184" s="127"/>
      <c r="DA184" s="11"/>
      <c r="DB184" s="9"/>
      <c r="DC184" s="9"/>
      <c r="DD184" s="9"/>
      <c r="DE184" s="126"/>
      <c r="DF184" s="242"/>
      <c r="DG184" s="124"/>
      <c r="DH184" s="124"/>
      <c r="DI184" s="124"/>
      <c r="DJ184" s="11"/>
      <c r="DK184" s="11"/>
      <c r="DL184" s="11"/>
      <c r="DM184" s="9"/>
      <c r="DN184" s="9"/>
      <c r="DO184" s="9"/>
      <c r="DP184" s="125"/>
      <c r="DQ184" s="9"/>
    </row>
    <row r="185" spans="2:121" ht="12" customHeight="1">
      <c r="B185" s="2326"/>
      <c r="C185" s="2215" t="str">
        <f t="shared" si="45"/>
        <v/>
      </c>
      <c r="D185" s="2216"/>
      <c r="E185" s="2216"/>
      <c r="F185" s="2216"/>
      <c r="G185" s="2216"/>
      <c r="H185" s="2216"/>
      <c r="I185" s="2216"/>
      <c r="J185" s="2216"/>
      <c r="K185" s="2217"/>
      <c r="L185" s="2218" t="str">
        <f t="shared" si="46"/>
        <v/>
      </c>
      <c r="M185" s="2219"/>
      <c r="N185" s="2219"/>
      <c r="O185" s="2219"/>
      <c r="P185" s="2220"/>
      <c r="Q185" s="2221" t="str">
        <f>IF(C185="","",VLOOKUP(C185,[7]建物1802!$E$5:$AL$3275,2,FALSE))</f>
        <v/>
      </c>
      <c r="R185" s="2221"/>
      <c r="S185" s="2221"/>
      <c r="T185" s="2207" t="str">
        <f>IF(C185="","",VLOOKUP(C185,[7]建物1802!$E$5:$AL$3275,$AH$163,FALSE))</f>
        <v/>
      </c>
      <c r="U185" s="2208"/>
      <c r="V185" s="2208"/>
      <c r="W185" s="2208"/>
      <c r="X185" s="2208"/>
      <c r="Y185" s="2208"/>
      <c r="Z185" s="2209" t="str">
        <f t="shared" si="39"/>
        <v/>
      </c>
      <c r="AA185" s="2210"/>
      <c r="AB185" s="2210"/>
      <c r="AC185" s="2210"/>
      <c r="AD185" s="2210"/>
      <c r="AE185" s="2210"/>
      <c r="AF185" s="2210"/>
      <c r="AG185" s="2211"/>
      <c r="AH185" s="39"/>
      <c r="AI185" s="2212" t="str">
        <f>IF(C185="","",VLOOKUP(C185,[7]建物1802!$E$5:$AL$3275,$AH$164,FALSE))</f>
        <v/>
      </c>
      <c r="AJ185" s="2213"/>
      <c r="AK185" s="2213"/>
      <c r="AL185" s="2214"/>
      <c r="AM185" s="2222" t="str">
        <f t="shared" si="40"/>
        <v/>
      </c>
      <c r="AN185" s="2223"/>
      <c r="AO185" s="2223"/>
      <c r="AP185" s="2223"/>
      <c r="AQ185" s="2224"/>
      <c r="AR185" s="20"/>
      <c r="AS185" s="20"/>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19"/>
      <c r="BV185" s="8">
        <v>7</v>
      </c>
      <c r="BW185" s="8"/>
      <c r="BX185" s="8"/>
      <c r="BY185" s="8"/>
      <c r="BZ185" s="10"/>
      <c r="CA185" s="247" t="s">
        <v>151</v>
      </c>
      <c r="CB185" s="8"/>
      <c r="CC185" s="8"/>
      <c r="CD185" s="8"/>
      <c r="CE185" s="8"/>
      <c r="CF185" s="8"/>
      <c r="CG185" s="8"/>
      <c r="CH185" s="8"/>
      <c r="CI185" s="8"/>
      <c r="CJ185" s="8"/>
      <c r="CK185" s="8"/>
      <c r="CL185" s="8"/>
      <c r="CM185" s="8"/>
      <c r="CN185" s="8"/>
      <c r="CO185" s="8"/>
      <c r="CP185" s="8"/>
      <c r="CQ185" s="8"/>
      <c r="CR185" s="8"/>
      <c r="CS185" s="8"/>
      <c r="CT185" s="8"/>
      <c r="CU185" s="8"/>
      <c r="CV185" s="8"/>
      <c r="CW185" s="8"/>
      <c r="CX185" s="9"/>
      <c r="CY185" s="127"/>
      <c r="CZ185" s="127"/>
      <c r="DA185" s="11"/>
      <c r="DB185" s="9"/>
      <c r="DC185" s="9"/>
      <c r="DD185" s="9"/>
      <c r="DE185" s="126"/>
      <c r="DF185" s="242"/>
      <c r="DG185" s="124"/>
      <c r="DH185" s="124"/>
      <c r="DI185" s="124"/>
      <c r="DJ185" s="11"/>
      <c r="DK185" s="11"/>
      <c r="DL185" s="11"/>
      <c r="DM185" s="9"/>
      <c r="DN185" s="9"/>
      <c r="DO185" s="9"/>
      <c r="DP185" s="125"/>
      <c r="DQ185" s="9"/>
    </row>
    <row r="186" spans="2:121" ht="12" customHeight="1">
      <c r="B186" s="2326"/>
      <c r="C186" s="2215" t="str">
        <f t="shared" si="45"/>
        <v/>
      </c>
      <c r="D186" s="2216"/>
      <c r="E186" s="2216"/>
      <c r="F186" s="2216"/>
      <c r="G186" s="2216"/>
      <c r="H186" s="2216"/>
      <c r="I186" s="2216"/>
      <c r="J186" s="2216"/>
      <c r="K186" s="2217"/>
      <c r="L186" s="2218" t="str">
        <f t="shared" si="46"/>
        <v/>
      </c>
      <c r="M186" s="2219"/>
      <c r="N186" s="2219"/>
      <c r="O186" s="2219"/>
      <c r="P186" s="2220"/>
      <c r="Q186" s="2221" t="str">
        <f>IF(C186="","",VLOOKUP(C186,[7]建物1802!$E$5:$AL$3275,2,FALSE))</f>
        <v/>
      </c>
      <c r="R186" s="2221"/>
      <c r="S186" s="2221"/>
      <c r="T186" s="2207" t="str">
        <f>IF(C186="","",VLOOKUP(C186,[7]建物1802!$E$5:$AL$3275,$AH$163,FALSE))</f>
        <v/>
      </c>
      <c r="U186" s="2208"/>
      <c r="V186" s="2208"/>
      <c r="W186" s="2208"/>
      <c r="X186" s="2208"/>
      <c r="Y186" s="2208"/>
      <c r="Z186" s="2209" t="str">
        <f t="shared" si="39"/>
        <v/>
      </c>
      <c r="AA186" s="2210"/>
      <c r="AB186" s="2210"/>
      <c r="AC186" s="2210"/>
      <c r="AD186" s="2210"/>
      <c r="AE186" s="2210"/>
      <c r="AF186" s="2210"/>
      <c r="AG186" s="2211"/>
      <c r="AH186" s="39"/>
      <c r="AI186" s="2212" t="str">
        <f>IF(C186="","",VLOOKUP(C186,[7]建物1802!$E$5:$AL$3275,$AH$164,FALSE))</f>
        <v/>
      </c>
      <c r="AJ186" s="2213"/>
      <c r="AK186" s="2213"/>
      <c r="AL186" s="2214"/>
      <c r="AM186" s="2222" t="str">
        <f t="shared" si="40"/>
        <v/>
      </c>
      <c r="AN186" s="2223"/>
      <c r="AO186" s="2223"/>
      <c r="AP186" s="2223"/>
      <c r="AQ186" s="2224"/>
      <c r="AR186" s="20"/>
      <c r="AS186" s="20"/>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19"/>
      <c r="BV186" s="8">
        <v>8</v>
      </c>
      <c r="BW186" s="8"/>
      <c r="BX186" s="8"/>
      <c r="BY186" s="8"/>
      <c r="BZ186" s="10"/>
      <c r="CA186" s="247" t="s">
        <v>150</v>
      </c>
      <c r="CB186" s="8"/>
      <c r="CC186" s="8"/>
      <c r="CD186" s="8"/>
      <c r="CE186" s="8"/>
      <c r="CF186" s="8"/>
      <c r="CG186" s="8"/>
      <c r="CH186" s="8"/>
      <c r="CI186" s="8"/>
      <c r="CJ186" s="8"/>
      <c r="CK186" s="8"/>
      <c r="CL186" s="8"/>
      <c r="CM186" s="8"/>
      <c r="CN186" s="8"/>
      <c r="CO186" s="8"/>
      <c r="CP186" s="8"/>
      <c r="CQ186" s="8"/>
      <c r="CR186" s="8"/>
      <c r="CS186" s="8"/>
      <c r="CT186" s="8"/>
      <c r="CU186" s="8"/>
      <c r="CV186" s="8"/>
      <c r="CW186" s="8"/>
      <c r="CX186" s="9"/>
      <c r="CY186" s="127"/>
      <c r="CZ186" s="127"/>
      <c r="DA186" s="11"/>
      <c r="DB186" s="9"/>
      <c r="DC186" s="9"/>
      <c r="DD186" s="9"/>
      <c r="DE186" s="126"/>
      <c r="DF186" s="242"/>
      <c r="DG186" s="124"/>
      <c r="DH186" s="124"/>
      <c r="DI186" s="124"/>
      <c r="DJ186" s="203"/>
      <c r="DK186" s="203"/>
      <c r="DL186" s="203"/>
      <c r="DM186" s="9"/>
      <c r="DN186" s="9"/>
      <c r="DO186" s="101"/>
      <c r="DP186" s="125"/>
      <c r="DQ186" s="9"/>
    </row>
    <row r="187" spans="2:121" ht="12" customHeight="1">
      <c r="B187" s="2326"/>
      <c r="C187" s="2215" t="str">
        <f t="shared" si="45"/>
        <v/>
      </c>
      <c r="D187" s="2216"/>
      <c r="E187" s="2216"/>
      <c r="F187" s="2216"/>
      <c r="G187" s="2216"/>
      <c r="H187" s="2216"/>
      <c r="I187" s="2216"/>
      <c r="J187" s="2216"/>
      <c r="K187" s="2217"/>
      <c r="L187" s="2218" t="str">
        <f t="shared" si="46"/>
        <v/>
      </c>
      <c r="M187" s="2219"/>
      <c r="N187" s="2219"/>
      <c r="O187" s="2219"/>
      <c r="P187" s="2220"/>
      <c r="Q187" s="2221" t="str">
        <f>IF(C187="","",VLOOKUP(C187,[7]建物1802!$E$5:$AL$3275,2,FALSE))</f>
        <v/>
      </c>
      <c r="R187" s="2221"/>
      <c r="S187" s="2221"/>
      <c r="T187" s="2207" t="str">
        <f>IF(C187="","",VLOOKUP(C187,[7]建物1802!$E$5:$AL$3275,$AH$163,FALSE))</f>
        <v/>
      </c>
      <c r="U187" s="2208"/>
      <c r="V187" s="2208"/>
      <c r="W187" s="2208"/>
      <c r="X187" s="2208"/>
      <c r="Y187" s="2208"/>
      <c r="Z187" s="2209" t="str">
        <f t="shared" si="39"/>
        <v/>
      </c>
      <c r="AA187" s="2210"/>
      <c r="AB187" s="2210"/>
      <c r="AC187" s="2210"/>
      <c r="AD187" s="2210"/>
      <c r="AE187" s="2210"/>
      <c r="AF187" s="2210"/>
      <c r="AG187" s="2211"/>
      <c r="AH187" s="39"/>
      <c r="AI187" s="2212" t="str">
        <f>IF(C187="","",VLOOKUP(C187,[7]建物1802!$E$5:$AL$3275,$AH$164,FALSE))</f>
        <v/>
      </c>
      <c r="AJ187" s="2213"/>
      <c r="AK187" s="2213"/>
      <c r="AL187" s="2214"/>
      <c r="AM187" s="2222" t="str">
        <f t="shared" si="40"/>
        <v/>
      </c>
      <c r="AN187" s="2223"/>
      <c r="AO187" s="2223"/>
      <c r="AP187" s="2223"/>
      <c r="AQ187" s="2224"/>
      <c r="AR187" s="20"/>
      <c r="AS187" s="20"/>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19"/>
      <c r="BV187" s="8">
        <v>9</v>
      </c>
      <c r="BW187" s="8"/>
      <c r="BX187" s="8"/>
      <c r="BY187" s="8"/>
      <c r="BZ187" s="10"/>
      <c r="CA187" s="247" t="s">
        <v>149</v>
      </c>
      <c r="CB187" s="8"/>
      <c r="CC187" s="8"/>
      <c r="CD187" s="8"/>
      <c r="CE187" s="8"/>
      <c r="CF187" s="8"/>
      <c r="CG187" s="8"/>
      <c r="CH187" s="8"/>
      <c r="CI187" s="8"/>
      <c r="CJ187" s="8"/>
      <c r="CK187" s="8"/>
      <c r="CL187" s="8"/>
      <c r="CM187" s="8"/>
      <c r="CN187" s="8"/>
      <c r="CO187" s="8"/>
      <c r="CP187" s="8"/>
      <c r="CQ187" s="8"/>
      <c r="CR187" s="8"/>
      <c r="CS187" s="8"/>
      <c r="CT187" s="8"/>
      <c r="CU187" s="8"/>
      <c r="CV187" s="8"/>
      <c r="CW187" s="8"/>
      <c r="CX187" s="9"/>
      <c r="CY187" s="127"/>
      <c r="CZ187" s="127"/>
      <c r="DA187" s="11"/>
      <c r="DB187" s="9"/>
      <c r="DC187" s="9"/>
      <c r="DD187" s="9"/>
      <c r="DE187" s="126"/>
      <c r="DF187" s="242"/>
      <c r="DG187" s="124"/>
      <c r="DH187" s="124"/>
      <c r="DI187" s="124"/>
      <c r="DJ187" s="203"/>
      <c r="DK187" s="203"/>
      <c r="DL187" s="203"/>
      <c r="DM187" s="9"/>
      <c r="DN187" s="9"/>
      <c r="DO187" s="101"/>
      <c r="DP187" s="125"/>
      <c r="DQ187" s="9"/>
    </row>
    <row r="188" spans="2:121" ht="12" customHeight="1">
      <c r="B188" s="2326"/>
      <c r="C188" s="2215" t="str">
        <f t="shared" si="45"/>
        <v/>
      </c>
      <c r="D188" s="2216"/>
      <c r="E188" s="2216"/>
      <c r="F188" s="2216"/>
      <c r="G188" s="2216"/>
      <c r="H188" s="2216"/>
      <c r="I188" s="2216"/>
      <c r="J188" s="2216"/>
      <c r="K188" s="2217"/>
      <c r="L188" s="2218" t="str">
        <f t="shared" si="46"/>
        <v/>
      </c>
      <c r="M188" s="2219"/>
      <c r="N188" s="2219"/>
      <c r="O188" s="2219"/>
      <c r="P188" s="2220"/>
      <c r="Q188" s="2221" t="str">
        <f>IF(C188="","",VLOOKUP(C188,[7]建物1802!$E$5:$AL$3275,2,FALSE))</f>
        <v/>
      </c>
      <c r="R188" s="2221"/>
      <c r="S188" s="2221"/>
      <c r="T188" s="2207" t="str">
        <f>IF(C188="","",VLOOKUP(C188,[7]建物1802!$E$5:$AL$3275,$AH$163,FALSE))</f>
        <v/>
      </c>
      <c r="U188" s="2208"/>
      <c r="V188" s="2208"/>
      <c r="W188" s="2208"/>
      <c r="X188" s="2208"/>
      <c r="Y188" s="2208"/>
      <c r="Z188" s="2209" t="str">
        <f t="shared" si="39"/>
        <v/>
      </c>
      <c r="AA188" s="2210"/>
      <c r="AB188" s="2210"/>
      <c r="AC188" s="2210"/>
      <c r="AD188" s="2210"/>
      <c r="AE188" s="2210"/>
      <c r="AF188" s="2210"/>
      <c r="AG188" s="2211"/>
      <c r="AH188" s="39"/>
      <c r="AI188" s="2212" t="str">
        <f>IF(C188="","",VLOOKUP(C188,[7]建物1802!$E$5:$AL$3275,$AH$164,FALSE))</f>
        <v/>
      </c>
      <c r="AJ188" s="2213"/>
      <c r="AK188" s="2213"/>
      <c r="AL188" s="2214"/>
      <c r="AM188" s="2222" t="str">
        <f t="shared" si="40"/>
        <v/>
      </c>
      <c r="AN188" s="2223"/>
      <c r="AO188" s="2223"/>
      <c r="AP188" s="2223"/>
      <c r="AQ188" s="2224"/>
      <c r="AR188" s="20"/>
      <c r="AS188" s="20"/>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19"/>
      <c r="BV188" s="8">
        <v>10</v>
      </c>
      <c r="BW188" s="8"/>
      <c r="BX188" s="8"/>
      <c r="BY188" s="8"/>
      <c r="BZ188" s="10"/>
      <c r="CA188" s="247" t="s">
        <v>148</v>
      </c>
      <c r="CB188" s="8"/>
      <c r="CC188" s="8"/>
      <c r="CD188" s="8"/>
      <c r="CE188" s="8"/>
      <c r="CF188" s="8"/>
      <c r="CG188" s="8"/>
      <c r="CH188" s="8"/>
      <c r="CI188" s="8"/>
      <c r="CJ188" s="8"/>
      <c r="CK188" s="8"/>
      <c r="CL188" s="8"/>
      <c r="CM188" s="8"/>
      <c r="CN188" s="8"/>
      <c r="CO188" s="8"/>
      <c r="CP188" s="8"/>
      <c r="CQ188" s="8"/>
      <c r="CR188" s="8"/>
      <c r="CS188" s="8"/>
      <c r="CT188" s="8"/>
      <c r="CU188" s="8"/>
      <c r="CV188" s="8"/>
      <c r="CW188" s="8"/>
      <c r="CX188" s="9"/>
      <c r="CY188" s="127"/>
      <c r="CZ188" s="127"/>
      <c r="DA188" s="11"/>
      <c r="DB188" s="9"/>
      <c r="DC188" s="9"/>
      <c r="DD188" s="9"/>
      <c r="DE188" s="126"/>
      <c r="DF188" s="242"/>
      <c r="DG188" s="124"/>
      <c r="DH188" s="124"/>
      <c r="DI188" s="124"/>
      <c r="DJ188" s="203"/>
      <c r="DK188" s="203"/>
      <c r="DL188" s="203"/>
      <c r="DM188" s="9"/>
      <c r="DN188" s="9"/>
      <c r="DO188" s="101"/>
      <c r="DP188" s="125"/>
      <c r="DQ188" s="9"/>
    </row>
    <row r="189" spans="2:121" ht="12" customHeight="1">
      <c r="B189" s="2326"/>
      <c r="C189" s="2215" t="str">
        <f t="shared" si="45"/>
        <v/>
      </c>
      <c r="D189" s="2216"/>
      <c r="E189" s="2216"/>
      <c r="F189" s="2216"/>
      <c r="G189" s="2216"/>
      <c r="H189" s="2216"/>
      <c r="I189" s="2216"/>
      <c r="J189" s="2216"/>
      <c r="K189" s="2217"/>
      <c r="L189" s="2218" t="str">
        <f t="shared" si="46"/>
        <v/>
      </c>
      <c r="M189" s="2219"/>
      <c r="N189" s="2219"/>
      <c r="O189" s="2219"/>
      <c r="P189" s="2220"/>
      <c r="Q189" s="2221" t="str">
        <f>IF(C189="","",VLOOKUP(C189,[7]建物1802!$E$5:$AL$3275,2,FALSE))</f>
        <v/>
      </c>
      <c r="R189" s="2221"/>
      <c r="S189" s="2221"/>
      <c r="T189" s="2207" t="str">
        <f>IF(C189="","",VLOOKUP(C189,[7]建物1802!$E$5:$AL$3275,$AH$163,FALSE))</f>
        <v/>
      </c>
      <c r="U189" s="2208"/>
      <c r="V189" s="2208"/>
      <c r="W189" s="2208"/>
      <c r="X189" s="2208"/>
      <c r="Y189" s="2208"/>
      <c r="Z189" s="2209" t="str">
        <f t="shared" si="39"/>
        <v/>
      </c>
      <c r="AA189" s="2210"/>
      <c r="AB189" s="2210"/>
      <c r="AC189" s="2210"/>
      <c r="AD189" s="2210"/>
      <c r="AE189" s="2210"/>
      <c r="AF189" s="2210"/>
      <c r="AG189" s="2211"/>
      <c r="AH189" s="39"/>
      <c r="AI189" s="2212" t="str">
        <f>IF(C189="","",VLOOKUP(C189,[7]建物1802!$E$5:$AL$3275,$AH$164,FALSE))</f>
        <v/>
      </c>
      <c r="AJ189" s="2213"/>
      <c r="AK189" s="2213"/>
      <c r="AL189" s="2214"/>
      <c r="AM189" s="2222" t="str">
        <f t="shared" si="40"/>
        <v/>
      </c>
      <c r="AN189" s="2223"/>
      <c r="AO189" s="2223"/>
      <c r="AP189" s="2223"/>
      <c r="AQ189" s="2224"/>
      <c r="AR189" s="20"/>
      <c r="AS189" s="20"/>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19"/>
      <c r="BV189" s="8">
        <v>11</v>
      </c>
      <c r="BW189" s="8"/>
      <c r="BX189" s="8"/>
      <c r="BY189" s="8"/>
      <c r="BZ189" s="10"/>
      <c r="CA189" s="247" t="s">
        <v>147</v>
      </c>
      <c r="CB189" s="8"/>
      <c r="CC189" s="8"/>
      <c r="CD189" s="8"/>
      <c r="CE189" s="8"/>
      <c r="CF189" s="8"/>
      <c r="CG189" s="8"/>
      <c r="CH189" s="8"/>
      <c r="CI189" s="8"/>
      <c r="CJ189" s="8"/>
      <c r="CK189" s="8"/>
      <c r="CL189" s="8"/>
      <c r="CM189" s="8"/>
      <c r="CN189" s="8"/>
      <c r="CO189" s="8"/>
      <c r="CP189" s="8"/>
      <c r="CQ189" s="8"/>
      <c r="CR189" s="8"/>
      <c r="CS189" s="8"/>
      <c r="CT189" s="8"/>
      <c r="CU189" s="8"/>
      <c r="CV189" s="8"/>
      <c r="CW189" s="8"/>
      <c r="CX189" s="9"/>
      <c r="CY189" s="127"/>
      <c r="CZ189" s="127"/>
      <c r="DA189" s="11"/>
      <c r="DB189" s="9"/>
      <c r="DC189" s="9"/>
      <c r="DD189" s="9"/>
      <c r="DE189" s="126"/>
      <c r="DF189" s="242"/>
      <c r="DG189" s="124"/>
      <c r="DH189" s="124"/>
      <c r="DI189" s="124"/>
      <c r="DJ189" s="203"/>
      <c r="DK189" s="203"/>
      <c r="DL189" s="203"/>
      <c r="DM189" s="9"/>
      <c r="DN189" s="9"/>
      <c r="DO189" s="101"/>
      <c r="DP189" s="125"/>
      <c r="DQ189" s="9"/>
    </row>
    <row r="190" spans="2:121" ht="12" customHeight="1">
      <c r="B190" s="2326"/>
      <c r="C190" s="2215" t="str">
        <f t="shared" si="45"/>
        <v/>
      </c>
      <c r="D190" s="2216"/>
      <c r="E190" s="2216"/>
      <c r="F190" s="2216"/>
      <c r="G190" s="2216"/>
      <c r="H190" s="2216"/>
      <c r="I190" s="2216"/>
      <c r="J190" s="2216"/>
      <c r="K190" s="2217"/>
      <c r="L190" s="2218" t="str">
        <f t="shared" si="46"/>
        <v/>
      </c>
      <c r="M190" s="2219"/>
      <c r="N190" s="2219"/>
      <c r="O190" s="2219"/>
      <c r="P190" s="2220"/>
      <c r="Q190" s="2221" t="str">
        <f>IF(C190="","",VLOOKUP(C190,[7]建物1802!$E$5:$AL$3275,2,FALSE))</f>
        <v/>
      </c>
      <c r="R190" s="2221"/>
      <c r="S190" s="2221"/>
      <c r="T190" s="2207" t="str">
        <f>IF(C190="","",VLOOKUP(C190,[7]建物1802!$E$5:$AL$3275,$AH$163,FALSE))</f>
        <v/>
      </c>
      <c r="U190" s="2208"/>
      <c r="V190" s="2208"/>
      <c r="W190" s="2208"/>
      <c r="X190" s="2208"/>
      <c r="Y190" s="2208"/>
      <c r="Z190" s="2209" t="str">
        <f t="shared" si="39"/>
        <v/>
      </c>
      <c r="AA190" s="2210"/>
      <c r="AB190" s="2210"/>
      <c r="AC190" s="2210"/>
      <c r="AD190" s="2210"/>
      <c r="AE190" s="2210"/>
      <c r="AF190" s="2210"/>
      <c r="AG190" s="2211"/>
      <c r="AH190" s="39"/>
      <c r="AI190" s="2212" t="str">
        <f>IF(C190="","",VLOOKUP(C190,[7]建物1802!$E$5:$AL$3275,$AH$164,FALSE))</f>
        <v/>
      </c>
      <c r="AJ190" s="2213"/>
      <c r="AK190" s="2213"/>
      <c r="AL190" s="2214"/>
      <c r="AM190" s="2222" t="str">
        <f t="shared" si="40"/>
        <v/>
      </c>
      <c r="AN190" s="2223"/>
      <c r="AO190" s="2223"/>
      <c r="AP190" s="2223"/>
      <c r="AQ190" s="2224"/>
      <c r="AR190" s="20"/>
      <c r="AS190" s="20"/>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19"/>
      <c r="BV190" s="8">
        <v>12</v>
      </c>
      <c r="BW190" s="8"/>
      <c r="BX190" s="8"/>
      <c r="BY190" s="8"/>
      <c r="BZ190" s="10"/>
      <c r="CA190" s="247" t="s">
        <v>146</v>
      </c>
      <c r="CB190" s="8"/>
      <c r="CC190" s="8"/>
      <c r="CD190" s="8"/>
      <c r="CE190" s="8"/>
      <c r="CF190" s="8"/>
      <c r="CG190" s="8"/>
      <c r="CH190" s="8"/>
      <c r="CI190" s="8"/>
      <c r="CJ190" s="8"/>
      <c r="CK190" s="8"/>
      <c r="CL190" s="8"/>
      <c r="CM190" s="8"/>
      <c r="CN190" s="8"/>
      <c r="CO190" s="8"/>
      <c r="CP190" s="8"/>
      <c r="CQ190" s="8"/>
      <c r="CR190" s="8"/>
      <c r="CS190" s="8"/>
      <c r="CT190" s="8"/>
      <c r="CU190" s="8"/>
      <c r="CV190" s="8"/>
      <c r="CW190" s="8"/>
      <c r="CX190" s="9"/>
      <c r="CY190" s="127"/>
      <c r="CZ190" s="127"/>
      <c r="DA190" s="11"/>
      <c r="DB190" s="9"/>
      <c r="DC190" s="9"/>
      <c r="DD190" s="9"/>
      <c r="DE190" s="126"/>
      <c r="DF190" s="242"/>
      <c r="DG190" s="124"/>
      <c r="DH190" s="124"/>
      <c r="DI190" s="124"/>
      <c r="DJ190" s="203"/>
      <c r="DK190" s="203"/>
      <c r="DL190" s="203"/>
      <c r="DM190" s="9"/>
      <c r="DN190" s="9"/>
      <c r="DO190" s="101"/>
      <c r="DP190" s="125"/>
      <c r="DQ190" s="9"/>
    </row>
    <row r="191" spans="2:121" ht="12" customHeight="1">
      <c r="B191" s="23"/>
      <c r="C191" s="2215" t="str">
        <f t="shared" si="45"/>
        <v/>
      </c>
      <c r="D191" s="2216"/>
      <c r="E191" s="2216"/>
      <c r="F191" s="2216"/>
      <c r="G191" s="2216"/>
      <c r="H191" s="2216"/>
      <c r="I191" s="2216"/>
      <c r="J191" s="2216"/>
      <c r="K191" s="2217"/>
      <c r="L191" s="2218" t="str">
        <f t="shared" si="46"/>
        <v/>
      </c>
      <c r="M191" s="2219"/>
      <c r="N191" s="2219"/>
      <c r="O191" s="2219"/>
      <c r="P191" s="2220"/>
      <c r="Q191" s="2221" t="str">
        <f>IF(C191="","",VLOOKUP(C191,[7]建物1802!$E$5:$AL$3275,2,FALSE))</f>
        <v/>
      </c>
      <c r="R191" s="2221"/>
      <c r="S191" s="2221"/>
      <c r="T191" s="2207" t="str">
        <f>IF(C191="","",VLOOKUP(C191,[7]建物1802!$E$5:$AL$3275,$AH$163,FALSE))</f>
        <v/>
      </c>
      <c r="U191" s="2208"/>
      <c r="V191" s="2208"/>
      <c r="W191" s="2208"/>
      <c r="X191" s="2208"/>
      <c r="Y191" s="2208"/>
      <c r="Z191" s="2209" t="str">
        <f t="shared" si="39"/>
        <v/>
      </c>
      <c r="AA191" s="2210"/>
      <c r="AB191" s="2210"/>
      <c r="AC191" s="2210"/>
      <c r="AD191" s="2210"/>
      <c r="AE191" s="2210"/>
      <c r="AF191" s="2210"/>
      <c r="AG191" s="2211"/>
      <c r="AH191" s="39"/>
      <c r="AI191" s="2212" t="str">
        <f>IF(C191="","",VLOOKUP(C191,[7]建物1802!$E$5:$AL$3275,$AH$164,FALSE))</f>
        <v/>
      </c>
      <c r="AJ191" s="2213"/>
      <c r="AK191" s="2213"/>
      <c r="AL191" s="2214"/>
      <c r="AM191" s="2222" t="str">
        <f t="shared" si="40"/>
        <v/>
      </c>
      <c r="AN191" s="2223"/>
      <c r="AO191" s="2223"/>
      <c r="AP191" s="2223"/>
      <c r="AQ191" s="2224"/>
      <c r="AR191" s="20"/>
      <c r="AS191" s="20"/>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19"/>
      <c r="BV191" s="8">
        <v>13</v>
      </c>
      <c r="BW191" s="8"/>
      <c r="BX191" s="8"/>
      <c r="BY191" s="8"/>
      <c r="BZ191" s="10"/>
      <c r="CA191" s="247" t="s">
        <v>145</v>
      </c>
      <c r="CB191" s="8"/>
      <c r="CC191" s="8"/>
      <c r="CD191" s="8"/>
      <c r="CE191" s="8"/>
      <c r="CF191" s="8"/>
      <c r="CG191" s="8"/>
      <c r="CH191" s="8"/>
      <c r="CI191" s="8"/>
      <c r="CJ191" s="8"/>
      <c r="CK191" s="8"/>
      <c r="CL191" s="8"/>
      <c r="CM191" s="8"/>
      <c r="CN191" s="8"/>
      <c r="CO191" s="8"/>
      <c r="CP191" s="8"/>
      <c r="CQ191" s="8"/>
      <c r="CR191" s="8"/>
      <c r="CS191" s="8"/>
      <c r="CT191" s="8"/>
      <c r="CU191" s="8"/>
      <c r="CV191" s="8"/>
      <c r="CW191" s="8"/>
      <c r="CX191" s="9"/>
      <c r="CY191" s="127"/>
      <c r="CZ191" s="127"/>
      <c r="DA191" s="11"/>
      <c r="DB191" s="9"/>
      <c r="DC191" s="9"/>
      <c r="DD191" s="9"/>
      <c r="DE191" s="126"/>
      <c r="DF191" s="242"/>
      <c r="DG191" s="124"/>
      <c r="DH191" s="124"/>
      <c r="DI191" s="124"/>
      <c r="DJ191" s="203"/>
      <c r="DK191" s="203"/>
      <c r="DL191" s="203"/>
      <c r="DM191" s="9"/>
      <c r="DN191" s="9"/>
      <c r="DO191" s="101"/>
      <c r="DP191" s="125"/>
      <c r="DQ191" s="9"/>
    </row>
    <row r="192" spans="2:121" ht="12" customHeight="1">
      <c r="B192" s="23"/>
      <c r="C192" s="2215" t="str">
        <f t="shared" si="45"/>
        <v/>
      </c>
      <c r="D192" s="2216"/>
      <c r="E192" s="2216"/>
      <c r="F192" s="2216"/>
      <c r="G192" s="2216"/>
      <c r="H192" s="2216"/>
      <c r="I192" s="2216"/>
      <c r="J192" s="2216"/>
      <c r="K192" s="2217"/>
      <c r="L192" s="2218" t="str">
        <f t="shared" si="46"/>
        <v/>
      </c>
      <c r="M192" s="2219"/>
      <c r="N192" s="2219"/>
      <c r="O192" s="2219"/>
      <c r="P192" s="2220"/>
      <c r="Q192" s="2221" t="str">
        <f>IF(C192="","",VLOOKUP(C192,[7]建物1802!$E$5:$AL$3275,2,FALSE))</f>
        <v/>
      </c>
      <c r="R192" s="2221"/>
      <c r="S192" s="2221"/>
      <c r="T192" s="2207" t="str">
        <f>IF(C192="","",VLOOKUP(C192,[7]建物1802!$E$5:$AL$3275,$AH$163,FALSE))</f>
        <v/>
      </c>
      <c r="U192" s="2208"/>
      <c r="V192" s="2208"/>
      <c r="W192" s="2208"/>
      <c r="X192" s="2208"/>
      <c r="Y192" s="2208"/>
      <c r="Z192" s="2209" t="str">
        <f t="shared" si="39"/>
        <v/>
      </c>
      <c r="AA192" s="2210"/>
      <c r="AB192" s="2210"/>
      <c r="AC192" s="2210"/>
      <c r="AD192" s="2210"/>
      <c r="AE192" s="2210"/>
      <c r="AF192" s="2210"/>
      <c r="AG192" s="2211"/>
      <c r="AH192" s="39"/>
      <c r="AI192" s="2212" t="str">
        <f>IF(C192="","",VLOOKUP(C192,[7]建物1802!$E$5:$AL$3275,$AH$164,FALSE))</f>
        <v/>
      </c>
      <c r="AJ192" s="2213"/>
      <c r="AK192" s="2213"/>
      <c r="AL192" s="2214"/>
      <c r="AM192" s="2222" t="str">
        <f t="shared" si="40"/>
        <v/>
      </c>
      <c r="AN192" s="2223"/>
      <c r="AO192" s="2223"/>
      <c r="AP192" s="2223"/>
      <c r="AQ192" s="2224"/>
      <c r="AR192" s="20"/>
      <c r="AS192" s="20"/>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19"/>
      <c r="BV192" s="8">
        <v>14</v>
      </c>
      <c r="BW192" s="8"/>
      <c r="BX192" s="8"/>
      <c r="BY192" s="8"/>
      <c r="BZ192" s="10"/>
      <c r="CA192" s="247" t="s">
        <v>144</v>
      </c>
      <c r="CB192" s="8"/>
      <c r="CC192" s="8"/>
      <c r="CD192" s="8"/>
      <c r="CE192" s="8"/>
      <c r="CF192" s="8"/>
      <c r="CG192" s="8"/>
      <c r="CH192" s="8"/>
      <c r="CI192" s="8"/>
      <c r="CJ192" s="8"/>
      <c r="CK192" s="8"/>
      <c r="CL192" s="8"/>
      <c r="CM192" s="8"/>
      <c r="CN192" s="8"/>
      <c r="CO192" s="8"/>
      <c r="CP192" s="8"/>
      <c r="CQ192" s="8"/>
      <c r="CR192" s="8"/>
      <c r="CS192" s="8"/>
      <c r="CT192" s="8"/>
      <c r="CU192" s="8"/>
      <c r="CV192" s="8"/>
      <c r="CW192" s="8"/>
      <c r="CX192" s="9"/>
      <c r="CY192" s="127"/>
      <c r="CZ192" s="127"/>
      <c r="DA192" s="11"/>
      <c r="DB192" s="9"/>
      <c r="DC192" s="9"/>
      <c r="DD192" s="9"/>
      <c r="DE192" s="126"/>
      <c r="DF192" s="242"/>
      <c r="DG192" s="124"/>
      <c r="DH192" s="124"/>
      <c r="DI192" s="124"/>
      <c r="DJ192" s="203"/>
      <c r="DK192" s="203"/>
      <c r="DL192" s="203"/>
      <c r="DM192" s="9"/>
      <c r="DN192" s="9"/>
      <c r="DO192" s="101"/>
      <c r="DP192" s="125"/>
      <c r="DQ192" s="9"/>
    </row>
    <row r="193" spans="2:121" ht="12" customHeight="1">
      <c r="B193" s="23"/>
      <c r="C193" s="2215" t="str">
        <f t="shared" si="45"/>
        <v/>
      </c>
      <c r="D193" s="2216"/>
      <c r="E193" s="2216"/>
      <c r="F193" s="2216"/>
      <c r="G193" s="2216"/>
      <c r="H193" s="2216"/>
      <c r="I193" s="2216"/>
      <c r="J193" s="2216"/>
      <c r="K193" s="2217"/>
      <c r="L193" s="2218" t="str">
        <f t="shared" si="46"/>
        <v/>
      </c>
      <c r="M193" s="2219"/>
      <c r="N193" s="2219"/>
      <c r="O193" s="2219"/>
      <c r="P193" s="2220"/>
      <c r="Q193" s="2221" t="str">
        <f>IF(C193="","",VLOOKUP(C193,[7]建物1802!$E$5:$AL$3275,2,FALSE))</f>
        <v/>
      </c>
      <c r="R193" s="2221"/>
      <c r="S193" s="2221"/>
      <c r="T193" s="2207" t="str">
        <f>IF(C193="","",VLOOKUP(C193,[7]建物1802!$E$5:$AL$3275,$AH$163,FALSE))</f>
        <v/>
      </c>
      <c r="U193" s="2208"/>
      <c r="V193" s="2208"/>
      <c r="W193" s="2208"/>
      <c r="X193" s="2208"/>
      <c r="Y193" s="2208"/>
      <c r="Z193" s="2209" t="str">
        <f t="shared" si="39"/>
        <v/>
      </c>
      <c r="AA193" s="2210"/>
      <c r="AB193" s="2210"/>
      <c r="AC193" s="2210"/>
      <c r="AD193" s="2210"/>
      <c r="AE193" s="2210"/>
      <c r="AF193" s="2210"/>
      <c r="AG193" s="2211"/>
      <c r="AH193" s="39"/>
      <c r="AI193" s="2212" t="str">
        <f>IF(C193="","",VLOOKUP(C193,[7]建物1802!$E$5:$AL$3275,$AH$164,FALSE))</f>
        <v/>
      </c>
      <c r="AJ193" s="2213"/>
      <c r="AK193" s="2213"/>
      <c r="AL193" s="2214"/>
      <c r="AM193" s="2222" t="str">
        <f t="shared" si="40"/>
        <v/>
      </c>
      <c r="AN193" s="2223"/>
      <c r="AO193" s="2223"/>
      <c r="AP193" s="2223"/>
      <c r="AQ193" s="2224"/>
      <c r="AR193" s="20"/>
      <c r="AS193" s="20"/>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19"/>
      <c r="BV193" s="8">
        <v>15</v>
      </c>
      <c r="BW193" s="8"/>
      <c r="BX193" s="8"/>
      <c r="BY193" s="8"/>
      <c r="BZ193" s="10"/>
      <c r="CA193" s="247" t="s">
        <v>143</v>
      </c>
      <c r="CB193" s="8"/>
      <c r="CC193" s="8"/>
      <c r="CD193" s="8"/>
      <c r="CE193" s="8"/>
      <c r="CF193" s="8"/>
      <c r="CG193" s="8"/>
      <c r="CH193" s="8"/>
      <c r="CI193" s="8"/>
      <c r="CJ193" s="8"/>
      <c r="CK193" s="8"/>
      <c r="CL193" s="8"/>
      <c r="CM193" s="8"/>
      <c r="CN193" s="8"/>
      <c r="CO193" s="8"/>
      <c r="CP193" s="8"/>
      <c r="CQ193" s="8"/>
      <c r="CR193" s="8"/>
      <c r="CS193" s="8"/>
      <c r="CT193" s="8"/>
      <c r="CU193" s="8"/>
      <c r="CV193" s="8"/>
      <c r="CW193" s="8"/>
      <c r="CX193" s="9"/>
      <c r="CY193" s="127"/>
      <c r="CZ193" s="127"/>
      <c r="DA193" s="11"/>
      <c r="DB193" s="9"/>
      <c r="DC193" s="9"/>
      <c r="DD193" s="9"/>
      <c r="DE193" s="126"/>
      <c r="DF193" s="242"/>
      <c r="DG193" s="124"/>
      <c r="DH193" s="124"/>
      <c r="DI193" s="124"/>
      <c r="DJ193" s="203"/>
      <c r="DK193" s="203"/>
      <c r="DL193" s="203"/>
      <c r="DM193" s="9"/>
      <c r="DN193" s="9"/>
      <c r="DO193" s="101"/>
      <c r="DP193" s="125"/>
      <c r="DQ193" s="9"/>
    </row>
    <row r="194" spans="2:121" ht="12" customHeight="1">
      <c r="B194" s="23"/>
      <c r="C194" s="28"/>
      <c r="D194" s="28"/>
      <c r="E194" s="28"/>
      <c r="F194" s="28"/>
      <c r="G194" s="28"/>
      <c r="H194" s="28"/>
      <c r="I194" s="28"/>
      <c r="J194" s="28"/>
      <c r="K194" s="28"/>
      <c r="L194" s="246"/>
      <c r="M194" s="246"/>
      <c r="N194" s="246"/>
      <c r="O194" s="246"/>
      <c r="P194" s="246"/>
      <c r="Q194" s="246"/>
      <c r="R194" s="245"/>
      <c r="S194" s="245"/>
      <c r="T194" s="245"/>
      <c r="U194" s="245"/>
      <c r="V194" s="245"/>
      <c r="W194" s="28"/>
      <c r="X194" s="28"/>
      <c r="Y194" s="28"/>
      <c r="Z194" s="29"/>
      <c r="AA194" s="29"/>
      <c r="AB194" s="29"/>
      <c r="AC194" s="29"/>
      <c r="AD194" s="29"/>
      <c r="AE194" s="29"/>
      <c r="AF194" s="29"/>
      <c r="AG194" s="29"/>
      <c r="AH194" s="20"/>
      <c r="AI194" s="244"/>
      <c r="AJ194" s="244"/>
      <c r="AK194" s="244"/>
      <c r="AL194" s="244"/>
      <c r="AM194" s="243"/>
      <c r="AN194" s="243"/>
      <c r="AO194" s="243"/>
      <c r="AP194" s="243"/>
      <c r="AQ194" s="243"/>
      <c r="AR194" s="20"/>
      <c r="AS194" s="20"/>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19"/>
      <c r="BV194" s="8"/>
      <c r="BW194" s="8"/>
      <c r="BX194" s="8"/>
      <c r="BY194" s="8"/>
      <c r="BZ194" s="10"/>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9"/>
      <c r="CY194" s="127"/>
      <c r="CZ194" s="127"/>
      <c r="DA194" s="11"/>
      <c r="DB194" s="9"/>
      <c r="DC194" s="9"/>
      <c r="DD194" s="9"/>
      <c r="DE194" s="126"/>
      <c r="DF194" s="242"/>
      <c r="DG194" s="124"/>
      <c r="DH194" s="124"/>
      <c r="DI194" s="124"/>
      <c r="DJ194" s="11"/>
      <c r="DK194" s="11"/>
      <c r="DL194" s="11"/>
      <c r="DM194" s="9"/>
      <c r="DN194" s="9"/>
      <c r="DO194" s="9"/>
      <c r="DP194" s="125"/>
      <c r="DQ194" s="9"/>
    </row>
    <row r="195" spans="2:121" ht="12" customHeight="1">
      <c r="B195" s="23"/>
      <c r="C195" s="41"/>
      <c r="D195" s="41"/>
      <c r="E195" s="41"/>
      <c r="F195" s="41"/>
      <c r="G195" s="41"/>
      <c r="H195" s="41"/>
      <c r="I195" s="41"/>
      <c r="J195" s="41"/>
      <c r="K195" s="41"/>
      <c r="L195" s="241"/>
      <c r="M195" s="241"/>
      <c r="N195" s="241"/>
      <c r="O195" s="241"/>
      <c r="P195" s="241"/>
      <c r="Q195" s="241"/>
      <c r="R195" s="132"/>
      <c r="S195" s="132"/>
      <c r="T195" s="132"/>
      <c r="U195" s="132"/>
      <c r="V195" s="132"/>
      <c r="W195" s="41"/>
      <c r="X195" s="41"/>
      <c r="Y195" s="41"/>
      <c r="Z195" s="240"/>
      <c r="AA195" s="240"/>
      <c r="AB195" s="240"/>
      <c r="AC195" s="240"/>
      <c r="AD195" s="240"/>
      <c r="AE195" s="240"/>
      <c r="AF195" s="240"/>
      <c r="AG195" s="240"/>
      <c r="AH195" s="20"/>
      <c r="AI195" s="239"/>
      <c r="AJ195" s="239"/>
      <c r="AK195" s="239"/>
      <c r="AL195" s="239"/>
      <c r="AM195" s="238"/>
      <c r="AN195" s="238"/>
      <c r="AO195" s="238"/>
      <c r="AP195" s="238"/>
      <c r="AQ195" s="238"/>
      <c r="AR195" s="20"/>
      <c r="AS195" s="20"/>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19"/>
      <c r="BV195" s="8"/>
      <c r="BW195" s="8"/>
      <c r="BX195" s="8"/>
      <c r="BY195" s="8"/>
      <c r="BZ195" s="10"/>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9"/>
      <c r="CY195" s="127"/>
      <c r="CZ195" s="127"/>
      <c r="DA195" s="11"/>
      <c r="DB195" s="9"/>
      <c r="DC195" s="9"/>
      <c r="DD195" s="9"/>
      <c r="DE195" s="126"/>
      <c r="DF195" s="242"/>
      <c r="DG195" s="124"/>
      <c r="DH195" s="124"/>
      <c r="DI195" s="124"/>
      <c r="DJ195" s="11"/>
      <c r="DK195" s="11"/>
      <c r="DL195" s="11"/>
      <c r="DM195" s="9"/>
      <c r="DN195" s="9"/>
      <c r="DO195" s="9"/>
      <c r="DP195" s="125"/>
      <c r="DQ195" s="9"/>
    </row>
    <row r="196" spans="2:121" ht="12" customHeight="1">
      <c r="B196" s="23"/>
      <c r="C196" s="41"/>
      <c r="D196" s="41"/>
      <c r="E196" s="41"/>
      <c r="F196" s="41"/>
      <c r="G196" s="41"/>
      <c r="H196" s="41"/>
      <c r="I196" s="41"/>
      <c r="J196" s="41"/>
      <c r="K196" s="41"/>
      <c r="L196" s="241"/>
      <c r="M196" s="241"/>
      <c r="N196" s="241"/>
      <c r="O196" s="241"/>
      <c r="P196" s="241"/>
      <c r="Q196" s="241"/>
      <c r="R196" s="132"/>
      <c r="S196" s="132"/>
      <c r="T196" s="132"/>
      <c r="U196" s="132"/>
      <c r="V196" s="132"/>
      <c r="W196" s="41"/>
      <c r="X196" s="41"/>
      <c r="Y196" s="41"/>
      <c r="Z196" s="240"/>
      <c r="AA196" s="240"/>
      <c r="AB196" s="240"/>
      <c r="AC196" s="240"/>
      <c r="AD196" s="240"/>
      <c r="AE196" s="240"/>
      <c r="AF196" s="240"/>
      <c r="AG196" s="240"/>
      <c r="AH196" s="20"/>
      <c r="AI196" s="239"/>
      <c r="AJ196" s="239"/>
      <c r="AK196" s="239"/>
      <c r="AL196" s="239"/>
      <c r="AM196" s="238"/>
      <c r="AN196" s="238"/>
      <c r="AO196" s="238"/>
      <c r="AP196" s="238"/>
      <c r="AQ196" s="238"/>
      <c r="AR196" s="20"/>
      <c r="AS196" s="20"/>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19"/>
      <c r="BV196" s="8"/>
      <c r="BW196" s="8"/>
      <c r="BX196" s="8"/>
      <c r="BY196" s="8"/>
      <c r="BZ196" s="10"/>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9"/>
      <c r="CY196" s="127"/>
      <c r="CZ196" s="127"/>
      <c r="DA196" s="11"/>
      <c r="DB196" s="9"/>
      <c r="DC196" s="9"/>
      <c r="DD196" s="9"/>
      <c r="DE196" s="126"/>
      <c r="DF196" s="242"/>
      <c r="DG196" s="124"/>
      <c r="DH196" s="124"/>
      <c r="DI196" s="124"/>
      <c r="DJ196" s="203"/>
      <c r="DK196" s="203"/>
      <c r="DL196" s="203"/>
      <c r="DM196" s="9"/>
      <c r="DN196" s="9"/>
      <c r="DO196" s="101"/>
      <c r="DP196" s="125"/>
      <c r="DQ196" s="9"/>
    </row>
    <row r="197" spans="2:121" ht="12" customHeight="1">
      <c r="B197" s="23"/>
      <c r="C197" s="41"/>
      <c r="D197" s="41"/>
      <c r="E197" s="41"/>
      <c r="F197" s="41"/>
      <c r="G197" s="41"/>
      <c r="H197" s="41"/>
      <c r="I197" s="41"/>
      <c r="J197" s="41"/>
      <c r="K197" s="41"/>
      <c r="L197" s="241"/>
      <c r="M197" s="241"/>
      <c r="N197" s="241"/>
      <c r="O197" s="241"/>
      <c r="P197" s="241"/>
      <c r="Q197" s="241"/>
      <c r="R197" s="132"/>
      <c r="S197" s="132"/>
      <c r="T197" s="132"/>
      <c r="U197" s="132"/>
      <c r="V197" s="132"/>
      <c r="W197" s="41"/>
      <c r="X197" s="41"/>
      <c r="Y197" s="41"/>
      <c r="Z197" s="240"/>
      <c r="AA197" s="240"/>
      <c r="AB197" s="240"/>
      <c r="AC197" s="240"/>
      <c r="AD197" s="240"/>
      <c r="AE197" s="240"/>
      <c r="AF197" s="240"/>
      <c r="AG197" s="240"/>
      <c r="AH197" s="20"/>
      <c r="AI197" s="239"/>
      <c r="AJ197" s="239"/>
      <c r="AK197" s="239"/>
      <c r="AL197" s="239"/>
      <c r="AM197" s="238"/>
      <c r="AN197" s="238"/>
      <c r="AO197" s="238"/>
      <c r="AP197" s="238"/>
      <c r="AQ197" s="238"/>
      <c r="AR197" s="20"/>
      <c r="AS197" s="20"/>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19"/>
      <c r="BV197" s="8"/>
      <c r="BW197" s="8"/>
      <c r="BX197" s="8"/>
      <c r="BY197" s="8"/>
      <c r="BZ197" s="10"/>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9"/>
      <c r="CY197" s="127"/>
      <c r="CZ197" s="127"/>
      <c r="DA197" s="11"/>
      <c r="DB197" s="9"/>
      <c r="DC197" s="9"/>
      <c r="DD197" s="9"/>
      <c r="DE197" s="126"/>
      <c r="DF197" s="242"/>
      <c r="DG197" s="124"/>
      <c r="DH197" s="124"/>
      <c r="DI197" s="124"/>
      <c r="DJ197" s="203"/>
      <c r="DK197" s="203"/>
      <c r="DL197" s="203"/>
      <c r="DM197" s="9"/>
      <c r="DN197" s="9"/>
      <c r="DO197" s="101"/>
      <c r="DP197" s="125"/>
      <c r="DQ197" s="9"/>
    </row>
    <row r="198" spans="2:121" ht="12" customHeight="1">
      <c r="B198" s="23"/>
      <c r="C198" s="41"/>
      <c r="D198" s="41"/>
      <c r="E198" s="41"/>
      <c r="F198" s="41"/>
      <c r="G198" s="41"/>
      <c r="H198" s="41"/>
      <c r="I198" s="41"/>
      <c r="J198" s="41"/>
      <c r="K198" s="41"/>
      <c r="L198" s="241"/>
      <c r="M198" s="241"/>
      <c r="N198" s="241"/>
      <c r="O198" s="241"/>
      <c r="P198" s="241"/>
      <c r="Q198" s="241"/>
      <c r="R198" s="132"/>
      <c r="S198" s="132"/>
      <c r="T198" s="132"/>
      <c r="U198" s="132"/>
      <c r="V198" s="132"/>
      <c r="W198" s="41"/>
      <c r="X198" s="41"/>
      <c r="Y198" s="41"/>
      <c r="Z198" s="240"/>
      <c r="AA198" s="240"/>
      <c r="AB198" s="240"/>
      <c r="AC198" s="240"/>
      <c r="AD198" s="240"/>
      <c r="AE198" s="240"/>
      <c r="AF198" s="240"/>
      <c r="AG198" s="240"/>
      <c r="AH198" s="20"/>
      <c r="AI198" s="239"/>
      <c r="AJ198" s="239"/>
      <c r="AK198" s="239"/>
      <c r="AL198" s="239"/>
      <c r="AM198" s="238"/>
      <c r="AN198" s="238"/>
      <c r="AO198" s="238"/>
      <c r="AP198" s="238"/>
      <c r="AQ198" s="238"/>
      <c r="AR198" s="20"/>
      <c r="AS198" s="20"/>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19"/>
      <c r="BV198" s="8"/>
      <c r="BW198" s="8"/>
      <c r="BX198" s="8"/>
      <c r="BY198" s="8"/>
      <c r="BZ198" s="10"/>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9"/>
      <c r="CY198" s="127"/>
      <c r="CZ198" s="127"/>
      <c r="DA198" s="11"/>
      <c r="DB198" s="9"/>
      <c r="DC198" s="9"/>
      <c r="DD198" s="9"/>
      <c r="DE198" s="126"/>
      <c r="DF198" s="242"/>
      <c r="DG198" s="124"/>
      <c r="DH198" s="124"/>
      <c r="DI198" s="124"/>
      <c r="DJ198" s="203"/>
      <c r="DK198" s="203"/>
      <c r="DL198" s="203"/>
      <c r="DM198" s="9"/>
      <c r="DN198" s="9"/>
      <c r="DO198" s="101"/>
      <c r="DP198" s="125"/>
      <c r="DQ198" s="9"/>
    </row>
    <row r="199" spans="2:121" ht="12" customHeight="1">
      <c r="B199" s="23"/>
      <c r="C199" s="41"/>
      <c r="D199" s="41"/>
      <c r="E199" s="41"/>
      <c r="F199" s="41"/>
      <c r="G199" s="41"/>
      <c r="H199" s="41"/>
      <c r="I199" s="41"/>
      <c r="J199" s="41"/>
      <c r="K199" s="41"/>
      <c r="L199" s="241"/>
      <c r="M199" s="241"/>
      <c r="N199" s="241"/>
      <c r="O199" s="241"/>
      <c r="P199" s="241"/>
      <c r="Q199" s="241"/>
      <c r="R199" s="132"/>
      <c r="S199" s="132"/>
      <c r="T199" s="132"/>
      <c r="U199" s="132"/>
      <c r="V199" s="132"/>
      <c r="W199" s="41"/>
      <c r="X199" s="41"/>
      <c r="Y199" s="41"/>
      <c r="Z199" s="240"/>
      <c r="AA199" s="240"/>
      <c r="AB199" s="240"/>
      <c r="AC199" s="240"/>
      <c r="AD199" s="240"/>
      <c r="AE199" s="240"/>
      <c r="AF199" s="240"/>
      <c r="AG199" s="240"/>
      <c r="AH199" s="20"/>
      <c r="AI199" s="239"/>
      <c r="AJ199" s="239"/>
      <c r="AK199" s="239"/>
      <c r="AL199" s="239"/>
      <c r="AM199" s="238"/>
      <c r="AN199" s="238"/>
      <c r="AO199" s="238"/>
      <c r="AP199" s="238"/>
      <c r="AQ199" s="238"/>
      <c r="AR199" s="20"/>
      <c r="AS199" s="20"/>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19"/>
      <c r="BV199" s="8"/>
      <c r="BW199" s="8"/>
      <c r="BX199" s="8"/>
      <c r="BY199" s="8"/>
      <c r="BZ199" s="10"/>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9"/>
      <c r="CY199" s="127"/>
      <c r="CZ199" s="127"/>
      <c r="DA199" s="11"/>
      <c r="DB199" s="9"/>
      <c r="DC199" s="9"/>
      <c r="DD199" s="9"/>
      <c r="DE199" s="126"/>
      <c r="DF199" s="242"/>
      <c r="DG199" s="124"/>
      <c r="DH199" s="124"/>
      <c r="DI199" s="124"/>
      <c r="DJ199" s="203"/>
      <c r="DK199" s="203"/>
      <c r="DL199" s="203"/>
      <c r="DM199" s="9"/>
      <c r="DN199" s="9"/>
      <c r="DO199" s="101"/>
      <c r="DP199" s="125"/>
      <c r="DQ199" s="9"/>
    </row>
    <row r="200" spans="2:121" ht="12" customHeight="1">
      <c r="B200" s="23"/>
      <c r="C200" s="41"/>
      <c r="D200" s="41"/>
      <c r="E200" s="41"/>
      <c r="F200" s="41"/>
      <c r="G200" s="41"/>
      <c r="H200" s="41"/>
      <c r="I200" s="41"/>
      <c r="J200" s="41"/>
      <c r="K200" s="41"/>
      <c r="L200" s="241"/>
      <c r="M200" s="241"/>
      <c r="N200" s="241"/>
      <c r="O200" s="241"/>
      <c r="P200" s="241"/>
      <c r="Q200" s="241"/>
      <c r="R200" s="132"/>
      <c r="S200" s="132"/>
      <c r="T200" s="132"/>
      <c r="U200" s="132"/>
      <c r="V200" s="132"/>
      <c r="W200" s="41"/>
      <c r="X200" s="41"/>
      <c r="Y200" s="41"/>
      <c r="Z200" s="240"/>
      <c r="AA200" s="240"/>
      <c r="AB200" s="240"/>
      <c r="AC200" s="240"/>
      <c r="AD200" s="240"/>
      <c r="AE200" s="240"/>
      <c r="AF200" s="240"/>
      <c r="AG200" s="240"/>
      <c r="AH200" s="20"/>
      <c r="AI200" s="239"/>
      <c r="AJ200" s="239"/>
      <c r="AK200" s="239"/>
      <c r="AL200" s="239"/>
      <c r="AM200" s="238"/>
      <c r="AN200" s="238"/>
      <c r="AO200" s="238"/>
      <c r="AP200" s="238"/>
      <c r="AQ200" s="238"/>
      <c r="AR200" s="20"/>
      <c r="AS200" s="20"/>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19"/>
      <c r="BV200" s="8"/>
      <c r="BW200" s="8"/>
      <c r="BX200" s="8"/>
      <c r="BY200" s="8"/>
      <c r="BZ200" s="10"/>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9"/>
      <c r="CY200" s="127"/>
      <c r="CZ200" s="127"/>
      <c r="DA200" s="11"/>
      <c r="DB200" s="9"/>
      <c r="DC200" s="9"/>
      <c r="DD200" s="9"/>
      <c r="DE200" s="126"/>
      <c r="DF200" s="242"/>
      <c r="DG200" s="124"/>
      <c r="DH200" s="124"/>
      <c r="DI200" s="124"/>
      <c r="DJ200" s="203"/>
      <c r="DK200" s="203"/>
      <c r="DL200" s="203"/>
      <c r="DM200" s="9"/>
      <c r="DN200" s="9"/>
      <c r="DO200" s="101"/>
      <c r="DP200" s="125"/>
      <c r="DQ200" s="9"/>
    </row>
    <row r="201" spans="2:121" ht="12" customHeight="1">
      <c r="B201" s="23"/>
      <c r="C201" s="41"/>
      <c r="D201" s="41"/>
      <c r="E201" s="41"/>
      <c r="F201" s="41"/>
      <c r="G201" s="41"/>
      <c r="H201" s="41"/>
      <c r="I201" s="41"/>
      <c r="J201" s="41"/>
      <c r="K201" s="41"/>
      <c r="L201" s="241"/>
      <c r="M201" s="241"/>
      <c r="N201" s="241"/>
      <c r="O201" s="241"/>
      <c r="P201" s="241"/>
      <c r="Q201" s="241"/>
      <c r="R201" s="132"/>
      <c r="S201" s="132"/>
      <c r="T201" s="132"/>
      <c r="U201" s="132"/>
      <c r="V201" s="132"/>
      <c r="W201" s="41"/>
      <c r="X201" s="41"/>
      <c r="Y201" s="41"/>
      <c r="Z201" s="240"/>
      <c r="AA201" s="240"/>
      <c r="AB201" s="240"/>
      <c r="AC201" s="240"/>
      <c r="AD201" s="240"/>
      <c r="AE201" s="240"/>
      <c r="AF201" s="240"/>
      <c r="AG201" s="240"/>
      <c r="AH201" s="20"/>
      <c r="AI201" s="239"/>
      <c r="AJ201" s="239"/>
      <c r="AK201" s="239"/>
      <c r="AL201" s="239"/>
      <c r="AM201" s="238"/>
      <c r="AN201" s="238"/>
      <c r="AO201" s="238"/>
      <c r="AP201" s="238"/>
      <c r="AQ201" s="238"/>
      <c r="AR201" s="20"/>
      <c r="AS201" s="20"/>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19"/>
      <c r="BV201" s="8"/>
      <c r="BW201" s="8"/>
      <c r="BX201" s="8"/>
      <c r="BY201" s="8"/>
      <c r="BZ201" s="10"/>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9"/>
      <c r="CY201" s="127"/>
      <c r="CZ201" s="127"/>
      <c r="DA201" s="11"/>
      <c r="DB201" s="9"/>
      <c r="DC201" s="9"/>
      <c r="DD201" s="9"/>
      <c r="DE201" s="126"/>
      <c r="DF201" s="242"/>
      <c r="DG201" s="124"/>
      <c r="DH201" s="124"/>
      <c r="DI201" s="124"/>
      <c r="DJ201" s="203"/>
      <c r="DK201" s="203"/>
      <c r="DL201" s="203"/>
      <c r="DM201" s="9"/>
      <c r="DN201" s="9"/>
      <c r="DO201" s="101"/>
      <c r="DP201" s="125"/>
      <c r="DQ201" s="9"/>
    </row>
    <row r="202" spans="2:121" ht="12" customHeight="1">
      <c r="B202" s="23"/>
      <c r="C202" s="41"/>
      <c r="D202" s="41"/>
      <c r="E202" s="41"/>
      <c r="F202" s="41"/>
      <c r="G202" s="41"/>
      <c r="H202" s="41"/>
      <c r="I202" s="41"/>
      <c r="J202" s="41"/>
      <c r="K202" s="41"/>
      <c r="L202" s="241"/>
      <c r="M202" s="241"/>
      <c r="N202" s="241"/>
      <c r="O202" s="241"/>
      <c r="P202" s="241"/>
      <c r="Q202" s="241"/>
      <c r="R202" s="132"/>
      <c r="S202" s="132"/>
      <c r="T202" s="132"/>
      <c r="U202" s="132"/>
      <c r="V202" s="132"/>
      <c r="W202" s="41"/>
      <c r="X202" s="41"/>
      <c r="Y202" s="41"/>
      <c r="Z202" s="240"/>
      <c r="AA202" s="240"/>
      <c r="AB202" s="240"/>
      <c r="AC202" s="240"/>
      <c r="AD202" s="240"/>
      <c r="AE202" s="240"/>
      <c r="AF202" s="240"/>
      <c r="AG202" s="240"/>
      <c r="AH202" s="20"/>
      <c r="AI202" s="239"/>
      <c r="AJ202" s="239"/>
      <c r="AK202" s="239"/>
      <c r="AL202" s="239"/>
      <c r="AM202" s="238"/>
      <c r="AN202" s="238"/>
      <c r="AO202" s="238"/>
      <c r="AP202" s="238"/>
      <c r="AQ202" s="238"/>
      <c r="AR202" s="20"/>
      <c r="AS202" s="20"/>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19"/>
      <c r="BV202" s="8"/>
      <c r="BW202" s="8"/>
      <c r="BX202" s="8"/>
      <c r="BY202" s="8"/>
      <c r="BZ202" s="10"/>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9"/>
      <c r="CY202" s="127"/>
      <c r="CZ202" s="127"/>
      <c r="DA202" s="11"/>
      <c r="DB202" s="9"/>
      <c r="DC202" s="9"/>
      <c r="DD202" s="9"/>
      <c r="DE202" s="126"/>
      <c r="DF202" s="242"/>
      <c r="DG202" s="124"/>
      <c r="DH202" s="124"/>
      <c r="DI202" s="124"/>
      <c r="DJ202" s="203"/>
      <c r="DK202" s="203"/>
      <c r="DL202" s="203"/>
      <c r="DM202" s="9"/>
      <c r="DN202" s="9"/>
      <c r="DO202" s="101"/>
      <c r="DP202" s="125"/>
      <c r="DQ202" s="9"/>
    </row>
    <row r="203" spans="2:121" ht="12" customHeight="1">
      <c r="B203" s="23"/>
      <c r="C203" s="41"/>
      <c r="D203" s="41"/>
      <c r="E203" s="41"/>
      <c r="F203" s="41"/>
      <c r="G203" s="41"/>
      <c r="H203" s="41"/>
      <c r="I203" s="41"/>
      <c r="J203" s="41"/>
      <c r="K203" s="41"/>
      <c r="L203" s="241"/>
      <c r="M203" s="241"/>
      <c r="N203" s="241"/>
      <c r="O203" s="241"/>
      <c r="P203" s="241"/>
      <c r="Q203" s="241"/>
      <c r="R203" s="132"/>
      <c r="S203" s="132"/>
      <c r="T203" s="132"/>
      <c r="U203" s="132"/>
      <c r="V203" s="132"/>
      <c r="W203" s="41"/>
      <c r="X203" s="41"/>
      <c r="Y203" s="41"/>
      <c r="Z203" s="240"/>
      <c r="AA203" s="240"/>
      <c r="AB203" s="240"/>
      <c r="AC203" s="240"/>
      <c r="AD203" s="240"/>
      <c r="AE203" s="240"/>
      <c r="AF203" s="240"/>
      <c r="AG203" s="240"/>
      <c r="AH203" s="20"/>
      <c r="AI203" s="239"/>
      <c r="AJ203" s="239"/>
      <c r="AK203" s="239"/>
      <c r="AL203" s="239"/>
      <c r="AM203" s="238"/>
      <c r="AN203" s="238"/>
      <c r="AO203" s="238"/>
      <c r="AP203" s="238"/>
      <c r="AQ203" s="238"/>
      <c r="AR203" s="20"/>
      <c r="AS203" s="20"/>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0"/>
      <c r="BP203" s="20"/>
      <c r="BQ203" s="20"/>
      <c r="BR203" s="20"/>
      <c r="BS203" s="20"/>
      <c r="BT203" s="20"/>
      <c r="BU203" s="19"/>
      <c r="BV203" s="8"/>
      <c r="BW203" s="8"/>
      <c r="BX203" s="8"/>
      <c r="BY203" s="8"/>
      <c r="BZ203" s="10"/>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9"/>
      <c r="CY203" s="127"/>
      <c r="CZ203" s="127"/>
      <c r="DA203" s="11"/>
      <c r="DB203" s="9"/>
      <c r="DC203" s="9"/>
      <c r="DD203" s="9"/>
      <c r="DE203" s="126"/>
      <c r="DF203" s="242"/>
      <c r="DG203" s="124"/>
      <c r="DH203" s="124"/>
      <c r="DI203" s="124"/>
      <c r="DJ203" s="203"/>
      <c r="DK203" s="203"/>
      <c r="DL203" s="203"/>
      <c r="DM203" s="9"/>
      <c r="DN203" s="9"/>
      <c r="DO203" s="101"/>
      <c r="DP203" s="125"/>
      <c r="DQ203" s="9"/>
    </row>
    <row r="204" spans="2:121" ht="12" customHeight="1">
      <c r="B204" s="23"/>
      <c r="C204" s="41"/>
      <c r="D204" s="41"/>
      <c r="E204" s="41"/>
      <c r="F204" s="41"/>
      <c r="G204" s="41"/>
      <c r="H204" s="41"/>
      <c r="I204" s="41"/>
      <c r="J204" s="41"/>
      <c r="K204" s="41"/>
      <c r="L204" s="241"/>
      <c r="M204" s="241"/>
      <c r="N204" s="241"/>
      <c r="O204" s="241"/>
      <c r="P204" s="241"/>
      <c r="Q204" s="241"/>
      <c r="R204" s="132"/>
      <c r="S204" s="132"/>
      <c r="T204" s="132"/>
      <c r="U204" s="132"/>
      <c r="V204" s="132"/>
      <c r="W204" s="41"/>
      <c r="X204" s="41"/>
      <c r="Y204" s="41"/>
      <c r="Z204" s="240"/>
      <c r="AA204" s="240"/>
      <c r="AB204" s="240"/>
      <c r="AC204" s="240"/>
      <c r="AD204" s="240"/>
      <c r="AE204" s="240"/>
      <c r="AF204" s="240"/>
      <c r="AG204" s="240"/>
      <c r="AH204" s="20"/>
      <c r="AI204" s="239"/>
      <c r="AJ204" s="239"/>
      <c r="AK204" s="239"/>
      <c r="AL204" s="239"/>
      <c r="AM204" s="238"/>
      <c r="AN204" s="238"/>
      <c r="AO204" s="238"/>
      <c r="AP204" s="238"/>
      <c r="AQ204" s="238"/>
      <c r="AR204" s="20"/>
      <c r="AS204" s="20"/>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0"/>
      <c r="BP204" s="20"/>
      <c r="BQ204" s="20"/>
      <c r="BR204" s="20"/>
      <c r="BS204" s="20"/>
      <c r="BT204" s="20"/>
      <c r="BU204" s="19"/>
      <c r="BV204" s="8"/>
      <c r="BW204" s="8"/>
      <c r="BX204" s="8"/>
      <c r="BY204" s="8"/>
      <c r="BZ204" s="10"/>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9"/>
      <c r="CY204" s="127"/>
      <c r="CZ204" s="127"/>
      <c r="DA204" s="11"/>
      <c r="DB204" s="9"/>
      <c r="DC204" s="9"/>
      <c r="DD204" s="9"/>
      <c r="DE204" s="126"/>
      <c r="DF204" s="242"/>
      <c r="DG204" s="124"/>
      <c r="DH204" s="124"/>
      <c r="DI204" s="124"/>
      <c r="DJ204" s="11"/>
      <c r="DK204" s="11"/>
      <c r="DL204" s="11"/>
      <c r="DM204" s="9"/>
      <c r="DN204" s="9"/>
      <c r="DO204" s="9"/>
      <c r="DP204" s="125"/>
      <c r="DQ204" s="9"/>
    </row>
    <row r="205" spans="2:121" ht="12" customHeight="1">
      <c r="B205" s="23"/>
      <c r="C205" s="41"/>
      <c r="D205" s="41"/>
      <c r="E205" s="41"/>
      <c r="F205" s="41"/>
      <c r="G205" s="41"/>
      <c r="H205" s="41"/>
      <c r="I205" s="41"/>
      <c r="J205" s="41"/>
      <c r="K205" s="41"/>
      <c r="L205" s="241"/>
      <c r="M205" s="241"/>
      <c r="N205" s="241"/>
      <c r="O205" s="241"/>
      <c r="P205" s="241"/>
      <c r="Q205" s="241"/>
      <c r="R205" s="132"/>
      <c r="S205" s="132"/>
      <c r="T205" s="132"/>
      <c r="U205" s="132"/>
      <c r="V205" s="132"/>
      <c r="W205" s="41"/>
      <c r="X205" s="41"/>
      <c r="Y205" s="41"/>
      <c r="Z205" s="240"/>
      <c r="AA205" s="240"/>
      <c r="AB205" s="240"/>
      <c r="AC205" s="240"/>
      <c r="AD205" s="240"/>
      <c r="AE205" s="240"/>
      <c r="AF205" s="240"/>
      <c r="AG205" s="240"/>
      <c r="AH205" s="20"/>
      <c r="AI205" s="239"/>
      <c r="AJ205" s="239"/>
      <c r="AK205" s="239"/>
      <c r="AL205" s="239"/>
      <c r="AM205" s="238"/>
      <c r="AN205" s="238"/>
      <c r="AO205" s="238"/>
      <c r="AP205" s="238"/>
      <c r="AQ205" s="238"/>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9"/>
      <c r="BV205" s="8"/>
      <c r="BW205" s="8"/>
      <c r="BX205" s="8"/>
      <c r="BY205" s="8"/>
      <c r="BZ205" s="10"/>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9"/>
      <c r="CY205" s="127"/>
      <c r="CZ205" s="127"/>
      <c r="DA205" s="11"/>
      <c r="DB205" s="9"/>
      <c r="DC205" s="9"/>
      <c r="DD205" s="9"/>
      <c r="DE205" s="126"/>
      <c r="DF205" s="242"/>
      <c r="DG205" s="124"/>
      <c r="DH205" s="124"/>
      <c r="DI205" s="124"/>
      <c r="DJ205" s="11"/>
      <c r="DK205" s="11"/>
      <c r="DL205" s="11"/>
      <c r="DM205" s="9"/>
      <c r="DN205" s="9"/>
      <c r="DO205" s="9"/>
      <c r="DP205" s="125"/>
      <c r="DQ205" s="9"/>
    </row>
    <row r="206" spans="2:121" ht="12" customHeight="1">
      <c r="B206" s="23"/>
      <c r="C206" s="41"/>
      <c r="D206" s="41"/>
      <c r="E206" s="41"/>
      <c r="F206" s="41"/>
      <c r="G206" s="41"/>
      <c r="H206" s="41"/>
      <c r="I206" s="41"/>
      <c r="J206" s="41"/>
      <c r="K206" s="41"/>
      <c r="L206" s="241"/>
      <c r="M206" s="241"/>
      <c r="N206" s="241"/>
      <c r="O206" s="241"/>
      <c r="P206" s="241"/>
      <c r="Q206" s="241"/>
      <c r="R206" s="132"/>
      <c r="S206" s="132"/>
      <c r="T206" s="132"/>
      <c r="U206" s="132"/>
      <c r="V206" s="132"/>
      <c r="W206" s="41"/>
      <c r="X206" s="41"/>
      <c r="Y206" s="41"/>
      <c r="Z206" s="240"/>
      <c r="AA206" s="240"/>
      <c r="AB206" s="240"/>
      <c r="AC206" s="240"/>
      <c r="AD206" s="240"/>
      <c r="AE206" s="240"/>
      <c r="AF206" s="240"/>
      <c r="AG206" s="240"/>
      <c r="AH206" s="20"/>
      <c r="AI206" s="239"/>
      <c r="AJ206" s="239"/>
      <c r="AK206" s="239"/>
      <c r="AL206" s="239"/>
      <c r="AM206" s="238"/>
      <c r="AN206" s="238"/>
      <c r="AO206" s="238"/>
      <c r="AP206" s="238"/>
      <c r="AQ206" s="238"/>
      <c r="AR206" s="20"/>
      <c r="AS206" s="20"/>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0"/>
      <c r="BP206" s="20"/>
      <c r="BQ206" s="20"/>
      <c r="BR206" s="20"/>
      <c r="BS206" s="20"/>
      <c r="BT206" s="20"/>
      <c r="BU206" s="19"/>
      <c r="BV206" s="8"/>
      <c r="BW206" s="8"/>
      <c r="BX206" s="8"/>
      <c r="BY206" s="8"/>
      <c r="BZ206" s="10"/>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9"/>
      <c r="DI206" s="9"/>
      <c r="DJ206" s="9"/>
      <c r="DK206" s="9"/>
      <c r="DL206" s="9"/>
      <c r="DM206" s="9"/>
      <c r="DN206" s="9"/>
      <c r="DO206" s="9"/>
      <c r="DP206" s="9"/>
      <c r="DQ206" s="9"/>
    </row>
    <row r="207" spans="2:121" ht="12" customHeight="1">
      <c r="B207" s="23"/>
      <c r="C207" s="41"/>
      <c r="D207" s="41"/>
      <c r="E207" s="41"/>
      <c r="F207" s="41"/>
      <c r="G207" s="41"/>
      <c r="H207" s="41"/>
      <c r="I207" s="41"/>
      <c r="J207" s="41"/>
      <c r="K207" s="41"/>
      <c r="L207" s="241"/>
      <c r="M207" s="241"/>
      <c r="N207" s="241"/>
      <c r="O207" s="241"/>
      <c r="P207" s="241"/>
      <c r="Q207" s="241"/>
      <c r="R207" s="132"/>
      <c r="S207" s="132"/>
      <c r="T207" s="132"/>
      <c r="U207" s="132"/>
      <c r="V207" s="132"/>
      <c r="W207" s="41"/>
      <c r="X207" s="41"/>
      <c r="Y207" s="41"/>
      <c r="Z207" s="240"/>
      <c r="AA207" s="240"/>
      <c r="AB207" s="240"/>
      <c r="AC207" s="240"/>
      <c r="AD207" s="240"/>
      <c r="AE207" s="240"/>
      <c r="AF207" s="240"/>
      <c r="AG207" s="240"/>
      <c r="AH207" s="20"/>
      <c r="AI207" s="239"/>
      <c r="AJ207" s="239"/>
      <c r="AK207" s="239"/>
      <c r="AL207" s="239"/>
      <c r="AM207" s="238"/>
      <c r="AN207" s="238"/>
      <c r="AO207" s="238"/>
      <c r="AP207" s="238"/>
      <c r="AQ207" s="238"/>
      <c r="AR207" s="20"/>
      <c r="AS207" s="20"/>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0"/>
      <c r="BP207" s="20"/>
      <c r="BQ207" s="20"/>
      <c r="BR207" s="20"/>
      <c r="BS207" s="20"/>
      <c r="BT207" s="20"/>
      <c r="BU207" s="19"/>
      <c r="BV207" s="8"/>
      <c r="BW207" s="8"/>
      <c r="BX207" s="8"/>
      <c r="BY207" s="8"/>
      <c r="BZ207" s="10"/>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9"/>
      <c r="DI207" s="9"/>
      <c r="DJ207" s="9"/>
      <c r="DK207" s="9"/>
      <c r="DL207" s="9"/>
      <c r="DM207" s="9"/>
      <c r="DN207" s="9"/>
      <c r="DO207" s="9"/>
      <c r="DP207" s="9"/>
      <c r="DQ207" s="9"/>
    </row>
    <row r="208" spans="2:121" ht="12" customHeight="1">
      <c r="B208" s="23"/>
      <c r="C208" s="41"/>
      <c r="D208" s="41"/>
      <c r="E208" s="41"/>
      <c r="F208" s="41"/>
      <c r="G208" s="41"/>
      <c r="H208" s="41"/>
      <c r="I208" s="41"/>
      <c r="J208" s="41"/>
      <c r="K208" s="41"/>
      <c r="L208" s="241"/>
      <c r="M208" s="241"/>
      <c r="N208" s="241"/>
      <c r="O208" s="241"/>
      <c r="P208" s="241"/>
      <c r="Q208" s="241"/>
      <c r="R208" s="132"/>
      <c r="S208" s="132"/>
      <c r="T208" s="132"/>
      <c r="U208" s="132"/>
      <c r="V208" s="132"/>
      <c r="W208" s="41"/>
      <c r="X208" s="41"/>
      <c r="Y208" s="41"/>
      <c r="Z208" s="240"/>
      <c r="AA208" s="240"/>
      <c r="AB208" s="240"/>
      <c r="AC208" s="240"/>
      <c r="AD208" s="240"/>
      <c r="AE208" s="240"/>
      <c r="AF208" s="240"/>
      <c r="AG208" s="240"/>
      <c r="AH208" s="20"/>
      <c r="AI208" s="239"/>
      <c r="AJ208" s="239"/>
      <c r="AK208" s="239"/>
      <c r="AL208" s="239"/>
      <c r="AM208" s="238"/>
      <c r="AN208" s="238"/>
      <c r="AO208" s="238"/>
      <c r="AP208" s="238"/>
      <c r="AQ208" s="238"/>
      <c r="AR208" s="20"/>
      <c r="AS208" s="20"/>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0"/>
      <c r="BP208" s="20"/>
      <c r="BQ208" s="20"/>
      <c r="BR208" s="20"/>
      <c r="BS208" s="20"/>
      <c r="BT208" s="20"/>
      <c r="BU208" s="19"/>
      <c r="BV208" s="8"/>
      <c r="BW208" s="8"/>
      <c r="BX208" s="8"/>
      <c r="BY208" s="8"/>
      <c r="BZ208" s="10"/>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9"/>
      <c r="DI208" s="9"/>
      <c r="DJ208" s="9"/>
      <c r="DK208" s="9"/>
      <c r="DL208" s="9"/>
      <c r="DM208" s="9"/>
      <c r="DN208" s="9"/>
      <c r="DO208" s="9"/>
      <c r="DP208" s="9"/>
      <c r="DQ208" s="9"/>
    </row>
    <row r="209" spans="2:121" ht="12" customHeight="1">
      <c r="B209" s="23"/>
      <c r="C209" s="41"/>
      <c r="D209" s="41"/>
      <c r="E209" s="41"/>
      <c r="F209" s="41"/>
      <c r="G209" s="41"/>
      <c r="H209" s="41"/>
      <c r="I209" s="41"/>
      <c r="J209" s="41"/>
      <c r="K209" s="41"/>
      <c r="L209" s="241"/>
      <c r="M209" s="241"/>
      <c r="N209" s="241"/>
      <c r="O209" s="241"/>
      <c r="P209" s="241"/>
      <c r="Q209" s="241"/>
      <c r="R209" s="132"/>
      <c r="S209" s="132"/>
      <c r="T209" s="132"/>
      <c r="U209" s="132"/>
      <c r="V209" s="132"/>
      <c r="W209" s="41"/>
      <c r="X209" s="41"/>
      <c r="Y209" s="41"/>
      <c r="Z209" s="240"/>
      <c r="AA209" s="240"/>
      <c r="AB209" s="240"/>
      <c r="AC209" s="240"/>
      <c r="AD209" s="240"/>
      <c r="AE209" s="240"/>
      <c r="AF209" s="240"/>
      <c r="AG209" s="240"/>
      <c r="AH209" s="20"/>
      <c r="AI209" s="239"/>
      <c r="AJ209" s="239"/>
      <c r="AK209" s="239"/>
      <c r="AL209" s="239"/>
      <c r="AM209" s="238"/>
      <c r="AN209" s="238"/>
      <c r="AO209" s="238"/>
      <c r="AP209" s="238"/>
      <c r="AQ209" s="238"/>
      <c r="AR209" s="20"/>
      <c r="AS209" s="20"/>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0"/>
      <c r="BP209" s="20"/>
      <c r="BQ209" s="20"/>
      <c r="BR209" s="20"/>
      <c r="BS209" s="20"/>
      <c r="BT209" s="20"/>
      <c r="BU209" s="19"/>
      <c r="BV209" s="8"/>
      <c r="BW209" s="8"/>
      <c r="BX209" s="8"/>
      <c r="BY209" s="8"/>
      <c r="BZ209" s="10"/>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9"/>
      <c r="DI209" s="9"/>
      <c r="DJ209" s="9"/>
      <c r="DK209" s="9"/>
      <c r="DL209" s="9"/>
      <c r="DM209" s="9"/>
      <c r="DN209" s="9"/>
      <c r="DO209" s="9"/>
      <c r="DP209" s="9"/>
      <c r="DQ209" s="9"/>
    </row>
    <row r="210" spans="2:121" ht="12" customHeight="1">
      <c r="B210" s="23"/>
      <c r="C210" s="41"/>
      <c r="D210" s="41"/>
      <c r="E210" s="41"/>
      <c r="F210" s="41"/>
      <c r="G210" s="41"/>
      <c r="H210" s="41"/>
      <c r="I210" s="41"/>
      <c r="J210" s="41"/>
      <c r="K210" s="41"/>
      <c r="L210" s="241"/>
      <c r="M210" s="241"/>
      <c r="N210" s="241"/>
      <c r="O210" s="241"/>
      <c r="P210" s="241"/>
      <c r="Q210" s="241"/>
      <c r="R210" s="132"/>
      <c r="S210" s="132"/>
      <c r="T210" s="132"/>
      <c r="U210" s="132"/>
      <c r="V210" s="132"/>
      <c r="W210" s="41"/>
      <c r="X210" s="41"/>
      <c r="Y210" s="41"/>
      <c r="Z210" s="240"/>
      <c r="AA210" s="240"/>
      <c r="AB210" s="240"/>
      <c r="AC210" s="240"/>
      <c r="AD210" s="240"/>
      <c r="AE210" s="240"/>
      <c r="AF210" s="240"/>
      <c r="AG210" s="240"/>
      <c r="AH210" s="20"/>
      <c r="AI210" s="239"/>
      <c r="AJ210" s="239"/>
      <c r="AK210" s="239"/>
      <c r="AL210" s="239"/>
      <c r="AM210" s="238"/>
      <c r="AN210" s="238"/>
      <c r="AO210" s="238"/>
      <c r="AP210" s="238"/>
      <c r="AQ210" s="238"/>
      <c r="AR210" s="20"/>
      <c r="AS210" s="20"/>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0"/>
      <c r="BP210" s="20"/>
      <c r="BQ210" s="20"/>
      <c r="BR210" s="20"/>
      <c r="BS210" s="20"/>
      <c r="BT210" s="20"/>
      <c r="BU210" s="19"/>
      <c r="BV210" s="8"/>
      <c r="BW210" s="8"/>
      <c r="BX210" s="8"/>
      <c r="BY210" s="8"/>
      <c r="BZ210" s="10"/>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9"/>
      <c r="DI210" s="9"/>
      <c r="DJ210" s="9"/>
      <c r="DK210" s="9"/>
      <c r="DL210" s="9"/>
      <c r="DM210" s="9"/>
      <c r="DN210" s="9"/>
      <c r="DO210" s="9"/>
      <c r="DP210" s="9"/>
      <c r="DQ210" s="9"/>
    </row>
    <row r="211" spans="2:121" ht="12" customHeight="1">
      <c r="B211" s="23"/>
      <c r="C211" s="41"/>
      <c r="D211" s="41"/>
      <c r="E211" s="41"/>
      <c r="F211" s="41"/>
      <c r="G211" s="41"/>
      <c r="H211" s="41"/>
      <c r="I211" s="41"/>
      <c r="J211" s="41"/>
      <c r="K211" s="41"/>
      <c r="L211" s="241"/>
      <c r="M211" s="241"/>
      <c r="N211" s="241"/>
      <c r="O211" s="241"/>
      <c r="P211" s="241"/>
      <c r="Q211" s="241"/>
      <c r="R211" s="132"/>
      <c r="S211" s="132"/>
      <c r="T211" s="132"/>
      <c r="U211" s="132"/>
      <c r="V211" s="132"/>
      <c r="W211" s="41"/>
      <c r="X211" s="41"/>
      <c r="Y211" s="41"/>
      <c r="Z211" s="240"/>
      <c r="AA211" s="240"/>
      <c r="AB211" s="240"/>
      <c r="AC211" s="240"/>
      <c r="AD211" s="240"/>
      <c r="AE211" s="240"/>
      <c r="AF211" s="240"/>
      <c r="AG211" s="240"/>
      <c r="AH211" s="20"/>
      <c r="AI211" s="239"/>
      <c r="AJ211" s="239"/>
      <c r="AK211" s="239"/>
      <c r="AL211" s="239"/>
      <c r="AM211" s="238"/>
      <c r="AN211" s="238"/>
      <c r="AO211" s="238"/>
      <c r="AP211" s="238"/>
      <c r="AQ211" s="238"/>
      <c r="AR211" s="20"/>
      <c r="AS211" s="20"/>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0"/>
      <c r="BP211" s="20"/>
      <c r="BQ211" s="20"/>
      <c r="BR211" s="20"/>
      <c r="BS211" s="20"/>
      <c r="BT211" s="20"/>
      <c r="BU211" s="19"/>
      <c r="BV211" s="8"/>
      <c r="BW211" s="8"/>
      <c r="BX211" s="8"/>
      <c r="BY211" s="8"/>
      <c r="BZ211" s="10"/>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9"/>
      <c r="DI211" s="9"/>
      <c r="DJ211" s="9"/>
      <c r="DK211" s="9"/>
      <c r="DL211" s="9"/>
      <c r="DM211" s="9"/>
      <c r="DN211" s="9"/>
      <c r="DO211" s="9"/>
      <c r="DP211" s="9"/>
      <c r="DQ211" s="9"/>
    </row>
    <row r="212" spans="2:121" ht="12" customHeight="1">
      <c r="B212" s="23"/>
      <c r="C212" s="41"/>
      <c r="D212" s="41"/>
      <c r="E212" s="41"/>
      <c r="F212" s="41"/>
      <c r="G212" s="41"/>
      <c r="H212" s="41"/>
      <c r="I212" s="41"/>
      <c r="J212" s="41"/>
      <c r="K212" s="41"/>
      <c r="L212" s="241"/>
      <c r="M212" s="241"/>
      <c r="N212" s="241"/>
      <c r="O212" s="241"/>
      <c r="P212" s="241"/>
      <c r="Q212" s="241"/>
      <c r="R212" s="132"/>
      <c r="S212" s="132"/>
      <c r="T212" s="132"/>
      <c r="U212" s="132"/>
      <c r="V212" s="132"/>
      <c r="W212" s="41"/>
      <c r="X212" s="41"/>
      <c r="Y212" s="41"/>
      <c r="Z212" s="240"/>
      <c r="AA212" s="240"/>
      <c r="AB212" s="240"/>
      <c r="AC212" s="240"/>
      <c r="AD212" s="240"/>
      <c r="AE212" s="240"/>
      <c r="AF212" s="240"/>
      <c r="AG212" s="240"/>
      <c r="AH212" s="20"/>
      <c r="AI212" s="239"/>
      <c r="AJ212" s="239"/>
      <c r="AK212" s="239"/>
      <c r="AL212" s="239"/>
      <c r="AM212" s="238"/>
      <c r="AN212" s="238"/>
      <c r="AO212" s="238"/>
      <c r="AP212" s="238"/>
      <c r="AQ212" s="238"/>
      <c r="AR212" s="20"/>
      <c r="AS212" s="20"/>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0"/>
      <c r="BP212" s="20"/>
      <c r="BQ212" s="20"/>
      <c r="BR212" s="20"/>
      <c r="BS212" s="20"/>
      <c r="BT212" s="20"/>
      <c r="BU212" s="19"/>
      <c r="BV212" s="8"/>
      <c r="BW212" s="8"/>
      <c r="BX212" s="8"/>
      <c r="BY212" s="8"/>
      <c r="BZ212" s="10"/>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9"/>
      <c r="DI212" s="9"/>
      <c r="DJ212" s="9"/>
      <c r="DK212" s="9"/>
      <c r="DL212" s="9"/>
      <c r="DM212" s="9"/>
      <c r="DN212" s="9"/>
      <c r="DO212" s="9"/>
      <c r="DP212" s="9"/>
      <c r="DQ212" s="9"/>
    </row>
    <row r="213" spans="2:121" ht="12" customHeight="1">
      <c r="B213" s="23"/>
      <c r="C213" s="41"/>
      <c r="D213" s="41"/>
      <c r="E213" s="41"/>
      <c r="F213" s="41"/>
      <c r="G213" s="41"/>
      <c r="H213" s="41"/>
      <c r="I213" s="41"/>
      <c r="J213" s="41"/>
      <c r="K213" s="41"/>
      <c r="L213" s="241"/>
      <c r="M213" s="241"/>
      <c r="N213" s="241"/>
      <c r="O213" s="241"/>
      <c r="P213" s="241"/>
      <c r="Q213" s="241"/>
      <c r="R213" s="132"/>
      <c r="S213" s="132"/>
      <c r="T213" s="132"/>
      <c r="U213" s="132"/>
      <c r="V213" s="132"/>
      <c r="W213" s="41"/>
      <c r="X213" s="41"/>
      <c r="Y213" s="41"/>
      <c r="Z213" s="240"/>
      <c r="AA213" s="240"/>
      <c r="AB213" s="240"/>
      <c r="AC213" s="240"/>
      <c r="AD213" s="240"/>
      <c r="AE213" s="240"/>
      <c r="AF213" s="240"/>
      <c r="AG213" s="240"/>
      <c r="AH213" s="20"/>
      <c r="AI213" s="239"/>
      <c r="AJ213" s="239"/>
      <c r="AK213" s="239"/>
      <c r="AL213" s="239"/>
      <c r="AM213" s="238"/>
      <c r="AN213" s="238"/>
      <c r="AO213" s="238"/>
      <c r="AP213" s="238"/>
      <c r="AQ213" s="238"/>
      <c r="AR213" s="20"/>
      <c r="AS213" s="20"/>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0"/>
      <c r="BP213" s="20"/>
      <c r="BQ213" s="20"/>
      <c r="BR213" s="20"/>
      <c r="BS213" s="20"/>
      <c r="BT213" s="20"/>
      <c r="BU213" s="19"/>
      <c r="BV213" s="8"/>
      <c r="BW213" s="8"/>
      <c r="BX213" s="8"/>
      <c r="BY213" s="8"/>
      <c r="BZ213" s="10"/>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9"/>
      <c r="DI213" s="9"/>
      <c r="DJ213" s="9"/>
      <c r="DK213" s="9"/>
      <c r="DL213" s="9"/>
      <c r="DM213" s="9"/>
      <c r="DN213" s="9"/>
      <c r="DO213" s="9"/>
      <c r="DP213" s="9"/>
      <c r="DQ213" s="9"/>
    </row>
    <row r="214" spans="2:121" ht="12" customHeight="1">
      <c r="B214" s="23"/>
      <c r="C214" s="41"/>
      <c r="D214" s="41"/>
      <c r="E214" s="41"/>
      <c r="F214" s="41"/>
      <c r="G214" s="41"/>
      <c r="H214" s="41"/>
      <c r="I214" s="41"/>
      <c r="J214" s="41"/>
      <c r="K214" s="41"/>
      <c r="L214" s="241"/>
      <c r="M214" s="241"/>
      <c r="N214" s="241"/>
      <c r="O214" s="241"/>
      <c r="P214" s="241"/>
      <c r="Q214" s="241"/>
      <c r="R214" s="132"/>
      <c r="S214" s="132"/>
      <c r="T214" s="132"/>
      <c r="U214" s="132"/>
      <c r="V214" s="132"/>
      <c r="W214" s="41"/>
      <c r="X214" s="41"/>
      <c r="Y214" s="41"/>
      <c r="Z214" s="240"/>
      <c r="AA214" s="240"/>
      <c r="AB214" s="240"/>
      <c r="AC214" s="240"/>
      <c r="AD214" s="240"/>
      <c r="AE214" s="240"/>
      <c r="AF214" s="240"/>
      <c r="AG214" s="240"/>
      <c r="AH214" s="20"/>
      <c r="AI214" s="239"/>
      <c r="AJ214" s="239"/>
      <c r="AK214" s="239"/>
      <c r="AL214" s="239"/>
      <c r="AM214" s="238"/>
      <c r="AN214" s="238"/>
      <c r="AO214" s="238"/>
      <c r="AP214" s="238"/>
      <c r="AQ214" s="238"/>
      <c r="AR214" s="20"/>
      <c r="AS214" s="20"/>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0"/>
      <c r="BP214" s="20"/>
      <c r="BQ214" s="20"/>
      <c r="BR214" s="20"/>
      <c r="BS214" s="20"/>
      <c r="BT214" s="20"/>
      <c r="BU214" s="19"/>
      <c r="BV214" s="8"/>
      <c r="BW214" s="8"/>
      <c r="BX214" s="8"/>
      <c r="BY214" s="8"/>
      <c r="BZ214" s="10"/>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9"/>
      <c r="DI214" s="9"/>
      <c r="DJ214" s="9"/>
      <c r="DK214" s="9"/>
      <c r="DL214" s="9"/>
      <c r="DM214" s="9"/>
      <c r="DN214" s="9"/>
      <c r="DO214" s="9"/>
      <c r="DP214" s="9"/>
      <c r="DQ214" s="9"/>
    </row>
    <row r="215" spans="2:121" ht="12" customHeight="1">
      <c r="B215" s="23"/>
      <c r="C215" s="41"/>
      <c r="D215" s="41"/>
      <c r="E215" s="41"/>
      <c r="F215" s="41"/>
      <c r="G215" s="41"/>
      <c r="H215" s="41"/>
      <c r="I215" s="41"/>
      <c r="J215" s="41"/>
      <c r="K215" s="41"/>
      <c r="L215" s="241"/>
      <c r="M215" s="241"/>
      <c r="N215" s="241"/>
      <c r="O215" s="241"/>
      <c r="P215" s="241"/>
      <c r="Q215" s="241"/>
      <c r="R215" s="132"/>
      <c r="S215" s="132"/>
      <c r="T215" s="132"/>
      <c r="U215" s="132"/>
      <c r="V215" s="132"/>
      <c r="W215" s="41"/>
      <c r="X215" s="41"/>
      <c r="Y215" s="41"/>
      <c r="Z215" s="240"/>
      <c r="AA215" s="240"/>
      <c r="AB215" s="240"/>
      <c r="AC215" s="240"/>
      <c r="AD215" s="240"/>
      <c r="AE215" s="240"/>
      <c r="AF215" s="240"/>
      <c r="AG215" s="240"/>
      <c r="AH215" s="20"/>
      <c r="AI215" s="239"/>
      <c r="AJ215" s="239"/>
      <c r="AK215" s="239"/>
      <c r="AL215" s="239"/>
      <c r="AM215" s="238"/>
      <c r="AN215" s="238"/>
      <c r="AO215" s="238"/>
      <c r="AP215" s="238"/>
      <c r="AQ215" s="238"/>
      <c r="AR215" s="20"/>
      <c r="AS215" s="20"/>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0"/>
      <c r="BP215" s="20"/>
      <c r="BQ215" s="20"/>
      <c r="BR215" s="20"/>
      <c r="BS215" s="20"/>
      <c r="BT215" s="20"/>
      <c r="BU215" s="19"/>
      <c r="BV215" s="8"/>
      <c r="BW215" s="8"/>
      <c r="BX215" s="8"/>
      <c r="BY215" s="8"/>
      <c r="BZ215" s="10"/>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9"/>
      <c r="DI215" s="9"/>
      <c r="DJ215" s="9"/>
      <c r="DK215" s="9"/>
      <c r="DL215" s="9"/>
      <c r="DM215" s="9"/>
      <c r="DN215" s="9"/>
      <c r="DO215" s="9"/>
      <c r="DP215" s="9"/>
      <c r="DQ215" s="9"/>
    </row>
    <row r="216" spans="2:121" ht="12" customHeight="1">
      <c r="B216" s="23"/>
      <c r="C216" s="41"/>
      <c r="D216" s="41"/>
      <c r="E216" s="41"/>
      <c r="F216" s="41"/>
      <c r="G216" s="41"/>
      <c r="H216" s="41"/>
      <c r="I216" s="41"/>
      <c r="J216" s="41"/>
      <c r="K216" s="41"/>
      <c r="L216" s="241"/>
      <c r="M216" s="241"/>
      <c r="N216" s="241"/>
      <c r="O216" s="241"/>
      <c r="P216" s="241"/>
      <c r="Q216" s="241"/>
      <c r="R216" s="132"/>
      <c r="S216" s="132"/>
      <c r="T216" s="132"/>
      <c r="U216" s="132"/>
      <c r="V216" s="132"/>
      <c r="W216" s="41"/>
      <c r="X216" s="41"/>
      <c r="Y216" s="41"/>
      <c r="Z216" s="240"/>
      <c r="AA216" s="240"/>
      <c r="AB216" s="240"/>
      <c r="AC216" s="240"/>
      <c r="AD216" s="240"/>
      <c r="AE216" s="240"/>
      <c r="AF216" s="240"/>
      <c r="AG216" s="240"/>
      <c r="AH216" s="20"/>
      <c r="AI216" s="239"/>
      <c r="AJ216" s="239"/>
      <c r="AK216" s="239"/>
      <c r="AL216" s="239"/>
      <c r="AM216" s="238"/>
      <c r="AN216" s="238"/>
      <c r="AO216" s="238"/>
      <c r="AP216" s="238"/>
      <c r="AQ216" s="238"/>
      <c r="AR216" s="20"/>
      <c r="AS216" s="20"/>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0"/>
      <c r="BP216" s="20"/>
      <c r="BQ216" s="20"/>
      <c r="BR216" s="20"/>
      <c r="BS216" s="20"/>
      <c r="BT216" s="20"/>
      <c r="BU216" s="19"/>
      <c r="BV216" s="8"/>
      <c r="BW216" s="8"/>
      <c r="BX216" s="8"/>
      <c r="BY216" s="8"/>
      <c r="BZ216" s="10"/>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9"/>
      <c r="DI216" s="9"/>
      <c r="DJ216" s="9"/>
      <c r="DK216" s="9"/>
      <c r="DL216" s="9"/>
      <c r="DM216" s="9"/>
      <c r="DN216" s="9"/>
      <c r="DO216" s="9"/>
      <c r="DP216" s="9"/>
      <c r="DQ216" s="9"/>
    </row>
    <row r="217" spans="2:121" ht="12" customHeight="1">
      <c r="B217" s="23"/>
      <c r="C217" s="41"/>
      <c r="D217" s="41"/>
      <c r="E217" s="41"/>
      <c r="F217" s="41"/>
      <c r="G217" s="41"/>
      <c r="H217" s="41"/>
      <c r="I217" s="41"/>
      <c r="J217" s="41"/>
      <c r="K217" s="41"/>
      <c r="L217" s="241"/>
      <c r="M217" s="241"/>
      <c r="N217" s="241"/>
      <c r="O217" s="241"/>
      <c r="P217" s="241"/>
      <c r="Q217" s="241"/>
      <c r="R217" s="132"/>
      <c r="S217" s="132"/>
      <c r="T217" s="132"/>
      <c r="U217" s="132"/>
      <c r="V217" s="132"/>
      <c r="W217" s="41"/>
      <c r="X217" s="41"/>
      <c r="Y217" s="41"/>
      <c r="Z217" s="240"/>
      <c r="AA217" s="240"/>
      <c r="AB217" s="240"/>
      <c r="AC217" s="240"/>
      <c r="AD217" s="240"/>
      <c r="AE217" s="240"/>
      <c r="AF217" s="240"/>
      <c r="AG217" s="240"/>
      <c r="AH217" s="20"/>
      <c r="AI217" s="239"/>
      <c r="AJ217" s="239"/>
      <c r="AK217" s="239"/>
      <c r="AL217" s="239"/>
      <c r="AM217" s="238"/>
      <c r="AN217" s="238"/>
      <c r="AO217" s="238"/>
      <c r="AP217" s="238"/>
      <c r="AQ217" s="238"/>
      <c r="AR217" s="20"/>
      <c r="AS217" s="20"/>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0"/>
      <c r="BP217" s="20"/>
      <c r="BQ217" s="20"/>
      <c r="BR217" s="20"/>
      <c r="BS217" s="20"/>
      <c r="BT217" s="20"/>
      <c r="BU217" s="19"/>
      <c r="BV217" s="8"/>
      <c r="BW217" s="8"/>
      <c r="BX217" s="8"/>
      <c r="BY217" s="8"/>
      <c r="BZ217" s="10"/>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9"/>
      <c r="DI217" s="9"/>
      <c r="DJ217" s="9"/>
      <c r="DK217" s="9"/>
      <c r="DL217" s="9"/>
      <c r="DM217" s="9"/>
      <c r="DN217" s="9"/>
      <c r="DO217" s="9"/>
      <c r="DP217" s="9"/>
      <c r="DQ217" s="9"/>
    </row>
    <row r="218" spans="2:121" ht="12" customHeight="1">
      <c r="B218" s="23"/>
      <c r="C218" s="41"/>
      <c r="D218" s="41"/>
      <c r="E218" s="41"/>
      <c r="F218" s="41"/>
      <c r="G218" s="41"/>
      <c r="H218" s="41"/>
      <c r="I218" s="41"/>
      <c r="J218" s="41"/>
      <c r="K218" s="41"/>
      <c r="L218" s="241"/>
      <c r="M218" s="241"/>
      <c r="N218" s="241"/>
      <c r="O218" s="241"/>
      <c r="P218" s="241"/>
      <c r="Q218" s="241"/>
      <c r="R218" s="132"/>
      <c r="S218" s="132"/>
      <c r="T218" s="132"/>
      <c r="U218" s="132"/>
      <c r="V218" s="132"/>
      <c r="W218" s="41"/>
      <c r="X218" s="41"/>
      <c r="Y218" s="41"/>
      <c r="Z218" s="240"/>
      <c r="AA218" s="240"/>
      <c r="AB218" s="240"/>
      <c r="AC218" s="240"/>
      <c r="AD218" s="240"/>
      <c r="AE218" s="240"/>
      <c r="AF218" s="240"/>
      <c r="AG218" s="240"/>
      <c r="AH218" s="20"/>
      <c r="AI218" s="239"/>
      <c r="AJ218" s="239"/>
      <c r="AK218" s="239"/>
      <c r="AL218" s="239"/>
      <c r="AM218" s="238"/>
      <c r="AN218" s="238"/>
      <c r="AO218" s="238"/>
      <c r="AP218" s="238"/>
      <c r="AQ218" s="238"/>
      <c r="AR218" s="20"/>
      <c r="AS218" s="20"/>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0"/>
      <c r="BP218" s="20"/>
      <c r="BQ218" s="20"/>
      <c r="BR218" s="20"/>
      <c r="BS218" s="20"/>
      <c r="BT218" s="20"/>
      <c r="BU218" s="19"/>
      <c r="BV218" s="8"/>
      <c r="BW218" s="8"/>
      <c r="BX218" s="8"/>
      <c r="BY218" s="8"/>
      <c r="BZ218" s="10"/>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9"/>
      <c r="DI218" s="9"/>
      <c r="DJ218" s="9"/>
      <c r="DK218" s="9"/>
      <c r="DL218" s="9"/>
      <c r="DM218" s="9"/>
      <c r="DN218" s="9"/>
      <c r="DO218" s="9"/>
      <c r="DP218" s="9"/>
      <c r="DQ218" s="9"/>
    </row>
    <row r="219" spans="2:121" ht="12" customHeight="1">
      <c r="B219" s="23"/>
      <c r="C219" s="41"/>
      <c r="D219" s="41"/>
      <c r="E219" s="41"/>
      <c r="F219" s="41"/>
      <c r="G219" s="41"/>
      <c r="H219" s="41"/>
      <c r="I219" s="41"/>
      <c r="J219" s="41"/>
      <c r="K219" s="41"/>
      <c r="L219" s="241"/>
      <c r="M219" s="241"/>
      <c r="N219" s="241"/>
      <c r="O219" s="241"/>
      <c r="P219" s="241"/>
      <c r="Q219" s="241"/>
      <c r="R219" s="132"/>
      <c r="S219" s="132"/>
      <c r="T219" s="132"/>
      <c r="U219" s="132"/>
      <c r="V219" s="132"/>
      <c r="W219" s="41"/>
      <c r="X219" s="41"/>
      <c r="Y219" s="41"/>
      <c r="Z219" s="240"/>
      <c r="AA219" s="240"/>
      <c r="AB219" s="240"/>
      <c r="AC219" s="240"/>
      <c r="AD219" s="240"/>
      <c r="AE219" s="240"/>
      <c r="AF219" s="240"/>
      <c r="AG219" s="240"/>
      <c r="AH219" s="20"/>
      <c r="AI219" s="239"/>
      <c r="AJ219" s="239"/>
      <c r="AK219" s="239"/>
      <c r="AL219" s="239"/>
      <c r="AM219" s="238"/>
      <c r="AN219" s="238"/>
      <c r="AO219" s="238"/>
      <c r="AP219" s="238"/>
      <c r="AQ219" s="238"/>
      <c r="AR219" s="20"/>
      <c r="AS219" s="20"/>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0"/>
      <c r="BP219" s="20"/>
      <c r="BQ219" s="20"/>
      <c r="BR219" s="20"/>
      <c r="BS219" s="20"/>
      <c r="BT219" s="20"/>
      <c r="BU219" s="19"/>
      <c r="BV219" s="8"/>
      <c r="BW219" s="8"/>
      <c r="BX219" s="8"/>
      <c r="BY219" s="8"/>
      <c r="BZ219" s="10"/>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9"/>
      <c r="DI219" s="9"/>
      <c r="DJ219" s="9"/>
      <c r="DK219" s="9"/>
      <c r="DL219" s="9"/>
      <c r="DM219" s="9"/>
      <c r="DN219" s="9"/>
      <c r="DO219" s="9"/>
      <c r="DP219" s="9"/>
      <c r="DQ219" s="9"/>
    </row>
    <row r="220" spans="2:121" ht="12" customHeight="1">
      <c r="B220" s="23"/>
      <c r="C220" s="41"/>
      <c r="D220" s="41"/>
      <c r="E220" s="41"/>
      <c r="F220" s="41"/>
      <c r="G220" s="41"/>
      <c r="H220" s="41"/>
      <c r="I220" s="41"/>
      <c r="J220" s="41"/>
      <c r="K220" s="41"/>
      <c r="L220" s="241"/>
      <c r="M220" s="241"/>
      <c r="N220" s="241"/>
      <c r="O220" s="241"/>
      <c r="P220" s="241"/>
      <c r="Q220" s="241"/>
      <c r="R220" s="132"/>
      <c r="S220" s="132"/>
      <c r="T220" s="132"/>
      <c r="U220" s="132"/>
      <c r="V220" s="132"/>
      <c r="W220" s="41"/>
      <c r="X220" s="41"/>
      <c r="Y220" s="41"/>
      <c r="Z220" s="240"/>
      <c r="AA220" s="240"/>
      <c r="AB220" s="240"/>
      <c r="AC220" s="240"/>
      <c r="AD220" s="240"/>
      <c r="AE220" s="240"/>
      <c r="AF220" s="240"/>
      <c r="AG220" s="240"/>
      <c r="AH220" s="20"/>
      <c r="AI220" s="239"/>
      <c r="AJ220" s="239"/>
      <c r="AK220" s="239"/>
      <c r="AL220" s="239"/>
      <c r="AM220" s="238"/>
      <c r="AN220" s="238"/>
      <c r="AO220" s="238"/>
      <c r="AP220" s="238"/>
      <c r="AQ220" s="238"/>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19"/>
      <c r="BV220" s="8"/>
      <c r="BW220" s="8"/>
      <c r="BX220" s="8"/>
      <c r="BY220" s="8"/>
      <c r="BZ220" s="10"/>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9"/>
      <c r="DI220" s="9"/>
      <c r="DJ220" s="9"/>
      <c r="DK220" s="9"/>
      <c r="DL220" s="9"/>
      <c r="DM220" s="9"/>
      <c r="DN220" s="9"/>
      <c r="DO220" s="9"/>
      <c r="DP220" s="9"/>
      <c r="DQ220" s="9"/>
    </row>
    <row r="221" spans="2:121" ht="12" customHeight="1">
      <c r="B221" s="23"/>
      <c r="C221" s="41"/>
      <c r="D221" s="41"/>
      <c r="E221" s="41"/>
      <c r="F221" s="41"/>
      <c r="G221" s="41"/>
      <c r="H221" s="41"/>
      <c r="I221" s="41"/>
      <c r="J221" s="41"/>
      <c r="K221" s="41"/>
      <c r="L221" s="241"/>
      <c r="M221" s="241"/>
      <c r="N221" s="241"/>
      <c r="O221" s="241"/>
      <c r="P221" s="241"/>
      <c r="Q221" s="241"/>
      <c r="R221" s="132"/>
      <c r="S221" s="132"/>
      <c r="T221" s="132"/>
      <c r="U221" s="132"/>
      <c r="V221" s="132"/>
      <c r="W221" s="41"/>
      <c r="X221" s="41"/>
      <c r="Y221" s="41"/>
      <c r="Z221" s="240"/>
      <c r="AA221" s="240"/>
      <c r="AB221" s="240"/>
      <c r="AC221" s="240"/>
      <c r="AD221" s="240"/>
      <c r="AE221" s="240"/>
      <c r="AF221" s="240"/>
      <c r="AG221" s="240"/>
      <c r="AH221" s="20"/>
      <c r="AI221" s="239"/>
      <c r="AJ221" s="239"/>
      <c r="AK221" s="239"/>
      <c r="AL221" s="239"/>
      <c r="AM221" s="238"/>
      <c r="AN221" s="238"/>
      <c r="AO221" s="238"/>
      <c r="AP221" s="238"/>
      <c r="AQ221" s="238"/>
      <c r="AR221" s="20"/>
      <c r="AS221" s="20"/>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0"/>
      <c r="BP221" s="20"/>
      <c r="BQ221" s="20"/>
      <c r="BR221" s="20"/>
      <c r="BS221" s="20"/>
      <c r="BT221" s="20"/>
      <c r="BU221" s="19"/>
      <c r="BV221" s="8"/>
      <c r="BW221" s="8"/>
      <c r="BX221" s="8"/>
      <c r="BY221" s="8"/>
      <c r="BZ221" s="10"/>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9"/>
      <c r="DI221" s="9"/>
      <c r="DJ221" s="9"/>
      <c r="DK221" s="9"/>
      <c r="DL221" s="9"/>
      <c r="DM221" s="9"/>
      <c r="DN221" s="9"/>
      <c r="DO221" s="9"/>
      <c r="DP221" s="9"/>
      <c r="DQ221" s="9"/>
    </row>
    <row r="222" spans="2:121" ht="12" customHeight="1">
      <c r="B222" s="23"/>
      <c r="C222" s="41"/>
      <c r="D222" s="41"/>
      <c r="E222" s="41"/>
      <c r="F222" s="41"/>
      <c r="G222" s="41"/>
      <c r="H222" s="41"/>
      <c r="I222" s="41"/>
      <c r="J222" s="41"/>
      <c r="K222" s="41"/>
      <c r="L222" s="241"/>
      <c r="M222" s="241"/>
      <c r="N222" s="241"/>
      <c r="O222" s="241"/>
      <c r="P222" s="241"/>
      <c r="Q222" s="241"/>
      <c r="R222" s="132"/>
      <c r="S222" s="132"/>
      <c r="T222" s="132"/>
      <c r="U222" s="132"/>
      <c r="V222" s="132"/>
      <c r="W222" s="41"/>
      <c r="X222" s="41"/>
      <c r="Y222" s="41"/>
      <c r="Z222" s="240"/>
      <c r="AA222" s="240"/>
      <c r="AB222" s="240"/>
      <c r="AC222" s="240"/>
      <c r="AD222" s="240"/>
      <c r="AE222" s="240"/>
      <c r="AF222" s="240"/>
      <c r="AG222" s="240"/>
      <c r="AH222" s="20"/>
      <c r="AI222" s="239"/>
      <c r="AJ222" s="239"/>
      <c r="AK222" s="239"/>
      <c r="AL222" s="239"/>
      <c r="AM222" s="238"/>
      <c r="AN222" s="238"/>
      <c r="AO222" s="238"/>
      <c r="AP222" s="238"/>
      <c r="AQ222" s="238"/>
      <c r="AR222" s="20"/>
      <c r="AS222" s="20"/>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0"/>
      <c r="BP222" s="20"/>
      <c r="BQ222" s="20"/>
      <c r="BR222" s="20"/>
      <c r="BS222" s="20"/>
      <c r="BT222" s="20"/>
      <c r="BU222" s="19"/>
      <c r="BV222" s="8"/>
      <c r="BW222" s="8"/>
      <c r="BX222" s="8"/>
      <c r="BY222" s="8"/>
      <c r="BZ222" s="10"/>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9"/>
      <c r="DI222" s="9"/>
      <c r="DJ222" s="9"/>
      <c r="DK222" s="9"/>
      <c r="DL222" s="9"/>
      <c r="DM222" s="9"/>
      <c r="DN222" s="9"/>
      <c r="DO222" s="9"/>
      <c r="DP222" s="9"/>
      <c r="DQ222" s="9"/>
    </row>
    <row r="223" spans="2:121" ht="12" customHeight="1">
      <c r="B223" s="23"/>
      <c r="C223" s="41"/>
      <c r="D223" s="41"/>
      <c r="E223" s="41"/>
      <c r="F223" s="41"/>
      <c r="G223" s="41"/>
      <c r="H223" s="41"/>
      <c r="I223" s="41"/>
      <c r="J223" s="41"/>
      <c r="K223" s="41"/>
      <c r="L223" s="241"/>
      <c r="M223" s="241"/>
      <c r="N223" s="241"/>
      <c r="O223" s="241"/>
      <c r="P223" s="241"/>
      <c r="Q223" s="241"/>
      <c r="R223" s="132"/>
      <c r="S223" s="132"/>
      <c r="T223" s="132"/>
      <c r="U223" s="132"/>
      <c r="V223" s="132"/>
      <c r="W223" s="41"/>
      <c r="X223" s="41"/>
      <c r="Y223" s="41"/>
      <c r="Z223" s="240"/>
      <c r="AA223" s="240"/>
      <c r="AB223" s="240"/>
      <c r="AC223" s="240"/>
      <c r="AD223" s="240"/>
      <c r="AE223" s="240"/>
      <c r="AF223" s="240"/>
      <c r="AG223" s="240"/>
      <c r="AH223" s="20"/>
      <c r="AI223" s="239"/>
      <c r="AJ223" s="239"/>
      <c r="AK223" s="239"/>
      <c r="AL223" s="239"/>
      <c r="AM223" s="238"/>
      <c r="AN223" s="238"/>
      <c r="AO223" s="238"/>
      <c r="AP223" s="238"/>
      <c r="AQ223" s="238"/>
      <c r="AR223" s="20"/>
      <c r="AS223" s="20"/>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0"/>
      <c r="BP223" s="20"/>
      <c r="BQ223" s="20"/>
      <c r="BR223" s="20"/>
      <c r="BS223" s="20"/>
      <c r="BT223" s="20"/>
      <c r="BU223" s="19"/>
      <c r="BV223" s="8"/>
      <c r="BW223" s="8"/>
      <c r="BX223" s="8"/>
      <c r="BY223" s="8"/>
      <c r="BZ223" s="10"/>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9"/>
      <c r="DI223" s="9"/>
      <c r="DJ223" s="9"/>
      <c r="DK223" s="9"/>
      <c r="DL223" s="9"/>
      <c r="DM223" s="9"/>
      <c r="DN223" s="9"/>
      <c r="DO223" s="9"/>
      <c r="DP223" s="9"/>
      <c r="DQ223" s="9"/>
    </row>
    <row r="224" spans="2:121" ht="12" customHeight="1">
      <c r="B224" s="23"/>
      <c r="C224" s="41"/>
      <c r="D224" s="41"/>
      <c r="E224" s="41"/>
      <c r="F224" s="41"/>
      <c r="G224" s="41"/>
      <c r="H224" s="41"/>
      <c r="I224" s="41"/>
      <c r="J224" s="41"/>
      <c r="K224" s="41"/>
      <c r="L224" s="241"/>
      <c r="M224" s="241"/>
      <c r="N224" s="241"/>
      <c r="O224" s="241"/>
      <c r="P224" s="241"/>
      <c r="Q224" s="241"/>
      <c r="R224" s="132"/>
      <c r="S224" s="132"/>
      <c r="T224" s="132"/>
      <c r="U224" s="132"/>
      <c r="V224" s="132"/>
      <c r="W224" s="41"/>
      <c r="X224" s="41"/>
      <c r="Y224" s="41"/>
      <c r="Z224" s="240"/>
      <c r="AA224" s="240"/>
      <c r="AB224" s="240"/>
      <c r="AC224" s="240"/>
      <c r="AD224" s="240"/>
      <c r="AE224" s="240"/>
      <c r="AF224" s="240"/>
      <c r="AG224" s="240"/>
      <c r="AH224" s="20"/>
      <c r="AI224" s="239"/>
      <c r="AJ224" s="239"/>
      <c r="AK224" s="239"/>
      <c r="AL224" s="239"/>
      <c r="AM224" s="238"/>
      <c r="AN224" s="238"/>
      <c r="AO224" s="238"/>
      <c r="AP224" s="238"/>
      <c r="AQ224" s="238"/>
      <c r="AR224" s="20"/>
      <c r="AS224" s="20"/>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0"/>
      <c r="BP224" s="20"/>
      <c r="BQ224" s="20"/>
      <c r="BR224" s="20"/>
      <c r="BS224" s="20"/>
      <c r="BT224" s="20"/>
      <c r="BU224" s="19"/>
      <c r="BV224" s="8"/>
      <c r="BW224" s="8"/>
      <c r="BX224" s="8"/>
      <c r="BY224" s="8"/>
      <c r="BZ224" s="10"/>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9"/>
      <c r="DI224" s="9"/>
      <c r="DJ224" s="9"/>
      <c r="DK224" s="9"/>
      <c r="DL224" s="9"/>
      <c r="DM224" s="9"/>
      <c r="DN224" s="9"/>
      <c r="DO224" s="9"/>
      <c r="DP224" s="9"/>
      <c r="DQ224" s="9"/>
    </row>
    <row r="225" spans="2:121" ht="12" customHeight="1">
      <c r="B225" s="23"/>
      <c r="C225" s="41"/>
      <c r="D225" s="41"/>
      <c r="E225" s="41"/>
      <c r="F225" s="41"/>
      <c r="G225" s="41"/>
      <c r="H225" s="41"/>
      <c r="I225" s="41"/>
      <c r="J225" s="41"/>
      <c r="K225" s="41"/>
      <c r="L225" s="241"/>
      <c r="M225" s="241"/>
      <c r="N225" s="241"/>
      <c r="O225" s="241"/>
      <c r="P225" s="241"/>
      <c r="Q225" s="241"/>
      <c r="R225" s="132"/>
      <c r="S225" s="132"/>
      <c r="T225" s="132"/>
      <c r="U225" s="132"/>
      <c r="V225" s="132"/>
      <c r="W225" s="41"/>
      <c r="X225" s="41"/>
      <c r="Y225" s="41"/>
      <c r="Z225" s="240"/>
      <c r="AA225" s="240"/>
      <c r="AB225" s="240"/>
      <c r="AC225" s="240"/>
      <c r="AD225" s="240"/>
      <c r="AE225" s="240"/>
      <c r="AF225" s="240"/>
      <c r="AG225" s="240"/>
      <c r="AH225" s="20"/>
      <c r="AI225" s="239"/>
      <c r="AJ225" s="239"/>
      <c r="AK225" s="239"/>
      <c r="AL225" s="239"/>
      <c r="AM225" s="238"/>
      <c r="AN225" s="238"/>
      <c r="AO225" s="238"/>
      <c r="AP225" s="238"/>
      <c r="AQ225" s="238"/>
      <c r="AR225" s="20"/>
      <c r="AS225" s="20"/>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0"/>
      <c r="BP225" s="20"/>
      <c r="BQ225" s="20"/>
      <c r="BR225" s="20"/>
      <c r="BS225" s="20"/>
      <c r="BT225" s="20"/>
      <c r="BU225" s="19"/>
      <c r="BV225" s="8"/>
      <c r="BW225" s="8"/>
      <c r="BX225" s="8"/>
      <c r="BY225" s="8"/>
      <c r="BZ225" s="10"/>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9"/>
      <c r="DI225" s="9"/>
      <c r="DJ225" s="9"/>
      <c r="DK225" s="9"/>
      <c r="DL225" s="9"/>
      <c r="DM225" s="9"/>
      <c r="DN225" s="9"/>
      <c r="DO225" s="9"/>
      <c r="DP225" s="9"/>
      <c r="DQ225" s="9"/>
    </row>
    <row r="226" spans="2:121" ht="12" customHeight="1">
      <c r="B226" s="23"/>
      <c r="C226" s="41"/>
      <c r="D226" s="41"/>
      <c r="E226" s="41"/>
      <c r="F226" s="41"/>
      <c r="G226" s="41"/>
      <c r="H226" s="41"/>
      <c r="I226" s="41"/>
      <c r="J226" s="41"/>
      <c r="K226" s="41"/>
      <c r="L226" s="241"/>
      <c r="M226" s="241"/>
      <c r="N226" s="241"/>
      <c r="O226" s="241"/>
      <c r="P226" s="241"/>
      <c r="Q226" s="241"/>
      <c r="R226" s="132"/>
      <c r="S226" s="132"/>
      <c r="T226" s="132"/>
      <c r="U226" s="132"/>
      <c r="V226" s="132"/>
      <c r="W226" s="41"/>
      <c r="X226" s="41"/>
      <c r="Y226" s="41"/>
      <c r="Z226" s="240"/>
      <c r="AA226" s="240"/>
      <c r="AB226" s="240"/>
      <c r="AC226" s="240"/>
      <c r="AD226" s="240"/>
      <c r="AE226" s="240"/>
      <c r="AF226" s="240"/>
      <c r="AG226" s="240"/>
      <c r="AH226" s="20"/>
      <c r="AI226" s="239"/>
      <c r="AJ226" s="239"/>
      <c r="AK226" s="239"/>
      <c r="AL226" s="239"/>
      <c r="AM226" s="238"/>
      <c r="AN226" s="238"/>
      <c r="AO226" s="238"/>
      <c r="AP226" s="238"/>
      <c r="AQ226" s="238"/>
      <c r="AR226" s="20"/>
      <c r="AS226" s="20"/>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0"/>
      <c r="BP226" s="20"/>
      <c r="BQ226" s="20"/>
      <c r="BR226" s="20"/>
      <c r="BS226" s="20"/>
      <c r="BT226" s="20"/>
      <c r="BU226" s="19"/>
      <c r="BV226" s="8"/>
      <c r="BW226" s="8"/>
      <c r="BX226" s="8"/>
      <c r="BY226" s="8"/>
      <c r="BZ226" s="10"/>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9"/>
      <c r="DI226" s="9"/>
      <c r="DJ226" s="9"/>
      <c r="DK226" s="9"/>
      <c r="DL226" s="9"/>
      <c r="DM226" s="9"/>
      <c r="DN226" s="9"/>
      <c r="DO226" s="9"/>
      <c r="DP226" s="9"/>
      <c r="DQ226" s="9"/>
    </row>
    <row r="227" spans="2:121" ht="12" customHeight="1">
      <c r="B227" s="23"/>
      <c r="C227" s="41"/>
      <c r="D227" s="41"/>
      <c r="E227" s="41"/>
      <c r="F227" s="41"/>
      <c r="G227" s="41"/>
      <c r="H227" s="41"/>
      <c r="I227" s="41"/>
      <c r="J227" s="41"/>
      <c r="K227" s="41"/>
      <c r="L227" s="241"/>
      <c r="M227" s="241"/>
      <c r="N227" s="241"/>
      <c r="O227" s="241"/>
      <c r="P227" s="241"/>
      <c r="Q227" s="241"/>
      <c r="R227" s="132"/>
      <c r="S227" s="132"/>
      <c r="T227" s="132"/>
      <c r="U227" s="132"/>
      <c r="V227" s="132"/>
      <c r="W227" s="41"/>
      <c r="X227" s="41"/>
      <c r="Y227" s="41"/>
      <c r="Z227" s="240"/>
      <c r="AA227" s="240"/>
      <c r="AB227" s="240"/>
      <c r="AC227" s="240"/>
      <c r="AD227" s="240"/>
      <c r="AE227" s="240"/>
      <c r="AF227" s="240"/>
      <c r="AG227" s="240"/>
      <c r="AH227" s="20"/>
      <c r="AI227" s="239"/>
      <c r="AJ227" s="239"/>
      <c r="AK227" s="239"/>
      <c r="AL227" s="239"/>
      <c r="AM227" s="238"/>
      <c r="AN227" s="238"/>
      <c r="AO227" s="238"/>
      <c r="AP227" s="238"/>
      <c r="AQ227" s="238"/>
      <c r="AR227" s="20"/>
      <c r="AS227" s="20"/>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0"/>
      <c r="BP227" s="20"/>
      <c r="BQ227" s="20"/>
      <c r="BR227" s="20"/>
      <c r="BS227" s="20"/>
      <c r="BT227" s="20"/>
      <c r="BU227" s="19"/>
      <c r="BV227" s="8"/>
      <c r="BW227" s="8"/>
      <c r="BX227" s="8"/>
      <c r="BY227" s="8"/>
      <c r="BZ227" s="10"/>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9"/>
      <c r="DI227" s="9"/>
      <c r="DJ227" s="9"/>
      <c r="DK227" s="9"/>
      <c r="DL227" s="9"/>
      <c r="DM227" s="9"/>
      <c r="DN227" s="9"/>
      <c r="DO227" s="9"/>
      <c r="DP227" s="9"/>
      <c r="DQ227" s="9"/>
    </row>
    <row r="228" spans="2:121" ht="12" customHeight="1">
      <c r="B228" s="23"/>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19"/>
      <c r="BV228" s="8"/>
      <c r="BW228" s="8"/>
      <c r="BX228" s="8"/>
      <c r="BY228" s="8"/>
      <c r="BZ228" s="10"/>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row>
    <row r="229" spans="2:121" ht="12" customHeight="1">
      <c r="B229" s="23"/>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19"/>
      <c r="BV229" s="8"/>
      <c r="BW229" s="8"/>
      <c r="BX229" s="8"/>
      <c r="BY229" s="8"/>
      <c r="BZ229" s="10"/>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row>
    <row r="230" spans="2:121" ht="10.5" customHeight="1">
      <c r="B230" s="23"/>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19"/>
      <c r="BV230" s="8"/>
      <c r="BW230" s="8"/>
      <c r="BX230" s="8"/>
      <c r="BY230" s="8"/>
      <c r="BZ230" s="10"/>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row>
    <row r="231" spans="2:121" ht="10.5" customHeight="1">
      <c r="B231" s="23"/>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19"/>
      <c r="BV231" s="8"/>
      <c r="BW231" s="8"/>
      <c r="BX231" s="8"/>
      <c r="BY231" s="8"/>
      <c r="BZ231" s="10"/>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row>
    <row r="232" spans="2:121" ht="10.5" customHeight="1">
      <c r="B232" s="23"/>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19"/>
      <c r="BV232" s="8"/>
      <c r="BW232" s="8"/>
      <c r="BX232" s="8"/>
      <c r="BY232" s="8"/>
      <c r="BZ232" s="10"/>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row>
    <row r="233" spans="2:121" ht="10.5" customHeight="1">
      <c r="B233" s="23"/>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19"/>
      <c r="BV233" s="8"/>
      <c r="BW233" s="8"/>
      <c r="BX233" s="8"/>
      <c r="BY233" s="8"/>
      <c r="BZ233" s="10"/>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row>
    <row r="234" spans="2:121" ht="10.5" customHeight="1">
      <c r="B234" s="18"/>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6"/>
      <c r="BV234" s="8"/>
      <c r="BW234" s="8"/>
      <c r="BX234" s="8"/>
      <c r="BY234" s="8"/>
      <c r="BZ234" s="10"/>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row>
    <row r="235" spans="2:121" ht="10.5" customHeight="1">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8"/>
      <c r="BW235" s="8"/>
      <c r="BX235" s="8"/>
      <c r="BY235" s="8"/>
      <c r="BZ235" s="10"/>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row>
    <row r="236" spans="2:121" ht="10.5" customHeight="1">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8"/>
      <c r="BW236" s="8"/>
      <c r="BX236" s="8"/>
      <c r="BY236" s="8"/>
      <c r="BZ236" s="10"/>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row>
    <row r="237" spans="2:121" ht="10.5" customHeight="1">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8"/>
      <c r="BW237" s="8"/>
      <c r="BX237" s="8"/>
      <c r="BY237" s="8"/>
      <c r="BZ237" s="10"/>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row>
    <row r="238" spans="2:121" ht="10.5" customHeight="1">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8"/>
      <c r="BW238" s="8"/>
      <c r="BX238" s="8"/>
      <c r="BY238" s="8"/>
      <c r="BZ238" s="10"/>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row>
    <row r="239" spans="2:121" ht="10.5" customHeight="1">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row>
    <row r="240" spans="2:121" ht="10.5" customHeight="1">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row>
    <row r="241" spans="2:121" ht="10.5" customHeight="1">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row>
    <row r="242" spans="2:121" ht="10.5" customHeight="1">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row>
    <row r="243" spans="2:121" ht="10.5" customHeight="1">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row>
    <row r="244" spans="2:121" ht="10.5" customHeight="1">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row>
    <row r="245" spans="2:121" ht="10.5" customHeight="1">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row>
    <row r="246" spans="2:121" ht="10.5" customHeight="1">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row>
    <row r="247" spans="2:121" ht="10.5" customHeight="1">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row>
    <row r="248" spans="2:121" ht="10.5" customHeight="1">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row>
    <row r="249" spans="2:121" ht="10.5" customHeight="1">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row>
    <row r="250" spans="2:121" ht="10.5" customHeight="1">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row>
    <row r="251" spans="2:121" ht="10.5" customHeight="1">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row>
    <row r="252" spans="2:121" ht="10.5" customHeight="1">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row>
    <row r="253" spans="2:121" ht="10.5" customHeight="1">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row>
    <row r="254" spans="2:121" ht="10.5" customHeight="1">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row>
    <row r="255" spans="2:121" ht="10.5" customHeight="1">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row>
    <row r="256" spans="2:121" ht="10.5" customHeight="1">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row>
    <row r="257" spans="2:121" ht="10.5" customHeight="1">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row>
    <row r="258" spans="2:121" ht="10.5" customHeight="1">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row>
    <row r="259" spans="2:121" ht="10.5" customHeight="1">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row>
    <row r="260" spans="2:121" ht="10.5" customHeight="1">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row>
    <row r="261" spans="2:121" ht="10.5" customHeight="1">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row>
    <row r="262" spans="2:121" ht="10.5" customHeight="1">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row>
    <row r="263" spans="2:121" ht="10.5" customHeight="1">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row>
    <row r="264" spans="2:121" ht="10.5" customHeight="1">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row>
    <row r="265" spans="2:121" ht="10.5" customHeight="1">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row>
    <row r="266" spans="2:121" ht="10.5" customHeight="1">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row>
    <row r="267" spans="2:121" ht="10.5" customHeight="1">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row>
    <row r="268" spans="2:121" ht="10.5" customHeight="1">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row>
    <row r="269" spans="2:121" ht="10.5" customHeight="1">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row>
    <row r="270" spans="2:121" ht="10.5" customHeight="1">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row>
    <row r="271" spans="2:121" ht="10.5" customHeight="1">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row>
    <row r="272" spans="2:121">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row>
  </sheetData>
  <sheetProtection password="8220" sheet="1" objects="1" scenarios="1"/>
  <mergeCells count="2007">
    <mergeCell ref="BR140:BT140"/>
    <mergeCell ref="AQ140:AY140"/>
    <mergeCell ref="AZ140:BB140"/>
    <mergeCell ref="C140:H140"/>
    <mergeCell ref="I140:L140"/>
    <mergeCell ref="M140:R140"/>
    <mergeCell ref="S140:V140"/>
    <mergeCell ref="W140:AB140"/>
    <mergeCell ref="AC140:AF140"/>
    <mergeCell ref="BR138:BT138"/>
    <mergeCell ref="K139:R139"/>
    <mergeCell ref="S139:V139"/>
    <mergeCell ref="W139:AD139"/>
    <mergeCell ref="AE139:AL139"/>
    <mergeCell ref="BF139:BH139"/>
    <mergeCell ref="BI139:BM139"/>
    <mergeCell ref="BN139:BP139"/>
    <mergeCell ref="BR139:BT139"/>
    <mergeCell ref="AM138:AP138"/>
    <mergeCell ref="BC140:BE140"/>
    <mergeCell ref="C138:J138"/>
    <mergeCell ref="K138:R138"/>
    <mergeCell ref="S138:V138"/>
    <mergeCell ref="W138:AD138"/>
    <mergeCell ref="AE138:AL138"/>
    <mergeCell ref="BF138:BN138"/>
    <mergeCell ref="BO138:BQ138"/>
    <mergeCell ref="C139:J139"/>
    <mergeCell ref="BF140:BH140"/>
    <mergeCell ref="BI140:BM140"/>
    <mergeCell ref="BN140:BP140"/>
    <mergeCell ref="C128:H128"/>
    <mergeCell ref="C134:H134"/>
    <mergeCell ref="I134:L134"/>
    <mergeCell ref="M134:R134"/>
    <mergeCell ref="S134:V134"/>
    <mergeCell ref="C129:I129"/>
    <mergeCell ref="C137:E137"/>
    <mergeCell ref="F137:I137"/>
    <mergeCell ref="J137:M137"/>
    <mergeCell ref="AQ138:AY138"/>
    <mergeCell ref="AZ138:BB138"/>
    <mergeCell ref="BC138:BE138"/>
    <mergeCell ref="AM139:AP139"/>
    <mergeCell ref="AQ139:AY139"/>
    <mergeCell ref="AZ139:BB139"/>
    <mergeCell ref="BC139:BE139"/>
    <mergeCell ref="V136:X136"/>
    <mergeCell ref="AL135:AQ135"/>
    <mergeCell ref="C132:J132"/>
    <mergeCell ref="K132:R132"/>
    <mergeCell ref="S132:V132"/>
    <mergeCell ref="W132:AD132"/>
    <mergeCell ref="AE132:AL132"/>
    <mergeCell ref="C133:J133"/>
    <mergeCell ref="K133:R133"/>
    <mergeCell ref="S133:V133"/>
    <mergeCell ref="AI136:AO136"/>
    <mergeCell ref="AQ136:AW136"/>
    <mergeCell ref="AX136:BB136"/>
    <mergeCell ref="Y136:AC136"/>
    <mergeCell ref="J135:L135"/>
    <mergeCell ref="M135:U135"/>
    <mergeCell ref="BN128:BP128"/>
    <mergeCell ref="BR128:BT128"/>
    <mergeCell ref="AM127:AP127"/>
    <mergeCell ref="AQ127:AY127"/>
    <mergeCell ref="AZ127:BB127"/>
    <mergeCell ref="BC127:BE127"/>
    <mergeCell ref="BR127:BT127"/>
    <mergeCell ref="I128:L128"/>
    <mergeCell ref="M128:R128"/>
    <mergeCell ref="S128:V128"/>
    <mergeCell ref="W128:AB128"/>
    <mergeCell ref="AC128:AF128"/>
    <mergeCell ref="AG128:AL128"/>
    <mergeCell ref="AM128:AP128"/>
    <mergeCell ref="BF128:BH128"/>
    <mergeCell ref="BI128:BM128"/>
    <mergeCell ref="S127:V127"/>
    <mergeCell ref="W127:AD127"/>
    <mergeCell ref="AE127:AL127"/>
    <mergeCell ref="BF127:BH127"/>
    <mergeCell ref="BI127:BM127"/>
    <mergeCell ref="BN127:BP127"/>
    <mergeCell ref="AM122:AP122"/>
    <mergeCell ref="C120:J120"/>
    <mergeCell ref="K120:R120"/>
    <mergeCell ref="S120:V120"/>
    <mergeCell ref="W120:AD120"/>
    <mergeCell ref="AE120:AL120"/>
    <mergeCell ref="BR119:BT119"/>
    <mergeCell ref="AQ120:AY120"/>
    <mergeCell ref="AZ120:BB120"/>
    <mergeCell ref="BC120:BE120"/>
    <mergeCell ref="BR120:BT120"/>
    <mergeCell ref="AG116:AL116"/>
    <mergeCell ref="AM116:AP116"/>
    <mergeCell ref="BF116:BH116"/>
    <mergeCell ref="BI116:BM116"/>
    <mergeCell ref="BN116:BP116"/>
    <mergeCell ref="BR116:BT116"/>
    <mergeCell ref="BC116:BE116"/>
    <mergeCell ref="BI121:BM121"/>
    <mergeCell ref="BI122:BM122"/>
    <mergeCell ref="BN121:BP121"/>
    <mergeCell ref="BR121:BT121"/>
    <mergeCell ref="BN122:BP122"/>
    <mergeCell ref="BR122:BT122"/>
    <mergeCell ref="BR115:BT115"/>
    <mergeCell ref="AA113:AC113"/>
    <mergeCell ref="AD113:AF113"/>
    <mergeCell ref="AG113:AK113"/>
    <mergeCell ref="AL113:AP113"/>
    <mergeCell ref="AQ113:AY113"/>
    <mergeCell ref="BR113:BT113"/>
    <mergeCell ref="AM114:AP114"/>
    <mergeCell ref="C115:J115"/>
    <mergeCell ref="K115:R115"/>
    <mergeCell ref="S115:V115"/>
    <mergeCell ref="W115:AD115"/>
    <mergeCell ref="AE115:AL115"/>
    <mergeCell ref="BF115:BH115"/>
    <mergeCell ref="BF110:BH110"/>
    <mergeCell ref="BI110:BM110"/>
    <mergeCell ref="BN110:BP110"/>
    <mergeCell ref="BR110:BT110"/>
    <mergeCell ref="C114:J114"/>
    <mergeCell ref="K114:R114"/>
    <mergeCell ref="S114:V114"/>
    <mergeCell ref="W114:AD114"/>
    <mergeCell ref="AE114:AL114"/>
    <mergeCell ref="BR112:BT112"/>
    <mergeCell ref="M110:R110"/>
    <mergeCell ref="S110:V110"/>
    <mergeCell ref="W110:AB110"/>
    <mergeCell ref="AC110:AF110"/>
    <mergeCell ref="AG110:AL110"/>
    <mergeCell ref="AM110:AP110"/>
    <mergeCell ref="AQ114:AY114"/>
    <mergeCell ref="AZ114:BB114"/>
    <mergeCell ref="J112:M112"/>
    <mergeCell ref="W108:AD108"/>
    <mergeCell ref="AE108:AL108"/>
    <mergeCell ref="W107:Z107"/>
    <mergeCell ref="AA107:AC107"/>
    <mergeCell ref="C107:E107"/>
    <mergeCell ref="F107:I107"/>
    <mergeCell ref="J107:M107"/>
    <mergeCell ref="N107:R107"/>
    <mergeCell ref="BF107:BN107"/>
    <mergeCell ref="S107:V107"/>
    <mergeCell ref="AD106:AH106"/>
    <mergeCell ref="AI106:AO106"/>
    <mergeCell ref="AQ106:AW106"/>
    <mergeCell ref="AX106:BB106"/>
    <mergeCell ref="BC106:BI106"/>
    <mergeCell ref="BF104:BH104"/>
    <mergeCell ref="BI104:BM104"/>
    <mergeCell ref="BN104:BP104"/>
    <mergeCell ref="C109:J109"/>
    <mergeCell ref="AC111:AK111"/>
    <mergeCell ref="AL111:AQ111"/>
    <mergeCell ref="AS111:AX111"/>
    <mergeCell ref="AY111:BG111"/>
    <mergeCell ref="BH111:BM111"/>
    <mergeCell ref="BO111:BT111"/>
    <mergeCell ref="C108:J108"/>
    <mergeCell ref="K108:R108"/>
    <mergeCell ref="S108:V108"/>
    <mergeCell ref="N112:U112"/>
    <mergeCell ref="V112:X112"/>
    <mergeCell ref="J111:L111"/>
    <mergeCell ref="BO99:BT99"/>
    <mergeCell ref="V100:X100"/>
    <mergeCell ref="AZ101:BB101"/>
    <mergeCell ref="BC101:BE101"/>
    <mergeCell ref="BF101:BN101"/>
    <mergeCell ref="BO101:BQ101"/>
    <mergeCell ref="BR101:BT101"/>
    <mergeCell ref="BH105:BM105"/>
    <mergeCell ref="BO105:BT105"/>
    <mergeCell ref="BR106:BT106"/>
    <mergeCell ref="BC104:BE104"/>
    <mergeCell ref="C105:I105"/>
    <mergeCell ref="AQ104:AY104"/>
    <mergeCell ref="AZ104:BB104"/>
    <mergeCell ref="C106:I106"/>
    <mergeCell ref="J106:M106"/>
    <mergeCell ref="N106:U106"/>
    <mergeCell ref="BR104:BT104"/>
    <mergeCell ref="C100:I100"/>
    <mergeCell ref="J100:M100"/>
    <mergeCell ref="N100:U100"/>
    <mergeCell ref="C102:J102"/>
    <mergeCell ref="K102:R102"/>
    <mergeCell ref="S102:V102"/>
    <mergeCell ref="W102:AD102"/>
    <mergeCell ref="AE102:AL102"/>
    <mergeCell ref="W72:Z72"/>
    <mergeCell ref="AA72:AC72"/>
    <mergeCell ref="AQ71:AW71"/>
    <mergeCell ref="AX71:BB71"/>
    <mergeCell ref="BC71:BI71"/>
    <mergeCell ref="AY76:BG76"/>
    <mergeCell ref="AG78:AK78"/>
    <mergeCell ref="AL78:AP78"/>
    <mergeCell ref="C96:J96"/>
    <mergeCell ref="K96:R96"/>
    <mergeCell ref="S96:V96"/>
    <mergeCell ref="W96:AD96"/>
    <mergeCell ref="AE96:AL96"/>
    <mergeCell ref="BI91:BM91"/>
    <mergeCell ref="BN91:BP91"/>
    <mergeCell ref="BR91:BT91"/>
    <mergeCell ref="C92:H92"/>
    <mergeCell ref="I92:L92"/>
    <mergeCell ref="M92:R92"/>
    <mergeCell ref="S92:V92"/>
    <mergeCell ref="W92:AB92"/>
    <mergeCell ref="AC92:AF92"/>
    <mergeCell ref="AG92:AL92"/>
    <mergeCell ref="AA86:AC86"/>
    <mergeCell ref="C74:J74"/>
    <mergeCell ref="K74:R74"/>
    <mergeCell ref="S74:V74"/>
    <mergeCell ref="W74:AD74"/>
    <mergeCell ref="AE74:AL74"/>
    <mergeCell ref="AG75:AL75"/>
    <mergeCell ref="C76:I76"/>
    <mergeCell ref="AA76:AB76"/>
    <mergeCell ref="BF84:BN84"/>
    <mergeCell ref="C84:E86"/>
    <mergeCell ref="F84:I85"/>
    <mergeCell ref="J84:M85"/>
    <mergeCell ref="N84:R85"/>
    <mergeCell ref="S84:Z84"/>
    <mergeCell ref="AA84:AC85"/>
    <mergeCell ref="BF78:BN78"/>
    <mergeCell ref="F86:I86"/>
    <mergeCell ref="J86:M86"/>
    <mergeCell ref="N86:R86"/>
    <mergeCell ref="S85:V85"/>
    <mergeCell ref="W85:Z85"/>
    <mergeCell ref="AG85:AK86"/>
    <mergeCell ref="AL85:AP86"/>
    <mergeCell ref="BF85:BN85"/>
    <mergeCell ref="S86:V86"/>
    <mergeCell ref="W86:Z86"/>
    <mergeCell ref="AD84:AF85"/>
    <mergeCell ref="AG84:AP84"/>
    <mergeCell ref="AQ84:AY84"/>
    <mergeCell ref="AQ78:AY78"/>
    <mergeCell ref="AZ78:BB78"/>
    <mergeCell ref="BC78:BE78"/>
    <mergeCell ref="W80:AD80"/>
    <mergeCell ref="AE80:AL80"/>
    <mergeCell ref="AQ85:AY85"/>
    <mergeCell ref="AG57:AL57"/>
    <mergeCell ref="AM57:AP57"/>
    <mergeCell ref="BF57:BH57"/>
    <mergeCell ref="BI57:BM57"/>
    <mergeCell ref="BN57:BP57"/>
    <mergeCell ref="BR57:BT57"/>
    <mergeCell ref="AQ57:AY57"/>
    <mergeCell ref="AZ57:BB57"/>
    <mergeCell ref="BC57:BE57"/>
    <mergeCell ref="AS64:AX64"/>
    <mergeCell ref="AY64:BG64"/>
    <mergeCell ref="BH64:BM64"/>
    <mergeCell ref="BO64:BT64"/>
    <mergeCell ref="C57:H57"/>
    <mergeCell ref="I57:L57"/>
    <mergeCell ref="M57:R57"/>
    <mergeCell ref="S57:V57"/>
    <mergeCell ref="W57:AB57"/>
    <mergeCell ref="AC57:AF57"/>
    <mergeCell ref="J64:L64"/>
    <mergeCell ref="M64:U64"/>
    <mergeCell ref="V64:Z64"/>
    <mergeCell ref="AA64:AB64"/>
    <mergeCell ref="AC64:AK64"/>
    <mergeCell ref="AL64:AQ64"/>
    <mergeCell ref="C58:I58"/>
    <mergeCell ref="J58:L58"/>
    <mergeCell ref="C60:E60"/>
    <mergeCell ref="F60:I60"/>
    <mergeCell ref="J60:M60"/>
    <mergeCell ref="N60:R60"/>
    <mergeCell ref="S60:V60"/>
    <mergeCell ref="C52:I52"/>
    <mergeCell ref="BO55:BQ55"/>
    <mergeCell ref="C55:J55"/>
    <mergeCell ref="K55:R55"/>
    <mergeCell ref="S55:V55"/>
    <mergeCell ref="W55:AD55"/>
    <mergeCell ref="AE55:AL55"/>
    <mergeCell ref="C56:J56"/>
    <mergeCell ref="K56:R56"/>
    <mergeCell ref="S56:V56"/>
    <mergeCell ref="W56:AD56"/>
    <mergeCell ref="AE56:AL56"/>
    <mergeCell ref="BF56:BH56"/>
    <mergeCell ref="AG51:AL51"/>
    <mergeCell ref="AM51:AP51"/>
    <mergeCell ref="BF51:BH51"/>
    <mergeCell ref="BI51:BM51"/>
    <mergeCell ref="BN51:BP51"/>
    <mergeCell ref="AZ56:BB56"/>
    <mergeCell ref="BC56:BE56"/>
    <mergeCell ref="AM56:AP56"/>
    <mergeCell ref="AQ56:AY56"/>
    <mergeCell ref="C51:H51"/>
    <mergeCell ref="I51:L51"/>
    <mergeCell ref="M51:R51"/>
    <mergeCell ref="S51:V51"/>
    <mergeCell ref="W51:AB51"/>
    <mergeCell ref="AC51:AF51"/>
    <mergeCell ref="J52:L52"/>
    <mergeCell ref="M52:U52"/>
    <mergeCell ref="V52:Z52"/>
    <mergeCell ref="AA52:AB52"/>
    <mergeCell ref="C39:H39"/>
    <mergeCell ref="I39:L39"/>
    <mergeCell ref="M39:R39"/>
    <mergeCell ref="S39:V39"/>
    <mergeCell ref="W39:AB39"/>
    <mergeCell ref="AC39:AF39"/>
    <mergeCell ref="S37:V37"/>
    <mergeCell ref="W37:AD37"/>
    <mergeCell ref="AE37:AL37"/>
    <mergeCell ref="C38:J38"/>
    <mergeCell ref="K38:R38"/>
    <mergeCell ref="S38:V38"/>
    <mergeCell ref="W38:AD38"/>
    <mergeCell ref="AE38:AL38"/>
    <mergeCell ref="BI50:BM50"/>
    <mergeCell ref="BN50:BP50"/>
    <mergeCell ref="BR50:BT50"/>
    <mergeCell ref="AQ50:AY50"/>
    <mergeCell ref="C50:J50"/>
    <mergeCell ref="K50:R50"/>
    <mergeCell ref="S50:V50"/>
    <mergeCell ref="W50:AD50"/>
    <mergeCell ref="AE50:AL50"/>
    <mergeCell ref="BF50:BH50"/>
    <mergeCell ref="AM50:AP50"/>
    <mergeCell ref="BN45:BP45"/>
    <mergeCell ref="BR45:BT45"/>
    <mergeCell ref="C49:J49"/>
    <mergeCell ref="K49:R49"/>
    <mergeCell ref="S49:V49"/>
    <mergeCell ref="W49:AD49"/>
    <mergeCell ref="AE49:AL49"/>
    <mergeCell ref="AL34:AQ34"/>
    <mergeCell ref="AG39:AL39"/>
    <mergeCell ref="AM39:AP39"/>
    <mergeCell ref="BF39:BH39"/>
    <mergeCell ref="BI39:BM39"/>
    <mergeCell ref="BN39:BP39"/>
    <mergeCell ref="BR39:BT39"/>
    <mergeCell ref="AQ39:AY39"/>
    <mergeCell ref="AZ39:BB39"/>
    <mergeCell ref="BC39:BE39"/>
    <mergeCell ref="BF38:BH38"/>
    <mergeCell ref="BI38:BM38"/>
    <mergeCell ref="BN38:BP38"/>
    <mergeCell ref="BR38:BT38"/>
    <mergeCell ref="AZ33:BB33"/>
    <mergeCell ref="BC33:BE33"/>
    <mergeCell ref="AZ32:BB32"/>
    <mergeCell ref="BC32:BE32"/>
    <mergeCell ref="C32:J32"/>
    <mergeCell ref="K32:R32"/>
    <mergeCell ref="AG33:AL33"/>
    <mergeCell ref="AM33:AP33"/>
    <mergeCell ref="BF33:BH33"/>
    <mergeCell ref="BI33:BM33"/>
    <mergeCell ref="BN33:BP33"/>
    <mergeCell ref="BR33:BT33"/>
    <mergeCell ref="C33:H33"/>
    <mergeCell ref="I33:L33"/>
    <mergeCell ref="M33:R33"/>
    <mergeCell ref="S33:V33"/>
    <mergeCell ref="W33:AB33"/>
    <mergeCell ref="AC33:AF33"/>
    <mergeCell ref="AS129:AX129"/>
    <mergeCell ref="AY129:BG129"/>
    <mergeCell ref="BH129:BM129"/>
    <mergeCell ref="BO129:BT129"/>
    <mergeCell ref="C121:J121"/>
    <mergeCell ref="K121:R121"/>
    <mergeCell ref="S121:V121"/>
    <mergeCell ref="W121:AD121"/>
    <mergeCell ref="AE121:AL121"/>
    <mergeCell ref="BF121:BH121"/>
    <mergeCell ref="AY93:BG93"/>
    <mergeCell ref="AE97:AL97"/>
    <mergeCell ref="C99:I99"/>
    <mergeCell ref="C122:H122"/>
    <mergeCell ref="I122:L122"/>
    <mergeCell ref="AQ128:AY128"/>
    <mergeCell ref="BC128:BE128"/>
    <mergeCell ref="AZ128:BB128"/>
    <mergeCell ref="C126:J126"/>
    <mergeCell ref="AZ38:BB38"/>
    <mergeCell ref="AC27:AF27"/>
    <mergeCell ref="AG27:AL27"/>
    <mergeCell ref="AM27:AP27"/>
    <mergeCell ref="J129:L129"/>
    <mergeCell ref="M129:U129"/>
    <mergeCell ref="V129:Z129"/>
    <mergeCell ref="AA129:AB129"/>
    <mergeCell ref="AC129:AK129"/>
    <mergeCell ref="AL129:AQ129"/>
    <mergeCell ref="S126:V126"/>
    <mergeCell ref="AS99:AX99"/>
    <mergeCell ref="I27:L27"/>
    <mergeCell ref="M27:R27"/>
    <mergeCell ref="S27:V27"/>
    <mergeCell ref="W27:AB27"/>
    <mergeCell ref="AC93:AK93"/>
    <mergeCell ref="AL93:AQ93"/>
    <mergeCell ref="AS93:AX93"/>
    <mergeCell ref="J99:L99"/>
    <mergeCell ref="M99:U99"/>
    <mergeCell ref="V99:Z99"/>
    <mergeCell ref="C127:J127"/>
    <mergeCell ref="K127:R127"/>
    <mergeCell ref="C97:J97"/>
    <mergeCell ref="K97:R97"/>
    <mergeCell ref="S97:V97"/>
    <mergeCell ref="W97:AD97"/>
    <mergeCell ref="K126:R126"/>
    <mergeCell ref="AA99:AB99"/>
    <mergeCell ref="AC99:AK99"/>
    <mergeCell ref="W101:Z101"/>
    <mergeCell ref="AA101:AC101"/>
    <mergeCell ref="AD101:AF101"/>
    <mergeCell ref="AL105:AQ105"/>
    <mergeCell ref="AS105:AX105"/>
    <mergeCell ref="AY105:BG105"/>
    <mergeCell ref="Y106:AC106"/>
    <mergeCell ref="AY99:BG99"/>
    <mergeCell ref="BH99:BM99"/>
    <mergeCell ref="AG101:AK101"/>
    <mergeCell ref="AL101:AP101"/>
    <mergeCell ref="AQ101:AY101"/>
    <mergeCell ref="J87:L87"/>
    <mergeCell ref="M87:U87"/>
    <mergeCell ref="V87:Z87"/>
    <mergeCell ref="AA87:AB87"/>
    <mergeCell ref="AC87:AK87"/>
    <mergeCell ref="AL87:AQ87"/>
    <mergeCell ref="AS87:AX87"/>
    <mergeCell ref="AY87:BG87"/>
    <mergeCell ref="BH87:BM87"/>
    <mergeCell ref="BF97:BH97"/>
    <mergeCell ref="BI97:BM97"/>
    <mergeCell ref="BC88:BI88"/>
    <mergeCell ref="BK88:BQ88"/>
    <mergeCell ref="J88:M88"/>
    <mergeCell ref="N88:U88"/>
    <mergeCell ref="V88:X88"/>
    <mergeCell ref="AZ89:BB89"/>
    <mergeCell ref="BR78:BT78"/>
    <mergeCell ref="BN97:BP97"/>
    <mergeCell ref="BR97:BT97"/>
    <mergeCell ref="C98:H98"/>
    <mergeCell ref="I98:L98"/>
    <mergeCell ref="BN98:BP98"/>
    <mergeCell ref="BR98:BT98"/>
    <mergeCell ref="C90:J90"/>
    <mergeCell ref="K90:R90"/>
    <mergeCell ref="S90:V90"/>
    <mergeCell ref="W90:AD90"/>
    <mergeCell ref="AE90:AL90"/>
    <mergeCell ref="Y94:AC94"/>
    <mergeCell ref="BC92:BE92"/>
    <mergeCell ref="C93:I93"/>
    <mergeCell ref="AQ92:AY92"/>
    <mergeCell ref="AZ92:BB92"/>
    <mergeCell ref="W95:Z95"/>
    <mergeCell ref="M93:U93"/>
    <mergeCell ref="V93:Z93"/>
    <mergeCell ref="AA93:AB93"/>
    <mergeCell ref="C94:I94"/>
    <mergeCell ref="C95:E95"/>
    <mergeCell ref="F95:I95"/>
    <mergeCell ref="J95:M95"/>
    <mergeCell ref="N95:R95"/>
    <mergeCell ref="S95:V95"/>
    <mergeCell ref="AD94:AH94"/>
    <mergeCell ref="AI94:AO94"/>
    <mergeCell ref="J93:L93"/>
    <mergeCell ref="BF90:BN90"/>
    <mergeCell ref="BO90:BQ90"/>
    <mergeCell ref="BF60:BN60"/>
    <mergeCell ref="BO60:BQ60"/>
    <mergeCell ref="BR60:BT60"/>
    <mergeCell ref="BC60:BE60"/>
    <mergeCell ref="AS58:AX58"/>
    <mergeCell ref="BO70:BT70"/>
    <mergeCell ref="BR71:BT71"/>
    <mergeCell ref="AM73:AP73"/>
    <mergeCell ref="AQ73:AY73"/>
    <mergeCell ref="AZ73:BB73"/>
    <mergeCell ref="BO87:BT87"/>
    <mergeCell ref="BR79:BT79"/>
    <mergeCell ref="AM80:AP80"/>
    <mergeCell ref="AQ80:AY80"/>
    <mergeCell ref="AM79:AP79"/>
    <mergeCell ref="AQ79:AY79"/>
    <mergeCell ref="AZ79:BB79"/>
    <mergeCell ref="BC79:BE79"/>
    <mergeCell ref="BF79:BN79"/>
    <mergeCell ref="BO79:BQ79"/>
    <mergeCell ref="BO76:BT76"/>
    <mergeCell ref="AM75:AP75"/>
    <mergeCell ref="BF75:BH75"/>
    <mergeCell ref="BI75:BM75"/>
    <mergeCell ref="BN75:BP75"/>
    <mergeCell ref="BR75:BT75"/>
    <mergeCell ref="BR81:BT81"/>
    <mergeCell ref="AQ75:AY75"/>
    <mergeCell ref="AZ75:BB75"/>
    <mergeCell ref="BC75:BE75"/>
    <mergeCell ref="AZ74:BB74"/>
    <mergeCell ref="BC74:BE74"/>
    <mergeCell ref="J34:L34"/>
    <mergeCell ref="M34:U34"/>
    <mergeCell ref="V34:Z34"/>
    <mergeCell ref="AA34:AB34"/>
    <mergeCell ref="AC34:AK34"/>
    <mergeCell ref="J28:L28"/>
    <mergeCell ref="M28:U28"/>
    <mergeCell ref="V28:Z28"/>
    <mergeCell ref="AA28:AB28"/>
    <mergeCell ref="AC28:AK28"/>
    <mergeCell ref="BR31:BT31"/>
    <mergeCell ref="AC52:AK52"/>
    <mergeCell ref="AL52:AQ52"/>
    <mergeCell ref="AA46:AB46"/>
    <mergeCell ref="AC46:AK46"/>
    <mergeCell ref="AL46:AQ46"/>
    <mergeCell ref="AS46:AX46"/>
    <mergeCell ref="AY46:BG46"/>
    <mergeCell ref="BH46:BM46"/>
    <mergeCell ref="AL40:AQ40"/>
    <mergeCell ref="AS40:AX40"/>
    <mergeCell ref="AY40:BG40"/>
    <mergeCell ref="BH40:BM40"/>
    <mergeCell ref="AX41:BB41"/>
    <mergeCell ref="BC41:BI41"/>
    <mergeCell ref="BK41:BQ41"/>
    <mergeCell ref="AS52:AX52"/>
    <mergeCell ref="AY52:BG52"/>
    <mergeCell ref="BH52:BM52"/>
    <mergeCell ref="BO52:BT52"/>
    <mergeCell ref="AM49:AP49"/>
    <mergeCell ref="AQ49:AY49"/>
    <mergeCell ref="BR55:BT55"/>
    <mergeCell ref="AM55:AP55"/>
    <mergeCell ref="AQ55:AY55"/>
    <mergeCell ref="AS34:AX34"/>
    <mergeCell ref="AY34:BG34"/>
    <mergeCell ref="BH34:BM34"/>
    <mergeCell ref="BO34:BT34"/>
    <mergeCell ref="V29:X29"/>
    <mergeCell ref="AM32:AP32"/>
    <mergeCell ref="AQ32:AY32"/>
    <mergeCell ref="AM31:AP31"/>
    <mergeCell ref="AQ31:AY31"/>
    <mergeCell ref="AZ31:BB31"/>
    <mergeCell ref="AL28:AQ28"/>
    <mergeCell ref="AS28:AX28"/>
    <mergeCell ref="AY28:BG28"/>
    <mergeCell ref="BH28:BM28"/>
    <mergeCell ref="BO28:BT28"/>
    <mergeCell ref="BC55:BE55"/>
    <mergeCell ref="BF55:BN55"/>
    <mergeCell ref="AZ49:BB49"/>
    <mergeCell ref="BC49:BE49"/>
    <mergeCell ref="BF49:BN49"/>
    <mergeCell ref="AE31:AL31"/>
    <mergeCell ref="BC38:BE38"/>
    <mergeCell ref="BR37:BT37"/>
    <mergeCell ref="AM38:AP38"/>
    <mergeCell ref="AQ38:AY38"/>
    <mergeCell ref="BF32:BH32"/>
    <mergeCell ref="BI32:BM32"/>
    <mergeCell ref="BN32:BP32"/>
    <mergeCell ref="BR32:BT32"/>
    <mergeCell ref="BC31:BE31"/>
    <mergeCell ref="BF31:BN31"/>
    <mergeCell ref="BO31:BQ31"/>
    <mergeCell ref="C31:J31"/>
    <mergeCell ref="K31:R31"/>
    <mergeCell ref="AQ33:AY33"/>
    <mergeCell ref="AS22:AX22"/>
    <mergeCell ref="AY22:BG22"/>
    <mergeCell ref="BH22:BM22"/>
    <mergeCell ref="V16:Z16"/>
    <mergeCell ref="J16:L16"/>
    <mergeCell ref="M16:U16"/>
    <mergeCell ref="J22:L22"/>
    <mergeCell ref="M22:U22"/>
    <mergeCell ref="V22:Z22"/>
    <mergeCell ref="N17:U17"/>
    <mergeCell ref="V17:X17"/>
    <mergeCell ref="C19:J19"/>
    <mergeCell ref="C21:H21"/>
    <mergeCell ref="S32:V32"/>
    <mergeCell ref="W32:AD32"/>
    <mergeCell ref="AE32:AL32"/>
    <mergeCell ref="BO16:BT16"/>
    <mergeCell ref="BH16:BM16"/>
    <mergeCell ref="AY16:BG16"/>
    <mergeCell ref="AS16:AX16"/>
    <mergeCell ref="AL16:AQ16"/>
    <mergeCell ref="AC16:AK16"/>
    <mergeCell ref="AA16:AB16"/>
    <mergeCell ref="K26:R26"/>
    <mergeCell ref="S26:V26"/>
    <mergeCell ref="W26:AD26"/>
    <mergeCell ref="AE26:AL26"/>
    <mergeCell ref="BF26:BH26"/>
    <mergeCell ref="K20:R20"/>
    <mergeCell ref="BA3:BE3"/>
    <mergeCell ref="AW7:AZ7"/>
    <mergeCell ref="BA7:BD7"/>
    <mergeCell ref="R8:X8"/>
    <mergeCell ref="Y8:AB8"/>
    <mergeCell ref="AC8:AF8"/>
    <mergeCell ref="C16:I16"/>
    <mergeCell ref="AD18:AF18"/>
    <mergeCell ref="AG18:AK18"/>
    <mergeCell ref="C22:I22"/>
    <mergeCell ref="C28:I28"/>
    <mergeCell ref="V35:X35"/>
    <mergeCell ref="Y17:AC17"/>
    <mergeCell ref="AD17:AH17"/>
    <mergeCell ref="AI17:AO17"/>
    <mergeCell ref="W19:AD19"/>
    <mergeCell ref="B3:D3"/>
    <mergeCell ref="E3:W3"/>
    <mergeCell ref="Y3:AC3"/>
    <mergeCell ref="AE3:AI3"/>
    <mergeCell ref="AA15:AC15"/>
    <mergeCell ref="AD15:AF15"/>
    <mergeCell ref="AI8:AM8"/>
    <mergeCell ref="R7:X7"/>
    <mergeCell ref="Y7:AB7"/>
    <mergeCell ref="AD13:AF14"/>
    <mergeCell ref="C34:I34"/>
    <mergeCell ref="S31:V31"/>
    <mergeCell ref="W31:AD31"/>
    <mergeCell ref="AR7:AU7"/>
    <mergeCell ref="BO13:BQ15"/>
    <mergeCell ref="BR13:BT15"/>
    <mergeCell ref="BI10:BO10"/>
    <mergeCell ref="C13:E15"/>
    <mergeCell ref="F13:I14"/>
    <mergeCell ref="J13:M14"/>
    <mergeCell ref="N13:R14"/>
    <mergeCell ref="S13:Z13"/>
    <mergeCell ref="AA13:AC14"/>
    <mergeCell ref="AN8:AQ8"/>
    <mergeCell ref="AR8:AU8"/>
    <mergeCell ref="AW8:AZ8"/>
    <mergeCell ref="BA8:BD8"/>
    <mergeCell ref="AM19:AP19"/>
    <mergeCell ref="AQ19:AY19"/>
    <mergeCell ref="AZ19:BB19"/>
    <mergeCell ref="BC19:BE19"/>
    <mergeCell ref="AC6:AF6"/>
    <mergeCell ref="AR6:AU6"/>
    <mergeCell ref="AV6:BD6"/>
    <mergeCell ref="AC7:AF7"/>
    <mergeCell ref="AI7:AM7"/>
    <mergeCell ref="AN7:AQ7"/>
    <mergeCell ref="BP10:BQ10"/>
    <mergeCell ref="AG10:AK10"/>
    <mergeCell ref="AM10:AQ10"/>
    <mergeCell ref="AB10:AF10"/>
    <mergeCell ref="BF14:BN14"/>
    <mergeCell ref="F15:I15"/>
    <mergeCell ref="J15:M15"/>
    <mergeCell ref="N15:R15"/>
    <mergeCell ref="S15:V15"/>
    <mergeCell ref="W15:Z15"/>
    <mergeCell ref="BA9:BD9"/>
    <mergeCell ref="R10:Z11"/>
    <mergeCell ref="AR10:AU10"/>
    <mergeCell ref="AW10:AZ10"/>
    <mergeCell ref="BA10:BD10"/>
    <mergeCell ref="BF15:BN15"/>
    <mergeCell ref="AQ15:AY15"/>
    <mergeCell ref="BF13:BN13"/>
    <mergeCell ref="S14:V14"/>
    <mergeCell ref="W14:Z14"/>
    <mergeCell ref="AG13:AP13"/>
    <mergeCell ref="AQ13:AY13"/>
    <mergeCell ref="AI9:AM9"/>
    <mergeCell ref="AN9:AQ9"/>
    <mergeCell ref="AR9:AU9"/>
    <mergeCell ref="AW9:AZ9"/>
    <mergeCell ref="CK17:CN17"/>
    <mergeCell ref="C18:E18"/>
    <mergeCell ref="F18:I18"/>
    <mergeCell ref="J18:M18"/>
    <mergeCell ref="N18:R18"/>
    <mergeCell ref="S18:V18"/>
    <mergeCell ref="W18:Z18"/>
    <mergeCell ref="AA18:AC18"/>
    <mergeCell ref="AQ17:AW17"/>
    <mergeCell ref="AX17:BB17"/>
    <mergeCell ref="AG14:AK15"/>
    <mergeCell ref="AL14:AP15"/>
    <mergeCell ref="AQ14:AY14"/>
    <mergeCell ref="AZ13:BB15"/>
    <mergeCell ref="BC13:BE15"/>
    <mergeCell ref="CG17:CJ17"/>
    <mergeCell ref="BC17:BI17"/>
    <mergeCell ref="BK17:BQ17"/>
    <mergeCell ref="BR17:BT17"/>
    <mergeCell ref="BY17:CB17"/>
    <mergeCell ref="BF18:BN18"/>
    <mergeCell ref="BC18:BE18"/>
    <mergeCell ref="CC17:CF17"/>
    <mergeCell ref="AL18:AP18"/>
    <mergeCell ref="AQ21:AY21"/>
    <mergeCell ref="AZ21:BB21"/>
    <mergeCell ref="BC21:BE21"/>
    <mergeCell ref="AZ20:BB20"/>
    <mergeCell ref="BC20:BE20"/>
    <mergeCell ref="BR19:BT19"/>
    <mergeCell ref="BF19:BN19"/>
    <mergeCell ref="BO18:BQ18"/>
    <mergeCell ref="BR18:BT18"/>
    <mergeCell ref="C17:I17"/>
    <mergeCell ref="J17:M17"/>
    <mergeCell ref="AQ18:AY18"/>
    <mergeCell ref="AZ18:BB18"/>
    <mergeCell ref="BF21:BH21"/>
    <mergeCell ref="K19:R19"/>
    <mergeCell ref="BO19:BQ19"/>
    <mergeCell ref="BR20:BT20"/>
    <mergeCell ref="BI20:BM20"/>
    <mergeCell ref="BN20:BP20"/>
    <mergeCell ref="BI21:BM21"/>
    <mergeCell ref="BN21:BP21"/>
    <mergeCell ref="BR21:BT21"/>
    <mergeCell ref="BF20:BH20"/>
    <mergeCell ref="AE19:AL19"/>
    <mergeCell ref="S19:V19"/>
    <mergeCell ref="CK23:CN23"/>
    <mergeCell ref="C24:E24"/>
    <mergeCell ref="F24:I24"/>
    <mergeCell ref="J24:M24"/>
    <mergeCell ref="N24:R24"/>
    <mergeCell ref="S24:V24"/>
    <mergeCell ref="W24:Z24"/>
    <mergeCell ref="AA24:AC24"/>
    <mergeCell ref="AQ23:AW23"/>
    <mergeCell ref="AX23:BB23"/>
    <mergeCell ref="AM21:AP21"/>
    <mergeCell ref="W20:AD20"/>
    <mergeCell ref="AE20:AL20"/>
    <mergeCell ref="S20:V20"/>
    <mergeCell ref="C20:J20"/>
    <mergeCell ref="CG23:CJ23"/>
    <mergeCell ref="BC23:BI23"/>
    <mergeCell ref="BK23:BQ23"/>
    <mergeCell ref="BR23:BT23"/>
    <mergeCell ref="BY23:CB23"/>
    <mergeCell ref="I21:L21"/>
    <mergeCell ref="M21:R21"/>
    <mergeCell ref="S21:V21"/>
    <mergeCell ref="W21:AB21"/>
    <mergeCell ref="AC21:AF21"/>
    <mergeCell ref="AG21:AL21"/>
    <mergeCell ref="AM20:AP20"/>
    <mergeCell ref="AQ20:AY20"/>
    <mergeCell ref="BO22:BT22"/>
    <mergeCell ref="AA22:AB22"/>
    <mergeCell ref="AC22:AK22"/>
    <mergeCell ref="AL22:AQ22"/>
    <mergeCell ref="AQ24:AY24"/>
    <mergeCell ref="AZ24:BB24"/>
    <mergeCell ref="BC24:BE24"/>
    <mergeCell ref="BO25:BQ25"/>
    <mergeCell ref="C23:I23"/>
    <mergeCell ref="J23:M23"/>
    <mergeCell ref="N23:U23"/>
    <mergeCell ref="V23:X23"/>
    <mergeCell ref="C25:J25"/>
    <mergeCell ref="K25:R25"/>
    <mergeCell ref="Y23:AC23"/>
    <mergeCell ref="AD23:AH23"/>
    <mergeCell ref="AI23:AO23"/>
    <mergeCell ref="CC23:CF23"/>
    <mergeCell ref="BF24:BN24"/>
    <mergeCell ref="BO24:BQ24"/>
    <mergeCell ref="BR24:BT24"/>
    <mergeCell ref="AD24:AF24"/>
    <mergeCell ref="AG24:AK24"/>
    <mergeCell ref="AL24:AP24"/>
    <mergeCell ref="J30:M30"/>
    <mergeCell ref="N30:R30"/>
    <mergeCell ref="S30:V30"/>
    <mergeCell ref="W30:Z30"/>
    <mergeCell ref="AA30:AC30"/>
    <mergeCell ref="AQ29:AW29"/>
    <mergeCell ref="C26:J26"/>
    <mergeCell ref="BI26:BM26"/>
    <mergeCell ref="BN26:BP26"/>
    <mergeCell ref="BR26:BT26"/>
    <mergeCell ref="C27:H27"/>
    <mergeCell ref="BF27:BH27"/>
    <mergeCell ref="BI27:BM27"/>
    <mergeCell ref="BN27:BP27"/>
    <mergeCell ref="BR27:BT27"/>
    <mergeCell ref="BR25:BT25"/>
    <mergeCell ref="AM26:AP26"/>
    <mergeCell ref="AQ26:AY26"/>
    <mergeCell ref="AM25:AP25"/>
    <mergeCell ref="AQ25:AY25"/>
    <mergeCell ref="AZ25:BB25"/>
    <mergeCell ref="BC25:BE25"/>
    <mergeCell ref="BF25:BN25"/>
    <mergeCell ref="S25:V25"/>
    <mergeCell ref="W25:AD25"/>
    <mergeCell ref="AE25:AL25"/>
    <mergeCell ref="AQ27:AY27"/>
    <mergeCell ref="AZ27:BB27"/>
    <mergeCell ref="BC27:BE27"/>
    <mergeCell ref="AZ26:BB26"/>
    <mergeCell ref="BC26:BE26"/>
    <mergeCell ref="AZ30:BB30"/>
    <mergeCell ref="BC30:BE30"/>
    <mergeCell ref="CC29:CF29"/>
    <mergeCell ref="CG35:CJ35"/>
    <mergeCell ref="CK35:CN35"/>
    <mergeCell ref="C36:E36"/>
    <mergeCell ref="F36:I36"/>
    <mergeCell ref="J36:M36"/>
    <mergeCell ref="N36:R36"/>
    <mergeCell ref="S36:V36"/>
    <mergeCell ref="BF30:BN30"/>
    <mergeCell ref="BO30:BQ30"/>
    <mergeCell ref="BR30:BT30"/>
    <mergeCell ref="C29:I29"/>
    <mergeCell ref="J29:M29"/>
    <mergeCell ref="N29:U29"/>
    <mergeCell ref="AD30:AF30"/>
    <mergeCell ref="AG30:AK30"/>
    <mergeCell ref="AL30:AP30"/>
    <mergeCell ref="AQ30:AY30"/>
    <mergeCell ref="AX29:BB29"/>
    <mergeCell ref="BC29:BI29"/>
    <mergeCell ref="BK29:BQ29"/>
    <mergeCell ref="BR29:BT29"/>
    <mergeCell ref="BY29:CB29"/>
    <mergeCell ref="Y29:AC29"/>
    <mergeCell ref="AD29:AH29"/>
    <mergeCell ref="AI29:AO29"/>
    <mergeCell ref="CG29:CJ29"/>
    <mergeCell ref="CK29:CN29"/>
    <mergeCell ref="C30:E30"/>
    <mergeCell ref="F30:I30"/>
    <mergeCell ref="CC35:CF35"/>
    <mergeCell ref="C35:I35"/>
    <mergeCell ref="J35:M35"/>
    <mergeCell ref="N35:U35"/>
    <mergeCell ref="AM37:AP37"/>
    <mergeCell ref="AQ37:AY37"/>
    <mergeCell ref="AZ37:BB37"/>
    <mergeCell ref="BC37:BE37"/>
    <mergeCell ref="BF37:BN37"/>
    <mergeCell ref="BO37:BQ37"/>
    <mergeCell ref="BR35:BT35"/>
    <mergeCell ref="BY35:CB35"/>
    <mergeCell ref="Y35:AC35"/>
    <mergeCell ref="AD35:AH35"/>
    <mergeCell ref="AI35:AO35"/>
    <mergeCell ref="BF36:BN36"/>
    <mergeCell ref="BO36:BQ36"/>
    <mergeCell ref="BR36:BT36"/>
    <mergeCell ref="AD36:AF36"/>
    <mergeCell ref="AG36:AK36"/>
    <mergeCell ref="W36:Z36"/>
    <mergeCell ref="AA36:AC36"/>
    <mergeCell ref="AQ35:AW35"/>
    <mergeCell ref="AX35:BB35"/>
    <mergeCell ref="BC35:BI35"/>
    <mergeCell ref="BK35:BQ35"/>
    <mergeCell ref="AL36:AP36"/>
    <mergeCell ref="AQ36:AY36"/>
    <mergeCell ref="AZ36:BB36"/>
    <mergeCell ref="BC36:BE36"/>
    <mergeCell ref="C37:J37"/>
    <mergeCell ref="K37:R37"/>
    <mergeCell ref="J40:L40"/>
    <mergeCell ref="M40:U40"/>
    <mergeCell ref="V40:Z40"/>
    <mergeCell ref="AA40:AB40"/>
    <mergeCell ref="AL42:AP42"/>
    <mergeCell ref="BC42:BE42"/>
    <mergeCell ref="AZ42:BB42"/>
    <mergeCell ref="BR41:BT41"/>
    <mergeCell ref="BY41:CB41"/>
    <mergeCell ref="Y41:AC41"/>
    <mergeCell ref="AD41:AH41"/>
    <mergeCell ref="AI41:AO41"/>
    <mergeCell ref="C40:I40"/>
    <mergeCell ref="CG41:CJ41"/>
    <mergeCell ref="CK41:CN41"/>
    <mergeCell ref="C42:E42"/>
    <mergeCell ref="F42:I42"/>
    <mergeCell ref="J42:M42"/>
    <mergeCell ref="N42:R42"/>
    <mergeCell ref="S42:V42"/>
    <mergeCell ref="W42:Z42"/>
    <mergeCell ref="AA42:AC42"/>
    <mergeCell ref="AQ41:AW41"/>
    <mergeCell ref="AD42:AF42"/>
    <mergeCell ref="AG42:AK42"/>
    <mergeCell ref="AC40:AK40"/>
    <mergeCell ref="C41:I41"/>
    <mergeCell ref="J41:M41"/>
    <mergeCell ref="N41:U41"/>
    <mergeCell ref="V41:X41"/>
    <mergeCell ref="BO40:BT40"/>
    <mergeCell ref="CG47:CJ47"/>
    <mergeCell ref="CK47:CN47"/>
    <mergeCell ref="C48:E48"/>
    <mergeCell ref="F48:I48"/>
    <mergeCell ref="J48:M48"/>
    <mergeCell ref="N48:R48"/>
    <mergeCell ref="S48:V48"/>
    <mergeCell ref="W48:Z48"/>
    <mergeCell ref="AA48:AC48"/>
    <mergeCell ref="AM44:AP44"/>
    <mergeCell ref="AQ44:AY44"/>
    <mergeCell ref="AM43:AP43"/>
    <mergeCell ref="AQ43:AY43"/>
    <mergeCell ref="AZ43:BB43"/>
    <mergeCell ref="BC43:BE43"/>
    <mergeCell ref="BO43:BQ43"/>
    <mergeCell ref="CC41:CF41"/>
    <mergeCell ref="AQ45:AY45"/>
    <mergeCell ref="AZ45:BB45"/>
    <mergeCell ref="BC45:BE45"/>
    <mergeCell ref="AZ44:BB44"/>
    <mergeCell ref="BC44:BE44"/>
    <mergeCell ref="BR43:BT43"/>
    <mergeCell ref="BF43:BN43"/>
    <mergeCell ref="AQ42:AY42"/>
    <mergeCell ref="BF42:BN42"/>
    <mergeCell ref="BO42:BQ42"/>
    <mergeCell ref="BR42:BT42"/>
    <mergeCell ref="C46:I46"/>
    <mergeCell ref="C43:J43"/>
    <mergeCell ref="C47:I47"/>
    <mergeCell ref="J47:M47"/>
    <mergeCell ref="K43:R43"/>
    <mergeCell ref="S43:V43"/>
    <mergeCell ref="W43:AD43"/>
    <mergeCell ref="AE43:AL43"/>
    <mergeCell ref="C44:J44"/>
    <mergeCell ref="K44:R44"/>
    <mergeCell ref="S44:V44"/>
    <mergeCell ref="Y47:AC47"/>
    <mergeCell ref="AD47:AH47"/>
    <mergeCell ref="AI47:AO47"/>
    <mergeCell ref="BF48:BN48"/>
    <mergeCell ref="BO48:BQ48"/>
    <mergeCell ref="BR48:BT48"/>
    <mergeCell ref="AD48:AF48"/>
    <mergeCell ref="AG48:AK48"/>
    <mergeCell ref="AL48:AP48"/>
    <mergeCell ref="AQ48:AY48"/>
    <mergeCell ref="AQ47:AW47"/>
    <mergeCell ref="AX47:BB47"/>
    <mergeCell ref="BC47:BI47"/>
    <mergeCell ref="BK47:BQ47"/>
    <mergeCell ref="BR47:BT47"/>
    <mergeCell ref="BR44:BT44"/>
    <mergeCell ref="N47:U47"/>
    <mergeCell ref="V47:X47"/>
    <mergeCell ref="W44:AD44"/>
    <mergeCell ref="AE44:AL44"/>
    <mergeCell ref="BF44:BH44"/>
    <mergeCell ref="BI44:BM44"/>
    <mergeCell ref="BN44:BP44"/>
    <mergeCell ref="BO46:BT46"/>
    <mergeCell ref="W45:AB45"/>
    <mergeCell ref="C45:H45"/>
    <mergeCell ref="I45:L45"/>
    <mergeCell ref="M45:R45"/>
    <mergeCell ref="S45:V45"/>
    <mergeCell ref="AZ48:BB48"/>
    <mergeCell ref="BC48:BE48"/>
    <mergeCell ref="BO49:BQ49"/>
    <mergeCell ref="CC47:CF47"/>
    <mergeCell ref="AQ51:AY51"/>
    <mergeCell ref="AZ51:BB51"/>
    <mergeCell ref="BC51:BE51"/>
    <mergeCell ref="AZ50:BB50"/>
    <mergeCell ref="BC50:BE50"/>
    <mergeCell ref="BR49:BT49"/>
    <mergeCell ref="BY47:CB47"/>
    <mergeCell ref="AC45:AF45"/>
    <mergeCell ref="AG45:AL45"/>
    <mergeCell ref="AM45:AP45"/>
    <mergeCell ref="BF45:BH45"/>
    <mergeCell ref="BI45:BM45"/>
    <mergeCell ref="BR51:BT51"/>
    <mergeCell ref="J46:L46"/>
    <mergeCell ref="M46:U46"/>
    <mergeCell ref="V46:Z46"/>
    <mergeCell ref="CG59:CJ59"/>
    <mergeCell ref="CK59:CN59"/>
    <mergeCell ref="AQ59:AW59"/>
    <mergeCell ref="AX59:BB59"/>
    <mergeCell ref="BC59:BI59"/>
    <mergeCell ref="BK59:BQ59"/>
    <mergeCell ref="CC53:CF53"/>
    <mergeCell ref="BF54:BN54"/>
    <mergeCell ref="BO54:BQ54"/>
    <mergeCell ref="BR54:BT54"/>
    <mergeCell ref="AD54:AF54"/>
    <mergeCell ref="AG54:AK54"/>
    <mergeCell ref="AL54:AP54"/>
    <mergeCell ref="AQ54:AY54"/>
    <mergeCell ref="AZ54:BB54"/>
    <mergeCell ref="BC54:BE54"/>
    <mergeCell ref="AX53:BB53"/>
    <mergeCell ref="BC53:BI53"/>
    <mergeCell ref="BK53:BQ53"/>
    <mergeCell ref="BR53:BT53"/>
    <mergeCell ref="BY53:CB53"/>
    <mergeCell ref="AD53:AH53"/>
    <mergeCell ref="AI53:AO53"/>
    <mergeCell ref="CG53:CJ53"/>
    <mergeCell ref="CK53:CN53"/>
    <mergeCell ref="AQ53:AW53"/>
    <mergeCell ref="AZ55:BB55"/>
    <mergeCell ref="BI56:BM56"/>
    <mergeCell ref="BN56:BP56"/>
    <mergeCell ref="BR56:BT56"/>
    <mergeCell ref="AC58:AK58"/>
    <mergeCell ref="AL58:AQ58"/>
    <mergeCell ref="W60:Z60"/>
    <mergeCell ref="C53:I53"/>
    <mergeCell ref="J53:M53"/>
    <mergeCell ref="N53:U53"/>
    <mergeCell ref="V53:X53"/>
    <mergeCell ref="Y53:AC53"/>
    <mergeCell ref="C54:E54"/>
    <mergeCell ref="F54:I54"/>
    <mergeCell ref="J54:M54"/>
    <mergeCell ref="N54:R54"/>
    <mergeCell ref="S54:V54"/>
    <mergeCell ref="W54:Z54"/>
    <mergeCell ref="AA54:AC54"/>
    <mergeCell ref="M58:U58"/>
    <mergeCell ref="V58:Z58"/>
    <mergeCell ref="AA58:AB58"/>
    <mergeCell ref="AA60:AC60"/>
    <mergeCell ref="AY58:BG58"/>
    <mergeCell ref="BH58:BM58"/>
    <mergeCell ref="BO58:BT58"/>
    <mergeCell ref="AD59:AH59"/>
    <mergeCell ref="AI59:AO59"/>
    <mergeCell ref="AQ63:AY63"/>
    <mergeCell ref="AZ63:BB63"/>
    <mergeCell ref="BC63:BE63"/>
    <mergeCell ref="AZ62:BB62"/>
    <mergeCell ref="BC62:BE62"/>
    <mergeCell ref="W62:AD62"/>
    <mergeCell ref="AE62:AL62"/>
    <mergeCell ref="CC59:CF59"/>
    <mergeCell ref="C59:I59"/>
    <mergeCell ref="J59:M59"/>
    <mergeCell ref="N59:U59"/>
    <mergeCell ref="V59:X59"/>
    <mergeCell ref="AD60:AF60"/>
    <mergeCell ref="AG60:AK60"/>
    <mergeCell ref="AL60:AP60"/>
    <mergeCell ref="AQ60:AY60"/>
    <mergeCell ref="AZ60:BB60"/>
    <mergeCell ref="BR59:BT59"/>
    <mergeCell ref="BY59:CB59"/>
    <mergeCell ref="Y59:AC59"/>
    <mergeCell ref="BO61:BQ61"/>
    <mergeCell ref="C61:J61"/>
    <mergeCell ref="K61:R61"/>
    <mergeCell ref="S61:V61"/>
    <mergeCell ref="W61:AD61"/>
    <mergeCell ref="AE61:AL61"/>
    <mergeCell ref="C62:J62"/>
    <mergeCell ref="BF62:BH62"/>
    <mergeCell ref="BR61:BT61"/>
    <mergeCell ref="AM62:AP62"/>
    <mergeCell ref="AQ62:AY62"/>
    <mergeCell ref="AM61:AP61"/>
    <mergeCell ref="AQ61:AY61"/>
    <mergeCell ref="AZ61:BB61"/>
    <mergeCell ref="BC61:BE61"/>
    <mergeCell ref="BF61:BN61"/>
    <mergeCell ref="BI62:BM62"/>
    <mergeCell ref="BN62:BP62"/>
    <mergeCell ref="BR65:BT65"/>
    <mergeCell ref="K62:R62"/>
    <mergeCell ref="S62:V62"/>
    <mergeCell ref="CG65:CJ65"/>
    <mergeCell ref="CK65:CN65"/>
    <mergeCell ref="C66:E66"/>
    <mergeCell ref="F66:I66"/>
    <mergeCell ref="J66:M66"/>
    <mergeCell ref="N66:R66"/>
    <mergeCell ref="S66:V66"/>
    <mergeCell ref="W66:Z66"/>
    <mergeCell ref="BR62:BT62"/>
    <mergeCell ref="C63:H63"/>
    <mergeCell ref="I63:L63"/>
    <mergeCell ref="M63:R63"/>
    <mergeCell ref="S63:V63"/>
    <mergeCell ref="W63:AB63"/>
    <mergeCell ref="AC63:AF63"/>
    <mergeCell ref="AG63:AL63"/>
    <mergeCell ref="AM63:AP63"/>
    <mergeCell ref="BF63:BH63"/>
    <mergeCell ref="BI63:BM63"/>
    <mergeCell ref="BN63:BP63"/>
    <mergeCell ref="BR63:BT63"/>
    <mergeCell ref="CC65:CF65"/>
    <mergeCell ref="AQ69:AY69"/>
    <mergeCell ref="AZ69:BB69"/>
    <mergeCell ref="BC69:BE69"/>
    <mergeCell ref="AZ68:BB68"/>
    <mergeCell ref="BC68:BE68"/>
    <mergeCell ref="BR67:BT67"/>
    <mergeCell ref="AQ67:AY67"/>
    <mergeCell ref="AZ67:BB67"/>
    <mergeCell ref="BC67:BE67"/>
    <mergeCell ref="C64:I64"/>
    <mergeCell ref="BF66:BN66"/>
    <mergeCell ref="BO66:BQ66"/>
    <mergeCell ref="BR66:BT66"/>
    <mergeCell ref="AD66:AF66"/>
    <mergeCell ref="AG66:AK66"/>
    <mergeCell ref="AL66:AP66"/>
    <mergeCell ref="AQ66:AY66"/>
    <mergeCell ref="AZ66:BB66"/>
    <mergeCell ref="BY65:CB65"/>
    <mergeCell ref="Y65:AC65"/>
    <mergeCell ref="AD65:AH65"/>
    <mergeCell ref="AI65:AO65"/>
    <mergeCell ref="C65:I65"/>
    <mergeCell ref="J65:M65"/>
    <mergeCell ref="N65:U65"/>
    <mergeCell ref="V65:X65"/>
    <mergeCell ref="AA66:AC66"/>
    <mergeCell ref="AQ65:AW65"/>
    <mergeCell ref="BR69:BT69"/>
    <mergeCell ref="AM68:AP68"/>
    <mergeCell ref="AQ68:AY68"/>
    <mergeCell ref="CG71:CJ71"/>
    <mergeCell ref="CK71:CN71"/>
    <mergeCell ref="C72:E72"/>
    <mergeCell ref="F72:I72"/>
    <mergeCell ref="J72:M72"/>
    <mergeCell ref="N72:R72"/>
    <mergeCell ref="S72:V72"/>
    <mergeCell ref="W69:AB69"/>
    <mergeCell ref="AC69:AF69"/>
    <mergeCell ref="AG69:AL69"/>
    <mergeCell ref="AM69:AP69"/>
    <mergeCell ref="BF69:BH69"/>
    <mergeCell ref="BI69:BM69"/>
    <mergeCell ref="W68:AD68"/>
    <mergeCell ref="AE68:AL68"/>
    <mergeCell ref="BF68:BH68"/>
    <mergeCell ref="BI68:BM68"/>
    <mergeCell ref="BN68:BP68"/>
    <mergeCell ref="BR68:BT68"/>
    <mergeCell ref="C70:I70"/>
    <mergeCell ref="CC71:CF71"/>
    <mergeCell ref="C68:J68"/>
    <mergeCell ref="K68:R68"/>
    <mergeCell ref="S68:V68"/>
    <mergeCell ref="C69:H69"/>
    <mergeCell ref="I69:L69"/>
    <mergeCell ref="BN69:BP69"/>
    <mergeCell ref="C71:I71"/>
    <mergeCell ref="J71:M71"/>
    <mergeCell ref="AX65:BB65"/>
    <mergeCell ref="BC65:BI65"/>
    <mergeCell ref="BK65:BQ65"/>
    <mergeCell ref="BC66:BE66"/>
    <mergeCell ref="AM74:AP74"/>
    <mergeCell ref="AQ74:AY74"/>
    <mergeCell ref="BO67:BQ67"/>
    <mergeCell ref="AM67:AP67"/>
    <mergeCell ref="BF67:BN67"/>
    <mergeCell ref="BF74:BH74"/>
    <mergeCell ref="BI74:BM74"/>
    <mergeCell ref="BN74:BP74"/>
    <mergeCell ref="C75:H75"/>
    <mergeCell ref="I75:L75"/>
    <mergeCell ref="M75:R75"/>
    <mergeCell ref="S75:V75"/>
    <mergeCell ref="W75:AB75"/>
    <mergeCell ref="AC75:AF75"/>
    <mergeCell ref="C67:J67"/>
    <mergeCell ref="K67:R67"/>
    <mergeCell ref="S67:V67"/>
    <mergeCell ref="W67:AD67"/>
    <mergeCell ref="AE67:AL67"/>
    <mergeCell ref="AL70:AQ70"/>
    <mergeCell ref="AS70:AX70"/>
    <mergeCell ref="AY70:BG70"/>
    <mergeCell ref="BH70:BM70"/>
    <mergeCell ref="M69:R69"/>
    <mergeCell ref="S69:V69"/>
    <mergeCell ref="N71:U71"/>
    <mergeCell ref="V71:X71"/>
    <mergeCell ref="BF72:BN72"/>
    <mergeCell ref="CG77:CJ77"/>
    <mergeCell ref="CK77:CN77"/>
    <mergeCell ref="BO73:BQ73"/>
    <mergeCell ref="BR77:BT77"/>
    <mergeCell ref="BY77:CB77"/>
    <mergeCell ref="J70:L70"/>
    <mergeCell ref="M70:U70"/>
    <mergeCell ref="V70:Z70"/>
    <mergeCell ref="AA70:AB70"/>
    <mergeCell ref="AC70:AK70"/>
    <mergeCell ref="CC77:CF77"/>
    <mergeCell ref="AI77:AO77"/>
    <mergeCell ref="J76:L76"/>
    <mergeCell ref="M76:U76"/>
    <mergeCell ref="V76:Z76"/>
    <mergeCell ref="BC73:BE73"/>
    <mergeCell ref="BF73:BN73"/>
    <mergeCell ref="AD71:AH71"/>
    <mergeCell ref="AI71:AO71"/>
    <mergeCell ref="BO72:BQ72"/>
    <mergeCell ref="AD72:AF72"/>
    <mergeCell ref="AG72:AK72"/>
    <mergeCell ref="BK71:BQ71"/>
    <mergeCell ref="BC72:BE72"/>
    <mergeCell ref="AL72:AP72"/>
    <mergeCell ref="BY71:CB71"/>
    <mergeCell ref="Y71:AC71"/>
    <mergeCell ref="BR72:BT72"/>
    <mergeCell ref="BR73:BT73"/>
    <mergeCell ref="BR74:BT74"/>
    <mergeCell ref="AQ72:AY72"/>
    <mergeCell ref="AZ72:BB72"/>
    <mergeCell ref="C73:J73"/>
    <mergeCell ref="K73:R73"/>
    <mergeCell ref="S73:V73"/>
    <mergeCell ref="W73:AD73"/>
    <mergeCell ref="AE73:AL73"/>
    <mergeCell ref="C77:I77"/>
    <mergeCell ref="J77:M77"/>
    <mergeCell ref="N77:U77"/>
    <mergeCell ref="V77:X77"/>
    <mergeCell ref="BH76:BM76"/>
    <mergeCell ref="AQ77:AW77"/>
    <mergeCell ref="AX77:BB77"/>
    <mergeCell ref="BC77:BI77"/>
    <mergeCell ref="BK77:BQ77"/>
    <mergeCell ref="Y77:AC77"/>
    <mergeCell ref="AL76:AQ76"/>
    <mergeCell ref="BO78:BQ78"/>
    <mergeCell ref="C78:E78"/>
    <mergeCell ref="F78:I78"/>
    <mergeCell ref="J78:M78"/>
    <mergeCell ref="N78:R78"/>
    <mergeCell ref="S78:V78"/>
    <mergeCell ref="W78:Z78"/>
    <mergeCell ref="AA78:AC78"/>
    <mergeCell ref="AD78:AF78"/>
    <mergeCell ref="AC76:AK76"/>
    <mergeCell ref="AS76:AX76"/>
    <mergeCell ref="AD77:AH77"/>
    <mergeCell ref="BR80:BT80"/>
    <mergeCell ref="C81:H81"/>
    <mergeCell ref="BF80:BH80"/>
    <mergeCell ref="BI80:BM80"/>
    <mergeCell ref="BN80:BP80"/>
    <mergeCell ref="I81:L81"/>
    <mergeCell ref="M81:R81"/>
    <mergeCell ref="S81:V81"/>
    <mergeCell ref="AZ80:BB80"/>
    <mergeCell ref="BC80:BE80"/>
    <mergeCell ref="C79:J79"/>
    <mergeCell ref="K79:R79"/>
    <mergeCell ref="S79:V79"/>
    <mergeCell ref="W79:AD79"/>
    <mergeCell ref="AE79:AL79"/>
    <mergeCell ref="C80:J80"/>
    <mergeCell ref="K80:R80"/>
    <mergeCell ref="S80:V80"/>
    <mergeCell ref="AQ81:AY81"/>
    <mergeCell ref="AZ81:BB81"/>
    <mergeCell ref="BC81:BE81"/>
    <mergeCell ref="BY88:CB88"/>
    <mergeCell ref="CC88:CF88"/>
    <mergeCell ref="CG88:CJ88"/>
    <mergeCell ref="CK88:CN88"/>
    <mergeCell ref="C89:E89"/>
    <mergeCell ref="F89:I89"/>
    <mergeCell ref="J89:M89"/>
    <mergeCell ref="N89:R89"/>
    <mergeCell ref="S89:V89"/>
    <mergeCell ref="BN81:BP81"/>
    <mergeCell ref="BF91:BH91"/>
    <mergeCell ref="BR88:BT88"/>
    <mergeCell ref="AZ84:BB86"/>
    <mergeCell ref="BC84:BE86"/>
    <mergeCell ref="BO84:BQ86"/>
    <mergeCell ref="BR84:BT86"/>
    <mergeCell ref="BC89:BE89"/>
    <mergeCell ref="BF89:BN89"/>
    <mergeCell ref="BO89:BQ89"/>
    <mergeCell ref="W81:AB81"/>
    <mergeCell ref="AC81:AF81"/>
    <mergeCell ref="AG81:AL81"/>
    <mergeCell ref="AM81:AP81"/>
    <mergeCell ref="BF81:BH81"/>
    <mergeCell ref="BI81:BM81"/>
    <mergeCell ref="C87:I87"/>
    <mergeCell ref="AD86:AF86"/>
    <mergeCell ref="AQ86:AY86"/>
    <mergeCell ref="BF86:BN86"/>
    <mergeCell ref="Y88:AC88"/>
    <mergeCell ref="C88:I88"/>
    <mergeCell ref="AD88:AH88"/>
    <mergeCell ref="AI88:AO88"/>
    <mergeCell ref="AQ88:AW88"/>
    <mergeCell ref="AX88:BB88"/>
    <mergeCell ref="W89:Z89"/>
    <mergeCell ref="AA89:AC89"/>
    <mergeCell ref="AD89:AF89"/>
    <mergeCell ref="AG89:AK89"/>
    <mergeCell ref="AL89:AP89"/>
    <mergeCell ref="AQ89:AY89"/>
    <mergeCell ref="AQ94:AW94"/>
    <mergeCell ref="AX94:BB94"/>
    <mergeCell ref="AM92:AP92"/>
    <mergeCell ref="C91:J91"/>
    <mergeCell ref="K91:R91"/>
    <mergeCell ref="S91:V91"/>
    <mergeCell ref="W91:AD91"/>
    <mergeCell ref="AE91:AL91"/>
    <mergeCell ref="J94:M94"/>
    <mergeCell ref="N94:U94"/>
    <mergeCell ref="V94:X94"/>
    <mergeCell ref="AM90:AP90"/>
    <mergeCell ref="AQ90:AY90"/>
    <mergeCell ref="AZ90:BB90"/>
    <mergeCell ref="BC90:BE90"/>
    <mergeCell ref="BR89:BT89"/>
    <mergeCell ref="BR94:BT94"/>
    <mergeCell ref="BH93:BM93"/>
    <mergeCell ref="BO93:BT93"/>
    <mergeCell ref="BC94:BI94"/>
    <mergeCell ref="BK94:BQ94"/>
    <mergeCell ref="BF92:BH92"/>
    <mergeCell ref="BI92:BM92"/>
    <mergeCell ref="BN92:BP92"/>
    <mergeCell ref="BR92:BT92"/>
    <mergeCell ref="M98:R98"/>
    <mergeCell ref="S98:V98"/>
    <mergeCell ref="W98:AB98"/>
    <mergeCell ref="AC98:AF98"/>
    <mergeCell ref="AG98:AL98"/>
    <mergeCell ref="BF96:BN96"/>
    <mergeCell ref="BO96:BQ96"/>
    <mergeCell ref="AQ98:AY98"/>
    <mergeCell ref="AZ98:BB98"/>
    <mergeCell ref="AM97:AP97"/>
    <mergeCell ref="AQ97:AY97"/>
    <mergeCell ref="AZ97:BB97"/>
    <mergeCell ref="BC97:BE97"/>
    <mergeCell ref="AM98:AP98"/>
    <mergeCell ref="BI98:BM98"/>
    <mergeCell ref="AM91:AP91"/>
    <mergeCell ref="AQ91:AY91"/>
    <mergeCell ref="AZ91:BB91"/>
    <mergeCell ref="BC91:BE91"/>
    <mergeCell ref="BR90:BT90"/>
    <mergeCell ref="BY94:CB94"/>
    <mergeCell ref="CC94:CF94"/>
    <mergeCell ref="CG94:CJ94"/>
    <mergeCell ref="CK94:CN94"/>
    <mergeCell ref="BR96:BT96"/>
    <mergeCell ref="AZ103:BB103"/>
    <mergeCell ref="BC103:BE103"/>
    <mergeCell ref="BY100:CB100"/>
    <mergeCell ref="CC100:CF100"/>
    <mergeCell ref="AZ96:BB96"/>
    <mergeCell ref="AA95:AC95"/>
    <mergeCell ref="AD95:AF95"/>
    <mergeCell ref="AG95:AK95"/>
    <mergeCell ref="AL95:AP95"/>
    <mergeCell ref="AQ95:AY95"/>
    <mergeCell ref="BF98:BH98"/>
    <mergeCell ref="AM96:AP96"/>
    <mergeCell ref="AQ96:AY96"/>
    <mergeCell ref="BC96:BE96"/>
    <mergeCell ref="BC98:BE98"/>
    <mergeCell ref="AZ95:BB95"/>
    <mergeCell ref="BC95:BE95"/>
    <mergeCell ref="BF95:BN95"/>
    <mergeCell ref="BO95:BQ95"/>
    <mergeCell ref="BR95:BT95"/>
    <mergeCell ref="AL99:AQ99"/>
    <mergeCell ref="BN103:BP103"/>
    <mergeCell ref="BR103:BT103"/>
    <mergeCell ref="BK100:BQ100"/>
    <mergeCell ref="Y100:AC100"/>
    <mergeCell ref="BR100:BT100"/>
    <mergeCell ref="BF102:BN102"/>
    <mergeCell ref="CG100:CJ100"/>
    <mergeCell ref="CK100:CN100"/>
    <mergeCell ref="C101:E101"/>
    <mergeCell ref="F101:I101"/>
    <mergeCell ref="J101:M101"/>
    <mergeCell ref="N101:R101"/>
    <mergeCell ref="S101:V101"/>
    <mergeCell ref="AD100:AH100"/>
    <mergeCell ref="AI100:AO100"/>
    <mergeCell ref="AQ100:AW100"/>
    <mergeCell ref="BO102:BQ102"/>
    <mergeCell ref="BR102:BT102"/>
    <mergeCell ref="AM102:AP102"/>
    <mergeCell ref="AQ102:AY102"/>
    <mergeCell ref="AZ102:BB102"/>
    <mergeCell ref="BC102:BE102"/>
    <mergeCell ref="AX100:BB100"/>
    <mergeCell ref="BC100:BI100"/>
    <mergeCell ref="CG106:CJ106"/>
    <mergeCell ref="CK106:CN106"/>
    <mergeCell ref="BK106:BQ106"/>
    <mergeCell ref="AM103:AP103"/>
    <mergeCell ref="AQ103:AY103"/>
    <mergeCell ref="C104:H104"/>
    <mergeCell ref="I104:L104"/>
    <mergeCell ref="M104:R104"/>
    <mergeCell ref="S104:V104"/>
    <mergeCell ref="W104:AB104"/>
    <mergeCell ref="AC104:AF104"/>
    <mergeCell ref="AG104:AL104"/>
    <mergeCell ref="AM104:AP104"/>
    <mergeCell ref="C103:J103"/>
    <mergeCell ref="K103:R103"/>
    <mergeCell ref="S103:V103"/>
    <mergeCell ref="W103:AD103"/>
    <mergeCell ref="CC106:CF106"/>
    <mergeCell ref="AE103:AL103"/>
    <mergeCell ref="BF103:BH103"/>
    <mergeCell ref="BI103:BM103"/>
    <mergeCell ref="V106:X106"/>
    <mergeCell ref="J105:L105"/>
    <mergeCell ref="M105:U105"/>
    <mergeCell ref="V105:Z105"/>
    <mergeCell ref="AA105:AB105"/>
    <mergeCell ref="AC105:AK105"/>
    <mergeCell ref="BY106:CB106"/>
    <mergeCell ref="M111:U111"/>
    <mergeCell ref="V111:Z111"/>
    <mergeCell ref="AA111:AB111"/>
    <mergeCell ref="BR107:BT107"/>
    <mergeCell ref="BO107:BQ107"/>
    <mergeCell ref="AM108:AP108"/>
    <mergeCell ref="AQ108:AY108"/>
    <mergeCell ref="AZ108:BB108"/>
    <mergeCell ref="BC108:BE108"/>
    <mergeCell ref="BF108:BN108"/>
    <mergeCell ref="BO108:BQ108"/>
    <mergeCell ref="BR108:BT108"/>
    <mergeCell ref="AD107:AF107"/>
    <mergeCell ref="AG107:AK107"/>
    <mergeCell ref="AL107:AP107"/>
    <mergeCell ref="AQ107:AY107"/>
    <mergeCell ref="AZ107:BB107"/>
    <mergeCell ref="BC107:BE107"/>
    <mergeCell ref="BC109:BE109"/>
    <mergeCell ref="C112:I112"/>
    <mergeCell ref="CC112:CF112"/>
    <mergeCell ref="CG112:CJ112"/>
    <mergeCell ref="CK112:CN112"/>
    <mergeCell ref="C113:E113"/>
    <mergeCell ref="F113:I113"/>
    <mergeCell ref="J113:M113"/>
    <mergeCell ref="N113:R113"/>
    <mergeCell ref="BN109:BP109"/>
    <mergeCell ref="BR109:BT109"/>
    <mergeCell ref="C110:H110"/>
    <mergeCell ref="I110:L110"/>
    <mergeCell ref="BF114:BN114"/>
    <mergeCell ref="BO114:BQ114"/>
    <mergeCell ref="BR114:BT114"/>
    <mergeCell ref="S113:V113"/>
    <mergeCell ref="AD112:AH112"/>
    <mergeCell ref="AI112:AO112"/>
    <mergeCell ref="K109:R109"/>
    <mergeCell ref="S109:V109"/>
    <mergeCell ref="W109:AD109"/>
    <mergeCell ref="AE109:AL109"/>
    <mergeCell ref="BF109:BH109"/>
    <mergeCell ref="BI109:BM109"/>
    <mergeCell ref="AQ110:AY110"/>
    <mergeCell ref="BY112:CB112"/>
    <mergeCell ref="BC110:BE110"/>
    <mergeCell ref="C111:I111"/>
    <mergeCell ref="AZ110:BB110"/>
    <mergeCell ref="AM109:AP109"/>
    <mergeCell ref="AQ109:AY109"/>
    <mergeCell ref="AZ109:BB109"/>
    <mergeCell ref="BC114:BE114"/>
    <mergeCell ref="AM115:AP115"/>
    <mergeCell ref="AQ115:AY115"/>
    <mergeCell ref="AZ115:BB115"/>
    <mergeCell ref="BC115:BE115"/>
    <mergeCell ref="AQ112:AW112"/>
    <mergeCell ref="AX112:BB112"/>
    <mergeCell ref="BC112:BI112"/>
    <mergeCell ref="BK112:BQ112"/>
    <mergeCell ref="Y112:AC112"/>
    <mergeCell ref="AZ113:BB113"/>
    <mergeCell ref="BC113:BE113"/>
    <mergeCell ref="BF113:BN113"/>
    <mergeCell ref="BO113:BQ113"/>
    <mergeCell ref="W113:Z113"/>
    <mergeCell ref="BI115:BM115"/>
    <mergeCell ref="BN115:BP115"/>
    <mergeCell ref="V124:X124"/>
    <mergeCell ref="C123:I123"/>
    <mergeCell ref="BC118:BI118"/>
    <mergeCell ref="BK118:BQ118"/>
    <mergeCell ref="BF120:BN120"/>
    <mergeCell ref="BO120:BQ120"/>
    <mergeCell ref="BH117:BM117"/>
    <mergeCell ref="BO117:BT117"/>
    <mergeCell ref="C116:H116"/>
    <mergeCell ref="I116:L116"/>
    <mergeCell ref="M116:R116"/>
    <mergeCell ref="S116:V116"/>
    <mergeCell ref="W116:AB116"/>
    <mergeCell ref="AC116:AF116"/>
    <mergeCell ref="BR118:BT118"/>
    <mergeCell ref="V118:X118"/>
    <mergeCell ref="J117:L117"/>
    <mergeCell ref="M117:U117"/>
    <mergeCell ref="V117:Z117"/>
    <mergeCell ref="AA117:AB117"/>
    <mergeCell ref="AC117:AK117"/>
    <mergeCell ref="AL117:AQ117"/>
    <mergeCell ref="AS117:AX117"/>
    <mergeCell ref="AY117:BG117"/>
    <mergeCell ref="C117:I117"/>
    <mergeCell ref="AQ116:AY116"/>
    <mergeCell ref="AZ116:BB116"/>
    <mergeCell ref="W119:Z119"/>
    <mergeCell ref="AA119:AC119"/>
    <mergeCell ref="AD119:AF119"/>
    <mergeCell ref="AG119:AK119"/>
    <mergeCell ref="AL119:AP119"/>
    <mergeCell ref="J123:L123"/>
    <mergeCell ref="M123:U123"/>
    <mergeCell ref="V123:Z123"/>
    <mergeCell ref="AA123:AB123"/>
    <mergeCell ref="AC123:AK123"/>
    <mergeCell ref="AL123:AQ123"/>
    <mergeCell ref="CK118:CN118"/>
    <mergeCell ref="C119:E119"/>
    <mergeCell ref="F119:I119"/>
    <mergeCell ref="J119:M119"/>
    <mergeCell ref="N119:R119"/>
    <mergeCell ref="S119:V119"/>
    <mergeCell ref="AD118:AH118"/>
    <mergeCell ref="AI118:AO118"/>
    <mergeCell ref="AQ118:AW118"/>
    <mergeCell ref="AX118:BB118"/>
    <mergeCell ref="CG118:CJ118"/>
    <mergeCell ref="BC119:BE119"/>
    <mergeCell ref="BF119:BN119"/>
    <mergeCell ref="BO119:BQ119"/>
    <mergeCell ref="AQ119:AY119"/>
    <mergeCell ref="Y118:AC118"/>
    <mergeCell ref="C118:I118"/>
    <mergeCell ref="J118:M118"/>
    <mergeCell ref="N118:U118"/>
    <mergeCell ref="BF122:BH122"/>
    <mergeCell ref="M122:R122"/>
    <mergeCell ref="S122:V122"/>
    <mergeCell ref="W122:AB122"/>
    <mergeCell ref="AD124:AH124"/>
    <mergeCell ref="AI124:AO124"/>
    <mergeCell ref="AQ124:AW124"/>
    <mergeCell ref="AX124:BB124"/>
    <mergeCell ref="CC118:CF118"/>
    <mergeCell ref="BC122:BE122"/>
    <mergeCell ref="AQ122:AY122"/>
    <mergeCell ref="AZ122:BB122"/>
    <mergeCell ref="AM121:AP121"/>
    <mergeCell ref="AQ121:AY121"/>
    <mergeCell ref="BH123:BM123"/>
    <mergeCell ref="BO123:BT123"/>
    <mergeCell ref="BF126:BN126"/>
    <mergeCell ref="BO126:BQ126"/>
    <mergeCell ref="BR126:BT126"/>
    <mergeCell ref="BY118:CB118"/>
    <mergeCell ref="BC124:BI124"/>
    <mergeCell ref="BK124:BQ124"/>
    <mergeCell ref="AZ119:BB119"/>
    <mergeCell ref="AM120:AP120"/>
    <mergeCell ref="AZ121:BB121"/>
    <mergeCell ref="BC121:BE121"/>
    <mergeCell ref="AM126:AP126"/>
    <mergeCell ref="AQ126:AY126"/>
    <mergeCell ref="AZ126:BB126"/>
    <mergeCell ref="BC126:BE126"/>
    <mergeCell ref="AS123:AX123"/>
    <mergeCell ref="AY123:BG123"/>
    <mergeCell ref="W126:AD126"/>
    <mergeCell ref="AE126:AL126"/>
    <mergeCell ref="AC122:AF122"/>
    <mergeCell ref="AG122:AL122"/>
    <mergeCell ref="AG125:AK125"/>
    <mergeCell ref="AL125:AP125"/>
    <mergeCell ref="AQ125:AY125"/>
    <mergeCell ref="CG130:CJ130"/>
    <mergeCell ref="CK130:CN130"/>
    <mergeCell ref="C131:E131"/>
    <mergeCell ref="F131:I131"/>
    <mergeCell ref="J131:M131"/>
    <mergeCell ref="N131:R131"/>
    <mergeCell ref="S131:V131"/>
    <mergeCell ref="C124:I124"/>
    <mergeCell ref="J124:M124"/>
    <mergeCell ref="N124:U124"/>
    <mergeCell ref="CG124:CJ124"/>
    <mergeCell ref="BY124:CB124"/>
    <mergeCell ref="CC124:CF124"/>
    <mergeCell ref="Y124:AC124"/>
    <mergeCell ref="AZ125:BB125"/>
    <mergeCell ref="BC125:BE125"/>
    <mergeCell ref="BF125:BN125"/>
    <mergeCell ref="BO125:BQ125"/>
    <mergeCell ref="BR125:BT125"/>
    <mergeCell ref="BR124:BT124"/>
    <mergeCell ref="W125:Z125"/>
    <mergeCell ref="AA125:AC125"/>
    <mergeCell ref="AD125:AF125"/>
    <mergeCell ref="CK124:CN124"/>
    <mergeCell ref="C125:E125"/>
    <mergeCell ref="F125:I125"/>
    <mergeCell ref="J125:M125"/>
    <mergeCell ref="N125:R125"/>
    <mergeCell ref="S125:V125"/>
    <mergeCell ref="BY130:CB130"/>
    <mergeCell ref="CC130:CF130"/>
    <mergeCell ref="C130:I130"/>
    <mergeCell ref="J130:M130"/>
    <mergeCell ref="N130:U130"/>
    <mergeCell ref="V130:X130"/>
    <mergeCell ref="Y130:AC130"/>
    <mergeCell ref="AZ131:BB131"/>
    <mergeCell ref="W131:Z131"/>
    <mergeCell ref="AA131:AC131"/>
    <mergeCell ref="AD131:AF131"/>
    <mergeCell ref="AG131:AK131"/>
    <mergeCell ref="AL131:AP131"/>
    <mergeCell ref="AQ131:AY131"/>
    <mergeCell ref="AD130:AH130"/>
    <mergeCell ref="AI130:AO130"/>
    <mergeCell ref="AQ130:AW130"/>
    <mergeCell ref="AX130:BB130"/>
    <mergeCell ref="BC130:BI130"/>
    <mergeCell ref="BK130:BQ130"/>
    <mergeCell ref="BR130:BT130"/>
    <mergeCell ref="BY136:CB136"/>
    <mergeCell ref="CC136:CF136"/>
    <mergeCell ref="CG136:CJ136"/>
    <mergeCell ref="CK136:CN136"/>
    <mergeCell ref="BC136:BI136"/>
    <mergeCell ref="BK136:BQ136"/>
    <mergeCell ref="BO131:BQ131"/>
    <mergeCell ref="BC131:BE131"/>
    <mergeCell ref="BF131:BN131"/>
    <mergeCell ref="BR131:BT131"/>
    <mergeCell ref="W137:Z137"/>
    <mergeCell ref="AA137:AC137"/>
    <mergeCell ref="AD137:AF137"/>
    <mergeCell ref="AG137:AK137"/>
    <mergeCell ref="AL137:AP137"/>
    <mergeCell ref="AQ137:AY137"/>
    <mergeCell ref="AQ132:AY132"/>
    <mergeCell ref="BR137:BT137"/>
    <mergeCell ref="AD136:AH136"/>
    <mergeCell ref="BN134:BP134"/>
    <mergeCell ref="BR134:BT134"/>
    <mergeCell ref="AZ137:BB137"/>
    <mergeCell ref="BR136:BT136"/>
    <mergeCell ref="AS135:AX135"/>
    <mergeCell ref="AY135:BG135"/>
    <mergeCell ref="BH135:BM135"/>
    <mergeCell ref="W134:AB134"/>
    <mergeCell ref="AC134:AF134"/>
    <mergeCell ref="AG134:AL134"/>
    <mergeCell ref="AM134:AP134"/>
    <mergeCell ref="BF134:BH134"/>
    <mergeCell ref="BI134:BM134"/>
    <mergeCell ref="B160:B190"/>
    <mergeCell ref="C161:H161"/>
    <mergeCell ref="C163:K163"/>
    <mergeCell ref="L163:P163"/>
    <mergeCell ref="Q163:S163"/>
    <mergeCell ref="T163:Y163"/>
    <mergeCell ref="Z163:AG163"/>
    <mergeCell ref="AI163:AL163"/>
    <mergeCell ref="BC137:BE137"/>
    <mergeCell ref="BF137:BN137"/>
    <mergeCell ref="BO137:BQ137"/>
    <mergeCell ref="AM163:AQ163"/>
    <mergeCell ref="C164:K164"/>
    <mergeCell ref="L164:P164"/>
    <mergeCell ref="Q164:S164"/>
    <mergeCell ref="T164:Y164"/>
    <mergeCell ref="Z164:AG164"/>
    <mergeCell ref="AI164:AL164"/>
    <mergeCell ref="N137:R137"/>
    <mergeCell ref="S137:V137"/>
    <mergeCell ref="AG140:AL140"/>
    <mergeCell ref="AM140:AP140"/>
    <mergeCell ref="AM164:AQ164"/>
    <mergeCell ref="AT166:AV166"/>
    <mergeCell ref="AW166:BL166"/>
    <mergeCell ref="C167:K167"/>
    <mergeCell ref="L167:P167"/>
    <mergeCell ref="C172:K172"/>
    <mergeCell ref="L172:P172"/>
    <mergeCell ref="Q172:S172"/>
    <mergeCell ref="T172:Y172"/>
    <mergeCell ref="Z172:AG172"/>
    <mergeCell ref="V135:Z135"/>
    <mergeCell ref="AA135:AB135"/>
    <mergeCell ref="AC135:AK135"/>
    <mergeCell ref="BF132:BN132"/>
    <mergeCell ref="BO132:BQ132"/>
    <mergeCell ref="BO135:BT135"/>
    <mergeCell ref="BC134:BE134"/>
    <mergeCell ref="C135:I135"/>
    <mergeCell ref="AQ134:AY134"/>
    <mergeCell ref="AZ134:BB134"/>
    <mergeCell ref="J136:M136"/>
    <mergeCell ref="N136:U136"/>
    <mergeCell ref="C136:I136"/>
    <mergeCell ref="BR132:BT132"/>
    <mergeCell ref="AZ132:BB132"/>
    <mergeCell ref="BC132:BE132"/>
    <mergeCell ref="AM133:AP133"/>
    <mergeCell ref="AQ133:AY133"/>
    <mergeCell ref="AZ133:BB133"/>
    <mergeCell ref="BC133:BE133"/>
    <mergeCell ref="AM132:AP132"/>
    <mergeCell ref="W133:AD133"/>
    <mergeCell ref="AE133:AL133"/>
    <mergeCell ref="BF133:BH133"/>
    <mergeCell ref="BI133:BM133"/>
    <mergeCell ref="BN133:BP133"/>
    <mergeCell ref="BR133:BT133"/>
    <mergeCell ref="BG164:BL164"/>
    <mergeCell ref="BN164:BP164"/>
    <mergeCell ref="AI168:AL168"/>
    <mergeCell ref="AM168:AQ168"/>
    <mergeCell ref="AT168:BC168"/>
    <mergeCell ref="BD168:BL168"/>
    <mergeCell ref="AT164:AY164"/>
    <mergeCell ref="AZ164:BE164"/>
    <mergeCell ref="AT170:AV170"/>
    <mergeCell ref="AW170:BC170"/>
    <mergeCell ref="BD170:BL170"/>
    <mergeCell ref="C171:K171"/>
    <mergeCell ref="L171:P171"/>
    <mergeCell ref="Q171:S171"/>
    <mergeCell ref="T171:Y171"/>
    <mergeCell ref="Z171:AG171"/>
    <mergeCell ref="AM165:AQ165"/>
    <mergeCell ref="C166:K166"/>
    <mergeCell ref="L166:P166"/>
    <mergeCell ref="Q166:S166"/>
    <mergeCell ref="T166:Y166"/>
    <mergeCell ref="Z166:AG166"/>
    <mergeCell ref="AI166:AL166"/>
    <mergeCell ref="AM166:AQ166"/>
    <mergeCell ref="C165:K165"/>
    <mergeCell ref="L165:P165"/>
    <mergeCell ref="AM171:AQ171"/>
    <mergeCell ref="AM169:AQ169"/>
    <mergeCell ref="Q167:S167"/>
    <mergeCell ref="T167:Y167"/>
    <mergeCell ref="Z167:AG167"/>
    <mergeCell ref="AI167:AL167"/>
    <mergeCell ref="AM167:AQ167"/>
    <mergeCell ref="AT167:BC167"/>
    <mergeCell ref="Q165:S165"/>
    <mergeCell ref="T165:Y165"/>
    <mergeCell ref="Z165:AG165"/>
    <mergeCell ref="AI165:AL165"/>
    <mergeCell ref="BD167:BL167"/>
    <mergeCell ref="C168:K168"/>
    <mergeCell ref="L168:P168"/>
    <mergeCell ref="Q168:S168"/>
    <mergeCell ref="T168:Y168"/>
    <mergeCell ref="Z168:AG168"/>
    <mergeCell ref="C176:K176"/>
    <mergeCell ref="L176:P176"/>
    <mergeCell ref="Q176:S176"/>
    <mergeCell ref="T176:Y176"/>
    <mergeCell ref="Z176:AG176"/>
    <mergeCell ref="AI176:AL176"/>
    <mergeCell ref="AM176:AQ176"/>
    <mergeCell ref="Q174:S174"/>
    <mergeCell ref="T174:Y174"/>
    <mergeCell ref="Z174:AG174"/>
    <mergeCell ref="AI174:AL174"/>
    <mergeCell ref="AM174:AQ174"/>
    <mergeCell ref="C175:K175"/>
    <mergeCell ref="L175:P175"/>
    <mergeCell ref="Q175:S175"/>
    <mergeCell ref="T175:Y175"/>
    <mergeCell ref="Z175:AG175"/>
    <mergeCell ref="AI175:AL175"/>
    <mergeCell ref="AM175:AQ175"/>
    <mergeCell ref="C174:K174"/>
    <mergeCell ref="BM173:BT173"/>
    <mergeCell ref="AM172:AQ172"/>
    <mergeCell ref="AT172:BC172"/>
    <mergeCell ref="BE172:BH172"/>
    <mergeCell ref="BI172:BL172"/>
    <mergeCell ref="BM172:BT172"/>
    <mergeCell ref="AT173:BC173"/>
    <mergeCell ref="Q169:S169"/>
    <mergeCell ref="T169:Y169"/>
    <mergeCell ref="Z169:AG169"/>
    <mergeCell ref="AI169:AL169"/>
    <mergeCell ref="BE173:BH173"/>
    <mergeCell ref="BI173:BL173"/>
    <mergeCell ref="AI172:AL172"/>
    <mergeCell ref="BD169:BL169"/>
    <mergeCell ref="C170:K170"/>
    <mergeCell ref="L170:P170"/>
    <mergeCell ref="Q170:S170"/>
    <mergeCell ref="T170:Y170"/>
    <mergeCell ref="Z170:AG170"/>
    <mergeCell ref="AI170:AL170"/>
    <mergeCell ref="AM170:AQ170"/>
    <mergeCell ref="C169:K169"/>
    <mergeCell ref="L169:P169"/>
    <mergeCell ref="AI171:AL171"/>
    <mergeCell ref="AI173:AL173"/>
    <mergeCell ref="AM173:AQ173"/>
    <mergeCell ref="AT169:BC169"/>
    <mergeCell ref="L174:P174"/>
    <mergeCell ref="C173:K173"/>
    <mergeCell ref="L173:P173"/>
    <mergeCell ref="Q173:S173"/>
    <mergeCell ref="T173:Y173"/>
    <mergeCell ref="Z173:AG173"/>
    <mergeCell ref="AT176:AY176"/>
    <mergeCell ref="AZ176:BE176"/>
    <mergeCell ref="BG176:BL176"/>
    <mergeCell ref="C177:K177"/>
    <mergeCell ref="L177:P177"/>
    <mergeCell ref="Q177:S177"/>
    <mergeCell ref="T177:Y177"/>
    <mergeCell ref="Z177:AG177"/>
    <mergeCell ref="AI177:AL177"/>
    <mergeCell ref="AM177:AQ177"/>
    <mergeCell ref="AT177:AY177"/>
    <mergeCell ref="AZ177:BE177"/>
    <mergeCell ref="BG177:BL177"/>
    <mergeCell ref="C185:K185"/>
    <mergeCell ref="L185:P185"/>
    <mergeCell ref="Q185:S185"/>
    <mergeCell ref="T185:Y185"/>
    <mergeCell ref="Z185:AG185"/>
    <mergeCell ref="AI185:AL185"/>
    <mergeCell ref="AM185:AQ185"/>
    <mergeCell ref="Q180:S180"/>
    <mergeCell ref="T180:Y180"/>
    <mergeCell ref="Z180:AG180"/>
    <mergeCell ref="AI180:AL180"/>
    <mergeCell ref="AM178:AQ178"/>
    <mergeCell ref="C179:K179"/>
    <mergeCell ref="L179:P179"/>
    <mergeCell ref="Q179:S179"/>
    <mergeCell ref="T179:Y179"/>
    <mergeCell ref="Z179:AG179"/>
    <mergeCell ref="AM180:AQ180"/>
    <mergeCell ref="C181:K181"/>
    <mergeCell ref="L181:P181"/>
    <mergeCell ref="Q181:S181"/>
    <mergeCell ref="T181:Y181"/>
    <mergeCell ref="Z181:AG181"/>
    <mergeCell ref="AI181:AL181"/>
    <mergeCell ref="AM181:AQ181"/>
    <mergeCell ref="C180:K180"/>
    <mergeCell ref="L180:P180"/>
    <mergeCell ref="C178:K178"/>
    <mergeCell ref="L178:P178"/>
    <mergeCell ref="Z184:AG184"/>
    <mergeCell ref="AI184:AL184"/>
    <mergeCell ref="AM188:AQ188"/>
    <mergeCell ref="Q182:S182"/>
    <mergeCell ref="T182:Y182"/>
    <mergeCell ref="Z182:AG182"/>
    <mergeCell ref="AI182:AL182"/>
    <mergeCell ref="Q178:S178"/>
    <mergeCell ref="T178:Y178"/>
    <mergeCell ref="Z178:AG178"/>
    <mergeCell ref="AI178:AL178"/>
    <mergeCell ref="C189:K189"/>
    <mergeCell ref="L189:P189"/>
    <mergeCell ref="Q189:S189"/>
    <mergeCell ref="T189:Y189"/>
    <mergeCell ref="Z189:AG189"/>
    <mergeCell ref="AI189:AL189"/>
    <mergeCell ref="AM182:AQ182"/>
    <mergeCell ref="C183:K183"/>
    <mergeCell ref="L183:P183"/>
    <mergeCell ref="Q183:S183"/>
    <mergeCell ref="T183:Y183"/>
    <mergeCell ref="Z183:AG183"/>
    <mergeCell ref="AI183:AL183"/>
    <mergeCell ref="AM183:AQ183"/>
    <mergeCell ref="C182:K182"/>
    <mergeCell ref="L182:P182"/>
    <mergeCell ref="C184:K184"/>
    <mergeCell ref="L184:P184"/>
    <mergeCell ref="Q184:S184"/>
    <mergeCell ref="T184:Y184"/>
    <mergeCell ref="AI179:AL179"/>
    <mergeCell ref="AM179:AQ179"/>
    <mergeCell ref="AM184:AQ184"/>
    <mergeCell ref="AM190:AQ190"/>
    <mergeCell ref="AM191:AQ191"/>
    <mergeCell ref="BG3:BS6"/>
    <mergeCell ref="AM192:AQ192"/>
    <mergeCell ref="C193:K193"/>
    <mergeCell ref="L193:P193"/>
    <mergeCell ref="Q193:S193"/>
    <mergeCell ref="T193:Y193"/>
    <mergeCell ref="Z193:AG193"/>
    <mergeCell ref="AI193:AL193"/>
    <mergeCell ref="AM193:AQ193"/>
    <mergeCell ref="C192:K192"/>
    <mergeCell ref="Q186:S186"/>
    <mergeCell ref="T186:Y186"/>
    <mergeCell ref="Z186:AG186"/>
    <mergeCell ref="AI186:AL186"/>
    <mergeCell ref="BM177:BR177"/>
    <mergeCell ref="BN176:BQ176"/>
    <mergeCell ref="AM186:AQ186"/>
    <mergeCell ref="C187:K187"/>
    <mergeCell ref="L187:P187"/>
    <mergeCell ref="Q187:S187"/>
    <mergeCell ref="T187:Y187"/>
    <mergeCell ref="Z187:AG187"/>
    <mergeCell ref="AI187:AL187"/>
    <mergeCell ref="AM187:AQ187"/>
    <mergeCell ref="C186:K186"/>
    <mergeCell ref="L186:P186"/>
    <mergeCell ref="AM189:AQ189"/>
    <mergeCell ref="C188:K188"/>
    <mergeCell ref="L188:P188"/>
    <mergeCell ref="Q188:S188"/>
    <mergeCell ref="T188:Y188"/>
    <mergeCell ref="Z188:AG188"/>
    <mergeCell ref="AI188:AL188"/>
    <mergeCell ref="C190:K190"/>
    <mergeCell ref="L190:P190"/>
    <mergeCell ref="Q190:S190"/>
    <mergeCell ref="T190:Y190"/>
    <mergeCell ref="Z190:AG190"/>
    <mergeCell ref="AI190:AL190"/>
    <mergeCell ref="C191:K191"/>
    <mergeCell ref="L191:P191"/>
    <mergeCell ref="Q191:S191"/>
    <mergeCell ref="T191:Y191"/>
    <mergeCell ref="Z191:AG191"/>
    <mergeCell ref="AI191:AL191"/>
    <mergeCell ref="L192:P192"/>
    <mergeCell ref="Q192:S192"/>
    <mergeCell ref="T192:Y192"/>
    <mergeCell ref="Z192:AG192"/>
    <mergeCell ref="AI192:AL192"/>
  </mergeCells>
  <phoneticPr fontId="1"/>
  <dataValidations count="5">
    <dataValidation type="list" allowBlank="1" showInputMessage="1" showErrorMessage="1" sqref="AM10:AQ10">
      <formula1>"任意設置,設置不要"</formula1>
    </dataValidation>
    <dataValidation type="list" allowBlank="1" showInputMessage="1" showErrorMessage="1" sqref="AE19:AE20 K25:K26 AE25:AE26 K31:K32 AE31:AE32 K37:K38 AE37:AE38 K43:K44 AE43:AE44 K49:K50 AE49:AE50 K55:K56 AE55:AE56 K61:K62 AE61:AE62 K67:K68 AE67:AE68 K73:K74 AE73:AE74 K79:K80 AE79:AE80 K90:K91 AE90:AE91 K96:K97 AE96:AE97 AE126:AE127 AE102:AE103 K102:K103 AE108:AE109 K108:K109 AE114:AE115 K114:K115 AE120:AE121 K138:K139 K132:K133 K120:K121 AE132:AE133 K126:K127 AE138:AE139 K19:K20">
      <formula1>$CA$148:$CA$193</formula1>
    </dataValidation>
    <dataValidation type="list" allowBlank="1" showInputMessage="1" showErrorMessage="1" sqref="BO129:BT129 BO16:BT16 AS123:AX123 AS16:AX16 BO22:BT22 AS129:AX129 BO28:BT28 AS22:AX22 BO34:BT34 AS28:AX28 BO40:BT40 AS34:AX34 BO46:BT46 AS40:AX40 BO52:BT52 AS46:AX46 BO58:BT58 AS52:AX52 BO64:BT64 AS58:AX58 BO70:BT70 AS64:AX64 BO76:BT76 AS70:AX70 BO87:BT87 AS76:AX76 BO93:BT93 AS87:AX87 BO99:BT99 AS93:AX93 BO105:BT105 AS99:AX99 BO111:BT111 AS105:AX105 BO117:BT117 AS111:AX111 BO123:BT123 AS117:AX117 BO135:BT135 AS135:AX135">
      <formula1>"設置する,設置しない"</formula1>
    </dataValidation>
    <dataValidation type="list" allowBlank="1" showInputMessage="1" showErrorMessage="1" sqref="BK17:BQ17 BK23:BQ23 BK29:BQ29 BK35:BQ35 BK41:BQ41 BK47:BQ47 BK53:BQ53 BK59:BQ59 BK65:BQ65 BK71:BQ71 BK77:BQ77 BK88:BQ88 BK94:BQ94 BK100:BQ100 BK106:BQ106 BK112:BQ112 BK118:BQ118 BK124:BQ124 BK130:BQ130 BK136:BQ136">
      <formula1>$BW$152:$BW$155</formula1>
    </dataValidation>
    <dataValidation type="list" allowBlank="1" showInputMessage="1" showErrorMessage="1" sqref="AQ17:AW17 AQ23:AW23 AQ29:AW29 AQ35:AW35 AQ41:AW41 AQ47:AW47 AQ53:AW53 AQ59:AW59 AQ65:AW65 AQ71:AW71 AQ77:AW77 AQ88:AW88 AQ94:AW94 AQ100:AW100 AQ106:AW106 AQ112:AW112 AQ118:AW118 AQ124:AW124 AQ130:AW130 AQ136:AW136">
      <formula1>$BW$148:$BW$151</formula1>
    </dataValidation>
  </dataValidations>
  <hyperlinks>
    <hyperlink ref="BN164:BP164" location="非誘!A1" display="Top"/>
    <hyperlink ref="AE3:AI3" location="非誘!B160" display="集 計 表"/>
    <hyperlink ref="BA3:BE3" r:id="rId1" location="Help!A1174" display="Help"/>
    <hyperlink ref="Y3:AC3" r:id="rId2" location="Top!A43" display="TopPage"/>
  </hyperlinks>
  <pageMargins left="0.78740157480314965" right="0.39370078740157483" top="0.31496062992125984" bottom="0.31496062992125984" header="0.31496062992125984" footer="0.31496062992125984"/>
  <pageSetup paperSize="9" scale="96" fitToHeight="0" orientation="portrait" r:id="rId3"/>
  <rowBreaks count="2" manualBreakCount="2">
    <brk id="82" min="1" max="72" man="1"/>
    <brk id="159" min="1" max="72" man="1"/>
  </rowBreaks>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C438"/>
  <sheetViews>
    <sheetView view="pageBreakPreview" zoomScale="140" zoomScaleSheetLayoutView="140" workbookViewId="0"/>
  </sheetViews>
  <sheetFormatPr defaultRowHeight="13.5"/>
  <cols>
    <col min="1" max="1" width="1.42578125" style="116" customWidth="1"/>
    <col min="2" max="2" width="2.42578125" style="116" customWidth="1"/>
    <col min="3" max="26" width="4.140625" style="116" customWidth="1"/>
    <col min="27" max="16384" width="9.140625" style="116"/>
  </cols>
  <sheetData>
    <row r="1" spans="2:27" ht="7.5" customHeight="1"/>
    <row r="2" spans="2:27" ht="23.25" customHeight="1" thickBot="1">
      <c r="B2" s="5332" t="s">
        <v>1837</v>
      </c>
      <c r="C2" s="1803"/>
      <c r="D2" s="1802"/>
      <c r="E2" s="1802"/>
      <c r="F2" s="1802"/>
      <c r="G2" s="1802"/>
      <c r="H2" s="1802"/>
      <c r="I2" s="1761"/>
      <c r="J2" s="1761"/>
      <c r="K2" s="1761"/>
      <c r="L2" s="1761"/>
      <c r="M2" s="1761"/>
      <c r="N2" s="1761"/>
      <c r="O2" s="1761"/>
      <c r="P2" s="1761"/>
      <c r="Q2" s="1761"/>
      <c r="R2" s="1761"/>
      <c r="S2" s="1761"/>
      <c r="T2" s="1761"/>
      <c r="U2" s="1801"/>
      <c r="V2" s="1800"/>
      <c r="W2" s="1799"/>
      <c r="X2" s="1798"/>
      <c r="Y2" s="1798"/>
      <c r="Z2" s="1798"/>
    </row>
    <row r="3" spans="2:27" ht="13.5" customHeight="1" thickBot="1">
      <c r="B3" s="5332"/>
      <c r="C3" s="1761"/>
      <c r="D3" s="1761"/>
      <c r="E3" s="1761"/>
      <c r="F3" s="1797"/>
      <c r="G3" s="1761"/>
      <c r="H3" s="1761"/>
      <c r="I3" s="1761"/>
      <c r="J3" s="1796"/>
      <c r="K3" s="1761"/>
      <c r="L3" s="1761"/>
      <c r="M3" s="1761"/>
      <c r="N3" s="1761"/>
      <c r="O3" s="1761"/>
      <c r="P3" s="1761"/>
      <c r="Q3" s="1761"/>
      <c r="R3" s="4304" t="s">
        <v>2030</v>
      </c>
      <c r="S3" s="4306"/>
      <c r="T3" s="1795"/>
      <c r="U3" s="5333" t="s">
        <v>19</v>
      </c>
      <c r="V3" s="5334"/>
      <c r="W3" s="1795" t="s">
        <v>754</v>
      </c>
      <c r="X3" s="5333" t="s">
        <v>19</v>
      </c>
      <c r="Y3" s="5334"/>
      <c r="Z3" s="1794" t="s">
        <v>2029</v>
      </c>
    </row>
    <row r="4" spans="2:27" ht="5.25" customHeight="1">
      <c r="B4" s="5332"/>
      <c r="C4" s="1761"/>
      <c r="D4" s="1761"/>
      <c r="E4" s="1761"/>
      <c r="F4" s="1761"/>
      <c r="G4" s="1761"/>
      <c r="H4" s="1761"/>
      <c r="I4" s="1791"/>
      <c r="J4" s="1793"/>
      <c r="K4" s="1793"/>
      <c r="L4" s="1791"/>
      <c r="M4" s="1791"/>
      <c r="N4" s="1791"/>
      <c r="O4" s="1791"/>
      <c r="P4" s="1791"/>
      <c r="Q4" s="1792"/>
      <c r="R4" s="1791"/>
      <c r="S4" s="1791"/>
      <c r="T4" s="1791"/>
      <c r="U4" s="1790"/>
      <c r="V4" s="1790"/>
      <c r="W4" s="1791"/>
      <c r="X4" s="1791"/>
      <c r="Y4" s="1790"/>
      <c r="Z4" s="1789"/>
      <c r="AA4" s="1761"/>
    </row>
    <row r="5" spans="2:27" ht="17.25" customHeight="1">
      <c r="B5" s="5332"/>
      <c r="C5" s="1739">
        <v>1</v>
      </c>
      <c r="D5" s="1774" t="s">
        <v>2028</v>
      </c>
      <c r="E5" s="1788"/>
      <c r="F5" s="1788"/>
      <c r="G5" s="1788"/>
      <c r="H5" s="1788"/>
      <c r="I5" s="1788"/>
      <c r="J5" s="1788"/>
      <c r="K5" s="1788"/>
      <c r="L5" s="1788"/>
      <c r="M5" s="1788"/>
      <c r="N5" s="1788"/>
      <c r="O5" s="1788"/>
      <c r="P5" s="1788"/>
      <c r="Q5" s="1788"/>
      <c r="R5" s="1788"/>
      <c r="S5" s="1788"/>
      <c r="T5" s="1788"/>
      <c r="U5" s="1788"/>
      <c r="V5" s="1788"/>
      <c r="W5" s="1788"/>
      <c r="X5" s="1788"/>
      <c r="Y5" s="1788"/>
      <c r="Z5" s="1787" t="s">
        <v>2027</v>
      </c>
    </row>
    <row r="6" spans="2:27" ht="15" customHeight="1">
      <c r="B6" s="5332"/>
      <c r="C6" s="1738">
        <v>2</v>
      </c>
      <c r="D6" s="5335" t="s">
        <v>2026</v>
      </c>
      <c r="E6" s="5336"/>
      <c r="F6" s="5341" t="s">
        <v>2025</v>
      </c>
      <c r="G6" s="5341"/>
      <c r="H6" s="5341"/>
      <c r="I6" s="5341"/>
      <c r="J6" s="5341"/>
      <c r="K6" s="5341"/>
      <c r="L6" s="5341"/>
      <c r="M6" s="5341"/>
      <c r="N6" s="5341"/>
      <c r="O6" s="5341"/>
      <c r="P6" s="5341"/>
      <c r="Q6" s="5341"/>
      <c r="R6" s="5341"/>
      <c r="S6" s="5341"/>
      <c r="T6" s="5341"/>
      <c r="U6" s="5341"/>
      <c r="V6" s="5341"/>
      <c r="W6" s="5341"/>
      <c r="X6" s="5341"/>
      <c r="Y6" s="5341"/>
      <c r="Z6" s="5342"/>
    </row>
    <row r="7" spans="2:27" ht="15" customHeight="1">
      <c r="B7" s="5332"/>
      <c r="C7" s="1738">
        <v>3</v>
      </c>
      <c r="D7" s="5337"/>
      <c r="E7" s="5338"/>
      <c r="F7" s="5343" t="s">
        <v>2011</v>
      </c>
      <c r="G7" s="5344"/>
      <c r="H7" s="5344"/>
      <c r="I7" s="5344"/>
      <c r="J7" s="5344"/>
      <c r="K7" s="5345"/>
      <c r="L7" s="5343" t="s">
        <v>2024</v>
      </c>
      <c r="M7" s="5344"/>
      <c r="N7" s="5344"/>
      <c r="O7" s="5344"/>
      <c r="P7" s="5344"/>
      <c r="Q7" s="5346"/>
      <c r="R7" s="5347" t="s">
        <v>2023</v>
      </c>
      <c r="S7" s="5344"/>
      <c r="T7" s="5344"/>
      <c r="U7" s="5344"/>
      <c r="V7" s="5344"/>
      <c r="W7" s="5344"/>
      <c r="X7" s="5344"/>
      <c r="Y7" s="5344"/>
      <c r="Z7" s="5348"/>
    </row>
    <row r="8" spans="2:27" ht="15" customHeight="1">
      <c r="B8" s="5332"/>
      <c r="C8" s="1738">
        <v>4</v>
      </c>
      <c r="D8" s="5337"/>
      <c r="E8" s="5338"/>
      <c r="F8" s="5349" t="s">
        <v>2022</v>
      </c>
      <c r="G8" s="5350"/>
      <c r="H8" s="5358" t="s">
        <v>2005</v>
      </c>
      <c r="I8" s="5363"/>
      <c r="J8" s="5353" t="s">
        <v>2004</v>
      </c>
      <c r="K8" s="5354"/>
      <c r="L8" s="5365" t="s">
        <v>2022</v>
      </c>
      <c r="M8" s="5366"/>
      <c r="N8" s="5358" t="s">
        <v>2005</v>
      </c>
      <c r="O8" s="5363"/>
      <c r="P8" s="5353" t="s">
        <v>2004</v>
      </c>
      <c r="Q8" s="5354"/>
      <c r="R8" s="5357" t="s">
        <v>2000</v>
      </c>
      <c r="S8" s="5358"/>
      <c r="T8" s="5358"/>
      <c r="U8" s="5358" t="s">
        <v>1999</v>
      </c>
      <c r="V8" s="5358"/>
      <c r="W8" s="5358"/>
      <c r="X8" s="5358" t="s">
        <v>1998</v>
      </c>
      <c r="Y8" s="5358"/>
      <c r="Z8" s="5368"/>
      <c r="AA8" s="1786"/>
    </row>
    <row r="9" spans="2:27" ht="15" customHeight="1">
      <c r="B9" s="5332"/>
      <c r="C9" s="1738">
        <v>5</v>
      </c>
      <c r="D9" s="5339"/>
      <c r="E9" s="5340"/>
      <c r="F9" s="5351"/>
      <c r="G9" s="5352"/>
      <c r="H9" s="5364"/>
      <c r="I9" s="5364"/>
      <c r="J9" s="5355"/>
      <c r="K9" s="5356"/>
      <c r="L9" s="5356"/>
      <c r="M9" s="5367"/>
      <c r="N9" s="5364"/>
      <c r="O9" s="5364"/>
      <c r="P9" s="5355"/>
      <c r="Q9" s="5356"/>
      <c r="R9" s="5359"/>
      <c r="S9" s="5360"/>
      <c r="T9" s="5360"/>
      <c r="U9" s="5360"/>
      <c r="V9" s="5360"/>
      <c r="W9" s="5360"/>
      <c r="X9" s="5360"/>
      <c r="Y9" s="5360"/>
      <c r="Z9" s="5369"/>
    </row>
    <row r="10" spans="2:27" ht="15" customHeight="1">
      <c r="B10" s="5332"/>
      <c r="C10" s="1738">
        <v>6</v>
      </c>
      <c r="D10" s="5265">
        <v>325</v>
      </c>
      <c r="E10" s="5266"/>
      <c r="F10" s="5370">
        <v>725</v>
      </c>
      <c r="G10" s="5362"/>
      <c r="H10" s="5361">
        <v>660</v>
      </c>
      <c r="I10" s="5371"/>
      <c r="J10" s="5361">
        <v>555</v>
      </c>
      <c r="K10" s="5372"/>
      <c r="L10" s="5370">
        <v>605</v>
      </c>
      <c r="M10" s="5362"/>
      <c r="N10" s="5361">
        <v>650</v>
      </c>
      <c r="O10" s="5371"/>
      <c r="P10" s="5361">
        <v>540</v>
      </c>
      <c r="Q10" s="5372"/>
      <c r="R10" s="5370">
        <v>500</v>
      </c>
      <c r="S10" s="5362"/>
      <c r="T10" s="1785"/>
      <c r="U10" s="5361">
        <v>550</v>
      </c>
      <c r="V10" s="5362"/>
      <c r="W10" s="1785"/>
      <c r="X10" s="5361">
        <v>455</v>
      </c>
      <c r="Y10" s="5362"/>
      <c r="Z10" s="1784"/>
    </row>
    <row r="11" spans="2:27" ht="15" customHeight="1">
      <c r="B11" s="5332"/>
      <c r="C11" s="1738">
        <v>7</v>
      </c>
      <c r="D11" s="5259">
        <v>250</v>
      </c>
      <c r="E11" s="5260"/>
      <c r="F11" s="5327">
        <v>620</v>
      </c>
      <c r="G11" s="5321"/>
      <c r="H11" s="5320">
        <v>560</v>
      </c>
      <c r="I11" s="5328"/>
      <c r="J11" s="5320">
        <v>470</v>
      </c>
      <c r="K11" s="5329"/>
      <c r="L11" s="5327">
        <v>525</v>
      </c>
      <c r="M11" s="5321"/>
      <c r="N11" s="5320">
        <v>570</v>
      </c>
      <c r="O11" s="5328"/>
      <c r="P11" s="5320">
        <v>470</v>
      </c>
      <c r="Q11" s="5329"/>
      <c r="R11" s="5327">
        <v>430</v>
      </c>
      <c r="S11" s="5321"/>
      <c r="T11" s="1783"/>
      <c r="U11" s="5320">
        <v>475</v>
      </c>
      <c r="V11" s="5321"/>
      <c r="W11" s="1783"/>
      <c r="X11" s="5320">
        <v>395</v>
      </c>
      <c r="Y11" s="5321"/>
      <c r="Z11" s="1782"/>
    </row>
    <row r="12" spans="2:27" ht="15" customHeight="1">
      <c r="B12" s="5332"/>
      <c r="C12" s="1738">
        <v>8</v>
      </c>
      <c r="D12" s="5259">
        <v>200</v>
      </c>
      <c r="E12" s="5260"/>
      <c r="F12" s="5327">
        <v>545</v>
      </c>
      <c r="G12" s="5321"/>
      <c r="H12" s="5320">
        <v>485</v>
      </c>
      <c r="I12" s="5328"/>
      <c r="J12" s="5320">
        <v>410</v>
      </c>
      <c r="K12" s="5329"/>
      <c r="L12" s="5327">
        <v>470</v>
      </c>
      <c r="M12" s="5321"/>
      <c r="N12" s="5320">
        <v>505</v>
      </c>
      <c r="O12" s="5328"/>
      <c r="P12" s="5320">
        <v>420</v>
      </c>
      <c r="Q12" s="5329"/>
      <c r="R12" s="5327">
        <v>380</v>
      </c>
      <c r="S12" s="5321"/>
      <c r="T12" s="1783"/>
      <c r="U12" s="5320">
        <v>420</v>
      </c>
      <c r="V12" s="5321"/>
      <c r="W12" s="1783"/>
      <c r="X12" s="5320">
        <v>350</v>
      </c>
      <c r="Y12" s="5321"/>
      <c r="Z12" s="1782"/>
    </row>
    <row r="13" spans="2:27" ht="15" customHeight="1">
      <c r="B13" s="5332"/>
      <c r="C13" s="1738">
        <v>9</v>
      </c>
      <c r="D13" s="5259">
        <v>150</v>
      </c>
      <c r="E13" s="5260"/>
      <c r="F13" s="5327">
        <v>455</v>
      </c>
      <c r="G13" s="5321"/>
      <c r="H13" s="5320">
        <v>400</v>
      </c>
      <c r="I13" s="5328"/>
      <c r="J13" s="5320">
        <v>340</v>
      </c>
      <c r="K13" s="5329"/>
      <c r="L13" s="5327">
        <v>405</v>
      </c>
      <c r="M13" s="5321"/>
      <c r="N13" s="5320">
        <v>435</v>
      </c>
      <c r="O13" s="5328"/>
      <c r="P13" s="5320">
        <v>360</v>
      </c>
      <c r="Q13" s="5329"/>
      <c r="R13" s="5327">
        <v>320</v>
      </c>
      <c r="S13" s="5321"/>
      <c r="T13" s="1783"/>
      <c r="U13" s="5320">
        <v>355</v>
      </c>
      <c r="V13" s="5321"/>
      <c r="W13" s="1783"/>
      <c r="X13" s="5320">
        <v>295</v>
      </c>
      <c r="Y13" s="5321"/>
      <c r="Z13" s="1782"/>
    </row>
    <row r="14" spans="2:27" ht="15" customHeight="1">
      <c r="B14" s="5332"/>
      <c r="C14" s="1738">
        <v>10</v>
      </c>
      <c r="D14" s="5259">
        <v>100</v>
      </c>
      <c r="E14" s="5260"/>
      <c r="F14" s="5327">
        <v>355</v>
      </c>
      <c r="G14" s="5321"/>
      <c r="H14" s="5320">
        <v>310</v>
      </c>
      <c r="I14" s="5328"/>
      <c r="J14" s="5320">
        <v>260</v>
      </c>
      <c r="K14" s="5329"/>
      <c r="L14" s="5327">
        <v>325</v>
      </c>
      <c r="M14" s="5321"/>
      <c r="N14" s="5320">
        <v>345</v>
      </c>
      <c r="O14" s="5328"/>
      <c r="P14" s="5320">
        <v>285</v>
      </c>
      <c r="Q14" s="5329"/>
      <c r="R14" s="5327">
        <v>250</v>
      </c>
      <c r="S14" s="5321"/>
      <c r="T14" s="1783"/>
      <c r="U14" s="5320">
        <v>280</v>
      </c>
      <c r="V14" s="5321"/>
      <c r="W14" s="1783"/>
      <c r="X14" s="5320">
        <v>230</v>
      </c>
      <c r="Y14" s="5321"/>
      <c r="Z14" s="1782"/>
    </row>
    <row r="15" spans="2:27" ht="15" customHeight="1">
      <c r="B15" s="5332"/>
      <c r="C15" s="1738">
        <v>11</v>
      </c>
      <c r="D15" s="5259">
        <v>60</v>
      </c>
      <c r="E15" s="5260"/>
      <c r="F15" s="5327">
        <v>255</v>
      </c>
      <c r="G15" s="5321"/>
      <c r="H15" s="5320">
        <v>225</v>
      </c>
      <c r="I15" s="5328"/>
      <c r="J15" s="5320">
        <v>190</v>
      </c>
      <c r="K15" s="5329"/>
      <c r="L15" s="5327">
        <v>245</v>
      </c>
      <c r="M15" s="5321"/>
      <c r="N15" s="5320">
        <v>260</v>
      </c>
      <c r="O15" s="5328"/>
      <c r="P15" s="5320">
        <v>215</v>
      </c>
      <c r="Q15" s="5329"/>
      <c r="R15" s="5330">
        <v>185</v>
      </c>
      <c r="S15" s="5331"/>
      <c r="T15" s="1783"/>
      <c r="U15" s="5320">
        <v>210</v>
      </c>
      <c r="V15" s="5321"/>
      <c r="W15" s="1783"/>
      <c r="X15" s="5320">
        <v>170</v>
      </c>
      <c r="Y15" s="5321"/>
      <c r="Z15" s="1782"/>
    </row>
    <row r="16" spans="2:27" ht="15" customHeight="1">
      <c r="B16" s="5332"/>
      <c r="C16" s="1738">
        <v>12</v>
      </c>
      <c r="D16" s="5259">
        <v>38</v>
      </c>
      <c r="E16" s="5260"/>
      <c r="F16" s="5327">
        <v>190</v>
      </c>
      <c r="G16" s="5321"/>
      <c r="H16" s="5320">
        <v>170</v>
      </c>
      <c r="I16" s="5328"/>
      <c r="J16" s="5320">
        <v>140</v>
      </c>
      <c r="K16" s="5329"/>
      <c r="L16" s="5327">
        <v>190</v>
      </c>
      <c r="M16" s="5321"/>
      <c r="N16" s="5320">
        <v>205</v>
      </c>
      <c r="O16" s="5328"/>
      <c r="P16" s="5320">
        <v>170</v>
      </c>
      <c r="Q16" s="5329"/>
      <c r="R16" s="5327">
        <v>145</v>
      </c>
      <c r="S16" s="5321"/>
      <c r="T16" s="1783"/>
      <c r="U16" s="5320">
        <v>160</v>
      </c>
      <c r="V16" s="5321"/>
      <c r="W16" s="1783"/>
      <c r="X16" s="5320">
        <v>130</v>
      </c>
      <c r="Y16" s="5321"/>
      <c r="Z16" s="1782"/>
    </row>
    <row r="17" spans="2:26" ht="15" customHeight="1">
      <c r="B17" s="5332"/>
      <c r="C17" s="1738">
        <v>13</v>
      </c>
      <c r="D17" s="5259">
        <v>22</v>
      </c>
      <c r="E17" s="5260"/>
      <c r="F17" s="5327">
        <v>130</v>
      </c>
      <c r="G17" s="5321"/>
      <c r="H17" s="5320">
        <v>120</v>
      </c>
      <c r="I17" s="5328"/>
      <c r="J17" s="5320">
        <v>100</v>
      </c>
      <c r="K17" s="5329"/>
      <c r="L17" s="5327">
        <v>140</v>
      </c>
      <c r="M17" s="5321"/>
      <c r="N17" s="5320">
        <v>150</v>
      </c>
      <c r="O17" s="5328"/>
      <c r="P17" s="5320">
        <v>125</v>
      </c>
      <c r="Q17" s="5329"/>
      <c r="R17" s="5327">
        <v>105</v>
      </c>
      <c r="S17" s="5321"/>
      <c r="T17" s="1783"/>
      <c r="U17" s="5320">
        <v>115</v>
      </c>
      <c r="V17" s="5321"/>
      <c r="W17" s="1783"/>
      <c r="X17" s="5320">
        <v>97</v>
      </c>
      <c r="Y17" s="5321"/>
      <c r="Z17" s="1782"/>
    </row>
    <row r="18" spans="2:26" ht="15" customHeight="1">
      <c r="B18" s="5332"/>
      <c r="C18" s="1738">
        <v>14</v>
      </c>
      <c r="D18" s="5259">
        <v>14</v>
      </c>
      <c r="E18" s="5260"/>
      <c r="F18" s="5327">
        <v>100</v>
      </c>
      <c r="G18" s="5321"/>
      <c r="H18" s="5320">
        <v>91</v>
      </c>
      <c r="I18" s="5328"/>
      <c r="J18" s="5320">
        <v>76</v>
      </c>
      <c r="K18" s="5329"/>
      <c r="L18" s="5327">
        <v>110</v>
      </c>
      <c r="M18" s="5321"/>
      <c r="N18" s="5320">
        <v>115</v>
      </c>
      <c r="O18" s="5328"/>
      <c r="P18" s="5320">
        <v>97</v>
      </c>
      <c r="Q18" s="5329"/>
      <c r="R18" s="5327">
        <v>81</v>
      </c>
      <c r="S18" s="5321"/>
      <c r="T18" s="1783"/>
      <c r="U18" s="5320">
        <v>88</v>
      </c>
      <c r="V18" s="5321"/>
      <c r="W18" s="1783"/>
      <c r="X18" s="5320">
        <v>74</v>
      </c>
      <c r="Y18" s="5321"/>
      <c r="Z18" s="1782"/>
    </row>
    <row r="19" spans="2:26" ht="15" customHeight="1">
      <c r="B19" s="5332"/>
      <c r="C19" s="1738">
        <v>15</v>
      </c>
      <c r="D19" s="5259">
        <v>8</v>
      </c>
      <c r="E19" s="5260"/>
      <c r="F19" s="5327">
        <v>72</v>
      </c>
      <c r="G19" s="5321"/>
      <c r="H19" s="5320">
        <v>65</v>
      </c>
      <c r="I19" s="5328"/>
      <c r="J19" s="5320">
        <v>54</v>
      </c>
      <c r="K19" s="5329"/>
      <c r="L19" s="5327">
        <v>81</v>
      </c>
      <c r="M19" s="5321"/>
      <c r="N19" s="5320">
        <v>85</v>
      </c>
      <c r="O19" s="5328"/>
      <c r="P19" s="5320">
        <v>71</v>
      </c>
      <c r="Q19" s="5329"/>
      <c r="R19" s="5327">
        <v>64</v>
      </c>
      <c r="S19" s="5321"/>
      <c r="T19" s="1783"/>
      <c r="U19" s="5320">
        <v>64</v>
      </c>
      <c r="V19" s="5321"/>
      <c r="W19" s="1783"/>
      <c r="X19" s="5320">
        <v>53</v>
      </c>
      <c r="Y19" s="5321"/>
      <c r="Z19" s="1782"/>
    </row>
    <row r="20" spans="2:26" ht="15" customHeight="1">
      <c r="B20" s="5332"/>
      <c r="C20" s="1738">
        <v>16</v>
      </c>
      <c r="D20" s="5259">
        <v>5.5</v>
      </c>
      <c r="E20" s="5260"/>
      <c r="F20" s="5327">
        <v>58</v>
      </c>
      <c r="G20" s="5321"/>
      <c r="H20" s="5320">
        <v>52</v>
      </c>
      <c r="I20" s="5328"/>
      <c r="J20" s="5320">
        <v>44</v>
      </c>
      <c r="K20" s="5329"/>
      <c r="L20" s="5327">
        <v>66</v>
      </c>
      <c r="M20" s="5321"/>
      <c r="N20" s="5320">
        <v>69</v>
      </c>
      <c r="O20" s="5328"/>
      <c r="P20" s="5320">
        <v>58</v>
      </c>
      <c r="Q20" s="5329"/>
      <c r="R20" s="5327" t="s">
        <v>2021</v>
      </c>
      <c r="S20" s="5321"/>
      <c r="T20" s="1783"/>
      <c r="U20" s="5320">
        <v>52</v>
      </c>
      <c r="V20" s="5321"/>
      <c r="W20" s="1783"/>
      <c r="X20" s="5320">
        <v>43</v>
      </c>
      <c r="Y20" s="5321"/>
      <c r="Z20" s="1782"/>
    </row>
    <row r="21" spans="2:26" ht="15" customHeight="1">
      <c r="B21" s="5332"/>
      <c r="C21" s="1738">
        <v>17</v>
      </c>
      <c r="D21" s="5259">
        <v>3.5</v>
      </c>
      <c r="E21" s="5260"/>
      <c r="F21" s="5327">
        <v>44</v>
      </c>
      <c r="G21" s="5321"/>
      <c r="H21" s="5320">
        <v>39</v>
      </c>
      <c r="I21" s="5328"/>
      <c r="J21" s="5320">
        <v>33</v>
      </c>
      <c r="K21" s="5329"/>
      <c r="L21" s="5327">
        <v>52</v>
      </c>
      <c r="M21" s="5321"/>
      <c r="N21" s="5320">
        <v>54</v>
      </c>
      <c r="O21" s="5328"/>
      <c r="P21" s="5320">
        <v>45</v>
      </c>
      <c r="Q21" s="5329"/>
      <c r="R21" s="5327" t="s">
        <v>2021</v>
      </c>
      <c r="S21" s="5321"/>
      <c r="T21" s="1783"/>
      <c r="U21" s="5320">
        <v>40</v>
      </c>
      <c r="V21" s="5321"/>
      <c r="W21" s="1783"/>
      <c r="X21" s="5320">
        <v>33</v>
      </c>
      <c r="Y21" s="5321"/>
      <c r="Z21" s="1782"/>
    </row>
    <row r="22" spans="2:26" ht="15" customHeight="1">
      <c r="B22" s="5332"/>
      <c r="C22" s="1738">
        <v>18</v>
      </c>
      <c r="D22" s="5253">
        <v>2</v>
      </c>
      <c r="E22" s="5254"/>
      <c r="F22" s="5322">
        <v>31</v>
      </c>
      <c r="G22" s="5323"/>
      <c r="H22" s="5324">
        <v>28</v>
      </c>
      <c r="I22" s="5325"/>
      <c r="J22" s="5324">
        <v>23</v>
      </c>
      <c r="K22" s="5326"/>
      <c r="L22" s="5322">
        <v>38</v>
      </c>
      <c r="M22" s="5323"/>
      <c r="N22" s="5324">
        <v>39</v>
      </c>
      <c r="O22" s="5325"/>
      <c r="P22" s="5324">
        <v>32</v>
      </c>
      <c r="Q22" s="5326"/>
      <c r="R22" s="5322" t="s">
        <v>2021</v>
      </c>
      <c r="S22" s="5323"/>
      <c r="T22" s="1781"/>
      <c r="U22" s="5324">
        <v>28</v>
      </c>
      <c r="V22" s="5323"/>
      <c r="W22" s="1781"/>
      <c r="X22" s="5324">
        <v>24</v>
      </c>
      <c r="Y22" s="5323"/>
      <c r="Z22" s="1780"/>
    </row>
    <row r="23" spans="2:26" ht="15" customHeight="1">
      <c r="B23" s="5332"/>
      <c r="C23" s="1738">
        <v>19</v>
      </c>
      <c r="D23" s="1779" t="s">
        <v>2020</v>
      </c>
      <c r="E23" s="1778"/>
      <c r="F23" s="1778"/>
      <c r="G23" s="1778"/>
      <c r="H23" s="1778"/>
      <c r="I23" s="1778"/>
      <c r="J23" s="1778"/>
      <c r="K23" s="1778"/>
      <c r="L23" s="1778"/>
      <c r="M23" s="1778"/>
      <c r="N23" s="1778"/>
      <c r="O23" s="1778"/>
      <c r="P23" s="1778"/>
      <c r="Q23" s="1778"/>
      <c r="R23" s="1778"/>
      <c r="S23" s="1778"/>
      <c r="T23" s="1778"/>
      <c r="U23" s="1778"/>
      <c r="V23" s="1778"/>
      <c r="W23" s="1778"/>
      <c r="X23" s="1778"/>
      <c r="Y23" s="1778"/>
      <c r="Z23" s="1777"/>
    </row>
    <row r="24" spans="2:26" ht="15" customHeight="1">
      <c r="B24" s="5332"/>
      <c r="C24" s="1738">
        <v>20</v>
      </c>
      <c r="D24" s="5276" t="s">
        <v>2019</v>
      </c>
      <c r="E24" s="5276"/>
      <c r="F24" s="5276"/>
      <c r="G24" s="5276"/>
      <c r="H24" s="5276"/>
      <c r="I24" s="5276"/>
      <c r="J24" s="5276"/>
      <c r="K24" s="5276"/>
      <c r="L24" s="5276"/>
      <c r="M24" s="5276"/>
      <c r="N24" s="5276"/>
      <c r="O24" s="5276"/>
      <c r="P24" s="5276"/>
      <c r="Q24" s="5276"/>
      <c r="R24" s="5276"/>
      <c r="S24" s="5276"/>
      <c r="T24" s="5276"/>
      <c r="U24" s="5276"/>
      <c r="V24" s="5276"/>
      <c r="W24" s="5276"/>
      <c r="X24" s="5276"/>
      <c r="Y24" s="5276"/>
      <c r="Z24" s="5277"/>
    </row>
    <row r="25" spans="2:26" ht="15" customHeight="1">
      <c r="B25" s="5332"/>
      <c r="C25" s="1738">
        <v>21</v>
      </c>
      <c r="D25" s="5276" t="s">
        <v>2018</v>
      </c>
      <c r="E25" s="5276"/>
      <c r="F25" s="5276"/>
      <c r="G25" s="5276"/>
      <c r="H25" s="5276"/>
      <c r="I25" s="5276"/>
      <c r="J25" s="5276"/>
      <c r="K25" s="5276"/>
      <c r="L25" s="5276"/>
      <c r="M25" s="5276"/>
      <c r="N25" s="5276"/>
      <c r="O25" s="5276"/>
      <c r="P25" s="5276"/>
      <c r="Q25" s="5276"/>
      <c r="R25" s="5276"/>
      <c r="S25" s="5276"/>
      <c r="T25" s="5276"/>
      <c r="U25" s="5276"/>
      <c r="V25" s="5276"/>
      <c r="W25" s="5276"/>
      <c r="X25" s="5276"/>
      <c r="Y25" s="5276"/>
      <c r="Z25" s="5277"/>
    </row>
    <row r="26" spans="2:26" ht="15" customHeight="1">
      <c r="B26" s="5332"/>
      <c r="C26" s="1738">
        <v>22</v>
      </c>
      <c r="D26" s="5276" t="s">
        <v>2017</v>
      </c>
      <c r="E26" s="5276"/>
      <c r="F26" s="5276"/>
      <c r="G26" s="5276"/>
      <c r="H26" s="5276"/>
      <c r="I26" s="5276"/>
      <c r="J26" s="5276"/>
      <c r="K26" s="5276"/>
      <c r="L26" s="5276"/>
      <c r="M26" s="5276"/>
      <c r="N26" s="5276"/>
      <c r="O26" s="5276"/>
      <c r="P26" s="5276"/>
      <c r="Q26" s="5276"/>
      <c r="R26" s="5276"/>
      <c r="S26" s="5276"/>
      <c r="T26" s="5276"/>
      <c r="U26" s="5276"/>
      <c r="V26" s="5276"/>
      <c r="W26" s="5276"/>
      <c r="X26" s="5276"/>
      <c r="Y26" s="5276"/>
      <c r="Z26" s="5277"/>
    </row>
    <row r="27" spans="2:26" ht="15" customHeight="1">
      <c r="B27" s="5332"/>
      <c r="C27" s="1738">
        <v>23</v>
      </c>
      <c r="D27" s="5276" t="s">
        <v>2016</v>
      </c>
      <c r="E27" s="5276"/>
      <c r="F27" s="5276"/>
      <c r="G27" s="5276"/>
      <c r="H27" s="5276"/>
      <c r="I27" s="5276"/>
      <c r="J27" s="5276"/>
      <c r="K27" s="5276"/>
      <c r="L27" s="5276"/>
      <c r="M27" s="5276"/>
      <c r="N27" s="5276"/>
      <c r="O27" s="5276"/>
      <c r="P27" s="5276"/>
      <c r="Q27" s="5276"/>
      <c r="R27" s="5276"/>
      <c r="S27" s="5276"/>
      <c r="T27" s="5276"/>
      <c r="U27" s="5276"/>
      <c r="V27" s="5276"/>
      <c r="W27" s="5276"/>
      <c r="X27" s="5276"/>
      <c r="Y27" s="5276"/>
      <c r="Z27" s="5277"/>
    </row>
    <row r="28" spans="2:26" ht="15" customHeight="1">
      <c r="B28" s="5332"/>
      <c r="C28" s="1738">
        <v>24</v>
      </c>
      <c r="D28" s="5276" t="s">
        <v>2015</v>
      </c>
      <c r="E28" s="5276"/>
      <c r="F28" s="5276"/>
      <c r="G28" s="5276"/>
      <c r="H28" s="5276"/>
      <c r="I28" s="5276"/>
      <c r="J28" s="5276"/>
      <c r="K28" s="5276"/>
      <c r="L28" s="5276"/>
      <c r="M28" s="5276"/>
      <c r="N28" s="5276"/>
      <c r="O28" s="5276"/>
      <c r="P28" s="5276"/>
      <c r="Q28" s="5276"/>
      <c r="R28" s="5276"/>
      <c r="S28" s="5276"/>
      <c r="T28" s="5276"/>
      <c r="U28" s="5276"/>
      <c r="V28" s="5276"/>
      <c r="W28" s="5276"/>
      <c r="X28" s="5276"/>
      <c r="Y28" s="5276"/>
      <c r="Z28" s="5277"/>
    </row>
    <row r="29" spans="2:26" ht="15" customHeight="1">
      <c r="B29" s="5332"/>
      <c r="C29" s="1738">
        <v>25</v>
      </c>
      <c r="D29" s="1776"/>
      <c r="E29" s="1766"/>
      <c r="F29" s="1766"/>
      <c r="G29" s="1766"/>
      <c r="H29" s="1766"/>
      <c r="I29" s="1766"/>
      <c r="J29" s="1766"/>
      <c r="K29" s="1766"/>
      <c r="L29" s="1766"/>
      <c r="M29" s="1766"/>
      <c r="N29" s="1766"/>
      <c r="O29" s="1766"/>
      <c r="P29" s="1766"/>
      <c r="Q29" s="1766"/>
      <c r="R29" s="1766"/>
      <c r="S29" s="1766"/>
      <c r="T29" s="1766"/>
      <c r="U29" s="1766"/>
      <c r="V29" s="1766"/>
      <c r="W29" s="1766"/>
      <c r="X29" s="1766"/>
      <c r="Y29" s="1766"/>
      <c r="Z29" s="1775"/>
    </row>
    <row r="30" spans="2:26" ht="15" customHeight="1">
      <c r="B30" s="5332"/>
      <c r="C30" s="1738">
        <v>26</v>
      </c>
      <c r="D30" s="177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75"/>
    </row>
    <row r="31" spans="2:26" ht="15" customHeight="1">
      <c r="B31" s="5332"/>
      <c r="C31" s="1738">
        <v>27</v>
      </c>
      <c r="D31" s="1774" t="s">
        <v>2014</v>
      </c>
      <c r="E31" s="1770"/>
      <c r="F31" s="1770"/>
      <c r="G31" s="1770"/>
      <c r="H31" s="1770"/>
      <c r="I31" s="1770"/>
      <c r="J31" s="1770"/>
      <c r="K31" s="1770"/>
      <c r="L31" s="1765"/>
      <c r="M31" s="1765"/>
      <c r="N31" s="1765"/>
      <c r="O31" s="1765"/>
      <c r="P31" s="1765"/>
      <c r="Q31" s="1765"/>
      <c r="R31" s="1765"/>
      <c r="S31" s="1765"/>
      <c r="T31" s="1765"/>
      <c r="U31" s="1765"/>
      <c r="V31" s="1765"/>
      <c r="W31" s="1765"/>
      <c r="X31" s="1765"/>
      <c r="Y31" s="1765"/>
      <c r="Z31" s="1764"/>
    </row>
    <row r="32" spans="2:26" ht="15" customHeight="1">
      <c r="B32" s="5332"/>
      <c r="C32" s="1738">
        <v>28</v>
      </c>
      <c r="D32" s="5298" t="s">
        <v>2013</v>
      </c>
      <c r="E32" s="5299"/>
      <c r="F32" s="5299"/>
      <c r="G32" s="5299"/>
      <c r="H32" s="5300"/>
      <c r="I32" s="1773">
        <f>IF(K32="",40,K32)</f>
        <v>40</v>
      </c>
      <c r="J32" s="1772" t="s">
        <v>2012</v>
      </c>
      <c r="K32" s="1771"/>
      <c r="L32" s="1765"/>
      <c r="M32" s="5298" t="s">
        <v>2013</v>
      </c>
      <c r="N32" s="5299"/>
      <c r="O32" s="5299"/>
      <c r="P32" s="5299"/>
      <c r="Q32" s="5300"/>
      <c r="R32" s="1773">
        <f>IF(T32="",40,T32)</f>
        <v>40</v>
      </c>
      <c r="S32" s="1772" t="s">
        <v>2012</v>
      </c>
      <c r="T32" s="1771"/>
      <c r="U32" s="1770"/>
      <c r="V32" s="1770"/>
      <c r="W32" s="1770"/>
      <c r="X32" s="1770"/>
      <c r="Y32" s="1765"/>
      <c r="Z32" s="1769">
        <f>IF(U34="１段  Ｓ=ｄ",0.7,IF(U34="２段  Ｓ=ｄ",0.5,IF(U34="３段  Ｓ=ｄ",0.3,"")))</f>
        <v>0.5</v>
      </c>
    </row>
    <row r="33" spans="2:29" ht="15" customHeight="1">
      <c r="B33" s="5332"/>
      <c r="C33" s="1738">
        <v>29</v>
      </c>
      <c r="D33" s="5301" t="s">
        <v>2010</v>
      </c>
      <c r="E33" s="5302"/>
      <c r="F33" s="5307" t="s">
        <v>2011</v>
      </c>
      <c r="G33" s="5308"/>
      <c r="H33" s="5308"/>
      <c r="I33" s="5308"/>
      <c r="J33" s="5308"/>
      <c r="K33" s="5309"/>
      <c r="L33" s="1765"/>
      <c r="M33" s="5310" t="s">
        <v>2010</v>
      </c>
      <c r="N33" s="5311"/>
      <c r="O33" s="5316" t="s">
        <v>2009</v>
      </c>
      <c r="P33" s="5317"/>
      <c r="Q33" s="5317"/>
      <c r="R33" s="5317"/>
      <c r="S33" s="5317"/>
      <c r="T33" s="5318"/>
      <c r="U33" s="5316" t="s">
        <v>2008</v>
      </c>
      <c r="V33" s="5317"/>
      <c r="W33" s="5317"/>
      <c r="X33" s="5317"/>
      <c r="Y33" s="5317"/>
      <c r="Z33" s="5319"/>
      <c r="AB33" s="1768" t="s">
        <v>2007</v>
      </c>
    </row>
    <row r="34" spans="2:29" ht="15" customHeight="1">
      <c r="B34" s="5332"/>
      <c r="C34" s="1738">
        <v>30</v>
      </c>
      <c r="D34" s="5303"/>
      <c r="E34" s="5304"/>
      <c r="F34" s="5280" t="s">
        <v>2006</v>
      </c>
      <c r="G34" s="5281"/>
      <c r="H34" s="5284" t="s">
        <v>2005</v>
      </c>
      <c r="I34" s="5281"/>
      <c r="J34" s="5285" t="s">
        <v>2004</v>
      </c>
      <c r="K34" s="5286"/>
      <c r="L34" s="1765"/>
      <c r="M34" s="5312"/>
      <c r="N34" s="5313"/>
      <c r="O34" s="5289" t="s">
        <v>2003</v>
      </c>
      <c r="P34" s="5290"/>
      <c r="Q34" s="5290"/>
      <c r="R34" s="5290"/>
      <c r="S34" s="5290"/>
      <c r="T34" s="5291"/>
      <c r="U34" s="5292" t="s">
        <v>2002</v>
      </c>
      <c r="V34" s="5293"/>
      <c r="W34" s="5293"/>
      <c r="X34" s="5293"/>
      <c r="Y34" s="5293"/>
      <c r="Z34" s="5294"/>
      <c r="AB34" s="1768" t="s">
        <v>2001</v>
      </c>
    </row>
    <row r="35" spans="2:29" ht="15" customHeight="1">
      <c r="B35" s="5332"/>
      <c r="C35" s="1738">
        <v>31</v>
      </c>
      <c r="D35" s="5305"/>
      <c r="E35" s="5306"/>
      <c r="F35" s="5282"/>
      <c r="G35" s="5283"/>
      <c r="H35" s="5283"/>
      <c r="I35" s="5283"/>
      <c r="J35" s="5287"/>
      <c r="K35" s="5288"/>
      <c r="L35" s="1765"/>
      <c r="M35" s="5314"/>
      <c r="N35" s="5315"/>
      <c r="O35" s="5295" t="s">
        <v>2000</v>
      </c>
      <c r="P35" s="5296"/>
      <c r="Q35" s="5278" t="s">
        <v>1999</v>
      </c>
      <c r="R35" s="5278"/>
      <c r="S35" s="5278" t="s">
        <v>1998</v>
      </c>
      <c r="T35" s="5297"/>
      <c r="U35" s="5295" t="s">
        <v>2000</v>
      </c>
      <c r="V35" s="5296"/>
      <c r="W35" s="5278" t="s">
        <v>1999</v>
      </c>
      <c r="X35" s="5278"/>
      <c r="Y35" s="5278" t="s">
        <v>1998</v>
      </c>
      <c r="Z35" s="5279"/>
      <c r="AB35" s="1768" t="s">
        <v>1997</v>
      </c>
    </row>
    <row r="36" spans="2:29" ht="15" customHeight="1">
      <c r="B36" s="5332"/>
      <c r="C36" s="1738">
        <v>32</v>
      </c>
      <c r="D36" s="5265">
        <v>325</v>
      </c>
      <c r="E36" s="5266"/>
      <c r="F36" s="5267">
        <f>635*SQRT((90-I32)/50)</f>
        <v>635</v>
      </c>
      <c r="G36" s="5268"/>
      <c r="H36" s="5269">
        <f>H10*SQRT((90-I32)/50)</f>
        <v>660</v>
      </c>
      <c r="I36" s="5270"/>
      <c r="J36" s="5269">
        <f>J10*SQRT((90-I32)/50)</f>
        <v>555</v>
      </c>
      <c r="K36" s="5271"/>
      <c r="L36" s="1765"/>
      <c r="M36" s="5265">
        <v>325</v>
      </c>
      <c r="N36" s="5266"/>
      <c r="O36" s="5272">
        <f>475*SQRT((90-R32)/50)</f>
        <v>475</v>
      </c>
      <c r="P36" s="5273"/>
      <c r="Q36" s="5273">
        <f>540*SQRT((90-R32)/50)</f>
        <v>540</v>
      </c>
      <c r="R36" s="5273"/>
      <c r="S36" s="5273">
        <f>450*SQRT((90-R32)/50)</f>
        <v>450</v>
      </c>
      <c r="T36" s="5275"/>
      <c r="U36" s="5272">
        <f>Z32*F10*SQRT((90-R32)/50)</f>
        <v>362.5</v>
      </c>
      <c r="V36" s="5273"/>
      <c r="W36" s="5273">
        <f>Z32*N10*SQRT((90-R32)/50)</f>
        <v>325</v>
      </c>
      <c r="X36" s="5273"/>
      <c r="Y36" s="5273">
        <f>Z32*P10*SQRT((90-R32)/50)</f>
        <v>270</v>
      </c>
      <c r="Z36" s="5274"/>
      <c r="AB36" s="1768"/>
    </row>
    <row r="37" spans="2:29" ht="15" customHeight="1">
      <c r="B37" s="5332"/>
      <c r="C37" s="1738">
        <v>33</v>
      </c>
      <c r="D37" s="5259">
        <v>250</v>
      </c>
      <c r="E37" s="5260"/>
      <c r="F37" s="5261">
        <f>535*SQRT((90-I32)/50)</f>
        <v>535</v>
      </c>
      <c r="G37" s="5262"/>
      <c r="H37" s="5263">
        <f>H11*SQRT((90-I32)/50)</f>
        <v>560</v>
      </c>
      <c r="I37" s="5262"/>
      <c r="J37" s="5263">
        <f>J11*SQRT((90-I32)/50)</f>
        <v>470</v>
      </c>
      <c r="K37" s="5264"/>
      <c r="L37" s="1765"/>
      <c r="M37" s="5259">
        <v>250</v>
      </c>
      <c r="N37" s="5260"/>
      <c r="O37" s="5242">
        <f>395*SQRT((90-R32)/50)</f>
        <v>395</v>
      </c>
      <c r="P37" s="5240"/>
      <c r="Q37" s="5240">
        <f>455*SQRT((90-R32)/50)</f>
        <v>455</v>
      </c>
      <c r="R37" s="5240"/>
      <c r="S37" s="5240">
        <f>380*SQRT((90-R32)/50)</f>
        <v>380</v>
      </c>
      <c r="T37" s="5241"/>
      <c r="U37" s="5242">
        <f>Z32*F11*SQRT((90-R32)/50)</f>
        <v>310</v>
      </c>
      <c r="V37" s="5240"/>
      <c r="W37" s="5240">
        <f>Z32*N11*SQRT((90-R32)/50)</f>
        <v>285</v>
      </c>
      <c r="X37" s="5240"/>
      <c r="Y37" s="5240">
        <f>Z32*P11*SQRT((90-R32)/50)</f>
        <v>235</v>
      </c>
      <c r="Z37" s="5243"/>
    </row>
    <row r="38" spans="2:29" ht="15" customHeight="1">
      <c r="B38" s="5332"/>
      <c r="C38" s="1738">
        <v>34</v>
      </c>
      <c r="D38" s="5259">
        <v>200</v>
      </c>
      <c r="E38" s="5260"/>
      <c r="F38" s="5261">
        <f>465*SQRT((90-I32)/50)</f>
        <v>465</v>
      </c>
      <c r="G38" s="5262"/>
      <c r="H38" s="5263">
        <f>H12*SQRT((90-I32)/50)</f>
        <v>485</v>
      </c>
      <c r="I38" s="5262"/>
      <c r="J38" s="5263">
        <f>J12*SQRT((90-I32)/50)</f>
        <v>410</v>
      </c>
      <c r="K38" s="5264"/>
      <c r="L38" s="1765"/>
      <c r="M38" s="5259">
        <v>200</v>
      </c>
      <c r="N38" s="5260"/>
      <c r="O38" s="5242">
        <f>340*SQRT((90-R32)/50)</f>
        <v>340</v>
      </c>
      <c r="P38" s="5240"/>
      <c r="Q38" s="5240">
        <f>390*SQRT((90-R32)/50)</f>
        <v>390</v>
      </c>
      <c r="R38" s="5240"/>
      <c r="S38" s="5240">
        <f>335*SQRT((90-R32)/50)</f>
        <v>335</v>
      </c>
      <c r="T38" s="5241"/>
      <c r="U38" s="5242">
        <f>Z32*F12*SQRT((90-R32)/50)</f>
        <v>272.5</v>
      </c>
      <c r="V38" s="5240"/>
      <c r="W38" s="5240">
        <f>Z32*N12*SQRT((90-R32)/50)</f>
        <v>252.5</v>
      </c>
      <c r="X38" s="5240"/>
      <c r="Y38" s="5240">
        <f>Z32*P12*SQRT((90-R32)/50)</f>
        <v>210</v>
      </c>
      <c r="Z38" s="5243"/>
    </row>
    <row r="39" spans="2:29" ht="15" customHeight="1">
      <c r="B39" s="5332"/>
      <c r="C39" s="1738">
        <v>35</v>
      </c>
      <c r="D39" s="5259">
        <v>150</v>
      </c>
      <c r="E39" s="5260"/>
      <c r="F39" s="5261">
        <f>380*SQRT((90-I32)/50)</f>
        <v>380</v>
      </c>
      <c r="G39" s="5262"/>
      <c r="H39" s="5263">
        <f>H13*SQRT((90-I32)/50)</f>
        <v>400</v>
      </c>
      <c r="I39" s="5262"/>
      <c r="J39" s="5263">
        <f>J13*SQRT((90-I32)/50)</f>
        <v>340</v>
      </c>
      <c r="K39" s="5264"/>
      <c r="L39" s="1765"/>
      <c r="M39" s="5259">
        <v>150</v>
      </c>
      <c r="N39" s="5260"/>
      <c r="O39" s="5242">
        <f>275*SQRT((90-R32)/50)</f>
        <v>275</v>
      </c>
      <c r="P39" s="5240"/>
      <c r="Q39" s="5240">
        <f>320*SQRT((90-R32)/50)</f>
        <v>320</v>
      </c>
      <c r="R39" s="5240"/>
      <c r="S39" s="5240">
        <f>265*SQRT((90-R32)/50)</f>
        <v>265</v>
      </c>
      <c r="T39" s="5241"/>
      <c r="U39" s="5242">
        <f>Z32*F13*SQRT((90-R32)/50)</f>
        <v>227.5</v>
      </c>
      <c r="V39" s="5240"/>
      <c r="W39" s="5240">
        <f>Z32*N13*SQRT((90-R32)/50)</f>
        <v>217.5</v>
      </c>
      <c r="X39" s="5240"/>
      <c r="Y39" s="5240">
        <f>Z32*P13*SQRT((90-R32)/50)</f>
        <v>180</v>
      </c>
      <c r="Z39" s="5243"/>
    </row>
    <row r="40" spans="2:29" ht="15" customHeight="1">
      <c r="B40" s="5332"/>
      <c r="C40" s="1738">
        <v>36</v>
      </c>
      <c r="D40" s="5259">
        <v>100</v>
      </c>
      <c r="E40" s="5260"/>
      <c r="F40" s="5261">
        <f>290*SQRT((90-I32)/50)</f>
        <v>290</v>
      </c>
      <c r="G40" s="5262"/>
      <c r="H40" s="5263">
        <f>H14*SQRT((90-I32)/50)</f>
        <v>310</v>
      </c>
      <c r="I40" s="5262"/>
      <c r="J40" s="5263">
        <f>J14*SQRT((90-I32)/50)</f>
        <v>260</v>
      </c>
      <c r="K40" s="5264"/>
      <c r="L40" s="1765"/>
      <c r="M40" s="5259">
        <v>100</v>
      </c>
      <c r="N40" s="5260"/>
      <c r="O40" s="5242">
        <f>215*SQRT((90-R32)/50)</f>
        <v>215</v>
      </c>
      <c r="P40" s="5240"/>
      <c r="Q40" s="5240">
        <f>245*SQRT((90-R32)/50)</f>
        <v>245</v>
      </c>
      <c r="R40" s="5240"/>
      <c r="S40" s="5240">
        <f>210*SQRT((90-R32)/50)</f>
        <v>210</v>
      </c>
      <c r="T40" s="5241"/>
      <c r="U40" s="5242">
        <f>Z32*F14*SQRT((90-R32)/50)</f>
        <v>177.5</v>
      </c>
      <c r="V40" s="5240"/>
      <c r="W40" s="5240">
        <f>Z32*N14*SQRT((90-R32)/50)</f>
        <v>172.5</v>
      </c>
      <c r="X40" s="5240"/>
      <c r="Y40" s="5240">
        <f>Z32*P14*SQRT((90-R32)/50)</f>
        <v>142.5</v>
      </c>
      <c r="Z40" s="5243"/>
    </row>
    <row r="41" spans="2:29" ht="15" customHeight="1">
      <c r="B41" s="5332"/>
      <c r="C41" s="1738">
        <v>37</v>
      </c>
      <c r="D41" s="5259">
        <v>60</v>
      </c>
      <c r="E41" s="5260"/>
      <c r="F41" s="5261">
        <f>210*SQRT((90-I32)/50)</f>
        <v>210</v>
      </c>
      <c r="G41" s="5262"/>
      <c r="H41" s="5263">
        <f>H15*SQRT((90-I32)/50)</f>
        <v>225</v>
      </c>
      <c r="I41" s="5262"/>
      <c r="J41" s="5263">
        <f>J15*SQRT((90-I32)/50)</f>
        <v>190</v>
      </c>
      <c r="K41" s="5264"/>
      <c r="L41" s="1765"/>
      <c r="M41" s="5259">
        <v>60</v>
      </c>
      <c r="N41" s="5260"/>
      <c r="O41" s="5242">
        <f>150*SQRT((90-R32)/50)</f>
        <v>150</v>
      </c>
      <c r="P41" s="5240"/>
      <c r="Q41" s="5240">
        <f>175*SQRT((90-R32)/50)</f>
        <v>175</v>
      </c>
      <c r="R41" s="5240"/>
      <c r="S41" s="5240">
        <f>150*SQRT((90-R32)/50)</f>
        <v>150</v>
      </c>
      <c r="T41" s="5241"/>
      <c r="U41" s="5242">
        <f>Z32*F15*SQRT((90-R32)/50)</f>
        <v>127.5</v>
      </c>
      <c r="V41" s="5240"/>
      <c r="W41" s="5240">
        <f>Z32*N15*SQRT((90-R32)/50)</f>
        <v>130</v>
      </c>
      <c r="X41" s="5240"/>
      <c r="Y41" s="5240">
        <f>Z32*P15*SQRT((90-R32)/50)</f>
        <v>107.5</v>
      </c>
      <c r="Z41" s="5243"/>
      <c r="AC41" s="1767"/>
    </row>
    <row r="42" spans="2:29" ht="15" customHeight="1">
      <c r="B42" s="5332"/>
      <c r="C42" s="1738">
        <v>38</v>
      </c>
      <c r="D42" s="5259">
        <v>38</v>
      </c>
      <c r="E42" s="5260"/>
      <c r="F42" s="5261">
        <f>155*SQRT((90-I32)/50)</f>
        <v>155</v>
      </c>
      <c r="G42" s="5262"/>
      <c r="H42" s="5263">
        <f>H16*SQRT((90-I32)/50)</f>
        <v>170</v>
      </c>
      <c r="I42" s="5262"/>
      <c r="J42" s="5263">
        <f>J16*SQRT((90-I32)/50)</f>
        <v>140</v>
      </c>
      <c r="K42" s="5264"/>
      <c r="L42" s="1765"/>
      <c r="M42" s="5259">
        <v>38</v>
      </c>
      <c r="N42" s="5260"/>
      <c r="O42" s="5242">
        <f>110*SQRT((90-R32)/50)</f>
        <v>110</v>
      </c>
      <c r="P42" s="5240"/>
      <c r="Q42" s="5240">
        <f>135*SQRT((90-R32)/50)</f>
        <v>135</v>
      </c>
      <c r="R42" s="5240"/>
      <c r="S42" s="5240">
        <f>110*SQRT((90-R32)/50)</f>
        <v>110</v>
      </c>
      <c r="T42" s="5241"/>
      <c r="U42" s="5242">
        <f>Z32*F16*SQRT((90-R32)/50)</f>
        <v>95</v>
      </c>
      <c r="V42" s="5240"/>
      <c r="W42" s="5240">
        <f>Z32*N16*SQRT((90-R32)/50)</f>
        <v>102.5</v>
      </c>
      <c r="X42" s="5240"/>
      <c r="Y42" s="5240">
        <f>Z32*P16*SQRT((90-R32)/50)</f>
        <v>85</v>
      </c>
      <c r="Z42" s="5243"/>
    </row>
    <row r="43" spans="2:29" ht="15" customHeight="1">
      <c r="B43" s="5332"/>
      <c r="C43" s="1738">
        <v>39</v>
      </c>
      <c r="D43" s="5259">
        <v>22</v>
      </c>
      <c r="E43" s="5260"/>
      <c r="F43" s="5261">
        <f>110*SQRT((90-I32)/50)</f>
        <v>110</v>
      </c>
      <c r="G43" s="5262"/>
      <c r="H43" s="5263">
        <f>H17*SQRT((90-I32)/50)</f>
        <v>120</v>
      </c>
      <c r="I43" s="5262"/>
      <c r="J43" s="5263">
        <f>J17*SQRT((90-I32)/50)</f>
        <v>100</v>
      </c>
      <c r="K43" s="5264"/>
      <c r="L43" s="1765"/>
      <c r="M43" s="5259">
        <v>22</v>
      </c>
      <c r="N43" s="5260"/>
      <c r="O43" s="5242">
        <f>82*SQRT((90-R32)/50)</f>
        <v>82</v>
      </c>
      <c r="P43" s="5240"/>
      <c r="Q43" s="5240">
        <f>93*SQRT((90-R32)/50)</f>
        <v>93</v>
      </c>
      <c r="R43" s="5240"/>
      <c r="S43" s="5240">
        <f>77*SQRT((90-R32)/50)</f>
        <v>77</v>
      </c>
      <c r="T43" s="5241"/>
      <c r="U43" s="5242">
        <f>Z32*F17*SQRT((90-R32)/50)</f>
        <v>65</v>
      </c>
      <c r="V43" s="5240"/>
      <c r="W43" s="5240">
        <f>Z32*N17*SQRT((90-R32)/50)</f>
        <v>75</v>
      </c>
      <c r="X43" s="5240"/>
      <c r="Y43" s="5240">
        <f>Z32*P17*SQRT((90-R32)/50)</f>
        <v>62.5</v>
      </c>
      <c r="Z43" s="5243"/>
    </row>
    <row r="44" spans="2:29" ht="15" customHeight="1">
      <c r="B44" s="5332"/>
      <c r="C44" s="1738">
        <v>40</v>
      </c>
      <c r="D44" s="5259">
        <v>14</v>
      </c>
      <c r="E44" s="5260"/>
      <c r="F44" s="5261">
        <f>86*SQRT((90-I32)/50)</f>
        <v>86</v>
      </c>
      <c r="G44" s="5262"/>
      <c r="H44" s="5263">
        <f>H18*SQRT((90-I32)/50)</f>
        <v>91</v>
      </c>
      <c r="I44" s="5262"/>
      <c r="J44" s="5263">
        <f>J18*SQRT((90-I32)/50)</f>
        <v>76</v>
      </c>
      <c r="K44" s="5264"/>
      <c r="L44" s="1765"/>
      <c r="M44" s="5259">
        <v>14</v>
      </c>
      <c r="N44" s="5260"/>
      <c r="O44" s="5242">
        <f>63*SQRT((90-R32)/50)</f>
        <v>63</v>
      </c>
      <c r="P44" s="5240"/>
      <c r="Q44" s="5240">
        <f>70*SQRT((90-R32)/50)</f>
        <v>70</v>
      </c>
      <c r="R44" s="5240"/>
      <c r="S44" s="5240">
        <f>59*SQRT((90-R32)/50)</f>
        <v>59</v>
      </c>
      <c r="T44" s="5241"/>
      <c r="U44" s="5242">
        <f>Z32*F18*SQRT((90-R32)/50)</f>
        <v>50</v>
      </c>
      <c r="V44" s="5240"/>
      <c r="W44" s="5240">
        <f>Z32*N18*SQRT((90-R32)/50)</f>
        <v>57.5</v>
      </c>
      <c r="X44" s="5240"/>
      <c r="Y44" s="5240">
        <f>Z32*P18*SQRT((90-R32)/50)</f>
        <v>48.5</v>
      </c>
      <c r="Z44" s="5243"/>
    </row>
    <row r="45" spans="2:29" ht="15" customHeight="1">
      <c r="B45" s="5332"/>
      <c r="C45" s="1738">
        <v>41</v>
      </c>
      <c r="D45" s="5259">
        <v>8</v>
      </c>
      <c r="E45" s="5260"/>
      <c r="F45" s="5261">
        <f>62*SQRT((90-I32)/50)</f>
        <v>62</v>
      </c>
      <c r="G45" s="5262"/>
      <c r="H45" s="5263">
        <f>H19*SQRT((90-I32)/50)</f>
        <v>65</v>
      </c>
      <c r="I45" s="5262"/>
      <c r="J45" s="5263">
        <f>J19*SQRT((90-I32)/50)</f>
        <v>54</v>
      </c>
      <c r="K45" s="5264"/>
      <c r="L45" s="1765"/>
      <c r="M45" s="5259">
        <v>8</v>
      </c>
      <c r="N45" s="5260"/>
      <c r="O45" s="5242">
        <f>48*SQRT((90-R32)/50)</f>
        <v>48</v>
      </c>
      <c r="P45" s="5240"/>
      <c r="Q45" s="5240">
        <f>51*SQRT((90-R32)/50)</f>
        <v>51</v>
      </c>
      <c r="R45" s="5240"/>
      <c r="S45" s="5240">
        <f>43*SQRT((90-R32)/50)</f>
        <v>43</v>
      </c>
      <c r="T45" s="5241"/>
      <c r="U45" s="5242">
        <f>Z32*F19*SQRT((90-R32)/50)</f>
        <v>36</v>
      </c>
      <c r="V45" s="5240"/>
      <c r="W45" s="5240">
        <f>Z32*N19*SQRT((90-R32)/50)</f>
        <v>42.5</v>
      </c>
      <c r="X45" s="5240"/>
      <c r="Y45" s="5240">
        <f>Z32*P19*SQRT((90-R32)/50)</f>
        <v>35.5</v>
      </c>
      <c r="Z45" s="5243"/>
    </row>
    <row r="46" spans="2:29" ht="15" customHeight="1">
      <c r="B46" s="5332"/>
      <c r="C46" s="1738">
        <v>42</v>
      </c>
      <c r="D46" s="5259">
        <v>5.5</v>
      </c>
      <c r="E46" s="5260"/>
      <c r="F46" s="5261" t="s">
        <v>1995</v>
      </c>
      <c r="G46" s="5262"/>
      <c r="H46" s="5263">
        <f>H20*SQRT((90-I32)/50)</f>
        <v>52</v>
      </c>
      <c r="I46" s="5262"/>
      <c r="J46" s="5263">
        <f>J20*SQRT((90-I32)/50)</f>
        <v>44</v>
      </c>
      <c r="K46" s="5264"/>
      <c r="L46" s="1765"/>
      <c r="M46" s="5259">
        <v>5.5</v>
      </c>
      <c r="N46" s="5260"/>
      <c r="O46" s="5250" t="s">
        <v>1996</v>
      </c>
      <c r="P46" s="5240"/>
      <c r="Q46" s="5240">
        <f>41*SQRT((90-R32)/50)</f>
        <v>41</v>
      </c>
      <c r="R46" s="5240"/>
      <c r="S46" s="5240">
        <f>35*SQRT((90-R32)/50)</f>
        <v>35</v>
      </c>
      <c r="T46" s="5241"/>
      <c r="U46" s="5242" t="s">
        <v>1995</v>
      </c>
      <c r="V46" s="5240"/>
      <c r="W46" s="5240">
        <f>Z32*N20*SQRT((90-R32)/50)</f>
        <v>34.5</v>
      </c>
      <c r="X46" s="5240"/>
      <c r="Y46" s="5240">
        <f>Z32*P20*SQRT((90-R32)/50)</f>
        <v>29</v>
      </c>
      <c r="Z46" s="5243"/>
    </row>
    <row r="47" spans="2:29" ht="15" customHeight="1">
      <c r="B47" s="5332"/>
      <c r="C47" s="1738">
        <v>43</v>
      </c>
      <c r="D47" s="5259">
        <v>3.5</v>
      </c>
      <c r="E47" s="5260"/>
      <c r="F47" s="5261" t="s">
        <v>1995</v>
      </c>
      <c r="G47" s="5262"/>
      <c r="H47" s="5263">
        <f>H21*SQRT((90-I32)/50)</f>
        <v>39</v>
      </c>
      <c r="I47" s="5262"/>
      <c r="J47" s="5263">
        <f>J21*SQRT((90-I32)/50)</f>
        <v>33</v>
      </c>
      <c r="K47" s="5264"/>
      <c r="L47" s="1765"/>
      <c r="M47" s="5259">
        <v>3.5</v>
      </c>
      <c r="N47" s="5260"/>
      <c r="O47" s="5250" t="s">
        <v>1996</v>
      </c>
      <c r="P47" s="5240"/>
      <c r="Q47" s="5240">
        <f>31*SQRT((90-R32)/50)</f>
        <v>31</v>
      </c>
      <c r="R47" s="5240"/>
      <c r="S47" s="5240">
        <f>26*SQRT((90-R32)/50)</f>
        <v>26</v>
      </c>
      <c r="T47" s="5241"/>
      <c r="U47" s="5242" t="s">
        <v>1995</v>
      </c>
      <c r="V47" s="5240"/>
      <c r="W47" s="5240">
        <f>Z32*N21*SQRT((90-R32)/50)</f>
        <v>27</v>
      </c>
      <c r="X47" s="5240"/>
      <c r="Y47" s="5240">
        <f>Z32*P21*SQRT((90-R32)/50)</f>
        <v>22.5</v>
      </c>
      <c r="Z47" s="5243"/>
    </row>
    <row r="48" spans="2:29" ht="15" customHeight="1">
      <c r="B48" s="5332"/>
      <c r="C48" s="1738">
        <v>44</v>
      </c>
      <c r="D48" s="5253">
        <v>2</v>
      </c>
      <c r="E48" s="5254"/>
      <c r="F48" s="5255" t="s">
        <v>1995</v>
      </c>
      <c r="G48" s="5256"/>
      <c r="H48" s="5257">
        <f>H22*SQRT((90-I32)/50)</f>
        <v>28</v>
      </c>
      <c r="I48" s="5256"/>
      <c r="J48" s="5257">
        <f>J22*SQRT((90-I32)/50)</f>
        <v>23</v>
      </c>
      <c r="K48" s="5258"/>
      <c r="L48" s="1765"/>
      <c r="M48" s="5253">
        <v>2</v>
      </c>
      <c r="N48" s="5254"/>
      <c r="O48" s="5250" t="s">
        <v>1996</v>
      </c>
      <c r="P48" s="5240"/>
      <c r="Q48" s="5238">
        <f>23*SQRT((90-R32)/50)</f>
        <v>23</v>
      </c>
      <c r="R48" s="5238"/>
      <c r="S48" s="5238">
        <f>19*SQRT((90-R32)/50)</f>
        <v>19</v>
      </c>
      <c r="T48" s="5251"/>
      <c r="U48" s="5252" t="s">
        <v>1995</v>
      </c>
      <c r="V48" s="5238"/>
      <c r="W48" s="5238">
        <f>Z32*N22*SQRT((90-R32)/50)</f>
        <v>19.5</v>
      </c>
      <c r="X48" s="5238"/>
      <c r="Y48" s="5238">
        <f>Z32*P22*SQRT((90-R32)/50)</f>
        <v>16</v>
      </c>
      <c r="Z48" s="5239"/>
    </row>
    <row r="49" spans="2:27" ht="15" customHeight="1">
      <c r="B49" s="5332"/>
      <c r="C49" s="1738">
        <v>45</v>
      </c>
      <c r="D49" s="1765"/>
      <c r="E49" s="1765"/>
      <c r="F49" s="1766"/>
      <c r="G49" s="1766"/>
      <c r="H49" s="1765"/>
      <c r="I49" s="1765"/>
      <c r="J49" s="1765"/>
      <c r="K49" s="1765"/>
      <c r="L49" s="1765"/>
      <c r="M49" s="1765"/>
      <c r="N49" s="1765"/>
      <c r="O49" s="5244" t="s">
        <v>1994</v>
      </c>
      <c r="P49" s="5245"/>
      <c r="Q49" s="5245"/>
      <c r="R49" s="5245"/>
      <c r="S49" s="5245"/>
      <c r="T49" s="5246"/>
      <c r="U49" s="1765"/>
      <c r="V49" s="1765"/>
      <c r="W49" s="1765"/>
      <c r="X49" s="1765"/>
      <c r="Y49" s="1765"/>
      <c r="Z49" s="1764"/>
    </row>
    <row r="50" spans="2:27" ht="15" customHeight="1">
      <c r="B50" s="5332"/>
      <c r="C50" s="1738">
        <v>46</v>
      </c>
      <c r="D50" s="1765"/>
      <c r="E50" s="1765"/>
      <c r="F50" s="1765"/>
      <c r="G50" s="1765"/>
      <c r="H50" s="1765"/>
      <c r="I50" s="1765"/>
      <c r="J50" s="1765"/>
      <c r="K50" s="1765"/>
      <c r="L50" s="1765"/>
      <c r="M50" s="1765"/>
      <c r="N50" s="1765"/>
      <c r="O50" s="5247" t="s">
        <v>1993</v>
      </c>
      <c r="P50" s="5248"/>
      <c r="Q50" s="5248"/>
      <c r="R50" s="5248"/>
      <c r="S50" s="5248"/>
      <c r="T50" s="5249"/>
      <c r="U50" s="1765"/>
      <c r="V50" s="1765"/>
      <c r="W50" s="1765"/>
      <c r="X50" s="1765"/>
      <c r="Y50" s="1765"/>
      <c r="Z50" s="1764"/>
    </row>
    <row r="51" spans="2:27" ht="15" customHeight="1">
      <c r="B51" s="5332"/>
      <c r="C51" s="1738">
        <v>48</v>
      </c>
      <c r="D51" s="1765"/>
      <c r="E51" s="1765"/>
      <c r="F51" s="1765"/>
      <c r="G51" s="1765"/>
      <c r="H51" s="1765"/>
      <c r="I51" s="1765"/>
      <c r="J51" s="1765"/>
      <c r="K51" s="1765"/>
      <c r="L51" s="1765"/>
      <c r="M51" s="1765"/>
      <c r="N51" s="1765"/>
      <c r="O51" s="1765"/>
      <c r="P51" s="1765"/>
      <c r="Q51" s="1765"/>
      <c r="R51" s="1765"/>
      <c r="S51" s="1765"/>
      <c r="T51" s="1765"/>
      <c r="U51" s="1765"/>
      <c r="V51" s="1765"/>
      <c r="W51" s="1765"/>
      <c r="X51" s="1765"/>
      <c r="Y51" s="1765"/>
      <c r="Z51" s="1764"/>
    </row>
    <row r="52" spans="2:27" ht="3.75" customHeight="1">
      <c r="B52" s="5332"/>
      <c r="C52" s="1763"/>
      <c r="D52" s="1762"/>
      <c r="E52" s="1762"/>
      <c r="F52" s="1762"/>
      <c r="G52" s="1762"/>
      <c r="H52" s="1762"/>
      <c r="I52" s="1762"/>
      <c r="J52" s="1762"/>
      <c r="K52" s="1762"/>
      <c r="L52" s="1762"/>
      <c r="M52" s="1762"/>
      <c r="N52" s="1762"/>
      <c r="O52" s="1762"/>
      <c r="P52" s="1762"/>
      <c r="Q52" s="1762"/>
      <c r="R52" s="1762"/>
      <c r="S52" s="1762"/>
      <c r="T52" s="1762"/>
      <c r="U52" s="1762"/>
      <c r="V52" s="1762"/>
      <c r="W52" s="1762"/>
      <c r="X52" s="1762"/>
      <c r="Y52" s="1762"/>
      <c r="Z52" s="1762"/>
      <c r="AA52" s="1761"/>
    </row>
    <row r="438" spans="4:4" ht="16.5">
      <c r="D438" s="117"/>
    </row>
  </sheetData>
  <sheetProtection password="82A0" sheet="1" objects="1" scenarios="1"/>
  <mergeCells count="316">
    <mergeCell ref="H8:I9"/>
    <mergeCell ref="J8:K9"/>
    <mergeCell ref="L8:M9"/>
    <mergeCell ref="N8:O9"/>
    <mergeCell ref="U8:W9"/>
    <mergeCell ref="X8:Z9"/>
    <mergeCell ref="D10:E10"/>
    <mergeCell ref="F10:G10"/>
    <mergeCell ref="H10:I10"/>
    <mergeCell ref="J10:K10"/>
    <mergeCell ref="L10:M10"/>
    <mergeCell ref="N10:O10"/>
    <mergeCell ref="P10:Q10"/>
    <mergeCell ref="R10:S10"/>
    <mergeCell ref="R3:S3"/>
    <mergeCell ref="B2:B52"/>
    <mergeCell ref="U3:V3"/>
    <mergeCell ref="X3:Y3"/>
    <mergeCell ref="D6:E9"/>
    <mergeCell ref="F6:Z6"/>
    <mergeCell ref="F7:K7"/>
    <mergeCell ref="L7:Q7"/>
    <mergeCell ref="R7:Z7"/>
    <mergeCell ref="F8:G9"/>
    <mergeCell ref="D11:E11"/>
    <mergeCell ref="F11:G11"/>
    <mergeCell ref="H11:I11"/>
    <mergeCell ref="J11:K11"/>
    <mergeCell ref="L11:M11"/>
    <mergeCell ref="N11:O11"/>
    <mergeCell ref="R12:S12"/>
    <mergeCell ref="U12:V12"/>
    <mergeCell ref="P8:Q9"/>
    <mergeCell ref="R8:T9"/>
    <mergeCell ref="U10:V10"/>
    <mergeCell ref="X10:Y10"/>
    <mergeCell ref="P11:Q11"/>
    <mergeCell ref="R11:S11"/>
    <mergeCell ref="X12:Y12"/>
    <mergeCell ref="D13:E13"/>
    <mergeCell ref="F13:G13"/>
    <mergeCell ref="H13:I13"/>
    <mergeCell ref="J13:K13"/>
    <mergeCell ref="L13:M13"/>
    <mergeCell ref="N13:O13"/>
    <mergeCell ref="P13:Q13"/>
    <mergeCell ref="U11:V11"/>
    <mergeCell ref="X11:Y11"/>
    <mergeCell ref="R13:S13"/>
    <mergeCell ref="U13:V13"/>
    <mergeCell ref="X13:Y13"/>
    <mergeCell ref="D12:E12"/>
    <mergeCell ref="F12:G12"/>
    <mergeCell ref="H12:I12"/>
    <mergeCell ref="J12:K12"/>
    <mergeCell ref="L12:M12"/>
    <mergeCell ref="N12:O12"/>
    <mergeCell ref="P12:Q12"/>
    <mergeCell ref="R16:S16"/>
    <mergeCell ref="U16:V16"/>
    <mergeCell ref="X14:Y14"/>
    <mergeCell ref="D15:E15"/>
    <mergeCell ref="F15:G15"/>
    <mergeCell ref="H15:I15"/>
    <mergeCell ref="J15:K15"/>
    <mergeCell ref="L15:M15"/>
    <mergeCell ref="N15:O15"/>
    <mergeCell ref="P15:Q15"/>
    <mergeCell ref="R15:S15"/>
    <mergeCell ref="U15:V15"/>
    <mergeCell ref="X15:Y15"/>
    <mergeCell ref="D14:E14"/>
    <mergeCell ref="F14:G14"/>
    <mergeCell ref="H14:I14"/>
    <mergeCell ref="J14:K14"/>
    <mergeCell ref="L14:M14"/>
    <mergeCell ref="N14:O14"/>
    <mergeCell ref="P14:Q14"/>
    <mergeCell ref="R14:S14"/>
    <mergeCell ref="U14:V14"/>
    <mergeCell ref="J18:K18"/>
    <mergeCell ref="L18:M18"/>
    <mergeCell ref="N18:O18"/>
    <mergeCell ref="P18:Q18"/>
    <mergeCell ref="R18:S18"/>
    <mergeCell ref="U18:V18"/>
    <mergeCell ref="X16:Y16"/>
    <mergeCell ref="D17:E17"/>
    <mergeCell ref="F17:G17"/>
    <mergeCell ref="H17:I17"/>
    <mergeCell ref="J17:K17"/>
    <mergeCell ref="L17:M17"/>
    <mergeCell ref="N17:O17"/>
    <mergeCell ref="P17:Q17"/>
    <mergeCell ref="R17:S17"/>
    <mergeCell ref="U17:V17"/>
    <mergeCell ref="X17:Y17"/>
    <mergeCell ref="D16:E16"/>
    <mergeCell ref="F16:G16"/>
    <mergeCell ref="H16:I16"/>
    <mergeCell ref="J16:K16"/>
    <mergeCell ref="L16:M16"/>
    <mergeCell ref="N16:O16"/>
    <mergeCell ref="P16:Q16"/>
    <mergeCell ref="D20:E20"/>
    <mergeCell ref="R20:S20"/>
    <mergeCell ref="U20:V20"/>
    <mergeCell ref="X18:Y18"/>
    <mergeCell ref="D19:E19"/>
    <mergeCell ref="F19:G19"/>
    <mergeCell ref="H19:I19"/>
    <mergeCell ref="J19:K19"/>
    <mergeCell ref="L19:M19"/>
    <mergeCell ref="N19:O19"/>
    <mergeCell ref="P19:Q19"/>
    <mergeCell ref="F20:G20"/>
    <mergeCell ref="H20:I20"/>
    <mergeCell ref="J20:K20"/>
    <mergeCell ref="L20:M20"/>
    <mergeCell ref="N20:O20"/>
    <mergeCell ref="P20:Q20"/>
    <mergeCell ref="X20:Y20"/>
    <mergeCell ref="R19:S19"/>
    <mergeCell ref="U19:V19"/>
    <mergeCell ref="X19:Y19"/>
    <mergeCell ref="D18:E18"/>
    <mergeCell ref="F18:G18"/>
    <mergeCell ref="H18:I18"/>
    <mergeCell ref="U21:V21"/>
    <mergeCell ref="X21:Y21"/>
    <mergeCell ref="D22:E22"/>
    <mergeCell ref="F22:G22"/>
    <mergeCell ref="H22:I22"/>
    <mergeCell ref="J22:K22"/>
    <mergeCell ref="L22:M22"/>
    <mergeCell ref="N22:O22"/>
    <mergeCell ref="P22:Q22"/>
    <mergeCell ref="R22:S22"/>
    <mergeCell ref="D21:E21"/>
    <mergeCell ref="F21:G21"/>
    <mergeCell ref="H21:I21"/>
    <mergeCell ref="J21:K21"/>
    <mergeCell ref="L21:M21"/>
    <mergeCell ref="N21:O21"/>
    <mergeCell ref="P21:Q21"/>
    <mergeCell ref="R21:S21"/>
    <mergeCell ref="U22:V22"/>
    <mergeCell ref="X22:Y22"/>
    <mergeCell ref="D24:Z24"/>
    <mergeCell ref="D25:Z25"/>
    <mergeCell ref="D26:Z26"/>
    <mergeCell ref="D27:Z27"/>
    <mergeCell ref="Y35:Z35"/>
    <mergeCell ref="F34:G35"/>
    <mergeCell ref="H34:I35"/>
    <mergeCell ref="J34:K35"/>
    <mergeCell ref="O34:T34"/>
    <mergeCell ref="U34:Z34"/>
    <mergeCell ref="O35:P35"/>
    <mergeCell ref="Q35:R35"/>
    <mergeCell ref="S35:T35"/>
    <mergeCell ref="U35:V35"/>
    <mergeCell ref="D28:Z28"/>
    <mergeCell ref="D32:H32"/>
    <mergeCell ref="M32:Q32"/>
    <mergeCell ref="D33:E35"/>
    <mergeCell ref="F33:K33"/>
    <mergeCell ref="M33:N35"/>
    <mergeCell ref="O33:T33"/>
    <mergeCell ref="U33:Z33"/>
    <mergeCell ref="W35:X35"/>
    <mergeCell ref="U37:V37"/>
    <mergeCell ref="W37:X37"/>
    <mergeCell ref="Y37:Z37"/>
    <mergeCell ref="D36:E36"/>
    <mergeCell ref="F36:G36"/>
    <mergeCell ref="H36:I36"/>
    <mergeCell ref="J36:K36"/>
    <mergeCell ref="M36:N36"/>
    <mergeCell ref="O36:P36"/>
    <mergeCell ref="Q36:R36"/>
    <mergeCell ref="W36:X36"/>
    <mergeCell ref="Y36:Z36"/>
    <mergeCell ref="D37:E37"/>
    <mergeCell ref="F37:G37"/>
    <mergeCell ref="H37:I37"/>
    <mergeCell ref="J37:K37"/>
    <mergeCell ref="M37:N37"/>
    <mergeCell ref="O37:P37"/>
    <mergeCell ref="Q37:R37"/>
    <mergeCell ref="S37:T37"/>
    <mergeCell ref="S36:T36"/>
    <mergeCell ref="U36:V36"/>
    <mergeCell ref="D40:E40"/>
    <mergeCell ref="F40:G40"/>
    <mergeCell ref="H40:I40"/>
    <mergeCell ref="J40:K40"/>
    <mergeCell ref="M40:N40"/>
    <mergeCell ref="O40:P40"/>
    <mergeCell ref="Q40:R40"/>
    <mergeCell ref="D38:E38"/>
    <mergeCell ref="F38:G38"/>
    <mergeCell ref="H38:I38"/>
    <mergeCell ref="J38:K38"/>
    <mergeCell ref="M38:N38"/>
    <mergeCell ref="O38:P38"/>
    <mergeCell ref="S38:T38"/>
    <mergeCell ref="U38:V38"/>
    <mergeCell ref="W38:X38"/>
    <mergeCell ref="Y38:Z38"/>
    <mergeCell ref="D39:E39"/>
    <mergeCell ref="F39:G39"/>
    <mergeCell ref="H39:I39"/>
    <mergeCell ref="J39:K39"/>
    <mergeCell ref="M39:N39"/>
    <mergeCell ref="O39:P39"/>
    <mergeCell ref="Q38:R38"/>
    <mergeCell ref="S40:T40"/>
    <mergeCell ref="U40:V40"/>
    <mergeCell ref="W40:X40"/>
    <mergeCell ref="Y40:Z40"/>
    <mergeCell ref="Q39:R39"/>
    <mergeCell ref="S39:T39"/>
    <mergeCell ref="U39:V39"/>
    <mergeCell ref="W39:X39"/>
    <mergeCell ref="Y39:Z39"/>
    <mergeCell ref="D42:E42"/>
    <mergeCell ref="F42:G42"/>
    <mergeCell ref="H42:I42"/>
    <mergeCell ref="J42:K42"/>
    <mergeCell ref="M42:N42"/>
    <mergeCell ref="D41:E41"/>
    <mergeCell ref="F41:G41"/>
    <mergeCell ref="H41:I41"/>
    <mergeCell ref="J41:K41"/>
    <mergeCell ref="M41:N41"/>
    <mergeCell ref="Y42:Z42"/>
    <mergeCell ref="Q41:R41"/>
    <mergeCell ref="S41:T41"/>
    <mergeCell ref="U41:V41"/>
    <mergeCell ref="W41:X41"/>
    <mergeCell ref="Y41:Z41"/>
    <mergeCell ref="M43:N43"/>
    <mergeCell ref="O42:P42"/>
    <mergeCell ref="Q42:R42"/>
    <mergeCell ref="S42:T42"/>
    <mergeCell ref="U42:V42"/>
    <mergeCell ref="W42:X42"/>
    <mergeCell ref="O43:P43"/>
    <mergeCell ref="O41:P41"/>
    <mergeCell ref="D44:E44"/>
    <mergeCell ref="F44:G44"/>
    <mergeCell ref="H44:I44"/>
    <mergeCell ref="J44:K44"/>
    <mergeCell ref="M44:N44"/>
    <mergeCell ref="D43:E43"/>
    <mergeCell ref="F43:G43"/>
    <mergeCell ref="H43:I43"/>
    <mergeCell ref="J43:K43"/>
    <mergeCell ref="Y44:Z44"/>
    <mergeCell ref="Q43:R43"/>
    <mergeCell ref="S43:T43"/>
    <mergeCell ref="U43:V43"/>
    <mergeCell ref="W43:X43"/>
    <mergeCell ref="Y43:Z43"/>
    <mergeCell ref="M45:N45"/>
    <mergeCell ref="O44:P44"/>
    <mergeCell ref="Q44:R44"/>
    <mergeCell ref="S44:T44"/>
    <mergeCell ref="U44:V44"/>
    <mergeCell ref="W44:X44"/>
    <mergeCell ref="O45:P45"/>
    <mergeCell ref="D46:E46"/>
    <mergeCell ref="F46:G46"/>
    <mergeCell ref="H46:I46"/>
    <mergeCell ref="J46:K46"/>
    <mergeCell ref="M46:N46"/>
    <mergeCell ref="D45:E45"/>
    <mergeCell ref="F45:G45"/>
    <mergeCell ref="H45:I45"/>
    <mergeCell ref="J45:K45"/>
    <mergeCell ref="Y46:Z46"/>
    <mergeCell ref="Q45:R45"/>
    <mergeCell ref="S45:T45"/>
    <mergeCell ref="U45:V45"/>
    <mergeCell ref="W45:X45"/>
    <mergeCell ref="Y45:Z45"/>
    <mergeCell ref="M47:N47"/>
    <mergeCell ref="O46:P46"/>
    <mergeCell ref="Q46:R46"/>
    <mergeCell ref="S46:T46"/>
    <mergeCell ref="U46:V46"/>
    <mergeCell ref="W46:X46"/>
    <mergeCell ref="O47:P47"/>
    <mergeCell ref="D48:E48"/>
    <mergeCell ref="F48:G48"/>
    <mergeCell ref="H48:I48"/>
    <mergeCell ref="J48:K48"/>
    <mergeCell ref="M48:N48"/>
    <mergeCell ref="D47:E47"/>
    <mergeCell ref="F47:G47"/>
    <mergeCell ref="H47:I47"/>
    <mergeCell ref="J47:K47"/>
    <mergeCell ref="W48:X48"/>
    <mergeCell ref="Y48:Z48"/>
    <mergeCell ref="Q47:R47"/>
    <mergeCell ref="S47:T47"/>
    <mergeCell ref="U47:V47"/>
    <mergeCell ref="W47:X47"/>
    <mergeCell ref="Y47:Z47"/>
    <mergeCell ref="O49:T49"/>
    <mergeCell ref="O50:T50"/>
    <mergeCell ref="O48:P48"/>
    <mergeCell ref="Q48:R48"/>
    <mergeCell ref="S48:T48"/>
    <mergeCell ref="U48:V48"/>
  </mergeCells>
  <phoneticPr fontId="1"/>
  <dataValidations count="2">
    <dataValidation type="whole" errorStyle="information" allowBlank="1" showInputMessage="1" showErrorMessage="1" errorTitle="基底温度入力" error="-100[℃] ～ 90[℃] の範囲の値を入力して下さい!!" sqref="K32 T32">
      <formula1>-100</formula1>
      <formula2>90</formula2>
    </dataValidation>
    <dataValidation type="list" allowBlank="1" showInputMessage="1" showErrorMessage="1" errorTitle="ケーブルラックの段数入力" error="プルダウン・リストから選択して下さい!!" sqref="U34:Z34">
      <formula1>$AB$33:$AB$35</formula1>
    </dataValidation>
  </dataValidations>
  <hyperlinks>
    <hyperlink ref="H3:I3" location="'7'!C191" display="動力幹線"/>
    <hyperlink ref="D3:E3" location="'7'!C191" display="動力幹線"/>
    <hyperlink ref="U3:V3" r:id="rId1" location="低幹!A1" display="戻 る"/>
    <hyperlink ref="X3:Y3" r:id="rId2" location="動配!A1" display="戻 る"/>
    <hyperlink ref="R3:S3" r:id="rId3" location="Help!A1910" display="Help"/>
  </hyperlinks>
  <pageMargins left="0.70866141732283472" right="0.39370078740157483" top="0.47244094488188981" bottom="0.39370078740157483" header="0" footer="0"/>
  <pageSetup paperSize="9" orientation="portrait" r:id="rId4"/>
  <rowBreaks count="1" manualBreakCount="1">
    <brk id="52" min="1" max="25" man="1"/>
  </rowBreaks>
  <colBreaks count="1" manualBreakCount="1">
    <brk id="26" min="1" max="2165" man="1"/>
  </colBreaks>
  <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BE712"/>
  <sheetViews>
    <sheetView view="pageBreakPreview" zoomScale="130" zoomScaleSheetLayoutView="130" workbookViewId="0"/>
  </sheetViews>
  <sheetFormatPr defaultRowHeight="13.5"/>
  <cols>
    <col min="1" max="1" width="1.42578125" style="1805" customWidth="1"/>
    <col min="2" max="17" width="3.7109375" style="1805" customWidth="1"/>
    <col min="18" max="20" width="4.28515625" style="1805" customWidth="1"/>
    <col min="21" max="21" width="3.28515625" style="1805" customWidth="1"/>
    <col min="22" max="22" width="3.42578125" style="1805" customWidth="1"/>
    <col min="23" max="24" width="4.28515625" style="1805" customWidth="1"/>
    <col min="25" max="26" width="3.5703125" style="1805" customWidth="1"/>
    <col min="27" max="28" width="3.42578125" style="1805" customWidth="1"/>
    <col min="29" max="29" width="0.5703125" style="1805" customWidth="1"/>
    <col min="30" max="30" width="1.42578125" style="1805" customWidth="1"/>
    <col min="31" max="31" width="5.7109375" style="1805" customWidth="1"/>
    <col min="32" max="42" width="7.140625" style="1805" customWidth="1"/>
    <col min="43" max="48" width="7" style="1805" customWidth="1"/>
    <col min="49" max="57" width="9.140625" style="1805"/>
    <col min="58" max="256" width="9.140625" style="1804"/>
    <col min="257" max="258" width="1.42578125" style="1804" customWidth="1"/>
    <col min="259" max="274" width="3.7109375" style="1804" customWidth="1"/>
    <col min="275" max="276" width="4.28515625" style="1804" customWidth="1"/>
    <col min="277" max="277" width="3.7109375" style="1804" customWidth="1"/>
    <col min="278" max="278" width="3.28515625" style="1804" customWidth="1"/>
    <col min="279" max="279" width="3.42578125" style="1804" customWidth="1"/>
    <col min="280" max="281" width="4.28515625" style="1804" customWidth="1"/>
    <col min="282" max="283" width="3.5703125" style="1804" customWidth="1"/>
    <col min="284" max="284" width="3.42578125" style="1804" customWidth="1"/>
    <col min="285" max="285" width="3.5703125" style="1804" customWidth="1"/>
    <col min="286" max="286" width="1.42578125" style="1804" customWidth="1"/>
    <col min="287" max="287" width="5.7109375" style="1804" customWidth="1"/>
    <col min="288" max="298" width="7.140625" style="1804" customWidth="1"/>
    <col min="299" max="304" width="7" style="1804" customWidth="1"/>
    <col min="305" max="512" width="9.140625" style="1804"/>
    <col min="513" max="514" width="1.42578125" style="1804" customWidth="1"/>
    <col min="515" max="530" width="3.7109375" style="1804" customWidth="1"/>
    <col min="531" max="532" width="4.28515625" style="1804" customWidth="1"/>
    <col min="533" max="533" width="3.7109375" style="1804" customWidth="1"/>
    <col min="534" max="534" width="3.28515625" style="1804" customWidth="1"/>
    <col min="535" max="535" width="3.42578125" style="1804" customWidth="1"/>
    <col min="536" max="537" width="4.28515625" style="1804" customWidth="1"/>
    <col min="538" max="539" width="3.5703125" style="1804" customWidth="1"/>
    <col min="540" max="540" width="3.42578125" style="1804" customWidth="1"/>
    <col min="541" max="541" width="3.5703125" style="1804" customWidth="1"/>
    <col min="542" max="542" width="1.42578125" style="1804" customWidth="1"/>
    <col min="543" max="543" width="5.7109375" style="1804" customWidth="1"/>
    <col min="544" max="554" width="7.140625" style="1804" customWidth="1"/>
    <col min="555" max="560" width="7" style="1804" customWidth="1"/>
    <col min="561" max="768" width="9.140625" style="1804"/>
    <col min="769" max="770" width="1.42578125" style="1804" customWidth="1"/>
    <col min="771" max="786" width="3.7109375" style="1804" customWidth="1"/>
    <col min="787" max="788" width="4.28515625" style="1804" customWidth="1"/>
    <col min="789" max="789" width="3.7109375" style="1804" customWidth="1"/>
    <col min="790" max="790" width="3.28515625" style="1804" customWidth="1"/>
    <col min="791" max="791" width="3.42578125" style="1804" customWidth="1"/>
    <col min="792" max="793" width="4.28515625" style="1804" customWidth="1"/>
    <col min="794" max="795" width="3.5703125" style="1804" customWidth="1"/>
    <col min="796" max="796" width="3.42578125" style="1804" customWidth="1"/>
    <col min="797" max="797" width="3.5703125" style="1804" customWidth="1"/>
    <col min="798" max="798" width="1.42578125" style="1804" customWidth="1"/>
    <col min="799" max="799" width="5.7109375" style="1804" customWidth="1"/>
    <col min="800" max="810" width="7.140625" style="1804" customWidth="1"/>
    <col min="811" max="816" width="7" style="1804" customWidth="1"/>
    <col min="817" max="1024" width="9.140625" style="1804"/>
    <col min="1025" max="1026" width="1.42578125" style="1804" customWidth="1"/>
    <col min="1027" max="1042" width="3.7109375" style="1804" customWidth="1"/>
    <col min="1043" max="1044" width="4.28515625" style="1804" customWidth="1"/>
    <col min="1045" max="1045" width="3.7109375" style="1804" customWidth="1"/>
    <col min="1046" max="1046" width="3.28515625" style="1804" customWidth="1"/>
    <col min="1047" max="1047" width="3.42578125" style="1804" customWidth="1"/>
    <col min="1048" max="1049" width="4.28515625" style="1804" customWidth="1"/>
    <col min="1050" max="1051" width="3.5703125" style="1804" customWidth="1"/>
    <col min="1052" max="1052" width="3.42578125" style="1804" customWidth="1"/>
    <col min="1053" max="1053" width="3.5703125" style="1804" customWidth="1"/>
    <col min="1054" max="1054" width="1.42578125" style="1804" customWidth="1"/>
    <col min="1055" max="1055" width="5.7109375" style="1804" customWidth="1"/>
    <col min="1056" max="1066" width="7.140625" style="1804" customWidth="1"/>
    <col min="1067" max="1072" width="7" style="1804" customWidth="1"/>
    <col min="1073" max="1280" width="9.140625" style="1804"/>
    <col min="1281" max="1282" width="1.42578125" style="1804" customWidth="1"/>
    <col min="1283" max="1298" width="3.7109375" style="1804" customWidth="1"/>
    <col min="1299" max="1300" width="4.28515625" style="1804" customWidth="1"/>
    <col min="1301" max="1301" width="3.7109375" style="1804" customWidth="1"/>
    <col min="1302" max="1302" width="3.28515625" style="1804" customWidth="1"/>
    <col min="1303" max="1303" width="3.42578125" style="1804" customWidth="1"/>
    <col min="1304" max="1305" width="4.28515625" style="1804" customWidth="1"/>
    <col min="1306" max="1307" width="3.5703125" style="1804" customWidth="1"/>
    <col min="1308" max="1308" width="3.42578125" style="1804" customWidth="1"/>
    <col min="1309" max="1309" width="3.5703125" style="1804" customWidth="1"/>
    <col min="1310" max="1310" width="1.42578125" style="1804" customWidth="1"/>
    <col min="1311" max="1311" width="5.7109375" style="1804" customWidth="1"/>
    <col min="1312" max="1322" width="7.140625" style="1804" customWidth="1"/>
    <col min="1323" max="1328" width="7" style="1804" customWidth="1"/>
    <col min="1329" max="1536" width="9.140625" style="1804"/>
    <col min="1537" max="1538" width="1.42578125" style="1804" customWidth="1"/>
    <col min="1539" max="1554" width="3.7109375" style="1804" customWidth="1"/>
    <col min="1555" max="1556" width="4.28515625" style="1804" customWidth="1"/>
    <col min="1557" max="1557" width="3.7109375" style="1804" customWidth="1"/>
    <col min="1558" max="1558" width="3.28515625" style="1804" customWidth="1"/>
    <col min="1559" max="1559" width="3.42578125" style="1804" customWidth="1"/>
    <col min="1560" max="1561" width="4.28515625" style="1804" customWidth="1"/>
    <col min="1562" max="1563" width="3.5703125" style="1804" customWidth="1"/>
    <col min="1564" max="1564" width="3.42578125" style="1804" customWidth="1"/>
    <col min="1565" max="1565" width="3.5703125" style="1804" customWidth="1"/>
    <col min="1566" max="1566" width="1.42578125" style="1804" customWidth="1"/>
    <col min="1567" max="1567" width="5.7109375" style="1804" customWidth="1"/>
    <col min="1568" max="1578" width="7.140625" style="1804" customWidth="1"/>
    <col min="1579" max="1584" width="7" style="1804" customWidth="1"/>
    <col min="1585" max="1792" width="9.140625" style="1804"/>
    <col min="1793" max="1794" width="1.42578125" style="1804" customWidth="1"/>
    <col min="1795" max="1810" width="3.7109375" style="1804" customWidth="1"/>
    <col min="1811" max="1812" width="4.28515625" style="1804" customWidth="1"/>
    <col min="1813" max="1813" width="3.7109375" style="1804" customWidth="1"/>
    <col min="1814" max="1814" width="3.28515625" style="1804" customWidth="1"/>
    <col min="1815" max="1815" width="3.42578125" style="1804" customWidth="1"/>
    <col min="1816" max="1817" width="4.28515625" style="1804" customWidth="1"/>
    <col min="1818" max="1819" width="3.5703125" style="1804" customWidth="1"/>
    <col min="1820" max="1820" width="3.42578125" style="1804" customWidth="1"/>
    <col min="1821" max="1821" width="3.5703125" style="1804" customWidth="1"/>
    <col min="1822" max="1822" width="1.42578125" style="1804" customWidth="1"/>
    <col min="1823" max="1823" width="5.7109375" style="1804" customWidth="1"/>
    <col min="1824" max="1834" width="7.140625" style="1804" customWidth="1"/>
    <col min="1835" max="1840" width="7" style="1804" customWidth="1"/>
    <col min="1841" max="2048" width="9.140625" style="1804"/>
    <col min="2049" max="2050" width="1.42578125" style="1804" customWidth="1"/>
    <col min="2051" max="2066" width="3.7109375" style="1804" customWidth="1"/>
    <col min="2067" max="2068" width="4.28515625" style="1804" customWidth="1"/>
    <col min="2069" max="2069" width="3.7109375" style="1804" customWidth="1"/>
    <col min="2070" max="2070" width="3.28515625" style="1804" customWidth="1"/>
    <col min="2071" max="2071" width="3.42578125" style="1804" customWidth="1"/>
    <col min="2072" max="2073" width="4.28515625" style="1804" customWidth="1"/>
    <col min="2074" max="2075" width="3.5703125" style="1804" customWidth="1"/>
    <col min="2076" max="2076" width="3.42578125" style="1804" customWidth="1"/>
    <col min="2077" max="2077" width="3.5703125" style="1804" customWidth="1"/>
    <col min="2078" max="2078" width="1.42578125" style="1804" customWidth="1"/>
    <col min="2079" max="2079" width="5.7109375" style="1804" customWidth="1"/>
    <col min="2080" max="2090" width="7.140625" style="1804" customWidth="1"/>
    <col min="2091" max="2096" width="7" style="1804" customWidth="1"/>
    <col min="2097" max="2304" width="9.140625" style="1804"/>
    <col min="2305" max="2306" width="1.42578125" style="1804" customWidth="1"/>
    <col min="2307" max="2322" width="3.7109375" style="1804" customWidth="1"/>
    <col min="2323" max="2324" width="4.28515625" style="1804" customWidth="1"/>
    <col min="2325" max="2325" width="3.7109375" style="1804" customWidth="1"/>
    <col min="2326" max="2326" width="3.28515625" style="1804" customWidth="1"/>
    <col min="2327" max="2327" width="3.42578125" style="1804" customWidth="1"/>
    <col min="2328" max="2329" width="4.28515625" style="1804" customWidth="1"/>
    <col min="2330" max="2331" width="3.5703125" style="1804" customWidth="1"/>
    <col min="2332" max="2332" width="3.42578125" style="1804" customWidth="1"/>
    <col min="2333" max="2333" width="3.5703125" style="1804" customWidth="1"/>
    <col min="2334" max="2334" width="1.42578125" style="1804" customWidth="1"/>
    <col min="2335" max="2335" width="5.7109375" style="1804" customWidth="1"/>
    <col min="2336" max="2346" width="7.140625" style="1804" customWidth="1"/>
    <col min="2347" max="2352" width="7" style="1804" customWidth="1"/>
    <col min="2353" max="2560" width="9.140625" style="1804"/>
    <col min="2561" max="2562" width="1.42578125" style="1804" customWidth="1"/>
    <col min="2563" max="2578" width="3.7109375" style="1804" customWidth="1"/>
    <col min="2579" max="2580" width="4.28515625" style="1804" customWidth="1"/>
    <col min="2581" max="2581" width="3.7109375" style="1804" customWidth="1"/>
    <col min="2582" max="2582" width="3.28515625" style="1804" customWidth="1"/>
    <col min="2583" max="2583" width="3.42578125" style="1804" customWidth="1"/>
    <col min="2584" max="2585" width="4.28515625" style="1804" customWidth="1"/>
    <col min="2586" max="2587" width="3.5703125" style="1804" customWidth="1"/>
    <col min="2588" max="2588" width="3.42578125" style="1804" customWidth="1"/>
    <col min="2589" max="2589" width="3.5703125" style="1804" customWidth="1"/>
    <col min="2590" max="2590" width="1.42578125" style="1804" customWidth="1"/>
    <col min="2591" max="2591" width="5.7109375" style="1804" customWidth="1"/>
    <col min="2592" max="2602" width="7.140625" style="1804" customWidth="1"/>
    <col min="2603" max="2608" width="7" style="1804" customWidth="1"/>
    <col min="2609" max="2816" width="9.140625" style="1804"/>
    <col min="2817" max="2818" width="1.42578125" style="1804" customWidth="1"/>
    <col min="2819" max="2834" width="3.7109375" style="1804" customWidth="1"/>
    <col min="2835" max="2836" width="4.28515625" style="1804" customWidth="1"/>
    <col min="2837" max="2837" width="3.7109375" style="1804" customWidth="1"/>
    <col min="2838" max="2838" width="3.28515625" style="1804" customWidth="1"/>
    <col min="2839" max="2839" width="3.42578125" style="1804" customWidth="1"/>
    <col min="2840" max="2841" width="4.28515625" style="1804" customWidth="1"/>
    <col min="2842" max="2843" width="3.5703125" style="1804" customWidth="1"/>
    <col min="2844" max="2844" width="3.42578125" style="1804" customWidth="1"/>
    <col min="2845" max="2845" width="3.5703125" style="1804" customWidth="1"/>
    <col min="2846" max="2846" width="1.42578125" style="1804" customWidth="1"/>
    <col min="2847" max="2847" width="5.7109375" style="1804" customWidth="1"/>
    <col min="2848" max="2858" width="7.140625" style="1804" customWidth="1"/>
    <col min="2859" max="2864" width="7" style="1804" customWidth="1"/>
    <col min="2865" max="3072" width="9.140625" style="1804"/>
    <col min="3073" max="3074" width="1.42578125" style="1804" customWidth="1"/>
    <col min="3075" max="3090" width="3.7109375" style="1804" customWidth="1"/>
    <col min="3091" max="3092" width="4.28515625" style="1804" customWidth="1"/>
    <col min="3093" max="3093" width="3.7109375" style="1804" customWidth="1"/>
    <col min="3094" max="3094" width="3.28515625" style="1804" customWidth="1"/>
    <col min="3095" max="3095" width="3.42578125" style="1804" customWidth="1"/>
    <col min="3096" max="3097" width="4.28515625" style="1804" customWidth="1"/>
    <col min="3098" max="3099" width="3.5703125" style="1804" customWidth="1"/>
    <col min="3100" max="3100" width="3.42578125" style="1804" customWidth="1"/>
    <col min="3101" max="3101" width="3.5703125" style="1804" customWidth="1"/>
    <col min="3102" max="3102" width="1.42578125" style="1804" customWidth="1"/>
    <col min="3103" max="3103" width="5.7109375" style="1804" customWidth="1"/>
    <col min="3104" max="3114" width="7.140625" style="1804" customWidth="1"/>
    <col min="3115" max="3120" width="7" style="1804" customWidth="1"/>
    <col min="3121" max="3328" width="9.140625" style="1804"/>
    <col min="3329" max="3330" width="1.42578125" style="1804" customWidth="1"/>
    <col min="3331" max="3346" width="3.7109375" style="1804" customWidth="1"/>
    <col min="3347" max="3348" width="4.28515625" style="1804" customWidth="1"/>
    <col min="3349" max="3349" width="3.7109375" style="1804" customWidth="1"/>
    <col min="3350" max="3350" width="3.28515625" style="1804" customWidth="1"/>
    <col min="3351" max="3351" width="3.42578125" style="1804" customWidth="1"/>
    <col min="3352" max="3353" width="4.28515625" style="1804" customWidth="1"/>
    <col min="3354" max="3355" width="3.5703125" style="1804" customWidth="1"/>
    <col min="3356" max="3356" width="3.42578125" style="1804" customWidth="1"/>
    <col min="3357" max="3357" width="3.5703125" style="1804" customWidth="1"/>
    <col min="3358" max="3358" width="1.42578125" style="1804" customWidth="1"/>
    <col min="3359" max="3359" width="5.7109375" style="1804" customWidth="1"/>
    <col min="3360" max="3370" width="7.140625" style="1804" customWidth="1"/>
    <col min="3371" max="3376" width="7" style="1804" customWidth="1"/>
    <col min="3377" max="3584" width="9.140625" style="1804"/>
    <col min="3585" max="3586" width="1.42578125" style="1804" customWidth="1"/>
    <col min="3587" max="3602" width="3.7109375" style="1804" customWidth="1"/>
    <col min="3603" max="3604" width="4.28515625" style="1804" customWidth="1"/>
    <col min="3605" max="3605" width="3.7109375" style="1804" customWidth="1"/>
    <col min="3606" max="3606" width="3.28515625" style="1804" customWidth="1"/>
    <col min="3607" max="3607" width="3.42578125" style="1804" customWidth="1"/>
    <col min="3608" max="3609" width="4.28515625" style="1804" customWidth="1"/>
    <col min="3610" max="3611" width="3.5703125" style="1804" customWidth="1"/>
    <col min="3612" max="3612" width="3.42578125" style="1804" customWidth="1"/>
    <col min="3613" max="3613" width="3.5703125" style="1804" customWidth="1"/>
    <col min="3614" max="3614" width="1.42578125" style="1804" customWidth="1"/>
    <col min="3615" max="3615" width="5.7109375" style="1804" customWidth="1"/>
    <col min="3616" max="3626" width="7.140625" style="1804" customWidth="1"/>
    <col min="3627" max="3632" width="7" style="1804" customWidth="1"/>
    <col min="3633" max="3840" width="9.140625" style="1804"/>
    <col min="3841" max="3842" width="1.42578125" style="1804" customWidth="1"/>
    <col min="3843" max="3858" width="3.7109375" style="1804" customWidth="1"/>
    <col min="3859" max="3860" width="4.28515625" style="1804" customWidth="1"/>
    <col min="3861" max="3861" width="3.7109375" style="1804" customWidth="1"/>
    <col min="3862" max="3862" width="3.28515625" style="1804" customWidth="1"/>
    <col min="3863" max="3863" width="3.42578125" style="1804" customWidth="1"/>
    <col min="3864" max="3865" width="4.28515625" style="1804" customWidth="1"/>
    <col min="3866" max="3867" width="3.5703125" style="1804" customWidth="1"/>
    <col min="3868" max="3868" width="3.42578125" style="1804" customWidth="1"/>
    <col min="3869" max="3869" width="3.5703125" style="1804" customWidth="1"/>
    <col min="3870" max="3870" width="1.42578125" style="1804" customWidth="1"/>
    <col min="3871" max="3871" width="5.7109375" style="1804" customWidth="1"/>
    <col min="3872" max="3882" width="7.140625" style="1804" customWidth="1"/>
    <col min="3883" max="3888" width="7" style="1804" customWidth="1"/>
    <col min="3889" max="4096" width="9.140625" style="1804"/>
    <col min="4097" max="4098" width="1.42578125" style="1804" customWidth="1"/>
    <col min="4099" max="4114" width="3.7109375" style="1804" customWidth="1"/>
    <col min="4115" max="4116" width="4.28515625" style="1804" customWidth="1"/>
    <col min="4117" max="4117" width="3.7109375" style="1804" customWidth="1"/>
    <col min="4118" max="4118" width="3.28515625" style="1804" customWidth="1"/>
    <col min="4119" max="4119" width="3.42578125" style="1804" customWidth="1"/>
    <col min="4120" max="4121" width="4.28515625" style="1804" customWidth="1"/>
    <col min="4122" max="4123" width="3.5703125" style="1804" customWidth="1"/>
    <col min="4124" max="4124" width="3.42578125" style="1804" customWidth="1"/>
    <col min="4125" max="4125" width="3.5703125" style="1804" customWidth="1"/>
    <col min="4126" max="4126" width="1.42578125" style="1804" customWidth="1"/>
    <col min="4127" max="4127" width="5.7109375" style="1804" customWidth="1"/>
    <col min="4128" max="4138" width="7.140625" style="1804" customWidth="1"/>
    <col min="4139" max="4144" width="7" style="1804" customWidth="1"/>
    <col min="4145" max="4352" width="9.140625" style="1804"/>
    <col min="4353" max="4354" width="1.42578125" style="1804" customWidth="1"/>
    <col min="4355" max="4370" width="3.7109375" style="1804" customWidth="1"/>
    <col min="4371" max="4372" width="4.28515625" style="1804" customWidth="1"/>
    <col min="4373" max="4373" width="3.7109375" style="1804" customWidth="1"/>
    <col min="4374" max="4374" width="3.28515625" style="1804" customWidth="1"/>
    <col min="4375" max="4375" width="3.42578125" style="1804" customWidth="1"/>
    <col min="4376" max="4377" width="4.28515625" style="1804" customWidth="1"/>
    <col min="4378" max="4379" width="3.5703125" style="1804" customWidth="1"/>
    <col min="4380" max="4380" width="3.42578125" style="1804" customWidth="1"/>
    <col min="4381" max="4381" width="3.5703125" style="1804" customWidth="1"/>
    <col min="4382" max="4382" width="1.42578125" style="1804" customWidth="1"/>
    <col min="4383" max="4383" width="5.7109375" style="1804" customWidth="1"/>
    <col min="4384" max="4394" width="7.140625" style="1804" customWidth="1"/>
    <col min="4395" max="4400" width="7" style="1804" customWidth="1"/>
    <col min="4401" max="4608" width="9.140625" style="1804"/>
    <col min="4609" max="4610" width="1.42578125" style="1804" customWidth="1"/>
    <col min="4611" max="4626" width="3.7109375" style="1804" customWidth="1"/>
    <col min="4627" max="4628" width="4.28515625" style="1804" customWidth="1"/>
    <col min="4629" max="4629" width="3.7109375" style="1804" customWidth="1"/>
    <col min="4630" max="4630" width="3.28515625" style="1804" customWidth="1"/>
    <col min="4631" max="4631" width="3.42578125" style="1804" customWidth="1"/>
    <col min="4632" max="4633" width="4.28515625" style="1804" customWidth="1"/>
    <col min="4634" max="4635" width="3.5703125" style="1804" customWidth="1"/>
    <col min="4636" max="4636" width="3.42578125" style="1804" customWidth="1"/>
    <col min="4637" max="4637" width="3.5703125" style="1804" customWidth="1"/>
    <col min="4638" max="4638" width="1.42578125" style="1804" customWidth="1"/>
    <col min="4639" max="4639" width="5.7109375" style="1804" customWidth="1"/>
    <col min="4640" max="4650" width="7.140625" style="1804" customWidth="1"/>
    <col min="4651" max="4656" width="7" style="1804" customWidth="1"/>
    <col min="4657" max="4864" width="9.140625" style="1804"/>
    <col min="4865" max="4866" width="1.42578125" style="1804" customWidth="1"/>
    <col min="4867" max="4882" width="3.7109375" style="1804" customWidth="1"/>
    <col min="4883" max="4884" width="4.28515625" style="1804" customWidth="1"/>
    <col min="4885" max="4885" width="3.7109375" style="1804" customWidth="1"/>
    <col min="4886" max="4886" width="3.28515625" style="1804" customWidth="1"/>
    <col min="4887" max="4887" width="3.42578125" style="1804" customWidth="1"/>
    <col min="4888" max="4889" width="4.28515625" style="1804" customWidth="1"/>
    <col min="4890" max="4891" width="3.5703125" style="1804" customWidth="1"/>
    <col min="4892" max="4892" width="3.42578125" style="1804" customWidth="1"/>
    <col min="4893" max="4893" width="3.5703125" style="1804" customWidth="1"/>
    <col min="4894" max="4894" width="1.42578125" style="1804" customWidth="1"/>
    <col min="4895" max="4895" width="5.7109375" style="1804" customWidth="1"/>
    <col min="4896" max="4906" width="7.140625" style="1804" customWidth="1"/>
    <col min="4907" max="4912" width="7" style="1804" customWidth="1"/>
    <col min="4913" max="5120" width="9.140625" style="1804"/>
    <col min="5121" max="5122" width="1.42578125" style="1804" customWidth="1"/>
    <col min="5123" max="5138" width="3.7109375" style="1804" customWidth="1"/>
    <col min="5139" max="5140" width="4.28515625" style="1804" customWidth="1"/>
    <col min="5141" max="5141" width="3.7109375" style="1804" customWidth="1"/>
    <col min="5142" max="5142" width="3.28515625" style="1804" customWidth="1"/>
    <col min="5143" max="5143" width="3.42578125" style="1804" customWidth="1"/>
    <col min="5144" max="5145" width="4.28515625" style="1804" customWidth="1"/>
    <col min="5146" max="5147" width="3.5703125" style="1804" customWidth="1"/>
    <col min="5148" max="5148" width="3.42578125" style="1804" customWidth="1"/>
    <col min="5149" max="5149" width="3.5703125" style="1804" customWidth="1"/>
    <col min="5150" max="5150" width="1.42578125" style="1804" customWidth="1"/>
    <col min="5151" max="5151" width="5.7109375" style="1804" customWidth="1"/>
    <col min="5152" max="5162" width="7.140625" style="1804" customWidth="1"/>
    <col min="5163" max="5168" width="7" style="1804" customWidth="1"/>
    <col min="5169" max="5376" width="9.140625" style="1804"/>
    <col min="5377" max="5378" width="1.42578125" style="1804" customWidth="1"/>
    <col min="5379" max="5394" width="3.7109375" style="1804" customWidth="1"/>
    <col min="5395" max="5396" width="4.28515625" style="1804" customWidth="1"/>
    <col min="5397" max="5397" width="3.7109375" style="1804" customWidth="1"/>
    <col min="5398" max="5398" width="3.28515625" style="1804" customWidth="1"/>
    <col min="5399" max="5399" width="3.42578125" style="1804" customWidth="1"/>
    <col min="5400" max="5401" width="4.28515625" style="1804" customWidth="1"/>
    <col min="5402" max="5403" width="3.5703125" style="1804" customWidth="1"/>
    <col min="5404" max="5404" width="3.42578125" style="1804" customWidth="1"/>
    <col min="5405" max="5405" width="3.5703125" style="1804" customWidth="1"/>
    <col min="5406" max="5406" width="1.42578125" style="1804" customWidth="1"/>
    <col min="5407" max="5407" width="5.7109375" style="1804" customWidth="1"/>
    <col min="5408" max="5418" width="7.140625" style="1804" customWidth="1"/>
    <col min="5419" max="5424" width="7" style="1804" customWidth="1"/>
    <col min="5425" max="5632" width="9.140625" style="1804"/>
    <col min="5633" max="5634" width="1.42578125" style="1804" customWidth="1"/>
    <col min="5635" max="5650" width="3.7109375" style="1804" customWidth="1"/>
    <col min="5651" max="5652" width="4.28515625" style="1804" customWidth="1"/>
    <col min="5653" max="5653" width="3.7109375" style="1804" customWidth="1"/>
    <col min="5654" max="5654" width="3.28515625" style="1804" customWidth="1"/>
    <col min="5655" max="5655" width="3.42578125" style="1804" customWidth="1"/>
    <col min="5656" max="5657" width="4.28515625" style="1804" customWidth="1"/>
    <col min="5658" max="5659" width="3.5703125" style="1804" customWidth="1"/>
    <col min="5660" max="5660" width="3.42578125" style="1804" customWidth="1"/>
    <col min="5661" max="5661" width="3.5703125" style="1804" customWidth="1"/>
    <col min="5662" max="5662" width="1.42578125" style="1804" customWidth="1"/>
    <col min="5663" max="5663" width="5.7109375" style="1804" customWidth="1"/>
    <col min="5664" max="5674" width="7.140625" style="1804" customWidth="1"/>
    <col min="5675" max="5680" width="7" style="1804" customWidth="1"/>
    <col min="5681" max="5888" width="9.140625" style="1804"/>
    <col min="5889" max="5890" width="1.42578125" style="1804" customWidth="1"/>
    <col min="5891" max="5906" width="3.7109375" style="1804" customWidth="1"/>
    <col min="5907" max="5908" width="4.28515625" style="1804" customWidth="1"/>
    <col min="5909" max="5909" width="3.7109375" style="1804" customWidth="1"/>
    <col min="5910" max="5910" width="3.28515625" style="1804" customWidth="1"/>
    <col min="5911" max="5911" width="3.42578125" style="1804" customWidth="1"/>
    <col min="5912" max="5913" width="4.28515625" style="1804" customWidth="1"/>
    <col min="5914" max="5915" width="3.5703125" style="1804" customWidth="1"/>
    <col min="5916" max="5916" width="3.42578125" style="1804" customWidth="1"/>
    <col min="5917" max="5917" width="3.5703125" style="1804" customWidth="1"/>
    <col min="5918" max="5918" width="1.42578125" style="1804" customWidth="1"/>
    <col min="5919" max="5919" width="5.7109375" style="1804" customWidth="1"/>
    <col min="5920" max="5930" width="7.140625" style="1804" customWidth="1"/>
    <col min="5931" max="5936" width="7" style="1804" customWidth="1"/>
    <col min="5937" max="6144" width="9.140625" style="1804"/>
    <col min="6145" max="6146" width="1.42578125" style="1804" customWidth="1"/>
    <col min="6147" max="6162" width="3.7109375" style="1804" customWidth="1"/>
    <col min="6163" max="6164" width="4.28515625" style="1804" customWidth="1"/>
    <col min="6165" max="6165" width="3.7109375" style="1804" customWidth="1"/>
    <col min="6166" max="6166" width="3.28515625" style="1804" customWidth="1"/>
    <col min="6167" max="6167" width="3.42578125" style="1804" customWidth="1"/>
    <col min="6168" max="6169" width="4.28515625" style="1804" customWidth="1"/>
    <col min="6170" max="6171" width="3.5703125" style="1804" customWidth="1"/>
    <col min="6172" max="6172" width="3.42578125" style="1804" customWidth="1"/>
    <col min="6173" max="6173" width="3.5703125" style="1804" customWidth="1"/>
    <col min="6174" max="6174" width="1.42578125" style="1804" customWidth="1"/>
    <col min="6175" max="6175" width="5.7109375" style="1804" customWidth="1"/>
    <col min="6176" max="6186" width="7.140625" style="1804" customWidth="1"/>
    <col min="6187" max="6192" width="7" style="1804" customWidth="1"/>
    <col min="6193" max="6400" width="9.140625" style="1804"/>
    <col min="6401" max="6402" width="1.42578125" style="1804" customWidth="1"/>
    <col min="6403" max="6418" width="3.7109375" style="1804" customWidth="1"/>
    <col min="6419" max="6420" width="4.28515625" style="1804" customWidth="1"/>
    <col min="6421" max="6421" width="3.7109375" style="1804" customWidth="1"/>
    <col min="6422" max="6422" width="3.28515625" style="1804" customWidth="1"/>
    <col min="6423" max="6423" width="3.42578125" style="1804" customWidth="1"/>
    <col min="6424" max="6425" width="4.28515625" style="1804" customWidth="1"/>
    <col min="6426" max="6427" width="3.5703125" style="1804" customWidth="1"/>
    <col min="6428" max="6428" width="3.42578125" style="1804" customWidth="1"/>
    <col min="6429" max="6429" width="3.5703125" style="1804" customWidth="1"/>
    <col min="6430" max="6430" width="1.42578125" style="1804" customWidth="1"/>
    <col min="6431" max="6431" width="5.7109375" style="1804" customWidth="1"/>
    <col min="6432" max="6442" width="7.140625" style="1804" customWidth="1"/>
    <col min="6443" max="6448" width="7" style="1804" customWidth="1"/>
    <col min="6449" max="6656" width="9.140625" style="1804"/>
    <col min="6657" max="6658" width="1.42578125" style="1804" customWidth="1"/>
    <col min="6659" max="6674" width="3.7109375" style="1804" customWidth="1"/>
    <col min="6675" max="6676" width="4.28515625" style="1804" customWidth="1"/>
    <col min="6677" max="6677" width="3.7109375" style="1804" customWidth="1"/>
    <col min="6678" max="6678" width="3.28515625" style="1804" customWidth="1"/>
    <col min="6679" max="6679" width="3.42578125" style="1804" customWidth="1"/>
    <col min="6680" max="6681" width="4.28515625" style="1804" customWidth="1"/>
    <col min="6682" max="6683" width="3.5703125" style="1804" customWidth="1"/>
    <col min="6684" max="6684" width="3.42578125" style="1804" customWidth="1"/>
    <col min="6685" max="6685" width="3.5703125" style="1804" customWidth="1"/>
    <col min="6686" max="6686" width="1.42578125" style="1804" customWidth="1"/>
    <col min="6687" max="6687" width="5.7109375" style="1804" customWidth="1"/>
    <col min="6688" max="6698" width="7.140625" style="1804" customWidth="1"/>
    <col min="6699" max="6704" width="7" style="1804" customWidth="1"/>
    <col min="6705" max="6912" width="9.140625" style="1804"/>
    <col min="6913" max="6914" width="1.42578125" style="1804" customWidth="1"/>
    <col min="6915" max="6930" width="3.7109375" style="1804" customWidth="1"/>
    <col min="6931" max="6932" width="4.28515625" style="1804" customWidth="1"/>
    <col min="6933" max="6933" width="3.7109375" style="1804" customWidth="1"/>
    <col min="6934" max="6934" width="3.28515625" style="1804" customWidth="1"/>
    <col min="6935" max="6935" width="3.42578125" style="1804" customWidth="1"/>
    <col min="6936" max="6937" width="4.28515625" style="1804" customWidth="1"/>
    <col min="6938" max="6939" width="3.5703125" style="1804" customWidth="1"/>
    <col min="6940" max="6940" width="3.42578125" style="1804" customWidth="1"/>
    <col min="6941" max="6941" width="3.5703125" style="1804" customWidth="1"/>
    <col min="6942" max="6942" width="1.42578125" style="1804" customWidth="1"/>
    <col min="6943" max="6943" width="5.7109375" style="1804" customWidth="1"/>
    <col min="6944" max="6954" width="7.140625" style="1804" customWidth="1"/>
    <col min="6955" max="6960" width="7" style="1804" customWidth="1"/>
    <col min="6961" max="7168" width="9.140625" style="1804"/>
    <col min="7169" max="7170" width="1.42578125" style="1804" customWidth="1"/>
    <col min="7171" max="7186" width="3.7109375" style="1804" customWidth="1"/>
    <col min="7187" max="7188" width="4.28515625" style="1804" customWidth="1"/>
    <col min="7189" max="7189" width="3.7109375" style="1804" customWidth="1"/>
    <col min="7190" max="7190" width="3.28515625" style="1804" customWidth="1"/>
    <col min="7191" max="7191" width="3.42578125" style="1804" customWidth="1"/>
    <col min="7192" max="7193" width="4.28515625" style="1804" customWidth="1"/>
    <col min="7194" max="7195" width="3.5703125" style="1804" customWidth="1"/>
    <col min="7196" max="7196" width="3.42578125" style="1804" customWidth="1"/>
    <col min="7197" max="7197" width="3.5703125" style="1804" customWidth="1"/>
    <col min="7198" max="7198" width="1.42578125" style="1804" customWidth="1"/>
    <col min="7199" max="7199" width="5.7109375" style="1804" customWidth="1"/>
    <col min="7200" max="7210" width="7.140625" style="1804" customWidth="1"/>
    <col min="7211" max="7216" width="7" style="1804" customWidth="1"/>
    <col min="7217" max="7424" width="9.140625" style="1804"/>
    <col min="7425" max="7426" width="1.42578125" style="1804" customWidth="1"/>
    <col min="7427" max="7442" width="3.7109375" style="1804" customWidth="1"/>
    <col min="7443" max="7444" width="4.28515625" style="1804" customWidth="1"/>
    <col min="7445" max="7445" width="3.7109375" style="1804" customWidth="1"/>
    <col min="7446" max="7446" width="3.28515625" style="1804" customWidth="1"/>
    <col min="7447" max="7447" width="3.42578125" style="1804" customWidth="1"/>
    <col min="7448" max="7449" width="4.28515625" style="1804" customWidth="1"/>
    <col min="7450" max="7451" width="3.5703125" style="1804" customWidth="1"/>
    <col min="7452" max="7452" width="3.42578125" style="1804" customWidth="1"/>
    <col min="7453" max="7453" width="3.5703125" style="1804" customWidth="1"/>
    <col min="7454" max="7454" width="1.42578125" style="1804" customWidth="1"/>
    <col min="7455" max="7455" width="5.7109375" style="1804" customWidth="1"/>
    <col min="7456" max="7466" width="7.140625" style="1804" customWidth="1"/>
    <col min="7467" max="7472" width="7" style="1804" customWidth="1"/>
    <col min="7473" max="7680" width="9.140625" style="1804"/>
    <col min="7681" max="7682" width="1.42578125" style="1804" customWidth="1"/>
    <col min="7683" max="7698" width="3.7109375" style="1804" customWidth="1"/>
    <col min="7699" max="7700" width="4.28515625" style="1804" customWidth="1"/>
    <col min="7701" max="7701" width="3.7109375" style="1804" customWidth="1"/>
    <col min="7702" max="7702" width="3.28515625" style="1804" customWidth="1"/>
    <col min="7703" max="7703" width="3.42578125" style="1804" customWidth="1"/>
    <col min="7704" max="7705" width="4.28515625" style="1804" customWidth="1"/>
    <col min="7706" max="7707" width="3.5703125" style="1804" customWidth="1"/>
    <col min="7708" max="7708" width="3.42578125" style="1804" customWidth="1"/>
    <col min="7709" max="7709" width="3.5703125" style="1804" customWidth="1"/>
    <col min="7710" max="7710" width="1.42578125" style="1804" customWidth="1"/>
    <col min="7711" max="7711" width="5.7109375" style="1804" customWidth="1"/>
    <col min="7712" max="7722" width="7.140625" style="1804" customWidth="1"/>
    <col min="7723" max="7728" width="7" style="1804" customWidth="1"/>
    <col min="7729" max="7936" width="9.140625" style="1804"/>
    <col min="7937" max="7938" width="1.42578125" style="1804" customWidth="1"/>
    <col min="7939" max="7954" width="3.7109375" style="1804" customWidth="1"/>
    <col min="7955" max="7956" width="4.28515625" style="1804" customWidth="1"/>
    <col min="7957" max="7957" width="3.7109375" style="1804" customWidth="1"/>
    <col min="7958" max="7958" width="3.28515625" style="1804" customWidth="1"/>
    <col min="7959" max="7959" width="3.42578125" style="1804" customWidth="1"/>
    <col min="7960" max="7961" width="4.28515625" style="1804" customWidth="1"/>
    <col min="7962" max="7963" width="3.5703125" style="1804" customWidth="1"/>
    <col min="7964" max="7964" width="3.42578125" style="1804" customWidth="1"/>
    <col min="7965" max="7965" width="3.5703125" style="1804" customWidth="1"/>
    <col min="7966" max="7966" width="1.42578125" style="1804" customWidth="1"/>
    <col min="7967" max="7967" width="5.7109375" style="1804" customWidth="1"/>
    <col min="7968" max="7978" width="7.140625" style="1804" customWidth="1"/>
    <col min="7979" max="7984" width="7" style="1804" customWidth="1"/>
    <col min="7985" max="8192" width="9.140625" style="1804"/>
    <col min="8193" max="8194" width="1.42578125" style="1804" customWidth="1"/>
    <col min="8195" max="8210" width="3.7109375" style="1804" customWidth="1"/>
    <col min="8211" max="8212" width="4.28515625" style="1804" customWidth="1"/>
    <col min="8213" max="8213" width="3.7109375" style="1804" customWidth="1"/>
    <col min="8214" max="8214" width="3.28515625" style="1804" customWidth="1"/>
    <col min="8215" max="8215" width="3.42578125" style="1804" customWidth="1"/>
    <col min="8216" max="8217" width="4.28515625" style="1804" customWidth="1"/>
    <col min="8218" max="8219" width="3.5703125" style="1804" customWidth="1"/>
    <col min="8220" max="8220" width="3.42578125" style="1804" customWidth="1"/>
    <col min="8221" max="8221" width="3.5703125" style="1804" customWidth="1"/>
    <col min="8222" max="8222" width="1.42578125" style="1804" customWidth="1"/>
    <col min="8223" max="8223" width="5.7109375" style="1804" customWidth="1"/>
    <col min="8224" max="8234" width="7.140625" style="1804" customWidth="1"/>
    <col min="8235" max="8240" width="7" style="1804" customWidth="1"/>
    <col min="8241" max="8448" width="9.140625" style="1804"/>
    <col min="8449" max="8450" width="1.42578125" style="1804" customWidth="1"/>
    <col min="8451" max="8466" width="3.7109375" style="1804" customWidth="1"/>
    <col min="8467" max="8468" width="4.28515625" style="1804" customWidth="1"/>
    <col min="8469" max="8469" width="3.7109375" style="1804" customWidth="1"/>
    <col min="8470" max="8470" width="3.28515625" style="1804" customWidth="1"/>
    <col min="8471" max="8471" width="3.42578125" style="1804" customWidth="1"/>
    <col min="8472" max="8473" width="4.28515625" style="1804" customWidth="1"/>
    <col min="8474" max="8475" width="3.5703125" style="1804" customWidth="1"/>
    <col min="8476" max="8476" width="3.42578125" style="1804" customWidth="1"/>
    <col min="8477" max="8477" width="3.5703125" style="1804" customWidth="1"/>
    <col min="8478" max="8478" width="1.42578125" style="1804" customWidth="1"/>
    <col min="8479" max="8479" width="5.7109375" style="1804" customWidth="1"/>
    <col min="8480" max="8490" width="7.140625" style="1804" customWidth="1"/>
    <col min="8491" max="8496" width="7" style="1804" customWidth="1"/>
    <col min="8497" max="8704" width="9.140625" style="1804"/>
    <col min="8705" max="8706" width="1.42578125" style="1804" customWidth="1"/>
    <col min="8707" max="8722" width="3.7109375" style="1804" customWidth="1"/>
    <col min="8723" max="8724" width="4.28515625" style="1804" customWidth="1"/>
    <col min="8725" max="8725" width="3.7109375" style="1804" customWidth="1"/>
    <col min="8726" max="8726" width="3.28515625" style="1804" customWidth="1"/>
    <col min="8727" max="8727" width="3.42578125" style="1804" customWidth="1"/>
    <col min="8728" max="8729" width="4.28515625" style="1804" customWidth="1"/>
    <col min="8730" max="8731" width="3.5703125" style="1804" customWidth="1"/>
    <col min="8732" max="8732" width="3.42578125" style="1804" customWidth="1"/>
    <col min="8733" max="8733" width="3.5703125" style="1804" customWidth="1"/>
    <col min="8734" max="8734" width="1.42578125" style="1804" customWidth="1"/>
    <col min="8735" max="8735" width="5.7109375" style="1804" customWidth="1"/>
    <col min="8736" max="8746" width="7.140625" style="1804" customWidth="1"/>
    <col min="8747" max="8752" width="7" style="1804" customWidth="1"/>
    <col min="8753" max="8960" width="9.140625" style="1804"/>
    <col min="8961" max="8962" width="1.42578125" style="1804" customWidth="1"/>
    <col min="8963" max="8978" width="3.7109375" style="1804" customWidth="1"/>
    <col min="8979" max="8980" width="4.28515625" style="1804" customWidth="1"/>
    <col min="8981" max="8981" width="3.7109375" style="1804" customWidth="1"/>
    <col min="8982" max="8982" width="3.28515625" style="1804" customWidth="1"/>
    <col min="8983" max="8983" width="3.42578125" style="1804" customWidth="1"/>
    <col min="8984" max="8985" width="4.28515625" style="1804" customWidth="1"/>
    <col min="8986" max="8987" width="3.5703125" style="1804" customWidth="1"/>
    <col min="8988" max="8988" width="3.42578125" style="1804" customWidth="1"/>
    <col min="8989" max="8989" width="3.5703125" style="1804" customWidth="1"/>
    <col min="8990" max="8990" width="1.42578125" style="1804" customWidth="1"/>
    <col min="8991" max="8991" width="5.7109375" style="1804" customWidth="1"/>
    <col min="8992" max="9002" width="7.140625" style="1804" customWidth="1"/>
    <col min="9003" max="9008" width="7" style="1804" customWidth="1"/>
    <col min="9009" max="9216" width="9.140625" style="1804"/>
    <col min="9217" max="9218" width="1.42578125" style="1804" customWidth="1"/>
    <col min="9219" max="9234" width="3.7109375" style="1804" customWidth="1"/>
    <col min="9235" max="9236" width="4.28515625" style="1804" customWidth="1"/>
    <col min="9237" max="9237" width="3.7109375" style="1804" customWidth="1"/>
    <col min="9238" max="9238" width="3.28515625" style="1804" customWidth="1"/>
    <col min="9239" max="9239" width="3.42578125" style="1804" customWidth="1"/>
    <col min="9240" max="9241" width="4.28515625" style="1804" customWidth="1"/>
    <col min="9242" max="9243" width="3.5703125" style="1804" customWidth="1"/>
    <col min="9244" max="9244" width="3.42578125" style="1804" customWidth="1"/>
    <col min="9245" max="9245" width="3.5703125" style="1804" customWidth="1"/>
    <col min="9246" max="9246" width="1.42578125" style="1804" customWidth="1"/>
    <col min="9247" max="9247" width="5.7109375" style="1804" customWidth="1"/>
    <col min="9248" max="9258" width="7.140625" style="1804" customWidth="1"/>
    <col min="9259" max="9264" width="7" style="1804" customWidth="1"/>
    <col min="9265" max="9472" width="9.140625" style="1804"/>
    <col min="9473" max="9474" width="1.42578125" style="1804" customWidth="1"/>
    <col min="9475" max="9490" width="3.7109375" style="1804" customWidth="1"/>
    <col min="9491" max="9492" width="4.28515625" style="1804" customWidth="1"/>
    <col min="9493" max="9493" width="3.7109375" style="1804" customWidth="1"/>
    <col min="9494" max="9494" width="3.28515625" style="1804" customWidth="1"/>
    <col min="9495" max="9495" width="3.42578125" style="1804" customWidth="1"/>
    <col min="9496" max="9497" width="4.28515625" style="1804" customWidth="1"/>
    <col min="9498" max="9499" width="3.5703125" style="1804" customWidth="1"/>
    <col min="9500" max="9500" width="3.42578125" style="1804" customWidth="1"/>
    <col min="9501" max="9501" width="3.5703125" style="1804" customWidth="1"/>
    <col min="9502" max="9502" width="1.42578125" style="1804" customWidth="1"/>
    <col min="9503" max="9503" width="5.7109375" style="1804" customWidth="1"/>
    <col min="9504" max="9514" width="7.140625" style="1804" customWidth="1"/>
    <col min="9515" max="9520" width="7" style="1804" customWidth="1"/>
    <col min="9521" max="9728" width="9.140625" style="1804"/>
    <col min="9729" max="9730" width="1.42578125" style="1804" customWidth="1"/>
    <col min="9731" max="9746" width="3.7109375" style="1804" customWidth="1"/>
    <col min="9747" max="9748" width="4.28515625" style="1804" customWidth="1"/>
    <col min="9749" max="9749" width="3.7109375" style="1804" customWidth="1"/>
    <col min="9750" max="9750" width="3.28515625" style="1804" customWidth="1"/>
    <col min="9751" max="9751" width="3.42578125" style="1804" customWidth="1"/>
    <col min="9752" max="9753" width="4.28515625" style="1804" customWidth="1"/>
    <col min="9754" max="9755" width="3.5703125" style="1804" customWidth="1"/>
    <col min="9756" max="9756" width="3.42578125" style="1804" customWidth="1"/>
    <col min="9757" max="9757" width="3.5703125" style="1804" customWidth="1"/>
    <col min="9758" max="9758" width="1.42578125" style="1804" customWidth="1"/>
    <col min="9759" max="9759" width="5.7109375" style="1804" customWidth="1"/>
    <col min="9760" max="9770" width="7.140625" style="1804" customWidth="1"/>
    <col min="9771" max="9776" width="7" style="1804" customWidth="1"/>
    <col min="9777" max="9984" width="9.140625" style="1804"/>
    <col min="9985" max="9986" width="1.42578125" style="1804" customWidth="1"/>
    <col min="9987" max="10002" width="3.7109375" style="1804" customWidth="1"/>
    <col min="10003" max="10004" width="4.28515625" style="1804" customWidth="1"/>
    <col min="10005" max="10005" width="3.7109375" style="1804" customWidth="1"/>
    <col min="10006" max="10006" width="3.28515625" style="1804" customWidth="1"/>
    <col min="10007" max="10007" width="3.42578125" style="1804" customWidth="1"/>
    <col min="10008" max="10009" width="4.28515625" style="1804" customWidth="1"/>
    <col min="10010" max="10011" width="3.5703125" style="1804" customWidth="1"/>
    <col min="10012" max="10012" width="3.42578125" style="1804" customWidth="1"/>
    <col min="10013" max="10013" width="3.5703125" style="1804" customWidth="1"/>
    <col min="10014" max="10014" width="1.42578125" style="1804" customWidth="1"/>
    <col min="10015" max="10015" width="5.7109375" style="1804" customWidth="1"/>
    <col min="10016" max="10026" width="7.140625" style="1804" customWidth="1"/>
    <col min="10027" max="10032" width="7" style="1804" customWidth="1"/>
    <col min="10033" max="10240" width="9.140625" style="1804"/>
    <col min="10241" max="10242" width="1.42578125" style="1804" customWidth="1"/>
    <col min="10243" max="10258" width="3.7109375" style="1804" customWidth="1"/>
    <col min="10259" max="10260" width="4.28515625" style="1804" customWidth="1"/>
    <col min="10261" max="10261" width="3.7109375" style="1804" customWidth="1"/>
    <col min="10262" max="10262" width="3.28515625" style="1804" customWidth="1"/>
    <col min="10263" max="10263" width="3.42578125" style="1804" customWidth="1"/>
    <col min="10264" max="10265" width="4.28515625" style="1804" customWidth="1"/>
    <col min="10266" max="10267" width="3.5703125" style="1804" customWidth="1"/>
    <col min="10268" max="10268" width="3.42578125" style="1804" customWidth="1"/>
    <col min="10269" max="10269" width="3.5703125" style="1804" customWidth="1"/>
    <col min="10270" max="10270" width="1.42578125" style="1804" customWidth="1"/>
    <col min="10271" max="10271" width="5.7109375" style="1804" customWidth="1"/>
    <col min="10272" max="10282" width="7.140625" style="1804" customWidth="1"/>
    <col min="10283" max="10288" width="7" style="1804" customWidth="1"/>
    <col min="10289" max="10496" width="9.140625" style="1804"/>
    <col min="10497" max="10498" width="1.42578125" style="1804" customWidth="1"/>
    <col min="10499" max="10514" width="3.7109375" style="1804" customWidth="1"/>
    <col min="10515" max="10516" width="4.28515625" style="1804" customWidth="1"/>
    <col min="10517" max="10517" width="3.7109375" style="1804" customWidth="1"/>
    <col min="10518" max="10518" width="3.28515625" style="1804" customWidth="1"/>
    <col min="10519" max="10519" width="3.42578125" style="1804" customWidth="1"/>
    <col min="10520" max="10521" width="4.28515625" style="1804" customWidth="1"/>
    <col min="10522" max="10523" width="3.5703125" style="1804" customWidth="1"/>
    <col min="10524" max="10524" width="3.42578125" style="1804" customWidth="1"/>
    <col min="10525" max="10525" width="3.5703125" style="1804" customWidth="1"/>
    <col min="10526" max="10526" width="1.42578125" style="1804" customWidth="1"/>
    <col min="10527" max="10527" width="5.7109375" style="1804" customWidth="1"/>
    <col min="10528" max="10538" width="7.140625" style="1804" customWidth="1"/>
    <col min="10539" max="10544" width="7" style="1804" customWidth="1"/>
    <col min="10545" max="10752" width="9.140625" style="1804"/>
    <col min="10753" max="10754" width="1.42578125" style="1804" customWidth="1"/>
    <col min="10755" max="10770" width="3.7109375" style="1804" customWidth="1"/>
    <col min="10771" max="10772" width="4.28515625" style="1804" customWidth="1"/>
    <col min="10773" max="10773" width="3.7109375" style="1804" customWidth="1"/>
    <col min="10774" max="10774" width="3.28515625" style="1804" customWidth="1"/>
    <col min="10775" max="10775" width="3.42578125" style="1804" customWidth="1"/>
    <col min="10776" max="10777" width="4.28515625" style="1804" customWidth="1"/>
    <col min="10778" max="10779" width="3.5703125" style="1804" customWidth="1"/>
    <col min="10780" max="10780" width="3.42578125" style="1804" customWidth="1"/>
    <col min="10781" max="10781" width="3.5703125" style="1804" customWidth="1"/>
    <col min="10782" max="10782" width="1.42578125" style="1804" customWidth="1"/>
    <col min="10783" max="10783" width="5.7109375" style="1804" customWidth="1"/>
    <col min="10784" max="10794" width="7.140625" style="1804" customWidth="1"/>
    <col min="10795" max="10800" width="7" style="1804" customWidth="1"/>
    <col min="10801" max="11008" width="9.140625" style="1804"/>
    <col min="11009" max="11010" width="1.42578125" style="1804" customWidth="1"/>
    <col min="11011" max="11026" width="3.7109375" style="1804" customWidth="1"/>
    <col min="11027" max="11028" width="4.28515625" style="1804" customWidth="1"/>
    <col min="11029" max="11029" width="3.7109375" style="1804" customWidth="1"/>
    <col min="11030" max="11030" width="3.28515625" style="1804" customWidth="1"/>
    <col min="11031" max="11031" width="3.42578125" style="1804" customWidth="1"/>
    <col min="11032" max="11033" width="4.28515625" style="1804" customWidth="1"/>
    <col min="11034" max="11035" width="3.5703125" style="1804" customWidth="1"/>
    <col min="11036" max="11036" width="3.42578125" style="1804" customWidth="1"/>
    <col min="11037" max="11037" width="3.5703125" style="1804" customWidth="1"/>
    <col min="11038" max="11038" width="1.42578125" style="1804" customWidth="1"/>
    <col min="11039" max="11039" width="5.7109375" style="1804" customWidth="1"/>
    <col min="11040" max="11050" width="7.140625" style="1804" customWidth="1"/>
    <col min="11051" max="11056" width="7" style="1804" customWidth="1"/>
    <col min="11057" max="11264" width="9.140625" style="1804"/>
    <col min="11265" max="11266" width="1.42578125" style="1804" customWidth="1"/>
    <col min="11267" max="11282" width="3.7109375" style="1804" customWidth="1"/>
    <col min="11283" max="11284" width="4.28515625" style="1804" customWidth="1"/>
    <col min="11285" max="11285" width="3.7109375" style="1804" customWidth="1"/>
    <col min="11286" max="11286" width="3.28515625" style="1804" customWidth="1"/>
    <col min="11287" max="11287" width="3.42578125" style="1804" customWidth="1"/>
    <col min="11288" max="11289" width="4.28515625" style="1804" customWidth="1"/>
    <col min="11290" max="11291" width="3.5703125" style="1804" customWidth="1"/>
    <col min="11292" max="11292" width="3.42578125" style="1804" customWidth="1"/>
    <col min="11293" max="11293" width="3.5703125" style="1804" customWidth="1"/>
    <col min="11294" max="11294" width="1.42578125" style="1804" customWidth="1"/>
    <col min="11295" max="11295" width="5.7109375" style="1804" customWidth="1"/>
    <col min="11296" max="11306" width="7.140625" style="1804" customWidth="1"/>
    <col min="11307" max="11312" width="7" style="1804" customWidth="1"/>
    <col min="11313" max="11520" width="9.140625" style="1804"/>
    <col min="11521" max="11522" width="1.42578125" style="1804" customWidth="1"/>
    <col min="11523" max="11538" width="3.7109375" style="1804" customWidth="1"/>
    <col min="11539" max="11540" width="4.28515625" style="1804" customWidth="1"/>
    <col min="11541" max="11541" width="3.7109375" style="1804" customWidth="1"/>
    <col min="11542" max="11542" width="3.28515625" style="1804" customWidth="1"/>
    <col min="11543" max="11543" width="3.42578125" style="1804" customWidth="1"/>
    <col min="11544" max="11545" width="4.28515625" style="1804" customWidth="1"/>
    <col min="11546" max="11547" width="3.5703125" style="1804" customWidth="1"/>
    <col min="11548" max="11548" width="3.42578125" style="1804" customWidth="1"/>
    <col min="11549" max="11549" width="3.5703125" style="1804" customWidth="1"/>
    <col min="11550" max="11550" width="1.42578125" style="1804" customWidth="1"/>
    <col min="11551" max="11551" width="5.7109375" style="1804" customWidth="1"/>
    <col min="11552" max="11562" width="7.140625" style="1804" customWidth="1"/>
    <col min="11563" max="11568" width="7" style="1804" customWidth="1"/>
    <col min="11569" max="11776" width="9.140625" style="1804"/>
    <col min="11777" max="11778" width="1.42578125" style="1804" customWidth="1"/>
    <col min="11779" max="11794" width="3.7109375" style="1804" customWidth="1"/>
    <col min="11795" max="11796" width="4.28515625" style="1804" customWidth="1"/>
    <col min="11797" max="11797" width="3.7109375" style="1804" customWidth="1"/>
    <col min="11798" max="11798" width="3.28515625" style="1804" customWidth="1"/>
    <col min="11799" max="11799" width="3.42578125" style="1804" customWidth="1"/>
    <col min="11800" max="11801" width="4.28515625" style="1804" customWidth="1"/>
    <col min="11802" max="11803" width="3.5703125" style="1804" customWidth="1"/>
    <col min="11804" max="11804" width="3.42578125" style="1804" customWidth="1"/>
    <col min="11805" max="11805" width="3.5703125" style="1804" customWidth="1"/>
    <col min="11806" max="11806" width="1.42578125" style="1804" customWidth="1"/>
    <col min="11807" max="11807" width="5.7109375" style="1804" customWidth="1"/>
    <col min="11808" max="11818" width="7.140625" style="1804" customWidth="1"/>
    <col min="11819" max="11824" width="7" style="1804" customWidth="1"/>
    <col min="11825" max="12032" width="9.140625" style="1804"/>
    <col min="12033" max="12034" width="1.42578125" style="1804" customWidth="1"/>
    <col min="12035" max="12050" width="3.7109375" style="1804" customWidth="1"/>
    <col min="12051" max="12052" width="4.28515625" style="1804" customWidth="1"/>
    <col min="12053" max="12053" width="3.7109375" style="1804" customWidth="1"/>
    <col min="12054" max="12054" width="3.28515625" style="1804" customWidth="1"/>
    <col min="12055" max="12055" width="3.42578125" style="1804" customWidth="1"/>
    <col min="12056" max="12057" width="4.28515625" style="1804" customWidth="1"/>
    <col min="12058" max="12059" width="3.5703125" style="1804" customWidth="1"/>
    <col min="12060" max="12060" width="3.42578125" style="1804" customWidth="1"/>
    <col min="12061" max="12061" width="3.5703125" style="1804" customWidth="1"/>
    <col min="12062" max="12062" width="1.42578125" style="1804" customWidth="1"/>
    <col min="12063" max="12063" width="5.7109375" style="1804" customWidth="1"/>
    <col min="12064" max="12074" width="7.140625" style="1804" customWidth="1"/>
    <col min="12075" max="12080" width="7" style="1804" customWidth="1"/>
    <col min="12081" max="12288" width="9.140625" style="1804"/>
    <col min="12289" max="12290" width="1.42578125" style="1804" customWidth="1"/>
    <col min="12291" max="12306" width="3.7109375" style="1804" customWidth="1"/>
    <col min="12307" max="12308" width="4.28515625" style="1804" customWidth="1"/>
    <col min="12309" max="12309" width="3.7109375" style="1804" customWidth="1"/>
    <col min="12310" max="12310" width="3.28515625" style="1804" customWidth="1"/>
    <col min="12311" max="12311" width="3.42578125" style="1804" customWidth="1"/>
    <col min="12312" max="12313" width="4.28515625" style="1804" customWidth="1"/>
    <col min="12314" max="12315" width="3.5703125" style="1804" customWidth="1"/>
    <col min="12316" max="12316" width="3.42578125" style="1804" customWidth="1"/>
    <col min="12317" max="12317" width="3.5703125" style="1804" customWidth="1"/>
    <col min="12318" max="12318" width="1.42578125" style="1804" customWidth="1"/>
    <col min="12319" max="12319" width="5.7109375" style="1804" customWidth="1"/>
    <col min="12320" max="12330" width="7.140625" style="1804" customWidth="1"/>
    <col min="12331" max="12336" width="7" style="1804" customWidth="1"/>
    <col min="12337" max="12544" width="9.140625" style="1804"/>
    <col min="12545" max="12546" width="1.42578125" style="1804" customWidth="1"/>
    <col min="12547" max="12562" width="3.7109375" style="1804" customWidth="1"/>
    <col min="12563" max="12564" width="4.28515625" style="1804" customWidth="1"/>
    <col min="12565" max="12565" width="3.7109375" style="1804" customWidth="1"/>
    <col min="12566" max="12566" width="3.28515625" style="1804" customWidth="1"/>
    <col min="12567" max="12567" width="3.42578125" style="1804" customWidth="1"/>
    <col min="12568" max="12569" width="4.28515625" style="1804" customWidth="1"/>
    <col min="12570" max="12571" width="3.5703125" style="1804" customWidth="1"/>
    <col min="12572" max="12572" width="3.42578125" style="1804" customWidth="1"/>
    <col min="12573" max="12573" width="3.5703125" style="1804" customWidth="1"/>
    <col min="12574" max="12574" width="1.42578125" style="1804" customWidth="1"/>
    <col min="12575" max="12575" width="5.7109375" style="1804" customWidth="1"/>
    <col min="12576" max="12586" width="7.140625" style="1804" customWidth="1"/>
    <col min="12587" max="12592" width="7" style="1804" customWidth="1"/>
    <col min="12593" max="12800" width="9.140625" style="1804"/>
    <col min="12801" max="12802" width="1.42578125" style="1804" customWidth="1"/>
    <col min="12803" max="12818" width="3.7109375" style="1804" customWidth="1"/>
    <col min="12819" max="12820" width="4.28515625" style="1804" customWidth="1"/>
    <col min="12821" max="12821" width="3.7109375" style="1804" customWidth="1"/>
    <col min="12822" max="12822" width="3.28515625" style="1804" customWidth="1"/>
    <col min="12823" max="12823" width="3.42578125" style="1804" customWidth="1"/>
    <col min="12824" max="12825" width="4.28515625" style="1804" customWidth="1"/>
    <col min="12826" max="12827" width="3.5703125" style="1804" customWidth="1"/>
    <col min="12828" max="12828" width="3.42578125" style="1804" customWidth="1"/>
    <col min="12829" max="12829" width="3.5703125" style="1804" customWidth="1"/>
    <col min="12830" max="12830" width="1.42578125" style="1804" customWidth="1"/>
    <col min="12831" max="12831" width="5.7109375" style="1804" customWidth="1"/>
    <col min="12832" max="12842" width="7.140625" style="1804" customWidth="1"/>
    <col min="12843" max="12848" width="7" style="1804" customWidth="1"/>
    <col min="12849" max="13056" width="9.140625" style="1804"/>
    <col min="13057" max="13058" width="1.42578125" style="1804" customWidth="1"/>
    <col min="13059" max="13074" width="3.7109375" style="1804" customWidth="1"/>
    <col min="13075" max="13076" width="4.28515625" style="1804" customWidth="1"/>
    <col min="13077" max="13077" width="3.7109375" style="1804" customWidth="1"/>
    <col min="13078" max="13078" width="3.28515625" style="1804" customWidth="1"/>
    <col min="13079" max="13079" width="3.42578125" style="1804" customWidth="1"/>
    <col min="13080" max="13081" width="4.28515625" style="1804" customWidth="1"/>
    <col min="13082" max="13083" width="3.5703125" style="1804" customWidth="1"/>
    <col min="13084" max="13084" width="3.42578125" style="1804" customWidth="1"/>
    <col min="13085" max="13085" width="3.5703125" style="1804" customWidth="1"/>
    <col min="13086" max="13086" width="1.42578125" style="1804" customWidth="1"/>
    <col min="13087" max="13087" width="5.7109375" style="1804" customWidth="1"/>
    <col min="13088" max="13098" width="7.140625" style="1804" customWidth="1"/>
    <col min="13099" max="13104" width="7" style="1804" customWidth="1"/>
    <col min="13105" max="13312" width="9.140625" style="1804"/>
    <col min="13313" max="13314" width="1.42578125" style="1804" customWidth="1"/>
    <col min="13315" max="13330" width="3.7109375" style="1804" customWidth="1"/>
    <col min="13331" max="13332" width="4.28515625" style="1804" customWidth="1"/>
    <col min="13333" max="13333" width="3.7109375" style="1804" customWidth="1"/>
    <col min="13334" max="13334" width="3.28515625" style="1804" customWidth="1"/>
    <col min="13335" max="13335" width="3.42578125" style="1804" customWidth="1"/>
    <col min="13336" max="13337" width="4.28515625" style="1804" customWidth="1"/>
    <col min="13338" max="13339" width="3.5703125" style="1804" customWidth="1"/>
    <col min="13340" max="13340" width="3.42578125" style="1804" customWidth="1"/>
    <col min="13341" max="13341" width="3.5703125" style="1804" customWidth="1"/>
    <col min="13342" max="13342" width="1.42578125" style="1804" customWidth="1"/>
    <col min="13343" max="13343" width="5.7109375" style="1804" customWidth="1"/>
    <col min="13344" max="13354" width="7.140625" style="1804" customWidth="1"/>
    <col min="13355" max="13360" width="7" style="1804" customWidth="1"/>
    <col min="13361" max="13568" width="9.140625" style="1804"/>
    <col min="13569" max="13570" width="1.42578125" style="1804" customWidth="1"/>
    <col min="13571" max="13586" width="3.7109375" style="1804" customWidth="1"/>
    <col min="13587" max="13588" width="4.28515625" style="1804" customWidth="1"/>
    <col min="13589" max="13589" width="3.7109375" style="1804" customWidth="1"/>
    <col min="13590" max="13590" width="3.28515625" style="1804" customWidth="1"/>
    <col min="13591" max="13591" width="3.42578125" style="1804" customWidth="1"/>
    <col min="13592" max="13593" width="4.28515625" style="1804" customWidth="1"/>
    <col min="13594" max="13595" width="3.5703125" style="1804" customWidth="1"/>
    <col min="13596" max="13596" width="3.42578125" style="1804" customWidth="1"/>
    <col min="13597" max="13597" width="3.5703125" style="1804" customWidth="1"/>
    <col min="13598" max="13598" width="1.42578125" style="1804" customWidth="1"/>
    <col min="13599" max="13599" width="5.7109375" style="1804" customWidth="1"/>
    <col min="13600" max="13610" width="7.140625" style="1804" customWidth="1"/>
    <col min="13611" max="13616" width="7" style="1804" customWidth="1"/>
    <col min="13617" max="13824" width="9.140625" style="1804"/>
    <col min="13825" max="13826" width="1.42578125" style="1804" customWidth="1"/>
    <col min="13827" max="13842" width="3.7109375" style="1804" customWidth="1"/>
    <col min="13843" max="13844" width="4.28515625" style="1804" customWidth="1"/>
    <col min="13845" max="13845" width="3.7109375" style="1804" customWidth="1"/>
    <col min="13846" max="13846" width="3.28515625" style="1804" customWidth="1"/>
    <col min="13847" max="13847" width="3.42578125" style="1804" customWidth="1"/>
    <col min="13848" max="13849" width="4.28515625" style="1804" customWidth="1"/>
    <col min="13850" max="13851" width="3.5703125" style="1804" customWidth="1"/>
    <col min="13852" max="13852" width="3.42578125" style="1804" customWidth="1"/>
    <col min="13853" max="13853" width="3.5703125" style="1804" customWidth="1"/>
    <col min="13854" max="13854" width="1.42578125" style="1804" customWidth="1"/>
    <col min="13855" max="13855" width="5.7109375" style="1804" customWidth="1"/>
    <col min="13856" max="13866" width="7.140625" style="1804" customWidth="1"/>
    <col min="13867" max="13872" width="7" style="1804" customWidth="1"/>
    <col min="13873" max="14080" width="9.140625" style="1804"/>
    <col min="14081" max="14082" width="1.42578125" style="1804" customWidth="1"/>
    <col min="14083" max="14098" width="3.7109375" style="1804" customWidth="1"/>
    <col min="14099" max="14100" width="4.28515625" style="1804" customWidth="1"/>
    <col min="14101" max="14101" width="3.7109375" style="1804" customWidth="1"/>
    <col min="14102" max="14102" width="3.28515625" style="1804" customWidth="1"/>
    <col min="14103" max="14103" width="3.42578125" style="1804" customWidth="1"/>
    <col min="14104" max="14105" width="4.28515625" style="1804" customWidth="1"/>
    <col min="14106" max="14107" width="3.5703125" style="1804" customWidth="1"/>
    <col min="14108" max="14108" width="3.42578125" style="1804" customWidth="1"/>
    <col min="14109" max="14109" width="3.5703125" style="1804" customWidth="1"/>
    <col min="14110" max="14110" width="1.42578125" style="1804" customWidth="1"/>
    <col min="14111" max="14111" width="5.7109375" style="1804" customWidth="1"/>
    <col min="14112" max="14122" width="7.140625" style="1804" customWidth="1"/>
    <col min="14123" max="14128" width="7" style="1804" customWidth="1"/>
    <col min="14129" max="14336" width="9.140625" style="1804"/>
    <col min="14337" max="14338" width="1.42578125" style="1804" customWidth="1"/>
    <col min="14339" max="14354" width="3.7109375" style="1804" customWidth="1"/>
    <col min="14355" max="14356" width="4.28515625" style="1804" customWidth="1"/>
    <col min="14357" max="14357" width="3.7109375" style="1804" customWidth="1"/>
    <col min="14358" max="14358" width="3.28515625" style="1804" customWidth="1"/>
    <col min="14359" max="14359" width="3.42578125" style="1804" customWidth="1"/>
    <col min="14360" max="14361" width="4.28515625" style="1804" customWidth="1"/>
    <col min="14362" max="14363" width="3.5703125" style="1804" customWidth="1"/>
    <col min="14364" max="14364" width="3.42578125" style="1804" customWidth="1"/>
    <col min="14365" max="14365" width="3.5703125" style="1804" customWidth="1"/>
    <col min="14366" max="14366" width="1.42578125" style="1804" customWidth="1"/>
    <col min="14367" max="14367" width="5.7109375" style="1804" customWidth="1"/>
    <col min="14368" max="14378" width="7.140625" style="1804" customWidth="1"/>
    <col min="14379" max="14384" width="7" style="1804" customWidth="1"/>
    <col min="14385" max="14592" width="9.140625" style="1804"/>
    <col min="14593" max="14594" width="1.42578125" style="1804" customWidth="1"/>
    <col min="14595" max="14610" width="3.7109375" style="1804" customWidth="1"/>
    <col min="14611" max="14612" width="4.28515625" style="1804" customWidth="1"/>
    <col min="14613" max="14613" width="3.7109375" style="1804" customWidth="1"/>
    <col min="14614" max="14614" width="3.28515625" style="1804" customWidth="1"/>
    <col min="14615" max="14615" width="3.42578125" style="1804" customWidth="1"/>
    <col min="14616" max="14617" width="4.28515625" style="1804" customWidth="1"/>
    <col min="14618" max="14619" width="3.5703125" style="1804" customWidth="1"/>
    <col min="14620" max="14620" width="3.42578125" style="1804" customWidth="1"/>
    <col min="14621" max="14621" width="3.5703125" style="1804" customWidth="1"/>
    <col min="14622" max="14622" width="1.42578125" style="1804" customWidth="1"/>
    <col min="14623" max="14623" width="5.7109375" style="1804" customWidth="1"/>
    <col min="14624" max="14634" width="7.140625" style="1804" customWidth="1"/>
    <col min="14635" max="14640" width="7" style="1804" customWidth="1"/>
    <col min="14641" max="14848" width="9.140625" style="1804"/>
    <col min="14849" max="14850" width="1.42578125" style="1804" customWidth="1"/>
    <col min="14851" max="14866" width="3.7109375" style="1804" customWidth="1"/>
    <col min="14867" max="14868" width="4.28515625" style="1804" customWidth="1"/>
    <col min="14869" max="14869" width="3.7109375" style="1804" customWidth="1"/>
    <col min="14870" max="14870" width="3.28515625" style="1804" customWidth="1"/>
    <col min="14871" max="14871" width="3.42578125" style="1804" customWidth="1"/>
    <col min="14872" max="14873" width="4.28515625" style="1804" customWidth="1"/>
    <col min="14874" max="14875" width="3.5703125" style="1804" customWidth="1"/>
    <col min="14876" max="14876" width="3.42578125" style="1804" customWidth="1"/>
    <col min="14877" max="14877" width="3.5703125" style="1804" customWidth="1"/>
    <col min="14878" max="14878" width="1.42578125" style="1804" customWidth="1"/>
    <col min="14879" max="14879" width="5.7109375" style="1804" customWidth="1"/>
    <col min="14880" max="14890" width="7.140625" style="1804" customWidth="1"/>
    <col min="14891" max="14896" width="7" style="1804" customWidth="1"/>
    <col min="14897" max="15104" width="9.140625" style="1804"/>
    <col min="15105" max="15106" width="1.42578125" style="1804" customWidth="1"/>
    <col min="15107" max="15122" width="3.7109375" style="1804" customWidth="1"/>
    <col min="15123" max="15124" width="4.28515625" style="1804" customWidth="1"/>
    <col min="15125" max="15125" width="3.7109375" style="1804" customWidth="1"/>
    <col min="15126" max="15126" width="3.28515625" style="1804" customWidth="1"/>
    <col min="15127" max="15127" width="3.42578125" style="1804" customWidth="1"/>
    <col min="15128" max="15129" width="4.28515625" style="1804" customWidth="1"/>
    <col min="15130" max="15131" width="3.5703125" style="1804" customWidth="1"/>
    <col min="15132" max="15132" width="3.42578125" style="1804" customWidth="1"/>
    <col min="15133" max="15133" width="3.5703125" style="1804" customWidth="1"/>
    <col min="15134" max="15134" width="1.42578125" style="1804" customWidth="1"/>
    <col min="15135" max="15135" width="5.7109375" style="1804" customWidth="1"/>
    <col min="15136" max="15146" width="7.140625" style="1804" customWidth="1"/>
    <col min="15147" max="15152" width="7" style="1804" customWidth="1"/>
    <col min="15153" max="15360" width="9.140625" style="1804"/>
    <col min="15361" max="15362" width="1.42578125" style="1804" customWidth="1"/>
    <col min="15363" max="15378" width="3.7109375" style="1804" customWidth="1"/>
    <col min="15379" max="15380" width="4.28515625" style="1804" customWidth="1"/>
    <col min="15381" max="15381" width="3.7109375" style="1804" customWidth="1"/>
    <col min="15382" max="15382" width="3.28515625" style="1804" customWidth="1"/>
    <col min="15383" max="15383" width="3.42578125" style="1804" customWidth="1"/>
    <col min="15384" max="15385" width="4.28515625" style="1804" customWidth="1"/>
    <col min="15386" max="15387" width="3.5703125" style="1804" customWidth="1"/>
    <col min="15388" max="15388" width="3.42578125" style="1804" customWidth="1"/>
    <col min="15389" max="15389" width="3.5703125" style="1804" customWidth="1"/>
    <col min="15390" max="15390" width="1.42578125" style="1804" customWidth="1"/>
    <col min="15391" max="15391" width="5.7109375" style="1804" customWidth="1"/>
    <col min="15392" max="15402" width="7.140625" style="1804" customWidth="1"/>
    <col min="15403" max="15408" width="7" style="1804" customWidth="1"/>
    <col min="15409" max="15616" width="9.140625" style="1804"/>
    <col min="15617" max="15618" width="1.42578125" style="1804" customWidth="1"/>
    <col min="15619" max="15634" width="3.7109375" style="1804" customWidth="1"/>
    <col min="15635" max="15636" width="4.28515625" style="1804" customWidth="1"/>
    <col min="15637" max="15637" width="3.7109375" style="1804" customWidth="1"/>
    <col min="15638" max="15638" width="3.28515625" style="1804" customWidth="1"/>
    <col min="15639" max="15639" width="3.42578125" style="1804" customWidth="1"/>
    <col min="15640" max="15641" width="4.28515625" style="1804" customWidth="1"/>
    <col min="15642" max="15643" width="3.5703125" style="1804" customWidth="1"/>
    <col min="15644" max="15644" width="3.42578125" style="1804" customWidth="1"/>
    <col min="15645" max="15645" width="3.5703125" style="1804" customWidth="1"/>
    <col min="15646" max="15646" width="1.42578125" style="1804" customWidth="1"/>
    <col min="15647" max="15647" width="5.7109375" style="1804" customWidth="1"/>
    <col min="15648" max="15658" width="7.140625" style="1804" customWidth="1"/>
    <col min="15659" max="15664" width="7" style="1804" customWidth="1"/>
    <col min="15665" max="15872" width="9.140625" style="1804"/>
    <col min="15873" max="15874" width="1.42578125" style="1804" customWidth="1"/>
    <col min="15875" max="15890" width="3.7109375" style="1804" customWidth="1"/>
    <col min="15891" max="15892" width="4.28515625" style="1804" customWidth="1"/>
    <col min="15893" max="15893" width="3.7109375" style="1804" customWidth="1"/>
    <col min="15894" max="15894" width="3.28515625" style="1804" customWidth="1"/>
    <col min="15895" max="15895" width="3.42578125" style="1804" customWidth="1"/>
    <col min="15896" max="15897" width="4.28515625" style="1804" customWidth="1"/>
    <col min="15898" max="15899" width="3.5703125" style="1804" customWidth="1"/>
    <col min="15900" max="15900" width="3.42578125" style="1804" customWidth="1"/>
    <col min="15901" max="15901" width="3.5703125" style="1804" customWidth="1"/>
    <col min="15902" max="15902" width="1.42578125" style="1804" customWidth="1"/>
    <col min="15903" max="15903" width="5.7109375" style="1804" customWidth="1"/>
    <col min="15904" max="15914" width="7.140625" style="1804" customWidth="1"/>
    <col min="15915" max="15920" width="7" style="1804" customWidth="1"/>
    <col min="15921" max="16128" width="9.140625" style="1804"/>
    <col min="16129" max="16130" width="1.42578125" style="1804" customWidth="1"/>
    <col min="16131" max="16146" width="3.7109375" style="1804" customWidth="1"/>
    <col min="16147" max="16148" width="4.28515625" style="1804" customWidth="1"/>
    <col min="16149" max="16149" width="3.7109375" style="1804" customWidth="1"/>
    <col min="16150" max="16150" width="3.28515625" style="1804" customWidth="1"/>
    <col min="16151" max="16151" width="3.42578125" style="1804" customWidth="1"/>
    <col min="16152" max="16153" width="4.28515625" style="1804" customWidth="1"/>
    <col min="16154" max="16155" width="3.5703125" style="1804" customWidth="1"/>
    <col min="16156" max="16156" width="3.42578125" style="1804" customWidth="1"/>
    <col min="16157" max="16157" width="3.5703125" style="1804" customWidth="1"/>
    <col min="16158" max="16158" width="1.42578125" style="1804" customWidth="1"/>
    <col min="16159" max="16159" width="5.7109375" style="1804" customWidth="1"/>
    <col min="16160" max="16170" width="7.140625" style="1804" customWidth="1"/>
    <col min="16171" max="16176" width="7" style="1804" customWidth="1"/>
    <col min="16177" max="16384" width="9.140625" style="1804"/>
  </cols>
  <sheetData>
    <row r="1" spans="1:36" s="1805" customFormat="1" ht="7.5" customHeight="1" thickBot="1">
      <c r="B1" s="2175"/>
      <c r="C1" s="2175"/>
      <c r="D1" s="2175"/>
      <c r="E1" s="2175"/>
      <c r="F1" s="2175"/>
      <c r="G1" s="2175"/>
      <c r="H1" s="2175"/>
      <c r="I1" s="2175"/>
      <c r="J1" s="2175"/>
      <c r="K1" s="2175"/>
      <c r="L1" s="2175"/>
      <c r="M1" s="2175"/>
      <c r="N1" s="2175"/>
      <c r="O1" s="2175"/>
      <c r="P1" s="2175"/>
      <c r="Q1" s="2175"/>
      <c r="R1" s="2175"/>
      <c r="S1" s="2175"/>
      <c r="T1" s="2175"/>
      <c r="U1" s="2175"/>
      <c r="V1" s="2175"/>
      <c r="W1" s="2175"/>
      <c r="X1" s="2175"/>
      <c r="Y1" s="2175"/>
      <c r="Z1" s="2175"/>
      <c r="AA1" s="2175"/>
      <c r="AB1" s="2175"/>
      <c r="AC1" s="2175"/>
    </row>
    <row r="2" spans="1:36" s="1805" customFormat="1" ht="3" customHeight="1" thickBot="1">
      <c r="B2" s="1993"/>
      <c r="C2" s="1990"/>
      <c r="D2" s="1990"/>
      <c r="E2" s="1990"/>
      <c r="F2" s="1990"/>
      <c r="G2" s="1990"/>
      <c r="H2" s="1990"/>
      <c r="I2" s="1990"/>
      <c r="J2" s="1990"/>
      <c r="K2" s="1990"/>
      <c r="L2" s="1990"/>
      <c r="M2" s="1990"/>
      <c r="N2" s="1990"/>
      <c r="O2" s="1990"/>
      <c r="P2" s="1990"/>
      <c r="Q2" s="1990"/>
      <c r="R2" s="1990"/>
      <c r="S2" s="1990"/>
      <c r="T2" s="1990"/>
      <c r="U2" s="1990"/>
      <c r="V2" s="1990"/>
      <c r="W2" s="1990"/>
      <c r="X2" s="1990"/>
      <c r="Y2" s="1990"/>
      <c r="Z2" s="1990"/>
      <c r="AA2" s="1990"/>
      <c r="AB2" s="1990"/>
      <c r="AC2" s="2174"/>
    </row>
    <row r="3" spans="1:36" s="1805" customFormat="1" ht="13.5" customHeight="1" thickBot="1">
      <c r="A3" s="1811"/>
      <c r="B3" s="1993"/>
      <c r="C3" s="5638"/>
      <c r="D3" s="5638"/>
      <c r="E3" s="5638"/>
      <c r="F3" s="1990"/>
      <c r="G3" s="1990"/>
      <c r="H3" s="1990"/>
      <c r="I3" s="1990"/>
      <c r="J3" s="1992"/>
      <c r="K3" s="1992"/>
      <c r="L3" s="1990"/>
      <c r="M3" s="1990"/>
      <c r="N3" s="1990"/>
      <c r="O3" s="1990"/>
      <c r="P3" s="1990"/>
      <c r="Q3" s="1990"/>
      <c r="R3" s="2173"/>
      <c r="S3" s="2172"/>
      <c r="T3" s="1990"/>
      <c r="U3" s="1990"/>
      <c r="V3" s="2172"/>
      <c r="W3" s="2171"/>
      <c r="X3" s="1990"/>
      <c r="Y3" s="5639" t="s">
        <v>13</v>
      </c>
      <c r="Z3" s="5640"/>
      <c r="AA3" s="5641" t="s">
        <v>19</v>
      </c>
      <c r="AB3" s="5642"/>
      <c r="AC3" s="2170"/>
      <c r="AD3" s="1807"/>
    </row>
    <row r="4" spans="1:36" s="1805" customFormat="1" ht="0.75" customHeight="1">
      <c r="A4" s="1811"/>
      <c r="B4" s="1935"/>
      <c r="C4" s="2169"/>
      <c r="D4" s="2169"/>
      <c r="E4" s="2169"/>
      <c r="F4" s="2148"/>
      <c r="G4" s="2148"/>
      <c r="H4" s="2148"/>
      <c r="I4" s="2148"/>
      <c r="J4" s="2168"/>
      <c r="K4" s="2168"/>
      <c r="L4" s="2148"/>
      <c r="M4" s="2148"/>
      <c r="N4" s="2148"/>
      <c r="O4" s="2148"/>
      <c r="P4" s="2148"/>
      <c r="Q4" s="2148"/>
      <c r="R4" s="2167"/>
      <c r="S4" s="2166"/>
      <c r="T4" s="2148"/>
      <c r="U4" s="2148"/>
      <c r="V4" s="2148"/>
      <c r="W4" s="2165"/>
      <c r="X4" s="2165"/>
      <c r="Y4" s="2165"/>
      <c r="Z4" s="2164"/>
      <c r="AA4" s="2163"/>
      <c r="AB4" s="2163"/>
      <c r="AC4" s="2162"/>
      <c r="AD4" s="1807"/>
    </row>
    <row r="5" spans="1:36" s="1805" customFormat="1" ht="16.5" customHeight="1">
      <c r="A5" s="1811"/>
      <c r="B5" s="2161"/>
      <c r="C5" s="5479" t="s">
        <v>2255</v>
      </c>
      <c r="D5" s="5480"/>
      <c r="E5" s="5481"/>
      <c r="F5" s="1926"/>
      <c r="G5" s="5447" t="s">
        <v>2254</v>
      </c>
      <c r="H5" s="5447"/>
      <c r="I5" s="5447"/>
      <c r="J5" s="5447"/>
      <c r="K5" s="5447"/>
      <c r="L5" s="5447"/>
      <c r="M5" s="5447"/>
      <c r="N5" s="5447"/>
      <c r="O5" s="5447"/>
      <c r="P5" s="5447"/>
      <c r="Q5" s="5447"/>
      <c r="R5" s="2160"/>
      <c r="S5" s="2159"/>
      <c r="T5" s="2158"/>
      <c r="U5" s="2157" t="s">
        <v>2253</v>
      </c>
      <c r="V5" s="2156"/>
      <c r="W5" s="2155"/>
      <c r="X5" s="2154"/>
      <c r="Y5" s="2153" t="s">
        <v>2252</v>
      </c>
      <c r="Z5" s="2152"/>
      <c r="AA5" s="2151"/>
      <c r="AB5" s="2151"/>
      <c r="AC5" s="2150"/>
      <c r="AD5" s="1807"/>
    </row>
    <row r="6" spans="1:36" s="1805" customFormat="1" ht="13.5" customHeight="1" thickBot="1">
      <c r="A6" s="1811"/>
      <c r="B6" s="2149"/>
      <c r="C6" s="2148"/>
      <c r="D6" s="2148"/>
      <c r="E6" s="2148"/>
      <c r="F6" s="2146"/>
      <c r="G6" s="2146"/>
      <c r="H6" s="2146"/>
      <c r="I6" s="2146"/>
      <c r="J6" s="2147"/>
      <c r="K6" s="2147"/>
      <c r="L6" s="2146"/>
      <c r="M6" s="2146"/>
      <c r="N6" s="2146"/>
      <c r="O6" s="2146"/>
      <c r="P6" s="2146"/>
      <c r="Q6" s="2146"/>
      <c r="R6" s="2145"/>
      <c r="S6" s="5643" t="s">
        <v>2251</v>
      </c>
      <c r="T6" s="5643"/>
      <c r="U6" s="5643" t="s">
        <v>2250</v>
      </c>
      <c r="V6" s="5643"/>
      <c r="W6" s="5643"/>
      <c r="X6" s="5644" t="s">
        <v>2249</v>
      </c>
      <c r="Y6" s="5644"/>
      <c r="Z6" s="2144"/>
      <c r="AA6" s="2144"/>
      <c r="AB6" s="2144"/>
      <c r="AC6" s="2143"/>
      <c r="AD6" s="1807"/>
    </row>
    <row r="7" spans="1:36" s="1805" customFormat="1" ht="12" customHeight="1">
      <c r="A7" s="1811"/>
      <c r="B7" s="5609" t="s">
        <v>2248</v>
      </c>
      <c r="C7" s="5612" t="s">
        <v>2247</v>
      </c>
      <c r="D7" s="5613"/>
      <c r="E7" s="5613"/>
      <c r="F7" s="5613"/>
      <c r="G7" s="5613"/>
      <c r="H7" s="5613"/>
      <c r="I7" s="5613"/>
      <c r="J7" s="5613"/>
      <c r="K7" s="5614"/>
      <c r="L7" s="5615" t="s">
        <v>2246</v>
      </c>
      <c r="M7" s="5616"/>
      <c r="N7" s="5621" t="s">
        <v>2245</v>
      </c>
      <c r="O7" s="5622"/>
      <c r="P7" s="5622"/>
      <c r="Q7" s="5622"/>
      <c r="R7" s="5622"/>
      <c r="S7" s="5622"/>
      <c r="T7" s="5622"/>
      <c r="U7" s="5622"/>
      <c r="V7" s="5622"/>
      <c r="W7" s="5622"/>
      <c r="X7" s="5622"/>
      <c r="Y7" s="5622"/>
      <c r="Z7" s="5622"/>
      <c r="AA7" s="5622"/>
      <c r="AB7" s="5622"/>
      <c r="AC7" s="5623"/>
      <c r="AD7" s="1807"/>
    </row>
    <row r="8" spans="1:36" s="1805" customFormat="1" ht="12" customHeight="1">
      <c r="A8" s="1811"/>
      <c r="B8" s="5610"/>
      <c r="C8" s="5624" t="s">
        <v>2244</v>
      </c>
      <c r="D8" s="5625"/>
      <c r="E8" s="5626"/>
      <c r="F8" s="5660" t="s">
        <v>2243</v>
      </c>
      <c r="G8" s="5661"/>
      <c r="H8" s="5653" t="s">
        <v>2242</v>
      </c>
      <c r="I8" s="5624" t="s">
        <v>2241</v>
      </c>
      <c r="J8" s="5625"/>
      <c r="K8" s="5626"/>
      <c r="L8" s="5617"/>
      <c r="M8" s="5618"/>
      <c r="N8" s="5662" t="s">
        <v>2240</v>
      </c>
      <c r="O8" s="5663"/>
      <c r="P8" s="5662" t="s">
        <v>2239</v>
      </c>
      <c r="Q8" s="5663"/>
      <c r="R8" s="5653" t="s">
        <v>2238</v>
      </c>
      <c r="S8" s="5653" t="s">
        <v>2237</v>
      </c>
      <c r="T8" s="5656" t="s">
        <v>2236</v>
      </c>
      <c r="U8" s="5645" t="s">
        <v>2235</v>
      </c>
      <c r="V8" s="5658"/>
      <c r="W8" s="5653" t="s">
        <v>2234</v>
      </c>
      <c r="X8" s="5653" t="s">
        <v>2233</v>
      </c>
      <c r="Y8" s="5645" t="s">
        <v>2232</v>
      </c>
      <c r="Z8" s="5658"/>
      <c r="AA8" s="5645" t="s">
        <v>2231</v>
      </c>
      <c r="AB8" s="5646"/>
      <c r="AC8" s="5647"/>
      <c r="AD8" s="1807"/>
    </row>
    <row r="9" spans="1:36" s="1805" customFormat="1" ht="12" customHeight="1" thickBot="1">
      <c r="A9" s="1811"/>
      <c r="B9" s="5611"/>
      <c r="C9" s="2142" t="s">
        <v>2230</v>
      </c>
      <c r="D9" s="2141" t="s">
        <v>2229</v>
      </c>
      <c r="E9" s="2142" t="s">
        <v>2228</v>
      </c>
      <c r="F9" s="5651" t="s">
        <v>2227</v>
      </c>
      <c r="G9" s="5652"/>
      <c r="H9" s="5655"/>
      <c r="I9" s="2141" t="s">
        <v>2226</v>
      </c>
      <c r="J9" s="2140" t="s">
        <v>2225</v>
      </c>
      <c r="K9" s="2140" t="s">
        <v>2224</v>
      </c>
      <c r="L9" s="5619"/>
      <c r="M9" s="5620"/>
      <c r="N9" s="5651"/>
      <c r="O9" s="5652"/>
      <c r="P9" s="5651"/>
      <c r="Q9" s="5652"/>
      <c r="R9" s="5654"/>
      <c r="S9" s="5655"/>
      <c r="T9" s="5657"/>
      <c r="U9" s="5648"/>
      <c r="V9" s="5659"/>
      <c r="W9" s="5655"/>
      <c r="X9" s="5655"/>
      <c r="Y9" s="5648"/>
      <c r="Z9" s="5659"/>
      <c r="AA9" s="5648"/>
      <c r="AB9" s="5649"/>
      <c r="AC9" s="5650"/>
      <c r="AD9" s="1807"/>
      <c r="AE9" s="2139"/>
      <c r="AF9" s="1929" t="s">
        <v>2223</v>
      </c>
      <c r="AG9" s="1929" t="s">
        <v>2222</v>
      </c>
      <c r="AH9" s="1929" t="s">
        <v>2221</v>
      </c>
      <c r="AI9" s="1929" t="s">
        <v>2220</v>
      </c>
      <c r="AJ9" s="2103"/>
    </row>
    <row r="10" spans="1:36" s="1805" customFormat="1" ht="13.5" customHeight="1">
      <c r="A10" s="1811"/>
      <c r="B10" s="2138">
        <f>IF(T10="","",1)</f>
        <v>1</v>
      </c>
      <c r="C10" s="2136">
        <v>20</v>
      </c>
      <c r="D10" s="2137">
        <v>8.58</v>
      </c>
      <c r="E10" s="2136">
        <v>3</v>
      </c>
      <c r="F10" s="5603">
        <f t="shared" ref="F10:F19" si="0">IF(OR(C10="",D10="",E10=""),"",C10*D10)</f>
        <v>171.6</v>
      </c>
      <c r="G10" s="5604"/>
      <c r="H10" s="2135">
        <f t="shared" ref="H10:H19" si="1">IF(AF10="","",AF10)</f>
        <v>2.0013995801259621</v>
      </c>
      <c r="I10" s="2134">
        <v>75</v>
      </c>
      <c r="J10" s="2133">
        <v>50</v>
      </c>
      <c r="K10" s="2133">
        <v>10</v>
      </c>
      <c r="L10" s="5605">
        <v>750</v>
      </c>
      <c r="M10" s="5606"/>
      <c r="N10" s="5607" t="s">
        <v>2214</v>
      </c>
      <c r="O10" s="5608"/>
      <c r="P10" s="5627" t="s">
        <v>2216</v>
      </c>
      <c r="Q10" s="5628"/>
      <c r="R10" s="2132">
        <f t="shared" ref="R10:R19" si="2">IF(OR(C10="",D10="",E10=""),"",IF(N10&lt;&gt;"ルーバー",AG10^0.8*85*((I10+J10)/(2*I10))^0.333*(1+(I10*K10*10^-4)+(I10^2*K10^2*10^-8))+9*((E10/C10)+(E10/D10))^0.25*(J10/100+I10*J10*10^-4+I10*J10*K10*10^-6),0.62*(AG10^0.8*85*((I10+J10)/(2*I10))^0.333*(1+(I10*K10*10^-4)+(I10^2*K10^2*10^-8))+9*((E10/C10)+(E10/D10))^0.25*(J10/100+I10*J10*10^-4+I10*J10*K10*10^-6))))</f>
        <v>65.740924229766208</v>
      </c>
      <c r="S10" s="2131">
        <v>0.7</v>
      </c>
      <c r="T10" s="2130">
        <v>2</v>
      </c>
      <c r="U10" s="5629">
        <v>3400</v>
      </c>
      <c r="V10" s="5630"/>
      <c r="W10" s="2129">
        <f t="shared" ref="W10:W19" si="3">IF(U10="","",L10*C10*D10/(R10*S10*U10*T10/100))</f>
        <v>41.127829343488642</v>
      </c>
      <c r="X10" s="2128">
        <v>42</v>
      </c>
      <c r="Y10" s="5600">
        <f t="shared" ref="Y10:Y19" si="4">IF(X10="","",L10*X10/W10)</f>
        <v>765.90475361391952</v>
      </c>
      <c r="Z10" s="5631"/>
      <c r="AA10" s="5600">
        <f t="shared" ref="AA10:AA19" si="5">IF(Y10="","",Y10/S10)</f>
        <v>1094.149648019885</v>
      </c>
      <c r="AB10" s="5601"/>
      <c r="AC10" s="5602"/>
      <c r="AD10" s="1807"/>
      <c r="AF10" s="2104">
        <f t="shared" ref="AF10:AF19" si="6">IF(C10="","",C10*D10/(E10*(C10+D10)))</f>
        <v>2.0013995801259621</v>
      </c>
      <c r="AG10" s="2104">
        <f t="shared" ref="AG10:AG19" si="7">IF(C10="","",(SQRT(AF10^2+1)-1)/AF10)</f>
        <v>0.61822731445503742</v>
      </c>
      <c r="AH10" s="2085"/>
      <c r="AI10" s="1865"/>
      <c r="AJ10" s="2103"/>
    </row>
    <row r="11" spans="1:36" s="1805" customFormat="1" ht="13.5" customHeight="1">
      <c r="A11" s="1811"/>
      <c r="B11" s="2126">
        <f t="shared" ref="B11:B19" si="8">IF(T11="","",IF(B10&lt;&gt;"",B10+1,1))</f>
        <v>2</v>
      </c>
      <c r="C11" s="2124">
        <v>20</v>
      </c>
      <c r="D11" s="2125">
        <v>8.58</v>
      </c>
      <c r="E11" s="2124">
        <v>3</v>
      </c>
      <c r="F11" s="5580">
        <f t="shared" si="0"/>
        <v>171.6</v>
      </c>
      <c r="G11" s="5581"/>
      <c r="H11" s="2123">
        <f t="shared" si="1"/>
        <v>2.0013995801259621</v>
      </c>
      <c r="I11" s="2122">
        <v>75</v>
      </c>
      <c r="J11" s="2121">
        <v>50</v>
      </c>
      <c r="K11" s="2121">
        <v>15</v>
      </c>
      <c r="L11" s="5582">
        <v>750</v>
      </c>
      <c r="M11" s="5583"/>
      <c r="N11" s="5584" t="s">
        <v>2214</v>
      </c>
      <c r="O11" s="5585"/>
      <c r="P11" s="5586" t="s">
        <v>2216</v>
      </c>
      <c r="Q11" s="5587"/>
      <c r="R11" s="2120">
        <f t="shared" si="2"/>
        <v>68.307372253606999</v>
      </c>
      <c r="S11" s="2119">
        <v>0.7</v>
      </c>
      <c r="T11" s="2118">
        <v>2</v>
      </c>
      <c r="U11" s="5588">
        <v>3400</v>
      </c>
      <c r="V11" s="5589"/>
      <c r="W11" s="2117">
        <f t="shared" si="3"/>
        <v>39.582572472069707</v>
      </c>
      <c r="X11" s="2116"/>
      <c r="Y11" s="5590" t="str">
        <f t="shared" si="4"/>
        <v/>
      </c>
      <c r="Z11" s="5591"/>
      <c r="AA11" s="5590" t="str">
        <f t="shared" si="5"/>
        <v/>
      </c>
      <c r="AB11" s="5596"/>
      <c r="AC11" s="5597"/>
      <c r="AD11" s="1807"/>
      <c r="AE11" s="2127" t="s">
        <v>2219</v>
      </c>
      <c r="AF11" s="2104">
        <f t="shared" si="6"/>
        <v>2.0013995801259621</v>
      </c>
      <c r="AG11" s="2104">
        <f t="shared" si="7"/>
        <v>0.61822731445503742</v>
      </c>
      <c r="AH11" s="2085">
        <v>10</v>
      </c>
      <c r="AI11" s="1865" t="s">
        <v>2218</v>
      </c>
      <c r="AJ11" s="2103"/>
    </row>
    <row r="12" spans="1:36" s="1805" customFormat="1" ht="13.5" customHeight="1">
      <c r="A12" s="1811"/>
      <c r="B12" s="2126">
        <f t="shared" si="8"/>
        <v>3</v>
      </c>
      <c r="C12" s="2124">
        <v>20</v>
      </c>
      <c r="D12" s="2125">
        <v>8.58</v>
      </c>
      <c r="E12" s="2124">
        <v>3</v>
      </c>
      <c r="F12" s="5580">
        <f t="shared" si="0"/>
        <v>171.6</v>
      </c>
      <c r="G12" s="5581"/>
      <c r="H12" s="2123">
        <f t="shared" si="1"/>
        <v>2.0013995801259621</v>
      </c>
      <c r="I12" s="2122">
        <v>75</v>
      </c>
      <c r="J12" s="2121">
        <v>30</v>
      </c>
      <c r="K12" s="2121">
        <v>10</v>
      </c>
      <c r="L12" s="5582">
        <v>750</v>
      </c>
      <c r="M12" s="5583"/>
      <c r="N12" s="5584" t="s">
        <v>2214</v>
      </c>
      <c r="O12" s="5585"/>
      <c r="P12" s="5586" t="s">
        <v>2216</v>
      </c>
      <c r="Q12" s="5587"/>
      <c r="R12" s="2120">
        <f t="shared" si="2"/>
        <v>59.66032238001776</v>
      </c>
      <c r="S12" s="2119">
        <v>0.7</v>
      </c>
      <c r="T12" s="2118">
        <v>2</v>
      </c>
      <c r="U12" s="5588">
        <v>3400</v>
      </c>
      <c r="V12" s="5589"/>
      <c r="W12" s="2117">
        <f t="shared" si="3"/>
        <v>45.319592733388063</v>
      </c>
      <c r="X12" s="2116"/>
      <c r="Y12" s="5590" t="str">
        <f t="shared" si="4"/>
        <v/>
      </c>
      <c r="Z12" s="5591"/>
      <c r="AA12" s="5590" t="str">
        <f t="shared" si="5"/>
        <v/>
      </c>
      <c r="AB12" s="5596"/>
      <c r="AC12" s="5597"/>
      <c r="AD12" s="1807"/>
      <c r="AF12" s="2104">
        <f t="shared" si="6"/>
        <v>2.0013995801259621</v>
      </c>
      <c r="AG12" s="2104">
        <f t="shared" si="7"/>
        <v>0.61822731445503742</v>
      </c>
      <c r="AH12" s="2085">
        <v>20</v>
      </c>
      <c r="AI12" s="1865" t="s">
        <v>2217</v>
      </c>
      <c r="AJ12" s="2103"/>
    </row>
    <row r="13" spans="1:36" s="1805" customFormat="1" ht="13.5" customHeight="1">
      <c r="A13" s="1811"/>
      <c r="B13" s="2126">
        <f t="shared" si="8"/>
        <v>4</v>
      </c>
      <c r="C13" s="2124">
        <v>20</v>
      </c>
      <c r="D13" s="2125">
        <v>8.58</v>
      </c>
      <c r="E13" s="2124">
        <v>3</v>
      </c>
      <c r="F13" s="5580">
        <f t="shared" si="0"/>
        <v>171.6</v>
      </c>
      <c r="G13" s="5581"/>
      <c r="H13" s="2123">
        <f t="shared" si="1"/>
        <v>2.0013995801259621</v>
      </c>
      <c r="I13" s="2122">
        <v>75</v>
      </c>
      <c r="J13" s="2121">
        <v>30</v>
      </c>
      <c r="K13" s="2121">
        <v>15</v>
      </c>
      <c r="L13" s="5582">
        <v>750</v>
      </c>
      <c r="M13" s="5583"/>
      <c r="N13" s="5584" t="s">
        <v>2214</v>
      </c>
      <c r="O13" s="5585"/>
      <c r="P13" s="5586" t="s">
        <v>2216</v>
      </c>
      <c r="Q13" s="5587"/>
      <c r="R13" s="2120">
        <f t="shared" si="2"/>
        <v>62.03325855045513</v>
      </c>
      <c r="S13" s="2119">
        <v>0.7</v>
      </c>
      <c r="T13" s="2118">
        <v>2</v>
      </c>
      <c r="U13" s="5588">
        <v>3400</v>
      </c>
      <c r="V13" s="5589"/>
      <c r="W13" s="2117">
        <f t="shared" si="3"/>
        <v>43.585998475413064</v>
      </c>
      <c r="X13" s="2116"/>
      <c r="Y13" s="5590" t="str">
        <f t="shared" si="4"/>
        <v/>
      </c>
      <c r="Z13" s="5591"/>
      <c r="AA13" s="5590" t="str">
        <f t="shared" si="5"/>
        <v/>
      </c>
      <c r="AB13" s="5596"/>
      <c r="AC13" s="5597"/>
      <c r="AD13" s="1807"/>
      <c r="AF13" s="2104">
        <f t="shared" si="6"/>
        <v>2.0013995801259621</v>
      </c>
      <c r="AG13" s="2104">
        <f t="shared" si="7"/>
        <v>0.61822731445503742</v>
      </c>
      <c r="AH13" s="2085">
        <v>30</v>
      </c>
      <c r="AI13" s="1865" t="s">
        <v>2215</v>
      </c>
      <c r="AJ13" s="2103"/>
    </row>
    <row r="14" spans="1:36" s="1805" customFormat="1" ht="13.5" customHeight="1">
      <c r="A14" s="1811"/>
      <c r="B14" s="2126" t="str">
        <f t="shared" si="8"/>
        <v/>
      </c>
      <c r="C14" s="2124"/>
      <c r="D14" s="2125"/>
      <c r="E14" s="2124"/>
      <c r="F14" s="5580" t="str">
        <f t="shared" si="0"/>
        <v/>
      </c>
      <c r="G14" s="5581"/>
      <c r="H14" s="2123" t="str">
        <f t="shared" si="1"/>
        <v/>
      </c>
      <c r="I14" s="2122"/>
      <c r="J14" s="2121"/>
      <c r="K14" s="2121"/>
      <c r="L14" s="5582"/>
      <c r="M14" s="5583"/>
      <c r="N14" s="5584"/>
      <c r="O14" s="5585"/>
      <c r="P14" s="5586"/>
      <c r="Q14" s="5587"/>
      <c r="R14" s="2120" t="str">
        <f t="shared" si="2"/>
        <v/>
      </c>
      <c r="S14" s="2119"/>
      <c r="T14" s="2118"/>
      <c r="U14" s="5588"/>
      <c r="V14" s="5589"/>
      <c r="W14" s="2117" t="str">
        <f t="shared" si="3"/>
        <v/>
      </c>
      <c r="X14" s="2116"/>
      <c r="Y14" s="5590" t="str">
        <f t="shared" si="4"/>
        <v/>
      </c>
      <c r="Z14" s="5591"/>
      <c r="AA14" s="5590" t="str">
        <f t="shared" si="5"/>
        <v/>
      </c>
      <c r="AB14" s="5596"/>
      <c r="AC14" s="5597"/>
      <c r="AD14" s="1807"/>
      <c r="AF14" s="2104" t="str">
        <f t="shared" si="6"/>
        <v/>
      </c>
      <c r="AG14" s="2104" t="str">
        <f t="shared" si="7"/>
        <v/>
      </c>
      <c r="AH14" s="2085">
        <v>50</v>
      </c>
      <c r="AI14" s="1865" t="s">
        <v>2214</v>
      </c>
      <c r="AJ14" s="2103"/>
    </row>
    <row r="15" spans="1:36" s="1805" customFormat="1" ht="13.5" customHeight="1">
      <c r="A15" s="1811"/>
      <c r="B15" s="2126">
        <f t="shared" si="8"/>
        <v>1</v>
      </c>
      <c r="C15" s="2124">
        <v>30</v>
      </c>
      <c r="D15" s="2125">
        <v>30</v>
      </c>
      <c r="E15" s="2124">
        <v>3</v>
      </c>
      <c r="F15" s="5580">
        <f t="shared" si="0"/>
        <v>900</v>
      </c>
      <c r="G15" s="5581"/>
      <c r="H15" s="2123">
        <f t="shared" si="1"/>
        <v>5</v>
      </c>
      <c r="I15" s="2122">
        <v>70</v>
      </c>
      <c r="J15" s="2121">
        <v>50</v>
      </c>
      <c r="K15" s="2121">
        <v>10</v>
      </c>
      <c r="L15" s="5582">
        <v>500</v>
      </c>
      <c r="M15" s="5583"/>
      <c r="N15" s="5584" t="s">
        <v>2214</v>
      </c>
      <c r="O15" s="5585"/>
      <c r="P15" s="5586" t="s">
        <v>2213</v>
      </c>
      <c r="Q15" s="5587"/>
      <c r="R15" s="2120">
        <f t="shared" si="2"/>
        <v>79.365712319911864</v>
      </c>
      <c r="S15" s="2119">
        <v>0.7</v>
      </c>
      <c r="T15" s="2118">
        <v>2</v>
      </c>
      <c r="U15" s="5588">
        <v>4950</v>
      </c>
      <c r="V15" s="5589"/>
      <c r="W15" s="2117">
        <f t="shared" si="3"/>
        <v>81.817529304494812</v>
      </c>
      <c r="X15" s="2116"/>
      <c r="Y15" s="5590" t="str">
        <f t="shared" si="4"/>
        <v/>
      </c>
      <c r="Z15" s="5591"/>
      <c r="AA15" s="5590" t="str">
        <f t="shared" si="5"/>
        <v/>
      </c>
      <c r="AB15" s="5596"/>
      <c r="AC15" s="5597"/>
      <c r="AD15" s="1807"/>
      <c r="AF15" s="2104">
        <f t="shared" si="6"/>
        <v>5</v>
      </c>
      <c r="AG15" s="2104">
        <f t="shared" si="7"/>
        <v>0.81980390271855685</v>
      </c>
      <c r="AH15" s="2085">
        <v>75</v>
      </c>
      <c r="AI15" s="1865" t="s">
        <v>2207</v>
      </c>
      <c r="AJ15" s="2103"/>
    </row>
    <row r="16" spans="1:36" s="1805" customFormat="1" ht="13.5" customHeight="1">
      <c r="A16" s="1811"/>
      <c r="B16" s="2126">
        <f t="shared" si="8"/>
        <v>2</v>
      </c>
      <c r="C16" s="2124">
        <v>30</v>
      </c>
      <c r="D16" s="2125">
        <v>30</v>
      </c>
      <c r="E16" s="2124">
        <v>3</v>
      </c>
      <c r="F16" s="5580">
        <f t="shared" si="0"/>
        <v>900</v>
      </c>
      <c r="G16" s="5581"/>
      <c r="H16" s="2123">
        <f t="shared" si="1"/>
        <v>5</v>
      </c>
      <c r="I16" s="2122">
        <v>70</v>
      </c>
      <c r="J16" s="2121">
        <v>50</v>
      </c>
      <c r="K16" s="2121">
        <v>20</v>
      </c>
      <c r="L16" s="5582">
        <v>500</v>
      </c>
      <c r="M16" s="5583"/>
      <c r="N16" s="5584" t="s">
        <v>2212</v>
      </c>
      <c r="O16" s="5585"/>
      <c r="P16" s="5586" t="s">
        <v>2211</v>
      </c>
      <c r="Q16" s="5587"/>
      <c r="R16" s="2120">
        <f t="shared" si="2"/>
        <v>52.954515033486885</v>
      </c>
      <c r="S16" s="2119">
        <v>0.7</v>
      </c>
      <c r="T16" s="2118">
        <v>2</v>
      </c>
      <c r="U16" s="5588">
        <v>4950</v>
      </c>
      <c r="V16" s="5589"/>
      <c r="W16" s="2117">
        <f t="shared" si="3"/>
        <v>122.62422740346486</v>
      </c>
      <c r="X16" s="2116">
        <v>120</v>
      </c>
      <c r="Y16" s="5590">
        <f t="shared" si="4"/>
        <v>489.29971890941874</v>
      </c>
      <c r="Z16" s="5591"/>
      <c r="AA16" s="5590">
        <f t="shared" si="5"/>
        <v>698.99959844202681</v>
      </c>
      <c r="AB16" s="5596"/>
      <c r="AC16" s="5597"/>
      <c r="AD16" s="1807"/>
      <c r="AF16" s="2104">
        <f t="shared" si="6"/>
        <v>5</v>
      </c>
      <c r="AG16" s="2104">
        <f t="shared" si="7"/>
        <v>0.81980390271855685</v>
      </c>
      <c r="AH16" s="2085">
        <v>100</v>
      </c>
      <c r="AI16" s="1865" t="s">
        <v>2210</v>
      </c>
      <c r="AJ16" s="2103"/>
    </row>
    <row r="17" spans="1:36" s="1805" customFormat="1" ht="13.5" customHeight="1">
      <c r="A17" s="1811"/>
      <c r="B17" s="2126">
        <f t="shared" si="8"/>
        <v>3</v>
      </c>
      <c r="C17" s="2124">
        <v>10</v>
      </c>
      <c r="D17" s="2125">
        <v>15</v>
      </c>
      <c r="E17" s="2124">
        <v>2.4</v>
      </c>
      <c r="F17" s="5580">
        <f t="shared" si="0"/>
        <v>150</v>
      </c>
      <c r="G17" s="5581"/>
      <c r="H17" s="2123">
        <f t="shared" si="1"/>
        <v>2.5</v>
      </c>
      <c r="I17" s="2122">
        <v>75</v>
      </c>
      <c r="J17" s="2121">
        <v>40</v>
      </c>
      <c r="K17" s="2121">
        <v>10</v>
      </c>
      <c r="L17" s="5582">
        <v>300</v>
      </c>
      <c r="M17" s="5583"/>
      <c r="N17" s="5584" t="s">
        <v>2207</v>
      </c>
      <c r="O17" s="5585"/>
      <c r="P17" s="5586" t="s">
        <v>2209</v>
      </c>
      <c r="Q17" s="5587"/>
      <c r="R17" s="2120">
        <f t="shared" si="2"/>
        <v>66.764685854480263</v>
      </c>
      <c r="S17" s="2119">
        <v>0.79</v>
      </c>
      <c r="T17" s="2118">
        <v>1</v>
      </c>
      <c r="U17" s="5588">
        <v>1800</v>
      </c>
      <c r="V17" s="5589"/>
      <c r="W17" s="2117">
        <f t="shared" si="3"/>
        <v>47.398664751044556</v>
      </c>
      <c r="X17" s="2116">
        <v>48</v>
      </c>
      <c r="Y17" s="5590">
        <f t="shared" si="4"/>
        <v>303.80602651222694</v>
      </c>
      <c r="Z17" s="5591"/>
      <c r="AA17" s="5590">
        <f t="shared" si="5"/>
        <v>384.56459052180622</v>
      </c>
      <c r="AB17" s="5596"/>
      <c r="AC17" s="5597"/>
      <c r="AD17" s="1807"/>
      <c r="AF17" s="2104">
        <f t="shared" si="6"/>
        <v>2.5</v>
      </c>
      <c r="AG17" s="2104">
        <f t="shared" si="7"/>
        <v>0.67703296142690073</v>
      </c>
      <c r="AH17" s="2085">
        <v>150</v>
      </c>
      <c r="AI17" s="1865" t="s">
        <v>2208</v>
      </c>
      <c r="AJ17" s="2103"/>
    </row>
    <row r="18" spans="1:36" s="1805" customFormat="1" ht="13.5" customHeight="1">
      <c r="A18" s="1811"/>
      <c r="B18" s="2126">
        <f t="shared" si="8"/>
        <v>4</v>
      </c>
      <c r="C18" s="2124">
        <v>10</v>
      </c>
      <c r="D18" s="2125">
        <v>15</v>
      </c>
      <c r="E18" s="2124">
        <v>2.4</v>
      </c>
      <c r="F18" s="5580">
        <f t="shared" si="0"/>
        <v>150</v>
      </c>
      <c r="G18" s="5581"/>
      <c r="H18" s="2123">
        <f t="shared" si="1"/>
        <v>2.5</v>
      </c>
      <c r="I18" s="2122">
        <v>75</v>
      </c>
      <c r="J18" s="2121">
        <v>40</v>
      </c>
      <c r="K18" s="2121">
        <v>10</v>
      </c>
      <c r="L18" s="5582">
        <v>300</v>
      </c>
      <c r="M18" s="5583"/>
      <c r="N18" s="5584" t="s">
        <v>2207</v>
      </c>
      <c r="O18" s="5585"/>
      <c r="P18" s="5586" t="s">
        <v>2206</v>
      </c>
      <c r="Q18" s="5587"/>
      <c r="R18" s="2120">
        <f t="shared" si="2"/>
        <v>66.764685854480263</v>
      </c>
      <c r="S18" s="2119">
        <v>0.79</v>
      </c>
      <c r="T18" s="2118">
        <v>1</v>
      </c>
      <c r="U18" s="5588">
        <v>3200</v>
      </c>
      <c r="V18" s="5589"/>
      <c r="W18" s="2117">
        <f t="shared" si="3"/>
        <v>26.661748922462561</v>
      </c>
      <c r="X18" s="2116"/>
      <c r="Y18" s="5590" t="str">
        <f t="shared" si="4"/>
        <v/>
      </c>
      <c r="Z18" s="5591"/>
      <c r="AA18" s="5590" t="str">
        <f t="shared" si="5"/>
        <v/>
      </c>
      <c r="AB18" s="5596"/>
      <c r="AC18" s="5597"/>
      <c r="AD18" s="1807"/>
      <c r="AF18" s="2104">
        <f t="shared" si="6"/>
        <v>2.5</v>
      </c>
      <c r="AG18" s="2104">
        <f t="shared" si="7"/>
        <v>0.67703296142690073</v>
      </c>
      <c r="AH18" s="2085">
        <v>200</v>
      </c>
      <c r="AI18" s="1865"/>
      <c r="AJ18" s="2103"/>
    </row>
    <row r="19" spans="1:36" s="1805" customFormat="1" ht="13.5" customHeight="1" thickBot="1">
      <c r="A19" s="1811"/>
      <c r="B19" s="2115">
        <f t="shared" si="8"/>
        <v>5</v>
      </c>
      <c r="C19" s="2113">
        <v>10</v>
      </c>
      <c r="D19" s="2114">
        <v>15</v>
      </c>
      <c r="E19" s="2113">
        <v>2.4</v>
      </c>
      <c r="F19" s="5572">
        <f t="shared" si="0"/>
        <v>150</v>
      </c>
      <c r="G19" s="5573"/>
      <c r="H19" s="2112">
        <f t="shared" si="1"/>
        <v>2.5</v>
      </c>
      <c r="I19" s="2111">
        <v>75</v>
      </c>
      <c r="J19" s="2110">
        <v>40</v>
      </c>
      <c r="K19" s="2110">
        <v>20</v>
      </c>
      <c r="L19" s="5574">
        <v>300</v>
      </c>
      <c r="M19" s="5575"/>
      <c r="N19" s="5576" t="s">
        <v>2207</v>
      </c>
      <c r="O19" s="5577"/>
      <c r="P19" s="5578" t="s">
        <v>2206</v>
      </c>
      <c r="Q19" s="5579"/>
      <c r="R19" s="2109">
        <f t="shared" si="2"/>
        <v>72.21153405447042</v>
      </c>
      <c r="S19" s="2108">
        <v>0.79</v>
      </c>
      <c r="T19" s="2107">
        <v>1</v>
      </c>
      <c r="U19" s="5592">
        <v>3200</v>
      </c>
      <c r="V19" s="5593"/>
      <c r="W19" s="2106">
        <f t="shared" si="3"/>
        <v>24.65067823924787</v>
      </c>
      <c r="X19" s="2105"/>
      <c r="Y19" s="5594" t="str">
        <f t="shared" si="4"/>
        <v/>
      </c>
      <c r="Z19" s="5595"/>
      <c r="AA19" s="5594" t="str">
        <f t="shared" si="5"/>
        <v/>
      </c>
      <c r="AB19" s="5598"/>
      <c r="AC19" s="5599"/>
      <c r="AD19" s="1807"/>
      <c r="AF19" s="2104">
        <f t="shared" si="6"/>
        <v>2.5</v>
      </c>
      <c r="AG19" s="2104">
        <f t="shared" si="7"/>
        <v>0.67703296142690073</v>
      </c>
      <c r="AH19" s="2085">
        <v>300</v>
      </c>
      <c r="AI19" s="1865"/>
      <c r="AJ19" s="2103"/>
    </row>
    <row r="20" spans="1:36" s="1805" customFormat="1" ht="13.5" customHeight="1">
      <c r="A20" s="1811"/>
      <c r="B20" s="1894"/>
      <c r="C20" s="1920"/>
      <c r="D20" s="1920"/>
      <c r="E20" s="1920"/>
      <c r="F20" s="1920"/>
      <c r="G20" s="1920"/>
      <c r="H20" s="1920"/>
      <c r="I20" s="1920"/>
      <c r="J20" s="2102"/>
      <c r="K20" s="2102"/>
      <c r="L20" s="1920"/>
      <c r="M20" s="1920"/>
      <c r="N20" s="1920"/>
      <c r="O20" s="1920"/>
      <c r="P20" s="1920"/>
      <c r="Q20" s="1920"/>
      <c r="R20" s="2101"/>
      <c r="S20" s="2101"/>
      <c r="T20" s="2101"/>
      <c r="U20" s="2101"/>
      <c r="V20" s="2100"/>
      <c r="W20" s="2100"/>
      <c r="X20" s="2100"/>
      <c r="Y20" s="1886"/>
      <c r="Z20" s="1886"/>
      <c r="AA20" s="1964"/>
      <c r="AB20" s="1964"/>
      <c r="AC20" s="2099"/>
      <c r="AD20" s="1807"/>
      <c r="AF20" s="2084"/>
      <c r="AG20" s="2084"/>
      <c r="AH20" s="2085">
        <v>500</v>
      </c>
      <c r="AI20" s="2084"/>
    </row>
    <row r="21" spans="1:36" s="1805" customFormat="1" ht="13.5" customHeight="1" thickBot="1">
      <c r="A21" s="1811"/>
      <c r="B21" s="2098"/>
      <c r="C21" s="1900"/>
      <c r="D21" s="1900"/>
      <c r="E21" s="1900"/>
      <c r="F21" s="1900"/>
      <c r="G21" s="1900"/>
      <c r="H21" s="1900"/>
      <c r="I21" s="1900"/>
      <c r="J21" s="2097"/>
      <c r="K21" s="2097"/>
      <c r="L21" s="2096"/>
      <c r="M21" s="1900"/>
      <c r="N21" s="1900"/>
      <c r="O21" s="1900"/>
      <c r="P21" s="1900"/>
      <c r="Q21" s="1900"/>
      <c r="R21" s="2095"/>
      <c r="S21" s="2095"/>
      <c r="T21" s="2095"/>
      <c r="U21" s="2095"/>
      <c r="V21" s="2094"/>
      <c r="W21" s="2094"/>
      <c r="X21" s="2094"/>
      <c r="Y21" s="2094"/>
      <c r="Z21" s="2093"/>
      <c r="AA21" s="1899"/>
      <c r="AB21" s="1899"/>
      <c r="AC21" s="2092"/>
      <c r="AD21" s="1807"/>
      <c r="AF21" s="2084"/>
      <c r="AG21" s="2084"/>
      <c r="AH21" s="2085">
        <v>750</v>
      </c>
      <c r="AI21" s="2084"/>
    </row>
    <row r="22" spans="1:36" s="1805" customFormat="1" ht="13.5" customHeight="1" thickTop="1">
      <c r="A22" s="1811"/>
      <c r="B22" s="2091"/>
      <c r="C22" s="5443"/>
      <c r="D22" s="5443"/>
      <c r="E22" s="5443"/>
      <c r="F22" s="2087"/>
      <c r="G22" s="2087"/>
      <c r="H22" s="2087"/>
      <c r="I22" s="2087"/>
      <c r="J22" s="2090"/>
      <c r="K22" s="2090"/>
      <c r="L22" s="2089"/>
      <c r="M22" s="2087"/>
      <c r="N22" s="2087"/>
      <c r="O22" s="2087"/>
      <c r="P22" s="2087"/>
      <c r="Q22" s="2087"/>
      <c r="R22" s="2088"/>
      <c r="S22" s="2087"/>
      <c r="T22" s="2087"/>
      <c r="U22" s="2087"/>
      <c r="V22" s="2087"/>
      <c r="W22" s="2086"/>
      <c r="X22" s="2086"/>
      <c r="Y22" s="2086"/>
      <c r="Z22" s="2086"/>
      <c r="AA22" s="2086"/>
      <c r="AB22" s="2086"/>
      <c r="AC22" s="1930"/>
      <c r="AD22" s="1807"/>
      <c r="AF22" s="2084"/>
      <c r="AG22" s="2084"/>
      <c r="AH22" s="2085">
        <v>1000</v>
      </c>
      <c r="AI22" s="2084"/>
    </row>
    <row r="23" spans="1:36" s="1805" customFormat="1" ht="16.5" customHeight="1">
      <c r="A23" s="1811"/>
      <c r="B23" s="2083"/>
      <c r="C23" s="5565" t="s">
        <v>2256</v>
      </c>
      <c r="D23" s="5566"/>
      <c r="E23" s="5567"/>
      <c r="F23" s="1926"/>
      <c r="G23" s="5447" t="s">
        <v>2205</v>
      </c>
      <c r="H23" s="5447"/>
      <c r="I23" s="5447"/>
      <c r="J23" s="5447"/>
      <c r="K23" s="5447"/>
      <c r="L23" s="5447"/>
      <c r="M23" s="5447"/>
      <c r="N23" s="5447"/>
      <c r="O23" s="5447"/>
      <c r="P23" s="5447"/>
      <c r="Q23" s="5447"/>
      <c r="R23" s="5447"/>
      <c r="S23" s="1926"/>
      <c r="T23" s="1926"/>
      <c r="U23" s="1926"/>
      <c r="V23" s="1926"/>
      <c r="W23" s="1924"/>
      <c r="X23" s="1924"/>
      <c r="Y23" s="1924"/>
      <c r="Z23" s="1924"/>
      <c r="AA23" s="1924"/>
      <c r="AB23" s="1924"/>
      <c r="AC23" s="1923"/>
      <c r="AD23" s="1807"/>
      <c r="AF23" s="2081"/>
      <c r="AG23" s="2081"/>
      <c r="AH23" s="2082">
        <v>1500</v>
      </c>
      <c r="AI23" s="2081"/>
    </row>
    <row r="24" spans="1:36" s="1805" customFormat="1" ht="13.5" customHeight="1">
      <c r="A24" s="1811"/>
      <c r="B24" s="1921"/>
      <c r="C24" s="1920"/>
      <c r="D24" s="1920"/>
      <c r="E24" s="1920"/>
      <c r="F24" s="1892"/>
      <c r="G24" s="1892"/>
      <c r="H24" s="1892"/>
      <c r="I24" s="1892"/>
      <c r="J24" s="1898"/>
      <c r="K24" s="1898"/>
      <c r="L24" s="2077"/>
      <c r="M24" s="1892"/>
      <c r="N24" s="1892"/>
      <c r="O24" s="1892"/>
      <c r="P24" s="1892"/>
      <c r="Q24" s="1892"/>
      <c r="R24" s="1897"/>
      <c r="S24" s="1892"/>
      <c r="T24" s="1892"/>
      <c r="U24" s="1892"/>
      <c r="V24" s="1892"/>
      <c r="W24" s="1890"/>
      <c r="X24" s="1890"/>
      <c r="Y24" s="1890"/>
      <c r="Z24" s="1890"/>
      <c r="AA24" s="1890"/>
      <c r="AB24" s="1890"/>
      <c r="AC24" s="1889"/>
      <c r="AD24" s="1807"/>
      <c r="AF24" s="2081"/>
      <c r="AG24" s="2081"/>
      <c r="AH24" s="2082">
        <v>2000</v>
      </c>
      <c r="AI24" s="2081"/>
    </row>
    <row r="25" spans="1:36" s="1805" customFormat="1" ht="16.5" customHeight="1">
      <c r="A25" s="1811"/>
      <c r="B25" s="2048"/>
      <c r="C25" s="1957"/>
      <c r="D25" s="2078" t="s">
        <v>2204</v>
      </c>
      <c r="E25" s="1957"/>
      <c r="F25" s="1957"/>
      <c r="G25" s="1957"/>
      <c r="H25" s="1957"/>
      <c r="I25" s="1957"/>
      <c r="J25" s="2076"/>
      <c r="K25" s="2076"/>
      <c r="L25" s="1957"/>
      <c r="M25" s="1957"/>
      <c r="N25" s="1957"/>
      <c r="O25" s="1957"/>
      <c r="P25" s="1957"/>
      <c r="Q25" s="1957"/>
      <c r="R25" s="1957"/>
      <c r="S25" s="1957"/>
      <c r="T25" s="1957"/>
      <c r="U25" s="1957"/>
      <c r="V25" s="1957"/>
      <c r="W25" s="2042"/>
      <c r="X25" s="2042"/>
      <c r="Y25" s="2042"/>
      <c r="Z25" s="2042"/>
      <c r="AA25" s="2042"/>
      <c r="AB25" s="2042"/>
      <c r="AC25" s="2041"/>
      <c r="AD25" s="1807"/>
      <c r="AF25" s="2081"/>
      <c r="AG25" s="2081"/>
      <c r="AH25" s="2082">
        <v>3000</v>
      </c>
      <c r="AI25" s="2081"/>
    </row>
    <row r="26" spans="1:36" s="1805" customFormat="1" ht="13.5" customHeight="1">
      <c r="A26" s="1811"/>
      <c r="B26" s="2048"/>
      <c r="C26" s="1957"/>
      <c r="D26" s="1957"/>
      <c r="E26" s="1957"/>
      <c r="F26" s="1957"/>
      <c r="G26" s="1957"/>
      <c r="H26" s="1957"/>
      <c r="I26" s="1957"/>
      <c r="J26" s="2076"/>
      <c r="K26" s="2076"/>
      <c r="L26" s="1957"/>
      <c r="M26" s="1957"/>
      <c r="N26" s="1957"/>
      <c r="O26" s="1957"/>
      <c r="P26" s="1957"/>
      <c r="Q26" s="1957"/>
      <c r="R26" s="1957"/>
      <c r="S26" s="1957"/>
      <c r="T26" s="1957"/>
      <c r="U26" s="1957"/>
      <c r="V26" s="1957"/>
      <c r="W26" s="2042"/>
      <c r="X26" s="2042"/>
      <c r="Y26" s="2042"/>
      <c r="Z26" s="2042"/>
      <c r="AA26" s="2042"/>
      <c r="AB26" s="2042"/>
      <c r="AC26" s="2041"/>
      <c r="AD26" s="1807"/>
      <c r="AF26" s="2081"/>
      <c r="AG26" s="2081"/>
      <c r="AH26" s="2082">
        <v>5000</v>
      </c>
      <c r="AI26" s="2081"/>
    </row>
    <row r="27" spans="1:36" s="1805" customFormat="1" ht="13.5" customHeight="1">
      <c r="A27" s="1811"/>
      <c r="B27" s="2048"/>
      <c r="C27" s="1957"/>
      <c r="D27" s="2080" t="s">
        <v>2203</v>
      </c>
      <c r="E27" s="2076"/>
      <c r="F27" s="1957"/>
      <c r="G27" s="1957"/>
      <c r="H27" s="1957"/>
      <c r="I27" s="1957"/>
      <c r="J27" s="1966"/>
      <c r="K27" s="1966"/>
      <c r="L27" s="1957"/>
      <c r="M27" s="1957"/>
      <c r="N27" s="1957"/>
      <c r="O27" s="1957"/>
      <c r="P27" s="1957"/>
      <c r="Q27" s="1957"/>
      <c r="R27" s="1957"/>
      <c r="S27" s="1957"/>
      <c r="T27" s="1957"/>
      <c r="U27" s="1957"/>
      <c r="V27" s="1957"/>
      <c r="W27" s="2042"/>
      <c r="X27" s="2042"/>
      <c r="Y27" s="2042"/>
      <c r="Z27" s="2042"/>
      <c r="AA27" s="2042"/>
      <c r="AB27" s="2042"/>
      <c r="AC27" s="2041"/>
      <c r="AD27" s="1807"/>
      <c r="AF27" s="2081"/>
      <c r="AG27" s="2081"/>
      <c r="AH27" s="2082">
        <v>10000</v>
      </c>
      <c r="AI27" s="2081"/>
    </row>
    <row r="28" spans="1:36" s="1805" customFormat="1" ht="13.5" customHeight="1">
      <c r="A28" s="1811"/>
      <c r="B28" s="2048"/>
      <c r="C28" s="1957"/>
      <c r="D28" s="1957"/>
      <c r="E28" s="1957" t="s">
        <v>2202</v>
      </c>
      <c r="F28" s="1957"/>
      <c r="G28" s="1957"/>
      <c r="H28" s="1957"/>
      <c r="I28" s="1957"/>
      <c r="J28" s="1966"/>
      <c r="K28" s="1966"/>
      <c r="L28" s="1957"/>
      <c r="M28" s="1957"/>
      <c r="N28" s="1957"/>
      <c r="O28" s="1957"/>
      <c r="P28" s="1957"/>
      <c r="Q28" s="1957"/>
      <c r="R28" s="1957"/>
      <c r="S28" s="5568" t="s">
        <v>2201</v>
      </c>
      <c r="T28" s="5568"/>
      <c r="U28" s="1957"/>
      <c r="V28" s="1957"/>
      <c r="W28" s="5570" t="s">
        <v>2200</v>
      </c>
      <c r="X28" s="5570"/>
      <c r="Y28" s="5570"/>
      <c r="Z28" s="2042"/>
      <c r="AA28" s="2042"/>
      <c r="AB28" s="2042"/>
      <c r="AC28" s="2041"/>
      <c r="AD28" s="1807"/>
    </row>
    <row r="29" spans="1:36" s="1805" customFormat="1" ht="13.5" customHeight="1">
      <c r="A29" s="1811"/>
      <c r="B29" s="2048"/>
      <c r="C29" s="1957"/>
      <c r="D29" s="1957"/>
      <c r="E29" s="1957" t="s">
        <v>2199</v>
      </c>
      <c r="F29" s="1957"/>
      <c r="G29" s="1957"/>
      <c r="H29" s="1957"/>
      <c r="I29" s="1957"/>
      <c r="J29" s="1966"/>
      <c r="K29" s="1966"/>
      <c r="L29" s="1957"/>
      <c r="M29" s="1957"/>
      <c r="N29" s="1957"/>
      <c r="O29" s="1957"/>
      <c r="P29" s="1957"/>
      <c r="Q29" s="1957"/>
      <c r="R29" s="1957"/>
      <c r="S29" s="5569"/>
      <c r="T29" s="5569"/>
      <c r="U29" s="1957"/>
      <c r="V29" s="1957"/>
      <c r="W29" s="5571"/>
      <c r="X29" s="5571"/>
      <c r="Y29" s="5571"/>
      <c r="Z29" s="2042"/>
      <c r="AA29" s="2042"/>
      <c r="AB29" s="2042"/>
      <c r="AC29" s="2041"/>
      <c r="AD29" s="1807"/>
    </row>
    <row r="30" spans="1:36" s="1805" customFormat="1" ht="13.5" customHeight="1">
      <c r="A30" s="1811"/>
      <c r="B30" s="2048"/>
      <c r="C30" s="1957"/>
      <c r="D30" s="2080" t="s">
        <v>2198</v>
      </c>
      <c r="E30" s="1957"/>
      <c r="F30" s="1957"/>
      <c r="G30" s="1957"/>
      <c r="H30" s="1957"/>
      <c r="I30" s="1957"/>
      <c r="J30" s="2078"/>
      <c r="K30" s="2078"/>
      <c r="L30" s="1957"/>
      <c r="M30" s="1957"/>
      <c r="N30" s="1957"/>
      <c r="O30" s="1957"/>
      <c r="P30" s="1957"/>
      <c r="Q30" s="1957"/>
      <c r="R30" s="1957"/>
      <c r="S30" s="1957"/>
      <c r="T30" s="1957"/>
      <c r="U30" s="1957"/>
      <c r="V30" s="1957"/>
      <c r="W30" s="2042"/>
      <c r="X30" s="2042"/>
      <c r="Y30" s="2042"/>
      <c r="Z30" s="2042"/>
      <c r="AA30" s="2042"/>
      <c r="AB30" s="2042"/>
      <c r="AC30" s="2041"/>
      <c r="AD30" s="1807"/>
    </row>
    <row r="31" spans="1:36" s="1805" customFormat="1" ht="13.5" customHeight="1">
      <c r="A31" s="1811"/>
      <c r="B31" s="2048"/>
      <c r="C31" s="1957"/>
      <c r="D31" s="2076"/>
      <c r="E31" s="2078" t="s">
        <v>2197</v>
      </c>
      <c r="F31" s="1957"/>
      <c r="G31" s="1957"/>
      <c r="H31" s="1957"/>
      <c r="I31" s="1957"/>
      <c r="J31" s="2078"/>
      <c r="K31" s="1966"/>
      <c r="L31" s="1957"/>
      <c r="M31" s="1957"/>
      <c r="N31" s="1957"/>
      <c r="O31" s="1957"/>
      <c r="P31" s="1957"/>
      <c r="Q31" s="1957"/>
      <c r="R31" s="1957"/>
      <c r="S31" s="1957"/>
      <c r="T31" s="1957"/>
      <c r="U31" s="1957"/>
      <c r="V31" s="1957"/>
      <c r="W31" s="2042"/>
      <c r="X31" s="2042"/>
      <c r="Y31" s="2042"/>
      <c r="Z31" s="2042"/>
      <c r="AA31" s="2042"/>
      <c r="AB31" s="2042"/>
      <c r="AC31" s="2041"/>
      <c r="AD31" s="1807"/>
    </row>
    <row r="32" spans="1:36" s="1805" customFormat="1" ht="13.5" customHeight="1">
      <c r="A32" s="1811"/>
      <c r="B32" s="2048"/>
      <c r="C32" s="1957"/>
      <c r="D32" s="1957"/>
      <c r="E32" s="2078" t="s">
        <v>2196</v>
      </c>
      <c r="F32" s="1957"/>
      <c r="G32" s="1957"/>
      <c r="H32" s="1957"/>
      <c r="I32" s="1957"/>
      <c r="J32" s="1966"/>
      <c r="K32" s="1966"/>
      <c r="L32" s="1957"/>
      <c r="M32" s="1957"/>
      <c r="N32" s="1957"/>
      <c r="O32" s="1957"/>
      <c r="P32" s="1957"/>
      <c r="Q32" s="1957"/>
      <c r="R32" s="1957"/>
      <c r="S32" s="1957"/>
      <c r="T32" s="1957"/>
      <c r="U32" s="1957"/>
      <c r="V32" s="1957"/>
      <c r="W32" s="2042"/>
      <c r="X32" s="2042"/>
      <c r="Y32" s="2042"/>
      <c r="Z32" s="2042"/>
      <c r="AA32" s="2042"/>
      <c r="AB32" s="2042"/>
      <c r="AC32" s="2041"/>
      <c r="AD32" s="1807"/>
    </row>
    <row r="33" spans="1:47" s="1805" customFormat="1" ht="13.5" customHeight="1">
      <c r="A33" s="1811"/>
      <c r="B33" s="2048"/>
      <c r="C33" s="1957"/>
      <c r="D33" s="1957"/>
      <c r="E33" s="1957"/>
      <c r="F33" s="1957"/>
      <c r="G33" s="1957"/>
      <c r="H33" s="1957"/>
      <c r="I33" s="1957"/>
      <c r="J33" s="1966"/>
      <c r="K33" s="1966"/>
      <c r="L33" s="1957"/>
      <c r="M33" s="1957"/>
      <c r="N33" s="1957"/>
      <c r="O33" s="1957"/>
      <c r="P33" s="1957"/>
      <c r="Q33" s="1957"/>
      <c r="R33" s="1957"/>
      <c r="S33" s="1957"/>
      <c r="T33" s="1957"/>
      <c r="U33" s="1957"/>
      <c r="V33" s="1957"/>
      <c r="W33" s="2042"/>
      <c r="X33" s="2042"/>
      <c r="Y33" s="2042"/>
      <c r="Z33" s="2042"/>
      <c r="AA33" s="2042"/>
      <c r="AB33" s="2042"/>
      <c r="AC33" s="2041"/>
      <c r="AD33" s="1807"/>
    </row>
    <row r="34" spans="1:47" s="1805" customFormat="1" ht="13.5" customHeight="1">
      <c r="A34" s="1811"/>
      <c r="B34" s="2048"/>
      <c r="C34" s="1957"/>
      <c r="D34" s="2079" t="s">
        <v>2195</v>
      </c>
      <c r="E34" s="1957"/>
      <c r="F34" s="1957"/>
      <c r="G34" s="1957"/>
      <c r="H34" s="1957"/>
      <c r="I34" s="1957"/>
      <c r="J34" s="2078"/>
      <c r="K34" s="2078"/>
      <c r="L34" s="1957"/>
      <c r="M34" s="1957"/>
      <c r="N34" s="1957"/>
      <c r="O34" s="1957"/>
      <c r="P34" s="1957"/>
      <c r="Q34" s="1957"/>
      <c r="R34" s="1957"/>
      <c r="S34" s="1957"/>
      <c r="T34" s="1957"/>
      <c r="U34" s="1957"/>
      <c r="V34" s="1957"/>
      <c r="W34" s="2042"/>
      <c r="X34" s="2042"/>
      <c r="Y34" s="2042"/>
      <c r="Z34" s="2042"/>
      <c r="AA34" s="2042"/>
      <c r="AB34" s="2042"/>
      <c r="AC34" s="1889"/>
      <c r="AD34" s="1807"/>
    </row>
    <row r="35" spans="1:47" s="1805" customFormat="1" ht="13.5" customHeight="1">
      <c r="A35" s="1811"/>
      <c r="B35" s="2048"/>
      <c r="C35" s="1957"/>
      <c r="D35" s="1957"/>
      <c r="E35" s="2078" t="s">
        <v>2194</v>
      </c>
      <c r="F35" s="1957"/>
      <c r="G35" s="1957"/>
      <c r="H35" s="1957"/>
      <c r="I35" s="1957"/>
      <c r="J35" s="2078"/>
      <c r="K35" s="1966"/>
      <c r="L35" s="1957"/>
      <c r="M35" s="1957"/>
      <c r="N35" s="1957"/>
      <c r="O35" s="1957"/>
      <c r="P35" s="1957"/>
      <c r="Q35" s="1957"/>
      <c r="R35" s="1957"/>
      <c r="S35" s="1957"/>
      <c r="T35" s="1957"/>
      <c r="U35" s="1957" t="s">
        <v>2193</v>
      </c>
      <c r="V35" s="1957"/>
      <c r="W35" s="2042"/>
      <c r="X35" s="2042"/>
      <c r="Y35" s="2042"/>
      <c r="Z35" s="2042"/>
      <c r="AA35" s="2074" t="s">
        <v>2192</v>
      </c>
      <c r="AB35" s="2074"/>
      <c r="AC35" s="2073"/>
      <c r="AD35" s="1807"/>
    </row>
    <row r="36" spans="1:47" s="1805" customFormat="1" ht="13.5" customHeight="1">
      <c r="A36" s="1811"/>
      <c r="B36" s="2048"/>
      <c r="C36" s="1957"/>
      <c r="D36" s="1957"/>
      <c r="E36" s="2078" t="s">
        <v>2191</v>
      </c>
      <c r="F36" s="1957"/>
      <c r="G36" s="1957"/>
      <c r="H36" s="1957"/>
      <c r="I36" s="1957"/>
      <c r="J36" s="1966"/>
      <c r="K36" s="1966"/>
      <c r="L36" s="1957"/>
      <c r="M36" s="1957"/>
      <c r="N36" s="1957"/>
      <c r="O36" s="1957"/>
      <c r="P36" s="1957"/>
      <c r="Q36" s="1957"/>
      <c r="R36" s="1957"/>
      <c r="S36" s="1957"/>
      <c r="T36" s="1957"/>
      <c r="U36" s="1957" t="s">
        <v>2190</v>
      </c>
      <c r="V36" s="1957"/>
      <c r="W36" s="2042"/>
      <c r="X36" s="2042"/>
      <c r="Y36" s="2042"/>
      <c r="Z36" s="2042"/>
      <c r="AA36" s="2074" t="s">
        <v>2189</v>
      </c>
      <c r="AB36" s="2074"/>
      <c r="AC36" s="2073"/>
      <c r="AD36" s="1807"/>
    </row>
    <row r="37" spans="1:47" s="1805" customFormat="1" ht="13.5" customHeight="1">
      <c r="A37" s="1811"/>
      <c r="B37" s="2048"/>
      <c r="C37" s="1957"/>
      <c r="D37" s="1957"/>
      <c r="E37" s="1957"/>
      <c r="F37" s="1957"/>
      <c r="G37" s="1957"/>
      <c r="H37" s="1957"/>
      <c r="I37" s="1957"/>
      <c r="J37" s="1966"/>
      <c r="K37" s="1966"/>
      <c r="L37" s="1957"/>
      <c r="M37" s="1957"/>
      <c r="N37" s="1957"/>
      <c r="O37" s="1957"/>
      <c r="P37" s="1957"/>
      <c r="Q37" s="1957"/>
      <c r="R37" s="1957"/>
      <c r="S37" s="1957"/>
      <c r="T37" s="1957"/>
      <c r="U37" s="1957"/>
      <c r="V37" s="1957"/>
      <c r="W37" s="2042"/>
      <c r="X37" s="2042"/>
      <c r="Y37" s="2042"/>
      <c r="Z37" s="2042"/>
      <c r="AA37" s="2074"/>
      <c r="AB37" s="2074"/>
      <c r="AC37" s="1889"/>
      <c r="AD37" s="1807"/>
    </row>
    <row r="38" spans="1:47" s="1805" customFormat="1" ht="13.5" customHeight="1">
      <c r="A38" s="1811"/>
      <c r="B38" s="1894"/>
      <c r="C38" s="1892"/>
      <c r="D38" s="2079" t="s">
        <v>2188</v>
      </c>
      <c r="E38" s="1892"/>
      <c r="F38" s="1892"/>
      <c r="G38" s="1892"/>
      <c r="H38" s="1892"/>
      <c r="I38" s="1892"/>
      <c r="J38" s="1898"/>
      <c r="K38" s="1898"/>
      <c r="L38" s="2077"/>
      <c r="M38" s="1892"/>
      <c r="N38" s="1892"/>
      <c r="O38" s="1892"/>
      <c r="P38" s="1892"/>
      <c r="Q38" s="1892"/>
      <c r="R38" s="1897"/>
      <c r="S38" s="1892"/>
      <c r="T38" s="1892"/>
      <c r="U38" s="1892"/>
      <c r="V38" s="1892"/>
      <c r="W38" s="1890"/>
      <c r="X38" s="1890"/>
      <c r="Y38" s="1890"/>
      <c r="Z38" s="1890"/>
      <c r="AA38" s="2074"/>
      <c r="AB38" s="2074"/>
      <c r="AC38" s="2041"/>
      <c r="AD38" s="1807"/>
    </row>
    <row r="39" spans="1:47" s="1805" customFormat="1" ht="15" customHeight="1">
      <c r="A39" s="1811"/>
      <c r="B39" s="1894"/>
      <c r="C39" s="1892"/>
      <c r="D39" s="1892"/>
      <c r="E39" s="2078" t="s">
        <v>2187</v>
      </c>
      <c r="F39" s="1892"/>
      <c r="G39" s="1892"/>
      <c r="H39" s="1892"/>
      <c r="I39" s="1892"/>
      <c r="J39" s="1898"/>
      <c r="K39" s="1898"/>
      <c r="L39" s="2077"/>
      <c r="M39" s="1892"/>
      <c r="N39" s="1892"/>
      <c r="O39" s="1892"/>
      <c r="P39" s="1892"/>
      <c r="Q39" s="1892"/>
      <c r="R39" s="1897"/>
      <c r="S39" s="1892"/>
      <c r="T39" s="1892"/>
      <c r="U39" s="1892"/>
      <c r="V39" s="1892"/>
      <c r="W39" s="1890"/>
      <c r="X39" s="1890"/>
      <c r="Y39" s="1890"/>
      <c r="Z39" s="1890"/>
      <c r="AA39" s="2074"/>
      <c r="AB39" s="2074"/>
      <c r="AC39" s="2041"/>
      <c r="AD39" s="1807"/>
    </row>
    <row r="40" spans="1:47" s="1805" customFormat="1" ht="13.5" customHeight="1">
      <c r="A40" s="1811"/>
      <c r="B40" s="1894"/>
      <c r="C40" s="1892"/>
      <c r="D40" s="1892"/>
      <c r="E40" s="1892"/>
      <c r="F40" s="1900"/>
      <c r="G40" s="5632" t="s">
        <v>2186</v>
      </c>
      <c r="H40" s="5632"/>
      <c r="I40" s="5632"/>
      <c r="J40" s="5632"/>
      <c r="K40" s="5632"/>
      <c r="L40" s="5632"/>
      <c r="M40" s="5632"/>
      <c r="N40" s="5632"/>
      <c r="O40" s="5632"/>
      <c r="P40" s="5632"/>
      <c r="Q40" s="5632"/>
      <c r="R40" s="5632"/>
      <c r="S40" s="5632"/>
      <c r="T40" s="5632"/>
      <c r="U40" s="5632"/>
      <c r="V40" s="1900"/>
      <c r="W40" s="1899"/>
      <c r="X40" s="1899"/>
      <c r="Y40" s="1890"/>
      <c r="Z40" s="1890"/>
      <c r="AA40" s="2074"/>
      <c r="AB40" s="2074"/>
      <c r="AC40" s="2041"/>
      <c r="AD40" s="1807"/>
    </row>
    <row r="41" spans="1:47" s="1805" customFormat="1" ht="13.5" customHeight="1">
      <c r="A41" s="1811"/>
      <c r="B41" s="1894"/>
      <c r="C41" s="1892"/>
      <c r="D41" s="1892"/>
      <c r="E41" s="1892"/>
      <c r="F41" s="1892"/>
      <c r="G41" s="5633"/>
      <c r="H41" s="5633"/>
      <c r="I41" s="5633"/>
      <c r="J41" s="5633"/>
      <c r="K41" s="5633"/>
      <c r="L41" s="5633"/>
      <c r="M41" s="5633"/>
      <c r="N41" s="5633"/>
      <c r="O41" s="5633"/>
      <c r="P41" s="5633"/>
      <c r="Q41" s="5633"/>
      <c r="R41" s="5633"/>
      <c r="S41" s="5633"/>
      <c r="T41" s="5633"/>
      <c r="U41" s="5633"/>
      <c r="V41" s="1892"/>
      <c r="W41" s="1890"/>
      <c r="X41" s="1890"/>
      <c r="Y41" s="1890"/>
      <c r="Z41" s="1890"/>
      <c r="AA41" s="2074" t="s">
        <v>2185</v>
      </c>
      <c r="AB41" s="2074"/>
      <c r="AC41" s="2041"/>
      <c r="AD41" s="1807"/>
    </row>
    <row r="42" spans="1:47" s="1805" customFormat="1" ht="13.5" customHeight="1">
      <c r="A42" s="1811"/>
      <c r="B42" s="2048"/>
      <c r="C42" s="1957"/>
      <c r="D42" s="1957"/>
      <c r="E42" s="1957"/>
      <c r="F42" s="2051"/>
      <c r="G42" s="5634"/>
      <c r="H42" s="5634"/>
      <c r="I42" s="5634"/>
      <c r="J42" s="5634"/>
      <c r="K42" s="5634"/>
      <c r="L42" s="5634"/>
      <c r="M42" s="5634"/>
      <c r="N42" s="5634"/>
      <c r="O42" s="5634"/>
      <c r="P42" s="5634"/>
      <c r="Q42" s="5634"/>
      <c r="R42" s="5634"/>
      <c r="S42" s="5634"/>
      <c r="T42" s="5634"/>
      <c r="U42" s="5634"/>
      <c r="V42" s="2051"/>
      <c r="W42" s="2050"/>
      <c r="X42" s="2050"/>
      <c r="Y42" s="2042"/>
      <c r="Z42" s="2042"/>
      <c r="AA42" s="2074"/>
      <c r="AB42" s="2074"/>
      <c r="AC42" s="2073"/>
      <c r="AD42" s="1807"/>
    </row>
    <row r="43" spans="1:47" s="1805" customFormat="1" ht="12.75" customHeight="1">
      <c r="A43" s="1811"/>
      <c r="B43" s="2048"/>
      <c r="C43" s="1957"/>
      <c r="D43" s="1957"/>
      <c r="E43" s="1957"/>
      <c r="F43" s="1957"/>
      <c r="G43" s="1957"/>
      <c r="H43" s="1957"/>
      <c r="I43" s="1957"/>
      <c r="J43" s="1966"/>
      <c r="K43" s="1966"/>
      <c r="L43" s="1957"/>
      <c r="M43" s="1957"/>
      <c r="N43" s="1957"/>
      <c r="O43" s="1957"/>
      <c r="P43" s="1957"/>
      <c r="Q43" s="1957"/>
      <c r="R43" s="1957"/>
      <c r="S43" s="1957"/>
      <c r="T43" s="1957"/>
      <c r="U43" s="1957"/>
      <c r="V43" s="1957"/>
      <c r="W43" s="2042"/>
      <c r="X43" s="2042"/>
      <c r="Y43" s="2042"/>
      <c r="Z43" s="2042"/>
      <c r="AA43" s="2074"/>
      <c r="AB43" s="2074"/>
      <c r="AC43" s="2041"/>
      <c r="AD43" s="1807"/>
    </row>
    <row r="44" spans="1:47" s="1805" customFormat="1" ht="15" customHeight="1">
      <c r="A44" s="1811"/>
      <c r="B44" s="2048"/>
      <c r="C44" s="1957"/>
      <c r="D44" s="1957"/>
      <c r="E44" s="2076" t="s">
        <v>2184</v>
      </c>
      <c r="F44" s="1957"/>
      <c r="G44" s="1957"/>
      <c r="H44" s="1957"/>
      <c r="I44" s="1957"/>
      <c r="J44" s="1966"/>
      <c r="K44" s="1966"/>
      <c r="L44" s="1957"/>
      <c r="M44" s="1957"/>
      <c r="N44" s="1957"/>
      <c r="O44" s="1957"/>
      <c r="P44" s="1957"/>
      <c r="Q44" s="1957"/>
      <c r="R44" s="1957"/>
      <c r="S44" s="1957"/>
      <c r="T44" s="1957"/>
      <c r="U44" s="1957"/>
      <c r="V44" s="1957"/>
      <c r="W44" s="2042"/>
      <c r="X44" s="2042"/>
      <c r="Y44" s="2042"/>
      <c r="Z44" s="2042"/>
      <c r="AA44" s="2074"/>
      <c r="AB44" s="2074"/>
      <c r="AC44" s="2041"/>
      <c r="AD44" s="1807"/>
      <c r="AH44" s="2075"/>
      <c r="AI44" s="2075"/>
      <c r="AJ44" s="2075"/>
      <c r="AK44" s="2075"/>
      <c r="AP44" s="2075"/>
      <c r="AQ44" s="2075"/>
    </row>
    <row r="45" spans="1:47" s="1805" customFormat="1" ht="13.5" customHeight="1">
      <c r="A45" s="1811"/>
      <c r="B45" s="2048"/>
      <c r="C45" s="1957"/>
      <c r="D45" s="1957"/>
      <c r="E45" s="1957"/>
      <c r="F45" s="1957"/>
      <c r="G45" s="1957"/>
      <c r="H45" s="1957"/>
      <c r="I45" s="1957"/>
      <c r="J45" s="1966"/>
      <c r="K45" s="1966"/>
      <c r="L45" s="1957"/>
      <c r="M45" s="1957"/>
      <c r="N45" s="1957"/>
      <c r="O45" s="1957"/>
      <c r="P45" s="1957"/>
      <c r="Q45" s="1957"/>
      <c r="R45" s="1957"/>
      <c r="S45" s="1957"/>
      <c r="T45" s="1957"/>
      <c r="U45" s="1957"/>
      <c r="V45" s="1957"/>
      <c r="W45" s="2042"/>
      <c r="X45" s="2042"/>
      <c r="Y45" s="2042"/>
      <c r="Z45" s="2042"/>
      <c r="AA45" s="2074"/>
      <c r="AB45" s="2074"/>
      <c r="AC45" s="2041"/>
      <c r="AD45" s="1807"/>
      <c r="AI45" s="2075"/>
      <c r="AJ45" s="2075"/>
      <c r="AK45" s="2075"/>
      <c r="AL45" s="2075"/>
      <c r="AN45" s="2075"/>
      <c r="AO45" s="2075"/>
      <c r="AP45" s="2075"/>
      <c r="AQ45" s="2075"/>
    </row>
    <row r="46" spans="1:47" s="1805" customFormat="1" ht="13.5" customHeight="1" thickBot="1">
      <c r="A46" s="1811"/>
      <c r="B46" s="2048"/>
      <c r="C46" s="1957"/>
      <c r="D46" s="1957"/>
      <c r="E46" s="1957"/>
      <c r="F46" s="1959"/>
      <c r="G46" s="5635" t="s">
        <v>2183</v>
      </c>
      <c r="H46" s="5635"/>
      <c r="I46" s="5635"/>
      <c r="J46" s="5635"/>
      <c r="K46" s="5635"/>
      <c r="L46" s="5635"/>
      <c r="M46" s="5635"/>
      <c r="N46" s="5635"/>
      <c r="O46" s="5635"/>
      <c r="P46" s="5635"/>
      <c r="Q46" s="1959"/>
      <c r="R46" s="1959"/>
      <c r="S46" s="1959"/>
      <c r="T46" s="1959"/>
      <c r="U46" s="1957"/>
      <c r="V46" s="1957"/>
      <c r="W46" s="2042"/>
      <c r="X46" s="2042"/>
      <c r="Y46" s="2042"/>
      <c r="Z46" s="2042"/>
      <c r="AA46" s="2074"/>
      <c r="AB46" s="2074"/>
      <c r="AC46" s="2041"/>
      <c r="AD46" s="1807"/>
      <c r="AI46" s="2075"/>
      <c r="AJ46" s="2075"/>
      <c r="AK46" s="2075"/>
      <c r="AL46" s="2075"/>
      <c r="AN46" s="2075"/>
      <c r="AO46" s="2075"/>
      <c r="AP46" s="2075"/>
      <c r="AQ46" s="2075"/>
    </row>
    <row r="47" spans="1:47" s="1805" customFormat="1" ht="13.5" customHeight="1">
      <c r="A47" s="1811"/>
      <c r="B47" s="2048"/>
      <c r="C47" s="1957"/>
      <c r="D47" s="1957"/>
      <c r="E47" s="1957"/>
      <c r="F47" s="1957"/>
      <c r="G47" s="5636"/>
      <c r="H47" s="5636"/>
      <c r="I47" s="5636"/>
      <c r="J47" s="5636"/>
      <c r="K47" s="5636"/>
      <c r="L47" s="5636"/>
      <c r="M47" s="5636"/>
      <c r="N47" s="5636"/>
      <c r="O47" s="5636"/>
      <c r="P47" s="5636"/>
      <c r="Q47" s="2051"/>
      <c r="R47" s="2051"/>
      <c r="S47" s="2051"/>
      <c r="T47" s="2051"/>
      <c r="U47" s="1957"/>
      <c r="V47" s="1957"/>
      <c r="W47" s="2042"/>
      <c r="X47" s="2042"/>
      <c r="Y47" s="2042"/>
      <c r="Z47" s="2042"/>
      <c r="AA47" s="2074" t="s">
        <v>2182</v>
      </c>
      <c r="AB47" s="2074"/>
      <c r="AC47" s="2073"/>
      <c r="AD47" s="1807"/>
      <c r="AF47" s="2072" t="s">
        <v>2178</v>
      </c>
      <c r="AG47" s="2071" t="s">
        <v>2181</v>
      </c>
      <c r="AH47" s="2070"/>
      <c r="AI47" s="2069"/>
      <c r="AJ47" s="2072" t="s">
        <v>2178</v>
      </c>
      <c r="AK47" s="2071" t="s">
        <v>2180</v>
      </c>
      <c r="AL47" s="2070"/>
      <c r="AM47" s="2069"/>
      <c r="AN47" s="2072" t="s">
        <v>2178</v>
      </c>
      <c r="AO47" s="2071" t="s">
        <v>2179</v>
      </c>
      <c r="AP47" s="2070"/>
      <c r="AQ47" s="2069"/>
      <c r="AR47" s="2072" t="s">
        <v>2178</v>
      </c>
      <c r="AS47" s="2071" t="s">
        <v>2177</v>
      </c>
      <c r="AT47" s="2070"/>
      <c r="AU47" s="2069"/>
    </row>
    <row r="48" spans="1:47" s="1805" customFormat="1" ht="13.5" customHeight="1" thickBot="1">
      <c r="A48" s="1811"/>
      <c r="B48" s="2048"/>
      <c r="C48" s="1957"/>
      <c r="D48" s="1957"/>
      <c r="E48" s="1957"/>
      <c r="F48" s="1957"/>
      <c r="G48" s="5637"/>
      <c r="H48" s="5637"/>
      <c r="I48" s="5637"/>
      <c r="J48" s="5637"/>
      <c r="K48" s="5637"/>
      <c r="L48" s="5637"/>
      <c r="M48" s="5637"/>
      <c r="N48" s="5637"/>
      <c r="O48" s="5637"/>
      <c r="P48" s="5637"/>
      <c r="Q48" s="1957"/>
      <c r="R48" s="1957"/>
      <c r="S48" s="1957"/>
      <c r="T48" s="1957"/>
      <c r="U48" s="1957"/>
      <c r="V48" s="1957"/>
      <c r="W48" s="2042"/>
      <c r="X48" s="2042"/>
      <c r="Y48" s="2042"/>
      <c r="Z48" s="2042"/>
      <c r="AA48" s="2042"/>
      <c r="AB48" s="2042"/>
      <c r="AC48" s="2041"/>
      <c r="AD48" s="1807"/>
      <c r="AF48" s="2068" t="s">
        <v>2176</v>
      </c>
      <c r="AG48" s="2067" t="s">
        <v>2175</v>
      </c>
      <c r="AH48" s="2067" t="s">
        <v>2174</v>
      </c>
      <c r="AI48" s="2066" t="s">
        <v>2173</v>
      </c>
      <c r="AJ48" s="2068" t="s">
        <v>2176</v>
      </c>
      <c r="AK48" s="2067" t="s">
        <v>2175</v>
      </c>
      <c r="AL48" s="2067" t="s">
        <v>2174</v>
      </c>
      <c r="AM48" s="2066" t="s">
        <v>2173</v>
      </c>
      <c r="AN48" s="2068" t="s">
        <v>2176</v>
      </c>
      <c r="AO48" s="2067" t="s">
        <v>2175</v>
      </c>
      <c r="AP48" s="2067" t="s">
        <v>2174</v>
      </c>
      <c r="AQ48" s="2066" t="s">
        <v>2173</v>
      </c>
      <c r="AR48" s="2068" t="s">
        <v>2176</v>
      </c>
      <c r="AS48" s="2067" t="s">
        <v>2175</v>
      </c>
      <c r="AT48" s="2067" t="s">
        <v>2174</v>
      </c>
      <c r="AU48" s="2066" t="s">
        <v>2173</v>
      </c>
    </row>
    <row r="49" spans="1:47" s="1805" customFormat="1" ht="16.5" customHeight="1">
      <c r="A49" s="1811"/>
      <c r="B49" s="2048"/>
      <c r="C49" s="1959"/>
      <c r="D49" s="1959"/>
      <c r="E49" s="1959"/>
      <c r="F49" s="1959"/>
      <c r="G49" s="1959"/>
      <c r="H49" s="1959"/>
      <c r="I49" s="1959"/>
      <c r="J49" s="1958"/>
      <c r="K49" s="1958"/>
      <c r="L49" s="1959"/>
      <c r="M49" s="1959"/>
      <c r="N49" s="1959"/>
      <c r="O49" s="1959"/>
      <c r="P49" s="1959"/>
      <c r="Q49" s="1959"/>
      <c r="R49" s="1959"/>
      <c r="S49" s="1959"/>
      <c r="T49" s="1959"/>
      <c r="U49" s="1959"/>
      <c r="V49" s="1959"/>
      <c r="W49" s="2065"/>
      <c r="X49" s="2065"/>
      <c r="Y49" s="2065"/>
      <c r="Z49" s="2065"/>
      <c r="AA49" s="2065"/>
      <c r="AB49" s="2065"/>
      <c r="AC49" s="2064"/>
      <c r="AD49" s="1807"/>
      <c r="AF49" s="2063"/>
      <c r="AG49" s="2062"/>
      <c r="AH49" s="2062"/>
      <c r="AI49" s="2061" t="str">
        <f t="shared" ref="AI49:AI62" si="9">IF(AH49="","",SQRT((AG49^2)+(AH49^2)))</f>
        <v/>
      </c>
      <c r="AJ49" s="2063"/>
      <c r="AK49" s="2062"/>
      <c r="AL49" s="2062"/>
      <c r="AM49" s="2061" t="str">
        <f t="shared" ref="AM49:AM62" si="10">IF(AL49="","",SQRT((AK49^2)+(AL49^2)))</f>
        <v/>
      </c>
      <c r="AN49" s="2063">
        <v>10</v>
      </c>
      <c r="AO49" s="2062">
        <v>2.0099999999999998</v>
      </c>
      <c r="AP49" s="2062">
        <v>1.74</v>
      </c>
      <c r="AQ49" s="2061">
        <f t="shared" ref="AQ49:AQ60" si="11">IF(AP49="","",SQRT((AO49^2)+(AP49^2)))</f>
        <v>2.6585146228674383</v>
      </c>
      <c r="AR49" s="2063">
        <v>10</v>
      </c>
      <c r="AS49" s="2062">
        <v>1.92</v>
      </c>
      <c r="AT49" s="2062">
        <v>1.93</v>
      </c>
      <c r="AU49" s="2061">
        <f t="shared" ref="AU49:AU60" si="12">IF(AT49="","",SQRT((AS49^2)+(AT49^2)))</f>
        <v>2.7223702907576697</v>
      </c>
    </row>
    <row r="50" spans="1:47" s="1805" customFormat="1" ht="16.5" customHeight="1">
      <c r="A50" s="1811"/>
      <c r="B50" s="2060"/>
      <c r="C50" s="2058"/>
      <c r="D50" s="2058"/>
      <c r="E50" s="2058"/>
      <c r="F50" s="2058"/>
      <c r="G50" s="2058"/>
      <c r="H50" s="2058"/>
      <c r="I50" s="2058"/>
      <c r="J50" s="2059"/>
      <c r="K50" s="2059"/>
      <c r="L50" s="2058"/>
      <c r="M50" s="2058"/>
      <c r="N50" s="2058"/>
      <c r="O50" s="2058"/>
      <c r="P50" s="2058"/>
      <c r="Q50" s="2058"/>
      <c r="R50" s="2058"/>
      <c r="S50" s="2058"/>
      <c r="T50" s="2058"/>
      <c r="U50" s="2058"/>
      <c r="V50" s="2058"/>
      <c r="W50" s="2057"/>
      <c r="X50" s="2057"/>
      <c r="Y50" s="2057"/>
      <c r="Z50" s="2057"/>
      <c r="AA50" s="2057"/>
      <c r="AB50" s="2057"/>
      <c r="AC50" s="2056"/>
      <c r="AD50" s="1807"/>
      <c r="AF50" s="2021">
        <v>20</v>
      </c>
      <c r="AG50" s="2020">
        <v>2.14</v>
      </c>
      <c r="AH50" s="2020">
        <v>0.98</v>
      </c>
      <c r="AI50" s="2019">
        <f t="shared" si="9"/>
        <v>2.3537204591879641</v>
      </c>
      <c r="AJ50" s="2021">
        <v>20</v>
      </c>
      <c r="AK50" s="2020">
        <v>1.97</v>
      </c>
      <c r="AL50" s="2020">
        <v>1.01</v>
      </c>
      <c r="AM50" s="2019">
        <f t="shared" si="10"/>
        <v>2.213820227570432</v>
      </c>
      <c r="AN50" s="2021">
        <v>20</v>
      </c>
      <c r="AO50" s="2020">
        <v>1.77</v>
      </c>
      <c r="AP50" s="2020">
        <v>1.82</v>
      </c>
      <c r="AQ50" s="2019">
        <f t="shared" si="11"/>
        <v>2.5387595396177245</v>
      </c>
      <c r="AR50" s="2021">
        <v>20</v>
      </c>
      <c r="AS50" s="2020">
        <v>1.68</v>
      </c>
      <c r="AT50" s="2020">
        <v>2.04</v>
      </c>
      <c r="AU50" s="2019">
        <f t="shared" si="12"/>
        <v>2.6427258654654286</v>
      </c>
    </row>
    <row r="51" spans="1:47" s="1805" customFormat="1" ht="13.5" customHeight="1" thickBot="1">
      <c r="A51" s="1811"/>
      <c r="B51" s="2055"/>
      <c r="C51" s="2051"/>
      <c r="D51" s="2054" t="s">
        <v>2172</v>
      </c>
      <c r="E51" s="2052"/>
      <c r="F51" s="2052"/>
      <c r="G51" s="2052"/>
      <c r="H51" s="2051"/>
      <c r="I51" s="2051"/>
      <c r="J51" s="2053"/>
      <c r="K51" s="2053"/>
      <c r="L51" s="2051"/>
      <c r="M51" s="2051"/>
      <c r="N51" s="2051"/>
      <c r="O51" s="2051"/>
      <c r="P51" s="2051"/>
      <c r="Q51" s="2051"/>
      <c r="R51" s="2051"/>
      <c r="S51" s="2051"/>
      <c r="T51" s="2052"/>
      <c r="U51" s="2051"/>
      <c r="V51" s="2051"/>
      <c r="W51" s="2050"/>
      <c r="X51" s="2050"/>
      <c r="Y51" s="2050"/>
      <c r="Z51" s="2050"/>
      <c r="AA51" s="2050"/>
      <c r="AB51" s="2050"/>
      <c r="AC51" s="2049"/>
      <c r="AD51" s="1807"/>
      <c r="AF51" s="2021">
        <v>30</v>
      </c>
      <c r="AG51" s="2020">
        <v>1.91</v>
      </c>
      <c r="AH51" s="2020">
        <v>1.0900000000000001</v>
      </c>
      <c r="AI51" s="2019">
        <f t="shared" si="9"/>
        <v>2.1991361940543839</v>
      </c>
      <c r="AJ51" s="2021">
        <v>30</v>
      </c>
      <c r="AK51" s="2020">
        <v>1.78</v>
      </c>
      <c r="AL51" s="2020">
        <v>1.24</v>
      </c>
      <c r="AM51" s="2019">
        <f t="shared" si="10"/>
        <v>2.1693316943243142</v>
      </c>
      <c r="AN51" s="2021">
        <v>30</v>
      </c>
      <c r="AO51" s="2020">
        <v>1.56</v>
      </c>
      <c r="AP51" s="2020">
        <v>2.37</v>
      </c>
      <c r="AQ51" s="2019">
        <f t="shared" si="11"/>
        <v>2.8373403038761493</v>
      </c>
      <c r="AR51" s="2021">
        <v>30</v>
      </c>
      <c r="AS51" s="2020">
        <v>1.51</v>
      </c>
      <c r="AT51" s="2020">
        <v>2.6</v>
      </c>
      <c r="AU51" s="2019">
        <f t="shared" si="12"/>
        <v>3.0066759053812238</v>
      </c>
    </row>
    <row r="52" spans="1:47" s="1805" customFormat="1" ht="13.5" customHeight="1" thickBot="1">
      <c r="A52" s="1811"/>
      <c r="B52" s="2048"/>
      <c r="C52" s="2035" t="s">
        <v>2171</v>
      </c>
      <c r="D52" s="2034" t="str">
        <f>IF(E52="","","Ｚ1=")</f>
        <v>Ｚ1=</v>
      </c>
      <c r="E52" s="5538">
        <v>4</v>
      </c>
      <c r="F52" s="5539"/>
      <c r="G52" s="5540"/>
      <c r="H52" s="2033" t="str">
        <f>IF(E52="","","＋ｊ")</f>
        <v>＋ｊ</v>
      </c>
      <c r="I52" s="5541">
        <v>3</v>
      </c>
      <c r="J52" s="5542"/>
      <c r="K52" s="5543"/>
      <c r="L52" s="2034" t="str">
        <f>IF(M52="","","Ｚ2=")</f>
        <v>Ｚ2=</v>
      </c>
      <c r="M52" s="5538">
        <v>4</v>
      </c>
      <c r="N52" s="5539"/>
      <c r="O52" s="5540"/>
      <c r="P52" s="2033" t="str">
        <f>IF(M52="","","＋ｊ")</f>
        <v>＋ｊ</v>
      </c>
      <c r="Q52" s="5541">
        <v>3</v>
      </c>
      <c r="R52" s="5542"/>
      <c r="S52" s="5543"/>
      <c r="T52" s="2032" t="str">
        <f>IF(U52="","","Ｚ=")</f>
        <v>Ｚ=</v>
      </c>
      <c r="U52" s="5552">
        <f>IF(OR(E52="",M52=""),"",E52+M52)</f>
        <v>8</v>
      </c>
      <c r="V52" s="5545"/>
      <c r="W52" s="5546"/>
      <c r="X52" s="2033" t="str">
        <f>IF(U52="","","＋ｊ")</f>
        <v>＋ｊ</v>
      </c>
      <c r="Y52" s="5559">
        <f>IF(OR(I52="",Q52=""),"",I52+Q52)</f>
        <v>6</v>
      </c>
      <c r="Z52" s="5560"/>
      <c r="AA52" s="5561"/>
      <c r="AB52" s="2047"/>
      <c r="AC52" s="1889"/>
      <c r="AD52" s="1807"/>
      <c r="AF52" s="2021">
        <v>50</v>
      </c>
      <c r="AG52" s="2020">
        <v>1.81</v>
      </c>
      <c r="AH52" s="2020">
        <v>1.31</v>
      </c>
      <c r="AI52" s="2019">
        <f t="shared" si="9"/>
        <v>2.2343231637343779</v>
      </c>
      <c r="AJ52" s="2021">
        <v>50</v>
      </c>
      <c r="AK52" s="2020">
        <v>1.7</v>
      </c>
      <c r="AL52" s="2020">
        <v>1.46</v>
      </c>
      <c r="AM52" s="2019">
        <f t="shared" si="10"/>
        <v>2.2408926792686881</v>
      </c>
      <c r="AN52" s="2021">
        <v>50</v>
      </c>
      <c r="AO52" s="2020">
        <v>1.43</v>
      </c>
      <c r="AP52" s="2020">
        <v>2.27</v>
      </c>
      <c r="AQ52" s="2019">
        <f t="shared" si="11"/>
        <v>2.6828715958837837</v>
      </c>
      <c r="AR52" s="2021">
        <v>50</v>
      </c>
      <c r="AS52" s="2020">
        <v>1.39</v>
      </c>
      <c r="AT52" s="2020">
        <v>2.5499999999999998</v>
      </c>
      <c r="AU52" s="2019">
        <f t="shared" si="12"/>
        <v>2.90423828223512</v>
      </c>
    </row>
    <row r="53" spans="1:47" s="1805" customFormat="1" ht="13.5" customHeight="1" thickTop="1" thickBot="1">
      <c r="A53" s="1811"/>
      <c r="B53" s="1894"/>
      <c r="C53" s="2040"/>
      <c r="D53" s="1892"/>
      <c r="E53" s="1920"/>
      <c r="F53" s="2039" t="s">
        <v>2165</v>
      </c>
      <c r="G53" s="2038"/>
      <c r="H53" s="2036"/>
      <c r="I53" s="2036"/>
      <c r="J53" s="2024" t="s">
        <v>2164</v>
      </c>
      <c r="K53" s="2037"/>
      <c r="L53" s="2036"/>
      <c r="M53" s="2036"/>
      <c r="N53" s="2024" t="s">
        <v>2167</v>
      </c>
      <c r="O53" s="2036"/>
      <c r="P53" s="2036"/>
      <c r="Q53" s="2036"/>
      <c r="R53" s="2024" t="s">
        <v>2163</v>
      </c>
      <c r="S53" s="1892"/>
      <c r="T53" s="1920"/>
      <c r="U53" s="1892"/>
      <c r="V53" s="1892"/>
      <c r="W53" s="1890"/>
      <c r="X53" s="2023" t="str">
        <f>IF(Y53="","","cosφ=")</f>
        <v>cosφ=</v>
      </c>
      <c r="Y53" s="5562">
        <f>IF(OR(U52="",Y52=""),"",U52/SQRT(U52^2+Y52^2))</f>
        <v>0.8</v>
      </c>
      <c r="Z53" s="5563"/>
      <c r="AA53" s="5564"/>
      <c r="AB53" s="2047"/>
      <c r="AC53" s="1889"/>
      <c r="AD53" s="1807"/>
      <c r="AF53" s="2021">
        <v>75</v>
      </c>
      <c r="AG53" s="2020">
        <v>1.78</v>
      </c>
      <c r="AH53" s="2020">
        <v>1.73</v>
      </c>
      <c r="AI53" s="2019">
        <f t="shared" si="9"/>
        <v>2.4821966078455593</v>
      </c>
      <c r="AJ53" s="2021">
        <v>75</v>
      </c>
      <c r="AK53" s="2020">
        <v>1.64</v>
      </c>
      <c r="AL53" s="2020">
        <v>1.93</v>
      </c>
      <c r="AM53" s="2019">
        <f t="shared" si="10"/>
        <v>2.5326863208853951</v>
      </c>
      <c r="AN53" s="2021">
        <v>75</v>
      </c>
      <c r="AO53" s="2020">
        <v>1.53</v>
      </c>
      <c r="AP53" s="2020">
        <v>1.95</v>
      </c>
      <c r="AQ53" s="2019">
        <f t="shared" si="11"/>
        <v>2.4785883078881819</v>
      </c>
      <c r="AR53" s="2021">
        <v>75</v>
      </c>
      <c r="AS53" s="2020">
        <v>1.43</v>
      </c>
      <c r="AT53" s="2020">
        <v>2.15</v>
      </c>
      <c r="AU53" s="2019">
        <f t="shared" si="12"/>
        <v>2.5821309029559285</v>
      </c>
    </row>
    <row r="54" spans="1:47" s="1805" customFormat="1" ht="13.5" customHeight="1" thickTop="1" thickBot="1">
      <c r="A54" s="1811"/>
      <c r="B54" s="1894"/>
      <c r="C54" s="2035" t="s">
        <v>2170</v>
      </c>
      <c r="D54" s="2034" t="str">
        <f>IF(E54="","","Ｚ1=")</f>
        <v>Ｚ1=</v>
      </c>
      <c r="E54" s="5538">
        <v>4</v>
      </c>
      <c r="F54" s="5539"/>
      <c r="G54" s="5540"/>
      <c r="H54" s="2033" t="str">
        <f>IF(E54="","","＋ｊ")</f>
        <v>＋ｊ</v>
      </c>
      <c r="I54" s="5541">
        <v>3</v>
      </c>
      <c r="J54" s="5542"/>
      <c r="K54" s="5543"/>
      <c r="L54" s="1892"/>
      <c r="M54" s="1892"/>
      <c r="N54" s="1892"/>
      <c r="O54" s="2034" t="str">
        <f>IF(Q54="","","Ｚ2=")</f>
        <v>Ｚ2=</v>
      </c>
      <c r="P54" s="2033" t="str">
        <f>IF(Q54="","","＋ｊ")</f>
        <v>＋ｊ</v>
      </c>
      <c r="Q54" s="5541">
        <v>3</v>
      </c>
      <c r="R54" s="5542"/>
      <c r="S54" s="5543"/>
      <c r="T54" s="2032" t="str">
        <f>IF(U54="","","Ｚ=")</f>
        <v>Ｚ=</v>
      </c>
      <c r="U54" s="5552">
        <f>IF(E54="","",E54)</f>
        <v>4</v>
      </c>
      <c r="V54" s="5545"/>
      <c r="W54" s="5546"/>
      <c r="X54" s="2031" t="str">
        <f>IF(U54="","","＋ｊ")</f>
        <v>＋ｊ</v>
      </c>
      <c r="Y54" s="5562">
        <f>IF(OR(I54="",Q54=""),"",I54-Q54)</f>
        <v>0</v>
      </c>
      <c r="Z54" s="5563"/>
      <c r="AA54" s="5564"/>
      <c r="AB54" s="2047"/>
      <c r="AC54" s="1889"/>
      <c r="AD54" s="1807"/>
      <c r="AF54" s="2021">
        <v>100</v>
      </c>
      <c r="AG54" s="2020">
        <v>1.73</v>
      </c>
      <c r="AH54" s="2020">
        <v>1.74</v>
      </c>
      <c r="AI54" s="2019">
        <f t="shared" si="9"/>
        <v>2.4536707195546841</v>
      </c>
      <c r="AJ54" s="2021">
        <v>100</v>
      </c>
      <c r="AK54" s="2020">
        <v>1.6</v>
      </c>
      <c r="AL54" s="2020">
        <v>1.93</v>
      </c>
      <c r="AM54" s="2019">
        <f t="shared" si="10"/>
        <v>2.5069702830308938</v>
      </c>
      <c r="AN54" s="2021">
        <v>100</v>
      </c>
      <c r="AO54" s="2020">
        <v>1.54</v>
      </c>
      <c r="AP54" s="2020">
        <v>2.29</v>
      </c>
      <c r="AQ54" s="2019">
        <f t="shared" si="11"/>
        <v>2.7596557756357947</v>
      </c>
      <c r="AR54" s="2021">
        <v>100</v>
      </c>
      <c r="AS54" s="2020">
        <v>1.42</v>
      </c>
      <c r="AT54" s="2020">
        <v>2.54</v>
      </c>
      <c r="AU54" s="2019">
        <f t="shared" si="12"/>
        <v>2.9099828178186895</v>
      </c>
    </row>
    <row r="55" spans="1:47" s="1805" customFormat="1" ht="13.5" customHeight="1" thickTop="1" thickBot="1">
      <c r="A55" s="1811"/>
      <c r="B55" s="1894"/>
      <c r="C55" s="2040"/>
      <c r="D55" s="1892"/>
      <c r="E55" s="1892"/>
      <c r="F55" s="2039" t="s">
        <v>2165</v>
      </c>
      <c r="G55" s="2038"/>
      <c r="H55" s="2036"/>
      <c r="I55" s="2036"/>
      <c r="J55" s="2024" t="s">
        <v>2164</v>
      </c>
      <c r="K55" s="2037"/>
      <c r="L55" s="2036"/>
      <c r="M55" s="2036"/>
      <c r="N55" s="2036"/>
      <c r="O55" s="2036"/>
      <c r="P55" s="2036"/>
      <c r="Q55" s="2036"/>
      <c r="R55" s="2024" t="s">
        <v>2163</v>
      </c>
      <c r="S55" s="2036"/>
      <c r="T55" s="2036"/>
      <c r="U55" s="1892"/>
      <c r="V55" s="1892"/>
      <c r="W55" s="1890"/>
      <c r="X55" s="2023" t="str">
        <f>IF(Y55="","","cosφ=")</f>
        <v>cosφ=</v>
      </c>
      <c r="Y55" s="5535">
        <f>IF(OR(I54="",Q54=""),"",IF(Y54&gt;=0,(INT(10^5*U54/SQRT(U54^2+Y54^2))/10^5),"-"&amp;(INT(10^5*U54/SQRT(U54^2+Y54^2))/10^5)))</f>
        <v>1</v>
      </c>
      <c r="Z55" s="5536"/>
      <c r="AA55" s="5537"/>
      <c r="AB55" s="2046"/>
      <c r="AC55" s="1889"/>
      <c r="AD55" s="1807"/>
      <c r="AF55" s="2021">
        <v>150</v>
      </c>
      <c r="AG55" s="2020">
        <v>1.61</v>
      </c>
      <c r="AH55" s="2020">
        <v>1.91</v>
      </c>
      <c r="AI55" s="2019">
        <f t="shared" si="9"/>
        <v>2.4980392310770463</v>
      </c>
      <c r="AJ55" s="2021">
        <v>150</v>
      </c>
      <c r="AK55" s="2020">
        <v>1.5</v>
      </c>
      <c r="AL55" s="2020">
        <v>2.12</v>
      </c>
      <c r="AM55" s="2019">
        <f t="shared" si="10"/>
        <v>2.5969982672308429</v>
      </c>
      <c r="AN55" s="2021">
        <v>150</v>
      </c>
      <c r="AO55" s="2020">
        <v>1.41</v>
      </c>
      <c r="AP55" s="2020">
        <v>2.36</v>
      </c>
      <c r="AQ55" s="2019">
        <f t="shared" si="11"/>
        <v>2.7491271342009629</v>
      </c>
      <c r="AR55" s="2021">
        <v>150</v>
      </c>
      <c r="AS55" s="2020">
        <v>1.37</v>
      </c>
      <c r="AT55" s="2020">
        <v>2.73</v>
      </c>
      <c r="AU55" s="2019">
        <f t="shared" si="12"/>
        <v>3.0544721311545797</v>
      </c>
    </row>
    <row r="56" spans="1:47" s="1805" customFormat="1" ht="13.5" customHeight="1">
      <c r="A56" s="1811"/>
      <c r="B56" s="1894"/>
      <c r="C56" s="2040"/>
      <c r="D56" s="1892"/>
      <c r="E56" s="1892"/>
      <c r="F56" s="1892"/>
      <c r="G56" s="1892"/>
      <c r="H56" s="1892"/>
      <c r="I56" s="1892"/>
      <c r="J56" s="1898"/>
      <c r="K56" s="1898"/>
      <c r="L56" s="1892"/>
      <c r="M56" s="1892"/>
      <c r="N56" s="1892"/>
      <c r="O56" s="1892"/>
      <c r="P56" s="1892"/>
      <c r="Q56" s="1892"/>
      <c r="R56" s="1897"/>
      <c r="S56" s="1892"/>
      <c r="T56" s="1892"/>
      <c r="U56" s="1892"/>
      <c r="V56" s="1892"/>
      <c r="W56" s="1890"/>
      <c r="X56" s="2045"/>
      <c r="Y56" s="1890"/>
      <c r="Z56" s="1890"/>
      <c r="AA56" s="1890"/>
      <c r="AB56" s="1890"/>
      <c r="AC56" s="1889"/>
      <c r="AD56" s="1807"/>
      <c r="AF56" s="2021">
        <v>200</v>
      </c>
      <c r="AG56" s="2020">
        <v>1.63</v>
      </c>
      <c r="AH56" s="2020">
        <v>2.6</v>
      </c>
      <c r="AI56" s="2019">
        <f t="shared" si="9"/>
        <v>3.0686967917994115</v>
      </c>
      <c r="AJ56" s="2021">
        <v>200</v>
      </c>
      <c r="AK56" s="2020">
        <v>1.53</v>
      </c>
      <c r="AL56" s="2020">
        <v>2.9</v>
      </c>
      <c r="AM56" s="2019">
        <f t="shared" si="10"/>
        <v>3.2788565079917724</v>
      </c>
      <c r="AN56" s="2021">
        <v>200</v>
      </c>
      <c r="AO56" s="2020">
        <v>1.35</v>
      </c>
      <c r="AP56" s="2020">
        <v>2.7</v>
      </c>
      <c r="AQ56" s="2019">
        <f t="shared" si="11"/>
        <v>3.0186917696247164</v>
      </c>
      <c r="AR56" s="2021">
        <v>200</v>
      </c>
      <c r="AS56" s="2020">
        <v>1.31</v>
      </c>
      <c r="AT56" s="2020">
        <v>3.14</v>
      </c>
      <c r="AU56" s="2019">
        <f t="shared" si="12"/>
        <v>3.4023080401398107</v>
      </c>
    </row>
    <row r="57" spans="1:47" s="1805" customFormat="1" ht="13.5" customHeight="1" thickBot="1">
      <c r="A57" s="1811"/>
      <c r="B57" s="1894"/>
      <c r="C57" s="2040"/>
      <c r="D57" s="2044" t="s">
        <v>2169</v>
      </c>
      <c r="E57" s="1959"/>
      <c r="F57" s="1959"/>
      <c r="G57" s="1959"/>
      <c r="H57" s="1957"/>
      <c r="I57" s="1957"/>
      <c r="J57" s="1966"/>
      <c r="K57" s="1966"/>
      <c r="L57" s="1957"/>
      <c r="M57" s="1957"/>
      <c r="N57" s="1957"/>
      <c r="O57" s="1957"/>
      <c r="P57" s="1957"/>
      <c r="Q57" s="1957"/>
      <c r="R57" s="1957"/>
      <c r="S57" s="1957"/>
      <c r="T57" s="1959"/>
      <c r="U57" s="1957"/>
      <c r="V57" s="1957"/>
      <c r="W57" s="2042"/>
      <c r="X57" s="2043"/>
      <c r="Y57" s="2042"/>
      <c r="Z57" s="2042"/>
      <c r="AA57" s="2042"/>
      <c r="AB57" s="2042"/>
      <c r="AC57" s="2041"/>
      <c r="AD57" s="1807"/>
      <c r="AF57" s="2021">
        <v>300</v>
      </c>
      <c r="AG57" s="2020">
        <v>1.5</v>
      </c>
      <c r="AH57" s="2020">
        <v>2.82</v>
      </c>
      <c r="AI57" s="2019">
        <f t="shared" si="9"/>
        <v>3.1941195970094793</v>
      </c>
      <c r="AJ57" s="2021">
        <v>300</v>
      </c>
      <c r="AK57" s="2020">
        <v>1.41</v>
      </c>
      <c r="AL57" s="2020">
        <v>3.26</v>
      </c>
      <c r="AM57" s="2019">
        <f t="shared" si="10"/>
        <v>3.5518586683594267</v>
      </c>
      <c r="AN57" s="2021">
        <v>300</v>
      </c>
      <c r="AO57" s="2020">
        <v>1.31</v>
      </c>
      <c r="AP57" s="2020">
        <v>3.7</v>
      </c>
      <c r="AQ57" s="2019">
        <f t="shared" si="11"/>
        <v>3.9250605090877264</v>
      </c>
      <c r="AR57" s="2021">
        <v>300</v>
      </c>
      <c r="AS57" s="2020">
        <v>1.29</v>
      </c>
      <c r="AT57" s="2020">
        <v>4.28</v>
      </c>
      <c r="AU57" s="2019">
        <f t="shared" si="12"/>
        <v>4.4701789673345296</v>
      </c>
    </row>
    <row r="58" spans="1:47" s="1805" customFormat="1" ht="13.5" customHeight="1" thickBot="1">
      <c r="A58" s="1811"/>
      <c r="B58" s="1894"/>
      <c r="C58" s="2035" t="s">
        <v>2168</v>
      </c>
      <c r="D58" s="2034" t="str">
        <f>IF(E58="","","Ｚ1=")</f>
        <v>Ｚ1=</v>
      </c>
      <c r="E58" s="5538">
        <v>4</v>
      </c>
      <c r="F58" s="5539"/>
      <c r="G58" s="5540"/>
      <c r="H58" s="2033" t="str">
        <f>IF(E58="","","＋ｊ")</f>
        <v>＋ｊ</v>
      </c>
      <c r="I58" s="5541">
        <v>3</v>
      </c>
      <c r="J58" s="5542"/>
      <c r="K58" s="5543"/>
      <c r="L58" s="2034" t="str">
        <f>IF(M58="","","Ｚ2=")</f>
        <v>Ｚ2=</v>
      </c>
      <c r="M58" s="5538">
        <v>4</v>
      </c>
      <c r="N58" s="5539"/>
      <c r="O58" s="5540"/>
      <c r="P58" s="2033" t="str">
        <f>IF(M58="","","＋ｊ")</f>
        <v>＋ｊ</v>
      </c>
      <c r="Q58" s="5541">
        <v>3</v>
      </c>
      <c r="R58" s="5542"/>
      <c r="S58" s="5543"/>
      <c r="T58" s="2032" t="str">
        <f>IF(U58="","","Ｚ=")</f>
        <v>Ｚ=</v>
      </c>
      <c r="U58" s="5544">
        <f>IF(OR(E58="",I58="",M58="",Q58=""),"",(E58*(M58^2+Q58^2)+M58*(E58^2+I58^2))/((E58+M58)^2+(I58+Q58)^2))</f>
        <v>2</v>
      </c>
      <c r="V58" s="5545"/>
      <c r="W58" s="5546"/>
      <c r="X58" s="2031" t="str">
        <f>IF(U58="","","＋ｊ")</f>
        <v>＋ｊ</v>
      </c>
      <c r="Y58" s="5547">
        <f>IF(OR(E58="",I58="",M58="",Q58=""),"",(I58*(M58^2+Q58^2)+Q58*(E58^2+I58^2))/((E58+M58)^2+(I58+Q58)^2))</f>
        <v>1.5</v>
      </c>
      <c r="Z58" s="5548"/>
      <c r="AA58" s="5549"/>
      <c r="AB58" s="2030"/>
      <c r="AC58" s="1961"/>
      <c r="AD58" s="1807"/>
      <c r="AF58" s="2021">
        <v>500</v>
      </c>
      <c r="AG58" s="2020">
        <v>1.25</v>
      </c>
      <c r="AH58" s="2020">
        <v>4.0599999999999996</v>
      </c>
      <c r="AI58" s="2019">
        <f t="shared" si="9"/>
        <v>4.2480701500799158</v>
      </c>
      <c r="AJ58" s="2021">
        <v>500</v>
      </c>
      <c r="AK58" s="2020">
        <v>1.18</v>
      </c>
      <c r="AL58" s="2020">
        <v>4.6100000000000003</v>
      </c>
      <c r="AM58" s="2019">
        <f t="shared" si="10"/>
        <v>4.7586237506237037</v>
      </c>
      <c r="AN58" s="2021">
        <v>500</v>
      </c>
      <c r="AO58" s="2020">
        <v>1.1100000000000001</v>
      </c>
      <c r="AP58" s="2020">
        <v>4.1100000000000003</v>
      </c>
      <c r="AQ58" s="2019">
        <f t="shared" si="11"/>
        <v>4.2572526352097082</v>
      </c>
      <c r="AR58" s="2021">
        <v>500</v>
      </c>
      <c r="AS58" s="2020">
        <v>1.1000000000000001</v>
      </c>
      <c r="AT58" s="2020">
        <v>4.75</v>
      </c>
      <c r="AU58" s="2019">
        <f t="shared" si="12"/>
        <v>4.8757050772170381</v>
      </c>
    </row>
    <row r="59" spans="1:47" s="1805" customFormat="1" ht="13.5" customHeight="1" thickTop="1" thickBot="1">
      <c r="A59" s="1811"/>
      <c r="B59" s="1894"/>
      <c r="C59" s="2040"/>
      <c r="D59" s="1892"/>
      <c r="E59" s="1920"/>
      <c r="F59" s="2039" t="s">
        <v>2165</v>
      </c>
      <c r="G59" s="2038"/>
      <c r="H59" s="2036"/>
      <c r="I59" s="2036"/>
      <c r="J59" s="2024" t="s">
        <v>2164</v>
      </c>
      <c r="K59" s="2037"/>
      <c r="L59" s="2036"/>
      <c r="M59" s="2036"/>
      <c r="N59" s="2024" t="s">
        <v>2167</v>
      </c>
      <c r="O59" s="2036"/>
      <c r="P59" s="2036"/>
      <c r="Q59" s="2036"/>
      <c r="R59" s="2024" t="s">
        <v>2163</v>
      </c>
      <c r="S59" s="1892"/>
      <c r="T59" s="1920"/>
      <c r="U59" s="1892"/>
      <c r="V59" s="1892"/>
      <c r="W59" s="1890"/>
      <c r="X59" s="2023" t="str">
        <f>IF(Y59="","","cosφ=")</f>
        <v>cosφ=</v>
      </c>
      <c r="Y59" s="5532">
        <f>IF(OR(E58="",I58="",M58="",Q58=""),"",U58/SQRT(U58^2+Y58^2))</f>
        <v>0.8</v>
      </c>
      <c r="Z59" s="5533"/>
      <c r="AA59" s="5534"/>
      <c r="AB59" s="2030"/>
      <c r="AC59" s="1961"/>
      <c r="AD59" s="1807"/>
      <c r="AF59" s="2021">
        <v>750</v>
      </c>
      <c r="AG59" s="2020">
        <v>1.31</v>
      </c>
      <c r="AH59" s="2020">
        <v>4.92</v>
      </c>
      <c r="AI59" s="2019">
        <f t="shared" si="9"/>
        <v>5.0914143418111237</v>
      </c>
      <c r="AJ59" s="2021">
        <v>750</v>
      </c>
      <c r="AK59" s="2020">
        <v>1.24</v>
      </c>
      <c r="AL59" s="2020">
        <v>5.35</v>
      </c>
      <c r="AM59" s="2019">
        <f t="shared" si="10"/>
        <v>5.4918211915538544</v>
      </c>
      <c r="AN59" s="2021"/>
      <c r="AO59" s="2020"/>
      <c r="AP59" s="2020"/>
      <c r="AQ59" s="2019" t="str">
        <f t="shared" si="11"/>
        <v/>
      </c>
      <c r="AR59" s="2021"/>
      <c r="AS59" s="2020"/>
      <c r="AT59" s="2020"/>
      <c r="AU59" s="2019" t="str">
        <f t="shared" si="12"/>
        <v/>
      </c>
    </row>
    <row r="60" spans="1:47" s="1805" customFormat="1" ht="13.5" customHeight="1" thickTop="1" thickBot="1">
      <c r="A60" s="1811"/>
      <c r="B60" s="1894"/>
      <c r="C60" s="2035" t="s">
        <v>2166</v>
      </c>
      <c r="D60" s="2034" t="str">
        <f>IF(E60="","","Ｚ1=")</f>
        <v>Ｚ1=</v>
      </c>
      <c r="E60" s="5538">
        <v>4</v>
      </c>
      <c r="F60" s="5539"/>
      <c r="G60" s="5540"/>
      <c r="H60" s="2033" t="str">
        <f>IF(E60="","","＋ｊ")</f>
        <v>＋ｊ</v>
      </c>
      <c r="I60" s="5541">
        <v>3</v>
      </c>
      <c r="J60" s="5542"/>
      <c r="K60" s="5543"/>
      <c r="L60" s="1892"/>
      <c r="M60" s="1892"/>
      <c r="N60" s="1892"/>
      <c r="O60" s="2034" t="str">
        <f>IF(Q60="","","Ｚ2=")</f>
        <v>Ｚ2=</v>
      </c>
      <c r="P60" s="2033" t="str">
        <f>IF(Q60="","","＋ｊ")</f>
        <v>＋ｊ</v>
      </c>
      <c r="Q60" s="5541">
        <v>0.1</v>
      </c>
      <c r="R60" s="5542"/>
      <c r="S60" s="5543"/>
      <c r="T60" s="2032" t="str">
        <f>IF(U60="","","Ｚ=")</f>
        <v>Ｚ=</v>
      </c>
      <c r="U60" s="5552">
        <f>IF(OR(E60="",I60="",Q60=""),"",E60/((E60*Q60)^2+(Q60*I60-1)^2))</f>
        <v>6.1538461538461551</v>
      </c>
      <c r="V60" s="5545"/>
      <c r="W60" s="5546"/>
      <c r="X60" s="2031" t="str">
        <f>IF(U60="","","＋ｊ")</f>
        <v>＋ｊ</v>
      </c>
      <c r="Y60" s="5532">
        <f>IF(OR(E60="",I60="",Q60=""),"",(I60-Q60*(E60^2+I60^2))/((E60*Q60)^2+(Q60*I60-1)^2))</f>
        <v>0.76923076923076938</v>
      </c>
      <c r="Z60" s="5533"/>
      <c r="AA60" s="5534"/>
      <c r="AB60" s="2030"/>
      <c r="AC60" s="1961"/>
      <c r="AD60" s="1807"/>
      <c r="AF60" s="2021">
        <v>1000</v>
      </c>
      <c r="AG60" s="2020">
        <v>1.19</v>
      </c>
      <c r="AH60" s="2020">
        <v>5.0199999999999996</v>
      </c>
      <c r="AI60" s="2019">
        <f t="shared" si="9"/>
        <v>5.159118141698249</v>
      </c>
      <c r="AJ60" s="2021">
        <v>1000</v>
      </c>
      <c r="AK60" s="2020">
        <v>1.1200000000000001</v>
      </c>
      <c r="AL60" s="2020">
        <v>5.68</v>
      </c>
      <c r="AM60" s="2019">
        <f t="shared" si="10"/>
        <v>5.7893695684418001</v>
      </c>
      <c r="AN60" s="2018"/>
      <c r="AO60" s="2017"/>
      <c r="AP60" s="2017"/>
      <c r="AQ60" s="2016" t="str">
        <f t="shared" si="11"/>
        <v/>
      </c>
      <c r="AR60" s="2018"/>
      <c r="AS60" s="2017"/>
      <c r="AT60" s="2017"/>
      <c r="AU60" s="2016" t="str">
        <f t="shared" si="12"/>
        <v/>
      </c>
    </row>
    <row r="61" spans="1:47" s="1805" customFormat="1" ht="13.5" customHeight="1" thickTop="1" thickBot="1">
      <c r="A61" s="1811"/>
      <c r="B61" s="1905"/>
      <c r="C61" s="1904"/>
      <c r="D61" s="1900"/>
      <c r="E61" s="1900"/>
      <c r="F61" s="2029" t="s">
        <v>2165</v>
      </c>
      <c r="G61" s="2028"/>
      <c r="H61" s="2025"/>
      <c r="I61" s="2025"/>
      <c r="J61" s="2027" t="s">
        <v>2164</v>
      </c>
      <c r="K61" s="2026"/>
      <c r="L61" s="2025"/>
      <c r="M61" s="2025"/>
      <c r="N61" s="2025"/>
      <c r="O61" s="2025"/>
      <c r="P61" s="2025"/>
      <c r="Q61" s="2025"/>
      <c r="R61" s="2024" t="s">
        <v>2163</v>
      </c>
      <c r="S61" s="1900"/>
      <c r="T61" s="1900"/>
      <c r="U61" s="1900"/>
      <c r="V61" s="1900"/>
      <c r="W61" s="1899"/>
      <c r="X61" s="2023" t="str">
        <f>IF(Y61="","","cosφ=")</f>
        <v>cosφ=</v>
      </c>
      <c r="Y61" s="5519">
        <f>IF(OR(U60="",Y60=""),"",IF(Y60&gt;=0,INT(10^5*U60/SQRT(U60^2+Y60^2))/10^5,"-"&amp;INT(10^5*U60/SQRT(U60^2+Y60^2))/10^5))</f>
        <v>0.99226999999999999</v>
      </c>
      <c r="Z61" s="5520"/>
      <c r="AA61" s="5521"/>
      <c r="AB61" s="2022"/>
      <c r="AC61" s="1961"/>
      <c r="AD61" s="1807"/>
      <c r="AF61" s="2021"/>
      <c r="AG61" s="2020"/>
      <c r="AH61" s="2020"/>
      <c r="AI61" s="2019" t="str">
        <f t="shared" si="9"/>
        <v/>
      </c>
      <c r="AJ61" s="2021"/>
      <c r="AK61" s="2020"/>
      <c r="AL61" s="2020"/>
      <c r="AM61" s="2019" t="str">
        <f t="shared" si="10"/>
        <v/>
      </c>
    </row>
    <row r="62" spans="1:47" s="1805" customFormat="1" ht="13.5" customHeight="1" thickBot="1">
      <c r="A62" s="1811"/>
      <c r="B62" s="1894"/>
      <c r="C62" s="1892"/>
      <c r="D62" s="1892"/>
      <c r="E62" s="1892"/>
      <c r="F62" s="1892"/>
      <c r="G62" s="1892"/>
      <c r="H62" s="1892"/>
      <c r="I62" s="1892"/>
      <c r="J62" s="1898"/>
      <c r="K62" s="1898"/>
      <c r="L62" s="1892"/>
      <c r="M62" s="1892"/>
      <c r="N62" s="1892"/>
      <c r="O62" s="1892"/>
      <c r="P62" s="1892"/>
      <c r="Q62" s="1892"/>
      <c r="R62" s="1897"/>
      <c r="S62" s="1892"/>
      <c r="T62" s="1892"/>
      <c r="U62" s="1892"/>
      <c r="V62" s="1892"/>
      <c r="W62" s="1890"/>
      <c r="X62" s="1853"/>
      <c r="Y62" s="1962"/>
      <c r="Z62" s="1962"/>
      <c r="AA62" s="1962"/>
      <c r="AB62" s="1962"/>
      <c r="AC62" s="1961"/>
      <c r="AD62" s="1807"/>
      <c r="AF62" s="2018"/>
      <c r="AG62" s="2017"/>
      <c r="AH62" s="2017"/>
      <c r="AI62" s="2016" t="str">
        <f t="shared" si="9"/>
        <v/>
      </c>
      <c r="AJ62" s="2018"/>
      <c r="AK62" s="2017"/>
      <c r="AL62" s="2017"/>
      <c r="AM62" s="2016" t="str">
        <f t="shared" si="10"/>
        <v/>
      </c>
    </row>
    <row r="63" spans="1:47" s="1805" customFormat="1" ht="13.5" customHeight="1" thickBot="1">
      <c r="A63" s="1811"/>
      <c r="B63" s="2015"/>
      <c r="C63" s="2012"/>
      <c r="D63" s="2012"/>
      <c r="E63" s="2012"/>
      <c r="F63" s="2012"/>
      <c r="G63" s="2012"/>
      <c r="H63" s="2012"/>
      <c r="I63" s="2012"/>
      <c r="J63" s="2014"/>
      <c r="K63" s="2014"/>
      <c r="L63" s="2012"/>
      <c r="M63" s="2012"/>
      <c r="N63" s="2012"/>
      <c r="O63" s="2012"/>
      <c r="P63" s="2012"/>
      <c r="Q63" s="2012"/>
      <c r="R63" s="2013"/>
      <c r="S63" s="2012"/>
      <c r="T63" s="2012"/>
      <c r="U63" s="2012"/>
      <c r="V63" s="2012"/>
      <c r="W63" s="2011"/>
      <c r="X63" s="2010"/>
      <c r="Y63" s="2009"/>
      <c r="Z63" s="2009"/>
      <c r="AA63" s="2009"/>
      <c r="AB63" s="2009"/>
      <c r="AC63" s="2008"/>
      <c r="AD63" s="1807"/>
    </row>
    <row r="64" spans="1:47" s="1805" customFormat="1" ht="3.75" customHeight="1" thickBot="1">
      <c r="A64" s="1811"/>
      <c r="B64" s="1810"/>
      <c r="C64" s="1809"/>
      <c r="D64" s="1809"/>
      <c r="E64" s="1809"/>
      <c r="F64" s="1809"/>
      <c r="G64" s="1809"/>
      <c r="H64" s="1809"/>
      <c r="I64" s="1809"/>
      <c r="J64" s="2007"/>
      <c r="K64" s="2007"/>
      <c r="L64" s="1809"/>
      <c r="M64" s="1809"/>
      <c r="N64" s="1809"/>
      <c r="O64" s="1809"/>
      <c r="P64" s="1809"/>
      <c r="Q64" s="1809"/>
      <c r="R64" s="2006"/>
      <c r="S64" s="1809"/>
      <c r="T64" s="1809"/>
      <c r="U64" s="1809"/>
      <c r="V64" s="1809"/>
      <c r="W64" s="2005"/>
      <c r="X64" s="2004"/>
      <c r="Y64" s="2003"/>
      <c r="Z64" s="2003"/>
      <c r="AA64" s="2003"/>
      <c r="AB64" s="2003"/>
      <c r="AC64" s="2002"/>
      <c r="AD64" s="1904"/>
    </row>
    <row r="65" spans="1:46" s="1805" customFormat="1" ht="3" customHeight="1" thickBot="1">
      <c r="A65" s="1811"/>
      <c r="B65" s="2001"/>
      <c r="C65" s="1998"/>
      <c r="D65" s="1998"/>
      <c r="E65" s="1998"/>
      <c r="F65" s="1998"/>
      <c r="G65" s="1998"/>
      <c r="H65" s="1998"/>
      <c r="I65" s="1998"/>
      <c r="J65" s="2000"/>
      <c r="K65" s="2000"/>
      <c r="L65" s="1998"/>
      <c r="M65" s="1998"/>
      <c r="N65" s="1998"/>
      <c r="O65" s="1998"/>
      <c r="P65" s="1998"/>
      <c r="Q65" s="1998"/>
      <c r="R65" s="1999"/>
      <c r="S65" s="1998"/>
      <c r="T65" s="1998"/>
      <c r="U65" s="1998"/>
      <c r="V65" s="1998"/>
      <c r="W65" s="1997"/>
      <c r="X65" s="1996"/>
      <c r="Y65" s="1995"/>
      <c r="Z65" s="1995"/>
      <c r="AA65" s="1995"/>
      <c r="AB65" s="1995"/>
      <c r="AC65" s="1994"/>
      <c r="AD65" s="1904"/>
    </row>
    <row r="66" spans="1:46" s="1805" customFormat="1" ht="3" customHeight="1">
      <c r="A66" s="1811"/>
      <c r="B66" s="1993"/>
      <c r="C66" s="1990"/>
      <c r="D66" s="1990"/>
      <c r="E66" s="1990"/>
      <c r="F66" s="1990"/>
      <c r="G66" s="1990"/>
      <c r="H66" s="1990"/>
      <c r="I66" s="1990"/>
      <c r="J66" s="1992"/>
      <c r="K66" s="1992"/>
      <c r="L66" s="1990"/>
      <c r="M66" s="1990"/>
      <c r="N66" s="1990"/>
      <c r="O66" s="1990"/>
      <c r="P66" s="1990"/>
      <c r="Q66" s="1990"/>
      <c r="R66" s="1991"/>
      <c r="S66" s="1990"/>
      <c r="T66" s="1990"/>
      <c r="U66" s="1990"/>
      <c r="V66" s="1990"/>
      <c r="W66" s="1989"/>
      <c r="X66" s="1988"/>
      <c r="Y66" s="1987"/>
      <c r="Z66" s="1987"/>
      <c r="AA66" s="1987"/>
      <c r="AB66" s="1987"/>
      <c r="AC66" s="1986"/>
      <c r="AD66" s="1904"/>
    </row>
    <row r="67" spans="1:46" s="1805" customFormat="1" ht="13.5" customHeight="1">
      <c r="A67" s="1811"/>
      <c r="B67" s="1935"/>
      <c r="C67" s="5553"/>
      <c r="D67" s="5553"/>
      <c r="E67" s="5553"/>
      <c r="F67" s="1932"/>
      <c r="G67" s="1932"/>
      <c r="H67" s="1932"/>
      <c r="I67" s="1932"/>
      <c r="J67" s="1934"/>
      <c r="K67" s="1934"/>
      <c r="L67" s="1932"/>
      <c r="M67" s="1932"/>
      <c r="N67" s="1932"/>
      <c r="O67" s="1932"/>
      <c r="P67" s="1932"/>
      <c r="Q67" s="1932"/>
      <c r="R67" s="1933"/>
      <c r="S67" s="1932"/>
      <c r="T67" s="1985"/>
      <c r="U67" s="1932"/>
      <c r="V67" s="1932"/>
      <c r="W67" s="1932"/>
      <c r="X67" s="1932"/>
      <c r="Y67" s="1932"/>
      <c r="Z67" s="1932"/>
      <c r="AA67" s="1932"/>
      <c r="AB67" s="1932"/>
      <c r="AC67" s="1984"/>
      <c r="AD67" s="1807"/>
      <c r="AF67" s="1929" t="s">
        <v>2130</v>
      </c>
      <c r="AG67" s="1983" t="s">
        <v>2129</v>
      </c>
      <c r="AH67" s="1929" t="s">
        <v>2162</v>
      </c>
      <c r="AJ67" s="1929" t="s">
        <v>2161</v>
      </c>
      <c r="AK67" s="1929" t="s">
        <v>2160</v>
      </c>
      <c r="AL67" s="1977"/>
      <c r="AM67" s="1977"/>
      <c r="AN67" s="1977"/>
      <c r="AO67" s="1977"/>
      <c r="AP67" s="1977"/>
      <c r="AQ67" s="1929" t="s">
        <v>2159</v>
      </c>
      <c r="AR67" s="1929" t="s">
        <v>2158</v>
      </c>
    </row>
    <row r="68" spans="1:46" s="1805" customFormat="1" ht="16.5" customHeight="1">
      <c r="A68" s="1811"/>
      <c r="B68" s="1982"/>
      <c r="C68" s="5554" t="s">
        <v>2257</v>
      </c>
      <c r="D68" s="5555"/>
      <c r="E68" s="5556"/>
      <c r="F68" s="1926"/>
      <c r="G68" s="5447" t="s">
        <v>2157</v>
      </c>
      <c r="H68" s="5447"/>
      <c r="I68" s="5447"/>
      <c r="J68" s="5447"/>
      <c r="K68" s="5447"/>
      <c r="L68" s="5447"/>
      <c r="M68" s="5447"/>
      <c r="N68" s="5447"/>
      <c r="O68" s="5447"/>
      <c r="P68" s="5447"/>
      <c r="Q68" s="5447"/>
      <c r="R68" s="5447"/>
      <c r="S68" s="1925"/>
      <c r="T68" s="1981" t="str">
        <f>IF(OR(H81&lt;&gt;"",H82&lt;&gt;"",H83&lt;&gt;"",H84&lt;&gt;"",H85&lt;&gt;""),"⇒⇒ TR・Cable data 登録できます。","")</f>
        <v>⇒⇒ TR・Cable data 登録できます。</v>
      </c>
      <c r="U68" s="1925"/>
      <c r="V68" s="1980"/>
      <c r="W68" s="1979"/>
      <c r="X68" s="1931"/>
      <c r="Y68" s="1931"/>
      <c r="Z68" s="1931"/>
      <c r="AA68" s="1931"/>
      <c r="AB68" s="1931"/>
      <c r="AC68" s="1978"/>
      <c r="AD68" s="1807"/>
      <c r="AF68" s="1865"/>
      <c r="AG68" s="1971"/>
      <c r="AH68" s="1865"/>
      <c r="AJ68" s="2176">
        <f t="shared" ref="AJ68:AJ77" si="13">IF(H81="","",IF(D81="1φ60Hz",VLOOKUP(H81,TR1φ60,2,FALSE),IF(D81="3φ60Hz",VLOOKUP(H81,TR3φ60,2,FALSE),IF(D81="1φ50Hz",VLOOKUP(H81,TR1φ50,2,FALSE),IF(D81="3φ50Hz",VLOOKUP(H81,TR3φ50,2,FALSE))))))</f>
        <v>1.42</v>
      </c>
      <c r="AK68" s="2176">
        <f t="shared" ref="AK68:AK77" si="14">IF(H81="","",IF(D81="1φ60Hz",VLOOKUP(H81,TR1φ60,3,FALSE),IF(D81="3φ60Hz",VLOOKUP(H81,TR3φ60,3,FALSE),IF(D81="1φ50Hz",VLOOKUP(H81,TR1φ50,3,FALSE),IF(D81="3φ50Hz",VLOOKUP(H81,TR3φ50,3,FALSE))))))</f>
        <v>2.54</v>
      </c>
      <c r="AL68" s="1977"/>
      <c r="AM68" s="1977"/>
      <c r="AN68" s="1977"/>
      <c r="AO68" s="1977"/>
      <c r="AP68" s="1977"/>
      <c r="AQ68" s="2177">
        <f t="shared" ref="AQ68:AQ77" si="15">IF(L81="IV",VLOOKUP(N81,ＩＶ,2,FALSE),IF(OR(L81="CV2C",L81="CV3C"),VLOOKUP(N81,ＣＶ,2,FALSE),IF(L81="CVT",VLOOKUP(N81,ＣＶＴ,2,FALSE),"")))</f>
        <v>1.71</v>
      </c>
      <c r="AR68" s="2176">
        <f t="shared" ref="AR68:AR77" si="16">IF(L81="IV",VLOOKUP(N81,ＩＶ,3,FALSE),IF(OR(L81="CV2C",L81="CV3C"),VLOOKUP(N81,ＣＶ,3,FALSE),IF(L81="CVT",VLOOKUP(N81,ＣＶＴ,3,FALSE),"")))</f>
        <v>0.107</v>
      </c>
    </row>
    <row r="69" spans="1:46" s="1805" customFormat="1" ht="13.5" customHeight="1">
      <c r="A69" s="1811"/>
      <c r="B69" s="1921"/>
      <c r="C69" s="1920"/>
      <c r="D69" s="1920"/>
      <c r="E69" s="1920"/>
      <c r="F69" s="1892"/>
      <c r="G69" s="1892"/>
      <c r="H69" s="1892"/>
      <c r="I69" s="1892"/>
      <c r="J69" s="1898"/>
      <c r="K69" s="1898"/>
      <c r="L69" s="1892"/>
      <c r="M69" s="1892"/>
      <c r="N69" s="1892"/>
      <c r="O69" s="1892"/>
      <c r="P69" s="1892"/>
      <c r="Q69" s="1892"/>
      <c r="R69" s="1897"/>
      <c r="S69" s="1892"/>
      <c r="T69" s="1892"/>
      <c r="U69" s="1892"/>
      <c r="V69" s="1892"/>
      <c r="W69" s="1890"/>
      <c r="X69" s="1853"/>
      <c r="Y69" s="1976"/>
      <c r="Z69" s="1976"/>
      <c r="AA69" s="1946"/>
      <c r="AB69" s="1946"/>
      <c r="AC69" s="1975"/>
      <c r="AD69" s="1807"/>
      <c r="AF69" s="1865" t="s">
        <v>2156</v>
      </c>
      <c r="AG69" s="1971">
        <v>205</v>
      </c>
      <c r="AH69" s="1865">
        <v>50</v>
      </c>
      <c r="AJ69" s="2176">
        <f t="shared" si="13"/>
        <v>1.42</v>
      </c>
      <c r="AK69" s="2176">
        <f t="shared" si="14"/>
        <v>2.54</v>
      </c>
      <c r="AQ69" s="2176">
        <f t="shared" si="15"/>
        <v>0.626</v>
      </c>
      <c r="AR69" s="2176">
        <f t="shared" si="16"/>
        <v>7.7100000000000002E-2</v>
      </c>
    </row>
    <row r="70" spans="1:46" s="1805" customFormat="1" ht="13.5" customHeight="1">
      <c r="A70" s="1811"/>
      <c r="B70" s="1974"/>
      <c r="C70" s="1972" t="s">
        <v>2155</v>
      </c>
      <c r="D70" s="1972"/>
      <c r="E70" s="1972"/>
      <c r="F70" s="1973"/>
      <c r="G70" s="1973"/>
      <c r="H70" s="1973"/>
      <c r="I70" s="1973"/>
      <c r="J70" s="1966"/>
      <c r="K70" s="1966"/>
      <c r="L70" s="1957"/>
      <c r="M70" s="1957"/>
      <c r="N70" s="1957"/>
      <c r="O70" s="1892"/>
      <c r="P70" s="1892"/>
      <c r="Q70" s="1904"/>
      <c r="R70" s="1970"/>
      <c r="S70" s="1904"/>
      <c r="T70" s="1904"/>
      <c r="U70" s="1904"/>
      <c r="V70" s="1904"/>
      <c r="W70" s="1902"/>
      <c r="X70" s="1969"/>
      <c r="Y70" s="1968"/>
      <c r="Z70" s="1968"/>
      <c r="AA70" s="1968"/>
      <c r="AB70" s="1968"/>
      <c r="AC70" s="1975"/>
      <c r="AD70" s="1807"/>
      <c r="AF70" s="1865" t="s">
        <v>2154</v>
      </c>
      <c r="AG70" s="1971">
        <v>210</v>
      </c>
      <c r="AH70" s="1865">
        <v>75</v>
      </c>
      <c r="AJ70" s="2176">
        <f t="shared" si="13"/>
        <v>1.42</v>
      </c>
      <c r="AK70" s="2176">
        <f t="shared" si="14"/>
        <v>2.54</v>
      </c>
      <c r="AQ70" s="2176">
        <f t="shared" si="15"/>
        <v>0.39700000000000002</v>
      </c>
      <c r="AR70" s="2176">
        <f t="shared" si="16"/>
        <v>9.0499999999999997E-2</v>
      </c>
    </row>
    <row r="71" spans="1:46" s="1805" customFormat="1" ht="13.5" customHeight="1">
      <c r="A71" s="1811"/>
      <c r="B71" s="1974" t="s">
        <v>2153</v>
      </c>
      <c r="C71" s="1972" t="s">
        <v>2152</v>
      </c>
      <c r="D71" s="1972"/>
      <c r="E71" s="1972"/>
      <c r="F71" s="1973"/>
      <c r="G71" s="1973"/>
      <c r="H71" s="1973"/>
      <c r="I71" s="1973"/>
      <c r="J71" s="1966"/>
      <c r="K71" s="1966"/>
      <c r="L71" s="1957"/>
      <c r="M71" s="1957"/>
      <c r="N71" s="1957"/>
      <c r="O71" s="1892"/>
      <c r="P71" s="1892"/>
      <c r="Q71" s="1904"/>
      <c r="R71" s="1970"/>
      <c r="S71" s="1904"/>
      <c r="T71" s="1904"/>
      <c r="U71" s="1904"/>
      <c r="V71" s="1904"/>
      <c r="W71" s="1902"/>
      <c r="X71" s="1969"/>
      <c r="Y71" s="1968"/>
      <c r="Z71" s="1968"/>
      <c r="AA71" s="1946"/>
      <c r="AB71" s="1946"/>
      <c r="AC71" s="1945"/>
      <c r="AD71" s="1807"/>
      <c r="AF71" s="1865"/>
      <c r="AG71" s="1971">
        <v>215</v>
      </c>
      <c r="AH71" s="1865">
        <v>100</v>
      </c>
      <c r="AJ71" s="2176">
        <f t="shared" si="13"/>
        <v>1.42</v>
      </c>
      <c r="AK71" s="2176">
        <f t="shared" si="14"/>
        <v>2.54</v>
      </c>
      <c r="AQ71" s="2176">
        <f t="shared" si="15"/>
        <v>0.24</v>
      </c>
      <c r="AR71" s="2176">
        <f t="shared" si="16"/>
        <v>8.8300000000000003E-2</v>
      </c>
    </row>
    <row r="72" spans="1:46" s="1805" customFormat="1" ht="13.5" customHeight="1">
      <c r="A72" s="1811"/>
      <c r="B72" s="1974"/>
      <c r="C72" s="1972" t="s">
        <v>2151</v>
      </c>
      <c r="D72" s="1972"/>
      <c r="E72" s="1972"/>
      <c r="F72" s="1973"/>
      <c r="G72" s="1973"/>
      <c r="H72" s="1973"/>
      <c r="I72" s="1973"/>
      <c r="J72" s="1966"/>
      <c r="K72" s="1966"/>
      <c r="L72" s="1957"/>
      <c r="M72" s="1957"/>
      <c r="N72" s="1957"/>
      <c r="O72" s="1892"/>
      <c r="P72" s="1892"/>
      <c r="Q72" s="1904"/>
      <c r="R72" s="1970"/>
      <c r="S72" s="1904"/>
      <c r="T72" s="1904"/>
      <c r="U72" s="1904"/>
      <c r="V72" s="1904"/>
      <c r="W72" s="1902"/>
      <c r="X72" s="1969"/>
      <c r="Y72" s="1968"/>
      <c r="Z72" s="1968"/>
      <c r="AA72" s="1946"/>
      <c r="AB72" s="1946"/>
      <c r="AC72" s="1945"/>
      <c r="AD72" s="1807"/>
      <c r="AF72" s="1971" t="s">
        <v>2150</v>
      </c>
      <c r="AG72" s="1971">
        <v>220</v>
      </c>
      <c r="AH72" s="1865">
        <v>150</v>
      </c>
      <c r="AJ72" s="2176" t="str">
        <f t="shared" si="13"/>
        <v/>
      </c>
      <c r="AK72" s="2176" t="str">
        <f t="shared" si="14"/>
        <v/>
      </c>
      <c r="AQ72" s="2176" t="str">
        <f t="shared" si="15"/>
        <v/>
      </c>
      <c r="AR72" s="2176" t="str">
        <f t="shared" si="16"/>
        <v/>
      </c>
    </row>
    <row r="73" spans="1:46" s="1805" customFormat="1" ht="13.5" customHeight="1">
      <c r="A73" s="1811"/>
      <c r="B73" s="1894"/>
      <c r="C73" s="1957"/>
      <c r="D73" s="1957"/>
      <c r="E73" s="1957"/>
      <c r="F73" s="1957"/>
      <c r="G73" s="1957"/>
      <c r="H73" s="1957"/>
      <c r="I73" s="1957"/>
      <c r="J73" s="1966"/>
      <c r="K73" s="1966"/>
      <c r="L73" s="1957"/>
      <c r="M73" s="1957"/>
      <c r="N73" s="1957"/>
      <c r="O73" s="1892"/>
      <c r="P73" s="1892"/>
      <c r="Q73" s="1904"/>
      <c r="R73" s="1970"/>
      <c r="S73" s="1904"/>
      <c r="T73" s="1904"/>
      <c r="U73" s="1904"/>
      <c r="V73" s="1904"/>
      <c r="W73" s="1902"/>
      <c r="X73" s="1969"/>
      <c r="Y73" s="1968"/>
      <c r="Z73" s="1968"/>
      <c r="AA73" s="1946"/>
      <c r="AB73" s="1946"/>
      <c r="AC73" s="1945"/>
      <c r="AD73" s="1807"/>
      <c r="AF73" s="1971" t="s">
        <v>2149</v>
      </c>
      <c r="AG73" s="1971">
        <v>225</v>
      </c>
      <c r="AH73" s="1865">
        <v>200</v>
      </c>
      <c r="AJ73" s="2176">
        <f t="shared" si="13"/>
        <v>1.41</v>
      </c>
      <c r="AK73" s="2176">
        <f t="shared" si="14"/>
        <v>3.26</v>
      </c>
      <c r="AQ73" s="2176">
        <f t="shared" si="15"/>
        <v>0.626</v>
      </c>
      <c r="AR73" s="2176">
        <f t="shared" si="16"/>
        <v>9.3899999999999997E-2</v>
      </c>
    </row>
    <row r="74" spans="1:46" s="1805" customFormat="1" ht="13.5" customHeight="1">
      <c r="A74" s="1811"/>
      <c r="B74" s="1894"/>
      <c r="C74" s="1972" t="s">
        <v>2148</v>
      </c>
      <c r="D74" s="1957"/>
      <c r="E74" s="1957"/>
      <c r="F74" s="1957"/>
      <c r="G74" s="1957"/>
      <c r="H74" s="1957"/>
      <c r="I74" s="1957"/>
      <c r="J74" s="1966"/>
      <c r="K74" s="1966"/>
      <c r="L74" s="1957"/>
      <c r="M74" s="1957"/>
      <c r="N74" s="1957"/>
      <c r="O74" s="1892"/>
      <c r="P74" s="1892"/>
      <c r="Q74" s="1904"/>
      <c r="R74" s="1970"/>
      <c r="S74" s="1904"/>
      <c r="T74" s="1904"/>
      <c r="U74" s="1904"/>
      <c r="V74" s="1904"/>
      <c r="W74" s="1902"/>
      <c r="X74" s="1969"/>
      <c r="Y74" s="1968"/>
      <c r="Z74" s="1968"/>
      <c r="AA74" s="1946"/>
      <c r="AB74" s="1946"/>
      <c r="AC74" s="1945"/>
      <c r="AD74" s="1807"/>
      <c r="AF74" s="1971"/>
      <c r="AG74" s="1865"/>
      <c r="AH74" s="1865">
        <v>250</v>
      </c>
      <c r="AJ74" s="2176">
        <f t="shared" si="13"/>
        <v>1.41</v>
      </c>
      <c r="AK74" s="2176">
        <f t="shared" si="14"/>
        <v>3.26</v>
      </c>
      <c r="AQ74" s="2176">
        <f t="shared" si="15"/>
        <v>0.39700000000000002</v>
      </c>
      <c r="AR74" s="2176">
        <f t="shared" si="16"/>
        <v>9.0499999999999997E-2</v>
      </c>
    </row>
    <row r="75" spans="1:46" s="1805" customFormat="1" ht="13.5" customHeight="1">
      <c r="A75" s="1811"/>
      <c r="B75" s="1894"/>
      <c r="C75" s="1960" t="s">
        <v>2147</v>
      </c>
      <c r="D75" s="1957"/>
      <c r="E75" s="1957"/>
      <c r="F75" s="1957"/>
      <c r="G75" s="1957"/>
      <c r="H75" s="1957"/>
      <c r="I75" s="1957"/>
      <c r="J75" s="1966"/>
      <c r="K75" s="1966"/>
      <c r="L75" s="1957"/>
      <c r="M75" s="1957"/>
      <c r="N75" s="1957"/>
      <c r="O75" s="5550" t="s">
        <v>2146</v>
      </c>
      <c r="P75" s="5551"/>
      <c r="Q75" s="1904"/>
      <c r="R75" s="1970"/>
      <c r="S75" s="1904"/>
      <c r="T75" s="1904"/>
      <c r="U75" s="1904"/>
      <c r="V75" s="1904"/>
      <c r="W75" s="1902"/>
      <c r="X75" s="1969"/>
      <c r="Y75" s="1968"/>
      <c r="Z75" s="1968"/>
      <c r="AA75" s="1968"/>
      <c r="AB75" s="1968"/>
      <c r="AC75" s="1967"/>
      <c r="AD75" s="1807"/>
      <c r="AH75" s="1865">
        <v>300</v>
      </c>
      <c r="AJ75" s="2176">
        <f t="shared" si="13"/>
        <v>1.41</v>
      </c>
      <c r="AK75" s="2176">
        <f t="shared" si="14"/>
        <v>3.26</v>
      </c>
      <c r="AQ75" s="2176">
        <f t="shared" si="15"/>
        <v>0.24</v>
      </c>
      <c r="AR75" s="2176">
        <f t="shared" si="16"/>
        <v>8.8300000000000003E-2</v>
      </c>
    </row>
    <row r="76" spans="1:46" s="1805" customFormat="1" ht="13.5" customHeight="1">
      <c r="A76" s="1811"/>
      <c r="B76" s="1894"/>
      <c r="C76" s="1960" t="s">
        <v>2145</v>
      </c>
      <c r="D76" s="1957"/>
      <c r="E76" s="1957"/>
      <c r="F76" s="1957"/>
      <c r="G76" s="1957"/>
      <c r="H76" s="1957"/>
      <c r="I76" s="1957"/>
      <c r="J76" s="1966"/>
      <c r="K76" s="1966"/>
      <c r="L76" s="1957"/>
      <c r="M76" s="1957"/>
      <c r="N76" s="1957"/>
      <c r="O76" s="5550" t="s">
        <v>2144</v>
      </c>
      <c r="P76" s="5551"/>
      <c r="Q76" s="1892"/>
      <c r="R76" s="1897"/>
      <c r="S76" s="1892"/>
      <c r="T76" s="1892"/>
      <c r="U76" s="1892"/>
      <c r="V76" s="1892"/>
      <c r="W76" s="1890"/>
      <c r="X76" s="1853"/>
      <c r="Y76" s="1946"/>
      <c r="Z76" s="1946"/>
      <c r="AA76" s="1946"/>
      <c r="AB76" s="1946"/>
      <c r="AC76" s="1945"/>
      <c r="AD76" s="1807"/>
      <c r="AJ76" s="2176">
        <f t="shared" si="13"/>
        <v>1.41</v>
      </c>
      <c r="AK76" s="2176">
        <f t="shared" si="14"/>
        <v>3.26</v>
      </c>
      <c r="AQ76" s="2176">
        <f t="shared" si="15"/>
        <v>0.24</v>
      </c>
      <c r="AR76" s="2176">
        <f t="shared" si="16"/>
        <v>8.8300000000000003E-2</v>
      </c>
    </row>
    <row r="77" spans="1:46" s="1805" customFormat="1" ht="13.5" customHeight="1">
      <c r="A77" s="1811"/>
      <c r="B77" s="1894"/>
      <c r="C77" s="1960" t="s">
        <v>2143</v>
      </c>
      <c r="D77" s="1957"/>
      <c r="E77" s="1957"/>
      <c r="F77" s="1957"/>
      <c r="G77" s="1957"/>
      <c r="H77" s="1957"/>
      <c r="I77" s="1957"/>
      <c r="J77" s="1966"/>
      <c r="K77" s="1966"/>
      <c r="L77" s="1957"/>
      <c r="M77" s="1957"/>
      <c r="N77" s="1957"/>
      <c r="O77" s="5550" t="s">
        <v>2142</v>
      </c>
      <c r="P77" s="5551"/>
      <c r="Q77" s="1920"/>
      <c r="R77" s="1965"/>
      <c r="S77" s="1920"/>
      <c r="T77" s="1920"/>
      <c r="U77" s="1920"/>
      <c r="V77" s="1920"/>
      <c r="W77" s="1964"/>
      <c r="X77" s="1963"/>
      <c r="Y77" s="1962"/>
      <c r="Z77" s="1962"/>
      <c r="AA77" s="1962"/>
      <c r="AB77" s="1962"/>
      <c r="AC77" s="1961"/>
      <c r="AD77" s="1807"/>
      <c r="AJ77" s="2176" t="str">
        <f t="shared" si="13"/>
        <v/>
      </c>
      <c r="AK77" s="2176" t="str">
        <f t="shared" si="14"/>
        <v/>
      </c>
      <c r="AQ77" s="2176" t="str">
        <f t="shared" si="15"/>
        <v/>
      </c>
      <c r="AR77" s="2176" t="str">
        <f t="shared" si="16"/>
        <v/>
      </c>
    </row>
    <row r="78" spans="1:46" s="1805" customFormat="1" ht="13.5" customHeight="1" thickBot="1">
      <c r="A78" s="1811"/>
      <c r="B78" s="1894"/>
      <c r="C78" s="1960"/>
      <c r="D78" s="1959"/>
      <c r="E78" s="1959"/>
      <c r="F78" s="1959"/>
      <c r="G78" s="1959"/>
      <c r="H78" s="1959"/>
      <c r="I78" s="1959"/>
      <c r="J78" s="1958"/>
      <c r="K78" s="1958"/>
      <c r="L78" s="1957"/>
      <c r="M78" s="1957"/>
      <c r="N78" s="1957"/>
      <c r="O78" s="1892"/>
      <c r="P78" s="1892"/>
      <c r="Q78" s="1892"/>
      <c r="R78" s="1897"/>
      <c r="S78" s="1892"/>
      <c r="T78" s="1892"/>
      <c r="U78" s="1892"/>
      <c r="V78" s="1892"/>
      <c r="W78" s="1890"/>
      <c r="X78" s="1853"/>
      <c r="Y78" s="1946"/>
      <c r="Z78" s="1946"/>
      <c r="AA78" s="1946"/>
      <c r="AB78" s="1946"/>
      <c r="AC78" s="1945"/>
      <c r="AD78" s="1807"/>
    </row>
    <row r="79" spans="1:46" s="1805" customFormat="1" ht="13.5" customHeight="1" thickBot="1">
      <c r="A79" s="1811"/>
      <c r="B79" s="1894"/>
      <c r="C79" s="5557" t="s">
        <v>2141</v>
      </c>
      <c r="D79" s="5527" t="s">
        <v>2140</v>
      </c>
      <c r="E79" s="5528"/>
      <c r="F79" s="5528"/>
      <c r="G79" s="5528"/>
      <c r="H79" s="5528"/>
      <c r="I79" s="5528"/>
      <c r="J79" s="5528"/>
      <c r="K79" s="5529"/>
      <c r="L79" s="5527" t="s">
        <v>2139</v>
      </c>
      <c r="M79" s="5528"/>
      <c r="N79" s="5528"/>
      <c r="O79" s="5528"/>
      <c r="P79" s="5528"/>
      <c r="Q79" s="5529"/>
      <c r="R79" s="5527" t="s">
        <v>2138</v>
      </c>
      <c r="S79" s="5528"/>
      <c r="T79" s="5528"/>
      <c r="U79" s="5528"/>
      <c r="V79" s="5528"/>
      <c r="W79" s="5528"/>
      <c r="X79" s="5528"/>
      <c r="Y79" s="5528"/>
      <c r="Z79" s="5528"/>
      <c r="AA79" s="5530"/>
      <c r="AB79" s="1946"/>
      <c r="AC79" s="1945"/>
      <c r="AD79" s="1807"/>
      <c r="AH79" s="5514" t="s">
        <v>2137</v>
      </c>
      <c r="AI79" s="5515"/>
      <c r="AJ79" s="5516" t="s">
        <v>2136</v>
      </c>
      <c r="AK79" s="5522"/>
      <c r="AL79" s="5514" t="s">
        <v>2135</v>
      </c>
      <c r="AM79" s="5515"/>
      <c r="AN79" s="1956" t="s">
        <v>2134</v>
      </c>
      <c r="AO79" s="5514" t="s">
        <v>2133</v>
      </c>
      <c r="AP79" s="5515"/>
      <c r="AQ79" s="5516" t="s">
        <v>2132</v>
      </c>
      <c r="AR79" s="5517"/>
      <c r="AS79" s="5518" t="s">
        <v>2131</v>
      </c>
      <c r="AT79" s="5517"/>
    </row>
    <row r="80" spans="1:46" s="1805" customFormat="1" ht="13.5" customHeight="1" thickBot="1">
      <c r="A80" s="1811"/>
      <c r="B80" s="1894"/>
      <c r="C80" s="5558"/>
      <c r="D80" s="5525" t="s">
        <v>2130</v>
      </c>
      <c r="E80" s="5526"/>
      <c r="F80" s="5525" t="s">
        <v>2129</v>
      </c>
      <c r="G80" s="5526"/>
      <c r="H80" s="5525" t="s">
        <v>2094</v>
      </c>
      <c r="I80" s="5526"/>
      <c r="J80" s="5523" t="s">
        <v>2128</v>
      </c>
      <c r="K80" s="5524"/>
      <c r="L80" s="5525" t="s">
        <v>2127</v>
      </c>
      <c r="M80" s="5526"/>
      <c r="N80" s="5525" t="s">
        <v>1935</v>
      </c>
      <c r="O80" s="5526"/>
      <c r="P80" s="5525" t="s">
        <v>2126</v>
      </c>
      <c r="Q80" s="5526"/>
      <c r="R80" s="5525" t="s">
        <v>2125</v>
      </c>
      <c r="S80" s="5526"/>
      <c r="T80" s="5525" t="s">
        <v>2124</v>
      </c>
      <c r="U80" s="5526"/>
      <c r="V80" s="5525" t="s">
        <v>2123</v>
      </c>
      <c r="W80" s="5526"/>
      <c r="X80" s="5523" t="s">
        <v>2122</v>
      </c>
      <c r="Y80" s="5524"/>
      <c r="Z80" s="5523" t="s">
        <v>2121</v>
      </c>
      <c r="AA80" s="5531"/>
      <c r="AB80" s="1946"/>
      <c r="AC80" s="1945"/>
      <c r="AD80" s="1807"/>
      <c r="AF80" s="1955" t="s">
        <v>2120</v>
      </c>
      <c r="AG80" s="1950" t="s">
        <v>2119</v>
      </c>
      <c r="AH80" s="1951" t="s">
        <v>2118</v>
      </c>
      <c r="AI80" s="1953" t="s">
        <v>2117</v>
      </c>
      <c r="AJ80" s="1952" t="s">
        <v>2116</v>
      </c>
      <c r="AK80" s="1953" t="s">
        <v>2115</v>
      </c>
      <c r="AL80" s="1952" t="s">
        <v>2114</v>
      </c>
      <c r="AM80" s="1950" t="s">
        <v>2113</v>
      </c>
      <c r="AN80" s="1954" t="s">
        <v>2112</v>
      </c>
      <c r="AO80" s="1951" t="s">
        <v>2111</v>
      </c>
      <c r="AP80" s="1953" t="s">
        <v>2110</v>
      </c>
      <c r="AQ80" s="1952" t="s">
        <v>2109</v>
      </c>
      <c r="AR80" s="1950" t="s">
        <v>2035</v>
      </c>
      <c r="AS80" s="1951" t="s">
        <v>2108</v>
      </c>
      <c r="AT80" s="1950" t="s">
        <v>2107</v>
      </c>
    </row>
    <row r="81" spans="1:46" s="1805" customFormat="1" ht="13.5" customHeight="1">
      <c r="A81" s="1811"/>
      <c r="B81" s="1894"/>
      <c r="C81" s="1949">
        <f>IF(OR(D81="",F81="",H81="",T81=""),"",1)</f>
        <v>1</v>
      </c>
      <c r="D81" s="5504" t="s">
        <v>2102</v>
      </c>
      <c r="E81" s="5505"/>
      <c r="F81" s="5506">
        <v>210</v>
      </c>
      <c r="G81" s="5507"/>
      <c r="H81" s="5508">
        <v>100</v>
      </c>
      <c r="I81" s="5509"/>
      <c r="J81" s="5510"/>
      <c r="K81" s="5511"/>
      <c r="L81" s="5512" t="s">
        <v>99</v>
      </c>
      <c r="M81" s="5513"/>
      <c r="N81" s="5477">
        <v>14</v>
      </c>
      <c r="O81" s="5478"/>
      <c r="P81" s="5475">
        <v>60</v>
      </c>
      <c r="Q81" s="5476"/>
      <c r="R81" s="5495" t="s">
        <v>2106</v>
      </c>
      <c r="S81" s="5496"/>
      <c r="T81" s="5497">
        <v>10</v>
      </c>
      <c r="U81" s="5498"/>
      <c r="V81" s="5499">
        <v>0.85</v>
      </c>
      <c r="W81" s="5500"/>
      <c r="X81" s="5501">
        <f t="shared" ref="X81:X90" si="17">IF(D81="","",IF(OR(D81="3φ50Hz",D81="3φ60Hz"),AF81*SQRT(AS81^2+AT81^2),AF81*SQRT(AS81^2+AT81^2)/SQRT(3)))</f>
        <v>202.58345297006929</v>
      </c>
      <c r="Y81" s="5502"/>
      <c r="Z81" s="5501">
        <f t="shared" ref="Z81:Z90" si="18">IF(C81="","",AF81)</f>
        <v>54.043871674021418</v>
      </c>
      <c r="AA81" s="5503"/>
      <c r="AB81" s="1946"/>
      <c r="AC81" s="1945"/>
      <c r="AD81" s="1807"/>
      <c r="AF81" s="2178">
        <f t="shared" ref="AF81:AF90" si="19">IF(C81="","",IF(OR(D81="3φ60Hz",D81="3φ50Hz"),AG81/SQRT(AO81^2+AP81^2),SQRT(3)*AG81/SQRT(AO81^2+AP81^2)))</f>
        <v>54.043871674021418</v>
      </c>
      <c r="AG81" s="2179">
        <f t="shared" ref="AG81:AG90" si="20">IF(C81="","",F81*SQRT(AL81^2+AM81^2)/SQRT(AH81^2+AI81^2))</f>
        <v>209.399083495539</v>
      </c>
      <c r="AH81" s="2180">
        <f t="shared" ref="AH81:AH90" si="21">AJ81+AL81</f>
        <v>5.775790032913303</v>
      </c>
      <c r="AI81" s="2181">
        <f t="shared" ref="AI81:AI90" si="22">AK81+AM81</f>
        <v>3.4549946956393334</v>
      </c>
      <c r="AJ81" s="2182">
        <f t="shared" ref="AJ81:AJ90" si="23">IF(H81="",0,SQRT(3)*F81^2*10^-3*AJ68/(H81*100))</f>
        <v>1.0846448567157822E-2</v>
      </c>
      <c r="AK81" s="2181">
        <f t="shared" ref="AK81:AK90" si="24">IF(H81="",0,SQRT(3)*F81^2*10^-3*AK68/(H81*100))</f>
        <v>1.9401393915902024E-2</v>
      </c>
      <c r="AL81" s="2182">
        <f t="shared" ref="AL81:AL90" si="25">AO81/((AO81*AN81)^2+(AN81*AP81-1)^2)</f>
        <v>5.7649435843461454</v>
      </c>
      <c r="AM81" s="2183">
        <f t="shared" ref="AM81:AM90" si="26">(AP81-AN81*(AO81^2+AP81^2))/((AO81*AN81)^2+(AN81*AP81-1)^2)</f>
        <v>3.4355933017234315</v>
      </c>
      <c r="AN81" s="2183">
        <f t="shared" ref="AN81:AN90" si="27">IF(J81="",0,SQRT(3)*J81*1000/(3*F81^2))</f>
        <v>0</v>
      </c>
      <c r="AO81" s="2180">
        <f t="shared" ref="AO81:AO90" si="28">IF(AQ68="",0,AQ81+AS81)</f>
        <v>5.7649435843461454</v>
      </c>
      <c r="AP81" s="2181">
        <f t="shared" ref="AP81:AP90" si="29">IF(AR68="",0,AR81+AT81)</f>
        <v>3.4355933017234315</v>
      </c>
      <c r="AQ81" s="2182">
        <f t="shared" ref="AQ81:AQ90" si="30">IF(D81="1φ50Hz",2*1*P81*AQ68/1000,IF(D81="1φ60Hz",2*1.2*P81*AQ68/1000,IF(D81="3φ50Hz",SQRT(3)*1*P81*AQ68/1000,IF(D81="3φ60Hz",SQRT(3)*1.2*P81*AQ68/1000,""))))</f>
        <v>0.24624000000000001</v>
      </c>
      <c r="AR81" s="2184">
        <f t="shared" ref="AR81:AR90" si="31">IF(D81="1φ50Hz",2*1*P81*AR68/1000,IF(D81="1φ60Hz",2*1.2*P81*AR68/1000,IF(D81="3φ50Hz",SQRT(3)*1*P81*AR68/1000,IF(D81="3φ60Hz",SQRT(3)*1.2*P81*AR68/1000,""))))</f>
        <v>1.5408E-2</v>
      </c>
      <c r="AS81" s="2180">
        <f t="shared" ref="AS81:AS90" si="32">IF(T81="","",(SQRT(3)*F81^2*V81^2*10^-3)/T81)</f>
        <v>5.5187035843461452</v>
      </c>
      <c r="AT81" s="2184">
        <f t="shared" ref="AT81:AT90" si="33">IF(T81="","",AS81*SQRT(1-V81^2)/V81)</f>
        <v>3.4201853017234316</v>
      </c>
    </row>
    <row r="82" spans="1:46" s="1805" customFormat="1" ht="13.5" customHeight="1">
      <c r="A82" s="1811"/>
      <c r="B82" s="1894"/>
      <c r="C82" s="1948">
        <f t="shared" ref="C82:C90" si="34">IF(T82="","",IF(C81="",1,C81+1))</f>
        <v>2</v>
      </c>
      <c r="D82" s="5504" t="s">
        <v>2102</v>
      </c>
      <c r="E82" s="5505"/>
      <c r="F82" s="5506">
        <v>210</v>
      </c>
      <c r="G82" s="5507"/>
      <c r="H82" s="5508">
        <v>100</v>
      </c>
      <c r="I82" s="5509"/>
      <c r="J82" s="5510"/>
      <c r="K82" s="5511"/>
      <c r="L82" s="5512" t="s">
        <v>2105</v>
      </c>
      <c r="M82" s="5513"/>
      <c r="N82" s="5477">
        <v>38</v>
      </c>
      <c r="O82" s="5478"/>
      <c r="P82" s="5475">
        <v>60</v>
      </c>
      <c r="Q82" s="5476"/>
      <c r="R82" s="5495" t="s">
        <v>2104</v>
      </c>
      <c r="S82" s="5496"/>
      <c r="T82" s="5497">
        <v>20</v>
      </c>
      <c r="U82" s="5498"/>
      <c r="V82" s="5499">
        <v>0.85</v>
      </c>
      <c r="W82" s="5500"/>
      <c r="X82" s="5501">
        <f t="shared" si="17"/>
        <v>203.60138992271621</v>
      </c>
      <c r="Y82" s="5502"/>
      <c r="Z82" s="5501">
        <f t="shared" si="18"/>
        <v>108.63086030290316</v>
      </c>
      <c r="AA82" s="5503"/>
      <c r="AB82" s="1946"/>
      <c r="AC82" s="1945"/>
      <c r="AD82" s="1807"/>
      <c r="AF82" s="2178">
        <f t="shared" si="19"/>
        <v>108.63086030290316</v>
      </c>
      <c r="AG82" s="2185">
        <f t="shared" si="20"/>
        <v>208.78744596219732</v>
      </c>
      <c r="AH82" s="2186">
        <f t="shared" si="21"/>
        <v>2.8603422407402306</v>
      </c>
      <c r="AI82" s="2187">
        <f t="shared" si="22"/>
        <v>1.7405964447776179</v>
      </c>
      <c r="AJ82" s="2188">
        <f t="shared" si="23"/>
        <v>1.0846448567157822E-2</v>
      </c>
      <c r="AK82" s="2187">
        <f t="shared" si="24"/>
        <v>1.9401393915902024E-2</v>
      </c>
      <c r="AL82" s="2188">
        <f t="shared" si="25"/>
        <v>2.8494957921730726</v>
      </c>
      <c r="AM82" s="2184">
        <f t="shared" si="26"/>
        <v>1.7211950508617158</v>
      </c>
      <c r="AN82" s="2189">
        <f t="shared" si="27"/>
        <v>0</v>
      </c>
      <c r="AO82" s="2180">
        <f t="shared" si="28"/>
        <v>2.8494957921730726</v>
      </c>
      <c r="AP82" s="2181">
        <f t="shared" si="29"/>
        <v>1.7211950508617158</v>
      </c>
      <c r="AQ82" s="2182">
        <f t="shared" si="30"/>
        <v>9.0144000000000002E-2</v>
      </c>
      <c r="AR82" s="2190">
        <f t="shared" si="31"/>
        <v>1.11024E-2</v>
      </c>
      <c r="AS82" s="2186">
        <f t="shared" si="32"/>
        <v>2.7593517921730726</v>
      </c>
      <c r="AT82" s="2190">
        <f t="shared" si="33"/>
        <v>1.7100926508617158</v>
      </c>
    </row>
    <row r="83" spans="1:46" s="1805" customFormat="1" ht="13.5" customHeight="1">
      <c r="A83" s="1811"/>
      <c r="B83" s="1894"/>
      <c r="C83" s="1948">
        <f t="shared" si="34"/>
        <v>3</v>
      </c>
      <c r="D83" s="5504" t="s">
        <v>2102</v>
      </c>
      <c r="E83" s="5505"/>
      <c r="F83" s="5506">
        <v>210</v>
      </c>
      <c r="G83" s="5507"/>
      <c r="H83" s="5508">
        <v>100</v>
      </c>
      <c r="I83" s="5509"/>
      <c r="J83" s="5510"/>
      <c r="K83" s="5511"/>
      <c r="L83" s="5512" t="s">
        <v>99</v>
      </c>
      <c r="M83" s="5513"/>
      <c r="N83" s="5477">
        <v>60</v>
      </c>
      <c r="O83" s="5478"/>
      <c r="P83" s="5475">
        <v>60</v>
      </c>
      <c r="Q83" s="5476"/>
      <c r="R83" s="5495" t="s">
        <v>2103</v>
      </c>
      <c r="S83" s="5496"/>
      <c r="T83" s="5497">
        <v>30</v>
      </c>
      <c r="U83" s="5498"/>
      <c r="V83" s="5499">
        <v>0.85</v>
      </c>
      <c r="W83" s="5500"/>
      <c r="X83" s="5501">
        <f t="shared" si="17"/>
        <v>202.97412812428126</v>
      </c>
      <c r="Y83" s="5502"/>
      <c r="Z83" s="5501">
        <f t="shared" si="18"/>
        <v>162.44428021150964</v>
      </c>
      <c r="AA83" s="5503"/>
      <c r="AB83" s="1946"/>
      <c r="AC83" s="1945"/>
      <c r="AD83" s="1807"/>
      <c r="AF83" s="2178">
        <f t="shared" si="19"/>
        <v>162.44428021150964</v>
      </c>
      <c r="AG83" s="2185">
        <f t="shared" si="20"/>
        <v>208.18302262171161</v>
      </c>
      <c r="AH83" s="2186">
        <f t="shared" si="21"/>
        <v>1.9075823100158729</v>
      </c>
      <c r="AI83" s="2187">
        <f t="shared" si="22"/>
        <v>1.1724951611570458</v>
      </c>
      <c r="AJ83" s="2188">
        <f t="shared" si="23"/>
        <v>1.0846448567157822E-2</v>
      </c>
      <c r="AK83" s="2187">
        <f t="shared" si="24"/>
        <v>1.9401393915902024E-2</v>
      </c>
      <c r="AL83" s="2188">
        <f t="shared" si="25"/>
        <v>1.8967358614487151</v>
      </c>
      <c r="AM83" s="2184">
        <f t="shared" si="26"/>
        <v>1.1530937672411437</v>
      </c>
      <c r="AN83" s="2189">
        <f t="shared" si="27"/>
        <v>0</v>
      </c>
      <c r="AO83" s="2180">
        <f t="shared" si="28"/>
        <v>1.8967358614487151</v>
      </c>
      <c r="AP83" s="2181">
        <f t="shared" si="29"/>
        <v>1.1530937672411437</v>
      </c>
      <c r="AQ83" s="2182">
        <f t="shared" si="30"/>
        <v>5.7168000000000004E-2</v>
      </c>
      <c r="AR83" s="2190">
        <f t="shared" si="31"/>
        <v>1.3032E-2</v>
      </c>
      <c r="AS83" s="2186">
        <f t="shared" si="32"/>
        <v>1.839567861448715</v>
      </c>
      <c r="AT83" s="2190">
        <f t="shared" si="33"/>
        <v>1.1400617672411437</v>
      </c>
    </row>
    <row r="84" spans="1:46" s="1805" customFormat="1" ht="13.5" customHeight="1">
      <c r="A84" s="1811"/>
      <c r="B84" s="1894"/>
      <c r="C84" s="1948">
        <f t="shared" si="34"/>
        <v>4</v>
      </c>
      <c r="D84" s="5504" t="s">
        <v>2102</v>
      </c>
      <c r="E84" s="5505"/>
      <c r="F84" s="5506">
        <v>210</v>
      </c>
      <c r="G84" s="5507"/>
      <c r="H84" s="5508">
        <v>100</v>
      </c>
      <c r="I84" s="5509"/>
      <c r="J84" s="5510"/>
      <c r="K84" s="5511"/>
      <c r="L84" s="5512" t="s">
        <v>99</v>
      </c>
      <c r="M84" s="5513"/>
      <c r="N84" s="5477">
        <v>100</v>
      </c>
      <c r="O84" s="5478"/>
      <c r="P84" s="5475">
        <v>60</v>
      </c>
      <c r="Q84" s="5476"/>
      <c r="R84" s="5495" t="s">
        <v>2101</v>
      </c>
      <c r="S84" s="5496"/>
      <c r="T84" s="5497">
        <v>40</v>
      </c>
      <c r="U84" s="5498"/>
      <c r="V84" s="5499">
        <v>0.85</v>
      </c>
      <c r="W84" s="5500"/>
      <c r="X84" s="5501">
        <f t="shared" si="17"/>
        <v>203.05481430504327</v>
      </c>
      <c r="Y84" s="5502"/>
      <c r="Z84" s="5501">
        <f t="shared" si="18"/>
        <v>216.6784733147054</v>
      </c>
      <c r="AA84" s="5503"/>
      <c r="AB84" s="1946"/>
      <c r="AC84" s="1945"/>
      <c r="AD84" s="1807"/>
      <c r="AF84" s="2178">
        <f t="shared" si="19"/>
        <v>216.6784733147054</v>
      </c>
      <c r="AG84" s="2185">
        <f t="shared" si="20"/>
        <v>207.56973062761452</v>
      </c>
      <c r="AH84" s="2186">
        <f t="shared" si="21"/>
        <v>1.425082344653694</v>
      </c>
      <c r="AI84" s="2187">
        <f t="shared" si="22"/>
        <v>0.88716291934675995</v>
      </c>
      <c r="AJ84" s="2188">
        <f t="shared" si="23"/>
        <v>1.0846448567157822E-2</v>
      </c>
      <c r="AK84" s="2187">
        <f t="shared" si="24"/>
        <v>1.9401393915902024E-2</v>
      </c>
      <c r="AL84" s="2188">
        <f t="shared" si="25"/>
        <v>1.4142358960865362</v>
      </c>
      <c r="AM84" s="2184">
        <f t="shared" si="26"/>
        <v>0.86776152543085794</v>
      </c>
      <c r="AN84" s="2189">
        <f t="shared" si="27"/>
        <v>0</v>
      </c>
      <c r="AO84" s="2180">
        <f t="shared" si="28"/>
        <v>1.4142358960865362</v>
      </c>
      <c r="AP84" s="2181">
        <f t="shared" si="29"/>
        <v>0.86776152543085794</v>
      </c>
      <c r="AQ84" s="2182">
        <f t="shared" si="30"/>
        <v>3.456E-2</v>
      </c>
      <c r="AR84" s="2190">
        <f t="shared" si="31"/>
        <v>1.2715200000000001E-2</v>
      </c>
      <c r="AS84" s="2186">
        <f t="shared" si="32"/>
        <v>1.3796758960865363</v>
      </c>
      <c r="AT84" s="2190">
        <f t="shared" si="33"/>
        <v>0.8550463254308579</v>
      </c>
    </row>
    <row r="85" spans="1:46" s="1805" customFormat="1" ht="13.5" customHeight="1">
      <c r="A85" s="1811"/>
      <c r="B85" s="1894"/>
      <c r="C85" s="1948" t="str">
        <f t="shared" si="34"/>
        <v/>
      </c>
      <c r="D85" s="5504"/>
      <c r="E85" s="5505"/>
      <c r="F85" s="5506"/>
      <c r="G85" s="5507"/>
      <c r="H85" s="5508"/>
      <c r="I85" s="5509"/>
      <c r="J85" s="5510"/>
      <c r="K85" s="5511"/>
      <c r="L85" s="5512"/>
      <c r="M85" s="5513"/>
      <c r="N85" s="5477"/>
      <c r="O85" s="5478"/>
      <c r="P85" s="5475"/>
      <c r="Q85" s="5476"/>
      <c r="R85" s="5495"/>
      <c r="S85" s="5496"/>
      <c r="T85" s="5497"/>
      <c r="U85" s="5498"/>
      <c r="V85" s="5499"/>
      <c r="W85" s="5500"/>
      <c r="X85" s="5501" t="str">
        <f t="shared" si="17"/>
        <v/>
      </c>
      <c r="Y85" s="5502"/>
      <c r="Z85" s="5501" t="str">
        <f t="shared" si="18"/>
        <v/>
      </c>
      <c r="AA85" s="5503"/>
      <c r="AB85" s="1946"/>
      <c r="AC85" s="1945"/>
      <c r="AD85" s="1807"/>
      <c r="AF85" s="2178" t="str">
        <f t="shared" si="19"/>
        <v/>
      </c>
      <c r="AG85" s="2185" t="str">
        <f t="shared" si="20"/>
        <v/>
      </c>
      <c r="AH85" s="2186">
        <f t="shared" si="21"/>
        <v>0</v>
      </c>
      <c r="AI85" s="2187">
        <f t="shared" si="22"/>
        <v>0</v>
      </c>
      <c r="AJ85" s="2188">
        <f t="shared" si="23"/>
        <v>0</v>
      </c>
      <c r="AK85" s="2187">
        <f t="shared" si="24"/>
        <v>0</v>
      </c>
      <c r="AL85" s="2188">
        <f t="shared" si="25"/>
        <v>0</v>
      </c>
      <c r="AM85" s="2184">
        <f t="shared" si="26"/>
        <v>0</v>
      </c>
      <c r="AN85" s="2189">
        <f t="shared" si="27"/>
        <v>0</v>
      </c>
      <c r="AO85" s="2180">
        <f t="shared" si="28"/>
        <v>0</v>
      </c>
      <c r="AP85" s="2181">
        <f t="shared" si="29"/>
        <v>0</v>
      </c>
      <c r="AQ85" s="2182" t="str">
        <f t="shared" si="30"/>
        <v/>
      </c>
      <c r="AR85" s="2190" t="str">
        <f t="shared" si="31"/>
        <v/>
      </c>
      <c r="AS85" s="2186" t="str">
        <f t="shared" si="32"/>
        <v/>
      </c>
      <c r="AT85" s="2190" t="str">
        <f t="shared" si="33"/>
        <v/>
      </c>
    </row>
    <row r="86" spans="1:46" s="1805" customFormat="1" ht="13.5" customHeight="1">
      <c r="A86" s="1811"/>
      <c r="B86" s="1894"/>
      <c r="C86" s="1948">
        <f t="shared" si="34"/>
        <v>1</v>
      </c>
      <c r="D86" s="5504" t="s">
        <v>2097</v>
      </c>
      <c r="E86" s="5505"/>
      <c r="F86" s="5506">
        <v>220</v>
      </c>
      <c r="G86" s="5507"/>
      <c r="H86" s="5508">
        <v>300</v>
      </c>
      <c r="I86" s="5509"/>
      <c r="J86" s="5510">
        <v>12</v>
      </c>
      <c r="K86" s="5511"/>
      <c r="L86" s="5512" t="s">
        <v>99</v>
      </c>
      <c r="M86" s="5513"/>
      <c r="N86" s="5477">
        <v>38</v>
      </c>
      <c r="O86" s="5478"/>
      <c r="P86" s="5475">
        <v>120</v>
      </c>
      <c r="Q86" s="5476"/>
      <c r="R86" s="5495" t="s">
        <v>2100</v>
      </c>
      <c r="S86" s="5496"/>
      <c r="T86" s="5497">
        <v>30</v>
      </c>
      <c r="U86" s="5498"/>
      <c r="V86" s="5499">
        <v>0.75</v>
      </c>
      <c r="W86" s="5500"/>
      <c r="X86" s="5501">
        <f t="shared" si="17"/>
        <v>206.21020465692666</v>
      </c>
      <c r="Y86" s="5502"/>
      <c r="Z86" s="5501">
        <f t="shared" si="18"/>
        <v>98.392989395309456</v>
      </c>
      <c r="AA86" s="5503"/>
      <c r="AB86" s="1946"/>
      <c r="AC86" s="1945"/>
      <c r="AD86" s="1807"/>
      <c r="AF86" s="2178">
        <f t="shared" si="19"/>
        <v>98.392989395309456</v>
      </c>
      <c r="AG86" s="2185">
        <f t="shared" si="20"/>
        <v>219.41838822420758</v>
      </c>
      <c r="AH86" s="2186">
        <f t="shared" si="21"/>
        <v>2.4783685786416463</v>
      </c>
      <c r="AI86" s="2187">
        <f t="shared" si="22"/>
        <v>1.0083376655418779</v>
      </c>
      <c r="AJ86" s="2188">
        <f t="shared" si="23"/>
        <v>3.9400691770576819E-3</v>
      </c>
      <c r="AK86" s="2187">
        <f t="shared" si="24"/>
        <v>9.1096634873815904E-3</v>
      </c>
      <c r="AL86" s="2188">
        <f t="shared" si="25"/>
        <v>2.4744285094645888</v>
      </c>
      <c r="AM86" s="2184">
        <f t="shared" si="26"/>
        <v>0.99922800205449624</v>
      </c>
      <c r="AN86" s="2189">
        <f t="shared" si="27"/>
        <v>0.1431446948404031</v>
      </c>
      <c r="AO86" s="2180">
        <f t="shared" si="28"/>
        <v>1.7279700958662447</v>
      </c>
      <c r="AP86" s="2181">
        <f t="shared" si="29"/>
        <v>1.4096492459237648</v>
      </c>
      <c r="AQ86" s="2182">
        <f t="shared" si="30"/>
        <v>0.15613398799748887</v>
      </c>
      <c r="AR86" s="2190">
        <f t="shared" si="31"/>
        <v>2.3420098199623329E-2</v>
      </c>
      <c r="AS86" s="2186">
        <f t="shared" si="32"/>
        <v>1.5718361078687559</v>
      </c>
      <c r="AT86" s="2190">
        <f t="shared" si="33"/>
        <v>1.3862291477241415</v>
      </c>
    </row>
    <row r="87" spans="1:46" s="1805" customFormat="1" ht="13.5" customHeight="1">
      <c r="A87" s="1811"/>
      <c r="B87" s="1894"/>
      <c r="C87" s="1948">
        <f t="shared" si="34"/>
        <v>2</v>
      </c>
      <c r="D87" s="5504" t="s">
        <v>2097</v>
      </c>
      <c r="E87" s="5505"/>
      <c r="F87" s="5506">
        <v>220</v>
      </c>
      <c r="G87" s="5507"/>
      <c r="H87" s="5508">
        <v>300</v>
      </c>
      <c r="I87" s="5509"/>
      <c r="J87" s="5510">
        <v>17</v>
      </c>
      <c r="K87" s="5511"/>
      <c r="L87" s="5512" t="s">
        <v>99</v>
      </c>
      <c r="M87" s="5513"/>
      <c r="N87" s="5477">
        <v>60</v>
      </c>
      <c r="O87" s="5478"/>
      <c r="P87" s="5475">
        <v>120</v>
      </c>
      <c r="Q87" s="5476"/>
      <c r="R87" s="5495" t="s">
        <v>2099</v>
      </c>
      <c r="S87" s="5496"/>
      <c r="T87" s="5497">
        <v>40</v>
      </c>
      <c r="U87" s="5498"/>
      <c r="V87" s="5499">
        <v>0.75</v>
      </c>
      <c r="W87" s="5500"/>
      <c r="X87" s="5501">
        <f t="shared" si="17"/>
        <v>207.37458508603046</v>
      </c>
      <c r="Y87" s="5502"/>
      <c r="Z87" s="5501">
        <f t="shared" si="18"/>
        <v>131.93142977686682</v>
      </c>
      <c r="AA87" s="5503"/>
      <c r="AB87" s="1946"/>
      <c r="AC87" s="1945"/>
      <c r="AD87" s="1807"/>
      <c r="AF87" s="2178">
        <f t="shared" si="19"/>
        <v>131.93142977686682</v>
      </c>
      <c r="AG87" s="2185">
        <f t="shared" si="20"/>
        <v>219.23565106021618</v>
      </c>
      <c r="AH87" s="2186">
        <f t="shared" si="21"/>
        <v>1.8756689094117671</v>
      </c>
      <c r="AI87" s="2187">
        <f t="shared" si="22"/>
        <v>0.74478124026006276</v>
      </c>
      <c r="AJ87" s="2188">
        <f t="shared" si="23"/>
        <v>3.9400691770576819E-3</v>
      </c>
      <c r="AK87" s="2187">
        <f t="shared" si="24"/>
        <v>9.1096634873815904E-3</v>
      </c>
      <c r="AL87" s="2188">
        <f t="shared" si="25"/>
        <v>1.8717288402347094</v>
      </c>
      <c r="AM87" s="2184">
        <f t="shared" si="26"/>
        <v>0.73567157677268114</v>
      </c>
      <c r="AN87" s="2189">
        <f t="shared" si="27"/>
        <v>0.20278831769057101</v>
      </c>
      <c r="AO87" s="2180">
        <f t="shared" si="28"/>
        <v>1.2778949614686645</v>
      </c>
      <c r="AP87" s="2181">
        <f t="shared" si="29"/>
        <v>1.0622439469173437</v>
      </c>
      <c r="AQ87" s="2182">
        <f t="shared" si="30"/>
        <v>9.901788056709758E-2</v>
      </c>
      <c r="AR87" s="2190">
        <f t="shared" si="31"/>
        <v>2.2572086124237608E-2</v>
      </c>
      <c r="AS87" s="2186">
        <f t="shared" si="32"/>
        <v>1.178877080901567</v>
      </c>
      <c r="AT87" s="2190">
        <f t="shared" si="33"/>
        <v>1.0396718607931061</v>
      </c>
    </row>
    <row r="88" spans="1:46" s="1805" customFormat="1" ht="13.5" customHeight="1">
      <c r="A88" s="1811"/>
      <c r="B88" s="1894"/>
      <c r="C88" s="1948">
        <f t="shared" si="34"/>
        <v>3</v>
      </c>
      <c r="D88" s="5504" t="s">
        <v>2097</v>
      </c>
      <c r="E88" s="5505"/>
      <c r="F88" s="5506">
        <v>220</v>
      </c>
      <c r="G88" s="5507"/>
      <c r="H88" s="5508">
        <v>300</v>
      </c>
      <c r="I88" s="5509"/>
      <c r="J88" s="5510">
        <v>21</v>
      </c>
      <c r="K88" s="5511"/>
      <c r="L88" s="5512" t="s">
        <v>99</v>
      </c>
      <c r="M88" s="5513"/>
      <c r="N88" s="5477">
        <v>100</v>
      </c>
      <c r="O88" s="5478"/>
      <c r="P88" s="5475">
        <v>120</v>
      </c>
      <c r="Q88" s="5476"/>
      <c r="R88" s="5495" t="s">
        <v>2098</v>
      </c>
      <c r="S88" s="5496"/>
      <c r="T88" s="5497">
        <v>50</v>
      </c>
      <c r="U88" s="5498"/>
      <c r="V88" s="5499">
        <v>0.75</v>
      </c>
      <c r="W88" s="5500"/>
      <c r="X88" s="5501">
        <f t="shared" si="17"/>
        <v>209.09587928658505</v>
      </c>
      <c r="Y88" s="5502"/>
      <c r="Z88" s="5501">
        <f t="shared" si="18"/>
        <v>166.28314351591101</v>
      </c>
      <c r="AA88" s="5503"/>
      <c r="AB88" s="1946"/>
      <c r="AC88" s="1945"/>
      <c r="AD88" s="1807"/>
      <c r="AF88" s="2178">
        <f t="shared" si="19"/>
        <v>166.28314351591101</v>
      </c>
      <c r="AG88" s="2185">
        <f t="shared" si="20"/>
        <v>219.01699793055013</v>
      </c>
      <c r="AH88" s="2186">
        <f t="shared" si="21"/>
        <v>1.4764477390606054</v>
      </c>
      <c r="AI88" s="2187">
        <f t="shared" si="22"/>
        <v>0.62453015764109576</v>
      </c>
      <c r="AJ88" s="2188">
        <f t="shared" si="23"/>
        <v>3.9400691770576819E-3</v>
      </c>
      <c r="AK88" s="2187">
        <f t="shared" si="24"/>
        <v>9.1096634873815904E-3</v>
      </c>
      <c r="AL88" s="2188">
        <f t="shared" si="25"/>
        <v>1.4725076698835478</v>
      </c>
      <c r="AM88" s="2184">
        <f t="shared" si="26"/>
        <v>0.61542049415371414</v>
      </c>
      <c r="AN88" s="2189">
        <f t="shared" si="27"/>
        <v>0.25050321597070541</v>
      </c>
      <c r="AO88" s="2180">
        <f t="shared" si="28"/>
        <v>1.002961340630834</v>
      </c>
      <c r="AP88" s="2181">
        <f t="shared" si="29"/>
        <v>0.85376086106288462</v>
      </c>
      <c r="AQ88" s="2182">
        <f t="shared" si="30"/>
        <v>5.9859675909580391E-2</v>
      </c>
      <c r="AR88" s="2190">
        <f t="shared" si="31"/>
        <v>2.2023372428399787E-2</v>
      </c>
      <c r="AS88" s="2186">
        <f t="shared" si="32"/>
        <v>0.94310166472125356</v>
      </c>
      <c r="AT88" s="2190">
        <f t="shared" si="33"/>
        <v>0.83173748863448482</v>
      </c>
    </row>
    <row r="89" spans="1:46" s="1805" customFormat="1" ht="13.5" customHeight="1">
      <c r="A89" s="1811"/>
      <c r="B89" s="1894"/>
      <c r="C89" s="1948">
        <f t="shared" si="34"/>
        <v>4</v>
      </c>
      <c r="D89" s="5504" t="s">
        <v>2097</v>
      </c>
      <c r="E89" s="5505"/>
      <c r="F89" s="5506">
        <v>220</v>
      </c>
      <c r="G89" s="5507"/>
      <c r="H89" s="5508">
        <v>300</v>
      </c>
      <c r="I89" s="5509"/>
      <c r="J89" s="5510">
        <v>25</v>
      </c>
      <c r="K89" s="5511"/>
      <c r="L89" s="5512" t="s">
        <v>99</v>
      </c>
      <c r="M89" s="5513"/>
      <c r="N89" s="5477">
        <v>100</v>
      </c>
      <c r="O89" s="5478"/>
      <c r="P89" s="5475">
        <v>120</v>
      </c>
      <c r="Q89" s="5476"/>
      <c r="R89" s="5495" t="s">
        <v>2096</v>
      </c>
      <c r="S89" s="5496"/>
      <c r="T89" s="5497">
        <v>60</v>
      </c>
      <c r="U89" s="5498"/>
      <c r="V89" s="5499">
        <v>0.75</v>
      </c>
      <c r="W89" s="5500"/>
      <c r="X89" s="5501">
        <f t="shared" si="17"/>
        <v>207.03923918250925</v>
      </c>
      <c r="Y89" s="5502"/>
      <c r="Z89" s="5501">
        <f t="shared" si="18"/>
        <v>197.57712475179676</v>
      </c>
      <c r="AA89" s="5503"/>
      <c r="AB89" s="1946"/>
      <c r="AC89" s="1945"/>
      <c r="AD89" s="1807"/>
      <c r="AF89" s="2178">
        <f t="shared" si="19"/>
        <v>197.57712475179676</v>
      </c>
      <c r="AG89" s="2185">
        <f t="shared" si="20"/>
        <v>218.83504005654066</v>
      </c>
      <c r="AH89" s="2186">
        <f t="shared" si="21"/>
        <v>1.243053653753609</v>
      </c>
      <c r="AI89" s="2187">
        <f t="shared" si="22"/>
        <v>0.52084748593685037</v>
      </c>
      <c r="AJ89" s="2188">
        <f t="shared" si="23"/>
        <v>3.9400691770576819E-3</v>
      </c>
      <c r="AK89" s="2187">
        <f t="shared" si="24"/>
        <v>9.1096634873815904E-3</v>
      </c>
      <c r="AL89" s="2188">
        <f t="shared" si="25"/>
        <v>1.2391135845765513</v>
      </c>
      <c r="AM89" s="2184">
        <f t="shared" si="26"/>
        <v>0.51173782244946875</v>
      </c>
      <c r="AN89" s="2189">
        <f t="shared" si="27"/>
        <v>0.29821811425083977</v>
      </c>
      <c r="AO89" s="2180">
        <f t="shared" si="28"/>
        <v>0.84577772984395838</v>
      </c>
      <c r="AP89" s="2181">
        <f t="shared" si="29"/>
        <v>0.71513794629047056</v>
      </c>
      <c r="AQ89" s="2182">
        <f t="shared" si="30"/>
        <v>5.9859675909580391E-2</v>
      </c>
      <c r="AR89" s="2190">
        <f t="shared" si="31"/>
        <v>2.2023372428399787E-2</v>
      </c>
      <c r="AS89" s="2186">
        <f t="shared" si="32"/>
        <v>0.78591805393437797</v>
      </c>
      <c r="AT89" s="2190">
        <f t="shared" si="33"/>
        <v>0.69311457386207076</v>
      </c>
    </row>
    <row r="90" spans="1:46" s="1805" customFormat="1" ht="13.5" customHeight="1" thickBot="1">
      <c r="A90" s="1811"/>
      <c r="B90" s="1921"/>
      <c r="C90" s="1947" t="str">
        <f t="shared" si="34"/>
        <v/>
      </c>
      <c r="D90" s="5493"/>
      <c r="E90" s="5494"/>
      <c r="F90" s="5465"/>
      <c r="G90" s="5466"/>
      <c r="H90" s="5467"/>
      <c r="I90" s="5468"/>
      <c r="J90" s="5469"/>
      <c r="K90" s="5470"/>
      <c r="L90" s="5471"/>
      <c r="M90" s="5472"/>
      <c r="N90" s="5473"/>
      <c r="O90" s="5474"/>
      <c r="P90" s="5482"/>
      <c r="Q90" s="5483"/>
      <c r="R90" s="5484"/>
      <c r="S90" s="5485"/>
      <c r="T90" s="5486"/>
      <c r="U90" s="5487"/>
      <c r="V90" s="5488"/>
      <c r="W90" s="5489"/>
      <c r="X90" s="5490" t="str">
        <f t="shared" si="17"/>
        <v/>
      </c>
      <c r="Y90" s="5491"/>
      <c r="Z90" s="5490" t="str">
        <f t="shared" si="18"/>
        <v/>
      </c>
      <c r="AA90" s="5492"/>
      <c r="AB90" s="1946"/>
      <c r="AC90" s="1945"/>
      <c r="AD90" s="1807"/>
      <c r="AF90" s="2191" t="str">
        <f t="shared" si="19"/>
        <v/>
      </c>
      <c r="AG90" s="2192" t="str">
        <f t="shared" si="20"/>
        <v/>
      </c>
      <c r="AH90" s="2193">
        <f t="shared" si="21"/>
        <v>0</v>
      </c>
      <c r="AI90" s="2194">
        <f t="shared" si="22"/>
        <v>0</v>
      </c>
      <c r="AJ90" s="2195">
        <f t="shared" si="23"/>
        <v>0</v>
      </c>
      <c r="AK90" s="2194">
        <f t="shared" si="24"/>
        <v>0</v>
      </c>
      <c r="AL90" s="2195">
        <f t="shared" si="25"/>
        <v>0</v>
      </c>
      <c r="AM90" s="2196">
        <f t="shared" si="26"/>
        <v>0</v>
      </c>
      <c r="AN90" s="2197">
        <f t="shared" si="27"/>
        <v>0</v>
      </c>
      <c r="AO90" s="2198">
        <f t="shared" si="28"/>
        <v>0</v>
      </c>
      <c r="AP90" s="2199">
        <f t="shared" si="29"/>
        <v>0</v>
      </c>
      <c r="AQ90" s="2200" t="str">
        <f t="shared" si="30"/>
        <v/>
      </c>
      <c r="AR90" s="2201" t="str">
        <f t="shared" si="31"/>
        <v/>
      </c>
      <c r="AS90" s="2193" t="str">
        <f t="shared" si="32"/>
        <v/>
      </c>
      <c r="AT90" s="2201" t="str">
        <f t="shared" si="33"/>
        <v/>
      </c>
    </row>
    <row r="91" spans="1:46" s="1805" customFormat="1" ht="13.5" customHeight="1" thickBot="1">
      <c r="A91" s="1811"/>
      <c r="B91" s="1944"/>
      <c r="C91" s="1942"/>
      <c r="D91" s="1942"/>
      <c r="E91" s="1942"/>
      <c r="F91" s="1942"/>
      <c r="G91" s="1942"/>
      <c r="H91" s="1942"/>
      <c r="I91" s="1942"/>
      <c r="J91" s="1943"/>
      <c r="K91" s="1943"/>
      <c r="L91" s="1942"/>
      <c r="M91" s="1942"/>
      <c r="N91" s="1942"/>
      <c r="O91" s="1940"/>
      <c r="P91" s="1940"/>
      <c r="Q91" s="1940"/>
      <c r="R91" s="1941"/>
      <c r="S91" s="1940"/>
      <c r="T91" s="1940"/>
      <c r="U91" s="1940"/>
      <c r="V91" s="1940"/>
      <c r="W91" s="1939"/>
      <c r="X91" s="1938"/>
      <c r="Y91" s="1937"/>
      <c r="Z91" s="1937"/>
      <c r="AA91" s="1937"/>
      <c r="AB91" s="1937"/>
      <c r="AC91" s="1936"/>
      <c r="AD91" s="1807"/>
    </row>
    <row r="92" spans="1:46" s="1805" customFormat="1" ht="13.5" customHeight="1" thickTop="1">
      <c r="A92" s="1811"/>
      <c r="B92" s="1935"/>
      <c r="C92" s="5443"/>
      <c r="D92" s="5443"/>
      <c r="E92" s="5443"/>
      <c r="F92" s="1932"/>
      <c r="G92" s="1932"/>
      <c r="H92" s="1932"/>
      <c r="I92" s="1932"/>
      <c r="J92" s="1934"/>
      <c r="K92" s="1934"/>
      <c r="L92" s="1932"/>
      <c r="M92" s="1932"/>
      <c r="N92" s="1932"/>
      <c r="O92" s="1932"/>
      <c r="P92" s="1932"/>
      <c r="Q92" s="1932"/>
      <c r="R92" s="1933"/>
      <c r="S92" s="1932"/>
      <c r="T92" s="1932"/>
      <c r="U92" s="1932"/>
      <c r="V92" s="1932"/>
      <c r="W92" s="1931"/>
      <c r="X92" s="1931"/>
      <c r="Y92" s="1931"/>
      <c r="Z92" s="1931"/>
      <c r="AA92" s="1931"/>
      <c r="AB92" s="1931"/>
      <c r="AC92" s="1930"/>
      <c r="AD92" s="1807"/>
      <c r="AF92" s="1929" t="s">
        <v>2095</v>
      </c>
      <c r="AG92" s="1929" t="s">
        <v>2094</v>
      </c>
      <c r="AI92" s="5454" t="s">
        <v>2093</v>
      </c>
      <c r="AJ92" s="5455"/>
      <c r="AK92" s="1928"/>
      <c r="AM92" s="5454" t="s">
        <v>2092</v>
      </c>
      <c r="AN92" s="5455"/>
      <c r="AO92" s="1928"/>
      <c r="AQ92" s="5454" t="s">
        <v>2091</v>
      </c>
      <c r="AR92" s="5455"/>
      <c r="AS92" s="1928"/>
    </row>
    <row r="93" spans="1:46" s="1805" customFormat="1" ht="16.5" customHeight="1">
      <c r="A93" s="1811"/>
      <c r="B93" s="1927"/>
      <c r="C93" s="5479" t="s">
        <v>2258</v>
      </c>
      <c r="D93" s="5480"/>
      <c r="E93" s="5481"/>
      <c r="F93" s="1926"/>
      <c r="G93" s="5447" t="s">
        <v>2090</v>
      </c>
      <c r="H93" s="5447"/>
      <c r="I93" s="5447"/>
      <c r="J93" s="5447"/>
      <c r="K93" s="5447"/>
      <c r="L93" s="5447"/>
      <c r="M93" s="5447"/>
      <c r="N93" s="5447"/>
      <c r="O93" s="5447"/>
      <c r="P93" s="5447"/>
      <c r="Q93" s="5447"/>
      <c r="R93" s="5447"/>
      <c r="S93" s="1925"/>
      <c r="T93" s="1925"/>
      <c r="U93" s="1925"/>
      <c r="V93" s="1925"/>
      <c r="W93" s="1925"/>
      <c r="X93" s="1924"/>
      <c r="Y93" s="1924"/>
      <c r="Z93" s="1924"/>
      <c r="AA93" s="1924"/>
      <c r="AB93" s="1924"/>
      <c r="AC93" s="1923"/>
      <c r="AD93" s="1807"/>
      <c r="AF93" s="1876"/>
      <c r="AG93" s="1876"/>
      <c r="AI93" s="1919" t="s">
        <v>2089</v>
      </c>
      <c r="AJ93" s="1922" t="s">
        <v>2088</v>
      </c>
      <c r="AK93" s="1917" t="s">
        <v>2087</v>
      </c>
      <c r="AM93" s="1919" t="s">
        <v>2089</v>
      </c>
      <c r="AN93" s="1922" t="s">
        <v>2088</v>
      </c>
      <c r="AO93" s="1917" t="s">
        <v>2087</v>
      </c>
      <c r="AQ93" s="1919" t="s">
        <v>2089</v>
      </c>
      <c r="AR93" s="1922" t="s">
        <v>2088</v>
      </c>
      <c r="AS93" s="1917" t="s">
        <v>2087</v>
      </c>
    </row>
    <row r="94" spans="1:46" s="1805" customFormat="1" ht="14.25" customHeight="1">
      <c r="A94" s="1811"/>
      <c r="B94" s="1921"/>
      <c r="C94" s="1920"/>
      <c r="D94" s="1920"/>
      <c r="E94" s="1920"/>
      <c r="F94" s="1892"/>
      <c r="G94" s="1892"/>
      <c r="H94" s="1892"/>
      <c r="I94" s="1892"/>
      <c r="J94" s="1898"/>
      <c r="K94" s="1898"/>
      <c r="L94" s="1892"/>
      <c r="M94" s="1892"/>
      <c r="N94" s="1892"/>
      <c r="O94" s="1892"/>
      <c r="P94" s="1892"/>
      <c r="Q94" s="1892"/>
      <c r="R94" s="1897"/>
      <c r="S94" s="1892"/>
      <c r="T94" s="1892"/>
      <c r="U94" s="1892"/>
      <c r="V94" s="1892"/>
      <c r="W94" s="1890"/>
      <c r="X94" s="1890"/>
      <c r="Y94" s="1890"/>
      <c r="Z94" s="1890"/>
      <c r="AA94" s="1890"/>
      <c r="AB94" s="1890"/>
      <c r="AC94" s="1889"/>
      <c r="AD94" s="1807"/>
      <c r="AF94" s="1876">
        <v>8</v>
      </c>
      <c r="AG94" s="1876">
        <v>30</v>
      </c>
      <c r="AI94" s="1919" t="s">
        <v>2085</v>
      </c>
      <c r="AJ94" s="1918" t="s">
        <v>2086</v>
      </c>
      <c r="AK94" s="1917" t="s">
        <v>2083</v>
      </c>
      <c r="AM94" s="1919" t="s">
        <v>2085</v>
      </c>
      <c r="AN94" s="1918" t="s">
        <v>2084</v>
      </c>
      <c r="AO94" s="1917" t="s">
        <v>2083</v>
      </c>
      <c r="AQ94" s="1919" t="s">
        <v>2085</v>
      </c>
      <c r="AR94" s="1918" t="s">
        <v>2084</v>
      </c>
      <c r="AS94" s="1917" t="s">
        <v>2083</v>
      </c>
    </row>
    <row r="95" spans="1:46" s="1805" customFormat="1" ht="14.25" customHeight="1">
      <c r="A95" s="1811"/>
      <c r="B95" s="1894"/>
      <c r="C95" s="1892"/>
      <c r="D95" s="1856" t="s">
        <v>2082</v>
      </c>
      <c r="E95" s="1907"/>
      <c r="F95" s="1907"/>
      <c r="G95" s="1907"/>
      <c r="H95" s="1907"/>
      <c r="I95" s="1907"/>
      <c r="J95" s="1898"/>
      <c r="K95" s="1898"/>
      <c r="L95" s="1907"/>
      <c r="M95" s="1907"/>
      <c r="N95" s="1907"/>
      <c r="O95" s="1907"/>
      <c r="P95" s="1907"/>
      <c r="Q95" s="1907"/>
      <c r="R95" s="1897"/>
      <c r="S95" s="1907"/>
      <c r="T95" s="1907"/>
      <c r="U95" s="1907"/>
      <c r="V95" s="1907"/>
      <c r="W95" s="1906"/>
      <c r="X95" s="1906"/>
      <c r="Y95" s="1890"/>
      <c r="Z95" s="1890"/>
      <c r="AA95" s="1890"/>
      <c r="AB95" s="1890"/>
      <c r="AC95" s="1889"/>
      <c r="AD95" s="1807"/>
      <c r="AF95" s="1876">
        <v>14</v>
      </c>
      <c r="AG95" s="1876">
        <v>50</v>
      </c>
      <c r="AI95" s="1916"/>
      <c r="AJ95" s="1915" t="s">
        <v>2081</v>
      </c>
      <c r="AK95" s="1914" t="s">
        <v>2081</v>
      </c>
      <c r="AM95" s="1916"/>
      <c r="AN95" s="1915" t="s">
        <v>2081</v>
      </c>
      <c r="AO95" s="1914" t="s">
        <v>2081</v>
      </c>
      <c r="AQ95" s="1916"/>
      <c r="AR95" s="1915" t="s">
        <v>2081</v>
      </c>
      <c r="AS95" s="1914" t="s">
        <v>2081</v>
      </c>
    </row>
    <row r="96" spans="1:46" s="1805" customFormat="1" ht="14.25" customHeight="1">
      <c r="A96" s="1811"/>
      <c r="B96" s="1894"/>
      <c r="C96" s="1892"/>
      <c r="D96" s="1856" t="s">
        <v>2080</v>
      </c>
      <c r="E96" s="1907"/>
      <c r="F96" s="1907"/>
      <c r="G96" s="1907"/>
      <c r="H96" s="1907"/>
      <c r="I96" s="1907"/>
      <c r="J96" s="1856"/>
      <c r="K96" s="1898"/>
      <c r="L96" s="1907"/>
      <c r="M96" s="1907"/>
      <c r="N96" s="1907"/>
      <c r="O96" s="1907"/>
      <c r="P96" s="1907"/>
      <c r="Q96" s="1907"/>
      <c r="R96" s="1897"/>
      <c r="S96" s="1907"/>
      <c r="T96" s="1907"/>
      <c r="U96" s="1907"/>
      <c r="V96" s="1907"/>
      <c r="W96" s="1906"/>
      <c r="X96" s="1906"/>
      <c r="Y96" s="1890"/>
      <c r="Z96" s="1890"/>
      <c r="AA96" s="1890"/>
      <c r="AB96" s="1890"/>
      <c r="AC96" s="1889"/>
      <c r="AD96" s="1807"/>
      <c r="AF96" s="1876">
        <v>22</v>
      </c>
      <c r="AG96" s="1876">
        <v>75</v>
      </c>
      <c r="AI96" s="1913">
        <v>2</v>
      </c>
      <c r="AJ96" s="1912">
        <v>10.7</v>
      </c>
      <c r="AK96" s="1912">
        <v>9.9199999999999997E-2</v>
      </c>
      <c r="AM96" s="1913">
        <v>2</v>
      </c>
      <c r="AN96" s="1912">
        <v>12</v>
      </c>
      <c r="AO96" s="1912">
        <v>9.9199999999999997E-2</v>
      </c>
      <c r="AQ96" s="1913">
        <v>8</v>
      </c>
      <c r="AR96" s="1912">
        <v>3.01</v>
      </c>
      <c r="AS96" s="1912">
        <v>0.114</v>
      </c>
    </row>
    <row r="97" spans="1:45" s="1805" customFormat="1" ht="14.25" customHeight="1">
      <c r="A97" s="1811"/>
      <c r="B97" s="1894"/>
      <c r="C97" s="1892"/>
      <c r="D97" s="1911" t="s">
        <v>2079</v>
      </c>
      <c r="E97" s="1907"/>
      <c r="F97" s="1907"/>
      <c r="G97" s="1907"/>
      <c r="H97" s="1907"/>
      <c r="I97" s="1907"/>
      <c r="J97" s="1898"/>
      <c r="K97" s="1898"/>
      <c r="L97" s="1907"/>
      <c r="M97" s="1907"/>
      <c r="N97" s="1907"/>
      <c r="O97" s="1907"/>
      <c r="P97" s="1907"/>
      <c r="Q97" s="1907"/>
      <c r="R97" s="1897"/>
      <c r="S97" s="1907"/>
      <c r="T97" s="1907"/>
      <c r="U97" s="1907"/>
      <c r="V97" s="1907"/>
      <c r="W97" s="1906"/>
      <c r="X97" s="1906"/>
      <c r="Y97" s="1890"/>
      <c r="Z97" s="1890"/>
      <c r="AA97" s="1890"/>
      <c r="AB97" s="1890"/>
      <c r="AC97" s="1889"/>
      <c r="AD97" s="1807"/>
      <c r="AF97" s="1876">
        <v>38</v>
      </c>
      <c r="AG97" s="1876">
        <v>100</v>
      </c>
      <c r="AI97" s="1875">
        <v>3.5</v>
      </c>
      <c r="AJ97" s="1874">
        <v>6.02</v>
      </c>
      <c r="AK97" s="1874">
        <v>9.1399999999999995E-2</v>
      </c>
      <c r="AM97" s="1875">
        <v>3.5</v>
      </c>
      <c r="AN97" s="1874">
        <v>6.76</v>
      </c>
      <c r="AO97" s="1874">
        <v>9.1399999999999995E-2</v>
      </c>
      <c r="AQ97" s="1875">
        <v>14</v>
      </c>
      <c r="AR97" s="1874">
        <v>1.71</v>
      </c>
      <c r="AS97" s="1874">
        <v>0.107</v>
      </c>
    </row>
    <row r="98" spans="1:45" s="1805" customFormat="1" ht="14.25" customHeight="1">
      <c r="A98" s="1811"/>
      <c r="B98" s="1894"/>
      <c r="C98" s="1892"/>
      <c r="D98" s="1911" t="s">
        <v>2078</v>
      </c>
      <c r="E98" s="1907"/>
      <c r="F98" s="1907"/>
      <c r="G98" s="1907"/>
      <c r="H98" s="1907"/>
      <c r="I98" s="1907"/>
      <c r="J98" s="1898"/>
      <c r="K98" s="1898"/>
      <c r="L98" s="1907"/>
      <c r="M98" s="1907"/>
      <c r="N98" s="1907"/>
      <c r="O98" s="1907"/>
      <c r="P98" s="1907"/>
      <c r="Q98" s="1907"/>
      <c r="R98" s="1897"/>
      <c r="S98" s="1907"/>
      <c r="T98" s="1907"/>
      <c r="U98" s="1907"/>
      <c r="V98" s="1907"/>
      <c r="W98" s="1906"/>
      <c r="X98" s="1906"/>
      <c r="Y98" s="1890"/>
      <c r="Z98" s="1890"/>
      <c r="AA98" s="1890"/>
      <c r="AB98" s="1890"/>
      <c r="AC98" s="1889"/>
      <c r="AD98" s="1807"/>
      <c r="AF98" s="1876">
        <v>60</v>
      </c>
      <c r="AG98" s="1876">
        <v>150</v>
      </c>
      <c r="AI98" s="1875">
        <v>5.5</v>
      </c>
      <c r="AJ98" s="1874">
        <v>3.85</v>
      </c>
      <c r="AK98" s="1874">
        <v>9.1399999999999995E-2</v>
      </c>
      <c r="AM98" s="1875">
        <v>5.5</v>
      </c>
      <c r="AN98" s="1874">
        <v>4.34</v>
      </c>
      <c r="AO98" s="1874">
        <v>9.1399999999999995E-2</v>
      </c>
      <c r="AQ98" s="1875">
        <v>22</v>
      </c>
      <c r="AR98" s="1874">
        <v>1.08</v>
      </c>
      <c r="AS98" s="1874">
        <v>0.10199999999999999</v>
      </c>
    </row>
    <row r="99" spans="1:45" s="1805" customFormat="1" ht="14.25" customHeight="1">
      <c r="A99" s="1811"/>
      <c r="B99" s="1894"/>
      <c r="C99" s="1892"/>
      <c r="D99" s="1907"/>
      <c r="E99" s="1907"/>
      <c r="F99" s="1907"/>
      <c r="G99" s="1907"/>
      <c r="H99" s="1907"/>
      <c r="I99" s="1907"/>
      <c r="J99" s="1898"/>
      <c r="K99" s="1898"/>
      <c r="L99" s="1907"/>
      <c r="M99" s="1907"/>
      <c r="N99" s="1907"/>
      <c r="O99" s="1907"/>
      <c r="P99" s="1907"/>
      <c r="Q99" s="1907"/>
      <c r="R99" s="1897"/>
      <c r="S99" s="1907"/>
      <c r="T99" s="1907"/>
      <c r="U99" s="1907"/>
      <c r="V99" s="1907"/>
      <c r="W99" s="1906"/>
      <c r="X99" s="1906"/>
      <c r="Y99" s="1890"/>
      <c r="Z99" s="1890"/>
      <c r="AA99" s="1890"/>
      <c r="AB99" s="1890"/>
      <c r="AC99" s="1889"/>
      <c r="AD99" s="1807"/>
      <c r="AF99" s="1876">
        <v>100</v>
      </c>
      <c r="AG99" s="1876">
        <v>200</v>
      </c>
      <c r="AI99" s="1875">
        <v>8</v>
      </c>
      <c r="AJ99" s="1874">
        <v>2.67</v>
      </c>
      <c r="AK99" s="1874">
        <v>9.1399999999999995E-2</v>
      </c>
      <c r="AM99" s="1875">
        <v>8</v>
      </c>
      <c r="AN99" s="1874">
        <v>3.01</v>
      </c>
      <c r="AO99" s="1874">
        <v>8.6999999999999994E-2</v>
      </c>
      <c r="AQ99" s="1875">
        <v>38</v>
      </c>
      <c r="AR99" s="1874">
        <v>0.626</v>
      </c>
      <c r="AS99" s="1874">
        <v>9.3899999999999997E-2</v>
      </c>
    </row>
    <row r="100" spans="1:45" s="1805" customFormat="1" ht="14.25" customHeight="1">
      <c r="A100" s="1811"/>
      <c r="B100" s="1894"/>
      <c r="C100" s="1892"/>
      <c r="D100" s="1910" t="s">
        <v>2077</v>
      </c>
      <c r="E100" s="1907"/>
      <c r="F100" s="1907"/>
      <c r="G100" s="1907"/>
      <c r="H100" s="1907"/>
      <c r="I100" s="1907"/>
      <c r="J100" s="1856"/>
      <c r="K100" s="1910" t="s">
        <v>2076</v>
      </c>
      <c r="L100" s="1907"/>
      <c r="M100" s="1907"/>
      <c r="N100" s="1907"/>
      <c r="O100" s="1907"/>
      <c r="P100" s="1907"/>
      <c r="Q100" s="1907"/>
      <c r="R100" s="1909" t="s">
        <v>2075</v>
      </c>
      <c r="S100" s="1907"/>
      <c r="T100" s="1907"/>
      <c r="U100" s="1907"/>
      <c r="V100" s="1907"/>
      <c r="W100" s="1906"/>
      <c r="X100" s="1906"/>
      <c r="Y100" s="1890"/>
      <c r="Z100" s="1890"/>
      <c r="AA100" s="1890"/>
      <c r="AB100" s="1890"/>
      <c r="AC100" s="1889"/>
      <c r="AD100" s="1807"/>
      <c r="AF100" s="1908">
        <v>150</v>
      </c>
      <c r="AG100" s="1876">
        <v>300</v>
      </c>
      <c r="AI100" s="1875">
        <v>14</v>
      </c>
      <c r="AJ100" s="1874">
        <v>1.5</v>
      </c>
      <c r="AK100" s="1874">
        <v>8.3000000000000004E-2</v>
      </c>
      <c r="AM100" s="1875">
        <v>14</v>
      </c>
      <c r="AN100" s="1874">
        <v>1.71</v>
      </c>
      <c r="AO100" s="1874">
        <v>8.2799999999999999E-2</v>
      </c>
      <c r="AQ100" s="1875">
        <v>60</v>
      </c>
      <c r="AR100" s="1874">
        <v>0.39700000000000002</v>
      </c>
      <c r="AS100" s="1874">
        <v>9.0499999999999997E-2</v>
      </c>
    </row>
    <row r="101" spans="1:45" s="1805" customFormat="1" ht="14.25" customHeight="1">
      <c r="A101" s="1811"/>
      <c r="B101" s="1894"/>
      <c r="C101" s="1892"/>
      <c r="D101" s="1907"/>
      <c r="E101" s="1907"/>
      <c r="F101" s="1907"/>
      <c r="G101" s="1907"/>
      <c r="H101" s="1907"/>
      <c r="I101" s="1907"/>
      <c r="J101" s="1898"/>
      <c r="K101" s="1898"/>
      <c r="L101" s="1907"/>
      <c r="M101" s="1907"/>
      <c r="N101" s="1907"/>
      <c r="O101" s="1907"/>
      <c r="P101" s="1907"/>
      <c r="Q101" s="1907"/>
      <c r="R101" s="1897"/>
      <c r="S101" s="1907"/>
      <c r="T101" s="1907"/>
      <c r="U101" s="1907"/>
      <c r="V101" s="1907"/>
      <c r="W101" s="1906"/>
      <c r="X101" s="1906"/>
      <c r="Y101" s="1890"/>
      <c r="Z101" s="1890"/>
      <c r="AA101" s="1890"/>
      <c r="AB101" s="1890"/>
      <c r="AC101" s="1889"/>
      <c r="AD101" s="1807"/>
      <c r="AF101" s="1876">
        <v>200</v>
      </c>
      <c r="AG101" s="1876">
        <v>500</v>
      </c>
      <c r="AI101" s="1875">
        <v>22</v>
      </c>
      <c r="AJ101" s="1874">
        <v>0.95299999999999996</v>
      </c>
      <c r="AK101" s="1874">
        <v>8.5800000000000001E-2</v>
      </c>
      <c r="AM101" s="1875">
        <v>22</v>
      </c>
      <c r="AN101" s="1874">
        <v>1.08</v>
      </c>
      <c r="AO101" s="1874">
        <v>8.2000000000000003E-2</v>
      </c>
      <c r="AQ101" s="1875">
        <v>100</v>
      </c>
      <c r="AR101" s="1874">
        <v>0.24</v>
      </c>
      <c r="AS101" s="1874">
        <v>8.8300000000000003E-2</v>
      </c>
    </row>
    <row r="102" spans="1:45" s="1805" customFormat="1" ht="14.25" customHeight="1">
      <c r="A102" s="1811"/>
      <c r="B102" s="1894"/>
      <c r="C102" s="1892"/>
      <c r="D102" s="1856" t="s">
        <v>2074</v>
      </c>
      <c r="E102" s="1907"/>
      <c r="F102" s="1907"/>
      <c r="G102" s="1907"/>
      <c r="H102" s="1907"/>
      <c r="I102" s="1907"/>
      <c r="J102" s="1856" t="s">
        <v>2073</v>
      </c>
      <c r="K102" s="1898"/>
      <c r="L102" s="1907"/>
      <c r="M102" s="1907"/>
      <c r="N102" s="1907"/>
      <c r="O102" s="1857" t="s">
        <v>2072</v>
      </c>
      <c r="P102" s="1907"/>
      <c r="Q102" s="1907"/>
      <c r="R102" s="1897"/>
      <c r="S102" s="1907"/>
      <c r="T102" s="1907"/>
      <c r="U102" s="1907"/>
      <c r="V102" s="1907"/>
      <c r="W102" s="1906"/>
      <c r="X102" s="1906"/>
      <c r="Y102" s="1890"/>
      <c r="Z102" s="1890"/>
      <c r="AA102" s="1890"/>
      <c r="AB102" s="1890"/>
      <c r="AC102" s="1889"/>
      <c r="AD102" s="1807"/>
      <c r="AF102" s="1876">
        <v>250</v>
      </c>
      <c r="AG102" s="1876">
        <v>750</v>
      </c>
      <c r="AI102" s="1875">
        <v>38</v>
      </c>
      <c r="AJ102" s="1874">
        <v>0.56299999999999994</v>
      </c>
      <c r="AK102" s="1874">
        <v>7.6100000000000001E-2</v>
      </c>
      <c r="AM102" s="1875">
        <v>38</v>
      </c>
      <c r="AN102" s="1874">
        <v>0.626</v>
      </c>
      <c r="AO102" s="1874">
        <v>7.7100000000000002E-2</v>
      </c>
      <c r="AQ102" s="1875">
        <v>150</v>
      </c>
      <c r="AR102" s="1874">
        <v>0.159</v>
      </c>
      <c r="AS102" s="1874">
        <v>8.3900000000000002E-2</v>
      </c>
    </row>
    <row r="103" spans="1:45" s="1805" customFormat="1" ht="14.25" customHeight="1" thickBot="1">
      <c r="A103" s="1811"/>
      <c r="B103" s="1894"/>
      <c r="C103" s="1892"/>
      <c r="D103" s="1907"/>
      <c r="E103" s="1907"/>
      <c r="F103" s="1907"/>
      <c r="G103" s="1907"/>
      <c r="H103" s="1858" t="str">
        <f>IF(H104="","係数 Ａ，Ｂ，Ｃ を入力して下さい !!","")</f>
        <v>係数 Ａ，Ｂ，Ｃ を入力して下さい !!</v>
      </c>
      <c r="I103" s="1907"/>
      <c r="J103" s="1898"/>
      <c r="K103" s="1898"/>
      <c r="L103" s="1907"/>
      <c r="M103" s="1907"/>
      <c r="N103" s="1907"/>
      <c r="O103" s="1907"/>
      <c r="P103" s="1907"/>
      <c r="Q103" s="1907"/>
      <c r="R103" s="1897"/>
      <c r="S103" s="1907"/>
      <c r="T103" s="1907"/>
      <c r="U103" s="1907"/>
      <c r="V103" s="1907"/>
      <c r="W103" s="1906"/>
      <c r="X103" s="1906"/>
      <c r="Y103" s="1890"/>
      <c r="Z103" s="1890"/>
      <c r="AA103" s="1890"/>
      <c r="AB103" s="1890"/>
      <c r="AC103" s="1889"/>
      <c r="AD103" s="1807"/>
      <c r="AF103" s="1876">
        <v>325</v>
      </c>
      <c r="AG103" s="1876">
        <v>1000</v>
      </c>
      <c r="AI103" s="1875">
        <v>60</v>
      </c>
      <c r="AJ103" s="1874">
        <v>0.35099999999999998</v>
      </c>
      <c r="AK103" s="1874">
        <v>7.8600000000000003E-2</v>
      </c>
      <c r="AM103" s="1875">
        <v>60</v>
      </c>
      <c r="AN103" s="1874">
        <v>0.39700000000000002</v>
      </c>
      <c r="AO103" s="1874">
        <v>7.7299999999999994E-2</v>
      </c>
      <c r="AQ103" s="1875">
        <v>200</v>
      </c>
      <c r="AR103" s="1874">
        <v>0.121</v>
      </c>
      <c r="AS103" s="1874">
        <v>8.4500000000000006E-2</v>
      </c>
    </row>
    <row r="104" spans="1:45" s="1805" customFormat="1" ht="14.25" customHeight="1" thickBot="1">
      <c r="A104" s="1811"/>
      <c r="B104" s="1905"/>
      <c r="C104" s="1904"/>
      <c r="D104" s="1904"/>
      <c r="E104" s="1904"/>
      <c r="F104" s="1904"/>
      <c r="G104" s="1903" t="s">
        <v>2071</v>
      </c>
      <c r="H104" s="5448"/>
      <c r="I104" s="5449"/>
      <c r="J104" s="5449"/>
      <c r="K104" s="5450"/>
      <c r="L104" s="1825"/>
      <c r="M104" s="1903" t="s">
        <v>2070</v>
      </c>
      <c r="N104" s="5448"/>
      <c r="O104" s="5449"/>
      <c r="P104" s="5449"/>
      <c r="Q104" s="5450"/>
      <c r="R104" s="1825"/>
      <c r="S104" s="1903" t="s">
        <v>2069</v>
      </c>
      <c r="T104" s="5448"/>
      <c r="U104" s="5449"/>
      <c r="V104" s="5449"/>
      <c r="W104" s="5450"/>
      <c r="X104" s="1902"/>
      <c r="Y104" s="1902"/>
      <c r="Z104" s="1902"/>
      <c r="AA104" s="1902"/>
      <c r="AB104" s="1902"/>
      <c r="AC104" s="1901"/>
      <c r="AD104" s="1807"/>
      <c r="AF104" s="1876">
        <v>400</v>
      </c>
      <c r="AI104" s="1875">
        <v>100</v>
      </c>
      <c r="AJ104" s="1874">
        <v>0.20899999999999999</v>
      </c>
      <c r="AK104" s="1874">
        <v>7.6100000000000001E-2</v>
      </c>
      <c r="AM104" s="1875">
        <v>100</v>
      </c>
      <c r="AN104" s="1874">
        <v>0.24</v>
      </c>
      <c r="AO104" s="1874">
        <v>7.7700000000000005E-2</v>
      </c>
      <c r="AQ104" s="1875">
        <v>250</v>
      </c>
      <c r="AR104" s="1874">
        <v>9.8100000000000007E-2</v>
      </c>
      <c r="AS104" s="1874">
        <v>8.2600000000000007E-2</v>
      </c>
    </row>
    <row r="105" spans="1:45" s="1805" customFormat="1" ht="14.25" customHeight="1" thickBot="1">
      <c r="A105" s="1811"/>
      <c r="B105" s="1894"/>
      <c r="C105" s="1892"/>
      <c r="D105" s="1892"/>
      <c r="E105" s="1892"/>
      <c r="F105" s="1892"/>
      <c r="G105" s="1892"/>
      <c r="H105" s="1892"/>
      <c r="I105" s="1892"/>
      <c r="J105" s="1898"/>
      <c r="K105" s="1898"/>
      <c r="L105" s="1892"/>
      <c r="M105" s="1892"/>
      <c r="N105" s="1892"/>
      <c r="O105" s="1892"/>
      <c r="P105" s="1892"/>
      <c r="Q105" s="1892"/>
      <c r="R105" s="1897"/>
      <c r="S105" s="1892"/>
      <c r="T105" s="1892"/>
      <c r="U105" s="1900"/>
      <c r="V105" s="1900"/>
      <c r="W105" s="1899"/>
      <c r="X105" s="1899"/>
      <c r="Y105" s="1890"/>
      <c r="Z105" s="1890"/>
      <c r="AA105" s="1890"/>
      <c r="AB105" s="1890"/>
      <c r="AC105" s="1889"/>
      <c r="AD105" s="1807"/>
      <c r="AF105" s="1876">
        <v>500</v>
      </c>
      <c r="AI105" s="1875">
        <v>150</v>
      </c>
      <c r="AJ105" s="1874">
        <v>0.13700000000000001</v>
      </c>
      <c r="AK105" s="1874">
        <v>7.4399999999999994E-2</v>
      </c>
      <c r="AM105" s="1875">
        <v>150</v>
      </c>
      <c r="AN105" s="1874">
        <v>0.159</v>
      </c>
      <c r="AO105" s="1874">
        <v>7.4700000000000003E-2</v>
      </c>
      <c r="AQ105" s="1875">
        <v>325</v>
      </c>
      <c r="AR105" s="1874">
        <v>7.6499999999999999E-2</v>
      </c>
      <c r="AS105" s="1874">
        <v>8.0699999999999994E-2</v>
      </c>
    </row>
    <row r="106" spans="1:45" s="1805" customFormat="1" ht="14.25" customHeight="1" thickBot="1">
      <c r="A106" s="1811"/>
      <c r="B106" s="1894"/>
      <c r="C106" s="1892"/>
      <c r="D106" s="1892"/>
      <c r="E106" s="1892"/>
      <c r="F106" s="1892"/>
      <c r="G106" s="1892"/>
      <c r="H106" s="1892"/>
      <c r="I106" s="1892"/>
      <c r="J106" s="1898"/>
      <c r="K106" s="1898"/>
      <c r="L106" s="1892"/>
      <c r="M106" s="1892"/>
      <c r="N106" s="1892"/>
      <c r="O106" s="1892"/>
      <c r="P106" s="1892"/>
      <c r="Q106" s="1892"/>
      <c r="R106" s="1897"/>
      <c r="S106" s="1892"/>
      <c r="T106" s="1896" t="s">
        <v>2068</v>
      </c>
      <c r="U106" s="5456" t="str">
        <f>IF(H104="","",H104*U107^2+N104*U107+T104)</f>
        <v/>
      </c>
      <c r="V106" s="5457"/>
      <c r="W106" s="5457"/>
      <c r="X106" s="5458"/>
      <c r="Y106" s="1895" t="str">
        <f>IF(H104="","",IF(N104^2-4*H104*T104&gt;=0,IF(H104&gt;0,"（極小値）","（極大値）"),IF(H104&gt;0,"（虚小値）","（虚大値）")))</f>
        <v/>
      </c>
      <c r="Z106" s="1895"/>
      <c r="AA106" s="1890"/>
      <c r="AB106" s="1890"/>
      <c r="AC106" s="1889"/>
      <c r="AD106" s="1807"/>
      <c r="AF106" s="1876">
        <v>600</v>
      </c>
      <c r="AI106" s="1875">
        <v>200</v>
      </c>
      <c r="AJ106" s="1874">
        <v>0.107</v>
      </c>
      <c r="AK106" s="1874">
        <v>7.3999999999999996E-2</v>
      </c>
      <c r="AM106" s="1875">
        <v>200</v>
      </c>
      <c r="AN106" s="1874">
        <v>0.121</v>
      </c>
      <c r="AO106" s="1874">
        <v>7.5700000000000003E-2</v>
      </c>
      <c r="AQ106" s="1875">
        <v>400</v>
      </c>
      <c r="AR106" s="1874">
        <v>6.3399999999999998E-2</v>
      </c>
      <c r="AS106" s="1874">
        <v>7.9200000000000007E-2</v>
      </c>
    </row>
    <row r="107" spans="1:45" s="1805" customFormat="1" ht="14.25" customHeight="1" thickTop="1" thickBot="1">
      <c r="A107" s="1811"/>
      <c r="B107" s="1894"/>
      <c r="C107" s="1892"/>
      <c r="D107" s="1892"/>
      <c r="E107" s="1892"/>
      <c r="F107" s="1893" t="s">
        <v>2048</v>
      </c>
      <c r="G107" s="5459" t="str">
        <f>IF(H104="","",IF(H104&gt;0,IF(N104^2-4*H104*T104&lt;0,U107&amp;"-j("&amp;SQRT(ABS(N104^2-4*H104*T104))/(2*H104)&amp;")",U107-SQRT(N104^2-4*H104*T104)/(2*H104)),IF(H104&lt;0,IF(N104^2-4*H104*T104&lt;0,U107&amp;"+j("&amp;SQRT(ABS(N104^2-4*H104*T104))/(2*H104)&amp;")",U107+SQRT(N104^2-4*H104*T104)/(2*H104)))))</f>
        <v/>
      </c>
      <c r="H107" s="5460"/>
      <c r="I107" s="5460"/>
      <c r="J107" s="5460"/>
      <c r="K107" s="5461"/>
      <c r="L107" s="1892"/>
      <c r="M107" s="1893" t="s">
        <v>2047</v>
      </c>
      <c r="N107" s="5459" t="str">
        <f>IF(H104="","",IF(H104&gt;0,IF(N104^2-4*H104*T104&lt;0,U107&amp;"+j("&amp;SQRT(ABS(N104^2-4*H104*T104))/(2*H104)&amp;")",U107+SQRT(N104^2-4*H104*T104)/(2*H104)),IF(H104&lt;0,IF(N104^2-4*H104*T104&lt;0,U107&amp;"-j("&amp;SQRT(ABS(N104^2-4*H104*T104))/(2*H104)&amp;")",U107-SQRT(N104^2-4*H104*T104)/(2*H104)))))</f>
        <v/>
      </c>
      <c r="O107" s="5460"/>
      <c r="P107" s="5460"/>
      <c r="Q107" s="5460"/>
      <c r="R107" s="5461"/>
      <c r="S107" s="1892"/>
      <c r="T107" s="1891" t="s">
        <v>2067</v>
      </c>
      <c r="U107" s="5462" t="str">
        <f>IF(H104="","",-0.5*N104/H104)</f>
        <v/>
      </c>
      <c r="V107" s="5463"/>
      <c r="W107" s="5463"/>
      <c r="X107" s="5464"/>
      <c r="Y107" s="1890"/>
      <c r="Z107" s="1890"/>
      <c r="AA107" s="1890"/>
      <c r="AB107" s="1890"/>
      <c r="AC107" s="1889"/>
      <c r="AD107" s="1807"/>
      <c r="AG107" s="1888" t="s">
        <v>2066</v>
      </c>
      <c r="AI107" s="1875">
        <v>250</v>
      </c>
      <c r="AJ107" s="1874">
        <v>8.4000000000000005E-2</v>
      </c>
      <c r="AK107" s="1874">
        <v>7.2400000000000006E-2</v>
      </c>
      <c r="AM107" s="1875">
        <v>250</v>
      </c>
      <c r="AN107" s="1874">
        <v>9.8500000000000004E-2</v>
      </c>
      <c r="AO107" s="1874">
        <v>7.4200000000000002E-2</v>
      </c>
      <c r="AQ107" s="1875">
        <v>500</v>
      </c>
      <c r="AR107" s="1874">
        <v>5.1999999999999998E-2</v>
      </c>
      <c r="AS107" s="1874">
        <v>7.9500000000000001E-2</v>
      </c>
    </row>
    <row r="108" spans="1:45" s="1805" customFormat="1" ht="14.25" customHeight="1" thickTop="1" thickBot="1">
      <c r="A108" s="1811"/>
      <c r="B108" s="1887"/>
      <c r="C108" s="1886"/>
      <c r="D108" s="1886"/>
      <c r="E108" s="1886"/>
      <c r="F108" s="1886"/>
      <c r="G108" s="1886"/>
      <c r="H108" s="1886"/>
      <c r="I108" s="1886"/>
      <c r="J108" s="1885" t="str">
        <f>IF(U106=0,"　　　Ｘａ，Ｘｂ は重根です","")</f>
        <v/>
      </c>
      <c r="K108" s="1884"/>
      <c r="L108" s="1884"/>
      <c r="M108" s="1884"/>
      <c r="N108" s="1884"/>
      <c r="O108" s="1884"/>
      <c r="P108" s="1884"/>
      <c r="Q108" s="1884"/>
      <c r="R108" s="1884"/>
      <c r="S108" s="1884"/>
      <c r="T108" s="1884"/>
      <c r="U108" s="1884"/>
      <c r="V108" s="1884"/>
      <c r="W108" s="1884"/>
      <c r="X108" s="1884"/>
      <c r="Y108" s="1884"/>
      <c r="Z108" s="1884"/>
      <c r="AA108" s="1884"/>
      <c r="AB108" s="1884"/>
      <c r="AC108" s="1883"/>
      <c r="AD108" s="1807"/>
      <c r="AG108" s="1876"/>
      <c r="AI108" s="1875">
        <v>325</v>
      </c>
      <c r="AJ108" s="1874">
        <v>6.6600000000000006E-2</v>
      </c>
      <c r="AK108" s="1874">
        <v>7.1900000000000006E-2</v>
      </c>
      <c r="AM108" s="1875">
        <v>325</v>
      </c>
      <c r="AN108" s="1874">
        <v>7.7100000000000002E-2</v>
      </c>
      <c r="AO108" s="1874">
        <v>7.2499999999999995E-2</v>
      </c>
      <c r="AQ108" s="1875">
        <v>600</v>
      </c>
      <c r="AR108" s="1874">
        <v>4.48E-2</v>
      </c>
      <c r="AS108" s="1874">
        <v>7.85E-2</v>
      </c>
    </row>
    <row r="109" spans="1:45" s="1805" customFormat="1" ht="14.25" customHeight="1" thickTop="1">
      <c r="A109" s="1811"/>
      <c r="B109" s="1882"/>
      <c r="C109" s="5443"/>
      <c r="D109" s="5443"/>
      <c r="E109" s="5443"/>
      <c r="F109" s="1881"/>
      <c r="G109" s="1880"/>
      <c r="H109" s="1879"/>
      <c r="I109" s="1879"/>
      <c r="J109" s="1879"/>
      <c r="K109" s="1879"/>
      <c r="L109" s="1879"/>
      <c r="M109" s="1879"/>
      <c r="N109" s="1879"/>
      <c r="O109" s="1879"/>
      <c r="P109" s="1879"/>
      <c r="Q109" s="1879"/>
      <c r="R109" s="1879"/>
      <c r="S109" s="1879"/>
      <c r="T109" s="1879"/>
      <c r="U109" s="1879"/>
      <c r="V109" s="1879"/>
      <c r="W109" s="1879"/>
      <c r="X109" s="1878"/>
      <c r="Y109" s="1878"/>
      <c r="Z109" s="1878"/>
      <c r="AA109" s="1878"/>
      <c r="AB109" s="1878"/>
      <c r="AC109" s="1877"/>
      <c r="AD109" s="1807"/>
      <c r="AG109" s="1876" t="s">
        <v>2065</v>
      </c>
      <c r="AI109" s="1875"/>
      <c r="AJ109" s="1874"/>
      <c r="AK109" s="1874"/>
      <c r="AM109" s="1875"/>
      <c r="AN109" s="1874"/>
      <c r="AO109" s="1874"/>
      <c r="AQ109" s="1875"/>
      <c r="AR109" s="1874"/>
      <c r="AS109" s="1874"/>
    </row>
    <row r="110" spans="1:45" s="1805" customFormat="1" ht="16.5" customHeight="1">
      <c r="A110" s="1811"/>
      <c r="B110" s="1873"/>
      <c r="C110" s="5444" t="s">
        <v>2259</v>
      </c>
      <c r="D110" s="5445"/>
      <c r="E110" s="5446"/>
      <c r="F110" s="1872"/>
      <c r="G110" s="5447" t="s">
        <v>2064</v>
      </c>
      <c r="H110" s="5447"/>
      <c r="I110" s="5447"/>
      <c r="J110" s="5447"/>
      <c r="K110" s="5447"/>
      <c r="L110" s="5447"/>
      <c r="M110" s="5447"/>
      <c r="N110" s="5447"/>
      <c r="O110" s="5447"/>
      <c r="P110" s="5447"/>
      <c r="Q110" s="5447"/>
      <c r="R110" s="5447"/>
      <c r="S110" s="5447"/>
      <c r="T110" s="5447"/>
      <c r="U110" s="5447"/>
      <c r="V110" s="5447"/>
      <c r="W110" s="5447"/>
      <c r="X110" s="1871"/>
      <c r="Y110" s="1871"/>
      <c r="Z110" s="1871"/>
      <c r="AA110" s="1871"/>
      <c r="AB110" s="1871"/>
      <c r="AC110" s="1870"/>
      <c r="AD110" s="1807"/>
      <c r="AG110" s="1865" t="s">
        <v>2063</v>
      </c>
      <c r="AI110" s="1864"/>
      <c r="AJ110" s="1863"/>
      <c r="AK110" s="1863"/>
      <c r="AM110" s="1864"/>
      <c r="AN110" s="1863"/>
      <c r="AO110" s="1863"/>
      <c r="AQ110" s="1864"/>
      <c r="AR110" s="1863"/>
      <c r="AS110" s="1863"/>
    </row>
    <row r="111" spans="1:45" s="1805" customFormat="1" ht="14.25" customHeight="1">
      <c r="A111" s="1811"/>
      <c r="B111" s="1832"/>
      <c r="C111" s="1869"/>
      <c r="D111" s="1868"/>
      <c r="E111" s="1868"/>
      <c r="F111" s="1868"/>
      <c r="G111" s="1867"/>
      <c r="H111" s="1867"/>
      <c r="I111" s="1867"/>
      <c r="J111" s="1867"/>
      <c r="K111" s="1867"/>
      <c r="L111" s="1867"/>
      <c r="M111" s="1867"/>
      <c r="N111" s="1867"/>
      <c r="O111" s="1867"/>
      <c r="P111" s="1867"/>
      <c r="Q111" s="1867"/>
      <c r="R111" s="1867"/>
      <c r="S111" s="1867"/>
      <c r="T111" s="1867"/>
      <c r="U111" s="1867"/>
      <c r="V111" s="1867"/>
      <c r="W111" s="1867"/>
      <c r="X111" s="1866"/>
      <c r="Y111" s="1866"/>
      <c r="Z111" s="1866"/>
      <c r="AA111" s="1866"/>
      <c r="AB111" s="1866"/>
      <c r="AC111" s="1822"/>
      <c r="AD111" s="1807"/>
      <c r="AG111" s="1865" t="s">
        <v>2062</v>
      </c>
      <c r="AI111" s="1864"/>
      <c r="AJ111" s="1863"/>
      <c r="AK111" s="1863"/>
      <c r="AM111" s="1864"/>
      <c r="AN111" s="1863"/>
      <c r="AO111" s="1863"/>
      <c r="AQ111" s="1864"/>
      <c r="AR111" s="1863"/>
      <c r="AS111" s="1863"/>
    </row>
    <row r="112" spans="1:45" s="1805" customFormat="1" ht="14.25" customHeight="1">
      <c r="A112" s="1811"/>
      <c r="B112" s="1820"/>
      <c r="C112" s="1825"/>
      <c r="D112" s="1856" t="s">
        <v>2061</v>
      </c>
      <c r="E112" s="1862"/>
      <c r="F112" s="1862"/>
      <c r="G112" s="1862"/>
      <c r="H112" s="1862"/>
      <c r="I112" s="1862"/>
      <c r="J112" s="1862"/>
      <c r="K112" s="1862"/>
      <c r="L112" s="1862"/>
      <c r="M112" s="1862"/>
      <c r="N112" s="1862"/>
      <c r="O112" s="1862"/>
      <c r="P112" s="1862"/>
      <c r="Q112" s="1862"/>
      <c r="R112" s="1862"/>
      <c r="S112" s="1862"/>
      <c r="T112" s="1862"/>
      <c r="U112" s="1862"/>
      <c r="V112" s="1862"/>
      <c r="W112" s="1862"/>
      <c r="X112" s="1862"/>
      <c r="Y112" s="1825"/>
      <c r="Z112" s="1825"/>
      <c r="AA112" s="1825"/>
      <c r="AB112" s="1825"/>
      <c r="AC112" s="1822"/>
      <c r="AD112" s="1807"/>
    </row>
    <row r="113" spans="1:30" s="1805" customFormat="1" ht="14.25" customHeight="1">
      <c r="A113" s="1811"/>
      <c r="B113" s="1820"/>
      <c r="C113" s="1825"/>
      <c r="D113" s="1856" t="s">
        <v>2060</v>
      </c>
      <c r="E113" s="1813"/>
      <c r="F113" s="1813"/>
      <c r="G113" s="1813"/>
      <c r="H113" s="1813"/>
      <c r="I113" s="1813"/>
      <c r="J113" s="1861" t="s">
        <v>2059</v>
      </c>
      <c r="K113" s="1861"/>
      <c r="L113" s="1861"/>
      <c r="M113" s="1813"/>
      <c r="N113" s="1813" t="s">
        <v>2058</v>
      </c>
      <c r="O113" s="1813"/>
      <c r="P113" s="1813"/>
      <c r="Q113" s="1813"/>
      <c r="R113" s="1813"/>
      <c r="S113" s="1813"/>
      <c r="T113" s="1813"/>
      <c r="U113" s="1813"/>
      <c r="V113" s="1825"/>
      <c r="W113" s="1825"/>
      <c r="X113" s="1825"/>
      <c r="Y113" s="1825"/>
      <c r="Z113" s="1825"/>
      <c r="AA113" s="1825"/>
      <c r="AB113" s="1825"/>
      <c r="AC113" s="1822"/>
      <c r="AD113" s="1807"/>
    </row>
    <row r="114" spans="1:30" s="1805" customFormat="1" ht="14.25" customHeight="1">
      <c r="A114" s="1811"/>
      <c r="B114" s="1820"/>
      <c r="C114" s="1859"/>
      <c r="D114" s="1859"/>
      <c r="E114" s="1859"/>
      <c r="F114" s="1859"/>
      <c r="G114" s="1859"/>
      <c r="H114" s="1859"/>
      <c r="I114" s="1859"/>
      <c r="J114" s="1860"/>
      <c r="K114" s="1860"/>
      <c r="L114" s="1860"/>
      <c r="M114" s="1860"/>
      <c r="N114" s="1860"/>
      <c r="O114" s="1813" t="s">
        <v>2057</v>
      </c>
      <c r="P114" s="1813"/>
      <c r="Q114" s="1813"/>
      <c r="R114" s="1860"/>
      <c r="S114" s="1860"/>
      <c r="T114" s="1813"/>
      <c r="U114" s="1860"/>
      <c r="V114" s="1860"/>
      <c r="W114" s="1860"/>
      <c r="X114" s="1860"/>
      <c r="Y114" s="1860"/>
      <c r="Z114" s="1860"/>
      <c r="AA114" s="1860"/>
      <c r="AB114" s="1860"/>
      <c r="AC114" s="1822"/>
      <c r="AD114" s="1807"/>
    </row>
    <row r="115" spans="1:30" s="1805" customFormat="1" ht="14.25" customHeight="1">
      <c r="A115" s="1811"/>
      <c r="B115" s="1820"/>
      <c r="C115" s="1859"/>
      <c r="D115" s="1859"/>
      <c r="E115" s="1859"/>
      <c r="F115" s="1859"/>
      <c r="G115" s="1859"/>
      <c r="H115" s="1859"/>
      <c r="I115" s="1859"/>
      <c r="J115" s="1828"/>
      <c r="K115" s="1828"/>
      <c r="L115" s="1828"/>
      <c r="M115" s="1828"/>
      <c r="N115" s="1828"/>
      <c r="O115" s="1813" t="s">
        <v>2056</v>
      </c>
      <c r="P115" s="1813"/>
      <c r="Q115" s="1813"/>
      <c r="R115" s="1828"/>
      <c r="S115" s="1828"/>
      <c r="T115" s="1813"/>
      <c r="U115" s="1828"/>
      <c r="V115" s="1825"/>
      <c r="W115" s="1825"/>
      <c r="X115" s="1825"/>
      <c r="Y115" s="1825"/>
      <c r="Z115" s="1825"/>
      <c r="AA115" s="1825"/>
      <c r="AB115" s="1825"/>
      <c r="AC115" s="1822"/>
      <c r="AD115" s="1807"/>
    </row>
    <row r="116" spans="1:30" s="1805" customFormat="1" ht="14.25" customHeight="1">
      <c r="A116" s="1811"/>
      <c r="B116" s="1820"/>
      <c r="C116" s="1825"/>
      <c r="D116" s="1856" t="s">
        <v>2055</v>
      </c>
      <c r="E116" s="1856"/>
      <c r="F116" s="1856"/>
      <c r="G116" s="1856"/>
      <c r="H116" s="1856"/>
      <c r="I116" s="1856"/>
      <c r="J116" s="1856" t="s">
        <v>2054</v>
      </c>
      <c r="K116" s="1856"/>
      <c r="L116" s="1856"/>
      <c r="M116" s="1856"/>
      <c r="N116" s="1856"/>
      <c r="O116" s="1857" t="s">
        <v>2053</v>
      </c>
      <c r="P116" s="1857"/>
      <c r="Q116" s="1857"/>
      <c r="R116" s="1856"/>
      <c r="S116" s="1856"/>
      <c r="T116" s="1857"/>
      <c r="U116" s="1855"/>
      <c r="V116" s="1856"/>
      <c r="W116" s="1856"/>
      <c r="X116" s="1825"/>
      <c r="Y116" s="1825"/>
      <c r="Z116" s="1825"/>
      <c r="AA116" s="1825"/>
      <c r="AB116" s="1825"/>
      <c r="AC116" s="1822"/>
      <c r="AD116" s="1807"/>
    </row>
    <row r="117" spans="1:30" s="1805" customFormat="1" ht="14.25" customHeight="1" thickBot="1">
      <c r="A117" s="1811"/>
      <c r="B117" s="1820"/>
      <c r="C117" s="1825"/>
      <c r="D117" s="1857"/>
      <c r="E117" s="1858" t="str">
        <f>IF(E118="","係数 Ａ，Ｂ，Ｃ，Ｄ を入力して下さい !!","")</f>
        <v>係数 Ａ，Ｂ，Ｃ，Ｄ を入力して下さい !!</v>
      </c>
      <c r="F117" s="1857"/>
      <c r="G117" s="1857"/>
      <c r="H117" s="1857"/>
      <c r="I117" s="1857"/>
      <c r="J117" s="1856"/>
      <c r="K117" s="1857"/>
      <c r="L117" s="1857"/>
      <c r="M117" s="1857"/>
      <c r="N117" s="1857"/>
      <c r="O117" s="1856"/>
      <c r="P117" s="1856"/>
      <c r="Q117" s="1857"/>
      <c r="R117" s="1857"/>
      <c r="S117" s="1857"/>
      <c r="T117" s="1857"/>
      <c r="U117" s="1856"/>
      <c r="V117" s="1855"/>
      <c r="W117" s="1854"/>
      <c r="X117" s="1821"/>
      <c r="Y117" s="1821"/>
      <c r="Z117" s="1821"/>
      <c r="AA117" s="1821"/>
      <c r="AB117" s="1821"/>
      <c r="AC117" s="1833"/>
      <c r="AD117" s="1807"/>
    </row>
    <row r="118" spans="1:30" s="1805" customFormat="1" ht="14.25" customHeight="1" thickBot="1">
      <c r="A118" s="1811"/>
      <c r="B118" s="1820"/>
      <c r="C118" s="1825"/>
      <c r="D118" s="1853" t="s">
        <v>2052</v>
      </c>
      <c r="E118" s="5448"/>
      <c r="F118" s="5449"/>
      <c r="G118" s="5449"/>
      <c r="H118" s="5450"/>
      <c r="I118" s="1825"/>
      <c r="J118" s="1853" t="s">
        <v>2051</v>
      </c>
      <c r="K118" s="5448"/>
      <c r="L118" s="5449"/>
      <c r="M118" s="5449"/>
      <c r="N118" s="5450"/>
      <c r="O118" s="1825"/>
      <c r="P118" s="1853" t="s">
        <v>2050</v>
      </c>
      <c r="Q118" s="5448"/>
      <c r="R118" s="5449"/>
      <c r="S118" s="5449"/>
      <c r="T118" s="5450"/>
      <c r="U118" s="1825"/>
      <c r="V118" s="1853" t="s">
        <v>2049</v>
      </c>
      <c r="W118" s="5448"/>
      <c r="X118" s="5449"/>
      <c r="Y118" s="5449"/>
      <c r="Z118" s="5450"/>
      <c r="AA118" s="1825"/>
      <c r="AB118" s="1825"/>
      <c r="AC118" s="1822"/>
      <c r="AD118" s="1807"/>
    </row>
    <row r="119" spans="1:30" s="1805" customFormat="1" ht="14.25" customHeight="1" thickBot="1">
      <c r="A119" s="1811"/>
      <c r="B119" s="1820"/>
      <c r="C119" s="1825"/>
      <c r="D119" s="1828"/>
      <c r="E119" s="1828"/>
      <c r="F119" s="1828"/>
      <c r="G119" s="1821"/>
      <c r="H119" s="1821"/>
      <c r="I119" s="1821"/>
      <c r="J119" s="1813"/>
      <c r="K119" s="1821"/>
      <c r="L119" s="1828"/>
      <c r="M119" s="1828"/>
      <c r="N119" s="1828"/>
      <c r="O119" s="1825"/>
      <c r="P119" s="1813"/>
      <c r="Q119" s="1821"/>
      <c r="R119" s="1821"/>
      <c r="S119" s="1821"/>
      <c r="T119" s="1821"/>
      <c r="U119" s="1825"/>
      <c r="V119" s="1825"/>
      <c r="W119" s="1821"/>
      <c r="X119" s="1821"/>
      <c r="Y119" s="1821"/>
      <c r="Z119" s="1821"/>
      <c r="AA119" s="1821"/>
      <c r="AB119" s="1821"/>
      <c r="AC119" s="1822"/>
      <c r="AD119" s="1807"/>
    </row>
    <row r="120" spans="1:30" s="1805" customFormat="1" ht="14.25" customHeight="1" thickBot="1">
      <c r="A120" s="1811"/>
      <c r="B120" s="1820"/>
      <c r="C120" s="1825"/>
      <c r="D120" s="1825"/>
      <c r="E120" s="1825"/>
      <c r="F120" s="1827" t="str">
        <f>IF(E118="","",IF(AND(E118&gt;0,K118^2-3*E118*Q118&gt;=0),"Ｘ1（極大値）＝",IF(AND(E118&lt;0,K118^2-3*E118*Q118&gt;=0),"Ｘ1（極小値）＝",IF(AND(E118&gt;0,K118^2-3*E118*Q118&lt;0),"Ｘ1（虚大値）＝",IF(AND(E118&lt;0,K118^2-3*E118*Q118&lt;0),"Ｘ1（虚小値）＝","")))))</f>
        <v/>
      </c>
      <c r="G120" s="5451" t="str">
        <f>IF($E$118="","",IF(E118&gt;0,(-$K$118-SQRT(ABS($K$118^2-3*$E$118*$Q$118)))/(3*$E$118),(-$K$118+SQRT(ABS($K$118^2-3*$E$118*$Q$118)))/(3*$E$118)))</f>
        <v/>
      </c>
      <c r="H120" s="5452"/>
      <c r="I120" s="5452"/>
      <c r="J120" s="5452"/>
      <c r="K120" s="5453"/>
      <c r="L120" s="1825"/>
      <c r="M120" s="1825"/>
      <c r="N120" s="1825"/>
      <c r="O120" s="1827" t="str">
        <f>IF(E118="","",IF(AND(E118&gt;0,K118^2-3*E118*Q118&gt;=0),"Ｘ2（極小値）＝",IF(AND(E118&lt;0,K118^2-3*E118*Q118&gt;=0),"Ｘ2（極大値）＝",IF(AND(E118&gt;0,K118^2-3*E118*Q118&lt;0),"Ｘ2（虚小値）＝",IF(AND(E118&lt;0,K118^2-3*E118*Q118&lt;0),"Ｘ2（虚大値）＝","")))))</f>
        <v/>
      </c>
      <c r="P120" s="5451" t="str">
        <f>IF($E$118="","",IF(E118&gt;0,(-$K$118+SQRT(ABS($K$118^2-3*$E$118*$Q$118)))/(3*$E$118),(-$K$118-SQRT(ABS($K$118^2-3*$E$118*$Q$118)))/(3*$E$118)))</f>
        <v/>
      </c>
      <c r="Q120" s="5452"/>
      <c r="R120" s="5452"/>
      <c r="S120" s="5453"/>
      <c r="T120" s="1825"/>
      <c r="U120" s="1825"/>
      <c r="V120" s="1827" t="str">
        <f>IF(W120="","","Ｘo＝")</f>
        <v/>
      </c>
      <c r="W120" s="5451" t="str">
        <f>IF($E$118="","",-$K$118/(3*$E$118))</f>
        <v/>
      </c>
      <c r="X120" s="5452"/>
      <c r="Y120" s="5452"/>
      <c r="Z120" s="5453"/>
      <c r="AA120" s="1825"/>
      <c r="AB120" s="1825"/>
      <c r="AC120" s="1822"/>
      <c r="AD120" s="1807"/>
    </row>
    <row r="121" spans="1:30" s="1805" customFormat="1" ht="14.25" customHeight="1" thickTop="1" thickBot="1">
      <c r="A121" s="1811"/>
      <c r="B121" s="1820"/>
      <c r="C121" s="1825"/>
      <c r="D121" s="1825"/>
      <c r="E121" s="1825"/>
      <c r="F121" s="1827" t="str">
        <f>IF(G121="","","ｆ(Ｘ1)＝")</f>
        <v/>
      </c>
      <c r="G121" s="5440" t="str">
        <f>IF($G$120="","",$E$118*$G$120^3+$K$118*$G$120^2+$Q$118*$G$120+$W$118)</f>
        <v/>
      </c>
      <c r="H121" s="5441"/>
      <c r="I121" s="5441"/>
      <c r="J121" s="5441"/>
      <c r="K121" s="5442"/>
      <c r="L121" s="1825"/>
      <c r="M121" s="1825"/>
      <c r="N121" s="1825"/>
      <c r="O121" s="1827" t="str">
        <f>IF(P121="","","ｆ(Ｘ2)＝")</f>
        <v/>
      </c>
      <c r="P121" s="5440" t="str">
        <f>IF($P$120="","",$E$118*$P$120^3+$K$118*$P$120^2+$Q$118*$P$120+$W$118)</f>
        <v/>
      </c>
      <c r="Q121" s="5441"/>
      <c r="R121" s="5441"/>
      <c r="S121" s="5442"/>
      <c r="T121" s="1825"/>
      <c r="U121" s="1825"/>
      <c r="V121" s="1827" t="str">
        <f>IF(W121="","","ｆ(Ｘo)＝")</f>
        <v/>
      </c>
      <c r="W121" s="5440" t="str">
        <f>IF($E$118="","",$E$118*$W$120^3+$K$118*$W$120^2+$Q$118*$W$120+$W$118)</f>
        <v/>
      </c>
      <c r="X121" s="5441"/>
      <c r="Y121" s="5441"/>
      <c r="Z121" s="5442"/>
      <c r="AA121" s="1825"/>
      <c r="AB121" s="1825"/>
      <c r="AC121" s="1822"/>
      <c r="AD121" s="1807"/>
    </row>
    <row r="122" spans="1:30" s="1805" customFormat="1" ht="14.25" customHeight="1" thickBot="1">
      <c r="A122" s="1811"/>
      <c r="B122" s="1820"/>
      <c r="C122" s="1825"/>
      <c r="D122" s="1813"/>
      <c r="E122" s="1852"/>
      <c r="F122" s="1813"/>
      <c r="G122" s="1821"/>
      <c r="H122" s="1821"/>
      <c r="I122" s="1821"/>
      <c r="J122" s="1821"/>
      <c r="K122" s="1821"/>
      <c r="L122" s="1813"/>
      <c r="M122" s="1813"/>
      <c r="N122" s="1813"/>
      <c r="O122" s="1813"/>
      <c r="P122" s="1821"/>
      <c r="Q122" s="1821"/>
      <c r="R122" s="1821"/>
      <c r="S122" s="1821"/>
      <c r="T122" s="1821"/>
      <c r="U122" s="1813"/>
      <c r="V122" s="1813"/>
      <c r="W122" s="1821"/>
      <c r="X122" s="1821"/>
      <c r="Y122" s="1821"/>
      <c r="Z122" s="1821"/>
      <c r="AA122" s="1821"/>
      <c r="AB122" s="1821"/>
      <c r="AC122" s="1822"/>
      <c r="AD122" s="1807"/>
    </row>
    <row r="123" spans="1:30" s="1805" customFormat="1" ht="14.25" customHeight="1" thickTop="1" thickBot="1">
      <c r="A123" s="1811"/>
      <c r="B123" s="1820"/>
      <c r="C123" s="1825"/>
      <c r="D123" s="5426" t="str">
        <f>IF(OR(H123&lt;&gt;"",O123&lt;&gt;"",V123&lt;&gt;""),"実根⇒","")</f>
        <v/>
      </c>
      <c r="E123" s="5426"/>
      <c r="F123" s="1825"/>
      <c r="G123" s="1850" t="s">
        <v>2048</v>
      </c>
      <c r="H123" s="5427" t="str">
        <f>IF(D128="","",D167)</f>
        <v/>
      </c>
      <c r="I123" s="5428"/>
      <c r="J123" s="5428"/>
      <c r="K123" s="5428"/>
      <c r="L123" s="5429"/>
      <c r="M123" s="1851"/>
      <c r="N123" s="1850" t="s">
        <v>2047</v>
      </c>
      <c r="O123" s="5427" t="str">
        <f>IF(D175="","",D214)</f>
        <v/>
      </c>
      <c r="P123" s="5428"/>
      <c r="Q123" s="5428"/>
      <c r="R123" s="5428"/>
      <c r="S123" s="5429"/>
      <c r="T123" s="1851"/>
      <c r="U123" s="1850" t="s">
        <v>2046</v>
      </c>
      <c r="V123" s="5427" t="str">
        <f>IF(D222="","",D261)</f>
        <v/>
      </c>
      <c r="W123" s="5428"/>
      <c r="X123" s="5428"/>
      <c r="Y123" s="5428"/>
      <c r="Z123" s="5429"/>
      <c r="AA123" s="1825"/>
      <c r="AB123" s="1825"/>
      <c r="AC123" s="1822"/>
      <c r="AD123" s="1807"/>
    </row>
    <row r="124" spans="1:30" s="1805" customFormat="1" ht="14.25" customHeight="1" thickTop="1">
      <c r="A124" s="1811"/>
      <c r="B124" s="1832"/>
      <c r="C124" s="1828"/>
      <c r="D124" s="1849"/>
      <c r="E124" s="1849"/>
      <c r="F124" s="1828"/>
      <c r="G124" s="1848"/>
      <c r="H124" s="1847"/>
      <c r="I124" s="1847"/>
      <c r="J124" s="1847"/>
      <c r="K124" s="1847"/>
      <c r="L124" s="1847"/>
      <c r="M124" s="1828"/>
      <c r="N124" s="1848"/>
      <c r="O124" s="1847"/>
      <c r="P124" s="1847"/>
      <c r="Q124" s="1847"/>
      <c r="R124" s="1847"/>
      <c r="S124" s="1847"/>
      <c r="T124" s="1828"/>
      <c r="U124" s="1848"/>
      <c r="V124" s="1847"/>
      <c r="W124" s="1847"/>
      <c r="X124" s="1847"/>
      <c r="Y124" s="1847"/>
      <c r="Z124" s="1847"/>
      <c r="AA124" s="1828"/>
      <c r="AB124" s="1828"/>
      <c r="AC124" s="1833"/>
      <c r="AD124" s="1807"/>
    </row>
    <row r="125" spans="1:30" s="1805" customFormat="1" ht="3.75" customHeight="1" thickBot="1">
      <c r="A125" s="1811"/>
      <c r="B125" s="1846"/>
      <c r="C125" s="1843"/>
      <c r="D125" s="1845"/>
      <c r="E125" s="1845"/>
      <c r="F125" s="1843"/>
      <c r="G125" s="1842"/>
      <c r="H125" s="1841"/>
      <c r="I125" s="1841"/>
      <c r="J125" s="1841"/>
      <c r="K125" s="1844" t="str">
        <f>IF(AND(G121=0,H123&lt;&gt;"",O123&lt;&gt;""),"　　　Ｘa，Ｘb は重根です","")</f>
        <v/>
      </c>
      <c r="L125" s="1841"/>
      <c r="M125" s="1843"/>
      <c r="N125" s="1842"/>
      <c r="O125" s="1841"/>
      <c r="P125" s="1841"/>
      <c r="Q125" s="1841"/>
      <c r="R125" s="1844" t="str">
        <f>IF(AND(P121=0,O123&lt;&gt;"",V123&lt;&gt;""),"　　　Ｘb，Ｘc は重根です","")</f>
        <v/>
      </c>
      <c r="S125" s="1841"/>
      <c r="T125" s="1843"/>
      <c r="U125" s="1842"/>
      <c r="V125" s="1841"/>
      <c r="W125" s="1841"/>
      <c r="X125" s="1841"/>
      <c r="Y125" s="1841"/>
      <c r="Z125" s="1841"/>
      <c r="AA125" s="1841"/>
      <c r="AB125" s="1841"/>
      <c r="AC125" s="1840"/>
      <c r="AD125" s="1807"/>
    </row>
    <row r="126" spans="1:30" s="1805" customFormat="1" ht="11.25" customHeight="1">
      <c r="A126" s="1811"/>
      <c r="B126" s="1839"/>
      <c r="C126" s="1834"/>
      <c r="D126" s="1838"/>
      <c r="E126" s="1838"/>
      <c r="F126" s="1834"/>
      <c r="G126" s="1836"/>
      <c r="H126" s="1835"/>
      <c r="I126" s="1835"/>
      <c r="J126" s="1835"/>
      <c r="K126" s="1837"/>
      <c r="L126" s="1835"/>
      <c r="M126" s="1834"/>
      <c r="N126" s="1836"/>
      <c r="O126" s="1835"/>
      <c r="P126" s="1835"/>
      <c r="Q126" s="1835"/>
      <c r="R126" s="1837"/>
      <c r="S126" s="1835"/>
      <c r="T126" s="1834"/>
      <c r="U126" s="1836"/>
      <c r="V126" s="1835"/>
      <c r="W126" s="1835"/>
      <c r="X126" s="1835"/>
      <c r="Y126" s="1835"/>
      <c r="Z126" s="1835"/>
      <c r="AA126" s="1835"/>
      <c r="AB126" s="1835"/>
      <c r="AC126" s="1834"/>
      <c r="AD126" s="1807"/>
    </row>
    <row r="127" spans="1:30" s="1805" customFormat="1" ht="12" hidden="1" customHeight="1" thickBot="1">
      <c r="A127" s="1811"/>
      <c r="B127" s="5430" t="s">
        <v>2045</v>
      </c>
      <c r="C127" s="5431"/>
      <c r="D127" s="5432" t="s">
        <v>2044</v>
      </c>
      <c r="E127" s="5433"/>
      <c r="F127" s="5433"/>
      <c r="G127" s="5433"/>
      <c r="H127" s="5434"/>
      <c r="I127" s="5435" t="s">
        <v>2043</v>
      </c>
      <c r="J127" s="5433"/>
      <c r="K127" s="5433"/>
      <c r="L127" s="5433"/>
      <c r="M127" s="5434"/>
      <c r="N127" s="5435" t="s">
        <v>2042</v>
      </c>
      <c r="O127" s="5433"/>
      <c r="P127" s="5433"/>
      <c r="Q127" s="5433"/>
      <c r="R127" s="5434"/>
      <c r="S127" s="5436" t="s">
        <v>2041</v>
      </c>
      <c r="T127" s="5433"/>
      <c r="U127" s="5433"/>
      <c r="V127" s="5433"/>
      <c r="W127" s="5434"/>
      <c r="X127" s="5437" t="str">
        <f>IF(E118="","","収束回数")</f>
        <v/>
      </c>
      <c r="Y127" s="5438"/>
      <c r="Z127" s="5438"/>
      <c r="AA127" s="5439"/>
      <c r="AB127" s="1823"/>
      <c r="AC127" s="1833"/>
      <c r="AD127" s="1807"/>
    </row>
    <row r="128" spans="1:30" s="1805" customFormat="1" ht="12" hidden="1" customHeight="1">
      <c r="A128" s="1811"/>
      <c r="B128" s="1832"/>
      <c r="C128" s="1831">
        <v>1</v>
      </c>
      <c r="D128" s="5391" t="str">
        <f>IF(OR(E118="",AND(K118=0,Q118=0,W118=0)),"",IF(G121=0,0,IF(OR(AND(E118&gt;0,G121&gt;0,K118^2-3*E118*Q118&gt;=0),AND(E118&lt;0,G121&lt;0,K118^2-3*E118*Q118&gt;=0),AND(E118&gt;0,G121&gt;0,K118^2-3*E118*Q118&lt;0),AND(E118&lt;0,G121&lt;0,K118^2-3*E118*Q118&lt;0)),G120-10^-2,"")))</f>
        <v/>
      </c>
      <c r="E128" s="5392"/>
      <c r="F128" s="5392"/>
      <c r="G128" s="5392"/>
      <c r="H128" s="5393"/>
      <c r="I128" s="5394">
        <f t="shared" ref="I128:I167" si="35">IF(OR($E$118="",$D$128=""),0,$E$118*D128^3+$K$118*D128^2+$Q$118*D128+$W$118)</f>
        <v>0</v>
      </c>
      <c r="J128" s="5395"/>
      <c r="K128" s="5395"/>
      <c r="L128" s="5395"/>
      <c r="M128" s="5396"/>
      <c r="N128" s="5394">
        <f t="shared" ref="N128:N167" si="36">IF(OR($E$118="",$D$128=""),0,3*$E$118*D128^2+2*$K$118*D128+$Q$118)</f>
        <v>0</v>
      </c>
      <c r="O128" s="5395"/>
      <c r="P128" s="5395"/>
      <c r="Q128" s="5395"/>
      <c r="R128" s="5396"/>
      <c r="S128" s="5394">
        <f t="shared" ref="S128:S167" si="37">IF(OR(D128=0,D128="",N128=0,N128="",$D$128=0),0,D128-I128/N128)</f>
        <v>0</v>
      </c>
      <c r="T128" s="5395"/>
      <c r="U128" s="5395"/>
      <c r="V128" s="5395"/>
      <c r="W128" s="5396"/>
      <c r="X128" s="5397"/>
      <c r="Y128" s="5398"/>
      <c r="Z128" s="5398"/>
      <c r="AA128" s="5399"/>
      <c r="AB128" s="1821"/>
      <c r="AC128" s="1818">
        <f t="shared" ref="AC128:AC167" si="38">IF(ABS(I128)&lt;10^-10,AC127+1,1)</f>
        <v>1</v>
      </c>
      <c r="AD128" s="1807"/>
    </row>
    <row r="129" spans="1:30" s="1805" customFormat="1" ht="12" hidden="1" customHeight="1">
      <c r="A129" s="1811"/>
      <c r="B129" s="1820"/>
      <c r="C129" s="1819">
        <v>2</v>
      </c>
      <c r="D129" s="5387">
        <f t="shared" ref="D129:D167" si="39">S128</f>
        <v>0</v>
      </c>
      <c r="E129" s="5388"/>
      <c r="F129" s="5388"/>
      <c r="G129" s="5388"/>
      <c r="H129" s="5389"/>
      <c r="I129" s="5390">
        <f t="shared" si="35"/>
        <v>0</v>
      </c>
      <c r="J129" s="5388"/>
      <c r="K129" s="5388"/>
      <c r="L129" s="5388"/>
      <c r="M129" s="5389"/>
      <c r="N129" s="5390">
        <f t="shared" si="36"/>
        <v>0</v>
      </c>
      <c r="O129" s="5388"/>
      <c r="P129" s="5388"/>
      <c r="Q129" s="5388"/>
      <c r="R129" s="5389"/>
      <c r="S129" s="5390">
        <f t="shared" si="37"/>
        <v>0</v>
      </c>
      <c r="T129" s="5388"/>
      <c r="U129" s="5388"/>
      <c r="V129" s="5388"/>
      <c r="W129" s="5389"/>
      <c r="X129" s="5377" t="str">
        <f t="shared" ref="X129:X167" si="40">IF(I129="","",IF(AND(ABS(I129)&lt;10^-10,AC128=1,AC129-AC128&lt;&gt;0),C129&amp;"回 収束完了",""))</f>
        <v>2回 収束完了</v>
      </c>
      <c r="Y129" s="5378"/>
      <c r="Z129" s="5378"/>
      <c r="AA129" s="5379"/>
      <c r="AB129" s="1816"/>
      <c r="AC129" s="1818">
        <f t="shared" si="38"/>
        <v>2</v>
      </c>
      <c r="AD129" s="1807"/>
    </row>
    <row r="130" spans="1:30" s="1805" customFormat="1" ht="12" hidden="1" customHeight="1">
      <c r="A130" s="1811"/>
      <c r="B130" s="1820"/>
      <c r="C130" s="1819">
        <v>3</v>
      </c>
      <c r="D130" s="5387">
        <f t="shared" si="39"/>
        <v>0</v>
      </c>
      <c r="E130" s="5388"/>
      <c r="F130" s="5388"/>
      <c r="G130" s="5388"/>
      <c r="H130" s="5389"/>
      <c r="I130" s="5390">
        <f t="shared" si="35"/>
        <v>0</v>
      </c>
      <c r="J130" s="5388"/>
      <c r="K130" s="5388"/>
      <c r="L130" s="5388"/>
      <c r="M130" s="5389"/>
      <c r="N130" s="5390">
        <f t="shared" si="36"/>
        <v>0</v>
      </c>
      <c r="O130" s="5388"/>
      <c r="P130" s="5388"/>
      <c r="Q130" s="5388"/>
      <c r="R130" s="5389"/>
      <c r="S130" s="5390">
        <f t="shared" si="37"/>
        <v>0</v>
      </c>
      <c r="T130" s="5388"/>
      <c r="U130" s="5388"/>
      <c r="V130" s="5388"/>
      <c r="W130" s="5389"/>
      <c r="X130" s="5377" t="str">
        <f t="shared" si="40"/>
        <v/>
      </c>
      <c r="Y130" s="5378"/>
      <c r="Z130" s="5378"/>
      <c r="AA130" s="5379"/>
      <c r="AB130" s="1816"/>
      <c r="AC130" s="1818">
        <f t="shared" si="38"/>
        <v>3</v>
      </c>
      <c r="AD130" s="1807"/>
    </row>
    <row r="131" spans="1:30" s="1805" customFormat="1" ht="12" hidden="1" customHeight="1">
      <c r="A131" s="1811"/>
      <c r="B131" s="1820"/>
      <c r="C131" s="1819">
        <v>4</v>
      </c>
      <c r="D131" s="5387">
        <f t="shared" si="39"/>
        <v>0</v>
      </c>
      <c r="E131" s="5388"/>
      <c r="F131" s="5388"/>
      <c r="G131" s="5388"/>
      <c r="H131" s="5389"/>
      <c r="I131" s="5390">
        <f t="shared" si="35"/>
        <v>0</v>
      </c>
      <c r="J131" s="5388"/>
      <c r="K131" s="5388"/>
      <c r="L131" s="5388"/>
      <c r="M131" s="5389"/>
      <c r="N131" s="5390">
        <f t="shared" si="36"/>
        <v>0</v>
      </c>
      <c r="O131" s="5388"/>
      <c r="P131" s="5388"/>
      <c r="Q131" s="5388"/>
      <c r="R131" s="5389"/>
      <c r="S131" s="5390">
        <f t="shared" si="37"/>
        <v>0</v>
      </c>
      <c r="T131" s="5388"/>
      <c r="U131" s="5388"/>
      <c r="V131" s="5388"/>
      <c r="W131" s="5389"/>
      <c r="X131" s="5377" t="str">
        <f t="shared" si="40"/>
        <v/>
      </c>
      <c r="Y131" s="5378"/>
      <c r="Z131" s="5378"/>
      <c r="AA131" s="5379"/>
      <c r="AB131" s="1816"/>
      <c r="AC131" s="1818">
        <f t="shared" si="38"/>
        <v>4</v>
      </c>
      <c r="AD131" s="1807"/>
    </row>
    <row r="132" spans="1:30" s="1805" customFormat="1" ht="12" hidden="1" customHeight="1">
      <c r="A132" s="1811"/>
      <c r="B132" s="1820"/>
      <c r="C132" s="1819">
        <v>5</v>
      </c>
      <c r="D132" s="5387">
        <f t="shared" si="39"/>
        <v>0</v>
      </c>
      <c r="E132" s="5388"/>
      <c r="F132" s="5388"/>
      <c r="G132" s="5388"/>
      <c r="H132" s="5389"/>
      <c r="I132" s="5390">
        <f t="shared" si="35"/>
        <v>0</v>
      </c>
      <c r="J132" s="5388"/>
      <c r="K132" s="5388"/>
      <c r="L132" s="5388"/>
      <c r="M132" s="5389"/>
      <c r="N132" s="5390">
        <f t="shared" si="36"/>
        <v>0</v>
      </c>
      <c r="O132" s="5388"/>
      <c r="P132" s="5388"/>
      <c r="Q132" s="5388"/>
      <c r="R132" s="5389"/>
      <c r="S132" s="5390">
        <f t="shared" si="37"/>
        <v>0</v>
      </c>
      <c r="T132" s="5388"/>
      <c r="U132" s="5388"/>
      <c r="V132" s="5388"/>
      <c r="W132" s="5389"/>
      <c r="X132" s="5377" t="str">
        <f t="shared" si="40"/>
        <v/>
      </c>
      <c r="Y132" s="5378"/>
      <c r="Z132" s="5378"/>
      <c r="AA132" s="5379"/>
      <c r="AB132" s="1816"/>
      <c r="AC132" s="1818">
        <f t="shared" si="38"/>
        <v>5</v>
      </c>
      <c r="AD132" s="1807"/>
    </row>
    <row r="133" spans="1:30" s="1805" customFormat="1" ht="12" hidden="1" customHeight="1">
      <c r="A133" s="1811"/>
      <c r="B133" s="1820"/>
      <c r="C133" s="1819">
        <v>6</v>
      </c>
      <c r="D133" s="5387">
        <f t="shared" si="39"/>
        <v>0</v>
      </c>
      <c r="E133" s="5388"/>
      <c r="F133" s="5388"/>
      <c r="G133" s="5388"/>
      <c r="H133" s="5389"/>
      <c r="I133" s="5390">
        <f t="shared" si="35"/>
        <v>0</v>
      </c>
      <c r="J133" s="5388"/>
      <c r="K133" s="5388"/>
      <c r="L133" s="5388"/>
      <c r="M133" s="5389"/>
      <c r="N133" s="5390">
        <f t="shared" si="36"/>
        <v>0</v>
      </c>
      <c r="O133" s="5388"/>
      <c r="P133" s="5388"/>
      <c r="Q133" s="5388"/>
      <c r="R133" s="5389"/>
      <c r="S133" s="5390">
        <f t="shared" si="37"/>
        <v>0</v>
      </c>
      <c r="T133" s="5388"/>
      <c r="U133" s="5388"/>
      <c r="V133" s="5388"/>
      <c r="W133" s="5389"/>
      <c r="X133" s="5377" t="str">
        <f t="shared" si="40"/>
        <v/>
      </c>
      <c r="Y133" s="5378"/>
      <c r="Z133" s="5378"/>
      <c r="AA133" s="5379"/>
      <c r="AB133" s="1816"/>
      <c r="AC133" s="1818">
        <f t="shared" si="38"/>
        <v>6</v>
      </c>
      <c r="AD133" s="1807"/>
    </row>
    <row r="134" spans="1:30" s="1805" customFormat="1" ht="12" hidden="1" customHeight="1">
      <c r="A134" s="1811"/>
      <c r="B134" s="1820"/>
      <c r="C134" s="1819">
        <v>7</v>
      </c>
      <c r="D134" s="5387">
        <f t="shared" si="39"/>
        <v>0</v>
      </c>
      <c r="E134" s="5388"/>
      <c r="F134" s="5388"/>
      <c r="G134" s="5388"/>
      <c r="H134" s="5389"/>
      <c r="I134" s="5390">
        <f t="shared" si="35"/>
        <v>0</v>
      </c>
      <c r="J134" s="5388"/>
      <c r="K134" s="5388"/>
      <c r="L134" s="5388"/>
      <c r="M134" s="5389"/>
      <c r="N134" s="5390">
        <f t="shared" si="36"/>
        <v>0</v>
      </c>
      <c r="O134" s="5388"/>
      <c r="P134" s="5388"/>
      <c r="Q134" s="5388"/>
      <c r="R134" s="5389"/>
      <c r="S134" s="5390">
        <f t="shared" si="37"/>
        <v>0</v>
      </c>
      <c r="T134" s="5388"/>
      <c r="U134" s="5388"/>
      <c r="V134" s="5388"/>
      <c r="W134" s="5389"/>
      <c r="X134" s="5377" t="str">
        <f t="shared" si="40"/>
        <v/>
      </c>
      <c r="Y134" s="5378"/>
      <c r="Z134" s="5378"/>
      <c r="AA134" s="5379"/>
      <c r="AB134" s="1816"/>
      <c r="AC134" s="1818">
        <f t="shared" si="38"/>
        <v>7</v>
      </c>
      <c r="AD134" s="1807"/>
    </row>
    <row r="135" spans="1:30" s="1805" customFormat="1" ht="12" hidden="1" customHeight="1">
      <c r="A135" s="1811"/>
      <c r="B135" s="1820"/>
      <c r="C135" s="1819">
        <v>8</v>
      </c>
      <c r="D135" s="5387">
        <f t="shared" si="39"/>
        <v>0</v>
      </c>
      <c r="E135" s="5388"/>
      <c r="F135" s="5388"/>
      <c r="G135" s="5388"/>
      <c r="H135" s="5389"/>
      <c r="I135" s="5390">
        <f t="shared" si="35"/>
        <v>0</v>
      </c>
      <c r="J135" s="5388"/>
      <c r="K135" s="5388"/>
      <c r="L135" s="5388"/>
      <c r="M135" s="5389"/>
      <c r="N135" s="5390">
        <f t="shared" si="36"/>
        <v>0</v>
      </c>
      <c r="O135" s="5388"/>
      <c r="P135" s="5388"/>
      <c r="Q135" s="5388"/>
      <c r="R135" s="5389"/>
      <c r="S135" s="5390">
        <f t="shared" si="37"/>
        <v>0</v>
      </c>
      <c r="T135" s="5388"/>
      <c r="U135" s="5388"/>
      <c r="V135" s="5388"/>
      <c r="W135" s="5389"/>
      <c r="X135" s="5377" t="str">
        <f t="shared" si="40"/>
        <v/>
      </c>
      <c r="Y135" s="5378"/>
      <c r="Z135" s="5378"/>
      <c r="AA135" s="5379"/>
      <c r="AB135" s="1816"/>
      <c r="AC135" s="1818">
        <f t="shared" si="38"/>
        <v>8</v>
      </c>
      <c r="AD135" s="1807"/>
    </row>
    <row r="136" spans="1:30" s="1805" customFormat="1" ht="12" hidden="1" customHeight="1">
      <c r="A136" s="1811"/>
      <c r="B136" s="1820"/>
      <c r="C136" s="1819">
        <v>9</v>
      </c>
      <c r="D136" s="5387">
        <f t="shared" si="39"/>
        <v>0</v>
      </c>
      <c r="E136" s="5388"/>
      <c r="F136" s="5388"/>
      <c r="G136" s="5388"/>
      <c r="H136" s="5389"/>
      <c r="I136" s="5390">
        <f t="shared" si="35"/>
        <v>0</v>
      </c>
      <c r="J136" s="5388"/>
      <c r="K136" s="5388"/>
      <c r="L136" s="5388"/>
      <c r="M136" s="5389"/>
      <c r="N136" s="5390">
        <f t="shared" si="36"/>
        <v>0</v>
      </c>
      <c r="O136" s="5388"/>
      <c r="P136" s="5388"/>
      <c r="Q136" s="5388"/>
      <c r="R136" s="5389"/>
      <c r="S136" s="5390">
        <f t="shared" si="37"/>
        <v>0</v>
      </c>
      <c r="T136" s="5388"/>
      <c r="U136" s="5388"/>
      <c r="V136" s="5388"/>
      <c r="W136" s="5389"/>
      <c r="X136" s="5377" t="str">
        <f t="shared" si="40"/>
        <v/>
      </c>
      <c r="Y136" s="5378"/>
      <c r="Z136" s="5378"/>
      <c r="AA136" s="5379"/>
      <c r="AB136" s="1816"/>
      <c r="AC136" s="1818">
        <f t="shared" si="38"/>
        <v>9</v>
      </c>
      <c r="AD136" s="1807"/>
    </row>
    <row r="137" spans="1:30" s="1805" customFormat="1" ht="12" hidden="1" customHeight="1">
      <c r="A137" s="1811"/>
      <c r="B137" s="1820"/>
      <c r="C137" s="1819">
        <v>10</v>
      </c>
      <c r="D137" s="5387">
        <f t="shared" si="39"/>
        <v>0</v>
      </c>
      <c r="E137" s="5388"/>
      <c r="F137" s="5388"/>
      <c r="G137" s="5388"/>
      <c r="H137" s="5389"/>
      <c r="I137" s="5390">
        <f t="shared" si="35"/>
        <v>0</v>
      </c>
      <c r="J137" s="5388"/>
      <c r="K137" s="5388"/>
      <c r="L137" s="5388"/>
      <c r="M137" s="5389"/>
      <c r="N137" s="5390">
        <f t="shared" si="36"/>
        <v>0</v>
      </c>
      <c r="O137" s="5388"/>
      <c r="P137" s="5388"/>
      <c r="Q137" s="5388"/>
      <c r="R137" s="5389"/>
      <c r="S137" s="5390">
        <f t="shared" si="37"/>
        <v>0</v>
      </c>
      <c r="T137" s="5388"/>
      <c r="U137" s="5388"/>
      <c r="V137" s="5388"/>
      <c r="W137" s="5389"/>
      <c r="X137" s="5377" t="str">
        <f t="shared" si="40"/>
        <v/>
      </c>
      <c r="Y137" s="5378"/>
      <c r="Z137" s="5378"/>
      <c r="AA137" s="5379"/>
      <c r="AB137" s="1816"/>
      <c r="AC137" s="1818">
        <f t="shared" si="38"/>
        <v>10</v>
      </c>
      <c r="AD137" s="1807"/>
    </row>
    <row r="138" spans="1:30" s="1805" customFormat="1" ht="12" hidden="1" customHeight="1">
      <c r="A138" s="1811"/>
      <c r="B138" s="1820"/>
      <c r="C138" s="1819">
        <v>11</v>
      </c>
      <c r="D138" s="5373">
        <f t="shared" si="39"/>
        <v>0</v>
      </c>
      <c r="E138" s="5374"/>
      <c r="F138" s="5374"/>
      <c r="G138" s="5374"/>
      <c r="H138" s="5375"/>
      <c r="I138" s="5376">
        <f t="shared" si="35"/>
        <v>0</v>
      </c>
      <c r="J138" s="5374"/>
      <c r="K138" s="5374"/>
      <c r="L138" s="5374"/>
      <c r="M138" s="5375"/>
      <c r="N138" s="5376">
        <f t="shared" si="36"/>
        <v>0</v>
      </c>
      <c r="O138" s="5374"/>
      <c r="P138" s="5374"/>
      <c r="Q138" s="5374"/>
      <c r="R138" s="5375"/>
      <c r="S138" s="5376">
        <f t="shared" si="37"/>
        <v>0</v>
      </c>
      <c r="T138" s="5374"/>
      <c r="U138" s="5374"/>
      <c r="V138" s="5374"/>
      <c r="W138" s="5375"/>
      <c r="X138" s="5377" t="str">
        <f t="shared" si="40"/>
        <v/>
      </c>
      <c r="Y138" s="5378"/>
      <c r="Z138" s="5378"/>
      <c r="AA138" s="5379"/>
      <c r="AB138" s="1816"/>
      <c r="AC138" s="1818">
        <f t="shared" si="38"/>
        <v>11</v>
      </c>
      <c r="AD138" s="1807"/>
    </row>
    <row r="139" spans="1:30" s="1805" customFormat="1" ht="12" hidden="1" customHeight="1">
      <c r="A139" s="1811"/>
      <c r="B139" s="1820"/>
      <c r="C139" s="1819">
        <v>12</v>
      </c>
      <c r="D139" s="5373">
        <f t="shared" si="39"/>
        <v>0</v>
      </c>
      <c r="E139" s="5374"/>
      <c r="F139" s="5374"/>
      <c r="G139" s="5374"/>
      <c r="H139" s="5375"/>
      <c r="I139" s="5376">
        <f t="shared" si="35"/>
        <v>0</v>
      </c>
      <c r="J139" s="5374"/>
      <c r="K139" s="5374"/>
      <c r="L139" s="5374"/>
      <c r="M139" s="5375"/>
      <c r="N139" s="5376">
        <f t="shared" si="36"/>
        <v>0</v>
      </c>
      <c r="O139" s="5374"/>
      <c r="P139" s="5374"/>
      <c r="Q139" s="5374"/>
      <c r="R139" s="5375"/>
      <c r="S139" s="5376">
        <f t="shared" si="37"/>
        <v>0</v>
      </c>
      <c r="T139" s="5374"/>
      <c r="U139" s="5374"/>
      <c r="V139" s="5374"/>
      <c r="W139" s="5375"/>
      <c r="X139" s="5377" t="str">
        <f t="shared" si="40"/>
        <v/>
      </c>
      <c r="Y139" s="5378"/>
      <c r="Z139" s="5378"/>
      <c r="AA139" s="5379"/>
      <c r="AB139" s="1816"/>
      <c r="AC139" s="1818">
        <f t="shared" si="38"/>
        <v>12</v>
      </c>
      <c r="AD139" s="1807"/>
    </row>
    <row r="140" spans="1:30" s="1805" customFormat="1" ht="12" hidden="1" customHeight="1">
      <c r="A140" s="1811"/>
      <c r="B140" s="1820"/>
      <c r="C140" s="1819">
        <v>13</v>
      </c>
      <c r="D140" s="5373">
        <f t="shared" si="39"/>
        <v>0</v>
      </c>
      <c r="E140" s="5374"/>
      <c r="F140" s="5374"/>
      <c r="G140" s="5374"/>
      <c r="H140" s="5375"/>
      <c r="I140" s="5376">
        <f t="shared" si="35"/>
        <v>0</v>
      </c>
      <c r="J140" s="5374"/>
      <c r="K140" s="5374"/>
      <c r="L140" s="5374"/>
      <c r="M140" s="5375"/>
      <c r="N140" s="5376">
        <f t="shared" si="36"/>
        <v>0</v>
      </c>
      <c r="O140" s="5374"/>
      <c r="P140" s="5374"/>
      <c r="Q140" s="5374"/>
      <c r="R140" s="5375"/>
      <c r="S140" s="5376">
        <f t="shared" si="37"/>
        <v>0</v>
      </c>
      <c r="T140" s="5374"/>
      <c r="U140" s="5374"/>
      <c r="V140" s="5374"/>
      <c r="W140" s="5375"/>
      <c r="X140" s="5377" t="str">
        <f t="shared" si="40"/>
        <v/>
      </c>
      <c r="Y140" s="5378"/>
      <c r="Z140" s="5378"/>
      <c r="AA140" s="5379"/>
      <c r="AB140" s="1816"/>
      <c r="AC140" s="1818">
        <f t="shared" si="38"/>
        <v>13</v>
      </c>
      <c r="AD140" s="1807"/>
    </row>
    <row r="141" spans="1:30" s="1805" customFormat="1" ht="12" hidden="1" customHeight="1">
      <c r="A141" s="1811"/>
      <c r="B141" s="1820"/>
      <c r="C141" s="1819">
        <v>14</v>
      </c>
      <c r="D141" s="5373">
        <f t="shared" si="39"/>
        <v>0</v>
      </c>
      <c r="E141" s="5374"/>
      <c r="F141" s="5374"/>
      <c r="G141" s="5374"/>
      <c r="H141" s="5375"/>
      <c r="I141" s="5376">
        <f t="shared" si="35"/>
        <v>0</v>
      </c>
      <c r="J141" s="5374"/>
      <c r="K141" s="5374"/>
      <c r="L141" s="5374"/>
      <c r="M141" s="5375"/>
      <c r="N141" s="5376">
        <f t="shared" si="36"/>
        <v>0</v>
      </c>
      <c r="O141" s="5374"/>
      <c r="P141" s="5374"/>
      <c r="Q141" s="5374"/>
      <c r="R141" s="5375"/>
      <c r="S141" s="5376">
        <f t="shared" si="37"/>
        <v>0</v>
      </c>
      <c r="T141" s="5374"/>
      <c r="U141" s="5374"/>
      <c r="V141" s="5374"/>
      <c r="W141" s="5375"/>
      <c r="X141" s="5377" t="str">
        <f t="shared" si="40"/>
        <v/>
      </c>
      <c r="Y141" s="5378"/>
      <c r="Z141" s="5378"/>
      <c r="AA141" s="5379"/>
      <c r="AB141" s="1816"/>
      <c r="AC141" s="1818">
        <f t="shared" si="38"/>
        <v>14</v>
      </c>
      <c r="AD141" s="1807"/>
    </row>
    <row r="142" spans="1:30" s="1805" customFormat="1" ht="12" hidden="1" customHeight="1">
      <c r="A142" s="1811"/>
      <c r="B142" s="1820"/>
      <c r="C142" s="1819">
        <v>15</v>
      </c>
      <c r="D142" s="5373">
        <f t="shared" si="39"/>
        <v>0</v>
      </c>
      <c r="E142" s="5374"/>
      <c r="F142" s="5374"/>
      <c r="G142" s="5374"/>
      <c r="H142" s="5375"/>
      <c r="I142" s="5376">
        <f t="shared" si="35"/>
        <v>0</v>
      </c>
      <c r="J142" s="5374"/>
      <c r="K142" s="5374"/>
      <c r="L142" s="5374"/>
      <c r="M142" s="5375"/>
      <c r="N142" s="5376">
        <f t="shared" si="36"/>
        <v>0</v>
      </c>
      <c r="O142" s="5374"/>
      <c r="P142" s="5374"/>
      <c r="Q142" s="5374"/>
      <c r="R142" s="5375"/>
      <c r="S142" s="5376">
        <f t="shared" si="37"/>
        <v>0</v>
      </c>
      <c r="T142" s="5374"/>
      <c r="U142" s="5374"/>
      <c r="V142" s="5374"/>
      <c r="W142" s="5375"/>
      <c r="X142" s="5377" t="str">
        <f t="shared" si="40"/>
        <v/>
      </c>
      <c r="Y142" s="5378"/>
      <c r="Z142" s="5378"/>
      <c r="AA142" s="5379"/>
      <c r="AB142" s="1816"/>
      <c r="AC142" s="1818">
        <f t="shared" si="38"/>
        <v>15</v>
      </c>
      <c r="AD142" s="1807"/>
    </row>
    <row r="143" spans="1:30" s="1805" customFormat="1" ht="12" hidden="1" customHeight="1">
      <c r="A143" s="1811"/>
      <c r="B143" s="1820"/>
      <c r="C143" s="1819">
        <v>16</v>
      </c>
      <c r="D143" s="5373">
        <f t="shared" si="39"/>
        <v>0</v>
      </c>
      <c r="E143" s="5374"/>
      <c r="F143" s="5374"/>
      <c r="G143" s="5374"/>
      <c r="H143" s="5375"/>
      <c r="I143" s="5376">
        <f t="shared" si="35"/>
        <v>0</v>
      </c>
      <c r="J143" s="5374"/>
      <c r="K143" s="5374"/>
      <c r="L143" s="5374"/>
      <c r="M143" s="5375"/>
      <c r="N143" s="5376">
        <f t="shared" si="36"/>
        <v>0</v>
      </c>
      <c r="O143" s="5374"/>
      <c r="P143" s="5374"/>
      <c r="Q143" s="5374"/>
      <c r="R143" s="5375"/>
      <c r="S143" s="5376">
        <f t="shared" si="37"/>
        <v>0</v>
      </c>
      <c r="T143" s="5374"/>
      <c r="U143" s="5374"/>
      <c r="V143" s="5374"/>
      <c r="W143" s="5375"/>
      <c r="X143" s="5377" t="str">
        <f t="shared" si="40"/>
        <v/>
      </c>
      <c r="Y143" s="5378"/>
      <c r="Z143" s="5378"/>
      <c r="AA143" s="5379"/>
      <c r="AB143" s="1816"/>
      <c r="AC143" s="1818">
        <f t="shared" si="38"/>
        <v>16</v>
      </c>
      <c r="AD143" s="1807"/>
    </row>
    <row r="144" spans="1:30" s="1805" customFormat="1" ht="12" hidden="1" customHeight="1">
      <c r="A144" s="1811"/>
      <c r="B144" s="1820"/>
      <c r="C144" s="1819">
        <v>17</v>
      </c>
      <c r="D144" s="5373">
        <f t="shared" si="39"/>
        <v>0</v>
      </c>
      <c r="E144" s="5374"/>
      <c r="F144" s="5374"/>
      <c r="G144" s="5374"/>
      <c r="H144" s="5375"/>
      <c r="I144" s="5376">
        <f t="shared" si="35"/>
        <v>0</v>
      </c>
      <c r="J144" s="5374"/>
      <c r="K144" s="5374"/>
      <c r="L144" s="5374"/>
      <c r="M144" s="5375"/>
      <c r="N144" s="5376">
        <f t="shared" si="36"/>
        <v>0</v>
      </c>
      <c r="O144" s="5374"/>
      <c r="P144" s="5374"/>
      <c r="Q144" s="5374"/>
      <c r="R144" s="5375"/>
      <c r="S144" s="5376">
        <f t="shared" si="37"/>
        <v>0</v>
      </c>
      <c r="T144" s="5374"/>
      <c r="U144" s="5374"/>
      <c r="V144" s="5374"/>
      <c r="W144" s="5375"/>
      <c r="X144" s="5377" t="str">
        <f t="shared" si="40"/>
        <v/>
      </c>
      <c r="Y144" s="5378"/>
      <c r="Z144" s="5378"/>
      <c r="AA144" s="5379"/>
      <c r="AB144" s="1816"/>
      <c r="AC144" s="1818">
        <f t="shared" si="38"/>
        <v>17</v>
      </c>
      <c r="AD144" s="1807"/>
    </row>
    <row r="145" spans="1:30" s="1805" customFormat="1" ht="12" hidden="1" customHeight="1">
      <c r="A145" s="1811"/>
      <c r="B145" s="1820"/>
      <c r="C145" s="1819">
        <v>18</v>
      </c>
      <c r="D145" s="5373">
        <f t="shared" si="39"/>
        <v>0</v>
      </c>
      <c r="E145" s="5374"/>
      <c r="F145" s="5374"/>
      <c r="G145" s="5374"/>
      <c r="H145" s="5375"/>
      <c r="I145" s="5376">
        <f t="shared" si="35"/>
        <v>0</v>
      </c>
      <c r="J145" s="5374"/>
      <c r="K145" s="5374"/>
      <c r="L145" s="5374"/>
      <c r="M145" s="5375"/>
      <c r="N145" s="5376">
        <f t="shared" si="36"/>
        <v>0</v>
      </c>
      <c r="O145" s="5374"/>
      <c r="P145" s="5374"/>
      <c r="Q145" s="5374"/>
      <c r="R145" s="5375"/>
      <c r="S145" s="5376">
        <f t="shared" si="37"/>
        <v>0</v>
      </c>
      <c r="T145" s="5374"/>
      <c r="U145" s="5374"/>
      <c r="V145" s="5374"/>
      <c r="W145" s="5375"/>
      <c r="X145" s="5377" t="str">
        <f t="shared" si="40"/>
        <v/>
      </c>
      <c r="Y145" s="5378"/>
      <c r="Z145" s="5378"/>
      <c r="AA145" s="5379"/>
      <c r="AB145" s="1816"/>
      <c r="AC145" s="1818">
        <f t="shared" si="38"/>
        <v>18</v>
      </c>
      <c r="AD145" s="1807"/>
    </row>
    <row r="146" spans="1:30" s="1805" customFormat="1" ht="12" hidden="1" customHeight="1">
      <c r="A146" s="1811"/>
      <c r="B146" s="1820"/>
      <c r="C146" s="1819">
        <v>19</v>
      </c>
      <c r="D146" s="5373">
        <f t="shared" si="39"/>
        <v>0</v>
      </c>
      <c r="E146" s="5374"/>
      <c r="F146" s="5374"/>
      <c r="G146" s="5374"/>
      <c r="H146" s="5375"/>
      <c r="I146" s="5376">
        <f t="shared" si="35"/>
        <v>0</v>
      </c>
      <c r="J146" s="5374"/>
      <c r="K146" s="5374"/>
      <c r="L146" s="5374"/>
      <c r="M146" s="5375"/>
      <c r="N146" s="5376">
        <f t="shared" si="36"/>
        <v>0</v>
      </c>
      <c r="O146" s="5374"/>
      <c r="P146" s="5374"/>
      <c r="Q146" s="5374"/>
      <c r="R146" s="5375"/>
      <c r="S146" s="5376">
        <f t="shared" si="37"/>
        <v>0</v>
      </c>
      <c r="T146" s="5374"/>
      <c r="U146" s="5374"/>
      <c r="V146" s="5374"/>
      <c r="W146" s="5375"/>
      <c r="X146" s="5377" t="str">
        <f t="shared" si="40"/>
        <v/>
      </c>
      <c r="Y146" s="5378"/>
      <c r="Z146" s="5378"/>
      <c r="AA146" s="5379"/>
      <c r="AB146" s="1816"/>
      <c r="AC146" s="1818">
        <f t="shared" si="38"/>
        <v>19</v>
      </c>
      <c r="AD146" s="1807"/>
    </row>
    <row r="147" spans="1:30" s="1805" customFormat="1" ht="12" hidden="1" customHeight="1">
      <c r="A147" s="1811"/>
      <c r="B147" s="1820"/>
      <c r="C147" s="1819">
        <v>20</v>
      </c>
      <c r="D147" s="5373">
        <f t="shared" si="39"/>
        <v>0</v>
      </c>
      <c r="E147" s="5374"/>
      <c r="F147" s="5374"/>
      <c r="G147" s="5374"/>
      <c r="H147" s="5375"/>
      <c r="I147" s="5376">
        <f t="shared" si="35"/>
        <v>0</v>
      </c>
      <c r="J147" s="5374"/>
      <c r="K147" s="5374"/>
      <c r="L147" s="5374"/>
      <c r="M147" s="5375"/>
      <c r="N147" s="5376">
        <f t="shared" si="36"/>
        <v>0</v>
      </c>
      <c r="O147" s="5374"/>
      <c r="P147" s="5374"/>
      <c r="Q147" s="5374"/>
      <c r="R147" s="5375"/>
      <c r="S147" s="5376">
        <f t="shared" si="37"/>
        <v>0</v>
      </c>
      <c r="T147" s="5374"/>
      <c r="U147" s="5374"/>
      <c r="V147" s="5374"/>
      <c r="W147" s="5375"/>
      <c r="X147" s="5377" t="str">
        <f t="shared" si="40"/>
        <v/>
      </c>
      <c r="Y147" s="5378"/>
      <c r="Z147" s="5378"/>
      <c r="AA147" s="5379"/>
      <c r="AB147" s="1816"/>
      <c r="AC147" s="1818">
        <f t="shared" si="38"/>
        <v>20</v>
      </c>
      <c r="AD147" s="1807"/>
    </row>
    <row r="148" spans="1:30" s="1805" customFormat="1" ht="12" hidden="1" customHeight="1">
      <c r="A148" s="1811"/>
      <c r="B148" s="1820"/>
      <c r="C148" s="1819">
        <v>21</v>
      </c>
      <c r="D148" s="5373">
        <f t="shared" si="39"/>
        <v>0</v>
      </c>
      <c r="E148" s="5374"/>
      <c r="F148" s="5374"/>
      <c r="G148" s="5374"/>
      <c r="H148" s="5375"/>
      <c r="I148" s="5376">
        <f t="shared" si="35"/>
        <v>0</v>
      </c>
      <c r="J148" s="5374"/>
      <c r="K148" s="5374"/>
      <c r="L148" s="5374"/>
      <c r="M148" s="5375"/>
      <c r="N148" s="5376">
        <f t="shared" si="36"/>
        <v>0</v>
      </c>
      <c r="O148" s="5374"/>
      <c r="P148" s="5374"/>
      <c r="Q148" s="5374"/>
      <c r="R148" s="5375"/>
      <c r="S148" s="5376">
        <f t="shared" si="37"/>
        <v>0</v>
      </c>
      <c r="T148" s="5374"/>
      <c r="U148" s="5374"/>
      <c r="V148" s="5374"/>
      <c r="W148" s="5375"/>
      <c r="X148" s="5377" t="str">
        <f t="shared" si="40"/>
        <v/>
      </c>
      <c r="Y148" s="5378"/>
      <c r="Z148" s="5378"/>
      <c r="AA148" s="5379"/>
      <c r="AB148" s="1816"/>
      <c r="AC148" s="1818">
        <f t="shared" si="38"/>
        <v>21</v>
      </c>
      <c r="AD148" s="1807"/>
    </row>
    <row r="149" spans="1:30" s="1805" customFormat="1" ht="12" hidden="1" customHeight="1">
      <c r="A149" s="1811"/>
      <c r="B149" s="1820"/>
      <c r="C149" s="1819">
        <v>22</v>
      </c>
      <c r="D149" s="5373">
        <f t="shared" si="39"/>
        <v>0</v>
      </c>
      <c r="E149" s="5374"/>
      <c r="F149" s="5374"/>
      <c r="G149" s="5374"/>
      <c r="H149" s="5375"/>
      <c r="I149" s="5376">
        <f t="shared" si="35"/>
        <v>0</v>
      </c>
      <c r="J149" s="5374"/>
      <c r="K149" s="5374"/>
      <c r="L149" s="5374"/>
      <c r="M149" s="5375"/>
      <c r="N149" s="5376">
        <f t="shared" si="36"/>
        <v>0</v>
      </c>
      <c r="O149" s="5374"/>
      <c r="P149" s="5374"/>
      <c r="Q149" s="5374"/>
      <c r="R149" s="5375"/>
      <c r="S149" s="5376">
        <f t="shared" si="37"/>
        <v>0</v>
      </c>
      <c r="T149" s="5374"/>
      <c r="U149" s="5374"/>
      <c r="V149" s="5374"/>
      <c r="W149" s="5375"/>
      <c r="X149" s="5377" t="str">
        <f t="shared" si="40"/>
        <v/>
      </c>
      <c r="Y149" s="5378"/>
      <c r="Z149" s="5378"/>
      <c r="AA149" s="5379"/>
      <c r="AB149" s="1816"/>
      <c r="AC149" s="1818">
        <f t="shared" si="38"/>
        <v>22</v>
      </c>
      <c r="AD149" s="1807"/>
    </row>
    <row r="150" spans="1:30" s="1805" customFormat="1" ht="12" hidden="1" customHeight="1">
      <c r="A150" s="1811"/>
      <c r="B150" s="1820"/>
      <c r="C150" s="1819">
        <v>23</v>
      </c>
      <c r="D150" s="5373">
        <f t="shared" si="39"/>
        <v>0</v>
      </c>
      <c r="E150" s="5374"/>
      <c r="F150" s="5374"/>
      <c r="G150" s="5374"/>
      <c r="H150" s="5375"/>
      <c r="I150" s="5376">
        <f t="shared" si="35"/>
        <v>0</v>
      </c>
      <c r="J150" s="5374"/>
      <c r="K150" s="5374"/>
      <c r="L150" s="5374"/>
      <c r="M150" s="5375"/>
      <c r="N150" s="5376">
        <f t="shared" si="36"/>
        <v>0</v>
      </c>
      <c r="O150" s="5374"/>
      <c r="P150" s="5374"/>
      <c r="Q150" s="5374"/>
      <c r="R150" s="5375"/>
      <c r="S150" s="5376">
        <f t="shared" si="37"/>
        <v>0</v>
      </c>
      <c r="T150" s="5374"/>
      <c r="U150" s="5374"/>
      <c r="V150" s="5374"/>
      <c r="W150" s="5375"/>
      <c r="X150" s="5377" t="str">
        <f t="shared" si="40"/>
        <v/>
      </c>
      <c r="Y150" s="5378"/>
      <c r="Z150" s="5378"/>
      <c r="AA150" s="5379"/>
      <c r="AB150" s="1816"/>
      <c r="AC150" s="1818">
        <f t="shared" si="38"/>
        <v>23</v>
      </c>
      <c r="AD150" s="1807"/>
    </row>
    <row r="151" spans="1:30" s="1805" customFormat="1" ht="12" hidden="1" customHeight="1">
      <c r="A151" s="1811"/>
      <c r="B151" s="1820"/>
      <c r="C151" s="1819">
        <v>24</v>
      </c>
      <c r="D151" s="5373">
        <f t="shared" si="39"/>
        <v>0</v>
      </c>
      <c r="E151" s="5374"/>
      <c r="F151" s="5374"/>
      <c r="G151" s="5374"/>
      <c r="H151" s="5375"/>
      <c r="I151" s="5376">
        <f t="shared" si="35"/>
        <v>0</v>
      </c>
      <c r="J151" s="5374"/>
      <c r="K151" s="5374"/>
      <c r="L151" s="5374"/>
      <c r="M151" s="5375"/>
      <c r="N151" s="5376">
        <f t="shared" si="36"/>
        <v>0</v>
      </c>
      <c r="O151" s="5374"/>
      <c r="P151" s="5374"/>
      <c r="Q151" s="5374"/>
      <c r="R151" s="5375"/>
      <c r="S151" s="5376">
        <f t="shared" si="37"/>
        <v>0</v>
      </c>
      <c r="T151" s="5374"/>
      <c r="U151" s="5374"/>
      <c r="V151" s="5374"/>
      <c r="W151" s="5375"/>
      <c r="X151" s="5377" t="str">
        <f t="shared" si="40"/>
        <v/>
      </c>
      <c r="Y151" s="5378"/>
      <c r="Z151" s="5378"/>
      <c r="AA151" s="5379"/>
      <c r="AB151" s="1816"/>
      <c r="AC151" s="1818">
        <f t="shared" si="38"/>
        <v>24</v>
      </c>
      <c r="AD151" s="1807"/>
    </row>
    <row r="152" spans="1:30" s="1805" customFormat="1" ht="12" hidden="1" customHeight="1">
      <c r="A152" s="1811"/>
      <c r="B152" s="1820"/>
      <c r="C152" s="1819">
        <v>25</v>
      </c>
      <c r="D152" s="5373">
        <f t="shared" si="39"/>
        <v>0</v>
      </c>
      <c r="E152" s="5374"/>
      <c r="F152" s="5374"/>
      <c r="G152" s="5374"/>
      <c r="H152" s="5375"/>
      <c r="I152" s="5376">
        <f t="shared" si="35"/>
        <v>0</v>
      </c>
      <c r="J152" s="5374"/>
      <c r="K152" s="5374"/>
      <c r="L152" s="5374"/>
      <c r="M152" s="5375"/>
      <c r="N152" s="5376">
        <f t="shared" si="36"/>
        <v>0</v>
      </c>
      <c r="O152" s="5374"/>
      <c r="P152" s="5374"/>
      <c r="Q152" s="5374"/>
      <c r="R152" s="5375"/>
      <c r="S152" s="5376">
        <f t="shared" si="37"/>
        <v>0</v>
      </c>
      <c r="T152" s="5374"/>
      <c r="U152" s="5374"/>
      <c r="V152" s="5374"/>
      <c r="W152" s="5375"/>
      <c r="X152" s="5377" t="str">
        <f t="shared" si="40"/>
        <v/>
      </c>
      <c r="Y152" s="5378"/>
      <c r="Z152" s="5378"/>
      <c r="AA152" s="5379"/>
      <c r="AB152" s="1816"/>
      <c r="AC152" s="1818">
        <f t="shared" si="38"/>
        <v>25</v>
      </c>
      <c r="AD152" s="1807"/>
    </row>
    <row r="153" spans="1:30" s="1805" customFormat="1" ht="12" hidden="1" customHeight="1">
      <c r="A153" s="1811"/>
      <c r="B153" s="1820"/>
      <c r="C153" s="1819">
        <v>26</v>
      </c>
      <c r="D153" s="5373">
        <f t="shared" si="39"/>
        <v>0</v>
      </c>
      <c r="E153" s="5374"/>
      <c r="F153" s="5374"/>
      <c r="G153" s="5374"/>
      <c r="H153" s="5375"/>
      <c r="I153" s="5376">
        <f t="shared" si="35"/>
        <v>0</v>
      </c>
      <c r="J153" s="5374"/>
      <c r="K153" s="5374"/>
      <c r="L153" s="5374"/>
      <c r="M153" s="5375"/>
      <c r="N153" s="5376">
        <f t="shared" si="36"/>
        <v>0</v>
      </c>
      <c r="O153" s="5374"/>
      <c r="P153" s="5374"/>
      <c r="Q153" s="5374"/>
      <c r="R153" s="5375"/>
      <c r="S153" s="5376">
        <f t="shared" si="37"/>
        <v>0</v>
      </c>
      <c r="T153" s="5374"/>
      <c r="U153" s="5374"/>
      <c r="V153" s="5374"/>
      <c r="W153" s="5375"/>
      <c r="X153" s="5377" t="str">
        <f t="shared" si="40"/>
        <v/>
      </c>
      <c r="Y153" s="5378"/>
      <c r="Z153" s="5378"/>
      <c r="AA153" s="5379"/>
      <c r="AB153" s="1816"/>
      <c r="AC153" s="1818">
        <f t="shared" si="38"/>
        <v>26</v>
      </c>
      <c r="AD153" s="1807"/>
    </row>
    <row r="154" spans="1:30" s="1805" customFormat="1" ht="12" hidden="1" customHeight="1">
      <c r="A154" s="1811"/>
      <c r="B154" s="1820"/>
      <c r="C154" s="1819">
        <v>27</v>
      </c>
      <c r="D154" s="5373">
        <f t="shared" si="39"/>
        <v>0</v>
      </c>
      <c r="E154" s="5374"/>
      <c r="F154" s="5374"/>
      <c r="G154" s="5374"/>
      <c r="H154" s="5375"/>
      <c r="I154" s="5376">
        <f t="shared" si="35"/>
        <v>0</v>
      </c>
      <c r="J154" s="5374"/>
      <c r="K154" s="5374"/>
      <c r="L154" s="5374"/>
      <c r="M154" s="5375"/>
      <c r="N154" s="5376">
        <f t="shared" si="36"/>
        <v>0</v>
      </c>
      <c r="O154" s="5374"/>
      <c r="P154" s="5374"/>
      <c r="Q154" s="5374"/>
      <c r="R154" s="5375"/>
      <c r="S154" s="5376">
        <f t="shared" si="37"/>
        <v>0</v>
      </c>
      <c r="T154" s="5374"/>
      <c r="U154" s="5374"/>
      <c r="V154" s="5374"/>
      <c r="W154" s="5375"/>
      <c r="X154" s="5377" t="str">
        <f t="shared" si="40"/>
        <v/>
      </c>
      <c r="Y154" s="5378"/>
      <c r="Z154" s="5378"/>
      <c r="AA154" s="5379"/>
      <c r="AB154" s="1816"/>
      <c r="AC154" s="1818">
        <f t="shared" si="38"/>
        <v>27</v>
      </c>
      <c r="AD154" s="1807"/>
    </row>
    <row r="155" spans="1:30" s="1805" customFormat="1" ht="12" hidden="1" customHeight="1">
      <c r="A155" s="1811"/>
      <c r="B155" s="1820"/>
      <c r="C155" s="1819">
        <v>28</v>
      </c>
      <c r="D155" s="5373">
        <f t="shared" si="39"/>
        <v>0</v>
      </c>
      <c r="E155" s="5374"/>
      <c r="F155" s="5374"/>
      <c r="G155" s="5374"/>
      <c r="H155" s="5375"/>
      <c r="I155" s="5376">
        <f t="shared" si="35"/>
        <v>0</v>
      </c>
      <c r="J155" s="5374"/>
      <c r="K155" s="5374"/>
      <c r="L155" s="5374"/>
      <c r="M155" s="5375"/>
      <c r="N155" s="5376">
        <f t="shared" si="36"/>
        <v>0</v>
      </c>
      <c r="O155" s="5374"/>
      <c r="P155" s="5374"/>
      <c r="Q155" s="5374"/>
      <c r="R155" s="5375"/>
      <c r="S155" s="5376">
        <f t="shared" si="37"/>
        <v>0</v>
      </c>
      <c r="T155" s="5374"/>
      <c r="U155" s="5374"/>
      <c r="V155" s="5374"/>
      <c r="W155" s="5375"/>
      <c r="X155" s="5377" t="str">
        <f t="shared" si="40"/>
        <v/>
      </c>
      <c r="Y155" s="5378"/>
      <c r="Z155" s="5378"/>
      <c r="AA155" s="5379"/>
      <c r="AB155" s="1816"/>
      <c r="AC155" s="1818">
        <f t="shared" si="38"/>
        <v>28</v>
      </c>
      <c r="AD155" s="1807"/>
    </row>
    <row r="156" spans="1:30" s="1805" customFormat="1" ht="12" hidden="1" customHeight="1">
      <c r="A156" s="1811"/>
      <c r="B156" s="1820"/>
      <c r="C156" s="1819">
        <v>29</v>
      </c>
      <c r="D156" s="5373">
        <f t="shared" si="39"/>
        <v>0</v>
      </c>
      <c r="E156" s="5374"/>
      <c r="F156" s="5374"/>
      <c r="G156" s="5374"/>
      <c r="H156" s="5375"/>
      <c r="I156" s="5376">
        <f t="shared" si="35"/>
        <v>0</v>
      </c>
      <c r="J156" s="5374"/>
      <c r="K156" s="5374"/>
      <c r="L156" s="5374"/>
      <c r="M156" s="5375"/>
      <c r="N156" s="5376">
        <f t="shared" si="36"/>
        <v>0</v>
      </c>
      <c r="O156" s="5374"/>
      <c r="P156" s="5374"/>
      <c r="Q156" s="5374"/>
      <c r="R156" s="5375"/>
      <c r="S156" s="5376">
        <f t="shared" si="37"/>
        <v>0</v>
      </c>
      <c r="T156" s="5374"/>
      <c r="U156" s="5374"/>
      <c r="V156" s="5374"/>
      <c r="W156" s="5375"/>
      <c r="X156" s="5377" t="str">
        <f t="shared" si="40"/>
        <v/>
      </c>
      <c r="Y156" s="5378"/>
      <c r="Z156" s="5378"/>
      <c r="AA156" s="5379"/>
      <c r="AB156" s="1816"/>
      <c r="AC156" s="1818">
        <f t="shared" si="38"/>
        <v>29</v>
      </c>
      <c r="AD156" s="1807"/>
    </row>
    <row r="157" spans="1:30" s="1805" customFormat="1" ht="12" hidden="1" customHeight="1">
      <c r="A157" s="1811"/>
      <c r="B157" s="1820"/>
      <c r="C157" s="1819">
        <v>30</v>
      </c>
      <c r="D157" s="5373">
        <f t="shared" si="39"/>
        <v>0</v>
      </c>
      <c r="E157" s="5374"/>
      <c r="F157" s="5374"/>
      <c r="G157" s="5374"/>
      <c r="H157" s="5375"/>
      <c r="I157" s="5376">
        <f t="shared" si="35"/>
        <v>0</v>
      </c>
      <c r="J157" s="5374"/>
      <c r="K157" s="5374"/>
      <c r="L157" s="5374"/>
      <c r="M157" s="5375"/>
      <c r="N157" s="5376">
        <f t="shared" si="36"/>
        <v>0</v>
      </c>
      <c r="O157" s="5374"/>
      <c r="P157" s="5374"/>
      <c r="Q157" s="5374"/>
      <c r="R157" s="5375"/>
      <c r="S157" s="5376">
        <f t="shared" si="37"/>
        <v>0</v>
      </c>
      <c r="T157" s="5374"/>
      <c r="U157" s="5374"/>
      <c r="V157" s="5374"/>
      <c r="W157" s="5375"/>
      <c r="X157" s="5377" t="str">
        <f t="shared" si="40"/>
        <v/>
      </c>
      <c r="Y157" s="5378"/>
      <c r="Z157" s="5378"/>
      <c r="AA157" s="5379"/>
      <c r="AB157" s="1816"/>
      <c r="AC157" s="1818">
        <f t="shared" si="38"/>
        <v>30</v>
      </c>
      <c r="AD157" s="1807"/>
    </row>
    <row r="158" spans="1:30" s="1805" customFormat="1" ht="12" hidden="1" customHeight="1">
      <c r="A158" s="1811"/>
      <c r="B158" s="1820"/>
      <c r="C158" s="1819">
        <v>31</v>
      </c>
      <c r="D158" s="5373">
        <f t="shared" si="39"/>
        <v>0</v>
      </c>
      <c r="E158" s="5374"/>
      <c r="F158" s="5374"/>
      <c r="G158" s="5374"/>
      <c r="H158" s="5375"/>
      <c r="I158" s="5376">
        <f t="shared" si="35"/>
        <v>0</v>
      </c>
      <c r="J158" s="5374"/>
      <c r="K158" s="5374"/>
      <c r="L158" s="5374"/>
      <c r="M158" s="5375"/>
      <c r="N158" s="5376">
        <f t="shared" si="36"/>
        <v>0</v>
      </c>
      <c r="O158" s="5374"/>
      <c r="P158" s="5374"/>
      <c r="Q158" s="5374"/>
      <c r="R158" s="5375"/>
      <c r="S158" s="5376">
        <f t="shared" si="37"/>
        <v>0</v>
      </c>
      <c r="T158" s="5374"/>
      <c r="U158" s="5374"/>
      <c r="V158" s="5374"/>
      <c r="W158" s="5375"/>
      <c r="X158" s="5377" t="str">
        <f t="shared" si="40"/>
        <v/>
      </c>
      <c r="Y158" s="5378"/>
      <c r="Z158" s="5378"/>
      <c r="AA158" s="5379"/>
      <c r="AB158" s="1816"/>
      <c r="AC158" s="1818">
        <f t="shared" si="38"/>
        <v>31</v>
      </c>
      <c r="AD158" s="1807"/>
    </row>
    <row r="159" spans="1:30" s="1805" customFormat="1" ht="12" hidden="1" customHeight="1">
      <c r="A159" s="1811"/>
      <c r="B159" s="1820"/>
      <c r="C159" s="1819">
        <v>32</v>
      </c>
      <c r="D159" s="5373">
        <f t="shared" si="39"/>
        <v>0</v>
      </c>
      <c r="E159" s="5374"/>
      <c r="F159" s="5374"/>
      <c r="G159" s="5374"/>
      <c r="H159" s="5375"/>
      <c r="I159" s="5376">
        <f t="shared" si="35"/>
        <v>0</v>
      </c>
      <c r="J159" s="5374"/>
      <c r="K159" s="5374"/>
      <c r="L159" s="5374"/>
      <c r="M159" s="5375"/>
      <c r="N159" s="5376">
        <f t="shared" si="36"/>
        <v>0</v>
      </c>
      <c r="O159" s="5374"/>
      <c r="P159" s="5374"/>
      <c r="Q159" s="5374"/>
      <c r="R159" s="5375"/>
      <c r="S159" s="5376">
        <f t="shared" si="37"/>
        <v>0</v>
      </c>
      <c r="T159" s="5374"/>
      <c r="U159" s="5374"/>
      <c r="V159" s="5374"/>
      <c r="W159" s="5375"/>
      <c r="X159" s="5377" t="str">
        <f t="shared" si="40"/>
        <v/>
      </c>
      <c r="Y159" s="5378"/>
      <c r="Z159" s="5378"/>
      <c r="AA159" s="5379"/>
      <c r="AB159" s="1816"/>
      <c r="AC159" s="1818">
        <f t="shared" si="38"/>
        <v>32</v>
      </c>
      <c r="AD159" s="1807"/>
    </row>
    <row r="160" spans="1:30" s="1805" customFormat="1" ht="12" hidden="1" customHeight="1">
      <c r="A160" s="1811"/>
      <c r="B160" s="1820"/>
      <c r="C160" s="1819">
        <v>33</v>
      </c>
      <c r="D160" s="5373">
        <f t="shared" si="39"/>
        <v>0</v>
      </c>
      <c r="E160" s="5374"/>
      <c r="F160" s="5374"/>
      <c r="G160" s="5374"/>
      <c r="H160" s="5375"/>
      <c r="I160" s="5376">
        <f t="shared" si="35"/>
        <v>0</v>
      </c>
      <c r="J160" s="5374"/>
      <c r="K160" s="5374"/>
      <c r="L160" s="5374"/>
      <c r="M160" s="5375"/>
      <c r="N160" s="5376">
        <f t="shared" si="36"/>
        <v>0</v>
      </c>
      <c r="O160" s="5374"/>
      <c r="P160" s="5374"/>
      <c r="Q160" s="5374"/>
      <c r="R160" s="5375"/>
      <c r="S160" s="5376">
        <f t="shared" si="37"/>
        <v>0</v>
      </c>
      <c r="T160" s="5374"/>
      <c r="U160" s="5374"/>
      <c r="V160" s="5374"/>
      <c r="W160" s="5375"/>
      <c r="X160" s="5377" t="str">
        <f t="shared" si="40"/>
        <v/>
      </c>
      <c r="Y160" s="5378"/>
      <c r="Z160" s="5378"/>
      <c r="AA160" s="5379"/>
      <c r="AB160" s="1816"/>
      <c r="AC160" s="1818">
        <f t="shared" si="38"/>
        <v>33</v>
      </c>
      <c r="AD160" s="1807"/>
    </row>
    <row r="161" spans="1:30" s="1805" customFormat="1" ht="12" hidden="1" customHeight="1">
      <c r="A161" s="1811"/>
      <c r="B161" s="1820"/>
      <c r="C161" s="1819">
        <v>34</v>
      </c>
      <c r="D161" s="5373">
        <f t="shared" si="39"/>
        <v>0</v>
      </c>
      <c r="E161" s="5374"/>
      <c r="F161" s="5374"/>
      <c r="G161" s="5374"/>
      <c r="H161" s="5375"/>
      <c r="I161" s="5376">
        <f t="shared" si="35"/>
        <v>0</v>
      </c>
      <c r="J161" s="5374"/>
      <c r="K161" s="5374"/>
      <c r="L161" s="5374"/>
      <c r="M161" s="5375"/>
      <c r="N161" s="5376">
        <f t="shared" si="36"/>
        <v>0</v>
      </c>
      <c r="O161" s="5374"/>
      <c r="P161" s="5374"/>
      <c r="Q161" s="5374"/>
      <c r="R161" s="5375"/>
      <c r="S161" s="5376">
        <f t="shared" si="37"/>
        <v>0</v>
      </c>
      <c r="T161" s="5374"/>
      <c r="U161" s="5374"/>
      <c r="V161" s="5374"/>
      <c r="W161" s="5375"/>
      <c r="X161" s="5377" t="str">
        <f t="shared" si="40"/>
        <v/>
      </c>
      <c r="Y161" s="5378"/>
      <c r="Z161" s="5378"/>
      <c r="AA161" s="5379"/>
      <c r="AB161" s="1816"/>
      <c r="AC161" s="1818">
        <f t="shared" si="38"/>
        <v>34</v>
      </c>
      <c r="AD161" s="1807"/>
    </row>
    <row r="162" spans="1:30" s="1805" customFormat="1" ht="12" hidden="1" customHeight="1">
      <c r="A162" s="1811"/>
      <c r="B162" s="1820"/>
      <c r="C162" s="1819">
        <v>35</v>
      </c>
      <c r="D162" s="5373">
        <f t="shared" si="39"/>
        <v>0</v>
      </c>
      <c r="E162" s="5374"/>
      <c r="F162" s="5374"/>
      <c r="G162" s="5374"/>
      <c r="H162" s="5375"/>
      <c r="I162" s="5376">
        <f t="shared" si="35"/>
        <v>0</v>
      </c>
      <c r="J162" s="5374"/>
      <c r="K162" s="5374"/>
      <c r="L162" s="5374"/>
      <c r="M162" s="5375"/>
      <c r="N162" s="5376">
        <f t="shared" si="36"/>
        <v>0</v>
      </c>
      <c r="O162" s="5374"/>
      <c r="P162" s="5374"/>
      <c r="Q162" s="5374"/>
      <c r="R162" s="5375"/>
      <c r="S162" s="5376">
        <f t="shared" si="37"/>
        <v>0</v>
      </c>
      <c r="T162" s="5374"/>
      <c r="U162" s="5374"/>
      <c r="V162" s="5374"/>
      <c r="W162" s="5375"/>
      <c r="X162" s="5377" t="str">
        <f t="shared" si="40"/>
        <v/>
      </c>
      <c r="Y162" s="5378"/>
      <c r="Z162" s="5378"/>
      <c r="AA162" s="5379"/>
      <c r="AB162" s="1816"/>
      <c r="AC162" s="1818">
        <f t="shared" si="38"/>
        <v>35</v>
      </c>
      <c r="AD162" s="1807"/>
    </row>
    <row r="163" spans="1:30" s="1805" customFormat="1" ht="12" hidden="1" customHeight="1">
      <c r="A163" s="1811"/>
      <c r="B163" s="1820"/>
      <c r="C163" s="1819">
        <v>36</v>
      </c>
      <c r="D163" s="5373">
        <f t="shared" si="39"/>
        <v>0</v>
      </c>
      <c r="E163" s="5374"/>
      <c r="F163" s="5374"/>
      <c r="G163" s="5374"/>
      <c r="H163" s="5375"/>
      <c r="I163" s="5376">
        <f t="shared" si="35"/>
        <v>0</v>
      </c>
      <c r="J163" s="5374"/>
      <c r="K163" s="5374"/>
      <c r="L163" s="5374"/>
      <c r="M163" s="5375"/>
      <c r="N163" s="5376">
        <f t="shared" si="36"/>
        <v>0</v>
      </c>
      <c r="O163" s="5374"/>
      <c r="P163" s="5374"/>
      <c r="Q163" s="5374"/>
      <c r="R163" s="5375"/>
      <c r="S163" s="5376">
        <f t="shared" si="37"/>
        <v>0</v>
      </c>
      <c r="T163" s="5374"/>
      <c r="U163" s="5374"/>
      <c r="V163" s="5374"/>
      <c r="W163" s="5375"/>
      <c r="X163" s="5377" t="str">
        <f t="shared" si="40"/>
        <v/>
      </c>
      <c r="Y163" s="5378"/>
      <c r="Z163" s="5378"/>
      <c r="AA163" s="5379"/>
      <c r="AB163" s="1816"/>
      <c r="AC163" s="1818">
        <f t="shared" si="38"/>
        <v>36</v>
      </c>
      <c r="AD163" s="1807"/>
    </row>
    <row r="164" spans="1:30" s="1805" customFormat="1" ht="12" hidden="1" customHeight="1">
      <c r="A164" s="1811"/>
      <c r="B164" s="1820"/>
      <c r="C164" s="1819">
        <v>37</v>
      </c>
      <c r="D164" s="5373">
        <f t="shared" si="39"/>
        <v>0</v>
      </c>
      <c r="E164" s="5374"/>
      <c r="F164" s="5374"/>
      <c r="G164" s="5374"/>
      <c r="H164" s="5375"/>
      <c r="I164" s="5376">
        <f t="shared" si="35"/>
        <v>0</v>
      </c>
      <c r="J164" s="5374"/>
      <c r="K164" s="5374"/>
      <c r="L164" s="5374"/>
      <c r="M164" s="5375"/>
      <c r="N164" s="5376">
        <f t="shared" si="36"/>
        <v>0</v>
      </c>
      <c r="O164" s="5374"/>
      <c r="P164" s="5374"/>
      <c r="Q164" s="5374"/>
      <c r="R164" s="5375"/>
      <c r="S164" s="5376">
        <f t="shared" si="37"/>
        <v>0</v>
      </c>
      <c r="T164" s="5374"/>
      <c r="U164" s="5374"/>
      <c r="V164" s="5374"/>
      <c r="W164" s="5375"/>
      <c r="X164" s="5377" t="str">
        <f t="shared" si="40"/>
        <v/>
      </c>
      <c r="Y164" s="5378"/>
      <c r="Z164" s="5378"/>
      <c r="AA164" s="5379"/>
      <c r="AB164" s="1816"/>
      <c r="AC164" s="1818">
        <f t="shared" si="38"/>
        <v>37</v>
      </c>
      <c r="AD164" s="1807"/>
    </row>
    <row r="165" spans="1:30" s="1805" customFormat="1" ht="12" hidden="1" customHeight="1">
      <c r="A165" s="1811"/>
      <c r="B165" s="1820"/>
      <c r="C165" s="1819">
        <v>38</v>
      </c>
      <c r="D165" s="5373">
        <f t="shared" si="39"/>
        <v>0</v>
      </c>
      <c r="E165" s="5374"/>
      <c r="F165" s="5374"/>
      <c r="G165" s="5374"/>
      <c r="H165" s="5375"/>
      <c r="I165" s="5376">
        <f t="shared" si="35"/>
        <v>0</v>
      </c>
      <c r="J165" s="5374"/>
      <c r="K165" s="5374"/>
      <c r="L165" s="5374"/>
      <c r="M165" s="5375"/>
      <c r="N165" s="5376">
        <f t="shared" si="36"/>
        <v>0</v>
      </c>
      <c r="O165" s="5374"/>
      <c r="P165" s="5374"/>
      <c r="Q165" s="5374"/>
      <c r="R165" s="5375"/>
      <c r="S165" s="5376">
        <f t="shared" si="37"/>
        <v>0</v>
      </c>
      <c r="T165" s="5374"/>
      <c r="U165" s="5374"/>
      <c r="V165" s="5374"/>
      <c r="W165" s="5375"/>
      <c r="X165" s="5377" t="str">
        <f t="shared" si="40"/>
        <v/>
      </c>
      <c r="Y165" s="5378"/>
      <c r="Z165" s="5378"/>
      <c r="AA165" s="5379"/>
      <c r="AB165" s="1816"/>
      <c r="AC165" s="1818">
        <f t="shared" si="38"/>
        <v>38</v>
      </c>
      <c r="AD165" s="1807"/>
    </row>
    <row r="166" spans="1:30" s="1805" customFormat="1" ht="12" hidden="1" customHeight="1">
      <c r="A166" s="1811"/>
      <c r="B166" s="1820"/>
      <c r="C166" s="1819">
        <v>39</v>
      </c>
      <c r="D166" s="5373">
        <f t="shared" si="39"/>
        <v>0</v>
      </c>
      <c r="E166" s="5374"/>
      <c r="F166" s="5374"/>
      <c r="G166" s="5374"/>
      <c r="H166" s="5375"/>
      <c r="I166" s="5376">
        <f t="shared" si="35"/>
        <v>0</v>
      </c>
      <c r="J166" s="5374"/>
      <c r="K166" s="5374"/>
      <c r="L166" s="5374"/>
      <c r="M166" s="5375"/>
      <c r="N166" s="5376">
        <f t="shared" si="36"/>
        <v>0</v>
      </c>
      <c r="O166" s="5374"/>
      <c r="P166" s="5374"/>
      <c r="Q166" s="5374"/>
      <c r="R166" s="5375"/>
      <c r="S166" s="5376">
        <f t="shared" si="37"/>
        <v>0</v>
      </c>
      <c r="T166" s="5374"/>
      <c r="U166" s="5374"/>
      <c r="V166" s="5374"/>
      <c r="W166" s="5375"/>
      <c r="X166" s="5377" t="str">
        <f t="shared" si="40"/>
        <v/>
      </c>
      <c r="Y166" s="5378"/>
      <c r="Z166" s="5378"/>
      <c r="AA166" s="5379"/>
      <c r="AB166" s="1816"/>
      <c r="AC166" s="1818">
        <f t="shared" si="38"/>
        <v>39</v>
      </c>
      <c r="AD166" s="1807"/>
    </row>
    <row r="167" spans="1:30" s="1805" customFormat="1" ht="12" hidden="1" customHeight="1" thickBot="1">
      <c r="A167" s="1811"/>
      <c r="B167" s="1820"/>
      <c r="C167" s="1819">
        <v>40</v>
      </c>
      <c r="D167" s="5416">
        <f t="shared" si="39"/>
        <v>0</v>
      </c>
      <c r="E167" s="5417"/>
      <c r="F167" s="5417"/>
      <c r="G167" s="5417"/>
      <c r="H167" s="5418"/>
      <c r="I167" s="5419">
        <f t="shared" si="35"/>
        <v>0</v>
      </c>
      <c r="J167" s="5417"/>
      <c r="K167" s="5417"/>
      <c r="L167" s="5417"/>
      <c r="M167" s="5418"/>
      <c r="N167" s="5419">
        <f t="shared" si="36"/>
        <v>0</v>
      </c>
      <c r="O167" s="5417"/>
      <c r="P167" s="5417"/>
      <c r="Q167" s="5417"/>
      <c r="R167" s="5418"/>
      <c r="S167" s="5419">
        <f t="shared" si="37"/>
        <v>0</v>
      </c>
      <c r="T167" s="5417"/>
      <c r="U167" s="5417"/>
      <c r="V167" s="5417"/>
      <c r="W167" s="5418"/>
      <c r="X167" s="5420" t="str">
        <f t="shared" si="40"/>
        <v/>
      </c>
      <c r="Y167" s="5421"/>
      <c r="Z167" s="5421"/>
      <c r="AA167" s="5422"/>
      <c r="AB167" s="1816"/>
      <c r="AC167" s="1818">
        <f t="shared" si="38"/>
        <v>40</v>
      </c>
      <c r="AD167" s="1807"/>
    </row>
    <row r="168" spans="1:30" s="1805" customFormat="1" ht="12" hidden="1" customHeight="1">
      <c r="A168" s="1811"/>
      <c r="B168" s="1820"/>
      <c r="C168" s="1825"/>
      <c r="D168" s="1813"/>
      <c r="E168" s="1825"/>
      <c r="F168" s="1825"/>
      <c r="G168" s="1825"/>
      <c r="H168" s="1825"/>
      <c r="I168" s="1813"/>
      <c r="J168" s="1825"/>
      <c r="K168" s="1825"/>
      <c r="L168" s="1825"/>
      <c r="M168" s="1825"/>
      <c r="N168" s="1813"/>
      <c r="O168" s="1825"/>
      <c r="P168" s="1825"/>
      <c r="Q168" s="1825"/>
      <c r="R168" s="1825"/>
      <c r="S168" s="1813"/>
      <c r="T168" s="1825"/>
      <c r="U168" s="1825"/>
      <c r="V168" s="1825"/>
      <c r="W168" s="1825"/>
      <c r="X168" s="1813"/>
      <c r="Y168" s="1813"/>
      <c r="Z168" s="1813"/>
      <c r="AA168" s="1813"/>
      <c r="AB168" s="1813"/>
      <c r="AC168" s="1822"/>
      <c r="AD168" s="1807"/>
    </row>
    <row r="169" spans="1:30" s="1805" customFormat="1" ht="12" hidden="1" customHeight="1">
      <c r="A169" s="1811"/>
      <c r="B169" s="1820"/>
      <c r="C169" s="1825"/>
      <c r="D169" s="1830" t="str">
        <f>IF(E169="","","Ａ=")</f>
        <v>Ａ=</v>
      </c>
      <c r="E169" s="5423">
        <f>E118</f>
        <v>0</v>
      </c>
      <c r="F169" s="5424"/>
      <c r="G169" s="5424"/>
      <c r="H169" s="5425"/>
      <c r="I169" s="1825"/>
      <c r="J169" s="1830" t="str">
        <f>IF(K169="","","Ｂ=")</f>
        <v>Ｂ=</v>
      </c>
      <c r="K169" s="5423">
        <f>K118</f>
        <v>0</v>
      </c>
      <c r="L169" s="5424"/>
      <c r="M169" s="5424"/>
      <c r="N169" s="5425"/>
      <c r="O169" s="1825"/>
      <c r="P169" s="1830" t="str">
        <f>IF(Q169="","","Ｃ=")</f>
        <v>Ｃ=</v>
      </c>
      <c r="Q169" s="5423">
        <f>Q118</f>
        <v>0</v>
      </c>
      <c r="R169" s="5424"/>
      <c r="S169" s="5424"/>
      <c r="T169" s="5425"/>
      <c r="U169" s="1825"/>
      <c r="V169" s="1830" t="str">
        <f>IF(W169="","","Ｄ=")</f>
        <v>Ｄ=</v>
      </c>
      <c r="W169" s="5423">
        <f>W118</f>
        <v>0</v>
      </c>
      <c r="X169" s="5424"/>
      <c r="Y169" s="5424"/>
      <c r="Z169" s="5424"/>
      <c r="AA169" s="5425"/>
      <c r="AB169" s="1829"/>
      <c r="AC169" s="1822"/>
      <c r="AD169" s="1807"/>
    </row>
    <row r="170" spans="1:30" s="1805" customFormat="1" ht="12" hidden="1" customHeight="1" thickBot="1">
      <c r="A170" s="1811"/>
      <c r="B170" s="1820"/>
      <c r="C170" s="1825"/>
      <c r="D170" s="1828"/>
      <c r="E170" s="1825"/>
      <c r="F170" s="1825"/>
      <c r="G170" s="1813"/>
      <c r="H170" s="1813"/>
      <c r="I170" s="1821"/>
      <c r="J170" s="1813"/>
      <c r="K170" s="1813"/>
      <c r="L170" s="1825"/>
      <c r="M170" s="1825"/>
      <c r="N170" s="1828"/>
      <c r="O170" s="1825"/>
      <c r="P170" s="1813"/>
      <c r="Q170" s="1813"/>
      <c r="R170" s="1813"/>
      <c r="S170" s="1821"/>
      <c r="T170" s="1813"/>
      <c r="U170" s="1825"/>
      <c r="V170" s="1825"/>
      <c r="W170" s="1813"/>
      <c r="X170" s="1821"/>
      <c r="Y170" s="1821"/>
      <c r="Z170" s="1821"/>
      <c r="AA170" s="1821"/>
      <c r="AB170" s="1821"/>
      <c r="AC170" s="1822"/>
      <c r="AD170" s="1807"/>
    </row>
    <row r="171" spans="1:30" s="1805" customFormat="1" ht="12" hidden="1" customHeight="1" thickBot="1">
      <c r="A171" s="1811"/>
      <c r="B171" s="1820"/>
      <c r="C171" s="1825"/>
      <c r="D171" s="1825"/>
      <c r="E171" s="1825"/>
      <c r="F171" s="1827" t="str">
        <f>IF(E169="","",IF(AND(E169&gt;0,K169^2-3*E169*Q169&gt;=0),"Ｘ1（極大値）＝",IF(AND(E169&lt;0,K169^2-3*E169*Q169&gt;=0),"Ｘ1（極小値）＝",IF(AND(E169&gt;0,K169^2-3*E169*Q169&lt;0),"Ｘ1（虚大値）＝",IF(AND(E169&lt;0,K169^2-3*E169*Q169&lt;0),"Ｘ1（虚小値）＝","")))))</f>
        <v/>
      </c>
      <c r="G171" s="5400" t="str">
        <f>IF($E$118="","",IF(E169&gt;0,(-$K$118-SQRT(ABS($K$118^2-3*$E$118*$Q$118)))/(3*$E$118),(-$K$118+SQRT(ABS($K$118^2-3*$E$118*$Q$118)))/(3*$E$118)))</f>
        <v/>
      </c>
      <c r="H171" s="5401"/>
      <c r="I171" s="5401"/>
      <c r="J171" s="5401"/>
      <c r="K171" s="5402"/>
      <c r="L171" s="1825"/>
      <c r="M171" s="1825"/>
      <c r="N171" s="1825"/>
      <c r="O171" s="1827" t="str">
        <f>IF(E169="","",IF(AND(E169&gt;0,K169^2-3*E169*Q169&gt;=0),"Ｘ2（極小値）＝",IF(AND(E169&lt;0,K169^2-3*E169*Q169&gt;=0),"Ｘ2（極大値）＝",IF(AND(E169&gt;0,K169^2-3*E169*Q169&lt;0),"Ｘ2（虚小値）＝",IF(AND(E169&lt;0,K169^2-3*E169*Q169&lt;0),"Ｘ2（虚大値）＝","")))))</f>
        <v/>
      </c>
      <c r="P171" s="5400" t="str">
        <f>IF($E$118="","",IF(E169&gt;0,(-$K$118+SQRT(ABS($K$118^2-3*$E$118*$Q$118)))/(3*$E$118),(-$K$118-SQRT(ABS($K$118^2-3*$E$118*$Q$118)))/(3*$E$118)))</f>
        <v/>
      </c>
      <c r="Q171" s="5401"/>
      <c r="R171" s="5401"/>
      <c r="S171" s="5401"/>
      <c r="T171" s="5402"/>
      <c r="U171" s="1825"/>
      <c r="V171" s="1827" t="str">
        <f>IF(W171="","","Ｘo＝")</f>
        <v/>
      </c>
      <c r="W171" s="5400" t="str">
        <f>IF($E$118="","",-$K$118/(3*$E$118))</f>
        <v/>
      </c>
      <c r="X171" s="5401"/>
      <c r="Y171" s="5401"/>
      <c r="Z171" s="5401"/>
      <c r="AA171" s="5402"/>
      <c r="AB171" s="1826"/>
      <c r="AC171" s="1822"/>
      <c r="AD171" s="1807"/>
    </row>
    <row r="172" spans="1:30" s="1805" customFormat="1" ht="12" hidden="1" customHeight="1" thickTop="1" thickBot="1">
      <c r="A172" s="1811"/>
      <c r="B172" s="1820"/>
      <c r="C172" s="1825"/>
      <c r="D172" s="1825"/>
      <c r="E172" s="1825"/>
      <c r="F172" s="1827" t="str">
        <f>IF(G172="","","ｆ (Ｘ1)＝")</f>
        <v/>
      </c>
      <c r="G172" s="5403" t="str">
        <f>IF($G$120="","",$E$118*$G$120^3+$K$118*$G$120^2+$Q$118*$G$120+$W$118)</f>
        <v/>
      </c>
      <c r="H172" s="5404"/>
      <c r="I172" s="5404"/>
      <c r="J172" s="5404"/>
      <c r="K172" s="5405"/>
      <c r="L172" s="1825"/>
      <c r="M172" s="1825"/>
      <c r="N172" s="1825"/>
      <c r="O172" s="1827" t="str">
        <f>IF(P172="","","ｆ (Ｘ2)＝")</f>
        <v/>
      </c>
      <c r="P172" s="5403" t="str">
        <f>IF($P$120="","",$E$118*$P$120^3+$K$118*$P$120^2+$Q$118*$P$120+$W$118)</f>
        <v/>
      </c>
      <c r="Q172" s="5404"/>
      <c r="R172" s="5404"/>
      <c r="S172" s="5404"/>
      <c r="T172" s="5405"/>
      <c r="U172" s="1825"/>
      <c r="V172" s="1827" t="str">
        <f>IF(W172="","","ｆ(Ｘo)＝")</f>
        <v/>
      </c>
      <c r="W172" s="5403" t="str">
        <f>IF($E$118="","",$E$118*$W$120^3+$K$118*$W$120^2+$Q$118*$W$120+$W$118)</f>
        <v/>
      </c>
      <c r="X172" s="5404"/>
      <c r="Y172" s="5404"/>
      <c r="Z172" s="5404"/>
      <c r="AA172" s="5405"/>
      <c r="AB172" s="1826"/>
      <c r="AC172" s="1822"/>
      <c r="AD172" s="1807"/>
    </row>
    <row r="173" spans="1:30" s="1805" customFormat="1" ht="12" hidden="1" customHeight="1" thickBot="1">
      <c r="A173" s="1811"/>
      <c r="B173" s="1820"/>
      <c r="C173" s="1825"/>
      <c r="D173" s="1821"/>
      <c r="E173" s="1824"/>
      <c r="F173" s="1821"/>
      <c r="G173" s="1821"/>
      <c r="H173" s="1821"/>
      <c r="I173" s="1821"/>
      <c r="J173" s="1821"/>
      <c r="K173" s="1821"/>
      <c r="L173" s="1821"/>
      <c r="M173" s="1821"/>
      <c r="N173" s="1821"/>
      <c r="O173" s="1821"/>
      <c r="P173" s="1821"/>
      <c r="Q173" s="1821"/>
      <c r="R173" s="1821"/>
      <c r="S173" s="1821"/>
      <c r="T173" s="1821"/>
      <c r="U173" s="1821"/>
      <c r="V173" s="1821"/>
      <c r="W173" s="1821"/>
      <c r="X173" s="1821"/>
      <c r="Y173" s="1821"/>
      <c r="Z173" s="1821"/>
      <c r="AA173" s="1821"/>
      <c r="AB173" s="1821"/>
      <c r="AC173" s="1822"/>
      <c r="AD173" s="1807"/>
    </row>
    <row r="174" spans="1:30" s="1805" customFormat="1" ht="12" hidden="1" customHeight="1" thickBot="1">
      <c r="A174" s="1811"/>
      <c r="B174" s="5406" t="s">
        <v>2040</v>
      </c>
      <c r="C174" s="5407"/>
      <c r="D174" s="5408" t="s">
        <v>2039</v>
      </c>
      <c r="E174" s="5409"/>
      <c r="F174" s="5409"/>
      <c r="G174" s="5409"/>
      <c r="H174" s="5410"/>
      <c r="I174" s="5411" t="s">
        <v>2038</v>
      </c>
      <c r="J174" s="5409"/>
      <c r="K174" s="5409"/>
      <c r="L174" s="5409"/>
      <c r="M174" s="5410"/>
      <c r="N174" s="5411" t="s">
        <v>2037</v>
      </c>
      <c r="O174" s="5409"/>
      <c r="P174" s="5409"/>
      <c r="Q174" s="5409"/>
      <c r="R174" s="5410"/>
      <c r="S174" s="5412" t="s">
        <v>2036</v>
      </c>
      <c r="T174" s="5409"/>
      <c r="U174" s="5409"/>
      <c r="V174" s="5409"/>
      <c r="W174" s="5410"/>
      <c r="X174" s="5413" t="str">
        <f>IF(E169="","","収束回数")</f>
        <v>収束回数</v>
      </c>
      <c r="Y174" s="5414"/>
      <c r="Z174" s="5414"/>
      <c r="AA174" s="5415"/>
      <c r="AB174" s="1823"/>
      <c r="AC174" s="1822"/>
      <c r="AD174" s="1807"/>
    </row>
    <row r="175" spans="1:30" s="1805" customFormat="1" ht="12" hidden="1" customHeight="1">
      <c r="A175" s="1811"/>
      <c r="B175" s="1820"/>
      <c r="C175" s="1819">
        <v>1</v>
      </c>
      <c r="D175" s="5391" t="str">
        <f>IF(W172="","",IF(W172=0,W171,IF(OR(AND(E169&gt;0,G172&gt;0,P172&lt;0,W172&gt;0,(K169^2-3*E169*Q169)&gt;0),AND(E169&lt;0,G172&lt;0,P172&gt;0,W172&lt;0,(K169^2-3*E169*Q169)&gt;0),AND(E169&gt;0,G172&lt;0,P172&gt;0,(K169^2-3*E169*Q169)&lt;0,W172&lt;0),AND(E169&lt;0,G172&gt;0,P172&lt;0,W172&gt;0,(K169^2-3*E169*Q169)&lt;0)),W171+10^-2,IF(OR(AND(E169&gt;0,G172&gt;0,P172&lt;0,W172&lt;0,(K169^2-3*E169*Q169)&gt;0),AND(E169&lt;0,G172&lt;0,P172&gt;0,W172&gt;0,(K169^2-3*E169*Q169)&gt;0),AND(E169&gt;0,G172&lt;0,P172&gt;0,(K169^2-3*E169*Q169)&lt;0,W172&gt;0),AND(E169&lt;0,G172&gt;0,P172&lt;0,(K169^2-3*E169*Q169)&lt;0,W172&lt;0)),W171-10^-2,IF(OR(AND(K169=0,Q169=0,W169=0),P172=0),0,"")))))</f>
        <v/>
      </c>
      <c r="E175" s="5392"/>
      <c r="F175" s="5392"/>
      <c r="G175" s="5392"/>
      <c r="H175" s="5393"/>
      <c r="I175" s="5394">
        <f t="shared" ref="I175:I214" si="41">IF(OR($E$169="",$D$175=""),0,$E$118*D175^3+$K$118*D175^2+$Q$118*D175+$W$118)</f>
        <v>0</v>
      </c>
      <c r="J175" s="5395"/>
      <c r="K175" s="5395"/>
      <c r="L175" s="5395"/>
      <c r="M175" s="5396"/>
      <c r="N175" s="5394">
        <f t="shared" ref="N175:N214" si="42">IF(OR($E$169="",$D$175=""),0,3*$E$118*D175^2+2*$K$118*D175+$Q$118)</f>
        <v>0</v>
      </c>
      <c r="O175" s="5395"/>
      <c r="P175" s="5395"/>
      <c r="Q175" s="5395"/>
      <c r="R175" s="5396"/>
      <c r="S175" s="5394">
        <f t="shared" ref="S175:S214" si="43">IF(OR(D175=0,D175="",N175=0,84=""),0,D175-I175/N175)</f>
        <v>0</v>
      </c>
      <c r="T175" s="5395"/>
      <c r="U175" s="5395"/>
      <c r="V175" s="5395"/>
      <c r="W175" s="5396"/>
      <c r="X175" s="5397"/>
      <c r="Y175" s="5398"/>
      <c r="Z175" s="5398"/>
      <c r="AA175" s="5399"/>
      <c r="AB175" s="1821"/>
      <c r="AC175" s="1818">
        <f t="shared" ref="AC175:AC214" si="44">IF(ABS(I175)&lt;10^-10,AC174+1,1)</f>
        <v>1</v>
      </c>
      <c r="AD175" s="1807"/>
    </row>
    <row r="176" spans="1:30" s="1805" customFormat="1" ht="12" hidden="1" customHeight="1">
      <c r="A176" s="1811"/>
      <c r="B176" s="1820"/>
      <c r="C176" s="1819">
        <v>2</v>
      </c>
      <c r="D176" s="5387">
        <f t="shared" ref="D176:D214" si="45">S175</f>
        <v>0</v>
      </c>
      <c r="E176" s="5388"/>
      <c r="F176" s="5388"/>
      <c r="G176" s="5388"/>
      <c r="H176" s="5389"/>
      <c r="I176" s="5390">
        <f t="shared" si="41"/>
        <v>0</v>
      </c>
      <c r="J176" s="5388"/>
      <c r="K176" s="5388"/>
      <c r="L176" s="5388"/>
      <c r="M176" s="5389"/>
      <c r="N176" s="5390">
        <f t="shared" si="42"/>
        <v>0</v>
      </c>
      <c r="O176" s="5388"/>
      <c r="P176" s="5388"/>
      <c r="Q176" s="5388"/>
      <c r="R176" s="5389"/>
      <c r="S176" s="5390">
        <f t="shared" si="43"/>
        <v>0</v>
      </c>
      <c r="T176" s="5388"/>
      <c r="U176" s="5388"/>
      <c r="V176" s="5388"/>
      <c r="W176" s="5389"/>
      <c r="X176" s="5377" t="str">
        <f t="shared" ref="X176:X214" si="46">IF(I176="","",IF(AND(ABS(I176)&lt;10^-10,AC175=1,AC176-AC175&lt;&gt;0),C176&amp;"回 収束完了",""))</f>
        <v>2回 収束完了</v>
      </c>
      <c r="Y176" s="5378"/>
      <c r="Z176" s="5378"/>
      <c r="AA176" s="5379"/>
      <c r="AB176" s="1816"/>
      <c r="AC176" s="1818">
        <f t="shared" si="44"/>
        <v>2</v>
      </c>
      <c r="AD176" s="1807"/>
    </row>
    <row r="177" spans="1:30" s="1805" customFormat="1" ht="12" hidden="1" customHeight="1">
      <c r="A177" s="1811"/>
      <c r="B177" s="1820"/>
      <c r="C177" s="1819">
        <v>3</v>
      </c>
      <c r="D177" s="5387">
        <f t="shared" si="45"/>
        <v>0</v>
      </c>
      <c r="E177" s="5388"/>
      <c r="F177" s="5388"/>
      <c r="G177" s="5388"/>
      <c r="H177" s="5389"/>
      <c r="I177" s="5390">
        <f t="shared" si="41"/>
        <v>0</v>
      </c>
      <c r="J177" s="5388"/>
      <c r="K177" s="5388"/>
      <c r="L177" s="5388"/>
      <c r="M177" s="5389"/>
      <c r="N177" s="5390">
        <f t="shared" si="42"/>
        <v>0</v>
      </c>
      <c r="O177" s="5388"/>
      <c r="P177" s="5388"/>
      <c r="Q177" s="5388"/>
      <c r="R177" s="5389"/>
      <c r="S177" s="5390">
        <f t="shared" si="43"/>
        <v>0</v>
      </c>
      <c r="T177" s="5388"/>
      <c r="U177" s="5388"/>
      <c r="V177" s="5388"/>
      <c r="W177" s="5389"/>
      <c r="X177" s="5377" t="str">
        <f t="shared" si="46"/>
        <v/>
      </c>
      <c r="Y177" s="5378"/>
      <c r="Z177" s="5378"/>
      <c r="AA177" s="5379"/>
      <c r="AB177" s="1816"/>
      <c r="AC177" s="1818">
        <f t="shared" si="44"/>
        <v>3</v>
      </c>
      <c r="AD177" s="1807"/>
    </row>
    <row r="178" spans="1:30" s="1805" customFormat="1" ht="12" hidden="1" customHeight="1">
      <c r="A178" s="1811"/>
      <c r="B178" s="1820"/>
      <c r="C178" s="1819">
        <v>4</v>
      </c>
      <c r="D178" s="5387">
        <f t="shared" si="45"/>
        <v>0</v>
      </c>
      <c r="E178" s="5388"/>
      <c r="F178" s="5388"/>
      <c r="G178" s="5388"/>
      <c r="H178" s="5389"/>
      <c r="I178" s="5390">
        <f t="shared" si="41"/>
        <v>0</v>
      </c>
      <c r="J178" s="5388"/>
      <c r="K178" s="5388"/>
      <c r="L178" s="5388"/>
      <c r="M178" s="5389"/>
      <c r="N178" s="5390">
        <f t="shared" si="42"/>
        <v>0</v>
      </c>
      <c r="O178" s="5388"/>
      <c r="P178" s="5388"/>
      <c r="Q178" s="5388"/>
      <c r="R178" s="5389"/>
      <c r="S178" s="5390">
        <f t="shared" si="43"/>
        <v>0</v>
      </c>
      <c r="T178" s="5388"/>
      <c r="U178" s="5388"/>
      <c r="V178" s="5388"/>
      <c r="W178" s="5389"/>
      <c r="X178" s="5377" t="str">
        <f t="shared" si="46"/>
        <v/>
      </c>
      <c r="Y178" s="5378"/>
      <c r="Z178" s="5378"/>
      <c r="AA178" s="5379"/>
      <c r="AB178" s="1816"/>
      <c r="AC178" s="1818">
        <f t="shared" si="44"/>
        <v>4</v>
      </c>
      <c r="AD178" s="1807"/>
    </row>
    <row r="179" spans="1:30" s="1805" customFormat="1" ht="12" hidden="1" customHeight="1">
      <c r="A179" s="1811"/>
      <c r="B179" s="1820"/>
      <c r="C179" s="1819">
        <v>5</v>
      </c>
      <c r="D179" s="5387">
        <f t="shared" si="45"/>
        <v>0</v>
      </c>
      <c r="E179" s="5388"/>
      <c r="F179" s="5388"/>
      <c r="G179" s="5388"/>
      <c r="H179" s="5389"/>
      <c r="I179" s="5390">
        <f t="shared" si="41"/>
        <v>0</v>
      </c>
      <c r="J179" s="5388"/>
      <c r="K179" s="5388"/>
      <c r="L179" s="5388"/>
      <c r="M179" s="5389"/>
      <c r="N179" s="5390">
        <f t="shared" si="42"/>
        <v>0</v>
      </c>
      <c r="O179" s="5388"/>
      <c r="P179" s="5388"/>
      <c r="Q179" s="5388"/>
      <c r="R179" s="5389"/>
      <c r="S179" s="5390">
        <f t="shared" si="43"/>
        <v>0</v>
      </c>
      <c r="T179" s="5388"/>
      <c r="U179" s="5388"/>
      <c r="V179" s="5388"/>
      <c r="W179" s="5389"/>
      <c r="X179" s="5377" t="str">
        <f t="shared" si="46"/>
        <v/>
      </c>
      <c r="Y179" s="5378"/>
      <c r="Z179" s="5378"/>
      <c r="AA179" s="5379"/>
      <c r="AB179" s="1816"/>
      <c r="AC179" s="1818">
        <f t="shared" si="44"/>
        <v>5</v>
      </c>
      <c r="AD179" s="1807"/>
    </row>
    <row r="180" spans="1:30" s="1805" customFormat="1" ht="12" hidden="1" customHeight="1">
      <c r="A180" s="1811"/>
      <c r="B180" s="1820"/>
      <c r="C180" s="1819">
        <v>6</v>
      </c>
      <c r="D180" s="5387">
        <f t="shared" si="45"/>
        <v>0</v>
      </c>
      <c r="E180" s="5388"/>
      <c r="F180" s="5388"/>
      <c r="G180" s="5388"/>
      <c r="H180" s="5389"/>
      <c r="I180" s="5390">
        <f t="shared" si="41"/>
        <v>0</v>
      </c>
      <c r="J180" s="5388"/>
      <c r="K180" s="5388"/>
      <c r="L180" s="5388"/>
      <c r="M180" s="5389"/>
      <c r="N180" s="5390">
        <f t="shared" si="42"/>
        <v>0</v>
      </c>
      <c r="O180" s="5388"/>
      <c r="P180" s="5388"/>
      <c r="Q180" s="5388"/>
      <c r="R180" s="5389"/>
      <c r="S180" s="5390">
        <f t="shared" si="43"/>
        <v>0</v>
      </c>
      <c r="T180" s="5388"/>
      <c r="U180" s="5388"/>
      <c r="V180" s="5388"/>
      <c r="W180" s="5389"/>
      <c r="X180" s="5377" t="str">
        <f t="shared" si="46"/>
        <v/>
      </c>
      <c r="Y180" s="5378"/>
      <c r="Z180" s="5378"/>
      <c r="AA180" s="5379"/>
      <c r="AB180" s="1816"/>
      <c r="AC180" s="1818">
        <f t="shared" si="44"/>
        <v>6</v>
      </c>
      <c r="AD180" s="1807"/>
    </row>
    <row r="181" spans="1:30" s="1805" customFormat="1" ht="12" hidden="1" customHeight="1">
      <c r="A181" s="1811"/>
      <c r="B181" s="1820"/>
      <c r="C181" s="1819">
        <v>7</v>
      </c>
      <c r="D181" s="5387">
        <f t="shared" si="45"/>
        <v>0</v>
      </c>
      <c r="E181" s="5388"/>
      <c r="F181" s="5388"/>
      <c r="G181" s="5388"/>
      <c r="H181" s="5389"/>
      <c r="I181" s="5390">
        <f t="shared" si="41"/>
        <v>0</v>
      </c>
      <c r="J181" s="5388"/>
      <c r="K181" s="5388"/>
      <c r="L181" s="5388"/>
      <c r="M181" s="5389"/>
      <c r="N181" s="5390">
        <f t="shared" si="42"/>
        <v>0</v>
      </c>
      <c r="O181" s="5388"/>
      <c r="P181" s="5388"/>
      <c r="Q181" s="5388"/>
      <c r="R181" s="5389"/>
      <c r="S181" s="5390">
        <f t="shared" si="43"/>
        <v>0</v>
      </c>
      <c r="T181" s="5388"/>
      <c r="U181" s="5388"/>
      <c r="V181" s="5388"/>
      <c r="W181" s="5389"/>
      <c r="X181" s="5377" t="str">
        <f t="shared" si="46"/>
        <v/>
      </c>
      <c r="Y181" s="5378"/>
      <c r="Z181" s="5378"/>
      <c r="AA181" s="5379"/>
      <c r="AB181" s="1816"/>
      <c r="AC181" s="1818">
        <f t="shared" si="44"/>
        <v>7</v>
      </c>
      <c r="AD181" s="1807"/>
    </row>
    <row r="182" spans="1:30" s="1805" customFormat="1" ht="12" hidden="1" customHeight="1">
      <c r="A182" s="1811"/>
      <c r="B182" s="1820"/>
      <c r="C182" s="1819">
        <v>8</v>
      </c>
      <c r="D182" s="5387">
        <f t="shared" si="45"/>
        <v>0</v>
      </c>
      <c r="E182" s="5388"/>
      <c r="F182" s="5388"/>
      <c r="G182" s="5388"/>
      <c r="H182" s="5389"/>
      <c r="I182" s="5390">
        <f t="shared" si="41"/>
        <v>0</v>
      </c>
      <c r="J182" s="5388"/>
      <c r="K182" s="5388"/>
      <c r="L182" s="5388"/>
      <c r="M182" s="5389"/>
      <c r="N182" s="5390">
        <f t="shared" si="42"/>
        <v>0</v>
      </c>
      <c r="O182" s="5388"/>
      <c r="P182" s="5388"/>
      <c r="Q182" s="5388"/>
      <c r="R182" s="5389"/>
      <c r="S182" s="5390">
        <f t="shared" si="43"/>
        <v>0</v>
      </c>
      <c r="T182" s="5388"/>
      <c r="U182" s="5388"/>
      <c r="V182" s="5388"/>
      <c r="W182" s="5389"/>
      <c r="X182" s="5377" t="str">
        <f t="shared" si="46"/>
        <v/>
      </c>
      <c r="Y182" s="5378"/>
      <c r="Z182" s="5378"/>
      <c r="AA182" s="5379"/>
      <c r="AB182" s="1816"/>
      <c r="AC182" s="1818">
        <f t="shared" si="44"/>
        <v>8</v>
      </c>
      <c r="AD182" s="1807"/>
    </row>
    <row r="183" spans="1:30" s="1805" customFormat="1" ht="12" hidden="1" customHeight="1">
      <c r="A183" s="1811"/>
      <c r="B183" s="1820"/>
      <c r="C183" s="1819">
        <v>9</v>
      </c>
      <c r="D183" s="5387">
        <f t="shared" si="45"/>
        <v>0</v>
      </c>
      <c r="E183" s="5388"/>
      <c r="F183" s="5388"/>
      <c r="G183" s="5388"/>
      <c r="H183" s="5389"/>
      <c r="I183" s="5390">
        <f t="shared" si="41"/>
        <v>0</v>
      </c>
      <c r="J183" s="5388"/>
      <c r="K183" s="5388"/>
      <c r="L183" s="5388"/>
      <c r="M183" s="5389"/>
      <c r="N183" s="5390">
        <f t="shared" si="42"/>
        <v>0</v>
      </c>
      <c r="O183" s="5388"/>
      <c r="P183" s="5388"/>
      <c r="Q183" s="5388"/>
      <c r="R183" s="5389"/>
      <c r="S183" s="5390">
        <f t="shared" si="43"/>
        <v>0</v>
      </c>
      <c r="T183" s="5388"/>
      <c r="U183" s="5388"/>
      <c r="V183" s="5388"/>
      <c r="W183" s="5389"/>
      <c r="X183" s="5377" t="str">
        <f t="shared" si="46"/>
        <v/>
      </c>
      <c r="Y183" s="5378"/>
      <c r="Z183" s="5378"/>
      <c r="AA183" s="5379"/>
      <c r="AB183" s="1816"/>
      <c r="AC183" s="1818">
        <f t="shared" si="44"/>
        <v>9</v>
      </c>
      <c r="AD183" s="1807"/>
    </row>
    <row r="184" spans="1:30" s="1805" customFormat="1" ht="12" hidden="1" customHeight="1">
      <c r="A184" s="1811"/>
      <c r="B184" s="1820"/>
      <c r="C184" s="1819">
        <v>10</v>
      </c>
      <c r="D184" s="5387">
        <f t="shared" si="45"/>
        <v>0</v>
      </c>
      <c r="E184" s="5388"/>
      <c r="F184" s="5388"/>
      <c r="G184" s="5388"/>
      <c r="H184" s="5389"/>
      <c r="I184" s="5390">
        <f t="shared" si="41"/>
        <v>0</v>
      </c>
      <c r="J184" s="5388"/>
      <c r="K184" s="5388"/>
      <c r="L184" s="5388"/>
      <c r="M184" s="5389"/>
      <c r="N184" s="5390">
        <f t="shared" si="42"/>
        <v>0</v>
      </c>
      <c r="O184" s="5388"/>
      <c r="P184" s="5388"/>
      <c r="Q184" s="5388"/>
      <c r="R184" s="5389"/>
      <c r="S184" s="5390">
        <f t="shared" si="43"/>
        <v>0</v>
      </c>
      <c r="T184" s="5388"/>
      <c r="U184" s="5388"/>
      <c r="V184" s="5388"/>
      <c r="W184" s="5389"/>
      <c r="X184" s="5377" t="str">
        <f t="shared" si="46"/>
        <v/>
      </c>
      <c r="Y184" s="5378"/>
      <c r="Z184" s="5378"/>
      <c r="AA184" s="5379"/>
      <c r="AB184" s="1816"/>
      <c r="AC184" s="1818">
        <f t="shared" si="44"/>
        <v>10</v>
      </c>
      <c r="AD184" s="1807"/>
    </row>
    <row r="185" spans="1:30" s="1805" customFormat="1" ht="12" hidden="1" customHeight="1">
      <c r="A185" s="1811"/>
      <c r="B185" s="1820"/>
      <c r="C185" s="1819">
        <v>11</v>
      </c>
      <c r="D185" s="5373">
        <f t="shared" si="45"/>
        <v>0</v>
      </c>
      <c r="E185" s="5374"/>
      <c r="F185" s="5374"/>
      <c r="G185" s="5374"/>
      <c r="H185" s="5375"/>
      <c r="I185" s="5376">
        <f t="shared" si="41"/>
        <v>0</v>
      </c>
      <c r="J185" s="5374"/>
      <c r="K185" s="5374"/>
      <c r="L185" s="5374"/>
      <c r="M185" s="5375"/>
      <c r="N185" s="5376">
        <f t="shared" si="42"/>
        <v>0</v>
      </c>
      <c r="O185" s="5374"/>
      <c r="P185" s="5374"/>
      <c r="Q185" s="5374"/>
      <c r="R185" s="5375"/>
      <c r="S185" s="5376">
        <f t="shared" si="43"/>
        <v>0</v>
      </c>
      <c r="T185" s="5374"/>
      <c r="U185" s="5374"/>
      <c r="V185" s="5374"/>
      <c r="W185" s="5375"/>
      <c r="X185" s="5377" t="str">
        <f t="shared" si="46"/>
        <v/>
      </c>
      <c r="Y185" s="5378"/>
      <c r="Z185" s="5378"/>
      <c r="AA185" s="5379"/>
      <c r="AB185" s="1816"/>
      <c r="AC185" s="1818">
        <f t="shared" si="44"/>
        <v>11</v>
      </c>
      <c r="AD185" s="1807"/>
    </row>
    <row r="186" spans="1:30" s="1805" customFormat="1" ht="12" hidden="1" customHeight="1">
      <c r="A186" s="1811"/>
      <c r="B186" s="1820"/>
      <c r="C186" s="1819">
        <v>12</v>
      </c>
      <c r="D186" s="5373">
        <f t="shared" si="45"/>
        <v>0</v>
      </c>
      <c r="E186" s="5374"/>
      <c r="F186" s="5374"/>
      <c r="G186" s="5374"/>
      <c r="H186" s="5375"/>
      <c r="I186" s="5376">
        <f t="shared" si="41"/>
        <v>0</v>
      </c>
      <c r="J186" s="5374"/>
      <c r="K186" s="5374"/>
      <c r="L186" s="5374"/>
      <c r="M186" s="5375"/>
      <c r="N186" s="5376">
        <f t="shared" si="42"/>
        <v>0</v>
      </c>
      <c r="O186" s="5374"/>
      <c r="P186" s="5374"/>
      <c r="Q186" s="5374"/>
      <c r="R186" s="5375"/>
      <c r="S186" s="5376">
        <f t="shared" si="43"/>
        <v>0</v>
      </c>
      <c r="T186" s="5374"/>
      <c r="U186" s="5374"/>
      <c r="V186" s="5374"/>
      <c r="W186" s="5375"/>
      <c r="X186" s="5377" t="str">
        <f t="shared" si="46"/>
        <v/>
      </c>
      <c r="Y186" s="5378"/>
      <c r="Z186" s="5378"/>
      <c r="AA186" s="5379"/>
      <c r="AB186" s="1816"/>
      <c r="AC186" s="1818">
        <f t="shared" si="44"/>
        <v>12</v>
      </c>
      <c r="AD186" s="1807"/>
    </row>
    <row r="187" spans="1:30" s="1805" customFormat="1" ht="12" hidden="1" customHeight="1">
      <c r="A187" s="1811"/>
      <c r="B187" s="1820"/>
      <c r="C187" s="1819">
        <v>13</v>
      </c>
      <c r="D187" s="5373">
        <f t="shared" si="45"/>
        <v>0</v>
      </c>
      <c r="E187" s="5374"/>
      <c r="F187" s="5374"/>
      <c r="G187" s="5374"/>
      <c r="H187" s="5375"/>
      <c r="I187" s="5376">
        <f t="shared" si="41"/>
        <v>0</v>
      </c>
      <c r="J187" s="5374"/>
      <c r="K187" s="5374"/>
      <c r="L187" s="5374"/>
      <c r="M187" s="5375"/>
      <c r="N187" s="5376">
        <f t="shared" si="42"/>
        <v>0</v>
      </c>
      <c r="O187" s="5374"/>
      <c r="P187" s="5374"/>
      <c r="Q187" s="5374"/>
      <c r="R187" s="5375"/>
      <c r="S187" s="5376">
        <f t="shared" si="43"/>
        <v>0</v>
      </c>
      <c r="T187" s="5374"/>
      <c r="U187" s="5374"/>
      <c r="V187" s="5374"/>
      <c r="W187" s="5375"/>
      <c r="X187" s="5377" t="str">
        <f t="shared" si="46"/>
        <v/>
      </c>
      <c r="Y187" s="5378"/>
      <c r="Z187" s="5378"/>
      <c r="AA187" s="5379"/>
      <c r="AB187" s="1816"/>
      <c r="AC187" s="1818">
        <f t="shared" si="44"/>
        <v>13</v>
      </c>
      <c r="AD187" s="1807"/>
    </row>
    <row r="188" spans="1:30" s="1805" customFormat="1" ht="12" hidden="1" customHeight="1">
      <c r="A188" s="1811"/>
      <c r="B188" s="1820"/>
      <c r="C188" s="1819">
        <v>14</v>
      </c>
      <c r="D188" s="5373">
        <f t="shared" si="45"/>
        <v>0</v>
      </c>
      <c r="E188" s="5374"/>
      <c r="F188" s="5374"/>
      <c r="G188" s="5374"/>
      <c r="H188" s="5375"/>
      <c r="I188" s="5376">
        <f t="shared" si="41"/>
        <v>0</v>
      </c>
      <c r="J188" s="5374"/>
      <c r="K188" s="5374"/>
      <c r="L188" s="5374"/>
      <c r="M188" s="5375"/>
      <c r="N188" s="5376">
        <f t="shared" si="42"/>
        <v>0</v>
      </c>
      <c r="O188" s="5374"/>
      <c r="P188" s="5374"/>
      <c r="Q188" s="5374"/>
      <c r="R188" s="5375"/>
      <c r="S188" s="5376">
        <f t="shared" si="43"/>
        <v>0</v>
      </c>
      <c r="T188" s="5374"/>
      <c r="U188" s="5374"/>
      <c r="V188" s="5374"/>
      <c r="W188" s="5375"/>
      <c r="X188" s="5377" t="str">
        <f t="shared" si="46"/>
        <v/>
      </c>
      <c r="Y188" s="5378"/>
      <c r="Z188" s="5378"/>
      <c r="AA188" s="5379"/>
      <c r="AB188" s="1816"/>
      <c r="AC188" s="1818">
        <f t="shared" si="44"/>
        <v>14</v>
      </c>
      <c r="AD188" s="1807"/>
    </row>
    <row r="189" spans="1:30" s="1805" customFormat="1" ht="12" hidden="1" customHeight="1">
      <c r="A189" s="1811"/>
      <c r="B189" s="1820"/>
      <c r="C189" s="1819">
        <v>15</v>
      </c>
      <c r="D189" s="5373">
        <f t="shared" si="45"/>
        <v>0</v>
      </c>
      <c r="E189" s="5374"/>
      <c r="F189" s="5374"/>
      <c r="G189" s="5374"/>
      <c r="H189" s="5375"/>
      <c r="I189" s="5376">
        <f t="shared" si="41"/>
        <v>0</v>
      </c>
      <c r="J189" s="5374"/>
      <c r="K189" s="5374"/>
      <c r="L189" s="5374"/>
      <c r="M189" s="5375"/>
      <c r="N189" s="5376">
        <f t="shared" si="42"/>
        <v>0</v>
      </c>
      <c r="O189" s="5374"/>
      <c r="P189" s="5374"/>
      <c r="Q189" s="5374"/>
      <c r="R189" s="5375"/>
      <c r="S189" s="5376">
        <f t="shared" si="43"/>
        <v>0</v>
      </c>
      <c r="T189" s="5374"/>
      <c r="U189" s="5374"/>
      <c r="V189" s="5374"/>
      <c r="W189" s="5375"/>
      <c r="X189" s="5377" t="str">
        <f t="shared" si="46"/>
        <v/>
      </c>
      <c r="Y189" s="5378"/>
      <c r="Z189" s="5378"/>
      <c r="AA189" s="5379"/>
      <c r="AB189" s="1816"/>
      <c r="AC189" s="1818">
        <f t="shared" si="44"/>
        <v>15</v>
      </c>
      <c r="AD189" s="1807"/>
    </row>
    <row r="190" spans="1:30" s="1805" customFormat="1" ht="12" hidden="1" customHeight="1">
      <c r="A190" s="1811"/>
      <c r="B190" s="1820"/>
      <c r="C190" s="1819">
        <v>16</v>
      </c>
      <c r="D190" s="5373">
        <f t="shared" si="45"/>
        <v>0</v>
      </c>
      <c r="E190" s="5374"/>
      <c r="F190" s="5374"/>
      <c r="G190" s="5374"/>
      <c r="H190" s="5375"/>
      <c r="I190" s="5376">
        <f t="shared" si="41"/>
        <v>0</v>
      </c>
      <c r="J190" s="5374"/>
      <c r="K190" s="5374"/>
      <c r="L190" s="5374"/>
      <c r="M190" s="5375"/>
      <c r="N190" s="5376">
        <f t="shared" si="42"/>
        <v>0</v>
      </c>
      <c r="O190" s="5374"/>
      <c r="P190" s="5374"/>
      <c r="Q190" s="5374"/>
      <c r="R190" s="5375"/>
      <c r="S190" s="5376">
        <f t="shared" si="43"/>
        <v>0</v>
      </c>
      <c r="T190" s="5374"/>
      <c r="U190" s="5374"/>
      <c r="V190" s="5374"/>
      <c r="W190" s="5375"/>
      <c r="X190" s="5377" t="str">
        <f t="shared" si="46"/>
        <v/>
      </c>
      <c r="Y190" s="5378"/>
      <c r="Z190" s="5378"/>
      <c r="AA190" s="5379"/>
      <c r="AB190" s="1816"/>
      <c r="AC190" s="1818">
        <f t="shared" si="44"/>
        <v>16</v>
      </c>
      <c r="AD190" s="1807"/>
    </row>
    <row r="191" spans="1:30" s="1805" customFormat="1" ht="12" hidden="1" customHeight="1">
      <c r="A191" s="1811"/>
      <c r="B191" s="1820"/>
      <c r="C191" s="1819">
        <v>17</v>
      </c>
      <c r="D191" s="5373">
        <f t="shared" si="45"/>
        <v>0</v>
      </c>
      <c r="E191" s="5374"/>
      <c r="F191" s="5374"/>
      <c r="G191" s="5374"/>
      <c r="H191" s="5375"/>
      <c r="I191" s="5376">
        <f t="shared" si="41"/>
        <v>0</v>
      </c>
      <c r="J191" s="5374"/>
      <c r="K191" s="5374"/>
      <c r="L191" s="5374"/>
      <c r="M191" s="5375"/>
      <c r="N191" s="5376">
        <f t="shared" si="42"/>
        <v>0</v>
      </c>
      <c r="O191" s="5374"/>
      <c r="P191" s="5374"/>
      <c r="Q191" s="5374"/>
      <c r="R191" s="5375"/>
      <c r="S191" s="5376">
        <f t="shared" si="43"/>
        <v>0</v>
      </c>
      <c r="T191" s="5374"/>
      <c r="U191" s="5374"/>
      <c r="V191" s="5374"/>
      <c r="W191" s="5375"/>
      <c r="X191" s="5377" t="str">
        <f t="shared" si="46"/>
        <v/>
      </c>
      <c r="Y191" s="5378"/>
      <c r="Z191" s="5378"/>
      <c r="AA191" s="5379"/>
      <c r="AB191" s="1816"/>
      <c r="AC191" s="1818">
        <f t="shared" si="44"/>
        <v>17</v>
      </c>
      <c r="AD191" s="1807"/>
    </row>
    <row r="192" spans="1:30" s="1805" customFormat="1" ht="12" hidden="1" customHeight="1">
      <c r="A192" s="1811"/>
      <c r="B192" s="1820"/>
      <c r="C192" s="1819">
        <v>18</v>
      </c>
      <c r="D192" s="5373">
        <f t="shared" si="45"/>
        <v>0</v>
      </c>
      <c r="E192" s="5374"/>
      <c r="F192" s="5374"/>
      <c r="G192" s="5374"/>
      <c r="H192" s="5375"/>
      <c r="I192" s="5376">
        <f t="shared" si="41"/>
        <v>0</v>
      </c>
      <c r="J192" s="5374"/>
      <c r="K192" s="5374"/>
      <c r="L192" s="5374"/>
      <c r="M192" s="5375"/>
      <c r="N192" s="5376">
        <f t="shared" si="42"/>
        <v>0</v>
      </c>
      <c r="O192" s="5374"/>
      <c r="P192" s="5374"/>
      <c r="Q192" s="5374"/>
      <c r="R192" s="5375"/>
      <c r="S192" s="5376">
        <f t="shared" si="43"/>
        <v>0</v>
      </c>
      <c r="T192" s="5374"/>
      <c r="U192" s="5374"/>
      <c r="V192" s="5374"/>
      <c r="W192" s="5375"/>
      <c r="X192" s="5377" t="str">
        <f t="shared" si="46"/>
        <v/>
      </c>
      <c r="Y192" s="5378"/>
      <c r="Z192" s="5378"/>
      <c r="AA192" s="5379"/>
      <c r="AB192" s="1816"/>
      <c r="AC192" s="1818">
        <f t="shared" si="44"/>
        <v>18</v>
      </c>
      <c r="AD192" s="1807"/>
    </row>
    <row r="193" spans="1:30" s="1805" customFormat="1" ht="12" hidden="1" customHeight="1">
      <c r="A193" s="1811"/>
      <c r="B193" s="1820"/>
      <c r="C193" s="1819">
        <v>19</v>
      </c>
      <c r="D193" s="5373">
        <f t="shared" si="45"/>
        <v>0</v>
      </c>
      <c r="E193" s="5374"/>
      <c r="F193" s="5374"/>
      <c r="G193" s="5374"/>
      <c r="H193" s="5375"/>
      <c r="I193" s="5376">
        <f t="shared" si="41"/>
        <v>0</v>
      </c>
      <c r="J193" s="5374"/>
      <c r="K193" s="5374"/>
      <c r="L193" s="5374"/>
      <c r="M193" s="5375"/>
      <c r="N193" s="5376">
        <f t="shared" si="42"/>
        <v>0</v>
      </c>
      <c r="O193" s="5374"/>
      <c r="P193" s="5374"/>
      <c r="Q193" s="5374"/>
      <c r="R193" s="5375"/>
      <c r="S193" s="5376">
        <f t="shared" si="43"/>
        <v>0</v>
      </c>
      <c r="T193" s="5374"/>
      <c r="U193" s="5374"/>
      <c r="V193" s="5374"/>
      <c r="W193" s="5375"/>
      <c r="X193" s="5377" t="str">
        <f t="shared" si="46"/>
        <v/>
      </c>
      <c r="Y193" s="5378"/>
      <c r="Z193" s="5378"/>
      <c r="AA193" s="5379"/>
      <c r="AB193" s="1816"/>
      <c r="AC193" s="1818">
        <f t="shared" si="44"/>
        <v>19</v>
      </c>
      <c r="AD193" s="1807"/>
    </row>
    <row r="194" spans="1:30" s="1805" customFormat="1" ht="12" hidden="1" customHeight="1">
      <c r="A194" s="1811"/>
      <c r="B194" s="1820"/>
      <c r="C194" s="1819">
        <v>20</v>
      </c>
      <c r="D194" s="5373">
        <f t="shared" si="45"/>
        <v>0</v>
      </c>
      <c r="E194" s="5374"/>
      <c r="F194" s="5374"/>
      <c r="G194" s="5374"/>
      <c r="H194" s="5375"/>
      <c r="I194" s="5376">
        <f t="shared" si="41"/>
        <v>0</v>
      </c>
      <c r="J194" s="5374"/>
      <c r="K194" s="5374"/>
      <c r="L194" s="5374"/>
      <c r="M194" s="5375"/>
      <c r="N194" s="5376">
        <f t="shared" si="42"/>
        <v>0</v>
      </c>
      <c r="O194" s="5374"/>
      <c r="P194" s="5374"/>
      <c r="Q194" s="5374"/>
      <c r="R194" s="5375"/>
      <c r="S194" s="5376">
        <f t="shared" si="43"/>
        <v>0</v>
      </c>
      <c r="T194" s="5374"/>
      <c r="U194" s="5374"/>
      <c r="V194" s="5374"/>
      <c r="W194" s="5375"/>
      <c r="X194" s="5377" t="str">
        <f t="shared" si="46"/>
        <v/>
      </c>
      <c r="Y194" s="5378"/>
      <c r="Z194" s="5378"/>
      <c r="AA194" s="5379"/>
      <c r="AB194" s="1816"/>
      <c r="AC194" s="1818">
        <f t="shared" si="44"/>
        <v>20</v>
      </c>
      <c r="AD194" s="1807"/>
    </row>
    <row r="195" spans="1:30" s="1805" customFormat="1" ht="12" hidden="1" customHeight="1">
      <c r="A195" s="1811"/>
      <c r="B195" s="1820"/>
      <c r="C195" s="1819">
        <v>21</v>
      </c>
      <c r="D195" s="5373">
        <f t="shared" si="45"/>
        <v>0</v>
      </c>
      <c r="E195" s="5374"/>
      <c r="F195" s="5374"/>
      <c r="G195" s="5374"/>
      <c r="H195" s="5375"/>
      <c r="I195" s="5376">
        <f t="shared" si="41"/>
        <v>0</v>
      </c>
      <c r="J195" s="5374"/>
      <c r="K195" s="5374"/>
      <c r="L195" s="5374"/>
      <c r="M195" s="5375"/>
      <c r="N195" s="5376">
        <f t="shared" si="42"/>
        <v>0</v>
      </c>
      <c r="O195" s="5374"/>
      <c r="P195" s="5374"/>
      <c r="Q195" s="5374"/>
      <c r="R195" s="5375"/>
      <c r="S195" s="5376">
        <f t="shared" si="43"/>
        <v>0</v>
      </c>
      <c r="T195" s="5374"/>
      <c r="U195" s="5374"/>
      <c r="V195" s="5374"/>
      <c r="W195" s="5375"/>
      <c r="X195" s="5377" t="str">
        <f t="shared" si="46"/>
        <v/>
      </c>
      <c r="Y195" s="5378"/>
      <c r="Z195" s="5378"/>
      <c r="AA195" s="5379"/>
      <c r="AB195" s="1816"/>
      <c r="AC195" s="1818">
        <f t="shared" si="44"/>
        <v>21</v>
      </c>
      <c r="AD195" s="1807"/>
    </row>
    <row r="196" spans="1:30" s="1805" customFormat="1" ht="12" hidden="1" customHeight="1">
      <c r="A196" s="1811"/>
      <c r="B196" s="1820"/>
      <c r="C196" s="1819">
        <v>22</v>
      </c>
      <c r="D196" s="5373">
        <f t="shared" si="45"/>
        <v>0</v>
      </c>
      <c r="E196" s="5374"/>
      <c r="F196" s="5374"/>
      <c r="G196" s="5374"/>
      <c r="H196" s="5375"/>
      <c r="I196" s="5376">
        <f t="shared" si="41"/>
        <v>0</v>
      </c>
      <c r="J196" s="5374"/>
      <c r="K196" s="5374"/>
      <c r="L196" s="5374"/>
      <c r="M196" s="5375"/>
      <c r="N196" s="5376">
        <f t="shared" si="42"/>
        <v>0</v>
      </c>
      <c r="O196" s="5374"/>
      <c r="P196" s="5374"/>
      <c r="Q196" s="5374"/>
      <c r="R196" s="5375"/>
      <c r="S196" s="5376">
        <f t="shared" si="43"/>
        <v>0</v>
      </c>
      <c r="T196" s="5374"/>
      <c r="U196" s="5374"/>
      <c r="V196" s="5374"/>
      <c r="W196" s="5375"/>
      <c r="X196" s="5377" t="str">
        <f t="shared" si="46"/>
        <v/>
      </c>
      <c r="Y196" s="5378"/>
      <c r="Z196" s="5378"/>
      <c r="AA196" s="5379"/>
      <c r="AB196" s="1816"/>
      <c r="AC196" s="1818">
        <f t="shared" si="44"/>
        <v>22</v>
      </c>
      <c r="AD196" s="1807"/>
    </row>
    <row r="197" spans="1:30" s="1805" customFormat="1" ht="12" hidden="1" customHeight="1">
      <c r="A197" s="1811"/>
      <c r="B197" s="1820"/>
      <c r="C197" s="1819">
        <v>23</v>
      </c>
      <c r="D197" s="5373">
        <f t="shared" si="45"/>
        <v>0</v>
      </c>
      <c r="E197" s="5374"/>
      <c r="F197" s="5374"/>
      <c r="G197" s="5374"/>
      <c r="H197" s="5375"/>
      <c r="I197" s="5376">
        <f t="shared" si="41"/>
        <v>0</v>
      </c>
      <c r="J197" s="5374"/>
      <c r="K197" s="5374"/>
      <c r="L197" s="5374"/>
      <c r="M197" s="5375"/>
      <c r="N197" s="5376">
        <f t="shared" si="42"/>
        <v>0</v>
      </c>
      <c r="O197" s="5374"/>
      <c r="P197" s="5374"/>
      <c r="Q197" s="5374"/>
      <c r="R197" s="5375"/>
      <c r="S197" s="5376">
        <f t="shared" si="43"/>
        <v>0</v>
      </c>
      <c r="T197" s="5374"/>
      <c r="U197" s="5374"/>
      <c r="V197" s="5374"/>
      <c r="W197" s="5375"/>
      <c r="X197" s="5377" t="str">
        <f t="shared" si="46"/>
        <v/>
      </c>
      <c r="Y197" s="5378"/>
      <c r="Z197" s="5378"/>
      <c r="AA197" s="5379"/>
      <c r="AB197" s="1816"/>
      <c r="AC197" s="1818">
        <f t="shared" si="44"/>
        <v>23</v>
      </c>
      <c r="AD197" s="1807"/>
    </row>
    <row r="198" spans="1:30" s="1805" customFormat="1" ht="12" hidden="1" customHeight="1">
      <c r="A198" s="1811"/>
      <c r="B198" s="1820"/>
      <c r="C198" s="1819">
        <v>24</v>
      </c>
      <c r="D198" s="5373">
        <f t="shared" si="45"/>
        <v>0</v>
      </c>
      <c r="E198" s="5374"/>
      <c r="F198" s="5374"/>
      <c r="G198" s="5374"/>
      <c r="H198" s="5375"/>
      <c r="I198" s="5376">
        <f t="shared" si="41"/>
        <v>0</v>
      </c>
      <c r="J198" s="5374"/>
      <c r="K198" s="5374"/>
      <c r="L198" s="5374"/>
      <c r="M198" s="5375"/>
      <c r="N198" s="5376">
        <f t="shared" si="42"/>
        <v>0</v>
      </c>
      <c r="O198" s="5374"/>
      <c r="P198" s="5374"/>
      <c r="Q198" s="5374"/>
      <c r="R198" s="5375"/>
      <c r="S198" s="5376">
        <f t="shared" si="43"/>
        <v>0</v>
      </c>
      <c r="T198" s="5374"/>
      <c r="U198" s="5374"/>
      <c r="V198" s="5374"/>
      <c r="W198" s="5375"/>
      <c r="X198" s="5377" t="str">
        <f t="shared" si="46"/>
        <v/>
      </c>
      <c r="Y198" s="5378"/>
      <c r="Z198" s="5378"/>
      <c r="AA198" s="5379"/>
      <c r="AB198" s="1816"/>
      <c r="AC198" s="1818">
        <f t="shared" si="44"/>
        <v>24</v>
      </c>
      <c r="AD198" s="1807"/>
    </row>
    <row r="199" spans="1:30" s="1805" customFormat="1" ht="12" hidden="1" customHeight="1">
      <c r="A199" s="1811"/>
      <c r="B199" s="1820"/>
      <c r="C199" s="1819">
        <v>25</v>
      </c>
      <c r="D199" s="5373">
        <f t="shared" si="45"/>
        <v>0</v>
      </c>
      <c r="E199" s="5374"/>
      <c r="F199" s="5374"/>
      <c r="G199" s="5374"/>
      <c r="H199" s="5375"/>
      <c r="I199" s="5376">
        <f t="shared" si="41"/>
        <v>0</v>
      </c>
      <c r="J199" s="5374"/>
      <c r="K199" s="5374"/>
      <c r="L199" s="5374"/>
      <c r="M199" s="5375"/>
      <c r="N199" s="5376">
        <f t="shared" si="42"/>
        <v>0</v>
      </c>
      <c r="O199" s="5374"/>
      <c r="P199" s="5374"/>
      <c r="Q199" s="5374"/>
      <c r="R199" s="5375"/>
      <c r="S199" s="5376">
        <f t="shared" si="43"/>
        <v>0</v>
      </c>
      <c r="T199" s="5374"/>
      <c r="U199" s="5374"/>
      <c r="V199" s="5374"/>
      <c r="W199" s="5375"/>
      <c r="X199" s="5377" t="str">
        <f t="shared" si="46"/>
        <v/>
      </c>
      <c r="Y199" s="5378"/>
      <c r="Z199" s="5378"/>
      <c r="AA199" s="5379"/>
      <c r="AB199" s="1816"/>
      <c r="AC199" s="1818">
        <f t="shared" si="44"/>
        <v>25</v>
      </c>
      <c r="AD199" s="1807"/>
    </row>
    <row r="200" spans="1:30" s="1805" customFormat="1" ht="12" hidden="1" customHeight="1">
      <c r="A200" s="1811"/>
      <c r="B200" s="1820"/>
      <c r="C200" s="1819">
        <v>26</v>
      </c>
      <c r="D200" s="5373">
        <f t="shared" si="45"/>
        <v>0</v>
      </c>
      <c r="E200" s="5374"/>
      <c r="F200" s="5374"/>
      <c r="G200" s="5374"/>
      <c r="H200" s="5375"/>
      <c r="I200" s="5376">
        <f t="shared" si="41"/>
        <v>0</v>
      </c>
      <c r="J200" s="5374"/>
      <c r="K200" s="5374"/>
      <c r="L200" s="5374"/>
      <c r="M200" s="5375"/>
      <c r="N200" s="5376">
        <f t="shared" si="42"/>
        <v>0</v>
      </c>
      <c r="O200" s="5374"/>
      <c r="P200" s="5374"/>
      <c r="Q200" s="5374"/>
      <c r="R200" s="5375"/>
      <c r="S200" s="5376">
        <f t="shared" si="43"/>
        <v>0</v>
      </c>
      <c r="T200" s="5374"/>
      <c r="U200" s="5374"/>
      <c r="V200" s="5374"/>
      <c r="W200" s="5375"/>
      <c r="X200" s="5377" t="str">
        <f t="shared" si="46"/>
        <v/>
      </c>
      <c r="Y200" s="5378"/>
      <c r="Z200" s="5378"/>
      <c r="AA200" s="5379"/>
      <c r="AB200" s="1816"/>
      <c r="AC200" s="1818">
        <f t="shared" si="44"/>
        <v>26</v>
      </c>
      <c r="AD200" s="1807"/>
    </row>
    <row r="201" spans="1:30" s="1805" customFormat="1" ht="12" hidden="1" customHeight="1">
      <c r="A201" s="1811"/>
      <c r="B201" s="1820"/>
      <c r="C201" s="1819">
        <v>27</v>
      </c>
      <c r="D201" s="5373">
        <f t="shared" si="45"/>
        <v>0</v>
      </c>
      <c r="E201" s="5374"/>
      <c r="F201" s="5374"/>
      <c r="G201" s="5374"/>
      <c r="H201" s="5375"/>
      <c r="I201" s="5376">
        <f t="shared" si="41"/>
        <v>0</v>
      </c>
      <c r="J201" s="5374"/>
      <c r="K201" s="5374"/>
      <c r="L201" s="5374"/>
      <c r="M201" s="5375"/>
      <c r="N201" s="5376">
        <f t="shared" si="42"/>
        <v>0</v>
      </c>
      <c r="O201" s="5374"/>
      <c r="P201" s="5374"/>
      <c r="Q201" s="5374"/>
      <c r="R201" s="5375"/>
      <c r="S201" s="5376">
        <f t="shared" si="43"/>
        <v>0</v>
      </c>
      <c r="T201" s="5374"/>
      <c r="U201" s="5374"/>
      <c r="V201" s="5374"/>
      <c r="W201" s="5375"/>
      <c r="X201" s="5377" t="str">
        <f t="shared" si="46"/>
        <v/>
      </c>
      <c r="Y201" s="5378"/>
      <c r="Z201" s="5378"/>
      <c r="AA201" s="5379"/>
      <c r="AB201" s="1816"/>
      <c r="AC201" s="1818">
        <f t="shared" si="44"/>
        <v>27</v>
      </c>
      <c r="AD201" s="1807"/>
    </row>
    <row r="202" spans="1:30" s="1805" customFormat="1" ht="12" hidden="1" customHeight="1">
      <c r="A202" s="1811"/>
      <c r="B202" s="1820"/>
      <c r="C202" s="1819">
        <v>28</v>
      </c>
      <c r="D202" s="5373">
        <f t="shared" si="45"/>
        <v>0</v>
      </c>
      <c r="E202" s="5374"/>
      <c r="F202" s="5374"/>
      <c r="G202" s="5374"/>
      <c r="H202" s="5375"/>
      <c r="I202" s="5376">
        <f t="shared" si="41"/>
        <v>0</v>
      </c>
      <c r="J202" s="5374"/>
      <c r="K202" s="5374"/>
      <c r="L202" s="5374"/>
      <c r="M202" s="5375"/>
      <c r="N202" s="5376">
        <f t="shared" si="42"/>
        <v>0</v>
      </c>
      <c r="O202" s="5374"/>
      <c r="P202" s="5374"/>
      <c r="Q202" s="5374"/>
      <c r="R202" s="5375"/>
      <c r="S202" s="5376">
        <f t="shared" si="43"/>
        <v>0</v>
      </c>
      <c r="T202" s="5374"/>
      <c r="U202" s="5374"/>
      <c r="V202" s="5374"/>
      <c r="W202" s="5375"/>
      <c r="X202" s="5377" t="str">
        <f t="shared" si="46"/>
        <v/>
      </c>
      <c r="Y202" s="5378"/>
      <c r="Z202" s="5378"/>
      <c r="AA202" s="5379"/>
      <c r="AB202" s="1816"/>
      <c r="AC202" s="1818">
        <f t="shared" si="44"/>
        <v>28</v>
      </c>
      <c r="AD202" s="1807"/>
    </row>
    <row r="203" spans="1:30" s="1805" customFormat="1" ht="12" hidden="1" customHeight="1">
      <c r="A203" s="1811"/>
      <c r="B203" s="1820"/>
      <c r="C203" s="1819">
        <v>29</v>
      </c>
      <c r="D203" s="5373">
        <f t="shared" si="45"/>
        <v>0</v>
      </c>
      <c r="E203" s="5374"/>
      <c r="F203" s="5374"/>
      <c r="G203" s="5374"/>
      <c r="H203" s="5375"/>
      <c r="I203" s="5376">
        <f t="shared" si="41"/>
        <v>0</v>
      </c>
      <c r="J203" s="5374"/>
      <c r="K203" s="5374"/>
      <c r="L203" s="5374"/>
      <c r="M203" s="5375"/>
      <c r="N203" s="5376">
        <f t="shared" si="42"/>
        <v>0</v>
      </c>
      <c r="O203" s="5374"/>
      <c r="P203" s="5374"/>
      <c r="Q203" s="5374"/>
      <c r="R203" s="5375"/>
      <c r="S203" s="5376">
        <f t="shared" si="43"/>
        <v>0</v>
      </c>
      <c r="T203" s="5374"/>
      <c r="U203" s="5374"/>
      <c r="V203" s="5374"/>
      <c r="W203" s="5375"/>
      <c r="X203" s="5377" t="str">
        <f t="shared" si="46"/>
        <v/>
      </c>
      <c r="Y203" s="5378"/>
      <c r="Z203" s="5378"/>
      <c r="AA203" s="5379"/>
      <c r="AB203" s="1816"/>
      <c r="AC203" s="1818">
        <f t="shared" si="44"/>
        <v>29</v>
      </c>
      <c r="AD203" s="1807"/>
    </row>
    <row r="204" spans="1:30" s="1805" customFormat="1" ht="12" hidden="1" customHeight="1">
      <c r="A204" s="1811"/>
      <c r="B204" s="1820"/>
      <c r="C204" s="1819">
        <v>30</v>
      </c>
      <c r="D204" s="5373">
        <f t="shared" si="45"/>
        <v>0</v>
      </c>
      <c r="E204" s="5374"/>
      <c r="F204" s="5374"/>
      <c r="G204" s="5374"/>
      <c r="H204" s="5375"/>
      <c r="I204" s="5376">
        <f t="shared" si="41"/>
        <v>0</v>
      </c>
      <c r="J204" s="5374"/>
      <c r="K204" s="5374"/>
      <c r="L204" s="5374"/>
      <c r="M204" s="5375"/>
      <c r="N204" s="5376">
        <f t="shared" si="42"/>
        <v>0</v>
      </c>
      <c r="O204" s="5374"/>
      <c r="P204" s="5374"/>
      <c r="Q204" s="5374"/>
      <c r="R204" s="5375"/>
      <c r="S204" s="5376">
        <f t="shared" si="43"/>
        <v>0</v>
      </c>
      <c r="T204" s="5374"/>
      <c r="U204" s="5374"/>
      <c r="V204" s="5374"/>
      <c r="W204" s="5375"/>
      <c r="X204" s="5377" t="str">
        <f t="shared" si="46"/>
        <v/>
      </c>
      <c r="Y204" s="5378"/>
      <c r="Z204" s="5378"/>
      <c r="AA204" s="5379"/>
      <c r="AB204" s="1816"/>
      <c r="AC204" s="1818">
        <f t="shared" si="44"/>
        <v>30</v>
      </c>
      <c r="AD204" s="1807"/>
    </row>
    <row r="205" spans="1:30" s="1805" customFormat="1" ht="12" hidden="1" customHeight="1">
      <c r="A205" s="1811"/>
      <c r="B205" s="1820"/>
      <c r="C205" s="1819">
        <v>31</v>
      </c>
      <c r="D205" s="5373">
        <f t="shared" si="45"/>
        <v>0</v>
      </c>
      <c r="E205" s="5374"/>
      <c r="F205" s="5374"/>
      <c r="G205" s="5374"/>
      <c r="H205" s="5375"/>
      <c r="I205" s="5376">
        <f t="shared" si="41"/>
        <v>0</v>
      </c>
      <c r="J205" s="5374"/>
      <c r="K205" s="5374"/>
      <c r="L205" s="5374"/>
      <c r="M205" s="5375"/>
      <c r="N205" s="5376">
        <f t="shared" si="42"/>
        <v>0</v>
      </c>
      <c r="O205" s="5374"/>
      <c r="P205" s="5374"/>
      <c r="Q205" s="5374"/>
      <c r="R205" s="5375"/>
      <c r="S205" s="5376">
        <f t="shared" si="43"/>
        <v>0</v>
      </c>
      <c r="T205" s="5374"/>
      <c r="U205" s="5374"/>
      <c r="V205" s="5374"/>
      <c r="W205" s="5375"/>
      <c r="X205" s="5377" t="str">
        <f t="shared" si="46"/>
        <v/>
      </c>
      <c r="Y205" s="5378"/>
      <c r="Z205" s="5378"/>
      <c r="AA205" s="5379"/>
      <c r="AB205" s="1816"/>
      <c r="AC205" s="1818">
        <f t="shared" si="44"/>
        <v>31</v>
      </c>
      <c r="AD205" s="1807"/>
    </row>
    <row r="206" spans="1:30" s="1805" customFormat="1" ht="12" hidden="1" customHeight="1">
      <c r="A206" s="1811"/>
      <c r="B206" s="1820"/>
      <c r="C206" s="1819">
        <v>32</v>
      </c>
      <c r="D206" s="5373">
        <f t="shared" si="45"/>
        <v>0</v>
      </c>
      <c r="E206" s="5374"/>
      <c r="F206" s="5374"/>
      <c r="G206" s="5374"/>
      <c r="H206" s="5375"/>
      <c r="I206" s="5376">
        <f t="shared" si="41"/>
        <v>0</v>
      </c>
      <c r="J206" s="5374"/>
      <c r="K206" s="5374"/>
      <c r="L206" s="5374"/>
      <c r="M206" s="5375"/>
      <c r="N206" s="5376">
        <f t="shared" si="42"/>
        <v>0</v>
      </c>
      <c r="O206" s="5374"/>
      <c r="P206" s="5374"/>
      <c r="Q206" s="5374"/>
      <c r="R206" s="5375"/>
      <c r="S206" s="5376">
        <f t="shared" si="43"/>
        <v>0</v>
      </c>
      <c r="T206" s="5374"/>
      <c r="U206" s="5374"/>
      <c r="V206" s="5374"/>
      <c r="W206" s="5375"/>
      <c r="X206" s="5377" t="str">
        <f t="shared" si="46"/>
        <v/>
      </c>
      <c r="Y206" s="5378"/>
      <c r="Z206" s="5378"/>
      <c r="AA206" s="5379"/>
      <c r="AB206" s="1816"/>
      <c r="AC206" s="1818">
        <f t="shared" si="44"/>
        <v>32</v>
      </c>
      <c r="AD206" s="1807"/>
    </row>
    <row r="207" spans="1:30" s="1805" customFormat="1" ht="12" hidden="1" customHeight="1">
      <c r="A207" s="1811"/>
      <c r="B207" s="1820"/>
      <c r="C207" s="1819">
        <v>33</v>
      </c>
      <c r="D207" s="5373">
        <f t="shared" si="45"/>
        <v>0</v>
      </c>
      <c r="E207" s="5374"/>
      <c r="F207" s="5374"/>
      <c r="G207" s="5374"/>
      <c r="H207" s="5375"/>
      <c r="I207" s="5376">
        <f t="shared" si="41"/>
        <v>0</v>
      </c>
      <c r="J207" s="5374"/>
      <c r="K207" s="5374"/>
      <c r="L207" s="5374"/>
      <c r="M207" s="5375"/>
      <c r="N207" s="5376">
        <f t="shared" si="42"/>
        <v>0</v>
      </c>
      <c r="O207" s="5374"/>
      <c r="P207" s="5374"/>
      <c r="Q207" s="5374"/>
      <c r="R207" s="5375"/>
      <c r="S207" s="5376">
        <f t="shared" si="43"/>
        <v>0</v>
      </c>
      <c r="T207" s="5374"/>
      <c r="U207" s="5374"/>
      <c r="V207" s="5374"/>
      <c r="W207" s="5375"/>
      <c r="X207" s="5377" t="str">
        <f t="shared" si="46"/>
        <v/>
      </c>
      <c r="Y207" s="5378"/>
      <c r="Z207" s="5378"/>
      <c r="AA207" s="5379"/>
      <c r="AB207" s="1816"/>
      <c r="AC207" s="1818">
        <f t="shared" si="44"/>
        <v>33</v>
      </c>
      <c r="AD207" s="1807"/>
    </row>
    <row r="208" spans="1:30" s="1805" customFormat="1" ht="12" hidden="1" customHeight="1">
      <c r="A208" s="1811"/>
      <c r="B208" s="1820"/>
      <c r="C208" s="1819">
        <v>34</v>
      </c>
      <c r="D208" s="5373">
        <f t="shared" si="45"/>
        <v>0</v>
      </c>
      <c r="E208" s="5374"/>
      <c r="F208" s="5374"/>
      <c r="G208" s="5374"/>
      <c r="H208" s="5375"/>
      <c r="I208" s="5376">
        <f t="shared" si="41"/>
        <v>0</v>
      </c>
      <c r="J208" s="5374"/>
      <c r="K208" s="5374"/>
      <c r="L208" s="5374"/>
      <c r="M208" s="5375"/>
      <c r="N208" s="5376">
        <f t="shared" si="42"/>
        <v>0</v>
      </c>
      <c r="O208" s="5374"/>
      <c r="P208" s="5374"/>
      <c r="Q208" s="5374"/>
      <c r="R208" s="5375"/>
      <c r="S208" s="5376">
        <f t="shared" si="43"/>
        <v>0</v>
      </c>
      <c r="T208" s="5374"/>
      <c r="U208" s="5374"/>
      <c r="V208" s="5374"/>
      <c r="W208" s="5375"/>
      <c r="X208" s="5377" t="str">
        <f t="shared" si="46"/>
        <v/>
      </c>
      <c r="Y208" s="5378"/>
      <c r="Z208" s="5378"/>
      <c r="AA208" s="5379"/>
      <c r="AB208" s="1816"/>
      <c r="AC208" s="1818">
        <f t="shared" si="44"/>
        <v>34</v>
      </c>
      <c r="AD208" s="1807"/>
    </row>
    <row r="209" spans="1:30" s="1805" customFormat="1" ht="12" hidden="1" customHeight="1">
      <c r="A209" s="1811"/>
      <c r="B209" s="1820"/>
      <c r="C209" s="1819">
        <v>35</v>
      </c>
      <c r="D209" s="5373">
        <f t="shared" si="45"/>
        <v>0</v>
      </c>
      <c r="E209" s="5374"/>
      <c r="F209" s="5374"/>
      <c r="G209" s="5374"/>
      <c r="H209" s="5375"/>
      <c r="I209" s="5376">
        <f t="shared" si="41"/>
        <v>0</v>
      </c>
      <c r="J209" s="5374"/>
      <c r="K209" s="5374"/>
      <c r="L209" s="5374"/>
      <c r="M209" s="5375"/>
      <c r="N209" s="5376">
        <f t="shared" si="42"/>
        <v>0</v>
      </c>
      <c r="O209" s="5374"/>
      <c r="P209" s="5374"/>
      <c r="Q209" s="5374"/>
      <c r="R209" s="5375"/>
      <c r="S209" s="5376">
        <f t="shared" si="43"/>
        <v>0</v>
      </c>
      <c r="T209" s="5374"/>
      <c r="U209" s="5374"/>
      <c r="V209" s="5374"/>
      <c r="W209" s="5375"/>
      <c r="X209" s="5377" t="str">
        <f t="shared" si="46"/>
        <v/>
      </c>
      <c r="Y209" s="5378"/>
      <c r="Z209" s="5378"/>
      <c r="AA209" s="5379"/>
      <c r="AB209" s="1816"/>
      <c r="AC209" s="1818">
        <f t="shared" si="44"/>
        <v>35</v>
      </c>
      <c r="AD209" s="1807"/>
    </row>
    <row r="210" spans="1:30" s="1805" customFormat="1" ht="12" hidden="1" customHeight="1">
      <c r="A210" s="1811"/>
      <c r="B210" s="1820"/>
      <c r="C210" s="1819">
        <v>36</v>
      </c>
      <c r="D210" s="5373">
        <f t="shared" si="45"/>
        <v>0</v>
      </c>
      <c r="E210" s="5374"/>
      <c r="F210" s="5374"/>
      <c r="G210" s="5374"/>
      <c r="H210" s="5375"/>
      <c r="I210" s="5376">
        <f t="shared" si="41"/>
        <v>0</v>
      </c>
      <c r="J210" s="5374"/>
      <c r="K210" s="5374"/>
      <c r="L210" s="5374"/>
      <c r="M210" s="5375"/>
      <c r="N210" s="5376">
        <f t="shared" si="42"/>
        <v>0</v>
      </c>
      <c r="O210" s="5374"/>
      <c r="P210" s="5374"/>
      <c r="Q210" s="5374"/>
      <c r="R210" s="5375"/>
      <c r="S210" s="5376">
        <f t="shared" si="43"/>
        <v>0</v>
      </c>
      <c r="T210" s="5374"/>
      <c r="U210" s="5374"/>
      <c r="V210" s="5374"/>
      <c r="W210" s="5375"/>
      <c r="X210" s="5377" t="str">
        <f t="shared" si="46"/>
        <v/>
      </c>
      <c r="Y210" s="5378"/>
      <c r="Z210" s="5378"/>
      <c r="AA210" s="5379"/>
      <c r="AB210" s="1816"/>
      <c r="AC210" s="1818">
        <f t="shared" si="44"/>
        <v>36</v>
      </c>
      <c r="AD210" s="1807"/>
    </row>
    <row r="211" spans="1:30" s="1805" customFormat="1" ht="12" hidden="1" customHeight="1">
      <c r="A211" s="1811"/>
      <c r="B211" s="1820"/>
      <c r="C211" s="1819">
        <v>37</v>
      </c>
      <c r="D211" s="5373">
        <f t="shared" si="45"/>
        <v>0</v>
      </c>
      <c r="E211" s="5374"/>
      <c r="F211" s="5374"/>
      <c r="G211" s="5374"/>
      <c r="H211" s="5375"/>
      <c r="I211" s="5376">
        <f t="shared" si="41"/>
        <v>0</v>
      </c>
      <c r="J211" s="5374"/>
      <c r="K211" s="5374"/>
      <c r="L211" s="5374"/>
      <c r="M211" s="5375"/>
      <c r="N211" s="5376">
        <f t="shared" si="42"/>
        <v>0</v>
      </c>
      <c r="O211" s="5374"/>
      <c r="P211" s="5374"/>
      <c r="Q211" s="5374"/>
      <c r="R211" s="5375"/>
      <c r="S211" s="5376">
        <f t="shared" si="43"/>
        <v>0</v>
      </c>
      <c r="T211" s="5374"/>
      <c r="U211" s="5374"/>
      <c r="V211" s="5374"/>
      <c r="W211" s="5375"/>
      <c r="X211" s="5377" t="str">
        <f t="shared" si="46"/>
        <v/>
      </c>
      <c r="Y211" s="5378"/>
      <c r="Z211" s="5378"/>
      <c r="AA211" s="5379"/>
      <c r="AB211" s="1816"/>
      <c r="AC211" s="1818">
        <f t="shared" si="44"/>
        <v>37</v>
      </c>
      <c r="AD211" s="1807"/>
    </row>
    <row r="212" spans="1:30" s="1805" customFormat="1" ht="12" hidden="1" customHeight="1">
      <c r="A212" s="1811"/>
      <c r="B212" s="1820"/>
      <c r="C212" s="1819">
        <v>38</v>
      </c>
      <c r="D212" s="5373">
        <f t="shared" si="45"/>
        <v>0</v>
      </c>
      <c r="E212" s="5374"/>
      <c r="F212" s="5374"/>
      <c r="G212" s="5374"/>
      <c r="H212" s="5375"/>
      <c r="I212" s="5376">
        <f t="shared" si="41"/>
        <v>0</v>
      </c>
      <c r="J212" s="5374"/>
      <c r="K212" s="5374"/>
      <c r="L212" s="5374"/>
      <c r="M212" s="5375"/>
      <c r="N212" s="5376">
        <f t="shared" si="42"/>
        <v>0</v>
      </c>
      <c r="O212" s="5374"/>
      <c r="P212" s="5374"/>
      <c r="Q212" s="5374"/>
      <c r="R212" s="5375"/>
      <c r="S212" s="5376">
        <f t="shared" si="43"/>
        <v>0</v>
      </c>
      <c r="T212" s="5374"/>
      <c r="U212" s="5374"/>
      <c r="V212" s="5374"/>
      <c r="W212" s="5375"/>
      <c r="X212" s="5377" t="str">
        <f t="shared" si="46"/>
        <v/>
      </c>
      <c r="Y212" s="5378"/>
      <c r="Z212" s="5378"/>
      <c r="AA212" s="5379"/>
      <c r="AB212" s="1816"/>
      <c r="AC212" s="1818">
        <f t="shared" si="44"/>
        <v>38</v>
      </c>
      <c r="AD212" s="1807"/>
    </row>
    <row r="213" spans="1:30" s="1805" customFormat="1" ht="12" hidden="1" customHeight="1">
      <c r="A213" s="1811"/>
      <c r="B213" s="1820"/>
      <c r="C213" s="1819">
        <v>39</v>
      </c>
      <c r="D213" s="5373">
        <f t="shared" si="45"/>
        <v>0</v>
      </c>
      <c r="E213" s="5374"/>
      <c r="F213" s="5374"/>
      <c r="G213" s="5374"/>
      <c r="H213" s="5375"/>
      <c r="I213" s="5376">
        <f t="shared" si="41"/>
        <v>0</v>
      </c>
      <c r="J213" s="5374"/>
      <c r="K213" s="5374"/>
      <c r="L213" s="5374"/>
      <c r="M213" s="5375"/>
      <c r="N213" s="5376">
        <f t="shared" si="42"/>
        <v>0</v>
      </c>
      <c r="O213" s="5374"/>
      <c r="P213" s="5374"/>
      <c r="Q213" s="5374"/>
      <c r="R213" s="5375"/>
      <c r="S213" s="5376">
        <f t="shared" si="43"/>
        <v>0</v>
      </c>
      <c r="T213" s="5374"/>
      <c r="U213" s="5374"/>
      <c r="V213" s="5374"/>
      <c r="W213" s="5375"/>
      <c r="X213" s="5377" t="str">
        <f t="shared" si="46"/>
        <v/>
      </c>
      <c r="Y213" s="5378"/>
      <c r="Z213" s="5378"/>
      <c r="AA213" s="5379"/>
      <c r="AB213" s="1816"/>
      <c r="AC213" s="1818">
        <f t="shared" si="44"/>
        <v>39</v>
      </c>
      <c r="AD213" s="1807"/>
    </row>
    <row r="214" spans="1:30" s="1805" customFormat="1" ht="12" hidden="1" customHeight="1" thickBot="1">
      <c r="A214" s="1811"/>
      <c r="B214" s="1820"/>
      <c r="C214" s="1819">
        <v>40</v>
      </c>
      <c r="D214" s="5416">
        <f t="shared" si="45"/>
        <v>0</v>
      </c>
      <c r="E214" s="5417"/>
      <c r="F214" s="5417"/>
      <c r="G214" s="5417"/>
      <c r="H214" s="5418"/>
      <c r="I214" s="5419">
        <f t="shared" si="41"/>
        <v>0</v>
      </c>
      <c r="J214" s="5417"/>
      <c r="K214" s="5417"/>
      <c r="L214" s="5417"/>
      <c r="M214" s="5418"/>
      <c r="N214" s="5419">
        <f t="shared" si="42"/>
        <v>0</v>
      </c>
      <c r="O214" s="5417"/>
      <c r="P214" s="5417"/>
      <c r="Q214" s="5417"/>
      <c r="R214" s="5418"/>
      <c r="S214" s="5419">
        <f t="shared" si="43"/>
        <v>0</v>
      </c>
      <c r="T214" s="5417"/>
      <c r="U214" s="5417"/>
      <c r="V214" s="5417"/>
      <c r="W214" s="5418"/>
      <c r="X214" s="5420" t="str">
        <f t="shared" si="46"/>
        <v/>
      </c>
      <c r="Y214" s="5421"/>
      <c r="Z214" s="5421"/>
      <c r="AA214" s="5422"/>
      <c r="AB214" s="1816"/>
      <c r="AC214" s="1818">
        <f t="shared" si="44"/>
        <v>40</v>
      </c>
      <c r="AD214" s="1807"/>
    </row>
    <row r="215" spans="1:30" s="1805" customFormat="1" ht="12" hidden="1" customHeight="1">
      <c r="A215" s="1811"/>
      <c r="B215" s="1820"/>
      <c r="C215" s="1825"/>
      <c r="D215" s="1813"/>
      <c r="E215" s="1825"/>
      <c r="F215" s="1825"/>
      <c r="G215" s="1825"/>
      <c r="H215" s="1825"/>
      <c r="I215" s="1813"/>
      <c r="J215" s="1825"/>
      <c r="K215" s="1825"/>
      <c r="L215" s="1825"/>
      <c r="M215" s="1825"/>
      <c r="N215" s="1813"/>
      <c r="O215" s="1825"/>
      <c r="P215" s="1825"/>
      <c r="Q215" s="1825"/>
      <c r="R215" s="1825"/>
      <c r="S215" s="1813"/>
      <c r="T215" s="1825"/>
      <c r="U215" s="1825"/>
      <c r="V215" s="1825"/>
      <c r="W215" s="1825"/>
      <c r="X215" s="1813"/>
      <c r="Y215" s="1813"/>
      <c r="Z215" s="1813"/>
      <c r="AA215" s="1813"/>
      <c r="AB215" s="1813"/>
      <c r="AC215" s="1822"/>
      <c r="AD215" s="1807"/>
    </row>
    <row r="216" spans="1:30" s="1805" customFormat="1" ht="12" hidden="1" customHeight="1">
      <c r="A216" s="1811"/>
      <c r="B216" s="1820"/>
      <c r="C216" s="1825"/>
      <c r="D216" s="1830" t="str">
        <f>IF(E216="","","Ａ=")</f>
        <v>Ａ=</v>
      </c>
      <c r="E216" s="5423">
        <f>E118</f>
        <v>0</v>
      </c>
      <c r="F216" s="5424"/>
      <c r="G216" s="5424"/>
      <c r="H216" s="5425"/>
      <c r="I216" s="1825"/>
      <c r="J216" s="1830" t="str">
        <f>IF(K216="","","Ｂ=")</f>
        <v>Ｂ=</v>
      </c>
      <c r="K216" s="5423">
        <f>K118</f>
        <v>0</v>
      </c>
      <c r="L216" s="5424"/>
      <c r="M216" s="5424"/>
      <c r="N216" s="5425"/>
      <c r="O216" s="1825"/>
      <c r="P216" s="1830" t="str">
        <f>IF(Q216="","","Ｃ=")</f>
        <v>Ｃ=</v>
      </c>
      <c r="Q216" s="5423">
        <f>Q118</f>
        <v>0</v>
      </c>
      <c r="R216" s="5424"/>
      <c r="S216" s="5424"/>
      <c r="T216" s="5425"/>
      <c r="U216" s="1825"/>
      <c r="V216" s="1830" t="str">
        <f>IF(W216="","","Ｄ=")</f>
        <v>Ｄ=</v>
      </c>
      <c r="W216" s="5423">
        <f>W118</f>
        <v>0</v>
      </c>
      <c r="X216" s="5424"/>
      <c r="Y216" s="5424"/>
      <c r="Z216" s="5424"/>
      <c r="AA216" s="5425"/>
      <c r="AB216" s="1829"/>
      <c r="AC216" s="1822"/>
      <c r="AD216" s="1807"/>
    </row>
    <row r="217" spans="1:30" s="1805" customFormat="1" ht="12" hidden="1" customHeight="1" thickBot="1">
      <c r="A217" s="1811"/>
      <c r="B217" s="1820"/>
      <c r="C217" s="1825"/>
      <c r="D217" s="1828"/>
      <c r="E217" s="1825"/>
      <c r="F217" s="1825"/>
      <c r="G217" s="1813"/>
      <c r="H217" s="1813"/>
      <c r="I217" s="1821"/>
      <c r="J217" s="1813"/>
      <c r="K217" s="1813"/>
      <c r="L217" s="1825"/>
      <c r="M217" s="1825"/>
      <c r="N217" s="1828"/>
      <c r="O217" s="1825"/>
      <c r="P217" s="1813"/>
      <c r="Q217" s="1813"/>
      <c r="R217" s="1813"/>
      <c r="S217" s="1821"/>
      <c r="T217" s="1813"/>
      <c r="U217" s="1825"/>
      <c r="V217" s="1825"/>
      <c r="W217" s="1813"/>
      <c r="X217" s="1821"/>
      <c r="Y217" s="1821"/>
      <c r="Z217" s="1821"/>
      <c r="AA217" s="1821"/>
      <c r="AB217" s="1821"/>
      <c r="AC217" s="1822"/>
      <c r="AD217" s="1807"/>
    </row>
    <row r="218" spans="1:30" s="1805" customFormat="1" ht="12" hidden="1" customHeight="1" thickBot="1">
      <c r="A218" s="1811"/>
      <c r="B218" s="1820"/>
      <c r="C218" s="1825"/>
      <c r="D218" s="1825"/>
      <c r="E218" s="1825"/>
      <c r="F218" s="1827" t="str">
        <f>IF(E216="","",IF(AND(E216&gt;0,K216^2-3*E216*Q216&gt;=0),"Ｘ1（極大値）＝",IF(AND(E216&lt;0,K216^2-3*E216*Q216&gt;=0),"Ｘ1（極小値）＝",IF(AND(E216&gt;0,K216^2-3*E216*Q216&lt;0),"Ｘ1（虚大値）＝",IF(AND(E216&lt;0,K216^2-3*E216*Q216&lt;0),"Ｘ1（虚小値）＝","")))))</f>
        <v/>
      </c>
      <c r="G218" s="5400" t="str">
        <f>IF($E$118="","",IF(E216&gt;0,(-$K$118-SQRT(ABS($K$118^2-3*$E$118*$Q$118)))/(3*$E$118),(-$K$118+SQRT(ABS($K$118^2-3*$E$118*$Q$118)))/(3*$E$118)))</f>
        <v/>
      </c>
      <c r="H218" s="5401"/>
      <c r="I218" s="5401"/>
      <c r="J218" s="5401"/>
      <c r="K218" s="5402"/>
      <c r="L218" s="1825"/>
      <c r="M218" s="1825"/>
      <c r="N218" s="1825"/>
      <c r="O218" s="1827" t="str">
        <f>IF(E216="","",IF(AND(E216&gt;0,K216^2-3*E216*Q216&gt;=0),"Ｘ2（極小値）＝",IF(AND(E216&lt;0,K216^2-3*E216*Q216&gt;=0),"Ｘ2（極大値）＝",IF(AND(E216&gt;0,K216^2-3*E216*Q216&lt;0),"Ｘ2（虚小値）＝",IF(AND(E216&lt;0,K216^2-3*E216*Q216&lt;0),"Ｘ2（虚大値）＝","")))))</f>
        <v/>
      </c>
      <c r="P218" s="5400" t="str">
        <f>IF($E$118="","",IF(E216&gt;0,(-$K$118+SQRT(ABS($K$118^2-3*$E$118*$Q$118)))/(3*$E$118),(-$K$118-SQRT(ABS($K$118^2-3*$E$118*$Q$118)))/(3*$E$118)))</f>
        <v/>
      </c>
      <c r="Q218" s="5401"/>
      <c r="R218" s="5401"/>
      <c r="S218" s="5401"/>
      <c r="T218" s="5402"/>
      <c r="U218" s="1825"/>
      <c r="V218" s="1827" t="str">
        <f>IF(W218="","","Ｘo＝")</f>
        <v/>
      </c>
      <c r="W218" s="5400" t="str">
        <f>IF($E$118="","",-$K$118/(3*$E$118))</f>
        <v/>
      </c>
      <c r="X218" s="5401"/>
      <c r="Y218" s="5401"/>
      <c r="Z218" s="5401"/>
      <c r="AA218" s="5402"/>
      <c r="AB218" s="1826"/>
      <c r="AC218" s="1822"/>
      <c r="AD218" s="1807"/>
    </row>
    <row r="219" spans="1:30" s="1805" customFormat="1" ht="12" hidden="1" customHeight="1" thickTop="1" thickBot="1">
      <c r="A219" s="1811"/>
      <c r="B219" s="1820"/>
      <c r="C219" s="1825"/>
      <c r="D219" s="1825"/>
      <c r="E219" s="1825"/>
      <c r="F219" s="1827" t="str">
        <f>IF(G219="","","ｆ (Ｘ1)＝")</f>
        <v/>
      </c>
      <c r="G219" s="5403" t="str">
        <f>IF($G$120="","",$E$118*$G$120^3+$K$118*$G$120^2+$Q$118*$G$120+$W$118)</f>
        <v/>
      </c>
      <c r="H219" s="5404"/>
      <c r="I219" s="5404"/>
      <c r="J219" s="5404"/>
      <c r="K219" s="5405"/>
      <c r="L219" s="1825"/>
      <c r="M219" s="1825"/>
      <c r="N219" s="1825"/>
      <c r="O219" s="1827" t="str">
        <f>IF(P219="","","ｆ (Ｘ2)＝")</f>
        <v/>
      </c>
      <c r="P219" s="5403" t="str">
        <f>IF($P$120="","",$E$118*$P$120^3+$K$118*$P$120^2+$Q$118*$P$120+$W$118)</f>
        <v/>
      </c>
      <c r="Q219" s="5404"/>
      <c r="R219" s="5404"/>
      <c r="S219" s="5404"/>
      <c r="T219" s="5405"/>
      <c r="U219" s="1825"/>
      <c r="V219" s="1827" t="str">
        <f>IF(W219="","","ｆ(Ｘo)＝")</f>
        <v/>
      </c>
      <c r="W219" s="5403" t="str">
        <f>IF($E$118="","",$E$118*$W$120^3+$K$118*$W$120^2+$Q$118*$W$120+$W$118)</f>
        <v/>
      </c>
      <c r="X219" s="5404"/>
      <c r="Y219" s="5404"/>
      <c r="Z219" s="5404"/>
      <c r="AA219" s="5405"/>
      <c r="AB219" s="1826"/>
      <c r="AC219" s="1822"/>
      <c r="AD219" s="1807"/>
    </row>
    <row r="220" spans="1:30" s="1805" customFormat="1" ht="12" hidden="1" customHeight="1" thickBot="1">
      <c r="A220" s="1811"/>
      <c r="B220" s="1820"/>
      <c r="C220" s="1825"/>
      <c r="D220" s="1821"/>
      <c r="E220" s="1824"/>
      <c r="F220" s="1821"/>
      <c r="G220" s="1821"/>
      <c r="H220" s="1821"/>
      <c r="I220" s="1821"/>
      <c r="J220" s="1821"/>
      <c r="K220" s="1821"/>
      <c r="L220" s="1821"/>
      <c r="M220" s="1821"/>
      <c r="N220" s="1821"/>
      <c r="O220" s="1821"/>
      <c r="P220" s="1821"/>
      <c r="Q220" s="1821"/>
      <c r="R220" s="1821"/>
      <c r="S220" s="1821"/>
      <c r="T220" s="1821"/>
      <c r="U220" s="1821"/>
      <c r="V220" s="1821"/>
      <c r="W220" s="1821"/>
      <c r="X220" s="1821"/>
      <c r="Y220" s="1821"/>
      <c r="Z220" s="1821"/>
      <c r="AA220" s="1821"/>
      <c r="AB220" s="1821"/>
      <c r="AC220" s="1822"/>
      <c r="AD220" s="1807"/>
    </row>
    <row r="221" spans="1:30" s="1805" customFormat="1" ht="12" hidden="1" customHeight="1" thickBot="1">
      <c r="A221" s="1811"/>
      <c r="B221" s="5406" t="s">
        <v>2035</v>
      </c>
      <c r="C221" s="5407"/>
      <c r="D221" s="5408" t="s">
        <v>2034</v>
      </c>
      <c r="E221" s="5409"/>
      <c r="F221" s="5409"/>
      <c r="G221" s="5409"/>
      <c r="H221" s="5410"/>
      <c r="I221" s="5411" t="s">
        <v>2033</v>
      </c>
      <c r="J221" s="5409"/>
      <c r="K221" s="5409"/>
      <c r="L221" s="5409"/>
      <c r="M221" s="5410"/>
      <c r="N221" s="5411" t="s">
        <v>2032</v>
      </c>
      <c r="O221" s="5409"/>
      <c r="P221" s="5409"/>
      <c r="Q221" s="5409"/>
      <c r="R221" s="5410"/>
      <c r="S221" s="5412" t="s">
        <v>2031</v>
      </c>
      <c r="T221" s="5409"/>
      <c r="U221" s="5409"/>
      <c r="V221" s="5409"/>
      <c r="W221" s="5410"/>
      <c r="X221" s="5413" t="str">
        <f>IF(E216="","","収束回数")</f>
        <v>収束回数</v>
      </c>
      <c r="Y221" s="5414"/>
      <c r="Z221" s="5414"/>
      <c r="AA221" s="5415"/>
      <c r="AB221" s="1823"/>
      <c r="AC221" s="1822"/>
      <c r="AD221" s="1807"/>
    </row>
    <row r="222" spans="1:30" s="1805" customFormat="1" ht="12" hidden="1" customHeight="1">
      <c r="A222" s="1811"/>
      <c r="B222" s="1820"/>
      <c r="C222" s="1819">
        <v>1</v>
      </c>
      <c r="D222" s="5391" t="str">
        <f>IF(OR(E216="",AND(K216=0,Q216=0,W216=0)),"",IF(P219=0,0,IF(OR(AND(E216&gt;0,P219&lt;0,(K216^2-3*E216*Q216)&gt;=0),AND(E216&lt;0,P219&gt;0,(K216^2-3*E216*Q216)&gt;=0),AND(E216&gt;0,P219&lt;0,(K216^2-3*E216*Q216)&lt;=0),AND(E216&lt;0,P219&gt;0,(K216^2-3*E216*Q216)&lt;=0)),P218+10^-2,"")))</f>
        <v/>
      </c>
      <c r="E222" s="5392"/>
      <c r="F222" s="5392"/>
      <c r="G222" s="5392"/>
      <c r="H222" s="5393"/>
      <c r="I222" s="5394">
        <f t="shared" ref="I222:I261" si="47">IF(OR($E$216="",$D$222=""),0,$E$216*D222^3+$K$216*D222^2+$Q$216*D222+$W$216)</f>
        <v>0</v>
      </c>
      <c r="J222" s="5395"/>
      <c r="K222" s="5395"/>
      <c r="L222" s="5395"/>
      <c r="M222" s="5396"/>
      <c r="N222" s="5394">
        <f t="shared" ref="N222:N261" si="48">IF(OR($E$216="",$D$222=""),0,3*$E$216*D222^2+2*$K$216*D222+$Q$216)</f>
        <v>0</v>
      </c>
      <c r="O222" s="5395"/>
      <c r="P222" s="5395"/>
      <c r="Q222" s="5395"/>
      <c r="R222" s="5396"/>
      <c r="S222" s="5394">
        <f t="shared" ref="S222:S261" si="49">IF(OR(D222=0,D222="",N222=0,N222=""),0,D222-I222/N222)</f>
        <v>0</v>
      </c>
      <c r="T222" s="5395"/>
      <c r="U222" s="5395"/>
      <c r="V222" s="5395"/>
      <c r="W222" s="5396"/>
      <c r="X222" s="5397"/>
      <c r="Y222" s="5398"/>
      <c r="Z222" s="5398"/>
      <c r="AA222" s="5399"/>
      <c r="AB222" s="1821"/>
      <c r="AC222" s="1818">
        <f t="shared" ref="AC222:AC261" si="50">IF(ABS(I222)&lt;10^-10,AC221+1,1)</f>
        <v>1</v>
      </c>
      <c r="AD222" s="1807"/>
    </row>
    <row r="223" spans="1:30" s="1805" customFormat="1" ht="12" hidden="1" customHeight="1">
      <c r="A223" s="1811"/>
      <c r="B223" s="1820"/>
      <c r="C223" s="1819">
        <v>2</v>
      </c>
      <c r="D223" s="5387">
        <f t="shared" ref="D223:D261" si="51">S222</f>
        <v>0</v>
      </c>
      <c r="E223" s="5388"/>
      <c r="F223" s="5388"/>
      <c r="G223" s="5388"/>
      <c r="H223" s="5389"/>
      <c r="I223" s="5390">
        <f t="shared" si="47"/>
        <v>0</v>
      </c>
      <c r="J223" s="5388"/>
      <c r="K223" s="5388"/>
      <c r="L223" s="5388"/>
      <c r="M223" s="5389"/>
      <c r="N223" s="5390">
        <f t="shared" si="48"/>
        <v>0</v>
      </c>
      <c r="O223" s="5388"/>
      <c r="P223" s="5388"/>
      <c r="Q223" s="5388"/>
      <c r="R223" s="5389"/>
      <c r="S223" s="5390">
        <f t="shared" si="49"/>
        <v>0</v>
      </c>
      <c r="T223" s="5388"/>
      <c r="U223" s="5388"/>
      <c r="V223" s="5388"/>
      <c r="W223" s="5389"/>
      <c r="X223" s="5377" t="str">
        <f t="shared" ref="X223:X261" si="52">IF(I223="","",IF(AND(ABS(I223)&lt;10^-10,AC222=1,AC223-AC222&lt;&gt;0),C223&amp;"回 収束完了",""))</f>
        <v>2回 収束完了</v>
      </c>
      <c r="Y223" s="5378"/>
      <c r="Z223" s="5378"/>
      <c r="AA223" s="5379"/>
      <c r="AB223" s="1816"/>
      <c r="AC223" s="1818">
        <f t="shared" si="50"/>
        <v>2</v>
      </c>
      <c r="AD223" s="1807"/>
    </row>
    <row r="224" spans="1:30" s="1805" customFormat="1" ht="12" hidden="1" customHeight="1">
      <c r="A224" s="1811"/>
      <c r="B224" s="1820"/>
      <c r="C224" s="1819">
        <v>3</v>
      </c>
      <c r="D224" s="5387">
        <f t="shared" si="51"/>
        <v>0</v>
      </c>
      <c r="E224" s="5388"/>
      <c r="F224" s="5388"/>
      <c r="G224" s="5388"/>
      <c r="H224" s="5389"/>
      <c r="I224" s="5390">
        <f t="shared" si="47"/>
        <v>0</v>
      </c>
      <c r="J224" s="5388"/>
      <c r="K224" s="5388"/>
      <c r="L224" s="5388"/>
      <c r="M224" s="5389"/>
      <c r="N224" s="5390">
        <f t="shared" si="48"/>
        <v>0</v>
      </c>
      <c r="O224" s="5388"/>
      <c r="P224" s="5388"/>
      <c r="Q224" s="5388"/>
      <c r="R224" s="5389"/>
      <c r="S224" s="5390">
        <f t="shared" si="49"/>
        <v>0</v>
      </c>
      <c r="T224" s="5388"/>
      <c r="U224" s="5388"/>
      <c r="V224" s="5388"/>
      <c r="W224" s="5389"/>
      <c r="X224" s="5377" t="str">
        <f t="shared" si="52"/>
        <v/>
      </c>
      <c r="Y224" s="5378"/>
      <c r="Z224" s="5378"/>
      <c r="AA224" s="5379"/>
      <c r="AB224" s="1816"/>
      <c r="AC224" s="1818">
        <f t="shared" si="50"/>
        <v>3</v>
      </c>
      <c r="AD224" s="1807"/>
    </row>
    <row r="225" spans="1:30" s="1805" customFormat="1" ht="12" hidden="1" customHeight="1">
      <c r="A225" s="1811"/>
      <c r="B225" s="1820"/>
      <c r="C225" s="1819">
        <v>4</v>
      </c>
      <c r="D225" s="5387">
        <f t="shared" si="51"/>
        <v>0</v>
      </c>
      <c r="E225" s="5388"/>
      <c r="F225" s="5388"/>
      <c r="G225" s="5388"/>
      <c r="H225" s="5389"/>
      <c r="I225" s="5390">
        <f t="shared" si="47"/>
        <v>0</v>
      </c>
      <c r="J225" s="5388"/>
      <c r="K225" s="5388"/>
      <c r="L225" s="5388"/>
      <c r="M225" s="5389"/>
      <c r="N225" s="5390">
        <f t="shared" si="48"/>
        <v>0</v>
      </c>
      <c r="O225" s="5388"/>
      <c r="P225" s="5388"/>
      <c r="Q225" s="5388"/>
      <c r="R225" s="5389"/>
      <c r="S225" s="5390">
        <f t="shared" si="49"/>
        <v>0</v>
      </c>
      <c r="T225" s="5388"/>
      <c r="U225" s="5388"/>
      <c r="V225" s="5388"/>
      <c r="W225" s="5389"/>
      <c r="X225" s="5377" t="str">
        <f t="shared" si="52"/>
        <v/>
      </c>
      <c r="Y225" s="5378"/>
      <c r="Z225" s="5378"/>
      <c r="AA225" s="5379"/>
      <c r="AB225" s="1816"/>
      <c r="AC225" s="1818">
        <f t="shared" si="50"/>
        <v>4</v>
      </c>
      <c r="AD225" s="1807"/>
    </row>
    <row r="226" spans="1:30" s="1805" customFormat="1" ht="12" hidden="1" customHeight="1">
      <c r="A226" s="1811"/>
      <c r="B226" s="1820"/>
      <c r="C226" s="1819">
        <v>5</v>
      </c>
      <c r="D226" s="5387">
        <f t="shared" si="51"/>
        <v>0</v>
      </c>
      <c r="E226" s="5388"/>
      <c r="F226" s="5388"/>
      <c r="G226" s="5388"/>
      <c r="H226" s="5389"/>
      <c r="I226" s="5390">
        <f t="shared" si="47"/>
        <v>0</v>
      </c>
      <c r="J226" s="5388"/>
      <c r="K226" s="5388"/>
      <c r="L226" s="5388"/>
      <c r="M226" s="5389"/>
      <c r="N226" s="5390">
        <f t="shared" si="48"/>
        <v>0</v>
      </c>
      <c r="O226" s="5388"/>
      <c r="P226" s="5388"/>
      <c r="Q226" s="5388"/>
      <c r="R226" s="5389"/>
      <c r="S226" s="5390">
        <f t="shared" si="49"/>
        <v>0</v>
      </c>
      <c r="T226" s="5388"/>
      <c r="U226" s="5388"/>
      <c r="V226" s="5388"/>
      <c r="W226" s="5389"/>
      <c r="X226" s="5377" t="str">
        <f t="shared" si="52"/>
        <v/>
      </c>
      <c r="Y226" s="5378"/>
      <c r="Z226" s="5378"/>
      <c r="AA226" s="5379"/>
      <c r="AB226" s="1816"/>
      <c r="AC226" s="1818">
        <f t="shared" si="50"/>
        <v>5</v>
      </c>
      <c r="AD226" s="1807"/>
    </row>
    <row r="227" spans="1:30" s="1805" customFormat="1" ht="12" hidden="1" customHeight="1">
      <c r="A227" s="1811"/>
      <c r="B227" s="1820"/>
      <c r="C227" s="1819">
        <v>6</v>
      </c>
      <c r="D227" s="5387">
        <f t="shared" si="51"/>
        <v>0</v>
      </c>
      <c r="E227" s="5388"/>
      <c r="F227" s="5388"/>
      <c r="G227" s="5388"/>
      <c r="H227" s="5389"/>
      <c r="I227" s="5390">
        <f t="shared" si="47"/>
        <v>0</v>
      </c>
      <c r="J227" s="5388"/>
      <c r="K227" s="5388"/>
      <c r="L227" s="5388"/>
      <c r="M227" s="5389"/>
      <c r="N227" s="5390">
        <f t="shared" si="48"/>
        <v>0</v>
      </c>
      <c r="O227" s="5388"/>
      <c r="P227" s="5388"/>
      <c r="Q227" s="5388"/>
      <c r="R227" s="5389"/>
      <c r="S227" s="5390">
        <f t="shared" si="49"/>
        <v>0</v>
      </c>
      <c r="T227" s="5388"/>
      <c r="U227" s="5388"/>
      <c r="V227" s="5388"/>
      <c r="W227" s="5389"/>
      <c r="X227" s="5377" t="str">
        <f t="shared" si="52"/>
        <v/>
      </c>
      <c r="Y227" s="5378"/>
      <c r="Z227" s="5378"/>
      <c r="AA227" s="5379"/>
      <c r="AB227" s="1816"/>
      <c r="AC227" s="1818">
        <f t="shared" si="50"/>
        <v>6</v>
      </c>
      <c r="AD227" s="1807"/>
    </row>
    <row r="228" spans="1:30" s="1805" customFormat="1" ht="12" hidden="1" customHeight="1">
      <c r="A228" s="1811"/>
      <c r="B228" s="1820"/>
      <c r="C228" s="1819">
        <v>7</v>
      </c>
      <c r="D228" s="5387">
        <f t="shared" si="51"/>
        <v>0</v>
      </c>
      <c r="E228" s="5388"/>
      <c r="F228" s="5388"/>
      <c r="G228" s="5388"/>
      <c r="H228" s="5389"/>
      <c r="I228" s="5390">
        <f t="shared" si="47"/>
        <v>0</v>
      </c>
      <c r="J228" s="5388"/>
      <c r="K228" s="5388"/>
      <c r="L228" s="5388"/>
      <c r="M228" s="5389"/>
      <c r="N228" s="5390">
        <f t="shared" si="48"/>
        <v>0</v>
      </c>
      <c r="O228" s="5388"/>
      <c r="P228" s="5388"/>
      <c r="Q228" s="5388"/>
      <c r="R228" s="5389"/>
      <c r="S228" s="5390">
        <f t="shared" si="49"/>
        <v>0</v>
      </c>
      <c r="T228" s="5388"/>
      <c r="U228" s="5388"/>
      <c r="V228" s="5388"/>
      <c r="W228" s="5389"/>
      <c r="X228" s="5377" t="str">
        <f t="shared" si="52"/>
        <v/>
      </c>
      <c r="Y228" s="5378"/>
      <c r="Z228" s="5378"/>
      <c r="AA228" s="5379"/>
      <c r="AB228" s="1816"/>
      <c r="AC228" s="1818">
        <f t="shared" si="50"/>
        <v>7</v>
      </c>
      <c r="AD228" s="1807"/>
    </row>
    <row r="229" spans="1:30" s="1805" customFormat="1" ht="12" hidden="1" customHeight="1">
      <c r="A229" s="1811"/>
      <c r="B229" s="1820"/>
      <c r="C229" s="1819">
        <v>8</v>
      </c>
      <c r="D229" s="5387">
        <f t="shared" si="51"/>
        <v>0</v>
      </c>
      <c r="E229" s="5388"/>
      <c r="F229" s="5388"/>
      <c r="G229" s="5388"/>
      <c r="H229" s="5389"/>
      <c r="I229" s="5390">
        <f t="shared" si="47"/>
        <v>0</v>
      </c>
      <c r="J229" s="5388"/>
      <c r="K229" s="5388"/>
      <c r="L229" s="5388"/>
      <c r="M229" s="5389"/>
      <c r="N229" s="5390">
        <f t="shared" si="48"/>
        <v>0</v>
      </c>
      <c r="O229" s="5388"/>
      <c r="P229" s="5388"/>
      <c r="Q229" s="5388"/>
      <c r="R229" s="5389"/>
      <c r="S229" s="5390">
        <f t="shared" si="49"/>
        <v>0</v>
      </c>
      <c r="T229" s="5388"/>
      <c r="U229" s="5388"/>
      <c r="V229" s="5388"/>
      <c r="W229" s="5389"/>
      <c r="X229" s="5377" t="str">
        <f t="shared" si="52"/>
        <v/>
      </c>
      <c r="Y229" s="5378"/>
      <c r="Z229" s="5378"/>
      <c r="AA229" s="5379"/>
      <c r="AB229" s="1816"/>
      <c r="AC229" s="1818">
        <f t="shared" si="50"/>
        <v>8</v>
      </c>
      <c r="AD229" s="1807"/>
    </row>
    <row r="230" spans="1:30" s="1805" customFormat="1" ht="12" hidden="1" customHeight="1">
      <c r="A230" s="1811"/>
      <c r="B230" s="1820"/>
      <c r="C230" s="1819">
        <v>9</v>
      </c>
      <c r="D230" s="5387">
        <f t="shared" si="51"/>
        <v>0</v>
      </c>
      <c r="E230" s="5388"/>
      <c r="F230" s="5388"/>
      <c r="G230" s="5388"/>
      <c r="H230" s="5389"/>
      <c r="I230" s="5390">
        <f t="shared" si="47"/>
        <v>0</v>
      </c>
      <c r="J230" s="5388"/>
      <c r="K230" s="5388"/>
      <c r="L230" s="5388"/>
      <c r="M230" s="5389"/>
      <c r="N230" s="5390">
        <f t="shared" si="48"/>
        <v>0</v>
      </c>
      <c r="O230" s="5388"/>
      <c r="P230" s="5388"/>
      <c r="Q230" s="5388"/>
      <c r="R230" s="5389"/>
      <c r="S230" s="5390">
        <f t="shared" si="49"/>
        <v>0</v>
      </c>
      <c r="T230" s="5388"/>
      <c r="U230" s="5388"/>
      <c r="V230" s="5388"/>
      <c r="W230" s="5389"/>
      <c r="X230" s="5377" t="str">
        <f t="shared" si="52"/>
        <v/>
      </c>
      <c r="Y230" s="5378"/>
      <c r="Z230" s="5378"/>
      <c r="AA230" s="5379"/>
      <c r="AB230" s="1816"/>
      <c r="AC230" s="1818">
        <f t="shared" si="50"/>
        <v>9</v>
      </c>
      <c r="AD230" s="1807"/>
    </row>
    <row r="231" spans="1:30" s="1805" customFormat="1" ht="12" hidden="1" customHeight="1">
      <c r="A231" s="1811"/>
      <c r="B231" s="1820"/>
      <c r="C231" s="1819">
        <v>10</v>
      </c>
      <c r="D231" s="5387">
        <f t="shared" si="51"/>
        <v>0</v>
      </c>
      <c r="E231" s="5388"/>
      <c r="F231" s="5388"/>
      <c r="G231" s="5388"/>
      <c r="H231" s="5389"/>
      <c r="I231" s="5390">
        <f t="shared" si="47"/>
        <v>0</v>
      </c>
      <c r="J231" s="5388"/>
      <c r="K231" s="5388"/>
      <c r="L231" s="5388"/>
      <c r="M231" s="5389"/>
      <c r="N231" s="5390">
        <f t="shared" si="48"/>
        <v>0</v>
      </c>
      <c r="O231" s="5388"/>
      <c r="P231" s="5388"/>
      <c r="Q231" s="5388"/>
      <c r="R231" s="5389"/>
      <c r="S231" s="5390">
        <f t="shared" si="49"/>
        <v>0</v>
      </c>
      <c r="T231" s="5388"/>
      <c r="U231" s="5388"/>
      <c r="V231" s="5388"/>
      <c r="W231" s="5389"/>
      <c r="X231" s="5377" t="str">
        <f t="shared" si="52"/>
        <v/>
      </c>
      <c r="Y231" s="5378"/>
      <c r="Z231" s="5378"/>
      <c r="AA231" s="5379"/>
      <c r="AB231" s="1816"/>
      <c r="AC231" s="1818">
        <f t="shared" si="50"/>
        <v>10</v>
      </c>
      <c r="AD231" s="1807"/>
    </row>
    <row r="232" spans="1:30" s="1805" customFormat="1" ht="12" hidden="1" customHeight="1">
      <c r="A232" s="1811"/>
      <c r="B232" s="1820"/>
      <c r="C232" s="1819">
        <v>11</v>
      </c>
      <c r="D232" s="5373">
        <f t="shared" si="51"/>
        <v>0</v>
      </c>
      <c r="E232" s="5374"/>
      <c r="F232" s="5374"/>
      <c r="G232" s="5374"/>
      <c r="H232" s="5375"/>
      <c r="I232" s="5376">
        <f t="shared" si="47"/>
        <v>0</v>
      </c>
      <c r="J232" s="5374"/>
      <c r="K232" s="5374"/>
      <c r="L232" s="5374"/>
      <c r="M232" s="5375"/>
      <c r="N232" s="5376">
        <f t="shared" si="48"/>
        <v>0</v>
      </c>
      <c r="O232" s="5374"/>
      <c r="P232" s="5374"/>
      <c r="Q232" s="5374"/>
      <c r="R232" s="5375"/>
      <c r="S232" s="5376">
        <f t="shared" si="49"/>
        <v>0</v>
      </c>
      <c r="T232" s="5374"/>
      <c r="U232" s="5374"/>
      <c r="V232" s="5374"/>
      <c r="W232" s="5375"/>
      <c r="X232" s="5377" t="str">
        <f t="shared" si="52"/>
        <v/>
      </c>
      <c r="Y232" s="5378"/>
      <c r="Z232" s="5378"/>
      <c r="AA232" s="5379"/>
      <c r="AB232" s="1816"/>
      <c r="AC232" s="1818">
        <f t="shared" si="50"/>
        <v>11</v>
      </c>
      <c r="AD232" s="1807"/>
    </row>
    <row r="233" spans="1:30" s="1805" customFormat="1" ht="12" hidden="1" customHeight="1">
      <c r="A233" s="1811"/>
      <c r="B233" s="1820"/>
      <c r="C233" s="1819">
        <v>12</v>
      </c>
      <c r="D233" s="5373">
        <f t="shared" si="51"/>
        <v>0</v>
      </c>
      <c r="E233" s="5374"/>
      <c r="F233" s="5374"/>
      <c r="G233" s="5374"/>
      <c r="H233" s="5375"/>
      <c r="I233" s="5376">
        <f t="shared" si="47"/>
        <v>0</v>
      </c>
      <c r="J233" s="5374"/>
      <c r="K233" s="5374"/>
      <c r="L233" s="5374"/>
      <c r="M233" s="5375"/>
      <c r="N233" s="5376">
        <f t="shared" si="48"/>
        <v>0</v>
      </c>
      <c r="O233" s="5374"/>
      <c r="P233" s="5374"/>
      <c r="Q233" s="5374"/>
      <c r="R233" s="5375"/>
      <c r="S233" s="5376">
        <f t="shared" si="49"/>
        <v>0</v>
      </c>
      <c r="T233" s="5374"/>
      <c r="U233" s="5374"/>
      <c r="V233" s="5374"/>
      <c r="W233" s="5375"/>
      <c r="X233" s="5377" t="str">
        <f t="shared" si="52"/>
        <v/>
      </c>
      <c r="Y233" s="5378"/>
      <c r="Z233" s="5378"/>
      <c r="AA233" s="5379"/>
      <c r="AB233" s="1816"/>
      <c r="AC233" s="1818">
        <f t="shared" si="50"/>
        <v>12</v>
      </c>
      <c r="AD233" s="1807"/>
    </row>
    <row r="234" spans="1:30" s="1805" customFormat="1" ht="12" hidden="1" customHeight="1">
      <c r="A234" s="1811"/>
      <c r="B234" s="1820"/>
      <c r="C234" s="1819">
        <v>13</v>
      </c>
      <c r="D234" s="5373">
        <f t="shared" si="51"/>
        <v>0</v>
      </c>
      <c r="E234" s="5374"/>
      <c r="F234" s="5374"/>
      <c r="G234" s="5374"/>
      <c r="H234" s="5375"/>
      <c r="I234" s="5376">
        <f t="shared" si="47"/>
        <v>0</v>
      </c>
      <c r="J234" s="5374"/>
      <c r="K234" s="5374"/>
      <c r="L234" s="5374"/>
      <c r="M234" s="5375"/>
      <c r="N234" s="5376">
        <f t="shared" si="48"/>
        <v>0</v>
      </c>
      <c r="O234" s="5374"/>
      <c r="P234" s="5374"/>
      <c r="Q234" s="5374"/>
      <c r="R234" s="5375"/>
      <c r="S234" s="5376">
        <f t="shared" si="49"/>
        <v>0</v>
      </c>
      <c r="T234" s="5374"/>
      <c r="U234" s="5374"/>
      <c r="V234" s="5374"/>
      <c r="W234" s="5375"/>
      <c r="X234" s="5377" t="str">
        <f t="shared" si="52"/>
        <v/>
      </c>
      <c r="Y234" s="5378"/>
      <c r="Z234" s="5378"/>
      <c r="AA234" s="5379"/>
      <c r="AB234" s="1816"/>
      <c r="AC234" s="1818">
        <f t="shared" si="50"/>
        <v>13</v>
      </c>
      <c r="AD234" s="1807"/>
    </row>
    <row r="235" spans="1:30" s="1805" customFormat="1" ht="12" hidden="1" customHeight="1">
      <c r="A235" s="1811"/>
      <c r="B235" s="1820"/>
      <c r="C235" s="1819">
        <v>14</v>
      </c>
      <c r="D235" s="5373">
        <f t="shared" si="51"/>
        <v>0</v>
      </c>
      <c r="E235" s="5374"/>
      <c r="F235" s="5374"/>
      <c r="G235" s="5374"/>
      <c r="H235" s="5375"/>
      <c r="I235" s="5376">
        <f t="shared" si="47"/>
        <v>0</v>
      </c>
      <c r="J235" s="5374"/>
      <c r="K235" s="5374"/>
      <c r="L235" s="5374"/>
      <c r="M235" s="5375"/>
      <c r="N235" s="5376">
        <f t="shared" si="48"/>
        <v>0</v>
      </c>
      <c r="O235" s="5374"/>
      <c r="P235" s="5374"/>
      <c r="Q235" s="5374"/>
      <c r="R235" s="5375"/>
      <c r="S235" s="5376">
        <f t="shared" si="49"/>
        <v>0</v>
      </c>
      <c r="T235" s="5374"/>
      <c r="U235" s="5374"/>
      <c r="V235" s="5374"/>
      <c r="W235" s="5375"/>
      <c r="X235" s="5377" t="str">
        <f t="shared" si="52"/>
        <v/>
      </c>
      <c r="Y235" s="5378"/>
      <c r="Z235" s="5378"/>
      <c r="AA235" s="5379"/>
      <c r="AB235" s="1816"/>
      <c r="AC235" s="1818">
        <f t="shared" si="50"/>
        <v>14</v>
      </c>
      <c r="AD235" s="1807"/>
    </row>
    <row r="236" spans="1:30" s="1805" customFormat="1" ht="12" hidden="1" customHeight="1">
      <c r="A236" s="1811"/>
      <c r="B236" s="1820"/>
      <c r="C236" s="1819">
        <v>15</v>
      </c>
      <c r="D236" s="5373">
        <f t="shared" si="51"/>
        <v>0</v>
      </c>
      <c r="E236" s="5374"/>
      <c r="F236" s="5374"/>
      <c r="G236" s="5374"/>
      <c r="H236" s="5375"/>
      <c r="I236" s="5376">
        <f t="shared" si="47"/>
        <v>0</v>
      </c>
      <c r="J236" s="5374"/>
      <c r="K236" s="5374"/>
      <c r="L236" s="5374"/>
      <c r="M236" s="5375"/>
      <c r="N236" s="5376">
        <f t="shared" si="48"/>
        <v>0</v>
      </c>
      <c r="O236" s="5374"/>
      <c r="P236" s="5374"/>
      <c r="Q236" s="5374"/>
      <c r="R236" s="5375"/>
      <c r="S236" s="5376">
        <f t="shared" si="49"/>
        <v>0</v>
      </c>
      <c r="T236" s="5374"/>
      <c r="U236" s="5374"/>
      <c r="V236" s="5374"/>
      <c r="W236" s="5375"/>
      <c r="X236" s="5377" t="str">
        <f t="shared" si="52"/>
        <v/>
      </c>
      <c r="Y236" s="5378"/>
      <c r="Z236" s="5378"/>
      <c r="AA236" s="5379"/>
      <c r="AB236" s="1816"/>
      <c r="AC236" s="1818">
        <f t="shared" si="50"/>
        <v>15</v>
      </c>
      <c r="AD236" s="1807"/>
    </row>
    <row r="237" spans="1:30" s="1805" customFormat="1" ht="12" hidden="1" customHeight="1">
      <c r="A237" s="1811"/>
      <c r="B237" s="1820"/>
      <c r="C237" s="1819">
        <v>16</v>
      </c>
      <c r="D237" s="5373">
        <f t="shared" si="51"/>
        <v>0</v>
      </c>
      <c r="E237" s="5374"/>
      <c r="F237" s="5374"/>
      <c r="G237" s="5374"/>
      <c r="H237" s="5375"/>
      <c r="I237" s="5376">
        <f t="shared" si="47"/>
        <v>0</v>
      </c>
      <c r="J237" s="5374"/>
      <c r="K237" s="5374"/>
      <c r="L237" s="5374"/>
      <c r="M237" s="5375"/>
      <c r="N237" s="5376">
        <f t="shared" si="48"/>
        <v>0</v>
      </c>
      <c r="O237" s="5374"/>
      <c r="P237" s="5374"/>
      <c r="Q237" s="5374"/>
      <c r="R237" s="5375"/>
      <c r="S237" s="5376">
        <f t="shared" si="49"/>
        <v>0</v>
      </c>
      <c r="T237" s="5374"/>
      <c r="U237" s="5374"/>
      <c r="V237" s="5374"/>
      <c r="W237" s="5375"/>
      <c r="X237" s="5377" t="str">
        <f t="shared" si="52"/>
        <v/>
      </c>
      <c r="Y237" s="5378"/>
      <c r="Z237" s="5378"/>
      <c r="AA237" s="5379"/>
      <c r="AB237" s="1816"/>
      <c r="AC237" s="1818">
        <f t="shared" si="50"/>
        <v>16</v>
      </c>
      <c r="AD237" s="1807"/>
    </row>
    <row r="238" spans="1:30" s="1805" customFormat="1" ht="12" hidden="1" customHeight="1">
      <c r="A238" s="1811"/>
      <c r="B238" s="1820"/>
      <c r="C238" s="1819">
        <v>17</v>
      </c>
      <c r="D238" s="5373">
        <f t="shared" si="51"/>
        <v>0</v>
      </c>
      <c r="E238" s="5374"/>
      <c r="F238" s="5374"/>
      <c r="G238" s="5374"/>
      <c r="H238" s="5375"/>
      <c r="I238" s="5376">
        <f t="shared" si="47"/>
        <v>0</v>
      </c>
      <c r="J238" s="5374"/>
      <c r="K238" s="5374"/>
      <c r="L238" s="5374"/>
      <c r="M238" s="5375"/>
      <c r="N238" s="5376">
        <f t="shared" si="48"/>
        <v>0</v>
      </c>
      <c r="O238" s="5374"/>
      <c r="P238" s="5374"/>
      <c r="Q238" s="5374"/>
      <c r="R238" s="5375"/>
      <c r="S238" s="5376">
        <f t="shared" si="49"/>
        <v>0</v>
      </c>
      <c r="T238" s="5374"/>
      <c r="U238" s="5374"/>
      <c r="V238" s="5374"/>
      <c r="W238" s="5375"/>
      <c r="X238" s="5377" t="str">
        <f t="shared" si="52"/>
        <v/>
      </c>
      <c r="Y238" s="5378"/>
      <c r="Z238" s="5378"/>
      <c r="AA238" s="5379"/>
      <c r="AB238" s="1816"/>
      <c r="AC238" s="1818">
        <f t="shared" si="50"/>
        <v>17</v>
      </c>
      <c r="AD238" s="1807"/>
    </row>
    <row r="239" spans="1:30" s="1805" customFormat="1" ht="12" hidden="1" customHeight="1">
      <c r="A239" s="1811"/>
      <c r="B239" s="1820"/>
      <c r="C239" s="1819">
        <v>18</v>
      </c>
      <c r="D239" s="5373">
        <f t="shared" si="51"/>
        <v>0</v>
      </c>
      <c r="E239" s="5374"/>
      <c r="F239" s="5374"/>
      <c r="G239" s="5374"/>
      <c r="H239" s="5375"/>
      <c r="I239" s="5376">
        <f t="shared" si="47"/>
        <v>0</v>
      </c>
      <c r="J239" s="5374"/>
      <c r="K239" s="5374"/>
      <c r="L239" s="5374"/>
      <c r="M239" s="5375"/>
      <c r="N239" s="5376">
        <f t="shared" si="48"/>
        <v>0</v>
      </c>
      <c r="O239" s="5374"/>
      <c r="P239" s="5374"/>
      <c r="Q239" s="5374"/>
      <c r="R239" s="5375"/>
      <c r="S239" s="5376">
        <f t="shared" si="49"/>
        <v>0</v>
      </c>
      <c r="T239" s="5374"/>
      <c r="U239" s="5374"/>
      <c r="V239" s="5374"/>
      <c r="W239" s="5375"/>
      <c r="X239" s="5377" t="str">
        <f t="shared" si="52"/>
        <v/>
      </c>
      <c r="Y239" s="5378"/>
      <c r="Z239" s="5378"/>
      <c r="AA239" s="5379"/>
      <c r="AB239" s="1816"/>
      <c r="AC239" s="1818">
        <f t="shared" si="50"/>
        <v>18</v>
      </c>
      <c r="AD239" s="1807"/>
    </row>
    <row r="240" spans="1:30" s="1805" customFormat="1" ht="12" hidden="1" customHeight="1">
      <c r="A240" s="1811"/>
      <c r="B240" s="1820"/>
      <c r="C240" s="1819">
        <v>19</v>
      </c>
      <c r="D240" s="5373">
        <f t="shared" si="51"/>
        <v>0</v>
      </c>
      <c r="E240" s="5374"/>
      <c r="F240" s="5374"/>
      <c r="G240" s="5374"/>
      <c r="H240" s="5375"/>
      <c r="I240" s="5376">
        <f t="shared" si="47"/>
        <v>0</v>
      </c>
      <c r="J240" s="5374"/>
      <c r="K240" s="5374"/>
      <c r="L240" s="5374"/>
      <c r="M240" s="5375"/>
      <c r="N240" s="5376">
        <f t="shared" si="48"/>
        <v>0</v>
      </c>
      <c r="O240" s="5374"/>
      <c r="P240" s="5374"/>
      <c r="Q240" s="5374"/>
      <c r="R240" s="5375"/>
      <c r="S240" s="5376">
        <f t="shared" si="49"/>
        <v>0</v>
      </c>
      <c r="T240" s="5374"/>
      <c r="U240" s="5374"/>
      <c r="V240" s="5374"/>
      <c r="W240" s="5375"/>
      <c r="X240" s="5377" t="str">
        <f t="shared" si="52"/>
        <v/>
      </c>
      <c r="Y240" s="5378"/>
      <c r="Z240" s="5378"/>
      <c r="AA240" s="5379"/>
      <c r="AB240" s="1816"/>
      <c r="AC240" s="1818">
        <f t="shared" si="50"/>
        <v>19</v>
      </c>
      <c r="AD240" s="1807"/>
    </row>
    <row r="241" spans="1:30" s="1805" customFormat="1" ht="12" hidden="1" customHeight="1">
      <c r="A241" s="1811"/>
      <c r="B241" s="1820"/>
      <c r="C241" s="1819">
        <v>20</v>
      </c>
      <c r="D241" s="5373">
        <f t="shared" si="51"/>
        <v>0</v>
      </c>
      <c r="E241" s="5374"/>
      <c r="F241" s="5374"/>
      <c r="G241" s="5374"/>
      <c r="H241" s="5375"/>
      <c r="I241" s="5376">
        <f t="shared" si="47"/>
        <v>0</v>
      </c>
      <c r="J241" s="5374"/>
      <c r="K241" s="5374"/>
      <c r="L241" s="5374"/>
      <c r="M241" s="5375"/>
      <c r="N241" s="5376">
        <f t="shared" si="48"/>
        <v>0</v>
      </c>
      <c r="O241" s="5374"/>
      <c r="P241" s="5374"/>
      <c r="Q241" s="5374"/>
      <c r="R241" s="5375"/>
      <c r="S241" s="5376">
        <f t="shared" si="49"/>
        <v>0</v>
      </c>
      <c r="T241" s="5374"/>
      <c r="U241" s="5374"/>
      <c r="V241" s="5374"/>
      <c r="W241" s="5375"/>
      <c r="X241" s="5377" t="str">
        <f t="shared" si="52"/>
        <v/>
      </c>
      <c r="Y241" s="5378"/>
      <c r="Z241" s="5378"/>
      <c r="AA241" s="5379"/>
      <c r="AB241" s="1816"/>
      <c r="AC241" s="1818">
        <f t="shared" si="50"/>
        <v>20</v>
      </c>
      <c r="AD241" s="1807"/>
    </row>
    <row r="242" spans="1:30" s="1805" customFormat="1" ht="12" hidden="1" customHeight="1">
      <c r="A242" s="1811"/>
      <c r="B242" s="1820"/>
      <c r="C242" s="1819">
        <v>21</v>
      </c>
      <c r="D242" s="5373">
        <f t="shared" si="51"/>
        <v>0</v>
      </c>
      <c r="E242" s="5374"/>
      <c r="F242" s="5374"/>
      <c r="G242" s="5374"/>
      <c r="H242" s="5375"/>
      <c r="I242" s="5376">
        <f t="shared" si="47"/>
        <v>0</v>
      </c>
      <c r="J242" s="5374"/>
      <c r="K242" s="5374"/>
      <c r="L242" s="5374"/>
      <c r="M242" s="5375"/>
      <c r="N242" s="5376">
        <f t="shared" si="48"/>
        <v>0</v>
      </c>
      <c r="O242" s="5374"/>
      <c r="P242" s="5374"/>
      <c r="Q242" s="5374"/>
      <c r="R242" s="5375"/>
      <c r="S242" s="5376">
        <f t="shared" si="49"/>
        <v>0</v>
      </c>
      <c r="T242" s="5374"/>
      <c r="U242" s="5374"/>
      <c r="V242" s="5374"/>
      <c r="W242" s="5375"/>
      <c r="X242" s="5377" t="str">
        <f t="shared" si="52"/>
        <v/>
      </c>
      <c r="Y242" s="5378"/>
      <c r="Z242" s="5378"/>
      <c r="AA242" s="5379"/>
      <c r="AB242" s="1816"/>
      <c r="AC242" s="1818">
        <f t="shared" si="50"/>
        <v>21</v>
      </c>
      <c r="AD242" s="1807"/>
    </row>
    <row r="243" spans="1:30" s="1805" customFormat="1" ht="12" hidden="1" customHeight="1">
      <c r="A243" s="1811"/>
      <c r="B243" s="1820"/>
      <c r="C243" s="1819">
        <v>22</v>
      </c>
      <c r="D243" s="5373">
        <f t="shared" si="51"/>
        <v>0</v>
      </c>
      <c r="E243" s="5374"/>
      <c r="F243" s="5374"/>
      <c r="G243" s="5374"/>
      <c r="H243" s="5375"/>
      <c r="I243" s="5376">
        <f t="shared" si="47"/>
        <v>0</v>
      </c>
      <c r="J243" s="5374"/>
      <c r="K243" s="5374"/>
      <c r="L243" s="5374"/>
      <c r="M243" s="5375"/>
      <c r="N243" s="5376">
        <f t="shared" si="48"/>
        <v>0</v>
      </c>
      <c r="O243" s="5374"/>
      <c r="P243" s="5374"/>
      <c r="Q243" s="5374"/>
      <c r="R243" s="5375"/>
      <c r="S243" s="5376">
        <f t="shared" si="49"/>
        <v>0</v>
      </c>
      <c r="T243" s="5374"/>
      <c r="U243" s="5374"/>
      <c r="V243" s="5374"/>
      <c r="W243" s="5375"/>
      <c r="X243" s="5377" t="str">
        <f t="shared" si="52"/>
        <v/>
      </c>
      <c r="Y243" s="5378"/>
      <c r="Z243" s="5378"/>
      <c r="AA243" s="5379"/>
      <c r="AB243" s="1816"/>
      <c r="AC243" s="1818">
        <f t="shared" si="50"/>
        <v>22</v>
      </c>
      <c r="AD243" s="1807"/>
    </row>
    <row r="244" spans="1:30" s="1805" customFormat="1" ht="12" hidden="1" customHeight="1">
      <c r="A244" s="1811"/>
      <c r="B244" s="1820"/>
      <c r="C244" s="1819">
        <v>23</v>
      </c>
      <c r="D244" s="5373">
        <f t="shared" si="51"/>
        <v>0</v>
      </c>
      <c r="E244" s="5374"/>
      <c r="F244" s="5374"/>
      <c r="G244" s="5374"/>
      <c r="H244" s="5375"/>
      <c r="I244" s="5376">
        <f t="shared" si="47"/>
        <v>0</v>
      </c>
      <c r="J244" s="5374"/>
      <c r="K244" s="5374"/>
      <c r="L244" s="5374"/>
      <c r="M244" s="5375"/>
      <c r="N244" s="5376">
        <f t="shared" si="48"/>
        <v>0</v>
      </c>
      <c r="O244" s="5374"/>
      <c r="P244" s="5374"/>
      <c r="Q244" s="5374"/>
      <c r="R244" s="5375"/>
      <c r="S244" s="5376">
        <f t="shared" si="49"/>
        <v>0</v>
      </c>
      <c r="T244" s="5374"/>
      <c r="U244" s="5374"/>
      <c r="V244" s="5374"/>
      <c r="W244" s="5375"/>
      <c r="X244" s="5377" t="str">
        <f t="shared" si="52"/>
        <v/>
      </c>
      <c r="Y244" s="5378"/>
      <c r="Z244" s="5378"/>
      <c r="AA244" s="5379"/>
      <c r="AB244" s="1816"/>
      <c r="AC244" s="1818">
        <f t="shared" si="50"/>
        <v>23</v>
      </c>
      <c r="AD244" s="1807"/>
    </row>
    <row r="245" spans="1:30" s="1805" customFormat="1" ht="12" hidden="1" customHeight="1">
      <c r="A245" s="1811"/>
      <c r="B245" s="1820"/>
      <c r="C245" s="1819">
        <v>24</v>
      </c>
      <c r="D245" s="5373">
        <f t="shared" si="51"/>
        <v>0</v>
      </c>
      <c r="E245" s="5374"/>
      <c r="F245" s="5374"/>
      <c r="G245" s="5374"/>
      <c r="H245" s="5375"/>
      <c r="I245" s="5376">
        <f t="shared" si="47"/>
        <v>0</v>
      </c>
      <c r="J245" s="5374"/>
      <c r="K245" s="5374"/>
      <c r="L245" s="5374"/>
      <c r="M245" s="5375"/>
      <c r="N245" s="5376">
        <f t="shared" si="48"/>
        <v>0</v>
      </c>
      <c r="O245" s="5374"/>
      <c r="P245" s="5374"/>
      <c r="Q245" s="5374"/>
      <c r="R245" s="5375"/>
      <c r="S245" s="5376">
        <f t="shared" si="49"/>
        <v>0</v>
      </c>
      <c r="T245" s="5374"/>
      <c r="U245" s="5374"/>
      <c r="V245" s="5374"/>
      <c r="W245" s="5375"/>
      <c r="X245" s="5377" t="str">
        <f t="shared" si="52"/>
        <v/>
      </c>
      <c r="Y245" s="5378"/>
      <c r="Z245" s="5378"/>
      <c r="AA245" s="5379"/>
      <c r="AB245" s="1816"/>
      <c r="AC245" s="1818">
        <f t="shared" si="50"/>
        <v>24</v>
      </c>
      <c r="AD245" s="1807"/>
    </row>
    <row r="246" spans="1:30" s="1805" customFormat="1" ht="12" hidden="1" customHeight="1">
      <c r="A246" s="1811"/>
      <c r="B246" s="1820"/>
      <c r="C246" s="1819">
        <v>25</v>
      </c>
      <c r="D246" s="5373">
        <f t="shared" si="51"/>
        <v>0</v>
      </c>
      <c r="E246" s="5374"/>
      <c r="F246" s="5374"/>
      <c r="G246" s="5374"/>
      <c r="H246" s="5375"/>
      <c r="I246" s="5376">
        <f t="shared" si="47"/>
        <v>0</v>
      </c>
      <c r="J246" s="5374"/>
      <c r="K246" s="5374"/>
      <c r="L246" s="5374"/>
      <c r="M246" s="5375"/>
      <c r="N246" s="5376">
        <f t="shared" si="48"/>
        <v>0</v>
      </c>
      <c r="O246" s="5374"/>
      <c r="P246" s="5374"/>
      <c r="Q246" s="5374"/>
      <c r="R246" s="5375"/>
      <c r="S246" s="5376">
        <f t="shared" si="49"/>
        <v>0</v>
      </c>
      <c r="T246" s="5374"/>
      <c r="U246" s="5374"/>
      <c r="V246" s="5374"/>
      <c r="W246" s="5375"/>
      <c r="X246" s="5377" t="str">
        <f t="shared" si="52"/>
        <v/>
      </c>
      <c r="Y246" s="5378"/>
      <c r="Z246" s="5378"/>
      <c r="AA246" s="5379"/>
      <c r="AB246" s="1816"/>
      <c r="AC246" s="1818">
        <f t="shared" si="50"/>
        <v>25</v>
      </c>
      <c r="AD246" s="1807"/>
    </row>
    <row r="247" spans="1:30" s="1805" customFormat="1" ht="12" hidden="1" customHeight="1">
      <c r="A247" s="1811"/>
      <c r="B247" s="1820"/>
      <c r="C247" s="1819">
        <v>26</v>
      </c>
      <c r="D247" s="5373">
        <f t="shared" si="51"/>
        <v>0</v>
      </c>
      <c r="E247" s="5374"/>
      <c r="F247" s="5374"/>
      <c r="G247" s="5374"/>
      <c r="H247" s="5375"/>
      <c r="I247" s="5376">
        <f t="shared" si="47"/>
        <v>0</v>
      </c>
      <c r="J247" s="5374"/>
      <c r="K247" s="5374"/>
      <c r="L247" s="5374"/>
      <c r="M247" s="5375"/>
      <c r="N247" s="5376">
        <f t="shared" si="48"/>
        <v>0</v>
      </c>
      <c r="O247" s="5374"/>
      <c r="P247" s="5374"/>
      <c r="Q247" s="5374"/>
      <c r="R247" s="5375"/>
      <c r="S247" s="5376">
        <f t="shared" si="49"/>
        <v>0</v>
      </c>
      <c r="T247" s="5374"/>
      <c r="U247" s="5374"/>
      <c r="V247" s="5374"/>
      <c r="W247" s="5375"/>
      <c r="X247" s="5377" t="str">
        <f t="shared" si="52"/>
        <v/>
      </c>
      <c r="Y247" s="5378"/>
      <c r="Z247" s="5378"/>
      <c r="AA247" s="5379"/>
      <c r="AB247" s="1816"/>
      <c r="AC247" s="1818">
        <f t="shared" si="50"/>
        <v>26</v>
      </c>
      <c r="AD247" s="1807"/>
    </row>
    <row r="248" spans="1:30" s="1805" customFormat="1" ht="12" hidden="1" customHeight="1">
      <c r="A248" s="1811"/>
      <c r="B248" s="1820"/>
      <c r="C248" s="1819">
        <v>27</v>
      </c>
      <c r="D248" s="5373">
        <f t="shared" si="51"/>
        <v>0</v>
      </c>
      <c r="E248" s="5374"/>
      <c r="F248" s="5374"/>
      <c r="G248" s="5374"/>
      <c r="H248" s="5375"/>
      <c r="I248" s="5376">
        <f t="shared" si="47"/>
        <v>0</v>
      </c>
      <c r="J248" s="5374"/>
      <c r="K248" s="5374"/>
      <c r="L248" s="5374"/>
      <c r="M248" s="5375"/>
      <c r="N248" s="5376">
        <f t="shared" si="48"/>
        <v>0</v>
      </c>
      <c r="O248" s="5374"/>
      <c r="P248" s="5374"/>
      <c r="Q248" s="5374"/>
      <c r="R248" s="5375"/>
      <c r="S248" s="5376">
        <f t="shared" si="49"/>
        <v>0</v>
      </c>
      <c r="T248" s="5374"/>
      <c r="U248" s="5374"/>
      <c r="V248" s="5374"/>
      <c r="W248" s="5375"/>
      <c r="X248" s="5377" t="str">
        <f t="shared" si="52"/>
        <v/>
      </c>
      <c r="Y248" s="5378"/>
      <c r="Z248" s="5378"/>
      <c r="AA248" s="5379"/>
      <c r="AB248" s="1816"/>
      <c r="AC248" s="1818">
        <f t="shared" si="50"/>
        <v>27</v>
      </c>
      <c r="AD248" s="1807"/>
    </row>
    <row r="249" spans="1:30" s="1805" customFormat="1" ht="12" hidden="1" customHeight="1">
      <c r="A249" s="1811"/>
      <c r="B249" s="1820"/>
      <c r="C249" s="1819">
        <v>28</v>
      </c>
      <c r="D249" s="5373">
        <f t="shared" si="51"/>
        <v>0</v>
      </c>
      <c r="E249" s="5374"/>
      <c r="F249" s="5374"/>
      <c r="G249" s="5374"/>
      <c r="H249" s="5375"/>
      <c r="I249" s="5376">
        <f t="shared" si="47"/>
        <v>0</v>
      </c>
      <c r="J249" s="5374"/>
      <c r="K249" s="5374"/>
      <c r="L249" s="5374"/>
      <c r="M249" s="5375"/>
      <c r="N249" s="5376">
        <f t="shared" si="48"/>
        <v>0</v>
      </c>
      <c r="O249" s="5374"/>
      <c r="P249" s="5374"/>
      <c r="Q249" s="5374"/>
      <c r="R249" s="5375"/>
      <c r="S249" s="5376">
        <f t="shared" si="49"/>
        <v>0</v>
      </c>
      <c r="T249" s="5374"/>
      <c r="U249" s="5374"/>
      <c r="V249" s="5374"/>
      <c r="W249" s="5375"/>
      <c r="X249" s="5377" t="str">
        <f t="shared" si="52"/>
        <v/>
      </c>
      <c r="Y249" s="5378"/>
      <c r="Z249" s="5378"/>
      <c r="AA249" s="5379"/>
      <c r="AB249" s="1816"/>
      <c r="AC249" s="1818">
        <f t="shared" si="50"/>
        <v>28</v>
      </c>
      <c r="AD249" s="1807"/>
    </row>
    <row r="250" spans="1:30" s="1805" customFormat="1" ht="12" hidden="1" customHeight="1">
      <c r="A250" s="1811"/>
      <c r="B250" s="1820"/>
      <c r="C250" s="1819">
        <v>29</v>
      </c>
      <c r="D250" s="5373">
        <f t="shared" si="51"/>
        <v>0</v>
      </c>
      <c r="E250" s="5374"/>
      <c r="F250" s="5374"/>
      <c r="G250" s="5374"/>
      <c r="H250" s="5375"/>
      <c r="I250" s="5376">
        <f t="shared" si="47"/>
        <v>0</v>
      </c>
      <c r="J250" s="5374"/>
      <c r="K250" s="5374"/>
      <c r="L250" s="5374"/>
      <c r="M250" s="5375"/>
      <c r="N250" s="5376">
        <f t="shared" si="48"/>
        <v>0</v>
      </c>
      <c r="O250" s="5374"/>
      <c r="P250" s="5374"/>
      <c r="Q250" s="5374"/>
      <c r="R250" s="5375"/>
      <c r="S250" s="5376">
        <f t="shared" si="49"/>
        <v>0</v>
      </c>
      <c r="T250" s="5374"/>
      <c r="U250" s="5374"/>
      <c r="V250" s="5374"/>
      <c r="W250" s="5375"/>
      <c r="X250" s="5377" t="str">
        <f t="shared" si="52"/>
        <v/>
      </c>
      <c r="Y250" s="5378"/>
      <c r="Z250" s="5378"/>
      <c r="AA250" s="5379"/>
      <c r="AB250" s="1816"/>
      <c r="AC250" s="1818">
        <f t="shared" si="50"/>
        <v>29</v>
      </c>
      <c r="AD250" s="1807"/>
    </row>
    <row r="251" spans="1:30" s="1805" customFormat="1" ht="12" hidden="1" customHeight="1">
      <c r="A251" s="1811"/>
      <c r="B251" s="1820"/>
      <c r="C251" s="1819">
        <v>30</v>
      </c>
      <c r="D251" s="5373">
        <f t="shared" si="51"/>
        <v>0</v>
      </c>
      <c r="E251" s="5374"/>
      <c r="F251" s="5374"/>
      <c r="G251" s="5374"/>
      <c r="H251" s="5375"/>
      <c r="I251" s="5376">
        <f t="shared" si="47"/>
        <v>0</v>
      </c>
      <c r="J251" s="5374"/>
      <c r="K251" s="5374"/>
      <c r="L251" s="5374"/>
      <c r="M251" s="5375"/>
      <c r="N251" s="5376">
        <f t="shared" si="48"/>
        <v>0</v>
      </c>
      <c r="O251" s="5374"/>
      <c r="P251" s="5374"/>
      <c r="Q251" s="5374"/>
      <c r="R251" s="5375"/>
      <c r="S251" s="5376">
        <f t="shared" si="49"/>
        <v>0</v>
      </c>
      <c r="T251" s="5374"/>
      <c r="U251" s="5374"/>
      <c r="V251" s="5374"/>
      <c r="W251" s="5375"/>
      <c r="X251" s="5377" t="str">
        <f t="shared" si="52"/>
        <v/>
      </c>
      <c r="Y251" s="5378"/>
      <c r="Z251" s="5378"/>
      <c r="AA251" s="5379"/>
      <c r="AB251" s="1816"/>
      <c r="AC251" s="1818">
        <f t="shared" si="50"/>
        <v>30</v>
      </c>
      <c r="AD251" s="1807"/>
    </row>
    <row r="252" spans="1:30" s="1805" customFormat="1" ht="12" hidden="1" customHeight="1">
      <c r="A252" s="1811"/>
      <c r="B252" s="1820"/>
      <c r="C252" s="1819">
        <v>31</v>
      </c>
      <c r="D252" s="5373">
        <f t="shared" si="51"/>
        <v>0</v>
      </c>
      <c r="E252" s="5374"/>
      <c r="F252" s="5374"/>
      <c r="G252" s="5374"/>
      <c r="H252" s="5375"/>
      <c r="I252" s="5376">
        <f t="shared" si="47"/>
        <v>0</v>
      </c>
      <c r="J252" s="5374"/>
      <c r="K252" s="5374"/>
      <c r="L252" s="5374"/>
      <c r="M252" s="5375"/>
      <c r="N252" s="5376">
        <f t="shared" si="48"/>
        <v>0</v>
      </c>
      <c r="O252" s="5374"/>
      <c r="P252" s="5374"/>
      <c r="Q252" s="5374"/>
      <c r="R252" s="5375"/>
      <c r="S252" s="5376">
        <f t="shared" si="49"/>
        <v>0</v>
      </c>
      <c r="T252" s="5374"/>
      <c r="U252" s="5374"/>
      <c r="V252" s="5374"/>
      <c r="W252" s="5375"/>
      <c r="X252" s="5377" t="str">
        <f t="shared" si="52"/>
        <v/>
      </c>
      <c r="Y252" s="5378"/>
      <c r="Z252" s="5378"/>
      <c r="AA252" s="5379"/>
      <c r="AB252" s="1816"/>
      <c r="AC252" s="1818">
        <f t="shared" si="50"/>
        <v>31</v>
      </c>
      <c r="AD252" s="1807"/>
    </row>
    <row r="253" spans="1:30" s="1805" customFormat="1" ht="12" hidden="1" customHeight="1">
      <c r="A253" s="1811"/>
      <c r="B253" s="1820"/>
      <c r="C253" s="1819">
        <v>32</v>
      </c>
      <c r="D253" s="5373">
        <f t="shared" si="51"/>
        <v>0</v>
      </c>
      <c r="E253" s="5374"/>
      <c r="F253" s="5374"/>
      <c r="G253" s="5374"/>
      <c r="H253" s="5375"/>
      <c r="I253" s="5376">
        <f t="shared" si="47"/>
        <v>0</v>
      </c>
      <c r="J253" s="5374"/>
      <c r="K253" s="5374"/>
      <c r="L253" s="5374"/>
      <c r="M253" s="5375"/>
      <c r="N253" s="5376">
        <f t="shared" si="48"/>
        <v>0</v>
      </c>
      <c r="O253" s="5374"/>
      <c r="P253" s="5374"/>
      <c r="Q253" s="5374"/>
      <c r="R253" s="5375"/>
      <c r="S253" s="5376">
        <f t="shared" si="49"/>
        <v>0</v>
      </c>
      <c r="T253" s="5374"/>
      <c r="U253" s="5374"/>
      <c r="V253" s="5374"/>
      <c r="W253" s="5375"/>
      <c r="X253" s="5377" t="str">
        <f t="shared" si="52"/>
        <v/>
      </c>
      <c r="Y253" s="5378"/>
      <c r="Z253" s="5378"/>
      <c r="AA253" s="5379"/>
      <c r="AB253" s="1816"/>
      <c r="AC253" s="1818">
        <f t="shared" si="50"/>
        <v>32</v>
      </c>
      <c r="AD253" s="1807"/>
    </row>
    <row r="254" spans="1:30" s="1805" customFormat="1" ht="12" hidden="1" customHeight="1">
      <c r="A254" s="1811"/>
      <c r="B254" s="1820"/>
      <c r="C254" s="1819">
        <v>33</v>
      </c>
      <c r="D254" s="5373">
        <f t="shared" si="51"/>
        <v>0</v>
      </c>
      <c r="E254" s="5374"/>
      <c r="F254" s="5374"/>
      <c r="G254" s="5374"/>
      <c r="H254" s="5375"/>
      <c r="I254" s="5376">
        <f t="shared" si="47"/>
        <v>0</v>
      </c>
      <c r="J254" s="5374"/>
      <c r="K254" s="5374"/>
      <c r="L254" s="5374"/>
      <c r="M254" s="5375"/>
      <c r="N254" s="5376">
        <f t="shared" si="48"/>
        <v>0</v>
      </c>
      <c r="O254" s="5374"/>
      <c r="P254" s="5374"/>
      <c r="Q254" s="5374"/>
      <c r="R254" s="5375"/>
      <c r="S254" s="5376">
        <f t="shared" si="49"/>
        <v>0</v>
      </c>
      <c r="T254" s="5374"/>
      <c r="U254" s="5374"/>
      <c r="V254" s="5374"/>
      <c r="W254" s="5375"/>
      <c r="X254" s="5377" t="str">
        <f t="shared" si="52"/>
        <v/>
      </c>
      <c r="Y254" s="5378"/>
      <c r="Z254" s="5378"/>
      <c r="AA254" s="5379"/>
      <c r="AB254" s="1816"/>
      <c r="AC254" s="1818">
        <f t="shared" si="50"/>
        <v>33</v>
      </c>
      <c r="AD254" s="1807"/>
    </row>
    <row r="255" spans="1:30" s="1805" customFormat="1" ht="12" hidden="1" customHeight="1">
      <c r="A255" s="1811"/>
      <c r="B255" s="1820"/>
      <c r="C255" s="1819">
        <v>34</v>
      </c>
      <c r="D255" s="5373">
        <f t="shared" si="51"/>
        <v>0</v>
      </c>
      <c r="E255" s="5374"/>
      <c r="F255" s="5374"/>
      <c r="G255" s="5374"/>
      <c r="H255" s="5375"/>
      <c r="I255" s="5376">
        <f t="shared" si="47"/>
        <v>0</v>
      </c>
      <c r="J255" s="5374"/>
      <c r="K255" s="5374"/>
      <c r="L255" s="5374"/>
      <c r="M255" s="5375"/>
      <c r="N255" s="5376">
        <f t="shared" si="48"/>
        <v>0</v>
      </c>
      <c r="O255" s="5374"/>
      <c r="P255" s="5374"/>
      <c r="Q255" s="5374"/>
      <c r="R255" s="5375"/>
      <c r="S255" s="5376">
        <f t="shared" si="49"/>
        <v>0</v>
      </c>
      <c r="T255" s="5374"/>
      <c r="U255" s="5374"/>
      <c r="V255" s="5374"/>
      <c r="W255" s="5375"/>
      <c r="X255" s="5377" t="str">
        <f t="shared" si="52"/>
        <v/>
      </c>
      <c r="Y255" s="5378"/>
      <c r="Z255" s="5378"/>
      <c r="AA255" s="5379"/>
      <c r="AB255" s="1816"/>
      <c r="AC255" s="1818">
        <f t="shared" si="50"/>
        <v>34</v>
      </c>
      <c r="AD255" s="1807"/>
    </row>
    <row r="256" spans="1:30" s="1805" customFormat="1" ht="12" hidden="1" customHeight="1">
      <c r="A256" s="1811"/>
      <c r="B256" s="1820"/>
      <c r="C256" s="1819">
        <v>35</v>
      </c>
      <c r="D256" s="5373">
        <f t="shared" si="51"/>
        <v>0</v>
      </c>
      <c r="E256" s="5374"/>
      <c r="F256" s="5374"/>
      <c r="G256" s="5374"/>
      <c r="H256" s="5375"/>
      <c r="I256" s="5376">
        <f t="shared" si="47"/>
        <v>0</v>
      </c>
      <c r="J256" s="5374"/>
      <c r="K256" s="5374"/>
      <c r="L256" s="5374"/>
      <c r="M256" s="5375"/>
      <c r="N256" s="5376">
        <f t="shared" si="48"/>
        <v>0</v>
      </c>
      <c r="O256" s="5374"/>
      <c r="P256" s="5374"/>
      <c r="Q256" s="5374"/>
      <c r="R256" s="5375"/>
      <c r="S256" s="5376">
        <f t="shared" si="49"/>
        <v>0</v>
      </c>
      <c r="T256" s="5374"/>
      <c r="U256" s="5374"/>
      <c r="V256" s="5374"/>
      <c r="W256" s="5375"/>
      <c r="X256" s="5377" t="str">
        <f t="shared" si="52"/>
        <v/>
      </c>
      <c r="Y256" s="5378"/>
      <c r="Z256" s="5378"/>
      <c r="AA256" s="5379"/>
      <c r="AB256" s="1816"/>
      <c r="AC256" s="1818">
        <f t="shared" si="50"/>
        <v>35</v>
      </c>
      <c r="AD256" s="1807"/>
    </row>
    <row r="257" spans="1:30" s="1805" customFormat="1" ht="12" hidden="1" customHeight="1">
      <c r="A257" s="1811"/>
      <c r="B257" s="1820"/>
      <c r="C257" s="1819">
        <v>36</v>
      </c>
      <c r="D257" s="5373">
        <f t="shared" si="51"/>
        <v>0</v>
      </c>
      <c r="E257" s="5374"/>
      <c r="F257" s="5374"/>
      <c r="G257" s="5374"/>
      <c r="H257" s="5375"/>
      <c r="I257" s="5376">
        <f t="shared" si="47"/>
        <v>0</v>
      </c>
      <c r="J257" s="5374"/>
      <c r="K257" s="5374"/>
      <c r="L257" s="5374"/>
      <c r="M257" s="5375"/>
      <c r="N257" s="5376">
        <f t="shared" si="48"/>
        <v>0</v>
      </c>
      <c r="O257" s="5374"/>
      <c r="P257" s="5374"/>
      <c r="Q257" s="5374"/>
      <c r="R257" s="5375"/>
      <c r="S257" s="5376">
        <f t="shared" si="49"/>
        <v>0</v>
      </c>
      <c r="T257" s="5374"/>
      <c r="U257" s="5374"/>
      <c r="V257" s="5374"/>
      <c r="W257" s="5375"/>
      <c r="X257" s="5377" t="str">
        <f t="shared" si="52"/>
        <v/>
      </c>
      <c r="Y257" s="5378"/>
      <c r="Z257" s="5378"/>
      <c r="AA257" s="5379"/>
      <c r="AB257" s="1816"/>
      <c r="AC257" s="1818">
        <f t="shared" si="50"/>
        <v>36</v>
      </c>
      <c r="AD257" s="1807"/>
    </row>
    <row r="258" spans="1:30" s="1805" customFormat="1" ht="12" hidden="1" customHeight="1">
      <c r="A258" s="1811"/>
      <c r="B258" s="1820"/>
      <c r="C258" s="1819">
        <v>37</v>
      </c>
      <c r="D258" s="5373">
        <f t="shared" si="51"/>
        <v>0</v>
      </c>
      <c r="E258" s="5374"/>
      <c r="F258" s="5374"/>
      <c r="G258" s="5374"/>
      <c r="H258" s="5375"/>
      <c r="I258" s="5376">
        <f t="shared" si="47"/>
        <v>0</v>
      </c>
      <c r="J258" s="5374"/>
      <c r="K258" s="5374"/>
      <c r="L258" s="5374"/>
      <c r="M258" s="5375"/>
      <c r="N258" s="5376">
        <f t="shared" si="48"/>
        <v>0</v>
      </c>
      <c r="O258" s="5374"/>
      <c r="P258" s="5374"/>
      <c r="Q258" s="5374"/>
      <c r="R258" s="5375"/>
      <c r="S258" s="5376">
        <f t="shared" si="49"/>
        <v>0</v>
      </c>
      <c r="T258" s="5374"/>
      <c r="U258" s="5374"/>
      <c r="V258" s="5374"/>
      <c r="W258" s="5375"/>
      <c r="X258" s="5377" t="str">
        <f t="shared" si="52"/>
        <v/>
      </c>
      <c r="Y258" s="5378"/>
      <c r="Z258" s="5378"/>
      <c r="AA258" s="5379"/>
      <c r="AB258" s="1816"/>
      <c r="AC258" s="1818">
        <f t="shared" si="50"/>
        <v>37</v>
      </c>
      <c r="AD258" s="1807"/>
    </row>
    <row r="259" spans="1:30" s="1805" customFormat="1" ht="12" hidden="1" customHeight="1">
      <c r="A259" s="1811"/>
      <c r="B259" s="1820"/>
      <c r="C259" s="1819">
        <v>38</v>
      </c>
      <c r="D259" s="5373">
        <f t="shared" si="51"/>
        <v>0</v>
      </c>
      <c r="E259" s="5374"/>
      <c r="F259" s="5374"/>
      <c r="G259" s="5374"/>
      <c r="H259" s="5375"/>
      <c r="I259" s="5376">
        <f t="shared" si="47"/>
        <v>0</v>
      </c>
      <c r="J259" s="5374"/>
      <c r="K259" s="5374"/>
      <c r="L259" s="5374"/>
      <c r="M259" s="5375"/>
      <c r="N259" s="5376">
        <f t="shared" si="48"/>
        <v>0</v>
      </c>
      <c r="O259" s="5374"/>
      <c r="P259" s="5374"/>
      <c r="Q259" s="5374"/>
      <c r="R259" s="5375"/>
      <c r="S259" s="5376">
        <f t="shared" si="49"/>
        <v>0</v>
      </c>
      <c r="T259" s="5374"/>
      <c r="U259" s="5374"/>
      <c r="V259" s="5374"/>
      <c r="W259" s="5375"/>
      <c r="X259" s="5377" t="str">
        <f t="shared" si="52"/>
        <v/>
      </c>
      <c r="Y259" s="5378"/>
      <c r="Z259" s="5378"/>
      <c r="AA259" s="5379"/>
      <c r="AB259" s="1816"/>
      <c r="AC259" s="1818">
        <f t="shared" si="50"/>
        <v>38</v>
      </c>
      <c r="AD259" s="1807"/>
    </row>
    <row r="260" spans="1:30" s="1805" customFormat="1" ht="12" hidden="1" customHeight="1">
      <c r="A260" s="1811"/>
      <c r="B260" s="1820"/>
      <c r="C260" s="1819">
        <v>39</v>
      </c>
      <c r="D260" s="5373">
        <f t="shared" si="51"/>
        <v>0</v>
      </c>
      <c r="E260" s="5374"/>
      <c r="F260" s="5374"/>
      <c r="G260" s="5374"/>
      <c r="H260" s="5375"/>
      <c r="I260" s="5376">
        <f t="shared" si="47"/>
        <v>0</v>
      </c>
      <c r="J260" s="5374"/>
      <c r="K260" s="5374"/>
      <c r="L260" s="5374"/>
      <c r="M260" s="5375"/>
      <c r="N260" s="5376">
        <f t="shared" si="48"/>
        <v>0</v>
      </c>
      <c r="O260" s="5374"/>
      <c r="P260" s="5374"/>
      <c r="Q260" s="5374"/>
      <c r="R260" s="5375"/>
      <c r="S260" s="5376">
        <f t="shared" si="49"/>
        <v>0</v>
      </c>
      <c r="T260" s="5374"/>
      <c r="U260" s="5374"/>
      <c r="V260" s="5374"/>
      <c r="W260" s="5375"/>
      <c r="X260" s="5377" t="str">
        <f t="shared" si="52"/>
        <v/>
      </c>
      <c r="Y260" s="5378"/>
      <c r="Z260" s="5378"/>
      <c r="AA260" s="5379"/>
      <c r="AB260" s="1816"/>
      <c r="AC260" s="1818">
        <f t="shared" si="50"/>
        <v>39</v>
      </c>
      <c r="AD260" s="1807"/>
    </row>
    <row r="261" spans="1:30" s="1805" customFormat="1" ht="12" hidden="1" customHeight="1">
      <c r="A261" s="1811"/>
      <c r="B261" s="1814"/>
      <c r="C261" s="1817">
        <v>40</v>
      </c>
      <c r="D261" s="5380">
        <f t="shared" si="51"/>
        <v>0</v>
      </c>
      <c r="E261" s="5381"/>
      <c r="F261" s="5381"/>
      <c r="G261" s="5381"/>
      <c r="H261" s="5382"/>
      <c r="I261" s="5383">
        <f t="shared" si="47"/>
        <v>0</v>
      </c>
      <c r="J261" s="5381"/>
      <c r="K261" s="5381"/>
      <c r="L261" s="5381"/>
      <c r="M261" s="5382"/>
      <c r="N261" s="5383">
        <f t="shared" si="48"/>
        <v>0</v>
      </c>
      <c r="O261" s="5381"/>
      <c r="P261" s="5381"/>
      <c r="Q261" s="5381"/>
      <c r="R261" s="5382"/>
      <c r="S261" s="5383">
        <f t="shared" si="49"/>
        <v>0</v>
      </c>
      <c r="T261" s="5381"/>
      <c r="U261" s="5381"/>
      <c r="V261" s="5381"/>
      <c r="W261" s="5382"/>
      <c r="X261" s="5384" t="str">
        <f t="shared" si="52"/>
        <v/>
      </c>
      <c r="Y261" s="5385"/>
      <c r="Z261" s="5385"/>
      <c r="AA261" s="5386"/>
      <c r="AB261" s="1816"/>
      <c r="AC261" s="1815">
        <f t="shared" si="50"/>
        <v>40</v>
      </c>
      <c r="AD261" s="1807"/>
    </row>
    <row r="262" spans="1:30" s="1805" customFormat="1" ht="12" hidden="1" customHeight="1">
      <c r="A262" s="1811"/>
      <c r="B262" s="1814"/>
      <c r="C262" s="1813"/>
      <c r="D262" s="1813"/>
      <c r="E262" s="1813"/>
      <c r="F262" s="1813"/>
      <c r="G262" s="1813"/>
      <c r="H262" s="1813"/>
      <c r="I262" s="1813"/>
      <c r="J262" s="1813"/>
      <c r="K262" s="1813"/>
      <c r="L262" s="1813"/>
      <c r="M262" s="1813"/>
      <c r="N262" s="1813"/>
      <c r="O262" s="1813"/>
      <c r="P262" s="1813"/>
      <c r="Q262" s="1813"/>
      <c r="R262" s="1813"/>
      <c r="S262" s="1813"/>
      <c r="T262" s="1813"/>
      <c r="U262" s="1813"/>
      <c r="V262" s="1813"/>
      <c r="W262" s="1813"/>
      <c r="X262" s="1813"/>
      <c r="Y262" s="1813"/>
      <c r="Z262" s="1813"/>
      <c r="AA262" s="1813"/>
      <c r="AB262" s="1813"/>
      <c r="AC262" s="1812"/>
      <c r="AD262" s="1807"/>
    </row>
    <row r="263" spans="1:30" s="1805" customFormat="1" ht="12" hidden="1" customHeight="1" thickBot="1">
      <c r="A263" s="1811"/>
      <c r="B263" s="1810"/>
      <c r="C263" s="1809"/>
      <c r="D263" s="1809"/>
      <c r="E263" s="1809"/>
      <c r="F263" s="1809"/>
      <c r="G263" s="1809"/>
      <c r="H263" s="1809"/>
      <c r="I263" s="1809"/>
      <c r="J263" s="1809"/>
      <c r="K263" s="1809"/>
      <c r="L263" s="1809"/>
      <c r="M263" s="1809"/>
      <c r="N263" s="1809"/>
      <c r="O263" s="1809"/>
      <c r="P263" s="1809"/>
      <c r="Q263" s="1809"/>
      <c r="R263" s="1809"/>
      <c r="S263" s="1809"/>
      <c r="T263" s="1809"/>
      <c r="U263" s="1809"/>
      <c r="V263" s="1809"/>
      <c r="W263" s="1809"/>
      <c r="X263" s="1809"/>
      <c r="Y263" s="1809"/>
      <c r="Z263" s="1809"/>
      <c r="AA263" s="1809"/>
      <c r="AB263" s="1809"/>
      <c r="AC263" s="1808"/>
      <c r="AD263" s="1807"/>
    </row>
    <row r="264" spans="1:30" s="1805" customFormat="1" ht="8.1" hidden="1" customHeight="1"/>
    <row r="712" spans="1:57" ht="15">
      <c r="A712" s="1804"/>
      <c r="B712" s="1804"/>
      <c r="C712" s="1804"/>
      <c r="D712" s="1806"/>
      <c r="E712" s="1804"/>
      <c r="F712" s="1804"/>
      <c r="G712" s="1804"/>
      <c r="H712" s="1804"/>
      <c r="I712" s="1804"/>
      <c r="J712" s="1804"/>
      <c r="K712" s="1804"/>
      <c r="L712" s="1804"/>
      <c r="M712" s="1804"/>
      <c r="N712" s="1804"/>
      <c r="O712" s="1804"/>
      <c r="P712" s="1804"/>
      <c r="Q712" s="1804"/>
      <c r="R712" s="1804"/>
      <c r="S712" s="1804"/>
      <c r="T712" s="1804"/>
      <c r="U712" s="1804"/>
      <c r="V712" s="1804"/>
      <c r="W712" s="1804"/>
      <c r="X712" s="1804"/>
      <c r="Y712" s="1804"/>
      <c r="Z712" s="1804"/>
      <c r="AA712" s="1804"/>
      <c r="AB712" s="1804"/>
      <c r="AC712" s="1804"/>
      <c r="AD712" s="1804"/>
      <c r="AE712" s="1804"/>
      <c r="AF712" s="1804"/>
      <c r="AG712" s="1804"/>
      <c r="AH712" s="1804"/>
      <c r="AI712" s="1804"/>
      <c r="AJ712" s="1804"/>
      <c r="AK712" s="1804"/>
      <c r="AL712" s="1804"/>
      <c r="AM712" s="1804"/>
      <c r="AN712" s="1804"/>
      <c r="AO712" s="1804"/>
      <c r="AP712" s="1804"/>
      <c r="AQ712" s="1804"/>
      <c r="AR712" s="1804"/>
      <c r="AS712" s="1804"/>
      <c r="AT712" s="1804"/>
      <c r="AU712" s="1804"/>
      <c r="AV712" s="1804"/>
      <c r="AW712" s="1804"/>
      <c r="AX712" s="1804"/>
      <c r="AY712" s="1804"/>
      <c r="AZ712" s="1804"/>
      <c r="BA712" s="1804"/>
      <c r="BB712" s="1804"/>
      <c r="BC712" s="1804"/>
      <c r="BD712" s="1804"/>
      <c r="BE712" s="1804"/>
    </row>
  </sheetData>
  <sheetProtection password="82A0" sheet="1" objects="1" scenarios="1"/>
  <mergeCells count="946">
    <mergeCell ref="G40:U42"/>
    <mergeCell ref="G46:P48"/>
    <mergeCell ref="C3:E3"/>
    <mergeCell ref="Y3:Z3"/>
    <mergeCell ref="AA3:AB3"/>
    <mergeCell ref="C5:E5"/>
    <mergeCell ref="G5:Q5"/>
    <mergeCell ref="S6:T6"/>
    <mergeCell ref="U6:W6"/>
    <mergeCell ref="X6:Y6"/>
    <mergeCell ref="AA8:AC9"/>
    <mergeCell ref="F9:G9"/>
    <mergeCell ref="R8:R9"/>
    <mergeCell ref="S8:S9"/>
    <mergeCell ref="T8:T9"/>
    <mergeCell ref="U8:V9"/>
    <mergeCell ref="W8:W9"/>
    <mergeCell ref="X8:X9"/>
    <mergeCell ref="F8:G8"/>
    <mergeCell ref="H8:H9"/>
    <mergeCell ref="I8:K8"/>
    <mergeCell ref="N8:O9"/>
    <mergeCell ref="P8:Q9"/>
    <mergeCell ref="Y8:Z9"/>
    <mergeCell ref="B7:B9"/>
    <mergeCell ref="C7:K7"/>
    <mergeCell ref="L7:M9"/>
    <mergeCell ref="N7:AC7"/>
    <mergeCell ref="C8:E8"/>
    <mergeCell ref="Y11:Z11"/>
    <mergeCell ref="P10:Q10"/>
    <mergeCell ref="U10:V10"/>
    <mergeCell ref="Y10:Z10"/>
    <mergeCell ref="AA12:AC12"/>
    <mergeCell ref="F11:G11"/>
    <mergeCell ref="L11:M11"/>
    <mergeCell ref="N11:O11"/>
    <mergeCell ref="P11:Q11"/>
    <mergeCell ref="U11:V11"/>
    <mergeCell ref="AA10:AC10"/>
    <mergeCell ref="AA11:AC11"/>
    <mergeCell ref="F12:G12"/>
    <mergeCell ref="L12:M12"/>
    <mergeCell ref="N12:O12"/>
    <mergeCell ref="P12:Q12"/>
    <mergeCell ref="U12:V12"/>
    <mergeCell ref="Y12:Z12"/>
    <mergeCell ref="F10:G10"/>
    <mergeCell ref="L10:M10"/>
    <mergeCell ref="N10:O10"/>
    <mergeCell ref="F14:G14"/>
    <mergeCell ref="L14:M14"/>
    <mergeCell ref="N14:O14"/>
    <mergeCell ref="P14:Q14"/>
    <mergeCell ref="U14:V14"/>
    <mergeCell ref="Y14:Z14"/>
    <mergeCell ref="AA14:AC14"/>
    <mergeCell ref="F13:G13"/>
    <mergeCell ref="N15:O15"/>
    <mergeCell ref="P15:Q15"/>
    <mergeCell ref="U15:V15"/>
    <mergeCell ref="Y15:Z15"/>
    <mergeCell ref="AA15:AC15"/>
    <mergeCell ref="L13:M13"/>
    <mergeCell ref="N13:O13"/>
    <mergeCell ref="P13:Q13"/>
    <mergeCell ref="U13:V13"/>
    <mergeCell ref="Y13:Z13"/>
    <mergeCell ref="AA13:AC13"/>
    <mergeCell ref="F16:G16"/>
    <mergeCell ref="L16:M16"/>
    <mergeCell ref="N16:O16"/>
    <mergeCell ref="P16:Q16"/>
    <mergeCell ref="U16:V16"/>
    <mergeCell ref="Y16:Z16"/>
    <mergeCell ref="AA16:AC16"/>
    <mergeCell ref="F15:G15"/>
    <mergeCell ref="L15:M15"/>
    <mergeCell ref="F17:G17"/>
    <mergeCell ref="L17:M17"/>
    <mergeCell ref="N17:O17"/>
    <mergeCell ref="P17:Q17"/>
    <mergeCell ref="U17:V17"/>
    <mergeCell ref="Y17:Z17"/>
    <mergeCell ref="U19:V19"/>
    <mergeCell ref="Y19:Z19"/>
    <mergeCell ref="AA17:AC17"/>
    <mergeCell ref="F18:G18"/>
    <mergeCell ref="L18:M18"/>
    <mergeCell ref="N18:O18"/>
    <mergeCell ref="P18:Q18"/>
    <mergeCell ref="U18:V18"/>
    <mergeCell ref="Y18:Z18"/>
    <mergeCell ref="AA18:AC18"/>
    <mergeCell ref="AA19:AC19"/>
    <mergeCell ref="C22:E22"/>
    <mergeCell ref="C23:E23"/>
    <mergeCell ref="G23:R23"/>
    <mergeCell ref="S28:T29"/>
    <mergeCell ref="W28:Y29"/>
    <mergeCell ref="F19:G19"/>
    <mergeCell ref="L19:M19"/>
    <mergeCell ref="N19:O19"/>
    <mergeCell ref="P19:Q19"/>
    <mergeCell ref="E52:G52"/>
    <mergeCell ref="I52:K52"/>
    <mergeCell ref="M52:O52"/>
    <mergeCell ref="Q52:S52"/>
    <mergeCell ref="U52:W52"/>
    <mergeCell ref="Y52:AA52"/>
    <mergeCell ref="Y53:AA53"/>
    <mergeCell ref="E54:G54"/>
    <mergeCell ref="I54:K54"/>
    <mergeCell ref="Q54:S54"/>
    <mergeCell ref="U54:W54"/>
    <mergeCell ref="Y54:AA54"/>
    <mergeCell ref="Y60:AA60"/>
    <mergeCell ref="Y55:AA55"/>
    <mergeCell ref="E58:G58"/>
    <mergeCell ref="I58:K58"/>
    <mergeCell ref="M58:O58"/>
    <mergeCell ref="Q58:S58"/>
    <mergeCell ref="U58:W58"/>
    <mergeCell ref="Y58:AA58"/>
    <mergeCell ref="D80:E80"/>
    <mergeCell ref="F80:G80"/>
    <mergeCell ref="O75:P75"/>
    <mergeCell ref="O76:P76"/>
    <mergeCell ref="O77:P77"/>
    <mergeCell ref="Y59:AA59"/>
    <mergeCell ref="E60:G60"/>
    <mergeCell ref="I60:K60"/>
    <mergeCell ref="Q60:S60"/>
    <mergeCell ref="U60:W60"/>
    <mergeCell ref="C67:E67"/>
    <mergeCell ref="C68:E68"/>
    <mergeCell ref="G68:R68"/>
    <mergeCell ref="C79:C80"/>
    <mergeCell ref="D79:K79"/>
    <mergeCell ref="H80:I80"/>
    <mergeCell ref="J80:K80"/>
    <mergeCell ref="L80:M80"/>
    <mergeCell ref="N80:O80"/>
    <mergeCell ref="L79:Q79"/>
    <mergeCell ref="R79:AA79"/>
    <mergeCell ref="Z80:AA80"/>
    <mergeCell ref="T80:U80"/>
    <mergeCell ref="V80:W80"/>
    <mergeCell ref="X80:Y80"/>
    <mergeCell ref="P80:Q80"/>
    <mergeCell ref="R80:S80"/>
    <mergeCell ref="N83:O83"/>
    <mergeCell ref="P83:Q83"/>
    <mergeCell ref="R83:S83"/>
    <mergeCell ref="T83:U83"/>
    <mergeCell ref="AL79:AM79"/>
    <mergeCell ref="AO79:AP79"/>
    <mergeCell ref="AQ79:AR79"/>
    <mergeCell ref="AS79:AT79"/>
    <mergeCell ref="Y61:AA61"/>
    <mergeCell ref="AH79:AI79"/>
    <mergeCell ref="AJ79:AK79"/>
    <mergeCell ref="Z81:AA81"/>
    <mergeCell ref="V82:W82"/>
    <mergeCell ref="X82:Y82"/>
    <mergeCell ref="Z82:AA82"/>
    <mergeCell ref="V81:W81"/>
    <mergeCell ref="X81:Y81"/>
    <mergeCell ref="D82:E82"/>
    <mergeCell ref="F82:G82"/>
    <mergeCell ref="H82:I82"/>
    <mergeCell ref="J82:K82"/>
    <mergeCell ref="L82:M82"/>
    <mergeCell ref="N82:O82"/>
    <mergeCell ref="P82:Q82"/>
    <mergeCell ref="R82:S82"/>
    <mergeCell ref="T82:U82"/>
    <mergeCell ref="D81:E81"/>
    <mergeCell ref="F81:G81"/>
    <mergeCell ref="H81:I81"/>
    <mergeCell ref="J81:K81"/>
    <mergeCell ref="L81:M81"/>
    <mergeCell ref="N81:O81"/>
    <mergeCell ref="P81:Q81"/>
    <mergeCell ref="R81:S81"/>
    <mergeCell ref="T81:U81"/>
    <mergeCell ref="N85:O85"/>
    <mergeCell ref="P85:Q85"/>
    <mergeCell ref="R85:S85"/>
    <mergeCell ref="T85:U85"/>
    <mergeCell ref="V83:W83"/>
    <mergeCell ref="X83:Y83"/>
    <mergeCell ref="Z83:AA83"/>
    <mergeCell ref="D84:E84"/>
    <mergeCell ref="F84:G84"/>
    <mergeCell ref="H84:I84"/>
    <mergeCell ref="J84:K84"/>
    <mergeCell ref="L84:M84"/>
    <mergeCell ref="N84:O84"/>
    <mergeCell ref="P84:Q84"/>
    <mergeCell ref="R84:S84"/>
    <mergeCell ref="T84:U84"/>
    <mergeCell ref="V84:W84"/>
    <mergeCell ref="X84:Y84"/>
    <mergeCell ref="Z84:AA84"/>
    <mergeCell ref="D83:E83"/>
    <mergeCell ref="F83:G83"/>
    <mergeCell ref="H83:I83"/>
    <mergeCell ref="J83:K83"/>
    <mergeCell ref="L83:M83"/>
    <mergeCell ref="N87:O87"/>
    <mergeCell ref="P87:Q87"/>
    <mergeCell ref="R87:S87"/>
    <mergeCell ref="T87:U87"/>
    <mergeCell ref="V85:W85"/>
    <mergeCell ref="X85:Y85"/>
    <mergeCell ref="Z85:AA85"/>
    <mergeCell ref="D86:E86"/>
    <mergeCell ref="F86:G86"/>
    <mergeCell ref="H86:I86"/>
    <mergeCell ref="J86:K86"/>
    <mergeCell ref="L86:M86"/>
    <mergeCell ref="N86:O86"/>
    <mergeCell ref="P86:Q86"/>
    <mergeCell ref="R86:S86"/>
    <mergeCell ref="T86:U86"/>
    <mergeCell ref="V86:W86"/>
    <mergeCell ref="X86:Y86"/>
    <mergeCell ref="Z86:AA86"/>
    <mergeCell ref="D85:E85"/>
    <mergeCell ref="F85:G85"/>
    <mergeCell ref="H85:I85"/>
    <mergeCell ref="J85:K85"/>
    <mergeCell ref="L85:M85"/>
    <mergeCell ref="F89:G89"/>
    <mergeCell ref="H89:I89"/>
    <mergeCell ref="J89:K89"/>
    <mergeCell ref="L89:M89"/>
    <mergeCell ref="V87:W87"/>
    <mergeCell ref="X87:Y87"/>
    <mergeCell ref="Z87:AA87"/>
    <mergeCell ref="D88:E88"/>
    <mergeCell ref="F88:G88"/>
    <mergeCell ref="H88:I88"/>
    <mergeCell ref="J88:K88"/>
    <mergeCell ref="L88:M88"/>
    <mergeCell ref="N88:O88"/>
    <mergeCell ref="P88:Q88"/>
    <mergeCell ref="R88:S88"/>
    <mergeCell ref="T88:U88"/>
    <mergeCell ref="V88:W88"/>
    <mergeCell ref="X88:Y88"/>
    <mergeCell ref="Z88:AA88"/>
    <mergeCell ref="D87:E87"/>
    <mergeCell ref="F87:G87"/>
    <mergeCell ref="H87:I87"/>
    <mergeCell ref="J87:K87"/>
    <mergeCell ref="L87:M87"/>
    <mergeCell ref="F90:G90"/>
    <mergeCell ref="H90:I90"/>
    <mergeCell ref="J90:K90"/>
    <mergeCell ref="L90:M90"/>
    <mergeCell ref="N90:O90"/>
    <mergeCell ref="P89:Q89"/>
    <mergeCell ref="N89:O89"/>
    <mergeCell ref="AQ92:AR92"/>
    <mergeCell ref="C93:E93"/>
    <mergeCell ref="G93:R93"/>
    <mergeCell ref="P90:Q90"/>
    <mergeCell ref="R90:S90"/>
    <mergeCell ref="T90:U90"/>
    <mergeCell ref="V90:W90"/>
    <mergeCell ref="X90:Y90"/>
    <mergeCell ref="Z90:AA90"/>
    <mergeCell ref="D90:E90"/>
    <mergeCell ref="C92:E92"/>
    <mergeCell ref="R89:S89"/>
    <mergeCell ref="T89:U89"/>
    <mergeCell ref="V89:W89"/>
    <mergeCell ref="X89:Y89"/>
    <mergeCell ref="Z89:AA89"/>
    <mergeCell ref="D89:E89"/>
    <mergeCell ref="AI92:AJ92"/>
    <mergeCell ref="AM92:AN92"/>
    <mergeCell ref="H104:K104"/>
    <mergeCell ref="N104:Q104"/>
    <mergeCell ref="T104:W104"/>
    <mergeCell ref="U106:X106"/>
    <mergeCell ref="G107:K107"/>
    <mergeCell ref="N107:R107"/>
    <mergeCell ref="U107:X107"/>
    <mergeCell ref="G121:K121"/>
    <mergeCell ref="P121:S121"/>
    <mergeCell ref="W121:Z121"/>
    <mergeCell ref="C109:E109"/>
    <mergeCell ref="C110:E110"/>
    <mergeCell ref="G110:W110"/>
    <mergeCell ref="E118:H118"/>
    <mergeCell ref="K118:N118"/>
    <mergeCell ref="Q118:T118"/>
    <mergeCell ref="W118:Z118"/>
    <mergeCell ref="G120:K120"/>
    <mergeCell ref="P120:S120"/>
    <mergeCell ref="W120:Z120"/>
    <mergeCell ref="D123:E123"/>
    <mergeCell ref="H123:L123"/>
    <mergeCell ref="O123:S123"/>
    <mergeCell ref="V123:Z123"/>
    <mergeCell ref="B127:C127"/>
    <mergeCell ref="D127:H127"/>
    <mergeCell ref="I127:M127"/>
    <mergeCell ref="N127:R127"/>
    <mergeCell ref="S127:W127"/>
    <mergeCell ref="X127:AA127"/>
    <mergeCell ref="D128:H128"/>
    <mergeCell ref="I128:M128"/>
    <mergeCell ref="N128:R128"/>
    <mergeCell ref="S128:W128"/>
    <mergeCell ref="X128:AA128"/>
    <mergeCell ref="D129:H129"/>
    <mergeCell ref="I129:M129"/>
    <mergeCell ref="N129:R129"/>
    <mergeCell ref="S129:W129"/>
    <mergeCell ref="X129:AA129"/>
    <mergeCell ref="D130:H130"/>
    <mergeCell ref="I130:M130"/>
    <mergeCell ref="N130:R130"/>
    <mergeCell ref="S130:W130"/>
    <mergeCell ref="X130:AA130"/>
    <mergeCell ref="D131:H131"/>
    <mergeCell ref="I131:M131"/>
    <mergeCell ref="N131:R131"/>
    <mergeCell ref="S131:W131"/>
    <mergeCell ref="X131:AA131"/>
    <mergeCell ref="D132:H132"/>
    <mergeCell ref="I132:M132"/>
    <mergeCell ref="N132:R132"/>
    <mergeCell ref="S132:W132"/>
    <mergeCell ref="X132:AA132"/>
    <mergeCell ref="D133:H133"/>
    <mergeCell ref="I133:M133"/>
    <mergeCell ref="N133:R133"/>
    <mergeCell ref="S133:W133"/>
    <mergeCell ref="X133:AA133"/>
    <mergeCell ref="D134:H134"/>
    <mergeCell ref="I134:M134"/>
    <mergeCell ref="N134:R134"/>
    <mergeCell ref="S134:W134"/>
    <mergeCell ref="X134:AA134"/>
    <mergeCell ref="D135:H135"/>
    <mergeCell ref="I135:M135"/>
    <mergeCell ref="N135:R135"/>
    <mergeCell ref="S135:W135"/>
    <mergeCell ref="X135:AA135"/>
    <mergeCell ref="D136:H136"/>
    <mergeCell ref="I136:M136"/>
    <mergeCell ref="N136:R136"/>
    <mergeCell ref="S136:W136"/>
    <mergeCell ref="X136:AA136"/>
    <mergeCell ref="D137:H137"/>
    <mergeCell ref="I137:M137"/>
    <mergeCell ref="N137:R137"/>
    <mergeCell ref="S137:W137"/>
    <mergeCell ref="X137:AA137"/>
    <mergeCell ref="D138:H138"/>
    <mergeCell ref="I138:M138"/>
    <mergeCell ref="N138:R138"/>
    <mergeCell ref="S138:W138"/>
    <mergeCell ref="X138:AA138"/>
    <mergeCell ref="D139:H139"/>
    <mergeCell ref="I139:M139"/>
    <mergeCell ref="N139:R139"/>
    <mergeCell ref="S139:W139"/>
    <mergeCell ref="X139:AA139"/>
    <mergeCell ref="D140:H140"/>
    <mergeCell ref="I140:M140"/>
    <mergeCell ref="N140:R140"/>
    <mergeCell ref="S140:W140"/>
    <mergeCell ref="X140:AA140"/>
    <mergeCell ref="D141:H141"/>
    <mergeCell ref="I141:M141"/>
    <mergeCell ref="N141:R141"/>
    <mergeCell ref="S141:W141"/>
    <mergeCell ref="X141:AA141"/>
    <mergeCell ref="D142:H142"/>
    <mergeCell ref="I142:M142"/>
    <mergeCell ref="N142:R142"/>
    <mergeCell ref="S142:W142"/>
    <mergeCell ref="X142:AA142"/>
    <mergeCell ref="D143:H143"/>
    <mergeCell ref="I143:M143"/>
    <mergeCell ref="N143:R143"/>
    <mergeCell ref="S143:W143"/>
    <mergeCell ref="X143:AA143"/>
    <mergeCell ref="D144:H144"/>
    <mergeCell ref="I144:M144"/>
    <mergeCell ref="N144:R144"/>
    <mergeCell ref="S144:W144"/>
    <mergeCell ref="X144:AA144"/>
    <mergeCell ref="D145:H145"/>
    <mergeCell ref="I145:M145"/>
    <mergeCell ref="N145:R145"/>
    <mergeCell ref="S145:W145"/>
    <mergeCell ref="X145:AA145"/>
    <mergeCell ref="D146:H146"/>
    <mergeCell ref="I146:M146"/>
    <mergeCell ref="N146:R146"/>
    <mergeCell ref="S146:W146"/>
    <mergeCell ref="X146:AA146"/>
    <mergeCell ref="D147:H147"/>
    <mergeCell ref="I147:M147"/>
    <mergeCell ref="N147:R147"/>
    <mergeCell ref="S147:W147"/>
    <mergeCell ref="X147:AA147"/>
    <mergeCell ref="D148:H148"/>
    <mergeCell ref="I148:M148"/>
    <mergeCell ref="N148:R148"/>
    <mergeCell ref="S148:W148"/>
    <mergeCell ref="X148:AA148"/>
    <mergeCell ref="D149:H149"/>
    <mergeCell ref="I149:M149"/>
    <mergeCell ref="N149:R149"/>
    <mergeCell ref="S149:W149"/>
    <mergeCell ref="X149:AA149"/>
    <mergeCell ref="D150:H150"/>
    <mergeCell ref="I150:M150"/>
    <mergeCell ref="N150:R150"/>
    <mergeCell ref="S150:W150"/>
    <mergeCell ref="X150:AA150"/>
    <mergeCell ref="D151:H151"/>
    <mergeCell ref="I151:M151"/>
    <mergeCell ref="N151:R151"/>
    <mergeCell ref="S151:W151"/>
    <mergeCell ref="X151:AA151"/>
    <mergeCell ref="D152:H152"/>
    <mergeCell ref="I152:M152"/>
    <mergeCell ref="N152:R152"/>
    <mergeCell ref="S152:W152"/>
    <mergeCell ref="X152:AA152"/>
    <mergeCell ref="D153:H153"/>
    <mergeCell ref="I153:M153"/>
    <mergeCell ref="N153:R153"/>
    <mergeCell ref="S153:W153"/>
    <mergeCell ref="X153:AA153"/>
    <mergeCell ref="D154:H154"/>
    <mergeCell ref="I154:M154"/>
    <mergeCell ref="N154:R154"/>
    <mergeCell ref="S154:W154"/>
    <mergeCell ref="X154:AA154"/>
    <mergeCell ref="D155:H155"/>
    <mergeCell ref="I155:M155"/>
    <mergeCell ref="N155:R155"/>
    <mergeCell ref="S155:W155"/>
    <mergeCell ref="X155:AA155"/>
    <mergeCell ref="D156:H156"/>
    <mergeCell ref="I156:M156"/>
    <mergeCell ref="N156:R156"/>
    <mergeCell ref="S156:W156"/>
    <mergeCell ref="X156:AA156"/>
    <mergeCell ref="D157:H157"/>
    <mergeCell ref="I157:M157"/>
    <mergeCell ref="N157:R157"/>
    <mergeCell ref="S157:W157"/>
    <mergeCell ref="X157:AA157"/>
    <mergeCell ref="D158:H158"/>
    <mergeCell ref="I158:M158"/>
    <mergeCell ref="N158:R158"/>
    <mergeCell ref="S158:W158"/>
    <mergeCell ref="X158:AA158"/>
    <mergeCell ref="D159:H159"/>
    <mergeCell ref="I159:M159"/>
    <mergeCell ref="N159:R159"/>
    <mergeCell ref="S159:W159"/>
    <mergeCell ref="X159:AA159"/>
    <mergeCell ref="D160:H160"/>
    <mergeCell ref="I160:M160"/>
    <mergeCell ref="N160:R160"/>
    <mergeCell ref="S160:W160"/>
    <mergeCell ref="X160:AA160"/>
    <mergeCell ref="D161:H161"/>
    <mergeCell ref="I161:M161"/>
    <mergeCell ref="N161:R161"/>
    <mergeCell ref="S161:W161"/>
    <mergeCell ref="X161:AA161"/>
    <mergeCell ref="D162:H162"/>
    <mergeCell ref="I162:M162"/>
    <mergeCell ref="N162:R162"/>
    <mergeCell ref="S162:W162"/>
    <mergeCell ref="X162:AA162"/>
    <mergeCell ref="D163:H163"/>
    <mergeCell ref="I163:M163"/>
    <mergeCell ref="N163:R163"/>
    <mergeCell ref="S163:W163"/>
    <mergeCell ref="X163:AA163"/>
    <mergeCell ref="D164:H164"/>
    <mergeCell ref="I164:M164"/>
    <mergeCell ref="N164:R164"/>
    <mergeCell ref="S164:W164"/>
    <mergeCell ref="X164:AA164"/>
    <mergeCell ref="D165:H165"/>
    <mergeCell ref="I165:M165"/>
    <mergeCell ref="N165:R165"/>
    <mergeCell ref="S165:W165"/>
    <mergeCell ref="X165:AA165"/>
    <mergeCell ref="D166:H166"/>
    <mergeCell ref="I166:M166"/>
    <mergeCell ref="N166:R166"/>
    <mergeCell ref="S166:W166"/>
    <mergeCell ref="X166:AA166"/>
    <mergeCell ref="D167:H167"/>
    <mergeCell ref="I167:M167"/>
    <mergeCell ref="N167:R167"/>
    <mergeCell ref="S167:W167"/>
    <mergeCell ref="X167:AA167"/>
    <mergeCell ref="E169:H169"/>
    <mergeCell ref="K169:N169"/>
    <mergeCell ref="Q169:T169"/>
    <mergeCell ref="W169:AA169"/>
    <mergeCell ref="G171:K171"/>
    <mergeCell ref="P171:T171"/>
    <mergeCell ref="W171:AA171"/>
    <mergeCell ref="G172:K172"/>
    <mergeCell ref="P172:T172"/>
    <mergeCell ref="W172:AA172"/>
    <mergeCell ref="B174:C174"/>
    <mergeCell ref="D174:H174"/>
    <mergeCell ref="I174:M174"/>
    <mergeCell ref="N174:R174"/>
    <mergeCell ref="S174:W174"/>
    <mergeCell ref="X174:AA174"/>
    <mergeCell ref="D175:H175"/>
    <mergeCell ref="I175:M175"/>
    <mergeCell ref="N175:R175"/>
    <mergeCell ref="S175:W175"/>
    <mergeCell ref="X175:AA175"/>
    <mergeCell ref="D176:H176"/>
    <mergeCell ref="I176:M176"/>
    <mergeCell ref="N176:R176"/>
    <mergeCell ref="S176:W176"/>
    <mergeCell ref="X176:AA176"/>
    <mergeCell ref="D177:H177"/>
    <mergeCell ref="I177:M177"/>
    <mergeCell ref="N177:R177"/>
    <mergeCell ref="S177:W177"/>
    <mergeCell ref="X177:AA177"/>
    <mergeCell ref="D178:H178"/>
    <mergeCell ref="I178:M178"/>
    <mergeCell ref="N178:R178"/>
    <mergeCell ref="S178:W178"/>
    <mergeCell ref="X178:AA178"/>
    <mergeCell ref="D179:H179"/>
    <mergeCell ref="I179:M179"/>
    <mergeCell ref="N179:R179"/>
    <mergeCell ref="S179:W179"/>
    <mergeCell ref="X179:AA179"/>
    <mergeCell ref="D180:H180"/>
    <mergeCell ref="I180:M180"/>
    <mergeCell ref="N180:R180"/>
    <mergeCell ref="S180:W180"/>
    <mergeCell ref="X180:AA180"/>
    <mergeCell ref="D181:H181"/>
    <mergeCell ref="I181:M181"/>
    <mergeCell ref="N181:R181"/>
    <mergeCell ref="S181:W181"/>
    <mergeCell ref="X181:AA181"/>
    <mergeCell ref="D182:H182"/>
    <mergeCell ref="I182:M182"/>
    <mergeCell ref="N182:R182"/>
    <mergeCell ref="S182:W182"/>
    <mergeCell ref="X182:AA182"/>
    <mergeCell ref="D183:H183"/>
    <mergeCell ref="I183:M183"/>
    <mergeCell ref="N183:R183"/>
    <mergeCell ref="S183:W183"/>
    <mergeCell ref="X183:AA183"/>
    <mergeCell ref="D184:H184"/>
    <mergeCell ref="I184:M184"/>
    <mergeCell ref="N184:R184"/>
    <mergeCell ref="S184:W184"/>
    <mergeCell ref="X184:AA184"/>
    <mergeCell ref="D185:H185"/>
    <mergeCell ref="I185:M185"/>
    <mergeCell ref="N185:R185"/>
    <mergeCell ref="S185:W185"/>
    <mergeCell ref="X185:AA185"/>
    <mergeCell ref="D186:H186"/>
    <mergeCell ref="I186:M186"/>
    <mergeCell ref="N186:R186"/>
    <mergeCell ref="S186:W186"/>
    <mergeCell ref="X186:AA186"/>
    <mergeCell ref="D187:H187"/>
    <mergeCell ref="I187:M187"/>
    <mergeCell ref="N187:R187"/>
    <mergeCell ref="S187:W187"/>
    <mergeCell ref="X187:AA187"/>
    <mergeCell ref="D188:H188"/>
    <mergeCell ref="I188:M188"/>
    <mergeCell ref="N188:R188"/>
    <mergeCell ref="S188:W188"/>
    <mergeCell ref="X188:AA188"/>
    <mergeCell ref="D189:H189"/>
    <mergeCell ref="I189:M189"/>
    <mergeCell ref="N189:R189"/>
    <mergeCell ref="S189:W189"/>
    <mergeCell ref="X189:AA189"/>
    <mergeCell ref="D190:H190"/>
    <mergeCell ref="I190:M190"/>
    <mergeCell ref="N190:R190"/>
    <mergeCell ref="S190:W190"/>
    <mergeCell ref="X190:AA190"/>
    <mergeCell ref="D191:H191"/>
    <mergeCell ref="I191:M191"/>
    <mergeCell ref="N191:R191"/>
    <mergeCell ref="S191:W191"/>
    <mergeCell ref="X191:AA191"/>
    <mergeCell ref="D192:H192"/>
    <mergeCell ref="I192:M192"/>
    <mergeCell ref="N192:R192"/>
    <mergeCell ref="S192:W192"/>
    <mergeCell ref="X192:AA192"/>
    <mergeCell ref="D193:H193"/>
    <mergeCell ref="I193:M193"/>
    <mergeCell ref="N193:R193"/>
    <mergeCell ref="S193:W193"/>
    <mergeCell ref="X193:AA193"/>
    <mergeCell ref="D194:H194"/>
    <mergeCell ref="I194:M194"/>
    <mergeCell ref="N194:R194"/>
    <mergeCell ref="S194:W194"/>
    <mergeCell ref="X194:AA194"/>
    <mergeCell ref="D195:H195"/>
    <mergeCell ref="I195:M195"/>
    <mergeCell ref="N195:R195"/>
    <mergeCell ref="S195:W195"/>
    <mergeCell ref="X195:AA195"/>
    <mergeCell ref="D196:H196"/>
    <mergeCell ref="I196:M196"/>
    <mergeCell ref="N196:R196"/>
    <mergeCell ref="S196:W196"/>
    <mergeCell ref="X196:AA196"/>
    <mergeCell ref="D197:H197"/>
    <mergeCell ref="I197:M197"/>
    <mergeCell ref="N197:R197"/>
    <mergeCell ref="S197:W197"/>
    <mergeCell ref="X197:AA197"/>
    <mergeCell ref="D198:H198"/>
    <mergeCell ref="I198:M198"/>
    <mergeCell ref="N198:R198"/>
    <mergeCell ref="S198:W198"/>
    <mergeCell ref="X198:AA198"/>
    <mergeCell ref="D199:H199"/>
    <mergeCell ref="I199:M199"/>
    <mergeCell ref="N199:R199"/>
    <mergeCell ref="S199:W199"/>
    <mergeCell ref="X199:AA199"/>
    <mergeCell ref="D200:H200"/>
    <mergeCell ref="I200:M200"/>
    <mergeCell ref="N200:R200"/>
    <mergeCell ref="S200:W200"/>
    <mergeCell ref="X200:AA200"/>
    <mergeCell ref="D201:H201"/>
    <mergeCell ref="I201:M201"/>
    <mergeCell ref="N201:R201"/>
    <mergeCell ref="S201:W201"/>
    <mergeCell ref="X201:AA201"/>
    <mergeCell ref="D202:H202"/>
    <mergeCell ref="I202:M202"/>
    <mergeCell ref="N202:R202"/>
    <mergeCell ref="S202:W202"/>
    <mergeCell ref="X202:AA202"/>
    <mergeCell ref="D203:H203"/>
    <mergeCell ref="I203:M203"/>
    <mergeCell ref="N203:R203"/>
    <mergeCell ref="S203:W203"/>
    <mergeCell ref="X203:AA203"/>
    <mergeCell ref="D204:H204"/>
    <mergeCell ref="I204:M204"/>
    <mergeCell ref="N204:R204"/>
    <mergeCell ref="S204:W204"/>
    <mergeCell ref="X204:AA204"/>
    <mergeCell ref="D205:H205"/>
    <mergeCell ref="I205:M205"/>
    <mergeCell ref="N205:R205"/>
    <mergeCell ref="S205:W205"/>
    <mergeCell ref="X205:AA205"/>
    <mergeCell ref="D206:H206"/>
    <mergeCell ref="I206:M206"/>
    <mergeCell ref="N206:R206"/>
    <mergeCell ref="S206:W206"/>
    <mergeCell ref="X206:AA206"/>
    <mergeCell ref="D207:H207"/>
    <mergeCell ref="I207:M207"/>
    <mergeCell ref="N207:R207"/>
    <mergeCell ref="S207:W207"/>
    <mergeCell ref="X207:AA207"/>
    <mergeCell ref="D208:H208"/>
    <mergeCell ref="I208:M208"/>
    <mergeCell ref="N208:R208"/>
    <mergeCell ref="S208:W208"/>
    <mergeCell ref="X208:AA208"/>
    <mergeCell ref="D209:H209"/>
    <mergeCell ref="I209:M209"/>
    <mergeCell ref="N209:R209"/>
    <mergeCell ref="S209:W209"/>
    <mergeCell ref="X209:AA209"/>
    <mergeCell ref="D210:H210"/>
    <mergeCell ref="I210:M210"/>
    <mergeCell ref="N210:R210"/>
    <mergeCell ref="S210:W210"/>
    <mergeCell ref="X210:AA210"/>
    <mergeCell ref="D211:H211"/>
    <mergeCell ref="I211:M211"/>
    <mergeCell ref="N211:R211"/>
    <mergeCell ref="S211:W211"/>
    <mergeCell ref="X211:AA211"/>
    <mergeCell ref="D212:H212"/>
    <mergeCell ref="I212:M212"/>
    <mergeCell ref="N212:R212"/>
    <mergeCell ref="S212:W212"/>
    <mergeCell ref="X212:AA212"/>
    <mergeCell ref="D213:H213"/>
    <mergeCell ref="I213:M213"/>
    <mergeCell ref="N213:R213"/>
    <mergeCell ref="S213:W213"/>
    <mergeCell ref="X213:AA213"/>
    <mergeCell ref="D214:H214"/>
    <mergeCell ref="I214:M214"/>
    <mergeCell ref="N214:R214"/>
    <mergeCell ref="S214:W214"/>
    <mergeCell ref="X214:AA214"/>
    <mergeCell ref="E216:H216"/>
    <mergeCell ref="K216:N216"/>
    <mergeCell ref="Q216:T216"/>
    <mergeCell ref="W216:AA216"/>
    <mergeCell ref="G218:K218"/>
    <mergeCell ref="P218:T218"/>
    <mergeCell ref="W218:AA218"/>
    <mergeCell ref="G219:K219"/>
    <mergeCell ref="P219:T219"/>
    <mergeCell ref="W219:AA219"/>
    <mergeCell ref="B221:C221"/>
    <mergeCell ref="D221:H221"/>
    <mergeCell ref="I221:M221"/>
    <mergeCell ref="N221:R221"/>
    <mergeCell ref="S221:W221"/>
    <mergeCell ref="X221:AA221"/>
    <mergeCell ref="D222:H222"/>
    <mergeCell ref="I222:M222"/>
    <mergeCell ref="N222:R222"/>
    <mergeCell ref="S222:W222"/>
    <mergeCell ref="X222:AA222"/>
    <mergeCell ref="D223:H223"/>
    <mergeCell ref="I223:M223"/>
    <mergeCell ref="N223:R223"/>
    <mergeCell ref="S223:W223"/>
    <mergeCell ref="X223:AA223"/>
    <mergeCell ref="D224:H224"/>
    <mergeCell ref="I224:M224"/>
    <mergeCell ref="N224:R224"/>
    <mergeCell ref="S224:W224"/>
    <mergeCell ref="X224:AA224"/>
    <mergeCell ref="D225:H225"/>
    <mergeCell ref="I225:M225"/>
    <mergeCell ref="N225:R225"/>
    <mergeCell ref="S225:W225"/>
    <mergeCell ref="X225:AA225"/>
    <mergeCell ref="D226:H226"/>
    <mergeCell ref="I226:M226"/>
    <mergeCell ref="N226:R226"/>
    <mergeCell ref="S226:W226"/>
    <mergeCell ref="X226:AA226"/>
    <mergeCell ref="D227:H227"/>
    <mergeCell ref="I227:M227"/>
    <mergeCell ref="N227:R227"/>
    <mergeCell ref="S227:W227"/>
    <mergeCell ref="X227:AA227"/>
    <mergeCell ref="D228:H228"/>
    <mergeCell ref="I228:M228"/>
    <mergeCell ref="N228:R228"/>
    <mergeCell ref="S228:W228"/>
    <mergeCell ref="X228:AA228"/>
    <mergeCell ref="D229:H229"/>
    <mergeCell ref="I229:M229"/>
    <mergeCell ref="N229:R229"/>
    <mergeCell ref="S229:W229"/>
    <mergeCell ref="X229:AA229"/>
    <mergeCell ref="D230:H230"/>
    <mergeCell ref="I230:M230"/>
    <mergeCell ref="N230:R230"/>
    <mergeCell ref="S230:W230"/>
    <mergeCell ref="X230:AA230"/>
    <mergeCell ref="D231:H231"/>
    <mergeCell ref="I231:M231"/>
    <mergeCell ref="N231:R231"/>
    <mergeCell ref="S231:W231"/>
    <mergeCell ref="X231:AA231"/>
    <mergeCell ref="D232:H232"/>
    <mergeCell ref="I232:M232"/>
    <mergeCell ref="N232:R232"/>
    <mergeCell ref="S232:W232"/>
    <mergeCell ref="X232:AA232"/>
    <mergeCell ref="D233:H233"/>
    <mergeCell ref="I233:M233"/>
    <mergeCell ref="N233:R233"/>
    <mergeCell ref="S233:W233"/>
    <mergeCell ref="X233:AA233"/>
    <mergeCell ref="D234:H234"/>
    <mergeCell ref="I234:M234"/>
    <mergeCell ref="N234:R234"/>
    <mergeCell ref="S234:W234"/>
    <mergeCell ref="X234:AA234"/>
    <mergeCell ref="D235:H235"/>
    <mergeCell ref="I235:M235"/>
    <mergeCell ref="N235:R235"/>
    <mergeCell ref="S235:W235"/>
    <mergeCell ref="X235:AA235"/>
    <mergeCell ref="D236:H236"/>
    <mergeCell ref="I236:M236"/>
    <mergeCell ref="N236:R236"/>
    <mergeCell ref="S236:W236"/>
    <mergeCell ref="X236:AA236"/>
    <mergeCell ref="D237:H237"/>
    <mergeCell ref="I237:M237"/>
    <mergeCell ref="N237:R237"/>
    <mergeCell ref="S237:W237"/>
    <mergeCell ref="X237:AA237"/>
    <mergeCell ref="D238:H238"/>
    <mergeCell ref="I238:M238"/>
    <mergeCell ref="N238:R238"/>
    <mergeCell ref="S238:W238"/>
    <mergeCell ref="X238:AA238"/>
    <mergeCell ref="D239:H239"/>
    <mergeCell ref="I239:M239"/>
    <mergeCell ref="N239:R239"/>
    <mergeCell ref="S239:W239"/>
    <mergeCell ref="X239:AA239"/>
    <mergeCell ref="D240:H240"/>
    <mergeCell ref="I240:M240"/>
    <mergeCell ref="N240:R240"/>
    <mergeCell ref="S240:W240"/>
    <mergeCell ref="X240:AA240"/>
    <mergeCell ref="D241:H241"/>
    <mergeCell ref="I241:M241"/>
    <mergeCell ref="N241:R241"/>
    <mergeCell ref="S241:W241"/>
    <mergeCell ref="X241:AA241"/>
    <mergeCell ref="D242:H242"/>
    <mergeCell ref="I242:M242"/>
    <mergeCell ref="N242:R242"/>
    <mergeCell ref="S242:W242"/>
    <mergeCell ref="X242:AA242"/>
    <mergeCell ref="D243:H243"/>
    <mergeCell ref="I243:M243"/>
    <mergeCell ref="N243:R243"/>
    <mergeCell ref="S243:W243"/>
    <mergeCell ref="X243:AA243"/>
    <mergeCell ref="D244:H244"/>
    <mergeCell ref="I244:M244"/>
    <mergeCell ref="N244:R244"/>
    <mergeCell ref="S244:W244"/>
    <mergeCell ref="X244:AA244"/>
    <mergeCell ref="D245:H245"/>
    <mergeCell ref="I245:M245"/>
    <mergeCell ref="N245:R245"/>
    <mergeCell ref="S245:W245"/>
    <mergeCell ref="X245:AA245"/>
    <mergeCell ref="D246:H246"/>
    <mergeCell ref="I246:M246"/>
    <mergeCell ref="N246:R246"/>
    <mergeCell ref="S246:W246"/>
    <mergeCell ref="X246:AA246"/>
    <mergeCell ref="D247:H247"/>
    <mergeCell ref="I247:M247"/>
    <mergeCell ref="N247:R247"/>
    <mergeCell ref="S247:W247"/>
    <mergeCell ref="X247:AA247"/>
    <mergeCell ref="D248:H248"/>
    <mergeCell ref="I248:M248"/>
    <mergeCell ref="N248:R248"/>
    <mergeCell ref="S248:W248"/>
    <mergeCell ref="X248:AA248"/>
    <mergeCell ref="D249:H249"/>
    <mergeCell ref="I249:M249"/>
    <mergeCell ref="N249:R249"/>
    <mergeCell ref="S249:W249"/>
    <mergeCell ref="X249:AA249"/>
    <mergeCell ref="D250:H250"/>
    <mergeCell ref="I250:M250"/>
    <mergeCell ref="N250:R250"/>
    <mergeCell ref="S250:W250"/>
    <mergeCell ref="X250:AA250"/>
    <mergeCell ref="D251:H251"/>
    <mergeCell ref="I251:M251"/>
    <mergeCell ref="N251:R251"/>
    <mergeCell ref="S251:W251"/>
    <mergeCell ref="X251:AA251"/>
    <mergeCell ref="D252:H252"/>
    <mergeCell ref="I252:M252"/>
    <mergeCell ref="N252:R252"/>
    <mergeCell ref="S252:W252"/>
    <mergeCell ref="X252:AA252"/>
    <mergeCell ref="D253:H253"/>
    <mergeCell ref="I253:M253"/>
    <mergeCell ref="N253:R253"/>
    <mergeCell ref="S253:W253"/>
    <mergeCell ref="X253:AA253"/>
    <mergeCell ref="D254:H254"/>
    <mergeCell ref="I254:M254"/>
    <mergeCell ref="N254:R254"/>
    <mergeCell ref="S254:W254"/>
    <mergeCell ref="X254:AA254"/>
    <mergeCell ref="D255:H255"/>
    <mergeCell ref="I255:M255"/>
    <mergeCell ref="N255:R255"/>
    <mergeCell ref="S255:W255"/>
    <mergeCell ref="X255:AA255"/>
    <mergeCell ref="D256:H256"/>
    <mergeCell ref="I256:M256"/>
    <mergeCell ref="N256:R256"/>
    <mergeCell ref="S256:W256"/>
    <mergeCell ref="X256:AA256"/>
    <mergeCell ref="D257:H257"/>
    <mergeCell ref="I257:M257"/>
    <mergeCell ref="N257:R257"/>
    <mergeCell ref="S257:W257"/>
    <mergeCell ref="X257:AA257"/>
    <mergeCell ref="D258:H258"/>
    <mergeCell ref="I258:M258"/>
    <mergeCell ref="N258:R258"/>
    <mergeCell ref="S258:W258"/>
    <mergeCell ref="X258:AA258"/>
    <mergeCell ref="D259:H259"/>
    <mergeCell ref="I259:M259"/>
    <mergeCell ref="N259:R259"/>
    <mergeCell ref="S259:W259"/>
    <mergeCell ref="X259:AA259"/>
    <mergeCell ref="D260:H260"/>
    <mergeCell ref="I260:M260"/>
    <mergeCell ref="N260:R260"/>
    <mergeCell ref="S260:W260"/>
    <mergeCell ref="X260:AA260"/>
    <mergeCell ref="D261:H261"/>
    <mergeCell ref="I261:M261"/>
    <mergeCell ref="N261:R261"/>
    <mergeCell ref="S261:W261"/>
    <mergeCell ref="X261:AA261"/>
  </mergeCells>
  <phoneticPr fontId="1"/>
  <dataValidations count="11">
    <dataValidation type="list" errorStyle="information" allowBlank="1" showInputMessage="1" showErrorMessage="1" sqref="L10:M19 JI10:JJ19 TE10:TF19 ADA10:ADB19 AMW10:AMX19 AWS10:AWT19 BGO10:BGP19 BQK10:BQL19 CAG10:CAH19 CKC10:CKD19 CTY10:CTZ19 DDU10:DDV19 DNQ10:DNR19 DXM10:DXN19 EHI10:EHJ19 ERE10:ERF19 FBA10:FBB19 FKW10:FKX19 FUS10:FUT19 GEO10:GEP19 GOK10:GOL19 GYG10:GYH19 HIC10:HID19 HRY10:HRZ19 IBU10:IBV19 ILQ10:ILR19 IVM10:IVN19 JFI10:JFJ19 JPE10:JPF19 JZA10:JZB19 KIW10:KIX19 KSS10:KST19 LCO10:LCP19 LMK10:LML19 LWG10:LWH19 MGC10:MGD19 MPY10:MPZ19 MZU10:MZV19 NJQ10:NJR19 NTM10:NTN19 ODI10:ODJ19 ONE10:ONF19 OXA10:OXB19 PGW10:PGX19 PQS10:PQT19 QAO10:QAP19 QKK10:QKL19 QUG10:QUH19 REC10:RED19 RNY10:RNZ19 RXU10:RXV19 SHQ10:SHR19 SRM10:SRN19 TBI10:TBJ19 TLE10:TLF19 TVA10:TVB19 UEW10:UEX19 UOS10:UOT19 UYO10:UYP19 VIK10:VIL19 VSG10:VSH19 WCC10:WCD19 WLY10:WLZ19 WVU10:WVV19 L64093:M64102 JI64093:JJ64102 TE64093:TF64102 ADA64093:ADB64102 AMW64093:AMX64102 AWS64093:AWT64102 BGO64093:BGP64102 BQK64093:BQL64102 CAG64093:CAH64102 CKC64093:CKD64102 CTY64093:CTZ64102 DDU64093:DDV64102 DNQ64093:DNR64102 DXM64093:DXN64102 EHI64093:EHJ64102 ERE64093:ERF64102 FBA64093:FBB64102 FKW64093:FKX64102 FUS64093:FUT64102 GEO64093:GEP64102 GOK64093:GOL64102 GYG64093:GYH64102 HIC64093:HID64102 HRY64093:HRZ64102 IBU64093:IBV64102 ILQ64093:ILR64102 IVM64093:IVN64102 JFI64093:JFJ64102 JPE64093:JPF64102 JZA64093:JZB64102 KIW64093:KIX64102 KSS64093:KST64102 LCO64093:LCP64102 LMK64093:LML64102 LWG64093:LWH64102 MGC64093:MGD64102 MPY64093:MPZ64102 MZU64093:MZV64102 NJQ64093:NJR64102 NTM64093:NTN64102 ODI64093:ODJ64102 ONE64093:ONF64102 OXA64093:OXB64102 PGW64093:PGX64102 PQS64093:PQT64102 QAO64093:QAP64102 QKK64093:QKL64102 QUG64093:QUH64102 REC64093:RED64102 RNY64093:RNZ64102 RXU64093:RXV64102 SHQ64093:SHR64102 SRM64093:SRN64102 TBI64093:TBJ64102 TLE64093:TLF64102 TVA64093:TVB64102 UEW64093:UEX64102 UOS64093:UOT64102 UYO64093:UYP64102 VIK64093:VIL64102 VSG64093:VSH64102 WCC64093:WCD64102 WLY64093:WLZ64102 WVU64093:WVV64102 L129629:M129638 JI129629:JJ129638 TE129629:TF129638 ADA129629:ADB129638 AMW129629:AMX129638 AWS129629:AWT129638 BGO129629:BGP129638 BQK129629:BQL129638 CAG129629:CAH129638 CKC129629:CKD129638 CTY129629:CTZ129638 DDU129629:DDV129638 DNQ129629:DNR129638 DXM129629:DXN129638 EHI129629:EHJ129638 ERE129629:ERF129638 FBA129629:FBB129638 FKW129629:FKX129638 FUS129629:FUT129638 GEO129629:GEP129638 GOK129629:GOL129638 GYG129629:GYH129638 HIC129629:HID129638 HRY129629:HRZ129638 IBU129629:IBV129638 ILQ129629:ILR129638 IVM129629:IVN129638 JFI129629:JFJ129638 JPE129629:JPF129638 JZA129629:JZB129638 KIW129629:KIX129638 KSS129629:KST129638 LCO129629:LCP129638 LMK129629:LML129638 LWG129629:LWH129638 MGC129629:MGD129638 MPY129629:MPZ129638 MZU129629:MZV129638 NJQ129629:NJR129638 NTM129629:NTN129638 ODI129629:ODJ129638 ONE129629:ONF129638 OXA129629:OXB129638 PGW129629:PGX129638 PQS129629:PQT129638 QAO129629:QAP129638 QKK129629:QKL129638 QUG129629:QUH129638 REC129629:RED129638 RNY129629:RNZ129638 RXU129629:RXV129638 SHQ129629:SHR129638 SRM129629:SRN129638 TBI129629:TBJ129638 TLE129629:TLF129638 TVA129629:TVB129638 UEW129629:UEX129638 UOS129629:UOT129638 UYO129629:UYP129638 VIK129629:VIL129638 VSG129629:VSH129638 WCC129629:WCD129638 WLY129629:WLZ129638 WVU129629:WVV129638 L195165:M195174 JI195165:JJ195174 TE195165:TF195174 ADA195165:ADB195174 AMW195165:AMX195174 AWS195165:AWT195174 BGO195165:BGP195174 BQK195165:BQL195174 CAG195165:CAH195174 CKC195165:CKD195174 CTY195165:CTZ195174 DDU195165:DDV195174 DNQ195165:DNR195174 DXM195165:DXN195174 EHI195165:EHJ195174 ERE195165:ERF195174 FBA195165:FBB195174 FKW195165:FKX195174 FUS195165:FUT195174 GEO195165:GEP195174 GOK195165:GOL195174 GYG195165:GYH195174 HIC195165:HID195174 HRY195165:HRZ195174 IBU195165:IBV195174 ILQ195165:ILR195174 IVM195165:IVN195174 JFI195165:JFJ195174 JPE195165:JPF195174 JZA195165:JZB195174 KIW195165:KIX195174 KSS195165:KST195174 LCO195165:LCP195174 LMK195165:LML195174 LWG195165:LWH195174 MGC195165:MGD195174 MPY195165:MPZ195174 MZU195165:MZV195174 NJQ195165:NJR195174 NTM195165:NTN195174 ODI195165:ODJ195174 ONE195165:ONF195174 OXA195165:OXB195174 PGW195165:PGX195174 PQS195165:PQT195174 QAO195165:QAP195174 QKK195165:QKL195174 QUG195165:QUH195174 REC195165:RED195174 RNY195165:RNZ195174 RXU195165:RXV195174 SHQ195165:SHR195174 SRM195165:SRN195174 TBI195165:TBJ195174 TLE195165:TLF195174 TVA195165:TVB195174 UEW195165:UEX195174 UOS195165:UOT195174 UYO195165:UYP195174 VIK195165:VIL195174 VSG195165:VSH195174 WCC195165:WCD195174 WLY195165:WLZ195174 WVU195165:WVV195174 L260701:M260710 JI260701:JJ260710 TE260701:TF260710 ADA260701:ADB260710 AMW260701:AMX260710 AWS260701:AWT260710 BGO260701:BGP260710 BQK260701:BQL260710 CAG260701:CAH260710 CKC260701:CKD260710 CTY260701:CTZ260710 DDU260701:DDV260710 DNQ260701:DNR260710 DXM260701:DXN260710 EHI260701:EHJ260710 ERE260701:ERF260710 FBA260701:FBB260710 FKW260701:FKX260710 FUS260701:FUT260710 GEO260701:GEP260710 GOK260701:GOL260710 GYG260701:GYH260710 HIC260701:HID260710 HRY260701:HRZ260710 IBU260701:IBV260710 ILQ260701:ILR260710 IVM260701:IVN260710 JFI260701:JFJ260710 JPE260701:JPF260710 JZA260701:JZB260710 KIW260701:KIX260710 KSS260701:KST260710 LCO260701:LCP260710 LMK260701:LML260710 LWG260701:LWH260710 MGC260701:MGD260710 MPY260701:MPZ260710 MZU260701:MZV260710 NJQ260701:NJR260710 NTM260701:NTN260710 ODI260701:ODJ260710 ONE260701:ONF260710 OXA260701:OXB260710 PGW260701:PGX260710 PQS260701:PQT260710 QAO260701:QAP260710 QKK260701:QKL260710 QUG260701:QUH260710 REC260701:RED260710 RNY260701:RNZ260710 RXU260701:RXV260710 SHQ260701:SHR260710 SRM260701:SRN260710 TBI260701:TBJ260710 TLE260701:TLF260710 TVA260701:TVB260710 UEW260701:UEX260710 UOS260701:UOT260710 UYO260701:UYP260710 VIK260701:VIL260710 VSG260701:VSH260710 WCC260701:WCD260710 WLY260701:WLZ260710 WVU260701:WVV260710 L326237:M326246 JI326237:JJ326246 TE326237:TF326246 ADA326237:ADB326246 AMW326237:AMX326246 AWS326237:AWT326246 BGO326237:BGP326246 BQK326237:BQL326246 CAG326237:CAH326246 CKC326237:CKD326246 CTY326237:CTZ326246 DDU326237:DDV326246 DNQ326237:DNR326246 DXM326237:DXN326246 EHI326237:EHJ326246 ERE326237:ERF326246 FBA326237:FBB326246 FKW326237:FKX326246 FUS326237:FUT326246 GEO326237:GEP326246 GOK326237:GOL326246 GYG326237:GYH326246 HIC326237:HID326246 HRY326237:HRZ326246 IBU326237:IBV326246 ILQ326237:ILR326246 IVM326237:IVN326246 JFI326237:JFJ326246 JPE326237:JPF326246 JZA326237:JZB326246 KIW326237:KIX326246 KSS326237:KST326246 LCO326237:LCP326246 LMK326237:LML326246 LWG326237:LWH326246 MGC326237:MGD326246 MPY326237:MPZ326246 MZU326237:MZV326246 NJQ326237:NJR326246 NTM326237:NTN326246 ODI326237:ODJ326246 ONE326237:ONF326246 OXA326237:OXB326246 PGW326237:PGX326246 PQS326237:PQT326246 QAO326237:QAP326246 QKK326237:QKL326246 QUG326237:QUH326246 REC326237:RED326246 RNY326237:RNZ326246 RXU326237:RXV326246 SHQ326237:SHR326246 SRM326237:SRN326246 TBI326237:TBJ326246 TLE326237:TLF326246 TVA326237:TVB326246 UEW326237:UEX326246 UOS326237:UOT326246 UYO326237:UYP326246 VIK326237:VIL326246 VSG326237:VSH326246 WCC326237:WCD326246 WLY326237:WLZ326246 WVU326237:WVV326246 L391773:M391782 JI391773:JJ391782 TE391773:TF391782 ADA391773:ADB391782 AMW391773:AMX391782 AWS391773:AWT391782 BGO391773:BGP391782 BQK391773:BQL391782 CAG391773:CAH391782 CKC391773:CKD391782 CTY391773:CTZ391782 DDU391773:DDV391782 DNQ391773:DNR391782 DXM391773:DXN391782 EHI391773:EHJ391782 ERE391773:ERF391782 FBA391773:FBB391782 FKW391773:FKX391782 FUS391773:FUT391782 GEO391773:GEP391782 GOK391773:GOL391782 GYG391773:GYH391782 HIC391773:HID391782 HRY391773:HRZ391782 IBU391773:IBV391782 ILQ391773:ILR391782 IVM391773:IVN391782 JFI391773:JFJ391782 JPE391773:JPF391782 JZA391773:JZB391782 KIW391773:KIX391782 KSS391773:KST391782 LCO391773:LCP391782 LMK391773:LML391782 LWG391773:LWH391782 MGC391773:MGD391782 MPY391773:MPZ391782 MZU391773:MZV391782 NJQ391773:NJR391782 NTM391773:NTN391782 ODI391773:ODJ391782 ONE391773:ONF391782 OXA391773:OXB391782 PGW391773:PGX391782 PQS391773:PQT391782 QAO391773:QAP391782 QKK391773:QKL391782 QUG391773:QUH391782 REC391773:RED391782 RNY391773:RNZ391782 RXU391773:RXV391782 SHQ391773:SHR391782 SRM391773:SRN391782 TBI391773:TBJ391782 TLE391773:TLF391782 TVA391773:TVB391782 UEW391773:UEX391782 UOS391773:UOT391782 UYO391773:UYP391782 VIK391773:VIL391782 VSG391773:VSH391782 WCC391773:WCD391782 WLY391773:WLZ391782 WVU391773:WVV391782 L457309:M457318 JI457309:JJ457318 TE457309:TF457318 ADA457309:ADB457318 AMW457309:AMX457318 AWS457309:AWT457318 BGO457309:BGP457318 BQK457309:BQL457318 CAG457309:CAH457318 CKC457309:CKD457318 CTY457309:CTZ457318 DDU457309:DDV457318 DNQ457309:DNR457318 DXM457309:DXN457318 EHI457309:EHJ457318 ERE457309:ERF457318 FBA457309:FBB457318 FKW457309:FKX457318 FUS457309:FUT457318 GEO457309:GEP457318 GOK457309:GOL457318 GYG457309:GYH457318 HIC457309:HID457318 HRY457309:HRZ457318 IBU457309:IBV457318 ILQ457309:ILR457318 IVM457309:IVN457318 JFI457309:JFJ457318 JPE457309:JPF457318 JZA457309:JZB457318 KIW457309:KIX457318 KSS457309:KST457318 LCO457309:LCP457318 LMK457309:LML457318 LWG457309:LWH457318 MGC457309:MGD457318 MPY457309:MPZ457318 MZU457309:MZV457318 NJQ457309:NJR457318 NTM457309:NTN457318 ODI457309:ODJ457318 ONE457309:ONF457318 OXA457309:OXB457318 PGW457309:PGX457318 PQS457309:PQT457318 QAO457309:QAP457318 QKK457309:QKL457318 QUG457309:QUH457318 REC457309:RED457318 RNY457309:RNZ457318 RXU457309:RXV457318 SHQ457309:SHR457318 SRM457309:SRN457318 TBI457309:TBJ457318 TLE457309:TLF457318 TVA457309:TVB457318 UEW457309:UEX457318 UOS457309:UOT457318 UYO457309:UYP457318 VIK457309:VIL457318 VSG457309:VSH457318 WCC457309:WCD457318 WLY457309:WLZ457318 WVU457309:WVV457318 L522845:M522854 JI522845:JJ522854 TE522845:TF522854 ADA522845:ADB522854 AMW522845:AMX522854 AWS522845:AWT522854 BGO522845:BGP522854 BQK522845:BQL522854 CAG522845:CAH522854 CKC522845:CKD522854 CTY522845:CTZ522854 DDU522845:DDV522854 DNQ522845:DNR522854 DXM522845:DXN522854 EHI522845:EHJ522854 ERE522845:ERF522854 FBA522845:FBB522854 FKW522845:FKX522854 FUS522845:FUT522854 GEO522845:GEP522854 GOK522845:GOL522854 GYG522845:GYH522854 HIC522845:HID522854 HRY522845:HRZ522854 IBU522845:IBV522854 ILQ522845:ILR522854 IVM522845:IVN522854 JFI522845:JFJ522854 JPE522845:JPF522854 JZA522845:JZB522854 KIW522845:KIX522854 KSS522845:KST522854 LCO522845:LCP522854 LMK522845:LML522854 LWG522845:LWH522854 MGC522845:MGD522854 MPY522845:MPZ522854 MZU522845:MZV522854 NJQ522845:NJR522854 NTM522845:NTN522854 ODI522845:ODJ522854 ONE522845:ONF522854 OXA522845:OXB522854 PGW522845:PGX522854 PQS522845:PQT522854 QAO522845:QAP522854 QKK522845:QKL522854 QUG522845:QUH522854 REC522845:RED522854 RNY522845:RNZ522854 RXU522845:RXV522854 SHQ522845:SHR522854 SRM522845:SRN522854 TBI522845:TBJ522854 TLE522845:TLF522854 TVA522845:TVB522854 UEW522845:UEX522854 UOS522845:UOT522854 UYO522845:UYP522854 VIK522845:VIL522854 VSG522845:VSH522854 WCC522845:WCD522854 WLY522845:WLZ522854 WVU522845:WVV522854 L588381:M588390 JI588381:JJ588390 TE588381:TF588390 ADA588381:ADB588390 AMW588381:AMX588390 AWS588381:AWT588390 BGO588381:BGP588390 BQK588381:BQL588390 CAG588381:CAH588390 CKC588381:CKD588390 CTY588381:CTZ588390 DDU588381:DDV588390 DNQ588381:DNR588390 DXM588381:DXN588390 EHI588381:EHJ588390 ERE588381:ERF588390 FBA588381:FBB588390 FKW588381:FKX588390 FUS588381:FUT588390 GEO588381:GEP588390 GOK588381:GOL588390 GYG588381:GYH588390 HIC588381:HID588390 HRY588381:HRZ588390 IBU588381:IBV588390 ILQ588381:ILR588390 IVM588381:IVN588390 JFI588381:JFJ588390 JPE588381:JPF588390 JZA588381:JZB588390 KIW588381:KIX588390 KSS588381:KST588390 LCO588381:LCP588390 LMK588381:LML588390 LWG588381:LWH588390 MGC588381:MGD588390 MPY588381:MPZ588390 MZU588381:MZV588390 NJQ588381:NJR588390 NTM588381:NTN588390 ODI588381:ODJ588390 ONE588381:ONF588390 OXA588381:OXB588390 PGW588381:PGX588390 PQS588381:PQT588390 QAO588381:QAP588390 QKK588381:QKL588390 QUG588381:QUH588390 REC588381:RED588390 RNY588381:RNZ588390 RXU588381:RXV588390 SHQ588381:SHR588390 SRM588381:SRN588390 TBI588381:TBJ588390 TLE588381:TLF588390 TVA588381:TVB588390 UEW588381:UEX588390 UOS588381:UOT588390 UYO588381:UYP588390 VIK588381:VIL588390 VSG588381:VSH588390 WCC588381:WCD588390 WLY588381:WLZ588390 WVU588381:WVV588390 L653917:M653926 JI653917:JJ653926 TE653917:TF653926 ADA653917:ADB653926 AMW653917:AMX653926 AWS653917:AWT653926 BGO653917:BGP653926 BQK653917:BQL653926 CAG653917:CAH653926 CKC653917:CKD653926 CTY653917:CTZ653926 DDU653917:DDV653926 DNQ653917:DNR653926 DXM653917:DXN653926 EHI653917:EHJ653926 ERE653917:ERF653926 FBA653917:FBB653926 FKW653917:FKX653926 FUS653917:FUT653926 GEO653917:GEP653926 GOK653917:GOL653926 GYG653917:GYH653926 HIC653917:HID653926 HRY653917:HRZ653926 IBU653917:IBV653926 ILQ653917:ILR653926 IVM653917:IVN653926 JFI653917:JFJ653926 JPE653917:JPF653926 JZA653917:JZB653926 KIW653917:KIX653926 KSS653917:KST653926 LCO653917:LCP653926 LMK653917:LML653926 LWG653917:LWH653926 MGC653917:MGD653926 MPY653917:MPZ653926 MZU653917:MZV653926 NJQ653917:NJR653926 NTM653917:NTN653926 ODI653917:ODJ653926 ONE653917:ONF653926 OXA653917:OXB653926 PGW653917:PGX653926 PQS653917:PQT653926 QAO653917:QAP653926 QKK653917:QKL653926 QUG653917:QUH653926 REC653917:RED653926 RNY653917:RNZ653926 RXU653917:RXV653926 SHQ653917:SHR653926 SRM653917:SRN653926 TBI653917:TBJ653926 TLE653917:TLF653926 TVA653917:TVB653926 UEW653917:UEX653926 UOS653917:UOT653926 UYO653917:UYP653926 VIK653917:VIL653926 VSG653917:VSH653926 WCC653917:WCD653926 WLY653917:WLZ653926 WVU653917:WVV653926 L719453:M719462 JI719453:JJ719462 TE719453:TF719462 ADA719453:ADB719462 AMW719453:AMX719462 AWS719453:AWT719462 BGO719453:BGP719462 BQK719453:BQL719462 CAG719453:CAH719462 CKC719453:CKD719462 CTY719453:CTZ719462 DDU719453:DDV719462 DNQ719453:DNR719462 DXM719453:DXN719462 EHI719453:EHJ719462 ERE719453:ERF719462 FBA719453:FBB719462 FKW719453:FKX719462 FUS719453:FUT719462 GEO719453:GEP719462 GOK719453:GOL719462 GYG719453:GYH719462 HIC719453:HID719462 HRY719453:HRZ719462 IBU719453:IBV719462 ILQ719453:ILR719462 IVM719453:IVN719462 JFI719453:JFJ719462 JPE719453:JPF719462 JZA719453:JZB719462 KIW719453:KIX719462 KSS719453:KST719462 LCO719453:LCP719462 LMK719453:LML719462 LWG719453:LWH719462 MGC719453:MGD719462 MPY719453:MPZ719462 MZU719453:MZV719462 NJQ719453:NJR719462 NTM719453:NTN719462 ODI719453:ODJ719462 ONE719453:ONF719462 OXA719453:OXB719462 PGW719453:PGX719462 PQS719453:PQT719462 QAO719453:QAP719462 QKK719453:QKL719462 QUG719453:QUH719462 REC719453:RED719462 RNY719453:RNZ719462 RXU719453:RXV719462 SHQ719453:SHR719462 SRM719453:SRN719462 TBI719453:TBJ719462 TLE719453:TLF719462 TVA719453:TVB719462 UEW719453:UEX719462 UOS719453:UOT719462 UYO719453:UYP719462 VIK719453:VIL719462 VSG719453:VSH719462 WCC719453:WCD719462 WLY719453:WLZ719462 WVU719453:WVV719462 L784989:M784998 JI784989:JJ784998 TE784989:TF784998 ADA784989:ADB784998 AMW784989:AMX784998 AWS784989:AWT784998 BGO784989:BGP784998 BQK784989:BQL784998 CAG784989:CAH784998 CKC784989:CKD784998 CTY784989:CTZ784998 DDU784989:DDV784998 DNQ784989:DNR784998 DXM784989:DXN784998 EHI784989:EHJ784998 ERE784989:ERF784998 FBA784989:FBB784998 FKW784989:FKX784998 FUS784989:FUT784998 GEO784989:GEP784998 GOK784989:GOL784998 GYG784989:GYH784998 HIC784989:HID784998 HRY784989:HRZ784998 IBU784989:IBV784998 ILQ784989:ILR784998 IVM784989:IVN784998 JFI784989:JFJ784998 JPE784989:JPF784998 JZA784989:JZB784998 KIW784989:KIX784998 KSS784989:KST784998 LCO784989:LCP784998 LMK784989:LML784998 LWG784989:LWH784998 MGC784989:MGD784998 MPY784989:MPZ784998 MZU784989:MZV784998 NJQ784989:NJR784998 NTM784989:NTN784998 ODI784989:ODJ784998 ONE784989:ONF784998 OXA784989:OXB784998 PGW784989:PGX784998 PQS784989:PQT784998 QAO784989:QAP784998 QKK784989:QKL784998 QUG784989:QUH784998 REC784989:RED784998 RNY784989:RNZ784998 RXU784989:RXV784998 SHQ784989:SHR784998 SRM784989:SRN784998 TBI784989:TBJ784998 TLE784989:TLF784998 TVA784989:TVB784998 UEW784989:UEX784998 UOS784989:UOT784998 UYO784989:UYP784998 VIK784989:VIL784998 VSG784989:VSH784998 WCC784989:WCD784998 WLY784989:WLZ784998 WVU784989:WVV784998 L850525:M850534 JI850525:JJ850534 TE850525:TF850534 ADA850525:ADB850534 AMW850525:AMX850534 AWS850525:AWT850534 BGO850525:BGP850534 BQK850525:BQL850534 CAG850525:CAH850534 CKC850525:CKD850534 CTY850525:CTZ850534 DDU850525:DDV850534 DNQ850525:DNR850534 DXM850525:DXN850534 EHI850525:EHJ850534 ERE850525:ERF850534 FBA850525:FBB850534 FKW850525:FKX850534 FUS850525:FUT850534 GEO850525:GEP850534 GOK850525:GOL850534 GYG850525:GYH850534 HIC850525:HID850534 HRY850525:HRZ850534 IBU850525:IBV850534 ILQ850525:ILR850534 IVM850525:IVN850534 JFI850525:JFJ850534 JPE850525:JPF850534 JZA850525:JZB850534 KIW850525:KIX850534 KSS850525:KST850534 LCO850525:LCP850534 LMK850525:LML850534 LWG850525:LWH850534 MGC850525:MGD850534 MPY850525:MPZ850534 MZU850525:MZV850534 NJQ850525:NJR850534 NTM850525:NTN850534 ODI850525:ODJ850534 ONE850525:ONF850534 OXA850525:OXB850534 PGW850525:PGX850534 PQS850525:PQT850534 QAO850525:QAP850534 QKK850525:QKL850534 QUG850525:QUH850534 REC850525:RED850534 RNY850525:RNZ850534 RXU850525:RXV850534 SHQ850525:SHR850534 SRM850525:SRN850534 TBI850525:TBJ850534 TLE850525:TLF850534 TVA850525:TVB850534 UEW850525:UEX850534 UOS850525:UOT850534 UYO850525:UYP850534 VIK850525:VIL850534 VSG850525:VSH850534 WCC850525:WCD850534 WLY850525:WLZ850534 WVU850525:WVV850534 L916061:M916070 JI916061:JJ916070 TE916061:TF916070 ADA916061:ADB916070 AMW916061:AMX916070 AWS916061:AWT916070 BGO916061:BGP916070 BQK916061:BQL916070 CAG916061:CAH916070 CKC916061:CKD916070 CTY916061:CTZ916070 DDU916061:DDV916070 DNQ916061:DNR916070 DXM916061:DXN916070 EHI916061:EHJ916070 ERE916061:ERF916070 FBA916061:FBB916070 FKW916061:FKX916070 FUS916061:FUT916070 GEO916061:GEP916070 GOK916061:GOL916070 GYG916061:GYH916070 HIC916061:HID916070 HRY916061:HRZ916070 IBU916061:IBV916070 ILQ916061:ILR916070 IVM916061:IVN916070 JFI916061:JFJ916070 JPE916061:JPF916070 JZA916061:JZB916070 KIW916061:KIX916070 KSS916061:KST916070 LCO916061:LCP916070 LMK916061:LML916070 LWG916061:LWH916070 MGC916061:MGD916070 MPY916061:MPZ916070 MZU916061:MZV916070 NJQ916061:NJR916070 NTM916061:NTN916070 ODI916061:ODJ916070 ONE916061:ONF916070 OXA916061:OXB916070 PGW916061:PGX916070 PQS916061:PQT916070 QAO916061:QAP916070 QKK916061:QKL916070 QUG916061:QUH916070 REC916061:RED916070 RNY916061:RNZ916070 RXU916061:RXV916070 SHQ916061:SHR916070 SRM916061:SRN916070 TBI916061:TBJ916070 TLE916061:TLF916070 TVA916061:TVB916070 UEW916061:UEX916070 UOS916061:UOT916070 UYO916061:UYP916070 VIK916061:VIL916070 VSG916061:VSH916070 WCC916061:WCD916070 WLY916061:WLZ916070 WVU916061:WVV916070 L981597:M981606 JI981597:JJ981606 TE981597:TF981606 ADA981597:ADB981606 AMW981597:AMX981606 AWS981597:AWT981606 BGO981597:BGP981606 BQK981597:BQL981606 CAG981597:CAH981606 CKC981597:CKD981606 CTY981597:CTZ981606 DDU981597:DDV981606 DNQ981597:DNR981606 DXM981597:DXN981606 EHI981597:EHJ981606 ERE981597:ERF981606 FBA981597:FBB981606 FKW981597:FKX981606 FUS981597:FUT981606 GEO981597:GEP981606 GOK981597:GOL981606 GYG981597:GYH981606 HIC981597:HID981606 HRY981597:HRZ981606 IBU981597:IBV981606 ILQ981597:ILR981606 IVM981597:IVN981606 JFI981597:JFJ981606 JPE981597:JPF981606 JZA981597:JZB981606 KIW981597:KIX981606 KSS981597:KST981606 LCO981597:LCP981606 LMK981597:LML981606 LWG981597:LWH981606 MGC981597:MGD981606 MPY981597:MPZ981606 MZU981597:MZV981606 NJQ981597:NJR981606 NTM981597:NTN981606 ODI981597:ODJ981606 ONE981597:ONF981606 OXA981597:OXB981606 PGW981597:PGX981606 PQS981597:PQT981606 QAO981597:QAP981606 QKK981597:QKL981606 QUG981597:QUH981606 REC981597:RED981606 RNY981597:RNZ981606 RXU981597:RXV981606 SHQ981597:SHR981606 SRM981597:SRN981606 TBI981597:TBJ981606 TLE981597:TLF981606 TVA981597:TVB981606 UEW981597:UEX981606 UOS981597:UOT981606 UYO981597:UYP981606 VIK981597:VIL981606 VSG981597:VSH981606 WCC981597:WCD981606 WLY981597:WLZ981606 WVU981597:WVV981606">
      <formula1>$AH$10:$AH$27</formula1>
    </dataValidation>
    <dataValidation type="list" errorStyle="warning" allowBlank="1" showInputMessage="1" showErrorMessage="1" error="定格容量、 ％Ｒ、 ％Ｘ を 変圧器でーたセルの下段に入力して下さい!!" sqref="H81:I90 JE81:JF90 TA81:TB90 ACW81:ACX90 AMS81:AMT90 AWO81:AWP90 BGK81:BGL90 BQG81:BQH90 CAC81:CAD90 CJY81:CJZ90 CTU81:CTV90 DDQ81:DDR90 DNM81:DNN90 DXI81:DXJ90 EHE81:EHF90 ERA81:ERB90 FAW81:FAX90 FKS81:FKT90 FUO81:FUP90 GEK81:GEL90 GOG81:GOH90 GYC81:GYD90 HHY81:HHZ90 HRU81:HRV90 IBQ81:IBR90 ILM81:ILN90 IVI81:IVJ90 JFE81:JFF90 JPA81:JPB90 JYW81:JYX90 KIS81:KIT90 KSO81:KSP90 LCK81:LCL90 LMG81:LMH90 LWC81:LWD90 MFY81:MFZ90 MPU81:MPV90 MZQ81:MZR90 NJM81:NJN90 NTI81:NTJ90 ODE81:ODF90 ONA81:ONB90 OWW81:OWX90 PGS81:PGT90 PQO81:PQP90 QAK81:QAL90 QKG81:QKH90 QUC81:QUD90 RDY81:RDZ90 RNU81:RNV90 RXQ81:RXR90 SHM81:SHN90 SRI81:SRJ90 TBE81:TBF90 TLA81:TLB90 TUW81:TUX90 UES81:UET90 UOO81:UOP90 UYK81:UYL90 VIG81:VIH90 VSC81:VSD90 WBY81:WBZ90 WLU81:WLV90 WVQ81:WVR90 H64163:I64172 JE64163:JF64172 TA64163:TB64172 ACW64163:ACX64172 AMS64163:AMT64172 AWO64163:AWP64172 BGK64163:BGL64172 BQG64163:BQH64172 CAC64163:CAD64172 CJY64163:CJZ64172 CTU64163:CTV64172 DDQ64163:DDR64172 DNM64163:DNN64172 DXI64163:DXJ64172 EHE64163:EHF64172 ERA64163:ERB64172 FAW64163:FAX64172 FKS64163:FKT64172 FUO64163:FUP64172 GEK64163:GEL64172 GOG64163:GOH64172 GYC64163:GYD64172 HHY64163:HHZ64172 HRU64163:HRV64172 IBQ64163:IBR64172 ILM64163:ILN64172 IVI64163:IVJ64172 JFE64163:JFF64172 JPA64163:JPB64172 JYW64163:JYX64172 KIS64163:KIT64172 KSO64163:KSP64172 LCK64163:LCL64172 LMG64163:LMH64172 LWC64163:LWD64172 MFY64163:MFZ64172 MPU64163:MPV64172 MZQ64163:MZR64172 NJM64163:NJN64172 NTI64163:NTJ64172 ODE64163:ODF64172 ONA64163:ONB64172 OWW64163:OWX64172 PGS64163:PGT64172 PQO64163:PQP64172 QAK64163:QAL64172 QKG64163:QKH64172 QUC64163:QUD64172 RDY64163:RDZ64172 RNU64163:RNV64172 RXQ64163:RXR64172 SHM64163:SHN64172 SRI64163:SRJ64172 TBE64163:TBF64172 TLA64163:TLB64172 TUW64163:TUX64172 UES64163:UET64172 UOO64163:UOP64172 UYK64163:UYL64172 VIG64163:VIH64172 VSC64163:VSD64172 WBY64163:WBZ64172 WLU64163:WLV64172 WVQ64163:WVR64172 H129699:I129708 JE129699:JF129708 TA129699:TB129708 ACW129699:ACX129708 AMS129699:AMT129708 AWO129699:AWP129708 BGK129699:BGL129708 BQG129699:BQH129708 CAC129699:CAD129708 CJY129699:CJZ129708 CTU129699:CTV129708 DDQ129699:DDR129708 DNM129699:DNN129708 DXI129699:DXJ129708 EHE129699:EHF129708 ERA129699:ERB129708 FAW129699:FAX129708 FKS129699:FKT129708 FUO129699:FUP129708 GEK129699:GEL129708 GOG129699:GOH129708 GYC129699:GYD129708 HHY129699:HHZ129708 HRU129699:HRV129708 IBQ129699:IBR129708 ILM129699:ILN129708 IVI129699:IVJ129708 JFE129699:JFF129708 JPA129699:JPB129708 JYW129699:JYX129708 KIS129699:KIT129708 KSO129699:KSP129708 LCK129699:LCL129708 LMG129699:LMH129708 LWC129699:LWD129708 MFY129699:MFZ129708 MPU129699:MPV129708 MZQ129699:MZR129708 NJM129699:NJN129708 NTI129699:NTJ129708 ODE129699:ODF129708 ONA129699:ONB129708 OWW129699:OWX129708 PGS129699:PGT129708 PQO129699:PQP129708 QAK129699:QAL129708 QKG129699:QKH129708 QUC129699:QUD129708 RDY129699:RDZ129708 RNU129699:RNV129708 RXQ129699:RXR129708 SHM129699:SHN129708 SRI129699:SRJ129708 TBE129699:TBF129708 TLA129699:TLB129708 TUW129699:TUX129708 UES129699:UET129708 UOO129699:UOP129708 UYK129699:UYL129708 VIG129699:VIH129708 VSC129699:VSD129708 WBY129699:WBZ129708 WLU129699:WLV129708 WVQ129699:WVR129708 H195235:I195244 JE195235:JF195244 TA195235:TB195244 ACW195235:ACX195244 AMS195235:AMT195244 AWO195235:AWP195244 BGK195235:BGL195244 BQG195235:BQH195244 CAC195235:CAD195244 CJY195235:CJZ195244 CTU195235:CTV195244 DDQ195235:DDR195244 DNM195235:DNN195244 DXI195235:DXJ195244 EHE195235:EHF195244 ERA195235:ERB195244 FAW195235:FAX195244 FKS195235:FKT195244 FUO195235:FUP195244 GEK195235:GEL195244 GOG195235:GOH195244 GYC195235:GYD195244 HHY195235:HHZ195244 HRU195235:HRV195244 IBQ195235:IBR195244 ILM195235:ILN195244 IVI195235:IVJ195244 JFE195235:JFF195244 JPA195235:JPB195244 JYW195235:JYX195244 KIS195235:KIT195244 KSO195235:KSP195244 LCK195235:LCL195244 LMG195235:LMH195244 LWC195235:LWD195244 MFY195235:MFZ195244 MPU195235:MPV195244 MZQ195235:MZR195244 NJM195235:NJN195244 NTI195235:NTJ195244 ODE195235:ODF195244 ONA195235:ONB195244 OWW195235:OWX195244 PGS195235:PGT195244 PQO195235:PQP195244 QAK195235:QAL195244 QKG195235:QKH195244 QUC195235:QUD195244 RDY195235:RDZ195244 RNU195235:RNV195244 RXQ195235:RXR195244 SHM195235:SHN195244 SRI195235:SRJ195244 TBE195235:TBF195244 TLA195235:TLB195244 TUW195235:TUX195244 UES195235:UET195244 UOO195235:UOP195244 UYK195235:UYL195244 VIG195235:VIH195244 VSC195235:VSD195244 WBY195235:WBZ195244 WLU195235:WLV195244 WVQ195235:WVR195244 H260771:I260780 JE260771:JF260780 TA260771:TB260780 ACW260771:ACX260780 AMS260771:AMT260780 AWO260771:AWP260780 BGK260771:BGL260780 BQG260771:BQH260780 CAC260771:CAD260780 CJY260771:CJZ260780 CTU260771:CTV260780 DDQ260771:DDR260780 DNM260771:DNN260780 DXI260771:DXJ260780 EHE260771:EHF260780 ERA260771:ERB260780 FAW260771:FAX260780 FKS260771:FKT260780 FUO260771:FUP260780 GEK260771:GEL260780 GOG260771:GOH260780 GYC260771:GYD260780 HHY260771:HHZ260780 HRU260771:HRV260780 IBQ260771:IBR260780 ILM260771:ILN260780 IVI260771:IVJ260780 JFE260771:JFF260780 JPA260771:JPB260780 JYW260771:JYX260780 KIS260771:KIT260780 KSO260771:KSP260780 LCK260771:LCL260780 LMG260771:LMH260780 LWC260771:LWD260780 MFY260771:MFZ260780 MPU260771:MPV260780 MZQ260771:MZR260780 NJM260771:NJN260780 NTI260771:NTJ260780 ODE260771:ODF260780 ONA260771:ONB260780 OWW260771:OWX260780 PGS260771:PGT260780 PQO260771:PQP260780 QAK260771:QAL260780 QKG260771:QKH260780 QUC260771:QUD260780 RDY260771:RDZ260780 RNU260771:RNV260780 RXQ260771:RXR260780 SHM260771:SHN260780 SRI260771:SRJ260780 TBE260771:TBF260780 TLA260771:TLB260780 TUW260771:TUX260780 UES260771:UET260780 UOO260771:UOP260780 UYK260771:UYL260780 VIG260771:VIH260780 VSC260771:VSD260780 WBY260771:WBZ260780 WLU260771:WLV260780 WVQ260771:WVR260780 H326307:I326316 JE326307:JF326316 TA326307:TB326316 ACW326307:ACX326316 AMS326307:AMT326316 AWO326307:AWP326316 BGK326307:BGL326316 BQG326307:BQH326316 CAC326307:CAD326316 CJY326307:CJZ326316 CTU326307:CTV326316 DDQ326307:DDR326316 DNM326307:DNN326316 DXI326307:DXJ326316 EHE326307:EHF326316 ERA326307:ERB326316 FAW326307:FAX326316 FKS326307:FKT326316 FUO326307:FUP326316 GEK326307:GEL326316 GOG326307:GOH326316 GYC326307:GYD326316 HHY326307:HHZ326316 HRU326307:HRV326316 IBQ326307:IBR326316 ILM326307:ILN326316 IVI326307:IVJ326316 JFE326307:JFF326316 JPA326307:JPB326316 JYW326307:JYX326316 KIS326307:KIT326316 KSO326307:KSP326316 LCK326307:LCL326316 LMG326307:LMH326316 LWC326307:LWD326316 MFY326307:MFZ326316 MPU326307:MPV326316 MZQ326307:MZR326316 NJM326307:NJN326316 NTI326307:NTJ326316 ODE326307:ODF326316 ONA326307:ONB326316 OWW326307:OWX326316 PGS326307:PGT326316 PQO326307:PQP326316 QAK326307:QAL326316 QKG326307:QKH326316 QUC326307:QUD326316 RDY326307:RDZ326316 RNU326307:RNV326316 RXQ326307:RXR326316 SHM326307:SHN326316 SRI326307:SRJ326316 TBE326307:TBF326316 TLA326307:TLB326316 TUW326307:TUX326316 UES326307:UET326316 UOO326307:UOP326316 UYK326307:UYL326316 VIG326307:VIH326316 VSC326307:VSD326316 WBY326307:WBZ326316 WLU326307:WLV326316 WVQ326307:WVR326316 H391843:I391852 JE391843:JF391852 TA391843:TB391852 ACW391843:ACX391852 AMS391843:AMT391852 AWO391843:AWP391852 BGK391843:BGL391852 BQG391843:BQH391852 CAC391843:CAD391852 CJY391843:CJZ391852 CTU391843:CTV391852 DDQ391843:DDR391852 DNM391843:DNN391852 DXI391843:DXJ391852 EHE391843:EHF391852 ERA391843:ERB391852 FAW391843:FAX391852 FKS391843:FKT391852 FUO391843:FUP391852 GEK391843:GEL391852 GOG391843:GOH391852 GYC391843:GYD391852 HHY391843:HHZ391852 HRU391843:HRV391852 IBQ391843:IBR391852 ILM391843:ILN391852 IVI391843:IVJ391852 JFE391843:JFF391852 JPA391843:JPB391852 JYW391843:JYX391852 KIS391843:KIT391852 KSO391843:KSP391852 LCK391843:LCL391852 LMG391843:LMH391852 LWC391843:LWD391852 MFY391843:MFZ391852 MPU391843:MPV391852 MZQ391843:MZR391852 NJM391843:NJN391852 NTI391843:NTJ391852 ODE391843:ODF391852 ONA391843:ONB391852 OWW391843:OWX391852 PGS391843:PGT391852 PQO391843:PQP391852 QAK391843:QAL391852 QKG391843:QKH391852 QUC391843:QUD391852 RDY391843:RDZ391852 RNU391843:RNV391852 RXQ391843:RXR391852 SHM391843:SHN391852 SRI391843:SRJ391852 TBE391843:TBF391852 TLA391843:TLB391852 TUW391843:TUX391852 UES391843:UET391852 UOO391843:UOP391852 UYK391843:UYL391852 VIG391843:VIH391852 VSC391843:VSD391852 WBY391843:WBZ391852 WLU391843:WLV391852 WVQ391843:WVR391852 H457379:I457388 JE457379:JF457388 TA457379:TB457388 ACW457379:ACX457388 AMS457379:AMT457388 AWO457379:AWP457388 BGK457379:BGL457388 BQG457379:BQH457388 CAC457379:CAD457388 CJY457379:CJZ457388 CTU457379:CTV457388 DDQ457379:DDR457388 DNM457379:DNN457388 DXI457379:DXJ457388 EHE457379:EHF457388 ERA457379:ERB457388 FAW457379:FAX457388 FKS457379:FKT457388 FUO457379:FUP457388 GEK457379:GEL457388 GOG457379:GOH457388 GYC457379:GYD457388 HHY457379:HHZ457388 HRU457379:HRV457388 IBQ457379:IBR457388 ILM457379:ILN457388 IVI457379:IVJ457388 JFE457379:JFF457388 JPA457379:JPB457388 JYW457379:JYX457388 KIS457379:KIT457388 KSO457379:KSP457388 LCK457379:LCL457388 LMG457379:LMH457388 LWC457379:LWD457388 MFY457379:MFZ457388 MPU457379:MPV457388 MZQ457379:MZR457388 NJM457379:NJN457388 NTI457379:NTJ457388 ODE457379:ODF457388 ONA457379:ONB457388 OWW457379:OWX457388 PGS457379:PGT457388 PQO457379:PQP457388 QAK457379:QAL457388 QKG457379:QKH457388 QUC457379:QUD457388 RDY457379:RDZ457388 RNU457379:RNV457388 RXQ457379:RXR457388 SHM457379:SHN457388 SRI457379:SRJ457388 TBE457379:TBF457388 TLA457379:TLB457388 TUW457379:TUX457388 UES457379:UET457388 UOO457379:UOP457388 UYK457379:UYL457388 VIG457379:VIH457388 VSC457379:VSD457388 WBY457379:WBZ457388 WLU457379:WLV457388 WVQ457379:WVR457388 H522915:I522924 JE522915:JF522924 TA522915:TB522924 ACW522915:ACX522924 AMS522915:AMT522924 AWO522915:AWP522924 BGK522915:BGL522924 BQG522915:BQH522924 CAC522915:CAD522924 CJY522915:CJZ522924 CTU522915:CTV522924 DDQ522915:DDR522924 DNM522915:DNN522924 DXI522915:DXJ522924 EHE522915:EHF522924 ERA522915:ERB522924 FAW522915:FAX522924 FKS522915:FKT522924 FUO522915:FUP522924 GEK522915:GEL522924 GOG522915:GOH522924 GYC522915:GYD522924 HHY522915:HHZ522924 HRU522915:HRV522924 IBQ522915:IBR522924 ILM522915:ILN522924 IVI522915:IVJ522924 JFE522915:JFF522924 JPA522915:JPB522924 JYW522915:JYX522924 KIS522915:KIT522924 KSO522915:KSP522924 LCK522915:LCL522924 LMG522915:LMH522924 LWC522915:LWD522924 MFY522915:MFZ522924 MPU522915:MPV522924 MZQ522915:MZR522924 NJM522915:NJN522924 NTI522915:NTJ522924 ODE522915:ODF522924 ONA522915:ONB522924 OWW522915:OWX522924 PGS522915:PGT522924 PQO522915:PQP522924 QAK522915:QAL522924 QKG522915:QKH522924 QUC522915:QUD522924 RDY522915:RDZ522924 RNU522915:RNV522924 RXQ522915:RXR522924 SHM522915:SHN522924 SRI522915:SRJ522924 TBE522915:TBF522924 TLA522915:TLB522924 TUW522915:TUX522924 UES522915:UET522924 UOO522915:UOP522924 UYK522915:UYL522924 VIG522915:VIH522924 VSC522915:VSD522924 WBY522915:WBZ522924 WLU522915:WLV522924 WVQ522915:WVR522924 H588451:I588460 JE588451:JF588460 TA588451:TB588460 ACW588451:ACX588460 AMS588451:AMT588460 AWO588451:AWP588460 BGK588451:BGL588460 BQG588451:BQH588460 CAC588451:CAD588460 CJY588451:CJZ588460 CTU588451:CTV588460 DDQ588451:DDR588460 DNM588451:DNN588460 DXI588451:DXJ588460 EHE588451:EHF588460 ERA588451:ERB588460 FAW588451:FAX588460 FKS588451:FKT588460 FUO588451:FUP588460 GEK588451:GEL588460 GOG588451:GOH588460 GYC588451:GYD588460 HHY588451:HHZ588460 HRU588451:HRV588460 IBQ588451:IBR588460 ILM588451:ILN588460 IVI588451:IVJ588460 JFE588451:JFF588460 JPA588451:JPB588460 JYW588451:JYX588460 KIS588451:KIT588460 KSO588451:KSP588460 LCK588451:LCL588460 LMG588451:LMH588460 LWC588451:LWD588460 MFY588451:MFZ588460 MPU588451:MPV588460 MZQ588451:MZR588460 NJM588451:NJN588460 NTI588451:NTJ588460 ODE588451:ODF588460 ONA588451:ONB588460 OWW588451:OWX588460 PGS588451:PGT588460 PQO588451:PQP588460 QAK588451:QAL588460 QKG588451:QKH588460 QUC588451:QUD588460 RDY588451:RDZ588460 RNU588451:RNV588460 RXQ588451:RXR588460 SHM588451:SHN588460 SRI588451:SRJ588460 TBE588451:TBF588460 TLA588451:TLB588460 TUW588451:TUX588460 UES588451:UET588460 UOO588451:UOP588460 UYK588451:UYL588460 VIG588451:VIH588460 VSC588451:VSD588460 WBY588451:WBZ588460 WLU588451:WLV588460 WVQ588451:WVR588460 H653987:I653996 JE653987:JF653996 TA653987:TB653996 ACW653987:ACX653996 AMS653987:AMT653996 AWO653987:AWP653996 BGK653987:BGL653996 BQG653987:BQH653996 CAC653987:CAD653996 CJY653987:CJZ653996 CTU653987:CTV653996 DDQ653987:DDR653996 DNM653987:DNN653996 DXI653987:DXJ653996 EHE653987:EHF653996 ERA653987:ERB653996 FAW653987:FAX653996 FKS653987:FKT653996 FUO653987:FUP653996 GEK653987:GEL653996 GOG653987:GOH653996 GYC653987:GYD653996 HHY653987:HHZ653996 HRU653987:HRV653996 IBQ653987:IBR653996 ILM653987:ILN653996 IVI653987:IVJ653996 JFE653987:JFF653996 JPA653987:JPB653996 JYW653987:JYX653996 KIS653987:KIT653996 KSO653987:KSP653996 LCK653987:LCL653996 LMG653987:LMH653996 LWC653987:LWD653996 MFY653987:MFZ653996 MPU653987:MPV653996 MZQ653987:MZR653996 NJM653987:NJN653996 NTI653987:NTJ653996 ODE653987:ODF653996 ONA653987:ONB653996 OWW653987:OWX653996 PGS653987:PGT653996 PQO653987:PQP653996 QAK653987:QAL653996 QKG653987:QKH653996 QUC653987:QUD653996 RDY653987:RDZ653996 RNU653987:RNV653996 RXQ653987:RXR653996 SHM653987:SHN653996 SRI653987:SRJ653996 TBE653987:TBF653996 TLA653987:TLB653996 TUW653987:TUX653996 UES653987:UET653996 UOO653987:UOP653996 UYK653987:UYL653996 VIG653987:VIH653996 VSC653987:VSD653996 WBY653987:WBZ653996 WLU653987:WLV653996 WVQ653987:WVR653996 H719523:I719532 JE719523:JF719532 TA719523:TB719532 ACW719523:ACX719532 AMS719523:AMT719532 AWO719523:AWP719532 BGK719523:BGL719532 BQG719523:BQH719532 CAC719523:CAD719532 CJY719523:CJZ719532 CTU719523:CTV719532 DDQ719523:DDR719532 DNM719523:DNN719532 DXI719523:DXJ719532 EHE719523:EHF719532 ERA719523:ERB719532 FAW719523:FAX719532 FKS719523:FKT719532 FUO719523:FUP719532 GEK719523:GEL719532 GOG719523:GOH719532 GYC719523:GYD719532 HHY719523:HHZ719532 HRU719523:HRV719532 IBQ719523:IBR719532 ILM719523:ILN719532 IVI719523:IVJ719532 JFE719523:JFF719532 JPA719523:JPB719532 JYW719523:JYX719532 KIS719523:KIT719532 KSO719523:KSP719532 LCK719523:LCL719532 LMG719523:LMH719532 LWC719523:LWD719532 MFY719523:MFZ719532 MPU719523:MPV719532 MZQ719523:MZR719532 NJM719523:NJN719532 NTI719523:NTJ719532 ODE719523:ODF719532 ONA719523:ONB719532 OWW719523:OWX719532 PGS719523:PGT719532 PQO719523:PQP719532 QAK719523:QAL719532 QKG719523:QKH719532 QUC719523:QUD719532 RDY719523:RDZ719532 RNU719523:RNV719532 RXQ719523:RXR719532 SHM719523:SHN719532 SRI719523:SRJ719532 TBE719523:TBF719532 TLA719523:TLB719532 TUW719523:TUX719532 UES719523:UET719532 UOO719523:UOP719532 UYK719523:UYL719532 VIG719523:VIH719532 VSC719523:VSD719532 WBY719523:WBZ719532 WLU719523:WLV719532 WVQ719523:WVR719532 H785059:I785068 JE785059:JF785068 TA785059:TB785068 ACW785059:ACX785068 AMS785059:AMT785068 AWO785059:AWP785068 BGK785059:BGL785068 BQG785059:BQH785068 CAC785059:CAD785068 CJY785059:CJZ785068 CTU785059:CTV785068 DDQ785059:DDR785068 DNM785059:DNN785068 DXI785059:DXJ785068 EHE785059:EHF785068 ERA785059:ERB785068 FAW785059:FAX785068 FKS785059:FKT785068 FUO785059:FUP785068 GEK785059:GEL785068 GOG785059:GOH785068 GYC785059:GYD785068 HHY785059:HHZ785068 HRU785059:HRV785068 IBQ785059:IBR785068 ILM785059:ILN785068 IVI785059:IVJ785068 JFE785059:JFF785068 JPA785059:JPB785068 JYW785059:JYX785068 KIS785059:KIT785068 KSO785059:KSP785068 LCK785059:LCL785068 LMG785059:LMH785068 LWC785059:LWD785068 MFY785059:MFZ785068 MPU785059:MPV785068 MZQ785059:MZR785068 NJM785059:NJN785068 NTI785059:NTJ785068 ODE785059:ODF785068 ONA785059:ONB785068 OWW785059:OWX785068 PGS785059:PGT785068 PQO785059:PQP785068 QAK785059:QAL785068 QKG785059:QKH785068 QUC785059:QUD785068 RDY785059:RDZ785068 RNU785059:RNV785068 RXQ785059:RXR785068 SHM785059:SHN785068 SRI785059:SRJ785068 TBE785059:TBF785068 TLA785059:TLB785068 TUW785059:TUX785068 UES785059:UET785068 UOO785059:UOP785068 UYK785059:UYL785068 VIG785059:VIH785068 VSC785059:VSD785068 WBY785059:WBZ785068 WLU785059:WLV785068 WVQ785059:WVR785068 H850595:I850604 JE850595:JF850604 TA850595:TB850604 ACW850595:ACX850604 AMS850595:AMT850604 AWO850595:AWP850604 BGK850595:BGL850604 BQG850595:BQH850604 CAC850595:CAD850604 CJY850595:CJZ850604 CTU850595:CTV850604 DDQ850595:DDR850604 DNM850595:DNN850604 DXI850595:DXJ850604 EHE850595:EHF850604 ERA850595:ERB850604 FAW850595:FAX850604 FKS850595:FKT850604 FUO850595:FUP850604 GEK850595:GEL850604 GOG850595:GOH850604 GYC850595:GYD850604 HHY850595:HHZ850604 HRU850595:HRV850604 IBQ850595:IBR850604 ILM850595:ILN850604 IVI850595:IVJ850604 JFE850595:JFF850604 JPA850595:JPB850604 JYW850595:JYX850604 KIS850595:KIT850604 KSO850595:KSP850604 LCK850595:LCL850604 LMG850595:LMH850604 LWC850595:LWD850604 MFY850595:MFZ850604 MPU850595:MPV850604 MZQ850595:MZR850604 NJM850595:NJN850604 NTI850595:NTJ850604 ODE850595:ODF850604 ONA850595:ONB850604 OWW850595:OWX850604 PGS850595:PGT850604 PQO850595:PQP850604 QAK850595:QAL850604 QKG850595:QKH850604 QUC850595:QUD850604 RDY850595:RDZ850604 RNU850595:RNV850604 RXQ850595:RXR850604 SHM850595:SHN850604 SRI850595:SRJ850604 TBE850595:TBF850604 TLA850595:TLB850604 TUW850595:TUX850604 UES850595:UET850604 UOO850595:UOP850604 UYK850595:UYL850604 VIG850595:VIH850604 VSC850595:VSD850604 WBY850595:WBZ850604 WLU850595:WLV850604 WVQ850595:WVR850604 H916131:I916140 JE916131:JF916140 TA916131:TB916140 ACW916131:ACX916140 AMS916131:AMT916140 AWO916131:AWP916140 BGK916131:BGL916140 BQG916131:BQH916140 CAC916131:CAD916140 CJY916131:CJZ916140 CTU916131:CTV916140 DDQ916131:DDR916140 DNM916131:DNN916140 DXI916131:DXJ916140 EHE916131:EHF916140 ERA916131:ERB916140 FAW916131:FAX916140 FKS916131:FKT916140 FUO916131:FUP916140 GEK916131:GEL916140 GOG916131:GOH916140 GYC916131:GYD916140 HHY916131:HHZ916140 HRU916131:HRV916140 IBQ916131:IBR916140 ILM916131:ILN916140 IVI916131:IVJ916140 JFE916131:JFF916140 JPA916131:JPB916140 JYW916131:JYX916140 KIS916131:KIT916140 KSO916131:KSP916140 LCK916131:LCL916140 LMG916131:LMH916140 LWC916131:LWD916140 MFY916131:MFZ916140 MPU916131:MPV916140 MZQ916131:MZR916140 NJM916131:NJN916140 NTI916131:NTJ916140 ODE916131:ODF916140 ONA916131:ONB916140 OWW916131:OWX916140 PGS916131:PGT916140 PQO916131:PQP916140 QAK916131:QAL916140 QKG916131:QKH916140 QUC916131:QUD916140 RDY916131:RDZ916140 RNU916131:RNV916140 RXQ916131:RXR916140 SHM916131:SHN916140 SRI916131:SRJ916140 TBE916131:TBF916140 TLA916131:TLB916140 TUW916131:TUX916140 UES916131:UET916140 UOO916131:UOP916140 UYK916131:UYL916140 VIG916131:VIH916140 VSC916131:VSD916140 WBY916131:WBZ916140 WLU916131:WLV916140 WVQ916131:WVR916140 H981667:I981676 JE981667:JF981676 TA981667:TB981676 ACW981667:ACX981676 AMS981667:AMT981676 AWO981667:AWP981676 BGK981667:BGL981676 BQG981667:BQH981676 CAC981667:CAD981676 CJY981667:CJZ981676 CTU981667:CTV981676 DDQ981667:DDR981676 DNM981667:DNN981676 DXI981667:DXJ981676 EHE981667:EHF981676 ERA981667:ERB981676 FAW981667:FAX981676 FKS981667:FKT981676 FUO981667:FUP981676 GEK981667:GEL981676 GOG981667:GOH981676 GYC981667:GYD981676 HHY981667:HHZ981676 HRU981667:HRV981676 IBQ981667:IBR981676 ILM981667:ILN981676 IVI981667:IVJ981676 JFE981667:JFF981676 JPA981667:JPB981676 JYW981667:JYX981676 KIS981667:KIT981676 KSO981667:KSP981676 LCK981667:LCL981676 LMG981667:LMH981676 LWC981667:LWD981676 MFY981667:MFZ981676 MPU981667:MPV981676 MZQ981667:MZR981676 NJM981667:NJN981676 NTI981667:NTJ981676 ODE981667:ODF981676 ONA981667:ONB981676 OWW981667:OWX981676 PGS981667:PGT981676 PQO981667:PQP981676 QAK981667:QAL981676 QKG981667:QKH981676 QUC981667:QUD981676 RDY981667:RDZ981676 RNU981667:RNV981676 RXQ981667:RXR981676 SHM981667:SHN981676 SRI981667:SRJ981676 TBE981667:TBF981676 TLA981667:TLB981676 TUW981667:TUX981676 UES981667:UET981676 UOO981667:UOP981676 UYK981667:UYL981676 VIG981667:VIH981676 VSC981667:VSD981676 WBY981667:WBZ981676 WLU981667:WLV981676 WVQ981667:WVR981676">
      <formula1>$AG$93:$AG$103</formula1>
    </dataValidation>
    <dataValidation type="decimal" allowBlank="1" showInputMessage="1" showErrorMessage="1" errorTitle="負荷の平均力率" error="０ ～ １ の範囲の 小数点数値 を入力して下さい!!" sqref="V81:W90 JS81:JT90 TO81:TP90 ADK81:ADL90 ANG81:ANH90 AXC81:AXD90 BGY81:BGZ90 BQU81:BQV90 CAQ81:CAR90 CKM81:CKN90 CUI81:CUJ90 DEE81:DEF90 DOA81:DOB90 DXW81:DXX90 EHS81:EHT90 ERO81:ERP90 FBK81:FBL90 FLG81:FLH90 FVC81:FVD90 GEY81:GEZ90 GOU81:GOV90 GYQ81:GYR90 HIM81:HIN90 HSI81:HSJ90 ICE81:ICF90 IMA81:IMB90 IVW81:IVX90 JFS81:JFT90 JPO81:JPP90 JZK81:JZL90 KJG81:KJH90 KTC81:KTD90 LCY81:LCZ90 LMU81:LMV90 LWQ81:LWR90 MGM81:MGN90 MQI81:MQJ90 NAE81:NAF90 NKA81:NKB90 NTW81:NTX90 ODS81:ODT90 ONO81:ONP90 OXK81:OXL90 PHG81:PHH90 PRC81:PRD90 QAY81:QAZ90 QKU81:QKV90 QUQ81:QUR90 REM81:REN90 ROI81:ROJ90 RYE81:RYF90 SIA81:SIB90 SRW81:SRX90 TBS81:TBT90 TLO81:TLP90 TVK81:TVL90 UFG81:UFH90 UPC81:UPD90 UYY81:UYZ90 VIU81:VIV90 VSQ81:VSR90 WCM81:WCN90 WMI81:WMJ90 WWE81:WWF90 V64163:W64172 JS64163:JT64172 TO64163:TP64172 ADK64163:ADL64172 ANG64163:ANH64172 AXC64163:AXD64172 BGY64163:BGZ64172 BQU64163:BQV64172 CAQ64163:CAR64172 CKM64163:CKN64172 CUI64163:CUJ64172 DEE64163:DEF64172 DOA64163:DOB64172 DXW64163:DXX64172 EHS64163:EHT64172 ERO64163:ERP64172 FBK64163:FBL64172 FLG64163:FLH64172 FVC64163:FVD64172 GEY64163:GEZ64172 GOU64163:GOV64172 GYQ64163:GYR64172 HIM64163:HIN64172 HSI64163:HSJ64172 ICE64163:ICF64172 IMA64163:IMB64172 IVW64163:IVX64172 JFS64163:JFT64172 JPO64163:JPP64172 JZK64163:JZL64172 KJG64163:KJH64172 KTC64163:KTD64172 LCY64163:LCZ64172 LMU64163:LMV64172 LWQ64163:LWR64172 MGM64163:MGN64172 MQI64163:MQJ64172 NAE64163:NAF64172 NKA64163:NKB64172 NTW64163:NTX64172 ODS64163:ODT64172 ONO64163:ONP64172 OXK64163:OXL64172 PHG64163:PHH64172 PRC64163:PRD64172 QAY64163:QAZ64172 QKU64163:QKV64172 QUQ64163:QUR64172 REM64163:REN64172 ROI64163:ROJ64172 RYE64163:RYF64172 SIA64163:SIB64172 SRW64163:SRX64172 TBS64163:TBT64172 TLO64163:TLP64172 TVK64163:TVL64172 UFG64163:UFH64172 UPC64163:UPD64172 UYY64163:UYZ64172 VIU64163:VIV64172 VSQ64163:VSR64172 WCM64163:WCN64172 WMI64163:WMJ64172 WWE64163:WWF64172 V129699:W129708 JS129699:JT129708 TO129699:TP129708 ADK129699:ADL129708 ANG129699:ANH129708 AXC129699:AXD129708 BGY129699:BGZ129708 BQU129699:BQV129708 CAQ129699:CAR129708 CKM129699:CKN129708 CUI129699:CUJ129708 DEE129699:DEF129708 DOA129699:DOB129708 DXW129699:DXX129708 EHS129699:EHT129708 ERO129699:ERP129708 FBK129699:FBL129708 FLG129699:FLH129708 FVC129699:FVD129708 GEY129699:GEZ129708 GOU129699:GOV129708 GYQ129699:GYR129708 HIM129699:HIN129708 HSI129699:HSJ129708 ICE129699:ICF129708 IMA129699:IMB129708 IVW129699:IVX129708 JFS129699:JFT129708 JPO129699:JPP129708 JZK129699:JZL129708 KJG129699:KJH129708 KTC129699:KTD129708 LCY129699:LCZ129708 LMU129699:LMV129708 LWQ129699:LWR129708 MGM129699:MGN129708 MQI129699:MQJ129708 NAE129699:NAF129708 NKA129699:NKB129708 NTW129699:NTX129708 ODS129699:ODT129708 ONO129699:ONP129708 OXK129699:OXL129708 PHG129699:PHH129708 PRC129699:PRD129708 QAY129699:QAZ129708 QKU129699:QKV129708 QUQ129699:QUR129708 REM129699:REN129708 ROI129699:ROJ129708 RYE129699:RYF129708 SIA129699:SIB129708 SRW129699:SRX129708 TBS129699:TBT129708 TLO129699:TLP129708 TVK129699:TVL129708 UFG129699:UFH129708 UPC129699:UPD129708 UYY129699:UYZ129708 VIU129699:VIV129708 VSQ129699:VSR129708 WCM129699:WCN129708 WMI129699:WMJ129708 WWE129699:WWF129708 V195235:W195244 JS195235:JT195244 TO195235:TP195244 ADK195235:ADL195244 ANG195235:ANH195244 AXC195235:AXD195244 BGY195235:BGZ195244 BQU195235:BQV195244 CAQ195235:CAR195244 CKM195235:CKN195244 CUI195235:CUJ195244 DEE195235:DEF195244 DOA195235:DOB195244 DXW195235:DXX195244 EHS195235:EHT195244 ERO195235:ERP195244 FBK195235:FBL195244 FLG195235:FLH195244 FVC195235:FVD195244 GEY195235:GEZ195244 GOU195235:GOV195244 GYQ195235:GYR195244 HIM195235:HIN195244 HSI195235:HSJ195244 ICE195235:ICF195244 IMA195235:IMB195244 IVW195235:IVX195244 JFS195235:JFT195244 JPO195235:JPP195244 JZK195235:JZL195244 KJG195235:KJH195244 KTC195235:KTD195244 LCY195235:LCZ195244 LMU195235:LMV195244 LWQ195235:LWR195244 MGM195235:MGN195244 MQI195235:MQJ195244 NAE195235:NAF195244 NKA195235:NKB195244 NTW195235:NTX195244 ODS195235:ODT195244 ONO195235:ONP195244 OXK195235:OXL195244 PHG195235:PHH195244 PRC195235:PRD195244 QAY195235:QAZ195244 QKU195235:QKV195244 QUQ195235:QUR195244 REM195235:REN195244 ROI195235:ROJ195244 RYE195235:RYF195244 SIA195235:SIB195244 SRW195235:SRX195244 TBS195235:TBT195244 TLO195235:TLP195244 TVK195235:TVL195244 UFG195235:UFH195244 UPC195235:UPD195244 UYY195235:UYZ195244 VIU195235:VIV195244 VSQ195235:VSR195244 WCM195235:WCN195244 WMI195235:WMJ195244 WWE195235:WWF195244 V260771:W260780 JS260771:JT260780 TO260771:TP260780 ADK260771:ADL260780 ANG260771:ANH260780 AXC260771:AXD260780 BGY260771:BGZ260780 BQU260771:BQV260780 CAQ260771:CAR260780 CKM260771:CKN260780 CUI260771:CUJ260780 DEE260771:DEF260780 DOA260771:DOB260780 DXW260771:DXX260780 EHS260771:EHT260780 ERO260771:ERP260780 FBK260771:FBL260780 FLG260771:FLH260780 FVC260771:FVD260780 GEY260771:GEZ260780 GOU260771:GOV260780 GYQ260771:GYR260780 HIM260771:HIN260780 HSI260771:HSJ260780 ICE260771:ICF260780 IMA260771:IMB260780 IVW260771:IVX260780 JFS260771:JFT260780 JPO260771:JPP260780 JZK260771:JZL260780 KJG260771:KJH260780 KTC260771:KTD260780 LCY260771:LCZ260780 LMU260771:LMV260780 LWQ260771:LWR260780 MGM260771:MGN260780 MQI260771:MQJ260780 NAE260771:NAF260780 NKA260771:NKB260780 NTW260771:NTX260780 ODS260771:ODT260780 ONO260771:ONP260780 OXK260771:OXL260780 PHG260771:PHH260780 PRC260771:PRD260780 QAY260771:QAZ260780 QKU260771:QKV260780 QUQ260771:QUR260780 REM260771:REN260780 ROI260771:ROJ260780 RYE260771:RYF260780 SIA260771:SIB260780 SRW260771:SRX260780 TBS260771:TBT260780 TLO260771:TLP260780 TVK260771:TVL260780 UFG260771:UFH260780 UPC260771:UPD260780 UYY260771:UYZ260780 VIU260771:VIV260780 VSQ260771:VSR260780 WCM260771:WCN260780 WMI260771:WMJ260780 WWE260771:WWF260780 V326307:W326316 JS326307:JT326316 TO326307:TP326316 ADK326307:ADL326316 ANG326307:ANH326316 AXC326307:AXD326316 BGY326307:BGZ326316 BQU326307:BQV326316 CAQ326307:CAR326316 CKM326307:CKN326316 CUI326307:CUJ326316 DEE326307:DEF326316 DOA326307:DOB326316 DXW326307:DXX326316 EHS326307:EHT326316 ERO326307:ERP326316 FBK326307:FBL326316 FLG326307:FLH326316 FVC326307:FVD326316 GEY326307:GEZ326316 GOU326307:GOV326316 GYQ326307:GYR326316 HIM326307:HIN326316 HSI326307:HSJ326316 ICE326307:ICF326316 IMA326307:IMB326316 IVW326307:IVX326316 JFS326307:JFT326316 JPO326307:JPP326316 JZK326307:JZL326316 KJG326307:KJH326316 KTC326307:KTD326316 LCY326307:LCZ326316 LMU326307:LMV326316 LWQ326307:LWR326316 MGM326307:MGN326316 MQI326307:MQJ326316 NAE326307:NAF326316 NKA326307:NKB326316 NTW326307:NTX326316 ODS326307:ODT326316 ONO326307:ONP326316 OXK326307:OXL326316 PHG326307:PHH326316 PRC326307:PRD326316 QAY326307:QAZ326316 QKU326307:QKV326316 QUQ326307:QUR326316 REM326307:REN326316 ROI326307:ROJ326316 RYE326307:RYF326316 SIA326307:SIB326316 SRW326307:SRX326316 TBS326307:TBT326316 TLO326307:TLP326316 TVK326307:TVL326316 UFG326307:UFH326316 UPC326307:UPD326316 UYY326307:UYZ326316 VIU326307:VIV326316 VSQ326307:VSR326316 WCM326307:WCN326316 WMI326307:WMJ326316 WWE326307:WWF326316 V391843:W391852 JS391843:JT391852 TO391843:TP391852 ADK391843:ADL391852 ANG391843:ANH391852 AXC391843:AXD391852 BGY391843:BGZ391852 BQU391843:BQV391852 CAQ391843:CAR391852 CKM391843:CKN391852 CUI391843:CUJ391852 DEE391843:DEF391852 DOA391843:DOB391852 DXW391843:DXX391852 EHS391843:EHT391852 ERO391843:ERP391852 FBK391843:FBL391852 FLG391843:FLH391852 FVC391843:FVD391852 GEY391843:GEZ391852 GOU391843:GOV391852 GYQ391843:GYR391852 HIM391843:HIN391852 HSI391843:HSJ391852 ICE391843:ICF391852 IMA391843:IMB391852 IVW391843:IVX391852 JFS391843:JFT391852 JPO391843:JPP391852 JZK391843:JZL391852 KJG391843:KJH391852 KTC391843:KTD391852 LCY391843:LCZ391852 LMU391843:LMV391852 LWQ391843:LWR391852 MGM391843:MGN391852 MQI391843:MQJ391852 NAE391843:NAF391852 NKA391843:NKB391852 NTW391843:NTX391852 ODS391843:ODT391852 ONO391843:ONP391852 OXK391843:OXL391852 PHG391843:PHH391852 PRC391843:PRD391852 QAY391843:QAZ391852 QKU391843:QKV391852 QUQ391843:QUR391852 REM391843:REN391852 ROI391843:ROJ391852 RYE391843:RYF391852 SIA391843:SIB391852 SRW391843:SRX391852 TBS391843:TBT391852 TLO391843:TLP391852 TVK391843:TVL391852 UFG391843:UFH391852 UPC391843:UPD391852 UYY391843:UYZ391852 VIU391843:VIV391852 VSQ391843:VSR391852 WCM391843:WCN391852 WMI391843:WMJ391852 WWE391843:WWF391852 V457379:W457388 JS457379:JT457388 TO457379:TP457388 ADK457379:ADL457388 ANG457379:ANH457388 AXC457379:AXD457388 BGY457379:BGZ457388 BQU457379:BQV457388 CAQ457379:CAR457388 CKM457379:CKN457388 CUI457379:CUJ457388 DEE457379:DEF457388 DOA457379:DOB457388 DXW457379:DXX457388 EHS457379:EHT457388 ERO457379:ERP457388 FBK457379:FBL457388 FLG457379:FLH457388 FVC457379:FVD457388 GEY457379:GEZ457388 GOU457379:GOV457388 GYQ457379:GYR457388 HIM457379:HIN457388 HSI457379:HSJ457388 ICE457379:ICF457388 IMA457379:IMB457388 IVW457379:IVX457388 JFS457379:JFT457388 JPO457379:JPP457388 JZK457379:JZL457388 KJG457379:KJH457388 KTC457379:KTD457388 LCY457379:LCZ457388 LMU457379:LMV457388 LWQ457379:LWR457388 MGM457379:MGN457388 MQI457379:MQJ457388 NAE457379:NAF457388 NKA457379:NKB457388 NTW457379:NTX457388 ODS457379:ODT457388 ONO457379:ONP457388 OXK457379:OXL457388 PHG457379:PHH457388 PRC457379:PRD457388 QAY457379:QAZ457388 QKU457379:QKV457388 QUQ457379:QUR457388 REM457379:REN457388 ROI457379:ROJ457388 RYE457379:RYF457388 SIA457379:SIB457388 SRW457379:SRX457388 TBS457379:TBT457388 TLO457379:TLP457388 TVK457379:TVL457388 UFG457379:UFH457388 UPC457379:UPD457388 UYY457379:UYZ457388 VIU457379:VIV457388 VSQ457379:VSR457388 WCM457379:WCN457388 WMI457379:WMJ457388 WWE457379:WWF457388 V522915:W522924 JS522915:JT522924 TO522915:TP522924 ADK522915:ADL522924 ANG522915:ANH522924 AXC522915:AXD522924 BGY522915:BGZ522924 BQU522915:BQV522924 CAQ522915:CAR522924 CKM522915:CKN522924 CUI522915:CUJ522924 DEE522915:DEF522924 DOA522915:DOB522924 DXW522915:DXX522924 EHS522915:EHT522924 ERO522915:ERP522924 FBK522915:FBL522924 FLG522915:FLH522924 FVC522915:FVD522924 GEY522915:GEZ522924 GOU522915:GOV522924 GYQ522915:GYR522924 HIM522915:HIN522924 HSI522915:HSJ522924 ICE522915:ICF522924 IMA522915:IMB522924 IVW522915:IVX522924 JFS522915:JFT522924 JPO522915:JPP522924 JZK522915:JZL522924 KJG522915:KJH522924 KTC522915:KTD522924 LCY522915:LCZ522924 LMU522915:LMV522924 LWQ522915:LWR522924 MGM522915:MGN522924 MQI522915:MQJ522924 NAE522915:NAF522924 NKA522915:NKB522924 NTW522915:NTX522924 ODS522915:ODT522924 ONO522915:ONP522924 OXK522915:OXL522924 PHG522915:PHH522924 PRC522915:PRD522924 QAY522915:QAZ522924 QKU522915:QKV522924 QUQ522915:QUR522924 REM522915:REN522924 ROI522915:ROJ522924 RYE522915:RYF522924 SIA522915:SIB522924 SRW522915:SRX522924 TBS522915:TBT522924 TLO522915:TLP522924 TVK522915:TVL522924 UFG522915:UFH522924 UPC522915:UPD522924 UYY522915:UYZ522924 VIU522915:VIV522924 VSQ522915:VSR522924 WCM522915:WCN522924 WMI522915:WMJ522924 WWE522915:WWF522924 V588451:W588460 JS588451:JT588460 TO588451:TP588460 ADK588451:ADL588460 ANG588451:ANH588460 AXC588451:AXD588460 BGY588451:BGZ588460 BQU588451:BQV588460 CAQ588451:CAR588460 CKM588451:CKN588460 CUI588451:CUJ588460 DEE588451:DEF588460 DOA588451:DOB588460 DXW588451:DXX588460 EHS588451:EHT588460 ERO588451:ERP588460 FBK588451:FBL588460 FLG588451:FLH588460 FVC588451:FVD588460 GEY588451:GEZ588460 GOU588451:GOV588460 GYQ588451:GYR588460 HIM588451:HIN588460 HSI588451:HSJ588460 ICE588451:ICF588460 IMA588451:IMB588460 IVW588451:IVX588460 JFS588451:JFT588460 JPO588451:JPP588460 JZK588451:JZL588460 KJG588451:KJH588460 KTC588451:KTD588460 LCY588451:LCZ588460 LMU588451:LMV588460 LWQ588451:LWR588460 MGM588451:MGN588460 MQI588451:MQJ588460 NAE588451:NAF588460 NKA588451:NKB588460 NTW588451:NTX588460 ODS588451:ODT588460 ONO588451:ONP588460 OXK588451:OXL588460 PHG588451:PHH588460 PRC588451:PRD588460 QAY588451:QAZ588460 QKU588451:QKV588460 QUQ588451:QUR588460 REM588451:REN588460 ROI588451:ROJ588460 RYE588451:RYF588460 SIA588451:SIB588460 SRW588451:SRX588460 TBS588451:TBT588460 TLO588451:TLP588460 TVK588451:TVL588460 UFG588451:UFH588460 UPC588451:UPD588460 UYY588451:UYZ588460 VIU588451:VIV588460 VSQ588451:VSR588460 WCM588451:WCN588460 WMI588451:WMJ588460 WWE588451:WWF588460 V653987:W653996 JS653987:JT653996 TO653987:TP653996 ADK653987:ADL653996 ANG653987:ANH653996 AXC653987:AXD653996 BGY653987:BGZ653996 BQU653987:BQV653996 CAQ653987:CAR653996 CKM653987:CKN653996 CUI653987:CUJ653996 DEE653987:DEF653996 DOA653987:DOB653996 DXW653987:DXX653996 EHS653987:EHT653996 ERO653987:ERP653996 FBK653987:FBL653996 FLG653987:FLH653996 FVC653987:FVD653996 GEY653987:GEZ653996 GOU653987:GOV653996 GYQ653987:GYR653996 HIM653987:HIN653996 HSI653987:HSJ653996 ICE653987:ICF653996 IMA653987:IMB653996 IVW653987:IVX653996 JFS653987:JFT653996 JPO653987:JPP653996 JZK653987:JZL653996 KJG653987:KJH653996 KTC653987:KTD653996 LCY653987:LCZ653996 LMU653987:LMV653996 LWQ653987:LWR653996 MGM653987:MGN653996 MQI653987:MQJ653996 NAE653987:NAF653996 NKA653987:NKB653996 NTW653987:NTX653996 ODS653987:ODT653996 ONO653987:ONP653996 OXK653987:OXL653996 PHG653987:PHH653996 PRC653987:PRD653996 QAY653987:QAZ653996 QKU653987:QKV653996 QUQ653987:QUR653996 REM653987:REN653996 ROI653987:ROJ653996 RYE653987:RYF653996 SIA653987:SIB653996 SRW653987:SRX653996 TBS653987:TBT653996 TLO653987:TLP653996 TVK653987:TVL653996 UFG653987:UFH653996 UPC653987:UPD653996 UYY653987:UYZ653996 VIU653987:VIV653996 VSQ653987:VSR653996 WCM653987:WCN653996 WMI653987:WMJ653996 WWE653987:WWF653996 V719523:W719532 JS719523:JT719532 TO719523:TP719532 ADK719523:ADL719532 ANG719523:ANH719532 AXC719523:AXD719532 BGY719523:BGZ719532 BQU719523:BQV719532 CAQ719523:CAR719532 CKM719523:CKN719532 CUI719523:CUJ719532 DEE719523:DEF719532 DOA719523:DOB719532 DXW719523:DXX719532 EHS719523:EHT719532 ERO719523:ERP719532 FBK719523:FBL719532 FLG719523:FLH719532 FVC719523:FVD719532 GEY719523:GEZ719532 GOU719523:GOV719532 GYQ719523:GYR719532 HIM719523:HIN719532 HSI719523:HSJ719532 ICE719523:ICF719532 IMA719523:IMB719532 IVW719523:IVX719532 JFS719523:JFT719532 JPO719523:JPP719532 JZK719523:JZL719532 KJG719523:KJH719532 KTC719523:KTD719532 LCY719523:LCZ719532 LMU719523:LMV719532 LWQ719523:LWR719532 MGM719523:MGN719532 MQI719523:MQJ719532 NAE719523:NAF719532 NKA719523:NKB719532 NTW719523:NTX719532 ODS719523:ODT719532 ONO719523:ONP719532 OXK719523:OXL719532 PHG719523:PHH719532 PRC719523:PRD719532 QAY719523:QAZ719532 QKU719523:QKV719532 QUQ719523:QUR719532 REM719523:REN719532 ROI719523:ROJ719532 RYE719523:RYF719532 SIA719523:SIB719532 SRW719523:SRX719532 TBS719523:TBT719532 TLO719523:TLP719532 TVK719523:TVL719532 UFG719523:UFH719532 UPC719523:UPD719532 UYY719523:UYZ719532 VIU719523:VIV719532 VSQ719523:VSR719532 WCM719523:WCN719532 WMI719523:WMJ719532 WWE719523:WWF719532 V785059:W785068 JS785059:JT785068 TO785059:TP785068 ADK785059:ADL785068 ANG785059:ANH785068 AXC785059:AXD785068 BGY785059:BGZ785068 BQU785059:BQV785068 CAQ785059:CAR785068 CKM785059:CKN785068 CUI785059:CUJ785068 DEE785059:DEF785068 DOA785059:DOB785068 DXW785059:DXX785068 EHS785059:EHT785068 ERO785059:ERP785068 FBK785059:FBL785068 FLG785059:FLH785068 FVC785059:FVD785068 GEY785059:GEZ785068 GOU785059:GOV785068 GYQ785059:GYR785068 HIM785059:HIN785068 HSI785059:HSJ785068 ICE785059:ICF785068 IMA785059:IMB785068 IVW785059:IVX785068 JFS785059:JFT785068 JPO785059:JPP785068 JZK785059:JZL785068 KJG785059:KJH785068 KTC785059:KTD785068 LCY785059:LCZ785068 LMU785059:LMV785068 LWQ785059:LWR785068 MGM785059:MGN785068 MQI785059:MQJ785068 NAE785059:NAF785068 NKA785059:NKB785068 NTW785059:NTX785068 ODS785059:ODT785068 ONO785059:ONP785068 OXK785059:OXL785068 PHG785059:PHH785068 PRC785059:PRD785068 QAY785059:QAZ785068 QKU785059:QKV785068 QUQ785059:QUR785068 REM785059:REN785068 ROI785059:ROJ785068 RYE785059:RYF785068 SIA785059:SIB785068 SRW785059:SRX785068 TBS785059:TBT785068 TLO785059:TLP785068 TVK785059:TVL785068 UFG785059:UFH785068 UPC785059:UPD785068 UYY785059:UYZ785068 VIU785059:VIV785068 VSQ785059:VSR785068 WCM785059:WCN785068 WMI785059:WMJ785068 WWE785059:WWF785068 V850595:W850604 JS850595:JT850604 TO850595:TP850604 ADK850595:ADL850604 ANG850595:ANH850604 AXC850595:AXD850604 BGY850595:BGZ850604 BQU850595:BQV850604 CAQ850595:CAR850604 CKM850595:CKN850604 CUI850595:CUJ850604 DEE850595:DEF850604 DOA850595:DOB850604 DXW850595:DXX850604 EHS850595:EHT850604 ERO850595:ERP850604 FBK850595:FBL850604 FLG850595:FLH850604 FVC850595:FVD850604 GEY850595:GEZ850604 GOU850595:GOV850604 GYQ850595:GYR850604 HIM850595:HIN850604 HSI850595:HSJ850604 ICE850595:ICF850604 IMA850595:IMB850604 IVW850595:IVX850604 JFS850595:JFT850604 JPO850595:JPP850604 JZK850595:JZL850604 KJG850595:KJH850604 KTC850595:KTD850604 LCY850595:LCZ850604 LMU850595:LMV850604 LWQ850595:LWR850604 MGM850595:MGN850604 MQI850595:MQJ850604 NAE850595:NAF850604 NKA850595:NKB850604 NTW850595:NTX850604 ODS850595:ODT850604 ONO850595:ONP850604 OXK850595:OXL850604 PHG850595:PHH850604 PRC850595:PRD850604 QAY850595:QAZ850604 QKU850595:QKV850604 QUQ850595:QUR850604 REM850595:REN850604 ROI850595:ROJ850604 RYE850595:RYF850604 SIA850595:SIB850604 SRW850595:SRX850604 TBS850595:TBT850604 TLO850595:TLP850604 TVK850595:TVL850604 UFG850595:UFH850604 UPC850595:UPD850604 UYY850595:UYZ850604 VIU850595:VIV850604 VSQ850595:VSR850604 WCM850595:WCN850604 WMI850595:WMJ850604 WWE850595:WWF850604 V916131:W916140 JS916131:JT916140 TO916131:TP916140 ADK916131:ADL916140 ANG916131:ANH916140 AXC916131:AXD916140 BGY916131:BGZ916140 BQU916131:BQV916140 CAQ916131:CAR916140 CKM916131:CKN916140 CUI916131:CUJ916140 DEE916131:DEF916140 DOA916131:DOB916140 DXW916131:DXX916140 EHS916131:EHT916140 ERO916131:ERP916140 FBK916131:FBL916140 FLG916131:FLH916140 FVC916131:FVD916140 GEY916131:GEZ916140 GOU916131:GOV916140 GYQ916131:GYR916140 HIM916131:HIN916140 HSI916131:HSJ916140 ICE916131:ICF916140 IMA916131:IMB916140 IVW916131:IVX916140 JFS916131:JFT916140 JPO916131:JPP916140 JZK916131:JZL916140 KJG916131:KJH916140 KTC916131:KTD916140 LCY916131:LCZ916140 LMU916131:LMV916140 LWQ916131:LWR916140 MGM916131:MGN916140 MQI916131:MQJ916140 NAE916131:NAF916140 NKA916131:NKB916140 NTW916131:NTX916140 ODS916131:ODT916140 ONO916131:ONP916140 OXK916131:OXL916140 PHG916131:PHH916140 PRC916131:PRD916140 QAY916131:QAZ916140 QKU916131:QKV916140 QUQ916131:QUR916140 REM916131:REN916140 ROI916131:ROJ916140 RYE916131:RYF916140 SIA916131:SIB916140 SRW916131:SRX916140 TBS916131:TBT916140 TLO916131:TLP916140 TVK916131:TVL916140 UFG916131:UFH916140 UPC916131:UPD916140 UYY916131:UYZ916140 VIU916131:VIV916140 VSQ916131:VSR916140 WCM916131:WCN916140 WMI916131:WMJ916140 WWE916131:WWF916140 V981667:W981676 JS981667:JT981676 TO981667:TP981676 ADK981667:ADL981676 ANG981667:ANH981676 AXC981667:AXD981676 BGY981667:BGZ981676 BQU981667:BQV981676 CAQ981667:CAR981676 CKM981667:CKN981676 CUI981667:CUJ981676 DEE981667:DEF981676 DOA981667:DOB981676 DXW981667:DXX981676 EHS981667:EHT981676 ERO981667:ERP981676 FBK981667:FBL981676 FLG981667:FLH981676 FVC981667:FVD981676 GEY981667:GEZ981676 GOU981667:GOV981676 GYQ981667:GYR981676 HIM981667:HIN981676 HSI981667:HSJ981676 ICE981667:ICF981676 IMA981667:IMB981676 IVW981667:IVX981676 JFS981667:JFT981676 JPO981667:JPP981676 JZK981667:JZL981676 KJG981667:KJH981676 KTC981667:KTD981676 LCY981667:LCZ981676 LMU981667:LMV981676 LWQ981667:LWR981676 MGM981667:MGN981676 MQI981667:MQJ981676 NAE981667:NAF981676 NKA981667:NKB981676 NTW981667:NTX981676 ODS981667:ODT981676 ONO981667:ONP981676 OXK981667:OXL981676 PHG981667:PHH981676 PRC981667:PRD981676 QAY981667:QAZ981676 QKU981667:QKV981676 QUQ981667:QUR981676 REM981667:REN981676 ROI981667:ROJ981676 RYE981667:RYF981676 SIA981667:SIB981676 SRW981667:SRX981676 TBS981667:TBT981676 TLO981667:TLP981676 TVK981667:TVL981676 UFG981667:UFH981676 UPC981667:UPD981676 UYY981667:UYZ981676 VIU981667:VIV981676 VSQ981667:VSR981676 WCM981667:WCN981676 WMI981667:WMJ981676 WWE981667:WWF981676">
      <formula1>0</formula1>
      <formula2>1</formula2>
    </dataValidation>
    <dataValidation type="list" errorStyle="information" allowBlank="1" showInputMessage="1" showErrorMessage="1" sqref="N81:O90 JK81:JL90 TG81:TH90 ADC81:ADD90 AMY81:AMZ90 AWU81:AWV90 BGQ81:BGR90 BQM81:BQN90 CAI81:CAJ90 CKE81:CKF90 CUA81:CUB90 DDW81:DDX90 DNS81:DNT90 DXO81:DXP90 EHK81:EHL90 ERG81:ERH90 FBC81:FBD90 FKY81:FKZ90 FUU81:FUV90 GEQ81:GER90 GOM81:GON90 GYI81:GYJ90 HIE81:HIF90 HSA81:HSB90 IBW81:IBX90 ILS81:ILT90 IVO81:IVP90 JFK81:JFL90 JPG81:JPH90 JZC81:JZD90 KIY81:KIZ90 KSU81:KSV90 LCQ81:LCR90 LMM81:LMN90 LWI81:LWJ90 MGE81:MGF90 MQA81:MQB90 MZW81:MZX90 NJS81:NJT90 NTO81:NTP90 ODK81:ODL90 ONG81:ONH90 OXC81:OXD90 PGY81:PGZ90 PQU81:PQV90 QAQ81:QAR90 QKM81:QKN90 QUI81:QUJ90 REE81:REF90 ROA81:ROB90 RXW81:RXX90 SHS81:SHT90 SRO81:SRP90 TBK81:TBL90 TLG81:TLH90 TVC81:TVD90 UEY81:UEZ90 UOU81:UOV90 UYQ81:UYR90 VIM81:VIN90 VSI81:VSJ90 WCE81:WCF90 WMA81:WMB90 WVW81:WVX90 N64163:O64172 JK64163:JL64172 TG64163:TH64172 ADC64163:ADD64172 AMY64163:AMZ64172 AWU64163:AWV64172 BGQ64163:BGR64172 BQM64163:BQN64172 CAI64163:CAJ64172 CKE64163:CKF64172 CUA64163:CUB64172 DDW64163:DDX64172 DNS64163:DNT64172 DXO64163:DXP64172 EHK64163:EHL64172 ERG64163:ERH64172 FBC64163:FBD64172 FKY64163:FKZ64172 FUU64163:FUV64172 GEQ64163:GER64172 GOM64163:GON64172 GYI64163:GYJ64172 HIE64163:HIF64172 HSA64163:HSB64172 IBW64163:IBX64172 ILS64163:ILT64172 IVO64163:IVP64172 JFK64163:JFL64172 JPG64163:JPH64172 JZC64163:JZD64172 KIY64163:KIZ64172 KSU64163:KSV64172 LCQ64163:LCR64172 LMM64163:LMN64172 LWI64163:LWJ64172 MGE64163:MGF64172 MQA64163:MQB64172 MZW64163:MZX64172 NJS64163:NJT64172 NTO64163:NTP64172 ODK64163:ODL64172 ONG64163:ONH64172 OXC64163:OXD64172 PGY64163:PGZ64172 PQU64163:PQV64172 QAQ64163:QAR64172 QKM64163:QKN64172 QUI64163:QUJ64172 REE64163:REF64172 ROA64163:ROB64172 RXW64163:RXX64172 SHS64163:SHT64172 SRO64163:SRP64172 TBK64163:TBL64172 TLG64163:TLH64172 TVC64163:TVD64172 UEY64163:UEZ64172 UOU64163:UOV64172 UYQ64163:UYR64172 VIM64163:VIN64172 VSI64163:VSJ64172 WCE64163:WCF64172 WMA64163:WMB64172 WVW64163:WVX64172 N129699:O129708 JK129699:JL129708 TG129699:TH129708 ADC129699:ADD129708 AMY129699:AMZ129708 AWU129699:AWV129708 BGQ129699:BGR129708 BQM129699:BQN129708 CAI129699:CAJ129708 CKE129699:CKF129708 CUA129699:CUB129708 DDW129699:DDX129708 DNS129699:DNT129708 DXO129699:DXP129708 EHK129699:EHL129708 ERG129699:ERH129708 FBC129699:FBD129708 FKY129699:FKZ129708 FUU129699:FUV129708 GEQ129699:GER129708 GOM129699:GON129708 GYI129699:GYJ129708 HIE129699:HIF129708 HSA129699:HSB129708 IBW129699:IBX129708 ILS129699:ILT129708 IVO129699:IVP129708 JFK129699:JFL129708 JPG129699:JPH129708 JZC129699:JZD129708 KIY129699:KIZ129708 KSU129699:KSV129708 LCQ129699:LCR129708 LMM129699:LMN129708 LWI129699:LWJ129708 MGE129699:MGF129708 MQA129699:MQB129708 MZW129699:MZX129708 NJS129699:NJT129708 NTO129699:NTP129708 ODK129699:ODL129708 ONG129699:ONH129708 OXC129699:OXD129708 PGY129699:PGZ129708 PQU129699:PQV129708 QAQ129699:QAR129708 QKM129699:QKN129708 QUI129699:QUJ129708 REE129699:REF129708 ROA129699:ROB129708 RXW129699:RXX129708 SHS129699:SHT129708 SRO129699:SRP129708 TBK129699:TBL129708 TLG129699:TLH129708 TVC129699:TVD129708 UEY129699:UEZ129708 UOU129699:UOV129708 UYQ129699:UYR129708 VIM129699:VIN129708 VSI129699:VSJ129708 WCE129699:WCF129708 WMA129699:WMB129708 WVW129699:WVX129708 N195235:O195244 JK195235:JL195244 TG195235:TH195244 ADC195235:ADD195244 AMY195235:AMZ195244 AWU195235:AWV195244 BGQ195235:BGR195244 BQM195235:BQN195244 CAI195235:CAJ195244 CKE195235:CKF195244 CUA195235:CUB195244 DDW195235:DDX195244 DNS195235:DNT195244 DXO195235:DXP195244 EHK195235:EHL195244 ERG195235:ERH195244 FBC195235:FBD195244 FKY195235:FKZ195244 FUU195235:FUV195244 GEQ195235:GER195244 GOM195235:GON195244 GYI195235:GYJ195244 HIE195235:HIF195244 HSA195235:HSB195244 IBW195235:IBX195244 ILS195235:ILT195244 IVO195235:IVP195244 JFK195235:JFL195244 JPG195235:JPH195244 JZC195235:JZD195244 KIY195235:KIZ195244 KSU195235:KSV195244 LCQ195235:LCR195244 LMM195235:LMN195244 LWI195235:LWJ195244 MGE195235:MGF195244 MQA195235:MQB195244 MZW195235:MZX195244 NJS195235:NJT195244 NTO195235:NTP195244 ODK195235:ODL195244 ONG195235:ONH195244 OXC195235:OXD195244 PGY195235:PGZ195244 PQU195235:PQV195244 QAQ195235:QAR195244 QKM195235:QKN195244 QUI195235:QUJ195244 REE195235:REF195244 ROA195235:ROB195244 RXW195235:RXX195244 SHS195235:SHT195244 SRO195235:SRP195244 TBK195235:TBL195244 TLG195235:TLH195244 TVC195235:TVD195244 UEY195235:UEZ195244 UOU195235:UOV195244 UYQ195235:UYR195244 VIM195235:VIN195244 VSI195235:VSJ195244 WCE195235:WCF195244 WMA195235:WMB195244 WVW195235:WVX195244 N260771:O260780 JK260771:JL260780 TG260771:TH260780 ADC260771:ADD260780 AMY260771:AMZ260780 AWU260771:AWV260780 BGQ260771:BGR260780 BQM260771:BQN260780 CAI260771:CAJ260780 CKE260771:CKF260780 CUA260771:CUB260780 DDW260771:DDX260780 DNS260771:DNT260780 DXO260771:DXP260780 EHK260771:EHL260780 ERG260771:ERH260780 FBC260771:FBD260780 FKY260771:FKZ260780 FUU260771:FUV260780 GEQ260771:GER260780 GOM260771:GON260780 GYI260771:GYJ260780 HIE260771:HIF260780 HSA260771:HSB260780 IBW260771:IBX260780 ILS260771:ILT260780 IVO260771:IVP260780 JFK260771:JFL260780 JPG260771:JPH260780 JZC260771:JZD260780 KIY260771:KIZ260780 KSU260771:KSV260780 LCQ260771:LCR260780 LMM260771:LMN260780 LWI260771:LWJ260780 MGE260771:MGF260780 MQA260771:MQB260780 MZW260771:MZX260780 NJS260771:NJT260780 NTO260771:NTP260780 ODK260771:ODL260780 ONG260771:ONH260780 OXC260771:OXD260780 PGY260771:PGZ260780 PQU260771:PQV260780 QAQ260771:QAR260780 QKM260771:QKN260780 QUI260771:QUJ260780 REE260771:REF260780 ROA260771:ROB260780 RXW260771:RXX260780 SHS260771:SHT260780 SRO260771:SRP260780 TBK260771:TBL260780 TLG260771:TLH260780 TVC260771:TVD260780 UEY260771:UEZ260780 UOU260771:UOV260780 UYQ260771:UYR260780 VIM260771:VIN260780 VSI260771:VSJ260780 WCE260771:WCF260780 WMA260771:WMB260780 WVW260771:WVX260780 N326307:O326316 JK326307:JL326316 TG326307:TH326316 ADC326307:ADD326316 AMY326307:AMZ326316 AWU326307:AWV326316 BGQ326307:BGR326316 BQM326307:BQN326316 CAI326307:CAJ326316 CKE326307:CKF326316 CUA326307:CUB326316 DDW326307:DDX326316 DNS326307:DNT326316 DXO326307:DXP326316 EHK326307:EHL326316 ERG326307:ERH326316 FBC326307:FBD326316 FKY326307:FKZ326316 FUU326307:FUV326316 GEQ326307:GER326316 GOM326307:GON326316 GYI326307:GYJ326316 HIE326307:HIF326316 HSA326307:HSB326316 IBW326307:IBX326316 ILS326307:ILT326316 IVO326307:IVP326316 JFK326307:JFL326316 JPG326307:JPH326316 JZC326307:JZD326316 KIY326307:KIZ326316 KSU326307:KSV326316 LCQ326307:LCR326316 LMM326307:LMN326316 LWI326307:LWJ326316 MGE326307:MGF326316 MQA326307:MQB326316 MZW326307:MZX326316 NJS326307:NJT326316 NTO326307:NTP326316 ODK326307:ODL326316 ONG326307:ONH326316 OXC326307:OXD326316 PGY326307:PGZ326316 PQU326307:PQV326316 QAQ326307:QAR326316 QKM326307:QKN326316 QUI326307:QUJ326316 REE326307:REF326316 ROA326307:ROB326316 RXW326307:RXX326316 SHS326307:SHT326316 SRO326307:SRP326316 TBK326307:TBL326316 TLG326307:TLH326316 TVC326307:TVD326316 UEY326307:UEZ326316 UOU326307:UOV326316 UYQ326307:UYR326316 VIM326307:VIN326316 VSI326307:VSJ326316 WCE326307:WCF326316 WMA326307:WMB326316 WVW326307:WVX326316 N391843:O391852 JK391843:JL391852 TG391843:TH391852 ADC391843:ADD391852 AMY391843:AMZ391852 AWU391843:AWV391852 BGQ391843:BGR391852 BQM391843:BQN391852 CAI391843:CAJ391852 CKE391843:CKF391852 CUA391843:CUB391852 DDW391843:DDX391852 DNS391843:DNT391852 DXO391843:DXP391852 EHK391843:EHL391852 ERG391843:ERH391852 FBC391843:FBD391852 FKY391843:FKZ391852 FUU391843:FUV391852 GEQ391843:GER391852 GOM391843:GON391852 GYI391843:GYJ391852 HIE391843:HIF391852 HSA391843:HSB391852 IBW391843:IBX391852 ILS391843:ILT391852 IVO391843:IVP391852 JFK391843:JFL391852 JPG391843:JPH391852 JZC391843:JZD391852 KIY391843:KIZ391852 KSU391843:KSV391852 LCQ391843:LCR391852 LMM391843:LMN391852 LWI391843:LWJ391852 MGE391843:MGF391852 MQA391843:MQB391852 MZW391843:MZX391852 NJS391843:NJT391852 NTO391843:NTP391852 ODK391843:ODL391852 ONG391843:ONH391852 OXC391843:OXD391852 PGY391843:PGZ391852 PQU391843:PQV391852 QAQ391843:QAR391852 QKM391843:QKN391852 QUI391843:QUJ391852 REE391843:REF391852 ROA391843:ROB391852 RXW391843:RXX391852 SHS391843:SHT391852 SRO391843:SRP391852 TBK391843:TBL391852 TLG391843:TLH391852 TVC391843:TVD391852 UEY391843:UEZ391852 UOU391843:UOV391852 UYQ391843:UYR391852 VIM391843:VIN391852 VSI391843:VSJ391852 WCE391843:WCF391852 WMA391843:WMB391852 WVW391843:WVX391852 N457379:O457388 JK457379:JL457388 TG457379:TH457388 ADC457379:ADD457388 AMY457379:AMZ457388 AWU457379:AWV457388 BGQ457379:BGR457388 BQM457379:BQN457388 CAI457379:CAJ457388 CKE457379:CKF457388 CUA457379:CUB457388 DDW457379:DDX457388 DNS457379:DNT457388 DXO457379:DXP457388 EHK457379:EHL457388 ERG457379:ERH457388 FBC457379:FBD457388 FKY457379:FKZ457388 FUU457379:FUV457388 GEQ457379:GER457388 GOM457379:GON457388 GYI457379:GYJ457388 HIE457379:HIF457388 HSA457379:HSB457388 IBW457379:IBX457388 ILS457379:ILT457388 IVO457379:IVP457388 JFK457379:JFL457388 JPG457379:JPH457388 JZC457379:JZD457388 KIY457379:KIZ457388 KSU457379:KSV457388 LCQ457379:LCR457388 LMM457379:LMN457388 LWI457379:LWJ457388 MGE457379:MGF457388 MQA457379:MQB457388 MZW457379:MZX457388 NJS457379:NJT457388 NTO457379:NTP457388 ODK457379:ODL457388 ONG457379:ONH457388 OXC457379:OXD457388 PGY457379:PGZ457388 PQU457379:PQV457388 QAQ457379:QAR457388 QKM457379:QKN457388 QUI457379:QUJ457388 REE457379:REF457388 ROA457379:ROB457388 RXW457379:RXX457388 SHS457379:SHT457388 SRO457379:SRP457388 TBK457379:TBL457388 TLG457379:TLH457388 TVC457379:TVD457388 UEY457379:UEZ457388 UOU457379:UOV457388 UYQ457379:UYR457388 VIM457379:VIN457388 VSI457379:VSJ457388 WCE457379:WCF457388 WMA457379:WMB457388 WVW457379:WVX457388 N522915:O522924 JK522915:JL522924 TG522915:TH522924 ADC522915:ADD522924 AMY522915:AMZ522924 AWU522915:AWV522924 BGQ522915:BGR522924 BQM522915:BQN522924 CAI522915:CAJ522924 CKE522915:CKF522924 CUA522915:CUB522924 DDW522915:DDX522924 DNS522915:DNT522924 DXO522915:DXP522924 EHK522915:EHL522924 ERG522915:ERH522924 FBC522915:FBD522924 FKY522915:FKZ522924 FUU522915:FUV522924 GEQ522915:GER522924 GOM522915:GON522924 GYI522915:GYJ522924 HIE522915:HIF522924 HSA522915:HSB522924 IBW522915:IBX522924 ILS522915:ILT522924 IVO522915:IVP522924 JFK522915:JFL522924 JPG522915:JPH522924 JZC522915:JZD522924 KIY522915:KIZ522924 KSU522915:KSV522924 LCQ522915:LCR522924 LMM522915:LMN522924 LWI522915:LWJ522924 MGE522915:MGF522924 MQA522915:MQB522924 MZW522915:MZX522924 NJS522915:NJT522924 NTO522915:NTP522924 ODK522915:ODL522924 ONG522915:ONH522924 OXC522915:OXD522924 PGY522915:PGZ522924 PQU522915:PQV522924 QAQ522915:QAR522924 QKM522915:QKN522924 QUI522915:QUJ522924 REE522915:REF522924 ROA522915:ROB522924 RXW522915:RXX522924 SHS522915:SHT522924 SRO522915:SRP522924 TBK522915:TBL522924 TLG522915:TLH522924 TVC522915:TVD522924 UEY522915:UEZ522924 UOU522915:UOV522924 UYQ522915:UYR522924 VIM522915:VIN522924 VSI522915:VSJ522924 WCE522915:WCF522924 WMA522915:WMB522924 WVW522915:WVX522924 N588451:O588460 JK588451:JL588460 TG588451:TH588460 ADC588451:ADD588460 AMY588451:AMZ588460 AWU588451:AWV588460 BGQ588451:BGR588460 BQM588451:BQN588460 CAI588451:CAJ588460 CKE588451:CKF588460 CUA588451:CUB588460 DDW588451:DDX588460 DNS588451:DNT588460 DXO588451:DXP588460 EHK588451:EHL588460 ERG588451:ERH588460 FBC588451:FBD588460 FKY588451:FKZ588460 FUU588451:FUV588460 GEQ588451:GER588460 GOM588451:GON588460 GYI588451:GYJ588460 HIE588451:HIF588460 HSA588451:HSB588460 IBW588451:IBX588460 ILS588451:ILT588460 IVO588451:IVP588460 JFK588451:JFL588460 JPG588451:JPH588460 JZC588451:JZD588460 KIY588451:KIZ588460 KSU588451:KSV588460 LCQ588451:LCR588460 LMM588451:LMN588460 LWI588451:LWJ588460 MGE588451:MGF588460 MQA588451:MQB588460 MZW588451:MZX588460 NJS588451:NJT588460 NTO588451:NTP588460 ODK588451:ODL588460 ONG588451:ONH588460 OXC588451:OXD588460 PGY588451:PGZ588460 PQU588451:PQV588460 QAQ588451:QAR588460 QKM588451:QKN588460 QUI588451:QUJ588460 REE588451:REF588460 ROA588451:ROB588460 RXW588451:RXX588460 SHS588451:SHT588460 SRO588451:SRP588460 TBK588451:TBL588460 TLG588451:TLH588460 TVC588451:TVD588460 UEY588451:UEZ588460 UOU588451:UOV588460 UYQ588451:UYR588460 VIM588451:VIN588460 VSI588451:VSJ588460 WCE588451:WCF588460 WMA588451:WMB588460 WVW588451:WVX588460 N653987:O653996 JK653987:JL653996 TG653987:TH653996 ADC653987:ADD653996 AMY653987:AMZ653996 AWU653987:AWV653996 BGQ653987:BGR653996 BQM653987:BQN653996 CAI653987:CAJ653996 CKE653987:CKF653996 CUA653987:CUB653996 DDW653987:DDX653996 DNS653987:DNT653996 DXO653987:DXP653996 EHK653987:EHL653996 ERG653987:ERH653996 FBC653987:FBD653996 FKY653987:FKZ653996 FUU653987:FUV653996 GEQ653987:GER653996 GOM653987:GON653996 GYI653987:GYJ653996 HIE653987:HIF653996 HSA653987:HSB653996 IBW653987:IBX653996 ILS653987:ILT653996 IVO653987:IVP653996 JFK653987:JFL653996 JPG653987:JPH653996 JZC653987:JZD653996 KIY653987:KIZ653996 KSU653987:KSV653996 LCQ653987:LCR653996 LMM653987:LMN653996 LWI653987:LWJ653996 MGE653987:MGF653996 MQA653987:MQB653996 MZW653987:MZX653996 NJS653987:NJT653996 NTO653987:NTP653996 ODK653987:ODL653996 ONG653987:ONH653996 OXC653987:OXD653996 PGY653987:PGZ653996 PQU653987:PQV653996 QAQ653987:QAR653996 QKM653987:QKN653996 QUI653987:QUJ653996 REE653987:REF653996 ROA653987:ROB653996 RXW653987:RXX653996 SHS653987:SHT653996 SRO653987:SRP653996 TBK653987:TBL653996 TLG653987:TLH653996 TVC653987:TVD653996 UEY653987:UEZ653996 UOU653987:UOV653996 UYQ653987:UYR653996 VIM653987:VIN653996 VSI653987:VSJ653996 WCE653987:WCF653996 WMA653987:WMB653996 WVW653987:WVX653996 N719523:O719532 JK719523:JL719532 TG719523:TH719532 ADC719523:ADD719532 AMY719523:AMZ719532 AWU719523:AWV719532 BGQ719523:BGR719532 BQM719523:BQN719532 CAI719523:CAJ719532 CKE719523:CKF719532 CUA719523:CUB719532 DDW719523:DDX719532 DNS719523:DNT719532 DXO719523:DXP719532 EHK719523:EHL719532 ERG719523:ERH719532 FBC719523:FBD719532 FKY719523:FKZ719532 FUU719523:FUV719532 GEQ719523:GER719532 GOM719523:GON719532 GYI719523:GYJ719532 HIE719523:HIF719532 HSA719523:HSB719532 IBW719523:IBX719532 ILS719523:ILT719532 IVO719523:IVP719532 JFK719523:JFL719532 JPG719523:JPH719532 JZC719523:JZD719532 KIY719523:KIZ719532 KSU719523:KSV719532 LCQ719523:LCR719532 LMM719523:LMN719532 LWI719523:LWJ719532 MGE719523:MGF719532 MQA719523:MQB719532 MZW719523:MZX719532 NJS719523:NJT719532 NTO719523:NTP719532 ODK719523:ODL719532 ONG719523:ONH719532 OXC719523:OXD719532 PGY719523:PGZ719532 PQU719523:PQV719532 QAQ719523:QAR719532 QKM719523:QKN719532 QUI719523:QUJ719532 REE719523:REF719532 ROA719523:ROB719532 RXW719523:RXX719532 SHS719523:SHT719532 SRO719523:SRP719532 TBK719523:TBL719532 TLG719523:TLH719532 TVC719523:TVD719532 UEY719523:UEZ719532 UOU719523:UOV719532 UYQ719523:UYR719532 VIM719523:VIN719532 VSI719523:VSJ719532 WCE719523:WCF719532 WMA719523:WMB719532 WVW719523:WVX719532 N785059:O785068 JK785059:JL785068 TG785059:TH785068 ADC785059:ADD785068 AMY785059:AMZ785068 AWU785059:AWV785068 BGQ785059:BGR785068 BQM785059:BQN785068 CAI785059:CAJ785068 CKE785059:CKF785068 CUA785059:CUB785068 DDW785059:DDX785068 DNS785059:DNT785068 DXO785059:DXP785068 EHK785059:EHL785068 ERG785059:ERH785068 FBC785059:FBD785068 FKY785059:FKZ785068 FUU785059:FUV785068 GEQ785059:GER785068 GOM785059:GON785068 GYI785059:GYJ785068 HIE785059:HIF785068 HSA785059:HSB785068 IBW785059:IBX785068 ILS785059:ILT785068 IVO785059:IVP785068 JFK785059:JFL785068 JPG785059:JPH785068 JZC785059:JZD785068 KIY785059:KIZ785068 KSU785059:KSV785068 LCQ785059:LCR785068 LMM785059:LMN785068 LWI785059:LWJ785068 MGE785059:MGF785068 MQA785059:MQB785068 MZW785059:MZX785068 NJS785059:NJT785068 NTO785059:NTP785068 ODK785059:ODL785068 ONG785059:ONH785068 OXC785059:OXD785068 PGY785059:PGZ785068 PQU785059:PQV785068 QAQ785059:QAR785068 QKM785059:QKN785068 QUI785059:QUJ785068 REE785059:REF785068 ROA785059:ROB785068 RXW785059:RXX785068 SHS785059:SHT785068 SRO785059:SRP785068 TBK785059:TBL785068 TLG785059:TLH785068 TVC785059:TVD785068 UEY785059:UEZ785068 UOU785059:UOV785068 UYQ785059:UYR785068 VIM785059:VIN785068 VSI785059:VSJ785068 WCE785059:WCF785068 WMA785059:WMB785068 WVW785059:WVX785068 N850595:O850604 JK850595:JL850604 TG850595:TH850604 ADC850595:ADD850604 AMY850595:AMZ850604 AWU850595:AWV850604 BGQ850595:BGR850604 BQM850595:BQN850604 CAI850595:CAJ850604 CKE850595:CKF850604 CUA850595:CUB850604 DDW850595:DDX850604 DNS850595:DNT850604 DXO850595:DXP850604 EHK850595:EHL850604 ERG850595:ERH850604 FBC850595:FBD850604 FKY850595:FKZ850604 FUU850595:FUV850604 GEQ850595:GER850604 GOM850595:GON850604 GYI850595:GYJ850604 HIE850595:HIF850604 HSA850595:HSB850604 IBW850595:IBX850604 ILS850595:ILT850604 IVO850595:IVP850604 JFK850595:JFL850604 JPG850595:JPH850604 JZC850595:JZD850604 KIY850595:KIZ850604 KSU850595:KSV850604 LCQ850595:LCR850604 LMM850595:LMN850604 LWI850595:LWJ850604 MGE850595:MGF850604 MQA850595:MQB850604 MZW850595:MZX850604 NJS850595:NJT850604 NTO850595:NTP850604 ODK850595:ODL850604 ONG850595:ONH850604 OXC850595:OXD850604 PGY850595:PGZ850604 PQU850595:PQV850604 QAQ850595:QAR850604 QKM850595:QKN850604 QUI850595:QUJ850604 REE850595:REF850604 ROA850595:ROB850604 RXW850595:RXX850604 SHS850595:SHT850604 SRO850595:SRP850604 TBK850595:TBL850604 TLG850595:TLH850604 TVC850595:TVD850604 UEY850595:UEZ850604 UOU850595:UOV850604 UYQ850595:UYR850604 VIM850595:VIN850604 VSI850595:VSJ850604 WCE850595:WCF850604 WMA850595:WMB850604 WVW850595:WVX850604 N916131:O916140 JK916131:JL916140 TG916131:TH916140 ADC916131:ADD916140 AMY916131:AMZ916140 AWU916131:AWV916140 BGQ916131:BGR916140 BQM916131:BQN916140 CAI916131:CAJ916140 CKE916131:CKF916140 CUA916131:CUB916140 DDW916131:DDX916140 DNS916131:DNT916140 DXO916131:DXP916140 EHK916131:EHL916140 ERG916131:ERH916140 FBC916131:FBD916140 FKY916131:FKZ916140 FUU916131:FUV916140 GEQ916131:GER916140 GOM916131:GON916140 GYI916131:GYJ916140 HIE916131:HIF916140 HSA916131:HSB916140 IBW916131:IBX916140 ILS916131:ILT916140 IVO916131:IVP916140 JFK916131:JFL916140 JPG916131:JPH916140 JZC916131:JZD916140 KIY916131:KIZ916140 KSU916131:KSV916140 LCQ916131:LCR916140 LMM916131:LMN916140 LWI916131:LWJ916140 MGE916131:MGF916140 MQA916131:MQB916140 MZW916131:MZX916140 NJS916131:NJT916140 NTO916131:NTP916140 ODK916131:ODL916140 ONG916131:ONH916140 OXC916131:OXD916140 PGY916131:PGZ916140 PQU916131:PQV916140 QAQ916131:QAR916140 QKM916131:QKN916140 QUI916131:QUJ916140 REE916131:REF916140 ROA916131:ROB916140 RXW916131:RXX916140 SHS916131:SHT916140 SRO916131:SRP916140 TBK916131:TBL916140 TLG916131:TLH916140 TVC916131:TVD916140 UEY916131:UEZ916140 UOU916131:UOV916140 UYQ916131:UYR916140 VIM916131:VIN916140 VSI916131:VSJ916140 WCE916131:WCF916140 WMA916131:WMB916140 WVW916131:WVX916140 N981667:O981676 JK981667:JL981676 TG981667:TH981676 ADC981667:ADD981676 AMY981667:AMZ981676 AWU981667:AWV981676 BGQ981667:BGR981676 BQM981667:BQN981676 CAI981667:CAJ981676 CKE981667:CKF981676 CUA981667:CUB981676 DDW981667:DDX981676 DNS981667:DNT981676 DXO981667:DXP981676 EHK981667:EHL981676 ERG981667:ERH981676 FBC981667:FBD981676 FKY981667:FKZ981676 FUU981667:FUV981676 GEQ981667:GER981676 GOM981667:GON981676 GYI981667:GYJ981676 HIE981667:HIF981676 HSA981667:HSB981676 IBW981667:IBX981676 ILS981667:ILT981676 IVO981667:IVP981676 JFK981667:JFL981676 JPG981667:JPH981676 JZC981667:JZD981676 KIY981667:KIZ981676 KSU981667:KSV981676 LCQ981667:LCR981676 LMM981667:LMN981676 LWI981667:LWJ981676 MGE981667:MGF981676 MQA981667:MQB981676 MZW981667:MZX981676 NJS981667:NJT981676 NTO981667:NTP981676 ODK981667:ODL981676 ONG981667:ONH981676 OXC981667:OXD981676 PGY981667:PGZ981676 PQU981667:PQV981676 QAQ981667:QAR981676 QKM981667:QKN981676 QUI981667:QUJ981676 REE981667:REF981676 ROA981667:ROB981676 RXW981667:RXX981676 SHS981667:SHT981676 SRO981667:SRP981676 TBK981667:TBL981676 TLG981667:TLH981676 TVC981667:TVD981676 UEY981667:UEZ981676 UOU981667:UOV981676 UYQ981667:UYR981676 VIM981667:VIN981676 VSI981667:VSJ981676 WCE981667:WCF981676 WMA981667:WMB981676 WVW981667:WVX981676">
      <formula1>$AF$93:$AF$106</formula1>
    </dataValidation>
    <dataValidation type="list" errorStyle="information" allowBlank="1" showInputMessage="1" showErrorMessage="1" sqref="L81:M90 JI81:JJ90 TE81:TF90 ADA81:ADB90 AMW81:AMX90 AWS81:AWT90 BGO81:BGP90 BQK81:BQL90 CAG81:CAH90 CKC81:CKD90 CTY81:CTZ90 DDU81:DDV90 DNQ81:DNR90 DXM81:DXN90 EHI81:EHJ90 ERE81:ERF90 FBA81:FBB90 FKW81:FKX90 FUS81:FUT90 GEO81:GEP90 GOK81:GOL90 GYG81:GYH90 HIC81:HID90 HRY81:HRZ90 IBU81:IBV90 ILQ81:ILR90 IVM81:IVN90 JFI81:JFJ90 JPE81:JPF90 JZA81:JZB90 KIW81:KIX90 KSS81:KST90 LCO81:LCP90 LMK81:LML90 LWG81:LWH90 MGC81:MGD90 MPY81:MPZ90 MZU81:MZV90 NJQ81:NJR90 NTM81:NTN90 ODI81:ODJ90 ONE81:ONF90 OXA81:OXB90 PGW81:PGX90 PQS81:PQT90 QAO81:QAP90 QKK81:QKL90 QUG81:QUH90 REC81:RED90 RNY81:RNZ90 RXU81:RXV90 SHQ81:SHR90 SRM81:SRN90 TBI81:TBJ90 TLE81:TLF90 TVA81:TVB90 UEW81:UEX90 UOS81:UOT90 UYO81:UYP90 VIK81:VIL90 VSG81:VSH90 WCC81:WCD90 WLY81:WLZ90 WVU81:WVV90 L64163:M64172 JI64163:JJ64172 TE64163:TF64172 ADA64163:ADB64172 AMW64163:AMX64172 AWS64163:AWT64172 BGO64163:BGP64172 BQK64163:BQL64172 CAG64163:CAH64172 CKC64163:CKD64172 CTY64163:CTZ64172 DDU64163:DDV64172 DNQ64163:DNR64172 DXM64163:DXN64172 EHI64163:EHJ64172 ERE64163:ERF64172 FBA64163:FBB64172 FKW64163:FKX64172 FUS64163:FUT64172 GEO64163:GEP64172 GOK64163:GOL64172 GYG64163:GYH64172 HIC64163:HID64172 HRY64163:HRZ64172 IBU64163:IBV64172 ILQ64163:ILR64172 IVM64163:IVN64172 JFI64163:JFJ64172 JPE64163:JPF64172 JZA64163:JZB64172 KIW64163:KIX64172 KSS64163:KST64172 LCO64163:LCP64172 LMK64163:LML64172 LWG64163:LWH64172 MGC64163:MGD64172 MPY64163:MPZ64172 MZU64163:MZV64172 NJQ64163:NJR64172 NTM64163:NTN64172 ODI64163:ODJ64172 ONE64163:ONF64172 OXA64163:OXB64172 PGW64163:PGX64172 PQS64163:PQT64172 QAO64163:QAP64172 QKK64163:QKL64172 QUG64163:QUH64172 REC64163:RED64172 RNY64163:RNZ64172 RXU64163:RXV64172 SHQ64163:SHR64172 SRM64163:SRN64172 TBI64163:TBJ64172 TLE64163:TLF64172 TVA64163:TVB64172 UEW64163:UEX64172 UOS64163:UOT64172 UYO64163:UYP64172 VIK64163:VIL64172 VSG64163:VSH64172 WCC64163:WCD64172 WLY64163:WLZ64172 WVU64163:WVV64172 L129699:M129708 JI129699:JJ129708 TE129699:TF129708 ADA129699:ADB129708 AMW129699:AMX129708 AWS129699:AWT129708 BGO129699:BGP129708 BQK129699:BQL129708 CAG129699:CAH129708 CKC129699:CKD129708 CTY129699:CTZ129708 DDU129699:DDV129708 DNQ129699:DNR129708 DXM129699:DXN129708 EHI129699:EHJ129708 ERE129699:ERF129708 FBA129699:FBB129708 FKW129699:FKX129708 FUS129699:FUT129708 GEO129699:GEP129708 GOK129699:GOL129708 GYG129699:GYH129708 HIC129699:HID129708 HRY129699:HRZ129708 IBU129699:IBV129708 ILQ129699:ILR129708 IVM129699:IVN129708 JFI129699:JFJ129708 JPE129699:JPF129708 JZA129699:JZB129708 KIW129699:KIX129708 KSS129699:KST129708 LCO129699:LCP129708 LMK129699:LML129708 LWG129699:LWH129708 MGC129699:MGD129708 MPY129699:MPZ129708 MZU129699:MZV129708 NJQ129699:NJR129708 NTM129699:NTN129708 ODI129699:ODJ129708 ONE129699:ONF129708 OXA129699:OXB129708 PGW129699:PGX129708 PQS129699:PQT129708 QAO129699:QAP129708 QKK129699:QKL129708 QUG129699:QUH129708 REC129699:RED129708 RNY129699:RNZ129708 RXU129699:RXV129708 SHQ129699:SHR129708 SRM129699:SRN129708 TBI129699:TBJ129708 TLE129699:TLF129708 TVA129699:TVB129708 UEW129699:UEX129708 UOS129699:UOT129708 UYO129699:UYP129708 VIK129699:VIL129708 VSG129699:VSH129708 WCC129699:WCD129708 WLY129699:WLZ129708 WVU129699:WVV129708 L195235:M195244 JI195235:JJ195244 TE195235:TF195244 ADA195235:ADB195244 AMW195235:AMX195244 AWS195235:AWT195244 BGO195235:BGP195244 BQK195235:BQL195244 CAG195235:CAH195244 CKC195235:CKD195244 CTY195235:CTZ195244 DDU195235:DDV195244 DNQ195235:DNR195244 DXM195235:DXN195244 EHI195235:EHJ195244 ERE195235:ERF195244 FBA195235:FBB195244 FKW195235:FKX195244 FUS195235:FUT195244 GEO195235:GEP195244 GOK195235:GOL195244 GYG195235:GYH195244 HIC195235:HID195244 HRY195235:HRZ195244 IBU195235:IBV195244 ILQ195235:ILR195244 IVM195235:IVN195244 JFI195235:JFJ195244 JPE195235:JPF195244 JZA195235:JZB195244 KIW195235:KIX195244 KSS195235:KST195244 LCO195235:LCP195244 LMK195235:LML195244 LWG195235:LWH195244 MGC195235:MGD195244 MPY195235:MPZ195244 MZU195235:MZV195244 NJQ195235:NJR195244 NTM195235:NTN195244 ODI195235:ODJ195244 ONE195235:ONF195244 OXA195235:OXB195244 PGW195235:PGX195244 PQS195235:PQT195244 QAO195235:QAP195244 QKK195235:QKL195244 QUG195235:QUH195244 REC195235:RED195244 RNY195235:RNZ195244 RXU195235:RXV195244 SHQ195235:SHR195244 SRM195235:SRN195244 TBI195235:TBJ195244 TLE195235:TLF195244 TVA195235:TVB195244 UEW195235:UEX195244 UOS195235:UOT195244 UYO195235:UYP195244 VIK195235:VIL195244 VSG195235:VSH195244 WCC195235:WCD195244 WLY195235:WLZ195244 WVU195235:WVV195244 L260771:M260780 JI260771:JJ260780 TE260771:TF260780 ADA260771:ADB260780 AMW260771:AMX260780 AWS260771:AWT260780 BGO260771:BGP260780 BQK260771:BQL260780 CAG260771:CAH260780 CKC260771:CKD260780 CTY260771:CTZ260780 DDU260771:DDV260780 DNQ260771:DNR260780 DXM260771:DXN260780 EHI260771:EHJ260780 ERE260771:ERF260780 FBA260771:FBB260780 FKW260771:FKX260780 FUS260771:FUT260780 GEO260771:GEP260780 GOK260771:GOL260780 GYG260771:GYH260780 HIC260771:HID260780 HRY260771:HRZ260780 IBU260771:IBV260780 ILQ260771:ILR260780 IVM260771:IVN260780 JFI260771:JFJ260780 JPE260771:JPF260780 JZA260771:JZB260780 KIW260771:KIX260780 KSS260771:KST260780 LCO260771:LCP260780 LMK260771:LML260780 LWG260771:LWH260780 MGC260771:MGD260780 MPY260771:MPZ260780 MZU260771:MZV260780 NJQ260771:NJR260780 NTM260771:NTN260780 ODI260771:ODJ260780 ONE260771:ONF260780 OXA260771:OXB260780 PGW260771:PGX260780 PQS260771:PQT260780 QAO260771:QAP260780 QKK260771:QKL260780 QUG260771:QUH260780 REC260771:RED260780 RNY260771:RNZ260780 RXU260771:RXV260780 SHQ260771:SHR260780 SRM260771:SRN260780 TBI260771:TBJ260780 TLE260771:TLF260780 TVA260771:TVB260780 UEW260771:UEX260780 UOS260771:UOT260780 UYO260771:UYP260780 VIK260771:VIL260780 VSG260771:VSH260780 WCC260771:WCD260780 WLY260771:WLZ260780 WVU260771:WVV260780 L326307:M326316 JI326307:JJ326316 TE326307:TF326316 ADA326307:ADB326316 AMW326307:AMX326316 AWS326307:AWT326316 BGO326307:BGP326316 BQK326307:BQL326316 CAG326307:CAH326316 CKC326307:CKD326316 CTY326307:CTZ326316 DDU326307:DDV326316 DNQ326307:DNR326316 DXM326307:DXN326316 EHI326307:EHJ326316 ERE326307:ERF326316 FBA326307:FBB326316 FKW326307:FKX326316 FUS326307:FUT326316 GEO326307:GEP326316 GOK326307:GOL326316 GYG326307:GYH326316 HIC326307:HID326316 HRY326307:HRZ326316 IBU326307:IBV326316 ILQ326307:ILR326316 IVM326307:IVN326316 JFI326307:JFJ326316 JPE326307:JPF326316 JZA326307:JZB326316 KIW326307:KIX326316 KSS326307:KST326316 LCO326307:LCP326316 LMK326307:LML326316 LWG326307:LWH326316 MGC326307:MGD326316 MPY326307:MPZ326316 MZU326307:MZV326316 NJQ326307:NJR326316 NTM326307:NTN326316 ODI326307:ODJ326316 ONE326307:ONF326316 OXA326307:OXB326316 PGW326307:PGX326316 PQS326307:PQT326316 QAO326307:QAP326316 QKK326307:QKL326316 QUG326307:QUH326316 REC326307:RED326316 RNY326307:RNZ326316 RXU326307:RXV326316 SHQ326307:SHR326316 SRM326307:SRN326316 TBI326307:TBJ326316 TLE326307:TLF326316 TVA326307:TVB326316 UEW326307:UEX326316 UOS326307:UOT326316 UYO326307:UYP326316 VIK326307:VIL326316 VSG326307:VSH326316 WCC326307:WCD326316 WLY326307:WLZ326316 WVU326307:WVV326316 L391843:M391852 JI391843:JJ391852 TE391843:TF391852 ADA391843:ADB391852 AMW391843:AMX391852 AWS391843:AWT391852 BGO391843:BGP391852 BQK391843:BQL391852 CAG391843:CAH391852 CKC391843:CKD391852 CTY391843:CTZ391852 DDU391843:DDV391852 DNQ391843:DNR391852 DXM391843:DXN391852 EHI391843:EHJ391852 ERE391843:ERF391852 FBA391843:FBB391852 FKW391843:FKX391852 FUS391843:FUT391852 GEO391843:GEP391852 GOK391843:GOL391852 GYG391843:GYH391852 HIC391843:HID391852 HRY391843:HRZ391852 IBU391843:IBV391852 ILQ391843:ILR391852 IVM391843:IVN391852 JFI391843:JFJ391852 JPE391843:JPF391852 JZA391843:JZB391852 KIW391843:KIX391852 KSS391843:KST391852 LCO391843:LCP391852 LMK391843:LML391852 LWG391843:LWH391852 MGC391843:MGD391852 MPY391843:MPZ391852 MZU391843:MZV391852 NJQ391843:NJR391852 NTM391843:NTN391852 ODI391843:ODJ391852 ONE391843:ONF391852 OXA391843:OXB391852 PGW391843:PGX391852 PQS391843:PQT391852 QAO391843:QAP391852 QKK391843:QKL391852 QUG391843:QUH391852 REC391843:RED391852 RNY391843:RNZ391852 RXU391843:RXV391852 SHQ391843:SHR391852 SRM391843:SRN391852 TBI391843:TBJ391852 TLE391843:TLF391852 TVA391843:TVB391852 UEW391843:UEX391852 UOS391843:UOT391852 UYO391843:UYP391852 VIK391843:VIL391852 VSG391843:VSH391852 WCC391843:WCD391852 WLY391843:WLZ391852 WVU391843:WVV391852 L457379:M457388 JI457379:JJ457388 TE457379:TF457388 ADA457379:ADB457388 AMW457379:AMX457388 AWS457379:AWT457388 BGO457379:BGP457388 BQK457379:BQL457388 CAG457379:CAH457388 CKC457379:CKD457388 CTY457379:CTZ457388 DDU457379:DDV457388 DNQ457379:DNR457388 DXM457379:DXN457388 EHI457379:EHJ457388 ERE457379:ERF457388 FBA457379:FBB457388 FKW457379:FKX457388 FUS457379:FUT457388 GEO457379:GEP457388 GOK457379:GOL457388 GYG457379:GYH457388 HIC457379:HID457388 HRY457379:HRZ457388 IBU457379:IBV457388 ILQ457379:ILR457388 IVM457379:IVN457388 JFI457379:JFJ457388 JPE457379:JPF457388 JZA457379:JZB457388 KIW457379:KIX457388 KSS457379:KST457388 LCO457379:LCP457388 LMK457379:LML457388 LWG457379:LWH457388 MGC457379:MGD457388 MPY457379:MPZ457388 MZU457379:MZV457388 NJQ457379:NJR457388 NTM457379:NTN457388 ODI457379:ODJ457388 ONE457379:ONF457388 OXA457379:OXB457388 PGW457379:PGX457388 PQS457379:PQT457388 QAO457379:QAP457388 QKK457379:QKL457388 QUG457379:QUH457388 REC457379:RED457388 RNY457379:RNZ457388 RXU457379:RXV457388 SHQ457379:SHR457388 SRM457379:SRN457388 TBI457379:TBJ457388 TLE457379:TLF457388 TVA457379:TVB457388 UEW457379:UEX457388 UOS457379:UOT457388 UYO457379:UYP457388 VIK457379:VIL457388 VSG457379:VSH457388 WCC457379:WCD457388 WLY457379:WLZ457388 WVU457379:WVV457388 L522915:M522924 JI522915:JJ522924 TE522915:TF522924 ADA522915:ADB522924 AMW522915:AMX522924 AWS522915:AWT522924 BGO522915:BGP522924 BQK522915:BQL522924 CAG522915:CAH522924 CKC522915:CKD522924 CTY522915:CTZ522924 DDU522915:DDV522924 DNQ522915:DNR522924 DXM522915:DXN522924 EHI522915:EHJ522924 ERE522915:ERF522924 FBA522915:FBB522924 FKW522915:FKX522924 FUS522915:FUT522924 GEO522915:GEP522924 GOK522915:GOL522924 GYG522915:GYH522924 HIC522915:HID522924 HRY522915:HRZ522924 IBU522915:IBV522924 ILQ522915:ILR522924 IVM522915:IVN522924 JFI522915:JFJ522924 JPE522915:JPF522924 JZA522915:JZB522924 KIW522915:KIX522924 KSS522915:KST522924 LCO522915:LCP522924 LMK522915:LML522924 LWG522915:LWH522924 MGC522915:MGD522924 MPY522915:MPZ522924 MZU522915:MZV522924 NJQ522915:NJR522924 NTM522915:NTN522924 ODI522915:ODJ522924 ONE522915:ONF522924 OXA522915:OXB522924 PGW522915:PGX522924 PQS522915:PQT522924 QAO522915:QAP522924 QKK522915:QKL522924 QUG522915:QUH522924 REC522915:RED522924 RNY522915:RNZ522924 RXU522915:RXV522924 SHQ522915:SHR522924 SRM522915:SRN522924 TBI522915:TBJ522924 TLE522915:TLF522924 TVA522915:TVB522924 UEW522915:UEX522924 UOS522915:UOT522924 UYO522915:UYP522924 VIK522915:VIL522924 VSG522915:VSH522924 WCC522915:WCD522924 WLY522915:WLZ522924 WVU522915:WVV522924 L588451:M588460 JI588451:JJ588460 TE588451:TF588460 ADA588451:ADB588460 AMW588451:AMX588460 AWS588451:AWT588460 BGO588451:BGP588460 BQK588451:BQL588460 CAG588451:CAH588460 CKC588451:CKD588460 CTY588451:CTZ588460 DDU588451:DDV588460 DNQ588451:DNR588460 DXM588451:DXN588460 EHI588451:EHJ588460 ERE588451:ERF588460 FBA588451:FBB588460 FKW588451:FKX588460 FUS588451:FUT588460 GEO588451:GEP588460 GOK588451:GOL588460 GYG588451:GYH588460 HIC588451:HID588460 HRY588451:HRZ588460 IBU588451:IBV588460 ILQ588451:ILR588460 IVM588451:IVN588460 JFI588451:JFJ588460 JPE588451:JPF588460 JZA588451:JZB588460 KIW588451:KIX588460 KSS588451:KST588460 LCO588451:LCP588460 LMK588451:LML588460 LWG588451:LWH588460 MGC588451:MGD588460 MPY588451:MPZ588460 MZU588451:MZV588460 NJQ588451:NJR588460 NTM588451:NTN588460 ODI588451:ODJ588460 ONE588451:ONF588460 OXA588451:OXB588460 PGW588451:PGX588460 PQS588451:PQT588460 QAO588451:QAP588460 QKK588451:QKL588460 QUG588451:QUH588460 REC588451:RED588460 RNY588451:RNZ588460 RXU588451:RXV588460 SHQ588451:SHR588460 SRM588451:SRN588460 TBI588451:TBJ588460 TLE588451:TLF588460 TVA588451:TVB588460 UEW588451:UEX588460 UOS588451:UOT588460 UYO588451:UYP588460 VIK588451:VIL588460 VSG588451:VSH588460 WCC588451:WCD588460 WLY588451:WLZ588460 WVU588451:WVV588460 L653987:M653996 JI653987:JJ653996 TE653987:TF653996 ADA653987:ADB653996 AMW653987:AMX653996 AWS653987:AWT653996 BGO653987:BGP653996 BQK653987:BQL653996 CAG653987:CAH653996 CKC653987:CKD653996 CTY653987:CTZ653996 DDU653987:DDV653996 DNQ653987:DNR653996 DXM653987:DXN653996 EHI653987:EHJ653996 ERE653987:ERF653996 FBA653987:FBB653996 FKW653987:FKX653996 FUS653987:FUT653996 GEO653987:GEP653996 GOK653987:GOL653996 GYG653987:GYH653996 HIC653987:HID653996 HRY653987:HRZ653996 IBU653987:IBV653996 ILQ653987:ILR653996 IVM653987:IVN653996 JFI653987:JFJ653996 JPE653987:JPF653996 JZA653987:JZB653996 KIW653987:KIX653996 KSS653987:KST653996 LCO653987:LCP653996 LMK653987:LML653996 LWG653987:LWH653996 MGC653987:MGD653996 MPY653987:MPZ653996 MZU653987:MZV653996 NJQ653987:NJR653996 NTM653987:NTN653996 ODI653987:ODJ653996 ONE653987:ONF653996 OXA653987:OXB653996 PGW653987:PGX653996 PQS653987:PQT653996 QAO653987:QAP653996 QKK653987:QKL653996 QUG653987:QUH653996 REC653987:RED653996 RNY653987:RNZ653996 RXU653987:RXV653996 SHQ653987:SHR653996 SRM653987:SRN653996 TBI653987:TBJ653996 TLE653987:TLF653996 TVA653987:TVB653996 UEW653987:UEX653996 UOS653987:UOT653996 UYO653987:UYP653996 VIK653987:VIL653996 VSG653987:VSH653996 WCC653987:WCD653996 WLY653987:WLZ653996 WVU653987:WVV653996 L719523:M719532 JI719523:JJ719532 TE719523:TF719532 ADA719523:ADB719532 AMW719523:AMX719532 AWS719523:AWT719532 BGO719523:BGP719532 BQK719523:BQL719532 CAG719523:CAH719532 CKC719523:CKD719532 CTY719523:CTZ719532 DDU719523:DDV719532 DNQ719523:DNR719532 DXM719523:DXN719532 EHI719523:EHJ719532 ERE719523:ERF719532 FBA719523:FBB719532 FKW719523:FKX719532 FUS719523:FUT719532 GEO719523:GEP719532 GOK719523:GOL719532 GYG719523:GYH719532 HIC719523:HID719532 HRY719523:HRZ719532 IBU719523:IBV719532 ILQ719523:ILR719532 IVM719523:IVN719532 JFI719523:JFJ719532 JPE719523:JPF719532 JZA719523:JZB719532 KIW719523:KIX719532 KSS719523:KST719532 LCO719523:LCP719532 LMK719523:LML719532 LWG719523:LWH719532 MGC719523:MGD719532 MPY719523:MPZ719532 MZU719523:MZV719532 NJQ719523:NJR719532 NTM719523:NTN719532 ODI719523:ODJ719532 ONE719523:ONF719532 OXA719523:OXB719532 PGW719523:PGX719532 PQS719523:PQT719532 QAO719523:QAP719532 QKK719523:QKL719532 QUG719523:QUH719532 REC719523:RED719532 RNY719523:RNZ719532 RXU719523:RXV719532 SHQ719523:SHR719532 SRM719523:SRN719532 TBI719523:TBJ719532 TLE719523:TLF719532 TVA719523:TVB719532 UEW719523:UEX719532 UOS719523:UOT719532 UYO719523:UYP719532 VIK719523:VIL719532 VSG719523:VSH719532 WCC719523:WCD719532 WLY719523:WLZ719532 WVU719523:WVV719532 L785059:M785068 JI785059:JJ785068 TE785059:TF785068 ADA785059:ADB785068 AMW785059:AMX785068 AWS785059:AWT785068 BGO785059:BGP785068 BQK785059:BQL785068 CAG785059:CAH785068 CKC785059:CKD785068 CTY785059:CTZ785068 DDU785059:DDV785068 DNQ785059:DNR785068 DXM785059:DXN785068 EHI785059:EHJ785068 ERE785059:ERF785068 FBA785059:FBB785068 FKW785059:FKX785068 FUS785059:FUT785068 GEO785059:GEP785068 GOK785059:GOL785068 GYG785059:GYH785068 HIC785059:HID785068 HRY785059:HRZ785068 IBU785059:IBV785068 ILQ785059:ILR785068 IVM785059:IVN785068 JFI785059:JFJ785068 JPE785059:JPF785068 JZA785059:JZB785068 KIW785059:KIX785068 KSS785059:KST785068 LCO785059:LCP785068 LMK785059:LML785068 LWG785059:LWH785068 MGC785059:MGD785068 MPY785059:MPZ785068 MZU785059:MZV785068 NJQ785059:NJR785068 NTM785059:NTN785068 ODI785059:ODJ785068 ONE785059:ONF785068 OXA785059:OXB785068 PGW785059:PGX785068 PQS785059:PQT785068 QAO785059:QAP785068 QKK785059:QKL785068 QUG785059:QUH785068 REC785059:RED785068 RNY785059:RNZ785068 RXU785059:RXV785068 SHQ785059:SHR785068 SRM785059:SRN785068 TBI785059:TBJ785068 TLE785059:TLF785068 TVA785059:TVB785068 UEW785059:UEX785068 UOS785059:UOT785068 UYO785059:UYP785068 VIK785059:VIL785068 VSG785059:VSH785068 WCC785059:WCD785068 WLY785059:WLZ785068 WVU785059:WVV785068 L850595:M850604 JI850595:JJ850604 TE850595:TF850604 ADA850595:ADB850604 AMW850595:AMX850604 AWS850595:AWT850604 BGO850595:BGP850604 BQK850595:BQL850604 CAG850595:CAH850604 CKC850595:CKD850604 CTY850595:CTZ850604 DDU850595:DDV850604 DNQ850595:DNR850604 DXM850595:DXN850604 EHI850595:EHJ850604 ERE850595:ERF850604 FBA850595:FBB850604 FKW850595:FKX850604 FUS850595:FUT850604 GEO850595:GEP850604 GOK850595:GOL850604 GYG850595:GYH850604 HIC850595:HID850604 HRY850595:HRZ850604 IBU850595:IBV850604 ILQ850595:ILR850604 IVM850595:IVN850604 JFI850595:JFJ850604 JPE850595:JPF850604 JZA850595:JZB850604 KIW850595:KIX850604 KSS850595:KST850604 LCO850595:LCP850604 LMK850595:LML850604 LWG850595:LWH850604 MGC850595:MGD850604 MPY850595:MPZ850604 MZU850595:MZV850604 NJQ850595:NJR850604 NTM850595:NTN850604 ODI850595:ODJ850604 ONE850595:ONF850604 OXA850595:OXB850604 PGW850595:PGX850604 PQS850595:PQT850604 QAO850595:QAP850604 QKK850595:QKL850604 QUG850595:QUH850604 REC850595:RED850604 RNY850595:RNZ850604 RXU850595:RXV850604 SHQ850595:SHR850604 SRM850595:SRN850604 TBI850595:TBJ850604 TLE850595:TLF850604 TVA850595:TVB850604 UEW850595:UEX850604 UOS850595:UOT850604 UYO850595:UYP850604 VIK850595:VIL850604 VSG850595:VSH850604 WCC850595:WCD850604 WLY850595:WLZ850604 WVU850595:WVV850604 L916131:M916140 JI916131:JJ916140 TE916131:TF916140 ADA916131:ADB916140 AMW916131:AMX916140 AWS916131:AWT916140 BGO916131:BGP916140 BQK916131:BQL916140 CAG916131:CAH916140 CKC916131:CKD916140 CTY916131:CTZ916140 DDU916131:DDV916140 DNQ916131:DNR916140 DXM916131:DXN916140 EHI916131:EHJ916140 ERE916131:ERF916140 FBA916131:FBB916140 FKW916131:FKX916140 FUS916131:FUT916140 GEO916131:GEP916140 GOK916131:GOL916140 GYG916131:GYH916140 HIC916131:HID916140 HRY916131:HRZ916140 IBU916131:IBV916140 ILQ916131:ILR916140 IVM916131:IVN916140 JFI916131:JFJ916140 JPE916131:JPF916140 JZA916131:JZB916140 KIW916131:KIX916140 KSS916131:KST916140 LCO916131:LCP916140 LMK916131:LML916140 LWG916131:LWH916140 MGC916131:MGD916140 MPY916131:MPZ916140 MZU916131:MZV916140 NJQ916131:NJR916140 NTM916131:NTN916140 ODI916131:ODJ916140 ONE916131:ONF916140 OXA916131:OXB916140 PGW916131:PGX916140 PQS916131:PQT916140 QAO916131:QAP916140 QKK916131:QKL916140 QUG916131:QUH916140 REC916131:RED916140 RNY916131:RNZ916140 RXU916131:RXV916140 SHQ916131:SHR916140 SRM916131:SRN916140 TBI916131:TBJ916140 TLE916131:TLF916140 TVA916131:TVB916140 UEW916131:UEX916140 UOS916131:UOT916140 UYO916131:UYP916140 VIK916131:VIL916140 VSG916131:VSH916140 WCC916131:WCD916140 WLY916131:WLZ916140 WVU916131:WVV916140 L981667:M981676 JI981667:JJ981676 TE981667:TF981676 ADA981667:ADB981676 AMW981667:AMX981676 AWS981667:AWT981676 BGO981667:BGP981676 BQK981667:BQL981676 CAG981667:CAH981676 CKC981667:CKD981676 CTY981667:CTZ981676 DDU981667:DDV981676 DNQ981667:DNR981676 DXM981667:DXN981676 EHI981667:EHJ981676 ERE981667:ERF981676 FBA981667:FBB981676 FKW981667:FKX981676 FUS981667:FUT981676 GEO981667:GEP981676 GOK981667:GOL981676 GYG981667:GYH981676 HIC981667:HID981676 HRY981667:HRZ981676 IBU981667:IBV981676 ILQ981667:ILR981676 IVM981667:IVN981676 JFI981667:JFJ981676 JPE981667:JPF981676 JZA981667:JZB981676 KIW981667:KIX981676 KSS981667:KST981676 LCO981667:LCP981676 LMK981667:LML981676 LWG981667:LWH981676 MGC981667:MGD981676 MPY981667:MPZ981676 MZU981667:MZV981676 NJQ981667:NJR981676 NTM981667:NTN981676 ODI981667:ODJ981676 ONE981667:ONF981676 OXA981667:OXB981676 PGW981667:PGX981676 PQS981667:PQT981676 QAO981667:QAP981676 QKK981667:QKL981676 QUG981667:QUH981676 REC981667:RED981676 RNY981667:RNZ981676 RXU981667:RXV981676 SHQ981667:SHR981676 SRM981667:SRN981676 TBI981667:TBJ981676 TLE981667:TLF981676 TVA981667:TVB981676 UEW981667:UEX981676 UOS981667:UOT981676 UYO981667:UYP981676 VIK981667:VIL981676 VSG981667:VSH981676 WCC981667:WCD981676 WLY981667:WLZ981676 WVU981667:WVV981676">
      <formula1>$AG$108:$AG$111</formula1>
    </dataValidation>
    <dataValidation type="list" errorStyle="information" allowBlank="1" showInputMessage="1" showErrorMessage="1" sqref="J81:K90 WVS981667:WVT981676 WLW981667:WLX981676 WCA981667:WCB981676 VSE981667:VSF981676 VII981667:VIJ981676 UYM981667:UYN981676 UOQ981667:UOR981676 UEU981667:UEV981676 TUY981667:TUZ981676 TLC981667:TLD981676 TBG981667:TBH981676 SRK981667:SRL981676 SHO981667:SHP981676 RXS981667:RXT981676 RNW981667:RNX981676 REA981667:REB981676 QUE981667:QUF981676 QKI981667:QKJ981676 QAM981667:QAN981676 PQQ981667:PQR981676 PGU981667:PGV981676 OWY981667:OWZ981676 ONC981667:OND981676 ODG981667:ODH981676 NTK981667:NTL981676 NJO981667:NJP981676 MZS981667:MZT981676 MPW981667:MPX981676 MGA981667:MGB981676 LWE981667:LWF981676 LMI981667:LMJ981676 LCM981667:LCN981676 KSQ981667:KSR981676 KIU981667:KIV981676 JYY981667:JYZ981676 JPC981667:JPD981676 JFG981667:JFH981676 IVK981667:IVL981676 ILO981667:ILP981676 IBS981667:IBT981676 HRW981667:HRX981676 HIA981667:HIB981676 GYE981667:GYF981676 GOI981667:GOJ981676 GEM981667:GEN981676 FUQ981667:FUR981676 FKU981667:FKV981676 FAY981667:FAZ981676 ERC981667:ERD981676 EHG981667:EHH981676 DXK981667:DXL981676 DNO981667:DNP981676 DDS981667:DDT981676 CTW981667:CTX981676 CKA981667:CKB981676 CAE981667:CAF981676 BQI981667:BQJ981676 BGM981667:BGN981676 AWQ981667:AWR981676 AMU981667:AMV981676 ACY981667:ACZ981676 TC981667:TD981676 JG981667:JH981676 J981667:K981676 WVS916131:WVT916140 WLW916131:WLX916140 WCA916131:WCB916140 VSE916131:VSF916140 VII916131:VIJ916140 UYM916131:UYN916140 UOQ916131:UOR916140 UEU916131:UEV916140 TUY916131:TUZ916140 TLC916131:TLD916140 TBG916131:TBH916140 SRK916131:SRL916140 SHO916131:SHP916140 RXS916131:RXT916140 RNW916131:RNX916140 REA916131:REB916140 QUE916131:QUF916140 QKI916131:QKJ916140 QAM916131:QAN916140 PQQ916131:PQR916140 PGU916131:PGV916140 OWY916131:OWZ916140 ONC916131:OND916140 ODG916131:ODH916140 NTK916131:NTL916140 NJO916131:NJP916140 MZS916131:MZT916140 MPW916131:MPX916140 MGA916131:MGB916140 LWE916131:LWF916140 LMI916131:LMJ916140 LCM916131:LCN916140 KSQ916131:KSR916140 KIU916131:KIV916140 JYY916131:JYZ916140 JPC916131:JPD916140 JFG916131:JFH916140 IVK916131:IVL916140 ILO916131:ILP916140 IBS916131:IBT916140 HRW916131:HRX916140 HIA916131:HIB916140 GYE916131:GYF916140 GOI916131:GOJ916140 GEM916131:GEN916140 FUQ916131:FUR916140 FKU916131:FKV916140 FAY916131:FAZ916140 ERC916131:ERD916140 EHG916131:EHH916140 DXK916131:DXL916140 DNO916131:DNP916140 DDS916131:DDT916140 CTW916131:CTX916140 CKA916131:CKB916140 CAE916131:CAF916140 BQI916131:BQJ916140 BGM916131:BGN916140 AWQ916131:AWR916140 AMU916131:AMV916140 ACY916131:ACZ916140 TC916131:TD916140 JG916131:JH916140 J916131:K916140 WVS850595:WVT850604 WLW850595:WLX850604 WCA850595:WCB850604 VSE850595:VSF850604 VII850595:VIJ850604 UYM850595:UYN850604 UOQ850595:UOR850604 UEU850595:UEV850604 TUY850595:TUZ850604 TLC850595:TLD850604 TBG850595:TBH850604 SRK850595:SRL850604 SHO850595:SHP850604 RXS850595:RXT850604 RNW850595:RNX850604 REA850595:REB850604 QUE850595:QUF850604 QKI850595:QKJ850604 QAM850595:QAN850604 PQQ850595:PQR850604 PGU850595:PGV850604 OWY850595:OWZ850604 ONC850595:OND850604 ODG850595:ODH850604 NTK850595:NTL850604 NJO850595:NJP850604 MZS850595:MZT850604 MPW850595:MPX850604 MGA850595:MGB850604 LWE850595:LWF850604 LMI850595:LMJ850604 LCM850595:LCN850604 KSQ850595:KSR850604 KIU850595:KIV850604 JYY850595:JYZ850604 JPC850595:JPD850604 JFG850595:JFH850604 IVK850595:IVL850604 ILO850595:ILP850604 IBS850595:IBT850604 HRW850595:HRX850604 HIA850595:HIB850604 GYE850595:GYF850604 GOI850595:GOJ850604 GEM850595:GEN850604 FUQ850595:FUR850604 FKU850595:FKV850604 FAY850595:FAZ850604 ERC850595:ERD850604 EHG850595:EHH850604 DXK850595:DXL850604 DNO850595:DNP850604 DDS850595:DDT850604 CTW850595:CTX850604 CKA850595:CKB850604 CAE850595:CAF850604 BQI850595:BQJ850604 BGM850595:BGN850604 AWQ850595:AWR850604 AMU850595:AMV850604 ACY850595:ACZ850604 TC850595:TD850604 JG850595:JH850604 J850595:K850604 WVS785059:WVT785068 WLW785059:WLX785068 WCA785059:WCB785068 VSE785059:VSF785068 VII785059:VIJ785068 UYM785059:UYN785068 UOQ785059:UOR785068 UEU785059:UEV785068 TUY785059:TUZ785068 TLC785059:TLD785068 TBG785059:TBH785068 SRK785059:SRL785068 SHO785059:SHP785068 RXS785059:RXT785068 RNW785059:RNX785068 REA785059:REB785068 QUE785059:QUF785068 QKI785059:QKJ785068 QAM785059:QAN785068 PQQ785059:PQR785068 PGU785059:PGV785068 OWY785059:OWZ785068 ONC785059:OND785068 ODG785059:ODH785068 NTK785059:NTL785068 NJO785059:NJP785068 MZS785059:MZT785068 MPW785059:MPX785068 MGA785059:MGB785068 LWE785059:LWF785068 LMI785059:LMJ785068 LCM785059:LCN785068 KSQ785059:KSR785068 KIU785059:KIV785068 JYY785059:JYZ785068 JPC785059:JPD785068 JFG785059:JFH785068 IVK785059:IVL785068 ILO785059:ILP785068 IBS785059:IBT785068 HRW785059:HRX785068 HIA785059:HIB785068 GYE785059:GYF785068 GOI785059:GOJ785068 GEM785059:GEN785068 FUQ785059:FUR785068 FKU785059:FKV785068 FAY785059:FAZ785068 ERC785059:ERD785068 EHG785059:EHH785068 DXK785059:DXL785068 DNO785059:DNP785068 DDS785059:DDT785068 CTW785059:CTX785068 CKA785059:CKB785068 CAE785059:CAF785068 BQI785059:BQJ785068 BGM785059:BGN785068 AWQ785059:AWR785068 AMU785059:AMV785068 ACY785059:ACZ785068 TC785059:TD785068 JG785059:JH785068 J785059:K785068 WVS719523:WVT719532 WLW719523:WLX719532 WCA719523:WCB719532 VSE719523:VSF719532 VII719523:VIJ719532 UYM719523:UYN719532 UOQ719523:UOR719532 UEU719523:UEV719532 TUY719523:TUZ719532 TLC719523:TLD719532 TBG719523:TBH719532 SRK719523:SRL719532 SHO719523:SHP719532 RXS719523:RXT719532 RNW719523:RNX719532 REA719523:REB719532 QUE719523:QUF719532 QKI719523:QKJ719532 QAM719523:QAN719532 PQQ719523:PQR719532 PGU719523:PGV719532 OWY719523:OWZ719532 ONC719523:OND719532 ODG719523:ODH719532 NTK719523:NTL719532 NJO719523:NJP719532 MZS719523:MZT719532 MPW719523:MPX719532 MGA719523:MGB719532 LWE719523:LWF719532 LMI719523:LMJ719532 LCM719523:LCN719532 KSQ719523:KSR719532 KIU719523:KIV719532 JYY719523:JYZ719532 JPC719523:JPD719532 JFG719523:JFH719532 IVK719523:IVL719532 ILO719523:ILP719532 IBS719523:IBT719532 HRW719523:HRX719532 HIA719523:HIB719532 GYE719523:GYF719532 GOI719523:GOJ719532 GEM719523:GEN719532 FUQ719523:FUR719532 FKU719523:FKV719532 FAY719523:FAZ719532 ERC719523:ERD719532 EHG719523:EHH719532 DXK719523:DXL719532 DNO719523:DNP719532 DDS719523:DDT719532 CTW719523:CTX719532 CKA719523:CKB719532 CAE719523:CAF719532 BQI719523:BQJ719532 BGM719523:BGN719532 AWQ719523:AWR719532 AMU719523:AMV719532 ACY719523:ACZ719532 TC719523:TD719532 JG719523:JH719532 J719523:K719532 WVS653987:WVT653996 WLW653987:WLX653996 WCA653987:WCB653996 VSE653987:VSF653996 VII653987:VIJ653996 UYM653987:UYN653996 UOQ653987:UOR653996 UEU653987:UEV653996 TUY653987:TUZ653996 TLC653987:TLD653996 TBG653987:TBH653996 SRK653987:SRL653996 SHO653987:SHP653996 RXS653987:RXT653996 RNW653987:RNX653996 REA653987:REB653996 QUE653987:QUF653996 QKI653987:QKJ653996 QAM653987:QAN653996 PQQ653987:PQR653996 PGU653987:PGV653996 OWY653987:OWZ653996 ONC653987:OND653996 ODG653987:ODH653996 NTK653987:NTL653996 NJO653987:NJP653996 MZS653987:MZT653996 MPW653987:MPX653996 MGA653987:MGB653996 LWE653987:LWF653996 LMI653987:LMJ653996 LCM653987:LCN653996 KSQ653987:KSR653996 KIU653987:KIV653996 JYY653987:JYZ653996 JPC653987:JPD653996 JFG653987:JFH653996 IVK653987:IVL653996 ILO653987:ILP653996 IBS653987:IBT653996 HRW653987:HRX653996 HIA653987:HIB653996 GYE653987:GYF653996 GOI653987:GOJ653996 GEM653987:GEN653996 FUQ653987:FUR653996 FKU653987:FKV653996 FAY653987:FAZ653996 ERC653987:ERD653996 EHG653987:EHH653996 DXK653987:DXL653996 DNO653987:DNP653996 DDS653987:DDT653996 CTW653987:CTX653996 CKA653987:CKB653996 CAE653987:CAF653996 BQI653987:BQJ653996 BGM653987:BGN653996 AWQ653987:AWR653996 AMU653987:AMV653996 ACY653987:ACZ653996 TC653987:TD653996 JG653987:JH653996 J653987:K653996 WVS588451:WVT588460 WLW588451:WLX588460 WCA588451:WCB588460 VSE588451:VSF588460 VII588451:VIJ588460 UYM588451:UYN588460 UOQ588451:UOR588460 UEU588451:UEV588460 TUY588451:TUZ588460 TLC588451:TLD588460 TBG588451:TBH588460 SRK588451:SRL588460 SHO588451:SHP588460 RXS588451:RXT588460 RNW588451:RNX588460 REA588451:REB588460 QUE588451:QUF588460 QKI588451:QKJ588460 QAM588451:QAN588460 PQQ588451:PQR588460 PGU588451:PGV588460 OWY588451:OWZ588460 ONC588451:OND588460 ODG588451:ODH588460 NTK588451:NTL588460 NJO588451:NJP588460 MZS588451:MZT588460 MPW588451:MPX588460 MGA588451:MGB588460 LWE588451:LWF588460 LMI588451:LMJ588460 LCM588451:LCN588460 KSQ588451:KSR588460 KIU588451:KIV588460 JYY588451:JYZ588460 JPC588451:JPD588460 JFG588451:JFH588460 IVK588451:IVL588460 ILO588451:ILP588460 IBS588451:IBT588460 HRW588451:HRX588460 HIA588451:HIB588460 GYE588451:GYF588460 GOI588451:GOJ588460 GEM588451:GEN588460 FUQ588451:FUR588460 FKU588451:FKV588460 FAY588451:FAZ588460 ERC588451:ERD588460 EHG588451:EHH588460 DXK588451:DXL588460 DNO588451:DNP588460 DDS588451:DDT588460 CTW588451:CTX588460 CKA588451:CKB588460 CAE588451:CAF588460 BQI588451:BQJ588460 BGM588451:BGN588460 AWQ588451:AWR588460 AMU588451:AMV588460 ACY588451:ACZ588460 TC588451:TD588460 JG588451:JH588460 J588451:K588460 WVS522915:WVT522924 WLW522915:WLX522924 WCA522915:WCB522924 VSE522915:VSF522924 VII522915:VIJ522924 UYM522915:UYN522924 UOQ522915:UOR522924 UEU522915:UEV522924 TUY522915:TUZ522924 TLC522915:TLD522924 TBG522915:TBH522924 SRK522915:SRL522924 SHO522915:SHP522924 RXS522915:RXT522924 RNW522915:RNX522924 REA522915:REB522924 QUE522915:QUF522924 QKI522915:QKJ522924 QAM522915:QAN522924 PQQ522915:PQR522924 PGU522915:PGV522924 OWY522915:OWZ522924 ONC522915:OND522924 ODG522915:ODH522924 NTK522915:NTL522924 NJO522915:NJP522924 MZS522915:MZT522924 MPW522915:MPX522924 MGA522915:MGB522924 LWE522915:LWF522924 LMI522915:LMJ522924 LCM522915:LCN522924 KSQ522915:KSR522924 KIU522915:KIV522924 JYY522915:JYZ522924 JPC522915:JPD522924 JFG522915:JFH522924 IVK522915:IVL522924 ILO522915:ILP522924 IBS522915:IBT522924 HRW522915:HRX522924 HIA522915:HIB522924 GYE522915:GYF522924 GOI522915:GOJ522924 GEM522915:GEN522924 FUQ522915:FUR522924 FKU522915:FKV522924 FAY522915:FAZ522924 ERC522915:ERD522924 EHG522915:EHH522924 DXK522915:DXL522924 DNO522915:DNP522924 DDS522915:DDT522924 CTW522915:CTX522924 CKA522915:CKB522924 CAE522915:CAF522924 BQI522915:BQJ522924 BGM522915:BGN522924 AWQ522915:AWR522924 AMU522915:AMV522924 ACY522915:ACZ522924 TC522915:TD522924 JG522915:JH522924 J522915:K522924 WVS457379:WVT457388 WLW457379:WLX457388 WCA457379:WCB457388 VSE457379:VSF457388 VII457379:VIJ457388 UYM457379:UYN457388 UOQ457379:UOR457388 UEU457379:UEV457388 TUY457379:TUZ457388 TLC457379:TLD457388 TBG457379:TBH457388 SRK457379:SRL457388 SHO457379:SHP457388 RXS457379:RXT457388 RNW457379:RNX457388 REA457379:REB457388 QUE457379:QUF457388 QKI457379:QKJ457388 QAM457379:QAN457388 PQQ457379:PQR457388 PGU457379:PGV457388 OWY457379:OWZ457388 ONC457379:OND457388 ODG457379:ODH457388 NTK457379:NTL457388 NJO457379:NJP457388 MZS457379:MZT457388 MPW457379:MPX457388 MGA457379:MGB457388 LWE457379:LWF457388 LMI457379:LMJ457388 LCM457379:LCN457388 KSQ457379:KSR457388 KIU457379:KIV457388 JYY457379:JYZ457388 JPC457379:JPD457388 JFG457379:JFH457388 IVK457379:IVL457388 ILO457379:ILP457388 IBS457379:IBT457388 HRW457379:HRX457388 HIA457379:HIB457388 GYE457379:GYF457388 GOI457379:GOJ457388 GEM457379:GEN457388 FUQ457379:FUR457388 FKU457379:FKV457388 FAY457379:FAZ457388 ERC457379:ERD457388 EHG457379:EHH457388 DXK457379:DXL457388 DNO457379:DNP457388 DDS457379:DDT457388 CTW457379:CTX457388 CKA457379:CKB457388 CAE457379:CAF457388 BQI457379:BQJ457388 BGM457379:BGN457388 AWQ457379:AWR457388 AMU457379:AMV457388 ACY457379:ACZ457388 TC457379:TD457388 JG457379:JH457388 J457379:K457388 WVS391843:WVT391852 WLW391843:WLX391852 WCA391843:WCB391852 VSE391843:VSF391852 VII391843:VIJ391852 UYM391843:UYN391852 UOQ391843:UOR391852 UEU391843:UEV391852 TUY391843:TUZ391852 TLC391843:TLD391852 TBG391843:TBH391852 SRK391843:SRL391852 SHO391843:SHP391852 RXS391843:RXT391852 RNW391843:RNX391852 REA391843:REB391852 QUE391843:QUF391852 QKI391843:QKJ391852 QAM391843:QAN391852 PQQ391843:PQR391852 PGU391843:PGV391852 OWY391843:OWZ391852 ONC391843:OND391852 ODG391843:ODH391852 NTK391843:NTL391852 NJO391843:NJP391852 MZS391843:MZT391852 MPW391843:MPX391852 MGA391843:MGB391852 LWE391843:LWF391852 LMI391843:LMJ391852 LCM391843:LCN391852 KSQ391843:KSR391852 KIU391843:KIV391852 JYY391843:JYZ391852 JPC391843:JPD391852 JFG391843:JFH391852 IVK391843:IVL391852 ILO391843:ILP391852 IBS391843:IBT391852 HRW391843:HRX391852 HIA391843:HIB391852 GYE391843:GYF391852 GOI391843:GOJ391852 GEM391843:GEN391852 FUQ391843:FUR391852 FKU391843:FKV391852 FAY391843:FAZ391852 ERC391843:ERD391852 EHG391843:EHH391852 DXK391843:DXL391852 DNO391843:DNP391852 DDS391843:DDT391852 CTW391843:CTX391852 CKA391843:CKB391852 CAE391843:CAF391852 BQI391843:BQJ391852 BGM391843:BGN391852 AWQ391843:AWR391852 AMU391843:AMV391852 ACY391843:ACZ391852 TC391843:TD391852 JG391843:JH391852 J391843:K391852 WVS326307:WVT326316 WLW326307:WLX326316 WCA326307:WCB326316 VSE326307:VSF326316 VII326307:VIJ326316 UYM326307:UYN326316 UOQ326307:UOR326316 UEU326307:UEV326316 TUY326307:TUZ326316 TLC326307:TLD326316 TBG326307:TBH326316 SRK326307:SRL326316 SHO326307:SHP326316 RXS326307:RXT326316 RNW326307:RNX326316 REA326307:REB326316 QUE326307:QUF326316 QKI326307:QKJ326316 QAM326307:QAN326316 PQQ326307:PQR326316 PGU326307:PGV326316 OWY326307:OWZ326316 ONC326307:OND326316 ODG326307:ODH326316 NTK326307:NTL326316 NJO326307:NJP326316 MZS326307:MZT326316 MPW326307:MPX326316 MGA326307:MGB326316 LWE326307:LWF326316 LMI326307:LMJ326316 LCM326307:LCN326316 KSQ326307:KSR326316 KIU326307:KIV326316 JYY326307:JYZ326316 JPC326307:JPD326316 JFG326307:JFH326316 IVK326307:IVL326316 ILO326307:ILP326316 IBS326307:IBT326316 HRW326307:HRX326316 HIA326307:HIB326316 GYE326307:GYF326316 GOI326307:GOJ326316 GEM326307:GEN326316 FUQ326307:FUR326316 FKU326307:FKV326316 FAY326307:FAZ326316 ERC326307:ERD326316 EHG326307:EHH326316 DXK326307:DXL326316 DNO326307:DNP326316 DDS326307:DDT326316 CTW326307:CTX326316 CKA326307:CKB326316 CAE326307:CAF326316 BQI326307:BQJ326316 BGM326307:BGN326316 AWQ326307:AWR326316 AMU326307:AMV326316 ACY326307:ACZ326316 TC326307:TD326316 JG326307:JH326316 J326307:K326316 WVS260771:WVT260780 WLW260771:WLX260780 WCA260771:WCB260780 VSE260771:VSF260780 VII260771:VIJ260780 UYM260771:UYN260780 UOQ260771:UOR260780 UEU260771:UEV260780 TUY260771:TUZ260780 TLC260771:TLD260780 TBG260771:TBH260780 SRK260771:SRL260780 SHO260771:SHP260780 RXS260771:RXT260780 RNW260771:RNX260780 REA260771:REB260780 QUE260771:QUF260780 QKI260771:QKJ260780 QAM260771:QAN260780 PQQ260771:PQR260780 PGU260771:PGV260780 OWY260771:OWZ260780 ONC260771:OND260780 ODG260771:ODH260780 NTK260771:NTL260780 NJO260771:NJP260780 MZS260771:MZT260780 MPW260771:MPX260780 MGA260771:MGB260780 LWE260771:LWF260780 LMI260771:LMJ260780 LCM260771:LCN260780 KSQ260771:KSR260780 KIU260771:KIV260780 JYY260771:JYZ260780 JPC260771:JPD260780 JFG260771:JFH260780 IVK260771:IVL260780 ILO260771:ILP260780 IBS260771:IBT260780 HRW260771:HRX260780 HIA260771:HIB260780 GYE260771:GYF260780 GOI260771:GOJ260780 GEM260771:GEN260780 FUQ260771:FUR260780 FKU260771:FKV260780 FAY260771:FAZ260780 ERC260771:ERD260780 EHG260771:EHH260780 DXK260771:DXL260780 DNO260771:DNP260780 DDS260771:DDT260780 CTW260771:CTX260780 CKA260771:CKB260780 CAE260771:CAF260780 BQI260771:BQJ260780 BGM260771:BGN260780 AWQ260771:AWR260780 AMU260771:AMV260780 ACY260771:ACZ260780 TC260771:TD260780 JG260771:JH260780 J260771:K260780 WVS195235:WVT195244 WLW195235:WLX195244 WCA195235:WCB195244 VSE195235:VSF195244 VII195235:VIJ195244 UYM195235:UYN195244 UOQ195235:UOR195244 UEU195235:UEV195244 TUY195235:TUZ195244 TLC195235:TLD195244 TBG195235:TBH195244 SRK195235:SRL195244 SHO195235:SHP195244 RXS195235:RXT195244 RNW195235:RNX195244 REA195235:REB195244 QUE195235:QUF195244 QKI195235:QKJ195244 QAM195235:QAN195244 PQQ195235:PQR195244 PGU195235:PGV195244 OWY195235:OWZ195244 ONC195235:OND195244 ODG195235:ODH195244 NTK195235:NTL195244 NJO195235:NJP195244 MZS195235:MZT195244 MPW195235:MPX195244 MGA195235:MGB195244 LWE195235:LWF195244 LMI195235:LMJ195244 LCM195235:LCN195244 KSQ195235:KSR195244 KIU195235:KIV195244 JYY195235:JYZ195244 JPC195235:JPD195244 JFG195235:JFH195244 IVK195235:IVL195244 ILO195235:ILP195244 IBS195235:IBT195244 HRW195235:HRX195244 HIA195235:HIB195244 GYE195235:GYF195244 GOI195235:GOJ195244 GEM195235:GEN195244 FUQ195235:FUR195244 FKU195235:FKV195244 FAY195235:FAZ195244 ERC195235:ERD195244 EHG195235:EHH195244 DXK195235:DXL195244 DNO195235:DNP195244 DDS195235:DDT195244 CTW195235:CTX195244 CKA195235:CKB195244 CAE195235:CAF195244 BQI195235:BQJ195244 BGM195235:BGN195244 AWQ195235:AWR195244 AMU195235:AMV195244 ACY195235:ACZ195244 TC195235:TD195244 JG195235:JH195244 J195235:K195244 WVS129699:WVT129708 WLW129699:WLX129708 WCA129699:WCB129708 VSE129699:VSF129708 VII129699:VIJ129708 UYM129699:UYN129708 UOQ129699:UOR129708 UEU129699:UEV129708 TUY129699:TUZ129708 TLC129699:TLD129708 TBG129699:TBH129708 SRK129699:SRL129708 SHO129699:SHP129708 RXS129699:RXT129708 RNW129699:RNX129708 REA129699:REB129708 QUE129699:QUF129708 QKI129699:QKJ129708 QAM129699:QAN129708 PQQ129699:PQR129708 PGU129699:PGV129708 OWY129699:OWZ129708 ONC129699:OND129708 ODG129699:ODH129708 NTK129699:NTL129708 NJO129699:NJP129708 MZS129699:MZT129708 MPW129699:MPX129708 MGA129699:MGB129708 LWE129699:LWF129708 LMI129699:LMJ129708 LCM129699:LCN129708 KSQ129699:KSR129708 KIU129699:KIV129708 JYY129699:JYZ129708 JPC129699:JPD129708 JFG129699:JFH129708 IVK129699:IVL129708 ILO129699:ILP129708 IBS129699:IBT129708 HRW129699:HRX129708 HIA129699:HIB129708 GYE129699:GYF129708 GOI129699:GOJ129708 GEM129699:GEN129708 FUQ129699:FUR129708 FKU129699:FKV129708 FAY129699:FAZ129708 ERC129699:ERD129708 EHG129699:EHH129708 DXK129699:DXL129708 DNO129699:DNP129708 DDS129699:DDT129708 CTW129699:CTX129708 CKA129699:CKB129708 CAE129699:CAF129708 BQI129699:BQJ129708 BGM129699:BGN129708 AWQ129699:AWR129708 AMU129699:AMV129708 ACY129699:ACZ129708 TC129699:TD129708 JG129699:JH129708 J129699:K129708 WVS64163:WVT64172 WLW64163:WLX64172 WCA64163:WCB64172 VSE64163:VSF64172 VII64163:VIJ64172 UYM64163:UYN64172 UOQ64163:UOR64172 UEU64163:UEV64172 TUY64163:TUZ64172 TLC64163:TLD64172 TBG64163:TBH64172 SRK64163:SRL64172 SHO64163:SHP64172 RXS64163:RXT64172 RNW64163:RNX64172 REA64163:REB64172 QUE64163:QUF64172 QKI64163:QKJ64172 QAM64163:QAN64172 PQQ64163:PQR64172 PGU64163:PGV64172 OWY64163:OWZ64172 ONC64163:OND64172 ODG64163:ODH64172 NTK64163:NTL64172 NJO64163:NJP64172 MZS64163:MZT64172 MPW64163:MPX64172 MGA64163:MGB64172 LWE64163:LWF64172 LMI64163:LMJ64172 LCM64163:LCN64172 KSQ64163:KSR64172 KIU64163:KIV64172 JYY64163:JYZ64172 JPC64163:JPD64172 JFG64163:JFH64172 IVK64163:IVL64172 ILO64163:ILP64172 IBS64163:IBT64172 HRW64163:HRX64172 HIA64163:HIB64172 GYE64163:GYF64172 GOI64163:GOJ64172 GEM64163:GEN64172 FUQ64163:FUR64172 FKU64163:FKV64172 FAY64163:FAZ64172 ERC64163:ERD64172 EHG64163:EHH64172 DXK64163:DXL64172 DNO64163:DNP64172 DDS64163:DDT64172 CTW64163:CTX64172 CKA64163:CKB64172 CAE64163:CAF64172 BQI64163:BQJ64172 BGM64163:BGN64172 AWQ64163:AWR64172 AMU64163:AMV64172 ACY64163:ACZ64172 TC64163:TD64172 JG64163:JH64172 J64163:K64172 WVS81:WVT90 WLW81:WLX90 WCA81:WCB90 VSE81:VSF90 VII81:VIJ90 UYM81:UYN90 UOQ81:UOR90 UEU81:UEV90 TUY81:TUZ90 TLC81:TLD90 TBG81:TBH90 SRK81:SRL90 SHO81:SHP90 RXS81:RXT90 RNW81:RNX90 REA81:REB90 QUE81:QUF90 QKI81:QKJ90 QAM81:QAN90 PQQ81:PQR90 PGU81:PGV90 OWY81:OWZ90 ONC81:OND90 ODG81:ODH90 NTK81:NTL90 NJO81:NJP90 MZS81:MZT90 MPW81:MPX90 MGA81:MGB90 LWE81:LWF90 LMI81:LMJ90 LCM81:LCN90 KSQ81:KSR90 KIU81:KIV90 JYY81:JYZ90 JPC81:JPD90 JFG81:JFH90 IVK81:IVL90 ILO81:ILP90 IBS81:IBT90 HRW81:HRX90 HIA81:HIB90 GYE81:GYF90 GOI81:GOJ90 GEM81:GEN90 FUQ81:FUR90 FKU81:FKV90 FAY81:FAZ90 ERC81:ERD90 EHG81:EHH90 DXK81:DXL90 DNO81:DNP90 DDS81:DDT90 CTW81:CTX90 CKA81:CKB90 CAE81:CAF90 BQI81:BQJ90 BGM81:BGN90 AWQ81:AWR90 AMU81:AMV90 ACY81:ACZ90 TC81:TD90 JG81:JH90">
      <formula1>$AH$68:$AH$75</formula1>
    </dataValidation>
    <dataValidation type="list" errorStyle="information" allowBlank="1" showInputMessage="1" showErrorMessage="1" sqref="F81:G90 WVO981667:WVP981676 WLS981667:WLT981676 WBW981667:WBX981676 VSA981667:VSB981676 VIE981667:VIF981676 UYI981667:UYJ981676 UOM981667:UON981676 UEQ981667:UER981676 TUU981667:TUV981676 TKY981667:TKZ981676 TBC981667:TBD981676 SRG981667:SRH981676 SHK981667:SHL981676 RXO981667:RXP981676 RNS981667:RNT981676 RDW981667:RDX981676 QUA981667:QUB981676 QKE981667:QKF981676 QAI981667:QAJ981676 PQM981667:PQN981676 PGQ981667:PGR981676 OWU981667:OWV981676 OMY981667:OMZ981676 ODC981667:ODD981676 NTG981667:NTH981676 NJK981667:NJL981676 MZO981667:MZP981676 MPS981667:MPT981676 MFW981667:MFX981676 LWA981667:LWB981676 LME981667:LMF981676 LCI981667:LCJ981676 KSM981667:KSN981676 KIQ981667:KIR981676 JYU981667:JYV981676 JOY981667:JOZ981676 JFC981667:JFD981676 IVG981667:IVH981676 ILK981667:ILL981676 IBO981667:IBP981676 HRS981667:HRT981676 HHW981667:HHX981676 GYA981667:GYB981676 GOE981667:GOF981676 GEI981667:GEJ981676 FUM981667:FUN981676 FKQ981667:FKR981676 FAU981667:FAV981676 EQY981667:EQZ981676 EHC981667:EHD981676 DXG981667:DXH981676 DNK981667:DNL981676 DDO981667:DDP981676 CTS981667:CTT981676 CJW981667:CJX981676 CAA981667:CAB981676 BQE981667:BQF981676 BGI981667:BGJ981676 AWM981667:AWN981676 AMQ981667:AMR981676 ACU981667:ACV981676 SY981667:SZ981676 JC981667:JD981676 F981667:G981676 WVO916131:WVP916140 WLS916131:WLT916140 WBW916131:WBX916140 VSA916131:VSB916140 VIE916131:VIF916140 UYI916131:UYJ916140 UOM916131:UON916140 UEQ916131:UER916140 TUU916131:TUV916140 TKY916131:TKZ916140 TBC916131:TBD916140 SRG916131:SRH916140 SHK916131:SHL916140 RXO916131:RXP916140 RNS916131:RNT916140 RDW916131:RDX916140 QUA916131:QUB916140 QKE916131:QKF916140 QAI916131:QAJ916140 PQM916131:PQN916140 PGQ916131:PGR916140 OWU916131:OWV916140 OMY916131:OMZ916140 ODC916131:ODD916140 NTG916131:NTH916140 NJK916131:NJL916140 MZO916131:MZP916140 MPS916131:MPT916140 MFW916131:MFX916140 LWA916131:LWB916140 LME916131:LMF916140 LCI916131:LCJ916140 KSM916131:KSN916140 KIQ916131:KIR916140 JYU916131:JYV916140 JOY916131:JOZ916140 JFC916131:JFD916140 IVG916131:IVH916140 ILK916131:ILL916140 IBO916131:IBP916140 HRS916131:HRT916140 HHW916131:HHX916140 GYA916131:GYB916140 GOE916131:GOF916140 GEI916131:GEJ916140 FUM916131:FUN916140 FKQ916131:FKR916140 FAU916131:FAV916140 EQY916131:EQZ916140 EHC916131:EHD916140 DXG916131:DXH916140 DNK916131:DNL916140 DDO916131:DDP916140 CTS916131:CTT916140 CJW916131:CJX916140 CAA916131:CAB916140 BQE916131:BQF916140 BGI916131:BGJ916140 AWM916131:AWN916140 AMQ916131:AMR916140 ACU916131:ACV916140 SY916131:SZ916140 JC916131:JD916140 F916131:G916140 WVO850595:WVP850604 WLS850595:WLT850604 WBW850595:WBX850604 VSA850595:VSB850604 VIE850595:VIF850604 UYI850595:UYJ850604 UOM850595:UON850604 UEQ850595:UER850604 TUU850595:TUV850604 TKY850595:TKZ850604 TBC850595:TBD850604 SRG850595:SRH850604 SHK850595:SHL850604 RXO850595:RXP850604 RNS850595:RNT850604 RDW850595:RDX850604 QUA850595:QUB850604 QKE850595:QKF850604 QAI850595:QAJ850604 PQM850595:PQN850604 PGQ850595:PGR850604 OWU850595:OWV850604 OMY850595:OMZ850604 ODC850595:ODD850604 NTG850595:NTH850604 NJK850595:NJL850604 MZO850595:MZP850604 MPS850595:MPT850604 MFW850595:MFX850604 LWA850595:LWB850604 LME850595:LMF850604 LCI850595:LCJ850604 KSM850595:KSN850604 KIQ850595:KIR850604 JYU850595:JYV850604 JOY850595:JOZ850604 JFC850595:JFD850604 IVG850595:IVH850604 ILK850595:ILL850604 IBO850595:IBP850604 HRS850595:HRT850604 HHW850595:HHX850604 GYA850595:GYB850604 GOE850595:GOF850604 GEI850595:GEJ850604 FUM850595:FUN850604 FKQ850595:FKR850604 FAU850595:FAV850604 EQY850595:EQZ850604 EHC850595:EHD850604 DXG850595:DXH850604 DNK850595:DNL850604 DDO850595:DDP850604 CTS850595:CTT850604 CJW850595:CJX850604 CAA850595:CAB850604 BQE850595:BQF850604 BGI850595:BGJ850604 AWM850595:AWN850604 AMQ850595:AMR850604 ACU850595:ACV850604 SY850595:SZ850604 JC850595:JD850604 F850595:G850604 WVO785059:WVP785068 WLS785059:WLT785068 WBW785059:WBX785068 VSA785059:VSB785068 VIE785059:VIF785068 UYI785059:UYJ785068 UOM785059:UON785068 UEQ785059:UER785068 TUU785059:TUV785068 TKY785059:TKZ785068 TBC785059:TBD785068 SRG785059:SRH785068 SHK785059:SHL785068 RXO785059:RXP785068 RNS785059:RNT785068 RDW785059:RDX785068 QUA785059:QUB785068 QKE785059:QKF785068 QAI785059:QAJ785068 PQM785059:PQN785068 PGQ785059:PGR785068 OWU785059:OWV785068 OMY785059:OMZ785068 ODC785059:ODD785068 NTG785059:NTH785068 NJK785059:NJL785068 MZO785059:MZP785068 MPS785059:MPT785068 MFW785059:MFX785068 LWA785059:LWB785068 LME785059:LMF785068 LCI785059:LCJ785068 KSM785059:KSN785068 KIQ785059:KIR785068 JYU785059:JYV785068 JOY785059:JOZ785068 JFC785059:JFD785068 IVG785059:IVH785068 ILK785059:ILL785068 IBO785059:IBP785068 HRS785059:HRT785068 HHW785059:HHX785068 GYA785059:GYB785068 GOE785059:GOF785068 GEI785059:GEJ785068 FUM785059:FUN785068 FKQ785059:FKR785068 FAU785059:FAV785068 EQY785059:EQZ785068 EHC785059:EHD785068 DXG785059:DXH785068 DNK785059:DNL785068 DDO785059:DDP785068 CTS785059:CTT785068 CJW785059:CJX785068 CAA785059:CAB785068 BQE785059:BQF785068 BGI785059:BGJ785068 AWM785059:AWN785068 AMQ785059:AMR785068 ACU785059:ACV785068 SY785059:SZ785068 JC785059:JD785068 F785059:G785068 WVO719523:WVP719532 WLS719523:WLT719532 WBW719523:WBX719532 VSA719523:VSB719532 VIE719523:VIF719532 UYI719523:UYJ719532 UOM719523:UON719532 UEQ719523:UER719532 TUU719523:TUV719532 TKY719523:TKZ719532 TBC719523:TBD719532 SRG719523:SRH719532 SHK719523:SHL719532 RXO719523:RXP719532 RNS719523:RNT719532 RDW719523:RDX719532 QUA719523:QUB719532 QKE719523:QKF719532 QAI719523:QAJ719532 PQM719523:PQN719532 PGQ719523:PGR719532 OWU719523:OWV719532 OMY719523:OMZ719532 ODC719523:ODD719532 NTG719523:NTH719532 NJK719523:NJL719532 MZO719523:MZP719532 MPS719523:MPT719532 MFW719523:MFX719532 LWA719523:LWB719532 LME719523:LMF719532 LCI719523:LCJ719532 KSM719523:KSN719532 KIQ719523:KIR719532 JYU719523:JYV719532 JOY719523:JOZ719532 JFC719523:JFD719532 IVG719523:IVH719532 ILK719523:ILL719532 IBO719523:IBP719532 HRS719523:HRT719532 HHW719523:HHX719532 GYA719523:GYB719532 GOE719523:GOF719532 GEI719523:GEJ719532 FUM719523:FUN719532 FKQ719523:FKR719532 FAU719523:FAV719532 EQY719523:EQZ719532 EHC719523:EHD719532 DXG719523:DXH719532 DNK719523:DNL719532 DDO719523:DDP719532 CTS719523:CTT719532 CJW719523:CJX719532 CAA719523:CAB719532 BQE719523:BQF719532 BGI719523:BGJ719532 AWM719523:AWN719532 AMQ719523:AMR719532 ACU719523:ACV719532 SY719523:SZ719532 JC719523:JD719532 F719523:G719532 WVO653987:WVP653996 WLS653987:WLT653996 WBW653987:WBX653996 VSA653987:VSB653996 VIE653987:VIF653996 UYI653987:UYJ653996 UOM653987:UON653996 UEQ653987:UER653996 TUU653987:TUV653996 TKY653987:TKZ653996 TBC653987:TBD653996 SRG653987:SRH653996 SHK653987:SHL653996 RXO653987:RXP653996 RNS653987:RNT653996 RDW653987:RDX653996 QUA653987:QUB653996 QKE653987:QKF653996 QAI653987:QAJ653996 PQM653987:PQN653996 PGQ653987:PGR653996 OWU653987:OWV653996 OMY653987:OMZ653996 ODC653987:ODD653996 NTG653987:NTH653996 NJK653987:NJL653996 MZO653987:MZP653996 MPS653987:MPT653996 MFW653987:MFX653996 LWA653987:LWB653996 LME653987:LMF653996 LCI653987:LCJ653996 KSM653987:KSN653996 KIQ653987:KIR653996 JYU653987:JYV653996 JOY653987:JOZ653996 JFC653987:JFD653996 IVG653987:IVH653996 ILK653987:ILL653996 IBO653987:IBP653996 HRS653987:HRT653996 HHW653987:HHX653996 GYA653987:GYB653996 GOE653987:GOF653996 GEI653987:GEJ653996 FUM653987:FUN653996 FKQ653987:FKR653996 FAU653987:FAV653996 EQY653987:EQZ653996 EHC653987:EHD653996 DXG653987:DXH653996 DNK653987:DNL653996 DDO653987:DDP653996 CTS653987:CTT653996 CJW653987:CJX653996 CAA653987:CAB653996 BQE653987:BQF653996 BGI653987:BGJ653996 AWM653987:AWN653996 AMQ653987:AMR653996 ACU653987:ACV653996 SY653987:SZ653996 JC653987:JD653996 F653987:G653996 WVO588451:WVP588460 WLS588451:WLT588460 WBW588451:WBX588460 VSA588451:VSB588460 VIE588451:VIF588460 UYI588451:UYJ588460 UOM588451:UON588460 UEQ588451:UER588460 TUU588451:TUV588460 TKY588451:TKZ588460 TBC588451:TBD588460 SRG588451:SRH588460 SHK588451:SHL588460 RXO588451:RXP588460 RNS588451:RNT588460 RDW588451:RDX588460 QUA588451:QUB588460 QKE588451:QKF588460 QAI588451:QAJ588460 PQM588451:PQN588460 PGQ588451:PGR588460 OWU588451:OWV588460 OMY588451:OMZ588460 ODC588451:ODD588460 NTG588451:NTH588460 NJK588451:NJL588460 MZO588451:MZP588460 MPS588451:MPT588460 MFW588451:MFX588460 LWA588451:LWB588460 LME588451:LMF588460 LCI588451:LCJ588460 KSM588451:KSN588460 KIQ588451:KIR588460 JYU588451:JYV588460 JOY588451:JOZ588460 JFC588451:JFD588460 IVG588451:IVH588460 ILK588451:ILL588460 IBO588451:IBP588460 HRS588451:HRT588460 HHW588451:HHX588460 GYA588451:GYB588460 GOE588451:GOF588460 GEI588451:GEJ588460 FUM588451:FUN588460 FKQ588451:FKR588460 FAU588451:FAV588460 EQY588451:EQZ588460 EHC588451:EHD588460 DXG588451:DXH588460 DNK588451:DNL588460 DDO588451:DDP588460 CTS588451:CTT588460 CJW588451:CJX588460 CAA588451:CAB588460 BQE588451:BQF588460 BGI588451:BGJ588460 AWM588451:AWN588460 AMQ588451:AMR588460 ACU588451:ACV588460 SY588451:SZ588460 JC588451:JD588460 F588451:G588460 WVO522915:WVP522924 WLS522915:WLT522924 WBW522915:WBX522924 VSA522915:VSB522924 VIE522915:VIF522924 UYI522915:UYJ522924 UOM522915:UON522924 UEQ522915:UER522924 TUU522915:TUV522924 TKY522915:TKZ522924 TBC522915:TBD522924 SRG522915:SRH522924 SHK522915:SHL522924 RXO522915:RXP522924 RNS522915:RNT522924 RDW522915:RDX522924 QUA522915:QUB522924 QKE522915:QKF522924 QAI522915:QAJ522924 PQM522915:PQN522924 PGQ522915:PGR522924 OWU522915:OWV522924 OMY522915:OMZ522924 ODC522915:ODD522924 NTG522915:NTH522924 NJK522915:NJL522924 MZO522915:MZP522924 MPS522915:MPT522924 MFW522915:MFX522924 LWA522915:LWB522924 LME522915:LMF522924 LCI522915:LCJ522924 KSM522915:KSN522924 KIQ522915:KIR522924 JYU522915:JYV522924 JOY522915:JOZ522924 JFC522915:JFD522924 IVG522915:IVH522924 ILK522915:ILL522924 IBO522915:IBP522924 HRS522915:HRT522924 HHW522915:HHX522924 GYA522915:GYB522924 GOE522915:GOF522924 GEI522915:GEJ522924 FUM522915:FUN522924 FKQ522915:FKR522924 FAU522915:FAV522924 EQY522915:EQZ522924 EHC522915:EHD522924 DXG522915:DXH522924 DNK522915:DNL522924 DDO522915:DDP522924 CTS522915:CTT522924 CJW522915:CJX522924 CAA522915:CAB522924 BQE522915:BQF522924 BGI522915:BGJ522924 AWM522915:AWN522924 AMQ522915:AMR522924 ACU522915:ACV522924 SY522915:SZ522924 JC522915:JD522924 F522915:G522924 WVO457379:WVP457388 WLS457379:WLT457388 WBW457379:WBX457388 VSA457379:VSB457388 VIE457379:VIF457388 UYI457379:UYJ457388 UOM457379:UON457388 UEQ457379:UER457388 TUU457379:TUV457388 TKY457379:TKZ457388 TBC457379:TBD457388 SRG457379:SRH457388 SHK457379:SHL457388 RXO457379:RXP457388 RNS457379:RNT457388 RDW457379:RDX457388 QUA457379:QUB457388 QKE457379:QKF457388 QAI457379:QAJ457388 PQM457379:PQN457388 PGQ457379:PGR457388 OWU457379:OWV457388 OMY457379:OMZ457388 ODC457379:ODD457388 NTG457379:NTH457388 NJK457379:NJL457388 MZO457379:MZP457388 MPS457379:MPT457388 MFW457379:MFX457388 LWA457379:LWB457388 LME457379:LMF457388 LCI457379:LCJ457388 KSM457379:KSN457388 KIQ457379:KIR457388 JYU457379:JYV457388 JOY457379:JOZ457388 JFC457379:JFD457388 IVG457379:IVH457388 ILK457379:ILL457388 IBO457379:IBP457388 HRS457379:HRT457388 HHW457379:HHX457388 GYA457379:GYB457388 GOE457379:GOF457388 GEI457379:GEJ457388 FUM457379:FUN457388 FKQ457379:FKR457388 FAU457379:FAV457388 EQY457379:EQZ457388 EHC457379:EHD457388 DXG457379:DXH457388 DNK457379:DNL457388 DDO457379:DDP457388 CTS457379:CTT457388 CJW457379:CJX457388 CAA457379:CAB457388 BQE457379:BQF457388 BGI457379:BGJ457388 AWM457379:AWN457388 AMQ457379:AMR457388 ACU457379:ACV457388 SY457379:SZ457388 JC457379:JD457388 F457379:G457388 WVO391843:WVP391852 WLS391843:WLT391852 WBW391843:WBX391852 VSA391843:VSB391852 VIE391843:VIF391852 UYI391843:UYJ391852 UOM391843:UON391852 UEQ391843:UER391852 TUU391843:TUV391852 TKY391843:TKZ391852 TBC391843:TBD391852 SRG391843:SRH391852 SHK391843:SHL391852 RXO391843:RXP391852 RNS391843:RNT391852 RDW391843:RDX391852 QUA391843:QUB391852 QKE391843:QKF391852 QAI391843:QAJ391852 PQM391843:PQN391852 PGQ391843:PGR391852 OWU391843:OWV391852 OMY391843:OMZ391852 ODC391843:ODD391852 NTG391843:NTH391852 NJK391843:NJL391852 MZO391843:MZP391852 MPS391843:MPT391852 MFW391843:MFX391852 LWA391843:LWB391852 LME391843:LMF391852 LCI391843:LCJ391852 KSM391843:KSN391852 KIQ391843:KIR391852 JYU391843:JYV391852 JOY391843:JOZ391852 JFC391843:JFD391852 IVG391843:IVH391852 ILK391843:ILL391852 IBO391843:IBP391852 HRS391843:HRT391852 HHW391843:HHX391852 GYA391843:GYB391852 GOE391843:GOF391852 GEI391843:GEJ391852 FUM391843:FUN391852 FKQ391843:FKR391852 FAU391843:FAV391852 EQY391843:EQZ391852 EHC391843:EHD391852 DXG391843:DXH391852 DNK391843:DNL391852 DDO391843:DDP391852 CTS391843:CTT391852 CJW391843:CJX391852 CAA391843:CAB391852 BQE391843:BQF391852 BGI391843:BGJ391852 AWM391843:AWN391852 AMQ391843:AMR391852 ACU391843:ACV391852 SY391843:SZ391852 JC391843:JD391852 F391843:G391852 WVO326307:WVP326316 WLS326307:WLT326316 WBW326307:WBX326316 VSA326307:VSB326316 VIE326307:VIF326316 UYI326307:UYJ326316 UOM326307:UON326316 UEQ326307:UER326316 TUU326307:TUV326316 TKY326307:TKZ326316 TBC326307:TBD326316 SRG326307:SRH326316 SHK326307:SHL326316 RXO326307:RXP326316 RNS326307:RNT326316 RDW326307:RDX326316 QUA326307:QUB326316 QKE326307:QKF326316 QAI326307:QAJ326316 PQM326307:PQN326316 PGQ326307:PGR326316 OWU326307:OWV326316 OMY326307:OMZ326316 ODC326307:ODD326316 NTG326307:NTH326316 NJK326307:NJL326316 MZO326307:MZP326316 MPS326307:MPT326316 MFW326307:MFX326316 LWA326307:LWB326316 LME326307:LMF326316 LCI326307:LCJ326316 KSM326307:KSN326316 KIQ326307:KIR326316 JYU326307:JYV326316 JOY326307:JOZ326316 JFC326307:JFD326316 IVG326307:IVH326316 ILK326307:ILL326316 IBO326307:IBP326316 HRS326307:HRT326316 HHW326307:HHX326316 GYA326307:GYB326316 GOE326307:GOF326316 GEI326307:GEJ326316 FUM326307:FUN326316 FKQ326307:FKR326316 FAU326307:FAV326316 EQY326307:EQZ326316 EHC326307:EHD326316 DXG326307:DXH326316 DNK326307:DNL326316 DDO326307:DDP326316 CTS326307:CTT326316 CJW326307:CJX326316 CAA326307:CAB326316 BQE326307:BQF326316 BGI326307:BGJ326316 AWM326307:AWN326316 AMQ326307:AMR326316 ACU326307:ACV326316 SY326307:SZ326316 JC326307:JD326316 F326307:G326316 WVO260771:WVP260780 WLS260771:WLT260780 WBW260771:WBX260780 VSA260771:VSB260780 VIE260771:VIF260780 UYI260771:UYJ260780 UOM260771:UON260780 UEQ260771:UER260780 TUU260771:TUV260780 TKY260771:TKZ260780 TBC260771:TBD260780 SRG260771:SRH260780 SHK260771:SHL260780 RXO260771:RXP260780 RNS260771:RNT260780 RDW260771:RDX260780 QUA260771:QUB260780 QKE260771:QKF260780 QAI260771:QAJ260780 PQM260771:PQN260780 PGQ260771:PGR260780 OWU260771:OWV260780 OMY260771:OMZ260780 ODC260771:ODD260780 NTG260771:NTH260780 NJK260771:NJL260780 MZO260771:MZP260780 MPS260771:MPT260780 MFW260771:MFX260780 LWA260771:LWB260780 LME260771:LMF260780 LCI260771:LCJ260780 KSM260771:KSN260780 KIQ260771:KIR260780 JYU260771:JYV260780 JOY260771:JOZ260780 JFC260771:JFD260780 IVG260771:IVH260780 ILK260771:ILL260780 IBO260771:IBP260780 HRS260771:HRT260780 HHW260771:HHX260780 GYA260771:GYB260780 GOE260771:GOF260780 GEI260771:GEJ260780 FUM260771:FUN260780 FKQ260771:FKR260780 FAU260771:FAV260780 EQY260771:EQZ260780 EHC260771:EHD260780 DXG260771:DXH260780 DNK260771:DNL260780 DDO260771:DDP260780 CTS260771:CTT260780 CJW260771:CJX260780 CAA260771:CAB260780 BQE260771:BQF260780 BGI260771:BGJ260780 AWM260771:AWN260780 AMQ260771:AMR260780 ACU260771:ACV260780 SY260771:SZ260780 JC260771:JD260780 F260771:G260780 WVO195235:WVP195244 WLS195235:WLT195244 WBW195235:WBX195244 VSA195235:VSB195244 VIE195235:VIF195244 UYI195235:UYJ195244 UOM195235:UON195244 UEQ195235:UER195244 TUU195235:TUV195244 TKY195235:TKZ195244 TBC195235:TBD195244 SRG195235:SRH195244 SHK195235:SHL195244 RXO195235:RXP195244 RNS195235:RNT195244 RDW195235:RDX195244 QUA195235:QUB195244 QKE195235:QKF195244 QAI195235:QAJ195244 PQM195235:PQN195244 PGQ195235:PGR195244 OWU195235:OWV195244 OMY195235:OMZ195244 ODC195235:ODD195244 NTG195235:NTH195244 NJK195235:NJL195244 MZO195235:MZP195244 MPS195235:MPT195244 MFW195235:MFX195244 LWA195235:LWB195244 LME195235:LMF195244 LCI195235:LCJ195244 KSM195235:KSN195244 KIQ195235:KIR195244 JYU195235:JYV195244 JOY195235:JOZ195244 JFC195235:JFD195244 IVG195235:IVH195244 ILK195235:ILL195244 IBO195235:IBP195244 HRS195235:HRT195244 HHW195235:HHX195244 GYA195235:GYB195244 GOE195235:GOF195244 GEI195235:GEJ195244 FUM195235:FUN195244 FKQ195235:FKR195244 FAU195235:FAV195244 EQY195235:EQZ195244 EHC195235:EHD195244 DXG195235:DXH195244 DNK195235:DNL195244 DDO195235:DDP195244 CTS195235:CTT195244 CJW195235:CJX195244 CAA195235:CAB195244 BQE195235:BQF195244 BGI195235:BGJ195244 AWM195235:AWN195244 AMQ195235:AMR195244 ACU195235:ACV195244 SY195235:SZ195244 JC195235:JD195244 F195235:G195244 WVO129699:WVP129708 WLS129699:WLT129708 WBW129699:WBX129708 VSA129699:VSB129708 VIE129699:VIF129708 UYI129699:UYJ129708 UOM129699:UON129708 UEQ129699:UER129708 TUU129699:TUV129708 TKY129699:TKZ129708 TBC129699:TBD129708 SRG129699:SRH129708 SHK129699:SHL129708 RXO129699:RXP129708 RNS129699:RNT129708 RDW129699:RDX129708 QUA129699:QUB129708 QKE129699:QKF129708 QAI129699:QAJ129708 PQM129699:PQN129708 PGQ129699:PGR129708 OWU129699:OWV129708 OMY129699:OMZ129708 ODC129699:ODD129708 NTG129699:NTH129708 NJK129699:NJL129708 MZO129699:MZP129708 MPS129699:MPT129708 MFW129699:MFX129708 LWA129699:LWB129708 LME129699:LMF129708 LCI129699:LCJ129708 KSM129699:KSN129708 KIQ129699:KIR129708 JYU129699:JYV129708 JOY129699:JOZ129708 JFC129699:JFD129708 IVG129699:IVH129708 ILK129699:ILL129708 IBO129699:IBP129708 HRS129699:HRT129708 HHW129699:HHX129708 GYA129699:GYB129708 GOE129699:GOF129708 GEI129699:GEJ129708 FUM129699:FUN129708 FKQ129699:FKR129708 FAU129699:FAV129708 EQY129699:EQZ129708 EHC129699:EHD129708 DXG129699:DXH129708 DNK129699:DNL129708 DDO129699:DDP129708 CTS129699:CTT129708 CJW129699:CJX129708 CAA129699:CAB129708 BQE129699:BQF129708 BGI129699:BGJ129708 AWM129699:AWN129708 AMQ129699:AMR129708 ACU129699:ACV129708 SY129699:SZ129708 JC129699:JD129708 F129699:G129708 WVO64163:WVP64172 WLS64163:WLT64172 WBW64163:WBX64172 VSA64163:VSB64172 VIE64163:VIF64172 UYI64163:UYJ64172 UOM64163:UON64172 UEQ64163:UER64172 TUU64163:TUV64172 TKY64163:TKZ64172 TBC64163:TBD64172 SRG64163:SRH64172 SHK64163:SHL64172 RXO64163:RXP64172 RNS64163:RNT64172 RDW64163:RDX64172 QUA64163:QUB64172 QKE64163:QKF64172 QAI64163:QAJ64172 PQM64163:PQN64172 PGQ64163:PGR64172 OWU64163:OWV64172 OMY64163:OMZ64172 ODC64163:ODD64172 NTG64163:NTH64172 NJK64163:NJL64172 MZO64163:MZP64172 MPS64163:MPT64172 MFW64163:MFX64172 LWA64163:LWB64172 LME64163:LMF64172 LCI64163:LCJ64172 KSM64163:KSN64172 KIQ64163:KIR64172 JYU64163:JYV64172 JOY64163:JOZ64172 JFC64163:JFD64172 IVG64163:IVH64172 ILK64163:ILL64172 IBO64163:IBP64172 HRS64163:HRT64172 HHW64163:HHX64172 GYA64163:GYB64172 GOE64163:GOF64172 GEI64163:GEJ64172 FUM64163:FUN64172 FKQ64163:FKR64172 FAU64163:FAV64172 EQY64163:EQZ64172 EHC64163:EHD64172 DXG64163:DXH64172 DNK64163:DNL64172 DDO64163:DDP64172 CTS64163:CTT64172 CJW64163:CJX64172 CAA64163:CAB64172 BQE64163:BQF64172 BGI64163:BGJ64172 AWM64163:AWN64172 AMQ64163:AMR64172 ACU64163:ACV64172 SY64163:SZ64172 JC64163:JD64172 F64163:G64172 WVO81:WVP90 WLS81:WLT90 WBW81:WBX90 VSA81:VSB90 VIE81:VIF90 UYI81:UYJ90 UOM81:UON90 UEQ81:UER90 TUU81:TUV90 TKY81:TKZ90 TBC81:TBD90 SRG81:SRH90 SHK81:SHL90 RXO81:RXP90 RNS81:RNT90 RDW81:RDX90 QUA81:QUB90 QKE81:QKF90 QAI81:QAJ90 PQM81:PQN90 PGQ81:PGR90 OWU81:OWV90 OMY81:OMZ90 ODC81:ODD90 NTG81:NTH90 NJK81:NJL90 MZO81:MZP90 MPS81:MPT90 MFW81:MFX90 LWA81:LWB90 LME81:LMF90 LCI81:LCJ90 KSM81:KSN90 KIQ81:KIR90 JYU81:JYV90 JOY81:JOZ90 JFC81:JFD90 IVG81:IVH90 ILK81:ILL90 IBO81:IBP90 HRS81:HRT90 HHW81:HHX90 GYA81:GYB90 GOE81:GOF90 GEI81:GEJ90 FUM81:FUN90 FKQ81:FKR90 FAU81:FAV90 EQY81:EQZ90 EHC81:EHD90 DXG81:DXH90 DNK81:DNL90 DDO81:DDP90 CTS81:CTT90 CJW81:CJX90 CAA81:CAB90 BQE81:BQF90 BGI81:BGJ90 AWM81:AWN90 AMQ81:AMR90 ACU81:ACV90 SY81:SZ90 JC81:JD90">
      <formula1>$AG$68:$AG$74</formula1>
    </dataValidation>
    <dataValidation type="list" allowBlank="1" showInputMessage="1" showErrorMessage="1" sqref="D81:E90 WVM981667:WVN981676 WLQ981667:WLR981676 WBU981667:WBV981676 VRY981667:VRZ981676 VIC981667:VID981676 UYG981667:UYH981676 UOK981667:UOL981676 UEO981667:UEP981676 TUS981667:TUT981676 TKW981667:TKX981676 TBA981667:TBB981676 SRE981667:SRF981676 SHI981667:SHJ981676 RXM981667:RXN981676 RNQ981667:RNR981676 RDU981667:RDV981676 QTY981667:QTZ981676 QKC981667:QKD981676 QAG981667:QAH981676 PQK981667:PQL981676 PGO981667:PGP981676 OWS981667:OWT981676 OMW981667:OMX981676 ODA981667:ODB981676 NTE981667:NTF981676 NJI981667:NJJ981676 MZM981667:MZN981676 MPQ981667:MPR981676 MFU981667:MFV981676 LVY981667:LVZ981676 LMC981667:LMD981676 LCG981667:LCH981676 KSK981667:KSL981676 KIO981667:KIP981676 JYS981667:JYT981676 JOW981667:JOX981676 JFA981667:JFB981676 IVE981667:IVF981676 ILI981667:ILJ981676 IBM981667:IBN981676 HRQ981667:HRR981676 HHU981667:HHV981676 GXY981667:GXZ981676 GOC981667:GOD981676 GEG981667:GEH981676 FUK981667:FUL981676 FKO981667:FKP981676 FAS981667:FAT981676 EQW981667:EQX981676 EHA981667:EHB981676 DXE981667:DXF981676 DNI981667:DNJ981676 DDM981667:DDN981676 CTQ981667:CTR981676 CJU981667:CJV981676 BZY981667:BZZ981676 BQC981667:BQD981676 BGG981667:BGH981676 AWK981667:AWL981676 AMO981667:AMP981676 ACS981667:ACT981676 SW981667:SX981676 JA981667:JB981676 D981667:E981676 WVM916131:WVN916140 WLQ916131:WLR916140 WBU916131:WBV916140 VRY916131:VRZ916140 VIC916131:VID916140 UYG916131:UYH916140 UOK916131:UOL916140 UEO916131:UEP916140 TUS916131:TUT916140 TKW916131:TKX916140 TBA916131:TBB916140 SRE916131:SRF916140 SHI916131:SHJ916140 RXM916131:RXN916140 RNQ916131:RNR916140 RDU916131:RDV916140 QTY916131:QTZ916140 QKC916131:QKD916140 QAG916131:QAH916140 PQK916131:PQL916140 PGO916131:PGP916140 OWS916131:OWT916140 OMW916131:OMX916140 ODA916131:ODB916140 NTE916131:NTF916140 NJI916131:NJJ916140 MZM916131:MZN916140 MPQ916131:MPR916140 MFU916131:MFV916140 LVY916131:LVZ916140 LMC916131:LMD916140 LCG916131:LCH916140 KSK916131:KSL916140 KIO916131:KIP916140 JYS916131:JYT916140 JOW916131:JOX916140 JFA916131:JFB916140 IVE916131:IVF916140 ILI916131:ILJ916140 IBM916131:IBN916140 HRQ916131:HRR916140 HHU916131:HHV916140 GXY916131:GXZ916140 GOC916131:GOD916140 GEG916131:GEH916140 FUK916131:FUL916140 FKO916131:FKP916140 FAS916131:FAT916140 EQW916131:EQX916140 EHA916131:EHB916140 DXE916131:DXF916140 DNI916131:DNJ916140 DDM916131:DDN916140 CTQ916131:CTR916140 CJU916131:CJV916140 BZY916131:BZZ916140 BQC916131:BQD916140 BGG916131:BGH916140 AWK916131:AWL916140 AMO916131:AMP916140 ACS916131:ACT916140 SW916131:SX916140 JA916131:JB916140 D916131:E916140 WVM850595:WVN850604 WLQ850595:WLR850604 WBU850595:WBV850604 VRY850595:VRZ850604 VIC850595:VID850604 UYG850595:UYH850604 UOK850595:UOL850604 UEO850595:UEP850604 TUS850595:TUT850604 TKW850595:TKX850604 TBA850595:TBB850604 SRE850595:SRF850604 SHI850595:SHJ850604 RXM850595:RXN850604 RNQ850595:RNR850604 RDU850595:RDV850604 QTY850595:QTZ850604 QKC850595:QKD850604 QAG850595:QAH850604 PQK850595:PQL850604 PGO850595:PGP850604 OWS850595:OWT850604 OMW850595:OMX850604 ODA850595:ODB850604 NTE850595:NTF850604 NJI850595:NJJ850604 MZM850595:MZN850604 MPQ850595:MPR850604 MFU850595:MFV850604 LVY850595:LVZ850604 LMC850595:LMD850604 LCG850595:LCH850604 KSK850595:KSL850604 KIO850595:KIP850604 JYS850595:JYT850604 JOW850595:JOX850604 JFA850595:JFB850604 IVE850595:IVF850604 ILI850595:ILJ850604 IBM850595:IBN850604 HRQ850595:HRR850604 HHU850595:HHV850604 GXY850595:GXZ850604 GOC850595:GOD850604 GEG850595:GEH850604 FUK850595:FUL850604 FKO850595:FKP850604 FAS850595:FAT850604 EQW850595:EQX850604 EHA850595:EHB850604 DXE850595:DXF850604 DNI850595:DNJ850604 DDM850595:DDN850604 CTQ850595:CTR850604 CJU850595:CJV850604 BZY850595:BZZ850604 BQC850595:BQD850604 BGG850595:BGH850604 AWK850595:AWL850604 AMO850595:AMP850604 ACS850595:ACT850604 SW850595:SX850604 JA850595:JB850604 D850595:E850604 WVM785059:WVN785068 WLQ785059:WLR785068 WBU785059:WBV785068 VRY785059:VRZ785068 VIC785059:VID785068 UYG785059:UYH785068 UOK785059:UOL785068 UEO785059:UEP785068 TUS785059:TUT785068 TKW785059:TKX785068 TBA785059:TBB785068 SRE785059:SRF785068 SHI785059:SHJ785068 RXM785059:RXN785068 RNQ785059:RNR785068 RDU785059:RDV785068 QTY785059:QTZ785068 QKC785059:QKD785068 QAG785059:QAH785068 PQK785059:PQL785068 PGO785059:PGP785068 OWS785059:OWT785068 OMW785059:OMX785068 ODA785059:ODB785068 NTE785059:NTF785068 NJI785059:NJJ785068 MZM785059:MZN785068 MPQ785059:MPR785068 MFU785059:MFV785068 LVY785059:LVZ785068 LMC785059:LMD785068 LCG785059:LCH785068 KSK785059:KSL785068 KIO785059:KIP785068 JYS785059:JYT785068 JOW785059:JOX785068 JFA785059:JFB785068 IVE785059:IVF785068 ILI785059:ILJ785068 IBM785059:IBN785068 HRQ785059:HRR785068 HHU785059:HHV785068 GXY785059:GXZ785068 GOC785059:GOD785068 GEG785059:GEH785068 FUK785059:FUL785068 FKO785059:FKP785068 FAS785059:FAT785068 EQW785059:EQX785068 EHA785059:EHB785068 DXE785059:DXF785068 DNI785059:DNJ785068 DDM785059:DDN785068 CTQ785059:CTR785068 CJU785059:CJV785068 BZY785059:BZZ785068 BQC785059:BQD785068 BGG785059:BGH785068 AWK785059:AWL785068 AMO785059:AMP785068 ACS785059:ACT785068 SW785059:SX785068 JA785059:JB785068 D785059:E785068 WVM719523:WVN719532 WLQ719523:WLR719532 WBU719523:WBV719532 VRY719523:VRZ719532 VIC719523:VID719532 UYG719523:UYH719532 UOK719523:UOL719532 UEO719523:UEP719532 TUS719523:TUT719532 TKW719523:TKX719532 TBA719523:TBB719532 SRE719523:SRF719532 SHI719523:SHJ719532 RXM719523:RXN719532 RNQ719523:RNR719532 RDU719523:RDV719532 QTY719523:QTZ719532 QKC719523:QKD719532 QAG719523:QAH719532 PQK719523:PQL719532 PGO719523:PGP719532 OWS719523:OWT719532 OMW719523:OMX719532 ODA719523:ODB719532 NTE719523:NTF719532 NJI719523:NJJ719532 MZM719523:MZN719532 MPQ719523:MPR719532 MFU719523:MFV719532 LVY719523:LVZ719532 LMC719523:LMD719532 LCG719523:LCH719532 KSK719523:KSL719532 KIO719523:KIP719532 JYS719523:JYT719532 JOW719523:JOX719532 JFA719523:JFB719532 IVE719523:IVF719532 ILI719523:ILJ719532 IBM719523:IBN719532 HRQ719523:HRR719532 HHU719523:HHV719532 GXY719523:GXZ719532 GOC719523:GOD719532 GEG719523:GEH719532 FUK719523:FUL719532 FKO719523:FKP719532 FAS719523:FAT719532 EQW719523:EQX719532 EHA719523:EHB719532 DXE719523:DXF719532 DNI719523:DNJ719532 DDM719523:DDN719532 CTQ719523:CTR719532 CJU719523:CJV719532 BZY719523:BZZ719532 BQC719523:BQD719532 BGG719523:BGH719532 AWK719523:AWL719532 AMO719523:AMP719532 ACS719523:ACT719532 SW719523:SX719532 JA719523:JB719532 D719523:E719532 WVM653987:WVN653996 WLQ653987:WLR653996 WBU653987:WBV653996 VRY653987:VRZ653996 VIC653987:VID653996 UYG653987:UYH653996 UOK653987:UOL653996 UEO653987:UEP653996 TUS653987:TUT653996 TKW653987:TKX653996 TBA653987:TBB653996 SRE653987:SRF653996 SHI653987:SHJ653996 RXM653987:RXN653996 RNQ653987:RNR653996 RDU653987:RDV653996 QTY653987:QTZ653996 QKC653987:QKD653996 QAG653987:QAH653996 PQK653987:PQL653996 PGO653987:PGP653996 OWS653987:OWT653996 OMW653987:OMX653996 ODA653987:ODB653996 NTE653987:NTF653996 NJI653987:NJJ653996 MZM653987:MZN653996 MPQ653987:MPR653996 MFU653987:MFV653996 LVY653987:LVZ653996 LMC653987:LMD653996 LCG653987:LCH653996 KSK653987:KSL653996 KIO653987:KIP653996 JYS653987:JYT653996 JOW653987:JOX653996 JFA653987:JFB653996 IVE653987:IVF653996 ILI653987:ILJ653996 IBM653987:IBN653996 HRQ653987:HRR653996 HHU653987:HHV653996 GXY653987:GXZ653996 GOC653987:GOD653996 GEG653987:GEH653996 FUK653987:FUL653996 FKO653987:FKP653996 FAS653987:FAT653996 EQW653987:EQX653996 EHA653987:EHB653996 DXE653987:DXF653996 DNI653987:DNJ653996 DDM653987:DDN653996 CTQ653987:CTR653996 CJU653987:CJV653996 BZY653987:BZZ653996 BQC653987:BQD653996 BGG653987:BGH653996 AWK653987:AWL653996 AMO653987:AMP653996 ACS653987:ACT653996 SW653987:SX653996 JA653987:JB653996 D653987:E653996 WVM588451:WVN588460 WLQ588451:WLR588460 WBU588451:WBV588460 VRY588451:VRZ588460 VIC588451:VID588460 UYG588451:UYH588460 UOK588451:UOL588460 UEO588451:UEP588460 TUS588451:TUT588460 TKW588451:TKX588460 TBA588451:TBB588460 SRE588451:SRF588460 SHI588451:SHJ588460 RXM588451:RXN588460 RNQ588451:RNR588460 RDU588451:RDV588460 QTY588451:QTZ588460 QKC588451:QKD588460 QAG588451:QAH588460 PQK588451:PQL588460 PGO588451:PGP588460 OWS588451:OWT588460 OMW588451:OMX588460 ODA588451:ODB588460 NTE588451:NTF588460 NJI588451:NJJ588460 MZM588451:MZN588460 MPQ588451:MPR588460 MFU588451:MFV588460 LVY588451:LVZ588460 LMC588451:LMD588460 LCG588451:LCH588460 KSK588451:KSL588460 KIO588451:KIP588460 JYS588451:JYT588460 JOW588451:JOX588460 JFA588451:JFB588460 IVE588451:IVF588460 ILI588451:ILJ588460 IBM588451:IBN588460 HRQ588451:HRR588460 HHU588451:HHV588460 GXY588451:GXZ588460 GOC588451:GOD588460 GEG588451:GEH588460 FUK588451:FUL588460 FKO588451:FKP588460 FAS588451:FAT588460 EQW588451:EQX588460 EHA588451:EHB588460 DXE588451:DXF588460 DNI588451:DNJ588460 DDM588451:DDN588460 CTQ588451:CTR588460 CJU588451:CJV588460 BZY588451:BZZ588460 BQC588451:BQD588460 BGG588451:BGH588460 AWK588451:AWL588460 AMO588451:AMP588460 ACS588451:ACT588460 SW588451:SX588460 JA588451:JB588460 D588451:E588460 WVM522915:WVN522924 WLQ522915:WLR522924 WBU522915:WBV522924 VRY522915:VRZ522924 VIC522915:VID522924 UYG522915:UYH522924 UOK522915:UOL522924 UEO522915:UEP522924 TUS522915:TUT522924 TKW522915:TKX522924 TBA522915:TBB522924 SRE522915:SRF522924 SHI522915:SHJ522924 RXM522915:RXN522924 RNQ522915:RNR522924 RDU522915:RDV522924 QTY522915:QTZ522924 QKC522915:QKD522924 QAG522915:QAH522924 PQK522915:PQL522924 PGO522915:PGP522924 OWS522915:OWT522924 OMW522915:OMX522924 ODA522915:ODB522924 NTE522915:NTF522924 NJI522915:NJJ522924 MZM522915:MZN522924 MPQ522915:MPR522924 MFU522915:MFV522924 LVY522915:LVZ522924 LMC522915:LMD522924 LCG522915:LCH522924 KSK522915:KSL522924 KIO522915:KIP522924 JYS522915:JYT522924 JOW522915:JOX522924 JFA522915:JFB522924 IVE522915:IVF522924 ILI522915:ILJ522924 IBM522915:IBN522924 HRQ522915:HRR522924 HHU522915:HHV522924 GXY522915:GXZ522924 GOC522915:GOD522924 GEG522915:GEH522924 FUK522915:FUL522924 FKO522915:FKP522924 FAS522915:FAT522924 EQW522915:EQX522924 EHA522915:EHB522924 DXE522915:DXF522924 DNI522915:DNJ522924 DDM522915:DDN522924 CTQ522915:CTR522924 CJU522915:CJV522924 BZY522915:BZZ522924 BQC522915:BQD522924 BGG522915:BGH522924 AWK522915:AWL522924 AMO522915:AMP522924 ACS522915:ACT522924 SW522915:SX522924 JA522915:JB522924 D522915:E522924 WVM457379:WVN457388 WLQ457379:WLR457388 WBU457379:WBV457388 VRY457379:VRZ457388 VIC457379:VID457388 UYG457379:UYH457388 UOK457379:UOL457388 UEO457379:UEP457388 TUS457379:TUT457388 TKW457379:TKX457388 TBA457379:TBB457388 SRE457379:SRF457388 SHI457379:SHJ457388 RXM457379:RXN457388 RNQ457379:RNR457388 RDU457379:RDV457388 QTY457379:QTZ457388 QKC457379:QKD457388 QAG457379:QAH457388 PQK457379:PQL457388 PGO457379:PGP457388 OWS457379:OWT457388 OMW457379:OMX457388 ODA457379:ODB457388 NTE457379:NTF457388 NJI457379:NJJ457388 MZM457379:MZN457388 MPQ457379:MPR457388 MFU457379:MFV457388 LVY457379:LVZ457388 LMC457379:LMD457388 LCG457379:LCH457388 KSK457379:KSL457388 KIO457379:KIP457388 JYS457379:JYT457388 JOW457379:JOX457388 JFA457379:JFB457388 IVE457379:IVF457388 ILI457379:ILJ457388 IBM457379:IBN457388 HRQ457379:HRR457388 HHU457379:HHV457388 GXY457379:GXZ457388 GOC457379:GOD457388 GEG457379:GEH457388 FUK457379:FUL457388 FKO457379:FKP457388 FAS457379:FAT457388 EQW457379:EQX457388 EHA457379:EHB457388 DXE457379:DXF457388 DNI457379:DNJ457388 DDM457379:DDN457388 CTQ457379:CTR457388 CJU457379:CJV457388 BZY457379:BZZ457388 BQC457379:BQD457388 BGG457379:BGH457388 AWK457379:AWL457388 AMO457379:AMP457388 ACS457379:ACT457388 SW457379:SX457388 JA457379:JB457388 D457379:E457388 WVM391843:WVN391852 WLQ391843:WLR391852 WBU391843:WBV391852 VRY391843:VRZ391852 VIC391843:VID391852 UYG391843:UYH391852 UOK391843:UOL391852 UEO391843:UEP391852 TUS391843:TUT391852 TKW391843:TKX391852 TBA391843:TBB391852 SRE391843:SRF391852 SHI391843:SHJ391852 RXM391843:RXN391852 RNQ391843:RNR391852 RDU391843:RDV391852 QTY391843:QTZ391852 QKC391843:QKD391852 QAG391843:QAH391852 PQK391843:PQL391852 PGO391843:PGP391852 OWS391843:OWT391852 OMW391843:OMX391852 ODA391843:ODB391852 NTE391843:NTF391852 NJI391843:NJJ391852 MZM391843:MZN391852 MPQ391843:MPR391852 MFU391843:MFV391852 LVY391843:LVZ391852 LMC391843:LMD391852 LCG391843:LCH391852 KSK391843:KSL391852 KIO391843:KIP391852 JYS391843:JYT391852 JOW391843:JOX391852 JFA391843:JFB391852 IVE391843:IVF391852 ILI391843:ILJ391852 IBM391843:IBN391852 HRQ391843:HRR391852 HHU391843:HHV391852 GXY391843:GXZ391852 GOC391843:GOD391852 GEG391843:GEH391852 FUK391843:FUL391852 FKO391843:FKP391852 FAS391843:FAT391852 EQW391843:EQX391852 EHA391843:EHB391852 DXE391843:DXF391852 DNI391843:DNJ391852 DDM391843:DDN391852 CTQ391843:CTR391852 CJU391843:CJV391852 BZY391843:BZZ391852 BQC391843:BQD391852 BGG391843:BGH391852 AWK391843:AWL391852 AMO391843:AMP391852 ACS391843:ACT391852 SW391843:SX391852 JA391843:JB391852 D391843:E391852 WVM326307:WVN326316 WLQ326307:WLR326316 WBU326307:WBV326316 VRY326307:VRZ326316 VIC326307:VID326316 UYG326307:UYH326316 UOK326307:UOL326316 UEO326307:UEP326316 TUS326307:TUT326316 TKW326307:TKX326316 TBA326307:TBB326316 SRE326307:SRF326316 SHI326307:SHJ326316 RXM326307:RXN326316 RNQ326307:RNR326316 RDU326307:RDV326316 QTY326307:QTZ326316 QKC326307:QKD326316 QAG326307:QAH326316 PQK326307:PQL326316 PGO326307:PGP326316 OWS326307:OWT326316 OMW326307:OMX326316 ODA326307:ODB326316 NTE326307:NTF326316 NJI326307:NJJ326316 MZM326307:MZN326316 MPQ326307:MPR326316 MFU326307:MFV326316 LVY326307:LVZ326316 LMC326307:LMD326316 LCG326307:LCH326316 KSK326307:KSL326316 KIO326307:KIP326316 JYS326307:JYT326316 JOW326307:JOX326316 JFA326307:JFB326316 IVE326307:IVF326316 ILI326307:ILJ326316 IBM326307:IBN326316 HRQ326307:HRR326316 HHU326307:HHV326316 GXY326307:GXZ326316 GOC326307:GOD326316 GEG326307:GEH326316 FUK326307:FUL326316 FKO326307:FKP326316 FAS326307:FAT326316 EQW326307:EQX326316 EHA326307:EHB326316 DXE326307:DXF326316 DNI326307:DNJ326316 DDM326307:DDN326316 CTQ326307:CTR326316 CJU326307:CJV326316 BZY326307:BZZ326316 BQC326307:BQD326316 BGG326307:BGH326316 AWK326307:AWL326316 AMO326307:AMP326316 ACS326307:ACT326316 SW326307:SX326316 JA326307:JB326316 D326307:E326316 WVM260771:WVN260780 WLQ260771:WLR260780 WBU260771:WBV260780 VRY260771:VRZ260780 VIC260771:VID260780 UYG260771:UYH260780 UOK260771:UOL260780 UEO260771:UEP260780 TUS260771:TUT260780 TKW260771:TKX260780 TBA260771:TBB260780 SRE260771:SRF260780 SHI260771:SHJ260780 RXM260771:RXN260780 RNQ260771:RNR260780 RDU260771:RDV260780 QTY260771:QTZ260780 QKC260771:QKD260780 QAG260771:QAH260780 PQK260771:PQL260780 PGO260771:PGP260780 OWS260771:OWT260780 OMW260771:OMX260780 ODA260771:ODB260780 NTE260771:NTF260780 NJI260771:NJJ260780 MZM260771:MZN260780 MPQ260771:MPR260780 MFU260771:MFV260780 LVY260771:LVZ260780 LMC260771:LMD260780 LCG260771:LCH260780 KSK260771:KSL260780 KIO260771:KIP260780 JYS260771:JYT260780 JOW260771:JOX260780 JFA260771:JFB260780 IVE260771:IVF260780 ILI260771:ILJ260780 IBM260771:IBN260780 HRQ260771:HRR260780 HHU260771:HHV260780 GXY260771:GXZ260780 GOC260771:GOD260780 GEG260771:GEH260780 FUK260771:FUL260780 FKO260771:FKP260780 FAS260771:FAT260780 EQW260771:EQX260780 EHA260771:EHB260780 DXE260771:DXF260780 DNI260771:DNJ260780 DDM260771:DDN260780 CTQ260771:CTR260780 CJU260771:CJV260780 BZY260771:BZZ260780 BQC260771:BQD260780 BGG260771:BGH260780 AWK260771:AWL260780 AMO260771:AMP260780 ACS260771:ACT260780 SW260771:SX260780 JA260771:JB260780 D260771:E260780 WVM195235:WVN195244 WLQ195235:WLR195244 WBU195235:WBV195244 VRY195235:VRZ195244 VIC195235:VID195244 UYG195235:UYH195244 UOK195235:UOL195244 UEO195235:UEP195244 TUS195235:TUT195244 TKW195235:TKX195244 TBA195235:TBB195244 SRE195235:SRF195244 SHI195235:SHJ195244 RXM195235:RXN195244 RNQ195235:RNR195244 RDU195235:RDV195244 QTY195235:QTZ195244 QKC195235:QKD195244 QAG195235:QAH195244 PQK195235:PQL195244 PGO195235:PGP195244 OWS195235:OWT195244 OMW195235:OMX195244 ODA195235:ODB195244 NTE195235:NTF195244 NJI195235:NJJ195244 MZM195235:MZN195244 MPQ195235:MPR195244 MFU195235:MFV195244 LVY195235:LVZ195244 LMC195235:LMD195244 LCG195235:LCH195244 KSK195235:KSL195244 KIO195235:KIP195244 JYS195235:JYT195244 JOW195235:JOX195244 JFA195235:JFB195244 IVE195235:IVF195244 ILI195235:ILJ195244 IBM195235:IBN195244 HRQ195235:HRR195244 HHU195235:HHV195244 GXY195235:GXZ195244 GOC195235:GOD195244 GEG195235:GEH195244 FUK195235:FUL195244 FKO195235:FKP195244 FAS195235:FAT195244 EQW195235:EQX195244 EHA195235:EHB195244 DXE195235:DXF195244 DNI195235:DNJ195244 DDM195235:DDN195244 CTQ195235:CTR195244 CJU195235:CJV195244 BZY195235:BZZ195244 BQC195235:BQD195244 BGG195235:BGH195244 AWK195235:AWL195244 AMO195235:AMP195244 ACS195235:ACT195244 SW195235:SX195244 JA195235:JB195244 D195235:E195244 WVM129699:WVN129708 WLQ129699:WLR129708 WBU129699:WBV129708 VRY129699:VRZ129708 VIC129699:VID129708 UYG129699:UYH129708 UOK129699:UOL129708 UEO129699:UEP129708 TUS129699:TUT129708 TKW129699:TKX129708 TBA129699:TBB129708 SRE129699:SRF129708 SHI129699:SHJ129708 RXM129699:RXN129708 RNQ129699:RNR129708 RDU129699:RDV129708 QTY129699:QTZ129708 QKC129699:QKD129708 QAG129699:QAH129708 PQK129699:PQL129708 PGO129699:PGP129708 OWS129699:OWT129708 OMW129699:OMX129708 ODA129699:ODB129708 NTE129699:NTF129708 NJI129699:NJJ129708 MZM129699:MZN129708 MPQ129699:MPR129708 MFU129699:MFV129708 LVY129699:LVZ129708 LMC129699:LMD129708 LCG129699:LCH129708 KSK129699:KSL129708 KIO129699:KIP129708 JYS129699:JYT129708 JOW129699:JOX129708 JFA129699:JFB129708 IVE129699:IVF129708 ILI129699:ILJ129708 IBM129699:IBN129708 HRQ129699:HRR129708 HHU129699:HHV129708 GXY129699:GXZ129708 GOC129699:GOD129708 GEG129699:GEH129708 FUK129699:FUL129708 FKO129699:FKP129708 FAS129699:FAT129708 EQW129699:EQX129708 EHA129699:EHB129708 DXE129699:DXF129708 DNI129699:DNJ129708 DDM129699:DDN129708 CTQ129699:CTR129708 CJU129699:CJV129708 BZY129699:BZZ129708 BQC129699:BQD129708 BGG129699:BGH129708 AWK129699:AWL129708 AMO129699:AMP129708 ACS129699:ACT129708 SW129699:SX129708 JA129699:JB129708 D129699:E129708 WVM64163:WVN64172 WLQ64163:WLR64172 WBU64163:WBV64172 VRY64163:VRZ64172 VIC64163:VID64172 UYG64163:UYH64172 UOK64163:UOL64172 UEO64163:UEP64172 TUS64163:TUT64172 TKW64163:TKX64172 TBA64163:TBB64172 SRE64163:SRF64172 SHI64163:SHJ64172 RXM64163:RXN64172 RNQ64163:RNR64172 RDU64163:RDV64172 QTY64163:QTZ64172 QKC64163:QKD64172 QAG64163:QAH64172 PQK64163:PQL64172 PGO64163:PGP64172 OWS64163:OWT64172 OMW64163:OMX64172 ODA64163:ODB64172 NTE64163:NTF64172 NJI64163:NJJ64172 MZM64163:MZN64172 MPQ64163:MPR64172 MFU64163:MFV64172 LVY64163:LVZ64172 LMC64163:LMD64172 LCG64163:LCH64172 KSK64163:KSL64172 KIO64163:KIP64172 JYS64163:JYT64172 JOW64163:JOX64172 JFA64163:JFB64172 IVE64163:IVF64172 ILI64163:ILJ64172 IBM64163:IBN64172 HRQ64163:HRR64172 HHU64163:HHV64172 GXY64163:GXZ64172 GOC64163:GOD64172 GEG64163:GEH64172 FUK64163:FUL64172 FKO64163:FKP64172 FAS64163:FAT64172 EQW64163:EQX64172 EHA64163:EHB64172 DXE64163:DXF64172 DNI64163:DNJ64172 DDM64163:DDN64172 CTQ64163:CTR64172 CJU64163:CJV64172 BZY64163:BZZ64172 BQC64163:BQD64172 BGG64163:BGH64172 AWK64163:AWL64172 AMO64163:AMP64172 ACS64163:ACT64172 SW64163:SX64172 JA64163:JB64172 D64163:E64172 WVM81:WVN90 WLQ81:WLR90 WBU81:WBV90 VRY81:VRZ90 VIC81:VID90 UYG81:UYH90 UOK81:UOL90 UEO81:UEP90 TUS81:TUT90 TKW81:TKX90 TBA81:TBB90 SRE81:SRF90 SHI81:SHJ90 RXM81:RXN90 RNQ81:RNR90 RDU81:RDV90 QTY81:QTZ90 QKC81:QKD90 QAG81:QAH90 PQK81:PQL90 PGO81:PGP90 OWS81:OWT90 OMW81:OMX90 ODA81:ODB90 NTE81:NTF90 NJI81:NJJ90 MZM81:MZN90 MPQ81:MPR90 MFU81:MFV90 LVY81:LVZ90 LMC81:LMD90 LCG81:LCH90 KSK81:KSL90 KIO81:KIP90 JYS81:JYT90 JOW81:JOX90 JFA81:JFB90 IVE81:IVF90 ILI81:ILJ90 IBM81:IBN90 HRQ81:HRR90 HHU81:HHV90 GXY81:GXZ90 GOC81:GOD90 GEG81:GEH90 FUK81:FUL90 FKO81:FKP90 FAS81:FAT90 EQW81:EQX90 EHA81:EHB90 DXE81:DXF90 DNI81:DNJ90 DDM81:DDN90 CTQ81:CTR90 CJU81:CJV90 BZY81:BZZ90 BQC81:BQD90 BGG81:BGH90 AWK81:AWL90 AMO81:AMP90 ACS81:ACT90 SW81:SX90 JA81:JB90">
      <formula1>$AF$68:$AF$74</formula1>
    </dataValidation>
    <dataValidation type="list" errorStyle="information" allowBlank="1" showInputMessage="1" showErrorMessage="1" sqref="N10:O19 JK10:JL19 TG10:TH19 ADC10:ADD19 AMY10:AMZ19 AWU10:AWV19 BGQ10:BGR19 BQM10:BQN19 CAI10:CAJ19 CKE10:CKF19 CUA10:CUB19 DDW10:DDX19 DNS10:DNT19 DXO10:DXP19 EHK10:EHL19 ERG10:ERH19 FBC10:FBD19 FKY10:FKZ19 FUU10:FUV19 GEQ10:GER19 GOM10:GON19 GYI10:GYJ19 HIE10:HIF19 HSA10:HSB19 IBW10:IBX19 ILS10:ILT19 IVO10:IVP19 JFK10:JFL19 JPG10:JPH19 JZC10:JZD19 KIY10:KIZ19 KSU10:KSV19 LCQ10:LCR19 LMM10:LMN19 LWI10:LWJ19 MGE10:MGF19 MQA10:MQB19 MZW10:MZX19 NJS10:NJT19 NTO10:NTP19 ODK10:ODL19 ONG10:ONH19 OXC10:OXD19 PGY10:PGZ19 PQU10:PQV19 QAQ10:QAR19 QKM10:QKN19 QUI10:QUJ19 REE10:REF19 ROA10:ROB19 RXW10:RXX19 SHS10:SHT19 SRO10:SRP19 TBK10:TBL19 TLG10:TLH19 TVC10:TVD19 UEY10:UEZ19 UOU10:UOV19 UYQ10:UYR19 VIM10:VIN19 VSI10:VSJ19 WCE10:WCF19 WMA10:WMB19 WVW10:WVX19 N64093:O64102 JK64093:JL64102 TG64093:TH64102 ADC64093:ADD64102 AMY64093:AMZ64102 AWU64093:AWV64102 BGQ64093:BGR64102 BQM64093:BQN64102 CAI64093:CAJ64102 CKE64093:CKF64102 CUA64093:CUB64102 DDW64093:DDX64102 DNS64093:DNT64102 DXO64093:DXP64102 EHK64093:EHL64102 ERG64093:ERH64102 FBC64093:FBD64102 FKY64093:FKZ64102 FUU64093:FUV64102 GEQ64093:GER64102 GOM64093:GON64102 GYI64093:GYJ64102 HIE64093:HIF64102 HSA64093:HSB64102 IBW64093:IBX64102 ILS64093:ILT64102 IVO64093:IVP64102 JFK64093:JFL64102 JPG64093:JPH64102 JZC64093:JZD64102 KIY64093:KIZ64102 KSU64093:KSV64102 LCQ64093:LCR64102 LMM64093:LMN64102 LWI64093:LWJ64102 MGE64093:MGF64102 MQA64093:MQB64102 MZW64093:MZX64102 NJS64093:NJT64102 NTO64093:NTP64102 ODK64093:ODL64102 ONG64093:ONH64102 OXC64093:OXD64102 PGY64093:PGZ64102 PQU64093:PQV64102 QAQ64093:QAR64102 QKM64093:QKN64102 QUI64093:QUJ64102 REE64093:REF64102 ROA64093:ROB64102 RXW64093:RXX64102 SHS64093:SHT64102 SRO64093:SRP64102 TBK64093:TBL64102 TLG64093:TLH64102 TVC64093:TVD64102 UEY64093:UEZ64102 UOU64093:UOV64102 UYQ64093:UYR64102 VIM64093:VIN64102 VSI64093:VSJ64102 WCE64093:WCF64102 WMA64093:WMB64102 WVW64093:WVX64102 N129629:O129638 JK129629:JL129638 TG129629:TH129638 ADC129629:ADD129638 AMY129629:AMZ129638 AWU129629:AWV129638 BGQ129629:BGR129638 BQM129629:BQN129638 CAI129629:CAJ129638 CKE129629:CKF129638 CUA129629:CUB129638 DDW129629:DDX129638 DNS129629:DNT129638 DXO129629:DXP129638 EHK129629:EHL129638 ERG129629:ERH129638 FBC129629:FBD129638 FKY129629:FKZ129638 FUU129629:FUV129638 GEQ129629:GER129638 GOM129629:GON129638 GYI129629:GYJ129638 HIE129629:HIF129638 HSA129629:HSB129638 IBW129629:IBX129638 ILS129629:ILT129638 IVO129629:IVP129638 JFK129629:JFL129638 JPG129629:JPH129638 JZC129629:JZD129638 KIY129629:KIZ129638 KSU129629:KSV129638 LCQ129629:LCR129638 LMM129629:LMN129638 LWI129629:LWJ129638 MGE129629:MGF129638 MQA129629:MQB129638 MZW129629:MZX129638 NJS129629:NJT129638 NTO129629:NTP129638 ODK129629:ODL129638 ONG129629:ONH129638 OXC129629:OXD129638 PGY129629:PGZ129638 PQU129629:PQV129638 QAQ129629:QAR129638 QKM129629:QKN129638 QUI129629:QUJ129638 REE129629:REF129638 ROA129629:ROB129638 RXW129629:RXX129638 SHS129629:SHT129638 SRO129629:SRP129638 TBK129629:TBL129638 TLG129629:TLH129638 TVC129629:TVD129638 UEY129629:UEZ129638 UOU129629:UOV129638 UYQ129629:UYR129638 VIM129629:VIN129638 VSI129629:VSJ129638 WCE129629:WCF129638 WMA129629:WMB129638 WVW129629:WVX129638 N195165:O195174 JK195165:JL195174 TG195165:TH195174 ADC195165:ADD195174 AMY195165:AMZ195174 AWU195165:AWV195174 BGQ195165:BGR195174 BQM195165:BQN195174 CAI195165:CAJ195174 CKE195165:CKF195174 CUA195165:CUB195174 DDW195165:DDX195174 DNS195165:DNT195174 DXO195165:DXP195174 EHK195165:EHL195174 ERG195165:ERH195174 FBC195165:FBD195174 FKY195165:FKZ195174 FUU195165:FUV195174 GEQ195165:GER195174 GOM195165:GON195174 GYI195165:GYJ195174 HIE195165:HIF195174 HSA195165:HSB195174 IBW195165:IBX195174 ILS195165:ILT195174 IVO195165:IVP195174 JFK195165:JFL195174 JPG195165:JPH195174 JZC195165:JZD195174 KIY195165:KIZ195174 KSU195165:KSV195174 LCQ195165:LCR195174 LMM195165:LMN195174 LWI195165:LWJ195174 MGE195165:MGF195174 MQA195165:MQB195174 MZW195165:MZX195174 NJS195165:NJT195174 NTO195165:NTP195174 ODK195165:ODL195174 ONG195165:ONH195174 OXC195165:OXD195174 PGY195165:PGZ195174 PQU195165:PQV195174 QAQ195165:QAR195174 QKM195165:QKN195174 QUI195165:QUJ195174 REE195165:REF195174 ROA195165:ROB195174 RXW195165:RXX195174 SHS195165:SHT195174 SRO195165:SRP195174 TBK195165:TBL195174 TLG195165:TLH195174 TVC195165:TVD195174 UEY195165:UEZ195174 UOU195165:UOV195174 UYQ195165:UYR195174 VIM195165:VIN195174 VSI195165:VSJ195174 WCE195165:WCF195174 WMA195165:WMB195174 WVW195165:WVX195174 N260701:O260710 JK260701:JL260710 TG260701:TH260710 ADC260701:ADD260710 AMY260701:AMZ260710 AWU260701:AWV260710 BGQ260701:BGR260710 BQM260701:BQN260710 CAI260701:CAJ260710 CKE260701:CKF260710 CUA260701:CUB260710 DDW260701:DDX260710 DNS260701:DNT260710 DXO260701:DXP260710 EHK260701:EHL260710 ERG260701:ERH260710 FBC260701:FBD260710 FKY260701:FKZ260710 FUU260701:FUV260710 GEQ260701:GER260710 GOM260701:GON260710 GYI260701:GYJ260710 HIE260701:HIF260710 HSA260701:HSB260710 IBW260701:IBX260710 ILS260701:ILT260710 IVO260701:IVP260710 JFK260701:JFL260710 JPG260701:JPH260710 JZC260701:JZD260710 KIY260701:KIZ260710 KSU260701:KSV260710 LCQ260701:LCR260710 LMM260701:LMN260710 LWI260701:LWJ260710 MGE260701:MGF260710 MQA260701:MQB260710 MZW260701:MZX260710 NJS260701:NJT260710 NTO260701:NTP260710 ODK260701:ODL260710 ONG260701:ONH260710 OXC260701:OXD260710 PGY260701:PGZ260710 PQU260701:PQV260710 QAQ260701:QAR260710 QKM260701:QKN260710 QUI260701:QUJ260710 REE260701:REF260710 ROA260701:ROB260710 RXW260701:RXX260710 SHS260701:SHT260710 SRO260701:SRP260710 TBK260701:TBL260710 TLG260701:TLH260710 TVC260701:TVD260710 UEY260701:UEZ260710 UOU260701:UOV260710 UYQ260701:UYR260710 VIM260701:VIN260710 VSI260701:VSJ260710 WCE260701:WCF260710 WMA260701:WMB260710 WVW260701:WVX260710 N326237:O326246 JK326237:JL326246 TG326237:TH326246 ADC326237:ADD326246 AMY326237:AMZ326246 AWU326237:AWV326246 BGQ326237:BGR326246 BQM326237:BQN326246 CAI326237:CAJ326246 CKE326237:CKF326246 CUA326237:CUB326246 DDW326237:DDX326246 DNS326237:DNT326246 DXO326237:DXP326246 EHK326237:EHL326246 ERG326237:ERH326246 FBC326237:FBD326246 FKY326237:FKZ326246 FUU326237:FUV326246 GEQ326237:GER326246 GOM326237:GON326246 GYI326237:GYJ326246 HIE326237:HIF326246 HSA326237:HSB326246 IBW326237:IBX326246 ILS326237:ILT326246 IVO326237:IVP326246 JFK326237:JFL326246 JPG326237:JPH326246 JZC326237:JZD326246 KIY326237:KIZ326246 KSU326237:KSV326246 LCQ326237:LCR326246 LMM326237:LMN326246 LWI326237:LWJ326246 MGE326237:MGF326246 MQA326237:MQB326246 MZW326237:MZX326246 NJS326237:NJT326246 NTO326237:NTP326246 ODK326237:ODL326246 ONG326237:ONH326246 OXC326237:OXD326246 PGY326237:PGZ326246 PQU326237:PQV326246 QAQ326237:QAR326246 QKM326237:QKN326246 QUI326237:QUJ326246 REE326237:REF326246 ROA326237:ROB326246 RXW326237:RXX326246 SHS326237:SHT326246 SRO326237:SRP326246 TBK326237:TBL326246 TLG326237:TLH326246 TVC326237:TVD326246 UEY326237:UEZ326246 UOU326237:UOV326246 UYQ326237:UYR326246 VIM326237:VIN326246 VSI326237:VSJ326246 WCE326237:WCF326246 WMA326237:WMB326246 WVW326237:WVX326246 N391773:O391782 JK391773:JL391782 TG391773:TH391782 ADC391773:ADD391782 AMY391773:AMZ391782 AWU391773:AWV391782 BGQ391773:BGR391782 BQM391773:BQN391782 CAI391773:CAJ391782 CKE391773:CKF391782 CUA391773:CUB391782 DDW391773:DDX391782 DNS391773:DNT391782 DXO391773:DXP391782 EHK391773:EHL391782 ERG391773:ERH391782 FBC391773:FBD391782 FKY391773:FKZ391782 FUU391773:FUV391782 GEQ391773:GER391782 GOM391773:GON391782 GYI391773:GYJ391782 HIE391773:HIF391782 HSA391773:HSB391782 IBW391773:IBX391782 ILS391773:ILT391782 IVO391773:IVP391782 JFK391773:JFL391782 JPG391773:JPH391782 JZC391773:JZD391782 KIY391773:KIZ391782 KSU391773:KSV391782 LCQ391773:LCR391782 LMM391773:LMN391782 LWI391773:LWJ391782 MGE391773:MGF391782 MQA391773:MQB391782 MZW391773:MZX391782 NJS391773:NJT391782 NTO391773:NTP391782 ODK391773:ODL391782 ONG391773:ONH391782 OXC391773:OXD391782 PGY391773:PGZ391782 PQU391773:PQV391782 QAQ391773:QAR391782 QKM391773:QKN391782 QUI391773:QUJ391782 REE391773:REF391782 ROA391773:ROB391782 RXW391773:RXX391782 SHS391773:SHT391782 SRO391773:SRP391782 TBK391773:TBL391782 TLG391773:TLH391782 TVC391773:TVD391782 UEY391773:UEZ391782 UOU391773:UOV391782 UYQ391773:UYR391782 VIM391773:VIN391782 VSI391773:VSJ391782 WCE391773:WCF391782 WMA391773:WMB391782 WVW391773:WVX391782 N457309:O457318 JK457309:JL457318 TG457309:TH457318 ADC457309:ADD457318 AMY457309:AMZ457318 AWU457309:AWV457318 BGQ457309:BGR457318 BQM457309:BQN457318 CAI457309:CAJ457318 CKE457309:CKF457318 CUA457309:CUB457318 DDW457309:DDX457318 DNS457309:DNT457318 DXO457309:DXP457318 EHK457309:EHL457318 ERG457309:ERH457318 FBC457309:FBD457318 FKY457309:FKZ457318 FUU457309:FUV457318 GEQ457309:GER457318 GOM457309:GON457318 GYI457309:GYJ457318 HIE457309:HIF457318 HSA457309:HSB457318 IBW457309:IBX457318 ILS457309:ILT457318 IVO457309:IVP457318 JFK457309:JFL457318 JPG457309:JPH457318 JZC457309:JZD457318 KIY457309:KIZ457318 KSU457309:KSV457318 LCQ457309:LCR457318 LMM457309:LMN457318 LWI457309:LWJ457318 MGE457309:MGF457318 MQA457309:MQB457318 MZW457309:MZX457318 NJS457309:NJT457318 NTO457309:NTP457318 ODK457309:ODL457318 ONG457309:ONH457318 OXC457309:OXD457318 PGY457309:PGZ457318 PQU457309:PQV457318 QAQ457309:QAR457318 QKM457309:QKN457318 QUI457309:QUJ457318 REE457309:REF457318 ROA457309:ROB457318 RXW457309:RXX457318 SHS457309:SHT457318 SRO457309:SRP457318 TBK457309:TBL457318 TLG457309:TLH457318 TVC457309:TVD457318 UEY457309:UEZ457318 UOU457309:UOV457318 UYQ457309:UYR457318 VIM457309:VIN457318 VSI457309:VSJ457318 WCE457309:WCF457318 WMA457309:WMB457318 WVW457309:WVX457318 N522845:O522854 JK522845:JL522854 TG522845:TH522854 ADC522845:ADD522854 AMY522845:AMZ522854 AWU522845:AWV522854 BGQ522845:BGR522854 BQM522845:BQN522854 CAI522845:CAJ522854 CKE522845:CKF522854 CUA522845:CUB522854 DDW522845:DDX522854 DNS522845:DNT522854 DXO522845:DXP522854 EHK522845:EHL522854 ERG522845:ERH522854 FBC522845:FBD522854 FKY522845:FKZ522854 FUU522845:FUV522854 GEQ522845:GER522854 GOM522845:GON522854 GYI522845:GYJ522854 HIE522845:HIF522854 HSA522845:HSB522854 IBW522845:IBX522854 ILS522845:ILT522854 IVO522845:IVP522854 JFK522845:JFL522854 JPG522845:JPH522854 JZC522845:JZD522854 KIY522845:KIZ522854 KSU522845:KSV522854 LCQ522845:LCR522854 LMM522845:LMN522854 LWI522845:LWJ522854 MGE522845:MGF522854 MQA522845:MQB522854 MZW522845:MZX522854 NJS522845:NJT522854 NTO522845:NTP522854 ODK522845:ODL522854 ONG522845:ONH522854 OXC522845:OXD522854 PGY522845:PGZ522854 PQU522845:PQV522854 QAQ522845:QAR522854 QKM522845:QKN522854 QUI522845:QUJ522854 REE522845:REF522854 ROA522845:ROB522854 RXW522845:RXX522854 SHS522845:SHT522854 SRO522845:SRP522854 TBK522845:TBL522854 TLG522845:TLH522854 TVC522845:TVD522854 UEY522845:UEZ522854 UOU522845:UOV522854 UYQ522845:UYR522854 VIM522845:VIN522854 VSI522845:VSJ522854 WCE522845:WCF522854 WMA522845:WMB522854 WVW522845:WVX522854 N588381:O588390 JK588381:JL588390 TG588381:TH588390 ADC588381:ADD588390 AMY588381:AMZ588390 AWU588381:AWV588390 BGQ588381:BGR588390 BQM588381:BQN588390 CAI588381:CAJ588390 CKE588381:CKF588390 CUA588381:CUB588390 DDW588381:DDX588390 DNS588381:DNT588390 DXO588381:DXP588390 EHK588381:EHL588390 ERG588381:ERH588390 FBC588381:FBD588390 FKY588381:FKZ588390 FUU588381:FUV588390 GEQ588381:GER588390 GOM588381:GON588390 GYI588381:GYJ588390 HIE588381:HIF588390 HSA588381:HSB588390 IBW588381:IBX588390 ILS588381:ILT588390 IVO588381:IVP588390 JFK588381:JFL588390 JPG588381:JPH588390 JZC588381:JZD588390 KIY588381:KIZ588390 KSU588381:KSV588390 LCQ588381:LCR588390 LMM588381:LMN588390 LWI588381:LWJ588390 MGE588381:MGF588390 MQA588381:MQB588390 MZW588381:MZX588390 NJS588381:NJT588390 NTO588381:NTP588390 ODK588381:ODL588390 ONG588381:ONH588390 OXC588381:OXD588390 PGY588381:PGZ588390 PQU588381:PQV588390 QAQ588381:QAR588390 QKM588381:QKN588390 QUI588381:QUJ588390 REE588381:REF588390 ROA588381:ROB588390 RXW588381:RXX588390 SHS588381:SHT588390 SRO588381:SRP588390 TBK588381:TBL588390 TLG588381:TLH588390 TVC588381:TVD588390 UEY588381:UEZ588390 UOU588381:UOV588390 UYQ588381:UYR588390 VIM588381:VIN588390 VSI588381:VSJ588390 WCE588381:WCF588390 WMA588381:WMB588390 WVW588381:WVX588390 N653917:O653926 JK653917:JL653926 TG653917:TH653926 ADC653917:ADD653926 AMY653917:AMZ653926 AWU653917:AWV653926 BGQ653917:BGR653926 BQM653917:BQN653926 CAI653917:CAJ653926 CKE653917:CKF653926 CUA653917:CUB653926 DDW653917:DDX653926 DNS653917:DNT653926 DXO653917:DXP653926 EHK653917:EHL653926 ERG653917:ERH653926 FBC653917:FBD653926 FKY653917:FKZ653926 FUU653917:FUV653926 GEQ653917:GER653926 GOM653917:GON653926 GYI653917:GYJ653926 HIE653917:HIF653926 HSA653917:HSB653926 IBW653917:IBX653926 ILS653917:ILT653926 IVO653917:IVP653926 JFK653917:JFL653926 JPG653917:JPH653926 JZC653917:JZD653926 KIY653917:KIZ653926 KSU653917:KSV653926 LCQ653917:LCR653926 LMM653917:LMN653926 LWI653917:LWJ653926 MGE653917:MGF653926 MQA653917:MQB653926 MZW653917:MZX653926 NJS653917:NJT653926 NTO653917:NTP653926 ODK653917:ODL653926 ONG653917:ONH653926 OXC653917:OXD653926 PGY653917:PGZ653926 PQU653917:PQV653926 QAQ653917:QAR653926 QKM653917:QKN653926 QUI653917:QUJ653926 REE653917:REF653926 ROA653917:ROB653926 RXW653917:RXX653926 SHS653917:SHT653926 SRO653917:SRP653926 TBK653917:TBL653926 TLG653917:TLH653926 TVC653917:TVD653926 UEY653917:UEZ653926 UOU653917:UOV653926 UYQ653917:UYR653926 VIM653917:VIN653926 VSI653917:VSJ653926 WCE653917:WCF653926 WMA653917:WMB653926 WVW653917:WVX653926 N719453:O719462 JK719453:JL719462 TG719453:TH719462 ADC719453:ADD719462 AMY719453:AMZ719462 AWU719453:AWV719462 BGQ719453:BGR719462 BQM719453:BQN719462 CAI719453:CAJ719462 CKE719453:CKF719462 CUA719453:CUB719462 DDW719453:DDX719462 DNS719453:DNT719462 DXO719453:DXP719462 EHK719453:EHL719462 ERG719453:ERH719462 FBC719453:FBD719462 FKY719453:FKZ719462 FUU719453:FUV719462 GEQ719453:GER719462 GOM719453:GON719462 GYI719453:GYJ719462 HIE719453:HIF719462 HSA719453:HSB719462 IBW719453:IBX719462 ILS719453:ILT719462 IVO719453:IVP719462 JFK719453:JFL719462 JPG719453:JPH719462 JZC719453:JZD719462 KIY719453:KIZ719462 KSU719453:KSV719462 LCQ719453:LCR719462 LMM719453:LMN719462 LWI719453:LWJ719462 MGE719453:MGF719462 MQA719453:MQB719462 MZW719453:MZX719462 NJS719453:NJT719462 NTO719453:NTP719462 ODK719453:ODL719462 ONG719453:ONH719462 OXC719453:OXD719462 PGY719453:PGZ719462 PQU719453:PQV719462 QAQ719453:QAR719462 QKM719453:QKN719462 QUI719453:QUJ719462 REE719453:REF719462 ROA719453:ROB719462 RXW719453:RXX719462 SHS719453:SHT719462 SRO719453:SRP719462 TBK719453:TBL719462 TLG719453:TLH719462 TVC719453:TVD719462 UEY719453:UEZ719462 UOU719453:UOV719462 UYQ719453:UYR719462 VIM719453:VIN719462 VSI719453:VSJ719462 WCE719453:WCF719462 WMA719453:WMB719462 WVW719453:WVX719462 N784989:O784998 JK784989:JL784998 TG784989:TH784998 ADC784989:ADD784998 AMY784989:AMZ784998 AWU784989:AWV784998 BGQ784989:BGR784998 BQM784989:BQN784998 CAI784989:CAJ784998 CKE784989:CKF784998 CUA784989:CUB784998 DDW784989:DDX784998 DNS784989:DNT784998 DXO784989:DXP784998 EHK784989:EHL784998 ERG784989:ERH784998 FBC784989:FBD784998 FKY784989:FKZ784998 FUU784989:FUV784998 GEQ784989:GER784998 GOM784989:GON784998 GYI784989:GYJ784998 HIE784989:HIF784998 HSA784989:HSB784998 IBW784989:IBX784998 ILS784989:ILT784998 IVO784989:IVP784998 JFK784989:JFL784998 JPG784989:JPH784998 JZC784989:JZD784998 KIY784989:KIZ784998 KSU784989:KSV784998 LCQ784989:LCR784998 LMM784989:LMN784998 LWI784989:LWJ784998 MGE784989:MGF784998 MQA784989:MQB784998 MZW784989:MZX784998 NJS784989:NJT784998 NTO784989:NTP784998 ODK784989:ODL784998 ONG784989:ONH784998 OXC784989:OXD784998 PGY784989:PGZ784998 PQU784989:PQV784998 QAQ784989:QAR784998 QKM784989:QKN784998 QUI784989:QUJ784998 REE784989:REF784998 ROA784989:ROB784998 RXW784989:RXX784998 SHS784989:SHT784998 SRO784989:SRP784998 TBK784989:TBL784998 TLG784989:TLH784998 TVC784989:TVD784998 UEY784989:UEZ784998 UOU784989:UOV784998 UYQ784989:UYR784998 VIM784989:VIN784998 VSI784989:VSJ784998 WCE784989:WCF784998 WMA784989:WMB784998 WVW784989:WVX784998 N850525:O850534 JK850525:JL850534 TG850525:TH850534 ADC850525:ADD850534 AMY850525:AMZ850534 AWU850525:AWV850534 BGQ850525:BGR850534 BQM850525:BQN850534 CAI850525:CAJ850534 CKE850525:CKF850534 CUA850525:CUB850534 DDW850525:DDX850534 DNS850525:DNT850534 DXO850525:DXP850534 EHK850525:EHL850534 ERG850525:ERH850534 FBC850525:FBD850534 FKY850525:FKZ850534 FUU850525:FUV850534 GEQ850525:GER850534 GOM850525:GON850534 GYI850525:GYJ850534 HIE850525:HIF850534 HSA850525:HSB850534 IBW850525:IBX850534 ILS850525:ILT850534 IVO850525:IVP850534 JFK850525:JFL850534 JPG850525:JPH850534 JZC850525:JZD850534 KIY850525:KIZ850534 KSU850525:KSV850534 LCQ850525:LCR850534 LMM850525:LMN850534 LWI850525:LWJ850534 MGE850525:MGF850534 MQA850525:MQB850534 MZW850525:MZX850534 NJS850525:NJT850534 NTO850525:NTP850534 ODK850525:ODL850534 ONG850525:ONH850534 OXC850525:OXD850534 PGY850525:PGZ850534 PQU850525:PQV850534 QAQ850525:QAR850534 QKM850525:QKN850534 QUI850525:QUJ850534 REE850525:REF850534 ROA850525:ROB850534 RXW850525:RXX850534 SHS850525:SHT850534 SRO850525:SRP850534 TBK850525:TBL850534 TLG850525:TLH850534 TVC850525:TVD850534 UEY850525:UEZ850534 UOU850525:UOV850534 UYQ850525:UYR850534 VIM850525:VIN850534 VSI850525:VSJ850534 WCE850525:WCF850534 WMA850525:WMB850534 WVW850525:WVX850534 N916061:O916070 JK916061:JL916070 TG916061:TH916070 ADC916061:ADD916070 AMY916061:AMZ916070 AWU916061:AWV916070 BGQ916061:BGR916070 BQM916061:BQN916070 CAI916061:CAJ916070 CKE916061:CKF916070 CUA916061:CUB916070 DDW916061:DDX916070 DNS916061:DNT916070 DXO916061:DXP916070 EHK916061:EHL916070 ERG916061:ERH916070 FBC916061:FBD916070 FKY916061:FKZ916070 FUU916061:FUV916070 GEQ916061:GER916070 GOM916061:GON916070 GYI916061:GYJ916070 HIE916061:HIF916070 HSA916061:HSB916070 IBW916061:IBX916070 ILS916061:ILT916070 IVO916061:IVP916070 JFK916061:JFL916070 JPG916061:JPH916070 JZC916061:JZD916070 KIY916061:KIZ916070 KSU916061:KSV916070 LCQ916061:LCR916070 LMM916061:LMN916070 LWI916061:LWJ916070 MGE916061:MGF916070 MQA916061:MQB916070 MZW916061:MZX916070 NJS916061:NJT916070 NTO916061:NTP916070 ODK916061:ODL916070 ONG916061:ONH916070 OXC916061:OXD916070 PGY916061:PGZ916070 PQU916061:PQV916070 QAQ916061:QAR916070 QKM916061:QKN916070 QUI916061:QUJ916070 REE916061:REF916070 ROA916061:ROB916070 RXW916061:RXX916070 SHS916061:SHT916070 SRO916061:SRP916070 TBK916061:TBL916070 TLG916061:TLH916070 TVC916061:TVD916070 UEY916061:UEZ916070 UOU916061:UOV916070 UYQ916061:UYR916070 VIM916061:VIN916070 VSI916061:VSJ916070 WCE916061:WCF916070 WMA916061:WMB916070 WVW916061:WVX916070 N981597:O981606 JK981597:JL981606 TG981597:TH981606 ADC981597:ADD981606 AMY981597:AMZ981606 AWU981597:AWV981606 BGQ981597:BGR981606 BQM981597:BQN981606 CAI981597:CAJ981606 CKE981597:CKF981606 CUA981597:CUB981606 DDW981597:DDX981606 DNS981597:DNT981606 DXO981597:DXP981606 EHK981597:EHL981606 ERG981597:ERH981606 FBC981597:FBD981606 FKY981597:FKZ981606 FUU981597:FUV981606 GEQ981597:GER981606 GOM981597:GON981606 GYI981597:GYJ981606 HIE981597:HIF981606 HSA981597:HSB981606 IBW981597:IBX981606 ILS981597:ILT981606 IVO981597:IVP981606 JFK981597:JFL981606 JPG981597:JPH981606 JZC981597:JZD981606 KIY981597:KIZ981606 KSU981597:KSV981606 LCQ981597:LCR981606 LMM981597:LMN981606 LWI981597:LWJ981606 MGE981597:MGF981606 MQA981597:MQB981606 MZW981597:MZX981606 NJS981597:NJT981606 NTO981597:NTP981606 ODK981597:ODL981606 ONG981597:ONH981606 OXC981597:OXD981606 PGY981597:PGZ981606 PQU981597:PQV981606 QAQ981597:QAR981606 QKM981597:QKN981606 QUI981597:QUJ981606 REE981597:REF981606 ROA981597:ROB981606 RXW981597:RXX981606 SHS981597:SHT981606 SRO981597:SRP981606 TBK981597:TBL981606 TLG981597:TLH981606 TVC981597:TVD981606 UEY981597:UEZ981606 UOU981597:UOV981606 UYQ981597:UYR981606 VIM981597:VIN981606 VSI981597:VSJ981606 WCE981597:WCF981606 WMA981597:WMB981606 WVW981597:WVX981606">
      <formula1>$AI$10:$AI$19</formula1>
    </dataValidation>
    <dataValidation type="decimal" errorStyle="warning" operator="notBetween" allowBlank="1" showInputMessage="1" showErrorMessage="1" errorTitle="係数の入力" error="&quot;０&quot; 以外の 数値 を入力して下さい！！" sqref="K118:N118 JH118:JK118 TD118:TG118 ACZ118:ADC118 AMV118:AMY118 AWR118:AWU118 BGN118:BGQ118 BQJ118:BQM118 CAF118:CAI118 CKB118:CKE118 CTX118:CUA118 DDT118:DDW118 DNP118:DNS118 DXL118:DXO118 EHH118:EHK118 ERD118:ERG118 FAZ118:FBC118 FKV118:FKY118 FUR118:FUU118 GEN118:GEQ118 GOJ118:GOM118 GYF118:GYI118 HIB118:HIE118 HRX118:HSA118 IBT118:IBW118 ILP118:ILS118 IVL118:IVO118 JFH118:JFK118 JPD118:JPG118 JYZ118:JZC118 KIV118:KIY118 KSR118:KSU118 LCN118:LCQ118 LMJ118:LMM118 LWF118:LWI118 MGB118:MGE118 MPX118:MQA118 MZT118:MZW118 NJP118:NJS118 NTL118:NTO118 ODH118:ODK118 OND118:ONG118 OWZ118:OXC118 PGV118:PGY118 PQR118:PQU118 QAN118:QAQ118 QKJ118:QKM118 QUF118:QUI118 REB118:REE118 RNX118:ROA118 RXT118:RXW118 SHP118:SHS118 SRL118:SRO118 TBH118:TBK118 TLD118:TLG118 TUZ118:TVC118 UEV118:UEY118 UOR118:UOU118 UYN118:UYQ118 VIJ118:VIM118 VSF118:VSI118 WCB118:WCE118 WLX118:WMA118 WVT118:WVW118 K64201:N64201 JH64201:JK64201 TD64201:TG64201 ACZ64201:ADC64201 AMV64201:AMY64201 AWR64201:AWU64201 BGN64201:BGQ64201 BQJ64201:BQM64201 CAF64201:CAI64201 CKB64201:CKE64201 CTX64201:CUA64201 DDT64201:DDW64201 DNP64201:DNS64201 DXL64201:DXO64201 EHH64201:EHK64201 ERD64201:ERG64201 FAZ64201:FBC64201 FKV64201:FKY64201 FUR64201:FUU64201 GEN64201:GEQ64201 GOJ64201:GOM64201 GYF64201:GYI64201 HIB64201:HIE64201 HRX64201:HSA64201 IBT64201:IBW64201 ILP64201:ILS64201 IVL64201:IVO64201 JFH64201:JFK64201 JPD64201:JPG64201 JYZ64201:JZC64201 KIV64201:KIY64201 KSR64201:KSU64201 LCN64201:LCQ64201 LMJ64201:LMM64201 LWF64201:LWI64201 MGB64201:MGE64201 MPX64201:MQA64201 MZT64201:MZW64201 NJP64201:NJS64201 NTL64201:NTO64201 ODH64201:ODK64201 OND64201:ONG64201 OWZ64201:OXC64201 PGV64201:PGY64201 PQR64201:PQU64201 QAN64201:QAQ64201 QKJ64201:QKM64201 QUF64201:QUI64201 REB64201:REE64201 RNX64201:ROA64201 RXT64201:RXW64201 SHP64201:SHS64201 SRL64201:SRO64201 TBH64201:TBK64201 TLD64201:TLG64201 TUZ64201:TVC64201 UEV64201:UEY64201 UOR64201:UOU64201 UYN64201:UYQ64201 VIJ64201:VIM64201 VSF64201:VSI64201 WCB64201:WCE64201 WLX64201:WMA64201 WVT64201:WVW64201 K129737:N129737 JH129737:JK129737 TD129737:TG129737 ACZ129737:ADC129737 AMV129737:AMY129737 AWR129737:AWU129737 BGN129737:BGQ129737 BQJ129737:BQM129737 CAF129737:CAI129737 CKB129737:CKE129737 CTX129737:CUA129737 DDT129737:DDW129737 DNP129737:DNS129737 DXL129737:DXO129737 EHH129737:EHK129737 ERD129737:ERG129737 FAZ129737:FBC129737 FKV129737:FKY129737 FUR129737:FUU129737 GEN129737:GEQ129737 GOJ129737:GOM129737 GYF129737:GYI129737 HIB129737:HIE129737 HRX129737:HSA129737 IBT129737:IBW129737 ILP129737:ILS129737 IVL129737:IVO129737 JFH129737:JFK129737 JPD129737:JPG129737 JYZ129737:JZC129737 KIV129737:KIY129737 KSR129737:KSU129737 LCN129737:LCQ129737 LMJ129737:LMM129737 LWF129737:LWI129737 MGB129737:MGE129737 MPX129737:MQA129737 MZT129737:MZW129737 NJP129737:NJS129737 NTL129737:NTO129737 ODH129737:ODK129737 OND129737:ONG129737 OWZ129737:OXC129737 PGV129737:PGY129737 PQR129737:PQU129737 QAN129737:QAQ129737 QKJ129737:QKM129737 QUF129737:QUI129737 REB129737:REE129737 RNX129737:ROA129737 RXT129737:RXW129737 SHP129737:SHS129737 SRL129737:SRO129737 TBH129737:TBK129737 TLD129737:TLG129737 TUZ129737:TVC129737 UEV129737:UEY129737 UOR129737:UOU129737 UYN129737:UYQ129737 VIJ129737:VIM129737 VSF129737:VSI129737 WCB129737:WCE129737 WLX129737:WMA129737 WVT129737:WVW129737 K195273:N195273 JH195273:JK195273 TD195273:TG195273 ACZ195273:ADC195273 AMV195273:AMY195273 AWR195273:AWU195273 BGN195273:BGQ195273 BQJ195273:BQM195273 CAF195273:CAI195273 CKB195273:CKE195273 CTX195273:CUA195273 DDT195273:DDW195273 DNP195273:DNS195273 DXL195273:DXO195273 EHH195273:EHK195273 ERD195273:ERG195273 FAZ195273:FBC195273 FKV195273:FKY195273 FUR195273:FUU195273 GEN195273:GEQ195273 GOJ195273:GOM195273 GYF195273:GYI195273 HIB195273:HIE195273 HRX195273:HSA195273 IBT195273:IBW195273 ILP195273:ILS195273 IVL195273:IVO195273 JFH195273:JFK195273 JPD195273:JPG195273 JYZ195273:JZC195273 KIV195273:KIY195273 KSR195273:KSU195273 LCN195273:LCQ195273 LMJ195273:LMM195273 LWF195273:LWI195273 MGB195273:MGE195273 MPX195273:MQA195273 MZT195273:MZW195273 NJP195273:NJS195273 NTL195273:NTO195273 ODH195273:ODK195273 OND195273:ONG195273 OWZ195273:OXC195273 PGV195273:PGY195273 PQR195273:PQU195273 QAN195273:QAQ195273 QKJ195273:QKM195273 QUF195273:QUI195273 REB195273:REE195273 RNX195273:ROA195273 RXT195273:RXW195273 SHP195273:SHS195273 SRL195273:SRO195273 TBH195273:TBK195273 TLD195273:TLG195273 TUZ195273:TVC195273 UEV195273:UEY195273 UOR195273:UOU195273 UYN195273:UYQ195273 VIJ195273:VIM195273 VSF195273:VSI195273 WCB195273:WCE195273 WLX195273:WMA195273 WVT195273:WVW195273 K260809:N260809 JH260809:JK260809 TD260809:TG260809 ACZ260809:ADC260809 AMV260809:AMY260809 AWR260809:AWU260809 BGN260809:BGQ260809 BQJ260809:BQM260809 CAF260809:CAI260809 CKB260809:CKE260809 CTX260809:CUA260809 DDT260809:DDW260809 DNP260809:DNS260809 DXL260809:DXO260809 EHH260809:EHK260809 ERD260809:ERG260809 FAZ260809:FBC260809 FKV260809:FKY260809 FUR260809:FUU260809 GEN260809:GEQ260809 GOJ260809:GOM260809 GYF260809:GYI260809 HIB260809:HIE260809 HRX260809:HSA260809 IBT260809:IBW260809 ILP260809:ILS260809 IVL260809:IVO260809 JFH260809:JFK260809 JPD260809:JPG260809 JYZ260809:JZC260809 KIV260809:KIY260809 KSR260809:KSU260809 LCN260809:LCQ260809 LMJ260809:LMM260809 LWF260809:LWI260809 MGB260809:MGE260809 MPX260809:MQA260809 MZT260809:MZW260809 NJP260809:NJS260809 NTL260809:NTO260809 ODH260809:ODK260809 OND260809:ONG260809 OWZ260809:OXC260809 PGV260809:PGY260809 PQR260809:PQU260809 QAN260809:QAQ260809 QKJ260809:QKM260809 QUF260809:QUI260809 REB260809:REE260809 RNX260809:ROA260809 RXT260809:RXW260809 SHP260809:SHS260809 SRL260809:SRO260809 TBH260809:TBK260809 TLD260809:TLG260809 TUZ260809:TVC260809 UEV260809:UEY260809 UOR260809:UOU260809 UYN260809:UYQ260809 VIJ260809:VIM260809 VSF260809:VSI260809 WCB260809:WCE260809 WLX260809:WMA260809 WVT260809:WVW260809 K326345:N326345 JH326345:JK326345 TD326345:TG326345 ACZ326345:ADC326345 AMV326345:AMY326345 AWR326345:AWU326345 BGN326345:BGQ326345 BQJ326345:BQM326345 CAF326345:CAI326345 CKB326345:CKE326345 CTX326345:CUA326345 DDT326345:DDW326345 DNP326345:DNS326345 DXL326345:DXO326345 EHH326345:EHK326345 ERD326345:ERG326345 FAZ326345:FBC326345 FKV326345:FKY326345 FUR326345:FUU326345 GEN326345:GEQ326345 GOJ326345:GOM326345 GYF326345:GYI326345 HIB326345:HIE326345 HRX326345:HSA326345 IBT326345:IBW326345 ILP326345:ILS326345 IVL326345:IVO326345 JFH326345:JFK326345 JPD326345:JPG326345 JYZ326345:JZC326345 KIV326345:KIY326345 KSR326345:KSU326345 LCN326345:LCQ326345 LMJ326345:LMM326345 LWF326345:LWI326345 MGB326345:MGE326345 MPX326345:MQA326345 MZT326345:MZW326345 NJP326345:NJS326345 NTL326345:NTO326345 ODH326345:ODK326345 OND326345:ONG326345 OWZ326345:OXC326345 PGV326345:PGY326345 PQR326345:PQU326345 QAN326345:QAQ326345 QKJ326345:QKM326345 QUF326345:QUI326345 REB326345:REE326345 RNX326345:ROA326345 RXT326345:RXW326345 SHP326345:SHS326345 SRL326345:SRO326345 TBH326345:TBK326345 TLD326345:TLG326345 TUZ326345:TVC326345 UEV326345:UEY326345 UOR326345:UOU326345 UYN326345:UYQ326345 VIJ326345:VIM326345 VSF326345:VSI326345 WCB326345:WCE326345 WLX326345:WMA326345 WVT326345:WVW326345 K391881:N391881 JH391881:JK391881 TD391881:TG391881 ACZ391881:ADC391881 AMV391881:AMY391881 AWR391881:AWU391881 BGN391881:BGQ391881 BQJ391881:BQM391881 CAF391881:CAI391881 CKB391881:CKE391881 CTX391881:CUA391881 DDT391881:DDW391881 DNP391881:DNS391881 DXL391881:DXO391881 EHH391881:EHK391881 ERD391881:ERG391881 FAZ391881:FBC391881 FKV391881:FKY391881 FUR391881:FUU391881 GEN391881:GEQ391881 GOJ391881:GOM391881 GYF391881:GYI391881 HIB391881:HIE391881 HRX391881:HSA391881 IBT391881:IBW391881 ILP391881:ILS391881 IVL391881:IVO391881 JFH391881:JFK391881 JPD391881:JPG391881 JYZ391881:JZC391881 KIV391881:KIY391881 KSR391881:KSU391881 LCN391881:LCQ391881 LMJ391881:LMM391881 LWF391881:LWI391881 MGB391881:MGE391881 MPX391881:MQA391881 MZT391881:MZW391881 NJP391881:NJS391881 NTL391881:NTO391881 ODH391881:ODK391881 OND391881:ONG391881 OWZ391881:OXC391881 PGV391881:PGY391881 PQR391881:PQU391881 QAN391881:QAQ391881 QKJ391881:QKM391881 QUF391881:QUI391881 REB391881:REE391881 RNX391881:ROA391881 RXT391881:RXW391881 SHP391881:SHS391881 SRL391881:SRO391881 TBH391881:TBK391881 TLD391881:TLG391881 TUZ391881:TVC391881 UEV391881:UEY391881 UOR391881:UOU391881 UYN391881:UYQ391881 VIJ391881:VIM391881 VSF391881:VSI391881 WCB391881:WCE391881 WLX391881:WMA391881 WVT391881:WVW391881 K457417:N457417 JH457417:JK457417 TD457417:TG457417 ACZ457417:ADC457417 AMV457417:AMY457417 AWR457417:AWU457417 BGN457417:BGQ457417 BQJ457417:BQM457417 CAF457417:CAI457417 CKB457417:CKE457417 CTX457417:CUA457417 DDT457417:DDW457417 DNP457417:DNS457417 DXL457417:DXO457417 EHH457417:EHK457417 ERD457417:ERG457417 FAZ457417:FBC457417 FKV457417:FKY457417 FUR457417:FUU457417 GEN457417:GEQ457417 GOJ457417:GOM457417 GYF457417:GYI457417 HIB457417:HIE457417 HRX457417:HSA457417 IBT457417:IBW457417 ILP457417:ILS457417 IVL457417:IVO457417 JFH457417:JFK457417 JPD457417:JPG457417 JYZ457417:JZC457417 KIV457417:KIY457417 KSR457417:KSU457417 LCN457417:LCQ457417 LMJ457417:LMM457417 LWF457417:LWI457417 MGB457417:MGE457417 MPX457417:MQA457417 MZT457417:MZW457417 NJP457417:NJS457417 NTL457417:NTO457417 ODH457417:ODK457417 OND457417:ONG457417 OWZ457417:OXC457417 PGV457417:PGY457417 PQR457417:PQU457417 QAN457417:QAQ457417 QKJ457417:QKM457417 QUF457417:QUI457417 REB457417:REE457417 RNX457417:ROA457417 RXT457417:RXW457417 SHP457417:SHS457417 SRL457417:SRO457417 TBH457417:TBK457417 TLD457417:TLG457417 TUZ457417:TVC457417 UEV457417:UEY457417 UOR457417:UOU457417 UYN457417:UYQ457417 VIJ457417:VIM457417 VSF457417:VSI457417 WCB457417:WCE457417 WLX457417:WMA457417 WVT457417:WVW457417 K522953:N522953 JH522953:JK522953 TD522953:TG522953 ACZ522953:ADC522953 AMV522953:AMY522953 AWR522953:AWU522953 BGN522953:BGQ522953 BQJ522953:BQM522953 CAF522953:CAI522953 CKB522953:CKE522953 CTX522953:CUA522953 DDT522953:DDW522953 DNP522953:DNS522953 DXL522953:DXO522953 EHH522953:EHK522953 ERD522953:ERG522953 FAZ522953:FBC522953 FKV522953:FKY522953 FUR522953:FUU522953 GEN522953:GEQ522953 GOJ522953:GOM522953 GYF522953:GYI522953 HIB522953:HIE522953 HRX522953:HSA522953 IBT522953:IBW522953 ILP522953:ILS522953 IVL522953:IVO522953 JFH522953:JFK522953 JPD522953:JPG522953 JYZ522953:JZC522953 KIV522953:KIY522953 KSR522953:KSU522953 LCN522953:LCQ522953 LMJ522953:LMM522953 LWF522953:LWI522953 MGB522953:MGE522953 MPX522953:MQA522953 MZT522953:MZW522953 NJP522953:NJS522953 NTL522953:NTO522953 ODH522953:ODK522953 OND522953:ONG522953 OWZ522953:OXC522953 PGV522953:PGY522953 PQR522953:PQU522953 QAN522953:QAQ522953 QKJ522953:QKM522953 QUF522953:QUI522953 REB522953:REE522953 RNX522953:ROA522953 RXT522953:RXW522953 SHP522953:SHS522953 SRL522953:SRO522953 TBH522953:TBK522953 TLD522953:TLG522953 TUZ522953:TVC522953 UEV522953:UEY522953 UOR522953:UOU522953 UYN522953:UYQ522953 VIJ522953:VIM522953 VSF522953:VSI522953 WCB522953:WCE522953 WLX522953:WMA522953 WVT522953:WVW522953 K588489:N588489 JH588489:JK588489 TD588489:TG588489 ACZ588489:ADC588489 AMV588489:AMY588489 AWR588489:AWU588489 BGN588489:BGQ588489 BQJ588489:BQM588489 CAF588489:CAI588489 CKB588489:CKE588489 CTX588489:CUA588489 DDT588489:DDW588489 DNP588489:DNS588489 DXL588489:DXO588489 EHH588489:EHK588489 ERD588489:ERG588489 FAZ588489:FBC588489 FKV588489:FKY588489 FUR588489:FUU588489 GEN588489:GEQ588489 GOJ588489:GOM588489 GYF588489:GYI588489 HIB588489:HIE588489 HRX588489:HSA588489 IBT588489:IBW588489 ILP588489:ILS588489 IVL588489:IVO588489 JFH588489:JFK588489 JPD588489:JPG588489 JYZ588489:JZC588489 KIV588489:KIY588489 KSR588489:KSU588489 LCN588489:LCQ588489 LMJ588489:LMM588489 LWF588489:LWI588489 MGB588489:MGE588489 MPX588489:MQA588489 MZT588489:MZW588489 NJP588489:NJS588489 NTL588489:NTO588489 ODH588489:ODK588489 OND588489:ONG588489 OWZ588489:OXC588489 PGV588489:PGY588489 PQR588489:PQU588489 QAN588489:QAQ588489 QKJ588489:QKM588489 QUF588489:QUI588489 REB588489:REE588489 RNX588489:ROA588489 RXT588489:RXW588489 SHP588489:SHS588489 SRL588489:SRO588489 TBH588489:TBK588489 TLD588489:TLG588489 TUZ588489:TVC588489 UEV588489:UEY588489 UOR588489:UOU588489 UYN588489:UYQ588489 VIJ588489:VIM588489 VSF588489:VSI588489 WCB588489:WCE588489 WLX588489:WMA588489 WVT588489:WVW588489 K654025:N654025 JH654025:JK654025 TD654025:TG654025 ACZ654025:ADC654025 AMV654025:AMY654025 AWR654025:AWU654025 BGN654025:BGQ654025 BQJ654025:BQM654025 CAF654025:CAI654025 CKB654025:CKE654025 CTX654025:CUA654025 DDT654025:DDW654025 DNP654025:DNS654025 DXL654025:DXO654025 EHH654025:EHK654025 ERD654025:ERG654025 FAZ654025:FBC654025 FKV654025:FKY654025 FUR654025:FUU654025 GEN654025:GEQ654025 GOJ654025:GOM654025 GYF654025:GYI654025 HIB654025:HIE654025 HRX654025:HSA654025 IBT654025:IBW654025 ILP654025:ILS654025 IVL654025:IVO654025 JFH654025:JFK654025 JPD654025:JPG654025 JYZ654025:JZC654025 KIV654025:KIY654025 KSR654025:KSU654025 LCN654025:LCQ654025 LMJ654025:LMM654025 LWF654025:LWI654025 MGB654025:MGE654025 MPX654025:MQA654025 MZT654025:MZW654025 NJP654025:NJS654025 NTL654025:NTO654025 ODH654025:ODK654025 OND654025:ONG654025 OWZ654025:OXC654025 PGV654025:PGY654025 PQR654025:PQU654025 QAN654025:QAQ654025 QKJ654025:QKM654025 QUF654025:QUI654025 REB654025:REE654025 RNX654025:ROA654025 RXT654025:RXW654025 SHP654025:SHS654025 SRL654025:SRO654025 TBH654025:TBK654025 TLD654025:TLG654025 TUZ654025:TVC654025 UEV654025:UEY654025 UOR654025:UOU654025 UYN654025:UYQ654025 VIJ654025:VIM654025 VSF654025:VSI654025 WCB654025:WCE654025 WLX654025:WMA654025 WVT654025:WVW654025 K719561:N719561 JH719561:JK719561 TD719561:TG719561 ACZ719561:ADC719561 AMV719561:AMY719561 AWR719561:AWU719561 BGN719561:BGQ719561 BQJ719561:BQM719561 CAF719561:CAI719561 CKB719561:CKE719561 CTX719561:CUA719561 DDT719561:DDW719561 DNP719561:DNS719561 DXL719561:DXO719561 EHH719561:EHK719561 ERD719561:ERG719561 FAZ719561:FBC719561 FKV719561:FKY719561 FUR719561:FUU719561 GEN719561:GEQ719561 GOJ719561:GOM719561 GYF719561:GYI719561 HIB719561:HIE719561 HRX719561:HSA719561 IBT719561:IBW719561 ILP719561:ILS719561 IVL719561:IVO719561 JFH719561:JFK719561 JPD719561:JPG719561 JYZ719561:JZC719561 KIV719561:KIY719561 KSR719561:KSU719561 LCN719561:LCQ719561 LMJ719561:LMM719561 LWF719561:LWI719561 MGB719561:MGE719561 MPX719561:MQA719561 MZT719561:MZW719561 NJP719561:NJS719561 NTL719561:NTO719561 ODH719561:ODK719561 OND719561:ONG719561 OWZ719561:OXC719561 PGV719561:PGY719561 PQR719561:PQU719561 QAN719561:QAQ719561 QKJ719561:QKM719561 QUF719561:QUI719561 REB719561:REE719561 RNX719561:ROA719561 RXT719561:RXW719561 SHP719561:SHS719561 SRL719561:SRO719561 TBH719561:TBK719561 TLD719561:TLG719561 TUZ719561:TVC719561 UEV719561:UEY719561 UOR719561:UOU719561 UYN719561:UYQ719561 VIJ719561:VIM719561 VSF719561:VSI719561 WCB719561:WCE719561 WLX719561:WMA719561 WVT719561:WVW719561 K785097:N785097 JH785097:JK785097 TD785097:TG785097 ACZ785097:ADC785097 AMV785097:AMY785097 AWR785097:AWU785097 BGN785097:BGQ785097 BQJ785097:BQM785097 CAF785097:CAI785097 CKB785097:CKE785097 CTX785097:CUA785097 DDT785097:DDW785097 DNP785097:DNS785097 DXL785097:DXO785097 EHH785097:EHK785097 ERD785097:ERG785097 FAZ785097:FBC785097 FKV785097:FKY785097 FUR785097:FUU785097 GEN785097:GEQ785097 GOJ785097:GOM785097 GYF785097:GYI785097 HIB785097:HIE785097 HRX785097:HSA785097 IBT785097:IBW785097 ILP785097:ILS785097 IVL785097:IVO785097 JFH785097:JFK785097 JPD785097:JPG785097 JYZ785097:JZC785097 KIV785097:KIY785097 KSR785097:KSU785097 LCN785097:LCQ785097 LMJ785097:LMM785097 LWF785097:LWI785097 MGB785097:MGE785097 MPX785097:MQA785097 MZT785097:MZW785097 NJP785097:NJS785097 NTL785097:NTO785097 ODH785097:ODK785097 OND785097:ONG785097 OWZ785097:OXC785097 PGV785097:PGY785097 PQR785097:PQU785097 QAN785097:QAQ785097 QKJ785097:QKM785097 QUF785097:QUI785097 REB785097:REE785097 RNX785097:ROA785097 RXT785097:RXW785097 SHP785097:SHS785097 SRL785097:SRO785097 TBH785097:TBK785097 TLD785097:TLG785097 TUZ785097:TVC785097 UEV785097:UEY785097 UOR785097:UOU785097 UYN785097:UYQ785097 VIJ785097:VIM785097 VSF785097:VSI785097 WCB785097:WCE785097 WLX785097:WMA785097 WVT785097:WVW785097 K850633:N850633 JH850633:JK850633 TD850633:TG850633 ACZ850633:ADC850633 AMV850633:AMY850633 AWR850633:AWU850633 BGN850633:BGQ850633 BQJ850633:BQM850633 CAF850633:CAI850633 CKB850633:CKE850633 CTX850633:CUA850633 DDT850633:DDW850633 DNP850633:DNS850633 DXL850633:DXO850633 EHH850633:EHK850633 ERD850633:ERG850633 FAZ850633:FBC850633 FKV850633:FKY850633 FUR850633:FUU850633 GEN850633:GEQ850633 GOJ850633:GOM850633 GYF850633:GYI850633 HIB850633:HIE850633 HRX850633:HSA850633 IBT850633:IBW850633 ILP850633:ILS850633 IVL850633:IVO850633 JFH850633:JFK850633 JPD850633:JPG850633 JYZ850633:JZC850633 KIV850633:KIY850633 KSR850633:KSU850633 LCN850633:LCQ850633 LMJ850633:LMM850633 LWF850633:LWI850633 MGB850633:MGE850633 MPX850633:MQA850633 MZT850633:MZW850633 NJP850633:NJS850633 NTL850633:NTO850633 ODH850633:ODK850633 OND850633:ONG850633 OWZ850633:OXC850633 PGV850633:PGY850633 PQR850633:PQU850633 QAN850633:QAQ850633 QKJ850633:QKM850633 QUF850633:QUI850633 REB850633:REE850633 RNX850633:ROA850633 RXT850633:RXW850633 SHP850633:SHS850633 SRL850633:SRO850633 TBH850633:TBK850633 TLD850633:TLG850633 TUZ850633:TVC850633 UEV850633:UEY850633 UOR850633:UOU850633 UYN850633:UYQ850633 VIJ850633:VIM850633 VSF850633:VSI850633 WCB850633:WCE850633 WLX850633:WMA850633 WVT850633:WVW850633 K916169:N916169 JH916169:JK916169 TD916169:TG916169 ACZ916169:ADC916169 AMV916169:AMY916169 AWR916169:AWU916169 BGN916169:BGQ916169 BQJ916169:BQM916169 CAF916169:CAI916169 CKB916169:CKE916169 CTX916169:CUA916169 DDT916169:DDW916169 DNP916169:DNS916169 DXL916169:DXO916169 EHH916169:EHK916169 ERD916169:ERG916169 FAZ916169:FBC916169 FKV916169:FKY916169 FUR916169:FUU916169 GEN916169:GEQ916169 GOJ916169:GOM916169 GYF916169:GYI916169 HIB916169:HIE916169 HRX916169:HSA916169 IBT916169:IBW916169 ILP916169:ILS916169 IVL916169:IVO916169 JFH916169:JFK916169 JPD916169:JPG916169 JYZ916169:JZC916169 KIV916169:KIY916169 KSR916169:KSU916169 LCN916169:LCQ916169 LMJ916169:LMM916169 LWF916169:LWI916169 MGB916169:MGE916169 MPX916169:MQA916169 MZT916169:MZW916169 NJP916169:NJS916169 NTL916169:NTO916169 ODH916169:ODK916169 OND916169:ONG916169 OWZ916169:OXC916169 PGV916169:PGY916169 PQR916169:PQU916169 QAN916169:QAQ916169 QKJ916169:QKM916169 QUF916169:QUI916169 REB916169:REE916169 RNX916169:ROA916169 RXT916169:RXW916169 SHP916169:SHS916169 SRL916169:SRO916169 TBH916169:TBK916169 TLD916169:TLG916169 TUZ916169:TVC916169 UEV916169:UEY916169 UOR916169:UOU916169 UYN916169:UYQ916169 VIJ916169:VIM916169 VSF916169:VSI916169 WCB916169:WCE916169 WLX916169:WMA916169 WVT916169:WVW916169 K981705:N981705 JH981705:JK981705 TD981705:TG981705 ACZ981705:ADC981705 AMV981705:AMY981705 AWR981705:AWU981705 BGN981705:BGQ981705 BQJ981705:BQM981705 CAF981705:CAI981705 CKB981705:CKE981705 CTX981705:CUA981705 DDT981705:DDW981705 DNP981705:DNS981705 DXL981705:DXO981705 EHH981705:EHK981705 ERD981705:ERG981705 FAZ981705:FBC981705 FKV981705:FKY981705 FUR981705:FUU981705 GEN981705:GEQ981705 GOJ981705:GOM981705 GYF981705:GYI981705 HIB981705:HIE981705 HRX981705:HSA981705 IBT981705:IBW981705 ILP981705:ILS981705 IVL981705:IVO981705 JFH981705:JFK981705 JPD981705:JPG981705 JYZ981705:JZC981705 KIV981705:KIY981705 KSR981705:KSU981705 LCN981705:LCQ981705 LMJ981705:LMM981705 LWF981705:LWI981705 MGB981705:MGE981705 MPX981705:MQA981705 MZT981705:MZW981705 NJP981705:NJS981705 NTL981705:NTO981705 ODH981705:ODK981705 OND981705:ONG981705 OWZ981705:OXC981705 PGV981705:PGY981705 PQR981705:PQU981705 QAN981705:QAQ981705 QKJ981705:QKM981705 QUF981705:QUI981705 REB981705:REE981705 RNX981705:ROA981705 RXT981705:RXW981705 SHP981705:SHS981705 SRL981705:SRO981705 TBH981705:TBK981705 TLD981705:TLG981705 TUZ981705:TVC981705 UEV981705:UEY981705 UOR981705:UOU981705 UYN981705:UYQ981705 VIJ981705:VIM981705 VSF981705:VSI981705 WCB981705:WCE981705 WLX981705:WMA981705 WVT981705:WVW981705 N104:Q104 JK104:JN104 TG104:TJ104 ADC104:ADF104 AMY104:ANB104 AWU104:AWX104 BGQ104:BGT104 BQM104:BQP104 CAI104:CAL104 CKE104:CKH104 CUA104:CUD104 DDW104:DDZ104 DNS104:DNV104 DXO104:DXR104 EHK104:EHN104 ERG104:ERJ104 FBC104:FBF104 FKY104:FLB104 FUU104:FUX104 GEQ104:GET104 GOM104:GOP104 GYI104:GYL104 HIE104:HIH104 HSA104:HSD104 IBW104:IBZ104 ILS104:ILV104 IVO104:IVR104 JFK104:JFN104 JPG104:JPJ104 JZC104:JZF104 KIY104:KJB104 KSU104:KSX104 LCQ104:LCT104 LMM104:LMP104 LWI104:LWL104 MGE104:MGH104 MQA104:MQD104 MZW104:MZZ104 NJS104:NJV104 NTO104:NTR104 ODK104:ODN104 ONG104:ONJ104 OXC104:OXF104 PGY104:PHB104 PQU104:PQX104 QAQ104:QAT104 QKM104:QKP104 QUI104:QUL104 REE104:REH104 ROA104:ROD104 RXW104:RXZ104 SHS104:SHV104 SRO104:SRR104 TBK104:TBN104 TLG104:TLJ104 TVC104:TVF104 UEY104:UFB104 UOU104:UOX104 UYQ104:UYT104 VIM104:VIP104 VSI104:VSL104 WCE104:WCH104 WMA104:WMD104 WVW104:WVZ104 N64187:Q64187 JK64187:JN64187 TG64187:TJ64187 ADC64187:ADF64187 AMY64187:ANB64187 AWU64187:AWX64187 BGQ64187:BGT64187 BQM64187:BQP64187 CAI64187:CAL64187 CKE64187:CKH64187 CUA64187:CUD64187 DDW64187:DDZ64187 DNS64187:DNV64187 DXO64187:DXR64187 EHK64187:EHN64187 ERG64187:ERJ64187 FBC64187:FBF64187 FKY64187:FLB64187 FUU64187:FUX64187 GEQ64187:GET64187 GOM64187:GOP64187 GYI64187:GYL64187 HIE64187:HIH64187 HSA64187:HSD64187 IBW64187:IBZ64187 ILS64187:ILV64187 IVO64187:IVR64187 JFK64187:JFN64187 JPG64187:JPJ64187 JZC64187:JZF64187 KIY64187:KJB64187 KSU64187:KSX64187 LCQ64187:LCT64187 LMM64187:LMP64187 LWI64187:LWL64187 MGE64187:MGH64187 MQA64187:MQD64187 MZW64187:MZZ64187 NJS64187:NJV64187 NTO64187:NTR64187 ODK64187:ODN64187 ONG64187:ONJ64187 OXC64187:OXF64187 PGY64187:PHB64187 PQU64187:PQX64187 QAQ64187:QAT64187 QKM64187:QKP64187 QUI64187:QUL64187 REE64187:REH64187 ROA64187:ROD64187 RXW64187:RXZ64187 SHS64187:SHV64187 SRO64187:SRR64187 TBK64187:TBN64187 TLG64187:TLJ64187 TVC64187:TVF64187 UEY64187:UFB64187 UOU64187:UOX64187 UYQ64187:UYT64187 VIM64187:VIP64187 VSI64187:VSL64187 WCE64187:WCH64187 WMA64187:WMD64187 WVW64187:WVZ64187 N129723:Q129723 JK129723:JN129723 TG129723:TJ129723 ADC129723:ADF129723 AMY129723:ANB129723 AWU129723:AWX129723 BGQ129723:BGT129723 BQM129723:BQP129723 CAI129723:CAL129723 CKE129723:CKH129723 CUA129723:CUD129723 DDW129723:DDZ129723 DNS129723:DNV129723 DXO129723:DXR129723 EHK129723:EHN129723 ERG129723:ERJ129723 FBC129723:FBF129723 FKY129723:FLB129723 FUU129723:FUX129723 GEQ129723:GET129723 GOM129723:GOP129723 GYI129723:GYL129723 HIE129723:HIH129723 HSA129723:HSD129723 IBW129723:IBZ129723 ILS129723:ILV129723 IVO129723:IVR129723 JFK129723:JFN129723 JPG129723:JPJ129723 JZC129723:JZF129723 KIY129723:KJB129723 KSU129723:KSX129723 LCQ129723:LCT129723 LMM129723:LMP129723 LWI129723:LWL129723 MGE129723:MGH129723 MQA129723:MQD129723 MZW129723:MZZ129723 NJS129723:NJV129723 NTO129723:NTR129723 ODK129723:ODN129723 ONG129723:ONJ129723 OXC129723:OXF129723 PGY129723:PHB129723 PQU129723:PQX129723 QAQ129723:QAT129723 QKM129723:QKP129723 QUI129723:QUL129723 REE129723:REH129723 ROA129723:ROD129723 RXW129723:RXZ129723 SHS129723:SHV129723 SRO129723:SRR129723 TBK129723:TBN129723 TLG129723:TLJ129723 TVC129723:TVF129723 UEY129723:UFB129723 UOU129723:UOX129723 UYQ129723:UYT129723 VIM129723:VIP129723 VSI129723:VSL129723 WCE129723:WCH129723 WMA129723:WMD129723 WVW129723:WVZ129723 N195259:Q195259 JK195259:JN195259 TG195259:TJ195259 ADC195259:ADF195259 AMY195259:ANB195259 AWU195259:AWX195259 BGQ195259:BGT195259 BQM195259:BQP195259 CAI195259:CAL195259 CKE195259:CKH195259 CUA195259:CUD195259 DDW195259:DDZ195259 DNS195259:DNV195259 DXO195259:DXR195259 EHK195259:EHN195259 ERG195259:ERJ195259 FBC195259:FBF195259 FKY195259:FLB195259 FUU195259:FUX195259 GEQ195259:GET195259 GOM195259:GOP195259 GYI195259:GYL195259 HIE195259:HIH195259 HSA195259:HSD195259 IBW195259:IBZ195259 ILS195259:ILV195259 IVO195259:IVR195259 JFK195259:JFN195259 JPG195259:JPJ195259 JZC195259:JZF195259 KIY195259:KJB195259 KSU195259:KSX195259 LCQ195259:LCT195259 LMM195259:LMP195259 LWI195259:LWL195259 MGE195259:MGH195259 MQA195259:MQD195259 MZW195259:MZZ195259 NJS195259:NJV195259 NTO195259:NTR195259 ODK195259:ODN195259 ONG195259:ONJ195259 OXC195259:OXF195259 PGY195259:PHB195259 PQU195259:PQX195259 QAQ195259:QAT195259 QKM195259:QKP195259 QUI195259:QUL195259 REE195259:REH195259 ROA195259:ROD195259 RXW195259:RXZ195259 SHS195259:SHV195259 SRO195259:SRR195259 TBK195259:TBN195259 TLG195259:TLJ195259 TVC195259:TVF195259 UEY195259:UFB195259 UOU195259:UOX195259 UYQ195259:UYT195259 VIM195259:VIP195259 VSI195259:VSL195259 WCE195259:WCH195259 WMA195259:WMD195259 WVW195259:WVZ195259 N260795:Q260795 JK260795:JN260795 TG260795:TJ260795 ADC260795:ADF260795 AMY260795:ANB260795 AWU260795:AWX260795 BGQ260795:BGT260795 BQM260795:BQP260795 CAI260795:CAL260795 CKE260795:CKH260795 CUA260795:CUD260795 DDW260795:DDZ260795 DNS260795:DNV260795 DXO260795:DXR260795 EHK260795:EHN260795 ERG260795:ERJ260795 FBC260795:FBF260795 FKY260795:FLB260795 FUU260795:FUX260795 GEQ260795:GET260795 GOM260795:GOP260795 GYI260795:GYL260795 HIE260795:HIH260795 HSA260795:HSD260795 IBW260795:IBZ260795 ILS260795:ILV260795 IVO260795:IVR260795 JFK260795:JFN260795 JPG260795:JPJ260795 JZC260795:JZF260795 KIY260795:KJB260795 KSU260795:KSX260795 LCQ260795:LCT260795 LMM260795:LMP260795 LWI260795:LWL260795 MGE260795:MGH260795 MQA260795:MQD260795 MZW260795:MZZ260795 NJS260795:NJV260795 NTO260795:NTR260795 ODK260795:ODN260795 ONG260795:ONJ260795 OXC260795:OXF260795 PGY260795:PHB260795 PQU260795:PQX260795 QAQ260795:QAT260795 QKM260795:QKP260795 QUI260795:QUL260795 REE260795:REH260795 ROA260795:ROD260795 RXW260795:RXZ260795 SHS260795:SHV260795 SRO260795:SRR260795 TBK260795:TBN260795 TLG260795:TLJ260795 TVC260795:TVF260795 UEY260795:UFB260795 UOU260795:UOX260795 UYQ260795:UYT260795 VIM260795:VIP260795 VSI260795:VSL260795 WCE260795:WCH260795 WMA260795:WMD260795 WVW260795:WVZ260795 N326331:Q326331 JK326331:JN326331 TG326331:TJ326331 ADC326331:ADF326331 AMY326331:ANB326331 AWU326331:AWX326331 BGQ326331:BGT326331 BQM326331:BQP326331 CAI326331:CAL326331 CKE326331:CKH326331 CUA326331:CUD326331 DDW326331:DDZ326331 DNS326331:DNV326331 DXO326331:DXR326331 EHK326331:EHN326331 ERG326331:ERJ326331 FBC326331:FBF326331 FKY326331:FLB326331 FUU326331:FUX326331 GEQ326331:GET326331 GOM326331:GOP326331 GYI326331:GYL326331 HIE326331:HIH326331 HSA326331:HSD326331 IBW326331:IBZ326331 ILS326331:ILV326331 IVO326331:IVR326331 JFK326331:JFN326331 JPG326331:JPJ326331 JZC326331:JZF326331 KIY326331:KJB326331 KSU326331:KSX326331 LCQ326331:LCT326331 LMM326331:LMP326331 LWI326331:LWL326331 MGE326331:MGH326331 MQA326331:MQD326331 MZW326331:MZZ326331 NJS326331:NJV326331 NTO326331:NTR326331 ODK326331:ODN326331 ONG326331:ONJ326331 OXC326331:OXF326331 PGY326331:PHB326331 PQU326331:PQX326331 QAQ326331:QAT326331 QKM326331:QKP326331 QUI326331:QUL326331 REE326331:REH326331 ROA326331:ROD326331 RXW326331:RXZ326331 SHS326331:SHV326331 SRO326331:SRR326331 TBK326331:TBN326331 TLG326331:TLJ326331 TVC326331:TVF326331 UEY326331:UFB326331 UOU326331:UOX326331 UYQ326331:UYT326331 VIM326331:VIP326331 VSI326331:VSL326331 WCE326331:WCH326331 WMA326331:WMD326331 WVW326331:WVZ326331 N391867:Q391867 JK391867:JN391867 TG391867:TJ391867 ADC391867:ADF391867 AMY391867:ANB391867 AWU391867:AWX391867 BGQ391867:BGT391867 BQM391867:BQP391867 CAI391867:CAL391867 CKE391867:CKH391867 CUA391867:CUD391867 DDW391867:DDZ391867 DNS391867:DNV391867 DXO391867:DXR391867 EHK391867:EHN391867 ERG391867:ERJ391867 FBC391867:FBF391867 FKY391867:FLB391867 FUU391867:FUX391867 GEQ391867:GET391867 GOM391867:GOP391867 GYI391867:GYL391867 HIE391867:HIH391867 HSA391867:HSD391867 IBW391867:IBZ391867 ILS391867:ILV391867 IVO391867:IVR391867 JFK391867:JFN391867 JPG391867:JPJ391867 JZC391867:JZF391867 KIY391867:KJB391867 KSU391867:KSX391867 LCQ391867:LCT391867 LMM391867:LMP391867 LWI391867:LWL391867 MGE391867:MGH391867 MQA391867:MQD391867 MZW391867:MZZ391867 NJS391867:NJV391867 NTO391867:NTR391867 ODK391867:ODN391867 ONG391867:ONJ391867 OXC391867:OXF391867 PGY391867:PHB391867 PQU391867:PQX391867 QAQ391867:QAT391867 QKM391867:QKP391867 QUI391867:QUL391867 REE391867:REH391867 ROA391867:ROD391867 RXW391867:RXZ391867 SHS391867:SHV391867 SRO391867:SRR391867 TBK391867:TBN391867 TLG391867:TLJ391867 TVC391867:TVF391867 UEY391867:UFB391867 UOU391867:UOX391867 UYQ391867:UYT391867 VIM391867:VIP391867 VSI391867:VSL391867 WCE391867:WCH391867 WMA391867:WMD391867 WVW391867:WVZ391867 N457403:Q457403 JK457403:JN457403 TG457403:TJ457403 ADC457403:ADF457403 AMY457403:ANB457403 AWU457403:AWX457403 BGQ457403:BGT457403 BQM457403:BQP457403 CAI457403:CAL457403 CKE457403:CKH457403 CUA457403:CUD457403 DDW457403:DDZ457403 DNS457403:DNV457403 DXO457403:DXR457403 EHK457403:EHN457403 ERG457403:ERJ457403 FBC457403:FBF457403 FKY457403:FLB457403 FUU457403:FUX457403 GEQ457403:GET457403 GOM457403:GOP457403 GYI457403:GYL457403 HIE457403:HIH457403 HSA457403:HSD457403 IBW457403:IBZ457403 ILS457403:ILV457403 IVO457403:IVR457403 JFK457403:JFN457403 JPG457403:JPJ457403 JZC457403:JZF457403 KIY457403:KJB457403 KSU457403:KSX457403 LCQ457403:LCT457403 LMM457403:LMP457403 LWI457403:LWL457403 MGE457403:MGH457403 MQA457403:MQD457403 MZW457403:MZZ457403 NJS457403:NJV457403 NTO457403:NTR457403 ODK457403:ODN457403 ONG457403:ONJ457403 OXC457403:OXF457403 PGY457403:PHB457403 PQU457403:PQX457403 QAQ457403:QAT457403 QKM457403:QKP457403 QUI457403:QUL457403 REE457403:REH457403 ROA457403:ROD457403 RXW457403:RXZ457403 SHS457403:SHV457403 SRO457403:SRR457403 TBK457403:TBN457403 TLG457403:TLJ457403 TVC457403:TVF457403 UEY457403:UFB457403 UOU457403:UOX457403 UYQ457403:UYT457403 VIM457403:VIP457403 VSI457403:VSL457403 WCE457403:WCH457403 WMA457403:WMD457403 WVW457403:WVZ457403 N522939:Q522939 JK522939:JN522939 TG522939:TJ522939 ADC522939:ADF522939 AMY522939:ANB522939 AWU522939:AWX522939 BGQ522939:BGT522939 BQM522939:BQP522939 CAI522939:CAL522939 CKE522939:CKH522939 CUA522939:CUD522939 DDW522939:DDZ522939 DNS522939:DNV522939 DXO522939:DXR522939 EHK522939:EHN522939 ERG522939:ERJ522939 FBC522939:FBF522939 FKY522939:FLB522939 FUU522939:FUX522939 GEQ522939:GET522939 GOM522939:GOP522939 GYI522939:GYL522939 HIE522939:HIH522939 HSA522939:HSD522939 IBW522939:IBZ522939 ILS522939:ILV522939 IVO522939:IVR522939 JFK522939:JFN522939 JPG522939:JPJ522939 JZC522939:JZF522939 KIY522939:KJB522939 KSU522939:KSX522939 LCQ522939:LCT522939 LMM522939:LMP522939 LWI522939:LWL522939 MGE522939:MGH522939 MQA522939:MQD522939 MZW522939:MZZ522939 NJS522939:NJV522939 NTO522939:NTR522939 ODK522939:ODN522939 ONG522939:ONJ522939 OXC522939:OXF522939 PGY522939:PHB522939 PQU522939:PQX522939 QAQ522939:QAT522939 QKM522939:QKP522939 QUI522939:QUL522939 REE522939:REH522939 ROA522939:ROD522939 RXW522939:RXZ522939 SHS522939:SHV522939 SRO522939:SRR522939 TBK522939:TBN522939 TLG522939:TLJ522939 TVC522939:TVF522939 UEY522939:UFB522939 UOU522939:UOX522939 UYQ522939:UYT522939 VIM522939:VIP522939 VSI522939:VSL522939 WCE522939:WCH522939 WMA522939:WMD522939 WVW522939:WVZ522939 N588475:Q588475 JK588475:JN588475 TG588475:TJ588475 ADC588475:ADF588475 AMY588475:ANB588475 AWU588475:AWX588475 BGQ588475:BGT588475 BQM588475:BQP588475 CAI588475:CAL588475 CKE588475:CKH588475 CUA588475:CUD588475 DDW588475:DDZ588475 DNS588475:DNV588475 DXO588475:DXR588475 EHK588475:EHN588475 ERG588475:ERJ588475 FBC588475:FBF588475 FKY588475:FLB588475 FUU588475:FUX588475 GEQ588475:GET588475 GOM588475:GOP588475 GYI588475:GYL588475 HIE588475:HIH588475 HSA588475:HSD588475 IBW588475:IBZ588475 ILS588475:ILV588475 IVO588475:IVR588475 JFK588475:JFN588475 JPG588475:JPJ588475 JZC588475:JZF588475 KIY588475:KJB588475 KSU588475:KSX588475 LCQ588475:LCT588475 LMM588475:LMP588475 LWI588475:LWL588475 MGE588475:MGH588475 MQA588475:MQD588475 MZW588475:MZZ588475 NJS588475:NJV588475 NTO588475:NTR588475 ODK588475:ODN588475 ONG588475:ONJ588475 OXC588475:OXF588475 PGY588475:PHB588475 PQU588475:PQX588475 QAQ588475:QAT588475 QKM588475:QKP588475 QUI588475:QUL588475 REE588475:REH588475 ROA588475:ROD588475 RXW588475:RXZ588475 SHS588475:SHV588475 SRO588475:SRR588475 TBK588475:TBN588475 TLG588475:TLJ588475 TVC588475:TVF588475 UEY588475:UFB588475 UOU588475:UOX588475 UYQ588475:UYT588475 VIM588475:VIP588475 VSI588475:VSL588475 WCE588475:WCH588475 WMA588475:WMD588475 WVW588475:WVZ588475 N654011:Q654011 JK654011:JN654011 TG654011:TJ654011 ADC654011:ADF654011 AMY654011:ANB654011 AWU654011:AWX654011 BGQ654011:BGT654011 BQM654011:BQP654011 CAI654011:CAL654011 CKE654011:CKH654011 CUA654011:CUD654011 DDW654011:DDZ654011 DNS654011:DNV654011 DXO654011:DXR654011 EHK654011:EHN654011 ERG654011:ERJ654011 FBC654011:FBF654011 FKY654011:FLB654011 FUU654011:FUX654011 GEQ654011:GET654011 GOM654011:GOP654011 GYI654011:GYL654011 HIE654011:HIH654011 HSA654011:HSD654011 IBW654011:IBZ654011 ILS654011:ILV654011 IVO654011:IVR654011 JFK654011:JFN654011 JPG654011:JPJ654011 JZC654011:JZF654011 KIY654011:KJB654011 KSU654011:KSX654011 LCQ654011:LCT654011 LMM654011:LMP654011 LWI654011:LWL654011 MGE654011:MGH654011 MQA654011:MQD654011 MZW654011:MZZ654011 NJS654011:NJV654011 NTO654011:NTR654011 ODK654011:ODN654011 ONG654011:ONJ654011 OXC654011:OXF654011 PGY654011:PHB654011 PQU654011:PQX654011 QAQ654011:QAT654011 QKM654011:QKP654011 QUI654011:QUL654011 REE654011:REH654011 ROA654011:ROD654011 RXW654011:RXZ654011 SHS654011:SHV654011 SRO654011:SRR654011 TBK654011:TBN654011 TLG654011:TLJ654011 TVC654011:TVF654011 UEY654011:UFB654011 UOU654011:UOX654011 UYQ654011:UYT654011 VIM654011:VIP654011 VSI654011:VSL654011 WCE654011:WCH654011 WMA654011:WMD654011 WVW654011:WVZ654011 N719547:Q719547 JK719547:JN719547 TG719547:TJ719547 ADC719547:ADF719547 AMY719547:ANB719547 AWU719547:AWX719547 BGQ719547:BGT719547 BQM719547:BQP719547 CAI719547:CAL719547 CKE719547:CKH719547 CUA719547:CUD719547 DDW719547:DDZ719547 DNS719547:DNV719547 DXO719547:DXR719547 EHK719547:EHN719547 ERG719547:ERJ719547 FBC719547:FBF719547 FKY719547:FLB719547 FUU719547:FUX719547 GEQ719547:GET719547 GOM719547:GOP719547 GYI719547:GYL719547 HIE719547:HIH719547 HSA719547:HSD719547 IBW719547:IBZ719547 ILS719547:ILV719547 IVO719547:IVR719547 JFK719547:JFN719547 JPG719547:JPJ719547 JZC719547:JZF719547 KIY719547:KJB719547 KSU719547:KSX719547 LCQ719547:LCT719547 LMM719547:LMP719547 LWI719547:LWL719547 MGE719547:MGH719547 MQA719547:MQD719547 MZW719547:MZZ719547 NJS719547:NJV719547 NTO719547:NTR719547 ODK719547:ODN719547 ONG719547:ONJ719547 OXC719547:OXF719547 PGY719547:PHB719547 PQU719547:PQX719547 QAQ719547:QAT719547 QKM719547:QKP719547 QUI719547:QUL719547 REE719547:REH719547 ROA719547:ROD719547 RXW719547:RXZ719547 SHS719547:SHV719547 SRO719547:SRR719547 TBK719547:TBN719547 TLG719547:TLJ719547 TVC719547:TVF719547 UEY719547:UFB719547 UOU719547:UOX719547 UYQ719547:UYT719547 VIM719547:VIP719547 VSI719547:VSL719547 WCE719547:WCH719547 WMA719547:WMD719547 WVW719547:WVZ719547 N785083:Q785083 JK785083:JN785083 TG785083:TJ785083 ADC785083:ADF785083 AMY785083:ANB785083 AWU785083:AWX785083 BGQ785083:BGT785083 BQM785083:BQP785083 CAI785083:CAL785083 CKE785083:CKH785083 CUA785083:CUD785083 DDW785083:DDZ785083 DNS785083:DNV785083 DXO785083:DXR785083 EHK785083:EHN785083 ERG785083:ERJ785083 FBC785083:FBF785083 FKY785083:FLB785083 FUU785083:FUX785083 GEQ785083:GET785083 GOM785083:GOP785083 GYI785083:GYL785083 HIE785083:HIH785083 HSA785083:HSD785083 IBW785083:IBZ785083 ILS785083:ILV785083 IVO785083:IVR785083 JFK785083:JFN785083 JPG785083:JPJ785083 JZC785083:JZF785083 KIY785083:KJB785083 KSU785083:KSX785083 LCQ785083:LCT785083 LMM785083:LMP785083 LWI785083:LWL785083 MGE785083:MGH785083 MQA785083:MQD785083 MZW785083:MZZ785083 NJS785083:NJV785083 NTO785083:NTR785083 ODK785083:ODN785083 ONG785083:ONJ785083 OXC785083:OXF785083 PGY785083:PHB785083 PQU785083:PQX785083 QAQ785083:QAT785083 QKM785083:QKP785083 QUI785083:QUL785083 REE785083:REH785083 ROA785083:ROD785083 RXW785083:RXZ785083 SHS785083:SHV785083 SRO785083:SRR785083 TBK785083:TBN785083 TLG785083:TLJ785083 TVC785083:TVF785083 UEY785083:UFB785083 UOU785083:UOX785083 UYQ785083:UYT785083 VIM785083:VIP785083 VSI785083:VSL785083 WCE785083:WCH785083 WMA785083:WMD785083 WVW785083:WVZ785083 N850619:Q850619 JK850619:JN850619 TG850619:TJ850619 ADC850619:ADF850619 AMY850619:ANB850619 AWU850619:AWX850619 BGQ850619:BGT850619 BQM850619:BQP850619 CAI850619:CAL850619 CKE850619:CKH850619 CUA850619:CUD850619 DDW850619:DDZ850619 DNS850619:DNV850619 DXO850619:DXR850619 EHK850619:EHN850619 ERG850619:ERJ850619 FBC850619:FBF850619 FKY850619:FLB850619 FUU850619:FUX850619 GEQ850619:GET850619 GOM850619:GOP850619 GYI850619:GYL850619 HIE850619:HIH850619 HSA850619:HSD850619 IBW850619:IBZ850619 ILS850619:ILV850619 IVO850619:IVR850619 JFK850619:JFN850619 JPG850619:JPJ850619 JZC850619:JZF850619 KIY850619:KJB850619 KSU850619:KSX850619 LCQ850619:LCT850619 LMM850619:LMP850619 LWI850619:LWL850619 MGE850619:MGH850619 MQA850619:MQD850619 MZW850619:MZZ850619 NJS850619:NJV850619 NTO850619:NTR850619 ODK850619:ODN850619 ONG850619:ONJ850619 OXC850619:OXF850619 PGY850619:PHB850619 PQU850619:PQX850619 QAQ850619:QAT850619 QKM850619:QKP850619 QUI850619:QUL850619 REE850619:REH850619 ROA850619:ROD850619 RXW850619:RXZ850619 SHS850619:SHV850619 SRO850619:SRR850619 TBK850619:TBN850619 TLG850619:TLJ850619 TVC850619:TVF850619 UEY850619:UFB850619 UOU850619:UOX850619 UYQ850619:UYT850619 VIM850619:VIP850619 VSI850619:VSL850619 WCE850619:WCH850619 WMA850619:WMD850619 WVW850619:WVZ850619 N916155:Q916155 JK916155:JN916155 TG916155:TJ916155 ADC916155:ADF916155 AMY916155:ANB916155 AWU916155:AWX916155 BGQ916155:BGT916155 BQM916155:BQP916155 CAI916155:CAL916155 CKE916155:CKH916155 CUA916155:CUD916155 DDW916155:DDZ916155 DNS916155:DNV916155 DXO916155:DXR916155 EHK916155:EHN916155 ERG916155:ERJ916155 FBC916155:FBF916155 FKY916155:FLB916155 FUU916155:FUX916155 GEQ916155:GET916155 GOM916155:GOP916155 GYI916155:GYL916155 HIE916155:HIH916155 HSA916155:HSD916155 IBW916155:IBZ916155 ILS916155:ILV916155 IVO916155:IVR916155 JFK916155:JFN916155 JPG916155:JPJ916155 JZC916155:JZF916155 KIY916155:KJB916155 KSU916155:KSX916155 LCQ916155:LCT916155 LMM916155:LMP916155 LWI916155:LWL916155 MGE916155:MGH916155 MQA916155:MQD916155 MZW916155:MZZ916155 NJS916155:NJV916155 NTO916155:NTR916155 ODK916155:ODN916155 ONG916155:ONJ916155 OXC916155:OXF916155 PGY916155:PHB916155 PQU916155:PQX916155 QAQ916155:QAT916155 QKM916155:QKP916155 QUI916155:QUL916155 REE916155:REH916155 ROA916155:ROD916155 RXW916155:RXZ916155 SHS916155:SHV916155 SRO916155:SRR916155 TBK916155:TBN916155 TLG916155:TLJ916155 TVC916155:TVF916155 UEY916155:UFB916155 UOU916155:UOX916155 UYQ916155:UYT916155 VIM916155:VIP916155 VSI916155:VSL916155 WCE916155:WCH916155 WMA916155:WMD916155 WVW916155:WVZ916155 N981691:Q981691 JK981691:JN981691 TG981691:TJ981691 ADC981691:ADF981691 AMY981691:ANB981691 AWU981691:AWX981691 BGQ981691:BGT981691 BQM981691:BQP981691 CAI981691:CAL981691 CKE981691:CKH981691 CUA981691:CUD981691 DDW981691:DDZ981691 DNS981691:DNV981691 DXO981691:DXR981691 EHK981691:EHN981691 ERG981691:ERJ981691 FBC981691:FBF981691 FKY981691:FLB981691 FUU981691:FUX981691 GEQ981691:GET981691 GOM981691:GOP981691 GYI981691:GYL981691 HIE981691:HIH981691 HSA981691:HSD981691 IBW981691:IBZ981691 ILS981691:ILV981691 IVO981691:IVR981691 JFK981691:JFN981691 JPG981691:JPJ981691 JZC981691:JZF981691 KIY981691:KJB981691 KSU981691:KSX981691 LCQ981691:LCT981691 LMM981691:LMP981691 LWI981691:LWL981691 MGE981691:MGH981691 MQA981691:MQD981691 MZW981691:MZZ981691 NJS981691:NJV981691 NTO981691:NTR981691 ODK981691:ODN981691 ONG981691:ONJ981691 OXC981691:OXF981691 PGY981691:PHB981691 PQU981691:PQX981691 QAQ981691:QAT981691 QKM981691:QKP981691 QUI981691:QUL981691 REE981691:REH981691 ROA981691:ROD981691 RXW981691:RXZ981691 SHS981691:SHV981691 SRO981691:SRR981691 TBK981691:TBN981691 TLG981691:TLJ981691 TVC981691:TVF981691 UEY981691:UFB981691 UOU981691:UOX981691 UYQ981691:UYT981691 VIM981691:VIP981691 VSI981691:VSL981691 WCE981691:WCH981691 WMA981691:WMD981691 WVW981691:WVZ981691 Q118:T118 JN118:JQ118 TJ118:TM118 ADF118:ADI118 ANB118:ANE118 AWX118:AXA118 BGT118:BGW118 BQP118:BQS118 CAL118:CAO118 CKH118:CKK118 CUD118:CUG118 DDZ118:DEC118 DNV118:DNY118 DXR118:DXU118 EHN118:EHQ118 ERJ118:ERM118 FBF118:FBI118 FLB118:FLE118 FUX118:FVA118 GET118:GEW118 GOP118:GOS118 GYL118:GYO118 HIH118:HIK118 HSD118:HSG118 IBZ118:ICC118 ILV118:ILY118 IVR118:IVU118 JFN118:JFQ118 JPJ118:JPM118 JZF118:JZI118 KJB118:KJE118 KSX118:KTA118 LCT118:LCW118 LMP118:LMS118 LWL118:LWO118 MGH118:MGK118 MQD118:MQG118 MZZ118:NAC118 NJV118:NJY118 NTR118:NTU118 ODN118:ODQ118 ONJ118:ONM118 OXF118:OXI118 PHB118:PHE118 PQX118:PRA118 QAT118:QAW118 QKP118:QKS118 QUL118:QUO118 REH118:REK118 ROD118:ROG118 RXZ118:RYC118 SHV118:SHY118 SRR118:SRU118 TBN118:TBQ118 TLJ118:TLM118 TVF118:TVI118 UFB118:UFE118 UOX118:UPA118 UYT118:UYW118 VIP118:VIS118 VSL118:VSO118 WCH118:WCK118 WMD118:WMG118 WVZ118:WWC118 Q64201:T64201 JN64201:JQ64201 TJ64201:TM64201 ADF64201:ADI64201 ANB64201:ANE64201 AWX64201:AXA64201 BGT64201:BGW64201 BQP64201:BQS64201 CAL64201:CAO64201 CKH64201:CKK64201 CUD64201:CUG64201 DDZ64201:DEC64201 DNV64201:DNY64201 DXR64201:DXU64201 EHN64201:EHQ64201 ERJ64201:ERM64201 FBF64201:FBI64201 FLB64201:FLE64201 FUX64201:FVA64201 GET64201:GEW64201 GOP64201:GOS64201 GYL64201:GYO64201 HIH64201:HIK64201 HSD64201:HSG64201 IBZ64201:ICC64201 ILV64201:ILY64201 IVR64201:IVU64201 JFN64201:JFQ64201 JPJ64201:JPM64201 JZF64201:JZI64201 KJB64201:KJE64201 KSX64201:KTA64201 LCT64201:LCW64201 LMP64201:LMS64201 LWL64201:LWO64201 MGH64201:MGK64201 MQD64201:MQG64201 MZZ64201:NAC64201 NJV64201:NJY64201 NTR64201:NTU64201 ODN64201:ODQ64201 ONJ64201:ONM64201 OXF64201:OXI64201 PHB64201:PHE64201 PQX64201:PRA64201 QAT64201:QAW64201 QKP64201:QKS64201 QUL64201:QUO64201 REH64201:REK64201 ROD64201:ROG64201 RXZ64201:RYC64201 SHV64201:SHY64201 SRR64201:SRU64201 TBN64201:TBQ64201 TLJ64201:TLM64201 TVF64201:TVI64201 UFB64201:UFE64201 UOX64201:UPA64201 UYT64201:UYW64201 VIP64201:VIS64201 VSL64201:VSO64201 WCH64201:WCK64201 WMD64201:WMG64201 WVZ64201:WWC64201 Q129737:T129737 JN129737:JQ129737 TJ129737:TM129737 ADF129737:ADI129737 ANB129737:ANE129737 AWX129737:AXA129737 BGT129737:BGW129737 BQP129737:BQS129737 CAL129737:CAO129737 CKH129737:CKK129737 CUD129737:CUG129737 DDZ129737:DEC129737 DNV129737:DNY129737 DXR129737:DXU129737 EHN129737:EHQ129737 ERJ129737:ERM129737 FBF129737:FBI129737 FLB129737:FLE129737 FUX129737:FVA129737 GET129737:GEW129737 GOP129737:GOS129737 GYL129737:GYO129737 HIH129737:HIK129737 HSD129737:HSG129737 IBZ129737:ICC129737 ILV129737:ILY129737 IVR129737:IVU129737 JFN129737:JFQ129737 JPJ129737:JPM129737 JZF129737:JZI129737 KJB129737:KJE129737 KSX129737:KTA129737 LCT129737:LCW129737 LMP129737:LMS129737 LWL129737:LWO129737 MGH129737:MGK129737 MQD129737:MQG129737 MZZ129737:NAC129737 NJV129737:NJY129737 NTR129737:NTU129737 ODN129737:ODQ129737 ONJ129737:ONM129737 OXF129737:OXI129737 PHB129737:PHE129737 PQX129737:PRA129737 QAT129737:QAW129737 QKP129737:QKS129737 QUL129737:QUO129737 REH129737:REK129737 ROD129737:ROG129737 RXZ129737:RYC129737 SHV129737:SHY129737 SRR129737:SRU129737 TBN129737:TBQ129737 TLJ129737:TLM129737 TVF129737:TVI129737 UFB129737:UFE129737 UOX129737:UPA129737 UYT129737:UYW129737 VIP129737:VIS129737 VSL129737:VSO129737 WCH129737:WCK129737 WMD129737:WMG129737 WVZ129737:WWC129737 Q195273:T195273 JN195273:JQ195273 TJ195273:TM195273 ADF195273:ADI195273 ANB195273:ANE195273 AWX195273:AXA195273 BGT195273:BGW195273 BQP195273:BQS195273 CAL195273:CAO195273 CKH195273:CKK195273 CUD195273:CUG195273 DDZ195273:DEC195273 DNV195273:DNY195273 DXR195273:DXU195273 EHN195273:EHQ195273 ERJ195273:ERM195273 FBF195273:FBI195273 FLB195273:FLE195273 FUX195273:FVA195273 GET195273:GEW195273 GOP195273:GOS195273 GYL195273:GYO195273 HIH195273:HIK195273 HSD195273:HSG195273 IBZ195273:ICC195273 ILV195273:ILY195273 IVR195273:IVU195273 JFN195273:JFQ195273 JPJ195273:JPM195273 JZF195273:JZI195273 KJB195273:KJE195273 KSX195273:KTA195273 LCT195273:LCW195273 LMP195273:LMS195273 LWL195273:LWO195273 MGH195273:MGK195273 MQD195273:MQG195273 MZZ195273:NAC195273 NJV195273:NJY195273 NTR195273:NTU195273 ODN195273:ODQ195273 ONJ195273:ONM195273 OXF195273:OXI195273 PHB195273:PHE195273 PQX195273:PRA195273 QAT195273:QAW195273 QKP195273:QKS195273 QUL195273:QUO195273 REH195273:REK195273 ROD195273:ROG195273 RXZ195273:RYC195273 SHV195273:SHY195273 SRR195273:SRU195273 TBN195273:TBQ195273 TLJ195273:TLM195273 TVF195273:TVI195273 UFB195273:UFE195273 UOX195273:UPA195273 UYT195273:UYW195273 VIP195273:VIS195273 VSL195273:VSO195273 WCH195273:WCK195273 WMD195273:WMG195273 WVZ195273:WWC195273 Q260809:T260809 JN260809:JQ260809 TJ260809:TM260809 ADF260809:ADI260809 ANB260809:ANE260809 AWX260809:AXA260809 BGT260809:BGW260809 BQP260809:BQS260809 CAL260809:CAO260809 CKH260809:CKK260809 CUD260809:CUG260809 DDZ260809:DEC260809 DNV260809:DNY260809 DXR260809:DXU260809 EHN260809:EHQ260809 ERJ260809:ERM260809 FBF260809:FBI260809 FLB260809:FLE260809 FUX260809:FVA260809 GET260809:GEW260809 GOP260809:GOS260809 GYL260809:GYO260809 HIH260809:HIK260809 HSD260809:HSG260809 IBZ260809:ICC260809 ILV260809:ILY260809 IVR260809:IVU260809 JFN260809:JFQ260809 JPJ260809:JPM260809 JZF260809:JZI260809 KJB260809:KJE260809 KSX260809:KTA260809 LCT260809:LCW260809 LMP260809:LMS260809 LWL260809:LWO260809 MGH260809:MGK260809 MQD260809:MQG260809 MZZ260809:NAC260809 NJV260809:NJY260809 NTR260809:NTU260809 ODN260809:ODQ260809 ONJ260809:ONM260809 OXF260809:OXI260809 PHB260809:PHE260809 PQX260809:PRA260809 QAT260809:QAW260809 QKP260809:QKS260809 QUL260809:QUO260809 REH260809:REK260809 ROD260809:ROG260809 RXZ260809:RYC260809 SHV260809:SHY260809 SRR260809:SRU260809 TBN260809:TBQ260809 TLJ260809:TLM260809 TVF260809:TVI260809 UFB260809:UFE260809 UOX260809:UPA260809 UYT260809:UYW260809 VIP260809:VIS260809 VSL260809:VSO260809 WCH260809:WCK260809 WMD260809:WMG260809 WVZ260809:WWC260809 Q326345:T326345 JN326345:JQ326345 TJ326345:TM326345 ADF326345:ADI326345 ANB326345:ANE326345 AWX326345:AXA326345 BGT326345:BGW326345 BQP326345:BQS326345 CAL326345:CAO326345 CKH326345:CKK326345 CUD326345:CUG326345 DDZ326345:DEC326345 DNV326345:DNY326345 DXR326345:DXU326345 EHN326345:EHQ326345 ERJ326345:ERM326345 FBF326345:FBI326345 FLB326345:FLE326345 FUX326345:FVA326345 GET326345:GEW326345 GOP326345:GOS326345 GYL326345:GYO326345 HIH326345:HIK326345 HSD326345:HSG326345 IBZ326345:ICC326345 ILV326345:ILY326345 IVR326345:IVU326345 JFN326345:JFQ326345 JPJ326345:JPM326345 JZF326345:JZI326345 KJB326345:KJE326345 KSX326345:KTA326345 LCT326345:LCW326345 LMP326345:LMS326345 LWL326345:LWO326345 MGH326345:MGK326345 MQD326345:MQG326345 MZZ326345:NAC326345 NJV326345:NJY326345 NTR326345:NTU326345 ODN326345:ODQ326345 ONJ326345:ONM326345 OXF326345:OXI326345 PHB326345:PHE326345 PQX326345:PRA326345 QAT326345:QAW326345 QKP326345:QKS326345 QUL326345:QUO326345 REH326345:REK326345 ROD326345:ROG326345 RXZ326345:RYC326345 SHV326345:SHY326345 SRR326345:SRU326345 TBN326345:TBQ326345 TLJ326345:TLM326345 TVF326345:TVI326345 UFB326345:UFE326345 UOX326345:UPA326345 UYT326345:UYW326345 VIP326345:VIS326345 VSL326345:VSO326345 WCH326345:WCK326345 WMD326345:WMG326345 WVZ326345:WWC326345 Q391881:T391881 JN391881:JQ391881 TJ391881:TM391881 ADF391881:ADI391881 ANB391881:ANE391881 AWX391881:AXA391881 BGT391881:BGW391881 BQP391881:BQS391881 CAL391881:CAO391881 CKH391881:CKK391881 CUD391881:CUG391881 DDZ391881:DEC391881 DNV391881:DNY391881 DXR391881:DXU391881 EHN391881:EHQ391881 ERJ391881:ERM391881 FBF391881:FBI391881 FLB391881:FLE391881 FUX391881:FVA391881 GET391881:GEW391881 GOP391881:GOS391881 GYL391881:GYO391881 HIH391881:HIK391881 HSD391881:HSG391881 IBZ391881:ICC391881 ILV391881:ILY391881 IVR391881:IVU391881 JFN391881:JFQ391881 JPJ391881:JPM391881 JZF391881:JZI391881 KJB391881:KJE391881 KSX391881:KTA391881 LCT391881:LCW391881 LMP391881:LMS391881 LWL391881:LWO391881 MGH391881:MGK391881 MQD391881:MQG391881 MZZ391881:NAC391881 NJV391881:NJY391881 NTR391881:NTU391881 ODN391881:ODQ391881 ONJ391881:ONM391881 OXF391881:OXI391881 PHB391881:PHE391881 PQX391881:PRA391881 QAT391881:QAW391881 QKP391881:QKS391881 QUL391881:QUO391881 REH391881:REK391881 ROD391881:ROG391881 RXZ391881:RYC391881 SHV391881:SHY391881 SRR391881:SRU391881 TBN391881:TBQ391881 TLJ391881:TLM391881 TVF391881:TVI391881 UFB391881:UFE391881 UOX391881:UPA391881 UYT391881:UYW391881 VIP391881:VIS391881 VSL391881:VSO391881 WCH391881:WCK391881 WMD391881:WMG391881 WVZ391881:WWC391881 Q457417:T457417 JN457417:JQ457417 TJ457417:TM457417 ADF457417:ADI457417 ANB457417:ANE457417 AWX457417:AXA457417 BGT457417:BGW457417 BQP457417:BQS457417 CAL457417:CAO457417 CKH457417:CKK457417 CUD457417:CUG457417 DDZ457417:DEC457417 DNV457417:DNY457417 DXR457417:DXU457417 EHN457417:EHQ457417 ERJ457417:ERM457417 FBF457417:FBI457417 FLB457417:FLE457417 FUX457417:FVA457417 GET457417:GEW457417 GOP457417:GOS457417 GYL457417:GYO457417 HIH457417:HIK457417 HSD457417:HSG457417 IBZ457417:ICC457417 ILV457417:ILY457417 IVR457417:IVU457417 JFN457417:JFQ457417 JPJ457417:JPM457417 JZF457417:JZI457417 KJB457417:KJE457417 KSX457417:KTA457417 LCT457417:LCW457417 LMP457417:LMS457417 LWL457417:LWO457417 MGH457417:MGK457417 MQD457417:MQG457417 MZZ457417:NAC457417 NJV457417:NJY457417 NTR457417:NTU457417 ODN457417:ODQ457417 ONJ457417:ONM457417 OXF457417:OXI457417 PHB457417:PHE457417 PQX457417:PRA457417 QAT457417:QAW457417 QKP457417:QKS457417 QUL457417:QUO457417 REH457417:REK457417 ROD457417:ROG457417 RXZ457417:RYC457417 SHV457417:SHY457417 SRR457417:SRU457417 TBN457417:TBQ457417 TLJ457417:TLM457417 TVF457417:TVI457417 UFB457417:UFE457417 UOX457417:UPA457417 UYT457417:UYW457417 VIP457417:VIS457417 VSL457417:VSO457417 WCH457417:WCK457417 WMD457417:WMG457417 WVZ457417:WWC457417 Q522953:T522953 JN522953:JQ522953 TJ522953:TM522953 ADF522953:ADI522953 ANB522953:ANE522953 AWX522953:AXA522953 BGT522953:BGW522953 BQP522953:BQS522953 CAL522953:CAO522953 CKH522953:CKK522953 CUD522953:CUG522953 DDZ522953:DEC522953 DNV522953:DNY522953 DXR522953:DXU522953 EHN522953:EHQ522953 ERJ522953:ERM522953 FBF522953:FBI522953 FLB522953:FLE522953 FUX522953:FVA522953 GET522953:GEW522953 GOP522953:GOS522953 GYL522953:GYO522953 HIH522953:HIK522953 HSD522953:HSG522953 IBZ522953:ICC522953 ILV522953:ILY522953 IVR522953:IVU522953 JFN522953:JFQ522953 JPJ522953:JPM522953 JZF522953:JZI522953 KJB522953:KJE522953 KSX522953:KTA522953 LCT522953:LCW522953 LMP522953:LMS522953 LWL522953:LWO522953 MGH522953:MGK522953 MQD522953:MQG522953 MZZ522953:NAC522953 NJV522953:NJY522953 NTR522953:NTU522953 ODN522953:ODQ522953 ONJ522953:ONM522953 OXF522953:OXI522953 PHB522953:PHE522953 PQX522953:PRA522953 QAT522953:QAW522953 QKP522953:QKS522953 QUL522953:QUO522953 REH522953:REK522953 ROD522953:ROG522953 RXZ522953:RYC522953 SHV522953:SHY522953 SRR522953:SRU522953 TBN522953:TBQ522953 TLJ522953:TLM522953 TVF522953:TVI522953 UFB522953:UFE522953 UOX522953:UPA522953 UYT522953:UYW522953 VIP522953:VIS522953 VSL522953:VSO522953 WCH522953:WCK522953 WMD522953:WMG522953 WVZ522953:WWC522953 Q588489:T588489 JN588489:JQ588489 TJ588489:TM588489 ADF588489:ADI588489 ANB588489:ANE588489 AWX588489:AXA588489 BGT588489:BGW588489 BQP588489:BQS588489 CAL588489:CAO588489 CKH588489:CKK588489 CUD588489:CUG588489 DDZ588489:DEC588489 DNV588489:DNY588489 DXR588489:DXU588489 EHN588489:EHQ588489 ERJ588489:ERM588489 FBF588489:FBI588489 FLB588489:FLE588489 FUX588489:FVA588489 GET588489:GEW588489 GOP588489:GOS588489 GYL588489:GYO588489 HIH588489:HIK588489 HSD588489:HSG588489 IBZ588489:ICC588489 ILV588489:ILY588489 IVR588489:IVU588489 JFN588489:JFQ588489 JPJ588489:JPM588489 JZF588489:JZI588489 KJB588489:KJE588489 KSX588489:KTA588489 LCT588489:LCW588489 LMP588489:LMS588489 LWL588489:LWO588489 MGH588489:MGK588489 MQD588489:MQG588489 MZZ588489:NAC588489 NJV588489:NJY588489 NTR588489:NTU588489 ODN588489:ODQ588489 ONJ588489:ONM588489 OXF588489:OXI588489 PHB588489:PHE588489 PQX588489:PRA588489 QAT588489:QAW588489 QKP588489:QKS588489 QUL588489:QUO588489 REH588489:REK588489 ROD588489:ROG588489 RXZ588489:RYC588489 SHV588489:SHY588489 SRR588489:SRU588489 TBN588489:TBQ588489 TLJ588489:TLM588489 TVF588489:TVI588489 UFB588489:UFE588489 UOX588489:UPA588489 UYT588489:UYW588489 VIP588489:VIS588489 VSL588489:VSO588489 WCH588489:WCK588489 WMD588489:WMG588489 WVZ588489:WWC588489 Q654025:T654025 JN654025:JQ654025 TJ654025:TM654025 ADF654025:ADI654025 ANB654025:ANE654025 AWX654025:AXA654025 BGT654025:BGW654025 BQP654025:BQS654025 CAL654025:CAO654025 CKH654025:CKK654025 CUD654025:CUG654025 DDZ654025:DEC654025 DNV654025:DNY654025 DXR654025:DXU654025 EHN654025:EHQ654025 ERJ654025:ERM654025 FBF654025:FBI654025 FLB654025:FLE654025 FUX654025:FVA654025 GET654025:GEW654025 GOP654025:GOS654025 GYL654025:GYO654025 HIH654025:HIK654025 HSD654025:HSG654025 IBZ654025:ICC654025 ILV654025:ILY654025 IVR654025:IVU654025 JFN654025:JFQ654025 JPJ654025:JPM654025 JZF654025:JZI654025 KJB654025:KJE654025 KSX654025:KTA654025 LCT654025:LCW654025 LMP654025:LMS654025 LWL654025:LWO654025 MGH654025:MGK654025 MQD654025:MQG654025 MZZ654025:NAC654025 NJV654025:NJY654025 NTR654025:NTU654025 ODN654025:ODQ654025 ONJ654025:ONM654025 OXF654025:OXI654025 PHB654025:PHE654025 PQX654025:PRA654025 QAT654025:QAW654025 QKP654025:QKS654025 QUL654025:QUO654025 REH654025:REK654025 ROD654025:ROG654025 RXZ654025:RYC654025 SHV654025:SHY654025 SRR654025:SRU654025 TBN654025:TBQ654025 TLJ654025:TLM654025 TVF654025:TVI654025 UFB654025:UFE654025 UOX654025:UPA654025 UYT654025:UYW654025 VIP654025:VIS654025 VSL654025:VSO654025 WCH654025:WCK654025 WMD654025:WMG654025 WVZ654025:WWC654025 Q719561:T719561 JN719561:JQ719561 TJ719561:TM719561 ADF719561:ADI719561 ANB719561:ANE719561 AWX719561:AXA719561 BGT719561:BGW719561 BQP719561:BQS719561 CAL719561:CAO719561 CKH719561:CKK719561 CUD719561:CUG719561 DDZ719561:DEC719561 DNV719561:DNY719561 DXR719561:DXU719561 EHN719561:EHQ719561 ERJ719561:ERM719561 FBF719561:FBI719561 FLB719561:FLE719561 FUX719561:FVA719561 GET719561:GEW719561 GOP719561:GOS719561 GYL719561:GYO719561 HIH719561:HIK719561 HSD719561:HSG719561 IBZ719561:ICC719561 ILV719561:ILY719561 IVR719561:IVU719561 JFN719561:JFQ719561 JPJ719561:JPM719561 JZF719561:JZI719561 KJB719561:KJE719561 KSX719561:KTA719561 LCT719561:LCW719561 LMP719561:LMS719561 LWL719561:LWO719561 MGH719561:MGK719561 MQD719561:MQG719561 MZZ719561:NAC719561 NJV719561:NJY719561 NTR719561:NTU719561 ODN719561:ODQ719561 ONJ719561:ONM719561 OXF719561:OXI719561 PHB719561:PHE719561 PQX719561:PRA719561 QAT719561:QAW719561 QKP719561:QKS719561 QUL719561:QUO719561 REH719561:REK719561 ROD719561:ROG719561 RXZ719561:RYC719561 SHV719561:SHY719561 SRR719561:SRU719561 TBN719561:TBQ719561 TLJ719561:TLM719561 TVF719561:TVI719561 UFB719561:UFE719561 UOX719561:UPA719561 UYT719561:UYW719561 VIP719561:VIS719561 VSL719561:VSO719561 WCH719561:WCK719561 WMD719561:WMG719561 WVZ719561:WWC719561 Q785097:T785097 JN785097:JQ785097 TJ785097:TM785097 ADF785097:ADI785097 ANB785097:ANE785097 AWX785097:AXA785097 BGT785097:BGW785097 BQP785097:BQS785097 CAL785097:CAO785097 CKH785097:CKK785097 CUD785097:CUG785097 DDZ785097:DEC785097 DNV785097:DNY785097 DXR785097:DXU785097 EHN785097:EHQ785097 ERJ785097:ERM785097 FBF785097:FBI785097 FLB785097:FLE785097 FUX785097:FVA785097 GET785097:GEW785097 GOP785097:GOS785097 GYL785097:GYO785097 HIH785097:HIK785097 HSD785097:HSG785097 IBZ785097:ICC785097 ILV785097:ILY785097 IVR785097:IVU785097 JFN785097:JFQ785097 JPJ785097:JPM785097 JZF785097:JZI785097 KJB785097:KJE785097 KSX785097:KTA785097 LCT785097:LCW785097 LMP785097:LMS785097 LWL785097:LWO785097 MGH785097:MGK785097 MQD785097:MQG785097 MZZ785097:NAC785097 NJV785097:NJY785097 NTR785097:NTU785097 ODN785097:ODQ785097 ONJ785097:ONM785097 OXF785097:OXI785097 PHB785097:PHE785097 PQX785097:PRA785097 QAT785097:QAW785097 QKP785097:QKS785097 QUL785097:QUO785097 REH785097:REK785097 ROD785097:ROG785097 RXZ785097:RYC785097 SHV785097:SHY785097 SRR785097:SRU785097 TBN785097:TBQ785097 TLJ785097:TLM785097 TVF785097:TVI785097 UFB785097:UFE785097 UOX785097:UPA785097 UYT785097:UYW785097 VIP785097:VIS785097 VSL785097:VSO785097 WCH785097:WCK785097 WMD785097:WMG785097 WVZ785097:WWC785097 Q850633:T850633 JN850633:JQ850633 TJ850633:TM850633 ADF850633:ADI850633 ANB850633:ANE850633 AWX850633:AXA850633 BGT850633:BGW850633 BQP850633:BQS850633 CAL850633:CAO850633 CKH850633:CKK850633 CUD850633:CUG850633 DDZ850633:DEC850633 DNV850633:DNY850633 DXR850633:DXU850633 EHN850633:EHQ850633 ERJ850633:ERM850633 FBF850633:FBI850633 FLB850633:FLE850633 FUX850633:FVA850633 GET850633:GEW850633 GOP850633:GOS850633 GYL850633:GYO850633 HIH850633:HIK850633 HSD850633:HSG850633 IBZ850633:ICC850633 ILV850633:ILY850633 IVR850633:IVU850633 JFN850633:JFQ850633 JPJ850633:JPM850633 JZF850633:JZI850633 KJB850633:KJE850633 KSX850633:KTA850633 LCT850633:LCW850633 LMP850633:LMS850633 LWL850633:LWO850633 MGH850633:MGK850633 MQD850633:MQG850633 MZZ850633:NAC850633 NJV850633:NJY850633 NTR850633:NTU850633 ODN850633:ODQ850633 ONJ850633:ONM850633 OXF850633:OXI850633 PHB850633:PHE850633 PQX850633:PRA850633 QAT850633:QAW850633 QKP850633:QKS850633 QUL850633:QUO850633 REH850633:REK850633 ROD850633:ROG850633 RXZ850633:RYC850633 SHV850633:SHY850633 SRR850633:SRU850633 TBN850633:TBQ850633 TLJ850633:TLM850633 TVF850633:TVI850633 UFB850633:UFE850633 UOX850633:UPA850633 UYT850633:UYW850633 VIP850633:VIS850633 VSL850633:VSO850633 WCH850633:WCK850633 WMD850633:WMG850633 WVZ850633:WWC850633 Q916169:T916169 JN916169:JQ916169 TJ916169:TM916169 ADF916169:ADI916169 ANB916169:ANE916169 AWX916169:AXA916169 BGT916169:BGW916169 BQP916169:BQS916169 CAL916169:CAO916169 CKH916169:CKK916169 CUD916169:CUG916169 DDZ916169:DEC916169 DNV916169:DNY916169 DXR916169:DXU916169 EHN916169:EHQ916169 ERJ916169:ERM916169 FBF916169:FBI916169 FLB916169:FLE916169 FUX916169:FVA916169 GET916169:GEW916169 GOP916169:GOS916169 GYL916169:GYO916169 HIH916169:HIK916169 HSD916169:HSG916169 IBZ916169:ICC916169 ILV916169:ILY916169 IVR916169:IVU916169 JFN916169:JFQ916169 JPJ916169:JPM916169 JZF916169:JZI916169 KJB916169:KJE916169 KSX916169:KTA916169 LCT916169:LCW916169 LMP916169:LMS916169 LWL916169:LWO916169 MGH916169:MGK916169 MQD916169:MQG916169 MZZ916169:NAC916169 NJV916169:NJY916169 NTR916169:NTU916169 ODN916169:ODQ916169 ONJ916169:ONM916169 OXF916169:OXI916169 PHB916169:PHE916169 PQX916169:PRA916169 QAT916169:QAW916169 QKP916169:QKS916169 QUL916169:QUO916169 REH916169:REK916169 ROD916169:ROG916169 RXZ916169:RYC916169 SHV916169:SHY916169 SRR916169:SRU916169 TBN916169:TBQ916169 TLJ916169:TLM916169 TVF916169:TVI916169 UFB916169:UFE916169 UOX916169:UPA916169 UYT916169:UYW916169 VIP916169:VIS916169 VSL916169:VSO916169 WCH916169:WCK916169 WMD916169:WMG916169 WVZ916169:WWC916169 Q981705:T981705 JN981705:JQ981705 TJ981705:TM981705 ADF981705:ADI981705 ANB981705:ANE981705 AWX981705:AXA981705 BGT981705:BGW981705 BQP981705:BQS981705 CAL981705:CAO981705 CKH981705:CKK981705 CUD981705:CUG981705 DDZ981705:DEC981705 DNV981705:DNY981705 DXR981705:DXU981705 EHN981705:EHQ981705 ERJ981705:ERM981705 FBF981705:FBI981705 FLB981705:FLE981705 FUX981705:FVA981705 GET981705:GEW981705 GOP981705:GOS981705 GYL981705:GYO981705 HIH981705:HIK981705 HSD981705:HSG981705 IBZ981705:ICC981705 ILV981705:ILY981705 IVR981705:IVU981705 JFN981705:JFQ981705 JPJ981705:JPM981705 JZF981705:JZI981705 KJB981705:KJE981705 KSX981705:KTA981705 LCT981705:LCW981705 LMP981705:LMS981705 LWL981705:LWO981705 MGH981705:MGK981705 MQD981705:MQG981705 MZZ981705:NAC981705 NJV981705:NJY981705 NTR981705:NTU981705 ODN981705:ODQ981705 ONJ981705:ONM981705 OXF981705:OXI981705 PHB981705:PHE981705 PQX981705:PRA981705 QAT981705:QAW981705 QKP981705:QKS981705 QUL981705:QUO981705 REH981705:REK981705 ROD981705:ROG981705 RXZ981705:RYC981705 SHV981705:SHY981705 SRR981705:SRU981705 TBN981705:TBQ981705 TLJ981705:TLM981705 TVF981705:TVI981705 UFB981705:UFE981705 UOX981705:UPA981705 UYT981705:UYW981705 VIP981705:VIS981705 VSL981705:VSO981705 WCH981705:WCK981705 WMD981705:WMG981705 WVZ981705:WWC981705 T104:W104 JQ104:JT104 TM104:TP104 ADI104:ADL104 ANE104:ANH104 AXA104:AXD104 BGW104:BGZ104 BQS104:BQV104 CAO104:CAR104 CKK104:CKN104 CUG104:CUJ104 DEC104:DEF104 DNY104:DOB104 DXU104:DXX104 EHQ104:EHT104 ERM104:ERP104 FBI104:FBL104 FLE104:FLH104 FVA104:FVD104 GEW104:GEZ104 GOS104:GOV104 GYO104:GYR104 HIK104:HIN104 HSG104:HSJ104 ICC104:ICF104 ILY104:IMB104 IVU104:IVX104 JFQ104:JFT104 JPM104:JPP104 JZI104:JZL104 KJE104:KJH104 KTA104:KTD104 LCW104:LCZ104 LMS104:LMV104 LWO104:LWR104 MGK104:MGN104 MQG104:MQJ104 NAC104:NAF104 NJY104:NKB104 NTU104:NTX104 ODQ104:ODT104 ONM104:ONP104 OXI104:OXL104 PHE104:PHH104 PRA104:PRD104 QAW104:QAZ104 QKS104:QKV104 QUO104:QUR104 REK104:REN104 ROG104:ROJ104 RYC104:RYF104 SHY104:SIB104 SRU104:SRX104 TBQ104:TBT104 TLM104:TLP104 TVI104:TVL104 UFE104:UFH104 UPA104:UPD104 UYW104:UYZ104 VIS104:VIV104 VSO104:VSR104 WCK104:WCN104 WMG104:WMJ104 WWC104:WWF104 T64187:W64187 JQ64187:JT64187 TM64187:TP64187 ADI64187:ADL64187 ANE64187:ANH64187 AXA64187:AXD64187 BGW64187:BGZ64187 BQS64187:BQV64187 CAO64187:CAR64187 CKK64187:CKN64187 CUG64187:CUJ64187 DEC64187:DEF64187 DNY64187:DOB64187 DXU64187:DXX64187 EHQ64187:EHT64187 ERM64187:ERP64187 FBI64187:FBL64187 FLE64187:FLH64187 FVA64187:FVD64187 GEW64187:GEZ64187 GOS64187:GOV64187 GYO64187:GYR64187 HIK64187:HIN64187 HSG64187:HSJ64187 ICC64187:ICF64187 ILY64187:IMB64187 IVU64187:IVX64187 JFQ64187:JFT64187 JPM64187:JPP64187 JZI64187:JZL64187 KJE64187:KJH64187 KTA64187:KTD64187 LCW64187:LCZ64187 LMS64187:LMV64187 LWO64187:LWR64187 MGK64187:MGN64187 MQG64187:MQJ64187 NAC64187:NAF64187 NJY64187:NKB64187 NTU64187:NTX64187 ODQ64187:ODT64187 ONM64187:ONP64187 OXI64187:OXL64187 PHE64187:PHH64187 PRA64187:PRD64187 QAW64187:QAZ64187 QKS64187:QKV64187 QUO64187:QUR64187 REK64187:REN64187 ROG64187:ROJ64187 RYC64187:RYF64187 SHY64187:SIB64187 SRU64187:SRX64187 TBQ64187:TBT64187 TLM64187:TLP64187 TVI64187:TVL64187 UFE64187:UFH64187 UPA64187:UPD64187 UYW64187:UYZ64187 VIS64187:VIV64187 VSO64187:VSR64187 WCK64187:WCN64187 WMG64187:WMJ64187 WWC64187:WWF64187 T129723:W129723 JQ129723:JT129723 TM129723:TP129723 ADI129723:ADL129723 ANE129723:ANH129723 AXA129723:AXD129723 BGW129723:BGZ129723 BQS129723:BQV129723 CAO129723:CAR129723 CKK129723:CKN129723 CUG129723:CUJ129723 DEC129723:DEF129723 DNY129723:DOB129723 DXU129723:DXX129723 EHQ129723:EHT129723 ERM129723:ERP129723 FBI129723:FBL129723 FLE129723:FLH129723 FVA129723:FVD129723 GEW129723:GEZ129723 GOS129723:GOV129723 GYO129723:GYR129723 HIK129723:HIN129723 HSG129723:HSJ129723 ICC129723:ICF129723 ILY129723:IMB129723 IVU129723:IVX129723 JFQ129723:JFT129723 JPM129723:JPP129723 JZI129723:JZL129723 KJE129723:KJH129723 KTA129723:KTD129723 LCW129723:LCZ129723 LMS129723:LMV129723 LWO129723:LWR129723 MGK129723:MGN129723 MQG129723:MQJ129723 NAC129723:NAF129723 NJY129723:NKB129723 NTU129723:NTX129723 ODQ129723:ODT129723 ONM129723:ONP129723 OXI129723:OXL129723 PHE129723:PHH129723 PRA129723:PRD129723 QAW129723:QAZ129723 QKS129723:QKV129723 QUO129723:QUR129723 REK129723:REN129723 ROG129723:ROJ129723 RYC129723:RYF129723 SHY129723:SIB129723 SRU129723:SRX129723 TBQ129723:TBT129723 TLM129723:TLP129723 TVI129723:TVL129723 UFE129723:UFH129723 UPA129723:UPD129723 UYW129723:UYZ129723 VIS129723:VIV129723 VSO129723:VSR129723 WCK129723:WCN129723 WMG129723:WMJ129723 WWC129723:WWF129723 T195259:W195259 JQ195259:JT195259 TM195259:TP195259 ADI195259:ADL195259 ANE195259:ANH195259 AXA195259:AXD195259 BGW195259:BGZ195259 BQS195259:BQV195259 CAO195259:CAR195259 CKK195259:CKN195259 CUG195259:CUJ195259 DEC195259:DEF195259 DNY195259:DOB195259 DXU195259:DXX195259 EHQ195259:EHT195259 ERM195259:ERP195259 FBI195259:FBL195259 FLE195259:FLH195259 FVA195259:FVD195259 GEW195259:GEZ195259 GOS195259:GOV195259 GYO195259:GYR195259 HIK195259:HIN195259 HSG195259:HSJ195259 ICC195259:ICF195259 ILY195259:IMB195259 IVU195259:IVX195259 JFQ195259:JFT195259 JPM195259:JPP195259 JZI195259:JZL195259 KJE195259:KJH195259 KTA195259:KTD195259 LCW195259:LCZ195259 LMS195259:LMV195259 LWO195259:LWR195259 MGK195259:MGN195259 MQG195259:MQJ195259 NAC195259:NAF195259 NJY195259:NKB195259 NTU195259:NTX195259 ODQ195259:ODT195259 ONM195259:ONP195259 OXI195259:OXL195259 PHE195259:PHH195259 PRA195259:PRD195259 QAW195259:QAZ195259 QKS195259:QKV195259 QUO195259:QUR195259 REK195259:REN195259 ROG195259:ROJ195259 RYC195259:RYF195259 SHY195259:SIB195259 SRU195259:SRX195259 TBQ195259:TBT195259 TLM195259:TLP195259 TVI195259:TVL195259 UFE195259:UFH195259 UPA195259:UPD195259 UYW195259:UYZ195259 VIS195259:VIV195259 VSO195259:VSR195259 WCK195259:WCN195259 WMG195259:WMJ195259 WWC195259:WWF195259 T260795:W260795 JQ260795:JT260795 TM260795:TP260795 ADI260795:ADL260795 ANE260795:ANH260795 AXA260795:AXD260795 BGW260795:BGZ260795 BQS260795:BQV260795 CAO260795:CAR260795 CKK260795:CKN260795 CUG260795:CUJ260795 DEC260795:DEF260795 DNY260795:DOB260795 DXU260795:DXX260795 EHQ260795:EHT260795 ERM260795:ERP260795 FBI260795:FBL260795 FLE260795:FLH260795 FVA260795:FVD260795 GEW260795:GEZ260795 GOS260795:GOV260795 GYO260795:GYR260795 HIK260795:HIN260795 HSG260795:HSJ260795 ICC260795:ICF260795 ILY260795:IMB260795 IVU260795:IVX260795 JFQ260795:JFT260795 JPM260795:JPP260795 JZI260795:JZL260795 KJE260795:KJH260795 KTA260795:KTD260795 LCW260795:LCZ260795 LMS260795:LMV260795 LWO260795:LWR260795 MGK260795:MGN260795 MQG260795:MQJ260795 NAC260795:NAF260795 NJY260795:NKB260795 NTU260795:NTX260795 ODQ260795:ODT260795 ONM260795:ONP260795 OXI260795:OXL260795 PHE260795:PHH260795 PRA260795:PRD260795 QAW260795:QAZ260795 QKS260795:QKV260795 QUO260795:QUR260795 REK260795:REN260795 ROG260795:ROJ260795 RYC260795:RYF260795 SHY260795:SIB260795 SRU260795:SRX260795 TBQ260795:TBT260795 TLM260795:TLP260795 TVI260795:TVL260795 UFE260795:UFH260795 UPA260795:UPD260795 UYW260795:UYZ260795 VIS260795:VIV260795 VSO260795:VSR260795 WCK260795:WCN260795 WMG260795:WMJ260795 WWC260795:WWF260795 T326331:W326331 JQ326331:JT326331 TM326331:TP326331 ADI326331:ADL326331 ANE326331:ANH326331 AXA326331:AXD326331 BGW326331:BGZ326331 BQS326331:BQV326331 CAO326331:CAR326331 CKK326331:CKN326331 CUG326331:CUJ326331 DEC326331:DEF326331 DNY326331:DOB326331 DXU326331:DXX326331 EHQ326331:EHT326331 ERM326331:ERP326331 FBI326331:FBL326331 FLE326331:FLH326331 FVA326331:FVD326331 GEW326331:GEZ326331 GOS326331:GOV326331 GYO326331:GYR326331 HIK326331:HIN326331 HSG326331:HSJ326331 ICC326331:ICF326331 ILY326331:IMB326331 IVU326331:IVX326331 JFQ326331:JFT326331 JPM326331:JPP326331 JZI326331:JZL326331 KJE326331:KJH326331 KTA326331:KTD326331 LCW326331:LCZ326331 LMS326331:LMV326331 LWO326331:LWR326331 MGK326331:MGN326331 MQG326331:MQJ326331 NAC326331:NAF326331 NJY326331:NKB326331 NTU326331:NTX326331 ODQ326331:ODT326331 ONM326331:ONP326331 OXI326331:OXL326331 PHE326331:PHH326331 PRA326331:PRD326331 QAW326331:QAZ326331 QKS326331:QKV326331 QUO326331:QUR326331 REK326331:REN326331 ROG326331:ROJ326331 RYC326331:RYF326331 SHY326331:SIB326331 SRU326331:SRX326331 TBQ326331:TBT326331 TLM326331:TLP326331 TVI326331:TVL326331 UFE326331:UFH326331 UPA326331:UPD326331 UYW326331:UYZ326331 VIS326331:VIV326331 VSO326331:VSR326331 WCK326331:WCN326331 WMG326331:WMJ326331 WWC326331:WWF326331 T391867:W391867 JQ391867:JT391867 TM391867:TP391867 ADI391867:ADL391867 ANE391867:ANH391867 AXA391867:AXD391867 BGW391867:BGZ391867 BQS391867:BQV391867 CAO391867:CAR391867 CKK391867:CKN391867 CUG391867:CUJ391867 DEC391867:DEF391867 DNY391867:DOB391867 DXU391867:DXX391867 EHQ391867:EHT391867 ERM391867:ERP391867 FBI391867:FBL391867 FLE391867:FLH391867 FVA391867:FVD391867 GEW391867:GEZ391867 GOS391867:GOV391867 GYO391867:GYR391867 HIK391867:HIN391867 HSG391867:HSJ391867 ICC391867:ICF391867 ILY391867:IMB391867 IVU391867:IVX391867 JFQ391867:JFT391867 JPM391867:JPP391867 JZI391867:JZL391867 KJE391867:KJH391867 KTA391867:KTD391867 LCW391867:LCZ391867 LMS391867:LMV391867 LWO391867:LWR391867 MGK391867:MGN391867 MQG391867:MQJ391867 NAC391867:NAF391867 NJY391867:NKB391867 NTU391867:NTX391867 ODQ391867:ODT391867 ONM391867:ONP391867 OXI391867:OXL391867 PHE391867:PHH391867 PRA391867:PRD391867 QAW391867:QAZ391867 QKS391867:QKV391867 QUO391867:QUR391867 REK391867:REN391867 ROG391867:ROJ391867 RYC391867:RYF391867 SHY391867:SIB391867 SRU391867:SRX391867 TBQ391867:TBT391867 TLM391867:TLP391867 TVI391867:TVL391867 UFE391867:UFH391867 UPA391867:UPD391867 UYW391867:UYZ391867 VIS391867:VIV391867 VSO391867:VSR391867 WCK391867:WCN391867 WMG391867:WMJ391867 WWC391867:WWF391867 T457403:W457403 JQ457403:JT457403 TM457403:TP457403 ADI457403:ADL457403 ANE457403:ANH457403 AXA457403:AXD457403 BGW457403:BGZ457403 BQS457403:BQV457403 CAO457403:CAR457403 CKK457403:CKN457403 CUG457403:CUJ457403 DEC457403:DEF457403 DNY457403:DOB457403 DXU457403:DXX457403 EHQ457403:EHT457403 ERM457403:ERP457403 FBI457403:FBL457403 FLE457403:FLH457403 FVA457403:FVD457403 GEW457403:GEZ457403 GOS457403:GOV457403 GYO457403:GYR457403 HIK457403:HIN457403 HSG457403:HSJ457403 ICC457403:ICF457403 ILY457403:IMB457403 IVU457403:IVX457403 JFQ457403:JFT457403 JPM457403:JPP457403 JZI457403:JZL457403 KJE457403:KJH457403 KTA457403:KTD457403 LCW457403:LCZ457403 LMS457403:LMV457403 LWO457403:LWR457403 MGK457403:MGN457403 MQG457403:MQJ457403 NAC457403:NAF457403 NJY457403:NKB457403 NTU457403:NTX457403 ODQ457403:ODT457403 ONM457403:ONP457403 OXI457403:OXL457403 PHE457403:PHH457403 PRA457403:PRD457403 QAW457403:QAZ457403 QKS457403:QKV457403 QUO457403:QUR457403 REK457403:REN457403 ROG457403:ROJ457403 RYC457403:RYF457403 SHY457403:SIB457403 SRU457403:SRX457403 TBQ457403:TBT457403 TLM457403:TLP457403 TVI457403:TVL457403 UFE457403:UFH457403 UPA457403:UPD457403 UYW457403:UYZ457403 VIS457403:VIV457403 VSO457403:VSR457403 WCK457403:WCN457403 WMG457403:WMJ457403 WWC457403:WWF457403 T522939:W522939 JQ522939:JT522939 TM522939:TP522939 ADI522939:ADL522939 ANE522939:ANH522939 AXA522939:AXD522939 BGW522939:BGZ522939 BQS522939:BQV522939 CAO522939:CAR522939 CKK522939:CKN522939 CUG522939:CUJ522939 DEC522939:DEF522939 DNY522939:DOB522939 DXU522939:DXX522939 EHQ522939:EHT522939 ERM522939:ERP522939 FBI522939:FBL522939 FLE522939:FLH522939 FVA522939:FVD522939 GEW522939:GEZ522939 GOS522939:GOV522939 GYO522939:GYR522939 HIK522939:HIN522939 HSG522939:HSJ522939 ICC522939:ICF522939 ILY522939:IMB522939 IVU522939:IVX522939 JFQ522939:JFT522939 JPM522939:JPP522939 JZI522939:JZL522939 KJE522939:KJH522939 KTA522939:KTD522939 LCW522939:LCZ522939 LMS522939:LMV522939 LWO522939:LWR522939 MGK522939:MGN522939 MQG522939:MQJ522939 NAC522939:NAF522939 NJY522939:NKB522939 NTU522939:NTX522939 ODQ522939:ODT522939 ONM522939:ONP522939 OXI522939:OXL522939 PHE522939:PHH522939 PRA522939:PRD522939 QAW522939:QAZ522939 QKS522939:QKV522939 QUO522939:QUR522939 REK522939:REN522939 ROG522939:ROJ522939 RYC522939:RYF522939 SHY522939:SIB522939 SRU522939:SRX522939 TBQ522939:TBT522939 TLM522939:TLP522939 TVI522939:TVL522939 UFE522939:UFH522939 UPA522939:UPD522939 UYW522939:UYZ522939 VIS522939:VIV522939 VSO522939:VSR522939 WCK522939:WCN522939 WMG522939:WMJ522939 WWC522939:WWF522939 T588475:W588475 JQ588475:JT588475 TM588475:TP588475 ADI588475:ADL588475 ANE588475:ANH588475 AXA588475:AXD588475 BGW588475:BGZ588475 BQS588475:BQV588475 CAO588475:CAR588475 CKK588475:CKN588475 CUG588475:CUJ588475 DEC588475:DEF588475 DNY588475:DOB588475 DXU588475:DXX588475 EHQ588475:EHT588475 ERM588475:ERP588475 FBI588475:FBL588475 FLE588475:FLH588475 FVA588475:FVD588475 GEW588475:GEZ588475 GOS588475:GOV588475 GYO588475:GYR588475 HIK588475:HIN588475 HSG588475:HSJ588475 ICC588475:ICF588475 ILY588475:IMB588475 IVU588475:IVX588475 JFQ588475:JFT588475 JPM588475:JPP588475 JZI588475:JZL588475 KJE588475:KJH588475 KTA588475:KTD588475 LCW588475:LCZ588475 LMS588475:LMV588475 LWO588475:LWR588475 MGK588475:MGN588475 MQG588475:MQJ588475 NAC588475:NAF588475 NJY588475:NKB588475 NTU588475:NTX588475 ODQ588475:ODT588475 ONM588475:ONP588475 OXI588475:OXL588475 PHE588475:PHH588475 PRA588475:PRD588475 QAW588475:QAZ588475 QKS588475:QKV588475 QUO588475:QUR588475 REK588475:REN588475 ROG588475:ROJ588475 RYC588475:RYF588475 SHY588475:SIB588475 SRU588475:SRX588475 TBQ588475:TBT588475 TLM588475:TLP588475 TVI588475:TVL588475 UFE588475:UFH588475 UPA588475:UPD588475 UYW588475:UYZ588475 VIS588475:VIV588475 VSO588475:VSR588475 WCK588475:WCN588475 WMG588475:WMJ588475 WWC588475:WWF588475 T654011:W654011 JQ654011:JT654011 TM654011:TP654011 ADI654011:ADL654011 ANE654011:ANH654011 AXA654011:AXD654011 BGW654011:BGZ654011 BQS654011:BQV654011 CAO654011:CAR654011 CKK654011:CKN654011 CUG654011:CUJ654011 DEC654011:DEF654011 DNY654011:DOB654011 DXU654011:DXX654011 EHQ654011:EHT654011 ERM654011:ERP654011 FBI654011:FBL654011 FLE654011:FLH654011 FVA654011:FVD654011 GEW654011:GEZ654011 GOS654011:GOV654011 GYO654011:GYR654011 HIK654011:HIN654011 HSG654011:HSJ654011 ICC654011:ICF654011 ILY654011:IMB654011 IVU654011:IVX654011 JFQ654011:JFT654011 JPM654011:JPP654011 JZI654011:JZL654011 KJE654011:KJH654011 KTA654011:KTD654011 LCW654011:LCZ654011 LMS654011:LMV654011 LWO654011:LWR654011 MGK654011:MGN654011 MQG654011:MQJ654011 NAC654011:NAF654011 NJY654011:NKB654011 NTU654011:NTX654011 ODQ654011:ODT654011 ONM654011:ONP654011 OXI654011:OXL654011 PHE654011:PHH654011 PRA654011:PRD654011 QAW654011:QAZ654011 QKS654011:QKV654011 QUO654011:QUR654011 REK654011:REN654011 ROG654011:ROJ654011 RYC654011:RYF654011 SHY654011:SIB654011 SRU654011:SRX654011 TBQ654011:TBT654011 TLM654011:TLP654011 TVI654011:TVL654011 UFE654011:UFH654011 UPA654011:UPD654011 UYW654011:UYZ654011 VIS654011:VIV654011 VSO654011:VSR654011 WCK654011:WCN654011 WMG654011:WMJ654011 WWC654011:WWF654011 T719547:W719547 JQ719547:JT719547 TM719547:TP719547 ADI719547:ADL719547 ANE719547:ANH719547 AXA719547:AXD719547 BGW719547:BGZ719547 BQS719547:BQV719547 CAO719547:CAR719547 CKK719547:CKN719547 CUG719547:CUJ719547 DEC719547:DEF719547 DNY719547:DOB719547 DXU719547:DXX719547 EHQ719547:EHT719547 ERM719547:ERP719547 FBI719547:FBL719547 FLE719547:FLH719547 FVA719547:FVD719547 GEW719547:GEZ719547 GOS719547:GOV719547 GYO719547:GYR719547 HIK719547:HIN719547 HSG719547:HSJ719547 ICC719547:ICF719547 ILY719547:IMB719547 IVU719547:IVX719547 JFQ719547:JFT719547 JPM719547:JPP719547 JZI719547:JZL719547 KJE719547:KJH719547 KTA719547:KTD719547 LCW719547:LCZ719547 LMS719547:LMV719547 LWO719547:LWR719547 MGK719547:MGN719547 MQG719547:MQJ719547 NAC719547:NAF719547 NJY719547:NKB719547 NTU719547:NTX719547 ODQ719547:ODT719547 ONM719547:ONP719547 OXI719547:OXL719547 PHE719547:PHH719547 PRA719547:PRD719547 QAW719547:QAZ719547 QKS719547:QKV719547 QUO719547:QUR719547 REK719547:REN719547 ROG719547:ROJ719547 RYC719547:RYF719547 SHY719547:SIB719547 SRU719547:SRX719547 TBQ719547:TBT719547 TLM719547:TLP719547 TVI719547:TVL719547 UFE719547:UFH719547 UPA719547:UPD719547 UYW719547:UYZ719547 VIS719547:VIV719547 VSO719547:VSR719547 WCK719547:WCN719547 WMG719547:WMJ719547 WWC719547:WWF719547 T785083:W785083 JQ785083:JT785083 TM785083:TP785083 ADI785083:ADL785083 ANE785083:ANH785083 AXA785083:AXD785083 BGW785083:BGZ785083 BQS785083:BQV785083 CAO785083:CAR785083 CKK785083:CKN785083 CUG785083:CUJ785083 DEC785083:DEF785083 DNY785083:DOB785083 DXU785083:DXX785083 EHQ785083:EHT785083 ERM785083:ERP785083 FBI785083:FBL785083 FLE785083:FLH785083 FVA785083:FVD785083 GEW785083:GEZ785083 GOS785083:GOV785083 GYO785083:GYR785083 HIK785083:HIN785083 HSG785083:HSJ785083 ICC785083:ICF785083 ILY785083:IMB785083 IVU785083:IVX785083 JFQ785083:JFT785083 JPM785083:JPP785083 JZI785083:JZL785083 KJE785083:KJH785083 KTA785083:KTD785083 LCW785083:LCZ785083 LMS785083:LMV785083 LWO785083:LWR785083 MGK785083:MGN785083 MQG785083:MQJ785083 NAC785083:NAF785083 NJY785083:NKB785083 NTU785083:NTX785083 ODQ785083:ODT785083 ONM785083:ONP785083 OXI785083:OXL785083 PHE785083:PHH785083 PRA785083:PRD785083 QAW785083:QAZ785083 QKS785083:QKV785083 QUO785083:QUR785083 REK785083:REN785083 ROG785083:ROJ785083 RYC785083:RYF785083 SHY785083:SIB785083 SRU785083:SRX785083 TBQ785083:TBT785083 TLM785083:TLP785083 TVI785083:TVL785083 UFE785083:UFH785083 UPA785083:UPD785083 UYW785083:UYZ785083 VIS785083:VIV785083 VSO785083:VSR785083 WCK785083:WCN785083 WMG785083:WMJ785083 WWC785083:WWF785083 T850619:W850619 JQ850619:JT850619 TM850619:TP850619 ADI850619:ADL850619 ANE850619:ANH850619 AXA850619:AXD850619 BGW850619:BGZ850619 BQS850619:BQV850619 CAO850619:CAR850619 CKK850619:CKN850619 CUG850619:CUJ850619 DEC850619:DEF850619 DNY850619:DOB850619 DXU850619:DXX850619 EHQ850619:EHT850619 ERM850619:ERP850619 FBI850619:FBL850619 FLE850619:FLH850619 FVA850619:FVD850619 GEW850619:GEZ850619 GOS850619:GOV850619 GYO850619:GYR850619 HIK850619:HIN850619 HSG850619:HSJ850619 ICC850619:ICF850619 ILY850619:IMB850619 IVU850619:IVX850619 JFQ850619:JFT850619 JPM850619:JPP850619 JZI850619:JZL850619 KJE850619:KJH850619 KTA850619:KTD850619 LCW850619:LCZ850619 LMS850619:LMV850619 LWO850619:LWR850619 MGK850619:MGN850619 MQG850619:MQJ850619 NAC850619:NAF850619 NJY850619:NKB850619 NTU850619:NTX850619 ODQ850619:ODT850619 ONM850619:ONP850619 OXI850619:OXL850619 PHE850619:PHH850619 PRA850619:PRD850619 QAW850619:QAZ850619 QKS850619:QKV850619 QUO850619:QUR850619 REK850619:REN850619 ROG850619:ROJ850619 RYC850619:RYF850619 SHY850619:SIB850619 SRU850619:SRX850619 TBQ850619:TBT850619 TLM850619:TLP850619 TVI850619:TVL850619 UFE850619:UFH850619 UPA850619:UPD850619 UYW850619:UYZ850619 VIS850619:VIV850619 VSO850619:VSR850619 WCK850619:WCN850619 WMG850619:WMJ850619 WWC850619:WWF850619 T916155:W916155 JQ916155:JT916155 TM916155:TP916155 ADI916155:ADL916155 ANE916155:ANH916155 AXA916155:AXD916155 BGW916155:BGZ916155 BQS916155:BQV916155 CAO916155:CAR916155 CKK916155:CKN916155 CUG916155:CUJ916155 DEC916155:DEF916155 DNY916155:DOB916155 DXU916155:DXX916155 EHQ916155:EHT916155 ERM916155:ERP916155 FBI916155:FBL916155 FLE916155:FLH916155 FVA916155:FVD916155 GEW916155:GEZ916155 GOS916155:GOV916155 GYO916155:GYR916155 HIK916155:HIN916155 HSG916155:HSJ916155 ICC916155:ICF916155 ILY916155:IMB916155 IVU916155:IVX916155 JFQ916155:JFT916155 JPM916155:JPP916155 JZI916155:JZL916155 KJE916155:KJH916155 KTA916155:KTD916155 LCW916155:LCZ916155 LMS916155:LMV916155 LWO916155:LWR916155 MGK916155:MGN916155 MQG916155:MQJ916155 NAC916155:NAF916155 NJY916155:NKB916155 NTU916155:NTX916155 ODQ916155:ODT916155 ONM916155:ONP916155 OXI916155:OXL916155 PHE916155:PHH916155 PRA916155:PRD916155 QAW916155:QAZ916155 QKS916155:QKV916155 QUO916155:QUR916155 REK916155:REN916155 ROG916155:ROJ916155 RYC916155:RYF916155 SHY916155:SIB916155 SRU916155:SRX916155 TBQ916155:TBT916155 TLM916155:TLP916155 TVI916155:TVL916155 UFE916155:UFH916155 UPA916155:UPD916155 UYW916155:UYZ916155 VIS916155:VIV916155 VSO916155:VSR916155 WCK916155:WCN916155 WMG916155:WMJ916155 WWC916155:WWF916155 T981691:W981691 JQ981691:JT981691 TM981691:TP981691 ADI981691:ADL981691 ANE981691:ANH981691 AXA981691:AXD981691 BGW981691:BGZ981691 BQS981691:BQV981691 CAO981691:CAR981691 CKK981691:CKN981691 CUG981691:CUJ981691 DEC981691:DEF981691 DNY981691:DOB981691 DXU981691:DXX981691 EHQ981691:EHT981691 ERM981691:ERP981691 FBI981691:FBL981691 FLE981691:FLH981691 FVA981691:FVD981691 GEW981691:GEZ981691 GOS981691:GOV981691 GYO981691:GYR981691 HIK981691:HIN981691 HSG981691:HSJ981691 ICC981691:ICF981691 ILY981691:IMB981691 IVU981691:IVX981691 JFQ981691:JFT981691 JPM981691:JPP981691 JZI981691:JZL981691 KJE981691:KJH981691 KTA981691:KTD981691 LCW981691:LCZ981691 LMS981691:LMV981691 LWO981691:LWR981691 MGK981691:MGN981691 MQG981691:MQJ981691 NAC981691:NAF981691 NJY981691:NKB981691 NTU981691:NTX981691 ODQ981691:ODT981691 ONM981691:ONP981691 OXI981691:OXL981691 PHE981691:PHH981691 PRA981691:PRD981691 QAW981691:QAZ981691 QKS981691:QKV981691 QUO981691:QUR981691 REK981691:REN981691 ROG981691:ROJ981691 RYC981691:RYF981691 SHY981691:SIB981691 SRU981691:SRX981691 TBQ981691:TBT981691 TLM981691:TLP981691 TVI981691:TVL981691 UFE981691:UFH981691 UPA981691:UPD981691 UYW981691:UYZ981691 VIS981691:VIV981691 VSO981691:VSR981691 WCK981691:WCN981691 WMG981691:WMJ981691 WWC981691:WWF981691 W118:Z118 JT118:JW118 TP118:TS118 ADL118:ADO118 ANH118:ANK118 AXD118:AXG118 BGZ118:BHC118 BQV118:BQY118 CAR118:CAU118 CKN118:CKQ118 CUJ118:CUM118 DEF118:DEI118 DOB118:DOE118 DXX118:DYA118 EHT118:EHW118 ERP118:ERS118 FBL118:FBO118 FLH118:FLK118 FVD118:FVG118 GEZ118:GFC118 GOV118:GOY118 GYR118:GYU118 HIN118:HIQ118 HSJ118:HSM118 ICF118:ICI118 IMB118:IME118 IVX118:IWA118 JFT118:JFW118 JPP118:JPS118 JZL118:JZO118 KJH118:KJK118 KTD118:KTG118 LCZ118:LDC118 LMV118:LMY118 LWR118:LWU118 MGN118:MGQ118 MQJ118:MQM118 NAF118:NAI118 NKB118:NKE118 NTX118:NUA118 ODT118:ODW118 ONP118:ONS118 OXL118:OXO118 PHH118:PHK118 PRD118:PRG118 QAZ118:QBC118 QKV118:QKY118 QUR118:QUU118 REN118:REQ118 ROJ118:ROM118 RYF118:RYI118 SIB118:SIE118 SRX118:SSA118 TBT118:TBW118 TLP118:TLS118 TVL118:TVO118 UFH118:UFK118 UPD118:UPG118 UYZ118:UZC118 VIV118:VIY118 VSR118:VSU118 WCN118:WCQ118 WMJ118:WMM118 WWF118:WWI118 W64201:Z64201 JT64201:JW64201 TP64201:TS64201 ADL64201:ADO64201 ANH64201:ANK64201 AXD64201:AXG64201 BGZ64201:BHC64201 BQV64201:BQY64201 CAR64201:CAU64201 CKN64201:CKQ64201 CUJ64201:CUM64201 DEF64201:DEI64201 DOB64201:DOE64201 DXX64201:DYA64201 EHT64201:EHW64201 ERP64201:ERS64201 FBL64201:FBO64201 FLH64201:FLK64201 FVD64201:FVG64201 GEZ64201:GFC64201 GOV64201:GOY64201 GYR64201:GYU64201 HIN64201:HIQ64201 HSJ64201:HSM64201 ICF64201:ICI64201 IMB64201:IME64201 IVX64201:IWA64201 JFT64201:JFW64201 JPP64201:JPS64201 JZL64201:JZO64201 KJH64201:KJK64201 KTD64201:KTG64201 LCZ64201:LDC64201 LMV64201:LMY64201 LWR64201:LWU64201 MGN64201:MGQ64201 MQJ64201:MQM64201 NAF64201:NAI64201 NKB64201:NKE64201 NTX64201:NUA64201 ODT64201:ODW64201 ONP64201:ONS64201 OXL64201:OXO64201 PHH64201:PHK64201 PRD64201:PRG64201 QAZ64201:QBC64201 QKV64201:QKY64201 QUR64201:QUU64201 REN64201:REQ64201 ROJ64201:ROM64201 RYF64201:RYI64201 SIB64201:SIE64201 SRX64201:SSA64201 TBT64201:TBW64201 TLP64201:TLS64201 TVL64201:TVO64201 UFH64201:UFK64201 UPD64201:UPG64201 UYZ64201:UZC64201 VIV64201:VIY64201 VSR64201:VSU64201 WCN64201:WCQ64201 WMJ64201:WMM64201 WWF64201:WWI64201 W129737:Z129737 JT129737:JW129737 TP129737:TS129737 ADL129737:ADO129737 ANH129737:ANK129737 AXD129737:AXG129737 BGZ129737:BHC129737 BQV129737:BQY129737 CAR129737:CAU129737 CKN129737:CKQ129737 CUJ129737:CUM129737 DEF129737:DEI129737 DOB129737:DOE129737 DXX129737:DYA129737 EHT129737:EHW129737 ERP129737:ERS129737 FBL129737:FBO129737 FLH129737:FLK129737 FVD129737:FVG129737 GEZ129737:GFC129737 GOV129737:GOY129737 GYR129737:GYU129737 HIN129737:HIQ129737 HSJ129737:HSM129737 ICF129737:ICI129737 IMB129737:IME129737 IVX129737:IWA129737 JFT129737:JFW129737 JPP129737:JPS129737 JZL129737:JZO129737 KJH129737:KJK129737 KTD129737:KTG129737 LCZ129737:LDC129737 LMV129737:LMY129737 LWR129737:LWU129737 MGN129737:MGQ129737 MQJ129737:MQM129737 NAF129737:NAI129737 NKB129737:NKE129737 NTX129737:NUA129737 ODT129737:ODW129737 ONP129737:ONS129737 OXL129737:OXO129737 PHH129737:PHK129737 PRD129737:PRG129737 QAZ129737:QBC129737 QKV129737:QKY129737 QUR129737:QUU129737 REN129737:REQ129737 ROJ129737:ROM129737 RYF129737:RYI129737 SIB129737:SIE129737 SRX129737:SSA129737 TBT129737:TBW129737 TLP129737:TLS129737 TVL129737:TVO129737 UFH129737:UFK129737 UPD129737:UPG129737 UYZ129737:UZC129737 VIV129737:VIY129737 VSR129737:VSU129737 WCN129737:WCQ129737 WMJ129737:WMM129737 WWF129737:WWI129737 W195273:Z195273 JT195273:JW195273 TP195273:TS195273 ADL195273:ADO195273 ANH195273:ANK195273 AXD195273:AXG195273 BGZ195273:BHC195273 BQV195273:BQY195273 CAR195273:CAU195273 CKN195273:CKQ195273 CUJ195273:CUM195273 DEF195273:DEI195273 DOB195273:DOE195273 DXX195273:DYA195273 EHT195273:EHW195273 ERP195273:ERS195273 FBL195273:FBO195273 FLH195273:FLK195273 FVD195273:FVG195273 GEZ195273:GFC195273 GOV195273:GOY195273 GYR195273:GYU195273 HIN195273:HIQ195273 HSJ195273:HSM195273 ICF195273:ICI195273 IMB195273:IME195273 IVX195273:IWA195273 JFT195273:JFW195273 JPP195273:JPS195273 JZL195273:JZO195273 KJH195273:KJK195273 KTD195273:KTG195273 LCZ195273:LDC195273 LMV195273:LMY195273 LWR195273:LWU195273 MGN195273:MGQ195273 MQJ195273:MQM195273 NAF195273:NAI195273 NKB195273:NKE195273 NTX195273:NUA195273 ODT195273:ODW195273 ONP195273:ONS195273 OXL195273:OXO195273 PHH195273:PHK195273 PRD195273:PRG195273 QAZ195273:QBC195273 QKV195273:QKY195273 QUR195273:QUU195273 REN195273:REQ195273 ROJ195273:ROM195273 RYF195273:RYI195273 SIB195273:SIE195273 SRX195273:SSA195273 TBT195273:TBW195273 TLP195273:TLS195273 TVL195273:TVO195273 UFH195273:UFK195273 UPD195273:UPG195273 UYZ195273:UZC195273 VIV195273:VIY195273 VSR195273:VSU195273 WCN195273:WCQ195273 WMJ195273:WMM195273 WWF195273:WWI195273 W260809:Z260809 JT260809:JW260809 TP260809:TS260809 ADL260809:ADO260809 ANH260809:ANK260809 AXD260809:AXG260809 BGZ260809:BHC260809 BQV260809:BQY260809 CAR260809:CAU260809 CKN260809:CKQ260809 CUJ260809:CUM260809 DEF260809:DEI260809 DOB260809:DOE260809 DXX260809:DYA260809 EHT260809:EHW260809 ERP260809:ERS260809 FBL260809:FBO260809 FLH260809:FLK260809 FVD260809:FVG260809 GEZ260809:GFC260809 GOV260809:GOY260809 GYR260809:GYU260809 HIN260809:HIQ260809 HSJ260809:HSM260809 ICF260809:ICI260809 IMB260809:IME260809 IVX260809:IWA260809 JFT260809:JFW260809 JPP260809:JPS260809 JZL260809:JZO260809 KJH260809:KJK260809 KTD260809:KTG260809 LCZ260809:LDC260809 LMV260809:LMY260809 LWR260809:LWU260809 MGN260809:MGQ260809 MQJ260809:MQM260809 NAF260809:NAI260809 NKB260809:NKE260809 NTX260809:NUA260809 ODT260809:ODW260809 ONP260809:ONS260809 OXL260809:OXO260809 PHH260809:PHK260809 PRD260809:PRG260809 QAZ260809:QBC260809 QKV260809:QKY260809 QUR260809:QUU260809 REN260809:REQ260809 ROJ260809:ROM260809 RYF260809:RYI260809 SIB260809:SIE260809 SRX260809:SSA260809 TBT260809:TBW260809 TLP260809:TLS260809 TVL260809:TVO260809 UFH260809:UFK260809 UPD260809:UPG260809 UYZ260809:UZC260809 VIV260809:VIY260809 VSR260809:VSU260809 WCN260809:WCQ260809 WMJ260809:WMM260809 WWF260809:WWI260809 W326345:Z326345 JT326345:JW326345 TP326345:TS326345 ADL326345:ADO326345 ANH326345:ANK326345 AXD326345:AXG326345 BGZ326345:BHC326345 BQV326345:BQY326345 CAR326345:CAU326345 CKN326345:CKQ326345 CUJ326345:CUM326345 DEF326345:DEI326345 DOB326345:DOE326345 DXX326345:DYA326345 EHT326345:EHW326345 ERP326345:ERS326345 FBL326345:FBO326345 FLH326345:FLK326345 FVD326345:FVG326345 GEZ326345:GFC326345 GOV326345:GOY326345 GYR326345:GYU326345 HIN326345:HIQ326345 HSJ326345:HSM326345 ICF326345:ICI326345 IMB326345:IME326345 IVX326345:IWA326345 JFT326345:JFW326345 JPP326345:JPS326345 JZL326345:JZO326345 KJH326345:KJK326345 KTD326345:KTG326345 LCZ326345:LDC326345 LMV326345:LMY326345 LWR326345:LWU326345 MGN326345:MGQ326345 MQJ326345:MQM326345 NAF326345:NAI326345 NKB326345:NKE326345 NTX326345:NUA326345 ODT326345:ODW326345 ONP326345:ONS326345 OXL326345:OXO326345 PHH326345:PHK326345 PRD326345:PRG326345 QAZ326345:QBC326345 QKV326345:QKY326345 QUR326345:QUU326345 REN326345:REQ326345 ROJ326345:ROM326345 RYF326345:RYI326345 SIB326345:SIE326345 SRX326345:SSA326345 TBT326345:TBW326345 TLP326345:TLS326345 TVL326345:TVO326345 UFH326345:UFK326345 UPD326345:UPG326345 UYZ326345:UZC326345 VIV326345:VIY326345 VSR326345:VSU326345 WCN326345:WCQ326345 WMJ326345:WMM326345 WWF326345:WWI326345 W391881:Z391881 JT391881:JW391881 TP391881:TS391881 ADL391881:ADO391881 ANH391881:ANK391881 AXD391881:AXG391881 BGZ391881:BHC391881 BQV391881:BQY391881 CAR391881:CAU391881 CKN391881:CKQ391881 CUJ391881:CUM391881 DEF391881:DEI391881 DOB391881:DOE391881 DXX391881:DYA391881 EHT391881:EHW391881 ERP391881:ERS391881 FBL391881:FBO391881 FLH391881:FLK391881 FVD391881:FVG391881 GEZ391881:GFC391881 GOV391881:GOY391881 GYR391881:GYU391881 HIN391881:HIQ391881 HSJ391881:HSM391881 ICF391881:ICI391881 IMB391881:IME391881 IVX391881:IWA391881 JFT391881:JFW391881 JPP391881:JPS391881 JZL391881:JZO391881 KJH391881:KJK391881 KTD391881:KTG391881 LCZ391881:LDC391881 LMV391881:LMY391881 LWR391881:LWU391881 MGN391881:MGQ391881 MQJ391881:MQM391881 NAF391881:NAI391881 NKB391881:NKE391881 NTX391881:NUA391881 ODT391881:ODW391881 ONP391881:ONS391881 OXL391881:OXO391881 PHH391881:PHK391881 PRD391881:PRG391881 QAZ391881:QBC391881 QKV391881:QKY391881 QUR391881:QUU391881 REN391881:REQ391881 ROJ391881:ROM391881 RYF391881:RYI391881 SIB391881:SIE391881 SRX391881:SSA391881 TBT391881:TBW391881 TLP391881:TLS391881 TVL391881:TVO391881 UFH391881:UFK391881 UPD391881:UPG391881 UYZ391881:UZC391881 VIV391881:VIY391881 VSR391881:VSU391881 WCN391881:WCQ391881 WMJ391881:WMM391881 WWF391881:WWI391881 W457417:Z457417 JT457417:JW457417 TP457417:TS457417 ADL457417:ADO457417 ANH457417:ANK457417 AXD457417:AXG457417 BGZ457417:BHC457417 BQV457417:BQY457417 CAR457417:CAU457417 CKN457417:CKQ457417 CUJ457417:CUM457417 DEF457417:DEI457417 DOB457417:DOE457417 DXX457417:DYA457417 EHT457417:EHW457417 ERP457417:ERS457417 FBL457417:FBO457417 FLH457417:FLK457417 FVD457417:FVG457417 GEZ457417:GFC457417 GOV457417:GOY457417 GYR457417:GYU457417 HIN457417:HIQ457417 HSJ457417:HSM457417 ICF457417:ICI457417 IMB457417:IME457417 IVX457417:IWA457417 JFT457417:JFW457417 JPP457417:JPS457417 JZL457417:JZO457417 KJH457417:KJK457417 KTD457417:KTG457417 LCZ457417:LDC457417 LMV457417:LMY457417 LWR457417:LWU457417 MGN457417:MGQ457417 MQJ457417:MQM457417 NAF457417:NAI457417 NKB457417:NKE457417 NTX457417:NUA457417 ODT457417:ODW457417 ONP457417:ONS457417 OXL457417:OXO457417 PHH457417:PHK457417 PRD457417:PRG457417 QAZ457417:QBC457417 QKV457417:QKY457417 QUR457417:QUU457417 REN457417:REQ457417 ROJ457417:ROM457417 RYF457417:RYI457417 SIB457417:SIE457417 SRX457417:SSA457417 TBT457417:TBW457417 TLP457417:TLS457417 TVL457417:TVO457417 UFH457417:UFK457417 UPD457417:UPG457417 UYZ457417:UZC457417 VIV457417:VIY457417 VSR457417:VSU457417 WCN457417:WCQ457417 WMJ457417:WMM457417 WWF457417:WWI457417 W522953:Z522953 JT522953:JW522953 TP522953:TS522953 ADL522953:ADO522953 ANH522953:ANK522953 AXD522953:AXG522953 BGZ522953:BHC522953 BQV522953:BQY522953 CAR522953:CAU522953 CKN522953:CKQ522953 CUJ522953:CUM522953 DEF522953:DEI522953 DOB522953:DOE522953 DXX522953:DYA522953 EHT522953:EHW522953 ERP522953:ERS522953 FBL522953:FBO522953 FLH522953:FLK522953 FVD522953:FVG522953 GEZ522953:GFC522953 GOV522953:GOY522953 GYR522953:GYU522953 HIN522953:HIQ522953 HSJ522953:HSM522953 ICF522953:ICI522953 IMB522953:IME522953 IVX522953:IWA522953 JFT522953:JFW522953 JPP522953:JPS522953 JZL522953:JZO522953 KJH522953:KJK522953 KTD522953:KTG522953 LCZ522953:LDC522953 LMV522953:LMY522953 LWR522953:LWU522953 MGN522953:MGQ522953 MQJ522953:MQM522953 NAF522953:NAI522953 NKB522953:NKE522953 NTX522953:NUA522953 ODT522953:ODW522953 ONP522953:ONS522953 OXL522953:OXO522953 PHH522953:PHK522953 PRD522953:PRG522953 QAZ522953:QBC522953 QKV522953:QKY522953 QUR522953:QUU522953 REN522953:REQ522953 ROJ522953:ROM522953 RYF522953:RYI522953 SIB522953:SIE522953 SRX522953:SSA522953 TBT522953:TBW522953 TLP522953:TLS522953 TVL522953:TVO522953 UFH522953:UFK522953 UPD522953:UPG522953 UYZ522953:UZC522953 VIV522953:VIY522953 VSR522953:VSU522953 WCN522953:WCQ522953 WMJ522953:WMM522953 WWF522953:WWI522953 W588489:Z588489 JT588489:JW588489 TP588489:TS588489 ADL588489:ADO588489 ANH588489:ANK588489 AXD588489:AXG588489 BGZ588489:BHC588489 BQV588489:BQY588489 CAR588489:CAU588489 CKN588489:CKQ588489 CUJ588489:CUM588489 DEF588489:DEI588489 DOB588489:DOE588489 DXX588489:DYA588489 EHT588489:EHW588489 ERP588489:ERS588489 FBL588489:FBO588489 FLH588489:FLK588489 FVD588489:FVG588489 GEZ588489:GFC588489 GOV588489:GOY588489 GYR588489:GYU588489 HIN588489:HIQ588489 HSJ588489:HSM588489 ICF588489:ICI588489 IMB588489:IME588489 IVX588489:IWA588489 JFT588489:JFW588489 JPP588489:JPS588489 JZL588489:JZO588489 KJH588489:KJK588489 KTD588489:KTG588489 LCZ588489:LDC588489 LMV588489:LMY588489 LWR588489:LWU588489 MGN588489:MGQ588489 MQJ588489:MQM588489 NAF588489:NAI588489 NKB588489:NKE588489 NTX588489:NUA588489 ODT588489:ODW588489 ONP588489:ONS588489 OXL588489:OXO588489 PHH588489:PHK588489 PRD588489:PRG588489 QAZ588489:QBC588489 QKV588489:QKY588489 QUR588489:QUU588489 REN588489:REQ588489 ROJ588489:ROM588489 RYF588489:RYI588489 SIB588489:SIE588489 SRX588489:SSA588489 TBT588489:TBW588489 TLP588489:TLS588489 TVL588489:TVO588489 UFH588489:UFK588489 UPD588489:UPG588489 UYZ588489:UZC588489 VIV588489:VIY588489 VSR588489:VSU588489 WCN588489:WCQ588489 WMJ588489:WMM588489 WWF588489:WWI588489 W654025:Z654025 JT654025:JW654025 TP654025:TS654025 ADL654025:ADO654025 ANH654025:ANK654025 AXD654025:AXG654025 BGZ654025:BHC654025 BQV654025:BQY654025 CAR654025:CAU654025 CKN654025:CKQ654025 CUJ654025:CUM654025 DEF654025:DEI654025 DOB654025:DOE654025 DXX654025:DYA654025 EHT654025:EHW654025 ERP654025:ERS654025 FBL654025:FBO654025 FLH654025:FLK654025 FVD654025:FVG654025 GEZ654025:GFC654025 GOV654025:GOY654025 GYR654025:GYU654025 HIN654025:HIQ654025 HSJ654025:HSM654025 ICF654025:ICI654025 IMB654025:IME654025 IVX654025:IWA654025 JFT654025:JFW654025 JPP654025:JPS654025 JZL654025:JZO654025 KJH654025:KJK654025 KTD654025:KTG654025 LCZ654025:LDC654025 LMV654025:LMY654025 LWR654025:LWU654025 MGN654025:MGQ654025 MQJ654025:MQM654025 NAF654025:NAI654025 NKB654025:NKE654025 NTX654025:NUA654025 ODT654025:ODW654025 ONP654025:ONS654025 OXL654025:OXO654025 PHH654025:PHK654025 PRD654025:PRG654025 QAZ654025:QBC654025 QKV654025:QKY654025 QUR654025:QUU654025 REN654025:REQ654025 ROJ654025:ROM654025 RYF654025:RYI654025 SIB654025:SIE654025 SRX654025:SSA654025 TBT654025:TBW654025 TLP654025:TLS654025 TVL654025:TVO654025 UFH654025:UFK654025 UPD654025:UPG654025 UYZ654025:UZC654025 VIV654025:VIY654025 VSR654025:VSU654025 WCN654025:WCQ654025 WMJ654025:WMM654025 WWF654025:WWI654025 W719561:Z719561 JT719561:JW719561 TP719561:TS719561 ADL719561:ADO719561 ANH719561:ANK719561 AXD719561:AXG719561 BGZ719561:BHC719561 BQV719561:BQY719561 CAR719561:CAU719561 CKN719561:CKQ719561 CUJ719561:CUM719561 DEF719561:DEI719561 DOB719561:DOE719561 DXX719561:DYA719561 EHT719561:EHW719561 ERP719561:ERS719561 FBL719561:FBO719561 FLH719561:FLK719561 FVD719561:FVG719561 GEZ719561:GFC719561 GOV719561:GOY719561 GYR719561:GYU719561 HIN719561:HIQ719561 HSJ719561:HSM719561 ICF719561:ICI719561 IMB719561:IME719561 IVX719561:IWA719561 JFT719561:JFW719561 JPP719561:JPS719561 JZL719561:JZO719561 KJH719561:KJK719561 KTD719561:KTG719561 LCZ719561:LDC719561 LMV719561:LMY719561 LWR719561:LWU719561 MGN719561:MGQ719561 MQJ719561:MQM719561 NAF719561:NAI719561 NKB719561:NKE719561 NTX719561:NUA719561 ODT719561:ODW719561 ONP719561:ONS719561 OXL719561:OXO719561 PHH719561:PHK719561 PRD719561:PRG719561 QAZ719561:QBC719561 QKV719561:QKY719561 QUR719561:QUU719561 REN719561:REQ719561 ROJ719561:ROM719561 RYF719561:RYI719561 SIB719561:SIE719561 SRX719561:SSA719561 TBT719561:TBW719561 TLP719561:TLS719561 TVL719561:TVO719561 UFH719561:UFK719561 UPD719561:UPG719561 UYZ719561:UZC719561 VIV719561:VIY719561 VSR719561:VSU719561 WCN719561:WCQ719561 WMJ719561:WMM719561 WWF719561:WWI719561 W785097:Z785097 JT785097:JW785097 TP785097:TS785097 ADL785097:ADO785097 ANH785097:ANK785097 AXD785097:AXG785097 BGZ785097:BHC785097 BQV785097:BQY785097 CAR785097:CAU785097 CKN785097:CKQ785097 CUJ785097:CUM785097 DEF785097:DEI785097 DOB785097:DOE785097 DXX785097:DYA785097 EHT785097:EHW785097 ERP785097:ERS785097 FBL785097:FBO785097 FLH785097:FLK785097 FVD785097:FVG785097 GEZ785097:GFC785097 GOV785097:GOY785097 GYR785097:GYU785097 HIN785097:HIQ785097 HSJ785097:HSM785097 ICF785097:ICI785097 IMB785097:IME785097 IVX785097:IWA785097 JFT785097:JFW785097 JPP785097:JPS785097 JZL785097:JZO785097 KJH785097:KJK785097 KTD785097:KTG785097 LCZ785097:LDC785097 LMV785097:LMY785097 LWR785097:LWU785097 MGN785097:MGQ785097 MQJ785097:MQM785097 NAF785097:NAI785097 NKB785097:NKE785097 NTX785097:NUA785097 ODT785097:ODW785097 ONP785097:ONS785097 OXL785097:OXO785097 PHH785097:PHK785097 PRD785097:PRG785097 QAZ785097:QBC785097 QKV785097:QKY785097 QUR785097:QUU785097 REN785097:REQ785097 ROJ785097:ROM785097 RYF785097:RYI785097 SIB785097:SIE785097 SRX785097:SSA785097 TBT785097:TBW785097 TLP785097:TLS785097 TVL785097:TVO785097 UFH785097:UFK785097 UPD785097:UPG785097 UYZ785097:UZC785097 VIV785097:VIY785097 VSR785097:VSU785097 WCN785097:WCQ785097 WMJ785097:WMM785097 WWF785097:WWI785097 W850633:Z850633 JT850633:JW850633 TP850633:TS850633 ADL850633:ADO850633 ANH850633:ANK850633 AXD850633:AXG850633 BGZ850633:BHC850633 BQV850633:BQY850633 CAR850633:CAU850633 CKN850633:CKQ850633 CUJ850633:CUM850633 DEF850633:DEI850633 DOB850633:DOE850633 DXX850633:DYA850633 EHT850633:EHW850633 ERP850633:ERS850633 FBL850633:FBO850633 FLH850633:FLK850633 FVD850633:FVG850633 GEZ850633:GFC850633 GOV850633:GOY850633 GYR850633:GYU850633 HIN850633:HIQ850633 HSJ850633:HSM850633 ICF850633:ICI850633 IMB850633:IME850633 IVX850633:IWA850633 JFT850633:JFW850633 JPP850633:JPS850633 JZL850633:JZO850633 KJH850633:KJK850633 KTD850633:KTG850633 LCZ850633:LDC850633 LMV850633:LMY850633 LWR850633:LWU850633 MGN850633:MGQ850633 MQJ850633:MQM850633 NAF850633:NAI850633 NKB850633:NKE850633 NTX850633:NUA850633 ODT850633:ODW850633 ONP850633:ONS850633 OXL850633:OXO850633 PHH850633:PHK850633 PRD850633:PRG850633 QAZ850633:QBC850633 QKV850633:QKY850633 QUR850633:QUU850633 REN850633:REQ850633 ROJ850633:ROM850633 RYF850633:RYI850633 SIB850633:SIE850633 SRX850633:SSA850633 TBT850633:TBW850633 TLP850633:TLS850633 TVL850633:TVO850633 UFH850633:UFK850633 UPD850633:UPG850633 UYZ850633:UZC850633 VIV850633:VIY850633 VSR850633:VSU850633 WCN850633:WCQ850633 WMJ850633:WMM850633 WWF850633:WWI850633 W916169:Z916169 JT916169:JW916169 TP916169:TS916169 ADL916169:ADO916169 ANH916169:ANK916169 AXD916169:AXG916169 BGZ916169:BHC916169 BQV916169:BQY916169 CAR916169:CAU916169 CKN916169:CKQ916169 CUJ916169:CUM916169 DEF916169:DEI916169 DOB916169:DOE916169 DXX916169:DYA916169 EHT916169:EHW916169 ERP916169:ERS916169 FBL916169:FBO916169 FLH916169:FLK916169 FVD916169:FVG916169 GEZ916169:GFC916169 GOV916169:GOY916169 GYR916169:GYU916169 HIN916169:HIQ916169 HSJ916169:HSM916169 ICF916169:ICI916169 IMB916169:IME916169 IVX916169:IWA916169 JFT916169:JFW916169 JPP916169:JPS916169 JZL916169:JZO916169 KJH916169:KJK916169 KTD916169:KTG916169 LCZ916169:LDC916169 LMV916169:LMY916169 LWR916169:LWU916169 MGN916169:MGQ916169 MQJ916169:MQM916169 NAF916169:NAI916169 NKB916169:NKE916169 NTX916169:NUA916169 ODT916169:ODW916169 ONP916169:ONS916169 OXL916169:OXO916169 PHH916169:PHK916169 PRD916169:PRG916169 QAZ916169:QBC916169 QKV916169:QKY916169 QUR916169:QUU916169 REN916169:REQ916169 ROJ916169:ROM916169 RYF916169:RYI916169 SIB916169:SIE916169 SRX916169:SSA916169 TBT916169:TBW916169 TLP916169:TLS916169 TVL916169:TVO916169 UFH916169:UFK916169 UPD916169:UPG916169 UYZ916169:UZC916169 VIV916169:VIY916169 VSR916169:VSU916169 WCN916169:WCQ916169 WMJ916169:WMM916169 WWF916169:WWI916169 W981705:Z981705 JT981705:JW981705 TP981705:TS981705 ADL981705:ADO981705 ANH981705:ANK981705 AXD981705:AXG981705 BGZ981705:BHC981705 BQV981705:BQY981705 CAR981705:CAU981705 CKN981705:CKQ981705 CUJ981705:CUM981705 DEF981705:DEI981705 DOB981705:DOE981705 DXX981705:DYA981705 EHT981705:EHW981705 ERP981705:ERS981705 FBL981705:FBO981705 FLH981705:FLK981705 FVD981705:FVG981705 GEZ981705:GFC981705 GOV981705:GOY981705 GYR981705:GYU981705 HIN981705:HIQ981705 HSJ981705:HSM981705 ICF981705:ICI981705 IMB981705:IME981705 IVX981705:IWA981705 JFT981705:JFW981705 JPP981705:JPS981705 JZL981705:JZO981705 KJH981705:KJK981705 KTD981705:KTG981705 LCZ981705:LDC981705 LMV981705:LMY981705 LWR981705:LWU981705 MGN981705:MGQ981705 MQJ981705:MQM981705 NAF981705:NAI981705 NKB981705:NKE981705 NTX981705:NUA981705 ODT981705:ODW981705 ONP981705:ONS981705 OXL981705:OXO981705 PHH981705:PHK981705 PRD981705:PRG981705 QAZ981705:QBC981705 QKV981705:QKY981705 QUR981705:QUU981705 REN981705:REQ981705 ROJ981705:ROM981705 RYF981705:RYI981705 SIB981705:SIE981705 SRX981705:SSA981705 TBT981705:TBW981705 TLP981705:TLS981705 TVL981705:TVO981705 UFH981705:UFK981705 UPD981705:UPG981705 UYZ981705:UZC981705 VIV981705:VIY981705 VSR981705:VSU981705 WCN981705:WCQ981705 WMJ981705:WMM981705 WWF981705:WWI981705">
      <formula1>0</formula1>
      <formula2>0</formula2>
    </dataValidation>
    <dataValidation type="decimal" operator="notBetween" allowBlank="1" showInputMessage="1" showErrorMessage="1" errorTitle="係数の入力" error="”０” 以外の 数値 を入力して下さい！！" sqref="E118:H118 JB118:JE118 SX118:TA118 ACT118:ACW118 AMP118:AMS118 AWL118:AWO118 BGH118:BGK118 BQD118:BQG118 BZZ118:CAC118 CJV118:CJY118 CTR118:CTU118 DDN118:DDQ118 DNJ118:DNM118 DXF118:DXI118 EHB118:EHE118 EQX118:ERA118 FAT118:FAW118 FKP118:FKS118 FUL118:FUO118 GEH118:GEK118 GOD118:GOG118 GXZ118:GYC118 HHV118:HHY118 HRR118:HRU118 IBN118:IBQ118 ILJ118:ILM118 IVF118:IVI118 JFB118:JFE118 JOX118:JPA118 JYT118:JYW118 KIP118:KIS118 KSL118:KSO118 LCH118:LCK118 LMD118:LMG118 LVZ118:LWC118 MFV118:MFY118 MPR118:MPU118 MZN118:MZQ118 NJJ118:NJM118 NTF118:NTI118 ODB118:ODE118 OMX118:ONA118 OWT118:OWW118 PGP118:PGS118 PQL118:PQO118 QAH118:QAK118 QKD118:QKG118 QTZ118:QUC118 RDV118:RDY118 RNR118:RNU118 RXN118:RXQ118 SHJ118:SHM118 SRF118:SRI118 TBB118:TBE118 TKX118:TLA118 TUT118:TUW118 UEP118:UES118 UOL118:UOO118 UYH118:UYK118 VID118:VIG118 VRZ118:VSC118 WBV118:WBY118 WLR118:WLU118 WVN118:WVQ118 E64201:H64201 JB64201:JE64201 SX64201:TA64201 ACT64201:ACW64201 AMP64201:AMS64201 AWL64201:AWO64201 BGH64201:BGK64201 BQD64201:BQG64201 BZZ64201:CAC64201 CJV64201:CJY64201 CTR64201:CTU64201 DDN64201:DDQ64201 DNJ64201:DNM64201 DXF64201:DXI64201 EHB64201:EHE64201 EQX64201:ERA64201 FAT64201:FAW64201 FKP64201:FKS64201 FUL64201:FUO64201 GEH64201:GEK64201 GOD64201:GOG64201 GXZ64201:GYC64201 HHV64201:HHY64201 HRR64201:HRU64201 IBN64201:IBQ64201 ILJ64201:ILM64201 IVF64201:IVI64201 JFB64201:JFE64201 JOX64201:JPA64201 JYT64201:JYW64201 KIP64201:KIS64201 KSL64201:KSO64201 LCH64201:LCK64201 LMD64201:LMG64201 LVZ64201:LWC64201 MFV64201:MFY64201 MPR64201:MPU64201 MZN64201:MZQ64201 NJJ64201:NJM64201 NTF64201:NTI64201 ODB64201:ODE64201 OMX64201:ONA64201 OWT64201:OWW64201 PGP64201:PGS64201 PQL64201:PQO64201 QAH64201:QAK64201 QKD64201:QKG64201 QTZ64201:QUC64201 RDV64201:RDY64201 RNR64201:RNU64201 RXN64201:RXQ64201 SHJ64201:SHM64201 SRF64201:SRI64201 TBB64201:TBE64201 TKX64201:TLA64201 TUT64201:TUW64201 UEP64201:UES64201 UOL64201:UOO64201 UYH64201:UYK64201 VID64201:VIG64201 VRZ64201:VSC64201 WBV64201:WBY64201 WLR64201:WLU64201 WVN64201:WVQ64201 E129737:H129737 JB129737:JE129737 SX129737:TA129737 ACT129737:ACW129737 AMP129737:AMS129737 AWL129737:AWO129737 BGH129737:BGK129737 BQD129737:BQG129737 BZZ129737:CAC129737 CJV129737:CJY129737 CTR129737:CTU129737 DDN129737:DDQ129737 DNJ129737:DNM129737 DXF129737:DXI129737 EHB129737:EHE129737 EQX129737:ERA129737 FAT129737:FAW129737 FKP129737:FKS129737 FUL129737:FUO129737 GEH129737:GEK129737 GOD129737:GOG129737 GXZ129737:GYC129737 HHV129737:HHY129737 HRR129737:HRU129737 IBN129737:IBQ129737 ILJ129737:ILM129737 IVF129737:IVI129737 JFB129737:JFE129737 JOX129737:JPA129737 JYT129737:JYW129737 KIP129737:KIS129737 KSL129737:KSO129737 LCH129737:LCK129737 LMD129737:LMG129737 LVZ129737:LWC129737 MFV129737:MFY129737 MPR129737:MPU129737 MZN129737:MZQ129737 NJJ129737:NJM129737 NTF129737:NTI129737 ODB129737:ODE129737 OMX129737:ONA129737 OWT129737:OWW129737 PGP129737:PGS129737 PQL129737:PQO129737 QAH129737:QAK129737 QKD129737:QKG129737 QTZ129737:QUC129737 RDV129737:RDY129737 RNR129737:RNU129737 RXN129737:RXQ129737 SHJ129737:SHM129737 SRF129737:SRI129737 TBB129737:TBE129737 TKX129737:TLA129737 TUT129737:TUW129737 UEP129737:UES129737 UOL129737:UOO129737 UYH129737:UYK129737 VID129737:VIG129737 VRZ129737:VSC129737 WBV129737:WBY129737 WLR129737:WLU129737 WVN129737:WVQ129737 E195273:H195273 JB195273:JE195273 SX195273:TA195273 ACT195273:ACW195273 AMP195273:AMS195273 AWL195273:AWO195273 BGH195273:BGK195273 BQD195273:BQG195273 BZZ195273:CAC195273 CJV195273:CJY195273 CTR195273:CTU195273 DDN195273:DDQ195273 DNJ195273:DNM195273 DXF195273:DXI195273 EHB195273:EHE195273 EQX195273:ERA195273 FAT195273:FAW195273 FKP195273:FKS195273 FUL195273:FUO195273 GEH195273:GEK195273 GOD195273:GOG195273 GXZ195273:GYC195273 HHV195273:HHY195273 HRR195273:HRU195273 IBN195273:IBQ195273 ILJ195273:ILM195273 IVF195273:IVI195273 JFB195273:JFE195273 JOX195273:JPA195273 JYT195273:JYW195273 KIP195273:KIS195273 KSL195273:KSO195273 LCH195273:LCK195273 LMD195273:LMG195273 LVZ195273:LWC195273 MFV195273:MFY195273 MPR195273:MPU195273 MZN195273:MZQ195273 NJJ195273:NJM195273 NTF195273:NTI195273 ODB195273:ODE195273 OMX195273:ONA195273 OWT195273:OWW195273 PGP195273:PGS195273 PQL195273:PQO195273 QAH195273:QAK195273 QKD195273:QKG195273 QTZ195273:QUC195273 RDV195273:RDY195273 RNR195273:RNU195273 RXN195273:RXQ195273 SHJ195273:SHM195273 SRF195273:SRI195273 TBB195273:TBE195273 TKX195273:TLA195273 TUT195273:TUW195273 UEP195273:UES195273 UOL195273:UOO195273 UYH195273:UYK195273 VID195273:VIG195273 VRZ195273:VSC195273 WBV195273:WBY195273 WLR195273:WLU195273 WVN195273:WVQ195273 E260809:H260809 JB260809:JE260809 SX260809:TA260809 ACT260809:ACW260809 AMP260809:AMS260809 AWL260809:AWO260809 BGH260809:BGK260809 BQD260809:BQG260809 BZZ260809:CAC260809 CJV260809:CJY260809 CTR260809:CTU260809 DDN260809:DDQ260809 DNJ260809:DNM260809 DXF260809:DXI260809 EHB260809:EHE260809 EQX260809:ERA260809 FAT260809:FAW260809 FKP260809:FKS260809 FUL260809:FUO260809 GEH260809:GEK260809 GOD260809:GOG260809 GXZ260809:GYC260809 HHV260809:HHY260809 HRR260809:HRU260809 IBN260809:IBQ260809 ILJ260809:ILM260809 IVF260809:IVI260809 JFB260809:JFE260809 JOX260809:JPA260809 JYT260809:JYW260809 KIP260809:KIS260809 KSL260809:KSO260809 LCH260809:LCK260809 LMD260809:LMG260809 LVZ260809:LWC260809 MFV260809:MFY260809 MPR260809:MPU260809 MZN260809:MZQ260809 NJJ260809:NJM260809 NTF260809:NTI260809 ODB260809:ODE260809 OMX260809:ONA260809 OWT260809:OWW260809 PGP260809:PGS260809 PQL260809:PQO260809 QAH260809:QAK260809 QKD260809:QKG260809 QTZ260809:QUC260809 RDV260809:RDY260809 RNR260809:RNU260809 RXN260809:RXQ260809 SHJ260809:SHM260809 SRF260809:SRI260809 TBB260809:TBE260809 TKX260809:TLA260809 TUT260809:TUW260809 UEP260809:UES260809 UOL260809:UOO260809 UYH260809:UYK260809 VID260809:VIG260809 VRZ260809:VSC260809 WBV260809:WBY260809 WLR260809:WLU260809 WVN260809:WVQ260809 E326345:H326345 JB326345:JE326345 SX326345:TA326345 ACT326345:ACW326345 AMP326345:AMS326345 AWL326345:AWO326345 BGH326345:BGK326345 BQD326345:BQG326345 BZZ326345:CAC326345 CJV326345:CJY326345 CTR326345:CTU326345 DDN326345:DDQ326345 DNJ326345:DNM326345 DXF326345:DXI326345 EHB326345:EHE326345 EQX326345:ERA326345 FAT326345:FAW326345 FKP326345:FKS326345 FUL326345:FUO326345 GEH326345:GEK326345 GOD326345:GOG326345 GXZ326345:GYC326345 HHV326345:HHY326345 HRR326345:HRU326345 IBN326345:IBQ326345 ILJ326345:ILM326345 IVF326345:IVI326345 JFB326345:JFE326345 JOX326345:JPA326345 JYT326345:JYW326345 KIP326345:KIS326345 KSL326345:KSO326345 LCH326345:LCK326345 LMD326345:LMG326345 LVZ326345:LWC326345 MFV326345:MFY326345 MPR326345:MPU326345 MZN326345:MZQ326345 NJJ326345:NJM326345 NTF326345:NTI326345 ODB326345:ODE326345 OMX326345:ONA326345 OWT326345:OWW326345 PGP326345:PGS326345 PQL326345:PQO326345 QAH326345:QAK326345 QKD326345:QKG326345 QTZ326345:QUC326345 RDV326345:RDY326345 RNR326345:RNU326345 RXN326345:RXQ326345 SHJ326345:SHM326345 SRF326345:SRI326345 TBB326345:TBE326345 TKX326345:TLA326345 TUT326345:TUW326345 UEP326345:UES326345 UOL326345:UOO326345 UYH326345:UYK326345 VID326345:VIG326345 VRZ326345:VSC326345 WBV326345:WBY326345 WLR326345:WLU326345 WVN326345:WVQ326345 E391881:H391881 JB391881:JE391881 SX391881:TA391881 ACT391881:ACW391881 AMP391881:AMS391881 AWL391881:AWO391881 BGH391881:BGK391881 BQD391881:BQG391881 BZZ391881:CAC391881 CJV391881:CJY391881 CTR391881:CTU391881 DDN391881:DDQ391881 DNJ391881:DNM391881 DXF391881:DXI391881 EHB391881:EHE391881 EQX391881:ERA391881 FAT391881:FAW391881 FKP391881:FKS391881 FUL391881:FUO391881 GEH391881:GEK391881 GOD391881:GOG391881 GXZ391881:GYC391881 HHV391881:HHY391881 HRR391881:HRU391881 IBN391881:IBQ391881 ILJ391881:ILM391881 IVF391881:IVI391881 JFB391881:JFE391881 JOX391881:JPA391881 JYT391881:JYW391881 KIP391881:KIS391881 KSL391881:KSO391881 LCH391881:LCK391881 LMD391881:LMG391881 LVZ391881:LWC391881 MFV391881:MFY391881 MPR391881:MPU391881 MZN391881:MZQ391881 NJJ391881:NJM391881 NTF391881:NTI391881 ODB391881:ODE391881 OMX391881:ONA391881 OWT391881:OWW391881 PGP391881:PGS391881 PQL391881:PQO391881 QAH391881:QAK391881 QKD391881:QKG391881 QTZ391881:QUC391881 RDV391881:RDY391881 RNR391881:RNU391881 RXN391881:RXQ391881 SHJ391881:SHM391881 SRF391881:SRI391881 TBB391881:TBE391881 TKX391881:TLA391881 TUT391881:TUW391881 UEP391881:UES391881 UOL391881:UOO391881 UYH391881:UYK391881 VID391881:VIG391881 VRZ391881:VSC391881 WBV391881:WBY391881 WLR391881:WLU391881 WVN391881:WVQ391881 E457417:H457417 JB457417:JE457417 SX457417:TA457417 ACT457417:ACW457417 AMP457417:AMS457417 AWL457417:AWO457417 BGH457417:BGK457417 BQD457417:BQG457417 BZZ457417:CAC457417 CJV457417:CJY457417 CTR457417:CTU457417 DDN457417:DDQ457417 DNJ457417:DNM457417 DXF457417:DXI457417 EHB457417:EHE457417 EQX457417:ERA457417 FAT457417:FAW457417 FKP457417:FKS457417 FUL457417:FUO457417 GEH457417:GEK457417 GOD457417:GOG457417 GXZ457417:GYC457417 HHV457417:HHY457417 HRR457417:HRU457417 IBN457417:IBQ457417 ILJ457417:ILM457417 IVF457417:IVI457417 JFB457417:JFE457417 JOX457417:JPA457417 JYT457417:JYW457417 KIP457417:KIS457417 KSL457417:KSO457417 LCH457417:LCK457417 LMD457417:LMG457417 LVZ457417:LWC457417 MFV457417:MFY457417 MPR457417:MPU457417 MZN457417:MZQ457417 NJJ457417:NJM457417 NTF457417:NTI457417 ODB457417:ODE457417 OMX457417:ONA457417 OWT457417:OWW457417 PGP457417:PGS457417 PQL457417:PQO457417 QAH457417:QAK457417 QKD457417:QKG457417 QTZ457417:QUC457417 RDV457417:RDY457417 RNR457417:RNU457417 RXN457417:RXQ457417 SHJ457417:SHM457417 SRF457417:SRI457417 TBB457417:TBE457417 TKX457417:TLA457417 TUT457417:TUW457417 UEP457417:UES457417 UOL457417:UOO457417 UYH457417:UYK457417 VID457417:VIG457417 VRZ457417:VSC457417 WBV457417:WBY457417 WLR457417:WLU457417 WVN457417:WVQ457417 E522953:H522953 JB522953:JE522953 SX522953:TA522953 ACT522953:ACW522953 AMP522953:AMS522953 AWL522953:AWO522953 BGH522953:BGK522953 BQD522953:BQG522953 BZZ522953:CAC522953 CJV522953:CJY522953 CTR522953:CTU522953 DDN522953:DDQ522953 DNJ522953:DNM522953 DXF522953:DXI522953 EHB522953:EHE522953 EQX522953:ERA522953 FAT522953:FAW522953 FKP522953:FKS522953 FUL522953:FUO522953 GEH522953:GEK522953 GOD522953:GOG522953 GXZ522953:GYC522953 HHV522953:HHY522953 HRR522953:HRU522953 IBN522953:IBQ522953 ILJ522953:ILM522953 IVF522953:IVI522953 JFB522953:JFE522953 JOX522953:JPA522953 JYT522953:JYW522953 KIP522953:KIS522953 KSL522953:KSO522953 LCH522953:LCK522953 LMD522953:LMG522953 LVZ522953:LWC522953 MFV522953:MFY522953 MPR522953:MPU522953 MZN522953:MZQ522953 NJJ522953:NJM522953 NTF522953:NTI522953 ODB522953:ODE522953 OMX522953:ONA522953 OWT522953:OWW522953 PGP522953:PGS522953 PQL522953:PQO522953 QAH522953:QAK522953 QKD522953:QKG522953 QTZ522953:QUC522953 RDV522953:RDY522953 RNR522953:RNU522953 RXN522953:RXQ522953 SHJ522953:SHM522953 SRF522953:SRI522953 TBB522953:TBE522953 TKX522953:TLA522953 TUT522953:TUW522953 UEP522953:UES522953 UOL522953:UOO522953 UYH522953:UYK522953 VID522953:VIG522953 VRZ522953:VSC522953 WBV522953:WBY522953 WLR522953:WLU522953 WVN522953:WVQ522953 E588489:H588489 JB588489:JE588489 SX588489:TA588489 ACT588489:ACW588489 AMP588489:AMS588489 AWL588489:AWO588489 BGH588489:BGK588489 BQD588489:BQG588489 BZZ588489:CAC588489 CJV588489:CJY588489 CTR588489:CTU588489 DDN588489:DDQ588489 DNJ588489:DNM588489 DXF588489:DXI588489 EHB588489:EHE588489 EQX588489:ERA588489 FAT588489:FAW588489 FKP588489:FKS588489 FUL588489:FUO588489 GEH588489:GEK588489 GOD588489:GOG588489 GXZ588489:GYC588489 HHV588489:HHY588489 HRR588489:HRU588489 IBN588489:IBQ588489 ILJ588489:ILM588489 IVF588489:IVI588489 JFB588489:JFE588489 JOX588489:JPA588489 JYT588489:JYW588489 KIP588489:KIS588489 KSL588489:KSO588489 LCH588489:LCK588489 LMD588489:LMG588489 LVZ588489:LWC588489 MFV588489:MFY588489 MPR588489:MPU588489 MZN588489:MZQ588489 NJJ588489:NJM588489 NTF588489:NTI588489 ODB588489:ODE588489 OMX588489:ONA588489 OWT588489:OWW588489 PGP588489:PGS588489 PQL588489:PQO588489 QAH588489:QAK588489 QKD588489:QKG588489 QTZ588489:QUC588489 RDV588489:RDY588489 RNR588489:RNU588489 RXN588489:RXQ588489 SHJ588489:SHM588489 SRF588489:SRI588489 TBB588489:TBE588489 TKX588489:TLA588489 TUT588489:TUW588489 UEP588489:UES588489 UOL588489:UOO588489 UYH588489:UYK588489 VID588489:VIG588489 VRZ588489:VSC588489 WBV588489:WBY588489 WLR588489:WLU588489 WVN588489:WVQ588489 E654025:H654025 JB654025:JE654025 SX654025:TA654025 ACT654025:ACW654025 AMP654025:AMS654025 AWL654025:AWO654025 BGH654025:BGK654025 BQD654025:BQG654025 BZZ654025:CAC654025 CJV654025:CJY654025 CTR654025:CTU654025 DDN654025:DDQ654025 DNJ654025:DNM654025 DXF654025:DXI654025 EHB654025:EHE654025 EQX654025:ERA654025 FAT654025:FAW654025 FKP654025:FKS654025 FUL654025:FUO654025 GEH654025:GEK654025 GOD654025:GOG654025 GXZ654025:GYC654025 HHV654025:HHY654025 HRR654025:HRU654025 IBN654025:IBQ654025 ILJ654025:ILM654025 IVF654025:IVI654025 JFB654025:JFE654025 JOX654025:JPA654025 JYT654025:JYW654025 KIP654025:KIS654025 KSL654025:KSO654025 LCH654025:LCK654025 LMD654025:LMG654025 LVZ654025:LWC654025 MFV654025:MFY654025 MPR654025:MPU654025 MZN654025:MZQ654025 NJJ654025:NJM654025 NTF654025:NTI654025 ODB654025:ODE654025 OMX654025:ONA654025 OWT654025:OWW654025 PGP654025:PGS654025 PQL654025:PQO654025 QAH654025:QAK654025 QKD654025:QKG654025 QTZ654025:QUC654025 RDV654025:RDY654025 RNR654025:RNU654025 RXN654025:RXQ654025 SHJ654025:SHM654025 SRF654025:SRI654025 TBB654025:TBE654025 TKX654025:TLA654025 TUT654025:TUW654025 UEP654025:UES654025 UOL654025:UOO654025 UYH654025:UYK654025 VID654025:VIG654025 VRZ654025:VSC654025 WBV654025:WBY654025 WLR654025:WLU654025 WVN654025:WVQ654025 E719561:H719561 JB719561:JE719561 SX719561:TA719561 ACT719561:ACW719561 AMP719561:AMS719561 AWL719561:AWO719561 BGH719561:BGK719561 BQD719561:BQG719561 BZZ719561:CAC719561 CJV719561:CJY719561 CTR719561:CTU719561 DDN719561:DDQ719561 DNJ719561:DNM719561 DXF719561:DXI719561 EHB719561:EHE719561 EQX719561:ERA719561 FAT719561:FAW719561 FKP719561:FKS719561 FUL719561:FUO719561 GEH719561:GEK719561 GOD719561:GOG719561 GXZ719561:GYC719561 HHV719561:HHY719561 HRR719561:HRU719561 IBN719561:IBQ719561 ILJ719561:ILM719561 IVF719561:IVI719561 JFB719561:JFE719561 JOX719561:JPA719561 JYT719561:JYW719561 KIP719561:KIS719561 KSL719561:KSO719561 LCH719561:LCK719561 LMD719561:LMG719561 LVZ719561:LWC719561 MFV719561:MFY719561 MPR719561:MPU719561 MZN719561:MZQ719561 NJJ719561:NJM719561 NTF719561:NTI719561 ODB719561:ODE719561 OMX719561:ONA719561 OWT719561:OWW719561 PGP719561:PGS719561 PQL719561:PQO719561 QAH719561:QAK719561 QKD719561:QKG719561 QTZ719561:QUC719561 RDV719561:RDY719561 RNR719561:RNU719561 RXN719561:RXQ719561 SHJ719561:SHM719561 SRF719561:SRI719561 TBB719561:TBE719561 TKX719561:TLA719561 TUT719561:TUW719561 UEP719561:UES719561 UOL719561:UOO719561 UYH719561:UYK719561 VID719561:VIG719561 VRZ719561:VSC719561 WBV719561:WBY719561 WLR719561:WLU719561 WVN719561:WVQ719561 E785097:H785097 JB785097:JE785097 SX785097:TA785097 ACT785097:ACW785097 AMP785097:AMS785097 AWL785097:AWO785097 BGH785097:BGK785097 BQD785097:BQG785097 BZZ785097:CAC785097 CJV785097:CJY785097 CTR785097:CTU785097 DDN785097:DDQ785097 DNJ785097:DNM785097 DXF785097:DXI785097 EHB785097:EHE785097 EQX785097:ERA785097 FAT785097:FAW785097 FKP785097:FKS785097 FUL785097:FUO785097 GEH785097:GEK785097 GOD785097:GOG785097 GXZ785097:GYC785097 HHV785097:HHY785097 HRR785097:HRU785097 IBN785097:IBQ785097 ILJ785097:ILM785097 IVF785097:IVI785097 JFB785097:JFE785097 JOX785097:JPA785097 JYT785097:JYW785097 KIP785097:KIS785097 KSL785097:KSO785097 LCH785097:LCK785097 LMD785097:LMG785097 LVZ785097:LWC785097 MFV785097:MFY785097 MPR785097:MPU785097 MZN785097:MZQ785097 NJJ785097:NJM785097 NTF785097:NTI785097 ODB785097:ODE785097 OMX785097:ONA785097 OWT785097:OWW785097 PGP785097:PGS785097 PQL785097:PQO785097 QAH785097:QAK785097 QKD785097:QKG785097 QTZ785097:QUC785097 RDV785097:RDY785097 RNR785097:RNU785097 RXN785097:RXQ785097 SHJ785097:SHM785097 SRF785097:SRI785097 TBB785097:TBE785097 TKX785097:TLA785097 TUT785097:TUW785097 UEP785097:UES785097 UOL785097:UOO785097 UYH785097:UYK785097 VID785097:VIG785097 VRZ785097:VSC785097 WBV785097:WBY785097 WLR785097:WLU785097 WVN785097:WVQ785097 E850633:H850633 JB850633:JE850633 SX850633:TA850633 ACT850633:ACW850633 AMP850633:AMS850633 AWL850633:AWO850633 BGH850633:BGK850633 BQD850633:BQG850633 BZZ850633:CAC850633 CJV850633:CJY850633 CTR850633:CTU850633 DDN850633:DDQ850633 DNJ850633:DNM850633 DXF850633:DXI850633 EHB850633:EHE850633 EQX850633:ERA850633 FAT850633:FAW850633 FKP850633:FKS850633 FUL850633:FUO850633 GEH850633:GEK850633 GOD850633:GOG850633 GXZ850633:GYC850633 HHV850633:HHY850633 HRR850633:HRU850633 IBN850633:IBQ850633 ILJ850633:ILM850633 IVF850633:IVI850633 JFB850633:JFE850633 JOX850633:JPA850633 JYT850633:JYW850633 KIP850633:KIS850633 KSL850633:KSO850633 LCH850633:LCK850633 LMD850633:LMG850633 LVZ850633:LWC850633 MFV850633:MFY850633 MPR850633:MPU850633 MZN850633:MZQ850633 NJJ850633:NJM850633 NTF850633:NTI850633 ODB850633:ODE850633 OMX850633:ONA850633 OWT850633:OWW850633 PGP850633:PGS850633 PQL850633:PQO850633 QAH850633:QAK850633 QKD850633:QKG850633 QTZ850633:QUC850633 RDV850633:RDY850633 RNR850633:RNU850633 RXN850633:RXQ850633 SHJ850633:SHM850633 SRF850633:SRI850633 TBB850633:TBE850633 TKX850633:TLA850633 TUT850633:TUW850633 UEP850633:UES850633 UOL850633:UOO850633 UYH850633:UYK850633 VID850633:VIG850633 VRZ850633:VSC850633 WBV850633:WBY850633 WLR850633:WLU850633 WVN850633:WVQ850633 E916169:H916169 JB916169:JE916169 SX916169:TA916169 ACT916169:ACW916169 AMP916169:AMS916169 AWL916169:AWO916169 BGH916169:BGK916169 BQD916169:BQG916169 BZZ916169:CAC916169 CJV916169:CJY916169 CTR916169:CTU916169 DDN916169:DDQ916169 DNJ916169:DNM916169 DXF916169:DXI916169 EHB916169:EHE916169 EQX916169:ERA916169 FAT916169:FAW916169 FKP916169:FKS916169 FUL916169:FUO916169 GEH916169:GEK916169 GOD916169:GOG916169 GXZ916169:GYC916169 HHV916169:HHY916169 HRR916169:HRU916169 IBN916169:IBQ916169 ILJ916169:ILM916169 IVF916169:IVI916169 JFB916169:JFE916169 JOX916169:JPA916169 JYT916169:JYW916169 KIP916169:KIS916169 KSL916169:KSO916169 LCH916169:LCK916169 LMD916169:LMG916169 LVZ916169:LWC916169 MFV916169:MFY916169 MPR916169:MPU916169 MZN916169:MZQ916169 NJJ916169:NJM916169 NTF916169:NTI916169 ODB916169:ODE916169 OMX916169:ONA916169 OWT916169:OWW916169 PGP916169:PGS916169 PQL916169:PQO916169 QAH916169:QAK916169 QKD916169:QKG916169 QTZ916169:QUC916169 RDV916169:RDY916169 RNR916169:RNU916169 RXN916169:RXQ916169 SHJ916169:SHM916169 SRF916169:SRI916169 TBB916169:TBE916169 TKX916169:TLA916169 TUT916169:TUW916169 UEP916169:UES916169 UOL916169:UOO916169 UYH916169:UYK916169 VID916169:VIG916169 VRZ916169:VSC916169 WBV916169:WBY916169 WLR916169:WLU916169 WVN916169:WVQ916169 E981705:H981705 JB981705:JE981705 SX981705:TA981705 ACT981705:ACW981705 AMP981705:AMS981705 AWL981705:AWO981705 BGH981705:BGK981705 BQD981705:BQG981705 BZZ981705:CAC981705 CJV981705:CJY981705 CTR981705:CTU981705 DDN981705:DDQ981705 DNJ981705:DNM981705 DXF981705:DXI981705 EHB981705:EHE981705 EQX981705:ERA981705 FAT981705:FAW981705 FKP981705:FKS981705 FUL981705:FUO981705 GEH981705:GEK981705 GOD981705:GOG981705 GXZ981705:GYC981705 HHV981705:HHY981705 HRR981705:HRU981705 IBN981705:IBQ981705 ILJ981705:ILM981705 IVF981705:IVI981705 JFB981705:JFE981705 JOX981705:JPA981705 JYT981705:JYW981705 KIP981705:KIS981705 KSL981705:KSO981705 LCH981705:LCK981705 LMD981705:LMG981705 LVZ981705:LWC981705 MFV981705:MFY981705 MPR981705:MPU981705 MZN981705:MZQ981705 NJJ981705:NJM981705 NTF981705:NTI981705 ODB981705:ODE981705 OMX981705:ONA981705 OWT981705:OWW981705 PGP981705:PGS981705 PQL981705:PQO981705 QAH981705:QAK981705 QKD981705:QKG981705 QTZ981705:QUC981705 RDV981705:RDY981705 RNR981705:RNU981705 RXN981705:RXQ981705 SHJ981705:SHM981705 SRF981705:SRI981705 TBB981705:TBE981705 TKX981705:TLA981705 TUT981705:TUW981705 UEP981705:UES981705 UOL981705:UOO981705 UYH981705:UYK981705 VID981705:VIG981705 VRZ981705:VSC981705 WBV981705:WBY981705 WLR981705:WLU981705 WVN981705:WVQ981705 H104:K104 JE104:JH104 TA104:TD104 ACW104:ACZ104 AMS104:AMV104 AWO104:AWR104 BGK104:BGN104 BQG104:BQJ104 CAC104:CAF104 CJY104:CKB104 CTU104:CTX104 DDQ104:DDT104 DNM104:DNP104 DXI104:DXL104 EHE104:EHH104 ERA104:ERD104 FAW104:FAZ104 FKS104:FKV104 FUO104:FUR104 GEK104:GEN104 GOG104:GOJ104 GYC104:GYF104 HHY104:HIB104 HRU104:HRX104 IBQ104:IBT104 ILM104:ILP104 IVI104:IVL104 JFE104:JFH104 JPA104:JPD104 JYW104:JYZ104 KIS104:KIV104 KSO104:KSR104 LCK104:LCN104 LMG104:LMJ104 LWC104:LWF104 MFY104:MGB104 MPU104:MPX104 MZQ104:MZT104 NJM104:NJP104 NTI104:NTL104 ODE104:ODH104 ONA104:OND104 OWW104:OWZ104 PGS104:PGV104 PQO104:PQR104 QAK104:QAN104 QKG104:QKJ104 QUC104:QUF104 RDY104:REB104 RNU104:RNX104 RXQ104:RXT104 SHM104:SHP104 SRI104:SRL104 TBE104:TBH104 TLA104:TLD104 TUW104:TUZ104 UES104:UEV104 UOO104:UOR104 UYK104:UYN104 VIG104:VIJ104 VSC104:VSF104 WBY104:WCB104 WLU104:WLX104 WVQ104:WVT104 H64187:K64187 JE64187:JH64187 TA64187:TD64187 ACW64187:ACZ64187 AMS64187:AMV64187 AWO64187:AWR64187 BGK64187:BGN64187 BQG64187:BQJ64187 CAC64187:CAF64187 CJY64187:CKB64187 CTU64187:CTX64187 DDQ64187:DDT64187 DNM64187:DNP64187 DXI64187:DXL64187 EHE64187:EHH64187 ERA64187:ERD64187 FAW64187:FAZ64187 FKS64187:FKV64187 FUO64187:FUR64187 GEK64187:GEN64187 GOG64187:GOJ64187 GYC64187:GYF64187 HHY64187:HIB64187 HRU64187:HRX64187 IBQ64187:IBT64187 ILM64187:ILP64187 IVI64187:IVL64187 JFE64187:JFH64187 JPA64187:JPD64187 JYW64187:JYZ64187 KIS64187:KIV64187 KSO64187:KSR64187 LCK64187:LCN64187 LMG64187:LMJ64187 LWC64187:LWF64187 MFY64187:MGB64187 MPU64187:MPX64187 MZQ64187:MZT64187 NJM64187:NJP64187 NTI64187:NTL64187 ODE64187:ODH64187 ONA64187:OND64187 OWW64187:OWZ64187 PGS64187:PGV64187 PQO64187:PQR64187 QAK64187:QAN64187 QKG64187:QKJ64187 QUC64187:QUF64187 RDY64187:REB64187 RNU64187:RNX64187 RXQ64187:RXT64187 SHM64187:SHP64187 SRI64187:SRL64187 TBE64187:TBH64187 TLA64187:TLD64187 TUW64187:TUZ64187 UES64187:UEV64187 UOO64187:UOR64187 UYK64187:UYN64187 VIG64187:VIJ64187 VSC64187:VSF64187 WBY64187:WCB64187 WLU64187:WLX64187 WVQ64187:WVT64187 H129723:K129723 JE129723:JH129723 TA129723:TD129723 ACW129723:ACZ129723 AMS129723:AMV129723 AWO129723:AWR129723 BGK129723:BGN129723 BQG129723:BQJ129723 CAC129723:CAF129723 CJY129723:CKB129723 CTU129723:CTX129723 DDQ129723:DDT129723 DNM129723:DNP129723 DXI129723:DXL129723 EHE129723:EHH129723 ERA129723:ERD129723 FAW129723:FAZ129723 FKS129723:FKV129723 FUO129723:FUR129723 GEK129723:GEN129723 GOG129723:GOJ129723 GYC129723:GYF129723 HHY129723:HIB129723 HRU129723:HRX129723 IBQ129723:IBT129723 ILM129723:ILP129723 IVI129723:IVL129723 JFE129723:JFH129723 JPA129723:JPD129723 JYW129723:JYZ129723 KIS129723:KIV129723 KSO129723:KSR129723 LCK129723:LCN129723 LMG129723:LMJ129723 LWC129723:LWF129723 MFY129723:MGB129723 MPU129723:MPX129723 MZQ129723:MZT129723 NJM129723:NJP129723 NTI129723:NTL129723 ODE129723:ODH129723 ONA129723:OND129723 OWW129723:OWZ129723 PGS129723:PGV129723 PQO129723:PQR129723 QAK129723:QAN129723 QKG129723:QKJ129723 QUC129723:QUF129723 RDY129723:REB129723 RNU129723:RNX129723 RXQ129723:RXT129723 SHM129723:SHP129723 SRI129723:SRL129723 TBE129723:TBH129723 TLA129723:TLD129723 TUW129723:TUZ129723 UES129723:UEV129723 UOO129723:UOR129723 UYK129723:UYN129723 VIG129723:VIJ129723 VSC129723:VSF129723 WBY129723:WCB129723 WLU129723:WLX129723 WVQ129723:WVT129723 H195259:K195259 JE195259:JH195259 TA195259:TD195259 ACW195259:ACZ195259 AMS195259:AMV195259 AWO195259:AWR195259 BGK195259:BGN195259 BQG195259:BQJ195259 CAC195259:CAF195259 CJY195259:CKB195259 CTU195259:CTX195259 DDQ195259:DDT195259 DNM195259:DNP195259 DXI195259:DXL195259 EHE195259:EHH195259 ERA195259:ERD195259 FAW195259:FAZ195259 FKS195259:FKV195259 FUO195259:FUR195259 GEK195259:GEN195259 GOG195259:GOJ195259 GYC195259:GYF195259 HHY195259:HIB195259 HRU195259:HRX195259 IBQ195259:IBT195259 ILM195259:ILP195259 IVI195259:IVL195259 JFE195259:JFH195259 JPA195259:JPD195259 JYW195259:JYZ195259 KIS195259:KIV195259 KSO195259:KSR195259 LCK195259:LCN195259 LMG195259:LMJ195259 LWC195259:LWF195259 MFY195259:MGB195259 MPU195259:MPX195259 MZQ195259:MZT195259 NJM195259:NJP195259 NTI195259:NTL195259 ODE195259:ODH195259 ONA195259:OND195259 OWW195259:OWZ195259 PGS195259:PGV195259 PQO195259:PQR195259 QAK195259:QAN195259 QKG195259:QKJ195259 QUC195259:QUF195259 RDY195259:REB195259 RNU195259:RNX195259 RXQ195259:RXT195259 SHM195259:SHP195259 SRI195259:SRL195259 TBE195259:TBH195259 TLA195259:TLD195259 TUW195259:TUZ195259 UES195259:UEV195259 UOO195259:UOR195259 UYK195259:UYN195259 VIG195259:VIJ195259 VSC195259:VSF195259 WBY195259:WCB195259 WLU195259:WLX195259 WVQ195259:WVT195259 H260795:K260795 JE260795:JH260795 TA260795:TD260795 ACW260795:ACZ260795 AMS260795:AMV260795 AWO260795:AWR260795 BGK260795:BGN260795 BQG260795:BQJ260795 CAC260795:CAF260795 CJY260795:CKB260795 CTU260795:CTX260795 DDQ260795:DDT260795 DNM260795:DNP260795 DXI260795:DXL260795 EHE260795:EHH260795 ERA260795:ERD260795 FAW260795:FAZ260795 FKS260795:FKV260795 FUO260795:FUR260795 GEK260795:GEN260795 GOG260795:GOJ260795 GYC260795:GYF260795 HHY260795:HIB260795 HRU260795:HRX260795 IBQ260795:IBT260795 ILM260795:ILP260795 IVI260795:IVL260795 JFE260795:JFH260795 JPA260795:JPD260795 JYW260795:JYZ260795 KIS260795:KIV260795 KSO260795:KSR260795 LCK260795:LCN260795 LMG260795:LMJ260795 LWC260795:LWF260795 MFY260795:MGB260795 MPU260795:MPX260795 MZQ260795:MZT260795 NJM260795:NJP260795 NTI260795:NTL260795 ODE260795:ODH260795 ONA260795:OND260795 OWW260795:OWZ260795 PGS260795:PGV260795 PQO260795:PQR260795 QAK260795:QAN260795 QKG260795:QKJ260795 QUC260795:QUF260795 RDY260795:REB260795 RNU260795:RNX260795 RXQ260795:RXT260795 SHM260795:SHP260795 SRI260795:SRL260795 TBE260795:TBH260795 TLA260795:TLD260795 TUW260795:TUZ260795 UES260795:UEV260795 UOO260795:UOR260795 UYK260795:UYN260795 VIG260795:VIJ260795 VSC260795:VSF260795 WBY260795:WCB260795 WLU260795:WLX260795 WVQ260795:WVT260795 H326331:K326331 JE326331:JH326331 TA326331:TD326331 ACW326331:ACZ326331 AMS326331:AMV326331 AWO326331:AWR326331 BGK326331:BGN326331 BQG326331:BQJ326331 CAC326331:CAF326331 CJY326331:CKB326331 CTU326331:CTX326331 DDQ326331:DDT326331 DNM326331:DNP326331 DXI326331:DXL326331 EHE326331:EHH326331 ERA326331:ERD326331 FAW326331:FAZ326331 FKS326331:FKV326331 FUO326331:FUR326331 GEK326331:GEN326331 GOG326331:GOJ326331 GYC326331:GYF326331 HHY326331:HIB326331 HRU326331:HRX326331 IBQ326331:IBT326331 ILM326331:ILP326331 IVI326331:IVL326331 JFE326331:JFH326331 JPA326331:JPD326331 JYW326331:JYZ326331 KIS326331:KIV326331 KSO326331:KSR326331 LCK326331:LCN326331 LMG326331:LMJ326331 LWC326331:LWF326331 MFY326331:MGB326331 MPU326331:MPX326331 MZQ326331:MZT326331 NJM326331:NJP326331 NTI326331:NTL326331 ODE326331:ODH326331 ONA326331:OND326331 OWW326331:OWZ326331 PGS326331:PGV326331 PQO326331:PQR326331 QAK326331:QAN326331 QKG326331:QKJ326331 QUC326331:QUF326331 RDY326331:REB326331 RNU326331:RNX326331 RXQ326331:RXT326331 SHM326331:SHP326331 SRI326331:SRL326331 TBE326331:TBH326331 TLA326331:TLD326331 TUW326331:TUZ326331 UES326331:UEV326331 UOO326331:UOR326331 UYK326331:UYN326331 VIG326331:VIJ326331 VSC326331:VSF326331 WBY326331:WCB326331 WLU326331:WLX326331 WVQ326331:WVT326331 H391867:K391867 JE391867:JH391867 TA391867:TD391867 ACW391867:ACZ391867 AMS391867:AMV391867 AWO391867:AWR391867 BGK391867:BGN391867 BQG391867:BQJ391867 CAC391867:CAF391867 CJY391867:CKB391867 CTU391867:CTX391867 DDQ391867:DDT391867 DNM391867:DNP391867 DXI391867:DXL391867 EHE391867:EHH391867 ERA391867:ERD391867 FAW391867:FAZ391867 FKS391867:FKV391867 FUO391867:FUR391867 GEK391867:GEN391867 GOG391867:GOJ391867 GYC391867:GYF391867 HHY391867:HIB391867 HRU391867:HRX391867 IBQ391867:IBT391867 ILM391867:ILP391867 IVI391867:IVL391867 JFE391867:JFH391867 JPA391867:JPD391867 JYW391867:JYZ391867 KIS391867:KIV391867 KSO391867:KSR391867 LCK391867:LCN391867 LMG391867:LMJ391867 LWC391867:LWF391867 MFY391867:MGB391867 MPU391867:MPX391867 MZQ391867:MZT391867 NJM391867:NJP391867 NTI391867:NTL391867 ODE391867:ODH391867 ONA391867:OND391867 OWW391867:OWZ391867 PGS391867:PGV391867 PQO391867:PQR391867 QAK391867:QAN391867 QKG391867:QKJ391867 QUC391867:QUF391867 RDY391867:REB391867 RNU391867:RNX391867 RXQ391867:RXT391867 SHM391867:SHP391867 SRI391867:SRL391867 TBE391867:TBH391867 TLA391867:TLD391867 TUW391867:TUZ391867 UES391867:UEV391867 UOO391867:UOR391867 UYK391867:UYN391867 VIG391867:VIJ391867 VSC391867:VSF391867 WBY391867:WCB391867 WLU391867:WLX391867 WVQ391867:WVT391867 H457403:K457403 JE457403:JH457403 TA457403:TD457403 ACW457403:ACZ457403 AMS457403:AMV457403 AWO457403:AWR457403 BGK457403:BGN457403 BQG457403:BQJ457403 CAC457403:CAF457403 CJY457403:CKB457403 CTU457403:CTX457403 DDQ457403:DDT457403 DNM457403:DNP457403 DXI457403:DXL457403 EHE457403:EHH457403 ERA457403:ERD457403 FAW457403:FAZ457403 FKS457403:FKV457403 FUO457403:FUR457403 GEK457403:GEN457403 GOG457403:GOJ457403 GYC457403:GYF457403 HHY457403:HIB457403 HRU457403:HRX457403 IBQ457403:IBT457403 ILM457403:ILP457403 IVI457403:IVL457403 JFE457403:JFH457403 JPA457403:JPD457403 JYW457403:JYZ457403 KIS457403:KIV457403 KSO457403:KSR457403 LCK457403:LCN457403 LMG457403:LMJ457403 LWC457403:LWF457403 MFY457403:MGB457403 MPU457403:MPX457403 MZQ457403:MZT457403 NJM457403:NJP457403 NTI457403:NTL457403 ODE457403:ODH457403 ONA457403:OND457403 OWW457403:OWZ457403 PGS457403:PGV457403 PQO457403:PQR457403 QAK457403:QAN457403 QKG457403:QKJ457403 QUC457403:QUF457403 RDY457403:REB457403 RNU457403:RNX457403 RXQ457403:RXT457403 SHM457403:SHP457403 SRI457403:SRL457403 TBE457403:TBH457403 TLA457403:TLD457403 TUW457403:TUZ457403 UES457403:UEV457403 UOO457403:UOR457403 UYK457403:UYN457403 VIG457403:VIJ457403 VSC457403:VSF457403 WBY457403:WCB457403 WLU457403:WLX457403 WVQ457403:WVT457403 H522939:K522939 JE522939:JH522939 TA522939:TD522939 ACW522939:ACZ522939 AMS522939:AMV522939 AWO522939:AWR522939 BGK522939:BGN522939 BQG522939:BQJ522939 CAC522939:CAF522939 CJY522939:CKB522939 CTU522939:CTX522939 DDQ522939:DDT522939 DNM522939:DNP522939 DXI522939:DXL522939 EHE522939:EHH522939 ERA522939:ERD522939 FAW522939:FAZ522939 FKS522939:FKV522939 FUO522939:FUR522939 GEK522939:GEN522939 GOG522939:GOJ522939 GYC522939:GYF522939 HHY522939:HIB522939 HRU522939:HRX522939 IBQ522939:IBT522939 ILM522939:ILP522939 IVI522939:IVL522939 JFE522939:JFH522939 JPA522939:JPD522939 JYW522939:JYZ522939 KIS522939:KIV522939 KSO522939:KSR522939 LCK522939:LCN522939 LMG522939:LMJ522939 LWC522939:LWF522939 MFY522939:MGB522939 MPU522939:MPX522939 MZQ522939:MZT522939 NJM522939:NJP522939 NTI522939:NTL522939 ODE522939:ODH522939 ONA522939:OND522939 OWW522939:OWZ522939 PGS522939:PGV522939 PQO522939:PQR522939 QAK522939:QAN522939 QKG522939:QKJ522939 QUC522939:QUF522939 RDY522939:REB522939 RNU522939:RNX522939 RXQ522939:RXT522939 SHM522939:SHP522939 SRI522939:SRL522939 TBE522939:TBH522939 TLA522939:TLD522939 TUW522939:TUZ522939 UES522939:UEV522939 UOO522939:UOR522939 UYK522939:UYN522939 VIG522939:VIJ522939 VSC522939:VSF522939 WBY522939:WCB522939 WLU522939:WLX522939 WVQ522939:WVT522939 H588475:K588475 JE588475:JH588475 TA588475:TD588475 ACW588475:ACZ588475 AMS588475:AMV588475 AWO588475:AWR588475 BGK588475:BGN588475 BQG588475:BQJ588475 CAC588475:CAF588475 CJY588475:CKB588475 CTU588475:CTX588475 DDQ588475:DDT588475 DNM588475:DNP588475 DXI588475:DXL588475 EHE588475:EHH588475 ERA588475:ERD588475 FAW588475:FAZ588475 FKS588475:FKV588475 FUO588475:FUR588475 GEK588475:GEN588475 GOG588475:GOJ588475 GYC588475:GYF588475 HHY588475:HIB588475 HRU588475:HRX588475 IBQ588475:IBT588475 ILM588475:ILP588475 IVI588475:IVL588475 JFE588475:JFH588475 JPA588475:JPD588475 JYW588475:JYZ588475 KIS588475:KIV588475 KSO588475:KSR588475 LCK588475:LCN588475 LMG588475:LMJ588475 LWC588475:LWF588475 MFY588475:MGB588475 MPU588475:MPX588475 MZQ588475:MZT588475 NJM588475:NJP588475 NTI588475:NTL588475 ODE588475:ODH588475 ONA588475:OND588475 OWW588475:OWZ588475 PGS588475:PGV588475 PQO588475:PQR588475 QAK588475:QAN588475 QKG588475:QKJ588475 QUC588475:QUF588475 RDY588475:REB588475 RNU588475:RNX588475 RXQ588475:RXT588475 SHM588475:SHP588475 SRI588475:SRL588475 TBE588475:TBH588475 TLA588475:TLD588475 TUW588475:TUZ588475 UES588475:UEV588475 UOO588475:UOR588475 UYK588475:UYN588475 VIG588475:VIJ588475 VSC588475:VSF588475 WBY588475:WCB588475 WLU588475:WLX588475 WVQ588475:WVT588475 H654011:K654011 JE654011:JH654011 TA654011:TD654011 ACW654011:ACZ654011 AMS654011:AMV654011 AWO654011:AWR654011 BGK654011:BGN654011 BQG654011:BQJ654011 CAC654011:CAF654011 CJY654011:CKB654011 CTU654011:CTX654011 DDQ654011:DDT654011 DNM654011:DNP654011 DXI654011:DXL654011 EHE654011:EHH654011 ERA654011:ERD654011 FAW654011:FAZ654011 FKS654011:FKV654011 FUO654011:FUR654011 GEK654011:GEN654011 GOG654011:GOJ654011 GYC654011:GYF654011 HHY654011:HIB654011 HRU654011:HRX654011 IBQ654011:IBT654011 ILM654011:ILP654011 IVI654011:IVL654011 JFE654011:JFH654011 JPA654011:JPD654011 JYW654011:JYZ654011 KIS654011:KIV654011 KSO654011:KSR654011 LCK654011:LCN654011 LMG654011:LMJ654011 LWC654011:LWF654011 MFY654011:MGB654011 MPU654011:MPX654011 MZQ654011:MZT654011 NJM654011:NJP654011 NTI654011:NTL654011 ODE654011:ODH654011 ONA654011:OND654011 OWW654011:OWZ654011 PGS654011:PGV654011 PQO654011:PQR654011 QAK654011:QAN654011 QKG654011:QKJ654011 QUC654011:QUF654011 RDY654011:REB654011 RNU654011:RNX654011 RXQ654011:RXT654011 SHM654011:SHP654011 SRI654011:SRL654011 TBE654011:TBH654011 TLA654011:TLD654011 TUW654011:TUZ654011 UES654011:UEV654011 UOO654011:UOR654011 UYK654011:UYN654011 VIG654011:VIJ654011 VSC654011:VSF654011 WBY654011:WCB654011 WLU654011:WLX654011 WVQ654011:WVT654011 H719547:K719547 JE719547:JH719547 TA719547:TD719547 ACW719547:ACZ719547 AMS719547:AMV719547 AWO719547:AWR719547 BGK719547:BGN719547 BQG719547:BQJ719547 CAC719547:CAF719547 CJY719547:CKB719547 CTU719547:CTX719547 DDQ719547:DDT719547 DNM719547:DNP719547 DXI719547:DXL719547 EHE719547:EHH719547 ERA719547:ERD719547 FAW719547:FAZ719547 FKS719547:FKV719547 FUO719547:FUR719547 GEK719547:GEN719547 GOG719547:GOJ719547 GYC719547:GYF719547 HHY719547:HIB719547 HRU719547:HRX719547 IBQ719547:IBT719547 ILM719547:ILP719547 IVI719547:IVL719547 JFE719547:JFH719547 JPA719547:JPD719547 JYW719547:JYZ719547 KIS719547:KIV719547 KSO719547:KSR719547 LCK719547:LCN719547 LMG719547:LMJ719547 LWC719547:LWF719547 MFY719547:MGB719547 MPU719547:MPX719547 MZQ719547:MZT719547 NJM719547:NJP719547 NTI719547:NTL719547 ODE719547:ODH719547 ONA719547:OND719547 OWW719547:OWZ719547 PGS719547:PGV719547 PQO719547:PQR719547 QAK719547:QAN719547 QKG719547:QKJ719547 QUC719547:QUF719547 RDY719547:REB719547 RNU719547:RNX719547 RXQ719547:RXT719547 SHM719547:SHP719547 SRI719547:SRL719547 TBE719547:TBH719547 TLA719547:TLD719547 TUW719547:TUZ719547 UES719547:UEV719547 UOO719547:UOR719547 UYK719547:UYN719547 VIG719547:VIJ719547 VSC719547:VSF719547 WBY719547:WCB719547 WLU719547:WLX719547 WVQ719547:WVT719547 H785083:K785083 JE785083:JH785083 TA785083:TD785083 ACW785083:ACZ785083 AMS785083:AMV785083 AWO785083:AWR785083 BGK785083:BGN785083 BQG785083:BQJ785083 CAC785083:CAF785083 CJY785083:CKB785083 CTU785083:CTX785083 DDQ785083:DDT785083 DNM785083:DNP785083 DXI785083:DXL785083 EHE785083:EHH785083 ERA785083:ERD785083 FAW785083:FAZ785083 FKS785083:FKV785083 FUO785083:FUR785083 GEK785083:GEN785083 GOG785083:GOJ785083 GYC785083:GYF785083 HHY785083:HIB785083 HRU785083:HRX785083 IBQ785083:IBT785083 ILM785083:ILP785083 IVI785083:IVL785083 JFE785083:JFH785083 JPA785083:JPD785083 JYW785083:JYZ785083 KIS785083:KIV785083 KSO785083:KSR785083 LCK785083:LCN785083 LMG785083:LMJ785083 LWC785083:LWF785083 MFY785083:MGB785083 MPU785083:MPX785083 MZQ785083:MZT785083 NJM785083:NJP785083 NTI785083:NTL785083 ODE785083:ODH785083 ONA785083:OND785083 OWW785083:OWZ785083 PGS785083:PGV785083 PQO785083:PQR785083 QAK785083:QAN785083 QKG785083:QKJ785083 QUC785083:QUF785083 RDY785083:REB785083 RNU785083:RNX785083 RXQ785083:RXT785083 SHM785083:SHP785083 SRI785083:SRL785083 TBE785083:TBH785083 TLA785083:TLD785083 TUW785083:TUZ785083 UES785083:UEV785083 UOO785083:UOR785083 UYK785083:UYN785083 VIG785083:VIJ785083 VSC785083:VSF785083 WBY785083:WCB785083 WLU785083:WLX785083 WVQ785083:WVT785083 H850619:K850619 JE850619:JH850619 TA850619:TD850619 ACW850619:ACZ850619 AMS850619:AMV850619 AWO850619:AWR850619 BGK850619:BGN850619 BQG850619:BQJ850619 CAC850619:CAF850619 CJY850619:CKB850619 CTU850619:CTX850619 DDQ850619:DDT850619 DNM850619:DNP850619 DXI850619:DXL850619 EHE850619:EHH850619 ERA850619:ERD850619 FAW850619:FAZ850619 FKS850619:FKV850619 FUO850619:FUR850619 GEK850619:GEN850619 GOG850619:GOJ850619 GYC850619:GYF850619 HHY850619:HIB850619 HRU850619:HRX850619 IBQ850619:IBT850619 ILM850619:ILP850619 IVI850619:IVL850619 JFE850619:JFH850619 JPA850619:JPD850619 JYW850619:JYZ850619 KIS850619:KIV850619 KSO850619:KSR850619 LCK850619:LCN850619 LMG850619:LMJ850619 LWC850619:LWF850619 MFY850619:MGB850619 MPU850619:MPX850619 MZQ850619:MZT850619 NJM850619:NJP850619 NTI850619:NTL850619 ODE850619:ODH850619 ONA850619:OND850619 OWW850619:OWZ850619 PGS850619:PGV850619 PQO850619:PQR850619 QAK850619:QAN850619 QKG850619:QKJ850619 QUC850619:QUF850619 RDY850619:REB850619 RNU850619:RNX850619 RXQ850619:RXT850619 SHM850619:SHP850619 SRI850619:SRL850619 TBE850619:TBH850619 TLA850619:TLD850619 TUW850619:TUZ850619 UES850619:UEV850619 UOO850619:UOR850619 UYK850619:UYN850619 VIG850619:VIJ850619 VSC850619:VSF850619 WBY850619:WCB850619 WLU850619:WLX850619 WVQ850619:WVT850619 H916155:K916155 JE916155:JH916155 TA916155:TD916155 ACW916155:ACZ916155 AMS916155:AMV916155 AWO916155:AWR916155 BGK916155:BGN916155 BQG916155:BQJ916155 CAC916155:CAF916155 CJY916155:CKB916155 CTU916155:CTX916155 DDQ916155:DDT916155 DNM916155:DNP916155 DXI916155:DXL916155 EHE916155:EHH916155 ERA916155:ERD916155 FAW916155:FAZ916155 FKS916155:FKV916155 FUO916155:FUR916155 GEK916155:GEN916155 GOG916155:GOJ916155 GYC916155:GYF916155 HHY916155:HIB916155 HRU916155:HRX916155 IBQ916155:IBT916155 ILM916155:ILP916155 IVI916155:IVL916155 JFE916155:JFH916155 JPA916155:JPD916155 JYW916155:JYZ916155 KIS916155:KIV916155 KSO916155:KSR916155 LCK916155:LCN916155 LMG916155:LMJ916155 LWC916155:LWF916155 MFY916155:MGB916155 MPU916155:MPX916155 MZQ916155:MZT916155 NJM916155:NJP916155 NTI916155:NTL916155 ODE916155:ODH916155 ONA916155:OND916155 OWW916155:OWZ916155 PGS916155:PGV916155 PQO916155:PQR916155 QAK916155:QAN916155 QKG916155:QKJ916155 QUC916155:QUF916155 RDY916155:REB916155 RNU916155:RNX916155 RXQ916155:RXT916155 SHM916155:SHP916155 SRI916155:SRL916155 TBE916155:TBH916155 TLA916155:TLD916155 TUW916155:TUZ916155 UES916155:UEV916155 UOO916155:UOR916155 UYK916155:UYN916155 VIG916155:VIJ916155 VSC916155:VSF916155 WBY916155:WCB916155 WLU916155:WLX916155 WVQ916155:WVT916155 H981691:K981691 JE981691:JH981691 TA981691:TD981691 ACW981691:ACZ981691 AMS981691:AMV981691 AWO981691:AWR981691 BGK981691:BGN981691 BQG981691:BQJ981691 CAC981691:CAF981691 CJY981691:CKB981691 CTU981691:CTX981691 DDQ981691:DDT981691 DNM981691:DNP981691 DXI981691:DXL981691 EHE981691:EHH981691 ERA981691:ERD981691 FAW981691:FAZ981691 FKS981691:FKV981691 FUO981691:FUR981691 GEK981691:GEN981691 GOG981691:GOJ981691 GYC981691:GYF981691 HHY981691:HIB981691 HRU981691:HRX981691 IBQ981691:IBT981691 ILM981691:ILP981691 IVI981691:IVL981691 JFE981691:JFH981691 JPA981691:JPD981691 JYW981691:JYZ981691 KIS981691:KIV981691 KSO981691:KSR981691 LCK981691:LCN981691 LMG981691:LMJ981691 LWC981691:LWF981691 MFY981691:MGB981691 MPU981691:MPX981691 MZQ981691:MZT981691 NJM981691:NJP981691 NTI981691:NTL981691 ODE981691:ODH981691 ONA981691:OND981691 OWW981691:OWZ981691 PGS981691:PGV981691 PQO981691:PQR981691 QAK981691:QAN981691 QKG981691:QKJ981691 QUC981691:QUF981691 RDY981691:REB981691 RNU981691:RNX981691 RXQ981691:RXT981691 SHM981691:SHP981691 SRI981691:SRL981691 TBE981691:TBH981691 TLA981691:TLD981691 TUW981691:TUZ981691 UES981691:UEV981691 UOO981691:UOR981691 UYK981691:UYN981691 VIG981691:VIJ981691 VSC981691:VSF981691 WBY981691:WCB981691 WLU981691:WLX981691 WVQ981691:WVT981691">
      <formula1>0</formula1>
      <formula2>0</formula2>
    </dataValidation>
  </dataValidations>
  <hyperlinks>
    <hyperlink ref="AA3:AB3" r:id="rId1" location="Top!A46" display="戻 る"/>
    <hyperlink ref="Y3:Z3" r:id="rId2" location="Help!B1931" display="Help"/>
  </hyperlinks>
  <pageMargins left="0.70866141732283472" right="0.39370078740157483" top="0.59055118110236227" bottom="0.39370078740157483" header="0.31496062992125984" footer="0.31496062992125984"/>
  <pageSetup paperSize="9" scale="98" fitToHeight="0" orientation="portrait" r:id="rId3"/>
  <rowBreaks count="1" manualBreakCount="1">
    <brk id="64" min="1" max="28" man="1"/>
  </rowBreaks>
  <colBreaks count="1" manualBreakCount="1">
    <brk id="30" min="1" max="2165" man="1"/>
  </colBreak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H299"/>
  <sheetViews>
    <sheetView view="pageBreakPreview" zoomScale="140" zoomScaleNormal="100" zoomScaleSheetLayoutView="140" workbookViewId="0"/>
  </sheetViews>
  <sheetFormatPr defaultRowHeight="14.25"/>
  <cols>
    <col min="1" max="1" width="2.140625" style="4" customWidth="1"/>
    <col min="2" max="74" width="1.42578125" style="4" customWidth="1"/>
    <col min="75" max="75" width="9.7109375" style="4" hidden="1" customWidth="1"/>
    <col min="76" max="133" width="3.7109375" style="4" hidden="1" customWidth="1"/>
    <col min="134" max="134" width="3.7109375" style="4" customWidth="1"/>
    <col min="135" max="16384" width="9.140625" style="4"/>
  </cols>
  <sheetData>
    <row r="1" spans="1:133" ht="9" customHeight="1">
      <c r="Y1" s="81"/>
    </row>
    <row r="2" spans="1:133" ht="12" customHeight="1" thickBot="1">
      <c r="B2" s="80">
        <v>1</v>
      </c>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8"/>
      <c r="BV2" s="35"/>
      <c r="BW2" s="35"/>
      <c r="BX2" s="35"/>
      <c r="BY2" s="35"/>
      <c r="BZ2" s="35"/>
      <c r="CA2" s="35"/>
      <c r="CB2" s="35"/>
      <c r="CC2" s="35"/>
      <c r="CD2" s="35"/>
      <c r="CE2" s="35"/>
      <c r="CF2" s="35"/>
      <c r="CG2" s="35"/>
      <c r="CH2" s="35"/>
      <c r="CI2" s="8"/>
      <c r="CJ2" s="8"/>
      <c r="CK2" s="8"/>
      <c r="CL2" s="420"/>
      <c r="CM2" s="9"/>
      <c r="CN2" s="9"/>
      <c r="CO2" s="420"/>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row>
    <row r="3" spans="1:133" ht="12" customHeight="1" thickBot="1">
      <c r="B3" s="2221">
        <f>[3]Top!$G$101</f>
        <v>9</v>
      </c>
      <c r="C3" s="2221"/>
      <c r="D3" s="2221"/>
      <c r="E3" s="2440" t="str">
        <f>IF(B2=0,"",[3]Top!$L$101)</f>
        <v xml:space="preserve"> 自火報防排煙設備工事</v>
      </c>
      <c r="F3" s="2441"/>
      <c r="G3" s="2441"/>
      <c r="H3" s="2441"/>
      <c r="I3" s="2441"/>
      <c r="J3" s="2441"/>
      <c r="K3" s="2441"/>
      <c r="L3" s="2441"/>
      <c r="M3" s="2441"/>
      <c r="N3" s="2441"/>
      <c r="O3" s="2441"/>
      <c r="P3" s="2441"/>
      <c r="Q3" s="2441"/>
      <c r="R3" s="2441"/>
      <c r="S3" s="2441"/>
      <c r="T3" s="2441"/>
      <c r="U3" s="2441"/>
      <c r="V3" s="2441"/>
      <c r="W3" s="2441"/>
      <c r="X3" s="73"/>
      <c r="Y3" s="2432" t="s">
        <v>85</v>
      </c>
      <c r="Z3" s="2433"/>
      <c r="AA3" s="2433"/>
      <c r="AB3" s="2433"/>
      <c r="AC3" s="2434"/>
      <c r="AD3" s="35"/>
      <c r="AE3" s="2442" t="s">
        <v>107</v>
      </c>
      <c r="AF3" s="2443"/>
      <c r="AG3" s="2443"/>
      <c r="AH3" s="2443"/>
      <c r="AI3" s="2444"/>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2693"/>
      <c r="BJ3" s="2693"/>
      <c r="BK3" s="2693"/>
      <c r="BL3" s="2693"/>
      <c r="BM3" s="2693"/>
      <c r="BN3" s="422"/>
      <c r="BO3" s="422"/>
      <c r="BP3" s="2432" t="s">
        <v>84</v>
      </c>
      <c r="BQ3" s="2433"/>
      <c r="BR3" s="2433"/>
      <c r="BS3" s="2433"/>
      <c r="BT3" s="2434"/>
      <c r="BU3" s="19"/>
      <c r="BV3" s="35"/>
      <c r="BW3" s="421">
        <f>IF(OR(B2=0,D8="設置不要"),0,1)</f>
        <v>1</v>
      </c>
      <c r="BX3" s="35"/>
      <c r="BY3" s="35"/>
      <c r="BZ3" s="35"/>
      <c r="CA3" s="35"/>
      <c r="CB3" s="35"/>
      <c r="CC3" s="35"/>
      <c r="CD3" s="35"/>
      <c r="CE3" s="35"/>
      <c r="CF3" s="35"/>
      <c r="CG3" s="35"/>
      <c r="CH3" s="35"/>
      <c r="CI3" s="8"/>
      <c r="CJ3" s="8"/>
      <c r="CK3" s="8"/>
      <c r="CL3" s="420"/>
      <c r="CM3" s="9"/>
      <c r="CN3" s="9"/>
      <c r="CO3" s="420"/>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row>
    <row r="4" spans="1:133" ht="6" customHeight="1" thickBot="1">
      <c r="B4" s="71"/>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19"/>
      <c r="BV4" s="35"/>
      <c r="BW4" s="35"/>
      <c r="BX4" s="35"/>
      <c r="BY4" s="35"/>
      <c r="BZ4" s="35"/>
      <c r="CA4" s="35"/>
      <c r="CB4" s="35"/>
      <c r="CC4" s="35"/>
      <c r="CD4" s="35"/>
      <c r="CE4" s="35"/>
      <c r="CF4" s="35"/>
      <c r="CG4" s="35"/>
      <c r="CH4" s="35"/>
      <c r="CI4" s="8"/>
      <c r="CJ4" s="8"/>
      <c r="CK4" s="8"/>
      <c r="CL4" s="420"/>
      <c r="CM4" s="9"/>
      <c r="CN4" s="9"/>
      <c r="CO4" s="420"/>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row>
    <row r="5" spans="1:133" ht="3.75" customHeight="1" thickTop="1">
      <c r="B5" s="23"/>
      <c r="C5" s="2687" t="str">
        <f>IF(OR([4]Top!$BB$72="要",[4]Top!$BD$72="要",[4]Top!$BF$72="要"),"義務設置","設置不要")</f>
        <v>義務設置</v>
      </c>
      <c r="D5" s="2688"/>
      <c r="E5" s="2688"/>
      <c r="F5" s="2688"/>
      <c r="G5" s="2688"/>
      <c r="H5" s="2688"/>
      <c r="I5" s="2688"/>
      <c r="J5" s="2688"/>
      <c r="K5" s="2688"/>
      <c r="L5" s="2688"/>
      <c r="M5" s="2688"/>
      <c r="N5" s="2689"/>
      <c r="O5" s="304"/>
      <c r="P5" s="305"/>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c r="BO5" s="304"/>
      <c r="BP5" s="304"/>
      <c r="BQ5" s="304"/>
      <c r="BR5" s="304"/>
      <c r="BS5" s="304"/>
      <c r="BT5" s="303"/>
      <c r="BU5" s="19"/>
      <c r="BV5" s="35"/>
      <c r="BW5" s="35"/>
      <c r="BX5" s="35"/>
      <c r="BY5" s="35"/>
      <c r="BZ5" s="35"/>
      <c r="CA5" s="35"/>
      <c r="CB5" s="35"/>
      <c r="CC5" s="35"/>
      <c r="CD5" s="35"/>
      <c r="CE5" s="35"/>
      <c r="CF5" s="35"/>
      <c r="CG5" s="35"/>
      <c r="CH5" s="35"/>
      <c r="CI5" s="8"/>
      <c r="CJ5" s="8"/>
      <c r="CK5" s="8"/>
      <c r="CL5" s="420"/>
      <c r="CM5" s="9"/>
      <c r="CN5" s="9"/>
      <c r="CO5" s="420"/>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row>
    <row r="6" spans="1:133" ht="12" customHeight="1" thickBot="1">
      <c r="B6" s="23"/>
      <c r="C6" s="2690"/>
      <c r="D6" s="2691"/>
      <c r="E6" s="2691"/>
      <c r="F6" s="2691"/>
      <c r="G6" s="2691"/>
      <c r="H6" s="2691"/>
      <c r="I6" s="2691"/>
      <c r="J6" s="2691"/>
      <c r="K6" s="2691"/>
      <c r="L6" s="2691"/>
      <c r="M6" s="2691"/>
      <c r="N6" s="2692"/>
      <c r="O6" s="300"/>
      <c r="P6" s="283"/>
      <c r="Q6" s="237"/>
      <c r="R6" s="237"/>
      <c r="S6" s="237"/>
      <c r="T6" s="236"/>
      <c r="U6" s="236"/>
      <c r="V6" s="236"/>
      <c r="W6" s="236"/>
      <c r="X6" s="236"/>
      <c r="Y6" s="236"/>
      <c r="Z6" s="236"/>
      <c r="AA6" s="236"/>
      <c r="AB6" s="419" t="s">
        <v>255</v>
      </c>
      <c r="AC6" s="2418" t="s">
        <v>139</v>
      </c>
      <c r="AD6" s="2418"/>
      <c r="AE6" s="2418"/>
      <c r="AF6" s="2418"/>
      <c r="AG6" s="236"/>
      <c r="AH6" s="237"/>
      <c r="AI6" s="236"/>
      <c r="AJ6" s="236"/>
      <c r="AK6" s="236"/>
      <c r="AL6" s="236"/>
      <c r="AM6" s="236"/>
      <c r="AN6" s="236"/>
      <c r="AO6" s="236"/>
      <c r="AP6" s="236"/>
      <c r="AQ6" s="419" t="s">
        <v>254</v>
      </c>
      <c r="AR6" s="2418" t="s">
        <v>139</v>
      </c>
      <c r="AS6" s="2418"/>
      <c r="AT6" s="2418"/>
      <c r="AU6" s="2418"/>
      <c r="AV6" s="236"/>
      <c r="AW6" s="2400" t="s">
        <v>253</v>
      </c>
      <c r="AX6" s="2400"/>
      <c r="AY6" s="2400"/>
      <c r="AZ6" s="2400"/>
      <c r="BA6" s="2400"/>
      <c r="BB6" s="2400"/>
      <c r="BC6" s="2400"/>
      <c r="BD6" s="2400"/>
      <c r="BE6" s="2400"/>
      <c r="BF6" s="2400"/>
      <c r="BG6" s="418"/>
      <c r="BH6" s="418"/>
      <c r="BI6" s="418"/>
      <c r="BJ6" s="418"/>
      <c r="BK6" s="418"/>
      <c r="BL6" s="418"/>
      <c r="BM6" s="418"/>
      <c r="BN6" s="103"/>
      <c r="BO6" s="2686"/>
      <c r="BP6" s="2686"/>
      <c r="BQ6" s="2686"/>
      <c r="BR6" s="2686"/>
      <c r="BS6" s="2686"/>
      <c r="BT6" s="406"/>
      <c r="BU6" s="19"/>
      <c r="BV6" s="35"/>
      <c r="BW6" s="35"/>
      <c r="BX6" s="35"/>
      <c r="BY6" s="35"/>
      <c r="BZ6" s="35"/>
      <c r="CA6" s="35"/>
      <c r="CB6" s="35"/>
      <c r="CC6" s="35"/>
      <c r="CD6" s="35"/>
      <c r="CE6" s="35"/>
      <c r="CF6" s="35"/>
      <c r="CG6" s="35"/>
      <c r="CH6" s="35"/>
      <c r="CI6" s="9"/>
      <c r="CJ6" s="108" t="s">
        <v>116</v>
      </c>
      <c r="CK6" s="8"/>
      <c r="CL6" s="7"/>
      <c r="CM6" s="9"/>
      <c r="CN6" s="9"/>
      <c r="CO6" s="7"/>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row>
    <row r="7" spans="1:133" ht="11.25" customHeight="1" thickTop="1">
      <c r="B7" s="23"/>
      <c r="C7" s="417"/>
      <c r="D7" s="416"/>
      <c r="E7" s="416"/>
      <c r="F7" s="416"/>
      <c r="G7" s="416"/>
      <c r="H7" s="416"/>
      <c r="I7" s="416"/>
      <c r="J7" s="416"/>
      <c r="K7" s="416"/>
      <c r="L7" s="416"/>
      <c r="M7" s="416"/>
      <c r="N7" s="415"/>
      <c r="O7" s="283"/>
      <c r="P7" s="283"/>
      <c r="Q7" s="2404" t="s">
        <v>352</v>
      </c>
      <c r="R7" s="2405"/>
      <c r="S7" s="2405"/>
      <c r="T7" s="2405"/>
      <c r="U7" s="2405"/>
      <c r="V7" s="2405"/>
      <c r="W7" s="2405"/>
      <c r="X7" s="2406"/>
      <c r="Y7" s="2681">
        <f>IF(B2=0,"",IF(AC7="",1300,AC7))</f>
        <v>1300</v>
      </c>
      <c r="Z7" s="2681"/>
      <c r="AA7" s="2681"/>
      <c r="AB7" s="2682"/>
      <c r="AC7" s="2673"/>
      <c r="AD7" s="2674"/>
      <c r="AE7" s="2674"/>
      <c r="AF7" s="2675"/>
      <c r="AG7" s="103"/>
      <c r="AH7" s="57"/>
      <c r="AI7" s="2683" t="s">
        <v>12</v>
      </c>
      <c r="AJ7" s="2684"/>
      <c r="AK7" s="2684"/>
      <c r="AL7" s="2684"/>
      <c r="AM7" s="2685"/>
      <c r="AN7" s="2681">
        <f>IF(B2=0,"",IF(AR7="",1000,AR7))</f>
        <v>1000</v>
      </c>
      <c r="AO7" s="2681"/>
      <c r="AP7" s="2681"/>
      <c r="AQ7" s="2682"/>
      <c r="AR7" s="2673"/>
      <c r="AS7" s="2674"/>
      <c r="AT7" s="2674"/>
      <c r="AU7" s="2675"/>
      <c r="AV7" s="103"/>
      <c r="AW7" s="300"/>
      <c r="AX7" s="2418" t="s">
        <v>142</v>
      </c>
      <c r="AY7" s="2418"/>
      <c r="AZ7" s="2418"/>
      <c r="BA7" s="2418"/>
      <c r="BB7" s="2418" t="s">
        <v>139</v>
      </c>
      <c r="BC7" s="2418"/>
      <c r="BD7" s="2418"/>
      <c r="BE7" s="2418"/>
      <c r="BF7" s="2418" t="s">
        <v>140</v>
      </c>
      <c r="BG7" s="2418"/>
      <c r="BH7" s="2418"/>
      <c r="BI7" s="2418"/>
      <c r="BJ7" s="2418" t="s">
        <v>139</v>
      </c>
      <c r="BK7" s="2418"/>
      <c r="BL7" s="2418"/>
      <c r="BM7" s="2418"/>
      <c r="BN7" s="411"/>
      <c r="BO7" s="103"/>
      <c r="BP7" s="103"/>
      <c r="BQ7" s="103"/>
      <c r="BR7" s="103"/>
      <c r="BS7" s="103"/>
      <c r="BT7" s="406"/>
      <c r="BU7" s="19"/>
      <c r="BV7" s="35"/>
      <c r="BW7" s="35"/>
      <c r="BX7" s="35"/>
      <c r="BY7" s="35"/>
      <c r="BZ7" s="35"/>
      <c r="CA7" s="35"/>
      <c r="CB7" s="35"/>
      <c r="CC7" s="35"/>
      <c r="CD7" s="35"/>
      <c r="CE7" s="35"/>
      <c r="CF7" s="35"/>
      <c r="CG7" s="35"/>
      <c r="CH7" s="35"/>
      <c r="CI7" s="9"/>
      <c r="CJ7" s="108" t="s">
        <v>434</v>
      </c>
      <c r="CK7" s="8"/>
      <c r="CL7" s="7"/>
      <c r="CM7" s="9"/>
      <c r="CN7" s="9"/>
      <c r="CO7" s="7"/>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row>
    <row r="8" spans="1:133" ht="11.25" customHeight="1">
      <c r="B8" s="23"/>
      <c r="C8" s="410"/>
      <c r="D8" s="2664" t="str">
        <f>IF(B2=0,"",IF(J8="",C5,J8))</f>
        <v>義務設置</v>
      </c>
      <c r="E8" s="2665"/>
      <c r="F8" s="2665"/>
      <c r="G8" s="2665"/>
      <c r="H8" s="2666"/>
      <c r="I8" s="31" t="s">
        <v>34</v>
      </c>
      <c r="J8" s="2712"/>
      <c r="K8" s="2713"/>
      <c r="L8" s="2713"/>
      <c r="M8" s="2713"/>
      <c r="N8" s="2714"/>
      <c r="O8" s="300"/>
      <c r="P8" s="283"/>
      <c r="Q8" s="2404" t="s">
        <v>433</v>
      </c>
      <c r="R8" s="2405"/>
      <c r="S8" s="2405"/>
      <c r="T8" s="2405"/>
      <c r="U8" s="2405"/>
      <c r="V8" s="2405"/>
      <c r="W8" s="2405"/>
      <c r="X8" s="2406"/>
      <c r="Y8" s="2681">
        <f>IF(B2=0,"",IF(AC8="",1200,AC8))</f>
        <v>1200</v>
      </c>
      <c r="Z8" s="2681"/>
      <c r="AA8" s="2681"/>
      <c r="AB8" s="2682"/>
      <c r="AC8" s="2673"/>
      <c r="AD8" s="2674"/>
      <c r="AE8" s="2674"/>
      <c r="AF8" s="2675"/>
      <c r="AG8" s="103"/>
      <c r="AH8" s="57"/>
      <c r="AI8" s="2683" t="s">
        <v>432</v>
      </c>
      <c r="AJ8" s="2684"/>
      <c r="AK8" s="2684"/>
      <c r="AL8" s="2684"/>
      <c r="AM8" s="2685"/>
      <c r="AN8" s="2671">
        <f>IF(B2=0,"",IF(AR8="",1500,AR8))</f>
        <v>1500</v>
      </c>
      <c r="AO8" s="2671"/>
      <c r="AP8" s="2671"/>
      <c r="AQ8" s="2672"/>
      <c r="AR8" s="2673"/>
      <c r="AS8" s="2674"/>
      <c r="AT8" s="2674"/>
      <c r="AU8" s="2675"/>
      <c r="AV8" s="103"/>
      <c r="AW8" s="103"/>
      <c r="AX8" s="2694">
        <f>IF(B2=0,"",IF(BB8="",700,BB8))</f>
        <v>700</v>
      </c>
      <c r="AY8" s="2681"/>
      <c r="AZ8" s="2681"/>
      <c r="BA8" s="2682"/>
      <c r="BB8" s="2673"/>
      <c r="BC8" s="2674"/>
      <c r="BD8" s="2674"/>
      <c r="BE8" s="2675"/>
      <c r="BF8" s="2694">
        <f>IF(B2=0,"",IF(BJ8="",6000,BJ8))</f>
        <v>6000</v>
      </c>
      <c r="BG8" s="2681"/>
      <c r="BH8" s="2681"/>
      <c r="BI8" s="2682"/>
      <c r="BJ8" s="2673"/>
      <c r="BK8" s="2674"/>
      <c r="BL8" s="2674"/>
      <c r="BM8" s="2675"/>
      <c r="BN8" s="411"/>
      <c r="BO8" s="103"/>
      <c r="BP8" s="103"/>
      <c r="BQ8" s="103"/>
      <c r="BR8" s="103"/>
      <c r="BS8" s="103"/>
      <c r="BT8" s="406"/>
      <c r="BU8" s="19"/>
      <c r="BV8" s="35"/>
      <c r="BW8" s="35"/>
      <c r="BX8" s="35"/>
      <c r="BY8" s="35"/>
      <c r="BZ8" s="35"/>
      <c r="CA8" s="35"/>
      <c r="CB8" s="35"/>
      <c r="CC8" s="35"/>
      <c r="CD8" s="35"/>
      <c r="CE8" s="35"/>
      <c r="CF8" s="35"/>
      <c r="CG8" s="35"/>
      <c r="CH8" s="35"/>
      <c r="CI8" s="9"/>
      <c r="CJ8" s="108" t="s">
        <v>431</v>
      </c>
      <c r="CK8" s="8"/>
      <c r="CL8" s="7"/>
      <c r="CM8" s="9"/>
      <c r="CN8" s="9"/>
      <c r="CO8" s="7"/>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row>
    <row r="9" spans="1:133" ht="11.25" customHeight="1">
      <c r="B9" s="23"/>
      <c r="C9" s="410"/>
      <c r="D9" s="414"/>
      <c r="E9" s="414"/>
      <c r="F9" s="414"/>
      <c r="G9" s="414"/>
      <c r="H9" s="414"/>
      <c r="I9" s="414"/>
      <c r="J9" s="414"/>
      <c r="K9" s="414"/>
      <c r="L9" s="414"/>
      <c r="M9" s="414"/>
      <c r="N9" s="408"/>
      <c r="O9" s="283"/>
      <c r="P9" s="283"/>
      <c r="Q9" s="2404" t="s">
        <v>430</v>
      </c>
      <c r="R9" s="2405"/>
      <c r="S9" s="2405"/>
      <c r="T9" s="2405"/>
      <c r="U9" s="2405"/>
      <c r="V9" s="2405"/>
      <c r="W9" s="2405"/>
      <c r="X9" s="2406"/>
      <c r="Y9" s="2681">
        <f>IF(B2=0,"",IF(AC9="",2400,AC9))</f>
        <v>2400</v>
      </c>
      <c r="Z9" s="2681"/>
      <c r="AA9" s="2681"/>
      <c r="AB9" s="2682"/>
      <c r="AC9" s="2673"/>
      <c r="AD9" s="2674"/>
      <c r="AE9" s="2674"/>
      <c r="AF9" s="2675"/>
      <c r="AG9" s="103"/>
      <c r="AH9" s="57"/>
      <c r="AI9" s="2404" t="s">
        <v>429</v>
      </c>
      <c r="AJ9" s="2405"/>
      <c r="AK9" s="2405"/>
      <c r="AL9" s="2405"/>
      <c r="AM9" s="2406"/>
      <c r="AN9" s="2671">
        <f>IF(B2=0,"",IF(AR9="",600,AR9))</f>
        <v>600</v>
      </c>
      <c r="AO9" s="2671"/>
      <c r="AP9" s="2671"/>
      <c r="AQ9" s="2672"/>
      <c r="AR9" s="2673"/>
      <c r="AS9" s="2674"/>
      <c r="AT9" s="2674"/>
      <c r="AU9" s="2675"/>
      <c r="AV9" s="103"/>
      <c r="AW9" s="413"/>
      <c r="AX9" s="300"/>
      <c r="AY9" s="300"/>
      <c r="AZ9" s="300"/>
      <c r="BA9" s="300"/>
      <c r="BB9" s="300"/>
      <c r="BC9" s="300"/>
      <c r="BD9" s="300"/>
      <c r="BE9" s="103"/>
      <c r="BF9" s="103"/>
      <c r="BG9" s="215"/>
      <c r="BH9" s="411"/>
      <c r="BI9" s="412"/>
      <c r="BJ9" s="412"/>
      <c r="BK9" s="411"/>
      <c r="BL9" s="412"/>
      <c r="BM9" s="412"/>
      <c r="BN9" s="411"/>
      <c r="BO9" s="103"/>
      <c r="BP9" s="103"/>
      <c r="BQ9" s="103"/>
      <c r="BR9" s="103"/>
      <c r="BS9" s="103"/>
      <c r="BT9" s="406"/>
      <c r="BU9" s="19"/>
      <c r="BV9" s="35"/>
      <c r="BW9" s="35"/>
      <c r="BX9" s="2707"/>
      <c r="BY9" s="2707"/>
      <c r="BZ9" s="2707"/>
      <c r="CA9" s="35"/>
      <c r="CB9" s="35"/>
      <c r="CC9" s="35"/>
      <c r="CD9" s="35"/>
      <c r="CE9" s="35"/>
      <c r="CF9" s="35"/>
      <c r="CG9" s="35"/>
      <c r="CH9" s="35"/>
      <c r="CI9" s="9"/>
      <c r="CJ9" s="108" t="s">
        <v>388</v>
      </c>
      <c r="CK9" s="8"/>
      <c r="CL9" s="7"/>
      <c r="CM9" s="9"/>
      <c r="CN9" s="9"/>
      <c r="CO9" s="7"/>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row>
    <row r="10" spans="1:133" ht="11.25" customHeight="1">
      <c r="B10" s="23"/>
      <c r="C10" s="410"/>
      <c r="D10" s="409"/>
      <c r="E10" s="409"/>
      <c r="F10" s="409"/>
      <c r="G10" s="409"/>
      <c r="H10" s="409"/>
      <c r="I10" s="409"/>
      <c r="J10" s="409"/>
      <c r="K10" s="409"/>
      <c r="L10" s="409"/>
      <c r="M10" s="409"/>
      <c r="N10" s="408"/>
      <c r="O10" s="283"/>
      <c r="P10" s="283"/>
      <c r="Q10" s="2404" t="s">
        <v>428</v>
      </c>
      <c r="R10" s="2405"/>
      <c r="S10" s="2405"/>
      <c r="T10" s="2405"/>
      <c r="U10" s="2405"/>
      <c r="V10" s="2405"/>
      <c r="W10" s="2405"/>
      <c r="X10" s="2406"/>
      <c r="Y10" s="2681">
        <f>IF(B2=0,"",IF(AC10="",900,AC10))</f>
        <v>900</v>
      </c>
      <c r="Z10" s="2681"/>
      <c r="AA10" s="2681"/>
      <c r="AB10" s="2682"/>
      <c r="AC10" s="2673"/>
      <c r="AD10" s="2674"/>
      <c r="AE10" s="2674"/>
      <c r="AF10" s="2675"/>
      <c r="AG10" s="103"/>
      <c r="AH10" s="57"/>
      <c r="AI10" s="2683" t="s">
        <v>427</v>
      </c>
      <c r="AJ10" s="2684"/>
      <c r="AK10" s="2684"/>
      <c r="AL10" s="2684"/>
      <c r="AM10" s="2685"/>
      <c r="AN10" s="2671">
        <f>IF(B2=0,"",IF(AR10="",2500,AR10))</f>
        <v>2500</v>
      </c>
      <c r="AO10" s="2671"/>
      <c r="AP10" s="2671"/>
      <c r="AQ10" s="2672"/>
      <c r="AR10" s="2673"/>
      <c r="AS10" s="2674"/>
      <c r="AT10" s="2674"/>
      <c r="AU10" s="2675"/>
      <c r="AV10" s="103"/>
      <c r="AW10" s="2676" t="s">
        <v>426</v>
      </c>
      <c r="AX10" s="2677"/>
      <c r="AY10" s="2677"/>
      <c r="AZ10" s="2677"/>
      <c r="BA10" s="2677"/>
      <c r="BB10" s="2677"/>
      <c r="BC10" s="2677"/>
      <c r="BD10" s="2677"/>
      <c r="BE10" s="2677"/>
      <c r="BF10" s="2677"/>
      <c r="BG10" s="2677"/>
      <c r="BH10" s="2677"/>
      <c r="BI10" s="2678"/>
      <c r="BJ10" s="2679" t="str">
        <f>IF(B2=0,"",IF(BN10="","  1F",BN10))</f>
        <v xml:space="preserve">  1F</v>
      </c>
      <c r="BK10" s="2679"/>
      <c r="BL10" s="2680"/>
      <c r="BM10" s="407" t="s">
        <v>103</v>
      </c>
      <c r="BN10" s="2667"/>
      <c r="BO10" s="2668"/>
      <c r="BP10" s="2668"/>
      <c r="BQ10" s="2669"/>
      <c r="BR10" s="103"/>
      <c r="BS10" s="103"/>
      <c r="BT10" s="406"/>
      <c r="BU10" s="19"/>
      <c r="BV10" s="35"/>
      <c r="BW10" s="35"/>
      <c r="BX10" s="35"/>
      <c r="BY10" s="35"/>
      <c r="BZ10" s="35"/>
      <c r="CA10" s="35"/>
      <c r="CB10" s="35"/>
      <c r="CC10" s="35"/>
      <c r="CD10" s="35"/>
      <c r="CE10" s="35"/>
      <c r="CF10" s="35"/>
      <c r="CG10" s="35"/>
      <c r="CH10" s="35"/>
      <c r="CI10" s="9"/>
      <c r="CJ10" s="108" t="s">
        <v>425</v>
      </c>
      <c r="CK10" s="8"/>
      <c r="CL10" s="7"/>
      <c r="CM10" s="9"/>
      <c r="CN10" s="9"/>
      <c r="CO10" s="7"/>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row>
    <row r="11" spans="1:133" ht="3.75" customHeight="1" thickBot="1">
      <c r="B11" s="23"/>
      <c r="C11" s="405"/>
      <c r="D11" s="404"/>
      <c r="E11" s="404"/>
      <c r="F11" s="404"/>
      <c r="G11" s="404"/>
      <c r="H11" s="404"/>
      <c r="I11" s="404"/>
      <c r="J11" s="404"/>
      <c r="K11" s="404"/>
      <c r="L11" s="404"/>
      <c r="M11" s="404"/>
      <c r="N11" s="403"/>
      <c r="O11" s="282"/>
      <c r="P11" s="282"/>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33"/>
      <c r="BU11" s="19"/>
      <c r="BV11" s="35"/>
      <c r="BW11" s="35"/>
      <c r="BX11" s="35"/>
      <c r="BY11" s="35"/>
      <c r="BZ11" s="35"/>
      <c r="CA11" s="35"/>
      <c r="CB11" s="35"/>
      <c r="CC11" s="35"/>
      <c r="CD11" s="35"/>
      <c r="CE11" s="35"/>
      <c r="CF11" s="35"/>
      <c r="CG11" s="35"/>
      <c r="CH11" s="35"/>
      <c r="CI11" s="8"/>
      <c r="CJ11" s="8"/>
      <c r="CK11" s="8"/>
      <c r="CL11" s="7"/>
      <c r="CM11" s="9"/>
      <c r="CN11" s="9"/>
      <c r="CO11" s="7"/>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row>
    <row r="12" spans="1:133" ht="6" customHeight="1" thickTop="1" thickBot="1">
      <c r="B12" s="23"/>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19"/>
      <c r="BV12" s="35"/>
      <c r="BW12" s="35"/>
      <c r="BX12" s="35"/>
      <c r="BY12" s="35"/>
      <c r="BZ12" s="35"/>
      <c r="CA12" s="35"/>
      <c r="CB12" s="35"/>
      <c r="CC12" s="35"/>
      <c r="CD12" s="35"/>
      <c r="CE12" s="35"/>
      <c r="CF12" s="35"/>
      <c r="CG12" s="35"/>
      <c r="CH12" s="35"/>
      <c r="CI12" s="8"/>
      <c r="CJ12" s="8"/>
      <c r="CK12" s="8"/>
      <c r="CL12" s="7"/>
      <c r="CM12" s="9"/>
      <c r="CN12" s="9"/>
      <c r="CO12" s="7"/>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row>
    <row r="13" spans="1:133" ht="11.25" customHeight="1">
      <c r="B13" s="23"/>
      <c r="C13" s="2649" t="s">
        <v>16</v>
      </c>
      <c r="D13" s="2650"/>
      <c r="E13" s="2651"/>
      <c r="F13" s="2656" t="s">
        <v>22</v>
      </c>
      <c r="G13" s="2650"/>
      <c r="H13" s="2650"/>
      <c r="I13" s="2651"/>
      <c r="J13" s="2656" t="s">
        <v>5</v>
      </c>
      <c r="K13" s="2650"/>
      <c r="L13" s="2650"/>
      <c r="M13" s="2651"/>
      <c r="N13" s="2656" t="s">
        <v>6</v>
      </c>
      <c r="O13" s="2650"/>
      <c r="P13" s="2650"/>
      <c r="Q13" s="2650"/>
      <c r="R13" s="2651"/>
      <c r="S13" s="2695" t="s">
        <v>131</v>
      </c>
      <c r="T13" s="2696"/>
      <c r="U13" s="2696"/>
      <c r="V13" s="2696"/>
      <c r="W13" s="2696"/>
      <c r="X13" s="2696"/>
      <c r="Y13" s="2696"/>
      <c r="Z13" s="2697"/>
      <c r="AA13" s="2698" t="s">
        <v>424</v>
      </c>
      <c r="AB13" s="2650"/>
      <c r="AC13" s="2651"/>
      <c r="AD13" s="2698" t="s">
        <v>423</v>
      </c>
      <c r="AE13" s="2650"/>
      <c r="AF13" s="2651"/>
      <c r="AG13" s="2656" t="s">
        <v>398</v>
      </c>
      <c r="AH13" s="2650"/>
      <c r="AI13" s="2650"/>
      <c r="AJ13" s="2650"/>
      <c r="AK13" s="2650"/>
      <c r="AL13" s="2650"/>
      <c r="AM13" s="2650"/>
      <c r="AN13" s="2698" t="s">
        <v>422</v>
      </c>
      <c r="AO13" s="2650"/>
      <c r="AP13" s="2651"/>
      <c r="AQ13" s="2656" t="s">
        <v>90</v>
      </c>
      <c r="AR13" s="2650"/>
      <c r="AS13" s="2651"/>
      <c r="AT13" s="2656" t="s">
        <v>398</v>
      </c>
      <c r="AU13" s="2650"/>
      <c r="AV13" s="2650"/>
      <c r="AW13" s="2650"/>
      <c r="AX13" s="2650"/>
      <c r="AY13" s="2650"/>
      <c r="AZ13" s="2650"/>
      <c r="BA13" s="2698" t="s">
        <v>422</v>
      </c>
      <c r="BB13" s="2650"/>
      <c r="BC13" s="2651"/>
      <c r="BD13" s="2656" t="s">
        <v>90</v>
      </c>
      <c r="BE13" s="2650"/>
      <c r="BF13" s="2651"/>
      <c r="BG13" s="2656" t="s">
        <v>397</v>
      </c>
      <c r="BH13" s="2650"/>
      <c r="BI13" s="2650"/>
      <c r="BJ13" s="2650"/>
      <c r="BK13" s="2650"/>
      <c r="BL13" s="2650"/>
      <c r="BM13" s="2650"/>
      <c r="BN13" s="2651"/>
      <c r="BO13" s="2698" t="s">
        <v>422</v>
      </c>
      <c r="BP13" s="2650"/>
      <c r="BQ13" s="2651"/>
      <c r="BR13" s="2656" t="s">
        <v>90</v>
      </c>
      <c r="BS13" s="2650"/>
      <c r="BT13" s="2706"/>
      <c r="BU13" s="19"/>
      <c r="BV13" s="35"/>
      <c r="BW13" s="35"/>
      <c r="BX13" s="35"/>
      <c r="BY13" s="35"/>
      <c r="BZ13" s="35"/>
      <c r="CA13" s="35"/>
      <c r="CB13" s="35"/>
      <c r="CC13" s="35"/>
      <c r="CD13" s="35"/>
      <c r="CE13" s="35"/>
      <c r="CF13" s="35"/>
      <c r="CG13" s="35"/>
      <c r="CH13" s="35"/>
      <c r="CI13" s="8"/>
      <c r="CJ13" s="8"/>
      <c r="CK13" s="8"/>
      <c r="CL13" s="11"/>
      <c r="CM13" s="9"/>
      <c r="CN13" s="9"/>
      <c r="CO13" s="7"/>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row>
    <row r="14" spans="1:133" ht="11.25" customHeight="1">
      <c r="B14" s="23"/>
      <c r="C14" s="2652"/>
      <c r="D14" s="2385"/>
      <c r="E14" s="2386"/>
      <c r="F14" s="2384"/>
      <c r="G14" s="2385"/>
      <c r="H14" s="2385"/>
      <c r="I14" s="2386"/>
      <c r="J14" s="2384"/>
      <c r="K14" s="2385"/>
      <c r="L14" s="2385"/>
      <c r="M14" s="2386"/>
      <c r="N14" s="2384"/>
      <c r="O14" s="2385"/>
      <c r="P14" s="2385"/>
      <c r="Q14" s="2385"/>
      <c r="R14" s="2386"/>
      <c r="S14" s="2384" t="s">
        <v>7</v>
      </c>
      <c r="T14" s="2385"/>
      <c r="U14" s="2385"/>
      <c r="V14" s="2386"/>
      <c r="W14" s="2384" t="s">
        <v>8</v>
      </c>
      <c r="X14" s="2385"/>
      <c r="Y14" s="2385"/>
      <c r="Z14" s="2386"/>
      <c r="AA14" s="2384"/>
      <c r="AB14" s="2385"/>
      <c r="AC14" s="2386"/>
      <c r="AD14" s="2384"/>
      <c r="AE14" s="2385"/>
      <c r="AF14" s="2386"/>
      <c r="AG14" s="2384"/>
      <c r="AH14" s="2385"/>
      <c r="AI14" s="2385"/>
      <c r="AJ14" s="2385"/>
      <c r="AK14" s="2385"/>
      <c r="AL14" s="2385"/>
      <c r="AM14" s="2385"/>
      <c r="AN14" s="2384"/>
      <c r="AO14" s="2385"/>
      <c r="AP14" s="2386"/>
      <c r="AQ14" s="2384" t="s">
        <v>3</v>
      </c>
      <c r="AR14" s="2385"/>
      <c r="AS14" s="2386"/>
      <c r="AT14" s="2384"/>
      <c r="AU14" s="2385"/>
      <c r="AV14" s="2385"/>
      <c r="AW14" s="2385"/>
      <c r="AX14" s="2385"/>
      <c r="AY14" s="2385"/>
      <c r="AZ14" s="2385"/>
      <c r="BA14" s="2384"/>
      <c r="BB14" s="2385"/>
      <c r="BC14" s="2386"/>
      <c r="BD14" s="2384" t="s">
        <v>3</v>
      </c>
      <c r="BE14" s="2385"/>
      <c r="BF14" s="2386"/>
      <c r="BG14" s="2384"/>
      <c r="BH14" s="2385"/>
      <c r="BI14" s="2385"/>
      <c r="BJ14" s="2385"/>
      <c r="BK14" s="2385"/>
      <c r="BL14" s="2385"/>
      <c r="BM14" s="2385"/>
      <c r="BN14" s="2386"/>
      <c r="BO14" s="2384"/>
      <c r="BP14" s="2385"/>
      <c r="BQ14" s="2386"/>
      <c r="BR14" s="2384" t="s">
        <v>3</v>
      </c>
      <c r="BS14" s="2385"/>
      <c r="BT14" s="2710"/>
      <c r="BU14" s="19"/>
      <c r="BV14" s="35"/>
      <c r="BW14" s="35"/>
      <c r="BX14" s="35"/>
      <c r="BY14" s="35"/>
      <c r="BZ14" s="35"/>
      <c r="CA14" s="35"/>
      <c r="CB14" s="35"/>
      <c r="CC14" s="35"/>
      <c r="CD14" s="35"/>
      <c r="CE14" s="35"/>
      <c r="CF14" s="35"/>
      <c r="CG14" s="35"/>
      <c r="CH14" s="35"/>
      <c r="CI14" s="8"/>
      <c r="CJ14" s="88" t="str">
        <f>IF(LEFT($BJ$10,2)=" B",-MID($BJ$10,3,1),IF(OR($BJ$10&lt;&gt;"  RF",LEFT($BJ$10,2)&lt;&gt;"PH"),LEFT($BJ$10,3),""))</f>
        <v xml:space="preserve">  1</v>
      </c>
      <c r="CK14" s="11" t="s">
        <v>421</v>
      </c>
      <c r="CL14" s="9"/>
      <c r="CM14" s="9"/>
      <c r="CN14" s="9"/>
      <c r="CO14" s="7"/>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row>
    <row r="15" spans="1:133" ht="12" customHeight="1">
      <c r="B15" s="23"/>
      <c r="C15" s="2653"/>
      <c r="D15" s="2654"/>
      <c r="E15" s="2655"/>
      <c r="F15" s="2436" t="s">
        <v>420</v>
      </c>
      <c r="G15" s="2654"/>
      <c r="H15" s="2654"/>
      <c r="I15" s="2655"/>
      <c r="J15" s="2436" t="s">
        <v>420</v>
      </c>
      <c r="K15" s="2654"/>
      <c r="L15" s="2654"/>
      <c r="M15" s="2655"/>
      <c r="N15" s="2436" t="s">
        <v>128</v>
      </c>
      <c r="O15" s="2654"/>
      <c r="P15" s="2654"/>
      <c r="Q15" s="2654"/>
      <c r="R15" s="2655"/>
      <c r="S15" s="2384" t="s">
        <v>128</v>
      </c>
      <c r="T15" s="2385"/>
      <c r="U15" s="2385"/>
      <c r="V15" s="2386"/>
      <c r="W15" s="2384" t="s">
        <v>128</v>
      </c>
      <c r="X15" s="2385"/>
      <c r="Y15" s="2385"/>
      <c r="Z15" s="2386"/>
      <c r="AA15" s="2699"/>
      <c r="AB15" s="2700"/>
      <c r="AC15" s="2701"/>
      <c r="AD15" s="2699"/>
      <c r="AE15" s="2700"/>
      <c r="AF15" s="2701"/>
      <c r="AG15" s="2384"/>
      <c r="AH15" s="2385"/>
      <c r="AI15" s="2385"/>
      <c r="AJ15" s="2385"/>
      <c r="AK15" s="2385"/>
      <c r="AL15" s="2385"/>
      <c r="AM15" s="2385"/>
      <c r="AN15" s="2436"/>
      <c r="AO15" s="2654"/>
      <c r="AP15" s="2655"/>
      <c r="AQ15" s="2640" t="s">
        <v>68</v>
      </c>
      <c r="AR15" s="2641"/>
      <c r="AS15" s="2642"/>
      <c r="AT15" s="2384"/>
      <c r="AU15" s="2385"/>
      <c r="AV15" s="2385"/>
      <c r="AW15" s="2385"/>
      <c r="AX15" s="2385"/>
      <c r="AY15" s="2385"/>
      <c r="AZ15" s="2385"/>
      <c r="BA15" s="2436"/>
      <c r="BB15" s="2654"/>
      <c r="BC15" s="2655"/>
      <c r="BD15" s="2640" t="s">
        <v>68</v>
      </c>
      <c r="BE15" s="2641"/>
      <c r="BF15" s="2642"/>
      <c r="BG15" s="2384"/>
      <c r="BH15" s="2385"/>
      <c r="BI15" s="2385"/>
      <c r="BJ15" s="2385"/>
      <c r="BK15" s="2385"/>
      <c r="BL15" s="2385"/>
      <c r="BM15" s="2385"/>
      <c r="BN15" s="2386"/>
      <c r="BO15" s="2436"/>
      <c r="BP15" s="2654"/>
      <c r="BQ15" s="2655"/>
      <c r="BR15" s="2640" t="s">
        <v>68</v>
      </c>
      <c r="BS15" s="2641"/>
      <c r="BT15" s="2705"/>
      <c r="BU15" s="19"/>
      <c r="BV15" s="35"/>
      <c r="BW15" s="35"/>
      <c r="BX15" s="2708" t="s">
        <v>419</v>
      </c>
      <c r="BY15" s="2709"/>
      <c r="BZ15" s="2660" t="s">
        <v>418</v>
      </c>
      <c r="CA15" s="2660"/>
      <c r="CB15" s="2660"/>
      <c r="CC15" s="2660"/>
      <c r="CD15" s="2660" t="s">
        <v>417</v>
      </c>
      <c r="CE15" s="2660"/>
      <c r="CF15" s="2660"/>
      <c r="CG15" s="2661"/>
      <c r="CH15" s="35"/>
      <c r="CI15" s="8"/>
      <c r="CJ15" s="8"/>
      <c r="CK15" s="8"/>
      <c r="CL15" s="9"/>
      <c r="CM15" s="9"/>
      <c r="CN15" s="9"/>
      <c r="CO15" s="7"/>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row>
    <row r="16" spans="1:133" ht="11.25" customHeight="1" thickBot="1">
      <c r="A16" s="374">
        <v>1</v>
      </c>
      <c r="B16" s="176"/>
      <c r="C16" s="2702" t="str">
        <f>非誘!J16</f>
        <v>( 15)</v>
      </c>
      <c r="D16" s="2703"/>
      <c r="E16" s="2704"/>
      <c r="F16" s="2629" t="str">
        <f>非誘!M16</f>
        <v>前各項以外</v>
      </c>
      <c r="G16" s="2629"/>
      <c r="H16" s="2629"/>
      <c r="I16" s="2629"/>
      <c r="J16" s="2629"/>
      <c r="K16" s="2629"/>
      <c r="L16" s="2629"/>
      <c r="M16" s="2629"/>
      <c r="N16" s="2629"/>
      <c r="O16" s="2629"/>
      <c r="P16" s="2630" t="str">
        <f>IF(U16="",RIGHT($D$8,2),U16)</f>
        <v>設置</v>
      </c>
      <c r="Q16" s="2630"/>
      <c r="R16" s="2630"/>
      <c r="S16" s="2631"/>
      <c r="T16" s="31" t="s">
        <v>387</v>
      </c>
      <c r="U16" s="2632"/>
      <c r="V16" s="2632"/>
      <c r="W16" s="2632"/>
      <c r="X16" s="2633"/>
      <c r="Y16" s="2634" t="s">
        <v>20</v>
      </c>
      <c r="Z16" s="2634"/>
      <c r="AA16" s="2634"/>
      <c r="AB16" s="2634"/>
      <c r="AC16" s="2634"/>
      <c r="AD16" s="2635">
        <f>非誘!J17</f>
        <v>0.72727272727272729</v>
      </c>
      <c r="AE16" s="2635"/>
      <c r="AF16" s="2635"/>
      <c r="AG16" s="2635"/>
      <c r="AH16" s="2299" t="s">
        <v>135</v>
      </c>
      <c r="AI16" s="2299"/>
      <c r="AJ16" s="2299"/>
      <c r="AK16" s="2299"/>
      <c r="AL16" s="2299"/>
      <c r="AM16" s="2299" t="s">
        <v>366</v>
      </c>
      <c r="AN16" s="2299"/>
      <c r="AO16" s="2299"/>
      <c r="AP16" s="2299"/>
      <c r="AQ16" s="2569" t="str">
        <f>IF(AX16="","天井ケーブル",AX16)</f>
        <v>天井ケーブル</v>
      </c>
      <c r="AR16" s="2569"/>
      <c r="AS16" s="2569"/>
      <c r="AT16" s="2569"/>
      <c r="AU16" s="2569"/>
      <c r="AV16" s="2569"/>
      <c r="AW16" s="175" t="s">
        <v>387</v>
      </c>
      <c r="AX16" s="2338"/>
      <c r="AY16" s="2338"/>
      <c r="AZ16" s="2338"/>
      <c r="BA16" s="2338"/>
      <c r="BB16" s="2338"/>
      <c r="BC16" s="2338"/>
      <c r="BD16" s="2299" t="s">
        <v>363</v>
      </c>
      <c r="BE16" s="2299"/>
      <c r="BF16" s="2299"/>
      <c r="BG16" s="2299"/>
      <c r="BH16" s="2569" t="str">
        <f>IF(BO16="","天井(C 管)",BO16)</f>
        <v>天井(C 管)</v>
      </c>
      <c r="BI16" s="2569"/>
      <c r="BJ16" s="2569"/>
      <c r="BK16" s="2569"/>
      <c r="BL16" s="2569"/>
      <c r="BM16" s="2569"/>
      <c r="BN16" s="175" t="s">
        <v>387</v>
      </c>
      <c r="BO16" s="2338"/>
      <c r="BP16" s="2338"/>
      <c r="BQ16" s="2338"/>
      <c r="BR16" s="2338"/>
      <c r="BS16" s="2338"/>
      <c r="BT16" s="2622"/>
      <c r="BU16" s="19"/>
      <c r="BV16" s="35"/>
      <c r="BW16" s="35"/>
      <c r="BX16" s="2658" t="s">
        <v>416</v>
      </c>
      <c r="BY16" s="2659"/>
      <c r="BZ16" s="2662" t="s">
        <v>415</v>
      </c>
      <c r="CA16" s="2657"/>
      <c r="CB16" s="2662" t="s">
        <v>414</v>
      </c>
      <c r="CC16" s="2711"/>
      <c r="CD16" s="2657" t="s">
        <v>415</v>
      </c>
      <c r="CE16" s="2657"/>
      <c r="CF16" s="2662" t="s">
        <v>414</v>
      </c>
      <c r="CG16" s="2663"/>
      <c r="CH16" s="35"/>
      <c r="CI16" s="8">
        <v>22</v>
      </c>
      <c r="CJ16" s="97">
        <f>IF(LEFT(C17,2)=" B",-MID(C17,3,1),IF(C17="  RF","",LEFT(C17,3)))</f>
        <v>-2</v>
      </c>
      <c r="CK16" s="10" t="str">
        <f>IF(OR(C17="",C17="  RF"),"",IF(LEFT(C17,1)="P","+",IF($CJ$14&gt;CJ16,"－",IF($CJ$14=CJ16,"=","+"))))</f>
        <v>－</v>
      </c>
      <c r="CL16" s="2670" t="s">
        <v>376</v>
      </c>
      <c r="CM16" s="2601"/>
      <c r="CN16" s="2601"/>
      <c r="CO16" s="2601" t="s">
        <v>375</v>
      </c>
      <c r="CP16" s="2601"/>
      <c r="CQ16" s="2601"/>
      <c r="CR16" s="2589" t="str">
        <f>AG17</f>
        <v>防火区画処理</v>
      </c>
      <c r="CS16" s="2590"/>
      <c r="CT16" s="2591"/>
      <c r="CU16" s="184">
        <f>AN17</f>
        <v>28</v>
      </c>
      <c r="CV16" s="2589" t="str">
        <f>AG21</f>
        <v>光電式煙2種埋</v>
      </c>
      <c r="CW16" s="2590"/>
      <c r="CX16" s="2591"/>
      <c r="CY16" s="184">
        <f>AN21</f>
        <v>76</v>
      </c>
      <c r="CZ16" s="8"/>
      <c r="DA16" s="88">
        <v>1</v>
      </c>
      <c r="DB16" s="373"/>
      <c r="DC16" s="45"/>
      <c r="DD16" s="45"/>
      <c r="DE16" s="45"/>
      <c r="DF16" s="45"/>
      <c r="DG16" s="45"/>
      <c r="DH16" s="45" t="s">
        <v>413</v>
      </c>
      <c r="DI16" s="45"/>
      <c r="DJ16" s="45" t="s">
        <v>412</v>
      </c>
      <c r="DK16" s="45"/>
      <c r="DL16" s="45"/>
      <c r="DM16" s="45"/>
      <c r="DN16" s="45"/>
      <c r="DO16" s="45"/>
      <c r="DP16" s="45"/>
      <c r="DQ16" s="45" t="s">
        <v>413</v>
      </c>
      <c r="DR16" s="45"/>
      <c r="DS16" s="402" t="s">
        <v>412</v>
      </c>
      <c r="DT16" s="88">
        <v>1</v>
      </c>
      <c r="DU16" s="373"/>
      <c r="DV16" s="45"/>
      <c r="DW16" s="45"/>
      <c r="DX16" s="45"/>
      <c r="DY16" s="45"/>
      <c r="DZ16" s="45"/>
      <c r="EA16" s="45" t="s">
        <v>413</v>
      </c>
      <c r="EB16" s="45"/>
      <c r="EC16" s="45" t="s">
        <v>412</v>
      </c>
    </row>
    <row r="17" spans="1:138" ht="11.25" customHeight="1" thickBot="1">
      <c r="A17" s="15">
        <v>18</v>
      </c>
      <c r="B17" s="23"/>
      <c r="C17" s="2602" t="str">
        <f>IF($BW$3=0,"",非誘!C18)</f>
        <v xml:space="preserve"> B2F</v>
      </c>
      <c r="D17" s="2603"/>
      <c r="E17" s="2604"/>
      <c r="F17" s="2605">
        <f>IF($BW$3=0,"",非誘!F18)</f>
        <v>5</v>
      </c>
      <c r="G17" s="2606"/>
      <c r="H17" s="2606"/>
      <c r="I17" s="2607"/>
      <c r="J17" s="2605" t="str">
        <f>IF($BW$3=0,"",非誘!J18)</f>
        <v>直天</v>
      </c>
      <c r="K17" s="2606"/>
      <c r="L17" s="2606"/>
      <c r="M17" s="2607"/>
      <c r="N17" s="2608">
        <f>IF($BW$3=0,"",非誘!N18)</f>
        <v>3168</v>
      </c>
      <c r="O17" s="2609"/>
      <c r="P17" s="2609"/>
      <c r="Q17" s="2609"/>
      <c r="R17" s="2610"/>
      <c r="S17" s="2608">
        <f>IF($BW$3=0,"",非誘!S18)</f>
        <v>2534.4</v>
      </c>
      <c r="T17" s="2609"/>
      <c r="U17" s="2609"/>
      <c r="V17" s="2610"/>
      <c r="W17" s="2608">
        <f>IF($BW$3=0,"",非誘!W18)</f>
        <v>633.59999999999991</v>
      </c>
      <c r="X17" s="2609"/>
      <c r="Y17" s="2609"/>
      <c r="Z17" s="2610"/>
      <c r="AA17" s="2611">
        <f>IF($BW$3=0,"",非誘!AA18)</f>
        <v>34</v>
      </c>
      <c r="AB17" s="2603"/>
      <c r="AC17" s="2604"/>
      <c r="AD17" s="2612">
        <f>IF($BW$3=0,"",非誘!AD18)</f>
        <v>32</v>
      </c>
      <c r="AE17" s="2613"/>
      <c r="AF17" s="2614"/>
      <c r="AG17" s="2615" t="str">
        <f>IF($B$2=0,"","防火区画処理")</f>
        <v>防火区画処理</v>
      </c>
      <c r="AH17" s="2615"/>
      <c r="AI17" s="2615"/>
      <c r="AJ17" s="2615"/>
      <c r="AK17" s="2615"/>
      <c r="AL17" s="2615"/>
      <c r="AM17" s="2615"/>
      <c r="AN17" s="2616">
        <f>IF(OR($B$2=0,C17="",P16="不要"),"",AZ17+BG17+BR17*2)</f>
        <v>28</v>
      </c>
      <c r="AO17" s="2616"/>
      <c r="AP17" s="2616"/>
      <c r="AQ17" s="2617" t="s">
        <v>374</v>
      </c>
      <c r="AR17" s="2617"/>
      <c r="AS17" s="2617"/>
      <c r="AT17" s="2617"/>
      <c r="AU17" s="2617"/>
      <c r="AV17" s="2618" t="s">
        <v>373</v>
      </c>
      <c r="AW17" s="2618"/>
      <c r="AX17" s="2618"/>
      <c r="AY17" s="2618"/>
      <c r="AZ17" s="2619">
        <f>IF(OR($B$2=0,C17="",P16="不要"),"",IF(LEFT(C17,1)="P",1+INT(W17/450),INT(S17/450)+1+INT(W17/450)))</f>
        <v>7</v>
      </c>
      <c r="BA17" s="2619"/>
      <c r="BB17" s="2619"/>
      <c r="BC17" s="2618" t="s">
        <v>372</v>
      </c>
      <c r="BD17" s="2618"/>
      <c r="BE17" s="2618"/>
      <c r="BF17" s="2618"/>
      <c r="BG17" s="2619">
        <f>IF(OR($B$2=0,C17="",P16="不要"),"",1+INT(N17/500))</f>
        <v>7</v>
      </c>
      <c r="BH17" s="2619"/>
      <c r="BI17" s="2619"/>
      <c r="BJ17" s="2617" t="s">
        <v>371</v>
      </c>
      <c r="BK17" s="2617"/>
      <c r="BL17" s="2617"/>
      <c r="BM17" s="2617"/>
      <c r="BN17" s="2617"/>
      <c r="BO17" s="2617"/>
      <c r="BP17" s="2617"/>
      <c r="BQ17" s="2617"/>
      <c r="BR17" s="2620">
        <f>IF(OR($B$2=0,C17="",P16="不要"),"",1+INT(0.055*N17^0.6))</f>
        <v>7</v>
      </c>
      <c r="BS17" s="2620"/>
      <c r="BT17" s="2621"/>
      <c r="BU17" s="19"/>
      <c r="BV17" s="35"/>
      <c r="BW17" s="35"/>
      <c r="BX17" s="400" t="s">
        <v>411</v>
      </c>
      <c r="BY17" s="351" t="s">
        <v>410</v>
      </c>
      <c r="BZ17" s="400" t="s">
        <v>411</v>
      </c>
      <c r="CA17" s="351" t="s">
        <v>410</v>
      </c>
      <c r="CB17" s="400" t="s">
        <v>411</v>
      </c>
      <c r="CC17" s="399" t="s">
        <v>410</v>
      </c>
      <c r="CD17" s="401" t="s">
        <v>411</v>
      </c>
      <c r="CE17" s="351" t="s">
        <v>410</v>
      </c>
      <c r="CF17" s="400" t="s">
        <v>411</v>
      </c>
      <c r="CG17" s="399" t="s">
        <v>410</v>
      </c>
      <c r="CH17" s="35"/>
      <c r="CI17" s="8">
        <v>1</v>
      </c>
      <c r="CJ17" s="88" t="s">
        <v>409</v>
      </c>
      <c r="CK17" s="221" t="s">
        <v>408</v>
      </c>
      <c r="CL17" s="372">
        <f>IF(C18="","",IF(AX22="①",CJ18+CK18+3,IF(AX22="②",CJ18*5/8+CK18+3,IF(AX22="③",CJ18/2+CK18+3,IF(AX22="④",CJ18+CK18*5/8+3,IF(AX22="⑤",(CJ18+CK18)*5/8+3,IF(AX22="⑥",CJ18/2+CK18*5/8+3,IF(AX22="⑦",CJ18+CK18/2+3,IF(AX22="⑧",CJ18*5/8+CK18/2+3,IF(AX22="⑨",(CJ18+CK18)/2+3))))))))))</f>
        <v>43.5</v>
      </c>
      <c r="CM17" s="398" t="s">
        <v>384</v>
      </c>
      <c r="CN17" s="371" t="s">
        <v>383</v>
      </c>
      <c r="CO17" s="370"/>
      <c r="CP17" s="371" t="s">
        <v>384</v>
      </c>
      <c r="CQ17" s="370" t="s">
        <v>383</v>
      </c>
      <c r="CR17" s="2589" t="str">
        <f>AG18</f>
        <v>差動SP2種埋</v>
      </c>
      <c r="CS17" s="2590"/>
      <c r="CT17" s="2591"/>
      <c r="CU17" s="184" t="str">
        <f>AN18</f>
        <v/>
      </c>
      <c r="CV17" s="2589" t="str">
        <f>AT20</f>
        <v>HP起動押ボタン</v>
      </c>
      <c r="CW17" s="2590"/>
      <c r="CX17" s="2591"/>
      <c r="CY17" s="184" t="str">
        <f>BA20</f>
        <v/>
      </c>
      <c r="CZ17" s="9"/>
      <c r="DA17" s="8"/>
      <c r="DB17" s="197">
        <f t="shared" ref="DB17:DB48" si="0">IF(DH17&lt;&gt;"",DB16+1,DB16)</f>
        <v>1</v>
      </c>
      <c r="DC17" s="197">
        <f t="shared" ref="DC17:DC48" si="1">IF(AND(DB17&lt;&gt;"",DH17&lt;&gt;""),DB17,"")</f>
        <v>1</v>
      </c>
      <c r="DD17" s="201" t="str">
        <f>G18</f>
        <v>AE 0.9mm-4C</v>
      </c>
      <c r="DE17" s="8"/>
      <c r="DF17" s="8"/>
      <c r="DG17" s="8"/>
      <c r="DH17" s="8" t="str">
        <f>IF(COUNTIF($DD$15:DD16,DD17)&gt;0,"",DD17)</f>
        <v>AE 0.9mm-4C</v>
      </c>
      <c r="DI17" s="252">
        <f>O18</f>
        <v>812</v>
      </c>
      <c r="DJ17" s="32">
        <f t="shared" ref="DJ17:DJ22" si="2">SUMIF($DD$17:$DD$185,DH17,$DI$17:$DI$185)</f>
        <v>6504</v>
      </c>
      <c r="DK17" s="197">
        <f t="shared" ref="DK17:DK48" si="3">IF(DQ17&lt;&gt;"",DK16+1,DK16)</f>
        <v>0</v>
      </c>
      <c r="DL17" s="197" t="str">
        <f t="shared" ref="DL17:DL48" si="4">IF(AND(DK17&lt;&gt;"",DQ17&lt;&gt;""),DK17,"")</f>
        <v/>
      </c>
      <c r="DM17" s="10" t="str">
        <f>IF(CU17="","",CR17)</f>
        <v/>
      </c>
      <c r="DN17" s="10"/>
      <c r="DO17" s="10"/>
      <c r="DP17" s="8"/>
      <c r="DQ17" s="8" t="str">
        <f>IF(COUNTIF($DM$15:DM16,DM17)&gt;0,"",DM17)</f>
        <v/>
      </c>
      <c r="DR17" s="200" t="str">
        <f>CU17</f>
        <v/>
      </c>
      <c r="DS17" s="32">
        <f t="shared" ref="DS17:DS48" si="5">SUMIF($DM$17:$DM$185,DQ17,$DR$17:$DR$185)</f>
        <v>8</v>
      </c>
      <c r="DT17" s="8"/>
      <c r="DU17" s="197">
        <f t="shared" ref="DU17:DU48" si="6">IF(EA17&lt;&gt;"",DU16+1,DU16)</f>
        <v>0</v>
      </c>
      <c r="DV17" s="197" t="str">
        <f t="shared" ref="DV17:DV48" si="7">IF(AND(DU17&lt;&gt;"",EA17&lt;&gt;""),DU17,"")</f>
        <v/>
      </c>
      <c r="DW17" s="201"/>
      <c r="DX17" s="8"/>
      <c r="DY17" s="8"/>
      <c r="DZ17" s="8"/>
      <c r="EA17" s="8"/>
      <c r="EB17" s="201"/>
      <c r="EC17" s="32"/>
      <c r="ED17" s="8"/>
      <c r="EE17" s="8"/>
      <c r="EF17" s="8"/>
      <c r="EG17" s="197"/>
      <c r="EH17" s="32"/>
    </row>
    <row r="18" spans="1:138" ht="11.25" customHeight="1">
      <c r="B18" s="23"/>
      <c r="C18" s="2623" t="s">
        <v>366</v>
      </c>
      <c r="D18" s="2624"/>
      <c r="E18" s="2624"/>
      <c r="F18" s="2624"/>
      <c r="G18" s="2625" t="str">
        <f>IF(C17="","","AE 0.9mm-4C")</f>
        <v>AE 0.9mm-4C</v>
      </c>
      <c r="H18" s="2625"/>
      <c r="I18" s="2625"/>
      <c r="J18" s="2625"/>
      <c r="K18" s="2625"/>
      <c r="L18" s="2625"/>
      <c r="M18" s="2625"/>
      <c r="N18" s="2625"/>
      <c r="O18" s="2593">
        <f>IF($B$2=0,"",IF(OR(C17="",P16="不要"),"",ROUND((CM18+CN18),0)))</f>
        <v>812</v>
      </c>
      <c r="P18" s="2593"/>
      <c r="Q18" s="2593"/>
      <c r="R18" s="2593"/>
      <c r="S18" s="2593"/>
      <c r="T18" s="2593" t="str">
        <f>IF(OR($B$2=0,C17="",P16="不要"),"",IF(AQ16="天井ケーブル","C-19mm",IF(MID(AQ16,4,2)="PF","PF-16mm",IF(MID(AQ16,4,2)="CD","CD-16mm",IF(MID(AQ16,4,2)="C ","C-19mm",IF(MID(AQ16,4,2)="G ","G-16mm",""))))))</f>
        <v>C-19mm</v>
      </c>
      <c r="U18" s="2593"/>
      <c r="V18" s="2593"/>
      <c r="W18" s="2593"/>
      <c r="X18" s="2593"/>
      <c r="Y18" s="2593"/>
      <c r="Z18" s="2593"/>
      <c r="AA18" s="2593"/>
      <c r="AB18" s="2593">
        <f>IF(OR($B$2=0,C17="",P16="不要"),"",IF(CQ18="",ROUND(CP18,0),ROUND((CP18+CQ18),0)))</f>
        <v>10</v>
      </c>
      <c r="AC18" s="2593"/>
      <c r="AD18" s="2593"/>
      <c r="AE18" s="2593"/>
      <c r="AF18" s="2593"/>
      <c r="AG18" s="2595" t="str">
        <f>IF($B$2=0,"","差動SP2種埋")</f>
        <v>差動SP2種埋</v>
      </c>
      <c r="AH18" s="2595"/>
      <c r="AI18" s="2595"/>
      <c r="AJ18" s="2595"/>
      <c r="AK18" s="2595"/>
      <c r="AL18" s="2595"/>
      <c r="AM18" s="2595"/>
      <c r="AN18" s="2593" t="str">
        <f>IF(OR(C17="",P16="不要"),"",IF(AQ18&lt;&gt;"",AQ18,IF(AX22="B","",IF(AZ21="無窓","",IF(AND(BL21="耐 火",AZ21="有窓"),BZ18+CA18,CD18+CE18)))))</f>
        <v/>
      </c>
      <c r="AO18" s="2593"/>
      <c r="AP18" s="2593"/>
      <c r="AQ18" s="2594"/>
      <c r="AR18" s="2594"/>
      <c r="AS18" s="2594"/>
      <c r="AT18" s="2595" t="str">
        <f>IF($B$2=0,"","P1総合盤露出")</f>
        <v>P1総合盤露出</v>
      </c>
      <c r="AU18" s="2595"/>
      <c r="AV18" s="2595"/>
      <c r="AW18" s="2595"/>
      <c r="AX18" s="2595"/>
      <c r="AY18" s="2595"/>
      <c r="AZ18" s="2595"/>
      <c r="BA18" s="2593">
        <f>IF(P16="不要","",IF(BD18&lt;&gt;"",BD18,IF([4]Top!$BD$51="要","",AZ17)))</f>
        <v>7</v>
      </c>
      <c r="BB18" s="2593"/>
      <c r="BC18" s="2593"/>
      <c r="BD18" s="2594"/>
      <c r="BE18" s="2594"/>
      <c r="BF18" s="2594"/>
      <c r="BG18" s="2597" t="str">
        <f>IF($B$2=0,"","ﾗｯﾁ電磁レリーズ")</f>
        <v>ﾗｯﾁ電磁レリーズ</v>
      </c>
      <c r="BH18" s="2597"/>
      <c r="BI18" s="2597"/>
      <c r="BJ18" s="2597"/>
      <c r="BK18" s="2597"/>
      <c r="BL18" s="2597"/>
      <c r="BM18" s="2597"/>
      <c r="BN18" s="2597"/>
      <c r="BO18" s="2593">
        <f>IF(P16="不要","",IF(BR18&lt;&gt;"",BR18,BR17))</f>
        <v>7</v>
      </c>
      <c r="BP18" s="2593"/>
      <c r="BQ18" s="2593"/>
      <c r="BR18" s="2594"/>
      <c r="BS18" s="2594"/>
      <c r="BT18" s="2596"/>
      <c r="BU18" s="19"/>
      <c r="BV18" s="35"/>
      <c r="BW18" s="351" t="s">
        <v>365</v>
      </c>
      <c r="BX18" s="368"/>
      <c r="BY18" s="369"/>
      <c r="BZ18" s="344">
        <f>IF(AA17="",0,IF(OR([6]Top!$BD$72&lt;&gt;"要",C17=""),"",IF(J17&gt;=4,1+INT(AA17*2.4),1+INT(AA17*1.2))))</f>
        <v>82</v>
      </c>
      <c r="CA18" s="360">
        <f>IF(OR([6]Top!$BD$72&lt;&gt;"要",C17=""),"",IF(J17&gt;=4,1+INT(AD17*2.4),1+INT(AD17*1.2)))</f>
        <v>77</v>
      </c>
      <c r="CB18" s="368"/>
      <c r="CC18" s="369"/>
      <c r="CD18" s="343">
        <f>IF($AX$8&lt;=500,BZ18*2,1+INT(BZ18*2.5))</f>
        <v>206</v>
      </c>
      <c r="CE18" s="360">
        <f>IF($AX$8&lt;=500,CA18*2,1+INT(CA18*2.5))</f>
        <v>193</v>
      </c>
      <c r="CF18" s="368"/>
      <c r="CG18" s="367"/>
      <c r="CH18" s="35"/>
      <c r="CI18" s="133">
        <f>IF(AZ17&lt;&gt;"",AZ17,0)</f>
        <v>7</v>
      </c>
      <c r="CJ18" s="98">
        <f>非誘!BW18</f>
        <v>24</v>
      </c>
      <c r="CK18" s="98">
        <f>非誘!BX18</f>
        <v>33</v>
      </c>
      <c r="CL18" s="161" t="s">
        <v>364</v>
      </c>
      <c r="CM18" s="185">
        <f>IF(OR(C17="",P16="不要"),"",IF(J17="直天",$AN$10/1000+F17-1.2+SQRT(CK19/CM19),$AN$10/1000+J17-1.2+SQRT(CK19/CM19)))</f>
        <v>12.441195788629908</v>
      </c>
      <c r="CN18" s="185">
        <f>IF(OR(C17="",P16="不要"),"",CL17+CK20*AZ17)</f>
        <v>799.5</v>
      </c>
      <c r="CO18" s="88" t="s">
        <v>364</v>
      </c>
      <c r="CP18" s="185">
        <f>IF(OR(C17="",C17="  RF"),"",IF(J17="直天",F17-1.2+SQRT(CK19/CM19),IF(AQ16="天井ケーブル",J17-1.2,J17-1.2+SQRT(CK19/CM19))))</f>
        <v>9.9411957886299085</v>
      </c>
      <c r="CQ18" s="356" t="str">
        <f>IF(OR(C17="",C17="  RF"),"",IF(AQ16="天井ケーブル","",(CM19-1)*SQRT(CK19/CM19)))</f>
        <v/>
      </c>
      <c r="CR18" s="2589" t="str">
        <f>AG19</f>
        <v>定温SP1種WP</v>
      </c>
      <c r="CS18" s="2590"/>
      <c r="CT18" s="2591"/>
      <c r="CU18" s="184">
        <f>AN19</f>
        <v>4</v>
      </c>
      <c r="CV18" s="2589" t="str">
        <f>AT18</f>
        <v>P1総合盤露出</v>
      </c>
      <c r="CW18" s="2590"/>
      <c r="CX18" s="2591"/>
      <c r="CY18" s="184">
        <f>BA18</f>
        <v>7</v>
      </c>
      <c r="CZ18" s="216"/>
      <c r="DA18" s="8"/>
      <c r="DB18" s="197">
        <f t="shared" si="0"/>
        <v>2</v>
      </c>
      <c r="DC18" s="197">
        <f t="shared" si="1"/>
        <v>2</v>
      </c>
      <c r="DD18" s="201" t="str">
        <f>G19</f>
        <v>HP 1.2mm-3C</v>
      </c>
      <c r="DE18" s="8"/>
      <c r="DF18" s="8"/>
      <c r="DG18" s="8"/>
      <c r="DH18" s="8" t="str">
        <f>IF(COUNTIF($DD$15:DD17,DD18)&gt;0,"",DD18)</f>
        <v>HP 1.2mm-3C</v>
      </c>
      <c r="DI18" s="252">
        <f>O19</f>
        <v>25</v>
      </c>
      <c r="DJ18" s="32">
        <f t="shared" si="2"/>
        <v>344</v>
      </c>
      <c r="DK18" s="197">
        <f t="shared" si="3"/>
        <v>1</v>
      </c>
      <c r="DL18" s="197">
        <f t="shared" si="4"/>
        <v>1</v>
      </c>
      <c r="DM18" s="10" t="str">
        <f>IF(CU18="","",CR18)</f>
        <v>定温SP1種WP</v>
      </c>
      <c r="DN18" s="10"/>
      <c r="DO18" s="10"/>
      <c r="DP18" s="8"/>
      <c r="DQ18" s="8" t="str">
        <f>IF(COUNTIF($DM$15:DM17,DM18)&gt;0,"",DM18)</f>
        <v>定温SP1種WP</v>
      </c>
      <c r="DR18" s="200">
        <f>CU18</f>
        <v>4</v>
      </c>
      <c r="DS18" s="32">
        <f t="shared" si="5"/>
        <v>47</v>
      </c>
      <c r="DT18" s="8"/>
      <c r="DU18" s="197">
        <f t="shared" si="6"/>
        <v>1</v>
      </c>
      <c r="DV18" s="197">
        <f t="shared" si="7"/>
        <v>1</v>
      </c>
      <c r="DW18" s="201" t="str">
        <f>T18</f>
        <v>C-19mm</v>
      </c>
      <c r="DX18" s="8"/>
      <c r="DY18" s="8"/>
      <c r="DZ18" s="8"/>
      <c r="EA18" s="8" t="str">
        <f>IF(COUNTIF($DW$15:DW17,DW18)&gt;0,"",DW18)</f>
        <v>C-19mm</v>
      </c>
      <c r="EB18" s="197">
        <f>AB18</f>
        <v>10</v>
      </c>
      <c r="EC18" s="32">
        <f ca="1">SUMIF($DW$17:$DW$185,EA18,$EB$17:$EB$184)</f>
        <v>1672.9999999999998</v>
      </c>
    </row>
    <row r="19" spans="1:138" ht="11.25" customHeight="1" thickBot="1">
      <c r="A19" s="15"/>
      <c r="B19" s="176"/>
      <c r="C19" s="2568" t="s">
        <v>363</v>
      </c>
      <c r="D19" s="2569"/>
      <c r="E19" s="2569"/>
      <c r="F19" s="2569"/>
      <c r="G19" s="2592" t="str">
        <f>IF(C17="","","HP 1.2mm-3C")</f>
        <v>HP 1.2mm-3C</v>
      </c>
      <c r="H19" s="2592"/>
      <c r="I19" s="2592"/>
      <c r="J19" s="2592"/>
      <c r="K19" s="2592"/>
      <c r="L19" s="2592"/>
      <c r="M19" s="2592"/>
      <c r="N19" s="2592"/>
      <c r="O19" s="2557">
        <f>IF($B$2=0,"",IF(OR(C17="",P16="不要"),"",ROUND(CN20,0)))</f>
        <v>25</v>
      </c>
      <c r="P19" s="2557"/>
      <c r="Q19" s="2557"/>
      <c r="R19" s="2557"/>
      <c r="S19" s="2557"/>
      <c r="T19" s="2557" t="str">
        <f>IF(OR($B$2=0,C17="",P16="不要"),"",IF(BH16="天井ケーブル","C-19mm",IF(MID(BH16,4,2)="PF","PF-16mm",IF(MID(BH16,4,2)="CD","CD-16mm",IF(MID(BH16,4,2)="C ","C-19mm",IF(MID(BH16,4,2)="G ","G-16mm",""))))))</f>
        <v>C-19mm</v>
      </c>
      <c r="U19" s="2557"/>
      <c r="V19" s="2557"/>
      <c r="W19" s="2557"/>
      <c r="X19" s="2557"/>
      <c r="Y19" s="2557"/>
      <c r="Z19" s="2557"/>
      <c r="AA19" s="2557"/>
      <c r="AB19" s="2557">
        <f>IF($B$2=0,"",IF(OR(C17="",P16="不要",CQ21=""),"",CQ20+CQ21))</f>
        <v>27.4</v>
      </c>
      <c r="AC19" s="2557"/>
      <c r="AD19" s="2557"/>
      <c r="AE19" s="2557"/>
      <c r="AF19" s="2557"/>
      <c r="AG19" s="2572" t="str">
        <f>IF($B$2=0,"","定温SP1種WP")</f>
        <v>定温SP1種WP</v>
      </c>
      <c r="AH19" s="2572"/>
      <c r="AI19" s="2572"/>
      <c r="AJ19" s="2572"/>
      <c r="AK19" s="2572"/>
      <c r="AL19" s="2572"/>
      <c r="AM19" s="2572"/>
      <c r="AN19" s="2312">
        <f>IF(OR($B$2=0,P16="不要"),"",IF(AQ19&lt;&gt;"",AQ19,CA19))</f>
        <v>4</v>
      </c>
      <c r="AO19" s="2312"/>
      <c r="AP19" s="2312"/>
      <c r="AQ19" s="2575"/>
      <c r="AR19" s="2575"/>
      <c r="AS19" s="2575"/>
      <c r="AT19" s="2572" t="str">
        <f>IF($B$2=0,"","P1総合盤埋込")</f>
        <v>P1総合盤埋込</v>
      </c>
      <c r="AU19" s="2572"/>
      <c r="AV19" s="2572"/>
      <c r="AW19" s="2572"/>
      <c r="AX19" s="2572"/>
      <c r="AY19" s="2572"/>
      <c r="AZ19" s="2572"/>
      <c r="BA19" s="2312" t="str">
        <f>IF(P16="不要","",IF(BD19&lt;&gt;"",BD19,IF([4]Top!$BD$51&lt;&gt;"要","",AZ17)))</f>
        <v/>
      </c>
      <c r="BB19" s="2312"/>
      <c r="BC19" s="2312"/>
      <c r="BD19" s="2575"/>
      <c r="BE19" s="2575"/>
      <c r="BF19" s="2575"/>
      <c r="BG19" s="2572" t="str">
        <f>IF($B$2=0,"","ｱｰﾑ電磁レリーズ")</f>
        <v>ｱｰﾑ電磁レリーズ</v>
      </c>
      <c r="BH19" s="2572"/>
      <c r="BI19" s="2572"/>
      <c r="BJ19" s="2572"/>
      <c r="BK19" s="2572"/>
      <c r="BL19" s="2572"/>
      <c r="BM19" s="2572"/>
      <c r="BN19" s="2572"/>
      <c r="BO19" s="2312">
        <f>IF(P16="不要","",IF(BR19&lt;&gt;"",BR19,BR17))</f>
        <v>7</v>
      </c>
      <c r="BP19" s="2312"/>
      <c r="BQ19" s="2312"/>
      <c r="BR19" s="2575"/>
      <c r="BS19" s="2575"/>
      <c r="BT19" s="2576"/>
      <c r="BU19" s="19"/>
      <c r="BV19" s="35"/>
      <c r="BW19" s="351" t="s">
        <v>362</v>
      </c>
      <c r="BX19" s="348"/>
      <c r="BY19" s="349">
        <f>CA19</f>
        <v>4</v>
      </c>
      <c r="BZ19" s="366"/>
      <c r="CA19" s="360">
        <f>IF(C17="","",1+INT(W17/200))</f>
        <v>4</v>
      </c>
      <c r="CB19" s="348"/>
      <c r="CC19" s="359">
        <f>CA19</f>
        <v>4</v>
      </c>
      <c r="CD19" s="365"/>
      <c r="CE19" s="349">
        <f>CA19</f>
        <v>4</v>
      </c>
      <c r="CF19" s="348"/>
      <c r="CG19" s="357">
        <f>CA19</f>
        <v>4</v>
      </c>
      <c r="CH19" s="35"/>
      <c r="CI19" s="133">
        <f>IF(BG17&lt;&gt;"",BG17,0)</f>
        <v>7</v>
      </c>
      <c r="CJ19" s="88" t="s">
        <v>361</v>
      </c>
      <c r="CK19" s="107">
        <f>N17</f>
        <v>3168</v>
      </c>
      <c r="CL19" s="88" t="s">
        <v>360</v>
      </c>
      <c r="CM19" s="185">
        <f>SUM(AN18:AP22)</f>
        <v>84</v>
      </c>
      <c r="CN19" s="364"/>
      <c r="CO19" s="168"/>
      <c r="CP19" s="363"/>
      <c r="CQ19" s="150"/>
      <c r="CR19" s="2598" t="str">
        <f>AG20</f>
        <v>補償SP2種</v>
      </c>
      <c r="CS19" s="2599"/>
      <c r="CT19" s="2600"/>
      <c r="CU19" s="362">
        <f>AN20</f>
        <v>4</v>
      </c>
      <c r="CV19" s="2598" t="str">
        <f>AT19</f>
        <v>P1総合盤埋込</v>
      </c>
      <c r="CW19" s="2599"/>
      <c r="CX19" s="2600"/>
      <c r="CY19" s="362" t="str">
        <f>BA19</f>
        <v/>
      </c>
      <c r="CZ19" s="216"/>
      <c r="DA19" s="8"/>
      <c r="DB19" s="197">
        <f t="shared" si="0"/>
        <v>3</v>
      </c>
      <c r="DC19" s="197">
        <f t="shared" si="1"/>
        <v>3</v>
      </c>
      <c r="DD19" s="201" t="str">
        <f>G20</f>
        <v>HP 1.2mm-5C</v>
      </c>
      <c r="DE19" s="8"/>
      <c r="DF19" s="8"/>
      <c r="DG19" s="8"/>
      <c r="DH19" s="8" t="str">
        <f>IF(COUNTIF($DD$15:DD18,DD19)&gt;0,"",DD19)</f>
        <v>HP 1.2mm-5C</v>
      </c>
      <c r="DI19" s="252">
        <f>O20</f>
        <v>46</v>
      </c>
      <c r="DJ19" s="32">
        <f t="shared" si="2"/>
        <v>506</v>
      </c>
      <c r="DK19" s="197">
        <f t="shared" si="3"/>
        <v>2</v>
      </c>
      <c r="DL19" s="197">
        <f t="shared" si="4"/>
        <v>2</v>
      </c>
      <c r="DM19" s="10" t="str">
        <f>IF(CU19="","",CR19)</f>
        <v>補償SP2種</v>
      </c>
      <c r="DN19" s="10"/>
      <c r="DO19" s="10"/>
      <c r="DP19" s="8"/>
      <c r="DQ19" s="8" t="str">
        <f>IF(COUNTIF($DM$15:DM18,DM19)&gt;0,"",DM19)</f>
        <v>補償SP2種</v>
      </c>
      <c r="DR19" s="200">
        <f>CU19</f>
        <v>4</v>
      </c>
      <c r="DS19" s="32">
        <f t="shared" si="5"/>
        <v>47</v>
      </c>
      <c r="DT19" s="8"/>
      <c r="DU19" s="197">
        <f t="shared" si="6"/>
        <v>1</v>
      </c>
      <c r="DV19" s="197" t="str">
        <f t="shared" si="7"/>
        <v/>
      </c>
      <c r="DW19" s="201" t="str">
        <f>T19</f>
        <v>C-19mm</v>
      </c>
      <c r="DX19" s="8"/>
      <c r="DY19" s="8"/>
      <c r="DZ19" s="8"/>
      <c r="EA19" s="8" t="str">
        <f>IF(COUNTIF($DW$15:DW18,DW19)&gt;0,"",DW19)</f>
        <v/>
      </c>
      <c r="EB19" s="197">
        <f>AB19</f>
        <v>27.4</v>
      </c>
      <c r="EC19" s="32">
        <f ca="1">SUMIF($DW$17:$DW$185,EA19,$EB$17:$EB$184)</f>
        <v>0</v>
      </c>
    </row>
    <row r="20" spans="1:138" ht="11.25" customHeight="1" thickBot="1">
      <c r="A20" s="15"/>
      <c r="B20" s="23"/>
      <c r="C20" s="2568"/>
      <c r="D20" s="2569"/>
      <c r="E20" s="2569"/>
      <c r="F20" s="2569"/>
      <c r="G20" s="2584" t="str">
        <f>IF(C17="","","HP 1.2mm-5C")</f>
        <v>HP 1.2mm-5C</v>
      </c>
      <c r="H20" s="2584"/>
      <c r="I20" s="2584"/>
      <c r="J20" s="2584"/>
      <c r="K20" s="2584"/>
      <c r="L20" s="2584"/>
      <c r="M20" s="2584"/>
      <c r="N20" s="2584"/>
      <c r="O20" s="2585">
        <f>IF($B$2=0,"",IF(OR(C17="",P16="不要"),"",ROUND(CM20,0)))</f>
        <v>46</v>
      </c>
      <c r="P20" s="2585"/>
      <c r="Q20" s="2585"/>
      <c r="R20" s="2585"/>
      <c r="S20" s="2585"/>
      <c r="T20" s="2585" t="str">
        <f>IF(OR($B$2=0,C17="",P16="不要"),"",IF(BH16="天井ケーブル","C-25mm",IF(MID(BH16,4,2)="PF","PF-22mm",IF(MID(BH16,4,2)="CD","CD-22mm",IF(MID(BH16,4,2)="C ","C-25mm",IF(MID(BH16,4,2)="G ","G-22mm",""))))))</f>
        <v>C-25mm</v>
      </c>
      <c r="U20" s="2585"/>
      <c r="V20" s="2585"/>
      <c r="W20" s="2585"/>
      <c r="X20" s="2585"/>
      <c r="Y20" s="2585"/>
      <c r="Z20" s="2585"/>
      <c r="AA20" s="2585"/>
      <c r="AB20" s="2585">
        <f>IF(OR($B$2=0,C17="",P16="不要"),"",CP20)</f>
        <v>44.3</v>
      </c>
      <c r="AC20" s="2585"/>
      <c r="AD20" s="2585"/>
      <c r="AE20" s="2585"/>
      <c r="AF20" s="2585"/>
      <c r="AG20" s="2572" t="str">
        <f>IF($B$2=0,"","補償SP2種")</f>
        <v>補償SP2種</v>
      </c>
      <c r="AH20" s="2572"/>
      <c r="AI20" s="2572"/>
      <c r="AJ20" s="2572"/>
      <c r="AK20" s="2572"/>
      <c r="AL20" s="2572"/>
      <c r="AM20" s="2572"/>
      <c r="AN20" s="2312">
        <f>IF(OR($B$2=0,P16="不要"),"",IF(AQ20&lt;&gt;"",AQ20,CA20))</f>
        <v>4</v>
      </c>
      <c r="AO20" s="2312"/>
      <c r="AP20" s="2312"/>
      <c r="AQ20" s="2575"/>
      <c r="AR20" s="2575"/>
      <c r="AS20" s="2575"/>
      <c r="AT20" s="2546" t="str">
        <f>IF($B$2=0,"","HP起動押ボタン")</f>
        <v>HP起動押ボタン</v>
      </c>
      <c r="AU20" s="2546"/>
      <c r="AV20" s="2546"/>
      <c r="AW20" s="2546"/>
      <c r="AX20" s="2546"/>
      <c r="AY20" s="2546"/>
      <c r="AZ20" s="2546"/>
      <c r="BA20" s="2544" t="str">
        <f>IF(P16="不要","",IF(BD20&lt;&gt;"",BD20,IF([4]Top!$BL$51="要",AZ17,"")))</f>
        <v/>
      </c>
      <c r="BB20" s="2544"/>
      <c r="BC20" s="2544"/>
      <c r="BD20" s="2573"/>
      <c r="BE20" s="2573"/>
      <c r="BF20" s="2573"/>
      <c r="BG20" s="2546" t="str">
        <f>IF($B$2=0,"","光電式煙3種埋")</f>
        <v>光電式煙3種埋</v>
      </c>
      <c r="BH20" s="2546"/>
      <c r="BI20" s="2546"/>
      <c r="BJ20" s="2546"/>
      <c r="BK20" s="2546"/>
      <c r="BL20" s="2546"/>
      <c r="BM20" s="2546"/>
      <c r="BN20" s="2546"/>
      <c r="BO20" s="2544">
        <f>IF(OR($B$2=0,C17="",P16="不要"),"",IF(BR20&lt;&gt;"",BR20,2*BR17))</f>
        <v>14</v>
      </c>
      <c r="BP20" s="2544"/>
      <c r="BQ20" s="2544"/>
      <c r="BR20" s="2573"/>
      <c r="BS20" s="2573"/>
      <c r="BT20" s="2574"/>
      <c r="BU20" s="19"/>
      <c r="BV20" s="35"/>
      <c r="BW20" s="351" t="s">
        <v>359</v>
      </c>
      <c r="BX20" s="361"/>
      <c r="BY20" s="349">
        <f>CA20</f>
        <v>4</v>
      </c>
      <c r="BZ20" s="348"/>
      <c r="CA20" s="360">
        <f>IF(C17="","",1+INT(W17/200))</f>
        <v>4</v>
      </c>
      <c r="CB20" s="358"/>
      <c r="CC20" s="359">
        <f>CA20</f>
        <v>4</v>
      </c>
      <c r="CD20" s="346"/>
      <c r="CE20" s="349">
        <f>CA20</f>
        <v>4</v>
      </c>
      <c r="CF20" s="358"/>
      <c r="CG20" s="357">
        <f>CA20</f>
        <v>4</v>
      </c>
      <c r="CH20" s="35"/>
      <c r="CI20" s="133">
        <f>IF(BR17&lt;&gt;"",BR17,0)</f>
        <v>7</v>
      </c>
      <c r="CJ20" s="88" t="s">
        <v>121</v>
      </c>
      <c r="CK20" s="187">
        <f>IF(OR(C17="",C17="  RF"),"",IF($AX$8=0,0,2*($AX$8/1000-0.15-0.1)*(INT(1000*CJ18/$BF$8)+1)*(INT(1000*CK18/$BF$8)+1)*4))</f>
        <v>108</v>
      </c>
      <c r="CL20" s="187" t="s">
        <v>358</v>
      </c>
      <c r="CM20" s="139">
        <f>IF(OR(C17="",C17="  RF"),"",IF(J17="直天",$AN$8/1000+F17-1.2+CJ18+CK18/2,$AN$8/1000+J17-1.2+CJ18+CK18/2))</f>
        <v>45.8</v>
      </c>
      <c r="CN20" s="136">
        <f>IF(OR(C17="",C17="  RF"),"",IF(J17="直天",F17-$Y$8/1000+F17-$Y$9/1000+2*8+($AN$7+2*$AN$9)/1000,J17-$Y$8/1000+J17-$Y$9/1000+2*8+($AN$7+2*$AN$9)/1000))</f>
        <v>24.599999999999998</v>
      </c>
      <c r="CO20" s="151" t="s">
        <v>358</v>
      </c>
      <c r="CP20" s="185">
        <f>IF(OR(C17="",C17="  RF"),"",IF(J17="直天",F17-1.2+CJ18+CK18/2,IF(AQ16="天井ケーブル",J17-1.2,J17-1.2+CJ18+CK18/2)))</f>
        <v>44.3</v>
      </c>
      <c r="CQ20" s="356">
        <f>IF(OR(C17="",C17="  RF"),"",IF(J17="直天",F17-$Y$8/1000+F17-$Y$9/1000+2*8,IF(BH16="天井ケーブル",J17-$Y$8/1000+J17-$Y$9/1000,J17-$Y$8/1000+J17-$Y$9/1000+2*8)))</f>
        <v>22.4</v>
      </c>
      <c r="CR20" s="355" t="s">
        <v>87</v>
      </c>
      <c r="CS20" s="336" t="s">
        <v>395</v>
      </c>
      <c r="CT20" s="336" t="s">
        <v>394</v>
      </c>
      <c r="CU20" s="192" t="s">
        <v>393</v>
      </c>
      <c r="CV20" s="336" t="s">
        <v>392</v>
      </c>
      <c r="CW20" s="336" t="s">
        <v>391</v>
      </c>
      <c r="CX20" s="336" t="s">
        <v>390</v>
      </c>
      <c r="CY20" s="354" t="s">
        <v>389</v>
      </c>
      <c r="CZ20" s="216"/>
      <c r="DA20" s="8"/>
      <c r="DB20" s="197">
        <f t="shared" si="0"/>
        <v>4</v>
      </c>
      <c r="DC20" s="197">
        <f t="shared" si="1"/>
        <v>4</v>
      </c>
      <c r="DD20" s="201" t="str">
        <f>G21</f>
        <v>FCPEV 0.9- 10Pr</v>
      </c>
      <c r="DE20" s="8"/>
      <c r="DF20" s="8"/>
      <c r="DG20" s="8"/>
      <c r="DH20" s="8" t="str">
        <f>IF(COUNTIF($DD$15:DD19,DD20)&gt;0,"",DD20)</f>
        <v>FCPEV 0.9- 10Pr</v>
      </c>
      <c r="DI20" s="252">
        <f>O21</f>
        <v>99</v>
      </c>
      <c r="DJ20" s="32">
        <f t="shared" si="2"/>
        <v>583</v>
      </c>
      <c r="DK20" s="197">
        <f t="shared" si="3"/>
        <v>3</v>
      </c>
      <c r="DL20" s="197">
        <f t="shared" si="4"/>
        <v>3</v>
      </c>
      <c r="DM20" s="11" t="str">
        <f>IF(CY16="","",CV16)</f>
        <v>光電式煙2種埋</v>
      </c>
      <c r="DN20" s="11"/>
      <c r="DO20" s="11"/>
      <c r="DP20" s="9"/>
      <c r="DQ20" s="9" t="str">
        <f>IF(COUNTIF($DM$15:DM19,DM20)&gt;0,"",DM20)</f>
        <v>光電式煙2種埋</v>
      </c>
      <c r="DR20" s="200">
        <f>CY16</f>
        <v>76</v>
      </c>
      <c r="DS20" s="32">
        <f t="shared" si="5"/>
        <v>267</v>
      </c>
      <c r="DT20" s="8"/>
      <c r="DU20" s="197">
        <f t="shared" si="6"/>
        <v>2</v>
      </c>
      <c r="DV20" s="197">
        <f t="shared" si="7"/>
        <v>2</v>
      </c>
      <c r="DW20" s="201" t="str">
        <f>T20</f>
        <v>C-25mm</v>
      </c>
      <c r="DX20" s="8"/>
      <c r="DY20" s="8"/>
      <c r="DZ20" s="8"/>
      <c r="EA20" s="8" t="str">
        <f>IF(COUNTIF($DW$15:DW19,DW20)&gt;0,"",DW20)</f>
        <v>C-25mm</v>
      </c>
      <c r="EB20" s="197">
        <f>AB20</f>
        <v>44.3</v>
      </c>
      <c r="EC20" s="32">
        <f ca="1">SUMIF($DW$17:$DW$185,EA20,$EB$17:$EB$184)</f>
        <v>306.30000000000007</v>
      </c>
    </row>
    <row r="21" spans="1:138" ht="11.25" customHeight="1" thickBot="1">
      <c r="A21" s="15"/>
      <c r="B21" s="23"/>
      <c r="C21" s="2568" t="s">
        <v>352</v>
      </c>
      <c r="D21" s="2569"/>
      <c r="E21" s="2569"/>
      <c r="F21" s="2569"/>
      <c r="G21" s="2557" t="str">
        <f>IF(OR($B$2=0,C17="",P16="不要"),"",IF(CR21&lt;10,"FCPEV 0.9-5Pr",IF(CR21&lt;20,"FCPEV 0.9- 10Pr",IF(CR21&lt;30,"FCPEV 0.9- 15Pr",IF(CR21&lt;40,"FCPEV 0.9- 20Pr","")))))</f>
        <v>FCPEV 0.9- 10Pr</v>
      </c>
      <c r="H21" s="2557"/>
      <c r="I21" s="2557"/>
      <c r="J21" s="2557"/>
      <c r="K21" s="2557"/>
      <c r="L21" s="2557"/>
      <c r="M21" s="2557"/>
      <c r="N21" s="2557"/>
      <c r="O21" s="2557">
        <f>IF(OR(C17="",P16="不要",G21=""),"",INT(AZ17*(CJ18+CK18)/4))</f>
        <v>99</v>
      </c>
      <c r="P21" s="2557"/>
      <c r="Q21" s="2557"/>
      <c r="R21" s="2557"/>
      <c r="S21" s="2557"/>
      <c r="T21" s="2558" t="str">
        <f>IF(OR(C17="",P16="不要",G21=""),"",IF(AQ16="天井ケーブル","C-"&amp;CM22&amp;"mm",IF(MID(AQ16,4,2)="PF","PF-"&amp;CL22&amp;"mm",IF(MID(AQ16,4,2)="CD","CD-"&amp;CL22&amp;"mm",IF(MID(AQ16,4,2)="C ","C-"&amp;CM22&amp;"mm",IF(MID(AQ16,4,2)="G ","G-"&amp;CL22&amp;"mm"))))))</f>
        <v>C-31mm</v>
      </c>
      <c r="U21" s="2557"/>
      <c r="V21" s="2557"/>
      <c r="W21" s="2557"/>
      <c r="X21" s="2557"/>
      <c r="Y21" s="2557"/>
      <c r="Z21" s="2557"/>
      <c r="AA21" s="2557"/>
      <c r="AB21" s="2557">
        <f>IF(OR(C17="",P16="不要",G21=""),"",IF(AQ16="天井ケーブル",2*AZ17*(F17-$Y$7/1000),O21*0.9))</f>
        <v>51.800000000000004</v>
      </c>
      <c r="AC21" s="2557"/>
      <c r="AD21" s="2557"/>
      <c r="AE21" s="2557"/>
      <c r="AF21" s="2557"/>
      <c r="AG21" s="2572" t="str">
        <f>IF($B$2=0,"","光電式煙2種埋")</f>
        <v>光電式煙2種埋</v>
      </c>
      <c r="AH21" s="2572"/>
      <c r="AI21" s="2572"/>
      <c r="AJ21" s="2572"/>
      <c r="AK21" s="2572"/>
      <c r="AL21" s="2572"/>
      <c r="AM21" s="2572"/>
      <c r="AN21" s="2312">
        <f>IF(OR(C17="",$B$2=0,P16="不要"),"",IF(AQ21&lt;&gt;"",AQ21,IF(AX22="B",BX21+BY21,IF(AND(BL21="耐 火",AZ21="無窓"),CB21+CC21,IF(AND(BL21&lt;&gt;"耐 火",AZ21="無窓"),CF21+CG21,"")))))</f>
        <v>76</v>
      </c>
      <c r="AO21" s="2312"/>
      <c r="AP21" s="2312"/>
      <c r="AQ21" s="2339"/>
      <c r="AR21" s="2339"/>
      <c r="AS21" s="2551"/>
      <c r="AT21" s="2577" t="str">
        <f>IF(C17="","","消防法上")</f>
        <v>消防法上</v>
      </c>
      <c r="AU21" s="2289"/>
      <c r="AV21" s="2289"/>
      <c r="AW21" s="2289"/>
      <c r="AX21" s="2289"/>
      <c r="AY21" s="2578"/>
      <c r="AZ21" s="2579" t="str">
        <f>IF($B$2=0,"",IF(BD21="",[4]Top!$BO$24,BD21))</f>
        <v>無窓</v>
      </c>
      <c r="BA21" s="2394"/>
      <c r="BB21" s="2580"/>
      <c r="BC21" s="353" t="s">
        <v>387</v>
      </c>
      <c r="BD21" s="2552"/>
      <c r="BE21" s="2552"/>
      <c r="BF21" s="2553"/>
      <c r="BG21" s="2581" t="str">
        <f>IF(C17="","","耐火構造")</f>
        <v>耐火構造</v>
      </c>
      <c r="BH21" s="2289"/>
      <c r="BI21" s="2289"/>
      <c r="BJ21" s="2289"/>
      <c r="BK21" s="2290"/>
      <c r="BL21" s="2278" t="str">
        <f>IF($B$2=0,"",IF(BQ21="",[4]Top!$AN$18,BQ21))</f>
        <v>耐 火</v>
      </c>
      <c r="BM21" s="2394"/>
      <c r="BN21" s="2394"/>
      <c r="BO21" s="2580"/>
      <c r="BP21" s="352" t="s">
        <v>387</v>
      </c>
      <c r="BQ21" s="2582"/>
      <c r="BR21" s="2552"/>
      <c r="BS21" s="2552"/>
      <c r="BT21" s="2583"/>
      <c r="BU21" s="19"/>
      <c r="BV21" s="35"/>
      <c r="BW21" s="351" t="s">
        <v>351</v>
      </c>
      <c r="BX21" s="350">
        <f>CB21</f>
        <v>39</v>
      </c>
      <c r="BY21" s="349">
        <f>CC21</f>
        <v>37</v>
      </c>
      <c r="BZ21" s="348"/>
      <c r="CA21" s="345"/>
      <c r="CB21" s="344">
        <f>IF(OR([6]Top!$BD$72&lt;&gt;"要",C17=""),"",IF(J17&gt;=4,1+INT(BZ18*0.47),1+INT(BZ18*0.47)))</f>
        <v>39</v>
      </c>
      <c r="CC21" s="347">
        <f>IF(OR([6]Top!$BD$72&lt;&gt;"要",C17=""),"",IF(J17&gt;=4,1+INT(CA18*0.47),1+INT(CA18*0.47)))</f>
        <v>37</v>
      </c>
      <c r="CD21" s="346"/>
      <c r="CE21" s="345"/>
      <c r="CF21" s="344">
        <f>IF(AND(AX8&lt;720,J17&lt;4),1+INT(CD18*0.47),1+INT(CD18*0.94))</f>
        <v>194</v>
      </c>
      <c r="CG21" s="343">
        <f>IF(AND(AX8&lt;720,J17&lt;4),1+INT(CE18*0.47),1+INT(CE18*0.94))</f>
        <v>182</v>
      </c>
      <c r="CH21" s="35"/>
      <c r="CI21" s="133">
        <f>IF(C17="",0,F17)</f>
        <v>5</v>
      </c>
      <c r="CJ21" s="88" t="s">
        <v>350</v>
      </c>
      <c r="CK21" s="182" t="s">
        <v>349</v>
      </c>
      <c r="CL21" s="342">
        <f>IF(OR(C17="",C17="  RF"),"",IF(AZ25&lt;&gt;"",AZ17,AZ17+BG17))</f>
        <v>7</v>
      </c>
      <c r="CM21" s="341" t="s">
        <v>407</v>
      </c>
      <c r="CN21" s="219" t="s">
        <v>347</v>
      </c>
      <c r="CO21" s="138">
        <f>IF(OR(C17="",P16="不要"),"",AZ17*INT(CJ18+CK18)/5)</f>
        <v>79.8</v>
      </c>
      <c r="CP21" s="151" t="s">
        <v>347</v>
      </c>
      <c r="CQ21" s="340">
        <f>IF(AQ16="天井ケーブル",F17,CO21)</f>
        <v>5</v>
      </c>
      <c r="CR21" s="339">
        <f>SUM(CS21:CX21)</f>
        <v>13</v>
      </c>
      <c r="CS21" s="338">
        <f>AZ17</f>
        <v>7</v>
      </c>
      <c r="CT21" s="338">
        <f>IF(BA17="",0,BA17)</f>
        <v>0</v>
      </c>
      <c r="CU21" s="88">
        <v>1</v>
      </c>
      <c r="CV21" s="222">
        <v>1</v>
      </c>
      <c r="CW21" s="222">
        <v>2</v>
      </c>
      <c r="CX21" s="222">
        <v>2</v>
      </c>
      <c r="CY21" s="337" t="str">
        <f>IF(CK16="=",3*BR17+2,"")</f>
        <v/>
      </c>
      <c r="CZ21" s="216"/>
      <c r="DA21" s="8"/>
      <c r="DB21" s="197">
        <f t="shared" si="0"/>
        <v>5</v>
      </c>
      <c r="DC21" s="197">
        <f t="shared" si="1"/>
        <v>5</v>
      </c>
      <c r="DD21" s="201" t="str">
        <f>G22</f>
        <v>FCPEV 1.2- 10Pr</v>
      </c>
      <c r="DE21" s="8"/>
      <c r="DF21" s="8"/>
      <c r="DG21" s="8"/>
      <c r="DH21" s="8" t="str">
        <f>IF(COUNTIF($DD$15:DD20,DD21)&gt;0,"",DD21)</f>
        <v>FCPEV 1.2- 10Pr</v>
      </c>
      <c r="DI21" s="252">
        <f>O22</f>
        <v>79.8</v>
      </c>
      <c r="DJ21" s="32">
        <f t="shared" si="2"/>
        <v>161.4</v>
      </c>
      <c r="DK21" s="197">
        <f t="shared" si="3"/>
        <v>3</v>
      </c>
      <c r="DL21" s="197" t="str">
        <f t="shared" si="4"/>
        <v/>
      </c>
      <c r="DM21" s="11" t="str">
        <f>IF(AN22="","",AG22)</f>
        <v/>
      </c>
      <c r="DN21" s="11"/>
      <c r="DO21" s="11"/>
      <c r="DP21" s="9"/>
      <c r="DQ21" s="9" t="str">
        <f>IF(COUNTIF($DM$15:DM20,DM21)&gt;0,"",DM21)</f>
        <v/>
      </c>
      <c r="DR21" s="101" t="str">
        <f>AN22</f>
        <v/>
      </c>
      <c r="DS21" s="32">
        <f t="shared" si="5"/>
        <v>8</v>
      </c>
      <c r="DT21" s="8"/>
      <c r="DU21" s="197">
        <f t="shared" si="6"/>
        <v>3</v>
      </c>
      <c r="DV21" s="197">
        <f t="shared" si="7"/>
        <v>3</v>
      </c>
      <c r="DW21" s="201" t="str">
        <f>T21</f>
        <v>C-31mm</v>
      </c>
      <c r="DX21" s="8"/>
      <c r="DY21" s="8"/>
      <c r="DZ21" s="8"/>
      <c r="EA21" s="8" t="str">
        <f>IF(COUNTIF($DW$15:DW20,DW21)&gt;0,"",DW21)</f>
        <v>C-31mm</v>
      </c>
      <c r="EB21" s="197">
        <f>AB21</f>
        <v>51.800000000000004</v>
      </c>
      <c r="EC21" s="32">
        <f ca="1">SUMIF($DW$17:$DW$185,EA21,$EB$17:$EB$184)</f>
        <v>555.0999999999998</v>
      </c>
    </row>
    <row r="22" spans="1:138" ht="11.25" customHeight="1" thickBot="1">
      <c r="A22" s="15"/>
      <c r="B22" s="23"/>
      <c r="C22" s="2570"/>
      <c r="D22" s="2571"/>
      <c r="E22" s="2571"/>
      <c r="F22" s="2571"/>
      <c r="G22" s="2554" t="str">
        <f>IF(OR($B$2=0,P16="不要"),"",IF(CR22=0,"",IF(OR(C17="",P16="不要"),"",IF(CR22&lt;10,"FCPEV 1.2-5Pr",IF(CR22&lt;20,"FCPEV 1.2- 10Pr",IF(CR22&lt;30,"FCPEV 1.2- 15Pr",IF(CR22&lt;40,"FCPEV 1.2- 20Pr",IF(CR22&lt;60,"FCPEV 1.2- 30Pr",IF(CR22&lt;100,"FCPEV 1.2- 50Pr",IF(CR22&lt;140,"FCPEV 1.2- 70Pr",IF(CR22&lt;200,"FCPEV 1.2-100Pr","FCPEV 1.2-200Pr")))))))))))</f>
        <v>FCPEV 1.2- 10Pr</v>
      </c>
      <c r="H22" s="2555"/>
      <c r="I22" s="2555"/>
      <c r="J22" s="2555"/>
      <c r="K22" s="2555"/>
      <c r="L22" s="2555"/>
      <c r="M22" s="2555"/>
      <c r="N22" s="2555"/>
      <c r="O22" s="2555">
        <f>IF(OR(G22="",C17="",P16="不要"),"",CO21)</f>
        <v>79.8</v>
      </c>
      <c r="P22" s="2555"/>
      <c r="Q22" s="2555"/>
      <c r="R22" s="2555"/>
      <c r="S22" s="2555"/>
      <c r="T22" s="2555" t="str">
        <f>IF(OR(G22="",C17="",P16="不要"),"",IF(AQ16="天井ケーブル","C-"&amp;CO22&amp;"mm",IF(MID(AQ16,4,2)="PF","PF-"&amp;CN22&amp;"mm",IF(MID(AQ16,4,2)="CD","CD-"&amp;CN22&amp;"mm",IF(MID(AQ16,4,2)="C ","C-"&amp;CO22&amp;"mm",IF(MID(AQ16,4,2)="G ","G-"&amp;CN22&amp;"mm"))))))</f>
        <v>C-31mm</v>
      </c>
      <c r="U22" s="2555"/>
      <c r="V22" s="2555"/>
      <c r="W22" s="2555"/>
      <c r="X22" s="2555"/>
      <c r="Y22" s="2555"/>
      <c r="Z22" s="2555"/>
      <c r="AA22" s="2555"/>
      <c r="AB22" s="2555">
        <f>IF(OR(G22="",P16="不要"),"",CQ21)</f>
        <v>5</v>
      </c>
      <c r="AC22" s="2555"/>
      <c r="AD22" s="2555"/>
      <c r="AE22" s="2555"/>
      <c r="AF22" s="2555"/>
      <c r="AG22" s="2556" t="str">
        <f>IF($B$2=0,"","定温SP1種Exp")</f>
        <v>定温SP1種Exp</v>
      </c>
      <c r="AH22" s="2556"/>
      <c r="AI22" s="2556"/>
      <c r="AJ22" s="2556"/>
      <c r="AK22" s="2556"/>
      <c r="AL22" s="2556"/>
      <c r="AM22" s="2556"/>
      <c r="AN22" s="2335" t="str">
        <f>IF(AQ22&lt;&gt;"",AQ22,"")</f>
        <v/>
      </c>
      <c r="AO22" s="2335"/>
      <c r="AP22" s="2335"/>
      <c r="AQ22" s="2566"/>
      <c r="AR22" s="2566"/>
      <c r="AS22" s="2567"/>
      <c r="AT22" s="2586" t="str">
        <f>IF(C17="","","盤位置")</f>
        <v>盤位置</v>
      </c>
      <c r="AU22" s="2587"/>
      <c r="AV22" s="2587"/>
      <c r="AW22" s="2587"/>
      <c r="AX22" s="2588" t="str">
        <f>非誘!V17</f>
        <v>⑦</v>
      </c>
      <c r="AY22" s="2588"/>
      <c r="AZ22" s="2588"/>
      <c r="BA22" s="2559" t="str">
        <f>IF(C17="","","専部屋面積")</f>
        <v>専部屋面積</v>
      </c>
      <c r="BB22" s="2560"/>
      <c r="BC22" s="2560"/>
      <c r="BD22" s="2560"/>
      <c r="BE22" s="2560"/>
      <c r="BF22" s="2561"/>
      <c r="BG22" s="2562">
        <f>IF(OR(C17="",S17=""),"",S17/AA17)</f>
        <v>74.54117647058824</v>
      </c>
      <c r="BH22" s="2563"/>
      <c r="BI22" s="2563"/>
      <c r="BJ22" s="2564"/>
      <c r="BK22" s="2648" t="str">
        <f>IF(C17="","","共部屋面積")</f>
        <v>共部屋面積</v>
      </c>
      <c r="BL22" s="2560"/>
      <c r="BM22" s="2560"/>
      <c r="BN22" s="2560"/>
      <c r="BO22" s="2560"/>
      <c r="BP22" s="2561"/>
      <c r="BQ22" s="2562">
        <f>IF(OR($B$2=0,C17=""),"",W17/AD17)</f>
        <v>19.799999999999997</v>
      </c>
      <c r="BR22" s="2563"/>
      <c r="BS22" s="2563"/>
      <c r="BT22" s="2565"/>
      <c r="BU22" s="19"/>
      <c r="BV22" s="35"/>
      <c r="BW22" s="129"/>
      <c r="BX22" s="397"/>
      <c r="BY22" s="397"/>
      <c r="BZ22" s="397"/>
      <c r="CA22" s="397"/>
      <c r="CB22" s="397"/>
      <c r="CC22" s="397"/>
      <c r="CD22" s="397"/>
      <c r="CE22" s="397"/>
      <c r="CF22" s="397"/>
      <c r="CG22" s="397"/>
      <c r="CH22" s="35"/>
      <c r="CI22" s="8"/>
      <c r="CJ22" s="88"/>
      <c r="CK22" s="8"/>
      <c r="CL22" s="336" t="str">
        <f>IF(OR(RIGHT(G21,3)="5Pr",RIGHT(G21,4)="10Pr",RIGHT(G21,4)="15Pr"),"28",IF(OR(RIGHT(G21,4)="20Pr",RIGHT(G21,4)="30Pr"),"36",IF(OR(RIGHT(G21,4)="50Pr",RIGHT(G21,4)="70Pr"),"42","")))</f>
        <v>28</v>
      </c>
      <c r="CM22" s="336" t="str">
        <f>IF(OR(RIGHT(G21,3)="5Pr",RIGHT(G21,4)="10Pr",RIGHT(G21,4)="15Pr"),"31",IF(OR(RIGHT(G21,4)="20Pr",RIGHT(G21,4)="30Pr"),"39",IF(OR(RIGHT(G21,4)="50Pr",RIGHT(G21,4)="70Pr"),"51","")))</f>
        <v>31</v>
      </c>
      <c r="CN22" s="86" t="str">
        <f>IF(OR(RIGHT(G22,3)="5Pr",RIGHT(G22,4)="10Pr",RIGHT(G22,4)="15Pr"),"28",IF(OR(RIGHT(G22,4)="20Pr",RIGHT(G22,4)="30Pr"),"36",IF(OR(RIGHT(G22,4)="50Pr",RIGHT(G22,4)="70Pr"),"42","")))</f>
        <v>28</v>
      </c>
      <c r="CO22" s="86" t="str">
        <f>IF(OR(RIGHT(G22,3)="5Pr",RIGHT(G22,4)="10Pr",RIGHT(G22,4)="15Pr"),"31",IF(OR(RIGHT(G22,4)="20Pr",RIGHT(G22,4)="30Pr"),"39",IF(OR(RIGHT(G22,4)="50Pr",RIGHT(G22,4)="70Pr"),"51","")))</f>
        <v>31</v>
      </c>
      <c r="CP22" s="9"/>
      <c r="CQ22" s="9"/>
      <c r="CR22" s="335">
        <f>IF(P16="不要","",SUM(CS22:CX22))</f>
        <v>15</v>
      </c>
      <c r="CS22" s="334">
        <f>IF(OR(CK16="",CK16="=",P16="不要"),0,IF(CK16="－",CL21+CS14,IF(CK16="+",CL21+CS30)))</f>
        <v>7</v>
      </c>
      <c r="CT22" s="188">
        <f>IF(OR(CK16="",CK16="=",P16="不要"),0,IF(CS22&lt;7,1,IF(CS22&lt;14,2,IF(CS22&lt;21,3,IF(CS22&lt;28,4,IF(CS22&lt;35,5,IF(CS22&lt;42,6,IF(CS22&lt;49,7,IF(CS22&lt;56,8,IF(CS22&lt;63,9,IF(CS22&lt;70,10,IF(CS22&lt;77,11,"---"))))))))))))</f>
        <v>2</v>
      </c>
      <c r="CU22" s="188">
        <f>IF(CS22=0,0,1)</f>
        <v>1</v>
      </c>
      <c r="CV22" s="333">
        <f>IF(CS22=0,0,1)</f>
        <v>1</v>
      </c>
      <c r="CW22" s="333">
        <f>IF(CS22=0,0,2)</f>
        <v>2</v>
      </c>
      <c r="CX22" s="333">
        <f>IF(CS22=0,0,2)</f>
        <v>2</v>
      </c>
      <c r="CY22" s="332">
        <f>IF(OR(BR25="",P16="不要"),0,IF(CK16="=",0,IF(CK16="－",2*BR17+3,IF(CK16="+",2*(BR17+BR25)+3,""))))</f>
        <v>17</v>
      </c>
      <c r="CZ22" s="218"/>
      <c r="DA22" s="9"/>
      <c r="DB22" s="127">
        <f t="shared" si="0"/>
        <v>6</v>
      </c>
      <c r="DC22" s="127">
        <f t="shared" si="1"/>
        <v>6</v>
      </c>
      <c r="DD22" s="11" t="str">
        <f>CR16</f>
        <v>防火区画処理</v>
      </c>
      <c r="DE22" s="9"/>
      <c r="DF22" s="9"/>
      <c r="DG22" s="9"/>
      <c r="DH22" s="9" t="str">
        <f>IF(COUNTIF($DD$15:DD21,DD22)&gt;0,"",DD22)</f>
        <v>防火区画処理</v>
      </c>
      <c r="DI22" s="242">
        <f>CU16</f>
        <v>28</v>
      </c>
      <c r="DJ22" s="32">
        <f t="shared" si="2"/>
        <v>283</v>
      </c>
      <c r="DK22" s="127">
        <f t="shared" si="3"/>
        <v>3</v>
      </c>
      <c r="DL22" s="127" t="str">
        <f t="shared" si="4"/>
        <v/>
      </c>
      <c r="DM22" s="11" t="str">
        <f>IF(CY17="","",CV17)</f>
        <v/>
      </c>
      <c r="DN22" s="11"/>
      <c r="DO22" s="11"/>
      <c r="DP22" s="9"/>
      <c r="DQ22" s="9" t="str">
        <f>IF(COUNTIF($DM$15:DM21,DM22)&gt;0,"",DM22)</f>
        <v/>
      </c>
      <c r="DR22" s="101" t="str">
        <f>CY17</f>
        <v/>
      </c>
      <c r="DS22" s="32">
        <f t="shared" si="5"/>
        <v>8</v>
      </c>
      <c r="DT22" s="9"/>
      <c r="DU22" s="197">
        <f t="shared" si="6"/>
        <v>3</v>
      </c>
      <c r="DV22" s="197" t="str">
        <f t="shared" si="7"/>
        <v/>
      </c>
      <c r="DW22" s="201" t="str">
        <f>T22</f>
        <v>C-31mm</v>
      </c>
      <c r="DX22" s="8"/>
      <c r="DY22" s="8"/>
      <c r="DZ22" s="8"/>
      <c r="EA22" s="8" t="str">
        <f>IF(COUNTIF($DW$15:DW21,DW22)&gt;0,"",DW22)</f>
        <v/>
      </c>
      <c r="EB22" s="197">
        <f>AB22</f>
        <v>5</v>
      </c>
      <c r="EC22" s="32">
        <f ca="1">SUMIF($DW$17:$DW$185,EA22,$EB$17:$EB$184)</f>
        <v>0</v>
      </c>
    </row>
    <row r="23" spans="1:138" ht="11.25" customHeight="1">
      <c r="A23" s="15"/>
      <c r="B23" s="23"/>
      <c r="C23" s="37"/>
      <c r="D23" s="37"/>
      <c r="E23" s="37"/>
      <c r="F23" s="37"/>
      <c r="G23" s="331"/>
      <c r="H23" s="330"/>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157"/>
      <c r="AH23" s="157"/>
      <c r="AI23" s="157"/>
      <c r="AJ23" s="157"/>
      <c r="AK23" s="157"/>
      <c r="AL23" s="157"/>
      <c r="AM23" s="157"/>
      <c r="AN23" s="377"/>
      <c r="AO23" s="377"/>
      <c r="AP23" s="377"/>
      <c r="AQ23" s="37"/>
      <c r="AR23" s="37"/>
      <c r="AS23" s="37"/>
      <c r="AT23" s="157"/>
      <c r="AU23" s="157"/>
      <c r="AV23" s="157"/>
      <c r="AW23" s="157"/>
      <c r="AX23" s="157"/>
      <c r="AY23" s="157"/>
      <c r="AZ23" s="157"/>
      <c r="BA23" s="377"/>
      <c r="BB23" s="377"/>
      <c r="BC23" s="377"/>
      <c r="BD23" s="37"/>
      <c r="BE23" s="37"/>
      <c r="BF23" s="37"/>
      <c r="BG23" s="157"/>
      <c r="BH23" s="157"/>
      <c r="BI23" s="157"/>
      <c r="BJ23" s="157"/>
      <c r="BK23" s="157"/>
      <c r="BL23" s="157"/>
      <c r="BM23" s="157"/>
      <c r="BN23" s="157"/>
      <c r="BO23" s="377"/>
      <c r="BP23" s="377"/>
      <c r="BQ23" s="377"/>
      <c r="BR23" s="37"/>
      <c r="BS23" s="37"/>
      <c r="BT23" s="37"/>
      <c r="BU23" s="19"/>
      <c r="BV23" s="35"/>
      <c r="BW23" s="99"/>
      <c r="BX23" s="35"/>
      <c r="BY23" s="35"/>
      <c r="BZ23" s="35"/>
      <c r="CA23" s="35"/>
      <c r="CB23" s="35"/>
      <c r="CC23" s="35"/>
      <c r="CD23" s="35"/>
      <c r="CE23" s="35"/>
      <c r="CF23" s="35"/>
      <c r="CG23" s="35"/>
      <c r="CH23" s="35"/>
      <c r="CI23" s="8"/>
      <c r="CJ23" s="8"/>
      <c r="CK23" s="8"/>
      <c r="CL23" s="394"/>
      <c r="CM23" s="394"/>
      <c r="CN23" s="394"/>
      <c r="CO23" s="394"/>
      <c r="CP23" s="45"/>
      <c r="CQ23" s="45"/>
      <c r="CR23" s="396"/>
      <c r="CS23" s="395"/>
      <c r="CT23" s="168"/>
      <c r="CU23" s="168"/>
      <c r="CV23" s="127"/>
      <c r="CW23" s="127"/>
      <c r="CX23" s="127"/>
      <c r="CY23" s="9"/>
      <c r="CZ23" s="218"/>
      <c r="DA23" s="45"/>
      <c r="DB23" s="127">
        <f t="shared" si="0"/>
        <v>6</v>
      </c>
      <c r="DC23" s="197" t="str">
        <f t="shared" si="1"/>
        <v/>
      </c>
      <c r="DD23" s="11"/>
      <c r="DE23" s="9"/>
      <c r="DF23" s="9"/>
      <c r="DG23" s="9"/>
      <c r="DH23" s="9"/>
      <c r="DI23" s="242"/>
      <c r="DJ23" s="13"/>
      <c r="DK23" s="127">
        <f t="shared" si="3"/>
        <v>4</v>
      </c>
      <c r="DL23" s="127">
        <f t="shared" si="4"/>
        <v>4</v>
      </c>
      <c r="DM23" s="11" t="str">
        <f>IF(CY18="","",CV18)</f>
        <v>P1総合盤露出</v>
      </c>
      <c r="DN23" s="11"/>
      <c r="DO23" s="11"/>
      <c r="DP23" s="9"/>
      <c r="DQ23" s="9" t="str">
        <f>IF(COUNTIF($DM$15:DM22,DM23)&gt;0,"",DM23)</f>
        <v>P1総合盤露出</v>
      </c>
      <c r="DR23" s="101">
        <f>CY18</f>
        <v>7</v>
      </c>
      <c r="DS23" s="32">
        <f t="shared" si="5"/>
        <v>58</v>
      </c>
      <c r="DT23" s="45"/>
      <c r="DU23" s="197">
        <f t="shared" si="6"/>
        <v>3</v>
      </c>
      <c r="DV23" s="197" t="str">
        <f t="shared" si="7"/>
        <v/>
      </c>
      <c r="DW23" s="8"/>
      <c r="DX23" s="8"/>
      <c r="DY23" s="8"/>
      <c r="DZ23" s="8"/>
      <c r="EA23" s="8"/>
      <c r="EB23" s="8"/>
      <c r="EC23" s="8"/>
    </row>
    <row r="24" spans="1:138" ht="11.25" customHeight="1" thickBot="1">
      <c r="A24" s="374">
        <v>2</v>
      </c>
      <c r="B24" s="23"/>
      <c r="C24" s="2702" t="str">
        <f>非誘!J22</f>
        <v>(13)イ</v>
      </c>
      <c r="D24" s="2703"/>
      <c r="E24" s="2704"/>
      <c r="F24" s="2629" t="str">
        <f>非誘!M22</f>
        <v>車庫等</v>
      </c>
      <c r="G24" s="2629"/>
      <c r="H24" s="2629"/>
      <c r="I24" s="2629"/>
      <c r="J24" s="2629"/>
      <c r="K24" s="2629"/>
      <c r="L24" s="2629"/>
      <c r="M24" s="2629"/>
      <c r="N24" s="2629"/>
      <c r="O24" s="2629"/>
      <c r="P24" s="2630" t="str">
        <f>IF(U24="",RIGHT($D$8,2),U24)</f>
        <v>設置</v>
      </c>
      <c r="Q24" s="2630"/>
      <c r="R24" s="2630"/>
      <c r="S24" s="2631"/>
      <c r="T24" s="31" t="s">
        <v>387</v>
      </c>
      <c r="U24" s="2632"/>
      <c r="V24" s="2632"/>
      <c r="W24" s="2632"/>
      <c r="X24" s="2633"/>
      <c r="Y24" s="2634" t="s">
        <v>20</v>
      </c>
      <c r="Z24" s="2634"/>
      <c r="AA24" s="2634"/>
      <c r="AB24" s="2634"/>
      <c r="AC24" s="2634"/>
      <c r="AD24" s="2635">
        <f>非誘!J23</f>
        <v>0.72727272727272729</v>
      </c>
      <c r="AE24" s="2635"/>
      <c r="AF24" s="2635"/>
      <c r="AG24" s="2635"/>
      <c r="AH24" s="2299" t="s">
        <v>135</v>
      </c>
      <c r="AI24" s="2299"/>
      <c r="AJ24" s="2299"/>
      <c r="AK24" s="2299"/>
      <c r="AL24" s="2299"/>
      <c r="AM24" s="2299" t="s">
        <v>366</v>
      </c>
      <c r="AN24" s="2299"/>
      <c r="AO24" s="2299"/>
      <c r="AP24" s="2299"/>
      <c r="AQ24" s="2569" t="str">
        <f>IF(AX24="","天井ケーブル",AX24)</f>
        <v>天井ケーブル</v>
      </c>
      <c r="AR24" s="2569"/>
      <c r="AS24" s="2569"/>
      <c r="AT24" s="2569"/>
      <c r="AU24" s="2569"/>
      <c r="AV24" s="2569"/>
      <c r="AW24" s="175" t="s">
        <v>387</v>
      </c>
      <c r="AX24" s="2338"/>
      <c r="AY24" s="2338"/>
      <c r="AZ24" s="2338"/>
      <c r="BA24" s="2338"/>
      <c r="BB24" s="2338"/>
      <c r="BC24" s="2338"/>
      <c r="BD24" s="2299" t="s">
        <v>363</v>
      </c>
      <c r="BE24" s="2299"/>
      <c r="BF24" s="2299"/>
      <c r="BG24" s="2299"/>
      <c r="BH24" s="2569" t="str">
        <f>IF(BO24="","天井(C 管)",BO24)</f>
        <v>天井(C 管)</v>
      </c>
      <c r="BI24" s="2569"/>
      <c r="BJ24" s="2569"/>
      <c r="BK24" s="2569"/>
      <c r="BL24" s="2569"/>
      <c r="BM24" s="2569"/>
      <c r="BN24" s="175" t="s">
        <v>387</v>
      </c>
      <c r="BO24" s="2338"/>
      <c r="BP24" s="2338"/>
      <c r="BQ24" s="2338"/>
      <c r="BR24" s="2338"/>
      <c r="BS24" s="2338"/>
      <c r="BT24" s="2622"/>
      <c r="BU24" s="19"/>
      <c r="BV24" s="35"/>
      <c r="BW24" s="99"/>
      <c r="BX24" s="35"/>
      <c r="BY24" s="35"/>
      <c r="BZ24" s="35"/>
      <c r="CA24" s="35"/>
      <c r="CB24" s="35"/>
      <c r="CC24" s="35"/>
      <c r="CD24" s="35"/>
      <c r="CE24" s="35"/>
      <c r="CF24" s="35"/>
      <c r="CG24" s="35"/>
      <c r="CH24" s="35"/>
      <c r="CI24" s="8">
        <v>23</v>
      </c>
      <c r="CJ24" s="97">
        <f>IF(LEFT(C25,2)=" B",-MID(C25,3,1),IF(C25="  RF","",LEFT(C25,3)))</f>
        <v>-1</v>
      </c>
      <c r="CK24" s="10" t="str">
        <f>IF(OR(C25="",C25="  RF"),"",IF(LEFT(C25,1)="P","+",IF($CJ$14&gt;CJ24,"－",IF($CJ$14=CJ24,"=","+"))))</f>
        <v>－</v>
      </c>
      <c r="CL24" s="2601" t="s">
        <v>376</v>
      </c>
      <c r="CM24" s="2601"/>
      <c r="CN24" s="2601"/>
      <c r="CO24" s="2601" t="s">
        <v>375</v>
      </c>
      <c r="CP24" s="2601"/>
      <c r="CQ24" s="2601"/>
      <c r="CR24" s="2589" t="str">
        <f>AG25</f>
        <v>防火区画処理</v>
      </c>
      <c r="CS24" s="2590"/>
      <c r="CT24" s="2591"/>
      <c r="CU24" s="184">
        <f>AN25</f>
        <v>28</v>
      </c>
      <c r="CV24" s="2589" t="str">
        <f>AG29</f>
        <v>光電式煙2種埋</v>
      </c>
      <c r="CW24" s="2590"/>
      <c r="CX24" s="2591"/>
      <c r="CY24" s="184">
        <f>AN29</f>
        <v>14</v>
      </c>
      <c r="CZ24" s="216"/>
      <c r="DA24" s="161">
        <v>2</v>
      </c>
      <c r="DB24" s="373">
        <f t="shared" si="0"/>
        <v>6</v>
      </c>
      <c r="DC24" s="155" t="str">
        <f t="shared" si="1"/>
        <v/>
      </c>
      <c r="DD24" s="45"/>
      <c r="DE24" s="45"/>
      <c r="DF24" s="45"/>
      <c r="DG24" s="45"/>
      <c r="DH24" s="45"/>
      <c r="DI24" s="45"/>
      <c r="DJ24" s="45"/>
      <c r="DK24" s="45">
        <f t="shared" si="3"/>
        <v>4</v>
      </c>
      <c r="DL24" s="45" t="str">
        <f t="shared" si="4"/>
        <v/>
      </c>
      <c r="DM24" s="154" t="str">
        <f>IF(CY19="","",CV19)</f>
        <v/>
      </c>
      <c r="DN24" s="154"/>
      <c r="DO24" s="154"/>
      <c r="DP24" s="45"/>
      <c r="DQ24" s="45" t="str">
        <f>IF(COUNTIF($DM$15:DM23,DM24)&gt;0,"",DM24)</f>
        <v/>
      </c>
      <c r="DR24" s="209" t="str">
        <f>CY19</f>
        <v/>
      </c>
      <c r="DS24" s="230">
        <f t="shared" si="5"/>
        <v>8</v>
      </c>
      <c r="DT24" s="161">
        <v>2</v>
      </c>
      <c r="DU24" s="204">
        <f t="shared" si="6"/>
        <v>3</v>
      </c>
      <c r="DV24" s="155" t="str">
        <f t="shared" si="7"/>
        <v/>
      </c>
      <c r="DW24" s="45"/>
      <c r="DX24" s="45"/>
      <c r="DY24" s="45"/>
      <c r="DZ24" s="45"/>
      <c r="EA24" s="45"/>
      <c r="EB24" s="45"/>
      <c r="EC24" s="45"/>
    </row>
    <row r="25" spans="1:138" ht="11.25" customHeight="1" thickBot="1">
      <c r="A25" s="15">
        <v>25</v>
      </c>
      <c r="B25" s="23"/>
      <c r="C25" s="2602" t="str">
        <f>IF($BW$3=0,"",非誘!C24)</f>
        <v xml:space="preserve"> B1F</v>
      </c>
      <c r="D25" s="2603"/>
      <c r="E25" s="2604"/>
      <c r="F25" s="2605">
        <f>IF($BW$3=0,"",非誘!F24)</f>
        <v>5</v>
      </c>
      <c r="G25" s="2606"/>
      <c r="H25" s="2606"/>
      <c r="I25" s="2607"/>
      <c r="J25" s="2605">
        <f>IF($BW$3=0,"",非誘!J24)</f>
        <v>3</v>
      </c>
      <c r="K25" s="2606"/>
      <c r="L25" s="2606"/>
      <c r="M25" s="2607"/>
      <c r="N25" s="2608">
        <f>IF($BW$3=0,"",非誘!N24)</f>
        <v>3168</v>
      </c>
      <c r="O25" s="2609"/>
      <c r="P25" s="2609"/>
      <c r="Q25" s="2609"/>
      <c r="R25" s="2610"/>
      <c r="S25" s="2608">
        <f>IF($BW$3=0,"",非誘!S24)</f>
        <v>2851.2</v>
      </c>
      <c r="T25" s="2609"/>
      <c r="U25" s="2609"/>
      <c r="V25" s="2610"/>
      <c r="W25" s="2608">
        <f>IF($BW$3=0,"",非誘!W24)</f>
        <v>316.80000000000018</v>
      </c>
      <c r="X25" s="2609"/>
      <c r="Y25" s="2609"/>
      <c r="Z25" s="2610"/>
      <c r="AA25" s="2611">
        <f>IF($BW$3=0,"",非誘!AA24)</f>
        <v>6</v>
      </c>
      <c r="AB25" s="2603"/>
      <c r="AC25" s="2604"/>
      <c r="AD25" s="2612">
        <f>IF($BW$3=0,"",非誘!AD24)</f>
        <v>16</v>
      </c>
      <c r="AE25" s="2613"/>
      <c r="AF25" s="2614"/>
      <c r="AG25" s="2615" t="str">
        <f>IF($B$2=0,"","防火区画処理")</f>
        <v>防火区画処理</v>
      </c>
      <c r="AH25" s="2615"/>
      <c r="AI25" s="2615"/>
      <c r="AJ25" s="2615"/>
      <c r="AK25" s="2615"/>
      <c r="AL25" s="2615"/>
      <c r="AM25" s="2615"/>
      <c r="AN25" s="2616">
        <f>IF(OR($B$2=0,C25="",P24="不要"),"",AZ25+BG25+BR25*2)</f>
        <v>28</v>
      </c>
      <c r="AO25" s="2616"/>
      <c r="AP25" s="2616"/>
      <c r="AQ25" s="2617" t="s">
        <v>374</v>
      </c>
      <c r="AR25" s="2617"/>
      <c r="AS25" s="2617"/>
      <c r="AT25" s="2617"/>
      <c r="AU25" s="2617"/>
      <c r="AV25" s="2618" t="s">
        <v>373</v>
      </c>
      <c r="AW25" s="2618"/>
      <c r="AX25" s="2618"/>
      <c r="AY25" s="2618"/>
      <c r="AZ25" s="2619">
        <f>IF(OR($B$2=0,C25="",P24="不要"),"",IF(LEFT(C25,1)="P",1+INT(W25/450),INT(S25/450)+1+INT(W25/450)))</f>
        <v>7</v>
      </c>
      <c r="BA25" s="2619"/>
      <c r="BB25" s="2619"/>
      <c r="BC25" s="2618" t="s">
        <v>372</v>
      </c>
      <c r="BD25" s="2618"/>
      <c r="BE25" s="2618"/>
      <c r="BF25" s="2618"/>
      <c r="BG25" s="2619">
        <f>IF(OR($B$2=0,C25="",P24="不要"),"",1+INT(N25/500))</f>
        <v>7</v>
      </c>
      <c r="BH25" s="2619"/>
      <c r="BI25" s="2619"/>
      <c r="BJ25" s="2617" t="s">
        <v>371</v>
      </c>
      <c r="BK25" s="2617"/>
      <c r="BL25" s="2617"/>
      <c r="BM25" s="2617"/>
      <c r="BN25" s="2617"/>
      <c r="BO25" s="2617"/>
      <c r="BP25" s="2617"/>
      <c r="BQ25" s="2617"/>
      <c r="BR25" s="2620">
        <f>IF(OR($B$2=0,C25="",P24="不要"),"",1+INT(0.055*N25^0.6))</f>
        <v>7</v>
      </c>
      <c r="BS25" s="2620"/>
      <c r="BT25" s="2621"/>
      <c r="BU25" s="19"/>
      <c r="BV25" s="35"/>
      <c r="BW25" s="99"/>
      <c r="BX25" s="35"/>
      <c r="BY25" s="35"/>
      <c r="BZ25" s="35"/>
      <c r="CA25" s="35"/>
      <c r="CB25" s="35"/>
      <c r="CC25" s="35"/>
      <c r="CD25" s="35"/>
      <c r="CE25" s="35"/>
      <c r="CF25" s="35"/>
      <c r="CG25" s="35"/>
      <c r="CH25" s="35"/>
      <c r="CI25" s="8">
        <v>2</v>
      </c>
      <c r="CJ25" s="88" t="s">
        <v>386</v>
      </c>
      <c r="CK25" s="88" t="s">
        <v>385</v>
      </c>
      <c r="CL25" s="372">
        <f>IF(C26="","",IF(AX30="①",CJ26+CK26+3,IF(AX30="②",CJ26*5/8+CK26+3,IF(AX30="③",CJ26/2+CK26+3,IF(AX30="④",CJ26+CK26*5/8+3,IF(AX30="⑤",(CJ26+CK26)*5/8+3,IF(AX30="⑥",CJ26/2+CK26*5/8+3,IF(AX30="⑦",CJ26+CK26/2+3,IF(AX30="⑧",CJ26*5/8+CK26/2+3,IF(AX30="⑨",(CJ26+CK26)/2+3))))))))))</f>
        <v>43.5</v>
      </c>
      <c r="CM25" s="371" t="s">
        <v>384</v>
      </c>
      <c r="CN25" s="371" t="s">
        <v>383</v>
      </c>
      <c r="CO25" s="370"/>
      <c r="CP25" s="371" t="s">
        <v>384</v>
      </c>
      <c r="CQ25" s="370" t="s">
        <v>383</v>
      </c>
      <c r="CR25" s="2589" t="str">
        <f>AG26</f>
        <v>差動SP2種埋</v>
      </c>
      <c r="CS25" s="2590"/>
      <c r="CT25" s="2591"/>
      <c r="CU25" s="184" t="str">
        <f>AN26</f>
        <v/>
      </c>
      <c r="CV25" s="2589" t="str">
        <f>AT28</f>
        <v>HP起動押ボタン</v>
      </c>
      <c r="CW25" s="2590"/>
      <c r="CX25" s="2591"/>
      <c r="CY25" s="184" t="str">
        <f>BA28</f>
        <v/>
      </c>
      <c r="CZ25" s="216"/>
      <c r="DA25" s="8"/>
      <c r="DB25" s="197">
        <f t="shared" si="0"/>
        <v>6</v>
      </c>
      <c r="DC25" s="197" t="str">
        <f t="shared" si="1"/>
        <v/>
      </c>
      <c r="DD25" s="201" t="str">
        <f>G26</f>
        <v>AE 0.9mm-4C</v>
      </c>
      <c r="DE25" s="8"/>
      <c r="DF25" s="8"/>
      <c r="DG25" s="8"/>
      <c r="DH25" s="8" t="str">
        <f>IF(COUNTIF($DD$15:DD24,DD25)&gt;0,"",DD25)</f>
        <v/>
      </c>
      <c r="DI25" s="252">
        <f>O26</f>
        <v>817</v>
      </c>
      <c r="DJ25" s="32">
        <f t="shared" ref="DJ25:DJ30" si="8">SUMIF($DD$17:$DD$185,DH25,$DI$17:$DI$185)</f>
        <v>0</v>
      </c>
      <c r="DK25" s="197">
        <f t="shared" si="3"/>
        <v>4</v>
      </c>
      <c r="DL25" s="197" t="str">
        <f t="shared" si="4"/>
        <v/>
      </c>
      <c r="DM25" s="10" t="str">
        <f>IF(CU25="","",CR25)</f>
        <v/>
      </c>
      <c r="DN25" s="10"/>
      <c r="DO25" s="10"/>
      <c r="DP25" s="8"/>
      <c r="DQ25" s="8" t="str">
        <f>IF(COUNTIF($DM$15:DM24,DM25)&gt;0,"",DM25)</f>
        <v/>
      </c>
      <c r="DR25" s="200" t="str">
        <f>CU25</f>
        <v/>
      </c>
      <c r="DS25" s="32">
        <f t="shared" si="5"/>
        <v>8</v>
      </c>
      <c r="DT25" s="8"/>
      <c r="DU25" s="197">
        <f t="shared" si="6"/>
        <v>3</v>
      </c>
      <c r="DV25" s="197" t="str">
        <f t="shared" si="7"/>
        <v/>
      </c>
      <c r="DW25" s="201"/>
      <c r="DX25" s="8"/>
      <c r="DY25" s="8"/>
      <c r="DZ25" s="8"/>
      <c r="EA25" s="8"/>
      <c r="EB25" s="252"/>
      <c r="EC25" s="32"/>
    </row>
    <row r="26" spans="1:138" ht="11.25" customHeight="1">
      <c r="A26" s="15"/>
      <c r="B26" s="23"/>
      <c r="C26" s="2623" t="s">
        <v>366</v>
      </c>
      <c r="D26" s="2624"/>
      <c r="E26" s="2624"/>
      <c r="F26" s="2624"/>
      <c r="G26" s="2625" t="str">
        <f>IF(C25="","","AE 0.9mm-4C")</f>
        <v>AE 0.9mm-4C</v>
      </c>
      <c r="H26" s="2625"/>
      <c r="I26" s="2625"/>
      <c r="J26" s="2625"/>
      <c r="K26" s="2625"/>
      <c r="L26" s="2625"/>
      <c r="M26" s="2625"/>
      <c r="N26" s="2625"/>
      <c r="O26" s="2593">
        <f>IF($B$2=0,"",IF(OR(C25="",P24="不要"),"",ROUND((CM26+CN26),0)))</f>
        <v>817</v>
      </c>
      <c r="P26" s="2593"/>
      <c r="Q26" s="2593"/>
      <c r="R26" s="2593"/>
      <c r="S26" s="2593"/>
      <c r="T26" s="2593" t="str">
        <f>IF(OR($B$2=0,C25="",P24="不要"),"",IF(AQ24="天井ケーブル","C-19mm",IF(MID(AQ24,4,2)="PF","PF-16mm",IF(MID(AQ24,4,2)="CD","CD-16mm",IF(MID(AQ24,4,2)="C ","C-19mm",IF(MID(AQ24,4,2)="G ","G-16mm",""))))))</f>
        <v>C-19mm</v>
      </c>
      <c r="U26" s="2593"/>
      <c r="V26" s="2593"/>
      <c r="W26" s="2593"/>
      <c r="X26" s="2593"/>
      <c r="Y26" s="2593"/>
      <c r="Z26" s="2593"/>
      <c r="AA26" s="2593"/>
      <c r="AB26" s="2593">
        <f>IF(OR($B$2=0,C25="",P24="不要"),"",IF(CQ26="",ROUND(CP26,0),ROUND((CP26+CQ26),0)))</f>
        <v>2</v>
      </c>
      <c r="AC26" s="2593"/>
      <c r="AD26" s="2593"/>
      <c r="AE26" s="2593"/>
      <c r="AF26" s="2593"/>
      <c r="AG26" s="2595" t="str">
        <f>IF($B$2=0,"","差動SP2種埋")</f>
        <v>差動SP2種埋</v>
      </c>
      <c r="AH26" s="2595"/>
      <c r="AI26" s="2595"/>
      <c r="AJ26" s="2595"/>
      <c r="AK26" s="2595"/>
      <c r="AL26" s="2595"/>
      <c r="AM26" s="2595"/>
      <c r="AN26" s="2593" t="str">
        <f>IF(OR(C25="",P24="不要"),"",IF(AQ26&lt;&gt;"",AQ26,IF(AX30="B","",IF(AZ29="無窓","",IF(AND(BL29="耐 火",AZ29="有窓"),BZ26+CA26,CD26+CE26)))))</f>
        <v/>
      </c>
      <c r="AO26" s="2593"/>
      <c r="AP26" s="2593"/>
      <c r="AQ26" s="2594"/>
      <c r="AR26" s="2594"/>
      <c r="AS26" s="2594"/>
      <c r="AT26" s="2595" t="str">
        <f>IF($B$2=0,"","P1総合盤露出")</f>
        <v>P1総合盤露出</v>
      </c>
      <c r="AU26" s="2595"/>
      <c r="AV26" s="2595"/>
      <c r="AW26" s="2595"/>
      <c r="AX26" s="2595"/>
      <c r="AY26" s="2595"/>
      <c r="AZ26" s="2595"/>
      <c r="BA26" s="2593">
        <f>IF(P24="不要","",IF(BD26&lt;&gt;"",BD26,IF([4]Top!$BD$51="要","",AZ25)))</f>
        <v>7</v>
      </c>
      <c r="BB26" s="2593"/>
      <c r="BC26" s="2593"/>
      <c r="BD26" s="2594"/>
      <c r="BE26" s="2594"/>
      <c r="BF26" s="2594"/>
      <c r="BG26" s="2597" t="str">
        <f>IF($B$2=0,"","ﾗｯﾁ電磁レリーズ")</f>
        <v>ﾗｯﾁ電磁レリーズ</v>
      </c>
      <c r="BH26" s="2597"/>
      <c r="BI26" s="2597"/>
      <c r="BJ26" s="2597"/>
      <c r="BK26" s="2597"/>
      <c r="BL26" s="2597"/>
      <c r="BM26" s="2597"/>
      <c r="BN26" s="2597"/>
      <c r="BO26" s="2593">
        <f>IF(P24="不要","",IF(BR26&lt;&gt;"",BR26,BR25))</f>
        <v>7</v>
      </c>
      <c r="BP26" s="2593"/>
      <c r="BQ26" s="2593"/>
      <c r="BR26" s="2594"/>
      <c r="BS26" s="2594"/>
      <c r="BT26" s="2596"/>
      <c r="BU26" s="19"/>
      <c r="BV26" s="35"/>
      <c r="BW26" s="351" t="s">
        <v>365</v>
      </c>
      <c r="BX26" s="368"/>
      <c r="BY26" s="369"/>
      <c r="BZ26" s="344">
        <f>IF(AA25="",0,IF(OR([6]Top!$BD$72&lt;&gt;"要",C25=""),"",IF(J25&gt;=4,1+INT(AA25*2.4),1+INT(AA25*1.2))))</f>
        <v>8</v>
      </c>
      <c r="CA26" s="360">
        <f>IF(OR([6]Top!$BD$72&lt;&gt;"要",C25=""),"",IF(J25&gt;=4,1+INT(AD25*2.4),1+INT(AD25*1.2)))</f>
        <v>20</v>
      </c>
      <c r="CB26" s="368"/>
      <c r="CC26" s="369"/>
      <c r="CD26" s="343">
        <f>IF($AX$8&lt;=500,BZ26*2,1+INT(BZ26*2.5))</f>
        <v>21</v>
      </c>
      <c r="CE26" s="360">
        <f>IF($AX$8&lt;=500,CA26*2,1+INT(CA26*2.5))</f>
        <v>51</v>
      </c>
      <c r="CF26" s="368"/>
      <c r="CG26" s="367"/>
      <c r="CH26" s="35"/>
      <c r="CI26" s="133">
        <f>IF(AZ25&lt;&gt;"",AZ25,0)</f>
        <v>7</v>
      </c>
      <c r="CJ26" s="98">
        <f>非誘!BW24</f>
        <v>24</v>
      </c>
      <c r="CK26" s="98">
        <f>非誘!BX24</f>
        <v>33</v>
      </c>
      <c r="CL26" s="88" t="s">
        <v>364</v>
      </c>
      <c r="CM26" s="185">
        <f>IF(OR(C25="",C25="  RF"),"",IF(J25="直天",$AN$10/1000+F25-1.2+SQRT(CK27/CM27),$AN$10/1000+J25-1.2+SQRT(CK27/CM27)))</f>
        <v>17.5664991614216</v>
      </c>
      <c r="CN26" s="185">
        <f>IF(OR(C25="",P24="不要"),"",CL25+CK28*AZ25)</f>
        <v>799.5</v>
      </c>
      <c r="CO26" s="88" t="s">
        <v>364</v>
      </c>
      <c r="CP26" s="185">
        <f>IF(OR(C25="",C25="  RF"),"",IF(J25="直天",F25-1.2+SQRT(CK27/CM27),IF(AQ24="天井ケーブル",J25-1.2,J25-1.2+SQRT(CK27/CM27))))</f>
        <v>1.8</v>
      </c>
      <c r="CQ26" s="356" t="str">
        <f>IF(OR(C25="",C25="  RF"),"",IF(AQ24="天井ケーブル","",(CM27-1)*SQRT(CK27/CM27)))</f>
        <v/>
      </c>
      <c r="CR26" s="2589" t="str">
        <f>AG27</f>
        <v>定温SP1種WP</v>
      </c>
      <c r="CS26" s="2590"/>
      <c r="CT26" s="2591"/>
      <c r="CU26" s="184">
        <f>AN27</f>
        <v>2</v>
      </c>
      <c r="CV26" s="2589" t="str">
        <f>AT26</f>
        <v>P1総合盤露出</v>
      </c>
      <c r="CW26" s="2590"/>
      <c r="CX26" s="2591"/>
      <c r="CY26" s="184">
        <f>BA26</f>
        <v>7</v>
      </c>
      <c r="CZ26" s="216"/>
      <c r="DA26" s="8"/>
      <c r="DB26" s="197">
        <f t="shared" si="0"/>
        <v>6</v>
      </c>
      <c r="DC26" s="197" t="str">
        <f t="shared" si="1"/>
        <v/>
      </c>
      <c r="DD26" s="201" t="str">
        <f>G27</f>
        <v>HP 1.2mm-3C</v>
      </c>
      <c r="DE26" s="8"/>
      <c r="DF26" s="8"/>
      <c r="DG26" s="8"/>
      <c r="DH26" s="8" t="str">
        <f>IF(COUNTIF($DD$15:DD25,DD26)&gt;0,"",DD26)</f>
        <v/>
      </c>
      <c r="DI26" s="252">
        <f>O27</f>
        <v>21</v>
      </c>
      <c r="DJ26" s="32">
        <f t="shared" si="8"/>
        <v>0</v>
      </c>
      <c r="DK26" s="197">
        <f t="shared" si="3"/>
        <v>4</v>
      </c>
      <c r="DL26" s="197" t="str">
        <f t="shared" si="4"/>
        <v/>
      </c>
      <c r="DM26" s="10" t="str">
        <f>IF(CU26="","",CR26)</f>
        <v>定温SP1種WP</v>
      </c>
      <c r="DN26" s="10"/>
      <c r="DO26" s="10"/>
      <c r="DP26" s="8"/>
      <c r="DQ26" s="8" t="str">
        <f>IF(COUNTIF($DM$15:DM25,DM26)&gt;0,"",DM26)</f>
        <v/>
      </c>
      <c r="DR26" s="200">
        <f>CU26</f>
        <v>2</v>
      </c>
      <c r="DS26" s="32">
        <f t="shared" si="5"/>
        <v>8</v>
      </c>
      <c r="DT26" s="8"/>
      <c r="DU26" s="197">
        <f t="shared" si="6"/>
        <v>3</v>
      </c>
      <c r="DV26" s="197" t="str">
        <f t="shared" si="7"/>
        <v/>
      </c>
      <c r="DW26" s="201" t="str">
        <f>T26</f>
        <v>C-19mm</v>
      </c>
      <c r="DX26" s="8"/>
      <c r="DY26" s="8"/>
      <c r="DZ26" s="8"/>
      <c r="EA26" s="8" t="str">
        <f>IF(COUNTIF($DW$15:DW25,DW26)&gt;0,"",DW26)</f>
        <v/>
      </c>
      <c r="EB26" s="197">
        <f>AB26</f>
        <v>2</v>
      </c>
      <c r="EC26" s="32">
        <f ca="1">SUMIF($DW$17:$DW$185,EA26,$EB$17:$EB$184)</f>
        <v>0</v>
      </c>
    </row>
    <row r="27" spans="1:138" ht="11.25" customHeight="1" thickBot="1">
      <c r="A27" s="15"/>
      <c r="B27" s="176"/>
      <c r="C27" s="2568" t="s">
        <v>363</v>
      </c>
      <c r="D27" s="2569"/>
      <c r="E27" s="2569"/>
      <c r="F27" s="2569"/>
      <c r="G27" s="2592" t="str">
        <f>IF(C25="","","HP 1.2mm-3C")</f>
        <v>HP 1.2mm-3C</v>
      </c>
      <c r="H27" s="2592"/>
      <c r="I27" s="2592"/>
      <c r="J27" s="2592"/>
      <c r="K27" s="2592"/>
      <c r="L27" s="2592"/>
      <c r="M27" s="2592"/>
      <c r="N27" s="2592"/>
      <c r="O27" s="2557">
        <f>IF($B$2=0,"",IF(OR(C25="",P24="不要"),"",ROUND(CN28,0)))</f>
        <v>21</v>
      </c>
      <c r="P27" s="2557"/>
      <c r="Q27" s="2557"/>
      <c r="R27" s="2557"/>
      <c r="S27" s="2557"/>
      <c r="T27" s="2557" t="str">
        <f>IF(OR($B$2=0,C25="",P24="不要"),"",IF(BH24="天井ケーブル","C-19mm",IF(MID(BH24,4,2)="PF","PF-16mm",IF(MID(BH24,4,2)="CD","CD-16mm",IF(MID(BH24,4,2)="C ","C-19mm",IF(MID(BH24,4,2)="G ","G-16mm",""))))))</f>
        <v>C-19mm</v>
      </c>
      <c r="U27" s="2557"/>
      <c r="V27" s="2557"/>
      <c r="W27" s="2557"/>
      <c r="X27" s="2557"/>
      <c r="Y27" s="2557"/>
      <c r="Z27" s="2557"/>
      <c r="AA27" s="2557"/>
      <c r="AB27" s="2557">
        <f>IF($B$2=0,"",IF(OR(C25="",P24="不要",CQ29=""),"",CQ28+CQ29))</f>
        <v>23.4</v>
      </c>
      <c r="AC27" s="2557"/>
      <c r="AD27" s="2557"/>
      <c r="AE27" s="2557"/>
      <c r="AF27" s="2557"/>
      <c r="AG27" s="2572" t="str">
        <f>IF($B$2=0,"","定温SP1種WP")</f>
        <v>定温SP1種WP</v>
      </c>
      <c r="AH27" s="2572"/>
      <c r="AI27" s="2572"/>
      <c r="AJ27" s="2572"/>
      <c r="AK27" s="2572"/>
      <c r="AL27" s="2572"/>
      <c r="AM27" s="2572"/>
      <c r="AN27" s="2312">
        <f>IF(OR($B$2=0,P24="不要"),"",IF(AQ27&lt;&gt;"",AQ27,CA27))</f>
        <v>2</v>
      </c>
      <c r="AO27" s="2312"/>
      <c r="AP27" s="2312"/>
      <c r="AQ27" s="2575"/>
      <c r="AR27" s="2575"/>
      <c r="AS27" s="2575"/>
      <c r="AT27" s="2572" t="str">
        <f>IF($B$2=0,"","P1総合盤埋込")</f>
        <v>P1総合盤埋込</v>
      </c>
      <c r="AU27" s="2572"/>
      <c r="AV27" s="2572"/>
      <c r="AW27" s="2572"/>
      <c r="AX27" s="2572"/>
      <c r="AY27" s="2572"/>
      <c r="AZ27" s="2572"/>
      <c r="BA27" s="2312" t="str">
        <f>IF(P24="不要","",IF(BD27&lt;&gt;"",BD27,IF([4]Top!$BD$51&lt;&gt;"要","",AZ25)))</f>
        <v/>
      </c>
      <c r="BB27" s="2312"/>
      <c r="BC27" s="2312"/>
      <c r="BD27" s="2575"/>
      <c r="BE27" s="2575"/>
      <c r="BF27" s="2575"/>
      <c r="BG27" s="2572" t="str">
        <f>IF($B$2=0,"","ｱｰﾑ電磁レリーズ")</f>
        <v>ｱｰﾑ電磁レリーズ</v>
      </c>
      <c r="BH27" s="2572"/>
      <c r="BI27" s="2572"/>
      <c r="BJ27" s="2572"/>
      <c r="BK27" s="2572"/>
      <c r="BL27" s="2572"/>
      <c r="BM27" s="2572"/>
      <c r="BN27" s="2572"/>
      <c r="BO27" s="2312">
        <f>IF(P24="不要","",IF(BR27&lt;&gt;"",BR27,BR25))</f>
        <v>7</v>
      </c>
      <c r="BP27" s="2312"/>
      <c r="BQ27" s="2312"/>
      <c r="BR27" s="2575"/>
      <c r="BS27" s="2575"/>
      <c r="BT27" s="2576"/>
      <c r="BU27" s="19"/>
      <c r="BV27" s="35"/>
      <c r="BW27" s="351" t="s">
        <v>362</v>
      </c>
      <c r="BX27" s="348"/>
      <c r="BY27" s="349">
        <f>CA27</f>
        <v>2</v>
      </c>
      <c r="BZ27" s="366"/>
      <c r="CA27" s="360">
        <f>IF(C25="","",1+INT(W25/200))</f>
        <v>2</v>
      </c>
      <c r="CB27" s="348"/>
      <c r="CC27" s="359">
        <f>CA27</f>
        <v>2</v>
      </c>
      <c r="CD27" s="365"/>
      <c r="CE27" s="349">
        <f>CA27</f>
        <v>2</v>
      </c>
      <c r="CF27" s="348"/>
      <c r="CG27" s="357">
        <f>CA27</f>
        <v>2</v>
      </c>
      <c r="CH27" s="35"/>
      <c r="CI27" s="133">
        <f>IF(BG25&lt;&gt;"",BG25,0)</f>
        <v>7</v>
      </c>
      <c r="CJ27" s="88" t="s">
        <v>361</v>
      </c>
      <c r="CK27" s="107">
        <f>N25</f>
        <v>3168</v>
      </c>
      <c r="CL27" s="88" t="s">
        <v>360</v>
      </c>
      <c r="CM27" s="185">
        <f>SUM(AN26:AP30)</f>
        <v>18</v>
      </c>
      <c r="CN27" s="364"/>
      <c r="CO27" s="168"/>
      <c r="CP27" s="363"/>
      <c r="CQ27" s="150"/>
      <c r="CR27" s="2598" t="str">
        <f>AG28</f>
        <v>補償SP2種</v>
      </c>
      <c r="CS27" s="2599"/>
      <c r="CT27" s="2600"/>
      <c r="CU27" s="362">
        <f>AN28</f>
        <v>2</v>
      </c>
      <c r="CV27" s="2598" t="str">
        <f>AT27</f>
        <v>P1総合盤埋込</v>
      </c>
      <c r="CW27" s="2599"/>
      <c r="CX27" s="2600"/>
      <c r="CY27" s="362" t="str">
        <f>BA27</f>
        <v/>
      </c>
      <c r="CZ27" s="216"/>
      <c r="DA27" s="8"/>
      <c r="DB27" s="197">
        <f t="shared" si="0"/>
        <v>6</v>
      </c>
      <c r="DC27" s="197" t="str">
        <f t="shared" si="1"/>
        <v/>
      </c>
      <c r="DD27" s="201" t="str">
        <f>G28</f>
        <v>HP 1.2mm-5C</v>
      </c>
      <c r="DE27" s="8"/>
      <c r="DF27" s="8"/>
      <c r="DG27" s="8"/>
      <c r="DH27" s="8" t="str">
        <f>IF(COUNTIF($DD$15:DD26,DD27)&gt;0,"",DD27)</f>
        <v/>
      </c>
      <c r="DI27" s="252">
        <f>O28</f>
        <v>44</v>
      </c>
      <c r="DJ27" s="32">
        <f t="shared" si="8"/>
        <v>0</v>
      </c>
      <c r="DK27" s="197">
        <f t="shared" si="3"/>
        <v>4</v>
      </c>
      <c r="DL27" s="197" t="str">
        <f t="shared" si="4"/>
        <v/>
      </c>
      <c r="DM27" s="10" t="str">
        <f>IF(CU27="","",CR27)</f>
        <v>補償SP2種</v>
      </c>
      <c r="DN27" s="10"/>
      <c r="DO27" s="10"/>
      <c r="DP27" s="8"/>
      <c r="DQ27" s="8" t="str">
        <f>IF(COUNTIF($DM$15:DM26,DM27)&gt;0,"",DM27)</f>
        <v/>
      </c>
      <c r="DR27" s="200">
        <f>CU27</f>
        <v>2</v>
      </c>
      <c r="DS27" s="32">
        <f t="shared" si="5"/>
        <v>8</v>
      </c>
      <c r="DT27" s="8"/>
      <c r="DU27" s="197">
        <f t="shared" si="6"/>
        <v>3</v>
      </c>
      <c r="DV27" s="197" t="str">
        <f t="shared" si="7"/>
        <v/>
      </c>
      <c r="DW27" s="201" t="str">
        <f>T27</f>
        <v>C-19mm</v>
      </c>
      <c r="DX27" s="8"/>
      <c r="DY27" s="8"/>
      <c r="DZ27" s="8"/>
      <c r="EA27" s="8" t="str">
        <f>IF(COUNTIF($DW$15:DW26,DW27)&gt;0,"",DW27)</f>
        <v/>
      </c>
      <c r="EB27" s="197">
        <f>AB27</f>
        <v>23.4</v>
      </c>
      <c r="EC27" s="32">
        <f ca="1">SUMIF($DW$17:$DW$185,EA27,$EB$17:$EB$184)</f>
        <v>0</v>
      </c>
    </row>
    <row r="28" spans="1:138" ht="11.25" customHeight="1" thickBot="1">
      <c r="A28" s="15"/>
      <c r="B28" s="23"/>
      <c r="C28" s="2568"/>
      <c r="D28" s="2569"/>
      <c r="E28" s="2569"/>
      <c r="F28" s="2569"/>
      <c r="G28" s="2584" t="str">
        <f>IF(C25="","","HP 1.2mm-5C")</f>
        <v>HP 1.2mm-5C</v>
      </c>
      <c r="H28" s="2584"/>
      <c r="I28" s="2584"/>
      <c r="J28" s="2584"/>
      <c r="K28" s="2584"/>
      <c r="L28" s="2584"/>
      <c r="M28" s="2584"/>
      <c r="N28" s="2584"/>
      <c r="O28" s="2585">
        <f>IF($B$2=0,"",IF(OR(C25="",P24="不要"),"",ROUND(CM28,0)))</f>
        <v>44</v>
      </c>
      <c r="P28" s="2585"/>
      <c r="Q28" s="2585"/>
      <c r="R28" s="2585"/>
      <c r="S28" s="2585"/>
      <c r="T28" s="2585" t="str">
        <f>IF(OR($B$2=0,C25="",P24="不要"),"",IF(BH24="天井ケーブル","C-25mm",IF(MID(BH24,4,2)="PF","PF-22mm",IF(MID(BH24,4,2)="CD","CD-22mm",IF(MID(BH24,4,2)="C ","C-25mm",IF(MID(BH24,4,2)="G ","G-22mm",""))))))</f>
        <v>C-25mm</v>
      </c>
      <c r="U28" s="2585"/>
      <c r="V28" s="2585"/>
      <c r="W28" s="2585"/>
      <c r="X28" s="2585"/>
      <c r="Y28" s="2585"/>
      <c r="Z28" s="2585"/>
      <c r="AA28" s="2585"/>
      <c r="AB28" s="2585">
        <f>IF(OR($B$2=0,C25="",P24="不要"),"",CP28)</f>
        <v>1.8</v>
      </c>
      <c r="AC28" s="2585"/>
      <c r="AD28" s="2585"/>
      <c r="AE28" s="2585"/>
      <c r="AF28" s="2585"/>
      <c r="AG28" s="2572" t="str">
        <f>IF($B$2=0,"","補償SP2種")</f>
        <v>補償SP2種</v>
      </c>
      <c r="AH28" s="2572"/>
      <c r="AI28" s="2572"/>
      <c r="AJ28" s="2572"/>
      <c r="AK28" s="2572"/>
      <c r="AL28" s="2572"/>
      <c r="AM28" s="2572"/>
      <c r="AN28" s="2312">
        <f>IF(OR($B$2=0,P24="不要"),"",IF(AQ28&lt;&gt;"",AQ28,CA28))</f>
        <v>2</v>
      </c>
      <c r="AO28" s="2312"/>
      <c r="AP28" s="2312"/>
      <c r="AQ28" s="2575"/>
      <c r="AR28" s="2575"/>
      <c r="AS28" s="2575"/>
      <c r="AT28" s="2546" t="str">
        <f>IF($B$2=0,"","HP起動押ボタン")</f>
        <v>HP起動押ボタン</v>
      </c>
      <c r="AU28" s="2546"/>
      <c r="AV28" s="2546"/>
      <c r="AW28" s="2546"/>
      <c r="AX28" s="2546"/>
      <c r="AY28" s="2546"/>
      <c r="AZ28" s="2546"/>
      <c r="BA28" s="2544" t="str">
        <f>IF(P24="不要","",IF(BD28&lt;&gt;"",BD28,IF([4]Top!$BL$51="要",AZ25,"")))</f>
        <v/>
      </c>
      <c r="BB28" s="2544"/>
      <c r="BC28" s="2544"/>
      <c r="BD28" s="2573"/>
      <c r="BE28" s="2573"/>
      <c r="BF28" s="2573"/>
      <c r="BG28" s="2546" t="str">
        <f>IF($B$2=0,"","光電式煙3種埋")</f>
        <v>光電式煙3種埋</v>
      </c>
      <c r="BH28" s="2546"/>
      <c r="BI28" s="2546"/>
      <c r="BJ28" s="2546"/>
      <c r="BK28" s="2546"/>
      <c r="BL28" s="2546"/>
      <c r="BM28" s="2546"/>
      <c r="BN28" s="2546"/>
      <c r="BO28" s="2544">
        <f>IF(OR($B$2=0,C25="",P24="不要"),"",IF(BR28&lt;&gt;"",BR28,2*BR25))</f>
        <v>14</v>
      </c>
      <c r="BP28" s="2544"/>
      <c r="BQ28" s="2544"/>
      <c r="BR28" s="2573"/>
      <c r="BS28" s="2573"/>
      <c r="BT28" s="2574"/>
      <c r="BU28" s="19"/>
      <c r="BV28" s="35"/>
      <c r="BW28" s="351" t="s">
        <v>359</v>
      </c>
      <c r="BX28" s="361"/>
      <c r="BY28" s="349">
        <f>CA28</f>
        <v>2</v>
      </c>
      <c r="BZ28" s="348"/>
      <c r="CA28" s="360">
        <f>IF(C25="","",1+INT(W25/200))</f>
        <v>2</v>
      </c>
      <c r="CB28" s="358"/>
      <c r="CC28" s="359">
        <f>CA28</f>
        <v>2</v>
      </c>
      <c r="CD28" s="346"/>
      <c r="CE28" s="349">
        <f>CA28</f>
        <v>2</v>
      </c>
      <c r="CF28" s="358"/>
      <c r="CG28" s="357">
        <f>CA28</f>
        <v>2</v>
      </c>
      <c r="CH28" s="35"/>
      <c r="CI28" s="133">
        <f>IF(BR25&lt;&gt;"",BR25,0)</f>
        <v>7</v>
      </c>
      <c r="CJ28" s="88" t="s">
        <v>121</v>
      </c>
      <c r="CK28" s="187">
        <f>IF(OR(C25="",C25="  RF"),"",IF($AX$8=0,0,2*($AX$8/1000-0.15-0.1)*(INT(1000*CJ26/$BF$8)+1)*(INT(1000*CK26/$BF$8)+1)*4))</f>
        <v>108</v>
      </c>
      <c r="CL28" s="187" t="s">
        <v>358</v>
      </c>
      <c r="CM28" s="139">
        <f>IF(OR(C25="",C25="  RF"),"",IF(J25="直天",$AN$8/1000+F25-1.2+CJ26+CK26/2,$AN$8/1000+J25-1.2+CJ26+CK26/2))</f>
        <v>43.8</v>
      </c>
      <c r="CN28" s="136">
        <f>IF(OR(C25="",C25="  RF"),"",IF(J25="直天",F25-$Y$8/1000+F25-$Y$9/1000+2*8+($AN$7+2*$AN$9)/1000,J25-$Y$8/1000+J25-$Y$9/1000+2*8+($AN$7+2*$AN$9)/1000))</f>
        <v>20.599999999999998</v>
      </c>
      <c r="CO28" s="151" t="s">
        <v>358</v>
      </c>
      <c r="CP28" s="185">
        <f>IF(OR(C25="",C25="  RF"),"",IF(J25="直天",F25-1.2+CJ26+CK26/2,IF(AQ24="天井ケーブル",J25-1.2,J25-1.2+CJ26+CK26/2)))</f>
        <v>1.8</v>
      </c>
      <c r="CQ28" s="356">
        <f>IF(OR(C25="",C25="  RF"),"",IF(J25="直天",F25-$Y$8/1000+F25-$Y$9/1000+2*8,IF(BH24="天井ケーブル",J25-$Y$8/1000+J25-$Y$9/1000,J25-$Y$8/1000+J25-$Y$9/1000+2*8)))</f>
        <v>18.399999999999999</v>
      </c>
      <c r="CR28" s="355" t="s">
        <v>87</v>
      </c>
      <c r="CS28" s="336" t="s">
        <v>395</v>
      </c>
      <c r="CT28" s="336" t="s">
        <v>394</v>
      </c>
      <c r="CU28" s="192" t="s">
        <v>393</v>
      </c>
      <c r="CV28" s="336" t="s">
        <v>392</v>
      </c>
      <c r="CW28" s="336" t="s">
        <v>391</v>
      </c>
      <c r="CX28" s="336" t="s">
        <v>390</v>
      </c>
      <c r="CY28" s="354" t="s">
        <v>389</v>
      </c>
      <c r="CZ28" s="216"/>
      <c r="DA28" s="8"/>
      <c r="DB28" s="197">
        <f t="shared" si="0"/>
        <v>6</v>
      </c>
      <c r="DC28" s="197" t="str">
        <f t="shared" si="1"/>
        <v/>
      </c>
      <c r="DD28" s="201" t="str">
        <f>G29</f>
        <v>FCPEV 0.9- 10Pr</v>
      </c>
      <c r="DE28" s="8"/>
      <c r="DF28" s="8"/>
      <c r="DG28" s="8"/>
      <c r="DH28" s="8" t="str">
        <f>IF(COUNTIF($DD$15:DD27,DD28)&gt;0,"",DD28)</f>
        <v/>
      </c>
      <c r="DI28" s="252">
        <f>O29</f>
        <v>99</v>
      </c>
      <c r="DJ28" s="32">
        <f t="shared" si="8"/>
        <v>0</v>
      </c>
      <c r="DK28" s="197">
        <f t="shared" si="3"/>
        <v>4</v>
      </c>
      <c r="DL28" s="197" t="str">
        <f t="shared" si="4"/>
        <v/>
      </c>
      <c r="DM28" s="11" t="str">
        <f>IF(CY24="","",CV24)</f>
        <v>光電式煙2種埋</v>
      </c>
      <c r="DN28" s="11"/>
      <c r="DO28" s="11"/>
      <c r="DP28" s="9"/>
      <c r="DQ28" s="9" t="str">
        <f>IF(COUNTIF($DM$15:DM27,DM28)&gt;0,"",DM28)</f>
        <v/>
      </c>
      <c r="DR28" s="200">
        <f>CY24</f>
        <v>14</v>
      </c>
      <c r="DS28" s="32">
        <f t="shared" si="5"/>
        <v>8</v>
      </c>
      <c r="DT28" s="8"/>
      <c r="DU28" s="197">
        <f t="shared" si="6"/>
        <v>3</v>
      </c>
      <c r="DV28" s="197" t="str">
        <f t="shared" si="7"/>
        <v/>
      </c>
      <c r="DW28" s="201" t="str">
        <f>T28</f>
        <v>C-25mm</v>
      </c>
      <c r="DX28" s="8"/>
      <c r="DY28" s="8"/>
      <c r="DZ28" s="8"/>
      <c r="EA28" s="8" t="str">
        <f>IF(COUNTIF($DW$15:DW27,DW28)&gt;0,"",DW28)</f>
        <v/>
      </c>
      <c r="EB28" s="197">
        <f>AB28</f>
        <v>1.8</v>
      </c>
      <c r="EC28" s="32">
        <f ca="1">SUMIF($DW$17:$DW$185,EA28,$EB$17:$EB$184)</f>
        <v>0</v>
      </c>
    </row>
    <row r="29" spans="1:138" ht="11.25" customHeight="1" thickBot="1">
      <c r="A29" s="15"/>
      <c r="B29" s="23"/>
      <c r="C29" s="2568" t="s">
        <v>352</v>
      </c>
      <c r="D29" s="2569"/>
      <c r="E29" s="2569"/>
      <c r="F29" s="2569"/>
      <c r="G29" s="2557" t="str">
        <f>IF(OR($B$2=0,C25="",P24="不要"),"",IF(CR29&lt;10,"FCPEV 0.9-5Pr",IF(CR29&lt;20,"FCPEV 0.9- 10Pr",IF(CR29&lt;30,"FCPEV 0.9- 15Pr",IF(CR29&lt;40,"FCPEV 0.9- 20Pr","")))))</f>
        <v>FCPEV 0.9- 10Pr</v>
      </c>
      <c r="H29" s="2557"/>
      <c r="I29" s="2557"/>
      <c r="J29" s="2557"/>
      <c r="K29" s="2557"/>
      <c r="L29" s="2557"/>
      <c r="M29" s="2557"/>
      <c r="N29" s="2557"/>
      <c r="O29" s="2557">
        <f>IF(OR(C25="",P24="不要",G29=""),"",INT(AZ25*(CJ26+CK26)/4))</f>
        <v>99</v>
      </c>
      <c r="P29" s="2557"/>
      <c r="Q29" s="2557"/>
      <c r="R29" s="2557"/>
      <c r="S29" s="2557"/>
      <c r="T29" s="2558" t="str">
        <f>IF(OR(C25="",P24="不要",G29=""),"",IF(AQ24="天井ケーブル","C-"&amp;CM30&amp;"mm",IF(MID(AQ24,4,2)="PF","PF-"&amp;CL30&amp;"mm",IF(MID(AQ24,4,2)="CD","CD-"&amp;CL30&amp;"mm",IF(MID(AQ24,4,2)="C ","C-"&amp;CM30&amp;"mm",IF(MID(AQ24,4,2)="G ","G-"&amp;CL30&amp;"mm"))))))</f>
        <v>C-31mm</v>
      </c>
      <c r="U29" s="2557"/>
      <c r="V29" s="2557"/>
      <c r="W29" s="2557"/>
      <c r="X29" s="2557"/>
      <c r="Y29" s="2557"/>
      <c r="Z29" s="2557"/>
      <c r="AA29" s="2557"/>
      <c r="AB29" s="2557">
        <f>IF(OR(C25="",P24="不要",G29=""),"",IF(AQ24="天井ケーブル",2*AZ25*(F25-$Y$7/1000),O29*0.9))</f>
        <v>51.800000000000004</v>
      </c>
      <c r="AC29" s="2557"/>
      <c r="AD29" s="2557"/>
      <c r="AE29" s="2557"/>
      <c r="AF29" s="2557"/>
      <c r="AG29" s="2572" t="str">
        <f>IF($B$2=0,"","光電式煙2種埋")</f>
        <v>光電式煙2種埋</v>
      </c>
      <c r="AH29" s="2572"/>
      <c r="AI29" s="2572"/>
      <c r="AJ29" s="2572"/>
      <c r="AK29" s="2572"/>
      <c r="AL29" s="2572"/>
      <c r="AM29" s="2572"/>
      <c r="AN29" s="2312">
        <f>IF(OR(C25="",$B$2=0,P24="不要"),"",IF(AQ29&lt;&gt;"",AQ29,IF(AX30="B",BX29+BY29,IF(AND(BL29="耐 火",AZ29="無窓"),CB29+CC29,IF(AND(BL29&lt;&gt;"耐 火",AZ29="無窓"),CF29+CG29,"")))))</f>
        <v>14</v>
      </c>
      <c r="AO29" s="2312"/>
      <c r="AP29" s="2312"/>
      <c r="AQ29" s="2339"/>
      <c r="AR29" s="2339"/>
      <c r="AS29" s="2551"/>
      <c r="AT29" s="2577" t="str">
        <f>IF(C25="","","消防法上")</f>
        <v>消防法上</v>
      </c>
      <c r="AU29" s="2289"/>
      <c r="AV29" s="2289"/>
      <c r="AW29" s="2289"/>
      <c r="AX29" s="2289"/>
      <c r="AY29" s="2578"/>
      <c r="AZ29" s="2579" t="str">
        <f>IF($B$2=0,"",IF(BD29="",[4]Top!$BO$26,BD29))</f>
        <v>無窓</v>
      </c>
      <c r="BA29" s="2394"/>
      <c r="BB29" s="2580"/>
      <c r="BC29" s="353" t="s">
        <v>387</v>
      </c>
      <c r="BD29" s="2552"/>
      <c r="BE29" s="2552"/>
      <c r="BF29" s="2553"/>
      <c r="BG29" s="2581" t="str">
        <f>IF(C25="","","耐火構造")</f>
        <v>耐火構造</v>
      </c>
      <c r="BH29" s="2289"/>
      <c r="BI29" s="2289"/>
      <c r="BJ29" s="2289"/>
      <c r="BK29" s="2290"/>
      <c r="BL29" s="2278" t="str">
        <f>IF($B$2=0,"",IF(BQ29="",[4]Top!$AN$18,BQ29))</f>
        <v>耐 火</v>
      </c>
      <c r="BM29" s="2394"/>
      <c r="BN29" s="2394"/>
      <c r="BO29" s="2580"/>
      <c r="BP29" s="352" t="s">
        <v>387</v>
      </c>
      <c r="BQ29" s="2582"/>
      <c r="BR29" s="2552"/>
      <c r="BS29" s="2552"/>
      <c r="BT29" s="2583"/>
      <c r="BU29" s="19"/>
      <c r="BV29" s="35"/>
      <c r="BW29" s="351" t="s">
        <v>351</v>
      </c>
      <c r="BX29" s="350">
        <f>CB29</f>
        <v>4</v>
      </c>
      <c r="BY29" s="349">
        <f>CC29</f>
        <v>10</v>
      </c>
      <c r="BZ29" s="348"/>
      <c r="CA29" s="345"/>
      <c r="CB29" s="344">
        <f>IF(OR([6]Top!$BD$72&lt;&gt;"要",C25=""),"",IF(J25&gt;=4,1+INT(BZ26*0.47),1+INT(BZ26*0.47)))</f>
        <v>4</v>
      </c>
      <c r="CC29" s="347">
        <f>IF(OR([6]Top!$BD$72&lt;&gt;"要",C25=""),"",IF(J25&gt;=4,1+INT(CA26*0.47),1+INT(CA26*0.47)))</f>
        <v>10</v>
      </c>
      <c r="CD29" s="346"/>
      <c r="CE29" s="345"/>
      <c r="CF29" s="344">
        <f>IF(AND(AX16&lt;720,J25&lt;4),1+INT(CD26*0.47),1+INT(CD26*0.94))</f>
        <v>10</v>
      </c>
      <c r="CG29" s="343">
        <f>IF(AND(AX16&lt;720,J25&lt;4),1+INT(CE26*0.47),1+INT(CE26*0.94))</f>
        <v>24</v>
      </c>
      <c r="CH29" s="35"/>
      <c r="CI29" s="133">
        <f>IF(AND(C25&lt;&gt;"",LEFT(C25,2)&lt;&gt;" P"),CI21+F25,"")</f>
        <v>10</v>
      </c>
      <c r="CJ29" s="88" t="s">
        <v>350</v>
      </c>
      <c r="CK29" s="182" t="s">
        <v>349</v>
      </c>
      <c r="CL29" s="342">
        <f>IF(OR(C25="",C25="  RF"),"",IF(AZ33&lt;&gt;"",AZ25,AZ25+BG25))</f>
        <v>7</v>
      </c>
      <c r="CM29" s="341" t="s">
        <v>348</v>
      </c>
      <c r="CN29" s="219" t="s">
        <v>347</v>
      </c>
      <c r="CO29" s="138">
        <f>IF(OR(C25="",P24="不要"),"",AZ25*INT(CJ26+CK26)/5)</f>
        <v>79.8</v>
      </c>
      <c r="CP29" s="151" t="s">
        <v>347</v>
      </c>
      <c r="CQ29" s="340">
        <f>IF(AQ24="天井ケーブル",F25,CO29)</f>
        <v>5</v>
      </c>
      <c r="CR29" s="339">
        <f>SUM(CS29:CX29)</f>
        <v>13</v>
      </c>
      <c r="CS29" s="338">
        <f>AZ25</f>
        <v>7</v>
      </c>
      <c r="CT29" s="338">
        <f>IF(BA25="",0,BA25)</f>
        <v>0</v>
      </c>
      <c r="CU29" s="88">
        <v>1</v>
      </c>
      <c r="CV29" s="222">
        <v>1</v>
      </c>
      <c r="CW29" s="222">
        <v>2</v>
      </c>
      <c r="CX29" s="222">
        <v>2</v>
      </c>
      <c r="CY29" s="337" t="str">
        <f>IF(CK24="=",3*BR25+2,"")</f>
        <v/>
      </c>
      <c r="CZ29" s="218"/>
      <c r="DA29" s="8"/>
      <c r="DB29" s="197">
        <f t="shared" si="0"/>
        <v>7</v>
      </c>
      <c r="DC29" s="197">
        <f t="shared" si="1"/>
        <v>7</v>
      </c>
      <c r="DD29" s="201" t="str">
        <f>G30</f>
        <v>FCPEV 1.2- 15Pr</v>
      </c>
      <c r="DE29" s="8"/>
      <c r="DF29" s="8"/>
      <c r="DG29" s="8"/>
      <c r="DH29" s="8" t="str">
        <f>IF(COUNTIF($DD$15:DD28,DD29)&gt;0,"",DD29)</f>
        <v>FCPEV 1.2- 15Pr</v>
      </c>
      <c r="DI29" s="252">
        <f>O30</f>
        <v>79.8</v>
      </c>
      <c r="DJ29" s="32">
        <f t="shared" si="8"/>
        <v>206.2</v>
      </c>
      <c r="DK29" s="197">
        <f t="shared" si="3"/>
        <v>4</v>
      </c>
      <c r="DL29" s="197" t="str">
        <f t="shared" si="4"/>
        <v/>
      </c>
      <c r="DM29" s="11" t="str">
        <f>IF(AN30="","",AG30)</f>
        <v/>
      </c>
      <c r="DN29" s="11"/>
      <c r="DO29" s="11"/>
      <c r="DP29" s="9"/>
      <c r="DQ29" s="9" t="str">
        <f>IF(COUNTIF($DM$15:DM28,DM29)&gt;0,"",DM29)</f>
        <v/>
      </c>
      <c r="DR29" s="101" t="str">
        <f>AN30</f>
        <v/>
      </c>
      <c r="DS29" s="32">
        <f t="shared" si="5"/>
        <v>8</v>
      </c>
      <c r="DT29" s="8"/>
      <c r="DU29" s="197">
        <f t="shared" si="6"/>
        <v>3</v>
      </c>
      <c r="DV29" s="197" t="str">
        <f t="shared" si="7"/>
        <v/>
      </c>
      <c r="DW29" s="201" t="str">
        <f>T29</f>
        <v>C-31mm</v>
      </c>
      <c r="DX29" s="8"/>
      <c r="DY29" s="8"/>
      <c r="DZ29" s="8"/>
      <c r="EA29" s="8" t="str">
        <f>IF(COUNTIF($DW$15:DW28,DW29)&gt;0,"",DW29)</f>
        <v/>
      </c>
      <c r="EB29" s="197">
        <f>AB29</f>
        <v>51.800000000000004</v>
      </c>
      <c r="EC29" s="32">
        <f ca="1">SUMIF($DW$17:$DW$185,EA29,$EB$17:$EB$184)</f>
        <v>0</v>
      </c>
    </row>
    <row r="30" spans="1:138" ht="11.25" customHeight="1" thickBot="1">
      <c r="A30" s="15"/>
      <c r="B30" s="23"/>
      <c r="C30" s="2570"/>
      <c r="D30" s="2571"/>
      <c r="E30" s="2571"/>
      <c r="F30" s="2571"/>
      <c r="G30" s="2554" t="str">
        <f>IF(OR($B$2=0,P24="不要"),"",IF(CR30=0,"",IF(OR(C25="",P24="不要"),"",IF(CR30&lt;10,"FCPEV 1.2-5Pr",IF(CR30&lt;20,"FCPEV 1.2- 10Pr",IF(CR30&lt;30,"FCPEV 1.2- 15Pr",IF(CR30&lt;40,"FCPEV 1.2- 20Pr",IF(CR30&lt;60,"FCPEV 1.2- 30Pr",IF(CR30&lt;100,"FCPEV 1.2- 50Pr",IF(CR30&lt;140,"FCPEV 1.2- 70Pr",IF(CR30&lt;200,"FCPEV 1.2-100Pr","FCPEV 1.2-200Pr")))))))))))</f>
        <v>FCPEV 1.2- 15Pr</v>
      </c>
      <c r="H30" s="2555"/>
      <c r="I30" s="2555"/>
      <c r="J30" s="2555"/>
      <c r="K30" s="2555"/>
      <c r="L30" s="2555"/>
      <c r="M30" s="2555"/>
      <c r="N30" s="2555"/>
      <c r="O30" s="2555">
        <f>IF(OR(G30="",C25="",P24="不要"),"",CO29)</f>
        <v>79.8</v>
      </c>
      <c r="P30" s="2555"/>
      <c r="Q30" s="2555"/>
      <c r="R30" s="2555"/>
      <c r="S30" s="2555"/>
      <c r="T30" s="2555" t="str">
        <f>IF(OR(G30="",C25="",P24="不要"),"",IF(AQ24="天井ケーブル","C-"&amp;CO30&amp;"mm",IF(MID(AQ24,4,2)="PF","PF-"&amp;CN30&amp;"mm",IF(MID(AQ24,4,2)="CD","CD-"&amp;CN30&amp;"mm",IF(MID(AQ24,4,2)="C ","C-"&amp;CO30&amp;"mm",IF(MID(AQ24,4,2)="G ","G-"&amp;CN30&amp;"mm"))))))</f>
        <v>C-31mm</v>
      </c>
      <c r="U30" s="2555"/>
      <c r="V30" s="2555"/>
      <c r="W30" s="2555"/>
      <c r="X30" s="2555"/>
      <c r="Y30" s="2555"/>
      <c r="Z30" s="2555"/>
      <c r="AA30" s="2555"/>
      <c r="AB30" s="2555">
        <f>IF(OR(G30="",P24="不要"),"",CQ29)</f>
        <v>5</v>
      </c>
      <c r="AC30" s="2555"/>
      <c r="AD30" s="2555"/>
      <c r="AE30" s="2555"/>
      <c r="AF30" s="2555"/>
      <c r="AG30" s="2556" t="str">
        <f>IF($B$2=0,"","定温SP1種Exp")</f>
        <v>定温SP1種Exp</v>
      </c>
      <c r="AH30" s="2556"/>
      <c r="AI30" s="2556"/>
      <c r="AJ30" s="2556"/>
      <c r="AK30" s="2556"/>
      <c r="AL30" s="2556"/>
      <c r="AM30" s="2556"/>
      <c r="AN30" s="2335" t="str">
        <f>IF(AQ30&lt;&gt;"",AQ30,"")</f>
        <v/>
      </c>
      <c r="AO30" s="2335"/>
      <c r="AP30" s="2335"/>
      <c r="AQ30" s="2566"/>
      <c r="AR30" s="2566"/>
      <c r="AS30" s="2567"/>
      <c r="AT30" s="2586" t="str">
        <f>IF(C25="","","盤位置")</f>
        <v>盤位置</v>
      </c>
      <c r="AU30" s="2587"/>
      <c r="AV30" s="2587"/>
      <c r="AW30" s="2587"/>
      <c r="AX30" s="2588" t="str">
        <f>非誘!V23</f>
        <v>⑦</v>
      </c>
      <c r="AY30" s="2588"/>
      <c r="AZ30" s="2588"/>
      <c r="BA30" s="2559" t="str">
        <f>IF(C25="","","専部屋面積")</f>
        <v>専部屋面積</v>
      </c>
      <c r="BB30" s="2560"/>
      <c r="BC30" s="2560"/>
      <c r="BD30" s="2560"/>
      <c r="BE30" s="2560"/>
      <c r="BF30" s="2561"/>
      <c r="BG30" s="2562">
        <f>IF(OR(C25="",S25=""),"",S25/AA25)</f>
        <v>475.2</v>
      </c>
      <c r="BH30" s="2563"/>
      <c r="BI30" s="2563"/>
      <c r="BJ30" s="2564"/>
      <c r="BK30" s="2559" t="str">
        <f>IF(C25="","","共部屋面積")</f>
        <v>共部屋面積</v>
      </c>
      <c r="BL30" s="2560"/>
      <c r="BM30" s="2560"/>
      <c r="BN30" s="2560"/>
      <c r="BO30" s="2560"/>
      <c r="BP30" s="2561"/>
      <c r="BQ30" s="2562">
        <f>IF(OR($B$2=0,C25=""),"",W25/AD25)</f>
        <v>19.800000000000011</v>
      </c>
      <c r="BR30" s="2563"/>
      <c r="BS30" s="2563"/>
      <c r="BT30" s="2565"/>
      <c r="BU30" s="19"/>
      <c r="BV30" s="35"/>
      <c r="BW30" s="99"/>
      <c r="BX30" s="35"/>
      <c r="BY30" s="35"/>
      <c r="BZ30" s="35"/>
      <c r="CA30" s="35"/>
      <c r="CB30" s="35"/>
      <c r="CC30" s="35"/>
      <c r="CD30" s="35"/>
      <c r="CE30" s="35"/>
      <c r="CF30" s="35"/>
      <c r="CG30" s="35"/>
      <c r="CH30" s="35"/>
      <c r="CI30" s="8"/>
      <c r="CJ30" s="8"/>
      <c r="CK30" s="8"/>
      <c r="CL30" s="336" t="str">
        <f>IF(OR(RIGHT(G29,3)="5Pr",RIGHT(G29,4)="10Pr",RIGHT(G29,4)="15Pr"),"28",IF(OR(RIGHT(G29,4)="20Pr",RIGHT(G29,4)="30Pr"),"36",IF(OR(RIGHT(G29,4)="50Pr",RIGHT(G29,4)="70Pr"),"42","")))</f>
        <v>28</v>
      </c>
      <c r="CM30" s="336" t="str">
        <f>IF(OR(RIGHT(G29,3)="5Pr",RIGHT(G29,4)="10Pr",RIGHT(G29,4)="15Pr"),"31",IF(OR(RIGHT(G29,4)="20Pr",RIGHT(G29,4)="30Pr"),"39",IF(OR(RIGHT(G29,4)="50Pr",RIGHT(G29,4)="70Pr"),"51","")))</f>
        <v>31</v>
      </c>
      <c r="CN30" s="86" t="str">
        <f>IF(OR(RIGHT(G30,3)="5Pr",RIGHT(G30,4)="10Pr",RIGHT(G30,4)="15Pr"),"28",IF(OR(RIGHT(G30,4)="20Pr",RIGHT(G30,4)="30Pr"),"36",IF(OR(RIGHT(G30,4)="50Pr",RIGHT(G30,4)="70Pr"),"42","")))</f>
        <v>28</v>
      </c>
      <c r="CO30" s="86" t="str">
        <f>IF(OR(RIGHT(G30,3)="5Pr",RIGHT(G30,4)="10Pr",RIGHT(G30,4)="15Pr"),"31",IF(OR(RIGHT(G30,4)="20Pr",RIGHT(G30,4)="30Pr"),"39",IF(OR(RIGHT(G30,4)="50Pr",RIGHT(G30,4)="70Pr"),"51","")))</f>
        <v>31</v>
      </c>
      <c r="CP30" s="9"/>
      <c r="CQ30" s="9"/>
      <c r="CR30" s="335">
        <f>IF(P24="不要","",SUM(CS30:CX30))</f>
        <v>23</v>
      </c>
      <c r="CS30" s="334">
        <f>IF(OR(CK24="",CK24="=",P24="不要"),0,IF(CK24="－",CL29+CS22,IF(CK24="+",CL29+CS38)))</f>
        <v>14</v>
      </c>
      <c r="CT30" s="188">
        <f>IF(OR(CK24="",CK24="=",P24="不要"),0,IF(CS30&lt;7,1,IF(CS30&lt;14,2,IF(CS30&lt;21,3,IF(CS30&lt;28,4,IF(CS30&lt;35,5,IF(CS30&lt;42,6,IF(CS30&lt;49,7,IF(CS30&lt;56,8,IF(CS30&lt;63,9,IF(CS30&lt;70,10,IF(CS30&lt;77,11,"---"))))))))))))</f>
        <v>3</v>
      </c>
      <c r="CU30" s="188">
        <f>IF(CS30=0,0,1)</f>
        <v>1</v>
      </c>
      <c r="CV30" s="333">
        <f>IF(CS30=0,0,1)</f>
        <v>1</v>
      </c>
      <c r="CW30" s="333">
        <f>IF(CS30=0,0,2)</f>
        <v>2</v>
      </c>
      <c r="CX30" s="333">
        <f>IF(CS30=0,0,2)</f>
        <v>2</v>
      </c>
      <c r="CY30" s="332">
        <f>IF(OR(BR33="",P24="不要"),0,IF(CK24="=",0,IF(CK24="－",2*BR25+3,IF(CK24="+",2*(BR25+BR33)+3,""))))</f>
        <v>17</v>
      </c>
      <c r="CZ30" s="216"/>
      <c r="DA30" s="9"/>
      <c r="DB30" s="127">
        <f t="shared" si="0"/>
        <v>7</v>
      </c>
      <c r="DC30" s="127" t="str">
        <f t="shared" si="1"/>
        <v/>
      </c>
      <c r="DD30" s="11" t="str">
        <f>CR24</f>
        <v>防火区画処理</v>
      </c>
      <c r="DE30" s="9"/>
      <c r="DF30" s="9"/>
      <c r="DG30" s="9"/>
      <c r="DH30" s="9" t="str">
        <f>IF(COUNTIF($DD$15:DD29,DD30)&gt;0,"",DD30)</f>
        <v/>
      </c>
      <c r="DI30" s="242">
        <f>CU24</f>
        <v>28</v>
      </c>
      <c r="DJ30" s="32">
        <f t="shared" si="8"/>
        <v>0</v>
      </c>
      <c r="DK30" s="127">
        <f t="shared" si="3"/>
        <v>4</v>
      </c>
      <c r="DL30" s="127" t="str">
        <f t="shared" si="4"/>
        <v/>
      </c>
      <c r="DM30" s="11" t="str">
        <f>IF(CY25="","",CV25)</f>
        <v/>
      </c>
      <c r="DN30" s="11"/>
      <c r="DO30" s="11"/>
      <c r="DP30" s="9"/>
      <c r="DQ30" s="9" t="str">
        <f>IF(COUNTIF($DM$15:DM29,DM30)&gt;0,"",DM30)</f>
        <v/>
      </c>
      <c r="DR30" s="101" t="str">
        <f>CY25</f>
        <v/>
      </c>
      <c r="DS30" s="32">
        <f t="shared" si="5"/>
        <v>8</v>
      </c>
      <c r="DT30" s="9"/>
      <c r="DU30" s="197">
        <f t="shared" si="6"/>
        <v>3</v>
      </c>
      <c r="DV30" s="197" t="str">
        <f t="shared" si="7"/>
        <v/>
      </c>
      <c r="DW30" s="201" t="str">
        <f>T30</f>
        <v>C-31mm</v>
      </c>
      <c r="DX30" s="8"/>
      <c r="DY30" s="8"/>
      <c r="DZ30" s="8"/>
      <c r="EA30" s="8" t="str">
        <f>IF(COUNTIF($DW$15:DW29,DW30)&gt;0,"",DW30)</f>
        <v/>
      </c>
      <c r="EB30" s="197">
        <f>AB30</f>
        <v>5</v>
      </c>
      <c r="EC30" s="32">
        <f ca="1">SUMIF($DW$17:$DW$185,EA30,$EB$17:$EB$184)</f>
        <v>0</v>
      </c>
    </row>
    <row r="31" spans="1:138" ht="11.25" customHeight="1">
      <c r="A31" s="15"/>
      <c r="B31" s="23"/>
      <c r="C31" s="37"/>
      <c r="D31" s="37"/>
      <c r="E31" s="37"/>
      <c r="F31" s="37"/>
      <c r="G31" s="331"/>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157"/>
      <c r="AH31" s="157"/>
      <c r="AI31" s="157"/>
      <c r="AJ31" s="157"/>
      <c r="AK31" s="157"/>
      <c r="AL31" s="157"/>
      <c r="AM31" s="157"/>
      <c r="AN31" s="377"/>
      <c r="AO31" s="377"/>
      <c r="AP31" s="377"/>
      <c r="AQ31" s="37"/>
      <c r="AR31" s="37"/>
      <c r="AS31" s="37"/>
      <c r="AT31" s="157"/>
      <c r="AU31" s="157"/>
      <c r="AV31" s="157"/>
      <c r="AW31" s="157"/>
      <c r="AX31" s="157"/>
      <c r="AY31" s="157"/>
      <c r="AZ31" s="157"/>
      <c r="BA31" s="377"/>
      <c r="BB31" s="377"/>
      <c r="BC31" s="377"/>
      <c r="BD31" s="37"/>
      <c r="BE31" s="37"/>
      <c r="BF31" s="37"/>
      <c r="BG31" s="157"/>
      <c r="BH31" s="157"/>
      <c r="BI31" s="157"/>
      <c r="BJ31" s="157"/>
      <c r="BK31" s="157"/>
      <c r="BL31" s="157"/>
      <c r="BM31" s="157"/>
      <c r="BN31" s="157"/>
      <c r="BO31" s="377"/>
      <c r="BP31" s="377"/>
      <c r="BQ31" s="377"/>
      <c r="BR31" s="37"/>
      <c r="BS31" s="37"/>
      <c r="BT31" s="37"/>
      <c r="BU31" s="19"/>
      <c r="BV31" s="35"/>
      <c r="BW31" s="99"/>
      <c r="BX31" s="35"/>
      <c r="BY31" s="35"/>
      <c r="BZ31" s="35"/>
      <c r="CA31" s="35"/>
      <c r="CB31" s="35"/>
      <c r="CC31" s="35"/>
      <c r="CD31" s="35"/>
      <c r="CE31" s="35"/>
      <c r="CF31" s="35"/>
      <c r="CG31" s="35"/>
      <c r="CH31" s="35"/>
      <c r="CI31" s="8"/>
      <c r="CJ31" s="9"/>
      <c r="CK31" s="9"/>
      <c r="CL31" s="2647"/>
      <c r="CM31" s="2647"/>
      <c r="CN31" s="2647"/>
      <c r="CO31" s="327"/>
      <c r="CP31" s="327"/>
      <c r="CQ31" s="327"/>
      <c r="CR31" s="327"/>
      <c r="CS31" s="9"/>
      <c r="CT31" s="9"/>
      <c r="CU31" s="2647"/>
      <c r="CV31" s="2647"/>
      <c r="CW31" s="2647"/>
      <c r="CX31" s="2647"/>
      <c r="CY31" s="2647"/>
      <c r="CZ31" s="216"/>
      <c r="DA31" s="45"/>
      <c r="DB31" s="127">
        <f t="shared" si="0"/>
        <v>7</v>
      </c>
      <c r="DC31" s="197" t="str">
        <f t="shared" si="1"/>
        <v/>
      </c>
      <c r="DD31" s="11"/>
      <c r="DE31" s="9"/>
      <c r="DF31" s="9"/>
      <c r="DG31" s="9"/>
      <c r="DH31" s="9"/>
      <c r="DI31" s="242"/>
      <c r="DJ31" s="13"/>
      <c r="DK31" s="127">
        <f t="shared" si="3"/>
        <v>4</v>
      </c>
      <c r="DL31" s="127" t="str">
        <f t="shared" si="4"/>
        <v/>
      </c>
      <c r="DM31" s="11" t="str">
        <f>IF(CY26="","",CV26)</f>
        <v>P1総合盤露出</v>
      </c>
      <c r="DN31" s="11"/>
      <c r="DO31" s="11"/>
      <c r="DP31" s="9"/>
      <c r="DQ31" s="9" t="str">
        <f>IF(COUNTIF($DM$15:DM30,DM31)&gt;0,"",DM31)</f>
        <v/>
      </c>
      <c r="DR31" s="101">
        <f>CY26</f>
        <v>7</v>
      </c>
      <c r="DS31" s="32">
        <f t="shared" si="5"/>
        <v>8</v>
      </c>
      <c r="DT31" s="45"/>
      <c r="DU31" s="197">
        <f t="shared" si="6"/>
        <v>3</v>
      </c>
      <c r="DV31" s="197" t="str">
        <f t="shared" si="7"/>
        <v/>
      </c>
      <c r="DW31" s="8"/>
      <c r="DX31" s="8"/>
      <c r="DY31" s="8"/>
      <c r="DZ31" s="8"/>
      <c r="EA31" s="8"/>
      <c r="EB31" s="8"/>
      <c r="EC31" s="8"/>
    </row>
    <row r="32" spans="1:138" ht="11.25" customHeight="1" thickBot="1">
      <c r="A32" s="374">
        <v>3</v>
      </c>
      <c r="B32" s="23"/>
      <c r="C32" s="2715" t="str">
        <f>非誘!J28</f>
        <v>( 4 )</v>
      </c>
      <c r="D32" s="2703"/>
      <c r="E32" s="2704"/>
      <c r="F32" s="2629" t="str">
        <f>非誘!M28</f>
        <v>百貨店等</v>
      </c>
      <c r="G32" s="2629"/>
      <c r="H32" s="2629"/>
      <c r="I32" s="2629"/>
      <c r="J32" s="2629"/>
      <c r="K32" s="2629"/>
      <c r="L32" s="2629"/>
      <c r="M32" s="2629"/>
      <c r="N32" s="2629"/>
      <c r="O32" s="2629"/>
      <c r="P32" s="2630" t="str">
        <f>IF(U32="",RIGHT($D$8,2),U32)</f>
        <v>設置</v>
      </c>
      <c r="Q32" s="2630"/>
      <c r="R32" s="2630"/>
      <c r="S32" s="2631"/>
      <c r="T32" s="31" t="s">
        <v>387</v>
      </c>
      <c r="U32" s="2632"/>
      <c r="V32" s="2632"/>
      <c r="W32" s="2632"/>
      <c r="X32" s="2633"/>
      <c r="Y32" s="2634" t="s">
        <v>20</v>
      </c>
      <c r="Z32" s="2634"/>
      <c r="AA32" s="2634"/>
      <c r="AB32" s="2634"/>
      <c r="AC32" s="2634"/>
      <c r="AD32" s="2635">
        <f>非誘!J29</f>
        <v>0.94339622641509435</v>
      </c>
      <c r="AE32" s="2635"/>
      <c r="AF32" s="2635"/>
      <c r="AG32" s="2635"/>
      <c r="AH32" s="2299" t="s">
        <v>135</v>
      </c>
      <c r="AI32" s="2299"/>
      <c r="AJ32" s="2299"/>
      <c r="AK32" s="2299"/>
      <c r="AL32" s="2299"/>
      <c r="AM32" s="2299" t="s">
        <v>366</v>
      </c>
      <c r="AN32" s="2299"/>
      <c r="AO32" s="2299"/>
      <c r="AP32" s="2299"/>
      <c r="AQ32" s="2569" t="str">
        <f>IF(AX32="","天井ケーブル",AX32)</f>
        <v>天井ケーブル</v>
      </c>
      <c r="AR32" s="2569"/>
      <c r="AS32" s="2569"/>
      <c r="AT32" s="2569"/>
      <c r="AU32" s="2569"/>
      <c r="AV32" s="2569"/>
      <c r="AW32" s="175" t="s">
        <v>387</v>
      </c>
      <c r="AX32" s="2338"/>
      <c r="AY32" s="2338"/>
      <c r="AZ32" s="2338"/>
      <c r="BA32" s="2338"/>
      <c r="BB32" s="2338"/>
      <c r="BC32" s="2338"/>
      <c r="BD32" s="2299" t="s">
        <v>363</v>
      </c>
      <c r="BE32" s="2299"/>
      <c r="BF32" s="2299"/>
      <c r="BG32" s="2299"/>
      <c r="BH32" s="2569" t="str">
        <f>IF(BO32="","天井(C 管)",BO32)</f>
        <v>天井(C 管)</v>
      </c>
      <c r="BI32" s="2569"/>
      <c r="BJ32" s="2569"/>
      <c r="BK32" s="2569"/>
      <c r="BL32" s="2569"/>
      <c r="BM32" s="2569"/>
      <c r="BN32" s="175" t="s">
        <v>387</v>
      </c>
      <c r="BO32" s="2338"/>
      <c r="BP32" s="2338"/>
      <c r="BQ32" s="2338"/>
      <c r="BR32" s="2338"/>
      <c r="BS32" s="2338"/>
      <c r="BT32" s="2622"/>
      <c r="BU32" s="19"/>
      <c r="BV32" s="35"/>
      <c r="BW32" s="99"/>
      <c r="BX32" s="35"/>
      <c r="BY32" s="35"/>
      <c r="BZ32" s="35"/>
      <c r="CA32" s="35"/>
      <c r="CB32" s="35"/>
      <c r="CC32" s="35"/>
      <c r="CD32" s="35"/>
      <c r="CE32" s="35"/>
      <c r="CF32" s="35"/>
      <c r="CG32" s="35"/>
      <c r="CH32" s="35"/>
      <c r="CI32" s="8">
        <v>23</v>
      </c>
      <c r="CJ32" s="97" t="str">
        <f>IF(LEFT(C33,2)=" B",-MID(C33,3,1),IF(C33="  RF","",LEFT(C33,3)))</f>
        <v xml:space="preserve">  1</v>
      </c>
      <c r="CK32" s="10" t="str">
        <f>IF(OR(C33="",C33="  RF"),"",IF(LEFT(C33,1)="P","+",IF($CJ$14&gt;CJ32,"－",IF($CJ$14=CJ32,"=","+"))))</f>
        <v>=</v>
      </c>
      <c r="CL32" s="2601" t="s">
        <v>376</v>
      </c>
      <c r="CM32" s="2601"/>
      <c r="CN32" s="2601"/>
      <c r="CO32" s="2601" t="s">
        <v>375</v>
      </c>
      <c r="CP32" s="2601"/>
      <c r="CQ32" s="2601"/>
      <c r="CR32" s="2589" t="str">
        <f>AG33</f>
        <v>防火区画処理</v>
      </c>
      <c r="CS32" s="2590"/>
      <c r="CT32" s="2591"/>
      <c r="CU32" s="184">
        <f>AN33</f>
        <v>32</v>
      </c>
      <c r="CV32" s="2589" t="str">
        <f>AG37</f>
        <v>光電式煙2種埋</v>
      </c>
      <c r="CW32" s="2590"/>
      <c r="CX32" s="2591"/>
      <c r="CY32" s="184">
        <f>AN37</f>
        <v>23</v>
      </c>
      <c r="CZ32" s="216"/>
      <c r="DA32" s="161">
        <v>3</v>
      </c>
      <c r="DB32" s="373">
        <f t="shared" si="0"/>
        <v>7</v>
      </c>
      <c r="DC32" s="155" t="str">
        <f t="shared" si="1"/>
        <v/>
      </c>
      <c r="DD32" s="45"/>
      <c r="DE32" s="45"/>
      <c r="DF32" s="45"/>
      <c r="DG32" s="45"/>
      <c r="DH32" s="45"/>
      <c r="DI32" s="45"/>
      <c r="DJ32" s="45"/>
      <c r="DK32" s="45">
        <f t="shared" si="3"/>
        <v>4</v>
      </c>
      <c r="DL32" s="45" t="str">
        <f t="shared" si="4"/>
        <v/>
      </c>
      <c r="DM32" s="154" t="str">
        <f>IF(CY27="","",CV27)</f>
        <v/>
      </c>
      <c r="DN32" s="154"/>
      <c r="DO32" s="154"/>
      <c r="DP32" s="45"/>
      <c r="DQ32" s="45" t="str">
        <f>IF(COUNTIF($DM$15:DM31,DM32)&gt;0,"",DM32)</f>
        <v/>
      </c>
      <c r="DR32" s="209" t="str">
        <f>CY27</f>
        <v/>
      </c>
      <c r="DS32" s="230">
        <f t="shared" si="5"/>
        <v>8</v>
      </c>
      <c r="DT32" s="161">
        <v>3</v>
      </c>
      <c r="DU32" s="204">
        <f t="shared" si="6"/>
        <v>3</v>
      </c>
      <c r="DV32" s="155" t="str">
        <f t="shared" si="7"/>
        <v/>
      </c>
      <c r="DW32" s="45"/>
      <c r="DX32" s="45"/>
      <c r="DY32" s="45"/>
      <c r="DZ32" s="45"/>
      <c r="EA32" s="45"/>
      <c r="EB32" s="45"/>
      <c r="EC32" s="45"/>
    </row>
    <row r="33" spans="1:133" ht="11.25" customHeight="1" thickBot="1">
      <c r="A33" s="15">
        <v>32</v>
      </c>
      <c r="B33" s="23"/>
      <c r="C33" s="2602" t="str">
        <f>IF($BW$3=0,"",非誘!C30)</f>
        <v xml:space="preserve">  1F</v>
      </c>
      <c r="D33" s="2603"/>
      <c r="E33" s="2604"/>
      <c r="F33" s="2605">
        <f>IF($BW$3=0,"",非誘!F30)</f>
        <v>5</v>
      </c>
      <c r="G33" s="2606"/>
      <c r="H33" s="2606"/>
      <c r="I33" s="2607"/>
      <c r="J33" s="2605">
        <f>IF($BW$3=0,"",非誘!J30)</f>
        <v>3</v>
      </c>
      <c r="K33" s="2606"/>
      <c r="L33" s="2606"/>
      <c r="M33" s="2607"/>
      <c r="N33" s="2608">
        <f>IF($BW$3=0,"",非誘!N30)</f>
        <v>3816</v>
      </c>
      <c r="O33" s="2609"/>
      <c r="P33" s="2609"/>
      <c r="Q33" s="2609"/>
      <c r="R33" s="2610"/>
      <c r="S33" s="2608">
        <f>IF($BW$3=0,"",非誘!S30)</f>
        <v>2671.2</v>
      </c>
      <c r="T33" s="2609"/>
      <c r="U33" s="2609"/>
      <c r="V33" s="2610"/>
      <c r="W33" s="2608">
        <f>IF($BW$3=0,"",非誘!W30)</f>
        <v>1144.8000000000002</v>
      </c>
      <c r="X33" s="2609"/>
      <c r="Y33" s="2609"/>
      <c r="Z33" s="2610"/>
      <c r="AA33" s="2611">
        <f>IF($BW$3=0,"",非誘!AA30)</f>
        <v>9</v>
      </c>
      <c r="AB33" s="2603"/>
      <c r="AC33" s="2604"/>
      <c r="AD33" s="2612">
        <f>IF($BW$3=0,"",非誘!AD30)</f>
        <v>29</v>
      </c>
      <c r="AE33" s="2613"/>
      <c r="AF33" s="2614"/>
      <c r="AG33" s="2615" t="str">
        <f>IF($B$2=0,"","防火区画処理")</f>
        <v>防火区画処理</v>
      </c>
      <c r="AH33" s="2615"/>
      <c r="AI33" s="2615"/>
      <c r="AJ33" s="2615"/>
      <c r="AK33" s="2615"/>
      <c r="AL33" s="2615"/>
      <c r="AM33" s="2615"/>
      <c r="AN33" s="2616">
        <f>IF(OR($B$2=0,C33="",P32="不要"),"",AZ33+BG33+BR33*2)</f>
        <v>32</v>
      </c>
      <c r="AO33" s="2616"/>
      <c r="AP33" s="2616"/>
      <c r="AQ33" s="2617" t="s">
        <v>374</v>
      </c>
      <c r="AR33" s="2617"/>
      <c r="AS33" s="2617"/>
      <c r="AT33" s="2617"/>
      <c r="AU33" s="2617"/>
      <c r="AV33" s="2618" t="s">
        <v>373</v>
      </c>
      <c r="AW33" s="2618"/>
      <c r="AX33" s="2618"/>
      <c r="AY33" s="2618"/>
      <c r="AZ33" s="2619">
        <f>IF(OR($B$2=0,C33="",P32="不要"),"",IF(LEFT(C33,1)="P",1+INT(W33/450),INT(S33/450)+1+INT(W33/450)))</f>
        <v>8</v>
      </c>
      <c r="BA33" s="2619"/>
      <c r="BB33" s="2619"/>
      <c r="BC33" s="2618" t="s">
        <v>372</v>
      </c>
      <c r="BD33" s="2618"/>
      <c r="BE33" s="2618"/>
      <c r="BF33" s="2618"/>
      <c r="BG33" s="2619">
        <f>IF(OR($B$2=0,C33="",P32="不要"),"",1+INT(N33/500))</f>
        <v>8</v>
      </c>
      <c r="BH33" s="2619"/>
      <c r="BI33" s="2619"/>
      <c r="BJ33" s="2617" t="s">
        <v>371</v>
      </c>
      <c r="BK33" s="2617"/>
      <c r="BL33" s="2617"/>
      <c r="BM33" s="2617"/>
      <c r="BN33" s="2617"/>
      <c r="BO33" s="2617"/>
      <c r="BP33" s="2617"/>
      <c r="BQ33" s="2617"/>
      <c r="BR33" s="2620">
        <f>IF(OR($B$2=0,C33="",P32="不要"),"",1+INT(0.055*N33^0.6))</f>
        <v>8</v>
      </c>
      <c r="BS33" s="2620"/>
      <c r="BT33" s="2621"/>
      <c r="BU33" s="19"/>
      <c r="BV33" s="35"/>
      <c r="BW33" s="99"/>
      <c r="BX33" s="35"/>
      <c r="BY33" s="35"/>
      <c r="BZ33" s="35"/>
      <c r="CA33" s="35"/>
      <c r="CB33" s="35"/>
      <c r="CC33" s="35"/>
      <c r="CD33" s="35"/>
      <c r="CE33" s="35"/>
      <c r="CF33" s="35"/>
      <c r="CG33" s="35"/>
      <c r="CH33" s="35"/>
      <c r="CI33" s="8">
        <v>2</v>
      </c>
      <c r="CJ33" s="88" t="s">
        <v>386</v>
      </c>
      <c r="CK33" s="88" t="s">
        <v>385</v>
      </c>
      <c r="CL33" s="372">
        <f>IF(C34="","",IF(AX38="①",CJ34+CK34+3,IF(AX38="②",CJ34*5/8+CK34+3,IF(AX38="③",CJ34/2+CK34+3,IF(AX38="④",CJ34+CK34*5/8+3,IF(AX38="⑤",(CJ34+CK34)*5/8+3,IF(AX38="⑥",CJ34/2+CK34*5/8+3,IF(AX38="⑦",CJ34+CK34/2+3,IF(AX38="⑧",CJ34*5/8+CK34/2+3,IF(AX38="⑨",(CJ34+CK34)/2+3))))))))))</f>
        <v>48.9</v>
      </c>
      <c r="CM33" s="371" t="s">
        <v>384</v>
      </c>
      <c r="CN33" s="371" t="s">
        <v>383</v>
      </c>
      <c r="CO33" s="370"/>
      <c r="CP33" s="371" t="s">
        <v>384</v>
      </c>
      <c r="CQ33" s="370" t="s">
        <v>383</v>
      </c>
      <c r="CR33" s="2589" t="str">
        <f>AG34</f>
        <v>差動SP2種埋</v>
      </c>
      <c r="CS33" s="2590"/>
      <c r="CT33" s="2591"/>
      <c r="CU33" s="184" t="str">
        <f>AN34</f>
        <v/>
      </c>
      <c r="CV33" s="2589" t="str">
        <f>AT36</f>
        <v>HP起動押ボタン</v>
      </c>
      <c r="CW33" s="2590"/>
      <c r="CX33" s="2591"/>
      <c r="CY33" s="184" t="str">
        <f>BA36</f>
        <v/>
      </c>
      <c r="CZ33" s="216"/>
      <c r="DA33" s="8"/>
      <c r="DB33" s="197">
        <f t="shared" si="0"/>
        <v>7</v>
      </c>
      <c r="DC33" s="197" t="str">
        <f t="shared" si="1"/>
        <v/>
      </c>
      <c r="DD33" s="201" t="str">
        <f>G34</f>
        <v>AE 0.9mm-4C</v>
      </c>
      <c r="DE33" s="8"/>
      <c r="DF33" s="8"/>
      <c r="DG33" s="8"/>
      <c r="DH33" s="8" t="str">
        <f>IF(COUNTIF($DD$15:DD32,DD33)&gt;0,"",DD33)</f>
        <v/>
      </c>
      <c r="DI33" s="252">
        <f>O34</f>
        <v>1100</v>
      </c>
      <c r="DJ33" s="32">
        <f t="shared" ref="DJ33:DJ38" si="9">SUMIF($DD$17:$DD$185,DH33,$DI$17:$DI$185)</f>
        <v>0</v>
      </c>
      <c r="DK33" s="197">
        <f t="shared" si="3"/>
        <v>4</v>
      </c>
      <c r="DL33" s="197" t="str">
        <f t="shared" si="4"/>
        <v/>
      </c>
      <c r="DM33" s="10" t="str">
        <f>IF(CU33="","",CR33)</f>
        <v/>
      </c>
      <c r="DN33" s="10" t="str">
        <f>CR33</f>
        <v>差動SP2種埋</v>
      </c>
      <c r="DO33" s="10"/>
      <c r="DP33" s="8"/>
      <c r="DQ33" s="8" t="str">
        <f>IF(COUNTIF($DM$15:DM32,DM33)&gt;0,"",DM33)</f>
        <v/>
      </c>
      <c r="DR33" s="200" t="str">
        <f>CU33</f>
        <v/>
      </c>
      <c r="DS33" s="32">
        <f t="shared" si="5"/>
        <v>8</v>
      </c>
      <c r="DT33" s="8"/>
      <c r="DU33" s="197">
        <f t="shared" si="6"/>
        <v>3</v>
      </c>
      <c r="DV33" s="197" t="str">
        <f t="shared" si="7"/>
        <v/>
      </c>
      <c r="DW33" s="201"/>
      <c r="DX33" s="8"/>
      <c r="DY33" s="8"/>
      <c r="DZ33" s="8"/>
      <c r="EA33" s="8"/>
      <c r="EB33" s="252"/>
      <c r="EC33" s="32"/>
    </row>
    <row r="34" spans="1:133" ht="11.25" customHeight="1">
      <c r="A34" s="15"/>
      <c r="B34" s="23"/>
      <c r="C34" s="2623" t="s">
        <v>366</v>
      </c>
      <c r="D34" s="2624"/>
      <c r="E34" s="2624"/>
      <c r="F34" s="2624"/>
      <c r="G34" s="2625" t="str">
        <f>IF(C33="","","AE 0.9mm-4C")</f>
        <v>AE 0.9mm-4C</v>
      </c>
      <c r="H34" s="2625"/>
      <c r="I34" s="2625"/>
      <c r="J34" s="2625"/>
      <c r="K34" s="2625"/>
      <c r="L34" s="2625"/>
      <c r="M34" s="2625"/>
      <c r="N34" s="2625"/>
      <c r="O34" s="2593">
        <f>IF($B$2=0,"",IF(OR(C33="",P32="不要"),"",ROUND((CM34+CN34),0)))</f>
        <v>1100</v>
      </c>
      <c r="P34" s="2593"/>
      <c r="Q34" s="2593"/>
      <c r="R34" s="2593"/>
      <c r="S34" s="2593"/>
      <c r="T34" s="2593" t="str">
        <f>IF(OR($B$2=0,C33="",P32="不要"),"",IF(AQ32="天井ケーブル","C-19mm",IF(MID(AQ32,4,2)="PF","PF-16mm",IF(MID(AQ32,4,2)="CD","CD-16mm",IF(MID(AQ32,4,2)="C ","C-19mm",IF(MID(AQ32,4,2)="G ","G-16mm",""))))))</f>
        <v>C-19mm</v>
      </c>
      <c r="U34" s="2593"/>
      <c r="V34" s="2593"/>
      <c r="W34" s="2593"/>
      <c r="X34" s="2593"/>
      <c r="Y34" s="2593"/>
      <c r="Z34" s="2593"/>
      <c r="AA34" s="2593"/>
      <c r="AB34" s="2593">
        <f>IF(OR($B$2=0,C33="",P32="不要"),"",IF(CQ34="",ROUND(CP34,0),ROUND((CP34+CQ34),0)))</f>
        <v>2</v>
      </c>
      <c r="AC34" s="2593"/>
      <c r="AD34" s="2593"/>
      <c r="AE34" s="2593"/>
      <c r="AF34" s="2593"/>
      <c r="AG34" s="2595" t="str">
        <f>IF($B$2=0,"","差動SP2種埋")</f>
        <v>差動SP2種埋</v>
      </c>
      <c r="AH34" s="2595"/>
      <c r="AI34" s="2595"/>
      <c r="AJ34" s="2595"/>
      <c r="AK34" s="2595"/>
      <c r="AL34" s="2595"/>
      <c r="AM34" s="2595"/>
      <c r="AN34" s="2593" t="str">
        <f>IF(OR(C33="",P32="不要"),"",IF(AQ34&lt;&gt;"",AQ34,IF(AX38="B","",IF(AZ37="無窓","",IF(AND(BL37="耐 火",AZ37="有窓"),BZ34+CA34,CD34+CE34)))))</f>
        <v/>
      </c>
      <c r="AO34" s="2593"/>
      <c r="AP34" s="2593"/>
      <c r="AQ34" s="2594"/>
      <c r="AR34" s="2594"/>
      <c r="AS34" s="2594"/>
      <c r="AT34" s="2595" t="str">
        <f>IF($B$2=0,"","P1総合盤露出")</f>
        <v>P1総合盤露出</v>
      </c>
      <c r="AU34" s="2595"/>
      <c r="AV34" s="2595"/>
      <c r="AW34" s="2595"/>
      <c r="AX34" s="2595"/>
      <c r="AY34" s="2595"/>
      <c r="AZ34" s="2595"/>
      <c r="BA34" s="2593">
        <f>IF(P32="不要","",IF(BD34&lt;&gt;"",BD34,IF([4]Top!$BD$51="要","",AZ33)))</f>
        <v>8</v>
      </c>
      <c r="BB34" s="2593"/>
      <c r="BC34" s="2593"/>
      <c r="BD34" s="2594"/>
      <c r="BE34" s="2594"/>
      <c r="BF34" s="2594"/>
      <c r="BG34" s="2597" t="str">
        <f>IF($B$2=0,"","ﾗｯﾁ電磁レリーズ")</f>
        <v>ﾗｯﾁ電磁レリーズ</v>
      </c>
      <c r="BH34" s="2597"/>
      <c r="BI34" s="2597"/>
      <c r="BJ34" s="2597"/>
      <c r="BK34" s="2597"/>
      <c r="BL34" s="2597"/>
      <c r="BM34" s="2597"/>
      <c r="BN34" s="2597"/>
      <c r="BO34" s="2593">
        <f>IF(P32="不要","",IF(BR34&lt;&gt;"",BR34,BR33))</f>
        <v>8</v>
      </c>
      <c r="BP34" s="2593"/>
      <c r="BQ34" s="2593"/>
      <c r="BR34" s="2594"/>
      <c r="BS34" s="2594"/>
      <c r="BT34" s="2596"/>
      <c r="BU34" s="19"/>
      <c r="BV34" s="35"/>
      <c r="BW34" s="351" t="s">
        <v>365</v>
      </c>
      <c r="BX34" s="368"/>
      <c r="BY34" s="369"/>
      <c r="BZ34" s="344">
        <f>IF(AA33="",0,IF(OR([6]Top!$BD$72&lt;&gt;"要",C33=""),"",IF(J33&gt;=4,1+INT(AA33*2.4),1+INT(AA33*1.2))))</f>
        <v>11</v>
      </c>
      <c r="CA34" s="360">
        <f>IF(OR([6]Top!$BD$72&lt;&gt;"要",C33=""),"",IF(J33&gt;=4,1+INT(AD33*2.4),1+INT(AD33*1.2)))</f>
        <v>35</v>
      </c>
      <c r="CB34" s="368"/>
      <c r="CC34" s="369"/>
      <c r="CD34" s="343">
        <f>IF($AX$8&lt;=500,BZ34*2,1+INT(BZ34*2.5))</f>
        <v>28</v>
      </c>
      <c r="CE34" s="360">
        <f>IF($AX$8&lt;=500,CA34*2,1+INT(CA34*2.5))</f>
        <v>88</v>
      </c>
      <c r="CF34" s="368"/>
      <c r="CG34" s="367"/>
      <c r="CH34" s="35"/>
      <c r="CI34" s="133">
        <f>IF(AZ33&lt;&gt;"",AZ33,0)</f>
        <v>8</v>
      </c>
      <c r="CJ34" s="98">
        <f>非誘!BW30</f>
        <v>30</v>
      </c>
      <c r="CK34" s="98">
        <f>非誘!BX30</f>
        <v>31.8</v>
      </c>
      <c r="CL34" s="88" t="s">
        <v>364</v>
      </c>
      <c r="CM34" s="185">
        <f>IF(OR(C33="",C33="  RF"),"",IF(J33="直天",$AN$10/1000+F33-1.2+SQRT(CK35/CM35),$AN$10/1000+J33-1.2+SQRT(CK35/CM35)))</f>
        <v>14.741674742519585</v>
      </c>
      <c r="CN34" s="185">
        <f>IF(OR(C33="",P32="不要"),"",CL33+CK36*AZ33)</f>
        <v>1085.7</v>
      </c>
      <c r="CO34" s="88" t="s">
        <v>364</v>
      </c>
      <c r="CP34" s="185">
        <f>IF(OR(C33="",C33="  RF"),"",IF(J33="直天",F33-1.2+SQRT(CK35/CM35),IF(AQ32="天井ケーブル",J33-1.2,J33-1.2+SQRT(CK35/CM35))))</f>
        <v>1.8</v>
      </c>
      <c r="CQ34" s="356" t="str">
        <f>IF(OR(C33="",C33="  RF"),"",IF(AQ32="天井ケーブル","",(CM35-1)*SQRT(CK35/CM35)))</f>
        <v/>
      </c>
      <c r="CR34" s="2589" t="str">
        <f>AG35</f>
        <v>定温SP1種WP</v>
      </c>
      <c r="CS34" s="2590"/>
      <c r="CT34" s="2591"/>
      <c r="CU34" s="184">
        <f>AN35</f>
        <v>6</v>
      </c>
      <c r="CV34" s="2589" t="str">
        <f>AT34</f>
        <v>P1総合盤露出</v>
      </c>
      <c r="CW34" s="2590"/>
      <c r="CX34" s="2591"/>
      <c r="CY34" s="184">
        <f>BA34</f>
        <v>8</v>
      </c>
      <c r="CZ34" s="216"/>
      <c r="DA34" s="8"/>
      <c r="DB34" s="197">
        <f t="shared" si="0"/>
        <v>7</v>
      </c>
      <c r="DC34" s="197" t="str">
        <f t="shared" si="1"/>
        <v/>
      </c>
      <c r="DD34" s="201" t="str">
        <f>G35</f>
        <v>HP 1.2mm-3C</v>
      </c>
      <c r="DE34" s="8"/>
      <c r="DF34" s="8"/>
      <c r="DG34" s="8"/>
      <c r="DH34" s="8" t="str">
        <f>IF(COUNTIF($DD$15:DD33,DD34)&gt;0,"",DD34)</f>
        <v/>
      </c>
      <c r="DI34" s="252">
        <f>O35</f>
        <v>21</v>
      </c>
      <c r="DJ34" s="32">
        <f t="shared" si="9"/>
        <v>0</v>
      </c>
      <c r="DK34" s="197">
        <f t="shared" si="3"/>
        <v>4</v>
      </c>
      <c r="DL34" s="197" t="str">
        <f t="shared" si="4"/>
        <v/>
      </c>
      <c r="DM34" s="10" t="str">
        <f>IF(CU34="","",CR34)</f>
        <v>定温SP1種WP</v>
      </c>
      <c r="DN34" s="10" t="str">
        <f>CR34</f>
        <v>定温SP1種WP</v>
      </c>
      <c r="DO34" s="10"/>
      <c r="DP34" s="8"/>
      <c r="DQ34" s="8" t="str">
        <f>IF(COUNTIF($DM$15:DM33,DM34)&gt;0,"",DM34)</f>
        <v/>
      </c>
      <c r="DR34" s="200">
        <f>CU34</f>
        <v>6</v>
      </c>
      <c r="DS34" s="32">
        <f t="shared" si="5"/>
        <v>8</v>
      </c>
      <c r="DT34" s="8"/>
      <c r="DU34" s="197">
        <f t="shared" si="6"/>
        <v>3</v>
      </c>
      <c r="DV34" s="197" t="str">
        <f t="shared" si="7"/>
        <v/>
      </c>
      <c r="DW34" s="201" t="str">
        <f>T34</f>
        <v>C-19mm</v>
      </c>
      <c r="DX34" s="8"/>
      <c r="DY34" s="8"/>
      <c r="DZ34" s="8"/>
      <c r="EA34" s="8" t="str">
        <f>IF(COUNTIF($DW$15:DW33,DW34)&gt;0,"",DW34)</f>
        <v/>
      </c>
      <c r="EB34" s="197">
        <f>AB34</f>
        <v>2</v>
      </c>
      <c r="EC34" s="32">
        <f ca="1">SUMIF($DW$17:$DW$185,EA34,$EB$17:$EB$184)</f>
        <v>0</v>
      </c>
    </row>
    <row r="35" spans="1:133" ht="11.25" customHeight="1" thickBot="1">
      <c r="A35" s="15"/>
      <c r="B35" s="176"/>
      <c r="C35" s="2568" t="s">
        <v>363</v>
      </c>
      <c r="D35" s="2569"/>
      <c r="E35" s="2569"/>
      <c r="F35" s="2569"/>
      <c r="G35" s="2592" t="str">
        <f>IF(C33="","","HP 1.2mm-3C")</f>
        <v>HP 1.2mm-3C</v>
      </c>
      <c r="H35" s="2592"/>
      <c r="I35" s="2592"/>
      <c r="J35" s="2592"/>
      <c r="K35" s="2592"/>
      <c r="L35" s="2592"/>
      <c r="M35" s="2592"/>
      <c r="N35" s="2592"/>
      <c r="O35" s="2557">
        <f>IF($B$2=0,"",IF(OR(C33="",P32="不要"),"",ROUND(CN36,0)))</f>
        <v>21</v>
      </c>
      <c r="P35" s="2557"/>
      <c r="Q35" s="2557"/>
      <c r="R35" s="2557"/>
      <c r="S35" s="2557"/>
      <c r="T35" s="2557" t="str">
        <f>IF(OR($B$2=0,C33="",P32="不要"),"",IF(BH32="天井ケーブル","C-19mm",IF(MID(BH32,4,2)="PF","PF-16mm",IF(MID(BH32,4,2)="CD","CD-16mm",IF(MID(BH32,4,2)="C ","C-19mm",IF(MID(BH32,4,2)="G ","G-16mm",""))))))</f>
        <v>C-19mm</v>
      </c>
      <c r="U35" s="2557"/>
      <c r="V35" s="2557"/>
      <c r="W35" s="2557"/>
      <c r="X35" s="2557"/>
      <c r="Y35" s="2557"/>
      <c r="Z35" s="2557"/>
      <c r="AA35" s="2557"/>
      <c r="AB35" s="2557">
        <f>IF($B$2=0,"",IF(OR(C33="",P32="不要",CQ37=""),"",CQ36+CQ37))</f>
        <v>23.4</v>
      </c>
      <c r="AC35" s="2557"/>
      <c r="AD35" s="2557"/>
      <c r="AE35" s="2557"/>
      <c r="AF35" s="2557"/>
      <c r="AG35" s="2572" t="str">
        <f>IF($B$2=0,"","定温SP1種WP")</f>
        <v>定温SP1種WP</v>
      </c>
      <c r="AH35" s="2572"/>
      <c r="AI35" s="2572"/>
      <c r="AJ35" s="2572"/>
      <c r="AK35" s="2572"/>
      <c r="AL35" s="2572"/>
      <c r="AM35" s="2572"/>
      <c r="AN35" s="2312">
        <f>IF(OR($B$2=0,P32="不要"),"",IF(AQ35&lt;&gt;"",AQ35,CA35))</f>
        <v>6</v>
      </c>
      <c r="AO35" s="2312"/>
      <c r="AP35" s="2312"/>
      <c r="AQ35" s="2575"/>
      <c r="AR35" s="2575"/>
      <c r="AS35" s="2575"/>
      <c r="AT35" s="2572" t="str">
        <f>IF($B$2=0,"","P1総合盤埋込")</f>
        <v>P1総合盤埋込</v>
      </c>
      <c r="AU35" s="2572"/>
      <c r="AV35" s="2572"/>
      <c r="AW35" s="2572"/>
      <c r="AX35" s="2572"/>
      <c r="AY35" s="2572"/>
      <c r="AZ35" s="2572"/>
      <c r="BA35" s="2312" t="str">
        <f>IF(P32="不要","",IF(BD35&lt;&gt;"",BD35,IF([4]Top!$BD$51&lt;&gt;"要","",AZ33)))</f>
        <v/>
      </c>
      <c r="BB35" s="2312"/>
      <c r="BC35" s="2312"/>
      <c r="BD35" s="2575"/>
      <c r="BE35" s="2575"/>
      <c r="BF35" s="2575"/>
      <c r="BG35" s="2572" t="str">
        <f>IF($B$2=0,"","ｱｰﾑ電磁レリーズ")</f>
        <v>ｱｰﾑ電磁レリーズ</v>
      </c>
      <c r="BH35" s="2572"/>
      <c r="BI35" s="2572"/>
      <c r="BJ35" s="2572"/>
      <c r="BK35" s="2572"/>
      <c r="BL35" s="2572"/>
      <c r="BM35" s="2572"/>
      <c r="BN35" s="2572"/>
      <c r="BO35" s="2312">
        <f>IF(P32="不要","",IF(BR35&lt;&gt;"",BR35,BR33))</f>
        <v>8</v>
      </c>
      <c r="BP35" s="2312"/>
      <c r="BQ35" s="2312"/>
      <c r="BR35" s="2575"/>
      <c r="BS35" s="2575"/>
      <c r="BT35" s="2576"/>
      <c r="BU35" s="19"/>
      <c r="BV35" s="35"/>
      <c r="BW35" s="351" t="s">
        <v>362</v>
      </c>
      <c r="BX35" s="348"/>
      <c r="BY35" s="349">
        <f>CA35</f>
        <v>6</v>
      </c>
      <c r="BZ35" s="366"/>
      <c r="CA35" s="360">
        <f>IF(C33="","",1+INT(W33/200))</f>
        <v>6</v>
      </c>
      <c r="CB35" s="348"/>
      <c r="CC35" s="359">
        <f>CA35</f>
        <v>6</v>
      </c>
      <c r="CD35" s="365"/>
      <c r="CE35" s="349">
        <f>CA35</f>
        <v>6</v>
      </c>
      <c r="CF35" s="348"/>
      <c r="CG35" s="357">
        <f>CA35</f>
        <v>6</v>
      </c>
      <c r="CH35" s="35"/>
      <c r="CI35" s="133">
        <f>IF(BG33&lt;&gt;"",BG33,0)</f>
        <v>8</v>
      </c>
      <c r="CJ35" s="88" t="s">
        <v>361</v>
      </c>
      <c r="CK35" s="107">
        <f>N33</f>
        <v>3816</v>
      </c>
      <c r="CL35" s="88" t="s">
        <v>360</v>
      </c>
      <c r="CM35" s="185">
        <f>SUM(AN34:AP38)</f>
        <v>35</v>
      </c>
      <c r="CN35" s="364"/>
      <c r="CO35" s="168"/>
      <c r="CP35" s="363"/>
      <c r="CQ35" s="150"/>
      <c r="CR35" s="2598" t="str">
        <f>AG36</f>
        <v>補償SP2種</v>
      </c>
      <c r="CS35" s="2599"/>
      <c r="CT35" s="2600"/>
      <c r="CU35" s="362">
        <f>AN36</f>
        <v>6</v>
      </c>
      <c r="CV35" s="2598" t="str">
        <f>AT35</f>
        <v>P1総合盤埋込</v>
      </c>
      <c r="CW35" s="2599"/>
      <c r="CX35" s="2600"/>
      <c r="CY35" s="362" t="str">
        <f>BA35</f>
        <v/>
      </c>
      <c r="CZ35" s="216"/>
      <c r="DA35" s="8"/>
      <c r="DB35" s="197">
        <f t="shared" si="0"/>
        <v>7</v>
      </c>
      <c r="DC35" s="197" t="str">
        <f t="shared" si="1"/>
        <v/>
      </c>
      <c r="DD35" s="201" t="str">
        <f>G36</f>
        <v>HP 1.2mm-5C</v>
      </c>
      <c r="DE35" s="8"/>
      <c r="DF35" s="8"/>
      <c r="DG35" s="8"/>
      <c r="DH35" s="8" t="str">
        <f>IF(COUNTIF($DD$15:DD34,DD35)&gt;0,"",DD35)</f>
        <v/>
      </c>
      <c r="DI35" s="252">
        <f>O36</f>
        <v>49</v>
      </c>
      <c r="DJ35" s="32">
        <f t="shared" si="9"/>
        <v>0</v>
      </c>
      <c r="DK35" s="197">
        <f t="shared" si="3"/>
        <v>4</v>
      </c>
      <c r="DL35" s="197" t="str">
        <f t="shared" si="4"/>
        <v/>
      </c>
      <c r="DM35" s="10" t="str">
        <f>IF(CU35="","",CR35)</f>
        <v>補償SP2種</v>
      </c>
      <c r="DN35" s="10" t="str">
        <f>CR35</f>
        <v>補償SP2種</v>
      </c>
      <c r="DO35" s="10"/>
      <c r="DP35" s="8"/>
      <c r="DQ35" s="8" t="str">
        <f>IF(COUNTIF($DM$15:DM34,DM35)&gt;0,"",DM35)</f>
        <v/>
      </c>
      <c r="DR35" s="200">
        <f>CU35</f>
        <v>6</v>
      </c>
      <c r="DS35" s="32">
        <f t="shared" si="5"/>
        <v>8</v>
      </c>
      <c r="DT35" s="8"/>
      <c r="DU35" s="197">
        <f t="shared" si="6"/>
        <v>3</v>
      </c>
      <c r="DV35" s="197" t="str">
        <f t="shared" si="7"/>
        <v/>
      </c>
      <c r="DW35" s="201" t="str">
        <f>T35</f>
        <v>C-19mm</v>
      </c>
      <c r="DX35" s="8"/>
      <c r="DY35" s="8"/>
      <c r="DZ35" s="8"/>
      <c r="EA35" s="8" t="str">
        <f>IF(COUNTIF($DW$15:DW34,DW35)&gt;0,"",DW35)</f>
        <v/>
      </c>
      <c r="EB35" s="197">
        <f>AB35</f>
        <v>23.4</v>
      </c>
      <c r="EC35" s="32">
        <f ca="1">SUMIF($DW$17:$DW$185,EA35,$EB$17:$EB$184)</f>
        <v>0</v>
      </c>
    </row>
    <row r="36" spans="1:133" ht="11.25" customHeight="1" thickBot="1">
      <c r="A36" s="15"/>
      <c r="B36" s="23"/>
      <c r="C36" s="2568"/>
      <c r="D36" s="2569"/>
      <c r="E36" s="2569"/>
      <c r="F36" s="2569"/>
      <c r="G36" s="2584" t="str">
        <f>IF(C33="","","HP 1.2mm-5C")</f>
        <v>HP 1.2mm-5C</v>
      </c>
      <c r="H36" s="2584"/>
      <c r="I36" s="2584"/>
      <c r="J36" s="2584"/>
      <c r="K36" s="2584"/>
      <c r="L36" s="2584"/>
      <c r="M36" s="2584"/>
      <c r="N36" s="2584"/>
      <c r="O36" s="2585">
        <f>IF($B$2=0,"",IF(OR(C33="",P32="不要"),"",ROUND(CM36,0)))</f>
        <v>49</v>
      </c>
      <c r="P36" s="2585"/>
      <c r="Q36" s="2585"/>
      <c r="R36" s="2585"/>
      <c r="S36" s="2585"/>
      <c r="T36" s="2585" t="str">
        <f>IF(OR($B$2=0,C33="",P32="不要"),"",IF(BH32="天井ケーブル","C-25mm",IF(MID(BH32,4,2)="PF","PF-22mm",IF(MID(BH32,4,2)="CD","CD-22mm",IF(MID(BH32,4,2)="C ","C-25mm",IF(MID(BH32,4,2)="G ","G-22mm",""))))))</f>
        <v>C-25mm</v>
      </c>
      <c r="U36" s="2585"/>
      <c r="V36" s="2585"/>
      <c r="W36" s="2585"/>
      <c r="X36" s="2585"/>
      <c r="Y36" s="2585"/>
      <c r="Z36" s="2585"/>
      <c r="AA36" s="2585"/>
      <c r="AB36" s="2585">
        <f>IF(OR($B$2=0,C33="",P32="不要"),"",CP36)</f>
        <v>1.8</v>
      </c>
      <c r="AC36" s="2585"/>
      <c r="AD36" s="2585"/>
      <c r="AE36" s="2585"/>
      <c r="AF36" s="2585"/>
      <c r="AG36" s="2572" t="str">
        <f>IF($B$2=0,"","補償SP2種")</f>
        <v>補償SP2種</v>
      </c>
      <c r="AH36" s="2572"/>
      <c r="AI36" s="2572"/>
      <c r="AJ36" s="2572"/>
      <c r="AK36" s="2572"/>
      <c r="AL36" s="2572"/>
      <c r="AM36" s="2572"/>
      <c r="AN36" s="2312">
        <f>IF(OR($B$2=0,P32="不要"),"",IF(AQ36&lt;&gt;"",AQ36,CA36))</f>
        <v>6</v>
      </c>
      <c r="AO36" s="2312"/>
      <c r="AP36" s="2312"/>
      <c r="AQ36" s="2575"/>
      <c r="AR36" s="2575"/>
      <c r="AS36" s="2575"/>
      <c r="AT36" s="2546" t="str">
        <f>IF($B$2=0,"","HP起動押ボタン")</f>
        <v>HP起動押ボタン</v>
      </c>
      <c r="AU36" s="2546"/>
      <c r="AV36" s="2546"/>
      <c r="AW36" s="2546"/>
      <c r="AX36" s="2546"/>
      <c r="AY36" s="2546"/>
      <c r="AZ36" s="2546"/>
      <c r="BA36" s="2544" t="str">
        <f>IF(P32="不要","",IF(BD36&lt;&gt;"",BD36,IF([4]Top!$BL$51="要",AZ33,"")))</f>
        <v/>
      </c>
      <c r="BB36" s="2544"/>
      <c r="BC36" s="2544"/>
      <c r="BD36" s="2573"/>
      <c r="BE36" s="2573"/>
      <c r="BF36" s="2573"/>
      <c r="BG36" s="2546" t="str">
        <f>IF($B$2=0,"","光電式煙3種埋")</f>
        <v>光電式煙3種埋</v>
      </c>
      <c r="BH36" s="2546"/>
      <c r="BI36" s="2546"/>
      <c r="BJ36" s="2546"/>
      <c r="BK36" s="2546"/>
      <c r="BL36" s="2546"/>
      <c r="BM36" s="2546"/>
      <c r="BN36" s="2546"/>
      <c r="BO36" s="2544">
        <f>IF(OR($B$2=0,C33="",P32="不要"),"",IF(BR36&lt;&gt;"",BR36,2*BR33))</f>
        <v>16</v>
      </c>
      <c r="BP36" s="2544"/>
      <c r="BQ36" s="2544"/>
      <c r="BR36" s="2573"/>
      <c r="BS36" s="2573"/>
      <c r="BT36" s="2574"/>
      <c r="BU36" s="19"/>
      <c r="BV36" s="35"/>
      <c r="BW36" s="351" t="s">
        <v>359</v>
      </c>
      <c r="BX36" s="361"/>
      <c r="BY36" s="349">
        <f>CA36</f>
        <v>6</v>
      </c>
      <c r="BZ36" s="348"/>
      <c r="CA36" s="360">
        <f>IF(C33="","",1+INT(W33/200))</f>
        <v>6</v>
      </c>
      <c r="CB36" s="358"/>
      <c r="CC36" s="359">
        <f>CA36</f>
        <v>6</v>
      </c>
      <c r="CD36" s="346"/>
      <c r="CE36" s="349">
        <f>CA36</f>
        <v>6</v>
      </c>
      <c r="CF36" s="358"/>
      <c r="CG36" s="357">
        <f>CA36</f>
        <v>6</v>
      </c>
      <c r="CH36" s="35"/>
      <c r="CI36" s="133">
        <f>IF(BR33&lt;&gt;"",BR33,0)</f>
        <v>8</v>
      </c>
      <c r="CJ36" s="88" t="s">
        <v>121</v>
      </c>
      <c r="CK36" s="187">
        <f>IF(OR(C33="",C33="  RF"),"",IF($AX$8=0,0,2*($AX$8/1000-0.15-0.1)*(INT(1000*CJ34/$BF$8)+1)*(INT(1000*CK34/$BF$8)+1)*4))</f>
        <v>129.6</v>
      </c>
      <c r="CL36" s="187" t="s">
        <v>358</v>
      </c>
      <c r="CM36" s="139">
        <f>IF(OR(C33="",C33="  RF"),"",IF(J33="直天",$AN$8/1000+F33-1.2+CJ34+CK34/2,$AN$8/1000+J33-1.2+CJ34+CK34/2))</f>
        <v>49.199999999999996</v>
      </c>
      <c r="CN36" s="136">
        <f>IF(OR(C33="",C33="  RF"),"",IF(J33="直天",F33-$Y$8/1000+F33-$Y$9/1000+2*8+($AN$7+2*$AN$9)/1000,J33-$Y$8/1000+J33-$Y$9/1000+2*8+($AN$7+2*$AN$9)/1000))</f>
        <v>20.599999999999998</v>
      </c>
      <c r="CO36" s="151" t="s">
        <v>358</v>
      </c>
      <c r="CP36" s="185">
        <f>IF(OR(C33="",C33="  RF"),"",IF(J33="直天",F33-1.2+CJ34+CK34/2,IF(AQ32="天井ケーブル",J33-1.2,J33-1.2+CJ34+CK34/2)))</f>
        <v>1.8</v>
      </c>
      <c r="CQ36" s="356">
        <f>IF(OR(C33="",C33="  RF"),"",IF(J33="直天",F33-$Y$8/1000+F33-$Y$9/1000+2*8,IF(BH32="天井ケーブル",J33-$Y$8/1000+J33-$Y$9/1000,J33-$Y$8/1000+J33-$Y$9/1000+2*8)))</f>
        <v>18.399999999999999</v>
      </c>
      <c r="CR36" s="355" t="s">
        <v>87</v>
      </c>
      <c r="CS36" s="336" t="s">
        <v>395</v>
      </c>
      <c r="CT36" s="336" t="s">
        <v>394</v>
      </c>
      <c r="CU36" s="192" t="s">
        <v>393</v>
      </c>
      <c r="CV36" s="336" t="s">
        <v>392</v>
      </c>
      <c r="CW36" s="336" t="s">
        <v>391</v>
      </c>
      <c r="CX36" s="336" t="s">
        <v>390</v>
      </c>
      <c r="CY36" s="354" t="s">
        <v>389</v>
      </c>
      <c r="CZ36" s="216"/>
      <c r="DA36" s="8"/>
      <c r="DB36" s="197">
        <f t="shared" si="0"/>
        <v>7</v>
      </c>
      <c r="DC36" s="197" t="str">
        <f t="shared" si="1"/>
        <v/>
      </c>
      <c r="DD36" s="201" t="str">
        <f>G37</f>
        <v>FCPEV 0.9- 10Pr</v>
      </c>
      <c r="DE36" s="8"/>
      <c r="DF36" s="8"/>
      <c r="DG36" s="8"/>
      <c r="DH36" s="8" t="str">
        <f>IF(COUNTIF($DD$15:DD35,DD36)&gt;0,"",DD36)</f>
        <v/>
      </c>
      <c r="DI36" s="252">
        <f>O37</f>
        <v>123</v>
      </c>
      <c r="DJ36" s="32">
        <f t="shared" si="9"/>
        <v>0</v>
      </c>
      <c r="DK36" s="197">
        <f t="shared" si="3"/>
        <v>4</v>
      </c>
      <c r="DL36" s="197" t="str">
        <f t="shared" si="4"/>
        <v/>
      </c>
      <c r="DM36" s="11" t="str">
        <f>IF(CY32="","",CV32)</f>
        <v>光電式煙2種埋</v>
      </c>
      <c r="DN36" s="11"/>
      <c r="DO36" s="11"/>
      <c r="DP36" s="9"/>
      <c r="DQ36" s="9" t="str">
        <f>IF(COUNTIF($DM$15:DM35,DM36)&gt;0,"",DM36)</f>
        <v/>
      </c>
      <c r="DR36" s="200">
        <f>CY32</f>
        <v>23</v>
      </c>
      <c r="DS36" s="32">
        <f t="shared" si="5"/>
        <v>8</v>
      </c>
      <c r="DT36" s="8"/>
      <c r="DU36" s="197">
        <f t="shared" si="6"/>
        <v>3</v>
      </c>
      <c r="DV36" s="197" t="str">
        <f t="shared" si="7"/>
        <v/>
      </c>
      <c r="DW36" s="201" t="str">
        <f>T36</f>
        <v>C-25mm</v>
      </c>
      <c r="DX36" s="8"/>
      <c r="DY36" s="8"/>
      <c r="DZ36" s="8"/>
      <c r="EA36" s="8" t="str">
        <f>IF(COUNTIF($DW$15:DW35,DW36)&gt;0,"",DW36)</f>
        <v/>
      </c>
      <c r="EB36" s="197">
        <f>AB36</f>
        <v>1.8</v>
      </c>
      <c r="EC36" s="32">
        <f ca="1">SUMIF($DW$17:$DW$185,EA36,$EB$17:$EB$184)</f>
        <v>0</v>
      </c>
    </row>
    <row r="37" spans="1:133" ht="11.25" customHeight="1" thickBot="1">
      <c r="A37" s="15"/>
      <c r="B37" s="23"/>
      <c r="C37" s="2568" t="s">
        <v>352</v>
      </c>
      <c r="D37" s="2569"/>
      <c r="E37" s="2569"/>
      <c r="F37" s="2569"/>
      <c r="G37" s="2557" t="str">
        <f>IF(OR($B$2=0,C33="",P32="不要"),"",IF(CR37&lt;10,"FCPEV 0.9-5Pr",IF(CR37&lt;20,"FCPEV 0.9- 10Pr",IF(CR37&lt;30,"FCPEV 0.9- 15Pr",IF(CR37&lt;40,"FCPEV 0.9- 20Pr","")))))</f>
        <v>FCPEV 0.9- 10Pr</v>
      </c>
      <c r="H37" s="2557"/>
      <c r="I37" s="2557"/>
      <c r="J37" s="2557"/>
      <c r="K37" s="2557"/>
      <c r="L37" s="2557"/>
      <c r="M37" s="2557"/>
      <c r="N37" s="2557"/>
      <c r="O37" s="2557">
        <f>IF(OR(C33="",P32="不要",G37=""),"",INT(AZ33*(CJ34+CK34)/4))</f>
        <v>123</v>
      </c>
      <c r="P37" s="2557"/>
      <c r="Q37" s="2557"/>
      <c r="R37" s="2557"/>
      <c r="S37" s="2557"/>
      <c r="T37" s="2558" t="str">
        <f>IF(OR(C33="",P32="不要",G37=""),"",IF(AQ32="天井ケーブル","C-"&amp;CM38&amp;"mm",IF(MID(AQ32,4,2)="PF","PF-"&amp;CL38&amp;"mm",IF(MID(AQ32,4,2)="CD","CD-"&amp;CL38&amp;"mm",IF(MID(AQ32,4,2)="C ","C-"&amp;CM38&amp;"mm",IF(MID(AQ32,4,2)="G ","G-"&amp;CL38&amp;"mm"))))))</f>
        <v>C-31mm</v>
      </c>
      <c r="U37" s="2557"/>
      <c r="V37" s="2557"/>
      <c r="W37" s="2557"/>
      <c r="X37" s="2557"/>
      <c r="Y37" s="2557"/>
      <c r="Z37" s="2557"/>
      <c r="AA37" s="2557"/>
      <c r="AB37" s="2557">
        <f>IF(OR(C33="",P32="不要",G37=""),"",IF(AQ32="天井ケーブル",2*AZ33*(F33-$Y$7/1000),O37*0.9))</f>
        <v>59.2</v>
      </c>
      <c r="AC37" s="2557"/>
      <c r="AD37" s="2557"/>
      <c r="AE37" s="2557"/>
      <c r="AF37" s="2557"/>
      <c r="AG37" s="2572" t="str">
        <f>IF($B$2=0,"","光電式煙2種埋")</f>
        <v>光電式煙2種埋</v>
      </c>
      <c r="AH37" s="2572"/>
      <c r="AI37" s="2572"/>
      <c r="AJ37" s="2572"/>
      <c r="AK37" s="2572"/>
      <c r="AL37" s="2572"/>
      <c r="AM37" s="2572"/>
      <c r="AN37" s="2312">
        <f>IF(OR(C33="",$B$2=0,P32="不要"),"",IF(AQ37&lt;&gt;"",AQ37,IF(AX38="B",BX37+BY37,IF(AND(BL37="耐 火",AZ37="無窓"),CB37+CC37,IF(AND(BL37&lt;&gt;"耐 火",AZ37="無窓"),CF37+CG37,"")))))</f>
        <v>23</v>
      </c>
      <c r="AO37" s="2312"/>
      <c r="AP37" s="2312"/>
      <c r="AQ37" s="2339"/>
      <c r="AR37" s="2339"/>
      <c r="AS37" s="2551"/>
      <c r="AT37" s="2577" t="str">
        <f>IF(C33="","","消防法上")</f>
        <v>消防法上</v>
      </c>
      <c r="AU37" s="2289"/>
      <c r="AV37" s="2289"/>
      <c r="AW37" s="2289"/>
      <c r="AX37" s="2289"/>
      <c r="AY37" s="2578"/>
      <c r="AZ37" s="2579" t="str">
        <f>IF($B$2=0,"",IF(BD37="",[4]Top!$BO$26,BD37))</f>
        <v>無窓</v>
      </c>
      <c r="BA37" s="2394"/>
      <c r="BB37" s="2580"/>
      <c r="BC37" s="353" t="s">
        <v>387</v>
      </c>
      <c r="BD37" s="2552"/>
      <c r="BE37" s="2552"/>
      <c r="BF37" s="2553"/>
      <c r="BG37" s="2581" t="str">
        <f>IF(C33="","","耐火構造")</f>
        <v>耐火構造</v>
      </c>
      <c r="BH37" s="2289"/>
      <c r="BI37" s="2289"/>
      <c r="BJ37" s="2289"/>
      <c r="BK37" s="2290"/>
      <c r="BL37" s="2278" t="str">
        <f>IF($B$2=0,"",IF(BQ37="",[4]Top!$AN$18,BQ37))</f>
        <v>耐 火</v>
      </c>
      <c r="BM37" s="2394"/>
      <c r="BN37" s="2394"/>
      <c r="BO37" s="2580"/>
      <c r="BP37" s="352" t="s">
        <v>387</v>
      </c>
      <c r="BQ37" s="2582"/>
      <c r="BR37" s="2552"/>
      <c r="BS37" s="2552"/>
      <c r="BT37" s="2583"/>
      <c r="BU37" s="19"/>
      <c r="BV37" s="35"/>
      <c r="BW37" s="351" t="s">
        <v>351</v>
      </c>
      <c r="BX37" s="350">
        <f>CB37</f>
        <v>6</v>
      </c>
      <c r="BY37" s="349">
        <f>CC37</f>
        <v>17</v>
      </c>
      <c r="BZ37" s="348"/>
      <c r="CA37" s="345"/>
      <c r="CB37" s="344">
        <f>IF(OR([6]Top!$BD$72&lt;&gt;"要",C33=""),"",IF(J33&gt;=4,1+INT(BZ34*0.47),1+INT(BZ34*0.47)))</f>
        <v>6</v>
      </c>
      <c r="CC37" s="347">
        <f>IF(OR([6]Top!$BD$72&lt;&gt;"要",C33=""),"",IF(J33&gt;=4,1+INT(CA34*0.47),1+INT(CA34*0.47)))</f>
        <v>17</v>
      </c>
      <c r="CD37" s="346"/>
      <c r="CE37" s="345"/>
      <c r="CF37" s="344">
        <f>IF(AND(AX24&lt;720,J33&lt;4),1+INT(CD34*0.47),1+INT(CD34*0.94))</f>
        <v>14</v>
      </c>
      <c r="CG37" s="343">
        <f>IF(AND(AX24&lt;720,J33&lt;4),1+INT(CE34*0.47),1+INT(CE34*0.94))</f>
        <v>42</v>
      </c>
      <c r="CH37" s="35"/>
      <c r="CI37" s="133">
        <f>IF(AND(C33&lt;&gt;"",LEFT(C33,2)&lt;&gt;" P"),CI29+F33,"")</f>
        <v>15</v>
      </c>
      <c r="CJ37" s="88" t="s">
        <v>350</v>
      </c>
      <c r="CK37" s="182" t="s">
        <v>349</v>
      </c>
      <c r="CL37" s="342">
        <f>IF(OR(C33="",C33="  RF"),"",IF(AZ41&lt;&gt;"",AZ33,AZ33+BG33))</f>
        <v>8</v>
      </c>
      <c r="CM37" s="341" t="s">
        <v>348</v>
      </c>
      <c r="CN37" s="219" t="s">
        <v>347</v>
      </c>
      <c r="CO37" s="138">
        <f>IF(OR(C33="",P32="不要"),"",AZ33*INT(CJ34+CK34)/5)</f>
        <v>97.6</v>
      </c>
      <c r="CP37" s="151" t="s">
        <v>347</v>
      </c>
      <c r="CQ37" s="340">
        <f>IF(AQ32="天井ケーブル",F33,CO37)</f>
        <v>5</v>
      </c>
      <c r="CR37" s="339">
        <f>SUM(CS37:CX37)</f>
        <v>14</v>
      </c>
      <c r="CS37" s="338">
        <f>AZ33</f>
        <v>8</v>
      </c>
      <c r="CT37" s="338">
        <f>IF(BA33="",0,BA33)</f>
        <v>0</v>
      </c>
      <c r="CU37" s="88">
        <v>1</v>
      </c>
      <c r="CV37" s="222">
        <v>1</v>
      </c>
      <c r="CW37" s="222">
        <v>2</v>
      </c>
      <c r="CX37" s="222">
        <v>2</v>
      </c>
      <c r="CY37" s="337">
        <f>IF(CK32="=",3*BR33+2,"")</f>
        <v>26</v>
      </c>
      <c r="CZ37" s="218"/>
      <c r="DA37" s="8"/>
      <c r="DB37" s="197">
        <f t="shared" si="0"/>
        <v>7</v>
      </c>
      <c r="DC37" s="197" t="str">
        <f t="shared" si="1"/>
        <v/>
      </c>
      <c r="DD37" s="201" t="str">
        <f>G38</f>
        <v/>
      </c>
      <c r="DE37" s="8"/>
      <c r="DF37" s="8"/>
      <c r="DG37" s="8"/>
      <c r="DH37" s="8" t="str">
        <f>IF(COUNTIF($DD$15:DD36,DD37)&gt;0,"",DD37)</f>
        <v/>
      </c>
      <c r="DI37" s="252" t="str">
        <f>O38</f>
        <v/>
      </c>
      <c r="DJ37" s="32">
        <f t="shared" si="9"/>
        <v>0</v>
      </c>
      <c r="DK37" s="197">
        <f t="shared" si="3"/>
        <v>4</v>
      </c>
      <c r="DL37" s="197" t="str">
        <f t="shared" si="4"/>
        <v/>
      </c>
      <c r="DM37" s="11" t="str">
        <f>IF(AN38="","",AG38)</f>
        <v/>
      </c>
      <c r="DN37" s="11"/>
      <c r="DO37" s="11"/>
      <c r="DP37" s="9"/>
      <c r="DQ37" s="9" t="str">
        <f>IF(COUNTIF($DM$15:DM36,DM37)&gt;0,"",DM37)</f>
        <v/>
      </c>
      <c r="DR37" s="101" t="str">
        <f>AN38</f>
        <v/>
      </c>
      <c r="DS37" s="32">
        <f t="shared" si="5"/>
        <v>8</v>
      </c>
      <c r="DT37" s="8"/>
      <c r="DU37" s="197">
        <f t="shared" si="6"/>
        <v>3</v>
      </c>
      <c r="DV37" s="197" t="str">
        <f t="shared" si="7"/>
        <v/>
      </c>
      <c r="DW37" s="201" t="str">
        <f>T37</f>
        <v>C-31mm</v>
      </c>
      <c r="DX37" s="8"/>
      <c r="DY37" s="8"/>
      <c r="DZ37" s="8"/>
      <c r="EA37" s="8" t="str">
        <f>IF(COUNTIF($DW$15:DW36,DW37)&gt;0,"",DW37)</f>
        <v/>
      </c>
      <c r="EB37" s="197">
        <f>AB37</f>
        <v>59.2</v>
      </c>
      <c r="EC37" s="32">
        <f ca="1">SUMIF($DW$17:$DW$185,EA37,$EB$17:$EB$184)</f>
        <v>0</v>
      </c>
    </row>
    <row r="38" spans="1:133" ht="11.25" customHeight="1" thickBot="1">
      <c r="A38" s="15"/>
      <c r="B38" s="23"/>
      <c r="C38" s="2570"/>
      <c r="D38" s="2571"/>
      <c r="E38" s="2571"/>
      <c r="F38" s="2571"/>
      <c r="G38" s="2554" t="str">
        <f>IF(OR($B$2=0,P32="不要"),"",IF(CR38=0,"",IF(OR(C33="",P32="不要"),"",IF(CR38&lt;10,"FCPEV 1.2-5Pr",IF(CR38&lt;20,"FCPEV 1.2- 10Pr",IF(CR38&lt;30,"FCPEV 1.2- 15Pr",IF(CR38&lt;40,"FCPEV 1.2- 20Pr",IF(CR38&lt;60,"FCPEV 1.2- 30Pr",IF(CR38&lt;100,"FCPEV 1.2- 50Pr",IF(CR38&lt;140,"FCPEV 1.2- 70Pr",IF(CR38&lt;200,"FCPEV 1.2-100Pr","FCPEV 1.2-200Pr")))))))))))</f>
        <v/>
      </c>
      <c r="H38" s="2555"/>
      <c r="I38" s="2555"/>
      <c r="J38" s="2555"/>
      <c r="K38" s="2555"/>
      <c r="L38" s="2555"/>
      <c r="M38" s="2555"/>
      <c r="N38" s="2555"/>
      <c r="O38" s="2555" t="str">
        <f>IF(OR(G38="",C33="",P32="不要"),"",CO37)</f>
        <v/>
      </c>
      <c r="P38" s="2555"/>
      <c r="Q38" s="2555"/>
      <c r="R38" s="2555"/>
      <c r="S38" s="2555"/>
      <c r="T38" s="2555" t="str">
        <f>IF(OR(G38="",C33="",P32="不要"),"",IF(AQ32="天井ケーブル","C-"&amp;CO38&amp;"mm",IF(MID(AQ32,4,2)="PF","PF-"&amp;CN38&amp;"mm",IF(MID(AQ32,4,2)="CD","CD-"&amp;CN38&amp;"mm",IF(MID(AQ32,4,2)="C ","C-"&amp;CO38&amp;"mm",IF(MID(AQ32,4,2)="G ","G-"&amp;CN38&amp;"mm"))))))</f>
        <v/>
      </c>
      <c r="U38" s="2555"/>
      <c r="V38" s="2555"/>
      <c r="W38" s="2555"/>
      <c r="X38" s="2555"/>
      <c r="Y38" s="2555"/>
      <c r="Z38" s="2555"/>
      <c r="AA38" s="2555"/>
      <c r="AB38" s="2555" t="str">
        <f>IF(OR(G38="",P32="不要"),"",CQ37)</f>
        <v/>
      </c>
      <c r="AC38" s="2555"/>
      <c r="AD38" s="2555"/>
      <c r="AE38" s="2555"/>
      <c r="AF38" s="2555"/>
      <c r="AG38" s="2556" t="str">
        <f>IF($B$2=0,"","定温SP1種Exp")</f>
        <v>定温SP1種Exp</v>
      </c>
      <c r="AH38" s="2556"/>
      <c r="AI38" s="2556"/>
      <c r="AJ38" s="2556"/>
      <c r="AK38" s="2556"/>
      <c r="AL38" s="2556"/>
      <c r="AM38" s="2556"/>
      <c r="AN38" s="2335" t="str">
        <f>IF(AQ38&lt;&gt;"",AQ38,"")</f>
        <v/>
      </c>
      <c r="AO38" s="2335"/>
      <c r="AP38" s="2335"/>
      <c r="AQ38" s="2566"/>
      <c r="AR38" s="2566"/>
      <c r="AS38" s="2567"/>
      <c r="AT38" s="2586" t="str">
        <f>IF(C33="","","盤位置")</f>
        <v>盤位置</v>
      </c>
      <c r="AU38" s="2587"/>
      <c r="AV38" s="2587"/>
      <c r="AW38" s="2587"/>
      <c r="AX38" s="2588" t="str">
        <f>非誘!V29</f>
        <v>⑦</v>
      </c>
      <c r="AY38" s="2588"/>
      <c r="AZ38" s="2588"/>
      <c r="BA38" s="2559" t="str">
        <f>IF(C33="","","専部屋面積")</f>
        <v>専部屋面積</v>
      </c>
      <c r="BB38" s="2560"/>
      <c r="BC38" s="2560"/>
      <c r="BD38" s="2560"/>
      <c r="BE38" s="2560"/>
      <c r="BF38" s="2561"/>
      <c r="BG38" s="2562">
        <f>IF(OR(C33="",S33=""),"",S33/AA33)</f>
        <v>296.79999999999995</v>
      </c>
      <c r="BH38" s="2563"/>
      <c r="BI38" s="2563"/>
      <c r="BJ38" s="2564"/>
      <c r="BK38" s="2559" t="str">
        <f>IF(C33="","","共部屋面積")</f>
        <v>共部屋面積</v>
      </c>
      <c r="BL38" s="2560"/>
      <c r="BM38" s="2560"/>
      <c r="BN38" s="2560"/>
      <c r="BO38" s="2560"/>
      <c r="BP38" s="2561"/>
      <c r="BQ38" s="2562">
        <f>IF(OR($B$2=0,C33=""),"",W33/AD33)</f>
        <v>39.475862068965526</v>
      </c>
      <c r="BR38" s="2563"/>
      <c r="BS38" s="2563"/>
      <c r="BT38" s="2565"/>
      <c r="BU38" s="19"/>
      <c r="BV38" s="35"/>
      <c r="BW38" s="99"/>
      <c r="BX38" s="35"/>
      <c r="BY38" s="35"/>
      <c r="BZ38" s="35"/>
      <c r="CA38" s="35"/>
      <c r="CB38" s="35"/>
      <c r="CC38" s="35"/>
      <c r="CD38" s="35"/>
      <c r="CE38" s="35"/>
      <c r="CF38" s="35"/>
      <c r="CG38" s="35"/>
      <c r="CH38" s="35"/>
      <c r="CI38" s="8"/>
      <c r="CJ38" s="8"/>
      <c r="CK38" s="8"/>
      <c r="CL38" s="336" t="str">
        <f>IF(OR(RIGHT(G37,3)="5Pr",RIGHT(G37,4)="10Pr",RIGHT(G37,4)="15Pr"),"28",IF(OR(RIGHT(G37,4)="20Pr",RIGHT(G37,4)="30Pr"),"36",IF(OR(RIGHT(G37,4)="50Pr",RIGHT(G37,4)="70Pr"),"42","")))</f>
        <v>28</v>
      </c>
      <c r="CM38" s="336" t="str">
        <f>IF(OR(RIGHT(G37,3)="5Pr",RIGHT(G37,4)="10Pr",RIGHT(G37,4)="15Pr"),"31",IF(OR(RIGHT(G37,4)="20Pr",RIGHT(G37,4)="30Pr"),"39",IF(OR(RIGHT(G37,4)="50Pr",RIGHT(G37,4)="70Pr"),"51","")))</f>
        <v>31</v>
      </c>
      <c r="CN38" s="86" t="str">
        <f>IF(OR(RIGHT(G38,3)="5Pr",RIGHT(G38,4)="10Pr",RIGHT(G38,4)="15Pr"),"28",IF(OR(RIGHT(G38,4)="20Pr",RIGHT(G38,4)="30Pr"),"36",IF(OR(RIGHT(G38,4)="50Pr",RIGHT(G38,4)="70Pr"),"42","")))</f>
        <v/>
      </c>
      <c r="CO38" s="86" t="str">
        <f>IF(OR(RIGHT(G38,3)="5Pr",RIGHT(G38,4)="10Pr",RIGHT(G38,4)="15Pr"),"31",IF(OR(RIGHT(G38,4)="20Pr",RIGHT(G38,4)="30Pr"),"39",IF(OR(RIGHT(G38,4)="50Pr",RIGHT(G38,4)="70Pr"),"51","")))</f>
        <v/>
      </c>
      <c r="CP38" s="9"/>
      <c r="CQ38" s="9"/>
      <c r="CR38" s="335">
        <f>IF(P32="不要","",SUM(CS38:CX38))</f>
        <v>0</v>
      </c>
      <c r="CS38" s="334">
        <f>IF(OR(CK32="",CK32="=",P32="不要"),0,IF(CK32="－",CL37+CS30,IF(CK32="+",CL37+CS46)))</f>
        <v>0</v>
      </c>
      <c r="CT38" s="188">
        <f>IF(OR(CK32="",CK32="=",P32="不要"),0,IF(CS38&lt;7,1,IF(CS38&lt;14,2,IF(CS38&lt;21,3,IF(CS38&lt;28,4,IF(CS38&lt;35,5,IF(CS38&lt;42,6,IF(CS38&lt;49,7,IF(CS38&lt;56,8,IF(CS38&lt;63,9,IF(CS38&lt;70,10,IF(CS38&lt;77,11,"---"))))))))))))</f>
        <v>0</v>
      </c>
      <c r="CU38" s="188">
        <f>IF(CS38=0,0,1)</f>
        <v>0</v>
      </c>
      <c r="CV38" s="333">
        <f>IF(CS38=0,0,1)</f>
        <v>0</v>
      </c>
      <c r="CW38" s="333">
        <f>IF(CS38=0,0,2)</f>
        <v>0</v>
      </c>
      <c r="CX38" s="333">
        <f>IF(CS38=0,0,2)</f>
        <v>0</v>
      </c>
      <c r="CY38" s="332">
        <f>IF(OR(BR41="",P32="不要"),0,IF(CK32="=",0,IF(CK32="－",2*BR33+3,IF(CK32="+",2*(BR33+BR41)+3,""))))</f>
        <v>0</v>
      </c>
      <c r="CZ38" s="216"/>
      <c r="DA38" s="9"/>
      <c r="DB38" s="127">
        <f t="shared" si="0"/>
        <v>7</v>
      </c>
      <c r="DC38" s="127" t="str">
        <f t="shared" si="1"/>
        <v/>
      </c>
      <c r="DD38" s="11" t="str">
        <f>CR32</f>
        <v>防火区画処理</v>
      </c>
      <c r="DE38" s="9"/>
      <c r="DF38" s="9"/>
      <c r="DG38" s="9"/>
      <c r="DH38" s="9" t="str">
        <f>IF(COUNTIF($DD$15:DD37,DD38)&gt;0,"",DD38)</f>
        <v/>
      </c>
      <c r="DI38" s="242">
        <f>CU32</f>
        <v>32</v>
      </c>
      <c r="DJ38" s="32">
        <f t="shared" si="9"/>
        <v>0</v>
      </c>
      <c r="DK38" s="127">
        <f t="shared" si="3"/>
        <v>4</v>
      </c>
      <c r="DL38" s="127" t="str">
        <f t="shared" si="4"/>
        <v/>
      </c>
      <c r="DM38" s="11" t="str">
        <f>IF(CY33="","",CV33)</f>
        <v/>
      </c>
      <c r="DN38" s="11"/>
      <c r="DO38" s="11"/>
      <c r="DP38" s="9"/>
      <c r="DQ38" s="9" t="str">
        <f>IF(COUNTIF($DM$15:DM37,DM38)&gt;0,"",DM38)</f>
        <v/>
      </c>
      <c r="DR38" s="101" t="str">
        <f>CY33</f>
        <v/>
      </c>
      <c r="DS38" s="32">
        <f t="shared" si="5"/>
        <v>8</v>
      </c>
      <c r="DT38" s="9"/>
      <c r="DU38" s="197">
        <f t="shared" si="6"/>
        <v>3</v>
      </c>
      <c r="DV38" s="197" t="str">
        <f t="shared" si="7"/>
        <v/>
      </c>
      <c r="DW38" s="201" t="str">
        <f>T38</f>
        <v/>
      </c>
      <c r="DX38" s="8"/>
      <c r="DY38" s="8"/>
      <c r="DZ38" s="8"/>
      <c r="EA38" s="8" t="str">
        <f>IF(COUNTIF($DW$15:DW37,DW38)&gt;0,"",DW38)</f>
        <v/>
      </c>
      <c r="EB38" s="197" t="str">
        <f>AB38</f>
        <v/>
      </c>
      <c r="EC38" s="32">
        <f ca="1">SUMIF($DW$17:$DW$185,EA38,$EB$17:$EB$184)</f>
        <v>0</v>
      </c>
    </row>
    <row r="39" spans="1:133" ht="11.25" customHeight="1">
      <c r="A39" s="15"/>
      <c r="B39" s="23"/>
      <c r="C39" s="37"/>
      <c r="D39" s="37"/>
      <c r="E39" s="37"/>
      <c r="F39" s="37"/>
      <c r="G39" s="331"/>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157"/>
      <c r="AH39" s="157"/>
      <c r="AI39" s="157"/>
      <c r="AJ39" s="157"/>
      <c r="AK39" s="157"/>
      <c r="AL39" s="157"/>
      <c r="AM39" s="157"/>
      <c r="AN39" s="377"/>
      <c r="AO39" s="377"/>
      <c r="AP39" s="377"/>
      <c r="AQ39" s="37"/>
      <c r="AR39" s="37"/>
      <c r="AS39" s="37"/>
      <c r="AT39" s="157"/>
      <c r="AU39" s="157"/>
      <c r="AV39" s="157"/>
      <c r="AW39" s="157"/>
      <c r="AX39" s="157"/>
      <c r="AY39" s="157"/>
      <c r="AZ39" s="157"/>
      <c r="BA39" s="377"/>
      <c r="BB39" s="377"/>
      <c r="BC39" s="377"/>
      <c r="BD39" s="37"/>
      <c r="BE39" s="37"/>
      <c r="BF39" s="37"/>
      <c r="BG39" s="157"/>
      <c r="BH39" s="157"/>
      <c r="BI39" s="157"/>
      <c r="BJ39" s="157"/>
      <c r="BK39" s="157"/>
      <c r="BL39" s="157"/>
      <c r="BM39" s="157"/>
      <c r="BN39" s="157"/>
      <c r="BO39" s="377"/>
      <c r="BP39" s="377"/>
      <c r="BQ39" s="377"/>
      <c r="BR39" s="37"/>
      <c r="BS39" s="37"/>
      <c r="BT39" s="37"/>
      <c r="BU39" s="19"/>
      <c r="BV39" s="35"/>
      <c r="BW39" s="99"/>
      <c r="BX39" s="35"/>
      <c r="BY39" s="35"/>
      <c r="BZ39" s="35"/>
      <c r="CA39" s="35"/>
      <c r="CB39" s="35"/>
      <c r="CC39" s="35"/>
      <c r="CD39" s="35"/>
      <c r="CE39" s="35"/>
      <c r="CF39" s="35"/>
      <c r="CG39" s="35"/>
      <c r="CH39" s="35"/>
      <c r="CI39" s="8"/>
      <c r="CJ39" s="9"/>
      <c r="CK39" s="9"/>
      <c r="CL39" s="9"/>
      <c r="CM39" s="391"/>
      <c r="CN39" s="9"/>
      <c r="CO39" s="9"/>
      <c r="CP39" s="391"/>
      <c r="CQ39" s="9"/>
      <c r="CR39" s="9"/>
      <c r="CS39" s="9"/>
      <c r="CT39" s="9"/>
      <c r="CU39" s="9"/>
      <c r="CV39" s="391"/>
      <c r="CW39" s="164"/>
      <c r="CX39" s="164"/>
      <c r="CY39" s="9"/>
      <c r="CZ39" s="216"/>
      <c r="DA39" s="45"/>
      <c r="DB39" s="127">
        <f t="shared" si="0"/>
        <v>7</v>
      </c>
      <c r="DC39" s="197" t="str">
        <f t="shared" si="1"/>
        <v/>
      </c>
      <c r="DD39" s="11"/>
      <c r="DE39" s="9"/>
      <c r="DF39" s="9"/>
      <c r="DG39" s="9"/>
      <c r="DH39" s="9"/>
      <c r="DI39" s="242"/>
      <c r="DJ39" s="13"/>
      <c r="DK39" s="127">
        <f t="shared" si="3"/>
        <v>4</v>
      </c>
      <c r="DL39" s="127" t="str">
        <f t="shared" si="4"/>
        <v/>
      </c>
      <c r="DM39" s="11" t="str">
        <f>IF(CY34="","",CV34)</f>
        <v>P1総合盤露出</v>
      </c>
      <c r="DN39" s="11"/>
      <c r="DO39" s="11"/>
      <c r="DP39" s="9"/>
      <c r="DQ39" s="9" t="str">
        <f>IF(COUNTIF($DM$15:DM38,DM39)&gt;0,"",DM39)</f>
        <v/>
      </c>
      <c r="DR39" s="101">
        <f>CY34</f>
        <v>8</v>
      </c>
      <c r="DS39" s="32">
        <f t="shared" si="5"/>
        <v>8</v>
      </c>
      <c r="DT39" s="45"/>
      <c r="DU39" s="197">
        <f t="shared" si="6"/>
        <v>3</v>
      </c>
      <c r="DV39" s="197" t="str">
        <f t="shared" si="7"/>
        <v/>
      </c>
      <c r="DW39" s="8"/>
      <c r="DX39" s="8"/>
      <c r="DY39" s="8"/>
      <c r="DZ39" s="8"/>
      <c r="EA39" s="8"/>
      <c r="EB39" s="8"/>
      <c r="EC39" s="8"/>
    </row>
    <row r="40" spans="1:133" ht="11.25" customHeight="1" thickBot="1">
      <c r="A40" s="374">
        <v>4</v>
      </c>
      <c r="B40" s="23"/>
      <c r="C40" s="2626" t="str">
        <f>非誘!J34</f>
        <v>(3) イ</v>
      </c>
      <c r="D40" s="2627"/>
      <c r="E40" s="2628"/>
      <c r="F40" s="2629" t="str">
        <f>非誘!M34</f>
        <v>料理店等</v>
      </c>
      <c r="G40" s="2629"/>
      <c r="H40" s="2629"/>
      <c r="I40" s="2629"/>
      <c r="J40" s="2629"/>
      <c r="K40" s="2629"/>
      <c r="L40" s="2629"/>
      <c r="M40" s="2629"/>
      <c r="N40" s="2629"/>
      <c r="O40" s="2629"/>
      <c r="P40" s="2630" t="str">
        <f>IF(U40="",RIGHT($D$8,2),U40)</f>
        <v>設置</v>
      </c>
      <c r="Q40" s="2630"/>
      <c r="R40" s="2630"/>
      <c r="S40" s="2631"/>
      <c r="T40" s="31" t="s">
        <v>387</v>
      </c>
      <c r="U40" s="2632"/>
      <c r="V40" s="2632"/>
      <c r="W40" s="2632"/>
      <c r="X40" s="2633"/>
      <c r="Y40" s="2634" t="s">
        <v>20</v>
      </c>
      <c r="Z40" s="2634"/>
      <c r="AA40" s="2634"/>
      <c r="AB40" s="2634"/>
      <c r="AC40" s="2634"/>
      <c r="AD40" s="2635">
        <f>非誘!J35</f>
        <v>0.94339622641509435</v>
      </c>
      <c r="AE40" s="2635"/>
      <c r="AF40" s="2635"/>
      <c r="AG40" s="2635"/>
      <c r="AH40" s="2299" t="s">
        <v>135</v>
      </c>
      <c r="AI40" s="2299"/>
      <c r="AJ40" s="2299"/>
      <c r="AK40" s="2299"/>
      <c r="AL40" s="2299"/>
      <c r="AM40" s="2299" t="s">
        <v>366</v>
      </c>
      <c r="AN40" s="2299"/>
      <c r="AO40" s="2299"/>
      <c r="AP40" s="2299"/>
      <c r="AQ40" s="2569" t="str">
        <f>IF(AX40="","天井ケーブル",AX40)</f>
        <v>天井ケーブル</v>
      </c>
      <c r="AR40" s="2569"/>
      <c r="AS40" s="2569"/>
      <c r="AT40" s="2569"/>
      <c r="AU40" s="2569"/>
      <c r="AV40" s="2569"/>
      <c r="AW40" s="175" t="s">
        <v>387</v>
      </c>
      <c r="AX40" s="2338"/>
      <c r="AY40" s="2338"/>
      <c r="AZ40" s="2338"/>
      <c r="BA40" s="2338"/>
      <c r="BB40" s="2338"/>
      <c r="BC40" s="2338"/>
      <c r="BD40" s="2299" t="s">
        <v>363</v>
      </c>
      <c r="BE40" s="2299"/>
      <c r="BF40" s="2299"/>
      <c r="BG40" s="2299"/>
      <c r="BH40" s="2569" t="str">
        <f>IF(BO40="","天井(C 管)",BO40)</f>
        <v>天井(C 管)</v>
      </c>
      <c r="BI40" s="2569"/>
      <c r="BJ40" s="2569"/>
      <c r="BK40" s="2569"/>
      <c r="BL40" s="2569"/>
      <c r="BM40" s="2569"/>
      <c r="BN40" s="175" t="s">
        <v>387</v>
      </c>
      <c r="BO40" s="2338"/>
      <c r="BP40" s="2338"/>
      <c r="BQ40" s="2338"/>
      <c r="BR40" s="2338"/>
      <c r="BS40" s="2338"/>
      <c r="BT40" s="2622"/>
      <c r="BU40" s="19"/>
      <c r="BV40" s="35"/>
      <c r="BW40" s="99"/>
      <c r="BX40" s="35"/>
      <c r="BY40" s="35"/>
      <c r="BZ40" s="35"/>
      <c r="CA40" s="35"/>
      <c r="CB40" s="35"/>
      <c r="CC40" s="35"/>
      <c r="CD40" s="35"/>
      <c r="CE40" s="35"/>
      <c r="CF40" s="35"/>
      <c r="CG40" s="35"/>
      <c r="CH40" s="35"/>
      <c r="CI40" s="8">
        <v>23</v>
      </c>
      <c r="CJ40" s="97" t="str">
        <f>IF(LEFT(C41,2)=" B",-MID(C41,3,1),IF(C41="  RF","",LEFT(C41,3)))</f>
        <v xml:space="preserve">  2</v>
      </c>
      <c r="CK40" s="10" t="str">
        <f>IF(OR(C41="",C41="  RF"),"",IF(LEFT(C41,1)="P","+",IF($CJ$14&gt;CJ40,"－",IF($CJ$14=CJ40,"=","+"))))</f>
        <v>+</v>
      </c>
      <c r="CL40" s="2601" t="s">
        <v>376</v>
      </c>
      <c r="CM40" s="2601"/>
      <c r="CN40" s="2601"/>
      <c r="CO40" s="2601" t="s">
        <v>375</v>
      </c>
      <c r="CP40" s="2601"/>
      <c r="CQ40" s="2601"/>
      <c r="CR40" s="2589" t="str">
        <f>AG41</f>
        <v>防火区画処理</v>
      </c>
      <c r="CS40" s="2590"/>
      <c r="CT40" s="2591"/>
      <c r="CU40" s="184">
        <f>AN41</f>
        <v>33</v>
      </c>
      <c r="CV40" s="2589" t="str">
        <f>AG45</f>
        <v>光電式煙2種埋</v>
      </c>
      <c r="CW40" s="2590"/>
      <c r="CX40" s="2591"/>
      <c r="CY40" s="184">
        <f>AN45</f>
        <v>33</v>
      </c>
      <c r="CZ40" s="216"/>
      <c r="DA40" s="161">
        <v>4</v>
      </c>
      <c r="DB40" s="373">
        <f t="shared" si="0"/>
        <v>7</v>
      </c>
      <c r="DC40" s="155" t="str">
        <f t="shared" si="1"/>
        <v/>
      </c>
      <c r="DD40" s="45"/>
      <c r="DE40" s="45"/>
      <c r="DF40" s="45"/>
      <c r="DG40" s="45"/>
      <c r="DH40" s="45"/>
      <c r="DI40" s="45"/>
      <c r="DJ40" s="45"/>
      <c r="DK40" s="45">
        <f t="shared" si="3"/>
        <v>4</v>
      </c>
      <c r="DL40" s="45" t="str">
        <f t="shared" si="4"/>
        <v/>
      </c>
      <c r="DM40" s="154" t="str">
        <f>IF(CY35="","",CV35)</f>
        <v/>
      </c>
      <c r="DN40" s="154"/>
      <c r="DO40" s="154"/>
      <c r="DP40" s="45"/>
      <c r="DQ40" s="45" t="str">
        <f>IF(COUNTIF($DM$15:DM39,DM40)&gt;0,"",DM40)</f>
        <v/>
      </c>
      <c r="DR40" s="209" t="str">
        <f>CY35</f>
        <v/>
      </c>
      <c r="DS40" s="230">
        <f t="shared" si="5"/>
        <v>8</v>
      </c>
      <c r="DT40" s="161">
        <v>4</v>
      </c>
      <c r="DU40" s="204">
        <f t="shared" si="6"/>
        <v>3</v>
      </c>
      <c r="DV40" s="155" t="str">
        <f t="shared" si="7"/>
        <v/>
      </c>
      <c r="DW40" s="45"/>
      <c r="DX40" s="45"/>
      <c r="DY40" s="45"/>
      <c r="DZ40" s="45"/>
      <c r="EA40" s="45"/>
      <c r="EB40" s="45"/>
      <c r="EC40" s="45"/>
    </row>
    <row r="41" spans="1:133" ht="11.25" customHeight="1" thickBot="1">
      <c r="A41" s="15">
        <v>39</v>
      </c>
      <c r="B41" s="23"/>
      <c r="C41" s="2602" t="str">
        <f>IF($BW$3=0,"",非誘!C36)</f>
        <v xml:space="preserve">  2F</v>
      </c>
      <c r="D41" s="2603"/>
      <c r="E41" s="2604"/>
      <c r="F41" s="2605">
        <f>IF($BW$3=0,"",非誘!F36)</f>
        <v>4</v>
      </c>
      <c r="G41" s="2606"/>
      <c r="H41" s="2606"/>
      <c r="I41" s="2607"/>
      <c r="J41" s="2605">
        <f>IF($BW$3=0,"",非誘!J36)</f>
        <v>3</v>
      </c>
      <c r="K41" s="2606"/>
      <c r="L41" s="2606"/>
      <c r="M41" s="2607"/>
      <c r="N41" s="2608">
        <f>IF($BW$3=0,"",非誘!N36)</f>
        <v>3816</v>
      </c>
      <c r="O41" s="2609"/>
      <c r="P41" s="2609"/>
      <c r="Q41" s="2609"/>
      <c r="R41" s="2610"/>
      <c r="S41" s="2608">
        <f>IF($BW$3=0,"",非誘!S36)</f>
        <v>2289.6</v>
      </c>
      <c r="T41" s="2609"/>
      <c r="U41" s="2609"/>
      <c r="V41" s="2610"/>
      <c r="W41" s="2608">
        <f>IF($BW$3=0,"",非誘!W36)</f>
        <v>1526.4</v>
      </c>
      <c r="X41" s="2609"/>
      <c r="Y41" s="2609"/>
      <c r="Z41" s="2610"/>
      <c r="AA41" s="2611">
        <f>IF($BW$3=0,"",非誘!AA36)</f>
        <v>16</v>
      </c>
      <c r="AB41" s="2603"/>
      <c r="AC41" s="2604"/>
      <c r="AD41" s="2612">
        <f>IF($BW$3=0,"",非誘!AD36)</f>
        <v>39</v>
      </c>
      <c r="AE41" s="2613"/>
      <c r="AF41" s="2614"/>
      <c r="AG41" s="2615" t="str">
        <f>IF($B$2=0,"","防火区画処理")</f>
        <v>防火区画処理</v>
      </c>
      <c r="AH41" s="2615"/>
      <c r="AI41" s="2615"/>
      <c r="AJ41" s="2615"/>
      <c r="AK41" s="2615"/>
      <c r="AL41" s="2615"/>
      <c r="AM41" s="2615"/>
      <c r="AN41" s="2616">
        <f>IF(OR($B$2=0,C41="",P40="不要"),"",AZ41+BG41+BR41*2)</f>
        <v>33</v>
      </c>
      <c r="AO41" s="2616"/>
      <c r="AP41" s="2616"/>
      <c r="AQ41" s="2617" t="s">
        <v>374</v>
      </c>
      <c r="AR41" s="2617"/>
      <c r="AS41" s="2617"/>
      <c r="AT41" s="2617"/>
      <c r="AU41" s="2617"/>
      <c r="AV41" s="2618" t="s">
        <v>373</v>
      </c>
      <c r="AW41" s="2618"/>
      <c r="AX41" s="2618"/>
      <c r="AY41" s="2618"/>
      <c r="AZ41" s="2619">
        <f>IF(OR($B$2=0,C41="",P40="不要"),"",IF(LEFT(C41,1)="P",1+INT(W41/450),INT(S41/450)+1+INT(W41/450)))</f>
        <v>9</v>
      </c>
      <c r="BA41" s="2619"/>
      <c r="BB41" s="2619"/>
      <c r="BC41" s="2618" t="s">
        <v>372</v>
      </c>
      <c r="BD41" s="2618"/>
      <c r="BE41" s="2618"/>
      <c r="BF41" s="2618"/>
      <c r="BG41" s="2619">
        <f>IF(OR($B$2=0,C41="",P40="不要"),"",1+INT(N41/500))</f>
        <v>8</v>
      </c>
      <c r="BH41" s="2619"/>
      <c r="BI41" s="2619"/>
      <c r="BJ41" s="2617" t="s">
        <v>371</v>
      </c>
      <c r="BK41" s="2617"/>
      <c r="BL41" s="2617"/>
      <c r="BM41" s="2617"/>
      <c r="BN41" s="2617"/>
      <c r="BO41" s="2617"/>
      <c r="BP41" s="2617"/>
      <c r="BQ41" s="2617"/>
      <c r="BR41" s="2620">
        <f>IF(OR($B$2=0,C41="",P40="不要"),"",1+INT(0.055*N41^0.6))</f>
        <v>8</v>
      </c>
      <c r="BS41" s="2620"/>
      <c r="BT41" s="2621"/>
      <c r="BU41" s="19"/>
      <c r="BV41" s="35"/>
      <c r="BW41" s="99"/>
      <c r="BX41" s="35"/>
      <c r="BY41" s="35"/>
      <c r="BZ41" s="35"/>
      <c r="CA41" s="35"/>
      <c r="CB41" s="35"/>
      <c r="CC41" s="35"/>
      <c r="CD41" s="35"/>
      <c r="CE41" s="35"/>
      <c r="CF41" s="35"/>
      <c r="CG41" s="35"/>
      <c r="CH41" s="35"/>
      <c r="CI41" s="8">
        <v>2</v>
      </c>
      <c r="CJ41" s="88" t="s">
        <v>386</v>
      </c>
      <c r="CK41" s="88" t="s">
        <v>385</v>
      </c>
      <c r="CL41" s="372">
        <f>IF(C42="","",IF(AX46="①",CJ42+CK42+3,IF(AX46="②",CJ42*5/8+CK42+3,IF(AX46="③",CJ42/2+CK42+3,IF(AX46="④",CJ42+CK42*5/8+3,IF(AX46="⑤",(CJ42+CK42)*5/8+3,IF(AX46="⑥",CJ42/2+CK42*5/8+3,IF(AX46="⑦",CJ42+CK42/2+3,IF(AX46="⑧",CJ42*5/8+CK42/2+3,IF(AX46="⑨",(CJ42+CK42)/2+3))))))))))</f>
        <v>48.9</v>
      </c>
      <c r="CM41" s="371" t="s">
        <v>384</v>
      </c>
      <c r="CN41" s="371" t="s">
        <v>383</v>
      </c>
      <c r="CO41" s="370"/>
      <c r="CP41" s="371" t="s">
        <v>384</v>
      </c>
      <c r="CQ41" s="370" t="s">
        <v>383</v>
      </c>
      <c r="CR41" s="2589" t="str">
        <f>AG42</f>
        <v>差動SP2種埋</v>
      </c>
      <c r="CS41" s="2590"/>
      <c r="CT41" s="2591"/>
      <c r="CU41" s="184" t="str">
        <f>AN42</f>
        <v/>
      </c>
      <c r="CV41" s="2589" t="str">
        <f>AT44</f>
        <v>HP起動押ボタン</v>
      </c>
      <c r="CW41" s="2590"/>
      <c r="CX41" s="2591"/>
      <c r="CY41" s="184" t="str">
        <f>BA44</f>
        <v/>
      </c>
      <c r="CZ41" s="216"/>
      <c r="DA41" s="8"/>
      <c r="DB41" s="197">
        <f t="shared" si="0"/>
        <v>7</v>
      </c>
      <c r="DC41" s="197" t="str">
        <f t="shared" si="1"/>
        <v/>
      </c>
      <c r="DD41" s="201" t="str">
        <f>G42</f>
        <v>AE 0.9mm-4C</v>
      </c>
      <c r="DE41" s="8"/>
      <c r="DF41" s="8"/>
      <c r="DG41" s="8"/>
      <c r="DH41" s="8" t="str">
        <f>IF(COUNTIF($DD$15:DD40,DD41)&gt;0,"",DD41)</f>
        <v/>
      </c>
      <c r="DI41" s="252">
        <f>O42</f>
        <v>1228</v>
      </c>
      <c r="DJ41" s="32">
        <f t="shared" ref="DJ41:DJ46" si="10">SUMIF($DD$17:$DD$185,DH41,$DI$17:$DI$185)</f>
        <v>0</v>
      </c>
      <c r="DK41" s="197">
        <f t="shared" si="3"/>
        <v>4</v>
      </c>
      <c r="DL41" s="197" t="str">
        <f t="shared" si="4"/>
        <v/>
      </c>
      <c r="DM41" s="10" t="str">
        <f>IF(CU41="","",CR41)</f>
        <v/>
      </c>
      <c r="DN41" s="10" t="str">
        <f>CR41</f>
        <v>差動SP2種埋</v>
      </c>
      <c r="DO41" s="10"/>
      <c r="DP41" s="8"/>
      <c r="DQ41" s="8" t="str">
        <f>IF(COUNTIF($DM$15:DM40,DM41)&gt;0,"",DM41)</f>
        <v/>
      </c>
      <c r="DR41" s="200" t="str">
        <f>CU41</f>
        <v/>
      </c>
      <c r="DS41" s="32">
        <f t="shared" si="5"/>
        <v>8</v>
      </c>
      <c r="DT41" s="8"/>
      <c r="DU41" s="197">
        <f t="shared" si="6"/>
        <v>3</v>
      </c>
      <c r="DV41" s="197" t="str">
        <f t="shared" si="7"/>
        <v/>
      </c>
      <c r="DW41" s="201"/>
      <c r="DX41" s="8"/>
      <c r="DY41" s="8"/>
      <c r="DZ41" s="8"/>
      <c r="EA41" s="8"/>
      <c r="EB41" s="252"/>
      <c r="EC41" s="32"/>
    </row>
    <row r="42" spans="1:133" ht="11.25" customHeight="1">
      <c r="A42" s="15"/>
      <c r="B42" s="23"/>
      <c r="C42" s="2623" t="s">
        <v>366</v>
      </c>
      <c r="D42" s="2624"/>
      <c r="E42" s="2624"/>
      <c r="F42" s="2624"/>
      <c r="G42" s="2625" t="str">
        <f>IF(C41="","","AE 0.9mm-4C")</f>
        <v>AE 0.9mm-4C</v>
      </c>
      <c r="H42" s="2625"/>
      <c r="I42" s="2625"/>
      <c r="J42" s="2625"/>
      <c r="K42" s="2625"/>
      <c r="L42" s="2625"/>
      <c r="M42" s="2625"/>
      <c r="N42" s="2625"/>
      <c r="O42" s="2593">
        <f>IF($B$2=0,"",IF(OR(C41="",P40="不要"),"",ROUND((CM42+CN42),0)))</f>
        <v>1228</v>
      </c>
      <c r="P42" s="2593"/>
      <c r="Q42" s="2593"/>
      <c r="R42" s="2593"/>
      <c r="S42" s="2593"/>
      <c r="T42" s="2593" t="str">
        <f>IF(OR($B$2=0,C41="",P40="不要"),"",IF(AQ40="天井ケーブル","C-19mm",IF(MID(AQ40,4,2)="PF","PF-16mm",IF(MID(AQ40,4,2)="CD","CD-16mm",IF(MID(AQ40,4,2)="C ","C-19mm",IF(MID(AQ40,4,2)="G ","G-16mm",""))))))</f>
        <v>C-19mm</v>
      </c>
      <c r="U42" s="2593"/>
      <c r="V42" s="2593"/>
      <c r="W42" s="2593"/>
      <c r="X42" s="2593"/>
      <c r="Y42" s="2593"/>
      <c r="Z42" s="2593"/>
      <c r="AA42" s="2593"/>
      <c r="AB42" s="2593">
        <f>IF(OR($B$2=0,C41="",P40="不要"),"",IF(CQ42="",ROUND(CP42,0),ROUND((CP42+CQ42),0)))</f>
        <v>2</v>
      </c>
      <c r="AC42" s="2593"/>
      <c r="AD42" s="2593"/>
      <c r="AE42" s="2593"/>
      <c r="AF42" s="2593"/>
      <c r="AG42" s="2595" t="str">
        <f>IF($B$2=0,"","差動SP2種埋")</f>
        <v>差動SP2種埋</v>
      </c>
      <c r="AH42" s="2595"/>
      <c r="AI42" s="2595"/>
      <c r="AJ42" s="2595"/>
      <c r="AK42" s="2595"/>
      <c r="AL42" s="2595"/>
      <c r="AM42" s="2595"/>
      <c r="AN42" s="2593" t="str">
        <f>IF(OR(C41="",P40="不要"),"",IF(AQ42&lt;&gt;"",AQ42,IF(AX46="B","",IF(AZ45="無窓","",IF(AND(BL45="耐 火",AZ45="有窓"),BZ42+CA42,CD42+CE42)))))</f>
        <v/>
      </c>
      <c r="AO42" s="2593"/>
      <c r="AP42" s="2593"/>
      <c r="AQ42" s="2594"/>
      <c r="AR42" s="2594"/>
      <c r="AS42" s="2594"/>
      <c r="AT42" s="2595" t="str">
        <f>IF($B$2=0,"","P1総合盤露出")</f>
        <v>P1総合盤露出</v>
      </c>
      <c r="AU42" s="2595"/>
      <c r="AV42" s="2595"/>
      <c r="AW42" s="2595"/>
      <c r="AX42" s="2595"/>
      <c r="AY42" s="2595"/>
      <c r="AZ42" s="2595"/>
      <c r="BA42" s="2593">
        <f>IF(P40="不要","",IF(BD42&lt;&gt;"",BD42,IF([4]Top!$BD$51="要","",AZ41)))</f>
        <v>9</v>
      </c>
      <c r="BB42" s="2593"/>
      <c r="BC42" s="2593"/>
      <c r="BD42" s="2594"/>
      <c r="BE42" s="2594"/>
      <c r="BF42" s="2594"/>
      <c r="BG42" s="2597" t="str">
        <f>IF($B$2=0,"","ﾗｯﾁ電磁レリーズ")</f>
        <v>ﾗｯﾁ電磁レリーズ</v>
      </c>
      <c r="BH42" s="2597"/>
      <c r="BI42" s="2597"/>
      <c r="BJ42" s="2597"/>
      <c r="BK42" s="2597"/>
      <c r="BL42" s="2597"/>
      <c r="BM42" s="2597"/>
      <c r="BN42" s="2597"/>
      <c r="BO42" s="2593">
        <f>IF(P40="不要","",IF(BR42&lt;&gt;"",BR42,BR41))</f>
        <v>8</v>
      </c>
      <c r="BP42" s="2593"/>
      <c r="BQ42" s="2593"/>
      <c r="BR42" s="2594"/>
      <c r="BS42" s="2594"/>
      <c r="BT42" s="2596"/>
      <c r="BU42" s="19"/>
      <c r="BV42" s="35"/>
      <c r="BW42" s="351" t="s">
        <v>365</v>
      </c>
      <c r="BX42" s="368"/>
      <c r="BY42" s="369"/>
      <c r="BZ42" s="344">
        <f>IF(AA41="",0,IF(OR([6]Top!$BD$72&lt;&gt;"要",C41=""),"",IF(J41&gt;=4,1+INT(AA41*2.4),1+INT(AA41*1.2))))</f>
        <v>20</v>
      </c>
      <c r="CA42" s="360">
        <f>IF(OR([6]Top!$BD$72&lt;&gt;"要",C41=""),"",IF(J41&gt;=4,1+INT(AD41*2.4),1+INT(AD41*1.2)))</f>
        <v>47</v>
      </c>
      <c r="CB42" s="368"/>
      <c r="CC42" s="369"/>
      <c r="CD42" s="343">
        <f>IF($AX$8&lt;=500,BZ42*2,1+INT(BZ42*2.5))</f>
        <v>51</v>
      </c>
      <c r="CE42" s="360">
        <f>IF($AX$8&lt;=500,CA42*2,1+INT(CA42*2.5))</f>
        <v>118</v>
      </c>
      <c r="CF42" s="368"/>
      <c r="CG42" s="367"/>
      <c r="CH42" s="35"/>
      <c r="CI42" s="133">
        <f>IF(AZ41&lt;&gt;"",AZ41,0)</f>
        <v>9</v>
      </c>
      <c r="CJ42" s="98">
        <f>非誘!BW36</f>
        <v>30</v>
      </c>
      <c r="CK42" s="98">
        <f>非誘!BX36</f>
        <v>31.8</v>
      </c>
      <c r="CL42" s="88" t="s">
        <v>364</v>
      </c>
      <c r="CM42" s="185">
        <f>IF(OR(C41="",C41="  RF"),"",IF(J41="直天",$AN$10/1000+F41-1.2+SQRT(CK43/CM43),$AN$10/1000+J41-1.2+SQRT(CK43/CM43)))</f>
        <v>13.124825835131713</v>
      </c>
      <c r="CN42" s="185">
        <f>IF(OR(C41="",P40="不要"),"",CL41+CK44*AZ41)</f>
        <v>1215.3</v>
      </c>
      <c r="CO42" s="88" t="s">
        <v>364</v>
      </c>
      <c r="CP42" s="185">
        <f>IF(OR(C41="",C41="  RF"),"",IF(J41="直天",F41-1.2+SQRT(CK43/CM43),IF(AQ40="天井ケーブル",J41-1.2,J41-1.2+SQRT(CK43/CM43))))</f>
        <v>1.8</v>
      </c>
      <c r="CQ42" s="356" t="str">
        <f>IF(OR(C41="",C41="  RF"),"",IF(AQ40="天井ケーブル","",(CM43-1)*SQRT(CK43/CM43)))</f>
        <v/>
      </c>
      <c r="CR42" s="2589" t="str">
        <f>AG43</f>
        <v>定温SP1種WP</v>
      </c>
      <c r="CS42" s="2590"/>
      <c r="CT42" s="2591"/>
      <c r="CU42" s="184">
        <f>AN43</f>
        <v>8</v>
      </c>
      <c r="CV42" s="2589" t="str">
        <f>AT42</f>
        <v>P1総合盤露出</v>
      </c>
      <c r="CW42" s="2590"/>
      <c r="CX42" s="2591"/>
      <c r="CY42" s="184">
        <f>BA42</f>
        <v>9</v>
      </c>
      <c r="CZ42" s="216"/>
      <c r="DA42" s="8"/>
      <c r="DB42" s="197">
        <f t="shared" si="0"/>
        <v>7</v>
      </c>
      <c r="DC42" s="197" t="str">
        <f t="shared" si="1"/>
        <v/>
      </c>
      <c r="DD42" s="201" t="str">
        <f>G43</f>
        <v>HP 1.2mm-3C</v>
      </c>
      <c r="DE42" s="8"/>
      <c r="DF42" s="8"/>
      <c r="DG42" s="8"/>
      <c r="DH42" s="8" t="str">
        <f>IF(COUNTIF($DD$15:DD41,DD42)&gt;0,"",DD42)</f>
        <v/>
      </c>
      <c r="DI42" s="252">
        <f>O43</f>
        <v>21</v>
      </c>
      <c r="DJ42" s="32">
        <f t="shared" si="10"/>
        <v>0</v>
      </c>
      <c r="DK42" s="197">
        <f t="shared" si="3"/>
        <v>4</v>
      </c>
      <c r="DL42" s="197" t="str">
        <f t="shared" si="4"/>
        <v/>
      </c>
      <c r="DM42" s="10" t="str">
        <f>IF(CU42="","",CR42)</f>
        <v>定温SP1種WP</v>
      </c>
      <c r="DN42" s="10" t="str">
        <f>CR42</f>
        <v>定温SP1種WP</v>
      </c>
      <c r="DO42" s="10"/>
      <c r="DP42" s="8"/>
      <c r="DQ42" s="8" t="str">
        <f>IF(COUNTIF($DM$15:DM41,DM42)&gt;0,"",DM42)</f>
        <v/>
      </c>
      <c r="DR42" s="200">
        <f>CU42</f>
        <v>8</v>
      </c>
      <c r="DS42" s="32">
        <f t="shared" si="5"/>
        <v>8</v>
      </c>
      <c r="DT42" s="8"/>
      <c r="DU42" s="197">
        <f t="shared" si="6"/>
        <v>3</v>
      </c>
      <c r="DV42" s="197" t="str">
        <f t="shared" si="7"/>
        <v/>
      </c>
      <c r="DW42" s="201" t="str">
        <f>T42</f>
        <v>C-19mm</v>
      </c>
      <c r="DX42" s="8"/>
      <c r="DY42" s="8"/>
      <c r="DZ42" s="8"/>
      <c r="EA42" s="8" t="str">
        <f>IF(COUNTIF($DW$15:DW41,DW42)&gt;0,"",DW42)</f>
        <v/>
      </c>
      <c r="EB42" s="197">
        <f>AB42</f>
        <v>2</v>
      </c>
      <c r="EC42" s="32">
        <f ca="1">SUMIF($DW$17:$DW$185,EA42,$EB$17:$EB$184)</f>
        <v>0</v>
      </c>
    </row>
    <row r="43" spans="1:133" ht="11.25" customHeight="1" thickBot="1">
      <c r="A43" s="15"/>
      <c r="B43" s="176"/>
      <c r="C43" s="2568" t="s">
        <v>363</v>
      </c>
      <c r="D43" s="2569"/>
      <c r="E43" s="2569"/>
      <c r="F43" s="2569"/>
      <c r="G43" s="2592" t="str">
        <f>IF(C41="","","HP 1.2mm-3C")</f>
        <v>HP 1.2mm-3C</v>
      </c>
      <c r="H43" s="2592"/>
      <c r="I43" s="2592"/>
      <c r="J43" s="2592"/>
      <c r="K43" s="2592"/>
      <c r="L43" s="2592"/>
      <c r="M43" s="2592"/>
      <c r="N43" s="2592"/>
      <c r="O43" s="2557">
        <f>IF($B$2=0,"",IF(OR(C41="",P40="不要"),"",ROUND(CN44,0)))</f>
        <v>21</v>
      </c>
      <c r="P43" s="2557"/>
      <c r="Q43" s="2557"/>
      <c r="R43" s="2557"/>
      <c r="S43" s="2557"/>
      <c r="T43" s="2557" t="str">
        <f>IF(OR($B$2=0,C41="",P40="不要"),"",IF(BH40="天井ケーブル","C-19mm",IF(MID(BH40,4,2)="PF","PF-16mm",IF(MID(BH40,4,2)="CD","CD-16mm",IF(MID(BH40,4,2)="C ","C-19mm",IF(MID(BH40,4,2)="G ","G-16mm",""))))))</f>
        <v>C-19mm</v>
      </c>
      <c r="U43" s="2557"/>
      <c r="V43" s="2557"/>
      <c r="W43" s="2557"/>
      <c r="X43" s="2557"/>
      <c r="Y43" s="2557"/>
      <c r="Z43" s="2557"/>
      <c r="AA43" s="2557"/>
      <c r="AB43" s="2557">
        <f>IF($B$2=0,"",IF(OR(C41="",P40="不要",CQ45=""),"",CQ44+CQ45))</f>
        <v>22.4</v>
      </c>
      <c r="AC43" s="2557"/>
      <c r="AD43" s="2557"/>
      <c r="AE43" s="2557"/>
      <c r="AF43" s="2557"/>
      <c r="AG43" s="2572" t="str">
        <f>IF($B$2=0,"","定温SP1種WP")</f>
        <v>定温SP1種WP</v>
      </c>
      <c r="AH43" s="2572"/>
      <c r="AI43" s="2572"/>
      <c r="AJ43" s="2572"/>
      <c r="AK43" s="2572"/>
      <c r="AL43" s="2572"/>
      <c r="AM43" s="2572"/>
      <c r="AN43" s="2312">
        <f>IF(OR($B$2=0,P40="不要"),"",IF(AQ43&lt;&gt;"",AQ43,CA43))</f>
        <v>8</v>
      </c>
      <c r="AO43" s="2312"/>
      <c r="AP43" s="2312"/>
      <c r="AQ43" s="2575"/>
      <c r="AR43" s="2575"/>
      <c r="AS43" s="2575"/>
      <c r="AT43" s="2572" t="str">
        <f>IF($B$2=0,"","P1総合盤埋込")</f>
        <v>P1総合盤埋込</v>
      </c>
      <c r="AU43" s="2572"/>
      <c r="AV43" s="2572"/>
      <c r="AW43" s="2572"/>
      <c r="AX43" s="2572"/>
      <c r="AY43" s="2572"/>
      <c r="AZ43" s="2572"/>
      <c r="BA43" s="2312" t="str">
        <f>IF(P40="不要","",IF(BD43&lt;&gt;"",BD43,IF([4]Top!$BD$51&lt;&gt;"要","",AZ41)))</f>
        <v/>
      </c>
      <c r="BB43" s="2312"/>
      <c r="BC43" s="2312"/>
      <c r="BD43" s="2575"/>
      <c r="BE43" s="2575"/>
      <c r="BF43" s="2575"/>
      <c r="BG43" s="2572" t="str">
        <f>IF($B$2=0,"","ｱｰﾑ電磁レリーズ")</f>
        <v>ｱｰﾑ電磁レリーズ</v>
      </c>
      <c r="BH43" s="2572"/>
      <c r="BI43" s="2572"/>
      <c r="BJ43" s="2572"/>
      <c r="BK43" s="2572"/>
      <c r="BL43" s="2572"/>
      <c r="BM43" s="2572"/>
      <c r="BN43" s="2572"/>
      <c r="BO43" s="2312">
        <f>IF(P40="不要","",IF(BR43&lt;&gt;"",BR43,BR41))</f>
        <v>8</v>
      </c>
      <c r="BP43" s="2312"/>
      <c r="BQ43" s="2312"/>
      <c r="BR43" s="2575"/>
      <c r="BS43" s="2575"/>
      <c r="BT43" s="2576"/>
      <c r="BU43" s="19"/>
      <c r="BV43" s="35"/>
      <c r="BW43" s="351" t="s">
        <v>362</v>
      </c>
      <c r="BX43" s="348"/>
      <c r="BY43" s="349">
        <f>CA43</f>
        <v>8</v>
      </c>
      <c r="BZ43" s="366"/>
      <c r="CA43" s="360">
        <f>IF(C41="","",1+INT(W41/200))</f>
        <v>8</v>
      </c>
      <c r="CB43" s="348"/>
      <c r="CC43" s="359">
        <f>CA43</f>
        <v>8</v>
      </c>
      <c r="CD43" s="365"/>
      <c r="CE43" s="349">
        <f>CA43</f>
        <v>8</v>
      </c>
      <c r="CF43" s="348"/>
      <c r="CG43" s="357">
        <f>CA43</f>
        <v>8</v>
      </c>
      <c r="CH43" s="35"/>
      <c r="CI43" s="133">
        <f>IF(BG41&lt;&gt;"",BG41,0)</f>
        <v>8</v>
      </c>
      <c r="CJ43" s="88" t="s">
        <v>361</v>
      </c>
      <c r="CK43" s="107">
        <f>N41</f>
        <v>3816</v>
      </c>
      <c r="CL43" s="88" t="s">
        <v>360</v>
      </c>
      <c r="CM43" s="185">
        <f>SUM(AN42:AP46)</f>
        <v>49</v>
      </c>
      <c r="CN43" s="364"/>
      <c r="CO43" s="168"/>
      <c r="CP43" s="363"/>
      <c r="CQ43" s="150"/>
      <c r="CR43" s="2598" t="str">
        <f>AG44</f>
        <v>補償SP2種</v>
      </c>
      <c r="CS43" s="2599"/>
      <c r="CT43" s="2600"/>
      <c r="CU43" s="362">
        <f>AN44</f>
        <v>8</v>
      </c>
      <c r="CV43" s="2598" t="str">
        <f>AT43</f>
        <v>P1総合盤埋込</v>
      </c>
      <c r="CW43" s="2599"/>
      <c r="CX43" s="2600"/>
      <c r="CY43" s="362" t="str">
        <f>BA43</f>
        <v/>
      </c>
      <c r="CZ43" s="216"/>
      <c r="DA43" s="8"/>
      <c r="DB43" s="197">
        <f t="shared" si="0"/>
        <v>7</v>
      </c>
      <c r="DC43" s="197" t="str">
        <f t="shared" si="1"/>
        <v/>
      </c>
      <c r="DD43" s="201" t="str">
        <f>G44</f>
        <v>HP 1.2mm-5C</v>
      </c>
      <c r="DE43" s="8"/>
      <c r="DF43" s="8"/>
      <c r="DG43" s="8"/>
      <c r="DH43" s="8" t="str">
        <f>IF(COUNTIF($DD$15:DD42,DD43)&gt;0,"",DD43)</f>
        <v/>
      </c>
      <c r="DI43" s="252">
        <f>O44</f>
        <v>49</v>
      </c>
      <c r="DJ43" s="32">
        <f t="shared" si="10"/>
        <v>0</v>
      </c>
      <c r="DK43" s="197">
        <f t="shared" si="3"/>
        <v>4</v>
      </c>
      <c r="DL43" s="197" t="str">
        <f t="shared" si="4"/>
        <v/>
      </c>
      <c r="DM43" s="10" t="str">
        <f>IF(CU43="","",CR43)</f>
        <v>補償SP2種</v>
      </c>
      <c r="DN43" s="10" t="str">
        <f>CR43</f>
        <v>補償SP2種</v>
      </c>
      <c r="DO43" s="10"/>
      <c r="DP43" s="8"/>
      <c r="DQ43" s="8" t="str">
        <f>IF(COUNTIF($DM$15:DM42,DM43)&gt;0,"",DM43)</f>
        <v/>
      </c>
      <c r="DR43" s="200">
        <f>CU43</f>
        <v>8</v>
      </c>
      <c r="DS43" s="32">
        <f t="shared" si="5"/>
        <v>8</v>
      </c>
      <c r="DT43" s="8"/>
      <c r="DU43" s="197">
        <f t="shared" si="6"/>
        <v>3</v>
      </c>
      <c r="DV43" s="197" t="str">
        <f t="shared" si="7"/>
        <v/>
      </c>
      <c r="DW43" s="201" t="str">
        <f>T43</f>
        <v>C-19mm</v>
      </c>
      <c r="DX43" s="8"/>
      <c r="DY43" s="8"/>
      <c r="DZ43" s="8"/>
      <c r="EA43" s="8" t="str">
        <f>IF(COUNTIF($DW$15:DW42,DW43)&gt;0,"",DW43)</f>
        <v/>
      </c>
      <c r="EB43" s="197">
        <f>AB43</f>
        <v>22.4</v>
      </c>
      <c r="EC43" s="32">
        <f ca="1">SUMIF($DW$17:$DW$185,EA43,$EB$17:$EB$184)</f>
        <v>0</v>
      </c>
    </row>
    <row r="44" spans="1:133" ht="11.25" customHeight="1" thickBot="1">
      <c r="A44" s="15"/>
      <c r="B44" s="23"/>
      <c r="C44" s="2568"/>
      <c r="D44" s="2569"/>
      <c r="E44" s="2569"/>
      <c r="F44" s="2569"/>
      <c r="G44" s="2584" t="str">
        <f>IF(C41="","","HP 1.2mm-5C")</f>
        <v>HP 1.2mm-5C</v>
      </c>
      <c r="H44" s="2584"/>
      <c r="I44" s="2584"/>
      <c r="J44" s="2584"/>
      <c r="K44" s="2584"/>
      <c r="L44" s="2584"/>
      <c r="M44" s="2584"/>
      <c r="N44" s="2584"/>
      <c r="O44" s="2585">
        <f>IF($B$2=0,"",IF(OR(C41="",P40="不要"),"",ROUND(CM44,0)))</f>
        <v>49</v>
      </c>
      <c r="P44" s="2585"/>
      <c r="Q44" s="2585"/>
      <c r="R44" s="2585"/>
      <c r="S44" s="2585"/>
      <c r="T44" s="2585" t="str">
        <f>IF(OR($B$2=0,C41="",P40="不要"),"",IF(BH40="天井ケーブル","C-25mm",IF(MID(BH40,4,2)="PF","PF-22mm",IF(MID(BH40,4,2)="CD","CD-22mm",IF(MID(BH40,4,2)="C ","C-25mm",IF(MID(BH40,4,2)="G ","G-22mm",""))))))</f>
        <v>C-25mm</v>
      </c>
      <c r="U44" s="2585"/>
      <c r="V44" s="2585"/>
      <c r="W44" s="2585"/>
      <c r="X44" s="2585"/>
      <c r="Y44" s="2585"/>
      <c r="Z44" s="2585"/>
      <c r="AA44" s="2585"/>
      <c r="AB44" s="2585">
        <f>IF(OR($B$2=0,C41="",P40="不要"),"",CP44)</f>
        <v>1.8</v>
      </c>
      <c r="AC44" s="2585"/>
      <c r="AD44" s="2585"/>
      <c r="AE44" s="2585"/>
      <c r="AF44" s="2585"/>
      <c r="AG44" s="2572" t="str">
        <f>IF($B$2=0,"","補償SP2種")</f>
        <v>補償SP2種</v>
      </c>
      <c r="AH44" s="2572"/>
      <c r="AI44" s="2572"/>
      <c r="AJ44" s="2572"/>
      <c r="AK44" s="2572"/>
      <c r="AL44" s="2572"/>
      <c r="AM44" s="2572"/>
      <c r="AN44" s="2312">
        <f>IF(OR($B$2=0,P40="不要"),"",IF(AQ44&lt;&gt;"",AQ44,CA44))</f>
        <v>8</v>
      </c>
      <c r="AO44" s="2312"/>
      <c r="AP44" s="2312"/>
      <c r="AQ44" s="2575"/>
      <c r="AR44" s="2575"/>
      <c r="AS44" s="2575"/>
      <c r="AT44" s="2546" t="str">
        <f>IF($B$2=0,"","HP起動押ボタン")</f>
        <v>HP起動押ボタン</v>
      </c>
      <c r="AU44" s="2546"/>
      <c r="AV44" s="2546"/>
      <c r="AW44" s="2546"/>
      <c r="AX44" s="2546"/>
      <c r="AY44" s="2546"/>
      <c r="AZ44" s="2546"/>
      <c r="BA44" s="2544" t="str">
        <f>IF(P40="不要","",IF(BD44&lt;&gt;"",BD44,IF([4]Top!$BL$51="要",AZ41,"")))</f>
        <v/>
      </c>
      <c r="BB44" s="2544"/>
      <c r="BC44" s="2544"/>
      <c r="BD44" s="2573"/>
      <c r="BE44" s="2573"/>
      <c r="BF44" s="2573"/>
      <c r="BG44" s="2546" t="str">
        <f>IF($B$2=0,"","光電式煙3種埋")</f>
        <v>光電式煙3種埋</v>
      </c>
      <c r="BH44" s="2546"/>
      <c r="BI44" s="2546"/>
      <c r="BJ44" s="2546"/>
      <c r="BK44" s="2546"/>
      <c r="BL44" s="2546"/>
      <c r="BM44" s="2546"/>
      <c r="BN44" s="2546"/>
      <c r="BO44" s="2544">
        <f>IF(OR($B$2=0,C41="",P40="不要"),"",IF(BR44&lt;&gt;"",BR44,2*BR41))</f>
        <v>16</v>
      </c>
      <c r="BP44" s="2544"/>
      <c r="BQ44" s="2544"/>
      <c r="BR44" s="2573"/>
      <c r="BS44" s="2573"/>
      <c r="BT44" s="2574"/>
      <c r="BU44" s="19"/>
      <c r="BV44" s="35"/>
      <c r="BW44" s="351" t="s">
        <v>359</v>
      </c>
      <c r="BX44" s="361"/>
      <c r="BY44" s="349">
        <f>CA44</f>
        <v>8</v>
      </c>
      <c r="BZ44" s="348"/>
      <c r="CA44" s="360">
        <f>IF(C41="","",1+INT(W41/200))</f>
        <v>8</v>
      </c>
      <c r="CB44" s="358"/>
      <c r="CC44" s="359">
        <f>CA44</f>
        <v>8</v>
      </c>
      <c r="CD44" s="346"/>
      <c r="CE44" s="349">
        <f>CA44</f>
        <v>8</v>
      </c>
      <c r="CF44" s="358"/>
      <c r="CG44" s="357">
        <f>CA44</f>
        <v>8</v>
      </c>
      <c r="CH44" s="35"/>
      <c r="CI44" s="133">
        <f>IF(BR41&lt;&gt;"",BR41,0)</f>
        <v>8</v>
      </c>
      <c r="CJ44" s="88" t="s">
        <v>121</v>
      </c>
      <c r="CK44" s="187">
        <f>IF(OR(C41="",C41="  RF"),"",IF($AX$8=0,0,2*($AX$8/1000-0.15-0.1)*(INT(1000*CJ42/$BF$8)+1)*(INT(1000*CK42/$BF$8)+1)*4))</f>
        <v>129.6</v>
      </c>
      <c r="CL44" s="187" t="s">
        <v>358</v>
      </c>
      <c r="CM44" s="139">
        <f>IF(OR(C41="",C41="  RF"),"",IF(J41="直天",$AN$8/1000+F41-1.2+CJ42+CK42/2,$AN$8/1000+J41-1.2+CJ42+CK42/2))</f>
        <v>49.199999999999996</v>
      </c>
      <c r="CN44" s="136">
        <f>IF(OR(C41="",C41="  RF"),"",IF(J41="直天",F41-$Y$8/1000+F41-$Y$9/1000+2*8+($AN$7+2*$AN$9)/1000,J41-$Y$8/1000+J41-$Y$9/1000+2*8+($AN$7+2*$AN$9)/1000))</f>
        <v>20.599999999999998</v>
      </c>
      <c r="CO44" s="151" t="s">
        <v>358</v>
      </c>
      <c r="CP44" s="185">
        <f>IF(OR(C41="",C41="  RF"),"",IF(J41="直天",F41-1.2+CJ42+CK42/2,IF(AQ40="天井ケーブル",J41-1.2,J41-1.2+CJ42+CK42/2)))</f>
        <v>1.8</v>
      </c>
      <c r="CQ44" s="356">
        <f>IF(OR(C41="",C41="  RF"),"",IF(J41="直天",F41-$Y$8/1000+F41-$Y$9/1000+2*8,IF(BH40="天井ケーブル",J41-$Y$8/1000+J41-$Y$9/1000,J41-$Y$8/1000+J41-$Y$9/1000+2*8)))</f>
        <v>18.399999999999999</v>
      </c>
      <c r="CR44" s="355" t="s">
        <v>87</v>
      </c>
      <c r="CS44" s="336" t="s">
        <v>395</v>
      </c>
      <c r="CT44" s="336" t="s">
        <v>394</v>
      </c>
      <c r="CU44" s="192" t="s">
        <v>393</v>
      </c>
      <c r="CV44" s="336" t="s">
        <v>392</v>
      </c>
      <c r="CW44" s="336" t="s">
        <v>391</v>
      </c>
      <c r="CX44" s="336" t="s">
        <v>390</v>
      </c>
      <c r="CY44" s="354" t="s">
        <v>389</v>
      </c>
      <c r="CZ44" s="216"/>
      <c r="DA44" s="8"/>
      <c r="DB44" s="197">
        <f t="shared" si="0"/>
        <v>7</v>
      </c>
      <c r="DC44" s="197" t="str">
        <f t="shared" si="1"/>
        <v/>
      </c>
      <c r="DD44" s="201" t="str">
        <f>G45</f>
        <v>FCPEV 0.9- 10Pr</v>
      </c>
      <c r="DE44" s="8"/>
      <c r="DF44" s="8"/>
      <c r="DG44" s="8"/>
      <c r="DH44" s="8" t="str">
        <f>IF(COUNTIF($DD$15:DD43,DD44)&gt;0,"",DD44)</f>
        <v/>
      </c>
      <c r="DI44" s="252">
        <f>O45</f>
        <v>139</v>
      </c>
      <c r="DJ44" s="32">
        <f t="shared" si="10"/>
        <v>0</v>
      </c>
      <c r="DK44" s="197">
        <f t="shared" si="3"/>
        <v>4</v>
      </c>
      <c r="DL44" s="197" t="str">
        <f t="shared" si="4"/>
        <v/>
      </c>
      <c r="DM44" s="11" t="str">
        <f>IF(CY40="","",CV40)</f>
        <v>光電式煙2種埋</v>
      </c>
      <c r="DN44" s="11"/>
      <c r="DO44" s="11"/>
      <c r="DP44" s="9"/>
      <c r="DQ44" s="9" t="str">
        <f>IF(COUNTIF($DM$15:DM43,DM44)&gt;0,"",DM44)</f>
        <v/>
      </c>
      <c r="DR44" s="200">
        <f>CY40</f>
        <v>33</v>
      </c>
      <c r="DS44" s="32">
        <f t="shared" si="5"/>
        <v>8</v>
      </c>
      <c r="DT44" s="8"/>
      <c r="DU44" s="197">
        <f t="shared" si="6"/>
        <v>3</v>
      </c>
      <c r="DV44" s="197" t="str">
        <f t="shared" si="7"/>
        <v/>
      </c>
      <c r="DW44" s="201" t="str">
        <f>T44</f>
        <v>C-25mm</v>
      </c>
      <c r="DX44" s="8"/>
      <c r="DY44" s="8"/>
      <c r="DZ44" s="8"/>
      <c r="EA44" s="8" t="str">
        <f>IF(COUNTIF($DW$15:DW43,DW44)&gt;0,"",DW44)</f>
        <v/>
      </c>
      <c r="EB44" s="197">
        <f>AB44</f>
        <v>1.8</v>
      </c>
      <c r="EC44" s="32">
        <f ca="1">SUMIF($DW$17:$DW$185,EA44,$EB$17:$EB$184)</f>
        <v>0</v>
      </c>
    </row>
    <row r="45" spans="1:133" ht="11.25" customHeight="1" thickBot="1">
      <c r="A45" s="15"/>
      <c r="B45" s="23"/>
      <c r="C45" s="2568" t="s">
        <v>352</v>
      </c>
      <c r="D45" s="2569"/>
      <c r="E45" s="2569"/>
      <c r="F45" s="2569"/>
      <c r="G45" s="2557" t="str">
        <f>IF(OR($B$2=0,C41="",P40="不要"),"",IF(CR45&lt;10,"FCPEV 0.9-5Pr",IF(CR45&lt;20,"FCPEV 0.9- 10Pr",IF(CR45&lt;30,"FCPEV 0.9- 15Pr",IF(CR45&lt;40,"FCPEV 0.9- 20Pr","")))))</f>
        <v>FCPEV 0.9- 10Pr</v>
      </c>
      <c r="H45" s="2557"/>
      <c r="I45" s="2557"/>
      <c r="J45" s="2557"/>
      <c r="K45" s="2557"/>
      <c r="L45" s="2557"/>
      <c r="M45" s="2557"/>
      <c r="N45" s="2557"/>
      <c r="O45" s="2557">
        <f>IF(OR(C41="",P40="不要",G45=""),"",INT(AZ41*(CJ42+CK42)/4))</f>
        <v>139</v>
      </c>
      <c r="P45" s="2557"/>
      <c r="Q45" s="2557"/>
      <c r="R45" s="2557"/>
      <c r="S45" s="2557"/>
      <c r="T45" s="2558" t="str">
        <f>IF(OR(C41="",P40="不要",G45=""),"",IF(AQ40="天井ケーブル","C-"&amp;CM46&amp;"mm",IF(MID(AQ40,4,2)="PF","PF-"&amp;CL46&amp;"mm",IF(MID(AQ40,4,2)="CD","CD-"&amp;CL46&amp;"mm",IF(MID(AQ40,4,2)="C ","C-"&amp;CM46&amp;"mm",IF(MID(AQ40,4,2)="G ","G-"&amp;CL46&amp;"mm"))))))</f>
        <v>C-31mm</v>
      </c>
      <c r="U45" s="2557"/>
      <c r="V45" s="2557"/>
      <c r="W45" s="2557"/>
      <c r="X45" s="2557"/>
      <c r="Y45" s="2557"/>
      <c r="Z45" s="2557"/>
      <c r="AA45" s="2557"/>
      <c r="AB45" s="2557">
        <f>IF(OR(C41="",P40="不要",G45=""),"",IF(AQ40="天井ケーブル",2*AZ41*(F41-$Y$7/1000),O45*0.9))</f>
        <v>48.6</v>
      </c>
      <c r="AC45" s="2557"/>
      <c r="AD45" s="2557"/>
      <c r="AE45" s="2557"/>
      <c r="AF45" s="2557"/>
      <c r="AG45" s="2572" t="str">
        <f>IF($B$2=0,"","光電式煙2種埋")</f>
        <v>光電式煙2種埋</v>
      </c>
      <c r="AH45" s="2572"/>
      <c r="AI45" s="2572"/>
      <c r="AJ45" s="2572"/>
      <c r="AK45" s="2572"/>
      <c r="AL45" s="2572"/>
      <c r="AM45" s="2572"/>
      <c r="AN45" s="2312">
        <f>IF(OR(C41="",$B$2=0,P40="不要"),"",IF(AQ45&lt;&gt;"",AQ45,IF(AX46="B",BX45+BY45,IF(AND(BL45="耐 火",AZ45="無窓"),CB45+CC45,IF(AND(BL45&lt;&gt;"耐 火",AZ45="無窓"),CF45+CG45,"")))))</f>
        <v>33</v>
      </c>
      <c r="AO45" s="2312"/>
      <c r="AP45" s="2312"/>
      <c r="AQ45" s="2339"/>
      <c r="AR45" s="2339"/>
      <c r="AS45" s="2551"/>
      <c r="AT45" s="2577" t="str">
        <f>IF(C41="","","消防法上")</f>
        <v>消防法上</v>
      </c>
      <c r="AU45" s="2289"/>
      <c r="AV45" s="2289"/>
      <c r="AW45" s="2289"/>
      <c r="AX45" s="2289"/>
      <c r="AY45" s="2578"/>
      <c r="AZ45" s="2579" t="str">
        <f>IF($B$2=0,"",IF(BD45="",[4]Top!$BO$26,BD45))</f>
        <v>無窓</v>
      </c>
      <c r="BA45" s="2394"/>
      <c r="BB45" s="2580"/>
      <c r="BC45" s="353" t="s">
        <v>387</v>
      </c>
      <c r="BD45" s="2552"/>
      <c r="BE45" s="2552"/>
      <c r="BF45" s="2553"/>
      <c r="BG45" s="2581" t="str">
        <f>IF(C41="","","耐火構造")</f>
        <v>耐火構造</v>
      </c>
      <c r="BH45" s="2289"/>
      <c r="BI45" s="2289"/>
      <c r="BJ45" s="2289"/>
      <c r="BK45" s="2290"/>
      <c r="BL45" s="2278" t="str">
        <f>IF($B$2=0,"",IF(BQ45="",[4]Top!$AN$18,BQ45))</f>
        <v>耐 火</v>
      </c>
      <c r="BM45" s="2394"/>
      <c r="BN45" s="2394"/>
      <c r="BO45" s="2580"/>
      <c r="BP45" s="352" t="s">
        <v>387</v>
      </c>
      <c r="BQ45" s="2582"/>
      <c r="BR45" s="2552"/>
      <c r="BS45" s="2552"/>
      <c r="BT45" s="2583"/>
      <c r="BU45" s="19"/>
      <c r="BV45" s="35"/>
      <c r="BW45" s="351" t="s">
        <v>351</v>
      </c>
      <c r="BX45" s="350">
        <f>CB45</f>
        <v>10</v>
      </c>
      <c r="BY45" s="349">
        <f>CC45</f>
        <v>23</v>
      </c>
      <c r="BZ45" s="348"/>
      <c r="CA45" s="345"/>
      <c r="CB45" s="344">
        <f>IF(OR([6]Top!$BD$72&lt;&gt;"要",C41=""),"",IF(J41&gt;=4,1+INT(BZ42*0.47),1+INT(BZ42*0.47)))</f>
        <v>10</v>
      </c>
      <c r="CC45" s="347">
        <f>IF(OR([6]Top!$BD$72&lt;&gt;"要",C41=""),"",IF(J41&gt;=4,1+INT(CA42*0.47),1+INT(CA42*0.47)))</f>
        <v>23</v>
      </c>
      <c r="CD45" s="346"/>
      <c r="CE45" s="345"/>
      <c r="CF45" s="344">
        <f>IF(AND(AX32&lt;720,J41&lt;4),1+INT(CD42*0.47),1+INT(CD42*0.94))</f>
        <v>24</v>
      </c>
      <c r="CG45" s="343">
        <f>IF(AND(AX32&lt;720,J41&lt;4),1+INT(CE42*0.47),1+INT(CE42*0.94))</f>
        <v>56</v>
      </c>
      <c r="CH45" s="35"/>
      <c r="CI45" s="133">
        <f>IF(AND(C41&lt;&gt;"",LEFT(C41,2)&lt;&gt;" P"),CI37+F41,"")</f>
        <v>19</v>
      </c>
      <c r="CJ45" s="88" t="s">
        <v>350</v>
      </c>
      <c r="CK45" s="182" t="s">
        <v>349</v>
      </c>
      <c r="CL45" s="342">
        <f>IF(OR(C41="",C41="  RF"),"",IF(AZ49&lt;&gt;"",AZ41,AZ41+BG41))</f>
        <v>9</v>
      </c>
      <c r="CM45" s="341" t="s">
        <v>348</v>
      </c>
      <c r="CN45" s="219" t="s">
        <v>347</v>
      </c>
      <c r="CO45" s="138">
        <f>IF(OR(C41="",P40="不要"),"",AZ41*INT(CJ42+CK42)/5)</f>
        <v>109.8</v>
      </c>
      <c r="CP45" s="151" t="s">
        <v>347</v>
      </c>
      <c r="CQ45" s="340">
        <f>IF(AQ40="天井ケーブル",F41,CO45)</f>
        <v>4</v>
      </c>
      <c r="CR45" s="339">
        <f>SUM(CS45:CX45)</f>
        <v>15</v>
      </c>
      <c r="CS45" s="338">
        <f>AZ41</f>
        <v>9</v>
      </c>
      <c r="CT45" s="338">
        <f>IF(BA41="",0,BA41)</f>
        <v>0</v>
      </c>
      <c r="CU45" s="88">
        <v>1</v>
      </c>
      <c r="CV45" s="222">
        <v>1</v>
      </c>
      <c r="CW45" s="222">
        <v>2</v>
      </c>
      <c r="CX45" s="222">
        <v>2</v>
      </c>
      <c r="CY45" s="337" t="str">
        <f>IF(CK40="=",3*BR41+2,"")</f>
        <v/>
      </c>
      <c r="CZ45" s="218"/>
      <c r="DA45" s="8"/>
      <c r="DB45" s="197">
        <f t="shared" si="0"/>
        <v>8</v>
      </c>
      <c r="DC45" s="197">
        <f t="shared" si="1"/>
        <v>8</v>
      </c>
      <c r="DD45" s="201" t="str">
        <f>G46</f>
        <v>FCPEV 1.2- 20Pr</v>
      </c>
      <c r="DE45" s="8"/>
      <c r="DF45" s="8"/>
      <c r="DG45" s="8"/>
      <c r="DH45" s="8" t="str">
        <f>IF(COUNTIF($DD$15:DD44,DD45)&gt;0,"",DD45)</f>
        <v>FCPEV 1.2- 20Pr</v>
      </c>
      <c r="DI45" s="252">
        <f>O46</f>
        <v>109.8</v>
      </c>
      <c r="DJ45" s="32">
        <f t="shared" si="10"/>
        <v>109.8</v>
      </c>
      <c r="DK45" s="197">
        <f t="shared" si="3"/>
        <v>4</v>
      </c>
      <c r="DL45" s="197" t="str">
        <f t="shared" si="4"/>
        <v/>
      </c>
      <c r="DM45" s="11" t="str">
        <f>IF(AN46="","",AG46)</f>
        <v/>
      </c>
      <c r="DN45" s="11"/>
      <c r="DO45" s="11"/>
      <c r="DP45" s="9"/>
      <c r="DQ45" s="9" t="str">
        <f>IF(COUNTIF($DM$15:DM44,DM45)&gt;0,"",DM45)</f>
        <v/>
      </c>
      <c r="DR45" s="101" t="str">
        <f>AN46</f>
        <v/>
      </c>
      <c r="DS45" s="32">
        <f t="shared" si="5"/>
        <v>8</v>
      </c>
      <c r="DT45" s="8"/>
      <c r="DU45" s="197">
        <f t="shared" si="6"/>
        <v>3</v>
      </c>
      <c r="DV45" s="197" t="str">
        <f t="shared" si="7"/>
        <v/>
      </c>
      <c r="DW45" s="201" t="str">
        <f>T45</f>
        <v>C-31mm</v>
      </c>
      <c r="DX45" s="8"/>
      <c r="DY45" s="8"/>
      <c r="DZ45" s="8"/>
      <c r="EA45" s="8" t="str">
        <f>IF(COUNTIF($DW$15:DW44,DW45)&gt;0,"",DW45)</f>
        <v/>
      </c>
      <c r="EB45" s="197">
        <f>AB45</f>
        <v>48.6</v>
      </c>
      <c r="EC45" s="32">
        <f ca="1">SUMIF($DW$17:$DW$185,EA45,$EB$17:$EB$184)</f>
        <v>0</v>
      </c>
    </row>
    <row r="46" spans="1:133" ht="11.25" customHeight="1" thickBot="1">
      <c r="A46" s="15"/>
      <c r="B46" s="23"/>
      <c r="C46" s="2570"/>
      <c r="D46" s="2571"/>
      <c r="E46" s="2571"/>
      <c r="F46" s="2571"/>
      <c r="G46" s="2554" t="str">
        <f>IF(OR($B$2=0,P40="不要"),"",IF(CR46=0,"",IF(OR(C41="",P40="不要"),"",IF(CR46&lt;10,"FCPEV 1.2-5Pr",IF(CR46&lt;20,"FCPEV 1.2- 10Pr",IF(CR46&lt;30,"FCPEV 1.2- 15Pr",IF(CR46&lt;40,"FCPEV 1.2- 20Pr",IF(CR46&lt;60,"FCPEV 1.2- 30Pr",IF(CR46&lt;100,"FCPEV 1.2- 50Pr",IF(CR46&lt;140,"FCPEV 1.2- 70Pr",IF(CR46&lt;200,"FCPEV 1.2-100Pr","FCPEV 1.2-200Pr")))))))))))</f>
        <v>FCPEV 1.2- 20Pr</v>
      </c>
      <c r="H46" s="2555"/>
      <c r="I46" s="2555"/>
      <c r="J46" s="2555"/>
      <c r="K46" s="2555"/>
      <c r="L46" s="2555"/>
      <c r="M46" s="2555"/>
      <c r="N46" s="2555"/>
      <c r="O46" s="2555">
        <f>IF(OR(G46="",C41="",P40="不要"),"",CO45)</f>
        <v>109.8</v>
      </c>
      <c r="P46" s="2555"/>
      <c r="Q46" s="2555"/>
      <c r="R46" s="2555"/>
      <c r="S46" s="2555"/>
      <c r="T46" s="2555" t="str">
        <f>IF(OR(G46="",C41="",P40="不要"),"",IF(AQ40="天井ケーブル","C-"&amp;CO46&amp;"mm",IF(MID(AQ40,4,2)="PF","PF-"&amp;CN46&amp;"mm",IF(MID(AQ40,4,2)="CD","CD-"&amp;CN46&amp;"mm",IF(MID(AQ40,4,2)="C ","C-"&amp;CO46&amp;"mm",IF(MID(AQ40,4,2)="G ","G-"&amp;CN46&amp;"mm"))))))</f>
        <v>C-39mm</v>
      </c>
      <c r="U46" s="2555"/>
      <c r="V46" s="2555"/>
      <c r="W46" s="2555"/>
      <c r="X46" s="2555"/>
      <c r="Y46" s="2555"/>
      <c r="Z46" s="2555"/>
      <c r="AA46" s="2555"/>
      <c r="AB46" s="2555">
        <f>IF(OR(G46="",P40="不要"),"",CQ45)</f>
        <v>4</v>
      </c>
      <c r="AC46" s="2555"/>
      <c r="AD46" s="2555"/>
      <c r="AE46" s="2555"/>
      <c r="AF46" s="2555"/>
      <c r="AG46" s="2556" t="str">
        <f>IF($B$2=0,"","定温SP1種Exp")</f>
        <v>定温SP1種Exp</v>
      </c>
      <c r="AH46" s="2556"/>
      <c r="AI46" s="2556"/>
      <c r="AJ46" s="2556"/>
      <c r="AK46" s="2556"/>
      <c r="AL46" s="2556"/>
      <c r="AM46" s="2556"/>
      <c r="AN46" s="2335" t="str">
        <f>IF(AQ46&lt;&gt;"",AQ46,"")</f>
        <v/>
      </c>
      <c r="AO46" s="2335"/>
      <c r="AP46" s="2335"/>
      <c r="AQ46" s="2566"/>
      <c r="AR46" s="2566"/>
      <c r="AS46" s="2567"/>
      <c r="AT46" s="2586" t="str">
        <f>IF(C41="","","盤位置")</f>
        <v>盤位置</v>
      </c>
      <c r="AU46" s="2587"/>
      <c r="AV46" s="2587"/>
      <c r="AW46" s="2587"/>
      <c r="AX46" s="2588" t="str">
        <f>非誘!V35</f>
        <v>⑦</v>
      </c>
      <c r="AY46" s="2588"/>
      <c r="AZ46" s="2588"/>
      <c r="BA46" s="2559" t="str">
        <f>IF(C41="","","専部屋面積")</f>
        <v>専部屋面積</v>
      </c>
      <c r="BB46" s="2560"/>
      <c r="BC46" s="2560"/>
      <c r="BD46" s="2560"/>
      <c r="BE46" s="2560"/>
      <c r="BF46" s="2561"/>
      <c r="BG46" s="2562">
        <f>IF(OR(C41="",S41=""),"",S41/AA41)</f>
        <v>143.1</v>
      </c>
      <c r="BH46" s="2563"/>
      <c r="BI46" s="2563"/>
      <c r="BJ46" s="2564"/>
      <c r="BK46" s="2559" t="str">
        <f>IF(C41="","","共部屋面積")</f>
        <v>共部屋面積</v>
      </c>
      <c r="BL46" s="2560"/>
      <c r="BM46" s="2560"/>
      <c r="BN46" s="2560"/>
      <c r="BO46" s="2560"/>
      <c r="BP46" s="2561"/>
      <c r="BQ46" s="2562">
        <f>IF(OR($B$2=0,C41=""),"",W41/AD41)</f>
        <v>39.138461538461542</v>
      </c>
      <c r="BR46" s="2563"/>
      <c r="BS46" s="2563"/>
      <c r="BT46" s="2565"/>
      <c r="BU46" s="19"/>
      <c r="BV46" s="35"/>
      <c r="BW46" s="99"/>
      <c r="BX46" s="35"/>
      <c r="BY46" s="35"/>
      <c r="BZ46" s="35"/>
      <c r="CA46" s="35"/>
      <c r="CB46" s="35"/>
      <c r="CC46" s="35"/>
      <c r="CD46" s="35"/>
      <c r="CE46" s="35"/>
      <c r="CF46" s="35"/>
      <c r="CG46" s="35"/>
      <c r="CH46" s="35"/>
      <c r="CI46" s="8"/>
      <c r="CJ46" s="8"/>
      <c r="CK46" s="8"/>
      <c r="CL46" s="336" t="str">
        <f>IF(OR(RIGHT(G45,3)="5Pr",RIGHT(G45,4)="10Pr",RIGHT(G45,4)="15Pr"),"28",IF(OR(RIGHT(G45,4)="20Pr",RIGHT(G45,4)="30Pr"),"36",IF(OR(RIGHT(G45,4)="50Pr",RIGHT(G45,4)="70Pr"),"42","")))</f>
        <v>28</v>
      </c>
      <c r="CM46" s="336" t="str">
        <f>IF(OR(RIGHT(G45,3)="5Pr",RIGHT(G45,4)="10Pr",RIGHT(G45,4)="15Pr"),"31",IF(OR(RIGHT(G45,4)="20Pr",RIGHT(G45,4)="30Pr"),"39",IF(OR(RIGHT(G45,4)="50Pr",RIGHT(G45,4)="70Pr"),"51","")))</f>
        <v>31</v>
      </c>
      <c r="CN46" s="86" t="str">
        <f>IF(OR(RIGHT(G46,3)="5Pr",RIGHT(G46,4)="10Pr",RIGHT(G46,4)="15Pr"),"28",IF(OR(RIGHT(G46,4)="20Pr",RIGHT(G46,4)="30Pr"),"36",IF(OR(RIGHT(G46,4)="50Pr",RIGHT(G46,4)="70Pr"),"42","")))</f>
        <v>36</v>
      </c>
      <c r="CO46" s="86" t="str">
        <f>IF(OR(RIGHT(G46,3)="5Pr",RIGHT(G46,4)="10Pr",RIGHT(G46,4)="15Pr"),"31",IF(OR(RIGHT(G46,4)="20Pr",RIGHT(G46,4)="30Pr"),"39",IF(OR(RIGHT(G46,4)="50Pr",RIGHT(G46,4)="70Pr"),"51","")))</f>
        <v>39</v>
      </c>
      <c r="CP46" s="9"/>
      <c r="CQ46" s="9"/>
      <c r="CR46" s="335">
        <f>IF(P40="不要","",SUM(CS46:CX46))</f>
        <v>33</v>
      </c>
      <c r="CS46" s="334">
        <f>IF(OR(CK40="",CK40="=",P40="不要"),0,IF(CK40="－",CL45+CS38,IF(CK40="+",CL45+CS54)))</f>
        <v>23</v>
      </c>
      <c r="CT46" s="188">
        <f>IF(OR(CK40="",CK40="=",P40="不要"),0,IF(CS46&lt;7,1,IF(CS46&lt;14,2,IF(CS46&lt;21,3,IF(CS46&lt;28,4,IF(CS46&lt;35,5,IF(CS46&lt;42,6,IF(CS46&lt;49,7,IF(CS46&lt;56,8,IF(CS46&lt;63,9,IF(CS46&lt;70,10,IF(CS46&lt;77,11,"---"))))))))))))</f>
        <v>4</v>
      </c>
      <c r="CU46" s="188">
        <f>IF(CS46=0,0,1)</f>
        <v>1</v>
      </c>
      <c r="CV46" s="333">
        <f>IF(CS46=0,0,1)</f>
        <v>1</v>
      </c>
      <c r="CW46" s="333">
        <f>IF(CS46=0,0,2)</f>
        <v>2</v>
      </c>
      <c r="CX46" s="333">
        <f>IF(CS46=0,0,2)</f>
        <v>2</v>
      </c>
      <c r="CY46" s="332">
        <f>IF(OR(BR49="",P40="不要"),0,IF(CK40="=",0,IF(CK40="－",2*BR41+3,IF(CK40="+",2*(BR41+BR49)+3,""))))</f>
        <v>35</v>
      </c>
      <c r="CZ46" s="216"/>
      <c r="DA46" s="9"/>
      <c r="DB46" s="127">
        <f t="shared" si="0"/>
        <v>8</v>
      </c>
      <c r="DC46" s="127" t="str">
        <f t="shared" si="1"/>
        <v/>
      </c>
      <c r="DD46" s="11" t="str">
        <f>CR40</f>
        <v>防火区画処理</v>
      </c>
      <c r="DE46" s="9"/>
      <c r="DF46" s="9"/>
      <c r="DG46" s="9"/>
      <c r="DH46" s="9" t="str">
        <f>IF(COUNTIF($DD$15:DD45,DD46)&gt;0,"",DD46)</f>
        <v/>
      </c>
      <c r="DI46" s="242">
        <f>CU40</f>
        <v>33</v>
      </c>
      <c r="DJ46" s="32">
        <f t="shared" si="10"/>
        <v>0</v>
      </c>
      <c r="DK46" s="127">
        <f t="shared" si="3"/>
        <v>4</v>
      </c>
      <c r="DL46" s="127" t="str">
        <f t="shared" si="4"/>
        <v/>
      </c>
      <c r="DM46" s="11" t="str">
        <f>IF(CY41="","",CV41)</f>
        <v/>
      </c>
      <c r="DN46" s="11"/>
      <c r="DO46" s="11"/>
      <c r="DP46" s="9"/>
      <c r="DQ46" s="9" t="str">
        <f>IF(COUNTIF($DM$15:DM45,DM46)&gt;0,"",DM46)</f>
        <v/>
      </c>
      <c r="DR46" s="101" t="str">
        <f>CY41</f>
        <v/>
      </c>
      <c r="DS46" s="32">
        <f t="shared" si="5"/>
        <v>8</v>
      </c>
      <c r="DT46" s="9"/>
      <c r="DU46" s="197">
        <f t="shared" si="6"/>
        <v>4</v>
      </c>
      <c r="DV46" s="197">
        <f t="shared" si="7"/>
        <v>4</v>
      </c>
      <c r="DW46" s="201" t="str">
        <f>T46</f>
        <v>C-39mm</v>
      </c>
      <c r="DX46" s="8"/>
      <c r="DY46" s="8"/>
      <c r="DZ46" s="8"/>
      <c r="EA46" s="8" t="str">
        <f>IF(COUNTIF($DW$15:DW45,DW46)&gt;0,"",DW46)</f>
        <v>C-39mm</v>
      </c>
      <c r="EB46" s="197">
        <f>AB46</f>
        <v>4</v>
      </c>
      <c r="EC46" s="32">
        <f ca="1">SUMIF($DW$17:$DW$185,EA46,$EB$17:$EB$184)</f>
        <v>4</v>
      </c>
    </row>
    <row r="47" spans="1:133" ht="11.25" customHeight="1">
      <c r="A47" s="15"/>
      <c r="B47" s="23"/>
      <c r="C47" s="37"/>
      <c r="D47" s="37"/>
      <c r="E47" s="37"/>
      <c r="F47" s="37"/>
      <c r="G47" s="331"/>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157"/>
      <c r="AH47" s="157"/>
      <c r="AI47" s="157"/>
      <c r="AJ47" s="157"/>
      <c r="AK47" s="157"/>
      <c r="AL47" s="157"/>
      <c r="AM47" s="157"/>
      <c r="AN47" s="377"/>
      <c r="AO47" s="377"/>
      <c r="AP47" s="377"/>
      <c r="AQ47" s="37"/>
      <c r="AR47" s="37"/>
      <c r="AS47" s="37"/>
      <c r="AT47" s="157"/>
      <c r="AU47" s="157"/>
      <c r="AV47" s="157"/>
      <c r="AW47" s="157"/>
      <c r="AX47" s="157"/>
      <c r="AY47" s="157"/>
      <c r="AZ47" s="157"/>
      <c r="BA47" s="377"/>
      <c r="BB47" s="377"/>
      <c r="BC47" s="377"/>
      <c r="BD47" s="37"/>
      <c r="BE47" s="37"/>
      <c r="BF47" s="37"/>
      <c r="BG47" s="157"/>
      <c r="BH47" s="157"/>
      <c r="BI47" s="157"/>
      <c r="BJ47" s="157"/>
      <c r="BK47" s="157"/>
      <c r="BL47" s="157"/>
      <c r="BM47" s="157"/>
      <c r="BN47" s="157"/>
      <c r="BO47" s="377"/>
      <c r="BP47" s="377"/>
      <c r="BQ47" s="377"/>
      <c r="BR47" s="37"/>
      <c r="BS47" s="37"/>
      <c r="BT47" s="37"/>
      <c r="BU47" s="19"/>
      <c r="BV47" s="35"/>
      <c r="BW47" s="99"/>
      <c r="BX47" s="35"/>
      <c r="BY47" s="35"/>
      <c r="BZ47" s="35"/>
      <c r="CA47" s="35"/>
      <c r="CB47" s="35"/>
      <c r="CC47" s="35"/>
      <c r="CD47" s="35"/>
      <c r="CE47" s="35"/>
      <c r="CF47" s="35"/>
      <c r="CG47" s="35"/>
      <c r="CH47" s="35"/>
      <c r="CI47" s="8"/>
      <c r="CJ47" s="8"/>
      <c r="CK47" s="8"/>
      <c r="CL47" s="394"/>
      <c r="CM47" s="394"/>
      <c r="CN47" s="394"/>
      <c r="CO47" s="394"/>
      <c r="CP47" s="9"/>
      <c r="CQ47" s="9"/>
      <c r="CR47" s="376"/>
      <c r="CS47" s="375"/>
      <c r="CT47" s="145"/>
      <c r="CU47" s="393"/>
      <c r="CV47" s="147"/>
      <c r="CW47" s="147"/>
      <c r="CX47" s="147"/>
      <c r="CY47" s="392"/>
      <c r="CZ47" s="216"/>
      <c r="DA47" s="9"/>
      <c r="DB47" s="127">
        <f t="shared" si="0"/>
        <v>8</v>
      </c>
      <c r="DC47" s="127" t="str">
        <f t="shared" si="1"/>
        <v/>
      </c>
      <c r="DD47" s="11"/>
      <c r="DE47" s="9"/>
      <c r="DF47" s="9"/>
      <c r="DG47" s="9"/>
      <c r="DH47" s="9"/>
      <c r="DI47" s="242"/>
      <c r="DJ47" s="32"/>
      <c r="DK47" s="127">
        <f t="shared" si="3"/>
        <v>4</v>
      </c>
      <c r="DL47" s="127" t="str">
        <f t="shared" si="4"/>
        <v/>
      </c>
      <c r="DM47" s="11" t="str">
        <f>IF(CY42="","",CV42)</f>
        <v>P1総合盤露出</v>
      </c>
      <c r="DN47" s="11"/>
      <c r="DO47" s="11"/>
      <c r="DP47" s="9"/>
      <c r="DQ47" s="9" t="str">
        <f>IF(COUNTIF($DM$15:DM46,DM47)&gt;0,"",DM47)</f>
        <v/>
      </c>
      <c r="DR47" s="101">
        <f>CY42</f>
        <v>9</v>
      </c>
      <c r="DS47" s="32">
        <f t="shared" si="5"/>
        <v>8</v>
      </c>
      <c r="DT47" s="9"/>
      <c r="DU47" s="197">
        <f t="shared" si="6"/>
        <v>4</v>
      </c>
      <c r="DV47" s="197" t="str">
        <f t="shared" si="7"/>
        <v/>
      </c>
      <c r="DW47" s="201"/>
      <c r="DX47" s="8"/>
      <c r="DY47" s="8"/>
      <c r="DZ47" s="8"/>
      <c r="EA47" s="8"/>
      <c r="EB47" s="197"/>
      <c r="EC47" s="32"/>
    </row>
    <row r="48" spans="1:133" ht="11.25" customHeight="1" thickBot="1">
      <c r="A48" s="374">
        <v>5</v>
      </c>
      <c r="B48" s="23"/>
      <c r="C48" s="2626" t="str">
        <f>非誘!J40</f>
        <v>( 4 )</v>
      </c>
      <c r="D48" s="2627"/>
      <c r="E48" s="2628"/>
      <c r="F48" s="2629" t="str">
        <f>非誘!M40</f>
        <v>百貨店等</v>
      </c>
      <c r="G48" s="2629"/>
      <c r="H48" s="2629"/>
      <c r="I48" s="2629"/>
      <c r="J48" s="2629"/>
      <c r="K48" s="2629"/>
      <c r="L48" s="2629"/>
      <c r="M48" s="2629"/>
      <c r="N48" s="2629"/>
      <c r="O48" s="2629"/>
      <c r="P48" s="2630" t="str">
        <f>IF(U48="",RIGHT($D$8,2),U48)</f>
        <v>設置</v>
      </c>
      <c r="Q48" s="2630"/>
      <c r="R48" s="2630"/>
      <c r="S48" s="2631"/>
      <c r="T48" s="31" t="s">
        <v>387</v>
      </c>
      <c r="U48" s="2632"/>
      <c r="V48" s="2632"/>
      <c r="W48" s="2632"/>
      <c r="X48" s="2633"/>
      <c r="Y48" s="2634" t="s">
        <v>20</v>
      </c>
      <c r="Z48" s="2634"/>
      <c r="AA48" s="2634"/>
      <c r="AB48" s="2634"/>
      <c r="AC48" s="2634"/>
      <c r="AD48" s="2635">
        <f>非誘!J41</f>
        <v>0.94339622641509435</v>
      </c>
      <c r="AE48" s="2635"/>
      <c r="AF48" s="2635"/>
      <c r="AG48" s="2635"/>
      <c r="AH48" s="2299" t="s">
        <v>135</v>
      </c>
      <c r="AI48" s="2299"/>
      <c r="AJ48" s="2299"/>
      <c r="AK48" s="2299"/>
      <c r="AL48" s="2299"/>
      <c r="AM48" s="2299" t="s">
        <v>366</v>
      </c>
      <c r="AN48" s="2299"/>
      <c r="AO48" s="2299"/>
      <c r="AP48" s="2299"/>
      <c r="AQ48" s="2569" t="str">
        <f>IF(AX48="","天井ケーブル",AX48)</f>
        <v>天井ケーブル</v>
      </c>
      <c r="AR48" s="2569"/>
      <c r="AS48" s="2569"/>
      <c r="AT48" s="2569"/>
      <c r="AU48" s="2569"/>
      <c r="AV48" s="2569"/>
      <c r="AW48" s="175" t="s">
        <v>387</v>
      </c>
      <c r="AX48" s="2338"/>
      <c r="AY48" s="2338"/>
      <c r="AZ48" s="2338"/>
      <c r="BA48" s="2338"/>
      <c r="BB48" s="2338"/>
      <c r="BC48" s="2338"/>
      <c r="BD48" s="2299" t="s">
        <v>363</v>
      </c>
      <c r="BE48" s="2299"/>
      <c r="BF48" s="2299"/>
      <c r="BG48" s="2299"/>
      <c r="BH48" s="2569" t="str">
        <f>IF(BO48="","天井(C 管)",BO48)</f>
        <v>天井(C 管)</v>
      </c>
      <c r="BI48" s="2569"/>
      <c r="BJ48" s="2569"/>
      <c r="BK48" s="2569"/>
      <c r="BL48" s="2569"/>
      <c r="BM48" s="2569"/>
      <c r="BN48" s="175" t="s">
        <v>387</v>
      </c>
      <c r="BO48" s="2338"/>
      <c r="BP48" s="2338"/>
      <c r="BQ48" s="2338"/>
      <c r="BR48" s="2338"/>
      <c r="BS48" s="2338"/>
      <c r="BT48" s="2622"/>
      <c r="BU48" s="19"/>
      <c r="BV48" s="35"/>
      <c r="BW48" s="99"/>
      <c r="BX48" s="35"/>
      <c r="BY48" s="35"/>
      <c r="BZ48" s="35"/>
      <c r="CA48" s="35"/>
      <c r="CB48" s="35"/>
      <c r="CC48" s="35"/>
      <c r="CD48" s="35"/>
      <c r="CE48" s="35"/>
      <c r="CF48" s="35"/>
      <c r="CG48" s="35"/>
      <c r="CH48" s="35"/>
      <c r="CI48" s="8">
        <v>23</v>
      </c>
      <c r="CJ48" s="97" t="str">
        <f>IF(LEFT(C49,2)=" B",-MID(C49,3,1),IF(C49="  RF","",LEFT(C49,3)))</f>
        <v xml:space="preserve">  3</v>
      </c>
      <c r="CK48" s="10" t="str">
        <f>IF(OR(C49="",C49="  RF"),"",IF(LEFT(C49,1)="P","+",IF($CJ$14&gt;CJ48,"－",IF($CJ$14=CJ48,"=","+"))))</f>
        <v>+</v>
      </c>
      <c r="CL48" s="2601" t="s">
        <v>376</v>
      </c>
      <c r="CM48" s="2601"/>
      <c r="CN48" s="2601"/>
      <c r="CO48" s="2601" t="s">
        <v>375</v>
      </c>
      <c r="CP48" s="2601"/>
      <c r="CQ48" s="2601"/>
      <c r="CR48" s="2589" t="str">
        <f>AG49</f>
        <v>防火区画処理</v>
      </c>
      <c r="CS48" s="2590"/>
      <c r="CT48" s="2591"/>
      <c r="CU48" s="184">
        <f>AN49</f>
        <v>32</v>
      </c>
      <c r="CV48" s="2589" t="str">
        <f>AG53</f>
        <v>光電式煙2種埋</v>
      </c>
      <c r="CW48" s="2590"/>
      <c r="CX48" s="2591"/>
      <c r="CY48" s="184">
        <f>AN53</f>
        <v>23</v>
      </c>
      <c r="CZ48" s="216"/>
      <c r="DA48" s="88">
        <v>5</v>
      </c>
      <c r="DB48" s="373">
        <f t="shared" si="0"/>
        <v>8</v>
      </c>
      <c r="DC48" s="45" t="str">
        <f t="shared" si="1"/>
        <v/>
      </c>
      <c r="DD48" s="45"/>
      <c r="DE48" s="45"/>
      <c r="DF48" s="45"/>
      <c r="DG48" s="45"/>
      <c r="DH48" s="45"/>
      <c r="DI48" s="45"/>
      <c r="DJ48" s="45"/>
      <c r="DK48" s="45">
        <f t="shared" si="3"/>
        <v>4</v>
      </c>
      <c r="DL48" s="45" t="str">
        <f t="shared" si="4"/>
        <v/>
      </c>
      <c r="DM48" s="154" t="str">
        <f>IF(CY43="","",CV43)</f>
        <v/>
      </c>
      <c r="DN48" s="154"/>
      <c r="DO48" s="154"/>
      <c r="DP48" s="45"/>
      <c r="DQ48" s="45" t="str">
        <f>IF(COUNTIF($DM$15:DM47,DM48)&gt;0,"",DM48)</f>
        <v/>
      </c>
      <c r="DR48" s="209" t="str">
        <f>CY43</f>
        <v/>
      </c>
      <c r="DS48" s="230">
        <f t="shared" si="5"/>
        <v>8</v>
      </c>
      <c r="DT48" s="88">
        <v>5</v>
      </c>
      <c r="DU48" s="204">
        <f t="shared" si="6"/>
        <v>4</v>
      </c>
      <c r="DV48" s="155" t="str">
        <f t="shared" si="7"/>
        <v/>
      </c>
      <c r="DW48" s="45"/>
      <c r="DX48" s="45"/>
      <c r="DY48" s="45"/>
      <c r="DZ48" s="45"/>
      <c r="EA48" s="45"/>
      <c r="EB48" s="45"/>
      <c r="EC48" s="45"/>
    </row>
    <row r="49" spans="1:133" ht="11.25" customHeight="1" thickBot="1">
      <c r="A49" s="15">
        <v>46</v>
      </c>
      <c r="B49" s="23"/>
      <c r="C49" s="2602" t="str">
        <f>IF($BW$3=0,"",非誘!C42)</f>
        <v xml:space="preserve">  3F</v>
      </c>
      <c r="D49" s="2603"/>
      <c r="E49" s="2604"/>
      <c r="F49" s="2605">
        <f>IF($BW$3=0,"",非誘!F42)</f>
        <v>4</v>
      </c>
      <c r="G49" s="2606"/>
      <c r="H49" s="2606"/>
      <c r="I49" s="2607"/>
      <c r="J49" s="2605">
        <f>IF($BW$3=0,"",非誘!J42)</f>
        <v>3</v>
      </c>
      <c r="K49" s="2606"/>
      <c r="L49" s="2606"/>
      <c r="M49" s="2607"/>
      <c r="N49" s="2608">
        <f>IF($BW$3=0,"",非誘!N42)</f>
        <v>3816</v>
      </c>
      <c r="O49" s="2609"/>
      <c r="P49" s="2609"/>
      <c r="Q49" s="2609"/>
      <c r="R49" s="2610"/>
      <c r="S49" s="2608">
        <f>IF($BW$3=0,"",非誘!S42)</f>
        <v>2671.2</v>
      </c>
      <c r="T49" s="2609"/>
      <c r="U49" s="2609"/>
      <c r="V49" s="2610"/>
      <c r="W49" s="2608">
        <f>IF($BW$3=0,"",非誘!W42)</f>
        <v>1144.8000000000002</v>
      </c>
      <c r="X49" s="2609"/>
      <c r="Y49" s="2609"/>
      <c r="Z49" s="2610"/>
      <c r="AA49" s="2611">
        <f>IF($BW$3=0,"",非誘!AA42)</f>
        <v>9</v>
      </c>
      <c r="AB49" s="2603"/>
      <c r="AC49" s="2604"/>
      <c r="AD49" s="2612">
        <f>IF($BW$3=0,"",非誘!AD42)</f>
        <v>29</v>
      </c>
      <c r="AE49" s="2613"/>
      <c r="AF49" s="2614"/>
      <c r="AG49" s="2615" t="str">
        <f>IF($B$2=0,"","防火区画処理")</f>
        <v>防火区画処理</v>
      </c>
      <c r="AH49" s="2615"/>
      <c r="AI49" s="2615"/>
      <c r="AJ49" s="2615"/>
      <c r="AK49" s="2615"/>
      <c r="AL49" s="2615"/>
      <c r="AM49" s="2615"/>
      <c r="AN49" s="2616">
        <f>IF(OR($B$2=0,C49="",P48="不要"),"",AZ49+BG49+BR49*2)</f>
        <v>32</v>
      </c>
      <c r="AO49" s="2616"/>
      <c r="AP49" s="2616"/>
      <c r="AQ49" s="2617" t="s">
        <v>374</v>
      </c>
      <c r="AR49" s="2617"/>
      <c r="AS49" s="2617"/>
      <c r="AT49" s="2617"/>
      <c r="AU49" s="2617"/>
      <c r="AV49" s="2618" t="s">
        <v>373</v>
      </c>
      <c r="AW49" s="2618"/>
      <c r="AX49" s="2618"/>
      <c r="AY49" s="2618"/>
      <c r="AZ49" s="2619">
        <f>IF(OR($B$2=0,C49="",P48="不要"),"",IF(LEFT(C49,1)="P",1+INT(W49/450),INT(S49/450)+1+INT(W49/450)))</f>
        <v>8</v>
      </c>
      <c r="BA49" s="2619"/>
      <c r="BB49" s="2619"/>
      <c r="BC49" s="2618" t="s">
        <v>372</v>
      </c>
      <c r="BD49" s="2618"/>
      <c r="BE49" s="2618"/>
      <c r="BF49" s="2618"/>
      <c r="BG49" s="2619">
        <f>IF(OR($B$2=0,C49="",P48="不要"),"",1+INT(N49/500))</f>
        <v>8</v>
      </c>
      <c r="BH49" s="2619"/>
      <c r="BI49" s="2619"/>
      <c r="BJ49" s="2617" t="s">
        <v>371</v>
      </c>
      <c r="BK49" s="2617"/>
      <c r="BL49" s="2617"/>
      <c r="BM49" s="2617"/>
      <c r="BN49" s="2617"/>
      <c r="BO49" s="2617"/>
      <c r="BP49" s="2617"/>
      <c r="BQ49" s="2617"/>
      <c r="BR49" s="2620">
        <f>IF(OR($B$2=0,C49="",P48="不要"),"",1+INT(0.055*N49^0.6))</f>
        <v>8</v>
      </c>
      <c r="BS49" s="2620"/>
      <c r="BT49" s="2621"/>
      <c r="BU49" s="19"/>
      <c r="BV49" s="35"/>
      <c r="BW49" s="99"/>
      <c r="BX49" s="35"/>
      <c r="BY49" s="35"/>
      <c r="BZ49" s="35"/>
      <c r="CA49" s="35"/>
      <c r="CB49" s="35"/>
      <c r="CC49" s="35"/>
      <c r="CD49" s="35"/>
      <c r="CE49" s="35"/>
      <c r="CF49" s="35"/>
      <c r="CG49" s="35"/>
      <c r="CH49" s="35"/>
      <c r="CI49" s="8">
        <v>2</v>
      </c>
      <c r="CJ49" s="88" t="s">
        <v>386</v>
      </c>
      <c r="CK49" s="88" t="s">
        <v>385</v>
      </c>
      <c r="CL49" s="372">
        <f>IF(C50="","",IF(AX54="①",CJ50+CK50+3,IF(AX54="②",CJ50*5/8+CK50+3,IF(AX54="③",CJ50/2+CK50+3,IF(AX54="④",CJ50+CK50*5/8+3,IF(AX54="⑤",(CJ50+CK50)*5/8+3,IF(AX54="⑥",CJ50/2+CK50*5/8+3,IF(AX54="⑦",CJ50+CK50/2+3,IF(AX54="⑧",CJ50*5/8+CK50/2+3,IF(AX54="⑨",(CJ50+CK50)/2+3))))))))))</f>
        <v>48.9</v>
      </c>
      <c r="CM49" s="371" t="s">
        <v>384</v>
      </c>
      <c r="CN49" s="371" t="s">
        <v>383</v>
      </c>
      <c r="CO49" s="370"/>
      <c r="CP49" s="371" t="s">
        <v>384</v>
      </c>
      <c r="CQ49" s="370" t="s">
        <v>383</v>
      </c>
      <c r="CR49" s="2589" t="str">
        <f>AG50</f>
        <v>差動SP2種埋</v>
      </c>
      <c r="CS49" s="2590"/>
      <c r="CT49" s="2591"/>
      <c r="CU49" s="184" t="str">
        <f>AN50</f>
        <v/>
      </c>
      <c r="CV49" s="2589" t="str">
        <f>AT52</f>
        <v>HP起動押ボタン</v>
      </c>
      <c r="CW49" s="2590"/>
      <c r="CX49" s="2591"/>
      <c r="CY49" s="184" t="str">
        <f>BA52</f>
        <v/>
      </c>
      <c r="CZ49" s="216"/>
      <c r="DA49" s="8"/>
      <c r="DB49" s="197">
        <f t="shared" ref="DB49:DB80" si="11">IF(DH49&lt;&gt;"",DB48+1,DB48)</f>
        <v>8</v>
      </c>
      <c r="DC49" s="197" t="str">
        <f t="shared" ref="DC49:DC80" si="12">IF(AND(DB49&lt;&gt;"",DH49&lt;&gt;""),DB49,"")</f>
        <v/>
      </c>
      <c r="DD49" s="201" t="str">
        <f>G50</f>
        <v>AE 0.9mm-4C</v>
      </c>
      <c r="DE49" s="8"/>
      <c r="DF49" s="8"/>
      <c r="DG49" s="8"/>
      <c r="DH49" s="8" t="str">
        <f>IF(COUNTIF($DD$15:DD48,DD49)&gt;0,"",DD49)</f>
        <v/>
      </c>
      <c r="DI49" s="252">
        <f>O50</f>
        <v>1100</v>
      </c>
      <c r="DJ49" s="32">
        <f t="shared" ref="DJ49:DJ54" si="13">SUMIF($DD$17:$DD$185,DH49,$DI$17:$DI$185)</f>
        <v>0</v>
      </c>
      <c r="DK49" s="197">
        <f t="shared" ref="DK49:DK80" si="14">IF(DQ49&lt;&gt;"",DK48+1,DK48)</f>
        <v>4</v>
      </c>
      <c r="DL49" s="197" t="str">
        <f t="shared" ref="DL49:DL80" si="15">IF(AND(DK49&lt;&gt;"",DQ49&lt;&gt;""),DK49,"")</f>
        <v/>
      </c>
      <c r="DM49" s="10" t="str">
        <f>IF(CU49="","",CR49)</f>
        <v/>
      </c>
      <c r="DN49" s="10" t="str">
        <f>CR49</f>
        <v>差動SP2種埋</v>
      </c>
      <c r="DO49" s="10"/>
      <c r="DP49" s="8"/>
      <c r="DQ49" s="8" t="str">
        <f>IF(COUNTIF($DM$15:DM48,DM49)&gt;0,"",DM49)</f>
        <v/>
      </c>
      <c r="DR49" s="200" t="str">
        <f>CU49</f>
        <v/>
      </c>
      <c r="DS49" s="32">
        <f t="shared" ref="DS49:DS80" si="16">SUMIF($DM$17:$DM$185,DQ49,$DR$17:$DR$185)</f>
        <v>8</v>
      </c>
      <c r="DT49" s="8"/>
      <c r="DU49" s="197">
        <f t="shared" ref="DU49:DU80" si="17">IF(EA49&lt;&gt;"",DU48+1,DU48)</f>
        <v>4</v>
      </c>
      <c r="DV49" s="197" t="str">
        <f t="shared" ref="DV49:DV80" si="18">IF(AND(DU49&lt;&gt;"",EA49&lt;&gt;""),DU49,"")</f>
        <v/>
      </c>
      <c r="DW49" s="201"/>
      <c r="DX49" s="8"/>
      <c r="DY49" s="8"/>
      <c r="DZ49" s="8"/>
      <c r="EA49" s="8"/>
      <c r="EB49" s="252"/>
      <c r="EC49" s="32"/>
    </row>
    <row r="50" spans="1:133" ht="11.25" customHeight="1">
      <c r="A50" s="15"/>
      <c r="B50" s="23"/>
      <c r="C50" s="2623" t="s">
        <v>366</v>
      </c>
      <c r="D50" s="2624"/>
      <c r="E50" s="2624"/>
      <c r="F50" s="2624"/>
      <c r="G50" s="2625" t="str">
        <f>IF(C49="","","AE 0.9mm-4C")</f>
        <v>AE 0.9mm-4C</v>
      </c>
      <c r="H50" s="2625"/>
      <c r="I50" s="2625"/>
      <c r="J50" s="2625"/>
      <c r="K50" s="2625"/>
      <c r="L50" s="2625"/>
      <c r="M50" s="2625"/>
      <c r="N50" s="2625"/>
      <c r="O50" s="2593">
        <f>IF($B$2=0,"",IF(OR(C49="",P48="不要"),"",ROUND((CM50+CN50),0)))</f>
        <v>1100</v>
      </c>
      <c r="P50" s="2593"/>
      <c r="Q50" s="2593"/>
      <c r="R50" s="2593"/>
      <c r="S50" s="2593"/>
      <c r="T50" s="2593" t="str">
        <f>IF(OR($B$2=0,C49="",P48="不要"),"",IF(AQ48="天井ケーブル","C-19mm",IF(MID(AQ48,4,2)="PF","PF-16mm",IF(MID(AQ48,4,2)="CD","CD-16mm",IF(MID(AQ48,4,2)="C ","C-19mm",IF(MID(AQ48,4,2)="G ","G-16mm",""))))))</f>
        <v>C-19mm</v>
      </c>
      <c r="U50" s="2593"/>
      <c r="V50" s="2593"/>
      <c r="W50" s="2593"/>
      <c r="X50" s="2593"/>
      <c r="Y50" s="2593"/>
      <c r="Z50" s="2593"/>
      <c r="AA50" s="2593"/>
      <c r="AB50" s="2593">
        <f>IF(OR($B$2=0,C49="",P48="不要"),"",IF(CQ50="",ROUND(CP50,0),ROUND((CP50+CQ50),0)))</f>
        <v>2</v>
      </c>
      <c r="AC50" s="2593"/>
      <c r="AD50" s="2593"/>
      <c r="AE50" s="2593"/>
      <c r="AF50" s="2593"/>
      <c r="AG50" s="2595" t="str">
        <f>IF($B$2=0,"","差動SP2種埋")</f>
        <v>差動SP2種埋</v>
      </c>
      <c r="AH50" s="2595"/>
      <c r="AI50" s="2595"/>
      <c r="AJ50" s="2595"/>
      <c r="AK50" s="2595"/>
      <c r="AL50" s="2595"/>
      <c r="AM50" s="2595"/>
      <c r="AN50" s="2593" t="str">
        <f>IF(OR(C49="",P48="不要"),"",IF(AQ50&lt;&gt;"",AQ50,IF(AX54="B","",IF(AZ53="無窓","",IF(AND(BL53="耐 火",AZ53="有窓"),BZ50+CA50,CD50+CE50)))))</f>
        <v/>
      </c>
      <c r="AO50" s="2593"/>
      <c r="AP50" s="2593"/>
      <c r="AQ50" s="2594"/>
      <c r="AR50" s="2594"/>
      <c r="AS50" s="2594"/>
      <c r="AT50" s="2595" t="str">
        <f>IF($B$2=0,"","P1総合盤露出")</f>
        <v>P1総合盤露出</v>
      </c>
      <c r="AU50" s="2595"/>
      <c r="AV50" s="2595"/>
      <c r="AW50" s="2595"/>
      <c r="AX50" s="2595"/>
      <c r="AY50" s="2595"/>
      <c r="AZ50" s="2595"/>
      <c r="BA50" s="2593">
        <f>IF(P48="不要","",IF(BD50&lt;&gt;"",BD50,IF([4]Top!$BD$51="要","",AZ49)))</f>
        <v>8</v>
      </c>
      <c r="BB50" s="2593"/>
      <c r="BC50" s="2593"/>
      <c r="BD50" s="2594"/>
      <c r="BE50" s="2594"/>
      <c r="BF50" s="2594"/>
      <c r="BG50" s="2597" t="str">
        <f>IF($B$2=0,"","ﾗｯﾁ電磁レリーズ")</f>
        <v>ﾗｯﾁ電磁レリーズ</v>
      </c>
      <c r="BH50" s="2597"/>
      <c r="BI50" s="2597"/>
      <c r="BJ50" s="2597"/>
      <c r="BK50" s="2597"/>
      <c r="BL50" s="2597"/>
      <c r="BM50" s="2597"/>
      <c r="BN50" s="2597"/>
      <c r="BO50" s="2593">
        <f>IF(P48="不要","",IF(BR50&lt;&gt;"",BR50,BR49))</f>
        <v>8</v>
      </c>
      <c r="BP50" s="2593"/>
      <c r="BQ50" s="2593"/>
      <c r="BR50" s="2594"/>
      <c r="BS50" s="2594"/>
      <c r="BT50" s="2596"/>
      <c r="BU50" s="19"/>
      <c r="BV50" s="35"/>
      <c r="BW50" s="351" t="s">
        <v>365</v>
      </c>
      <c r="BX50" s="368"/>
      <c r="BY50" s="369"/>
      <c r="BZ50" s="344">
        <f>IF(AA49="",0,IF(OR([6]Top!$BD$72&lt;&gt;"要",C49=""),"",IF(J49&gt;=4,1+INT(AA49*2.4),1+INT(AA49*1.2))))</f>
        <v>11</v>
      </c>
      <c r="CA50" s="360">
        <f>IF(OR([6]Top!$BD$72&lt;&gt;"要",C49=""),"",IF(J49&gt;=4,1+INT(AD49*2.4),1+INT(AD49*1.2)))</f>
        <v>35</v>
      </c>
      <c r="CB50" s="368"/>
      <c r="CC50" s="369"/>
      <c r="CD50" s="343">
        <f>IF($AX$8&lt;=500,BZ50*2,1+INT(BZ50*2.5))</f>
        <v>28</v>
      </c>
      <c r="CE50" s="360">
        <f>IF($AX$8&lt;=500,CA50*2,1+INT(CA50*2.5))</f>
        <v>88</v>
      </c>
      <c r="CF50" s="368"/>
      <c r="CG50" s="367"/>
      <c r="CH50" s="35"/>
      <c r="CI50" s="133">
        <f>IF(AZ49&lt;&gt;"",AZ49,0)</f>
        <v>8</v>
      </c>
      <c r="CJ50" s="98">
        <f>非誘!BW42</f>
        <v>30</v>
      </c>
      <c r="CK50" s="98">
        <f>非誘!BX42</f>
        <v>31.8</v>
      </c>
      <c r="CL50" s="88" t="s">
        <v>364</v>
      </c>
      <c r="CM50" s="185">
        <f>IF(OR(C49="",C49="  RF"),"",IF(J49="直天",$AN$10/1000+F49-1.2+SQRT(CK51/CM51),$AN$10/1000+J49-1.2+SQRT(CK51/CM51)))</f>
        <v>14.741674742519585</v>
      </c>
      <c r="CN50" s="185">
        <f>IF(OR(C49="",P48="不要"),"",CL49+CK52*AZ49)</f>
        <v>1085.7</v>
      </c>
      <c r="CO50" s="88" t="s">
        <v>364</v>
      </c>
      <c r="CP50" s="185">
        <f>IF(OR(C49="",C49="  RF"),"",IF(J49="直天",F49-1.2+SQRT(CK51/CM51),IF(AQ48="天井ケーブル",J49-1.2,J49-1.2+SQRT(CK51/CM51))))</f>
        <v>1.8</v>
      </c>
      <c r="CQ50" s="356" t="str">
        <f>IF(OR(C49="",C49="  RF"),"",IF(AQ48="天井ケーブル","",(CM51-1)*SQRT(CK51/CM51)))</f>
        <v/>
      </c>
      <c r="CR50" s="2589" t="str">
        <f>AG51</f>
        <v>定温SP1種WP</v>
      </c>
      <c r="CS50" s="2590"/>
      <c r="CT50" s="2591"/>
      <c r="CU50" s="184">
        <f>AN51</f>
        <v>6</v>
      </c>
      <c r="CV50" s="2589" t="str">
        <f>AT50</f>
        <v>P1総合盤露出</v>
      </c>
      <c r="CW50" s="2590"/>
      <c r="CX50" s="2591"/>
      <c r="CY50" s="184">
        <f>BA50</f>
        <v>8</v>
      </c>
      <c r="CZ50" s="216"/>
      <c r="DA50" s="8"/>
      <c r="DB50" s="197">
        <f t="shared" si="11"/>
        <v>8</v>
      </c>
      <c r="DC50" s="197" t="str">
        <f t="shared" si="12"/>
        <v/>
      </c>
      <c r="DD50" s="201" t="str">
        <f>G51</f>
        <v>HP 1.2mm-3C</v>
      </c>
      <c r="DE50" s="8"/>
      <c r="DF50" s="8"/>
      <c r="DG50" s="8"/>
      <c r="DH50" s="8" t="str">
        <f>IF(COUNTIF($DD$15:DD49,DD50)&gt;0,"",DD50)</f>
        <v/>
      </c>
      <c r="DI50" s="252">
        <f>O51</f>
        <v>21</v>
      </c>
      <c r="DJ50" s="32">
        <f t="shared" si="13"/>
        <v>0</v>
      </c>
      <c r="DK50" s="197">
        <f t="shared" si="14"/>
        <v>4</v>
      </c>
      <c r="DL50" s="197" t="str">
        <f t="shared" si="15"/>
        <v/>
      </c>
      <c r="DM50" s="10" t="str">
        <f>IF(CU50="","",CR50)</f>
        <v>定温SP1種WP</v>
      </c>
      <c r="DN50" s="10" t="str">
        <f>CR50</f>
        <v>定温SP1種WP</v>
      </c>
      <c r="DO50" s="10"/>
      <c r="DP50" s="8"/>
      <c r="DQ50" s="8" t="str">
        <f>IF(COUNTIF($DM$15:DM49,DM50)&gt;0,"",DM50)</f>
        <v/>
      </c>
      <c r="DR50" s="200">
        <f>CU50</f>
        <v>6</v>
      </c>
      <c r="DS50" s="32">
        <f t="shared" si="16"/>
        <v>8</v>
      </c>
      <c r="DT50" s="8"/>
      <c r="DU50" s="197">
        <f t="shared" si="17"/>
        <v>4</v>
      </c>
      <c r="DV50" s="197" t="str">
        <f t="shared" si="18"/>
        <v/>
      </c>
      <c r="DW50" s="201" t="str">
        <f>T50</f>
        <v>C-19mm</v>
      </c>
      <c r="DX50" s="8"/>
      <c r="DY50" s="8"/>
      <c r="DZ50" s="8"/>
      <c r="EA50" s="8" t="str">
        <f>IF(COUNTIF($DW$15:DW49,DW50)&gt;0,"",DW50)</f>
        <v/>
      </c>
      <c r="EB50" s="197">
        <f>AB50</f>
        <v>2</v>
      </c>
      <c r="EC50" s="32">
        <f ca="1">SUMIF($DW$17:$DW$185,EA50,$EB$17:$EB$184)</f>
        <v>0</v>
      </c>
    </row>
    <row r="51" spans="1:133" ht="11.25" customHeight="1" thickBot="1">
      <c r="A51" s="15"/>
      <c r="B51" s="176"/>
      <c r="C51" s="2568" t="s">
        <v>363</v>
      </c>
      <c r="D51" s="2569"/>
      <c r="E51" s="2569"/>
      <c r="F51" s="2569"/>
      <c r="G51" s="2592" t="str">
        <f>IF(C49="","","HP 1.2mm-3C")</f>
        <v>HP 1.2mm-3C</v>
      </c>
      <c r="H51" s="2592"/>
      <c r="I51" s="2592"/>
      <c r="J51" s="2592"/>
      <c r="K51" s="2592"/>
      <c r="L51" s="2592"/>
      <c r="M51" s="2592"/>
      <c r="N51" s="2592"/>
      <c r="O51" s="2557">
        <f>IF($B$2=0,"",IF(OR(C49="",P48="不要"),"",ROUND(CN52,0)))</f>
        <v>21</v>
      </c>
      <c r="P51" s="2557"/>
      <c r="Q51" s="2557"/>
      <c r="R51" s="2557"/>
      <c r="S51" s="2557"/>
      <c r="T51" s="2557" t="str">
        <f>IF(OR($B$2=0,C49="",P48="不要"),"",IF(BH48="天井ケーブル","C-19mm",IF(MID(BH48,4,2)="PF","PF-16mm",IF(MID(BH48,4,2)="CD","CD-16mm",IF(MID(BH48,4,2)="C ","C-19mm",IF(MID(BH48,4,2)="G ","G-16mm",""))))))</f>
        <v>C-19mm</v>
      </c>
      <c r="U51" s="2557"/>
      <c r="V51" s="2557"/>
      <c r="W51" s="2557"/>
      <c r="X51" s="2557"/>
      <c r="Y51" s="2557"/>
      <c r="Z51" s="2557"/>
      <c r="AA51" s="2557"/>
      <c r="AB51" s="2557">
        <f>IF($B$2=0,"",IF(OR(C49="",P48="不要",CQ53=""),"",CQ52+CQ53))</f>
        <v>22.4</v>
      </c>
      <c r="AC51" s="2557"/>
      <c r="AD51" s="2557"/>
      <c r="AE51" s="2557"/>
      <c r="AF51" s="2557"/>
      <c r="AG51" s="2572" t="str">
        <f>IF($B$2=0,"","定温SP1種WP")</f>
        <v>定温SP1種WP</v>
      </c>
      <c r="AH51" s="2572"/>
      <c r="AI51" s="2572"/>
      <c r="AJ51" s="2572"/>
      <c r="AK51" s="2572"/>
      <c r="AL51" s="2572"/>
      <c r="AM51" s="2572"/>
      <c r="AN51" s="2312">
        <f>IF(OR($B$2=0,P48="不要"),"",IF(AQ51&lt;&gt;"",AQ51,CA51))</f>
        <v>6</v>
      </c>
      <c r="AO51" s="2312"/>
      <c r="AP51" s="2312"/>
      <c r="AQ51" s="2575"/>
      <c r="AR51" s="2575"/>
      <c r="AS51" s="2575"/>
      <c r="AT51" s="2572" t="str">
        <f>IF($B$2=0,"","P1総合盤埋込")</f>
        <v>P1総合盤埋込</v>
      </c>
      <c r="AU51" s="2572"/>
      <c r="AV51" s="2572"/>
      <c r="AW51" s="2572"/>
      <c r="AX51" s="2572"/>
      <c r="AY51" s="2572"/>
      <c r="AZ51" s="2572"/>
      <c r="BA51" s="2312" t="str">
        <f>IF(P48="不要","",IF(BD51&lt;&gt;"",BD51,IF([4]Top!$BD$51&lt;&gt;"要","",AZ49)))</f>
        <v/>
      </c>
      <c r="BB51" s="2312"/>
      <c r="BC51" s="2312"/>
      <c r="BD51" s="2575"/>
      <c r="BE51" s="2575"/>
      <c r="BF51" s="2575"/>
      <c r="BG51" s="2572" t="str">
        <f>IF($B$2=0,"","ｱｰﾑ電磁レリーズ")</f>
        <v>ｱｰﾑ電磁レリーズ</v>
      </c>
      <c r="BH51" s="2572"/>
      <c r="BI51" s="2572"/>
      <c r="BJ51" s="2572"/>
      <c r="BK51" s="2572"/>
      <c r="BL51" s="2572"/>
      <c r="BM51" s="2572"/>
      <c r="BN51" s="2572"/>
      <c r="BO51" s="2312">
        <f>IF(P48="不要","",IF(BR51&lt;&gt;"",BR51,BR49))</f>
        <v>8</v>
      </c>
      <c r="BP51" s="2312"/>
      <c r="BQ51" s="2312"/>
      <c r="BR51" s="2575"/>
      <c r="BS51" s="2575"/>
      <c r="BT51" s="2576"/>
      <c r="BU51" s="19"/>
      <c r="BV51" s="35"/>
      <c r="BW51" s="351" t="s">
        <v>362</v>
      </c>
      <c r="BX51" s="348"/>
      <c r="BY51" s="349">
        <f>CA51</f>
        <v>6</v>
      </c>
      <c r="BZ51" s="366"/>
      <c r="CA51" s="360">
        <f>IF(C49="","",1+INT(W49/200))</f>
        <v>6</v>
      </c>
      <c r="CB51" s="348"/>
      <c r="CC51" s="359">
        <f>CA51</f>
        <v>6</v>
      </c>
      <c r="CD51" s="365"/>
      <c r="CE51" s="349">
        <f>CA51</f>
        <v>6</v>
      </c>
      <c r="CF51" s="348"/>
      <c r="CG51" s="357">
        <f>CA51</f>
        <v>6</v>
      </c>
      <c r="CH51" s="35"/>
      <c r="CI51" s="133">
        <f>IF(BG49&lt;&gt;"",BG49,0)</f>
        <v>8</v>
      </c>
      <c r="CJ51" s="88" t="s">
        <v>361</v>
      </c>
      <c r="CK51" s="107">
        <f>N49</f>
        <v>3816</v>
      </c>
      <c r="CL51" s="88" t="s">
        <v>360</v>
      </c>
      <c r="CM51" s="185">
        <f>SUM(AN50:AP54)</f>
        <v>35</v>
      </c>
      <c r="CN51" s="364"/>
      <c r="CO51" s="168"/>
      <c r="CP51" s="363"/>
      <c r="CQ51" s="150"/>
      <c r="CR51" s="2598" t="str">
        <f>AG52</f>
        <v>補償SP2種</v>
      </c>
      <c r="CS51" s="2599"/>
      <c r="CT51" s="2600"/>
      <c r="CU51" s="362">
        <f>AN52</f>
        <v>6</v>
      </c>
      <c r="CV51" s="2598" t="str">
        <f>AT51</f>
        <v>P1総合盤埋込</v>
      </c>
      <c r="CW51" s="2599"/>
      <c r="CX51" s="2600"/>
      <c r="CY51" s="362" t="str">
        <f>BA51</f>
        <v/>
      </c>
      <c r="CZ51" s="216"/>
      <c r="DA51" s="8"/>
      <c r="DB51" s="197">
        <f t="shared" si="11"/>
        <v>8</v>
      </c>
      <c r="DC51" s="197" t="str">
        <f t="shared" si="12"/>
        <v/>
      </c>
      <c r="DD51" s="201" t="str">
        <f>G52</f>
        <v>HP 1.2mm-5C</v>
      </c>
      <c r="DE51" s="8"/>
      <c r="DF51" s="8"/>
      <c r="DG51" s="8"/>
      <c r="DH51" s="8" t="str">
        <f>IF(COUNTIF($DD$15:DD50,DD51)&gt;0,"",DD51)</f>
        <v/>
      </c>
      <c r="DI51" s="252">
        <f>O52</f>
        <v>49</v>
      </c>
      <c r="DJ51" s="32">
        <f t="shared" si="13"/>
        <v>0</v>
      </c>
      <c r="DK51" s="197">
        <f t="shared" si="14"/>
        <v>4</v>
      </c>
      <c r="DL51" s="197" t="str">
        <f t="shared" si="15"/>
        <v/>
      </c>
      <c r="DM51" s="10" t="str">
        <f>IF(CU51="","",CR51)</f>
        <v>補償SP2種</v>
      </c>
      <c r="DN51" s="10" t="str">
        <f>CR51</f>
        <v>補償SP2種</v>
      </c>
      <c r="DO51" s="10"/>
      <c r="DP51" s="8"/>
      <c r="DQ51" s="8" t="str">
        <f>IF(COUNTIF($DM$15:DM50,DM51)&gt;0,"",DM51)</f>
        <v/>
      </c>
      <c r="DR51" s="200">
        <f>CU51</f>
        <v>6</v>
      </c>
      <c r="DS51" s="32">
        <f t="shared" si="16"/>
        <v>8</v>
      </c>
      <c r="DT51" s="8"/>
      <c r="DU51" s="197">
        <f t="shared" si="17"/>
        <v>4</v>
      </c>
      <c r="DV51" s="197" t="str">
        <f t="shared" si="18"/>
        <v/>
      </c>
      <c r="DW51" s="201" t="str">
        <f>T51</f>
        <v>C-19mm</v>
      </c>
      <c r="DX51" s="8"/>
      <c r="DY51" s="8"/>
      <c r="DZ51" s="8"/>
      <c r="EA51" s="8" t="str">
        <f>IF(COUNTIF($DW$15:DW50,DW51)&gt;0,"",DW51)</f>
        <v/>
      </c>
      <c r="EB51" s="197">
        <f>AB51</f>
        <v>22.4</v>
      </c>
      <c r="EC51" s="32">
        <f ca="1">SUMIF($DW$17:$DW$185,EA51,$EB$17:$EB$184)</f>
        <v>0</v>
      </c>
    </row>
    <row r="52" spans="1:133" ht="11.25" customHeight="1" thickBot="1">
      <c r="A52" s="15"/>
      <c r="B52" s="23"/>
      <c r="C52" s="2568"/>
      <c r="D52" s="2569"/>
      <c r="E52" s="2569"/>
      <c r="F52" s="2569"/>
      <c r="G52" s="2584" t="str">
        <f>IF(C49="","","HP 1.2mm-5C")</f>
        <v>HP 1.2mm-5C</v>
      </c>
      <c r="H52" s="2584"/>
      <c r="I52" s="2584"/>
      <c r="J52" s="2584"/>
      <c r="K52" s="2584"/>
      <c r="L52" s="2584"/>
      <c r="M52" s="2584"/>
      <c r="N52" s="2584"/>
      <c r="O52" s="2585">
        <f>IF($B$2=0,"",IF(OR(C49="",P48="不要"),"",ROUND(CM52,0)))</f>
        <v>49</v>
      </c>
      <c r="P52" s="2585"/>
      <c r="Q52" s="2585"/>
      <c r="R52" s="2585"/>
      <c r="S52" s="2585"/>
      <c r="T52" s="2585" t="str">
        <f>IF(OR($B$2=0,C49="",P48="不要"),"",IF(BH48="天井ケーブル","C-25mm",IF(MID(BH48,4,2)="PF","PF-22mm",IF(MID(BH48,4,2)="CD","CD-22mm",IF(MID(BH48,4,2)="C ","C-25mm",IF(MID(BH48,4,2)="G ","G-22mm",""))))))</f>
        <v>C-25mm</v>
      </c>
      <c r="U52" s="2585"/>
      <c r="V52" s="2585"/>
      <c r="W52" s="2585"/>
      <c r="X52" s="2585"/>
      <c r="Y52" s="2585"/>
      <c r="Z52" s="2585"/>
      <c r="AA52" s="2585"/>
      <c r="AB52" s="2585">
        <f>IF(OR($B$2=0,C49="",P48="不要"),"",CP52)</f>
        <v>1.8</v>
      </c>
      <c r="AC52" s="2585"/>
      <c r="AD52" s="2585"/>
      <c r="AE52" s="2585"/>
      <c r="AF52" s="2585"/>
      <c r="AG52" s="2572" t="str">
        <f>IF($B$2=0,"","補償SP2種")</f>
        <v>補償SP2種</v>
      </c>
      <c r="AH52" s="2572"/>
      <c r="AI52" s="2572"/>
      <c r="AJ52" s="2572"/>
      <c r="AK52" s="2572"/>
      <c r="AL52" s="2572"/>
      <c r="AM52" s="2572"/>
      <c r="AN52" s="2312">
        <f>IF(OR($B$2=0,P48="不要"),"",IF(AQ52&lt;&gt;"",AQ52,CA52))</f>
        <v>6</v>
      </c>
      <c r="AO52" s="2312"/>
      <c r="AP52" s="2312"/>
      <c r="AQ52" s="2575"/>
      <c r="AR52" s="2575"/>
      <c r="AS52" s="2575"/>
      <c r="AT52" s="2546" t="str">
        <f>IF($B$2=0,"","HP起動押ボタン")</f>
        <v>HP起動押ボタン</v>
      </c>
      <c r="AU52" s="2546"/>
      <c r="AV52" s="2546"/>
      <c r="AW52" s="2546"/>
      <c r="AX52" s="2546"/>
      <c r="AY52" s="2546"/>
      <c r="AZ52" s="2546"/>
      <c r="BA52" s="2544" t="str">
        <f>IF(P48="不要","",IF(BD52&lt;&gt;"",BD52,IF([4]Top!$BL$51="要",AZ49,"")))</f>
        <v/>
      </c>
      <c r="BB52" s="2544"/>
      <c r="BC52" s="2544"/>
      <c r="BD52" s="2573"/>
      <c r="BE52" s="2573"/>
      <c r="BF52" s="2573"/>
      <c r="BG52" s="2546" t="str">
        <f>IF($B$2=0,"","光電式煙3種埋")</f>
        <v>光電式煙3種埋</v>
      </c>
      <c r="BH52" s="2546"/>
      <c r="BI52" s="2546"/>
      <c r="BJ52" s="2546"/>
      <c r="BK52" s="2546"/>
      <c r="BL52" s="2546"/>
      <c r="BM52" s="2546"/>
      <c r="BN52" s="2546"/>
      <c r="BO52" s="2544">
        <f>IF(OR($B$2=0,C49="",P48="不要"),"",IF(BR52&lt;&gt;"",BR52,2*BR49))</f>
        <v>16</v>
      </c>
      <c r="BP52" s="2544"/>
      <c r="BQ52" s="2544"/>
      <c r="BR52" s="2573"/>
      <c r="BS52" s="2573"/>
      <c r="BT52" s="2574"/>
      <c r="BU52" s="19"/>
      <c r="BV52" s="35"/>
      <c r="BW52" s="351" t="s">
        <v>359</v>
      </c>
      <c r="BX52" s="361"/>
      <c r="BY52" s="349">
        <f>CA52</f>
        <v>6</v>
      </c>
      <c r="BZ52" s="348"/>
      <c r="CA52" s="360">
        <f>IF(C49="","",1+INT(W49/200))</f>
        <v>6</v>
      </c>
      <c r="CB52" s="358"/>
      <c r="CC52" s="359">
        <f>CA52</f>
        <v>6</v>
      </c>
      <c r="CD52" s="346"/>
      <c r="CE52" s="349">
        <f>CA52</f>
        <v>6</v>
      </c>
      <c r="CF52" s="358"/>
      <c r="CG52" s="357">
        <f>CA52</f>
        <v>6</v>
      </c>
      <c r="CH52" s="35"/>
      <c r="CI52" s="133">
        <f>IF(BR49&lt;&gt;"",BR49,0)</f>
        <v>8</v>
      </c>
      <c r="CJ52" s="88" t="s">
        <v>121</v>
      </c>
      <c r="CK52" s="187">
        <f>IF(OR(C49="",C49="  RF"),"",IF($AX$8=0,0,2*($AX$8/1000-0.15-0.1)*(INT(1000*CJ50/$BF$8)+1)*(INT(1000*CK50/$BF$8)+1)*4))</f>
        <v>129.6</v>
      </c>
      <c r="CL52" s="187" t="s">
        <v>358</v>
      </c>
      <c r="CM52" s="139">
        <f>IF(OR(C49="",C49="  RF"),"",IF(J49="直天",$AN$8/1000+F49-1.2+CJ50+CK50/2,$AN$8/1000+J49-1.2+CJ50+CK50/2))</f>
        <v>49.199999999999996</v>
      </c>
      <c r="CN52" s="136">
        <f>IF(OR(C49="",C49="  RF"),"",IF(J49="直天",F49-$Y$8/1000+F49-$Y$9/1000+2*8+($AN$7+2*$AN$9)/1000,J49-$Y$8/1000+J49-$Y$9/1000+2*8+($AN$7+2*$AN$9)/1000))</f>
        <v>20.599999999999998</v>
      </c>
      <c r="CO52" s="151" t="s">
        <v>358</v>
      </c>
      <c r="CP52" s="185">
        <f>IF(OR(C49="",C49="  RF"),"",IF(J49="直天",F49-1.2+CJ50+CK50/2,IF(AQ48="天井ケーブル",J49-1.2,J49-1.2+CJ50+CK50/2)))</f>
        <v>1.8</v>
      </c>
      <c r="CQ52" s="356">
        <f>IF(OR(C49="",C49="  RF"),"",IF(J49="直天",F49-$Y$8/1000+F49-$Y$9/1000+2*8,IF(BH48="天井ケーブル",J49-$Y$8/1000+J49-$Y$9/1000,J49-$Y$8/1000+J49-$Y$9/1000+2*8)))</f>
        <v>18.399999999999999</v>
      </c>
      <c r="CR52" s="355" t="s">
        <v>87</v>
      </c>
      <c r="CS52" s="336" t="s">
        <v>395</v>
      </c>
      <c r="CT52" s="336" t="s">
        <v>394</v>
      </c>
      <c r="CU52" s="192" t="s">
        <v>393</v>
      </c>
      <c r="CV52" s="336" t="s">
        <v>392</v>
      </c>
      <c r="CW52" s="336" t="s">
        <v>391</v>
      </c>
      <c r="CX52" s="336" t="s">
        <v>390</v>
      </c>
      <c r="CY52" s="354" t="s">
        <v>389</v>
      </c>
      <c r="CZ52" s="216"/>
      <c r="DA52" s="8"/>
      <c r="DB52" s="197">
        <f t="shared" si="11"/>
        <v>8</v>
      </c>
      <c r="DC52" s="197" t="str">
        <f t="shared" si="12"/>
        <v/>
      </c>
      <c r="DD52" s="201" t="str">
        <f>G53</f>
        <v>FCPEV 0.9- 10Pr</v>
      </c>
      <c r="DE52" s="8"/>
      <c r="DF52" s="8"/>
      <c r="DG52" s="8"/>
      <c r="DH52" s="8" t="str">
        <f>IF(COUNTIF($DD$15:DD51,DD52)&gt;0,"",DD52)</f>
        <v/>
      </c>
      <c r="DI52" s="252">
        <f>O53</f>
        <v>123</v>
      </c>
      <c r="DJ52" s="32">
        <f t="shared" si="13"/>
        <v>0</v>
      </c>
      <c r="DK52" s="197">
        <f t="shared" si="14"/>
        <v>4</v>
      </c>
      <c r="DL52" s="197" t="str">
        <f t="shared" si="15"/>
        <v/>
      </c>
      <c r="DM52" s="11" t="str">
        <f>IF(CY48="","",CV48)</f>
        <v>光電式煙2種埋</v>
      </c>
      <c r="DN52" s="11"/>
      <c r="DO52" s="11"/>
      <c r="DP52" s="9"/>
      <c r="DQ52" s="9" t="str">
        <f>IF(COUNTIF($DM$15:DM51,DM52)&gt;0,"",DM52)</f>
        <v/>
      </c>
      <c r="DR52" s="200">
        <f>CY48</f>
        <v>23</v>
      </c>
      <c r="DS52" s="32">
        <f t="shared" si="16"/>
        <v>8</v>
      </c>
      <c r="DT52" s="8"/>
      <c r="DU52" s="197">
        <f t="shared" si="17"/>
        <v>4</v>
      </c>
      <c r="DV52" s="197" t="str">
        <f t="shared" si="18"/>
        <v/>
      </c>
      <c r="DW52" s="201" t="str">
        <f>T52</f>
        <v>C-25mm</v>
      </c>
      <c r="DX52" s="8"/>
      <c r="DY52" s="8"/>
      <c r="DZ52" s="8"/>
      <c r="EA52" s="8" t="str">
        <f>IF(COUNTIF($DW$15:DW51,DW52)&gt;0,"",DW52)</f>
        <v/>
      </c>
      <c r="EB52" s="197">
        <f>AB52</f>
        <v>1.8</v>
      </c>
      <c r="EC52" s="32">
        <f ca="1">SUMIF($DW$17:$DW$185,EA52,$EB$17:$EB$184)</f>
        <v>0</v>
      </c>
    </row>
    <row r="53" spans="1:133" ht="11.25" customHeight="1" thickBot="1">
      <c r="A53" s="15"/>
      <c r="B53" s="23"/>
      <c r="C53" s="2568" t="s">
        <v>352</v>
      </c>
      <c r="D53" s="2569"/>
      <c r="E53" s="2569"/>
      <c r="F53" s="2569"/>
      <c r="G53" s="2557" t="str">
        <f>IF(OR($B$2=0,C49="",P48="不要"),"",IF(CR53&lt;10,"FCPEV 0.9-5Pr",IF(CR53&lt;20,"FCPEV 0.9- 10Pr",IF(CR53&lt;30,"FCPEV 0.9- 15Pr",IF(CR53&lt;40,"FCPEV 0.9- 20Pr","")))))</f>
        <v>FCPEV 0.9- 10Pr</v>
      </c>
      <c r="H53" s="2557"/>
      <c r="I53" s="2557"/>
      <c r="J53" s="2557"/>
      <c r="K53" s="2557"/>
      <c r="L53" s="2557"/>
      <c r="M53" s="2557"/>
      <c r="N53" s="2557"/>
      <c r="O53" s="2557">
        <f>IF(OR(C49="",P48="不要",G53=""),"",INT(AZ49*(CJ50+CK50)/4))</f>
        <v>123</v>
      </c>
      <c r="P53" s="2557"/>
      <c r="Q53" s="2557"/>
      <c r="R53" s="2557"/>
      <c r="S53" s="2557"/>
      <c r="T53" s="2558" t="str">
        <f>IF(OR(C49="",P48="不要",G53=""),"",IF(AQ48="天井ケーブル","C-"&amp;CM54&amp;"mm",IF(MID(AQ48,4,2)="PF","PF-"&amp;CL54&amp;"mm",IF(MID(AQ48,4,2)="CD","CD-"&amp;CL54&amp;"mm",IF(MID(AQ48,4,2)="C ","C-"&amp;CM54&amp;"mm",IF(MID(AQ48,4,2)="G ","G-"&amp;CL54&amp;"mm"))))))</f>
        <v>C-31mm</v>
      </c>
      <c r="U53" s="2557"/>
      <c r="V53" s="2557"/>
      <c r="W53" s="2557"/>
      <c r="X53" s="2557"/>
      <c r="Y53" s="2557"/>
      <c r="Z53" s="2557"/>
      <c r="AA53" s="2557"/>
      <c r="AB53" s="2557">
        <f>IF(OR(C49="",P48="不要",G53=""),"",IF(AQ48="天井ケーブル",2*AZ49*(F49-$Y$7/1000),O53*0.9))</f>
        <v>43.2</v>
      </c>
      <c r="AC53" s="2557"/>
      <c r="AD53" s="2557"/>
      <c r="AE53" s="2557"/>
      <c r="AF53" s="2557"/>
      <c r="AG53" s="2572" t="str">
        <f>IF($B$2=0,"","光電式煙2種埋")</f>
        <v>光電式煙2種埋</v>
      </c>
      <c r="AH53" s="2572"/>
      <c r="AI53" s="2572"/>
      <c r="AJ53" s="2572"/>
      <c r="AK53" s="2572"/>
      <c r="AL53" s="2572"/>
      <c r="AM53" s="2572"/>
      <c r="AN53" s="2312">
        <f>IF(OR(C49="",$B$2=0,P48="不要"),"",IF(AQ53&lt;&gt;"",AQ53,IF(AX54="B",BX53+BY53,IF(AND(BL53="耐 火",AZ53="無窓"),CB53+CC53,IF(AND(BL53&lt;&gt;"耐 火",AZ53="無窓"),CF53+CG53,"")))))</f>
        <v>23</v>
      </c>
      <c r="AO53" s="2312"/>
      <c r="AP53" s="2312"/>
      <c r="AQ53" s="2339"/>
      <c r="AR53" s="2339"/>
      <c r="AS53" s="2551"/>
      <c r="AT53" s="2577" t="str">
        <f>IF(C49="","","消防法上")</f>
        <v>消防法上</v>
      </c>
      <c r="AU53" s="2289"/>
      <c r="AV53" s="2289"/>
      <c r="AW53" s="2289"/>
      <c r="AX53" s="2289"/>
      <c r="AY53" s="2578"/>
      <c r="AZ53" s="2579" t="str">
        <f>IF($B$2=0,"",IF(BD53="",[4]Top!$BO$26,BD53))</f>
        <v>無窓</v>
      </c>
      <c r="BA53" s="2394"/>
      <c r="BB53" s="2580"/>
      <c r="BC53" s="353" t="s">
        <v>387</v>
      </c>
      <c r="BD53" s="2552"/>
      <c r="BE53" s="2552"/>
      <c r="BF53" s="2553"/>
      <c r="BG53" s="2581" t="str">
        <f>IF(C49="","","耐火構造")</f>
        <v>耐火構造</v>
      </c>
      <c r="BH53" s="2289"/>
      <c r="BI53" s="2289"/>
      <c r="BJ53" s="2289"/>
      <c r="BK53" s="2290"/>
      <c r="BL53" s="2278" t="str">
        <f>IF($B$2=0,"",IF(BQ53="",[4]Top!$AN$18,BQ53))</f>
        <v>耐 火</v>
      </c>
      <c r="BM53" s="2394"/>
      <c r="BN53" s="2394"/>
      <c r="BO53" s="2580"/>
      <c r="BP53" s="352" t="s">
        <v>387</v>
      </c>
      <c r="BQ53" s="2582"/>
      <c r="BR53" s="2552"/>
      <c r="BS53" s="2552"/>
      <c r="BT53" s="2583"/>
      <c r="BU53" s="19"/>
      <c r="BV53" s="35"/>
      <c r="BW53" s="351" t="s">
        <v>351</v>
      </c>
      <c r="BX53" s="350">
        <f>CB53</f>
        <v>6</v>
      </c>
      <c r="BY53" s="349">
        <f>CC53</f>
        <v>17</v>
      </c>
      <c r="BZ53" s="348"/>
      <c r="CA53" s="345"/>
      <c r="CB53" s="344">
        <f>IF(OR([6]Top!$BD$72&lt;&gt;"要",C49=""),"",IF(J49&gt;=4,1+INT(BZ50*0.47),1+INT(BZ50*0.47)))</f>
        <v>6</v>
      </c>
      <c r="CC53" s="347">
        <f>IF(OR([6]Top!$BD$72&lt;&gt;"要",C49=""),"",IF(J49&gt;=4,1+INT(CA50*0.47),1+INT(CA50*0.47)))</f>
        <v>17</v>
      </c>
      <c r="CD53" s="346"/>
      <c r="CE53" s="345"/>
      <c r="CF53" s="344">
        <f>IF(AND(AX40&lt;720,J49&lt;4),1+INT(CD50*0.47),1+INT(CD50*0.94))</f>
        <v>14</v>
      </c>
      <c r="CG53" s="343">
        <f>IF(AND(AX40&lt;720,J49&lt;4),1+INT(CE50*0.47),1+INT(CE50*0.94))</f>
        <v>42</v>
      </c>
      <c r="CH53" s="35"/>
      <c r="CI53" s="133">
        <f>IF(AND(C49&lt;&gt;"",LEFT(C49,2)&lt;&gt;" P"),CI45+F49,"")</f>
        <v>23</v>
      </c>
      <c r="CJ53" s="88" t="s">
        <v>350</v>
      </c>
      <c r="CK53" s="182" t="s">
        <v>349</v>
      </c>
      <c r="CL53" s="342">
        <f>IF(OR(C49="",C49="  RF"),"",IF(AZ57&lt;&gt;"",AZ49,AZ49+BG49))</f>
        <v>8</v>
      </c>
      <c r="CM53" s="341" t="s">
        <v>348</v>
      </c>
      <c r="CN53" s="219" t="s">
        <v>347</v>
      </c>
      <c r="CO53" s="138">
        <f>IF(OR(C49="",P48="不要"),"",AZ49*INT(CJ50+CK50)/5)</f>
        <v>97.6</v>
      </c>
      <c r="CP53" s="151" t="s">
        <v>347</v>
      </c>
      <c r="CQ53" s="340">
        <f>IF(AQ48="天井ケーブル",F49,CO53)</f>
        <v>4</v>
      </c>
      <c r="CR53" s="339">
        <f>SUM(CS53:CX53)</f>
        <v>14</v>
      </c>
      <c r="CS53" s="338">
        <f>AZ49</f>
        <v>8</v>
      </c>
      <c r="CT53" s="338">
        <f>IF(BA49="",0,BA49)</f>
        <v>0</v>
      </c>
      <c r="CU53" s="88">
        <v>1</v>
      </c>
      <c r="CV53" s="222">
        <v>1</v>
      </c>
      <c r="CW53" s="222">
        <v>2</v>
      </c>
      <c r="CX53" s="222">
        <v>2</v>
      </c>
      <c r="CY53" s="337" t="str">
        <f>IF(CK48="=",3*BR49+2,"")</f>
        <v/>
      </c>
      <c r="CZ53" s="218"/>
      <c r="DA53" s="8"/>
      <c r="DB53" s="197">
        <f t="shared" si="11"/>
        <v>8</v>
      </c>
      <c r="DC53" s="197" t="str">
        <f t="shared" si="12"/>
        <v/>
      </c>
      <c r="DD53" s="201" t="str">
        <f>G54</f>
        <v>FCPEV 1.2- 15Pr</v>
      </c>
      <c r="DE53" s="8"/>
      <c r="DF53" s="8"/>
      <c r="DG53" s="8"/>
      <c r="DH53" s="8" t="str">
        <f>IF(COUNTIF($DD$15:DD52,DD53)&gt;0,"",DD53)</f>
        <v/>
      </c>
      <c r="DI53" s="252">
        <f>O54</f>
        <v>97.6</v>
      </c>
      <c r="DJ53" s="32">
        <f t="shared" si="13"/>
        <v>0</v>
      </c>
      <c r="DK53" s="197">
        <f t="shared" si="14"/>
        <v>4</v>
      </c>
      <c r="DL53" s="197" t="str">
        <f t="shared" si="15"/>
        <v/>
      </c>
      <c r="DM53" s="11" t="str">
        <f>IF(AN54="","",AG54)</f>
        <v/>
      </c>
      <c r="DN53" s="11"/>
      <c r="DO53" s="11"/>
      <c r="DP53" s="9"/>
      <c r="DQ53" s="9" t="str">
        <f>IF(COUNTIF($DM$15:DM52,DM53)&gt;0,"",DM53)</f>
        <v/>
      </c>
      <c r="DR53" s="101" t="str">
        <f>AN54</f>
        <v/>
      </c>
      <c r="DS53" s="32">
        <f t="shared" si="16"/>
        <v>8</v>
      </c>
      <c r="DT53" s="8"/>
      <c r="DU53" s="197">
        <f t="shared" si="17"/>
        <v>4</v>
      </c>
      <c r="DV53" s="197" t="str">
        <f t="shared" si="18"/>
        <v/>
      </c>
      <c r="DW53" s="201" t="str">
        <f>T53</f>
        <v>C-31mm</v>
      </c>
      <c r="DX53" s="8"/>
      <c r="DY53" s="8"/>
      <c r="DZ53" s="8"/>
      <c r="EA53" s="8" t="str">
        <f>IF(COUNTIF($DW$15:DW52,DW53)&gt;0,"",DW53)</f>
        <v/>
      </c>
      <c r="EB53" s="197">
        <f>AB53</f>
        <v>43.2</v>
      </c>
      <c r="EC53" s="32">
        <f ca="1">SUMIF($DW$17:$DW$185,EA53,$EB$17:$EB$184)</f>
        <v>0</v>
      </c>
    </row>
    <row r="54" spans="1:133" ht="11.25" customHeight="1" thickBot="1">
      <c r="A54" s="15"/>
      <c r="B54" s="23"/>
      <c r="C54" s="2570"/>
      <c r="D54" s="2571"/>
      <c r="E54" s="2571"/>
      <c r="F54" s="2571"/>
      <c r="G54" s="2554" t="str">
        <f>IF(OR($B$2=0,P48="不要"),"",IF(CR54=0,"",IF(OR(C49="",P48="不要"),"",IF(CR54&lt;10,"FCPEV 1.2-5Pr",IF(CR54&lt;20,"FCPEV 1.2- 10Pr",IF(CR54&lt;30,"FCPEV 1.2- 15Pr",IF(CR54&lt;40,"FCPEV 1.2- 20Pr",IF(CR54&lt;60,"FCPEV 1.2- 30Pr",IF(CR54&lt;100,"FCPEV 1.2- 50Pr",IF(CR54&lt;140,"FCPEV 1.2- 70Pr",IF(CR54&lt;200,"FCPEV 1.2-100Pr","FCPEV 1.2-200Pr")))))))))))</f>
        <v>FCPEV 1.2- 15Pr</v>
      </c>
      <c r="H54" s="2555"/>
      <c r="I54" s="2555"/>
      <c r="J54" s="2555"/>
      <c r="K54" s="2555"/>
      <c r="L54" s="2555"/>
      <c r="M54" s="2555"/>
      <c r="N54" s="2555"/>
      <c r="O54" s="2555">
        <f>IF(OR(G54="",C49="",P48="不要"),"",CO53)</f>
        <v>97.6</v>
      </c>
      <c r="P54" s="2555"/>
      <c r="Q54" s="2555"/>
      <c r="R54" s="2555"/>
      <c r="S54" s="2555"/>
      <c r="T54" s="2555" t="str">
        <f>IF(OR(G54="",C49="",P48="不要"),"",IF(AQ48="天井ケーブル","C-"&amp;CO54&amp;"mm",IF(MID(AQ48,4,2)="PF","PF-"&amp;CN54&amp;"mm",IF(MID(AQ48,4,2)="CD","CD-"&amp;CN54&amp;"mm",IF(MID(AQ48,4,2)="C ","C-"&amp;CO54&amp;"mm",IF(MID(AQ48,4,2)="G ","G-"&amp;CN54&amp;"mm"))))))</f>
        <v>C-31mm</v>
      </c>
      <c r="U54" s="2555"/>
      <c r="V54" s="2555"/>
      <c r="W54" s="2555"/>
      <c r="X54" s="2555"/>
      <c r="Y54" s="2555"/>
      <c r="Z54" s="2555"/>
      <c r="AA54" s="2555"/>
      <c r="AB54" s="2555">
        <f>IF(OR(G54="",P48="不要"),"",CQ53)</f>
        <v>4</v>
      </c>
      <c r="AC54" s="2555"/>
      <c r="AD54" s="2555"/>
      <c r="AE54" s="2555"/>
      <c r="AF54" s="2555"/>
      <c r="AG54" s="2556" t="str">
        <f>IF($B$2=0,"","定温SP1種Exp")</f>
        <v>定温SP1種Exp</v>
      </c>
      <c r="AH54" s="2556"/>
      <c r="AI54" s="2556"/>
      <c r="AJ54" s="2556"/>
      <c r="AK54" s="2556"/>
      <c r="AL54" s="2556"/>
      <c r="AM54" s="2556"/>
      <c r="AN54" s="2335" t="str">
        <f>IF(AQ54&lt;&gt;"",AQ54,"")</f>
        <v/>
      </c>
      <c r="AO54" s="2335"/>
      <c r="AP54" s="2335"/>
      <c r="AQ54" s="2566"/>
      <c r="AR54" s="2566"/>
      <c r="AS54" s="2567"/>
      <c r="AT54" s="2586" t="str">
        <f>IF(C49="","","盤位置")</f>
        <v>盤位置</v>
      </c>
      <c r="AU54" s="2587"/>
      <c r="AV54" s="2587"/>
      <c r="AW54" s="2587"/>
      <c r="AX54" s="2588" t="str">
        <f>非誘!V41</f>
        <v>⑦</v>
      </c>
      <c r="AY54" s="2588"/>
      <c r="AZ54" s="2588"/>
      <c r="BA54" s="2559" t="str">
        <f>IF(C49="","","専部屋面積")</f>
        <v>専部屋面積</v>
      </c>
      <c r="BB54" s="2560"/>
      <c r="BC54" s="2560"/>
      <c r="BD54" s="2560"/>
      <c r="BE54" s="2560"/>
      <c r="BF54" s="2561"/>
      <c r="BG54" s="2562">
        <f>IF(OR(C49="",S49=""),"",S49/AA49)</f>
        <v>296.79999999999995</v>
      </c>
      <c r="BH54" s="2563"/>
      <c r="BI54" s="2563"/>
      <c r="BJ54" s="2564"/>
      <c r="BK54" s="2559" t="str">
        <f>IF(C49="","","共部屋面積")</f>
        <v>共部屋面積</v>
      </c>
      <c r="BL54" s="2560"/>
      <c r="BM54" s="2560"/>
      <c r="BN54" s="2560"/>
      <c r="BO54" s="2560"/>
      <c r="BP54" s="2561"/>
      <c r="BQ54" s="2562">
        <f>IF(OR($B$2=0,C49=""),"",W49/AD49)</f>
        <v>39.475862068965526</v>
      </c>
      <c r="BR54" s="2563"/>
      <c r="BS54" s="2563"/>
      <c r="BT54" s="2565"/>
      <c r="BU54" s="19"/>
      <c r="BV54" s="35"/>
      <c r="BW54" s="99"/>
      <c r="BX54" s="35"/>
      <c r="BY54" s="35"/>
      <c r="BZ54" s="35"/>
      <c r="CA54" s="35"/>
      <c r="CB54" s="35"/>
      <c r="CC54" s="35"/>
      <c r="CD54" s="35"/>
      <c r="CE54" s="35"/>
      <c r="CF54" s="35"/>
      <c r="CG54" s="35"/>
      <c r="CH54" s="35"/>
      <c r="CI54" s="8"/>
      <c r="CJ54" s="8"/>
      <c r="CK54" s="8"/>
      <c r="CL54" s="336" t="str">
        <f>IF(OR(RIGHT(G53,3)="5Pr",RIGHT(G53,4)="10Pr",RIGHT(G53,4)="15Pr"),"28",IF(OR(RIGHT(G53,4)="20Pr",RIGHT(G53,4)="30Pr"),"36",IF(OR(RIGHT(G53,4)="50Pr",RIGHT(G53,4)="70Pr"),"42","")))</f>
        <v>28</v>
      </c>
      <c r="CM54" s="336" t="str">
        <f>IF(OR(RIGHT(G53,3)="5Pr",RIGHT(G53,4)="10Pr",RIGHT(G53,4)="15Pr"),"31",IF(OR(RIGHT(G53,4)="20Pr",RIGHT(G53,4)="30Pr"),"39",IF(OR(RIGHT(G53,4)="50Pr",RIGHT(G53,4)="70Pr"),"51","")))</f>
        <v>31</v>
      </c>
      <c r="CN54" s="86" t="str">
        <f>IF(OR(RIGHT(G54,3)="5Pr",RIGHT(G54,4)="10Pr",RIGHT(G54,4)="15Pr"),"28",IF(OR(RIGHT(G54,4)="20Pr",RIGHT(G54,4)="30Pr"),"36",IF(OR(RIGHT(G54,4)="50Pr",RIGHT(G54,4)="70Pr"),"42","")))</f>
        <v>28</v>
      </c>
      <c r="CO54" s="86" t="str">
        <f>IF(OR(RIGHT(G54,3)="5Pr",RIGHT(G54,4)="10Pr",RIGHT(G54,4)="15Pr"),"31",IF(OR(RIGHT(G54,4)="20Pr",RIGHT(G54,4)="30Pr"),"39",IF(OR(RIGHT(G54,4)="50Pr",RIGHT(G54,4)="70Pr"),"51","")))</f>
        <v>31</v>
      </c>
      <c r="CP54" s="9"/>
      <c r="CQ54" s="9"/>
      <c r="CR54" s="335">
        <f>IF(P48="不要","",SUM(CS54:CX54))</f>
        <v>23</v>
      </c>
      <c r="CS54" s="334">
        <f>IF(OR(CK48="",CK48="=",P48="不要"),0,IF(CK48="－",CL53+CS46,IF(CK48="+",CL53+CS62)))</f>
        <v>14</v>
      </c>
      <c r="CT54" s="188">
        <f>IF(OR(CK48="",CK48="=",P48="不要"),0,IF(CS54&lt;7,1,IF(CS54&lt;14,2,IF(CS54&lt;21,3,IF(CS54&lt;28,4,IF(CS54&lt;35,5,IF(CS54&lt;42,6,IF(CS54&lt;49,7,IF(CS54&lt;56,8,IF(CS54&lt;63,9,IF(CS54&lt;70,10,IF(CS54&lt;77,11,"---"))))))))))))</f>
        <v>3</v>
      </c>
      <c r="CU54" s="188">
        <f>IF(CS54=0,0,1)</f>
        <v>1</v>
      </c>
      <c r="CV54" s="333">
        <f>IF(CS54=0,0,1)</f>
        <v>1</v>
      </c>
      <c r="CW54" s="333">
        <f>IF(CS54=0,0,2)</f>
        <v>2</v>
      </c>
      <c r="CX54" s="333">
        <f>IF(CS54=0,0,2)</f>
        <v>2</v>
      </c>
      <c r="CY54" s="332">
        <f>IF(OR(BR57="",P48="不要"),0,IF(CK48="=",0,IF(CK48="－",2*BR49+3,IF(CK48="+",2*(BR49+BR57)+3,""))))</f>
        <v>27</v>
      </c>
      <c r="CZ54" s="216"/>
      <c r="DA54" s="9"/>
      <c r="DB54" s="127">
        <f t="shared" si="11"/>
        <v>8</v>
      </c>
      <c r="DC54" s="127" t="str">
        <f t="shared" si="12"/>
        <v/>
      </c>
      <c r="DD54" s="11" t="str">
        <f>CR48</f>
        <v>防火区画処理</v>
      </c>
      <c r="DE54" s="9"/>
      <c r="DF54" s="9"/>
      <c r="DG54" s="9"/>
      <c r="DH54" s="9" t="str">
        <f>IF(COUNTIF($DD$15:DD53,DD54)&gt;0,"",DD54)</f>
        <v/>
      </c>
      <c r="DI54" s="242">
        <f>CU48</f>
        <v>32</v>
      </c>
      <c r="DJ54" s="32">
        <f t="shared" si="13"/>
        <v>0</v>
      </c>
      <c r="DK54" s="127">
        <f t="shared" si="14"/>
        <v>4</v>
      </c>
      <c r="DL54" s="127" t="str">
        <f t="shared" si="15"/>
        <v/>
      </c>
      <c r="DM54" s="11" t="str">
        <f>IF(CY49="","",CV49)</f>
        <v/>
      </c>
      <c r="DN54" s="11"/>
      <c r="DO54" s="11"/>
      <c r="DP54" s="9"/>
      <c r="DQ54" s="9" t="str">
        <f>IF(COUNTIF($DM$15:DM53,DM54)&gt;0,"",DM54)</f>
        <v/>
      </c>
      <c r="DR54" s="101" t="str">
        <f>CY49</f>
        <v/>
      </c>
      <c r="DS54" s="32">
        <f t="shared" si="16"/>
        <v>8</v>
      </c>
      <c r="DT54" s="9"/>
      <c r="DU54" s="197">
        <f t="shared" si="17"/>
        <v>4</v>
      </c>
      <c r="DV54" s="197" t="str">
        <f t="shared" si="18"/>
        <v/>
      </c>
      <c r="DW54" s="201" t="str">
        <f>T54</f>
        <v>C-31mm</v>
      </c>
      <c r="DX54" s="8"/>
      <c r="DY54" s="8"/>
      <c r="DZ54" s="8"/>
      <c r="EA54" s="8" t="str">
        <f>IF(COUNTIF($DW$15:DW53,DW54)&gt;0,"",DW54)</f>
        <v/>
      </c>
      <c r="EB54" s="197">
        <f>AB54</f>
        <v>4</v>
      </c>
      <c r="EC54" s="32">
        <f ca="1">SUMIF($DW$17:$DW$185,EA54,$EB$17:$EB$184)</f>
        <v>0</v>
      </c>
    </row>
    <row r="55" spans="1:133" ht="11.25" customHeight="1">
      <c r="A55" s="15"/>
      <c r="B55" s="23"/>
      <c r="C55" s="37"/>
      <c r="D55" s="37"/>
      <c r="E55" s="37"/>
      <c r="F55" s="37"/>
      <c r="G55" s="331"/>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157"/>
      <c r="AH55" s="157"/>
      <c r="AI55" s="157"/>
      <c r="AJ55" s="157"/>
      <c r="AK55" s="157"/>
      <c r="AL55" s="157"/>
      <c r="AM55" s="157"/>
      <c r="AN55" s="377"/>
      <c r="AO55" s="377"/>
      <c r="AP55" s="377"/>
      <c r="AQ55" s="37"/>
      <c r="AR55" s="37"/>
      <c r="AS55" s="37"/>
      <c r="AT55" s="157"/>
      <c r="AU55" s="157"/>
      <c r="AV55" s="157"/>
      <c r="AW55" s="157"/>
      <c r="AX55" s="157"/>
      <c r="AY55" s="157"/>
      <c r="AZ55" s="157"/>
      <c r="BA55" s="377"/>
      <c r="BB55" s="377"/>
      <c r="BC55" s="377"/>
      <c r="BD55" s="37"/>
      <c r="BE55" s="37"/>
      <c r="BF55" s="37"/>
      <c r="BG55" s="157"/>
      <c r="BH55" s="157"/>
      <c r="BI55" s="157"/>
      <c r="BJ55" s="157"/>
      <c r="BK55" s="157"/>
      <c r="BL55" s="157"/>
      <c r="BM55" s="157"/>
      <c r="BN55" s="157"/>
      <c r="BO55" s="377"/>
      <c r="BP55" s="377"/>
      <c r="BQ55" s="377"/>
      <c r="BR55" s="37"/>
      <c r="BS55" s="37"/>
      <c r="BT55" s="37"/>
      <c r="BU55" s="19"/>
      <c r="BV55" s="35"/>
      <c r="BW55" s="99"/>
      <c r="BX55" s="35"/>
      <c r="BY55" s="35"/>
      <c r="BZ55" s="35"/>
      <c r="CA55" s="35"/>
      <c r="CB55" s="35"/>
      <c r="CC55" s="35"/>
      <c r="CD55" s="35"/>
      <c r="CE55" s="35"/>
      <c r="CF55" s="35"/>
      <c r="CG55" s="35"/>
      <c r="CH55" s="35"/>
      <c r="CI55" s="8"/>
      <c r="CJ55" s="9"/>
      <c r="CK55" s="9"/>
      <c r="CL55" s="9"/>
      <c r="CM55" s="391"/>
      <c r="CN55" s="9"/>
      <c r="CO55" s="9"/>
      <c r="CP55" s="391"/>
      <c r="CQ55" s="9"/>
      <c r="CR55" s="9"/>
      <c r="CS55" s="9"/>
      <c r="CT55" s="9"/>
      <c r="CU55" s="9"/>
      <c r="CV55" s="391"/>
      <c r="CW55" s="164"/>
      <c r="CX55" s="164"/>
      <c r="CY55" s="9"/>
      <c r="CZ55" s="216"/>
      <c r="DA55" s="45"/>
      <c r="DB55" s="127">
        <f t="shared" si="11"/>
        <v>8</v>
      </c>
      <c r="DC55" s="127" t="str">
        <f t="shared" si="12"/>
        <v/>
      </c>
      <c r="DD55" s="11"/>
      <c r="DE55" s="9"/>
      <c r="DF55" s="9"/>
      <c r="DG55" s="9"/>
      <c r="DH55" s="9"/>
      <c r="DI55" s="242"/>
      <c r="DJ55" s="13"/>
      <c r="DK55" s="127">
        <f t="shared" si="14"/>
        <v>4</v>
      </c>
      <c r="DL55" s="127" t="str">
        <f t="shared" si="15"/>
        <v/>
      </c>
      <c r="DM55" s="11" t="str">
        <f>IF(CY50="","",CV50)</f>
        <v>P1総合盤露出</v>
      </c>
      <c r="DN55" s="11"/>
      <c r="DO55" s="11"/>
      <c r="DP55" s="9"/>
      <c r="DQ55" s="9" t="str">
        <f>IF(COUNTIF($DM$15:DM54,DM55)&gt;0,"",DM55)</f>
        <v/>
      </c>
      <c r="DR55" s="101">
        <f>CY50</f>
        <v>8</v>
      </c>
      <c r="DS55" s="32">
        <f t="shared" si="16"/>
        <v>8</v>
      </c>
      <c r="DT55" s="45"/>
      <c r="DU55" s="8">
        <f t="shared" si="17"/>
        <v>4</v>
      </c>
      <c r="DV55" s="8" t="str">
        <f t="shared" si="18"/>
        <v/>
      </c>
      <c r="DW55" s="8"/>
      <c r="DX55" s="8"/>
      <c r="DY55" s="8"/>
      <c r="DZ55" s="8"/>
      <c r="EA55" s="8"/>
      <c r="EB55" s="8"/>
      <c r="EC55" s="8"/>
    </row>
    <row r="56" spans="1:133" ht="11.25" customHeight="1" thickBot="1">
      <c r="A56" s="374">
        <v>6</v>
      </c>
      <c r="B56" s="23"/>
      <c r="C56" s="2626" t="str">
        <f>非誘!J46</f>
        <v>( 4 )</v>
      </c>
      <c r="D56" s="2627"/>
      <c r="E56" s="2628"/>
      <c r="F56" s="2629" t="str">
        <f>非誘!M46</f>
        <v>百貨店等</v>
      </c>
      <c r="G56" s="2629"/>
      <c r="H56" s="2629"/>
      <c r="I56" s="2629"/>
      <c r="J56" s="2629"/>
      <c r="K56" s="2629"/>
      <c r="L56" s="2629"/>
      <c r="M56" s="2629"/>
      <c r="N56" s="2629"/>
      <c r="O56" s="2629"/>
      <c r="P56" s="2630" t="str">
        <f>IF(U56="",RIGHT($D$8,2),U56)</f>
        <v>設置</v>
      </c>
      <c r="Q56" s="2630"/>
      <c r="R56" s="2630"/>
      <c r="S56" s="2631"/>
      <c r="T56" s="31" t="s">
        <v>387</v>
      </c>
      <c r="U56" s="2632"/>
      <c r="V56" s="2632"/>
      <c r="W56" s="2632"/>
      <c r="X56" s="2633"/>
      <c r="Y56" s="2634" t="s">
        <v>20</v>
      </c>
      <c r="Z56" s="2634"/>
      <c r="AA56" s="2634"/>
      <c r="AB56" s="2634"/>
      <c r="AC56" s="2634"/>
      <c r="AD56" s="2635">
        <f>非誘!J47</f>
        <v>0.5</v>
      </c>
      <c r="AE56" s="2635"/>
      <c r="AF56" s="2635"/>
      <c r="AG56" s="2635"/>
      <c r="AH56" s="2299" t="s">
        <v>135</v>
      </c>
      <c r="AI56" s="2299"/>
      <c r="AJ56" s="2299"/>
      <c r="AK56" s="2299"/>
      <c r="AL56" s="2299"/>
      <c r="AM56" s="2299" t="s">
        <v>366</v>
      </c>
      <c r="AN56" s="2299"/>
      <c r="AO56" s="2299"/>
      <c r="AP56" s="2299"/>
      <c r="AQ56" s="2569" t="str">
        <f>IF(AX56="","天井ケーブル",AX56)</f>
        <v>天井(C 管)</v>
      </c>
      <c r="AR56" s="2569"/>
      <c r="AS56" s="2569"/>
      <c r="AT56" s="2569"/>
      <c r="AU56" s="2569"/>
      <c r="AV56" s="2569"/>
      <c r="AW56" s="175" t="s">
        <v>387</v>
      </c>
      <c r="AX56" s="2338" t="s">
        <v>388</v>
      </c>
      <c r="AY56" s="2338"/>
      <c r="AZ56" s="2338"/>
      <c r="BA56" s="2338"/>
      <c r="BB56" s="2338"/>
      <c r="BC56" s="2338"/>
      <c r="BD56" s="2299" t="s">
        <v>363</v>
      </c>
      <c r="BE56" s="2299"/>
      <c r="BF56" s="2299"/>
      <c r="BG56" s="2299"/>
      <c r="BH56" s="2569" t="str">
        <f>IF(BO56="","天井(C 管)",BO56)</f>
        <v>天井(C 管)</v>
      </c>
      <c r="BI56" s="2569"/>
      <c r="BJ56" s="2569"/>
      <c r="BK56" s="2569"/>
      <c r="BL56" s="2569"/>
      <c r="BM56" s="2569"/>
      <c r="BN56" s="175" t="s">
        <v>387</v>
      </c>
      <c r="BO56" s="2338"/>
      <c r="BP56" s="2338"/>
      <c r="BQ56" s="2338"/>
      <c r="BR56" s="2338"/>
      <c r="BS56" s="2338"/>
      <c r="BT56" s="2622"/>
      <c r="BU56" s="19"/>
      <c r="BV56" s="35"/>
      <c r="BW56" s="99"/>
      <c r="BX56" s="35"/>
      <c r="BY56" s="35"/>
      <c r="BZ56" s="35"/>
      <c r="CA56" s="35"/>
      <c r="CB56" s="35"/>
      <c r="CC56" s="35"/>
      <c r="CD56" s="35"/>
      <c r="CE56" s="35"/>
      <c r="CF56" s="35"/>
      <c r="CG56" s="35"/>
      <c r="CH56" s="35"/>
      <c r="CI56" s="8">
        <v>23</v>
      </c>
      <c r="CJ56" s="97" t="str">
        <f>IF(LEFT(C57,2)=" B",-MID(C57,3,1),IF(C57="  RF","",LEFT(C57,3)))</f>
        <v xml:space="preserve">  4</v>
      </c>
      <c r="CK56" s="10" t="str">
        <f>IF(OR(C57="",C57="  RF"),"",IF(LEFT(C57,1)="P","+",IF($CJ$14&gt;CJ56,"－",IF($CJ$14=CJ56,"=","+"))))</f>
        <v>+</v>
      </c>
      <c r="CL56" s="2601" t="s">
        <v>376</v>
      </c>
      <c r="CM56" s="2601"/>
      <c r="CN56" s="2601"/>
      <c r="CO56" s="2601" t="s">
        <v>375</v>
      </c>
      <c r="CP56" s="2601"/>
      <c r="CQ56" s="2601"/>
      <c r="CR56" s="2589" t="str">
        <f>AG57</f>
        <v>防火区画処理</v>
      </c>
      <c r="CS56" s="2590"/>
      <c r="CT56" s="2591"/>
      <c r="CU56" s="184">
        <f>AN57</f>
        <v>13</v>
      </c>
      <c r="CV56" s="2589" t="str">
        <f>AG61</f>
        <v>光電式煙2種埋</v>
      </c>
      <c r="CW56" s="2590"/>
      <c r="CX56" s="2591"/>
      <c r="CY56" s="184">
        <f>AN61</f>
        <v>8</v>
      </c>
      <c r="CZ56" s="216"/>
      <c r="DA56" s="161">
        <v>6</v>
      </c>
      <c r="DB56" s="373">
        <f t="shared" si="11"/>
        <v>8</v>
      </c>
      <c r="DC56" s="45" t="str">
        <f t="shared" si="12"/>
        <v/>
      </c>
      <c r="DD56" s="45"/>
      <c r="DE56" s="45"/>
      <c r="DF56" s="45"/>
      <c r="DG56" s="45"/>
      <c r="DH56" s="45"/>
      <c r="DI56" s="45"/>
      <c r="DJ56" s="45"/>
      <c r="DK56" s="45">
        <f t="shared" si="14"/>
        <v>4</v>
      </c>
      <c r="DL56" s="45" t="str">
        <f t="shared" si="15"/>
        <v/>
      </c>
      <c r="DM56" s="154" t="str">
        <f>IF(CY51="","",CV51)</f>
        <v/>
      </c>
      <c r="DN56" s="154"/>
      <c r="DO56" s="154"/>
      <c r="DP56" s="45"/>
      <c r="DQ56" s="45" t="str">
        <f>IF(COUNTIF($DM$15:DM55,DM56)&gt;0,"",DM56)</f>
        <v/>
      </c>
      <c r="DR56" s="209" t="str">
        <f>CY51</f>
        <v/>
      </c>
      <c r="DS56" s="230">
        <f t="shared" si="16"/>
        <v>8</v>
      </c>
      <c r="DT56" s="161">
        <v>6</v>
      </c>
      <c r="DU56" s="204">
        <f t="shared" si="17"/>
        <v>4</v>
      </c>
      <c r="DV56" s="155" t="str">
        <f t="shared" si="18"/>
        <v/>
      </c>
      <c r="DW56" s="45"/>
      <c r="DX56" s="45"/>
      <c r="DY56" s="45"/>
      <c r="DZ56" s="45"/>
      <c r="EA56" s="45"/>
      <c r="EB56" s="45"/>
      <c r="EC56" s="45"/>
    </row>
    <row r="57" spans="1:133" ht="11.25" customHeight="1" thickBot="1">
      <c r="A57" s="15">
        <v>53</v>
      </c>
      <c r="B57" s="23"/>
      <c r="C57" s="2602" t="str">
        <f>IF($BW$3=0,"",非誘!C48)</f>
        <v xml:space="preserve">  4F</v>
      </c>
      <c r="D57" s="2603"/>
      <c r="E57" s="2604"/>
      <c r="F57" s="2605">
        <f>IF($BW$3=0,"",非誘!F48)</f>
        <v>4</v>
      </c>
      <c r="G57" s="2606"/>
      <c r="H57" s="2606"/>
      <c r="I57" s="2607"/>
      <c r="J57" s="2605">
        <f>IF($BW$3=0,"",非誘!J48)</f>
        <v>3</v>
      </c>
      <c r="K57" s="2606"/>
      <c r="L57" s="2606"/>
      <c r="M57" s="2607"/>
      <c r="N57" s="2608">
        <f>IF($BW$3=0,"",非誘!N48)</f>
        <v>1152</v>
      </c>
      <c r="O57" s="2609"/>
      <c r="P57" s="2609"/>
      <c r="Q57" s="2609"/>
      <c r="R57" s="2610"/>
      <c r="S57" s="2608">
        <f>IF($BW$3=0,"",非誘!S48)</f>
        <v>806.4</v>
      </c>
      <c r="T57" s="2609"/>
      <c r="U57" s="2609"/>
      <c r="V57" s="2610"/>
      <c r="W57" s="2608">
        <f>IF($BW$3=0,"",非誘!W48)</f>
        <v>345.6</v>
      </c>
      <c r="X57" s="2609"/>
      <c r="Y57" s="2609"/>
      <c r="Z57" s="2610"/>
      <c r="AA57" s="2611">
        <f>IF($BW$3=0,"",非誘!AA48)</f>
        <v>3</v>
      </c>
      <c r="AB57" s="2603"/>
      <c r="AC57" s="2604"/>
      <c r="AD57" s="2612">
        <f>IF($BW$3=0,"",非誘!AD48)</f>
        <v>9</v>
      </c>
      <c r="AE57" s="2613"/>
      <c r="AF57" s="2614"/>
      <c r="AG57" s="2615" t="str">
        <f>IF($B$2=0,"","防火区画処理")</f>
        <v>防火区画処理</v>
      </c>
      <c r="AH57" s="2615"/>
      <c r="AI57" s="2615"/>
      <c r="AJ57" s="2615"/>
      <c r="AK57" s="2615"/>
      <c r="AL57" s="2615"/>
      <c r="AM57" s="2615"/>
      <c r="AN57" s="2616">
        <f>IF(OR($B$2=0,C57="",P56="不要"),"",AZ57+BG57+BR57*2)</f>
        <v>13</v>
      </c>
      <c r="AO57" s="2616"/>
      <c r="AP57" s="2616"/>
      <c r="AQ57" s="2617" t="s">
        <v>374</v>
      </c>
      <c r="AR57" s="2617"/>
      <c r="AS57" s="2617"/>
      <c r="AT57" s="2617"/>
      <c r="AU57" s="2617"/>
      <c r="AV57" s="2618" t="s">
        <v>373</v>
      </c>
      <c r="AW57" s="2618"/>
      <c r="AX57" s="2618"/>
      <c r="AY57" s="2618"/>
      <c r="AZ57" s="2619">
        <f>IF(OR($B$2=0,C57="",P56="不要"),"",IF(LEFT(C57,1)="P",1+INT(W57/450),INT(S57/450)+1+INT(W57/450)))</f>
        <v>2</v>
      </c>
      <c r="BA57" s="2619"/>
      <c r="BB57" s="2619"/>
      <c r="BC57" s="2618" t="s">
        <v>372</v>
      </c>
      <c r="BD57" s="2618"/>
      <c r="BE57" s="2618"/>
      <c r="BF57" s="2618"/>
      <c r="BG57" s="2619">
        <f>IF(OR($B$2=0,C57="",P56="不要"),"",1+INT(N57/500))</f>
        <v>3</v>
      </c>
      <c r="BH57" s="2619"/>
      <c r="BI57" s="2619"/>
      <c r="BJ57" s="2617" t="s">
        <v>371</v>
      </c>
      <c r="BK57" s="2617"/>
      <c r="BL57" s="2617"/>
      <c r="BM57" s="2617"/>
      <c r="BN57" s="2617"/>
      <c r="BO57" s="2617"/>
      <c r="BP57" s="2617"/>
      <c r="BQ57" s="2617"/>
      <c r="BR57" s="2620">
        <f>IF(OR($B$2=0,C57="",P56="不要"),"",1+INT(0.055*N57^0.6))</f>
        <v>4</v>
      </c>
      <c r="BS57" s="2620"/>
      <c r="BT57" s="2621"/>
      <c r="BU57" s="19"/>
      <c r="BV57" s="35"/>
      <c r="BW57" s="99"/>
      <c r="BX57" s="35"/>
      <c r="BY57" s="35"/>
      <c r="BZ57" s="35"/>
      <c r="CA57" s="35"/>
      <c r="CB57" s="35"/>
      <c r="CC57" s="35"/>
      <c r="CD57" s="35"/>
      <c r="CE57" s="35"/>
      <c r="CF57" s="35"/>
      <c r="CG57" s="35"/>
      <c r="CH57" s="35"/>
      <c r="CI57" s="8">
        <v>2</v>
      </c>
      <c r="CJ57" s="88" t="s">
        <v>386</v>
      </c>
      <c r="CK57" s="88" t="s">
        <v>385</v>
      </c>
      <c r="CL57" s="372">
        <f>IF(C58="","",IF(AX62="①",CJ58+CK58+3,IF(AX62="②",CJ58*5/8+CK58+3,IF(AX62="③",CJ58/2+CK58+3,IF(AX62="④",CJ58+CK58*5/8+3,IF(AX62="⑤",(CJ58+CK58)*5/8+3,IF(AX62="⑥",CJ58/2+CK58*5/8+3,IF(AX62="⑦",CJ58+CK58/2+3,IF(AX62="⑧",CJ58*5/8+CK58/2+3,IF(AX62="⑨",(CJ58+CK58)/2+3))))))))))</f>
        <v>27</v>
      </c>
      <c r="CM57" s="371" t="s">
        <v>384</v>
      </c>
      <c r="CN57" s="371" t="s">
        <v>383</v>
      </c>
      <c r="CO57" s="370"/>
      <c r="CP57" s="371" t="s">
        <v>384</v>
      </c>
      <c r="CQ57" s="370" t="s">
        <v>383</v>
      </c>
      <c r="CR57" s="2589" t="str">
        <f>AG58</f>
        <v>差動SP2種埋</v>
      </c>
      <c r="CS57" s="2590"/>
      <c r="CT57" s="2591"/>
      <c r="CU57" s="184" t="str">
        <f>AN58</f>
        <v/>
      </c>
      <c r="CV57" s="2589" t="str">
        <f>AT60</f>
        <v>HP起動押ボタン</v>
      </c>
      <c r="CW57" s="2590"/>
      <c r="CX57" s="2591"/>
      <c r="CY57" s="184" t="str">
        <f>BA60</f>
        <v/>
      </c>
      <c r="CZ57" s="216"/>
      <c r="DA57" s="8"/>
      <c r="DB57" s="197">
        <f t="shared" si="11"/>
        <v>8</v>
      </c>
      <c r="DC57" s="197" t="str">
        <f t="shared" si="12"/>
        <v/>
      </c>
      <c r="DD57" s="201" t="str">
        <f>G58</f>
        <v>AE 0.9mm-4C</v>
      </c>
      <c r="DE57" s="8"/>
      <c r="DF57" s="8"/>
      <c r="DG57" s="8"/>
      <c r="DH57" s="8" t="str">
        <f>IF(COUNTIF($DD$15:DD56,DD57)&gt;0,"",DD57)</f>
        <v/>
      </c>
      <c r="DI57" s="252">
        <f>O58</f>
        <v>149</v>
      </c>
      <c r="DJ57" s="32">
        <f t="shared" ref="DJ57:DJ62" si="19">SUMIF($DD$17:$DD$185,DH57,$DI$17:$DI$185)</f>
        <v>0</v>
      </c>
      <c r="DK57" s="197">
        <f t="shared" si="14"/>
        <v>4</v>
      </c>
      <c r="DL57" s="197" t="str">
        <f t="shared" si="15"/>
        <v/>
      </c>
      <c r="DM57" s="10" t="str">
        <f>IF(CU57="","",CR57)</f>
        <v/>
      </c>
      <c r="DN57" s="10" t="str">
        <f>CR57</f>
        <v>差動SP2種埋</v>
      </c>
      <c r="DO57" s="10"/>
      <c r="DP57" s="8"/>
      <c r="DQ57" s="8" t="str">
        <f>IF(COUNTIF($DM$15:DM56,DM57)&gt;0,"",DM57)</f>
        <v/>
      </c>
      <c r="DR57" s="200" t="str">
        <f>CU57</f>
        <v/>
      </c>
      <c r="DS57" s="32">
        <f t="shared" si="16"/>
        <v>8</v>
      </c>
      <c r="DT57" s="8"/>
      <c r="DU57" s="197">
        <f t="shared" si="17"/>
        <v>4</v>
      </c>
      <c r="DV57" s="197" t="str">
        <f t="shared" si="18"/>
        <v/>
      </c>
      <c r="DW57" s="201"/>
      <c r="DX57" s="8"/>
      <c r="DY57" s="8"/>
      <c r="DZ57" s="8"/>
      <c r="EA57" s="8"/>
      <c r="EB57" s="252"/>
      <c r="EC57" s="32"/>
    </row>
    <row r="58" spans="1:133" ht="11.25" customHeight="1">
      <c r="A58" s="15"/>
      <c r="B58" s="23"/>
      <c r="C58" s="2623" t="s">
        <v>366</v>
      </c>
      <c r="D58" s="2624"/>
      <c r="E58" s="2624"/>
      <c r="F58" s="2624"/>
      <c r="G58" s="2625" t="str">
        <f>IF(C57="","","AE 0.9mm-4C")</f>
        <v>AE 0.9mm-4C</v>
      </c>
      <c r="H58" s="2625"/>
      <c r="I58" s="2625"/>
      <c r="J58" s="2625"/>
      <c r="K58" s="2625"/>
      <c r="L58" s="2625"/>
      <c r="M58" s="2625"/>
      <c r="N58" s="2625"/>
      <c r="O58" s="2593">
        <f>IF($B$2=0,"",IF(OR(C57="",P56="不要"),"",ROUND((CM58+CN58),0)))</f>
        <v>149</v>
      </c>
      <c r="P58" s="2593"/>
      <c r="Q58" s="2593"/>
      <c r="R58" s="2593"/>
      <c r="S58" s="2593"/>
      <c r="T58" s="2593" t="str">
        <f>IF(OR($B$2=0,C57="",P56="不要"),"",IF(AQ56="天井ケーブル","C-19mm",IF(MID(AQ56,4,2)="PF","PF-16mm",IF(MID(AQ56,4,2)="CD","CD-16mm",IF(MID(AQ56,4,2)="C ","C-19mm",IF(MID(AQ56,4,2)="G ","G-16mm",""))))))</f>
        <v>C-19mm</v>
      </c>
      <c r="U58" s="2593"/>
      <c r="V58" s="2593"/>
      <c r="W58" s="2593"/>
      <c r="X58" s="2593"/>
      <c r="Y58" s="2593"/>
      <c r="Z58" s="2593"/>
      <c r="AA58" s="2593"/>
      <c r="AB58" s="2593">
        <f>IF(OR($B$2=0,C57="",P56="不要"),"",IF(CQ58="",ROUND(CP58,0),ROUND((CP58+CQ58),0)))</f>
        <v>119</v>
      </c>
      <c r="AC58" s="2593"/>
      <c r="AD58" s="2593"/>
      <c r="AE58" s="2593"/>
      <c r="AF58" s="2593"/>
      <c r="AG58" s="2595" t="str">
        <f>IF($B$2=0,"","差動SP2種埋")</f>
        <v>差動SP2種埋</v>
      </c>
      <c r="AH58" s="2595"/>
      <c r="AI58" s="2595"/>
      <c r="AJ58" s="2595"/>
      <c r="AK58" s="2595"/>
      <c r="AL58" s="2595"/>
      <c r="AM58" s="2595"/>
      <c r="AN58" s="2593" t="str">
        <f>IF(OR(C57="",P56="不要"),"",IF(AQ58&lt;&gt;"",AQ58,IF(AX62="B","",IF(AZ61="無窓","",IF(AND(BL61="耐 火",AZ61="有窓"),BZ58+CA58,CD58+CE58)))))</f>
        <v/>
      </c>
      <c r="AO58" s="2593"/>
      <c r="AP58" s="2593"/>
      <c r="AQ58" s="2594"/>
      <c r="AR58" s="2594"/>
      <c r="AS58" s="2594"/>
      <c r="AT58" s="2595" t="str">
        <f>IF($B$2=0,"","P1総合盤露出")</f>
        <v>P1総合盤露出</v>
      </c>
      <c r="AU58" s="2595"/>
      <c r="AV58" s="2595"/>
      <c r="AW58" s="2595"/>
      <c r="AX58" s="2595"/>
      <c r="AY58" s="2595"/>
      <c r="AZ58" s="2595"/>
      <c r="BA58" s="2593">
        <f>IF(P56="不要","",IF(BD58&lt;&gt;"",BD58,IF([4]Top!$BD$51="要","",AZ57)))</f>
        <v>2</v>
      </c>
      <c r="BB58" s="2593"/>
      <c r="BC58" s="2593"/>
      <c r="BD58" s="2594"/>
      <c r="BE58" s="2594"/>
      <c r="BF58" s="2594"/>
      <c r="BG58" s="2597" t="str">
        <f>IF($B$2=0,"","ﾗｯﾁ電磁レリーズ")</f>
        <v>ﾗｯﾁ電磁レリーズ</v>
      </c>
      <c r="BH58" s="2597"/>
      <c r="BI58" s="2597"/>
      <c r="BJ58" s="2597"/>
      <c r="BK58" s="2597"/>
      <c r="BL58" s="2597"/>
      <c r="BM58" s="2597"/>
      <c r="BN58" s="2597"/>
      <c r="BO58" s="2593">
        <f>IF(P56="不要","",IF(BR58&lt;&gt;"",BR58,BR57))</f>
        <v>4</v>
      </c>
      <c r="BP58" s="2593"/>
      <c r="BQ58" s="2593"/>
      <c r="BR58" s="2594"/>
      <c r="BS58" s="2594"/>
      <c r="BT58" s="2596"/>
      <c r="BU58" s="19"/>
      <c r="BV58" s="35"/>
      <c r="BW58" s="351" t="s">
        <v>365</v>
      </c>
      <c r="BX58" s="368"/>
      <c r="BY58" s="369"/>
      <c r="BZ58" s="344">
        <f>IF(AA57="",0,IF(OR([6]Top!$BD$72&lt;&gt;"要",C57=""),"",IF(J57&gt;=4,1+INT(AA57*2.4),1+INT(AA57*1.2))))</f>
        <v>4</v>
      </c>
      <c r="CA58" s="360">
        <f>IF(OR([6]Top!$BD$72&lt;&gt;"要",C57=""),"",IF(J57&gt;=4,1+INT(AD57*2.4),1+INT(AD57*1.2)))</f>
        <v>11</v>
      </c>
      <c r="CB58" s="368"/>
      <c r="CC58" s="369"/>
      <c r="CD58" s="343">
        <f>IF($AX$8&lt;=500,BZ58*2,1+INT(BZ58*2.5))</f>
        <v>11</v>
      </c>
      <c r="CE58" s="360">
        <f>IF($AX$8&lt;=500,CA58*2,1+INT(CA58*2.5))</f>
        <v>28</v>
      </c>
      <c r="CF58" s="368"/>
      <c r="CG58" s="367"/>
      <c r="CH58" s="35"/>
      <c r="CI58" s="133">
        <f>IF(AZ57&lt;&gt;"",AZ57,0)</f>
        <v>2</v>
      </c>
      <c r="CJ58" s="98">
        <f>非誘!BW48</f>
        <v>12</v>
      </c>
      <c r="CK58" s="98">
        <f>非誘!BX48</f>
        <v>24</v>
      </c>
      <c r="CL58" s="88" t="s">
        <v>364</v>
      </c>
      <c r="CM58" s="185">
        <f>IF(OR(C57="",C57="  RF"),"",IF(J57="直天",$AN$10/1000+F57-1.2+SQRT(CK59/CM59),$AN$10/1000+J57-1.2+SQRT(CK59/CM59)))</f>
        <v>14.097958971132712</v>
      </c>
      <c r="CN58" s="185">
        <f>IF(OR(C57="",P56="不要"),"",CL57+CK60*AZ57)</f>
        <v>135</v>
      </c>
      <c r="CO58" s="88" t="s">
        <v>364</v>
      </c>
      <c r="CP58" s="185">
        <f>IF(OR(C57="",C57="  RF"),"",IF(J57="直天",F57-1.2+SQRT(CK59/CM59),IF(AQ56="天井ケーブル",J57-1.2,J57-1.2+SQRT(CK59/CM59))))</f>
        <v>11.597958971132712</v>
      </c>
      <c r="CQ58" s="356">
        <f>IF(OR(C57="",C57="  RF"),"",IF(AQ56="天井ケーブル","",(CM59-1)*SQRT(CK59/CM59)))</f>
        <v>107.77754868245982</v>
      </c>
      <c r="CR58" s="2589" t="str">
        <f>AG59</f>
        <v>定温SP1種WP</v>
      </c>
      <c r="CS58" s="2590"/>
      <c r="CT58" s="2591"/>
      <c r="CU58" s="184">
        <f>AN59</f>
        <v>2</v>
      </c>
      <c r="CV58" s="2589" t="str">
        <f>AT58</f>
        <v>P1総合盤露出</v>
      </c>
      <c r="CW58" s="2590"/>
      <c r="CX58" s="2591"/>
      <c r="CY58" s="184">
        <f>BA58</f>
        <v>2</v>
      </c>
      <c r="CZ58" s="216"/>
      <c r="DA58" s="8"/>
      <c r="DB58" s="197">
        <f t="shared" si="11"/>
        <v>8</v>
      </c>
      <c r="DC58" s="197" t="str">
        <f t="shared" si="12"/>
        <v/>
      </c>
      <c r="DD58" s="201" t="str">
        <f>G59</f>
        <v>HP 1.2mm-3C</v>
      </c>
      <c r="DE58" s="8"/>
      <c r="DF58" s="8"/>
      <c r="DG58" s="8"/>
      <c r="DH58" s="8" t="str">
        <f>IF(COUNTIF($DD$15:DD57,DD58)&gt;0,"",DD58)</f>
        <v/>
      </c>
      <c r="DI58" s="252">
        <f>O59</f>
        <v>21</v>
      </c>
      <c r="DJ58" s="32">
        <f t="shared" si="19"/>
        <v>0</v>
      </c>
      <c r="DK58" s="197">
        <f t="shared" si="14"/>
        <v>4</v>
      </c>
      <c r="DL58" s="197" t="str">
        <f t="shared" si="15"/>
        <v/>
      </c>
      <c r="DM58" s="10" t="str">
        <f>IF(CU58="","",CR58)</f>
        <v>定温SP1種WP</v>
      </c>
      <c r="DN58" s="10" t="str">
        <f>CR58</f>
        <v>定温SP1種WP</v>
      </c>
      <c r="DO58" s="10"/>
      <c r="DP58" s="8"/>
      <c r="DQ58" s="8" t="str">
        <f>IF(COUNTIF($DM$15:DM57,DM58)&gt;0,"",DM58)</f>
        <v/>
      </c>
      <c r="DR58" s="200">
        <f>CU58</f>
        <v>2</v>
      </c>
      <c r="DS58" s="32">
        <f t="shared" si="16"/>
        <v>8</v>
      </c>
      <c r="DT58" s="8"/>
      <c r="DU58" s="197">
        <f t="shared" si="17"/>
        <v>4</v>
      </c>
      <c r="DV58" s="197" t="str">
        <f t="shared" si="18"/>
        <v/>
      </c>
      <c r="DW58" s="201" t="str">
        <f>T58</f>
        <v>C-19mm</v>
      </c>
      <c r="DX58" s="8"/>
      <c r="DY58" s="8"/>
      <c r="DZ58" s="8"/>
      <c r="EA58" s="8" t="str">
        <f>IF(COUNTIF($DW$15:DW57,DW58)&gt;0,"",DW58)</f>
        <v/>
      </c>
      <c r="EB58" s="197">
        <f>AB58</f>
        <v>119</v>
      </c>
      <c r="EC58" s="32">
        <f ca="1">SUMIF($DW$17:$DW$185,EA58,$EB$17:$EB$184)</f>
        <v>0</v>
      </c>
    </row>
    <row r="59" spans="1:133" ht="11.25" customHeight="1" thickBot="1">
      <c r="A59" s="15"/>
      <c r="B59" s="176"/>
      <c r="C59" s="2568" t="s">
        <v>363</v>
      </c>
      <c r="D59" s="2569"/>
      <c r="E59" s="2569"/>
      <c r="F59" s="2569"/>
      <c r="G59" s="2592" t="str">
        <f>IF(C57="","","HP 1.2mm-3C")</f>
        <v>HP 1.2mm-3C</v>
      </c>
      <c r="H59" s="2592"/>
      <c r="I59" s="2592"/>
      <c r="J59" s="2592"/>
      <c r="K59" s="2592"/>
      <c r="L59" s="2592"/>
      <c r="M59" s="2592"/>
      <c r="N59" s="2592"/>
      <c r="O59" s="2557">
        <f>IF($B$2=0,"",IF(OR(C57="",P56="不要"),"",ROUND(CN60,0)))</f>
        <v>21</v>
      </c>
      <c r="P59" s="2557"/>
      <c r="Q59" s="2557"/>
      <c r="R59" s="2557"/>
      <c r="S59" s="2557"/>
      <c r="T59" s="2557" t="str">
        <f>IF(OR($B$2=0,C57="",P56="不要"),"",IF(BH56="天井ケーブル","C-19mm",IF(MID(BH56,4,2)="PF","PF-16mm",IF(MID(BH56,4,2)="CD","CD-16mm",IF(MID(BH56,4,2)="C ","C-19mm",IF(MID(BH56,4,2)="G ","G-16mm",""))))))</f>
        <v>C-19mm</v>
      </c>
      <c r="U59" s="2557"/>
      <c r="V59" s="2557"/>
      <c r="W59" s="2557"/>
      <c r="X59" s="2557"/>
      <c r="Y59" s="2557"/>
      <c r="Z59" s="2557"/>
      <c r="AA59" s="2557"/>
      <c r="AB59" s="2557">
        <f>IF($B$2=0,"",IF(OR(C57="",P56="不要",CQ61=""),"",CQ60+CQ61))</f>
        <v>32.799999999999997</v>
      </c>
      <c r="AC59" s="2557"/>
      <c r="AD59" s="2557"/>
      <c r="AE59" s="2557"/>
      <c r="AF59" s="2557"/>
      <c r="AG59" s="2572" t="str">
        <f>IF($B$2=0,"","定温SP1種WP")</f>
        <v>定温SP1種WP</v>
      </c>
      <c r="AH59" s="2572"/>
      <c r="AI59" s="2572"/>
      <c r="AJ59" s="2572"/>
      <c r="AK59" s="2572"/>
      <c r="AL59" s="2572"/>
      <c r="AM59" s="2572"/>
      <c r="AN59" s="2312">
        <f>IF(OR($B$2=0,P56="不要"),"",IF(AQ59&lt;&gt;"",AQ59,CA59))</f>
        <v>2</v>
      </c>
      <c r="AO59" s="2312"/>
      <c r="AP59" s="2312"/>
      <c r="AQ59" s="2575"/>
      <c r="AR59" s="2575"/>
      <c r="AS59" s="2575"/>
      <c r="AT59" s="2572" t="str">
        <f>IF($B$2=0,"","P1総合盤埋込")</f>
        <v>P1総合盤埋込</v>
      </c>
      <c r="AU59" s="2572"/>
      <c r="AV59" s="2572"/>
      <c r="AW59" s="2572"/>
      <c r="AX59" s="2572"/>
      <c r="AY59" s="2572"/>
      <c r="AZ59" s="2572"/>
      <c r="BA59" s="2312" t="str">
        <f>IF(P56="不要","",IF(BD59&lt;&gt;"",BD59,IF([4]Top!$BD$51&lt;&gt;"要","",AZ57)))</f>
        <v/>
      </c>
      <c r="BB59" s="2312"/>
      <c r="BC59" s="2312"/>
      <c r="BD59" s="2575"/>
      <c r="BE59" s="2575"/>
      <c r="BF59" s="2575"/>
      <c r="BG59" s="2572" t="str">
        <f>IF($B$2=0,"","ｱｰﾑ電磁レリーズ")</f>
        <v>ｱｰﾑ電磁レリーズ</v>
      </c>
      <c r="BH59" s="2572"/>
      <c r="BI59" s="2572"/>
      <c r="BJ59" s="2572"/>
      <c r="BK59" s="2572"/>
      <c r="BL59" s="2572"/>
      <c r="BM59" s="2572"/>
      <c r="BN59" s="2572"/>
      <c r="BO59" s="2312">
        <f>IF(P56="不要","",IF(BR59&lt;&gt;"",BR59,BR57))</f>
        <v>4</v>
      </c>
      <c r="BP59" s="2312"/>
      <c r="BQ59" s="2312"/>
      <c r="BR59" s="2575"/>
      <c r="BS59" s="2575"/>
      <c r="BT59" s="2576"/>
      <c r="BU59" s="19"/>
      <c r="BV59" s="35"/>
      <c r="BW59" s="351" t="s">
        <v>362</v>
      </c>
      <c r="BX59" s="348"/>
      <c r="BY59" s="349">
        <f>CA59</f>
        <v>2</v>
      </c>
      <c r="BZ59" s="366"/>
      <c r="CA59" s="360">
        <f>IF(C57="","",1+INT(W57/200))</f>
        <v>2</v>
      </c>
      <c r="CB59" s="348"/>
      <c r="CC59" s="359">
        <f>CA59</f>
        <v>2</v>
      </c>
      <c r="CD59" s="365"/>
      <c r="CE59" s="349">
        <f>CA59</f>
        <v>2</v>
      </c>
      <c r="CF59" s="348"/>
      <c r="CG59" s="357">
        <f>CA59</f>
        <v>2</v>
      </c>
      <c r="CH59" s="35"/>
      <c r="CI59" s="133">
        <f>IF(BG57&lt;&gt;"",BG57,0)</f>
        <v>3</v>
      </c>
      <c r="CJ59" s="88" t="s">
        <v>361</v>
      </c>
      <c r="CK59" s="107">
        <f>N57</f>
        <v>1152</v>
      </c>
      <c r="CL59" s="88" t="s">
        <v>360</v>
      </c>
      <c r="CM59" s="185">
        <f>SUM(AN58:AP62)</f>
        <v>12</v>
      </c>
      <c r="CN59" s="364"/>
      <c r="CO59" s="168"/>
      <c r="CP59" s="363"/>
      <c r="CQ59" s="150"/>
      <c r="CR59" s="2598" t="str">
        <f>AG60</f>
        <v>補償SP2種</v>
      </c>
      <c r="CS59" s="2599"/>
      <c r="CT59" s="2600"/>
      <c r="CU59" s="362">
        <f>AN60</f>
        <v>2</v>
      </c>
      <c r="CV59" s="2598" t="str">
        <f>AT59</f>
        <v>P1総合盤埋込</v>
      </c>
      <c r="CW59" s="2599"/>
      <c r="CX59" s="2600"/>
      <c r="CY59" s="362" t="str">
        <f>BA59</f>
        <v/>
      </c>
      <c r="CZ59" s="216"/>
      <c r="DA59" s="8"/>
      <c r="DB59" s="197">
        <f t="shared" si="11"/>
        <v>8</v>
      </c>
      <c r="DC59" s="197" t="str">
        <f t="shared" si="12"/>
        <v/>
      </c>
      <c r="DD59" s="201" t="str">
        <f>G60</f>
        <v>HP 1.2mm-5C</v>
      </c>
      <c r="DE59" s="8"/>
      <c r="DF59" s="8"/>
      <c r="DG59" s="8"/>
      <c r="DH59" s="8" t="str">
        <f>IF(COUNTIF($DD$15:DD58,DD59)&gt;0,"",DD59)</f>
        <v/>
      </c>
      <c r="DI59" s="252">
        <f>O60</f>
        <v>27</v>
      </c>
      <c r="DJ59" s="32">
        <f t="shared" si="19"/>
        <v>0</v>
      </c>
      <c r="DK59" s="197">
        <f t="shared" si="14"/>
        <v>4</v>
      </c>
      <c r="DL59" s="197" t="str">
        <f t="shared" si="15"/>
        <v/>
      </c>
      <c r="DM59" s="10" t="str">
        <f>IF(CU59="","",CR59)</f>
        <v>補償SP2種</v>
      </c>
      <c r="DN59" s="10" t="str">
        <f>CR59</f>
        <v>補償SP2種</v>
      </c>
      <c r="DO59" s="10"/>
      <c r="DP59" s="8"/>
      <c r="DQ59" s="8" t="str">
        <f>IF(COUNTIF($DM$15:DM58,DM59)&gt;0,"",DM59)</f>
        <v/>
      </c>
      <c r="DR59" s="200">
        <f>CU59</f>
        <v>2</v>
      </c>
      <c r="DS59" s="32">
        <f t="shared" si="16"/>
        <v>8</v>
      </c>
      <c r="DT59" s="8"/>
      <c r="DU59" s="197">
        <f t="shared" si="17"/>
        <v>4</v>
      </c>
      <c r="DV59" s="197" t="str">
        <f t="shared" si="18"/>
        <v/>
      </c>
      <c r="DW59" s="201" t="str">
        <f>T59</f>
        <v>C-19mm</v>
      </c>
      <c r="DX59" s="8"/>
      <c r="DY59" s="8"/>
      <c r="DZ59" s="8"/>
      <c r="EA59" s="8" t="str">
        <f>IF(COUNTIF($DW$15:DW58,DW59)&gt;0,"",DW59)</f>
        <v/>
      </c>
      <c r="EB59" s="197">
        <f>AB59</f>
        <v>32.799999999999997</v>
      </c>
      <c r="EC59" s="32">
        <f ca="1">SUMIF($DW$17:$DW$185,EA59,$EB$17:$EB$184)</f>
        <v>0</v>
      </c>
    </row>
    <row r="60" spans="1:133" ht="11.25" customHeight="1" thickBot="1">
      <c r="A60" s="15"/>
      <c r="B60" s="23"/>
      <c r="C60" s="2568"/>
      <c r="D60" s="2569"/>
      <c r="E60" s="2569"/>
      <c r="F60" s="2569"/>
      <c r="G60" s="2584" t="str">
        <f>IF(C57="","","HP 1.2mm-5C")</f>
        <v>HP 1.2mm-5C</v>
      </c>
      <c r="H60" s="2584"/>
      <c r="I60" s="2584"/>
      <c r="J60" s="2584"/>
      <c r="K60" s="2584"/>
      <c r="L60" s="2584"/>
      <c r="M60" s="2584"/>
      <c r="N60" s="2584"/>
      <c r="O60" s="2585">
        <f>IF($B$2=0,"",IF(OR(C57="",P56="不要"),"",ROUND(CM60,0)))</f>
        <v>27</v>
      </c>
      <c r="P60" s="2585"/>
      <c r="Q60" s="2585"/>
      <c r="R60" s="2585"/>
      <c r="S60" s="2585"/>
      <c r="T60" s="2585" t="str">
        <f>IF(OR($B$2=0,C57="",P56="不要"),"",IF(BH56="天井ケーブル","C-25mm",IF(MID(BH56,4,2)="PF","PF-22mm",IF(MID(BH56,4,2)="CD","CD-22mm",IF(MID(BH56,4,2)="C ","C-25mm",IF(MID(BH56,4,2)="G ","G-22mm",""))))))</f>
        <v>C-25mm</v>
      </c>
      <c r="U60" s="2585"/>
      <c r="V60" s="2585"/>
      <c r="W60" s="2585"/>
      <c r="X60" s="2585"/>
      <c r="Y60" s="2585"/>
      <c r="Z60" s="2585"/>
      <c r="AA60" s="2585"/>
      <c r="AB60" s="2585">
        <f>IF(OR($B$2=0,C57="",P56="不要"),"",CP60)</f>
        <v>25.8</v>
      </c>
      <c r="AC60" s="2585"/>
      <c r="AD60" s="2585"/>
      <c r="AE60" s="2585"/>
      <c r="AF60" s="2585"/>
      <c r="AG60" s="2572" t="str">
        <f>IF($B$2=0,"","補償SP2種")</f>
        <v>補償SP2種</v>
      </c>
      <c r="AH60" s="2572"/>
      <c r="AI60" s="2572"/>
      <c r="AJ60" s="2572"/>
      <c r="AK60" s="2572"/>
      <c r="AL60" s="2572"/>
      <c r="AM60" s="2572"/>
      <c r="AN60" s="2312">
        <f>IF(OR($B$2=0,P56="不要"),"",IF(AQ60&lt;&gt;"",AQ60,CA60))</f>
        <v>2</v>
      </c>
      <c r="AO60" s="2312"/>
      <c r="AP60" s="2312"/>
      <c r="AQ60" s="2575"/>
      <c r="AR60" s="2575"/>
      <c r="AS60" s="2575"/>
      <c r="AT60" s="2546" t="str">
        <f>IF($B$2=0,"","HP起動押ボタン")</f>
        <v>HP起動押ボタン</v>
      </c>
      <c r="AU60" s="2546"/>
      <c r="AV60" s="2546"/>
      <c r="AW60" s="2546"/>
      <c r="AX60" s="2546"/>
      <c r="AY60" s="2546"/>
      <c r="AZ60" s="2546"/>
      <c r="BA60" s="2544" t="str">
        <f>IF(P56="不要","",IF(BD60&lt;&gt;"",BD60,IF([4]Top!$BL$51="要",AZ57,"")))</f>
        <v/>
      </c>
      <c r="BB60" s="2544"/>
      <c r="BC60" s="2544"/>
      <c r="BD60" s="2573"/>
      <c r="BE60" s="2573"/>
      <c r="BF60" s="2573"/>
      <c r="BG60" s="2546" t="str">
        <f>IF($B$2=0,"","光電式煙3種埋")</f>
        <v>光電式煙3種埋</v>
      </c>
      <c r="BH60" s="2546"/>
      <c r="BI60" s="2546"/>
      <c r="BJ60" s="2546"/>
      <c r="BK60" s="2546"/>
      <c r="BL60" s="2546"/>
      <c r="BM60" s="2546"/>
      <c r="BN60" s="2546"/>
      <c r="BO60" s="2544">
        <f>IF(OR($B$2=0,C57="",P56="不要"),"",IF(BR60&lt;&gt;"",BR60,2*BR57))</f>
        <v>8</v>
      </c>
      <c r="BP60" s="2544"/>
      <c r="BQ60" s="2544"/>
      <c r="BR60" s="2573"/>
      <c r="BS60" s="2573"/>
      <c r="BT60" s="2574"/>
      <c r="BU60" s="19"/>
      <c r="BV60" s="35"/>
      <c r="BW60" s="351" t="s">
        <v>359</v>
      </c>
      <c r="BX60" s="361"/>
      <c r="BY60" s="349">
        <f>CA60</f>
        <v>2</v>
      </c>
      <c r="BZ60" s="348"/>
      <c r="CA60" s="360">
        <f>IF(C57="","",1+INT(W57/200))</f>
        <v>2</v>
      </c>
      <c r="CB60" s="358"/>
      <c r="CC60" s="359">
        <f>CA60</f>
        <v>2</v>
      </c>
      <c r="CD60" s="346"/>
      <c r="CE60" s="349">
        <f>CA60</f>
        <v>2</v>
      </c>
      <c r="CF60" s="358"/>
      <c r="CG60" s="357">
        <f>CA60</f>
        <v>2</v>
      </c>
      <c r="CH60" s="35"/>
      <c r="CI60" s="133">
        <f>IF(BR57&lt;&gt;"",BR57,0)</f>
        <v>4</v>
      </c>
      <c r="CJ60" s="88" t="s">
        <v>121</v>
      </c>
      <c r="CK60" s="187">
        <f>IF(OR(C57="",C57="  RF"),"",IF($AX$8=0,0,2*($AX$8/1000-0.15-0.1)*(INT(1000*CJ58/$BF$8)+1)*(INT(1000*CK58/$BF$8)+1)*4))</f>
        <v>53.999999999999993</v>
      </c>
      <c r="CL60" s="187" t="s">
        <v>358</v>
      </c>
      <c r="CM60" s="139">
        <f>IF(OR(C57="",C57="  RF"),"",IF(J57="直天",$AN$8/1000+F57-1.2+CJ58+CK58/2,$AN$8/1000+J57-1.2+CJ58+CK58/2))</f>
        <v>27.3</v>
      </c>
      <c r="CN60" s="136">
        <f>IF(OR(C57="",C57="  RF"),"",IF(J57="直天",F57-$Y$8/1000+F57-$Y$9/1000+2*8+($AN$7+2*$AN$9)/1000,J57-$Y$8/1000+J57-$Y$9/1000+2*8+($AN$7+2*$AN$9)/1000))</f>
        <v>20.599999999999998</v>
      </c>
      <c r="CO60" s="151" t="s">
        <v>358</v>
      </c>
      <c r="CP60" s="185">
        <f>IF(OR(C57="",C57="  RF"),"",IF(J57="直天",F57-1.2+CJ58+CK58/2,IF(AQ56="天井ケーブル",J57-1.2,J57-1.2+CJ58+CK58/2)))</f>
        <v>25.8</v>
      </c>
      <c r="CQ60" s="356">
        <f>IF(OR(C57="",C57="  RF"),"",IF(J57="直天",F57-$Y$8/1000+F57-$Y$9/1000+2*8,IF(BH56="天井ケーブル",J57-$Y$8/1000+J57-$Y$9/1000,J57-$Y$8/1000+J57-$Y$9/1000+2*8)))</f>
        <v>18.399999999999999</v>
      </c>
      <c r="CR60" s="355" t="s">
        <v>87</v>
      </c>
      <c r="CS60" s="336" t="s">
        <v>395</v>
      </c>
      <c r="CT60" s="336" t="s">
        <v>394</v>
      </c>
      <c r="CU60" s="192" t="s">
        <v>393</v>
      </c>
      <c r="CV60" s="336" t="s">
        <v>392</v>
      </c>
      <c r="CW60" s="336" t="s">
        <v>391</v>
      </c>
      <c r="CX60" s="336" t="s">
        <v>390</v>
      </c>
      <c r="CY60" s="354" t="s">
        <v>389</v>
      </c>
      <c r="CZ60" s="216"/>
      <c r="DA60" s="8"/>
      <c r="DB60" s="197">
        <f t="shared" si="11"/>
        <v>9</v>
      </c>
      <c r="DC60" s="197">
        <f t="shared" si="12"/>
        <v>9</v>
      </c>
      <c r="DD60" s="201" t="str">
        <f>G61</f>
        <v>FCPEV 0.9-5Pr</v>
      </c>
      <c r="DE60" s="8"/>
      <c r="DF60" s="8"/>
      <c r="DG60" s="8"/>
      <c r="DH60" s="8" t="str">
        <f>IF(COUNTIF($DD$15:DD59,DD60)&gt;0,"",DD60)</f>
        <v>FCPEV 0.9-5Pr</v>
      </c>
      <c r="DI60" s="252">
        <f>O61</f>
        <v>18</v>
      </c>
      <c r="DJ60" s="32">
        <f t="shared" si="19"/>
        <v>177</v>
      </c>
      <c r="DK60" s="197">
        <f t="shared" si="14"/>
        <v>4</v>
      </c>
      <c r="DL60" s="197" t="str">
        <f t="shared" si="15"/>
        <v/>
      </c>
      <c r="DM60" s="11" t="str">
        <f>IF(CY56="","",CV56)</f>
        <v>光電式煙2種埋</v>
      </c>
      <c r="DN60" s="11"/>
      <c r="DO60" s="11"/>
      <c r="DP60" s="9"/>
      <c r="DQ60" s="9" t="str">
        <f>IF(COUNTIF($DM$15:DM59,DM60)&gt;0,"",DM60)</f>
        <v/>
      </c>
      <c r="DR60" s="200">
        <f>CY56</f>
        <v>8</v>
      </c>
      <c r="DS60" s="32">
        <f t="shared" si="16"/>
        <v>8</v>
      </c>
      <c r="DT60" s="8"/>
      <c r="DU60" s="197">
        <f t="shared" si="17"/>
        <v>4</v>
      </c>
      <c r="DV60" s="197" t="str">
        <f t="shared" si="18"/>
        <v/>
      </c>
      <c r="DW60" s="201" t="str">
        <f>T60</f>
        <v>C-25mm</v>
      </c>
      <c r="DX60" s="8"/>
      <c r="DY60" s="8"/>
      <c r="DZ60" s="8"/>
      <c r="EA60" s="8" t="str">
        <f>IF(COUNTIF($DW$15:DW59,DW60)&gt;0,"",DW60)</f>
        <v/>
      </c>
      <c r="EB60" s="197">
        <f>AB60</f>
        <v>25.8</v>
      </c>
      <c r="EC60" s="32">
        <f ca="1">SUMIF($DW$17:$DW$185,EA60,$EB$17:$EB$184)</f>
        <v>0</v>
      </c>
    </row>
    <row r="61" spans="1:133" ht="11.25" customHeight="1" thickBot="1">
      <c r="A61" s="15"/>
      <c r="B61" s="23"/>
      <c r="C61" s="2568" t="s">
        <v>352</v>
      </c>
      <c r="D61" s="2569"/>
      <c r="E61" s="2569"/>
      <c r="F61" s="2569"/>
      <c r="G61" s="2557" t="str">
        <f>IF(OR($B$2=0,C57="",P56="不要"),"",IF(CR61&lt;10,"FCPEV 0.9-5Pr",IF(CR61&lt;20,"FCPEV 0.9- 10Pr",IF(CR61&lt;30,"FCPEV 0.9- 15Pr",IF(CR61&lt;40,"FCPEV 0.9- 20Pr","")))))</f>
        <v>FCPEV 0.9-5Pr</v>
      </c>
      <c r="H61" s="2557"/>
      <c r="I61" s="2557"/>
      <c r="J61" s="2557"/>
      <c r="K61" s="2557"/>
      <c r="L61" s="2557"/>
      <c r="M61" s="2557"/>
      <c r="N61" s="2557"/>
      <c r="O61" s="2557">
        <f>IF(OR(C57="",P56="不要",G61=""),"",INT(AZ57*(CJ58+CK58)/4))</f>
        <v>18</v>
      </c>
      <c r="P61" s="2557"/>
      <c r="Q61" s="2557"/>
      <c r="R61" s="2557"/>
      <c r="S61" s="2557"/>
      <c r="T61" s="2558" t="str">
        <f>IF(OR(C57="",P56="不要",G61=""),"",IF(AQ56="天井ケーブル","C-"&amp;CM62&amp;"mm",IF(MID(AQ56,4,2)="PF","PF-"&amp;CL62&amp;"mm",IF(MID(AQ56,4,2)="CD","CD-"&amp;CL62&amp;"mm",IF(MID(AQ56,4,2)="C ","C-"&amp;CM62&amp;"mm",IF(MID(AQ56,4,2)="G ","G-"&amp;CL62&amp;"mm"))))))</f>
        <v>C-31mm</v>
      </c>
      <c r="U61" s="2557"/>
      <c r="V61" s="2557"/>
      <c r="W61" s="2557"/>
      <c r="X61" s="2557"/>
      <c r="Y61" s="2557"/>
      <c r="Z61" s="2557"/>
      <c r="AA61" s="2557"/>
      <c r="AB61" s="2557">
        <f>IF(OR(C57="",P56="不要",G61=""),"",IF(AQ56="天井ケーブル",2*AZ57*(F57-$Y$7/1000),O61*0.9))</f>
        <v>16.2</v>
      </c>
      <c r="AC61" s="2557"/>
      <c r="AD61" s="2557"/>
      <c r="AE61" s="2557"/>
      <c r="AF61" s="2557"/>
      <c r="AG61" s="2572" t="str">
        <f>IF($B$2=0,"","光電式煙2種埋")</f>
        <v>光電式煙2種埋</v>
      </c>
      <c r="AH61" s="2572"/>
      <c r="AI61" s="2572"/>
      <c r="AJ61" s="2572"/>
      <c r="AK61" s="2572"/>
      <c r="AL61" s="2572"/>
      <c r="AM61" s="2572"/>
      <c r="AN61" s="2312">
        <f>IF(OR(C57="",$B$2=0,P56="不要"),"",IF(AQ61&lt;&gt;"",AQ61,IF(AX62="B",BX61+BY61,IF(AND(BL61="耐 火",AZ61="無窓"),CB61+CC61,IF(AND(BL61&lt;&gt;"耐 火",AZ61="無窓"),CF61+CG61,"")))))</f>
        <v>8</v>
      </c>
      <c r="AO61" s="2312"/>
      <c r="AP61" s="2312"/>
      <c r="AQ61" s="2339"/>
      <c r="AR61" s="2339"/>
      <c r="AS61" s="2551"/>
      <c r="AT61" s="2577" t="str">
        <f>IF(C57="","","消防法上")</f>
        <v>消防法上</v>
      </c>
      <c r="AU61" s="2289"/>
      <c r="AV61" s="2289"/>
      <c r="AW61" s="2289"/>
      <c r="AX61" s="2289"/>
      <c r="AY61" s="2578"/>
      <c r="AZ61" s="2579" t="str">
        <f>IF($B$2=0,"",IF(BD61="",[4]Top!$BO$26,BD61))</f>
        <v>無窓</v>
      </c>
      <c r="BA61" s="2394"/>
      <c r="BB61" s="2580"/>
      <c r="BC61" s="353" t="s">
        <v>387</v>
      </c>
      <c r="BD61" s="2552"/>
      <c r="BE61" s="2552"/>
      <c r="BF61" s="2553"/>
      <c r="BG61" s="2581" t="str">
        <f>IF(C57="","","耐火構造")</f>
        <v>耐火構造</v>
      </c>
      <c r="BH61" s="2289"/>
      <c r="BI61" s="2289"/>
      <c r="BJ61" s="2289"/>
      <c r="BK61" s="2290"/>
      <c r="BL61" s="2278" t="str">
        <f>IF($B$2=0,"",IF(BQ61="",[4]Top!$AN$18,BQ61))</f>
        <v>耐 火</v>
      </c>
      <c r="BM61" s="2394"/>
      <c r="BN61" s="2394"/>
      <c r="BO61" s="2580"/>
      <c r="BP61" s="352" t="s">
        <v>387</v>
      </c>
      <c r="BQ61" s="2582"/>
      <c r="BR61" s="2552"/>
      <c r="BS61" s="2552"/>
      <c r="BT61" s="2583"/>
      <c r="BU61" s="19"/>
      <c r="BV61" s="35"/>
      <c r="BW61" s="351" t="s">
        <v>351</v>
      </c>
      <c r="BX61" s="350">
        <f>CB61</f>
        <v>2</v>
      </c>
      <c r="BY61" s="349">
        <f>CC61</f>
        <v>6</v>
      </c>
      <c r="BZ61" s="348"/>
      <c r="CA61" s="345"/>
      <c r="CB61" s="344">
        <f>IF(OR([6]Top!$BD$72&lt;&gt;"要",C57=""),"",IF(J57&gt;=4,1+INT(BZ58*0.47),1+INT(BZ58*0.47)))</f>
        <v>2</v>
      </c>
      <c r="CC61" s="347">
        <f>IF(OR([6]Top!$BD$72&lt;&gt;"要",C57=""),"",IF(J57&gt;=4,1+INT(CA58*0.47),1+INT(CA58*0.47)))</f>
        <v>6</v>
      </c>
      <c r="CD61" s="346"/>
      <c r="CE61" s="345"/>
      <c r="CF61" s="344">
        <f>IF(AND(AX48&lt;720,J57&lt;4),1+INT(CD58*0.47),1+INT(CD58*0.94))</f>
        <v>6</v>
      </c>
      <c r="CG61" s="343">
        <f>IF(AND(AX48&lt;720,J57&lt;4),1+INT(CE58*0.47),1+INT(CE58*0.94))</f>
        <v>14</v>
      </c>
      <c r="CH61" s="35"/>
      <c r="CI61" s="133">
        <f>IF(AND(C57&lt;&gt;"",LEFT(C57,2)&lt;&gt;" P"),CI53+F57,"")</f>
        <v>27</v>
      </c>
      <c r="CJ61" s="88" t="s">
        <v>350</v>
      </c>
      <c r="CK61" s="182" t="s">
        <v>349</v>
      </c>
      <c r="CL61" s="342">
        <f>IF(OR(C57="",C57="  RF"),"",IF(AZ65&lt;&gt;"",AZ57,AZ57+BG57))</f>
        <v>2</v>
      </c>
      <c r="CM61" s="341" t="s">
        <v>348</v>
      </c>
      <c r="CN61" s="219" t="s">
        <v>347</v>
      </c>
      <c r="CO61" s="138">
        <f>IF(OR(C57="",P56="不要"),"",AZ57*INT(CJ58+CK58)/5)</f>
        <v>14.4</v>
      </c>
      <c r="CP61" s="151" t="s">
        <v>347</v>
      </c>
      <c r="CQ61" s="340">
        <f>IF(AQ56="天井ケーブル",F57,CO61)</f>
        <v>14.4</v>
      </c>
      <c r="CR61" s="339">
        <f>SUM(CS61:CX61)</f>
        <v>8</v>
      </c>
      <c r="CS61" s="338">
        <f>AZ57</f>
        <v>2</v>
      </c>
      <c r="CT61" s="338">
        <f>IF(BA57="",0,BA57)</f>
        <v>0</v>
      </c>
      <c r="CU61" s="88">
        <v>1</v>
      </c>
      <c r="CV61" s="222">
        <v>1</v>
      </c>
      <c r="CW61" s="222">
        <v>2</v>
      </c>
      <c r="CX61" s="222">
        <v>2</v>
      </c>
      <c r="CY61" s="337" t="str">
        <f>IF(CK56="=",3*BR57+2,"")</f>
        <v/>
      </c>
      <c r="CZ61" s="218"/>
      <c r="DA61" s="8"/>
      <c r="DB61" s="197">
        <f t="shared" si="11"/>
        <v>9</v>
      </c>
      <c r="DC61" s="197" t="str">
        <f t="shared" si="12"/>
        <v/>
      </c>
      <c r="DD61" s="201" t="str">
        <f>G62</f>
        <v>FCPEV 1.2- 10Pr</v>
      </c>
      <c r="DE61" s="8"/>
      <c r="DF61" s="8"/>
      <c r="DG61" s="8"/>
      <c r="DH61" s="8" t="str">
        <f>IF(COUNTIF($DD$15:DD60,DD61)&gt;0,"",DD61)</f>
        <v/>
      </c>
      <c r="DI61" s="252">
        <f>O62</f>
        <v>14.4</v>
      </c>
      <c r="DJ61" s="32">
        <f t="shared" si="19"/>
        <v>0</v>
      </c>
      <c r="DK61" s="197">
        <f t="shared" si="14"/>
        <v>4</v>
      </c>
      <c r="DL61" s="197" t="str">
        <f t="shared" si="15"/>
        <v/>
      </c>
      <c r="DM61" s="11" t="str">
        <f>IF(AN62="","",AG62)</f>
        <v/>
      </c>
      <c r="DN61" s="11"/>
      <c r="DO61" s="11"/>
      <c r="DP61" s="9"/>
      <c r="DQ61" s="9" t="str">
        <f>IF(COUNTIF($DM$15:DM60,DM61)&gt;0,"",DM61)</f>
        <v/>
      </c>
      <c r="DR61" s="101" t="str">
        <f>AN62</f>
        <v/>
      </c>
      <c r="DS61" s="32">
        <f t="shared" si="16"/>
        <v>8</v>
      </c>
      <c r="DT61" s="8"/>
      <c r="DU61" s="197">
        <f t="shared" si="17"/>
        <v>4</v>
      </c>
      <c r="DV61" s="197" t="str">
        <f t="shared" si="18"/>
        <v/>
      </c>
      <c r="DW61" s="201" t="str">
        <f>T61</f>
        <v>C-31mm</v>
      </c>
      <c r="DX61" s="8"/>
      <c r="DY61" s="8"/>
      <c r="DZ61" s="8"/>
      <c r="EA61" s="8" t="str">
        <f>IF(COUNTIF($DW$15:DW60,DW61)&gt;0,"",DW61)</f>
        <v/>
      </c>
      <c r="EB61" s="197">
        <f>AB61</f>
        <v>16.2</v>
      </c>
      <c r="EC61" s="32">
        <f ca="1">SUMIF($DW$17:$DW$185,EA61,$EB$17:$EB$184)</f>
        <v>0</v>
      </c>
    </row>
    <row r="62" spans="1:133" ht="11.25" customHeight="1" thickBot="1">
      <c r="A62" s="15"/>
      <c r="B62" s="23"/>
      <c r="C62" s="2570"/>
      <c r="D62" s="2571"/>
      <c r="E62" s="2571"/>
      <c r="F62" s="2571"/>
      <c r="G62" s="2554" t="str">
        <f>IF(OR($B$2=0,P56="不要"),"",IF(CR62=0,"",IF(OR(C57="",P56="不要"),"",IF(CR62&lt;10,"FCPEV 1.2-5Pr",IF(CR62&lt;20,"FCPEV 1.2- 10Pr",IF(CR62&lt;30,"FCPEV 1.2- 15Pr",IF(CR62&lt;40,"FCPEV 1.2- 20Pr",IF(CR62&lt;60,"FCPEV 1.2- 30Pr",IF(CR62&lt;100,"FCPEV 1.2- 50Pr",IF(CR62&lt;140,"FCPEV 1.2- 70Pr",IF(CR62&lt;200,"FCPEV 1.2-100Pr","FCPEV 1.2-200Pr")))))))))))</f>
        <v>FCPEV 1.2- 10Pr</v>
      </c>
      <c r="H62" s="2555"/>
      <c r="I62" s="2555"/>
      <c r="J62" s="2555"/>
      <c r="K62" s="2555"/>
      <c r="L62" s="2555"/>
      <c r="M62" s="2555"/>
      <c r="N62" s="2555"/>
      <c r="O62" s="2555">
        <f>IF(OR(G62="",C57="",P56="不要"),"",CO61)</f>
        <v>14.4</v>
      </c>
      <c r="P62" s="2555"/>
      <c r="Q62" s="2555"/>
      <c r="R62" s="2555"/>
      <c r="S62" s="2555"/>
      <c r="T62" s="2555" t="str">
        <f>IF(OR(G62="",C57="",P56="不要"),"",IF(AQ56="天井ケーブル","C-"&amp;CO62&amp;"mm",IF(MID(AQ56,4,2)="PF","PF-"&amp;CN62&amp;"mm",IF(MID(AQ56,4,2)="CD","CD-"&amp;CN62&amp;"mm",IF(MID(AQ56,4,2)="C ","C-"&amp;CO62&amp;"mm",IF(MID(AQ56,4,2)="G ","G-"&amp;CN62&amp;"mm"))))))</f>
        <v>C-31mm</v>
      </c>
      <c r="U62" s="2555"/>
      <c r="V62" s="2555"/>
      <c r="W62" s="2555"/>
      <c r="X62" s="2555"/>
      <c r="Y62" s="2555"/>
      <c r="Z62" s="2555"/>
      <c r="AA62" s="2555"/>
      <c r="AB62" s="2555">
        <f>IF(OR(G62="",P56="不要"),"",CQ61)</f>
        <v>14.4</v>
      </c>
      <c r="AC62" s="2555"/>
      <c r="AD62" s="2555"/>
      <c r="AE62" s="2555"/>
      <c r="AF62" s="2555"/>
      <c r="AG62" s="2556" t="str">
        <f>IF($B$2=0,"","定温SP1種Exp")</f>
        <v>定温SP1種Exp</v>
      </c>
      <c r="AH62" s="2556"/>
      <c r="AI62" s="2556"/>
      <c r="AJ62" s="2556"/>
      <c r="AK62" s="2556"/>
      <c r="AL62" s="2556"/>
      <c r="AM62" s="2556"/>
      <c r="AN62" s="2335" t="str">
        <f>IF(AQ62&lt;&gt;"",AQ62,"")</f>
        <v/>
      </c>
      <c r="AO62" s="2335"/>
      <c r="AP62" s="2335"/>
      <c r="AQ62" s="2566"/>
      <c r="AR62" s="2566"/>
      <c r="AS62" s="2567"/>
      <c r="AT62" s="2586" t="str">
        <f>IF(C57="","","盤位置")</f>
        <v>盤位置</v>
      </c>
      <c r="AU62" s="2587"/>
      <c r="AV62" s="2587"/>
      <c r="AW62" s="2587"/>
      <c r="AX62" s="2588" t="str">
        <f>非誘!V47</f>
        <v>⑦</v>
      </c>
      <c r="AY62" s="2588"/>
      <c r="AZ62" s="2588"/>
      <c r="BA62" s="2559" t="str">
        <f>IF(C57="","","専部屋面積")</f>
        <v>専部屋面積</v>
      </c>
      <c r="BB62" s="2560"/>
      <c r="BC62" s="2560"/>
      <c r="BD62" s="2560"/>
      <c r="BE62" s="2560"/>
      <c r="BF62" s="2561"/>
      <c r="BG62" s="2562">
        <f>IF(OR(C57="",S57=""),"",S57/AA57)</f>
        <v>268.8</v>
      </c>
      <c r="BH62" s="2563"/>
      <c r="BI62" s="2563"/>
      <c r="BJ62" s="2564"/>
      <c r="BK62" s="2559" t="str">
        <f>IF(C57="","","共部屋面積")</f>
        <v>共部屋面積</v>
      </c>
      <c r="BL62" s="2560"/>
      <c r="BM62" s="2560"/>
      <c r="BN62" s="2560"/>
      <c r="BO62" s="2560"/>
      <c r="BP62" s="2561"/>
      <c r="BQ62" s="2562">
        <f>IF(OR($B$2=0,C57=""),"",W57/AD57)</f>
        <v>38.400000000000006</v>
      </c>
      <c r="BR62" s="2563"/>
      <c r="BS62" s="2563"/>
      <c r="BT62" s="2565"/>
      <c r="BU62" s="19"/>
      <c r="BV62" s="35"/>
      <c r="BW62" s="99"/>
      <c r="BX62" s="35"/>
      <c r="BY62" s="35"/>
      <c r="BZ62" s="35"/>
      <c r="CA62" s="35"/>
      <c r="CB62" s="35"/>
      <c r="CC62" s="35"/>
      <c r="CD62" s="35"/>
      <c r="CE62" s="35"/>
      <c r="CF62" s="35"/>
      <c r="CG62" s="35"/>
      <c r="CH62" s="35"/>
      <c r="CI62" s="8"/>
      <c r="CJ62" s="8"/>
      <c r="CK62" s="8"/>
      <c r="CL62" s="336" t="str">
        <f>IF(OR(RIGHT(G61,3)="5Pr",RIGHT(G61,4)="10Pr",RIGHT(G61,4)="15Pr"),"28",IF(OR(RIGHT(G61,4)="20Pr",RIGHT(G61,4)="30Pr"),"36",IF(OR(RIGHT(G61,4)="50Pr",RIGHT(G61,4)="70Pr"),"42","")))</f>
        <v>28</v>
      </c>
      <c r="CM62" s="336" t="str">
        <f>IF(OR(RIGHT(G61,3)="5Pr",RIGHT(G61,4)="10Pr",RIGHT(G61,4)="15Pr"),"31",IF(OR(RIGHT(G61,4)="20Pr",RIGHT(G61,4)="30Pr"),"39",IF(OR(RIGHT(G61,4)="50Pr",RIGHT(G61,4)="70Pr"),"51","")))</f>
        <v>31</v>
      </c>
      <c r="CN62" s="86" t="str">
        <f>IF(OR(RIGHT(G62,3)="5Pr",RIGHT(G62,4)="10Pr",RIGHT(G62,4)="15Pr"),"28",IF(OR(RIGHT(G62,4)="20Pr",RIGHT(G62,4)="30Pr"),"36",IF(OR(RIGHT(G62,4)="50Pr",RIGHT(G62,4)="70Pr"),"42","")))</f>
        <v>28</v>
      </c>
      <c r="CO62" s="86" t="str">
        <f>IF(OR(RIGHT(G62,3)="5Pr",RIGHT(G62,4)="10Pr",RIGHT(G62,4)="15Pr"),"31",IF(OR(RIGHT(G62,4)="20Pr",RIGHT(G62,4)="30Pr"),"39",IF(OR(RIGHT(G62,4)="50Pr",RIGHT(G62,4)="70Pr"),"51","")))</f>
        <v>31</v>
      </c>
      <c r="CP62" s="9"/>
      <c r="CQ62" s="9"/>
      <c r="CR62" s="335">
        <f>IF(P56="不要","",SUM(CS62:CX62))</f>
        <v>13</v>
      </c>
      <c r="CS62" s="334">
        <f>IF(OR(CK56="",CK56="=",P56="不要"),0,IF(CK56="－",CL61+CS54,IF(CK56="+",CL61+CS70)))</f>
        <v>6</v>
      </c>
      <c r="CT62" s="188">
        <f>IF(OR(CK56="",CK56="=",P56="不要"),0,IF(CS62&lt;7,1,IF(CS62&lt;14,2,IF(CS62&lt;21,3,IF(CS62&lt;28,4,IF(CS62&lt;35,5,IF(CS62&lt;42,6,IF(CS62&lt;49,7,IF(CS62&lt;56,8,IF(CS62&lt;63,9,IF(CS62&lt;70,10,IF(CS62&lt;77,11,"---"))))))))))))</f>
        <v>1</v>
      </c>
      <c r="CU62" s="188">
        <f>IF(CS62=0,0,1)</f>
        <v>1</v>
      </c>
      <c r="CV62" s="333">
        <f>IF(CS62=0,0,1)</f>
        <v>1</v>
      </c>
      <c r="CW62" s="333">
        <f>IF(CS62=0,0,2)</f>
        <v>2</v>
      </c>
      <c r="CX62" s="333">
        <f>IF(CS62=0,0,2)</f>
        <v>2</v>
      </c>
      <c r="CY62" s="332">
        <f>IF(OR(BR65="",P56="不要"),0,IF(CK56="=",0,IF(CK56="－",2*BR57+3,IF(CK56="+",2*(BR57+BR65)+3,""))))</f>
        <v>19</v>
      </c>
      <c r="CZ62" s="216"/>
      <c r="DA62" s="9"/>
      <c r="DB62" s="127">
        <f t="shared" si="11"/>
        <v>9</v>
      </c>
      <c r="DC62" s="127" t="str">
        <f t="shared" si="12"/>
        <v/>
      </c>
      <c r="DD62" s="11" t="str">
        <f>CR56</f>
        <v>防火区画処理</v>
      </c>
      <c r="DE62" s="9"/>
      <c r="DF62" s="9"/>
      <c r="DG62" s="9"/>
      <c r="DH62" s="9" t="str">
        <f>IF(COUNTIF($DD$15:DD61,DD62)&gt;0,"",DD62)</f>
        <v/>
      </c>
      <c r="DI62" s="242">
        <f>CU56</f>
        <v>13</v>
      </c>
      <c r="DJ62" s="32">
        <f t="shared" si="19"/>
        <v>0</v>
      </c>
      <c r="DK62" s="127">
        <f t="shared" si="14"/>
        <v>4</v>
      </c>
      <c r="DL62" s="127" t="str">
        <f t="shared" si="15"/>
        <v/>
      </c>
      <c r="DM62" s="11" t="str">
        <f>IF(CY57="","",CV57)</f>
        <v/>
      </c>
      <c r="DN62" s="11"/>
      <c r="DO62" s="11"/>
      <c r="DP62" s="9"/>
      <c r="DQ62" s="9" t="str">
        <f>IF(COUNTIF($DM$15:DM61,DM62)&gt;0,"",DM62)</f>
        <v/>
      </c>
      <c r="DR62" s="101" t="str">
        <f>CY57</f>
        <v/>
      </c>
      <c r="DS62" s="32">
        <f t="shared" si="16"/>
        <v>8</v>
      </c>
      <c r="DT62" s="9"/>
      <c r="DU62" s="197">
        <f t="shared" si="17"/>
        <v>4</v>
      </c>
      <c r="DV62" s="197" t="str">
        <f t="shared" si="18"/>
        <v/>
      </c>
      <c r="DW62" s="201" t="str">
        <f>T62</f>
        <v>C-31mm</v>
      </c>
      <c r="DX62" s="8"/>
      <c r="DY62" s="8"/>
      <c r="DZ62" s="8"/>
      <c r="EA62" s="8" t="str">
        <f>IF(COUNTIF($DW$15:DW61,DW62)&gt;0,"",DW62)</f>
        <v/>
      </c>
      <c r="EB62" s="197">
        <f>AB62</f>
        <v>14.4</v>
      </c>
      <c r="EC62" s="32">
        <f ca="1">SUMIF($DW$17:$DW$185,EA62,$EB$17:$EB$184)</f>
        <v>0</v>
      </c>
    </row>
    <row r="63" spans="1:133" ht="11.25" customHeight="1">
      <c r="A63" s="15"/>
      <c r="B63" s="176"/>
      <c r="C63" s="37"/>
      <c r="D63" s="37"/>
      <c r="E63" s="37"/>
      <c r="F63" s="37"/>
      <c r="G63" s="331"/>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157"/>
      <c r="AH63" s="157"/>
      <c r="AI63" s="157"/>
      <c r="AJ63" s="157"/>
      <c r="AK63" s="157"/>
      <c r="AL63" s="157"/>
      <c r="AM63" s="157"/>
      <c r="AN63" s="377"/>
      <c r="AO63" s="377"/>
      <c r="AP63" s="377"/>
      <c r="AQ63" s="37"/>
      <c r="AR63" s="37"/>
      <c r="AS63" s="37"/>
      <c r="AT63" s="157"/>
      <c r="AU63" s="157"/>
      <c r="AV63" s="157"/>
      <c r="AW63" s="157"/>
      <c r="AX63" s="157"/>
      <c r="AY63" s="157"/>
      <c r="AZ63" s="157"/>
      <c r="BA63" s="377"/>
      <c r="BB63" s="377"/>
      <c r="BC63" s="377"/>
      <c r="BD63" s="37"/>
      <c r="BE63" s="37"/>
      <c r="BF63" s="37"/>
      <c r="BG63" s="157"/>
      <c r="BH63" s="157"/>
      <c r="BI63" s="157"/>
      <c r="BJ63" s="157"/>
      <c r="BK63" s="157"/>
      <c r="BL63" s="157"/>
      <c r="BM63" s="157"/>
      <c r="BN63" s="157"/>
      <c r="BO63" s="377"/>
      <c r="BP63" s="377"/>
      <c r="BQ63" s="377"/>
      <c r="BR63" s="37"/>
      <c r="BS63" s="37"/>
      <c r="BT63" s="37"/>
      <c r="BU63" s="19"/>
      <c r="BV63" s="35"/>
      <c r="BW63" s="99"/>
      <c r="BX63" s="35"/>
      <c r="BY63" s="35"/>
      <c r="BZ63" s="35"/>
      <c r="CA63" s="35"/>
      <c r="CB63" s="35"/>
      <c r="CC63" s="35"/>
      <c r="CD63" s="35"/>
      <c r="CE63" s="35"/>
      <c r="CF63" s="35"/>
      <c r="CG63" s="35"/>
      <c r="CH63" s="35"/>
      <c r="CI63" s="8"/>
      <c r="CJ63" s="9"/>
      <c r="CK63" s="9"/>
      <c r="CL63" s="9"/>
      <c r="CM63" s="391"/>
      <c r="CN63" s="9"/>
      <c r="CO63" s="9"/>
      <c r="CP63" s="391"/>
      <c r="CQ63" s="9"/>
      <c r="CR63" s="9"/>
      <c r="CS63" s="9"/>
      <c r="CT63" s="9"/>
      <c r="CU63" s="9"/>
      <c r="CV63" s="391"/>
      <c r="CW63" s="164"/>
      <c r="CX63" s="164"/>
      <c r="CY63" s="9"/>
      <c r="CZ63" s="216"/>
      <c r="DA63" s="45"/>
      <c r="DB63" s="127">
        <f t="shared" si="11"/>
        <v>9</v>
      </c>
      <c r="DC63" s="127" t="str">
        <f t="shared" si="12"/>
        <v/>
      </c>
      <c r="DD63" s="11"/>
      <c r="DE63" s="9"/>
      <c r="DF63" s="9"/>
      <c r="DG63" s="9"/>
      <c r="DH63" s="9"/>
      <c r="DI63" s="242"/>
      <c r="DJ63" s="13"/>
      <c r="DK63" s="127">
        <f t="shared" si="14"/>
        <v>4</v>
      </c>
      <c r="DL63" s="127" t="str">
        <f t="shared" si="15"/>
        <v/>
      </c>
      <c r="DM63" s="11" t="str">
        <f>IF(CY58="","",CV58)</f>
        <v>P1総合盤露出</v>
      </c>
      <c r="DN63" s="11"/>
      <c r="DO63" s="11"/>
      <c r="DP63" s="9"/>
      <c r="DQ63" s="9" t="str">
        <f>IF(COUNTIF($DM$15:DM62,DM63)&gt;0,"",DM63)</f>
        <v/>
      </c>
      <c r="DR63" s="101">
        <f>CY58</f>
        <v>2</v>
      </c>
      <c r="DS63" s="32">
        <f t="shared" si="16"/>
        <v>8</v>
      </c>
      <c r="DT63" s="45"/>
      <c r="DU63" s="8">
        <f t="shared" si="17"/>
        <v>4</v>
      </c>
      <c r="DV63" s="8" t="str">
        <f t="shared" si="18"/>
        <v/>
      </c>
      <c r="DW63" s="8"/>
      <c r="DX63" s="8"/>
      <c r="DY63" s="8"/>
      <c r="DZ63" s="8"/>
      <c r="EA63" s="8"/>
      <c r="EB63" s="8"/>
      <c r="EC63" s="8"/>
    </row>
    <row r="64" spans="1:133" ht="11.25" customHeight="1" thickBot="1">
      <c r="A64" s="374">
        <v>7</v>
      </c>
      <c r="B64" s="23"/>
      <c r="C64" s="2626" t="str">
        <f>非誘!J52</f>
        <v>( 4 )</v>
      </c>
      <c r="D64" s="2627"/>
      <c r="E64" s="2628"/>
      <c r="F64" s="2629" t="str">
        <f>非誘!M52</f>
        <v>百貨店等</v>
      </c>
      <c r="G64" s="2629"/>
      <c r="H64" s="2629"/>
      <c r="I64" s="2629"/>
      <c r="J64" s="2629"/>
      <c r="K64" s="2629"/>
      <c r="L64" s="2629"/>
      <c r="M64" s="2629"/>
      <c r="N64" s="2629"/>
      <c r="O64" s="2629"/>
      <c r="P64" s="2630" t="str">
        <f>IF(U64="",RIGHT($D$8,2),U64)</f>
        <v>設置</v>
      </c>
      <c r="Q64" s="2630"/>
      <c r="R64" s="2630"/>
      <c r="S64" s="2631"/>
      <c r="T64" s="31" t="s">
        <v>387</v>
      </c>
      <c r="U64" s="2632"/>
      <c r="V64" s="2632"/>
      <c r="W64" s="2632"/>
      <c r="X64" s="2633"/>
      <c r="Y64" s="2634" t="s">
        <v>20</v>
      </c>
      <c r="Z64" s="2634"/>
      <c r="AA64" s="2634"/>
      <c r="AB64" s="2634"/>
      <c r="AC64" s="2634"/>
      <c r="AD64" s="2635">
        <f>非誘!J53</f>
        <v>0.5</v>
      </c>
      <c r="AE64" s="2635"/>
      <c r="AF64" s="2635"/>
      <c r="AG64" s="2635"/>
      <c r="AH64" s="2299" t="s">
        <v>135</v>
      </c>
      <c r="AI64" s="2299"/>
      <c r="AJ64" s="2299"/>
      <c r="AK64" s="2299"/>
      <c r="AL64" s="2299"/>
      <c r="AM64" s="2299" t="s">
        <v>366</v>
      </c>
      <c r="AN64" s="2299"/>
      <c r="AO64" s="2299"/>
      <c r="AP64" s="2299"/>
      <c r="AQ64" s="2569" t="str">
        <f>IF(AX64="","天井ケーブル",AX64)</f>
        <v>天井(C 管)</v>
      </c>
      <c r="AR64" s="2569"/>
      <c r="AS64" s="2569"/>
      <c r="AT64" s="2569"/>
      <c r="AU64" s="2569"/>
      <c r="AV64" s="2569"/>
      <c r="AW64" s="175" t="s">
        <v>387</v>
      </c>
      <c r="AX64" s="2338" t="s">
        <v>388</v>
      </c>
      <c r="AY64" s="2338"/>
      <c r="AZ64" s="2338"/>
      <c r="BA64" s="2338"/>
      <c r="BB64" s="2338"/>
      <c r="BC64" s="2338"/>
      <c r="BD64" s="2299" t="s">
        <v>363</v>
      </c>
      <c r="BE64" s="2299"/>
      <c r="BF64" s="2299"/>
      <c r="BG64" s="2299"/>
      <c r="BH64" s="2569" t="str">
        <f>IF(BO64="","天井(C 管)",BO64)</f>
        <v>天井(C 管)</v>
      </c>
      <c r="BI64" s="2569"/>
      <c r="BJ64" s="2569"/>
      <c r="BK64" s="2569"/>
      <c r="BL64" s="2569"/>
      <c r="BM64" s="2569"/>
      <c r="BN64" s="175" t="s">
        <v>387</v>
      </c>
      <c r="BO64" s="2338"/>
      <c r="BP64" s="2338"/>
      <c r="BQ64" s="2338"/>
      <c r="BR64" s="2338"/>
      <c r="BS64" s="2338"/>
      <c r="BT64" s="2622"/>
      <c r="BU64" s="19"/>
      <c r="BV64" s="35"/>
      <c r="BW64" s="99"/>
      <c r="BX64" s="35"/>
      <c r="BY64" s="35"/>
      <c r="BZ64" s="35"/>
      <c r="CA64" s="35"/>
      <c r="CB64" s="35"/>
      <c r="CC64" s="35"/>
      <c r="CD64" s="35"/>
      <c r="CE64" s="35"/>
      <c r="CF64" s="35"/>
      <c r="CG64" s="35"/>
      <c r="CH64" s="35"/>
      <c r="CI64" s="8">
        <v>23</v>
      </c>
      <c r="CJ64" s="97" t="str">
        <f>IF(LEFT(C65,2)=" B",-MID(C65,3,1),IF(C65="  RF","",LEFT(C65,3)))</f>
        <v xml:space="preserve">  5</v>
      </c>
      <c r="CK64" s="10" t="str">
        <f>IF(OR(C65="",C65="  RF"),"",IF(LEFT(C65,1)="P","+",IF($CJ$14&gt;CJ64,"－",IF($CJ$14=CJ64,"=","+"))))</f>
        <v>+</v>
      </c>
      <c r="CL64" s="2601" t="s">
        <v>376</v>
      </c>
      <c r="CM64" s="2601"/>
      <c r="CN64" s="2601"/>
      <c r="CO64" s="2601" t="s">
        <v>375</v>
      </c>
      <c r="CP64" s="2601"/>
      <c r="CQ64" s="2601"/>
      <c r="CR64" s="2589" t="str">
        <f>AG65</f>
        <v>防火区画処理</v>
      </c>
      <c r="CS64" s="2590"/>
      <c r="CT64" s="2591"/>
      <c r="CU64" s="184">
        <f>AN65</f>
        <v>13</v>
      </c>
      <c r="CV64" s="2589" t="str">
        <f>AG69</f>
        <v>光電式煙2種埋</v>
      </c>
      <c r="CW64" s="2590"/>
      <c r="CX64" s="2591"/>
      <c r="CY64" s="184">
        <f>AN69</f>
        <v>8</v>
      </c>
      <c r="CZ64" s="216"/>
      <c r="DA64" s="161">
        <v>7</v>
      </c>
      <c r="DB64" s="373">
        <f t="shared" si="11"/>
        <v>9</v>
      </c>
      <c r="DC64" s="45" t="str">
        <f t="shared" si="12"/>
        <v/>
      </c>
      <c r="DD64" s="45"/>
      <c r="DE64" s="45"/>
      <c r="DF64" s="45"/>
      <c r="DG64" s="45"/>
      <c r="DH64" s="45"/>
      <c r="DI64" s="45"/>
      <c r="DJ64" s="45"/>
      <c r="DK64" s="45">
        <f t="shared" si="14"/>
        <v>4</v>
      </c>
      <c r="DL64" s="45" t="str">
        <f t="shared" si="15"/>
        <v/>
      </c>
      <c r="DM64" s="154" t="str">
        <f>IF(CY59="","",CV59)</f>
        <v/>
      </c>
      <c r="DN64" s="154"/>
      <c r="DO64" s="154"/>
      <c r="DP64" s="45"/>
      <c r="DQ64" s="45" t="str">
        <f>IF(COUNTIF($DM$15:DM63,DM64)&gt;0,"",DM64)</f>
        <v/>
      </c>
      <c r="DR64" s="209" t="str">
        <f>CY59</f>
        <v/>
      </c>
      <c r="DS64" s="230">
        <f t="shared" si="16"/>
        <v>8</v>
      </c>
      <c r="DT64" s="161">
        <v>7</v>
      </c>
      <c r="DU64" s="204">
        <f t="shared" si="17"/>
        <v>4</v>
      </c>
      <c r="DV64" s="155" t="str">
        <f t="shared" si="18"/>
        <v/>
      </c>
      <c r="DW64" s="45"/>
      <c r="DX64" s="45"/>
      <c r="DY64" s="45"/>
      <c r="DZ64" s="45"/>
      <c r="EA64" s="45"/>
      <c r="EB64" s="45"/>
      <c r="EC64" s="45"/>
    </row>
    <row r="65" spans="1:133" ht="11.25" customHeight="1" thickBot="1">
      <c r="A65" s="15">
        <v>60</v>
      </c>
      <c r="B65" s="23"/>
      <c r="C65" s="2602" t="str">
        <f>IF($BW$3=0,"",非誘!C54)</f>
        <v xml:space="preserve">  5F</v>
      </c>
      <c r="D65" s="2603"/>
      <c r="E65" s="2604"/>
      <c r="F65" s="2605">
        <f>IF($BW$3=0,"",非誘!F54)</f>
        <v>4</v>
      </c>
      <c r="G65" s="2606"/>
      <c r="H65" s="2606"/>
      <c r="I65" s="2607"/>
      <c r="J65" s="2605">
        <f>IF($BW$3=0,"",非誘!J54)</f>
        <v>3</v>
      </c>
      <c r="K65" s="2606"/>
      <c r="L65" s="2606"/>
      <c r="M65" s="2607"/>
      <c r="N65" s="2608">
        <f>IF($BW$3=0,"",非誘!N54)</f>
        <v>1152</v>
      </c>
      <c r="O65" s="2609"/>
      <c r="P65" s="2609"/>
      <c r="Q65" s="2609"/>
      <c r="R65" s="2610"/>
      <c r="S65" s="2608">
        <f>IF($BW$3=0,"",非誘!S54)</f>
        <v>806.4</v>
      </c>
      <c r="T65" s="2609"/>
      <c r="U65" s="2609"/>
      <c r="V65" s="2610"/>
      <c r="W65" s="2608">
        <f>IF($BW$3=0,"",非誘!W54)</f>
        <v>345.6</v>
      </c>
      <c r="X65" s="2609"/>
      <c r="Y65" s="2609"/>
      <c r="Z65" s="2610"/>
      <c r="AA65" s="2611">
        <f>IF($BW$3=0,"",非誘!AA54)</f>
        <v>3</v>
      </c>
      <c r="AB65" s="2603"/>
      <c r="AC65" s="2604"/>
      <c r="AD65" s="2612">
        <f>IF($BW$3=0,"",非誘!AD54)</f>
        <v>9</v>
      </c>
      <c r="AE65" s="2613"/>
      <c r="AF65" s="2614"/>
      <c r="AG65" s="2615" t="str">
        <f>IF($B$2=0,"","防火区画処理")</f>
        <v>防火区画処理</v>
      </c>
      <c r="AH65" s="2615"/>
      <c r="AI65" s="2615"/>
      <c r="AJ65" s="2615"/>
      <c r="AK65" s="2615"/>
      <c r="AL65" s="2615"/>
      <c r="AM65" s="2615"/>
      <c r="AN65" s="2616">
        <f>IF(OR($B$2=0,C65="",P64="不要"),"",AZ65+BG65+BR65*2)</f>
        <v>13</v>
      </c>
      <c r="AO65" s="2616"/>
      <c r="AP65" s="2616"/>
      <c r="AQ65" s="2617" t="s">
        <v>374</v>
      </c>
      <c r="AR65" s="2617"/>
      <c r="AS65" s="2617"/>
      <c r="AT65" s="2617"/>
      <c r="AU65" s="2617"/>
      <c r="AV65" s="2618" t="s">
        <v>373</v>
      </c>
      <c r="AW65" s="2618"/>
      <c r="AX65" s="2618"/>
      <c r="AY65" s="2618"/>
      <c r="AZ65" s="2619">
        <f>IF(OR($B$2=0,C65="",P64="不要"),"",IF(LEFT(C65,1)="P",1+INT(W65/450),INT(S65/450)+1+INT(W65/450)))</f>
        <v>2</v>
      </c>
      <c r="BA65" s="2619"/>
      <c r="BB65" s="2619"/>
      <c r="BC65" s="2618" t="s">
        <v>372</v>
      </c>
      <c r="BD65" s="2618"/>
      <c r="BE65" s="2618"/>
      <c r="BF65" s="2618"/>
      <c r="BG65" s="2619">
        <f>IF(OR($B$2=0,C65="",P64="不要"),"",1+INT(N65/500))</f>
        <v>3</v>
      </c>
      <c r="BH65" s="2619"/>
      <c r="BI65" s="2619"/>
      <c r="BJ65" s="2617" t="s">
        <v>371</v>
      </c>
      <c r="BK65" s="2617"/>
      <c r="BL65" s="2617"/>
      <c r="BM65" s="2617"/>
      <c r="BN65" s="2617"/>
      <c r="BO65" s="2617"/>
      <c r="BP65" s="2617"/>
      <c r="BQ65" s="2617"/>
      <c r="BR65" s="2645">
        <f>IF(OR($B$2=0,C65="",P64="不要"),"",1+INT(0.055*N65^0.6))</f>
        <v>4</v>
      </c>
      <c r="BS65" s="2645"/>
      <c r="BT65" s="2646"/>
      <c r="BU65" s="19"/>
      <c r="BV65" s="35"/>
      <c r="BW65" s="99"/>
      <c r="BX65" s="35"/>
      <c r="BY65" s="35"/>
      <c r="BZ65" s="35"/>
      <c r="CA65" s="35"/>
      <c r="CB65" s="35"/>
      <c r="CC65" s="35"/>
      <c r="CD65" s="35"/>
      <c r="CE65" s="35"/>
      <c r="CF65" s="35"/>
      <c r="CG65" s="35"/>
      <c r="CH65" s="35"/>
      <c r="CI65" s="8">
        <v>2</v>
      </c>
      <c r="CJ65" s="88" t="s">
        <v>386</v>
      </c>
      <c r="CK65" s="88" t="s">
        <v>385</v>
      </c>
      <c r="CL65" s="372">
        <f>IF(C66="","",IF(AX70="①",CJ66+CK66+3,IF(AX70="②",CJ66*5/8+CK66+3,IF(AX70="③",CJ66/2+CK66+3,IF(AX70="④",CJ66+CK66*5/8+3,IF(AX70="⑤",(CJ66+CK66)*5/8+3,IF(AX70="⑥",CJ66/2+CK66*5/8+3,IF(AX70="⑦",CJ66+CK66/2+3,IF(AX70="⑧",CJ66*5/8+CK66/2+3,IF(AX70="⑨",(CJ66+CK66)/2+3))))))))))</f>
        <v>27</v>
      </c>
      <c r="CM65" s="371" t="s">
        <v>384</v>
      </c>
      <c r="CN65" s="371" t="s">
        <v>383</v>
      </c>
      <c r="CO65" s="370"/>
      <c r="CP65" s="371" t="s">
        <v>384</v>
      </c>
      <c r="CQ65" s="370" t="s">
        <v>383</v>
      </c>
      <c r="CR65" s="2589" t="str">
        <f>AG66</f>
        <v>差動SP2種埋</v>
      </c>
      <c r="CS65" s="2590"/>
      <c r="CT65" s="2591"/>
      <c r="CU65" s="184" t="str">
        <f>AN66</f>
        <v/>
      </c>
      <c r="CV65" s="2589" t="str">
        <f>AT68</f>
        <v>HP起動押ボタン</v>
      </c>
      <c r="CW65" s="2590"/>
      <c r="CX65" s="2591"/>
      <c r="CY65" s="184" t="str">
        <f>BA68</f>
        <v/>
      </c>
      <c r="CZ65" s="216"/>
      <c r="DA65" s="8"/>
      <c r="DB65" s="197">
        <f t="shared" si="11"/>
        <v>9</v>
      </c>
      <c r="DC65" s="197" t="str">
        <f t="shared" si="12"/>
        <v/>
      </c>
      <c r="DD65" s="201" t="str">
        <f>G66</f>
        <v>AE 0.9mm-4C</v>
      </c>
      <c r="DE65" s="8"/>
      <c r="DF65" s="8"/>
      <c r="DG65" s="8"/>
      <c r="DH65" s="8" t="str">
        <f>IF(COUNTIF($DD$15:DD64,DD65)&gt;0,"",DD65)</f>
        <v/>
      </c>
      <c r="DI65" s="252">
        <f>O66</f>
        <v>149</v>
      </c>
      <c r="DJ65" s="32">
        <f t="shared" ref="DJ65:DJ70" si="20">SUMIF($DD$17:$DD$185,DH65,$DI$17:$DI$185)</f>
        <v>0</v>
      </c>
      <c r="DK65" s="197">
        <f t="shared" si="14"/>
        <v>4</v>
      </c>
      <c r="DL65" s="197" t="str">
        <f t="shared" si="15"/>
        <v/>
      </c>
      <c r="DM65" s="10" t="str">
        <f>IF(CU65="","",CR65)</f>
        <v/>
      </c>
      <c r="DN65" s="10" t="str">
        <f>CR65</f>
        <v>差動SP2種埋</v>
      </c>
      <c r="DO65" s="10"/>
      <c r="DP65" s="8"/>
      <c r="DQ65" s="8" t="str">
        <f>IF(COUNTIF($DM$15:DM64,DM65)&gt;0,"",DM65)</f>
        <v/>
      </c>
      <c r="DR65" s="200" t="str">
        <f>CU65</f>
        <v/>
      </c>
      <c r="DS65" s="32">
        <f t="shared" si="16"/>
        <v>8</v>
      </c>
      <c r="DT65" s="8"/>
      <c r="DU65" s="197">
        <f t="shared" si="17"/>
        <v>4</v>
      </c>
      <c r="DV65" s="197" t="str">
        <f t="shared" si="18"/>
        <v/>
      </c>
      <c r="DW65" s="201"/>
      <c r="DX65" s="8"/>
      <c r="DY65" s="8"/>
      <c r="DZ65" s="8"/>
      <c r="EA65" s="8"/>
      <c r="EB65" s="252"/>
      <c r="EC65" s="32"/>
    </row>
    <row r="66" spans="1:133" ht="11.25" customHeight="1">
      <c r="A66" s="15"/>
      <c r="B66" s="23"/>
      <c r="C66" s="2623" t="s">
        <v>366</v>
      </c>
      <c r="D66" s="2624"/>
      <c r="E66" s="2624"/>
      <c r="F66" s="2624"/>
      <c r="G66" s="2625" t="str">
        <f>IF(C65="","","AE 0.9mm-4C")</f>
        <v>AE 0.9mm-4C</v>
      </c>
      <c r="H66" s="2625"/>
      <c r="I66" s="2625"/>
      <c r="J66" s="2625"/>
      <c r="K66" s="2625"/>
      <c r="L66" s="2625"/>
      <c r="M66" s="2625"/>
      <c r="N66" s="2625"/>
      <c r="O66" s="2593">
        <f>IF($B$2=0,"",IF(OR(C65="",P64="不要"),"",ROUND((CM66+CN66),0)))</f>
        <v>149</v>
      </c>
      <c r="P66" s="2593"/>
      <c r="Q66" s="2593"/>
      <c r="R66" s="2593"/>
      <c r="S66" s="2593"/>
      <c r="T66" s="2593" t="str">
        <f>IF(OR($B$2=0,C65="",P64="不要"),"",IF(AQ64="天井ケーブル","C-19mm",IF(MID(AQ64,4,2)="PF","PF-16mm",IF(MID(AQ64,4,2)="CD","CD-16mm",IF(MID(AQ64,4,2)="C ","C-19mm",IF(MID(AQ64,4,2)="G ","G-16mm",""))))))</f>
        <v>C-19mm</v>
      </c>
      <c r="U66" s="2593"/>
      <c r="V66" s="2593"/>
      <c r="W66" s="2593"/>
      <c r="X66" s="2593"/>
      <c r="Y66" s="2593"/>
      <c r="Z66" s="2593"/>
      <c r="AA66" s="2593"/>
      <c r="AB66" s="2593">
        <f>IF(OR($B$2=0,C65="",P64="不要"),"",IF(CQ66="",ROUND(CP66,0),ROUND((CP66+CQ66),0)))</f>
        <v>119</v>
      </c>
      <c r="AC66" s="2593"/>
      <c r="AD66" s="2593"/>
      <c r="AE66" s="2593"/>
      <c r="AF66" s="2593"/>
      <c r="AG66" s="2595" t="str">
        <f>IF($B$2=0,"","差動SP2種埋")</f>
        <v>差動SP2種埋</v>
      </c>
      <c r="AH66" s="2595"/>
      <c r="AI66" s="2595"/>
      <c r="AJ66" s="2595"/>
      <c r="AK66" s="2595"/>
      <c r="AL66" s="2595"/>
      <c r="AM66" s="2595"/>
      <c r="AN66" s="2593" t="str">
        <f>IF(OR(C65="",P64="不要"),"",IF(AQ66&lt;&gt;"",AQ66,IF(AX70="B","",IF(AZ69="無窓","",IF(AND(BL69="耐 火",AZ69="有窓"),BZ66+CA66,CD66+CE66)))))</f>
        <v/>
      </c>
      <c r="AO66" s="2593"/>
      <c r="AP66" s="2593"/>
      <c r="AQ66" s="2594"/>
      <c r="AR66" s="2594"/>
      <c r="AS66" s="2594"/>
      <c r="AT66" s="2595" t="str">
        <f>IF($B$2=0,"","P1総合盤露出")</f>
        <v>P1総合盤露出</v>
      </c>
      <c r="AU66" s="2595"/>
      <c r="AV66" s="2595"/>
      <c r="AW66" s="2595"/>
      <c r="AX66" s="2595"/>
      <c r="AY66" s="2595"/>
      <c r="AZ66" s="2595"/>
      <c r="BA66" s="2593">
        <f>IF(P64="不要","",IF(BD66&lt;&gt;"",BD66,IF([4]Top!$BD$51="要","",AZ65)))</f>
        <v>2</v>
      </c>
      <c r="BB66" s="2593"/>
      <c r="BC66" s="2593"/>
      <c r="BD66" s="2594"/>
      <c r="BE66" s="2594"/>
      <c r="BF66" s="2594"/>
      <c r="BG66" s="2597" t="str">
        <f>IF($B$2=0,"","ﾗｯﾁ電磁レリーズ")</f>
        <v>ﾗｯﾁ電磁レリーズ</v>
      </c>
      <c r="BH66" s="2597"/>
      <c r="BI66" s="2597"/>
      <c r="BJ66" s="2597"/>
      <c r="BK66" s="2597"/>
      <c r="BL66" s="2597"/>
      <c r="BM66" s="2597"/>
      <c r="BN66" s="2597"/>
      <c r="BO66" s="2593">
        <f>IF(P64="不要","",IF(BR66&lt;&gt;"",BR66,BR65))</f>
        <v>4</v>
      </c>
      <c r="BP66" s="2593"/>
      <c r="BQ66" s="2593"/>
      <c r="BR66" s="2594"/>
      <c r="BS66" s="2594"/>
      <c r="BT66" s="2596"/>
      <c r="BU66" s="19"/>
      <c r="BV66" s="35"/>
      <c r="BW66" s="351" t="s">
        <v>365</v>
      </c>
      <c r="BX66" s="368"/>
      <c r="BY66" s="369"/>
      <c r="BZ66" s="344">
        <f>IF(AA65="",0,IF(OR([6]Top!$BD$72&lt;&gt;"要",C65=""),"",IF(J65&gt;=4,1+INT(AA65*2.4),1+INT(AA65*1.2))))</f>
        <v>4</v>
      </c>
      <c r="CA66" s="360">
        <f>IF(OR([6]Top!$BD$72&lt;&gt;"要",C65=""),"",IF(J65&gt;=4,1+INT(AD65*2.4),1+INT(AD65*1.2)))</f>
        <v>11</v>
      </c>
      <c r="CB66" s="368"/>
      <c r="CC66" s="369"/>
      <c r="CD66" s="343">
        <f>IF($AX$8&lt;=500,BZ66*2,1+INT(BZ66*2.5))</f>
        <v>11</v>
      </c>
      <c r="CE66" s="360">
        <f>IF($AX$8&lt;=500,CA66*2,1+INT(CA66*2.5))</f>
        <v>28</v>
      </c>
      <c r="CF66" s="368"/>
      <c r="CG66" s="367"/>
      <c r="CH66" s="35"/>
      <c r="CI66" s="133">
        <f>IF(AZ65&lt;&gt;"",AZ65,0)</f>
        <v>2</v>
      </c>
      <c r="CJ66" s="98">
        <f>非誘!BW54</f>
        <v>12</v>
      </c>
      <c r="CK66" s="98">
        <f>非誘!BX54</f>
        <v>24</v>
      </c>
      <c r="CL66" s="88" t="s">
        <v>364</v>
      </c>
      <c r="CM66" s="185">
        <f>IF(OR(C65="",C65="  RF"),"",IF(J65="直天",$AN$10/1000+F65-1.2+SQRT(CK67/CM67),$AN$10/1000+J65-1.2+SQRT(CK67/CM67)))</f>
        <v>14.097958971132712</v>
      </c>
      <c r="CN66" s="185">
        <f>IF(OR(C65="",P64="不要"),"",CL65+CK68*AZ65)</f>
        <v>135</v>
      </c>
      <c r="CO66" s="88" t="s">
        <v>364</v>
      </c>
      <c r="CP66" s="185">
        <f>IF(OR(C65="",C65="  RF"),"",IF(J65="直天",F65-1.2+SQRT(CK67/CM67),IF(AQ64="天井ケーブル",J65-1.2,J65-1.2+SQRT(CK67/CM67))))</f>
        <v>11.597958971132712</v>
      </c>
      <c r="CQ66" s="356">
        <f>IF(OR(C65="",C65="  RF"),"",IF(AQ64="天井ケーブル","",(CM67-1)*SQRT(CK67/CM67)))</f>
        <v>107.77754868245982</v>
      </c>
      <c r="CR66" s="2589" t="str">
        <f>AG67</f>
        <v>定温SP1種WP</v>
      </c>
      <c r="CS66" s="2590"/>
      <c r="CT66" s="2591"/>
      <c r="CU66" s="184">
        <f>AN67</f>
        <v>2</v>
      </c>
      <c r="CV66" s="2589" t="str">
        <f>AT66</f>
        <v>P1総合盤露出</v>
      </c>
      <c r="CW66" s="2590"/>
      <c r="CX66" s="2591"/>
      <c r="CY66" s="184">
        <f>BA66</f>
        <v>2</v>
      </c>
      <c r="CZ66" s="216"/>
      <c r="DA66" s="8"/>
      <c r="DB66" s="197">
        <f t="shared" si="11"/>
        <v>9</v>
      </c>
      <c r="DC66" s="197" t="str">
        <f t="shared" si="12"/>
        <v/>
      </c>
      <c r="DD66" s="201" t="str">
        <f>G67</f>
        <v>HP 1.2mm-3C</v>
      </c>
      <c r="DE66" s="8"/>
      <c r="DF66" s="8"/>
      <c r="DG66" s="8"/>
      <c r="DH66" s="8" t="str">
        <f>IF(COUNTIF($DD$15:DD65,DD66)&gt;0,"",DD66)</f>
        <v/>
      </c>
      <c r="DI66" s="252">
        <f>O67</f>
        <v>21</v>
      </c>
      <c r="DJ66" s="32">
        <f t="shared" si="20"/>
        <v>0</v>
      </c>
      <c r="DK66" s="197">
        <f t="shared" si="14"/>
        <v>4</v>
      </c>
      <c r="DL66" s="197" t="str">
        <f t="shared" si="15"/>
        <v/>
      </c>
      <c r="DM66" s="10" t="str">
        <f>IF(CU66="","",CR66)</f>
        <v>定温SP1種WP</v>
      </c>
      <c r="DN66" s="10" t="str">
        <f>CR66</f>
        <v>定温SP1種WP</v>
      </c>
      <c r="DO66" s="10"/>
      <c r="DP66" s="8"/>
      <c r="DQ66" s="8" t="str">
        <f>IF(COUNTIF($DM$15:DM65,DM66)&gt;0,"",DM66)</f>
        <v/>
      </c>
      <c r="DR66" s="200">
        <f>CU66</f>
        <v>2</v>
      </c>
      <c r="DS66" s="32">
        <f t="shared" si="16"/>
        <v>8</v>
      </c>
      <c r="DT66" s="8"/>
      <c r="DU66" s="197">
        <f t="shared" si="17"/>
        <v>4</v>
      </c>
      <c r="DV66" s="197" t="str">
        <f t="shared" si="18"/>
        <v/>
      </c>
      <c r="DW66" s="201" t="str">
        <f>T66</f>
        <v>C-19mm</v>
      </c>
      <c r="DX66" s="8"/>
      <c r="DY66" s="8"/>
      <c r="DZ66" s="8"/>
      <c r="EA66" s="8" t="str">
        <f>IF(COUNTIF($DW$15:DW65,DW66)&gt;0,"",DW66)</f>
        <v/>
      </c>
      <c r="EB66" s="197">
        <f>AB66</f>
        <v>119</v>
      </c>
      <c r="EC66" s="32">
        <f ca="1">SUMIF($DW$17:$DW$185,EA66,$EB$17:$EB$184)</f>
        <v>0</v>
      </c>
    </row>
    <row r="67" spans="1:133" ht="11.25" customHeight="1" thickBot="1">
      <c r="A67" s="15"/>
      <c r="B67" s="176"/>
      <c r="C67" s="2568" t="s">
        <v>363</v>
      </c>
      <c r="D67" s="2569"/>
      <c r="E67" s="2569"/>
      <c r="F67" s="2569"/>
      <c r="G67" s="2592" t="str">
        <f>IF(C65="","","HP 1.2mm-3C")</f>
        <v>HP 1.2mm-3C</v>
      </c>
      <c r="H67" s="2592"/>
      <c r="I67" s="2592"/>
      <c r="J67" s="2592"/>
      <c r="K67" s="2592"/>
      <c r="L67" s="2592"/>
      <c r="M67" s="2592"/>
      <c r="N67" s="2592"/>
      <c r="O67" s="2557">
        <f>IF($B$2=0,"",IF(OR(C65="",P64="不要"),"",ROUND(CN68,0)))</f>
        <v>21</v>
      </c>
      <c r="P67" s="2557"/>
      <c r="Q67" s="2557"/>
      <c r="R67" s="2557"/>
      <c r="S67" s="2557"/>
      <c r="T67" s="2557" t="str">
        <f>IF(OR($B$2=0,C65="",P64="不要"),"",IF(BH64="天井ケーブル","C-19mm",IF(MID(BH64,4,2)="PF","PF-16mm",IF(MID(BH64,4,2)="CD","CD-16mm",IF(MID(BH64,4,2)="C ","C-19mm",IF(MID(BH64,4,2)="G ","G-16mm",""))))))</f>
        <v>C-19mm</v>
      </c>
      <c r="U67" s="2557"/>
      <c r="V67" s="2557"/>
      <c r="W67" s="2557"/>
      <c r="X67" s="2557"/>
      <c r="Y67" s="2557"/>
      <c r="Z67" s="2557"/>
      <c r="AA67" s="2557"/>
      <c r="AB67" s="2557">
        <f>IF($B$2=0,"",IF(OR(C65="",P64="不要",CQ69=""),"",CQ68+CQ69))</f>
        <v>32.799999999999997</v>
      </c>
      <c r="AC67" s="2557"/>
      <c r="AD67" s="2557"/>
      <c r="AE67" s="2557"/>
      <c r="AF67" s="2557"/>
      <c r="AG67" s="2572" t="str">
        <f>IF($B$2=0,"","定温SP1種WP")</f>
        <v>定温SP1種WP</v>
      </c>
      <c r="AH67" s="2572"/>
      <c r="AI67" s="2572"/>
      <c r="AJ67" s="2572"/>
      <c r="AK67" s="2572"/>
      <c r="AL67" s="2572"/>
      <c r="AM67" s="2572"/>
      <c r="AN67" s="2312">
        <f>IF(OR($B$2=0,P64="不要"),"",IF(AQ67&lt;&gt;"",AQ67,CA67))</f>
        <v>2</v>
      </c>
      <c r="AO67" s="2312"/>
      <c r="AP67" s="2312"/>
      <c r="AQ67" s="2575"/>
      <c r="AR67" s="2575"/>
      <c r="AS67" s="2575"/>
      <c r="AT67" s="2572" t="str">
        <f>IF($B$2=0,"","P1総合盤埋込")</f>
        <v>P1総合盤埋込</v>
      </c>
      <c r="AU67" s="2572"/>
      <c r="AV67" s="2572"/>
      <c r="AW67" s="2572"/>
      <c r="AX67" s="2572"/>
      <c r="AY67" s="2572"/>
      <c r="AZ67" s="2572"/>
      <c r="BA67" s="2312" t="str">
        <f>IF(P64="不要","",IF(BD67&lt;&gt;"",BD67,IF([4]Top!$BD$51&lt;&gt;"要","",AZ65)))</f>
        <v/>
      </c>
      <c r="BB67" s="2312"/>
      <c r="BC67" s="2312"/>
      <c r="BD67" s="2575"/>
      <c r="BE67" s="2575"/>
      <c r="BF67" s="2575"/>
      <c r="BG67" s="2572" t="str">
        <f>IF($B$2=0,"","ｱｰﾑ電磁レリーズ")</f>
        <v>ｱｰﾑ電磁レリーズ</v>
      </c>
      <c r="BH67" s="2572"/>
      <c r="BI67" s="2572"/>
      <c r="BJ67" s="2572"/>
      <c r="BK67" s="2572"/>
      <c r="BL67" s="2572"/>
      <c r="BM67" s="2572"/>
      <c r="BN67" s="2572"/>
      <c r="BO67" s="2312">
        <f>IF(P64="不要","",IF(BR67&lt;&gt;"",BR67,BR65))</f>
        <v>4</v>
      </c>
      <c r="BP67" s="2312"/>
      <c r="BQ67" s="2312"/>
      <c r="BR67" s="2575"/>
      <c r="BS67" s="2575"/>
      <c r="BT67" s="2576"/>
      <c r="BU67" s="19"/>
      <c r="BV67" s="35"/>
      <c r="BW67" s="351" t="s">
        <v>362</v>
      </c>
      <c r="BX67" s="348"/>
      <c r="BY67" s="349">
        <f>CA67</f>
        <v>2</v>
      </c>
      <c r="BZ67" s="366"/>
      <c r="CA67" s="360">
        <f>IF(C65="","",1+INT(W65/200))</f>
        <v>2</v>
      </c>
      <c r="CB67" s="348"/>
      <c r="CC67" s="359">
        <f>CA67</f>
        <v>2</v>
      </c>
      <c r="CD67" s="365"/>
      <c r="CE67" s="349">
        <f>CA67</f>
        <v>2</v>
      </c>
      <c r="CF67" s="348"/>
      <c r="CG67" s="357">
        <f>CA67</f>
        <v>2</v>
      </c>
      <c r="CH67" s="35"/>
      <c r="CI67" s="133">
        <f>IF(BG65&lt;&gt;"",BG65,0)</f>
        <v>3</v>
      </c>
      <c r="CJ67" s="88" t="s">
        <v>361</v>
      </c>
      <c r="CK67" s="107">
        <f>N65</f>
        <v>1152</v>
      </c>
      <c r="CL67" s="88" t="s">
        <v>360</v>
      </c>
      <c r="CM67" s="185">
        <f>SUM(AN66:AP70)</f>
        <v>12</v>
      </c>
      <c r="CN67" s="364"/>
      <c r="CO67" s="168"/>
      <c r="CP67" s="363"/>
      <c r="CQ67" s="150"/>
      <c r="CR67" s="2598" t="str">
        <f>AG68</f>
        <v>補償SP2種</v>
      </c>
      <c r="CS67" s="2599"/>
      <c r="CT67" s="2600"/>
      <c r="CU67" s="362">
        <f>AN68</f>
        <v>2</v>
      </c>
      <c r="CV67" s="2598" t="str">
        <f>AT67</f>
        <v>P1総合盤埋込</v>
      </c>
      <c r="CW67" s="2599"/>
      <c r="CX67" s="2600"/>
      <c r="CY67" s="362" t="str">
        <f>BA67</f>
        <v/>
      </c>
      <c r="CZ67" s="216"/>
      <c r="DA67" s="8"/>
      <c r="DB67" s="197">
        <f t="shared" si="11"/>
        <v>9</v>
      </c>
      <c r="DC67" s="197" t="str">
        <f t="shared" si="12"/>
        <v/>
      </c>
      <c r="DD67" s="201" t="str">
        <f>G68</f>
        <v>HP 1.2mm-5C</v>
      </c>
      <c r="DE67" s="8"/>
      <c r="DF67" s="8"/>
      <c r="DG67" s="8"/>
      <c r="DH67" s="8" t="str">
        <f>IF(COUNTIF($DD$15:DD66,DD67)&gt;0,"",DD67)</f>
        <v/>
      </c>
      <c r="DI67" s="252">
        <f>O68</f>
        <v>27</v>
      </c>
      <c r="DJ67" s="32">
        <f t="shared" si="20"/>
        <v>0</v>
      </c>
      <c r="DK67" s="197">
        <f t="shared" si="14"/>
        <v>4</v>
      </c>
      <c r="DL67" s="197" t="str">
        <f t="shared" si="15"/>
        <v/>
      </c>
      <c r="DM67" s="10" t="str">
        <f>IF(CU67="","",CR67)</f>
        <v>補償SP2種</v>
      </c>
      <c r="DN67" s="10" t="str">
        <f>CR67</f>
        <v>補償SP2種</v>
      </c>
      <c r="DO67" s="10"/>
      <c r="DP67" s="8"/>
      <c r="DQ67" s="8" t="str">
        <f>IF(COUNTIF($DM$15:DM66,DM67)&gt;0,"",DM67)</f>
        <v/>
      </c>
      <c r="DR67" s="200">
        <f>CU67</f>
        <v>2</v>
      </c>
      <c r="DS67" s="32">
        <f t="shared" si="16"/>
        <v>8</v>
      </c>
      <c r="DT67" s="8"/>
      <c r="DU67" s="197">
        <f t="shared" si="17"/>
        <v>4</v>
      </c>
      <c r="DV67" s="197" t="str">
        <f t="shared" si="18"/>
        <v/>
      </c>
      <c r="DW67" s="201" t="str">
        <f>T67</f>
        <v>C-19mm</v>
      </c>
      <c r="DX67" s="8"/>
      <c r="DY67" s="8"/>
      <c r="DZ67" s="8"/>
      <c r="EA67" s="8" t="str">
        <f>IF(COUNTIF($DW$15:DW66,DW67)&gt;0,"",DW67)</f>
        <v/>
      </c>
      <c r="EB67" s="197">
        <f>AB67</f>
        <v>32.799999999999997</v>
      </c>
      <c r="EC67" s="32">
        <f ca="1">SUMIF($DW$17:$DW$185,EA67,$EB$17:$EB$184)</f>
        <v>0</v>
      </c>
    </row>
    <row r="68" spans="1:133" ht="11.25" customHeight="1" thickBot="1">
      <c r="A68" s="15"/>
      <c r="B68" s="23"/>
      <c r="C68" s="2568"/>
      <c r="D68" s="2569"/>
      <c r="E68" s="2569"/>
      <c r="F68" s="2569"/>
      <c r="G68" s="2584" t="str">
        <f>IF(C65="","","HP 1.2mm-5C")</f>
        <v>HP 1.2mm-5C</v>
      </c>
      <c r="H68" s="2584"/>
      <c r="I68" s="2584"/>
      <c r="J68" s="2584"/>
      <c r="K68" s="2584"/>
      <c r="L68" s="2584"/>
      <c r="M68" s="2584"/>
      <c r="N68" s="2584"/>
      <c r="O68" s="2585">
        <f>IF($B$2=0,"",IF(OR(C65="",P64="不要"),"",ROUND(CM68,0)))</f>
        <v>27</v>
      </c>
      <c r="P68" s="2585"/>
      <c r="Q68" s="2585"/>
      <c r="R68" s="2585"/>
      <c r="S68" s="2585"/>
      <c r="T68" s="2585" t="str">
        <f>IF(OR($B$2=0,C65="",P64="不要"),"",IF(BH64="天井ケーブル","C-25mm",IF(MID(BH64,4,2)="PF","PF-22mm",IF(MID(BH64,4,2)="CD","CD-22mm",IF(MID(BH64,4,2)="C ","C-25mm",IF(MID(BH64,4,2)="G ","G-22mm",""))))))</f>
        <v>C-25mm</v>
      </c>
      <c r="U68" s="2585"/>
      <c r="V68" s="2585"/>
      <c r="W68" s="2585"/>
      <c r="X68" s="2585"/>
      <c r="Y68" s="2585"/>
      <c r="Z68" s="2585"/>
      <c r="AA68" s="2585"/>
      <c r="AB68" s="2585">
        <f>IF(OR($B$2=0,C65="",P64="不要"),"",CP68)</f>
        <v>25.8</v>
      </c>
      <c r="AC68" s="2585"/>
      <c r="AD68" s="2585"/>
      <c r="AE68" s="2585"/>
      <c r="AF68" s="2585"/>
      <c r="AG68" s="2572" t="str">
        <f>IF($B$2=0,"","補償SP2種")</f>
        <v>補償SP2種</v>
      </c>
      <c r="AH68" s="2572"/>
      <c r="AI68" s="2572"/>
      <c r="AJ68" s="2572"/>
      <c r="AK68" s="2572"/>
      <c r="AL68" s="2572"/>
      <c r="AM68" s="2572"/>
      <c r="AN68" s="2312">
        <f>IF(OR($B$2=0,P64="不要"),"",IF(AQ68&lt;&gt;"",AQ68,CA68))</f>
        <v>2</v>
      </c>
      <c r="AO68" s="2312"/>
      <c r="AP68" s="2312"/>
      <c r="AQ68" s="2575"/>
      <c r="AR68" s="2575"/>
      <c r="AS68" s="2575"/>
      <c r="AT68" s="2546" t="str">
        <f>IF($B$2=0,"","HP起動押ボタン")</f>
        <v>HP起動押ボタン</v>
      </c>
      <c r="AU68" s="2546"/>
      <c r="AV68" s="2546"/>
      <c r="AW68" s="2546"/>
      <c r="AX68" s="2546"/>
      <c r="AY68" s="2546"/>
      <c r="AZ68" s="2546"/>
      <c r="BA68" s="2544" t="str">
        <f>IF(P64="不要","",IF(BD68&lt;&gt;"",BD68,IF([4]Top!$BL$51="要",AZ65,"")))</f>
        <v/>
      </c>
      <c r="BB68" s="2544"/>
      <c r="BC68" s="2544"/>
      <c r="BD68" s="2573"/>
      <c r="BE68" s="2573"/>
      <c r="BF68" s="2573"/>
      <c r="BG68" s="2546" t="str">
        <f>IF($B$2=0,"","光電式煙3種埋")</f>
        <v>光電式煙3種埋</v>
      </c>
      <c r="BH68" s="2546"/>
      <c r="BI68" s="2546"/>
      <c r="BJ68" s="2546"/>
      <c r="BK68" s="2546"/>
      <c r="BL68" s="2546"/>
      <c r="BM68" s="2546"/>
      <c r="BN68" s="2546"/>
      <c r="BO68" s="2544">
        <f>IF(OR($B$2=0,C65="",P64="不要"),"",IF(BR68&lt;&gt;"",BR68,2*BR65))</f>
        <v>8</v>
      </c>
      <c r="BP68" s="2544"/>
      <c r="BQ68" s="2544"/>
      <c r="BR68" s="2573"/>
      <c r="BS68" s="2573"/>
      <c r="BT68" s="2574"/>
      <c r="BU68" s="19"/>
      <c r="BV68" s="35"/>
      <c r="BW68" s="351" t="s">
        <v>359</v>
      </c>
      <c r="BX68" s="361"/>
      <c r="BY68" s="349">
        <f>CA68</f>
        <v>2</v>
      </c>
      <c r="BZ68" s="348"/>
      <c r="CA68" s="360">
        <f>IF(C65="","",1+INT(W65/200))</f>
        <v>2</v>
      </c>
      <c r="CB68" s="358"/>
      <c r="CC68" s="359">
        <f>CA68</f>
        <v>2</v>
      </c>
      <c r="CD68" s="346"/>
      <c r="CE68" s="349">
        <f>CA68</f>
        <v>2</v>
      </c>
      <c r="CF68" s="358"/>
      <c r="CG68" s="357">
        <f>CA68</f>
        <v>2</v>
      </c>
      <c r="CH68" s="35"/>
      <c r="CI68" s="133">
        <f>IF(BR65&lt;&gt;"",BR65,0)</f>
        <v>4</v>
      </c>
      <c r="CJ68" s="88" t="s">
        <v>121</v>
      </c>
      <c r="CK68" s="187">
        <f>IF(OR(C65="",C65="  RF"),"",IF($AX$8=0,0,2*($AX$8/1000-0.15-0.1)*(INT(1000*CJ66/$BF$8)+1)*(INT(1000*CK66/$BF$8)+1)*4))</f>
        <v>53.999999999999993</v>
      </c>
      <c r="CL68" s="187" t="s">
        <v>358</v>
      </c>
      <c r="CM68" s="139">
        <f>IF(OR(C65="",C65="  RF"),"",IF(J65="直天",$AN$8/1000+F65-1.2+CJ66+CK66/2,$AN$8/1000+J65-1.2+CJ66+CK66/2))</f>
        <v>27.3</v>
      </c>
      <c r="CN68" s="136">
        <f>IF(OR(C65="",C65="  RF"),"",IF(J65="直天",F65-$Y$8/1000+F65-$Y$9/1000+2*8+($AN$7+2*$AN$9)/1000,J65-$Y$8/1000+J65-$Y$9/1000+2*8+($AN$7+2*$AN$9)/1000))</f>
        <v>20.599999999999998</v>
      </c>
      <c r="CO68" s="151" t="s">
        <v>358</v>
      </c>
      <c r="CP68" s="185">
        <f>IF(OR(C65="",C65="  RF"),"",IF(J65="直天",F65-1.2+CJ66+CK66/2,IF(AQ64="天井ケーブル",J65-1.2,J65-1.2+CJ66+CK66/2)))</f>
        <v>25.8</v>
      </c>
      <c r="CQ68" s="356">
        <f>IF(OR(C65="",C65="  RF"),"",IF(J65="直天",F65-$Y$8/1000+F65-$Y$9/1000+2*8,IF(BH64="天井ケーブル",J65-$Y$8/1000+J65-$Y$9/1000,J65-$Y$8/1000+J65-$Y$9/1000+2*8)))</f>
        <v>18.399999999999999</v>
      </c>
      <c r="CR68" s="355" t="s">
        <v>87</v>
      </c>
      <c r="CS68" s="336" t="s">
        <v>395</v>
      </c>
      <c r="CT68" s="336" t="s">
        <v>394</v>
      </c>
      <c r="CU68" s="192" t="s">
        <v>393</v>
      </c>
      <c r="CV68" s="336" t="s">
        <v>392</v>
      </c>
      <c r="CW68" s="336" t="s">
        <v>391</v>
      </c>
      <c r="CX68" s="336" t="s">
        <v>390</v>
      </c>
      <c r="CY68" s="354" t="s">
        <v>389</v>
      </c>
      <c r="CZ68" s="216"/>
      <c r="DA68" s="8"/>
      <c r="DB68" s="197">
        <f t="shared" si="11"/>
        <v>9</v>
      </c>
      <c r="DC68" s="197" t="str">
        <f t="shared" si="12"/>
        <v/>
      </c>
      <c r="DD68" s="201" t="str">
        <f>G69</f>
        <v>FCPEV 0.9-5Pr</v>
      </c>
      <c r="DE68" s="8"/>
      <c r="DF68" s="8"/>
      <c r="DG68" s="8"/>
      <c r="DH68" s="8" t="str">
        <f>IF(COUNTIF($DD$15:DD67,DD68)&gt;0,"",DD68)</f>
        <v/>
      </c>
      <c r="DI68" s="252">
        <f>O69</f>
        <v>18</v>
      </c>
      <c r="DJ68" s="32">
        <f t="shared" si="20"/>
        <v>0</v>
      </c>
      <c r="DK68" s="197">
        <f t="shared" si="14"/>
        <v>4</v>
      </c>
      <c r="DL68" s="197" t="str">
        <f t="shared" si="15"/>
        <v/>
      </c>
      <c r="DM68" s="11" t="str">
        <f>IF(CY64="","",CV64)</f>
        <v>光電式煙2種埋</v>
      </c>
      <c r="DN68" s="11"/>
      <c r="DO68" s="11"/>
      <c r="DP68" s="9"/>
      <c r="DQ68" s="9" t="str">
        <f>IF(COUNTIF($DM$15:DM67,DM68)&gt;0,"",DM68)</f>
        <v/>
      </c>
      <c r="DR68" s="200">
        <f>CY64</f>
        <v>8</v>
      </c>
      <c r="DS68" s="32">
        <f t="shared" si="16"/>
        <v>8</v>
      </c>
      <c r="DT68" s="8"/>
      <c r="DU68" s="197">
        <f t="shared" si="17"/>
        <v>4</v>
      </c>
      <c r="DV68" s="197" t="str">
        <f t="shared" si="18"/>
        <v/>
      </c>
      <c r="DW68" s="201" t="str">
        <f>T68</f>
        <v>C-25mm</v>
      </c>
      <c r="DX68" s="8"/>
      <c r="DY68" s="8"/>
      <c r="DZ68" s="8"/>
      <c r="EA68" s="8" t="str">
        <f>IF(COUNTIF($DW$15:DW67,DW68)&gt;0,"",DW68)</f>
        <v/>
      </c>
      <c r="EB68" s="197">
        <f>AB68</f>
        <v>25.8</v>
      </c>
      <c r="EC68" s="32">
        <f ca="1">SUMIF($DW$17:$DW$185,EA68,$EB$17:$EB$184)</f>
        <v>0</v>
      </c>
    </row>
    <row r="69" spans="1:133" ht="11.25" customHeight="1" thickBot="1">
      <c r="A69" s="15"/>
      <c r="B69" s="23"/>
      <c r="C69" s="2568" t="s">
        <v>352</v>
      </c>
      <c r="D69" s="2569"/>
      <c r="E69" s="2569"/>
      <c r="F69" s="2569"/>
      <c r="G69" s="2557" t="str">
        <f>IF(OR($B$2=0,C65="",P64="不要"),"",IF(CR69&lt;10,"FCPEV 0.9-5Pr",IF(CR69&lt;20,"FCPEV 0.9- 10Pr",IF(CR69&lt;30,"FCPEV 0.9- 15Pr",IF(CR69&lt;40,"FCPEV 0.9- 20Pr","")))))</f>
        <v>FCPEV 0.9-5Pr</v>
      </c>
      <c r="H69" s="2557"/>
      <c r="I69" s="2557"/>
      <c r="J69" s="2557"/>
      <c r="K69" s="2557"/>
      <c r="L69" s="2557"/>
      <c r="M69" s="2557"/>
      <c r="N69" s="2557"/>
      <c r="O69" s="2557">
        <f>IF(OR(C65="",P64="不要",G69=""),"",INT(AZ65*(CJ66+CK66)/4))</f>
        <v>18</v>
      </c>
      <c r="P69" s="2557"/>
      <c r="Q69" s="2557"/>
      <c r="R69" s="2557"/>
      <c r="S69" s="2557"/>
      <c r="T69" s="2558" t="str">
        <f>IF(OR(C65="",P64="不要",G69=""),"",IF(AQ64="天井ケーブル","C-"&amp;CM70&amp;"mm",IF(MID(AQ64,4,2)="PF","PF-"&amp;CL70&amp;"mm",IF(MID(AQ64,4,2)="CD","CD-"&amp;CL70&amp;"mm",IF(MID(AQ64,4,2)="C ","C-"&amp;CM70&amp;"mm",IF(MID(AQ64,4,2)="G ","G-"&amp;CL70&amp;"mm"))))))</f>
        <v>C-31mm</v>
      </c>
      <c r="U69" s="2557"/>
      <c r="V69" s="2557"/>
      <c r="W69" s="2557"/>
      <c r="X69" s="2557"/>
      <c r="Y69" s="2557"/>
      <c r="Z69" s="2557"/>
      <c r="AA69" s="2557"/>
      <c r="AB69" s="2557">
        <f>IF(OR(C65="",P64="不要",G69=""),"",IF(AQ64="天井ケーブル",2*AZ65*(F65-$Y$7/1000),O69*0.9))</f>
        <v>16.2</v>
      </c>
      <c r="AC69" s="2557"/>
      <c r="AD69" s="2557"/>
      <c r="AE69" s="2557"/>
      <c r="AF69" s="2557"/>
      <c r="AG69" s="2572" t="str">
        <f>IF($B$2=0,"","光電式煙2種埋")</f>
        <v>光電式煙2種埋</v>
      </c>
      <c r="AH69" s="2572"/>
      <c r="AI69" s="2572"/>
      <c r="AJ69" s="2572"/>
      <c r="AK69" s="2572"/>
      <c r="AL69" s="2572"/>
      <c r="AM69" s="2572"/>
      <c r="AN69" s="2312">
        <f>IF(OR(C65="",$B$2=0,P64="不要"),"",IF(AQ69&lt;&gt;"",AQ69,IF(AX70="B",BX69+BY69,IF(AND(BL69="耐 火",AZ69="無窓"),CB69+CC69,IF(AND(BL69&lt;&gt;"耐 火",AZ69="無窓"),CF69+CG69,"")))))</f>
        <v>8</v>
      </c>
      <c r="AO69" s="2312"/>
      <c r="AP69" s="2312"/>
      <c r="AQ69" s="2339"/>
      <c r="AR69" s="2339"/>
      <c r="AS69" s="2551"/>
      <c r="AT69" s="2577" t="str">
        <f>IF(C65="","","消防法上")</f>
        <v>消防法上</v>
      </c>
      <c r="AU69" s="2289"/>
      <c r="AV69" s="2289"/>
      <c r="AW69" s="2289"/>
      <c r="AX69" s="2289"/>
      <c r="AY69" s="2578"/>
      <c r="AZ69" s="2579" t="str">
        <f>IF($B$2=0,"",IF(BD69="",[4]Top!$BO$26,BD69))</f>
        <v>無窓</v>
      </c>
      <c r="BA69" s="2394"/>
      <c r="BB69" s="2580"/>
      <c r="BC69" s="353" t="s">
        <v>387</v>
      </c>
      <c r="BD69" s="2552"/>
      <c r="BE69" s="2552"/>
      <c r="BF69" s="2553"/>
      <c r="BG69" s="2581" t="str">
        <f>IF(C65="","","耐火構造")</f>
        <v>耐火構造</v>
      </c>
      <c r="BH69" s="2289"/>
      <c r="BI69" s="2289"/>
      <c r="BJ69" s="2289"/>
      <c r="BK69" s="2290"/>
      <c r="BL69" s="2278" t="str">
        <f>IF($B$2=0,"",IF(BQ69="",[4]Top!$AN$18,BQ69))</f>
        <v>耐 火</v>
      </c>
      <c r="BM69" s="2394"/>
      <c r="BN69" s="2394"/>
      <c r="BO69" s="2580"/>
      <c r="BP69" s="352" t="s">
        <v>387</v>
      </c>
      <c r="BQ69" s="2582"/>
      <c r="BR69" s="2552"/>
      <c r="BS69" s="2552"/>
      <c r="BT69" s="2583"/>
      <c r="BU69" s="19"/>
      <c r="BV69" s="35"/>
      <c r="BW69" s="351" t="s">
        <v>351</v>
      </c>
      <c r="BX69" s="350">
        <f>CB69</f>
        <v>2</v>
      </c>
      <c r="BY69" s="349">
        <f>CC69</f>
        <v>6</v>
      </c>
      <c r="BZ69" s="348"/>
      <c r="CA69" s="345"/>
      <c r="CB69" s="344">
        <f>IF(OR([6]Top!$BD$72&lt;&gt;"要",C65=""),"",IF(J65&gt;=4,1+INT(BZ66*0.47),1+INT(BZ66*0.47)))</f>
        <v>2</v>
      </c>
      <c r="CC69" s="347">
        <f>IF(OR([6]Top!$BD$72&lt;&gt;"要",C65=""),"",IF(J65&gt;=4,1+INT(CA66*0.47),1+INT(CA66*0.47)))</f>
        <v>6</v>
      </c>
      <c r="CD69" s="346"/>
      <c r="CE69" s="345"/>
      <c r="CF69" s="344">
        <f>IF(AND(AX56&lt;720,J65&lt;4),1+INT(CD66*0.47),1+INT(CD66*0.94))</f>
        <v>11</v>
      </c>
      <c r="CG69" s="343">
        <f>IF(AND(AX56&lt;720,J65&lt;4),1+INT(CE66*0.47),1+INT(CE66*0.94))</f>
        <v>27</v>
      </c>
      <c r="CH69" s="35"/>
      <c r="CI69" s="133">
        <f>IF(AND(C65&lt;&gt;"",LEFT(C65,2)&lt;&gt;" P"),CI61+F65,"")</f>
        <v>31</v>
      </c>
      <c r="CJ69" s="88" t="s">
        <v>350</v>
      </c>
      <c r="CK69" s="182" t="s">
        <v>349</v>
      </c>
      <c r="CL69" s="342">
        <f>IF(OR(C65="",C65="  RF"),"",IF(AZ73&lt;&gt;"",AZ65,AZ65+BG65))</f>
        <v>2</v>
      </c>
      <c r="CM69" s="341" t="s">
        <v>348</v>
      </c>
      <c r="CN69" s="219" t="s">
        <v>347</v>
      </c>
      <c r="CO69" s="138">
        <f>IF(OR(C65="",P64="不要"),"",AZ65*INT(CJ66+CK66)/5)</f>
        <v>14.4</v>
      </c>
      <c r="CP69" s="151" t="s">
        <v>347</v>
      </c>
      <c r="CQ69" s="340">
        <f>IF(AQ64="天井ケーブル",F65,CO69)</f>
        <v>14.4</v>
      </c>
      <c r="CR69" s="339">
        <f>SUM(CS69:CX69)</f>
        <v>8</v>
      </c>
      <c r="CS69" s="338">
        <f>AZ65</f>
        <v>2</v>
      </c>
      <c r="CT69" s="338">
        <f>IF(BA65="",0,BA65)</f>
        <v>0</v>
      </c>
      <c r="CU69" s="88">
        <v>1</v>
      </c>
      <c r="CV69" s="222">
        <v>1</v>
      </c>
      <c r="CW69" s="222">
        <v>2</v>
      </c>
      <c r="CX69" s="222">
        <v>2</v>
      </c>
      <c r="CY69" s="337" t="str">
        <f>IF(CK64="=",3*BR65+2,"")</f>
        <v/>
      </c>
      <c r="CZ69" s="218"/>
      <c r="DA69" s="8"/>
      <c r="DB69" s="197">
        <f t="shared" si="11"/>
        <v>9</v>
      </c>
      <c r="DC69" s="197" t="str">
        <f t="shared" si="12"/>
        <v/>
      </c>
      <c r="DD69" s="201" t="str">
        <f>G70</f>
        <v>FCPEV 1.2- 10Pr</v>
      </c>
      <c r="DE69" s="8"/>
      <c r="DF69" s="8"/>
      <c r="DG69" s="8"/>
      <c r="DH69" s="8" t="str">
        <f>IF(COUNTIF($DD$15:DD68,DD69)&gt;0,"",DD69)</f>
        <v/>
      </c>
      <c r="DI69" s="252">
        <f>O70</f>
        <v>14.4</v>
      </c>
      <c r="DJ69" s="32">
        <f t="shared" si="20"/>
        <v>0</v>
      </c>
      <c r="DK69" s="197">
        <f t="shared" si="14"/>
        <v>4</v>
      </c>
      <c r="DL69" s="197" t="str">
        <f t="shared" si="15"/>
        <v/>
      </c>
      <c r="DM69" s="11" t="str">
        <f>IF(AN70="","",AG70)</f>
        <v/>
      </c>
      <c r="DN69" s="11"/>
      <c r="DO69" s="11"/>
      <c r="DP69" s="9"/>
      <c r="DQ69" s="9" t="str">
        <f>IF(COUNTIF($DM$15:DM68,DM69)&gt;0,"",DM69)</f>
        <v/>
      </c>
      <c r="DR69" s="101" t="str">
        <f>AN70</f>
        <v/>
      </c>
      <c r="DS69" s="32">
        <f t="shared" si="16"/>
        <v>8</v>
      </c>
      <c r="DT69" s="8"/>
      <c r="DU69" s="197">
        <f t="shared" si="17"/>
        <v>4</v>
      </c>
      <c r="DV69" s="197" t="str">
        <f t="shared" si="18"/>
        <v/>
      </c>
      <c r="DW69" s="201" t="str">
        <f>T69</f>
        <v>C-31mm</v>
      </c>
      <c r="DX69" s="8"/>
      <c r="DY69" s="8"/>
      <c r="DZ69" s="8"/>
      <c r="EA69" s="8" t="str">
        <f>IF(COUNTIF($DW$15:DW68,DW69)&gt;0,"",DW69)</f>
        <v/>
      </c>
      <c r="EB69" s="197">
        <f>AB69</f>
        <v>16.2</v>
      </c>
      <c r="EC69" s="32">
        <f ca="1">SUMIF($DW$17:$DW$185,EA69,$EB$17:$EB$184)</f>
        <v>0</v>
      </c>
    </row>
    <row r="70" spans="1:133" ht="11.25" customHeight="1" thickBot="1">
      <c r="A70" s="15"/>
      <c r="B70" s="23"/>
      <c r="C70" s="2570"/>
      <c r="D70" s="2571"/>
      <c r="E70" s="2571"/>
      <c r="F70" s="2571"/>
      <c r="G70" s="2554" t="str">
        <f>IF(OR($B$2=0,P64="不要"),"",IF(CR70=0,"",IF(OR(C65="",P64="不要"),"",IF(CR70&lt;10,"FCPEV 1.2-5Pr",IF(CR70&lt;20,"FCPEV 1.2- 10Pr",IF(CR70&lt;30,"FCPEV 1.2- 15Pr",IF(CR70&lt;40,"FCPEV 1.2- 20Pr",IF(CR70&lt;60,"FCPEV 1.2- 30Pr",IF(CR70&lt;100,"FCPEV 1.2- 50Pr",IF(CR70&lt;140,"FCPEV 1.2- 70Pr",IF(CR70&lt;200,"FCPEV 1.2-100Pr","FCPEV 1.2-200Pr")))))))))))</f>
        <v>FCPEV 1.2- 10Pr</v>
      </c>
      <c r="H70" s="2555"/>
      <c r="I70" s="2555"/>
      <c r="J70" s="2555"/>
      <c r="K70" s="2555"/>
      <c r="L70" s="2555"/>
      <c r="M70" s="2555"/>
      <c r="N70" s="2555"/>
      <c r="O70" s="2555">
        <f>IF(OR(G70="",C65="",P64="不要"),"",CO69)</f>
        <v>14.4</v>
      </c>
      <c r="P70" s="2555"/>
      <c r="Q70" s="2555"/>
      <c r="R70" s="2555"/>
      <c r="S70" s="2555"/>
      <c r="T70" s="2555" t="str">
        <f>IF(OR(G70="",C65="",P64="不要"),"",IF(AQ64="天井ケーブル","C-"&amp;CO70&amp;"mm",IF(MID(AQ64,4,2)="PF","PF-"&amp;CN70&amp;"mm",IF(MID(AQ64,4,2)="CD","CD-"&amp;CN70&amp;"mm",IF(MID(AQ64,4,2)="C ","C-"&amp;CO70&amp;"mm",IF(MID(AQ64,4,2)="G ","G-"&amp;CN70&amp;"mm"))))))</f>
        <v>C-31mm</v>
      </c>
      <c r="U70" s="2555"/>
      <c r="V70" s="2555"/>
      <c r="W70" s="2555"/>
      <c r="X70" s="2555"/>
      <c r="Y70" s="2555"/>
      <c r="Z70" s="2555"/>
      <c r="AA70" s="2555"/>
      <c r="AB70" s="2555">
        <f>IF(OR(G70="",P64="不要"),"",CQ69)</f>
        <v>14.4</v>
      </c>
      <c r="AC70" s="2555"/>
      <c r="AD70" s="2555"/>
      <c r="AE70" s="2555"/>
      <c r="AF70" s="2555"/>
      <c r="AG70" s="2556" t="str">
        <f>IF($B$2=0,"","定温SP1種Exp")</f>
        <v>定温SP1種Exp</v>
      </c>
      <c r="AH70" s="2556"/>
      <c r="AI70" s="2556"/>
      <c r="AJ70" s="2556"/>
      <c r="AK70" s="2556"/>
      <c r="AL70" s="2556"/>
      <c r="AM70" s="2556"/>
      <c r="AN70" s="2335" t="str">
        <f>IF(AQ70&lt;&gt;"",AQ70,"")</f>
        <v/>
      </c>
      <c r="AO70" s="2335"/>
      <c r="AP70" s="2335"/>
      <c r="AQ70" s="2566"/>
      <c r="AR70" s="2566"/>
      <c r="AS70" s="2567"/>
      <c r="AT70" s="2586" t="str">
        <f>IF(C65="","","盤位置")</f>
        <v>盤位置</v>
      </c>
      <c r="AU70" s="2587"/>
      <c r="AV70" s="2587"/>
      <c r="AW70" s="2587"/>
      <c r="AX70" s="2588" t="str">
        <f>非誘!V53</f>
        <v>⑦</v>
      </c>
      <c r="AY70" s="2588"/>
      <c r="AZ70" s="2588"/>
      <c r="BA70" s="2559" t="str">
        <f>IF(C65="","","専部屋面積")</f>
        <v>専部屋面積</v>
      </c>
      <c r="BB70" s="2560"/>
      <c r="BC70" s="2560"/>
      <c r="BD70" s="2560"/>
      <c r="BE70" s="2560"/>
      <c r="BF70" s="2561"/>
      <c r="BG70" s="2562">
        <f>IF(OR(C65="",S65=""),"",S65/AA65)</f>
        <v>268.8</v>
      </c>
      <c r="BH70" s="2563"/>
      <c r="BI70" s="2563"/>
      <c r="BJ70" s="2564"/>
      <c r="BK70" s="2559" t="str">
        <f>IF(C65="","","共部屋面積")</f>
        <v>共部屋面積</v>
      </c>
      <c r="BL70" s="2560"/>
      <c r="BM70" s="2560"/>
      <c r="BN70" s="2560"/>
      <c r="BO70" s="2560"/>
      <c r="BP70" s="2561"/>
      <c r="BQ70" s="2562">
        <f>IF(OR($B$2=0,C65=""),"",W65/AD65)</f>
        <v>38.400000000000006</v>
      </c>
      <c r="BR70" s="2563"/>
      <c r="BS70" s="2563"/>
      <c r="BT70" s="2565"/>
      <c r="BU70" s="19"/>
      <c r="BV70" s="35"/>
      <c r="BW70" s="99"/>
      <c r="BX70" s="35"/>
      <c r="BY70" s="35"/>
      <c r="BZ70" s="35"/>
      <c r="CA70" s="35"/>
      <c r="CB70" s="35"/>
      <c r="CC70" s="35"/>
      <c r="CD70" s="35"/>
      <c r="CE70" s="35"/>
      <c r="CF70" s="35"/>
      <c r="CG70" s="35"/>
      <c r="CH70" s="35"/>
      <c r="CI70" s="8"/>
      <c r="CJ70" s="8"/>
      <c r="CK70" s="8"/>
      <c r="CL70" s="336" t="str">
        <f>IF(OR(RIGHT(G69,3)="5Pr",RIGHT(G69,4)="10Pr",RIGHT(G69,4)="15Pr"),"28",IF(OR(RIGHT(G69,4)="20Pr",RIGHT(G69,4)="30Pr"),"36",IF(OR(RIGHT(G69,4)="50Pr",RIGHT(G69,4)="70Pr"),"42","")))</f>
        <v>28</v>
      </c>
      <c r="CM70" s="336" t="str">
        <f>IF(OR(RIGHT(G69,3)="5Pr",RIGHT(G69,4)="10Pr",RIGHT(G69,4)="15Pr"),"31",IF(OR(RIGHT(G69,4)="20Pr",RIGHT(G69,4)="30Pr"),"39",IF(OR(RIGHT(G69,4)="50Pr",RIGHT(G69,4)="70Pr"),"51","")))</f>
        <v>31</v>
      </c>
      <c r="CN70" s="86" t="str">
        <f>IF(OR(RIGHT(G70,3)="5Pr",RIGHT(G70,4)="10Pr",RIGHT(G70,4)="15Pr"),"28",IF(OR(RIGHT(G70,4)="20Pr",RIGHT(G70,4)="30Pr"),"36",IF(OR(RIGHT(G70,4)="50Pr",RIGHT(G70,4)="70Pr"),"42","")))</f>
        <v>28</v>
      </c>
      <c r="CO70" s="86" t="str">
        <f>IF(OR(RIGHT(G70,3)="5Pr",RIGHT(G70,4)="10Pr",RIGHT(G70,4)="15Pr"),"31",IF(OR(RIGHT(G70,4)="20Pr",RIGHT(G70,4)="30Pr"),"39",IF(OR(RIGHT(G70,4)="50Pr",RIGHT(G70,4)="70Pr"),"51","")))</f>
        <v>31</v>
      </c>
      <c r="CP70" s="9"/>
      <c r="CQ70" s="9"/>
      <c r="CR70" s="335">
        <f>IF(P64="不要","",SUM(CS70:CX70))</f>
        <v>11</v>
      </c>
      <c r="CS70" s="334">
        <f>IF(OR(CK64="",CK64="=",P64="不要"),0,IF(CK64="－",CL69+CS62,IF(CK64="+",CL69+CS78)))</f>
        <v>4</v>
      </c>
      <c r="CT70" s="188">
        <f>IF(OR(CK64="",CK64="=",P64="不要"),0,IF(CS70&lt;7,1,IF(CS70&lt;14,2,IF(CS70&lt;21,3,IF(CS70&lt;28,4,IF(CS70&lt;35,5,IF(CS70&lt;42,6,IF(CS70&lt;49,7,IF(CS70&lt;56,8,IF(CS70&lt;63,9,IF(CS70&lt;70,10,IF(CS70&lt;77,11,"---"))))))))))))</f>
        <v>1</v>
      </c>
      <c r="CU70" s="188">
        <f>IF(CS70=0,0,1)</f>
        <v>1</v>
      </c>
      <c r="CV70" s="333">
        <f>IF(CS70=0,0,1)</f>
        <v>1</v>
      </c>
      <c r="CW70" s="333">
        <f>IF(CS70=0,0,2)</f>
        <v>2</v>
      </c>
      <c r="CX70" s="333">
        <f>IF(CS70=0,0,2)</f>
        <v>2</v>
      </c>
      <c r="CY70" s="332">
        <f>IF(OR(BR73="",P64="不要"),0,IF(CK64="=",0,IF(CK64="－",2*BR65+3,IF(CK64="+",2*(BR65+BR73)+3,""))))</f>
        <v>19</v>
      </c>
      <c r="CZ70" s="216"/>
      <c r="DA70" s="9"/>
      <c r="DB70" s="127">
        <f t="shared" si="11"/>
        <v>9</v>
      </c>
      <c r="DC70" s="127" t="str">
        <f t="shared" si="12"/>
        <v/>
      </c>
      <c r="DD70" s="11" t="str">
        <f>CR64</f>
        <v>防火区画処理</v>
      </c>
      <c r="DE70" s="9"/>
      <c r="DF70" s="9"/>
      <c r="DG70" s="9"/>
      <c r="DH70" s="9" t="str">
        <f>IF(COUNTIF($DD$15:DD69,DD70)&gt;0,"",DD70)</f>
        <v/>
      </c>
      <c r="DI70" s="242">
        <f>CU64</f>
        <v>13</v>
      </c>
      <c r="DJ70" s="32">
        <f t="shared" si="20"/>
        <v>0</v>
      </c>
      <c r="DK70" s="127">
        <f t="shared" si="14"/>
        <v>4</v>
      </c>
      <c r="DL70" s="127" t="str">
        <f t="shared" si="15"/>
        <v/>
      </c>
      <c r="DM70" s="11" t="str">
        <f>IF(CY65="","",CV65)</f>
        <v/>
      </c>
      <c r="DN70" s="11"/>
      <c r="DO70" s="11"/>
      <c r="DP70" s="9"/>
      <c r="DQ70" s="9" t="str">
        <f>IF(COUNTIF($DM$15:DM69,DM70)&gt;0,"",DM70)</f>
        <v/>
      </c>
      <c r="DR70" s="101" t="str">
        <f>CY65</f>
        <v/>
      </c>
      <c r="DS70" s="32">
        <f t="shared" si="16"/>
        <v>8</v>
      </c>
      <c r="DT70" s="9"/>
      <c r="DU70" s="197">
        <f t="shared" si="17"/>
        <v>4</v>
      </c>
      <c r="DV70" s="197" t="str">
        <f t="shared" si="18"/>
        <v/>
      </c>
      <c r="DW70" s="201" t="str">
        <f>T70</f>
        <v>C-31mm</v>
      </c>
      <c r="DX70" s="8"/>
      <c r="DY70" s="8"/>
      <c r="DZ70" s="8"/>
      <c r="EA70" s="8" t="str">
        <f>IF(COUNTIF($DW$15:DW69,DW70)&gt;0,"",DW70)</f>
        <v/>
      </c>
      <c r="EB70" s="197">
        <f>AB70</f>
        <v>14.4</v>
      </c>
      <c r="EC70" s="32">
        <f ca="1">SUMIF($DW$17:$DW$185,EA70,$EB$17:$EB$184)</f>
        <v>0</v>
      </c>
    </row>
    <row r="71" spans="1:133" ht="11.25" customHeight="1">
      <c r="A71" s="15"/>
      <c r="B71" s="23"/>
      <c r="C71" s="37"/>
      <c r="D71" s="37"/>
      <c r="E71" s="37"/>
      <c r="F71" s="37"/>
      <c r="G71" s="331"/>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330"/>
      <c r="AG71" s="157"/>
      <c r="AH71" s="157"/>
      <c r="AI71" s="157"/>
      <c r="AJ71" s="157"/>
      <c r="AK71" s="157"/>
      <c r="AL71" s="157"/>
      <c r="AM71" s="157"/>
      <c r="AN71" s="377"/>
      <c r="AO71" s="377"/>
      <c r="AP71" s="377"/>
      <c r="AQ71" s="37"/>
      <c r="AR71" s="37"/>
      <c r="AS71" s="37"/>
      <c r="AT71" s="157"/>
      <c r="AU71" s="157"/>
      <c r="AV71" s="157"/>
      <c r="AW71" s="157"/>
      <c r="AX71" s="157"/>
      <c r="AY71" s="157"/>
      <c r="AZ71" s="157"/>
      <c r="BA71" s="377"/>
      <c r="BB71" s="377"/>
      <c r="BC71" s="377"/>
      <c r="BD71" s="37"/>
      <c r="BE71" s="37"/>
      <c r="BF71" s="37"/>
      <c r="BG71" s="157"/>
      <c r="BH71" s="157"/>
      <c r="BI71" s="157"/>
      <c r="BJ71" s="157"/>
      <c r="BK71" s="157"/>
      <c r="BL71" s="157"/>
      <c r="BM71" s="157"/>
      <c r="BN71" s="157"/>
      <c r="BO71" s="377"/>
      <c r="BP71" s="377"/>
      <c r="BQ71" s="377"/>
      <c r="BR71" s="37"/>
      <c r="BS71" s="37"/>
      <c r="BT71" s="37"/>
      <c r="BU71" s="19"/>
      <c r="BV71" s="35"/>
      <c r="BW71" s="99"/>
      <c r="BX71" s="35"/>
      <c r="BY71" s="35"/>
      <c r="BZ71" s="35"/>
      <c r="CA71" s="35"/>
      <c r="CB71" s="35"/>
      <c r="CC71" s="35"/>
      <c r="CD71" s="35"/>
      <c r="CE71" s="35"/>
      <c r="CF71" s="35"/>
      <c r="CG71" s="35"/>
      <c r="CH71" s="35"/>
      <c r="CI71" s="8"/>
      <c r="CJ71" s="9"/>
      <c r="CK71" s="9"/>
      <c r="CL71" s="9"/>
      <c r="CM71" s="60"/>
      <c r="CN71" s="9"/>
      <c r="CO71" s="9"/>
      <c r="CP71" s="60"/>
      <c r="CQ71" s="9"/>
      <c r="CR71" s="60"/>
      <c r="CS71" s="60"/>
      <c r="CT71" s="60"/>
      <c r="CU71" s="9"/>
      <c r="CV71" s="60"/>
      <c r="CW71" s="60"/>
      <c r="CX71" s="60"/>
      <c r="CY71" s="9"/>
      <c r="CZ71" s="218"/>
      <c r="DA71" s="45"/>
      <c r="DB71" s="127">
        <f t="shared" si="11"/>
        <v>9</v>
      </c>
      <c r="DC71" s="127" t="str">
        <f t="shared" si="12"/>
        <v/>
      </c>
      <c r="DD71" s="11"/>
      <c r="DE71" s="9"/>
      <c r="DF71" s="9"/>
      <c r="DG71" s="9"/>
      <c r="DH71" s="9"/>
      <c r="DI71" s="242"/>
      <c r="DJ71" s="13"/>
      <c r="DK71" s="127">
        <f t="shared" si="14"/>
        <v>4</v>
      </c>
      <c r="DL71" s="127" t="str">
        <f t="shared" si="15"/>
        <v/>
      </c>
      <c r="DM71" s="11" t="str">
        <f>IF(CY66="","",CV66)</f>
        <v>P1総合盤露出</v>
      </c>
      <c r="DN71" s="11"/>
      <c r="DO71" s="11"/>
      <c r="DP71" s="9"/>
      <c r="DQ71" s="9" t="str">
        <f>IF(COUNTIF($DM$15:DM70,DM71)&gt;0,"",DM71)</f>
        <v/>
      </c>
      <c r="DR71" s="101">
        <f>Y66</f>
        <v>0</v>
      </c>
      <c r="DS71" s="32">
        <f t="shared" si="16"/>
        <v>8</v>
      </c>
      <c r="DT71" s="45"/>
      <c r="DU71" s="8">
        <f t="shared" si="17"/>
        <v>4</v>
      </c>
      <c r="DV71" s="8" t="str">
        <f t="shared" si="18"/>
        <v/>
      </c>
      <c r="DW71" s="8"/>
      <c r="DX71" s="8"/>
      <c r="DY71" s="8"/>
      <c r="DZ71" s="8"/>
      <c r="EA71" s="8"/>
      <c r="EB71" s="8"/>
      <c r="EC71" s="8"/>
    </row>
    <row r="72" spans="1:133" ht="11.25" customHeight="1" thickBot="1">
      <c r="A72" s="374">
        <v>8</v>
      </c>
      <c r="B72" s="23"/>
      <c r="C72" s="2626" t="str">
        <f>非誘!J52</f>
        <v>( 4 )</v>
      </c>
      <c r="D72" s="2627"/>
      <c r="E72" s="2628"/>
      <c r="F72" s="2629" t="str">
        <f>非誘!M52</f>
        <v>百貨店等</v>
      </c>
      <c r="G72" s="2629"/>
      <c r="H72" s="2629"/>
      <c r="I72" s="2629"/>
      <c r="J72" s="2629"/>
      <c r="K72" s="2629"/>
      <c r="L72" s="2629"/>
      <c r="M72" s="2629"/>
      <c r="N72" s="2629"/>
      <c r="O72" s="2629"/>
      <c r="P72" s="2630" t="str">
        <f>IF(U72="",RIGHT($D$8,2),U72)</f>
        <v>設置</v>
      </c>
      <c r="Q72" s="2630"/>
      <c r="R72" s="2630"/>
      <c r="S72" s="2631"/>
      <c r="T72" s="31" t="s">
        <v>387</v>
      </c>
      <c r="U72" s="2632"/>
      <c r="V72" s="2632"/>
      <c r="W72" s="2632"/>
      <c r="X72" s="2633"/>
      <c r="Y72" s="2634" t="s">
        <v>20</v>
      </c>
      <c r="Z72" s="2634"/>
      <c r="AA72" s="2634"/>
      <c r="AB72" s="2634"/>
      <c r="AC72" s="2634"/>
      <c r="AD72" s="2635">
        <f>非誘!J59</f>
        <v>0.5</v>
      </c>
      <c r="AE72" s="2635"/>
      <c r="AF72" s="2635"/>
      <c r="AG72" s="2635"/>
      <c r="AH72" s="2299" t="s">
        <v>135</v>
      </c>
      <c r="AI72" s="2299"/>
      <c r="AJ72" s="2299"/>
      <c r="AK72" s="2299"/>
      <c r="AL72" s="2299"/>
      <c r="AM72" s="2299" t="s">
        <v>366</v>
      </c>
      <c r="AN72" s="2299"/>
      <c r="AO72" s="2299"/>
      <c r="AP72" s="2299"/>
      <c r="AQ72" s="2569" t="str">
        <f>IF(AX72="","天井ケーブル",AX72)</f>
        <v>天井(C 管)</v>
      </c>
      <c r="AR72" s="2569"/>
      <c r="AS72" s="2569"/>
      <c r="AT72" s="2569"/>
      <c r="AU72" s="2569"/>
      <c r="AV72" s="2569"/>
      <c r="AW72" s="175" t="s">
        <v>387</v>
      </c>
      <c r="AX72" s="2338" t="s">
        <v>388</v>
      </c>
      <c r="AY72" s="2338"/>
      <c r="AZ72" s="2338"/>
      <c r="BA72" s="2338"/>
      <c r="BB72" s="2338"/>
      <c r="BC72" s="2338"/>
      <c r="BD72" s="2299" t="s">
        <v>363</v>
      </c>
      <c r="BE72" s="2299"/>
      <c r="BF72" s="2299"/>
      <c r="BG72" s="2299"/>
      <c r="BH72" s="2569" t="str">
        <f>IF(BO72="","天井(C 管)",BO72)</f>
        <v>天井(C 管)</v>
      </c>
      <c r="BI72" s="2569"/>
      <c r="BJ72" s="2569"/>
      <c r="BK72" s="2569"/>
      <c r="BL72" s="2569"/>
      <c r="BM72" s="2569"/>
      <c r="BN72" s="175" t="s">
        <v>387</v>
      </c>
      <c r="BO72" s="2338"/>
      <c r="BP72" s="2338"/>
      <c r="BQ72" s="2338"/>
      <c r="BR72" s="2338"/>
      <c r="BS72" s="2338"/>
      <c r="BT72" s="2622"/>
      <c r="BU72" s="19"/>
      <c r="BV72" s="35"/>
      <c r="BW72" s="99"/>
      <c r="BX72" s="35"/>
      <c r="BY72" s="35"/>
      <c r="BZ72" s="35"/>
      <c r="CA72" s="35"/>
      <c r="CB72" s="35"/>
      <c r="CC72" s="35"/>
      <c r="CD72" s="35"/>
      <c r="CE72" s="35"/>
      <c r="CF72" s="35"/>
      <c r="CG72" s="35"/>
      <c r="CH72" s="35"/>
      <c r="CI72" s="8">
        <v>23</v>
      </c>
      <c r="CJ72" s="97" t="str">
        <f>IF(LEFT(C73,2)=" B",-MID(C73,3,1),IF(C73="  RF","",LEFT(C73,3)))</f>
        <v xml:space="preserve">  6</v>
      </c>
      <c r="CK72" s="10" t="str">
        <f>IF(OR(C73="",C73="  RF"),"",IF(LEFT(C73,1)="P","+",IF($CJ$14&gt;CJ72,"－",IF($CJ$14=CJ72,"=","+"))))</f>
        <v>+</v>
      </c>
      <c r="CL72" s="2601" t="s">
        <v>376</v>
      </c>
      <c r="CM72" s="2601"/>
      <c r="CN72" s="2601"/>
      <c r="CO72" s="2601" t="s">
        <v>375</v>
      </c>
      <c r="CP72" s="2601"/>
      <c r="CQ72" s="2601"/>
      <c r="CR72" s="2589" t="str">
        <f>AG73</f>
        <v>防火区画処理</v>
      </c>
      <c r="CS72" s="2590"/>
      <c r="CT72" s="2591"/>
      <c r="CU72" s="184">
        <f>AN73</f>
        <v>13</v>
      </c>
      <c r="CV72" s="2589" t="str">
        <f>AG77</f>
        <v>光電式煙2種埋</v>
      </c>
      <c r="CW72" s="2590"/>
      <c r="CX72" s="2591"/>
      <c r="CY72" s="184">
        <f>AN77</f>
        <v>8</v>
      </c>
      <c r="CZ72" s="216"/>
      <c r="DA72" s="161">
        <v>8</v>
      </c>
      <c r="DB72" s="373">
        <f t="shared" si="11"/>
        <v>9</v>
      </c>
      <c r="DC72" s="45" t="str">
        <f t="shared" si="12"/>
        <v/>
      </c>
      <c r="DD72" s="45"/>
      <c r="DE72" s="45"/>
      <c r="DF72" s="45"/>
      <c r="DG72" s="45"/>
      <c r="DH72" s="45"/>
      <c r="DI72" s="45"/>
      <c r="DJ72" s="45"/>
      <c r="DK72" s="45">
        <f t="shared" si="14"/>
        <v>4</v>
      </c>
      <c r="DL72" s="45" t="str">
        <f t="shared" si="15"/>
        <v/>
      </c>
      <c r="DM72" s="154" t="str">
        <f>IF(CY67="","",CV67)</f>
        <v/>
      </c>
      <c r="DN72" s="154"/>
      <c r="DO72" s="154"/>
      <c r="DP72" s="45"/>
      <c r="DQ72" s="45" t="str">
        <f>IF(COUNTIF($DM$15:DM71,DM72)&gt;0,"",DM72)</f>
        <v/>
      </c>
      <c r="DR72" s="209">
        <f>CY7</f>
        <v>0</v>
      </c>
      <c r="DS72" s="230">
        <f t="shared" si="16"/>
        <v>8</v>
      </c>
      <c r="DT72" s="161">
        <v>8</v>
      </c>
      <c r="DU72" s="204">
        <f t="shared" si="17"/>
        <v>4</v>
      </c>
      <c r="DV72" s="155" t="str">
        <f t="shared" si="18"/>
        <v/>
      </c>
      <c r="DW72" s="45"/>
      <c r="DX72" s="45"/>
      <c r="DY72" s="45"/>
      <c r="DZ72" s="45"/>
      <c r="EA72" s="45"/>
      <c r="EB72" s="45"/>
      <c r="EC72" s="45"/>
    </row>
    <row r="73" spans="1:133" ht="11.25" customHeight="1" thickBot="1">
      <c r="A73" s="15">
        <v>67</v>
      </c>
      <c r="B73" s="23"/>
      <c r="C73" s="2602" t="str">
        <f>IF($BW$3=0,"",非誘!C60)</f>
        <v xml:space="preserve">  6F</v>
      </c>
      <c r="D73" s="2603"/>
      <c r="E73" s="2604"/>
      <c r="F73" s="2605">
        <f>IF($BW$3=0,"",非誘!F60)</f>
        <v>4</v>
      </c>
      <c r="G73" s="2606"/>
      <c r="H73" s="2606"/>
      <c r="I73" s="2607"/>
      <c r="J73" s="2605">
        <f>IF($BW$3=0,"",非誘!J60)</f>
        <v>3</v>
      </c>
      <c r="K73" s="2606"/>
      <c r="L73" s="2606"/>
      <c r="M73" s="2607"/>
      <c r="N73" s="2608">
        <f>IF($BW$3=0,"",非誘!N60)</f>
        <v>1152</v>
      </c>
      <c r="O73" s="2609"/>
      <c r="P73" s="2609"/>
      <c r="Q73" s="2609"/>
      <c r="R73" s="2610"/>
      <c r="S73" s="2608">
        <f>IF($BW$3=0,"",非誘!S60)</f>
        <v>806.4</v>
      </c>
      <c r="T73" s="2609"/>
      <c r="U73" s="2609"/>
      <c r="V73" s="2610"/>
      <c r="W73" s="2608">
        <f>IF($BW$3=0,"",非誘!W60)</f>
        <v>345.6</v>
      </c>
      <c r="X73" s="2609"/>
      <c r="Y73" s="2609"/>
      <c r="Z73" s="2610"/>
      <c r="AA73" s="2611">
        <f>IF($BW$3=0,"",非誘!AA60)</f>
        <v>3</v>
      </c>
      <c r="AB73" s="2603"/>
      <c r="AC73" s="2604"/>
      <c r="AD73" s="2612">
        <f>IF($BW$3=0,"",非誘!AD60)</f>
        <v>9</v>
      </c>
      <c r="AE73" s="2613"/>
      <c r="AF73" s="2614"/>
      <c r="AG73" s="2615" t="str">
        <f>IF($B$2=0,"","防火区画処理")</f>
        <v>防火区画処理</v>
      </c>
      <c r="AH73" s="2615"/>
      <c r="AI73" s="2615"/>
      <c r="AJ73" s="2615"/>
      <c r="AK73" s="2615"/>
      <c r="AL73" s="2615"/>
      <c r="AM73" s="2615"/>
      <c r="AN73" s="2616">
        <f>IF(OR($B$2=0,C73="",P72="不要"),"",AZ73+BG73+BR73*2)</f>
        <v>13</v>
      </c>
      <c r="AO73" s="2616"/>
      <c r="AP73" s="2616"/>
      <c r="AQ73" s="2617" t="s">
        <v>374</v>
      </c>
      <c r="AR73" s="2617"/>
      <c r="AS73" s="2617"/>
      <c r="AT73" s="2617"/>
      <c r="AU73" s="2617"/>
      <c r="AV73" s="2618" t="s">
        <v>373</v>
      </c>
      <c r="AW73" s="2618"/>
      <c r="AX73" s="2618"/>
      <c r="AY73" s="2618"/>
      <c r="AZ73" s="2619">
        <f>IF(OR($B$2=0,C73="",P72="不要"),"",IF(LEFT(C73,1)="P",1+INT(W73/450),INT(S73/450)+1+INT(W73/450)))</f>
        <v>2</v>
      </c>
      <c r="BA73" s="2619"/>
      <c r="BB73" s="2619"/>
      <c r="BC73" s="2618" t="s">
        <v>372</v>
      </c>
      <c r="BD73" s="2618"/>
      <c r="BE73" s="2618"/>
      <c r="BF73" s="2618"/>
      <c r="BG73" s="2619">
        <f>IF(OR($B$2=0,C73="",P72="不要"),"",1+INT(N73/500))</f>
        <v>3</v>
      </c>
      <c r="BH73" s="2619"/>
      <c r="BI73" s="2619"/>
      <c r="BJ73" s="2617" t="s">
        <v>371</v>
      </c>
      <c r="BK73" s="2617"/>
      <c r="BL73" s="2617"/>
      <c r="BM73" s="2617"/>
      <c r="BN73" s="2617"/>
      <c r="BO73" s="2617"/>
      <c r="BP73" s="2617"/>
      <c r="BQ73" s="2617"/>
      <c r="BR73" s="2620">
        <f>IF(OR($B$2=0,C73="",P72="不要"),"",1+INT(0.055*N73^0.6))</f>
        <v>4</v>
      </c>
      <c r="BS73" s="2620"/>
      <c r="BT73" s="2621"/>
      <c r="BU73" s="19"/>
      <c r="BV73" s="35"/>
      <c r="BW73" s="99"/>
      <c r="BX73" s="35"/>
      <c r="BY73" s="35"/>
      <c r="BZ73" s="35"/>
      <c r="CA73" s="35"/>
      <c r="CB73" s="35"/>
      <c r="CC73" s="35"/>
      <c r="CD73" s="35"/>
      <c r="CE73" s="35"/>
      <c r="CF73" s="35"/>
      <c r="CG73" s="35"/>
      <c r="CH73" s="35"/>
      <c r="CI73" s="8">
        <v>2</v>
      </c>
      <c r="CJ73" s="88" t="s">
        <v>386</v>
      </c>
      <c r="CK73" s="88" t="s">
        <v>385</v>
      </c>
      <c r="CL73" s="372">
        <f>IF(C74="","",IF(AX78="①",CJ74+CK74+3,IF(AX78="②",CJ74*5/8+CK74+3,IF(AX78="③",CJ74/2+CK74+3,IF(AX78="④",CJ74+CK74*5/8+3,IF(AX78="⑤",(CJ74+CK74)*5/8+3,IF(AX78="⑥",CJ74/2+CK74*5/8+3,IF(AX78="⑦",CJ74+CK74/2+3,IF(AX78="⑧",CJ74*5/8+CK74/2+3,IF(AX78="⑨",(CJ74+CK74)/2+3))))))))))</f>
        <v>27</v>
      </c>
      <c r="CM73" s="371" t="s">
        <v>384</v>
      </c>
      <c r="CN73" s="371" t="s">
        <v>383</v>
      </c>
      <c r="CO73" s="370"/>
      <c r="CP73" s="371" t="s">
        <v>384</v>
      </c>
      <c r="CQ73" s="370" t="s">
        <v>383</v>
      </c>
      <c r="CR73" s="2589" t="str">
        <f>AG74</f>
        <v>差動SP2種埋</v>
      </c>
      <c r="CS73" s="2590"/>
      <c r="CT73" s="2591"/>
      <c r="CU73" s="184" t="str">
        <f>AN74</f>
        <v/>
      </c>
      <c r="CV73" s="2589" t="str">
        <f>AT76</f>
        <v>HP起動押ボタン</v>
      </c>
      <c r="CW73" s="2590"/>
      <c r="CX73" s="2591"/>
      <c r="CY73" s="184" t="str">
        <f>BA76</f>
        <v/>
      </c>
      <c r="CZ73" s="216"/>
      <c r="DA73" s="8"/>
      <c r="DB73" s="197">
        <f t="shared" si="11"/>
        <v>9</v>
      </c>
      <c r="DC73" s="197" t="str">
        <f t="shared" si="12"/>
        <v/>
      </c>
      <c r="DD73" s="201" t="str">
        <f>G74</f>
        <v>AE 0.9mm-4C</v>
      </c>
      <c r="DE73" s="8"/>
      <c r="DF73" s="8"/>
      <c r="DG73" s="8"/>
      <c r="DH73" s="8" t="str">
        <f>IF(COUNTIF($DD$15:DD72,DD73)&gt;0,"",DD73)</f>
        <v/>
      </c>
      <c r="DI73" s="252">
        <f>O74</f>
        <v>149</v>
      </c>
      <c r="DJ73" s="32">
        <f t="shared" ref="DJ73:DJ78" si="21">SUMIF($DD$17:$DD$185,DH73,$DI$17:$DI$185)</f>
        <v>0</v>
      </c>
      <c r="DK73" s="197">
        <f t="shared" si="14"/>
        <v>4</v>
      </c>
      <c r="DL73" s="197" t="str">
        <f t="shared" si="15"/>
        <v/>
      </c>
      <c r="DM73" s="10" t="str">
        <f>IF(CU73="","",CR73)</f>
        <v/>
      </c>
      <c r="DN73" s="10" t="str">
        <f>CR73</f>
        <v>差動SP2種埋</v>
      </c>
      <c r="DO73" s="10"/>
      <c r="DP73" s="8"/>
      <c r="DQ73" s="8" t="str">
        <f>IF(COUNTIF($DM$15:DM72,DM73)&gt;0,"",DM73)</f>
        <v/>
      </c>
      <c r="DR73" s="200" t="str">
        <f>CU73</f>
        <v/>
      </c>
      <c r="DS73" s="32">
        <f t="shared" si="16"/>
        <v>8</v>
      </c>
      <c r="DT73" s="8"/>
      <c r="DU73" s="197">
        <f t="shared" si="17"/>
        <v>4</v>
      </c>
      <c r="DV73" s="197" t="str">
        <f t="shared" si="18"/>
        <v/>
      </c>
      <c r="DW73" s="201"/>
      <c r="DX73" s="8"/>
      <c r="DY73" s="8"/>
      <c r="DZ73" s="8"/>
      <c r="EA73" s="8"/>
      <c r="EB73" s="252"/>
      <c r="EC73" s="32"/>
    </row>
    <row r="74" spans="1:133" ht="11.25" customHeight="1">
      <c r="A74" s="15"/>
      <c r="B74" s="23"/>
      <c r="C74" s="2623" t="s">
        <v>366</v>
      </c>
      <c r="D74" s="2624"/>
      <c r="E74" s="2624"/>
      <c r="F74" s="2624"/>
      <c r="G74" s="2625" t="str">
        <f>IF(C73="","","AE 0.9mm-4C")</f>
        <v>AE 0.9mm-4C</v>
      </c>
      <c r="H74" s="2625"/>
      <c r="I74" s="2625"/>
      <c r="J74" s="2625"/>
      <c r="K74" s="2625"/>
      <c r="L74" s="2625"/>
      <c r="M74" s="2625"/>
      <c r="N74" s="2625"/>
      <c r="O74" s="2593">
        <f>IF($B$2=0,"",IF(OR(C73="",P72="不要"),"",ROUND((CM74+CN74),0)))</f>
        <v>149</v>
      </c>
      <c r="P74" s="2593"/>
      <c r="Q74" s="2593"/>
      <c r="R74" s="2593"/>
      <c r="S74" s="2593"/>
      <c r="T74" s="2593" t="str">
        <f>IF(OR($B$2=0,C73="",P72="不要"),"",IF(AQ72="天井ケーブル","C-19mm",IF(MID(AQ72,4,2)="PF","PF-16mm",IF(MID(AQ72,4,2)="CD","CD-16mm",IF(MID(AQ72,4,2)="C ","C-19mm",IF(MID(AQ72,4,2)="G ","G-16mm",""))))))</f>
        <v>C-19mm</v>
      </c>
      <c r="U74" s="2593"/>
      <c r="V74" s="2593"/>
      <c r="W74" s="2593"/>
      <c r="X74" s="2593"/>
      <c r="Y74" s="2593"/>
      <c r="Z74" s="2593"/>
      <c r="AA74" s="2593"/>
      <c r="AB74" s="2593">
        <f>IF(OR($B$2=0,C73="",P72="不要"),"",IF(CQ74="",ROUND(CP74,0),ROUND((CP74+CQ74),0)))</f>
        <v>119</v>
      </c>
      <c r="AC74" s="2593"/>
      <c r="AD74" s="2593"/>
      <c r="AE74" s="2593"/>
      <c r="AF74" s="2593"/>
      <c r="AG74" s="2595" t="str">
        <f>IF($B$2=0,"","差動SP2種埋")</f>
        <v>差動SP2種埋</v>
      </c>
      <c r="AH74" s="2595"/>
      <c r="AI74" s="2595"/>
      <c r="AJ74" s="2595"/>
      <c r="AK74" s="2595"/>
      <c r="AL74" s="2595"/>
      <c r="AM74" s="2595"/>
      <c r="AN74" s="2593" t="str">
        <f>IF(OR(C73="",P72="不要"),"",IF(AQ74&lt;&gt;"",AQ74,IF(AX78="B","",IF(AZ77="無窓","",IF(AND(BL77="耐 火",AZ77="有窓"),BZ74+CA74,CD74+CE74)))))</f>
        <v/>
      </c>
      <c r="AO74" s="2593"/>
      <c r="AP74" s="2593"/>
      <c r="AQ74" s="2594"/>
      <c r="AR74" s="2594"/>
      <c r="AS74" s="2594"/>
      <c r="AT74" s="2595" t="str">
        <f>IF($B$2=0,"","P1総合盤露出")</f>
        <v>P1総合盤露出</v>
      </c>
      <c r="AU74" s="2595"/>
      <c r="AV74" s="2595"/>
      <c r="AW74" s="2595"/>
      <c r="AX74" s="2595"/>
      <c r="AY74" s="2595"/>
      <c r="AZ74" s="2595"/>
      <c r="BA74" s="2593">
        <f>IF(P72="不要","",IF(BD74&lt;&gt;"",BD74,IF([4]Top!$BD$51="要","",AZ73)))</f>
        <v>2</v>
      </c>
      <c r="BB74" s="2593"/>
      <c r="BC74" s="2593"/>
      <c r="BD74" s="2594"/>
      <c r="BE74" s="2594"/>
      <c r="BF74" s="2594"/>
      <c r="BG74" s="2597" t="str">
        <f>IF($B$2=0,"","ﾗｯﾁ電磁レリーズ")</f>
        <v>ﾗｯﾁ電磁レリーズ</v>
      </c>
      <c r="BH74" s="2597"/>
      <c r="BI74" s="2597"/>
      <c r="BJ74" s="2597"/>
      <c r="BK74" s="2597"/>
      <c r="BL74" s="2597"/>
      <c r="BM74" s="2597"/>
      <c r="BN74" s="2597"/>
      <c r="BO74" s="2593">
        <f>IF(P72="不要","",IF(BR74&lt;&gt;"",BR74,BR73))</f>
        <v>4</v>
      </c>
      <c r="BP74" s="2593"/>
      <c r="BQ74" s="2593"/>
      <c r="BR74" s="2594"/>
      <c r="BS74" s="2594"/>
      <c r="BT74" s="2596"/>
      <c r="BU74" s="19"/>
      <c r="BV74" s="35"/>
      <c r="BW74" s="351" t="s">
        <v>365</v>
      </c>
      <c r="BX74" s="368"/>
      <c r="BY74" s="369"/>
      <c r="BZ74" s="344">
        <f>IF(AA73="",0,IF(OR([6]Top!$BD$72&lt;&gt;"要",C73=""),"",IF(J73&gt;=4,1+INT(AA73*2.4),1+INT(AA73*1.2))))</f>
        <v>4</v>
      </c>
      <c r="CA74" s="360">
        <f>IF(OR([6]Top!$BD$72&lt;&gt;"要",C73=""),"",IF(J73&gt;=4,1+INT(AD73*2.4),1+INT(AD73*1.2)))</f>
        <v>11</v>
      </c>
      <c r="CB74" s="368"/>
      <c r="CC74" s="369"/>
      <c r="CD74" s="343">
        <f>IF($AX$8&lt;=500,BZ74*2,1+INT(BZ74*2.5))</f>
        <v>11</v>
      </c>
      <c r="CE74" s="360">
        <f>IF($AX$8&lt;=500,CA74*2,1+INT(CA74*2.5))</f>
        <v>28</v>
      </c>
      <c r="CF74" s="368"/>
      <c r="CG74" s="367"/>
      <c r="CH74" s="35"/>
      <c r="CI74" s="133">
        <f>IF(AZ73&lt;&gt;"",AZ73,0)</f>
        <v>2</v>
      </c>
      <c r="CJ74" s="98">
        <f>非誘!BW60</f>
        <v>12</v>
      </c>
      <c r="CK74" s="98">
        <f>非誘!BX60</f>
        <v>24</v>
      </c>
      <c r="CL74" s="88" t="s">
        <v>364</v>
      </c>
      <c r="CM74" s="185">
        <f>IF(OR(C73="",C73="  RF"),"",IF(J73="直天",$AN$10/1000+F73-1.2+SQRT(CK75/CM75),$AN$10/1000+J73-1.2+SQRT(CK75/CM75)))</f>
        <v>14.097958971132712</v>
      </c>
      <c r="CN74" s="185">
        <f>IF(OR(C73="",P72="不要"),"",CL73+CK76*AZ73)</f>
        <v>135</v>
      </c>
      <c r="CO74" s="88" t="s">
        <v>364</v>
      </c>
      <c r="CP74" s="185">
        <f>IF(OR(C73="",C73="  RF"),"",IF(J73="直天",F73-1.2+SQRT(CK75/CM75),IF(AQ72="天井ケーブル",J73-1.2,J73-1.2+SQRT(CK75/CM75))))</f>
        <v>11.597958971132712</v>
      </c>
      <c r="CQ74" s="356">
        <f>IF(OR(C73="",C73="  RF"),"",IF(AQ72="天井ケーブル","",(CM75-1)*SQRT(CK75/CM75)))</f>
        <v>107.77754868245982</v>
      </c>
      <c r="CR74" s="2589" t="str">
        <f>AG75</f>
        <v>定温SP1種WP</v>
      </c>
      <c r="CS74" s="2590"/>
      <c r="CT74" s="2591"/>
      <c r="CU74" s="184">
        <f>AN75</f>
        <v>2</v>
      </c>
      <c r="CV74" s="2589" t="str">
        <f>AT74</f>
        <v>P1総合盤露出</v>
      </c>
      <c r="CW74" s="2590"/>
      <c r="CX74" s="2591"/>
      <c r="CY74" s="184">
        <f>BA74</f>
        <v>2</v>
      </c>
      <c r="CZ74" s="216"/>
      <c r="DA74" s="8"/>
      <c r="DB74" s="197">
        <f t="shared" si="11"/>
        <v>9</v>
      </c>
      <c r="DC74" s="197" t="str">
        <f t="shared" si="12"/>
        <v/>
      </c>
      <c r="DD74" s="201" t="str">
        <f>G75</f>
        <v>HP 1.2mm-3C</v>
      </c>
      <c r="DE74" s="8"/>
      <c r="DF74" s="8"/>
      <c r="DG74" s="8"/>
      <c r="DH74" s="8" t="str">
        <f>IF(COUNTIF($DD$15:DD73,DD74)&gt;0,"",DD74)</f>
        <v/>
      </c>
      <c r="DI74" s="252">
        <f>O75</f>
        <v>21</v>
      </c>
      <c r="DJ74" s="32">
        <f t="shared" si="21"/>
        <v>0</v>
      </c>
      <c r="DK74" s="197">
        <f t="shared" si="14"/>
        <v>4</v>
      </c>
      <c r="DL74" s="197" t="str">
        <f t="shared" si="15"/>
        <v/>
      </c>
      <c r="DM74" s="10" t="str">
        <f>IF(CU74="","",CR74)</f>
        <v>定温SP1種WP</v>
      </c>
      <c r="DN74" s="10" t="str">
        <f>CR74</f>
        <v>定温SP1種WP</v>
      </c>
      <c r="DO74" s="10"/>
      <c r="DP74" s="8"/>
      <c r="DQ74" s="8" t="str">
        <f>IF(COUNTIF($DM$15:DM73,DM74)&gt;0,"",DM74)</f>
        <v/>
      </c>
      <c r="DR74" s="200">
        <f>CU74</f>
        <v>2</v>
      </c>
      <c r="DS74" s="32">
        <f t="shared" si="16"/>
        <v>8</v>
      </c>
      <c r="DT74" s="8"/>
      <c r="DU74" s="197">
        <f t="shared" si="17"/>
        <v>4</v>
      </c>
      <c r="DV74" s="197" t="str">
        <f t="shared" si="18"/>
        <v/>
      </c>
      <c r="DW74" s="201" t="str">
        <f>T74</f>
        <v>C-19mm</v>
      </c>
      <c r="DX74" s="8"/>
      <c r="DY74" s="8"/>
      <c r="DZ74" s="8"/>
      <c r="EA74" s="8" t="str">
        <f>IF(COUNTIF($DW$15:DW73,DW74)&gt;0,"",DW74)</f>
        <v/>
      </c>
      <c r="EB74" s="197">
        <f>AB74</f>
        <v>119</v>
      </c>
      <c r="EC74" s="32">
        <f ca="1">SUMIF($DW$17:$DW$185,EA74,$EB$17:$EB$184)</f>
        <v>0</v>
      </c>
    </row>
    <row r="75" spans="1:133" ht="11.25" customHeight="1" thickBot="1">
      <c r="A75" s="15"/>
      <c r="B75" s="176"/>
      <c r="C75" s="2568" t="s">
        <v>363</v>
      </c>
      <c r="D75" s="2569"/>
      <c r="E75" s="2569"/>
      <c r="F75" s="2569"/>
      <c r="G75" s="2592" t="str">
        <f>IF(C73="","","HP 1.2mm-3C")</f>
        <v>HP 1.2mm-3C</v>
      </c>
      <c r="H75" s="2592"/>
      <c r="I75" s="2592"/>
      <c r="J75" s="2592"/>
      <c r="K75" s="2592"/>
      <c r="L75" s="2592"/>
      <c r="M75" s="2592"/>
      <c r="N75" s="2592"/>
      <c r="O75" s="2557">
        <f>IF($B$2=0,"",IF(OR(C73="",P72="不要"),"",ROUND(CN76,0)))</f>
        <v>21</v>
      </c>
      <c r="P75" s="2557"/>
      <c r="Q75" s="2557"/>
      <c r="R75" s="2557"/>
      <c r="S75" s="2557"/>
      <c r="T75" s="2557" t="str">
        <f>IF(OR($B$2=0,C73="",P72="不要"),"",IF(BH72="天井ケーブル","C-19mm",IF(MID(BH72,4,2)="PF","PF-16mm",IF(MID(BH72,4,2)="CD","CD-16mm",IF(MID(BH72,4,2)="C ","C-19mm",IF(MID(BH72,4,2)="G ","G-16mm",""))))))</f>
        <v>C-19mm</v>
      </c>
      <c r="U75" s="2557"/>
      <c r="V75" s="2557"/>
      <c r="W75" s="2557"/>
      <c r="X75" s="2557"/>
      <c r="Y75" s="2557"/>
      <c r="Z75" s="2557"/>
      <c r="AA75" s="2557"/>
      <c r="AB75" s="2557">
        <f>IF($B$2=0,"",IF(OR(C73="",P72="不要",CQ77=""),"",CQ76+CQ77))</f>
        <v>32.799999999999997</v>
      </c>
      <c r="AC75" s="2557"/>
      <c r="AD75" s="2557"/>
      <c r="AE75" s="2557"/>
      <c r="AF75" s="2557"/>
      <c r="AG75" s="2572" t="str">
        <f>IF($B$2=0,"","定温SP1種WP")</f>
        <v>定温SP1種WP</v>
      </c>
      <c r="AH75" s="2572"/>
      <c r="AI75" s="2572"/>
      <c r="AJ75" s="2572"/>
      <c r="AK75" s="2572"/>
      <c r="AL75" s="2572"/>
      <c r="AM75" s="2572"/>
      <c r="AN75" s="2312">
        <f>IF(OR($B$2=0,P72="不要"),"",IF(AQ75&lt;&gt;"",AQ75,CA75))</f>
        <v>2</v>
      </c>
      <c r="AO75" s="2312"/>
      <c r="AP75" s="2312"/>
      <c r="AQ75" s="2575"/>
      <c r="AR75" s="2575"/>
      <c r="AS75" s="2575"/>
      <c r="AT75" s="2572" t="str">
        <f>IF($B$2=0,"","P1総合盤埋込")</f>
        <v>P1総合盤埋込</v>
      </c>
      <c r="AU75" s="2572"/>
      <c r="AV75" s="2572"/>
      <c r="AW75" s="2572"/>
      <c r="AX75" s="2572"/>
      <c r="AY75" s="2572"/>
      <c r="AZ75" s="2572"/>
      <c r="BA75" s="2312" t="str">
        <f>IF(P72="不要","",IF(BD75&lt;&gt;"",BD75,IF([4]Top!$BD$51&lt;&gt;"要","",AZ73)))</f>
        <v/>
      </c>
      <c r="BB75" s="2312"/>
      <c r="BC75" s="2312"/>
      <c r="BD75" s="2575"/>
      <c r="BE75" s="2575"/>
      <c r="BF75" s="2575"/>
      <c r="BG75" s="2572" t="str">
        <f>IF($B$2=0,"","ｱｰﾑ電磁レリーズ")</f>
        <v>ｱｰﾑ電磁レリーズ</v>
      </c>
      <c r="BH75" s="2572"/>
      <c r="BI75" s="2572"/>
      <c r="BJ75" s="2572"/>
      <c r="BK75" s="2572"/>
      <c r="BL75" s="2572"/>
      <c r="BM75" s="2572"/>
      <c r="BN75" s="2572"/>
      <c r="BO75" s="2312">
        <f>IF(P72="不要","",IF(BR75&lt;&gt;"",BR75,BR73))</f>
        <v>4</v>
      </c>
      <c r="BP75" s="2312"/>
      <c r="BQ75" s="2312"/>
      <c r="BR75" s="2575"/>
      <c r="BS75" s="2575"/>
      <c r="BT75" s="2576"/>
      <c r="BU75" s="19"/>
      <c r="BV75" s="35"/>
      <c r="BW75" s="351" t="s">
        <v>362</v>
      </c>
      <c r="BX75" s="348"/>
      <c r="BY75" s="349">
        <f>CA75</f>
        <v>2</v>
      </c>
      <c r="BZ75" s="366"/>
      <c r="CA75" s="360">
        <f>IF(C73="","",1+INT(W73/200))</f>
        <v>2</v>
      </c>
      <c r="CB75" s="348"/>
      <c r="CC75" s="359">
        <f>CA75</f>
        <v>2</v>
      </c>
      <c r="CD75" s="365"/>
      <c r="CE75" s="349">
        <f>CA75</f>
        <v>2</v>
      </c>
      <c r="CF75" s="348"/>
      <c r="CG75" s="357">
        <f>CA75</f>
        <v>2</v>
      </c>
      <c r="CH75" s="35"/>
      <c r="CI75" s="133">
        <f>IF(BG73&lt;&gt;"",BG73,0)</f>
        <v>3</v>
      </c>
      <c r="CJ75" s="88" t="s">
        <v>361</v>
      </c>
      <c r="CK75" s="107">
        <f>N73</f>
        <v>1152</v>
      </c>
      <c r="CL75" s="88" t="s">
        <v>360</v>
      </c>
      <c r="CM75" s="185">
        <f>SUM(AN74:AP78)</f>
        <v>12</v>
      </c>
      <c r="CN75" s="364"/>
      <c r="CO75" s="168"/>
      <c r="CP75" s="363"/>
      <c r="CQ75" s="150"/>
      <c r="CR75" s="2598" t="str">
        <f>AG76</f>
        <v>補償SP2種</v>
      </c>
      <c r="CS75" s="2599"/>
      <c r="CT75" s="2600"/>
      <c r="CU75" s="362">
        <f>AN76</f>
        <v>2</v>
      </c>
      <c r="CV75" s="2598" t="str">
        <f>AT75</f>
        <v>P1総合盤埋込</v>
      </c>
      <c r="CW75" s="2599"/>
      <c r="CX75" s="2600"/>
      <c r="CY75" s="362" t="str">
        <f>BA75</f>
        <v/>
      </c>
      <c r="CZ75" s="216"/>
      <c r="DA75" s="8"/>
      <c r="DB75" s="197">
        <f t="shared" si="11"/>
        <v>9</v>
      </c>
      <c r="DC75" s="197" t="str">
        <f t="shared" si="12"/>
        <v/>
      </c>
      <c r="DD75" s="201" t="str">
        <f>G76</f>
        <v>HP 1.2mm-5C</v>
      </c>
      <c r="DE75" s="8"/>
      <c r="DF75" s="8"/>
      <c r="DG75" s="8"/>
      <c r="DH75" s="8" t="str">
        <f>IF(COUNTIF($DD$15:DD74,DD75)&gt;0,"",DD75)</f>
        <v/>
      </c>
      <c r="DI75" s="252">
        <f>O76</f>
        <v>27</v>
      </c>
      <c r="DJ75" s="32">
        <f t="shared" si="21"/>
        <v>0</v>
      </c>
      <c r="DK75" s="197">
        <f t="shared" si="14"/>
        <v>4</v>
      </c>
      <c r="DL75" s="197" t="str">
        <f t="shared" si="15"/>
        <v/>
      </c>
      <c r="DM75" s="10" t="str">
        <f>IF(CU75="","",CR75)</f>
        <v>補償SP2種</v>
      </c>
      <c r="DN75" s="10" t="str">
        <f>CR75</f>
        <v>補償SP2種</v>
      </c>
      <c r="DO75" s="10"/>
      <c r="DP75" s="8"/>
      <c r="DQ75" s="8" t="str">
        <f>IF(COUNTIF($DM$15:DM74,DM75)&gt;0,"",DM75)</f>
        <v/>
      </c>
      <c r="DR75" s="200">
        <f>CU75</f>
        <v>2</v>
      </c>
      <c r="DS75" s="32">
        <f t="shared" si="16"/>
        <v>8</v>
      </c>
      <c r="DT75" s="8"/>
      <c r="DU75" s="197">
        <f t="shared" si="17"/>
        <v>4</v>
      </c>
      <c r="DV75" s="197" t="str">
        <f t="shared" si="18"/>
        <v/>
      </c>
      <c r="DW75" s="201" t="str">
        <f>T75</f>
        <v>C-19mm</v>
      </c>
      <c r="DX75" s="8"/>
      <c r="DY75" s="8"/>
      <c r="DZ75" s="8"/>
      <c r="EA75" s="8" t="str">
        <f>IF(COUNTIF($DW$15:DW74,DW75)&gt;0,"",DW75)</f>
        <v/>
      </c>
      <c r="EB75" s="197">
        <f>AB75</f>
        <v>32.799999999999997</v>
      </c>
      <c r="EC75" s="32">
        <f ca="1">SUMIF($DW$17:$DW$185,EA75,$EB$17:$EB$184)</f>
        <v>0</v>
      </c>
    </row>
    <row r="76" spans="1:133" ht="11.25" customHeight="1" thickBot="1">
      <c r="A76" s="15"/>
      <c r="B76" s="23"/>
      <c r="C76" s="2568"/>
      <c r="D76" s="2569"/>
      <c r="E76" s="2569"/>
      <c r="F76" s="2569"/>
      <c r="G76" s="2584" t="str">
        <f>IF(C73="","","HP 1.2mm-5C")</f>
        <v>HP 1.2mm-5C</v>
      </c>
      <c r="H76" s="2584"/>
      <c r="I76" s="2584"/>
      <c r="J76" s="2584"/>
      <c r="K76" s="2584"/>
      <c r="L76" s="2584"/>
      <c r="M76" s="2584"/>
      <c r="N76" s="2584"/>
      <c r="O76" s="2585">
        <f>IF($B$2=0,"",IF(OR(C73="",P72="不要"),"",ROUND(CM76,0)))</f>
        <v>27</v>
      </c>
      <c r="P76" s="2585"/>
      <c r="Q76" s="2585"/>
      <c r="R76" s="2585"/>
      <c r="S76" s="2585"/>
      <c r="T76" s="2585" t="str">
        <f>IF(OR($B$2=0,C73="",P72="不要"),"",IF(BH72="天井ケーブル","C-25mm",IF(MID(BH72,4,2)="PF","PF-22mm",IF(MID(BH72,4,2)="CD","CD-22mm",IF(MID(BH72,4,2)="C ","C-25mm",IF(MID(BH72,4,2)="G ","G-22mm",""))))))</f>
        <v>C-25mm</v>
      </c>
      <c r="U76" s="2585"/>
      <c r="V76" s="2585"/>
      <c r="W76" s="2585"/>
      <c r="X76" s="2585"/>
      <c r="Y76" s="2585"/>
      <c r="Z76" s="2585"/>
      <c r="AA76" s="2585"/>
      <c r="AB76" s="2585">
        <f>IF(OR($B$2=0,C73="",P72="不要"),"",CP76)</f>
        <v>25.8</v>
      </c>
      <c r="AC76" s="2585"/>
      <c r="AD76" s="2585"/>
      <c r="AE76" s="2585"/>
      <c r="AF76" s="2585"/>
      <c r="AG76" s="2572" t="str">
        <f>IF($B$2=0,"","補償SP2種")</f>
        <v>補償SP2種</v>
      </c>
      <c r="AH76" s="2572"/>
      <c r="AI76" s="2572"/>
      <c r="AJ76" s="2572"/>
      <c r="AK76" s="2572"/>
      <c r="AL76" s="2572"/>
      <c r="AM76" s="2572"/>
      <c r="AN76" s="2312">
        <f>IF(OR($B$2=0,P72="不要"),"",IF(AQ76&lt;&gt;"",AQ76,CA76))</f>
        <v>2</v>
      </c>
      <c r="AO76" s="2312"/>
      <c r="AP76" s="2312"/>
      <c r="AQ76" s="2575"/>
      <c r="AR76" s="2575"/>
      <c r="AS76" s="2575"/>
      <c r="AT76" s="2546" t="str">
        <f>IF($B$2=0,"","HP起動押ボタン")</f>
        <v>HP起動押ボタン</v>
      </c>
      <c r="AU76" s="2546"/>
      <c r="AV76" s="2546"/>
      <c r="AW76" s="2546"/>
      <c r="AX76" s="2546"/>
      <c r="AY76" s="2546"/>
      <c r="AZ76" s="2546"/>
      <c r="BA76" s="2544" t="str">
        <f>IF(P72="不要","",IF(BD76&lt;&gt;"",BD76,IF([4]Top!$BL$51="要",AZ73,"")))</f>
        <v/>
      </c>
      <c r="BB76" s="2544"/>
      <c r="BC76" s="2544"/>
      <c r="BD76" s="2573"/>
      <c r="BE76" s="2573"/>
      <c r="BF76" s="2573"/>
      <c r="BG76" s="2546" t="str">
        <f>IF($B$2=0,"","光電式煙3種埋")</f>
        <v>光電式煙3種埋</v>
      </c>
      <c r="BH76" s="2546"/>
      <c r="BI76" s="2546"/>
      <c r="BJ76" s="2546"/>
      <c r="BK76" s="2546"/>
      <c r="BL76" s="2546"/>
      <c r="BM76" s="2546"/>
      <c r="BN76" s="2546"/>
      <c r="BO76" s="2544">
        <f>IF(OR($B$2=0,C73="",P72="不要"),"",IF(BR76&lt;&gt;"",BR76,2*BR73))</f>
        <v>8</v>
      </c>
      <c r="BP76" s="2544"/>
      <c r="BQ76" s="2544"/>
      <c r="BR76" s="2573"/>
      <c r="BS76" s="2573"/>
      <c r="BT76" s="2574"/>
      <c r="BU76" s="19"/>
      <c r="BV76" s="35"/>
      <c r="BW76" s="351" t="s">
        <v>359</v>
      </c>
      <c r="BX76" s="361"/>
      <c r="BY76" s="349">
        <f>CA76</f>
        <v>2</v>
      </c>
      <c r="BZ76" s="348"/>
      <c r="CA76" s="360">
        <f>IF(C73="","",1+INT(W73/200))</f>
        <v>2</v>
      </c>
      <c r="CB76" s="358"/>
      <c r="CC76" s="359">
        <f>CA76</f>
        <v>2</v>
      </c>
      <c r="CD76" s="346"/>
      <c r="CE76" s="349">
        <f>CA76</f>
        <v>2</v>
      </c>
      <c r="CF76" s="358"/>
      <c r="CG76" s="357">
        <f>CA76</f>
        <v>2</v>
      </c>
      <c r="CH76" s="35"/>
      <c r="CI76" s="133">
        <f>IF(BR73&lt;&gt;"",BR73,0)</f>
        <v>4</v>
      </c>
      <c r="CJ76" s="88" t="s">
        <v>121</v>
      </c>
      <c r="CK76" s="187">
        <f>IF(OR(C73="",C73="  RF"),"",IF($AX$8=0,0,2*($AX$8/1000-0.15-0.1)*(INT(1000*CJ74/$BF$8)+1)*(INT(1000*CK74/$BF$8)+1)*4))</f>
        <v>53.999999999999993</v>
      </c>
      <c r="CL76" s="187" t="s">
        <v>358</v>
      </c>
      <c r="CM76" s="139">
        <f>IF(OR(C73="",C73="  RF"),"",IF(J73="直天",$AN$8/1000+F73-1.2+CJ74+CK74/2,$AN$8/1000+J73-1.2+CJ74+CK74/2))</f>
        <v>27.3</v>
      </c>
      <c r="CN76" s="136">
        <f>IF(OR(C73="",C73="  RF"),"",IF(J73="直天",F73-$Y$8/1000+F73-$Y$9/1000+2*8+($AN$7+2*$AN$9)/1000,J73-$Y$8/1000+J73-$Y$9/1000+2*8+($AN$7+2*$AN$9)/1000))</f>
        <v>20.599999999999998</v>
      </c>
      <c r="CO76" s="151" t="s">
        <v>358</v>
      </c>
      <c r="CP76" s="185">
        <f>IF(OR(C73="",C73="  RF"),"",IF(J73="直天",F73-1.2+CJ74+CK74/2,IF(AQ72="天井ケーブル",J73-1.2,J73-1.2+CJ74+CK74/2)))</f>
        <v>25.8</v>
      </c>
      <c r="CQ76" s="356">
        <f>IF(OR(C73="",C73="  RF"),"",IF(J73="直天",F73-$Y$8/1000+F73-$Y$9/1000+2*8,IF(BH72="天井ケーブル",J73-$Y$8/1000+J73-$Y$9/1000,J73-$Y$8/1000+J73-$Y$9/1000+2*8)))</f>
        <v>18.399999999999999</v>
      </c>
      <c r="CR76" s="355" t="s">
        <v>87</v>
      </c>
      <c r="CS76" s="336" t="s">
        <v>405</v>
      </c>
      <c r="CT76" s="336" t="s">
        <v>404</v>
      </c>
      <c r="CU76" s="192" t="s">
        <v>403</v>
      </c>
      <c r="CV76" s="336" t="s">
        <v>402</v>
      </c>
      <c r="CW76" s="336" t="s">
        <v>401</v>
      </c>
      <c r="CX76" s="336" t="s">
        <v>400</v>
      </c>
      <c r="CY76" s="354" t="s">
        <v>399</v>
      </c>
      <c r="CZ76" s="216"/>
      <c r="DA76" s="8"/>
      <c r="DB76" s="197">
        <f t="shared" si="11"/>
        <v>9</v>
      </c>
      <c r="DC76" s="197" t="str">
        <f t="shared" si="12"/>
        <v/>
      </c>
      <c r="DD76" s="201" t="str">
        <f>G77</f>
        <v>FCPEV 0.9-5Pr</v>
      </c>
      <c r="DE76" s="8"/>
      <c r="DF76" s="8"/>
      <c r="DG76" s="8"/>
      <c r="DH76" s="8" t="str">
        <f>IF(COUNTIF($DD$15:DD75,DD76)&gt;0,"",DD76)</f>
        <v/>
      </c>
      <c r="DI76" s="252">
        <f>O77</f>
        <v>18</v>
      </c>
      <c r="DJ76" s="32">
        <f t="shared" si="21"/>
        <v>0</v>
      </c>
      <c r="DK76" s="197">
        <f t="shared" si="14"/>
        <v>4</v>
      </c>
      <c r="DL76" s="197" t="str">
        <f t="shared" si="15"/>
        <v/>
      </c>
      <c r="DM76" s="11" t="str">
        <f>IF(CY72="","",CV72)</f>
        <v>光電式煙2種埋</v>
      </c>
      <c r="DN76" s="11"/>
      <c r="DO76" s="11"/>
      <c r="DP76" s="9"/>
      <c r="DQ76" s="9" t="str">
        <f>IF(COUNTIF($DM$15:DM75,DM76)&gt;0,"",DM76)</f>
        <v/>
      </c>
      <c r="DR76" s="200">
        <f>CY72</f>
        <v>8</v>
      </c>
      <c r="DS76" s="32">
        <f t="shared" si="16"/>
        <v>8</v>
      </c>
      <c r="DT76" s="8"/>
      <c r="DU76" s="197">
        <f t="shared" si="17"/>
        <v>4</v>
      </c>
      <c r="DV76" s="197" t="str">
        <f t="shared" si="18"/>
        <v/>
      </c>
      <c r="DW76" s="201" t="str">
        <f>T76</f>
        <v>C-25mm</v>
      </c>
      <c r="DX76" s="8"/>
      <c r="DY76" s="8"/>
      <c r="DZ76" s="8"/>
      <c r="EA76" s="8" t="str">
        <f>IF(COUNTIF($DW$15:DW75,DW76)&gt;0,"",DW76)</f>
        <v/>
      </c>
      <c r="EB76" s="197">
        <f>AB76</f>
        <v>25.8</v>
      </c>
      <c r="EC76" s="32">
        <f ca="1">SUMIF($DW$17:$DW$185,EA76,$EB$17:$EB$184)</f>
        <v>0</v>
      </c>
    </row>
    <row r="77" spans="1:133" ht="11.25" customHeight="1" thickBot="1">
      <c r="A77" s="15"/>
      <c r="B77" s="23"/>
      <c r="C77" s="2568" t="s">
        <v>352</v>
      </c>
      <c r="D77" s="2569"/>
      <c r="E77" s="2569"/>
      <c r="F77" s="2569"/>
      <c r="G77" s="2557" t="str">
        <f>IF(OR($B$2=0,C73="",P72="不要"),"",IF(CR77&lt;10,"FCPEV 0.9-5Pr",IF(CR77&lt;20,"FCPEV 0.9- 10Pr",IF(CR77&lt;30,"FCPEV 0.9- 15Pr",IF(CR77&lt;40,"FCPEV 0.9- 20Pr","")))))</f>
        <v>FCPEV 0.9-5Pr</v>
      </c>
      <c r="H77" s="2557"/>
      <c r="I77" s="2557"/>
      <c r="J77" s="2557"/>
      <c r="K77" s="2557"/>
      <c r="L77" s="2557"/>
      <c r="M77" s="2557"/>
      <c r="N77" s="2557"/>
      <c r="O77" s="2557">
        <f>IF(OR(C73="",P72="不要",G77=""),"",INT(AZ73*(CJ74+CK74)/4))</f>
        <v>18</v>
      </c>
      <c r="P77" s="2557"/>
      <c r="Q77" s="2557"/>
      <c r="R77" s="2557"/>
      <c r="S77" s="2557"/>
      <c r="T77" s="2558" t="str">
        <f>IF(OR(C73="",P72="不要",G77=""),"",IF(AQ72="天井ケーブル","C-"&amp;CM78&amp;"mm",IF(MID(AQ72,4,2)="PF","PF-"&amp;CL78&amp;"mm",IF(MID(AQ72,4,2)="CD","CD-"&amp;CL78&amp;"mm",IF(MID(AQ72,4,2)="C ","C-"&amp;CM78&amp;"mm",IF(MID(AQ72,4,2)="G ","G-"&amp;CL78&amp;"mm"))))))</f>
        <v>C-31mm</v>
      </c>
      <c r="U77" s="2557"/>
      <c r="V77" s="2557"/>
      <c r="W77" s="2557"/>
      <c r="X77" s="2557"/>
      <c r="Y77" s="2557"/>
      <c r="Z77" s="2557"/>
      <c r="AA77" s="2557"/>
      <c r="AB77" s="2557">
        <f>IF(OR(C73="",P72="不要",G77=""),"",IF(AQ72="天井ケーブル",2*AZ73*(F73-$Y$7/1000),O77*0.9))</f>
        <v>16.2</v>
      </c>
      <c r="AC77" s="2557"/>
      <c r="AD77" s="2557"/>
      <c r="AE77" s="2557"/>
      <c r="AF77" s="2557"/>
      <c r="AG77" s="2572" t="str">
        <f>IF($B$2=0,"","光電式煙2種埋")</f>
        <v>光電式煙2種埋</v>
      </c>
      <c r="AH77" s="2572"/>
      <c r="AI77" s="2572"/>
      <c r="AJ77" s="2572"/>
      <c r="AK77" s="2572"/>
      <c r="AL77" s="2572"/>
      <c r="AM77" s="2572"/>
      <c r="AN77" s="2312">
        <f>IF(OR(C73="",$B$2=0,P72="不要"),"",IF(AQ77&lt;&gt;"",AQ77,IF(AX78="B",BX77+BY77,IF(AND(BL77="耐 火",AZ77="無窓"),CB77+CC77,IF(AND(BL77&lt;&gt;"耐 火",AZ77="無窓"),CF77+CG77,"")))))</f>
        <v>8</v>
      </c>
      <c r="AO77" s="2312"/>
      <c r="AP77" s="2312"/>
      <c r="AQ77" s="2339"/>
      <c r="AR77" s="2339"/>
      <c r="AS77" s="2551"/>
      <c r="AT77" s="2577" t="str">
        <f>IF(C73="","","消防法上")</f>
        <v>消防法上</v>
      </c>
      <c r="AU77" s="2289"/>
      <c r="AV77" s="2289"/>
      <c r="AW77" s="2289"/>
      <c r="AX77" s="2289"/>
      <c r="AY77" s="2578"/>
      <c r="AZ77" s="2579" t="str">
        <f>IF($B$2=0,"",IF(BD77="",[4]Top!$BO$26,BD77))</f>
        <v>無窓</v>
      </c>
      <c r="BA77" s="2394"/>
      <c r="BB77" s="2580"/>
      <c r="BC77" s="353" t="s">
        <v>103</v>
      </c>
      <c r="BD77" s="2552"/>
      <c r="BE77" s="2552"/>
      <c r="BF77" s="2553"/>
      <c r="BG77" s="2581" t="str">
        <f>IF(C73="","","耐火構造")</f>
        <v>耐火構造</v>
      </c>
      <c r="BH77" s="2289"/>
      <c r="BI77" s="2289"/>
      <c r="BJ77" s="2289"/>
      <c r="BK77" s="2290"/>
      <c r="BL77" s="2278" t="str">
        <f>IF($B$2=0,"",IF(BQ77="",[4]Top!$AN$18,BQ77))</f>
        <v>耐 火</v>
      </c>
      <c r="BM77" s="2394"/>
      <c r="BN77" s="2394"/>
      <c r="BO77" s="2580"/>
      <c r="BP77" s="352" t="s">
        <v>103</v>
      </c>
      <c r="BQ77" s="2582"/>
      <c r="BR77" s="2552"/>
      <c r="BS77" s="2552"/>
      <c r="BT77" s="2583"/>
      <c r="BU77" s="19"/>
      <c r="BV77" s="35"/>
      <c r="BW77" s="351" t="s">
        <v>351</v>
      </c>
      <c r="BX77" s="350">
        <f>CB77</f>
        <v>2</v>
      </c>
      <c r="BY77" s="349">
        <f>CC77</f>
        <v>6</v>
      </c>
      <c r="BZ77" s="348"/>
      <c r="CA77" s="345"/>
      <c r="CB77" s="344">
        <f>IF(OR([6]Top!$BD$72&lt;&gt;"要",C73=""),"",IF(J73&gt;=4,1+INT(BZ74*0.47),1+INT(BZ74*0.47)))</f>
        <v>2</v>
      </c>
      <c r="CC77" s="347">
        <f>IF(OR([6]Top!$BD$72&lt;&gt;"要",C73=""),"",IF(J73&gt;=4,1+INT(CA74*0.47),1+INT(CA74*0.47)))</f>
        <v>6</v>
      </c>
      <c r="CD77" s="346"/>
      <c r="CE77" s="345"/>
      <c r="CF77" s="344">
        <f>IF(AND(AX64&lt;720,J73&lt;4),1+INT(CD74*0.47),1+INT(CD74*0.94))</f>
        <v>11</v>
      </c>
      <c r="CG77" s="343">
        <f>IF(AND(AX64&lt;720,J73&lt;4),1+INT(CE74*0.47),1+INT(CE74*0.94))</f>
        <v>27</v>
      </c>
      <c r="CH77" s="35"/>
      <c r="CI77" s="133">
        <f>IF(AND(C73&lt;&gt;"",LEFT(C73,2)&lt;&gt;" P"),CI69+F73,"")</f>
        <v>35</v>
      </c>
      <c r="CJ77" s="88" t="s">
        <v>350</v>
      </c>
      <c r="CK77" s="182" t="s">
        <v>349</v>
      </c>
      <c r="CL77" s="342">
        <f>IF(OR(C73="",C73="  RF"),"",IF(AZ85&lt;&gt;"",AZ73,AZ73+BG73))</f>
        <v>2</v>
      </c>
      <c r="CM77" s="341" t="s">
        <v>348</v>
      </c>
      <c r="CN77" s="219" t="s">
        <v>347</v>
      </c>
      <c r="CO77" s="138">
        <f>IF(OR(C73="",P72="不要"),"",AZ73*INT(CJ74+CK74)/5)</f>
        <v>14.4</v>
      </c>
      <c r="CP77" s="151" t="s">
        <v>347</v>
      </c>
      <c r="CQ77" s="340">
        <f>IF(AQ72="天井ケーブル",F73,CO77)</f>
        <v>14.4</v>
      </c>
      <c r="CR77" s="339">
        <f>SUM(CS77:CX77)</f>
        <v>8</v>
      </c>
      <c r="CS77" s="338">
        <f>AZ73</f>
        <v>2</v>
      </c>
      <c r="CT77" s="338">
        <f>IF(BA73="",0,BA73)</f>
        <v>0</v>
      </c>
      <c r="CU77" s="88">
        <v>1</v>
      </c>
      <c r="CV77" s="222">
        <v>1</v>
      </c>
      <c r="CW77" s="222">
        <v>2</v>
      </c>
      <c r="CX77" s="222">
        <v>2</v>
      </c>
      <c r="CY77" s="337" t="str">
        <f>IF(CK72="=",3*BR73+2,"")</f>
        <v/>
      </c>
      <c r="CZ77" s="218"/>
      <c r="DA77" s="8"/>
      <c r="DB77" s="197">
        <f t="shared" si="11"/>
        <v>10</v>
      </c>
      <c r="DC77" s="197">
        <f t="shared" si="12"/>
        <v>10</v>
      </c>
      <c r="DD77" s="201" t="str">
        <f>G78</f>
        <v>FCPEV 1.2-5Pr</v>
      </c>
      <c r="DE77" s="8"/>
      <c r="DF77" s="8"/>
      <c r="DG77" s="8"/>
      <c r="DH77" s="8" t="str">
        <f>IF(COUNTIF($DD$15:DD76,DD77)&gt;0,"",DD77)</f>
        <v>FCPEV 1.2-5Pr</v>
      </c>
      <c r="DI77" s="252">
        <f>O78</f>
        <v>14.4</v>
      </c>
      <c r="DJ77" s="32">
        <f t="shared" si="21"/>
        <v>16.8</v>
      </c>
      <c r="DK77" s="197">
        <f t="shared" si="14"/>
        <v>4</v>
      </c>
      <c r="DL77" s="197" t="str">
        <f t="shared" si="15"/>
        <v/>
      </c>
      <c r="DM77" s="11" t="str">
        <f>IF(AN78="","",AG78)</f>
        <v/>
      </c>
      <c r="DN77" s="11"/>
      <c r="DO77" s="11"/>
      <c r="DP77" s="9"/>
      <c r="DQ77" s="9" t="str">
        <f>IF(COUNTIF($DM$15:DM76,DM77)&gt;0,"",DM77)</f>
        <v/>
      </c>
      <c r="DR77" s="101" t="str">
        <f>AN78</f>
        <v/>
      </c>
      <c r="DS77" s="32">
        <f t="shared" si="16"/>
        <v>8</v>
      </c>
      <c r="DT77" s="8"/>
      <c r="DU77" s="197">
        <f t="shared" si="17"/>
        <v>4</v>
      </c>
      <c r="DV77" s="197" t="str">
        <f t="shared" si="18"/>
        <v/>
      </c>
      <c r="DW77" s="201" t="str">
        <f>T77</f>
        <v>C-31mm</v>
      </c>
      <c r="DX77" s="8"/>
      <c r="DY77" s="8"/>
      <c r="DZ77" s="8"/>
      <c r="EA77" s="8" t="str">
        <f>IF(COUNTIF($DW$15:DW76,DW77)&gt;0,"",DW77)</f>
        <v/>
      </c>
      <c r="EB77" s="197">
        <f>AB77</f>
        <v>16.2</v>
      </c>
      <c r="EC77" s="32">
        <f ca="1">SUMIF($DW$17:$DW$185,EA77,$EB$17:$EB$184)</f>
        <v>0</v>
      </c>
    </row>
    <row r="78" spans="1:133" ht="11.25" customHeight="1" thickBot="1">
      <c r="A78" s="15"/>
      <c r="B78" s="23"/>
      <c r="C78" s="2570"/>
      <c r="D78" s="2571"/>
      <c r="E78" s="2571"/>
      <c r="F78" s="2571"/>
      <c r="G78" s="2554" t="str">
        <f>IF(OR($B$2=0,P72="不要"),"",IF(CR78=0,"",IF(OR(C73="",P72="不要"),"",IF(CR78&lt;10,"FCPEV 1.2-5Pr",IF(CR78&lt;20,"FCPEV 1.2- 10Pr",IF(CR78&lt;30,"FCPEV 1.2- 15Pr",IF(CR78&lt;40,"FCPEV 1.2- 20Pr",IF(CR78&lt;60,"FCPEV 1.2- 30Pr",IF(CR78&lt;100,"FCPEV 1.2- 50Pr",IF(CR78&lt;140,"FCPEV 1.2- 70Pr",IF(CR78&lt;200,"FCPEV 1.2-100Pr","FCPEV 1.2-200Pr")))))))))))</f>
        <v>FCPEV 1.2-5Pr</v>
      </c>
      <c r="H78" s="2555"/>
      <c r="I78" s="2555"/>
      <c r="J78" s="2555"/>
      <c r="K78" s="2555"/>
      <c r="L78" s="2555"/>
      <c r="M78" s="2555"/>
      <c r="N78" s="2555"/>
      <c r="O78" s="2555">
        <f>IF(OR(G78="",C73="",P72="不要"),"",CO77)</f>
        <v>14.4</v>
      </c>
      <c r="P78" s="2555"/>
      <c r="Q78" s="2555"/>
      <c r="R78" s="2555"/>
      <c r="S78" s="2555"/>
      <c r="T78" s="2555" t="str">
        <f>IF(OR(G78="",C73="",P72="不要"),"",IF(AQ72="天井ケーブル","C-"&amp;CO78&amp;"mm",IF(MID(AQ72,4,2)="PF","PF-"&amp;CN78&amp;"mm",IF(MID(AQ72,4,2)="CD","CD-"&amp;CN78&amp;"mm",IF(MID(AQ72,4,2)="C ","C-"&amp;CO78&amp;"mm",IF(MID(AQ72,4,2)="G ","G-"&amp;CN78&amp;"mm"))))))</f>
        <v>C-31mm</v>
      </c>
      <c r="U78" s="2555"/>
      <c r="V78" s="2555"/>
      <c r="W78" s="2555"/>
      <c r="X78" s="2555"/>
      <c r="Y78" s="2555"/>
      <c r="Z78" s="2555"/>
      <c r="AA78" s="2555"/>
      <c r="AB78" s="2555">
        <f>IF(OR(G78="",P72="不要"),"",CQ77)</f>
        <v>14.4</v>
      </c>
      <c r="AC78" s="2555"/>
      <c r="AD78" s="2555"/>
      <c r="AE78" s="2555"/>
      <c r="AF78" s="2555"/>
      <c r="AG78" s="2556" t="str">
        <f>IF($B$2=0,"","定温SP1種Exp")</f>
        <v>定温SP1種Exp</v>
      </c>
      <c r="AH78" s="2556"/>
      <c r="AI78" s="2556"/>
      <c r="AJ78" s="2556"/>
      <c r="AK78" s="2556"/>
      <c r="AL78" s="2556"/>
      <c r="AM78" s="2556"/>
      <c r="AN78" s="2335" t="str">
        <f>IF(AQ78&lt;&gt;"",AQ78,"")</f>
        <v/>
      </c>
      <c r="AO78" s="2335"/>
      <c r="AP78" s="2335"/>
      <c r="AQ78" s="2566"/>
      <c r="AR78" s="2566"/>
      <c r="AS78" s="2567"/>
      <c r="AT78" s="2586" t="str">
        <f>IF(C73="","","盤位置")</f>
        <v>盤位置</v>
      </c>
      <c r="AU78" s="2587"/>
      <c r="AV78" s="2587"/>
      <c r="AW78" s="2587"/>
      <c r="AX78" s="2588" t="str">
        <f>非誘!V59</f>
        <v>⑦</v>
      </c>
      <c r="AY78" s="2588"/>
      <c r="AZ78" s="2588"/>
      <c r="BA78" s="2559" t="str">
        <f>IF(C73="","","専部屋面積")</f>
        <v>専部屋面積</v>
      </c>
      <c r="BB78" s="2560"/>
      <c r="BC78" s="2560"/>
      <c r="BD78" s="2560"/>
      <c r="BE78" s="2560"/>
      <c r="BF78" s="2561"/>
      <c r="BG78" s="2562">
        <f>IF(OR(C73="",S73=""),"",S73/AA73)</f>
        <v>268.8</v>
      </c>
      <c r="BH78" s="2563"/>
      <c r="BI78" s="2563"/>
      <c r="BJ78" s="2564"/>
      <c r="BK78" s="2559" t="str">
        <f>IF(C73="","","共部屋面積")</f>
        <v>共部屋面積</v>
      </c>
      <c r="BL78" s="2560"/>
      <c r="BM78" s="2560"/>
      <c r="BN78" s="2560"/>
      <c r="BO78" s="2560"/>
      <c r="BP78" s="2561"/>
      <c r="BQ78" s="2562">
        <f>IF(OR($B$2=0,C73=""),"",W73/AD73)</f>
        <v>38.400000000000006</v>
      </c>
      <c r="BR78" s="2563"/>
      <c r="BS78" s="2563"/>
      <c r="BT78" s="2565"/>
      <c r="BU78" s="19"/>
      <c r="BV78" s="35"/>
      <c r="BW78" s="99"/>
      <c r="BX78" s="35"/>
      <c r="BY78" s="35"/>
      <c r="BZ78" s="35"/>
      <c r="CA78" s="35"/>
      <c r="CB78" s="35"/>
      <c r="CC78" s="35"/>
      <c r="CD78" s="35"/>
      <c r="CE78" s="35"/>
      <c r="CF78" s="35"/>
      <c r="CG78" s="35"/>
      <c r="CH78" s="35"/>
      <c r="CI78" s="8"/>
      <c r="CJ78" s="8"/>
      <c r="CK78" s="8"/>
      <c r="CL78" s="336" t="str">
        <f>IF(OR(RIGHT(G77,3)="5Pr",RIGHT(G77,4)="10Pr",RIGHT(G77,4)="15Pr"),"28",IF(OR(RIGHT(G77,4)="20Pr",RIGHT(G77,4)="30Pr"),"36",IF(OR(RIGHT(G77,4)="50Pr",RIGHT(G77,4)="70Pr"),"42","")))</f>
        <v>28</v>
      </c>
      <c r="CM78" s="336" t="str">
        <f>IF(OR(RIGHT(G77,3)="5Pr",RIGHT(G77,4)="10Pr",RIGHT(G77,4)="15Pr"),"31",IF(OR(RIGHT(G77,4)="20Pr",RIGHT(G77,4)="30Pr"),"39",IF(OR(RIGHT(G77,4)="50Pr",RIGHT(G77,4)="70Pr"),"51","")))</f>
        <v>31</v>
      </c>
      <c r="CN78" s="86" t="str">
        <f>IF(OR(RIGHT(G78,3)="5Pr",RIGHT(G78,4)="10Pr",RIGHT(G78,4)="15Pr"),"28",IF(OR(RIGHT(G78,4)="20Pr",RIGHT(G78,4)="30Pr"),"36",IF(OR(RIGHT(G78,4)="50Pr",RIGHT(G78,4)="70Pr"),"42","")))</f>
        <v>28</v>
      </c>
      <c r="CO78" s="86" t="str">
        <f>IF(OR(RIGHT(G78,3)="5Pr",RIGHT(G78,4)="10Pr",RIGHT(G78,4)="15Pr"),"31",IF(OR(RIGHT(G78,4)="20Pr",RIGHT(G78,4)="30Pr"),"39",IF(OR(RIGHT(G78,4)="50Pr",RIGHT(G78,4)="70Pr"),"51","")))</f>
        <v>31</v>
      </c>
      <c r="CP78" s="9"/>
      <c r="CQ78" s="9"/>
      <c r="CR78" s="335">
        <f>IF(P72="不要","",SUM(CS78:CX78))</f>
        <v>9</v>
      </c>
      <c r="CS78" s="334">
        <f>IF(OR(CK72="",CK72="=",P72="不要"),0,IF(CK72="－",CL77+CS70,IF(CK72="+",CL77+CS86)))</f>
        <v>2</v>
      </c>
      <c r="CT78" s="188">
        <f>IF(OR(CK72="",CK72="=",P72="不要"),0,IF(CS78&lt;7,1,IF(CS78&lt;14,2,IF(CS78&lt;21,3,IF(CS78&lt;28,4,IF(CS78&lt;35,5,IF(CS78&lt;42,6,IF(CS78&lt;49,7,IF(CS78&lt;56,8,IF(CS78&lt;63,9,IF(CS78&lt;70,10,IF(CS78&lt;77,11,"---"))))))))))))</f>
        <v>1</v>
      </c>
      <c r="CU78" s="188">
        <f>IF(CS78=0,0,1)</f>
        <v>1</v>
      </c>
      <c r="CV78" s="333">
        <f>IF(CS78=0,0,1)</f>
        <v>1</v>
      </c>
      <c r="CW78" s="333">
        <f>IF(CS78=0,0,2)</f>
        <v>2</v>
      </c>
      <c r="CX78" s="333">
        <f>IF(CS78=0,0,2)</f>
        <v>2</v>
      </c>
      <c r="CY78" s="332">
        <f>IF(OR(BR85="",P72="不要"),0,IF(CK72="=",0,IF(CK72="－",2*BR73+3,IF(CK72="+",2*(BR73+BR85)+3,""))))</f>
        <v>19</v>
      </c>
      <c r="CZ78" s="216"/>
      <c r="DA78" s="9"/>
      <c r="DB78" s="127">
        <f t="shared" si="11"/>
        <v>10</v>
      </c>
      <c r="DC78" s="127" t="str">
        <f t="shared" si="12"/>
        <v/>
      </c>
      <c r="DD78" s="11" t="str">
        <f>CR72</f>
        <v>防火区画処理</v>
      </c>
      <c r="DE78" s="9"/>
      <c r="DF78" s="9"/>
      <c r="DG78" s="9"/>
      <c r="DH78" s="9" t="str">
        <f>IF(COUNTIF($DD$15:DD77,DD78)&gt;0,"",DD78)</f>
        <v/>
      </c>
      <c r="DI78" s="242">
        <f>CU72</f>
        <v>13</v>
      </c>
      <c r="DJ78" s="32">
        <f t="shared" si="21"/>
        <v>0</v>
      </c>
      <c r="DK78" s="127">
        <f t="shared" si="14"/>
        <v>4</v>
      </c>
      <c r="DL78" s="127" t="str">
        <f t="shared" si="15"/>
        <v/>
      </c>
      <c r="DM78" s="11" t="str">
        <f>IF(CY73="","",CV73)</f>
        <v/>
      </c>
      <c r="DN78" s="11"/>
      <c r="DO78" s="11"/>
      <c r="DP78" s="9"/>
      <c r="DQ78" s="9" t="str">
        <f>IF(COUNTIF($DM$15:DM77,DM78)&gt;0,"",DM78)</f>
        <v/>
      </c>
      <c r="DR78" s="101" t="str">
        <f>CY73</f>
        <v/>
      </c>
      <c r="DS78" s="32">
        <f t="shared" si="16"/>
        <v>8</v>
      </c>
      <c r="DT78" s="9"/>
      <c r="DU78" s="197">
        <f t="shared" si="17"/>
        <v>4</v>
      </c>
      <c r="DV78" s="197" t="str">
        <f t="shared" si="18"/>
        <v/>
      </c>
      <c r="DW78" s="201" t="str">
        <f>T78</f>
        <v>C-31mm</v>
      </c>
      <c r="DX78" s="8"/>
      <c r="DY78" s="8"/>
      <c r="DZ78" s="8"/>
      <c r="EA78" s="8" t="str">
        <f>IF(COUNTIF($DW$15:DW77,DW78)&gt;0,"",DW78)</f>
        <v/>
      </c>
      <c r="EB78" s="197">
        <f>AB78</f>
        <v>14.4</v>
      </c>
      <c r="EC78" s="32">
        <f ca="1">SUMIF($DW$17:$DW$185,EA78,$EB$17:$EB$184)</f>
        <v>0</v>
      </c>
    </row>
    <row r="79" spans="1:133" ht="11.25" customHeight="1">
      <c r="A79" s="15"/>
      <c r="B79" s="18"/>
      <c r="C79" s="390"/>
      <c r="D79" s="390"/>
      <c r="E79" s="390"/>
      <c r="F79" s="390"/>
      <c r="G79" s="389"/>
      <c r="H79" s="388"/>
      <c r="I79" s="388"/>
      <c r="J79" s="388"/>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6"/>
      <c r="AH79" s="386"/>
      <c r="AI79" s="386"/>
      <c r="AJ79" s="386"/>
      <c r="AK79" s="386"/>
      <c r="AL79" s="386"/>
      <c r="AM79" s="386"/>
      <c r="AN79" s="385"/>
      <c r="AO79" s="385"/>
      <c r="AP79" s="385"/>
      <c r="AQ79" s="387"/>
      <c r="AR79" s="387"/>
      <c r="AS79" s="387"/>
      <c r="AT79" s="386"/>
      <c r="AU79" s="386"/>
      <c r="AV79" s="386"/>
      <c r="AW79" s="386"/>
      <c r="AX79" s="386"/>
      <c r="AY79" s="386"/>
      <c r="AZ79" s="386"/>
      <c r="BA79" s="385"/>
      <c r="BB79" s="385"/>
      <c r="BC79" s="385"/>
      <c r="BD79" s="384"/>
      <c r="BE79" s="384"/>
      <c r="BF79" s="384"/>
      <c r="BG79" s="386"/>
      <c r="BH79" s="386"/>
      <c r="BI79" s="386"/>
      <c r="BJ79" s="386"/>
      <c r="BK79" s="386"/>
      <c r="BL79" s="386"/>
      <c r="BM79" s="386"/>
      <c r="BN79" s="386"/>
      <c r="BO79" s="385"/>
      <c r="BP79" s="385"/>
      <c r="BQ79" s="385"/>
      <c r="BR79" s="384"/>
      <c r="BS79" s="384"/>
      <c r="BT79" s="384"/>
      <c r="BU79" s="16"/>
      <c r="BV79" s="35"/>
      <c r="BW79" s="99"/>
      <c r="BX79" s="35"/>
      <c r="BY79" s="35"/>
      <c r="BZ79" s="35"/>
      <c r="CA79" s="35"/>
      <c r="CB79" s="35"/>
      <c r="CC79" s="35"/>
      <c r="CD79" s="35"/>
      <c r="CE79" s="35"/>
      <c r="CF79" s="35"/>
      <c r="CG79" s="35"/>
      <c r="CH79" s="35"/>
      <c r="CI79" s="8"/>
      <c r="CJ79" s="9"/>
      <c r="CK79" s="9"/>
      <c r="CL79" s="160"/>
      <c r="CM79" s="160"/>
      <c r="CN79" s="160"/>
      <c r="CO79" s="160"/>
      <c r="CP79" s="160"/>
      <c r="CQ79" s="160"/>
      <c r="CR79" s="160"/>
      <c r="CS79" s="9"/>
      <c r="CT79" s="9"/>
      <c r="CU79" s="160"/>
      <c r="CV79" s="160"/>
      <c r="CW79" s="160"/>
      <c r="CX79" s="160"/>
      <c r="CY79" s="160"/>
      <c r="CZ79" s="216"/>
      <c r="DA79" s="9"/>
      <c r="DB79" s="127">
        <f t="shared" si="11"/>
        <v>10</v>
      </c>
      <c r="DC79" s="127" t="str">
        <f t="shared" si="12"/>
        <v/>
      </c>
      <c r="DD79" s="11"/>
      <c r="DE79" s="9"/>
      <c r="DF79" s="9"/>
      <c r="DG79" s="9"/>
      <c r="DH79" s="9"/>
      <c r="DI79" s="242"/>
      <c r="DJ79" s="13"/>
      <c r="DK79" s="127">
        <f t="shared" si="14"/>
        <v>4</v>
      </c>
      <c r="DL79" s="127" t="str">
        <f t="shared" si="15"/>
        <v/>
      </c>
      <c r="DM79" s="11" t="str">
        <f>IF(CY74="","",CV74)</f>
        <v>P1総合盤露出</v>
      </c>
      <c r="DN79" s="11"/>
      <c r="DO79" s="11"/>
      <c r="DP79" s="9"/>
      <c r="DQ79" s="9" t="str">
        <f>IF(COUNTIF($DM$15:DM78,DM79)&gt;0,"",DM79)</f>
        <v/>
      </c>
      <c r="DR79" s="101">
        <f>CY74</f>
        <v>2</v>
      </c>
      <c r="DS79" s="32">
        <f t="shared" si="16"/>
        <v>8</v>
      </c>
      <c r="DT79" s="9"/>
      <c r="DU79" s="8">
        <f t="shared" si="17"/>
        <v>4</v>
      </c>
      <c r="DV79" s="8" t="str">
        <f t="shared" si="18"/>
        <v/>
      </c>
      <c r="DW79" s="8"/>
      <c r="DX79" s="8"/>
      <c r="DY79" s="8"/>
      <c r="DZ79" s="8"/>
      <c r="EA79" s="8"/>
      <c r="EB79" s="8"/>
      <c r="EC79" s="8"/>
    </row>
    <row r="80" spans="1:133" ht="11.25" customHeight="1">
      <c r="A80" s="15"/>
      <c r="B80" s="93"/>
      <c r="C80" s="171"/>
      <c r="D80" s="171"/>
      <c r="E80" s="171"/>
      <c r="F80" s="171"/>
      <c r="G80" s="383"/>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382"/>
      <c r="AG80" s="380"/>
      <c r="AH80" s="380"/>
      <c r="AI80" s="380"/>
      <c r="AJ80" s="380"/>
      <c r="AK80" s="380"/>
      <c r="AL80" s="380"/>
      <c r="AM80" s="380"/>
      <c r="AN80" s="379"/>
      <c r="AO80" s="379"/>
      <c r="AP80" s="379"/>
      <c r="AQ80" s="381"/>
      <c r="AR80" s="381"/>
      <c r="AS80" s="381"/>
      <c r="AT80" s="380"/>
      <c r="AU80" s="380"/>
      <c r="AV80" s="380"/>
      <c r="AW80" s="380"/>
      <c r="AX80" s="380"/>
      <c r="AY80" s="380"/>
      <c r="AZ80" s="380"/>
      <c r="BA80" s="379"/>
      <c r="BB80" s="379"/>
      <c r="BC80" s="379"/>
      <c r="BD80" s="378"/>
      <c r="BE80" s="378"/>
      <c r="BF80" s="378"/>
      <c r="BG80" s="380"/>
      <c r="BH80" s="380"/>
      <c r="BI80" s="380"/>
      <c r="BJ80" s="380"/>
      <c r="BK80" s="380"/>
      <c r="BL80" s="380"/>
      <c r="BM80" s="380"/>
      <c r="BN80" s="380"/>
      <c r="BO80" s="379"/>
      <c r="BP80" s="379"/>
      <c r="BQ80" s="379"/>
      <c r="BR80" s="378"/>
      <c r="BS80" s="378"/>
      <c r="BT80" s="378"/>
      <c r="BU80" s="78"/>
      <c r="BV80" s="35"/>
      <c r="BW80" s="99"/>
      <c r="BX80" s="35"/>
      <c r="BY80" s="35"/>
      <c r="BZ80" s="35"/>
      <c r="CA80" s="35"/>
      <c r="CB80" s="35"/>
      <c r="CC80" s="35"/>
      <c r="CD80" s="35"/>
      <c r="CE80" s="35"/>
      <c r="CF80" s="35"/>
      <c r="CG80" s="35"/>
      <c r="CH80" s="35"/>
      <c r="CI80" s="8"/>
      <c r="CJ80" s="9"/>
      <c r="CK80" s="9"/>
      <c r="CL80" s="160"/>
      <c r="CM80" s="160"/>
      <c r="CN80" s="160"/>
      <c r="CO80" s="160"/>
      <c r="CP80" s="160"/>
      <c r="CQ80" s="160"/>
      <c r="CR80" s="160"/>
      <c r="CS80" s="9"/>
      <c r="CT80" s="9"/>
      <c r="CU80" s="160"/>
      <c r="CV80" s="160"/>
      <c r="CW80" s="160"/>
      <c r="CX80" s="160"/>
      <c r="CY80" s="160"/>
      <c r="CZ80" s="216"/>
      <c r="DA80" s="8"/>
      <c r="DB80" s="9">
        <f t="shared" si="11"/>
        <v>10</v>
      </c>
      <c r="DC80" s="9" t="str">
        <f t="shared" si="12"/>
        <v/>
      </c>
      <c r="DD80" s="9"/>
      <c r="DE80" s="9"/>
      <c r="DF80" s="9"/>
      <c r="DG80" s="9"/>
      <c r="DH80" s="9"/>
      <c r="DI80" s="9"/>
      <c r="DJ80" s="9"/>
      <c r="DK80" s="9">
        <f t="shared" si="14"/>
        <v>4</v>
      </c>
      <c r="DL80" s="9" t="str">
        <f t="shared" si="15"/>
        <v/>
      </c>
      <c r="DM80" s="154" t="str">
        <f>IF(CY75="","",CV75)</f>
        <v/>
      </c>
      <c r="DN80" s="11"/>
      <c r="DO80" s="11"/>
      <c r="DP80" s="9"/>
      <c r="DQ80" s="9" t="str">
        <f>IF(COUNTIF($DM$15:DM79,DM80)&gt;0,"",DM80)</f>
        <v/>
      </c>
      <c r="DR80" s="101" t="str">
        <f>CY75</f>
        <v/>
      </c>
      <c r="DS80" s="13">
        <f t="shared" si="16"/>
        <v>8</v>
      </c>
      <c r="DT80" s="9"/>
      <c r="DU80" s="127">
        <f t="shared" si="17"/>
        <v>4</v>
      </c>
      <c r="DV80" s="127" t="str">
        <f t="shared" si="18"/>
        <v/>
      </c>
      <c r="DW80" s="9"/>
      <c r="DX80" s="9"/>
      <c r="DY80" s="9"/>
      <c r="DZ80" s="9"/>
      <c r="EA80" s="9"/>
      <c r="EB80" s="9"/>
      <c r="EC80" s="9"/>
    </row>
    <row r="81" spans="1:133" ht="11.25" customHeight="1">
      <c r="B81" s="23"/>
      <c r="C81" s="2636" t="s">
        <v>16</v>
      </c>
      <c r="D81" s="2382"/>
      <c r="E81" s="2383"/>
      <c r="F81" s="2636" t="s">
        <v>22</v>
      </c>
      <c r="G81" s="2382"/>
      <c r="H81" s="2382"/>
      <c r="I81" s="2383"/>
      <c r="J81" s="2636" t="s">
        <v>5</v>
      </c>
      <c r="K81" s="2382"/>
      <c r="L81" s="2382"/>
      <c r="M81" s="2383"/>
      <c r="N81" s="2636" t="s">
        <v>6</v>
      </c>
      <c r="O81" s="2382"/>
      <c r="P81" s="2382"/>
      <c r="Q81" s="2382"/>
      <c r="R81" s="2383"/>
      <c r="S81" s="2637" t="s">
        <v>133</v>
      </c>
      <c r="T81" s="2638"/>
      <c r="U81" s="2638"/>
      <c r="V81" s="2638"/>
      <c r="W81" s="2638"/>
      <c r="X81" s="2638"/>
      <c r="Y81" s="2638"/>
      <c r="Z81" s="2639"/>
      <c r="AA81" s="2636" t="s">
        <v>9</v>
      </c>
      <c r="AB81" s="2382"/>
      <c r="AC81" s="2383"/>
      <c r="AD81" s="2636" t="s">
        <v>9</v>
      </c>
      <c r="AE81" s="2382"/>
      <c r="AF81" s="2383"/>
      <c r="AG81" s="2636" t="s">
        <v>398</v>
      </c>
      <c r="AH81" s="2382"/>
      <c r="AI81" s="2382"/>
      <c r="AJ81" s="2382"/>
      <c r="AK81" s="2382"/>
      <c r="AL81" s="2382"/>
      <c r="AM81" s="2382"/>
      <c r="AN81" s="2636" t="s">
        <v>129</v>
      </c>
      <c r="AO81" s="2382"/>
      <c r="AP81" s="2383"/>
      <c r="AQ81" s="2636" t="s">
        <v>90</v>
      </c>
      <c r="AR81" s="2382"/>
      <c r="AS81" s="2383"/>
      <c r="AT81" s="2636" t="s">
        <v>398</v>
      </c>
      <c r="AU81" s="2382"/>
      <c r="AV81" s="2382"/>
      <c r="AW81" s="2382"/>
      <c r="AX81" s="2382"/>
      <c r="AY81" s="2382"/>
      <c r="AZ81" s="2382"/>
      <c r="BA81" s="2636" t="s">
        <v>129</v>
      </c>
      <c r="BB81" s="2382"/>
      <c r="BC81" s="2383"/>
      <c r="BD81" s="2636" t="s">
        <v>90</v>
      </c>
      <c r="BE81" s="2382"/>
      <c r="BF81" s="2383"/>
      <c r="BG81" s="2636" t="s">
        <v>397</v>
      </c>
      <c r="BH81" s="2382"/>
      <c r="BI81" s="2382"/>
      <c r="BJ81" s="2382"/>
      <c r="BK81" s="2382"/>
      <c r="BL81" s="2382"/>
      <c r="BM81" s="2382"/>
      <c r="BN81" s="2383"/>
      <c r="BO81" s="2636" t="s">
        <v>129</v>
      </c>
      <c r="BP81" s="2382"/>
      <c r="BQ81" s="2383"/>
      <c r="BR81" s="2636" t="s">
        <v>90</v>
      </c>
      <c r="BS81" s="2382"/>
      <c r="BT81" s="2383"/>
      <c r="BU81" s="19"/>
      <c r="BV81" s="35"/>
      <c r="BW81" s="99"/>
      <c r="BX81" s="35"/>
      <c r="BY81" s="35"/>
      <c r="BZ81" s="35"/>
      <c r="CA81" s="35"/>
      <c r="CB81" s="35"/>
      <c r="CC81" s="35"/>
      <c r="CD81" s="35"/>
      <c r="CE81" s="35"/>
      <c r="CF81" s="35"/>
      <c r="CG81" s="35"/>
      <c r="CH81" s="35"/>
      <c r="CI81" s="8"/>
      <c r="CJ81" s="8"/>
      <c r="CK81" s="8"/>
      <c r="CL81" s="11"/>
      <c r="CM81" s="9"/>
      <c r="CN81" s="9"/>
      <c r="CO81" s="7"/>
      <c r="CP81" s="8"/>
      <c r="CQ81" s="8"/>
      <c r="CR81" s="8"/>
      <c r="CS81" s="8"/>
      <c r="CT81" s="8"/>
      <c r="CU81" s="8"/>
      <c r="CV81" s="8"/>
      <c r="CW81" s="8"/>
      <c r="CX81" s="8"/>
      <c r="CY81" s="8"/>
      <c r="CZ81" s="8"/>
      <c r="DA81" s="8"/>
      <c r="DB81" s="9">
        <f t="shared" ref="DB81:DB112" si="22">IF(DH81&lt;&gt;"",DB80+1,DB80)</f>
        <v>10</v>
      </c>
      <c r="DC81" s="9" t="str">
        <f t="shared" ref="DC81:DC112" si="23">IF(AND(DB81&lt;&gt;"",DH81&lt;&gt;""),DB81,"")</f>
        <v/>
      </c>
      <c r="DD81" s="8"/>
      <c r="DE81" s="8"/>
      <c r="DF81" s="8"/>
      <c r="DG81" s="8"/>
      <c r="DH81" s="8"/>
      <c r="DI81" s="8"/>
      <c r="DJ81" s="8"/>
      <c r="DK81" s="9">
        <f t="shared" ref="DK81:DK112" si="24">IF(DQ81&lt;&gt;"",DK80+1,DK80)</f>
        <v>4</v>
      </c>
      <c r="DL81" s="9" t="str">
        <f t="shared" ref="DL81:DL112" si="25">IF(AND(DK81&lt;&gt;"",DQ81&lt;&gt;""),DK81,"")</f>
        <v/>
      </c>
      <c r="DM81" s="8"/>
      <c r="DN81" s="8"/>
      <c r="DO81" s="8"/>
      <c r="DP81" s="8"/>
      <c r="DQ81" s="8"/>
      <c r="DR81" s="8"/>
      <c r="DS81" s="8"/>
      <c r="DT81" s="8"/>
      <c r="DU81" s="127">
        <f t="shared" ref="DU81:DU112" si="26">IF(EA81&lt;&gt;"",DU80+1,DU80)</f>
        <v>4</v>
      </c>
      <c r="DV81" s="127" t="str">
        <f t="shared" ref="DV81:DV112" si="27">IF(AND(DU81&lt;&gt;"",EA81&lt;&gt;""),DU81,"")</f>
        <v/>
      </c>
      <c r="DW81" s="8"/>
      <c r="DX81" s="8"/>
      <c r="DY81" s="8"/>
      <c r="DZ81" s="8"/>
      <c r="EA81" s="8"/>
      <c r="EB81" s="8"/>
      <c r="EC81" s="8"/>
    </row>
    <row r="82" spans="1:133" ht="11.25" customHeight="1">
      <c r="B82" s="23"/>
      <c r="C82" s="2384"/>
      <c r="D82" s="2385"/>
      <c r="E82" s="2386"/>
      <c r="F82" s="2384"/>
      <c r="G82" s="2385"/>
      <c r="H82" s="2385"/>
      <c r="I82" s="2386"/>
      <c r="J82" s="2384"/>
      <c r="K82" s="2385"/>
      <c r="L82" s="2385"/>
      <c r="M82" s="2386"/>
      <c r="N82" s="2384"/>
      <c r="O82" s="2385"/>
      <c r="P82" s="2385"/>
      <c r="Q82" s="2385"/>
      <c r="R82" s="2386"/>
      <c r="S82" s="2384" t="s">
        <v>7</v>
      </c>
      <c r="T82" s="2385"/>
      <c r="U82" s="2385"/>
      <c r="V82" s="2386"/>
      <c r="W82" s="2384" t="s">
        <v>8</v>
      </c>
      <c r="X82" s="2385"/>
      <c r="Y82" s="2385"/>
      <c r="Z82" s="2386"/>
      <c r="AA82" s="2384"/>
      <c r="AB82" s="2385"/>
      <c r="AC82" s="2386"/>
      <c r="AD82" s="2384"/>
      <c r="AE82" s="2385"/>
      <c r="AF82" s="2386"/>
      <c r="AG82" s="2384"/>
      <c r="AH82" s="2385"/>
      <c r="AI82" s="2385"/>
      <c r="AJ82" s="2385"/>
      <c r="AK82" s="2385"/>
      <c r="AL82" s="2385"/>
      <c r="AM82" s="2385"/>
      <c r="AN82" s="2384"/>
      <c r="AO82" s="2385"/>
      <c r="AP82" s="2386"/>
      <c r="AQ82" s="2384" t="s">
        <v>3</v>
      </c>
      <c r="AR82" s="2385"/>
      <c r="AS82" s="2386"/>
      <c r="AT82" s="2384"/>
      <c r="AU82" s="2385"/>
      <c r="AV82" s="2385"/>
      <c r="AW82" s="2385"/>
      <c r="AX82" s="2385"/>
      <c r="AY82" s="2385"/>
      <c r="AZ82" s="2385"/>
      <c r="BA82" s="2384"/>
      <c r="BB82" s="2385"/>
      <c r="BC82" s="2386"/>
      <c r="BD82" s="2384" t="s">
        <v>3</v>
      </c>
      <c r="BE82" s="2385"/>
      <c r="BF82" s="2386"/>
      <c r="BG82" s="2384"/>
      <c r="BH82" s="2385"/>
      <c r="BI82" s="2385"/>
      <c r="BJ82" s="2385"/>
      <c r="BK82" s="2385"/>
      <c r="BL82" s="2385"/>
      <c r="BM82" s="2385"/>
      <c r="BN82" s="2386"/>
      <c r="BO82" s="2384"/>
      <c r="BP82" s="2385"/>
      <c r="BQ82" s="2386"/>
      <c r="BR82" s="2384" t="s">
        <v>3</v>
      </c>
      <c r="BS82" s="2385"/>
      <c r="BT82" s="2386"/>
      <c r="BU82" s="19"/>
      <c r="BV82" s="35"/>
      <c r="BW82" s="99"/>
      <c r="BX82" s="35"/>
      <c r="BY82" s="35"/>
      <c r="BZ82" s="35"/>
      <c r="CA82" s="35"/>
      <c r="CB82" s="35"/>
      <c r="CC82" s="35"/>
      <c r="CD82" s="35"/>
      <c r="CE82" s="35"/>
      <c r="CF82" s="35"/>
      <c r="CG82" s="35"/>
      <c r="CH82" s="35"/>
      <c r="CI82" s="8"/>
      <c r="CJ82" s="9"/>
      <c r="CK82" s="9"/>
      <c r="CL82" s="9"/>
      <c r="CM82" s="9"/>
      <c r="CN82" s="9"/>
      <c r="CO82" s="7"/>
      <c r="CP82" s="8"/>
      <c r="CQ82" s="8"/>
      <c r="CR82" s="8"/>
      <c r="CS82" s="8"/>
      <c r="CT82" s="8"/>
      <c r="CU82" s="8"/>
      <c r="CV82" s="8"/>
      <c r="CW82" s="8"/>
      <c r="CX82" s="8"/>
      <c r="CY82" s="8"/>
      <c r="CZ82" s="8"/>
      <c r="DA82" s="8"/>
      <c r="DB82" s="9">
        <f t="shared" si="22"/>
        <v>10</v>
      </c>
      <c r="DC82" s="9" t="str">
        <f t="shared" si="23"/>
        <v/>
      </c>
      <c r="DD82" s="8"/>
      <c r="DE82" s="8"/>
      <c r="DF82" s="8"/>
      <c r="DG82" s="8"/>
      <c r="DH82" s="8"/>
      <c r="DI82" s="8"/>
      <c r="DJ82" s="8"/>
      <c r="DK82" s="9">
        <f t="shared" si="24"/>
        <v>4</v>
      </c>
      <c r="DL82" s="9" t="str">
        <f t="shared" si="25"/>
        <v/>
      </c>
      <c r="DM82" s="8"/>
      <c r="DN82" s="8"/>
      <c r="DO82" s="8"/>
      <c r="DP82" s="8"/>
      <c r="DQ82" s="8"/>
      <c r="DR82" s="8"/>
      <c r="DS82" s="8"/>
      <c r="DT82" s="8"/>
      <c r="DU82" s="127">
        <f t="shared" si="26"/>
        <v>4</v>
      </c>
      <c r="DV82" s="127" t="str">
        <f t="shared" si="27"/>
        <v/>
      </c>
      <c r="DW82" s="8"/>
      <c r="DX82" s="8"/>
      <c r="DY82" s="8"/>
      <c r="DZ82" s="8"/>
      <c r="EA82" s="8"/>
      <c r="EB82" s="8"/>
      <c r="EC82" s="8"/>
    </row>
    <row r="83" spans="1:133" ht="12" customHeight="1">
      <c r="B83" s="23"/>
      <c r="C83" s="2384"/>
      <c r="D83" s="2385"/>
      <c r="E83" s="2386"/>
      <c r="F83" s="2384" t="s">
        <v>396</v>
      </c>
      <c r="G83" s="2385"/>
      <c r="H83" s="2385"/>
      <c r="I83" s="2386"/>
      <c r="J83" s="2384" t="s">
        <v>396</v>
      </c>
      <c r="K83" s="2385"/>
      <c r="L83" s="2385"/>
      <c r="M83" s="2386"/>
      <c r="N83" s="2384" t="s">
        <v>128</v>
      </c>
      <c r="O83" s="2385"/>
      <c r="P83" s="2385"/>
      <c r="Q83" s="2385"/>
      <c r="R83" s="2386"/>
      <c r="S83" s="2384" t="s">
        <v>128</v>
      </c>
      <c r="T83" s="2385"/>
      <c r="U83" s="2385"/>
      <c r="V83" s="2386"/>
      <c r="W83" s="2384" t="s">
        <v>128</v>
      </c>
      <c r="X83" s="2385"/>
      <c r="Y83" s="2385"/>
      <c r="Z83" s="2386"/>
      <c r="AA83" s="2384" t="s">
        <v>111</v>
      </c>
      <c r="AB83" s="2385"/>
      <c r="AC83" s="2386"/>
      <c r="AD83" s="2384" t="s">
        <v>110</v>
      </c>
      <c r="AE83" s="2385"/>
      <c r="AF83" s="2386"/>
      <c r="AG83" s="2384"/>
      <c r="AH83" s="2385"/>
      <c r="AI83" s="2385"/>
      <c r="AJ83" s="2385"/>
      <c r="AK83" s="2385"/>
      <c r="AL83" s="2385"/>
      <c r="AM83" s="2385"/>
      <c r="AN83" s="2384" t="s">
        <v>90</v>
      </c>
      <c r="AO83" s="2385"/>
      <c r="AP83" s="2386"/>
      <c r="AQ83" s="2640" t="s">
        <v>387</v>
      </c>
      <c r="AR83" s="2641"/>
      <c r="AS83" s="2642"/>
      <c r="AT83" s="2384"/>
      <c r="AU83" s="2385"/>
      <c r="AV83" s="2385"/>
      <c r="AW83" s="2385"/>
      <c r="AX83" s="2385"/>
      <c r="AY83" s="2385"/>
      <c r="AZ83" s="2385"/>
      <c r="BA83" s="2384" t="s">
        <v>90</v>
      </c>
      <c r="BB83" s="2385"/>
      <c r="BC83" s="2386"/>
      <c r="BD83" s="2640" t="s">
        <v>387</v>
      </c>
      <c r="BE83" s="2641"/>
      <c r="BF83" s="2642"/>
      <c r="BG83" s="2384"/>
      <c r="BH83" s="2385"/>
      <c r="BI83" s="2385"/>
      <c r="BJ83" s="2385"/>
      <c r="BK83" s="2385"/>
      <c r="BL83" s="2385"/>
      <c r="BM83" s="2385"/>
      <c r="BN83" s="2386"/>
      <c r="BO83" s="2384" t="s">
        <v>90</v>
      </c>
      <c r="BP83" s="2385"/>
      <c r="BQ83" s="2386"/>
      <c r="BR83" s="2640" t="s">
        <v>387</v>
      </c>
      <c r="BS83" s="2641"/>
      <c r="BT83" s="2642"/>
      <c r="BU83" s="19"/>
      <c r="BV83" s="35"/>
      <c r="BW83" s="99"/>
      <c r="BX83" s="35"/>
      <c r="BY83" s="35"/>
      <c r="BZ83" s="35"/>
      <c r="CA83" s="35"/>
      <c r="CB83" s="35"/>
      <c r="CC83" s="35"/>
      <c r="CD83" s="35"/>
      <c r="CE83" s="35"/>
      <c r="CF83" s="35"/>
      <c r="CG83" s="35"/>
      <c r="CH83" s="35"/>
      <c r="CI83" s="8"/>
      <c r="CJ83" s="8"/>
      <c r="CK83" s="8"/>
      <c r="CL83" s="9"/>
      <c r="CM83" s="9"/>
      <c r="CN83" s="9"/>
      <c r="CO83" s="7"/>
      <c r="CP83" s="8"/>
      <c r="CQ83" s="8"/>
      <c r="CR83" s="8"/>
      <c r="CS83" s="8"/>
      <c r="CT83" s="8"/>
      <c r="CU83" s="8"/>
      <c r="CV83" s="8"/>
      <c r="CW83" s="8"/>
      <c r="CX83" s="8"/>
      <c r="CY83" s="8"/>
      <c r="CZ83" s="8"/>
      <c r="DA83" s="8"/>
      <c r="DB83" s="9">
        <f t="shared" si="22"/>
        <v>10</v>
      </c>
      <c r="DC83" s="9" t="str">
        <f t="shared" si="23"/>
        <v/>
      </c>
      <c r="DD83" s="8"/>
      <c r="DE83" s="8"/>
      <c r="DF83" s="8"/>
      <c r="DG83" s="8"/>
      <c r="DH83" s="8"/>
      <c r="DI83" s="8"/>
      <c r="DJ83" s="8"/>
      <c r="DK83" s="9">
        <f t="shared" si="24"/>
        <v>4</v>
      </c>
      <c r="DL83" s="9" t="str">
        <f t="shared" si="25"/>
        <v/>
      </c>
      <c r="DM83" s="8"/>
      <c r="DN83" s="8"/>
      <c r="DO83" s="8"/>
      <c r="DP83" s="8"/>
      <c r="DQ83" s="8"/>
      <c r="DR83" s="8"/>
      <c r="DS83" s="8"/>
      <c r="DT83" s="8"/>
      <c r="DU83" s="127">
        <f t="shared" si="26"/>
        <v>4</v>
      </c>
      <c r="DV83" s="127" t="str">
        <f t="shared" si="27"/>
        <v/>
      </c>
      <c r="DW83" s="8"/>
      <c r="DX83" s="8"/>
      <c r="DY83" s="8"/>
      <c r="DZ83" s="8"/>
      <c r="EA83" s="8"/>
      <c r="EB83" s="8"/>
      <c r="EC83" s="8"/>
    </row>
    <row r="84" spans="1:133" ht="11.25" customHeight="1" thickBot="1">
      <c r="A84" s="374">
        <v>9</v>
      </c>
      <c r="B84" s="23"/>
      <c r="C84" s="2626" t="str">
        <f>非誘!J64</f>
        <v>( 4 )</v>
      </c>
      <c r="D84" s="2627"/>
      <c r="E84" s="2628"/>
      <c r="F84" s="2629" t="str">
        <f>非誘!M64</f>
        <v>百貨店等</v>
      </c>
      <c r="G84" s="2629"/>
      <c r="H84" s="2629"/>
      <c r="I84" s="2629"/>
      <c r="J84" s="2629"/>
      <c r="K84" s="2629"/>
      <c r="L84" s="2629"/>
      <c r="M84" s="2629"/>
      <c r="N84" s="2629"/>
      <c r="O84" s="2629"/>
      <c r="P84" s="2630" t="str">
        <f>IF(U84="",RIGHT($D$8,2),U84)</f>
        <v>設置</v>
      </c>
      <c r="Q84" s="2630"/>
      <c r="R84" s="2630"/>
      <c r="S84" s="2631"/>
      <c r="T84" s="31" t="s">
        <v>387</v>
      </c>
      <c r="U84" s="2632"/>
      <c r="V84" s="2632"/>
      <c r="W84" s="2632"/>
      <c r="X84" s="2633"/>
      <c r="Y84" s="2634" t="s">
        <v>20</v>
      </c>
      <c r="Z84" s="2634"/>
      <c r="AA84" s="2634"/>
      <c r="AB84" s="2634"/>
      <c r="AC84" s="2634"/>
      <c r="AD84" s="2635">
        <f>非誘!J65</f>
        <v>0.5</v>
      </c>
      <c r="AE84" s="2635"/>
      <c r="AF84" s="2635"/>
      <c r="AG84" s="2635"/>
      <c r="AH84" s="2299" t="s">
        <v>135</v>
      </c>
      <c r="AI84" s="2299"/>
      <c r="AJ84" s="2299"/>
      <c r="AK84" s="2299"/>
      <c r="AL84" s="2299"/>
      <c r="AM84" s="2299" t="s">
        <v>366</v>
      </c>
      <c r="AN84" s="2299"/>
      <c r="AO84" s="2299"/>
      <c r="AP84" s="2299"/>
      <c r="AQ84" s="2569" t="str">
        <f>IF(AX84="","天井ケーブル",AX84)</f>
        <v>天井(C 管)</v>
      </c>
      <c r="AR84" s="2569"/>
      <c r="AS84" s="2569"/>
      <c r="AT84" s="2569"/>
      <c r="AU84" s="2569"/>
      <c r="AV84" s="2569"/>
      <c r="AW84" s="175" t="s">
        <v>387</v>
      </c>
      <c r="AX84" s="2338" t="s">
        <v>388</v>
      </c>
      <c r="AY84" s="2338"/>
      <c r="AZ84" s="2338"/>
      <c r="BA84" s="2338"/>
      <c r="BB84" s="2338"/>
      <c r="BC84" s="2338"/>
      <c r="BD84" s="2299" t="s">
        <v>363</v>
      </c>
      <c r="BE84" s="2299"/>
      <c r="BF84" s="2299"/>
      <c r="BG84" s="2299"/>
      <c r="BH84" s="2569" t="str">
        <f>IF(BO84="","天井(C 管)",BO84)</f>
        <v>天井(C 管)</v>
      </c>
      <c r="BI84" s="2569"/>
      <c r="BJ84" s="2569"/>
      <c r="BK84" s="2569"/>
      <c r="BL84" s="2569"/>
      <c r="BM84" s="2569"/>
      <c r="BN84" s="175" t="s">
        <v>387</v>
      </c>
      <c r="BO84" s="2338"/>
      <c r="BP84" s="2338"/>
      <c r="BQ84" s="2338"/>
      <c r="BR84" s="2338"/>
      <c r="BS84" s="2338"/>
      <c r="BT84" s="2622"/>
      <c r="BU84" s="19"/>
      <c r="BV84" s="35"/>
      <c r="BW84" s="99"/>
      <c r="BX84" s="35"/>
      <c r="BY84" s="35"/>
      <c r="BZ84" s="35"/>
      <c r="CA84" s="35"/>
      <c r="CB84" s="35"/>
      <c r="CC84" s="35"/>
      <c r="CD84" s="35"/>
      <c r="CE84" s="35"/>
      <c r="CF84" s="35"/>
      <c r="CG84" s="35"/>
      <c r="CH84" s="35"/>
      <c r="CI84" s="8">
        <v>23</v>
      </c>
      <c r="CJ84" s="97" t="str">
        <f>IF(LEFT(C85,2)=" B",-MID(C85,3,1),IF(C85="  RF","",LEFT(C85,3)))</f>
        <v xml:space="preserve">  7</v>
      </c>
      <c r="CK84" s="10" t="str">
        <f>IF(OR(C85="",C85="  RF"),"",IF(LEFT(C85,1)="P","+",IF($CJ$14&gt;CJ84,"－",IF($CJ$14=CJ84,"=","+"))))</f>
        <v>+</v>
      </c>
      <c r="CL84" s="2601" t="s">
        <v>376</v>
      </c>
      <c r="CM84" s="2601"/>
      <c r="CN84" s="2601"/>
      <c r="CO84" s="2601" t="s">
        <v>375</v>
      </c>
      <c r="CP84" s="2601"/>
      <c r="CQ84" s="2601"/>
      <c r="CR84" s="2589" t="str">
        <f>AG85</f>
        <v>防火区画処理</v>
      </c>
      <c r="CS84" s="2590"/>
      <c r="CT84" s="2591"/>
      <c r="CU84" s="184">
        <f>AN85</f>
        <v>13</v>
      </c>
      <c r="CV84" s="2589" t="str">
        <f>AG89</f>
        <v>光電式煙2種埋</v>
      </c>
      <c r="CW84" s="2590"/>
      <c r="CX84" s="2591"/>
      <c r="CY84" s="184">
        <f>AN89</f>
        <v>8</v>
      </c>
      <c r="CZ84" s="216"/>
      <c r="DA84" s="88">
        <v>9</v>
      </c>
      <c r="DB84" s="9">
        <f t="shared" si="22"/>
        <v>10</v>
      </c>
      <c r="DC84" s="9" t="str">
        <f t="shared" si="23"/>
        <v/>
      </c>
      <c r="DD84" s="45"/>
      <c r="DE84" s="45"/>
      <c r="DF84" s="45"/>
      <c r="DG84" s="45"/>
      <c r="DH84" s="45"/>
      <c r="DI84" s="45"/>
      <c r="DJ84" s="45"/>
      <c r="DK84" s="45">
        <f t="shared" si="24"/>
        <v>4</v>
      </c>
      <c r="DL84" s="45" t="str">
        <f t="shared" si="25"/>
        <v/>
      </c>
      <c r="DM84" s="154"/>
      <c r="DN84" s="154"/>
      <c r="DO84" s="154"/>
      <c r="DP84" s="45"/>
      <c r="DQ84" s="45"/>
      <c r="DR84" s="209"/>
      <c r="DS84" s="230">
        <f t="shared" ref="DS84:DS92" si="28">SUMIF($DM$17:$DM$185,DQ84,$DR$17:$DR$185)</f>
        <v>0</v>
      </c>
      <c r="DT84" s="88">
        <v>9</v>
      </c>
      <c r="DU84" s="155">
        <f t="shared" si="26"/>
        <v>4</v>
      </c>
      <c r="DV84" s="155" t="str">
        <f t="shared" si="27"/>
        <v/>
      </c>
      <c r="DW84" s="45"/>
      <c r="DX84" s="45"/>
      <c r="DY84" s="45"/>
      <c r="DZ84" s="45"/>
      <c r="EA84" s="45"/>
      <c r="EB84" s="45"/>
      <c r="EC84" s="45"/>
    </row>
    <row r="85" spans="1:133" ht="11.25" customHeight="1" thickBot="1">
      <c r="A85" s="15">
        <v>74</v>
      </c>
      <c r="B85" s="23"/>
      <c r="C85" s="2602" t="str">
        <f>非誘!C66</f>
        <v xml:space="preserve">  7F</v>
      </c>
      <c r="D85" s="2603"/>
      <c r="E85" s="2604"/>
      <c r="F85" s="2605">
        <f>非誘!F66</f>
        <v>4</v>
      </c>
      <c r="G85" s="2606"/>
      <c r="H85" s="2606"/>
      <c r="I85" s="2607"/>
      <c r="J85" s="2605">
        <f>非誘!J66</f>
        <v>3</v>
      </c>
      <c r="K85" s="2606"/>
      <c r="L85" s="2606"/>
      <c r="M85" s="2607"/>
      <c r="N85" s="2608">
        <f>非誘!N66</f>
        <v>1152</v>
      </c>
      <c r="O85" s="2609"/>
      <c r="P85" s="2609"/>
      <c r="Q85" s="2609"/>
      <c r="R85" s="2610"/>
      <c r="S85" s="2608">
        <f>非誘!S66</f>
        <v>806.4</v>
      </c>
      <c r="T85" s="2609"/>
      <c r="U85" s="2609"/>
      <c r="V85" s="2610"/>
      <c r="W85" s="2608">
        <f>非誘!W66</f>
        <v>345.6</v>
      </c>
      <c r="X85" s="2609"/>
      <c r="Y85" s="2609"/>
      <c r="Z85" s="2610"/>
      <c r="AA85" s="2611">
        <f>非誘!AA66</f>
        <v>3</v>
      </c>
      <c r="AB85" s="2603"/>
      <c r="AC85" s="2604"/>
      <c r="AD85" s="2612">
        <f>非誘!AD66</f>
        <v>9</v>
      </c>
      <c r="AE85" s="2613"/>
      <c r="AF85" s="2614"/>
      <c r="AG85" s="2615" t="str">
        <f>IF($B$2=0,"","防火区画処理")</f>
        <v>防火区画処理</v>
      </c>
      <c r="AH85" s="2615"/>
      <c r="AI85" s="2615"/>
      <c r="AJ85" s="2615"/>
      <c r="AK85" s="2615"/>
      <c r="AL85" s="2615"/>
      <c r="AM85" s="2615"/>
      <c r="AN85" s="2616">
        <f>IF(OR($B$2=0,C85="",P84="不要"),"",AZ85+BG85+BR85*2)</f>
        <v>13</v>
      </c>
      <c r="AO85" s="2616"/>
      <c r="AP85" s="2616"/>
      <c r="AQ85" s="2617" t="s">
        <v>374</v>
      </c>
      <c r="AR85" s="2617"/>
      <c r="AS85" s="2617"/>
      <c r="AT85" s="2617"/>
      <c r="AU85" s="2617"/>
      <c r="AV85" s="2618" t="s">
        <v>373</v>
      </c>
      <c r="AW85" s="2618"/>
      <c r="AX85" s="2618"/>
      <c r="AY85" s="2618"/>
      <c r="AZ85" s="2619">
        <f>IF(OR($B$2=0,C85="",P84="不要"),"",IF(LEFT(C85,1)="P",1+INT(W85/450),INT(S85/450)+1+INT(W85/450)))</f>
        <v>2</v>
      </c>
      <c r="BA85" s="2619"/>
      <c r="BB85" s="2619"/>
      <c r="BC85" s="2618" t="s">
        <v>372</v>
      </c>
      <c r="BD85" s="2618"/>
      <c r="BE85" s="2618"/>
      <c r="BF85" s="2618"/>
      <c r="BG85" s="2619">
        <f>IF(OR($B$2=0,C85="",P84="不要"),"",1+INT(N85/500))</f>
        <v>3</v>
      </c>
      <c r="BH85" s="2619"/>
      <c r="BI85" s="2619"/>
      <c r="BJ85" s="2617" t="s">
        <v>371</v>
      </c>
      <c r="BK85" s="2617"/>
      <c r="BL85" s="2617"/>
      <c r="BM85" s="2617"/>
      <c r="BN85" s="2617"/>
      <c r="BO85" s="2617"/>
      <c r="BP85" s="2617"/>
      <c r="BQ85" s="2617"/>
      <c r="BR85" s="2620">
        <f>IF(OR($B$2=0,C85="",P84="不要"),"",1+INT(0.055*N85^0.6))</f>
        <v>4</v>
      </c>
      <c r="BS85" s="2620"/>
      <c r="BT85" s="2621"/>
      <c r="BU85" s="19"/>
      <c r="BV85" s="35"/>
      <c r="BW85" s="99"/>
      <c r="BX85" s="35"/>
      <c r="BY85" s="35"/>
      <c r="BZ85" s="35"/>
      <c r="CA85" s="35"/>
      <c r="CB85" s="35"/>
      <c r="CC85" s="35"/>
      <c r="CD85" s="35"/>
      <c r="CE85" s="35"/>
      <c r="CF85" s="35"/>
      <c r="CG85" s="35"/>
      <c r="CH85" s="35"/>
      <c r="CI85" s="8">
        <v>2</v>
      </c>
      <c r="CJ85" s="88" t="s">
        <v>386</v>
      </c>
      <c r="CK85" s="88" t="s">
        <v>385</v>
      </c>
      <c r="CL85" s="372">
        <f>IF(C86="","",IF(AX90="①",CJ86+CK86+3,IF(AX90="②",CJ86*5/8+CK86+3,IF(AX90="③",CJ86/2+CK86+3,IF(AX90="④",CJ86+CK86*5/8+3,IF(AX90="⑤",(CJ86+CK86)*5/8+3,IF(AX90="⑥",CJ86/2+CK86*5/8+3,IF(AX90="⑦",CJ86+CK86/2+3,IF(AX90="⑧",CJ86*5/8+CK86/2+3,IF(AX90="⑨",(CJ86+CK86)/2+3))))))))))</f>
        <v>27</v>
      </c>
      <c r="CM85" s="371" t="s">
        <v>384</v>
      </c>
      <c r="CN85" s="371" t="s">
        <v>383</v>
      </c>
      <c r="CO85" s="370"/>
      <c r="CP85" s="371" t="s">
        <v>384</v>
      </c>
      <c r="CQ85" s="370" t="s">
        <v>383</v>
      </c>
      <c r="CR85" s="2589" t="str">
        <f>AG86</f>
        <v>差動SP2種埋</v>
      </c>
      <c r="CS85" s="2590"/>
      <c r="CT85" s="2591"/>
      <c r="CU85" s="184" t="str">
        <f>AN86</f>
        <v/>
      </c>
      <c r="CV85" s="2589" t="str">
        <f>AT88</f>
        <v>HP起動押ボタン</v>
      </c>
      <c r="CW85" s="2590"/>
      <c r="CX85" s="2591"/>
      <c r="CY85" s="184" t="str">
        <f>BA88</f>
        <v/>
      </c>
      <c r="CZ85" s="216"/>
      <c r="DA85" s="8"/>
      <c r="DB85" s="197">
        <f t="shared" si="22"/>
        <v>10</v>
      </c>
      <c r="DC85" s="197" t="str">
        <f t="shared" si="23"/>
        <v/>
      </c>
      <c r="DD85" s="201" t="str">
        <f>G86</f>
        <v>AE 0.9mm-4C</v>
      </c>
      <c r="DE85" s="8"/>
      <c r="DF85" s="8"/>
      <c r="DG85" s="8"/>
      <c r="DH85" s="8" t="str">
        <f>IF(COUNTIF($DD$15:DD84,DD85)&gt;0,"",DD85)</f>
        <v/>
      </c>
      <c r="DI85" s="252">
        <f>O86</f>
        <v>149</v>
      </c>
      <c r="DJ85" s="32">
        <f>SUMIF($DD$17:$DD$185,DH85,$DI$17:$DI$185)</f>
        <v>0</v>
      </c>
      <c r="DK85" s="197">
        <f t="shared" si="24"/>
        <v>4</v>
      </c>
      <c r="DL85" s="197" t="str">
        <f t="shared" si="25"/>
        <v/>
      </c>
      <c r="DM85" s="10" t="str">
        <f>IF(CU85="","",CR85)</f>
        <v/>
      </c>
      <c r="DN85" s="10" t="str">
        <f>CR85</f>
        <v>差動SP2種埋</v>
      </c>
      <c r="DO85" s="10"/>
      <c r="DP85" s="8"/>
      <c r="DQ85" s="8" t="str">
        <f>IF(COUNTIF($DM$15:DM84,DM85)&gt;0,"",DM85)</f>
        <v/>
      </c>
      <c r="DR85" s="200" t="str">
        <f>CU85</f>
        <v/>
      </c>
      <c r="DS85" s="32">
        <f t="shared" si="28"/>
        <v>8</v>
      </c>
      <c r="DT85" s="8"/>
      <c r="DU85" s="197">
        <f t="shared" si="26"/>
        <v>4</v>
      </c>
      <c r="DV85" s="197" t="str">
        <f t="shared" si="27"/>
        <v/>
      </c>
      <c r="DW85" s="201"/>
      <c r="DX85" s="8"/>
      <c r="DY85" s="8"/>
      <c r="DZ85" s="8"/>
      <c r="EA85" s="8"/>
      <c r="EB85" s="197"/>
      <c r="EC85" s="32"/>
    </row>
    <row r="86" spans="1:133" ht="11.25" customHeight="1">
      <c r="A86" s="15"/>
      <c r="B86" s="23"/>
      <c r="C86" s="2623" t="s">
        <v>366</v>
      </c>
      <c r="D86" s="2624"/>
      <c r="E86" s="2624"/>
      <c r="F86" s="2624"/>
      <c r="G86" s="2625" t="str">
        <f>IF(C85="","","AE 0.9mm-4C")</f>
        <v>AE 0.9mm-4C</v>
      </c>
      <c r="H86" s="2625"/>
      <c r="I86" s="2625"/>
      <c r="J86" s="2625"/>
      <c r="K86" s="2625"/>
      <c r="L86" s="2625"/>
      <c r="M86" s="2625"/>
      <c r="N86" s="2625"/>
      <c r="O86" s="2593">
        <f>IF($B$2=0,"",IF(OR(C85="",P84="不要"),"",ROUND((CM86+CN86),0)))</f>
        <v>149</v>
      </c>
      <c r="P86" s="2593"/>
      <c r="Q86" s="2593"/>
      <c r="R86" s="2593"/>
      <c r="S86" s="2593"/>
      <c r="T86" s="2593" t="str">
        <f>IF(OR($B$2=0,C85="",P84="不要"),"",IF(AQ84="天井ケーブル","C-19mm",IF(MID(AQ84,4,2)="PF","PF-16mm",IF(MID(AQ84,4,2)="CD","CD-16mm",IF(MID(AQ84,4,2)="C ","C-19mm",IF(MID(AQ84,4,2)="G ","G-16mm",""))))))</f>
        <v>C-19mm</v>
      </c>
      <c r="U86" s="2593"/>
      <c r="V86" s="2593"/>
      <c r="W86" s="2593"/>
      <c r="X86" s="2593"/>
      <c r="Y86" s="2593"/>
      <c r="Z86" s="2593"/>
      <c r="AA86" s="2593"/>
      <c r="AB86" s="2593">
        <f>IF(OR($B$2=0,C85="",P84="不要"),"",IF(CQ86="",ROUND(CP86,0),ROUND((CP86+CQ86),0)))</f>
        <v>119</v>
      </c>
      <c r="AC86" s="2593"/>
      <c r="AD86" s="2593"/>
      <c r="AE86" s="2593"/>
      <c r="AF86" s="2593"/>
      <c r="AG86" s="2595" t="str">
        <f>IF($B$2=0,"","差動SP2種埋")</f>
        <v>差動SP2種埋</v>
      </c>
      <c r="AH86" s="2595"/>
      <c r="AI86" s="2595"/>
      <c r="AJ86" s="2595"/>
      <c r="AK86" s="2595"/>
      <c r="AL86" s="2595"/>
      <c r="AM86" s="2595"/>
      <c r="AN86" s="2593" t="str">
        <f>IF(OR(C85="",P84="不要"),"",IF(AQ86&lt;&gt;"",AQ86,IF(AX90="B","",IF(AZ89="無窓","",IF(AND(BL89="耐 火",AZ89="有窓"),BZ86+CA86,CD86+CE86)))))</f>
        <v/>
      </c>
      <c r="AO86" s="2593"/>
      <c r="AP86" s="2593"/>
      <c r="AQ86" s="2594"/>
      <c r="AR86" s="2594"/>
      <c r="AS86" s="2594"/>
      <c r="AT86" s="2595" t="str">
        <f>IF($B$2=0,"","P1総合盤露出")</f>
        <v>P1総合盤露出</v>
      </c>
      <c r="AU86" s="2595"/>
      <c r="AV86" s="2595"/>
      <c r="AW86" s="2595"/>
      <c r="AX86" s="2595"/>
      <c r="AY86" s="2595"/>
      <c r="AZ86" s="2595"/>
      <c r="BA86" s="2593">
        <f>IF(P84="不要","",IF(BD86&lt;&gt;"",BD86,IF([4]Top!$BD$51="要","",AZ85)))</f>
        <v>2</v>
      </c>
      <c r="BB86" s="2593"/>
      <c r="BC86" s="2593"/>
      <c r="BD86" s="2594"/>
      <c r="BE86" s="2594"/>
      <c r="BF86" s="2594"/>
      <c r="BG86" s="2597" t="str">
        <f>IF($B$2=0,"","ﾗｯﾁ電磁レリーズ")</f>
        <v>ﾗｯﾁ電磁レリーズ</v>
      </c>
      <c r="BH86" s="2597"/>
      <c r="BI86" s="2597"/>
      <c r="BJ86" s="2597"/>
      <c r="BK86" s="2597"/>
      <c r="BL86" s="2597"/>
      <c r="BM86" s="2597"/>
      <c r="BN86" s="2597"/>
      <c r="BO86" s="2593">
        <f>IF(P84="不要","",IF(BR86&lt;&gt;"",BR86,BR85))</f>
        <v>4</v>
      </c>
      <c r="BP86" s="2593"/>
      <c r="BQ86" s="2593"/>
      <c r="BR86" s="2594"/>
      <c r="BS86" s="2594"/>
      <c r="BT86" s="2596"/>
      <c r="BU86" s="19"/>
      <c r="BV86" s="35"/>
      <c r="BW86" s="351" t="s">
        <v>365</v>
      </c>
      <c r="BX86" s="368"/>
      <c r="BY86" s="369"/>
      <c r="BZ86" s="344">
        <f>IF(AA85="",0,IF(OR([6]Top!$BD$72&lt;&gt;"要",C85=""),"",IF(J85&gt;=4,1+INT(AA85*2.4),1+INT(AA85*1.2))))</f>
        <v>4</v>
      </c>
      <c r="CA86" s="360">
        <f>IF(OR([6]Top!$BD$72&lt;&gt;"要",C85=""),"",IF(J85&gt;=4,1+INT(AD85*2.4),1+INT(AD85*1.2)))</f>
        <v>11</v>
      </c>
      <c r="CB86" s="368"/>
      <c r="CC86" s="369"/>
      <c r="CD86" s="343">
        <f>IF($AX$8&lt;=500,BZ86*2,1+INT(BZ86*2.5))</f>
        <v>11</v>
      </c>
      <c r="CE86" s="360">
        <f>IF($AX$8&lt;=500,CA86*2,1+INT(CA86*2.5))</f>
        <v>28</v>
      </c>
      <c r="CF86" s="368"/>
      <c r="CG86" s="367"/>
      <c r="CH86" s="35"/>
      <c r="CI86" s="133">
        <f>IF(AZ85&lt;&gt;"",AZ85,0)</f>
        <v>2</v>
      </c>
      <c r="CJ86" s="98">
        <f>非誘!BW66</f>
        <v>12</v>
      </c>
      <c r="CK86" s="98">
        <f>非誘!BX66</f>
        <v>24</v>
      </c>
      <c r="CL86" s="88" t="s">
        <v>364</v>
      </c>
      <c r="CM86" s="185">
        <f>IF(OR(C85="",C85="  RF"),"",IF(J85="直天",$AN$10/1000+F85-1.2+SQRT(CK87/CM87),$AN$10/1000+J85-1.2+SQRT(CK87/CM87)))</f>
        <v>14.097958971132712</v>
      </c>
      <c r="CN86" s="185">
        <f>IF(OR(C85="",P84="不要"),"",CL85+CK88*AZ85)</f>
        <v>135</v>
      </c>
      <c r="CO86" s="88" t="s">
        <v>364</v>
      </c>
      <c r="CP86" s="185">
        <f>IF(OR(C85="",C85="  RF"),"",IF(J85="直天",F85-1.2+SQRT(CK87/CM87),IF(AQ84="天井ケーブル",J85-1.2,J85-1.2+SQRT(CK87/CM87))))</f>
        <v>11.597958971132712</v>
      </c>
      <c r="CQ86" s="356">
        <f>IF(OR(C85="",C85="  RF"),"",IF(AQ84="天井ケーブル","",(CM87-1)*SQRT(CK87/CM87)))</f>
        <v>107.77754868245982</v>
      </c>
      <c r="CR86" s="2589" t="str">
        <f>AG87</f>
        <v>定温SP1種WP</v>
      </c>
      <c r="CS86" s="2590"/>
      <c r="CT86" s="2591"/>
      <c r="CU86" s="184">
        <f>AN87</f>
        <v>2</v>
      </c>
      <c r="CV86" s="2589" t="str">
        <f>AT86</f>
        <v>P1総合盤露出</v>
      </c>
      <c r="CW86" s="2590"/>
      <c r="CX86" s="2591"/>
      <c r="CY86" s="184">
        <f>BA86</f>
        <v>2</v>
      </c>
      <c r="CZ86" s="216"/>
      <c r="DA86" s="8"/>
      <c r="DB86" s="197">
        <f t="shared" si="22"/>
        <v>10</v>
      </c>
      <c r="DC86" s="197" t="str">
        <f t="shared" si="23"/>
        <v/>
      </c>
      <c r="DD86" s="201" t="str">
        <f>G87</f>
        <v>HP 1.2mm-3C</v>
      </c>
      <c r="DE86" s="8"/>
      <c r="DF86" s="8"/>
      <c r="DG86" s="8"/>
      <c r="DH86" s="8" t="str">
        <f>IF(COUNTIF($DD$15:DD85,DD86)&gt;0,"",DD86)</f>
        <v/>
      </c>
      <c r="DI86" s="252">
        <f>O87</f>
        <v>21</v>
      </c>
      <c r="DJ86" s="32">
        <f>SUMIF($DD$17:$DD$185,DH86,$DI$17:$DI$185)</f>
        <v>0</v>
      </c>
      <c r="DK86" s="197">
        <f t="shared" si="24"/>
        <v>4</v>
      </c>
      <c r="DL86" s="197" t="str">
        <f t="shared" si="25"/>
        <v/>
      </c>
      <c r="DM86" s="10" t="str">
        <f>IF(CU86="","",CR86)</f>
        <v>定温SP1種WP</v>
      </c>
      <c r="DN86" s="10" t="str">
        <f>CR86</f>
        <v>定温SP1種WP</v>
      </c>
      <c r="DO86" s="10"/>
      <c r="DP86" s="8"/>
      <c r="DQ86" s="8" t="str">
        <f>IF(COUNTIF($DM$15:DM85,DM86)&gt;0,"",DM86)</f>
        <v/>
      </c>
      <c r="DR86" s="200">
        <f>CU86</f>
        <v>2</v>
      </c>
      <c r="DS86" s="32">
        <f t="shared" si="28"/>
        <v>8</v>
      </c>
      <c r="DT86" s="8"/>
      <c r="DU86" s="197">
        <f t="shared" si="26"/>
        <v>4</v>
      </c>
      <c r="DV86" s="197" t="str">
        <f t="shared" si="27"/>
        <v/>
      </c>
      <c r="DW86" s="201" t="str">
        <f>T86</f>
        <v>C-19mm</v>
      </c>
      <c r="DX86" s="8"/>
      <c r="DY86" s="8"/>
      <c r="DZ86" s="8"/>
      <c r="EA86" s="8" t="str">
        <f>IF(COUNTIF($DW$15:DW85,DW86)&gt;0,"",DW86)</f>
        <v/>
      </c>
      <c r="EB86" s="197">
        <f>AB86</f>
        <v>119</v>
      </c>
      <c r="EC86" s="32">
        <f ca="1">SUMIF($DW$17:$DW$185,EA86,$EB$17:$EB$184)</f>
        <v>0</v>
      </c>
    </row>
    <row r="87" spans="1:133" ht="11.25" customHeight="1" thickBot="1">
      <c r="A87" s="15"/>
      <c r="B87" s="176"/>
      <c r="C87" s="2568" t="s">
        <v>363</v>
      </c>
      <c r="D87" s="2569"/>
      <c r="E87" s="2569"/>
      <c r="F87" s="2569"/>
      <c r="G87" s="2592" t="str">
        <f>IF(C85="","","HP 1.2mm-3C")</f>
        <v>HP 1.2mm-3C</v>
      </c>
      <c r="H87" s="2592"/>
      <c r="I87" s="2592"/>
      <c r="J87" s="2592"/>
      <c r="K87" s="2592"/>
      <c r="L87" s="2592"/>
      <c r="M87" s="2592"/>
      <c r="N87" s="2592"/>
      <c r="O87" s="2557">
        <f>IF($B$2=0,"",IF(OR(C85="",P84="不要"),"",ROUND(CN88,0)))</f>
        <v>21</v>
      </c>
      <c r="P87" s="2557"/>
      <c r="Q87" s="2557"/>
      <c r="R87" s="2557"/>
      <c r="S87" s="2557"/>
      <c r="T87" s="2557" t="str">
        <f>IF(OR($B$2=0,C85="",P84="不要"),"",IF(BH84="天井ケーブル","C-19mm",IF(MID(BH84,4,2)="PF","PF-16mm",IF(MID(BH84,4,2)="CD","CD-16mm",IF(MID(BH84,4,2)="C ","C-19mm",IF(MID(BH84,4,2)="G ","G-16mm",""))))))</f>
        <v>C-19mm</v>
      </c>
      <c r="U87" s="2557"/>
      <c r="V87" s="2557"/>
      <c r="W87" s="2557"/>
      <c r="X87" s="2557"/>
      <c r="Y87" s="2557"/>
      <c r="Z87" s="2557"/>
      <c r="AA87" s="2557"/>
      <c r="AB87" s="2557">
        <f>IF($B$2=0,"",IF(OR(C85="",P84="不要",CQ89=""),"",CQ88+CQ89))</f>
        <v>32.799999999999997</v>
      </c>
      <c r="AC87" s="2557"/>
      <c r="AD87" s="2557"/>
      <c r="AE87" s="2557"/>
      <c r="AF87" s="2557"/>
      <c r="AG87" s="2572" t="str">
        <f>IF($B$2=0,"","定温SP1種WP")</f>
        <v>定温SP1種WP</v>
      </c>
      <c r="AH87" s="2572"/>
      <c r="AI87" s="2572"/>
      <c r="AJ87" s="2572"/>
      <c r="AK87" s="2572"/>
      <c r="AL87" s="2572"/>
      <c r="AM87" s="2572"/>
      <c r="AN87" s="2312">
        <f>IF(OR($B$2=0,P84="不要"),"",IF(AQ87&lt;&gt;"",AQ87,CA87))</f>
        <v>2</v>
      </c>
      <c r="AO87" s="2312"/>
      <c r="AP87" s="2312"/>
      <c r="AQ87" s="2575"/>
      <c r="AR87" s="2575"/>
      <c r="AS87" s="2575"/>
      <c r="AT87" s="2572" t="str">
        <f>IF($B$2=0,"","P1総合盤埋込")</f>
        <v>P1総合盤埋込</v>
      </c>
      <c r="AU87" s="2572"/>
      <c r="AV87" s="2572"/>
      <c r="AW87" s="2572"/>
      <c r="AX87" s="2572"/>
      <c r="AY87" s="2572"/>
      <c r="AZ87" s="2572"/>
      <c r="BA87" s="2312" t="str">
        <f>IF(P84="不要","",IF(BD87&lt;&gt;"",BD87,IF([4]Top!$BD$51&lt;&gt;"要","",AZ85)))</f>
        <v/>
      </c>
      <c r="BB87" s="2312"/>
      <c r="BC87" s="2312"/>
      <c r="BD87" s="2575"/>
      <c r="BE87" s="2575"/>
      <c r="BF87" s="2575"/>
      <c r="BG87" s="2572" t="str">
        <f>IF($B$2=0,"","ｱｰﾑ電磁レリーズ")</f>
        <v>ｱｰﾑ電磁レリーズ</v>
      </c>
      <c r="BH87" s="2572"/>
      <c r="BI87" s="2572"/>
      <c r="BJ87" s="2572"/>
      <c r="BK87" s="2572"/>
      <c r="BL87" s="2572"/>
      <c r="BM87" s="2572"/>
      <c r="BN87" s="2572"/>
      <c r="BO87" s="2312">
        <f>IF(P84="不要","",IF(BR87&lt;&gt;"",BR87,BR85))</f>
        <v>4</v>
      </c>
      <c r="BP87" s="2312"/>
      <c r="BQ87" s="2312"/>
      <c r="BR87" s="2575"/>
      <c r="BS87" s="2575"/>
      <c r="BT87" s="2576"/>
      <c r="BU87" s="19"/>
      <c r="BV87" s="35"/>
      <c r="BW87" s="351" t="s">
        <v>362</v>
      </c>
      <c r="BX87" s="348"/>
      <c r="BY87" s="349">
        <f>CA87</f>
        <v>2</v>
      </c>
      <c r="BZ87" s="366"/>
      <c r="CA87" s="360">
        <f>IF(C85="","",1+INT(W85/200))</f>
        <v>2</v>
      </c>
      <c r="CB87" s="348"/>
      <c r="CC87" s="359">
        <f>CA87</f>
        <v>2</v>
      </c>
      <c r="CD87" s="365"/>
      <c r="CE87" s="349">
        <f>CA87</f>
        <v>2</v>
      </c>
      <c r="CF87" s="348"/>
      <c r="CG87" s="357">
        <f>CA87</f>
        <v>2</v>
      </c>
      <c r="CH87" s="35"/>
      <c r="CI87" s="133">
        <f>IF(BG85&lt;&gt;"",BG85,0)</f>
        <v>3</v>
      </c>
      <c r="CJ87" s="88" t="s">
        <v>361</v>
      </c>
      <c r="CK87" s="107">
        <f>N85</f>
        <v>1152</v>
      </c>
      <c r="CL87" s="88" t="s">
        <v>360</v>
      </c>
      <c r="CM87" s="185">
        <f>SUM(AN86:AP90)</f>
        <v>12</v>
      </c>
      <c r="CN87" s="364"/>
      <c r="CO87" s="168"/>
      <c r="CP87" s="363"/>
      <c r="CQ87" s="150"/>
      <c r="CR87" s="2598" t="str">
        <f>AG88</f>
        <v>補償SP2種</v>
      </c>
      <c r="CS87" s="2599"/>
      <c r="CT87" s="2600"/>
      <c r="CU87" s="362">
        <f>AN88</f>
        <v>2</v>
      </c>
      <c r="CV87" s="2598" t="str">
        <f>AT87</f>
        <v>P1総合盤埋込</v>
      </c>
      <c r="CW87" s="2599"/>
      <c r="CX87" s="2600"/>
      <c r="CY87" s="362" t="str">
        <f>BA87</f>
        <v/>
      </c>
      <c r="CZ87" s="216"/>
      <c r="DA87" s="8"/>
      <c r="DB87" s="197">
        <f t="shared" si="22"/>
        <v>10</v>
      </c>
      <c r="DC87" s="197" t="str">
        <f t="shared" si="23"/>
        <v/>
      </c>
      <c r="DD87" s="201" t="str">
        <f>G88</f>
        <v>HP 1.2mm-5C</v>
      </c>
      <c r="DE87" s="8"/>
      <c r="DF87" s="8"/>
      <c r="DG87" s="8"/>
      <c r="DH87" s="8" t="str">
        <f>IF(COUNTIF($DD$15:DD86,DD87)&gt;0,"",DD87)</f>
        <v/>
      </c>
      <c r="DI87" s="252">
        <f>O88</f>
        <v>27</v>
      </c>
      <c r="DJ87" s="32">
        <f>SUMIF($DD$17:$DD$185,DH87,$DI$17:$DI$185)</f>
        <v>0</v>
      </c>
      <c r="DK87" s="197">
        <f t="shared" si="24"/>
        <v>4</v>
      </c>
      <c r="DL87" s="197" t="str">
        <f t="shared" si="25"/>
        <v/>
      </c>
      <c r="DM87" s="10" t="str">
        <f>IF(CU87="","",CR87)</f>
        <v>補償SP2種</v>
      </c>
      <c r="DN87" s="11"/>
      <c r="DO87" s="11"/>
      <c r="DP87" s="9"/>
      <c r="DQ87" s="9" t="str">
        <f>IF(COUNTIF($DM$15:DM86,DM87)&gt;0,"",DM87)</f>
        <v/>
      </c>
      <c r="DR87" s="200">
        <f>CU87</f>
        <v>2</v>
      </c>
      <c r="DS87" s="32">
        <f t="shared" si="28"/>
        <v>8</v>
      </c>
      <c r="DT87" s="8"/>
      <c r="DU87" s="197">
        <f t="shared" si="26"/>
        <v>4</v>
      </c>
      <c r="DV87" s="197" t="str">
        <f t="shared" si="27"/>
        <v/>
      </c>
      <c r="DW87" s="201" t="str">
        <f>T87</f>
        <v>C-19mm</v>
      </c>
      <c r="DX87" s="8"/>
      <c r="DY87" s="8"/>
      <c r="DZ87" s="8"/>
      <c r="EA87" s="8" t="str">
        <f>IF(COUNTIF($DW$15:DW86,DW87)&gt;0,"",DW87)</f>
        <v/>
      </c>
      <c r="EB87" s="197">
        <f>AB87</f>
        <v>32.799999999999997</v>
      </c>
      <c r="EC87" s="32">
        <f ca="1">SUMIF($DW$17:$DW$185,EA87,$EB$17:$EB$184)</f>
        <v>0</v>
      </c>
    </row>
    <row r="88" spans="1:133" ht="11.25" customHeight="1" thickBot="1">
      <c r="A88" s="15"/>
      <c r="B88" s="23"/>
      <c r="C88" s="2568"/>
      <c r="D88" s="2569"/>
      <c r="E88" s="2569"/>
      <c r="F88" s="2569"/>
      <c r="G88" s="2584" t="str">
        <f>IF(C85="","","HP 1.2mm-5C")</f>
        <v>HP 1.2mm-5C</v>
      </c>
      <c r="H88" s="2584"/>
      <c r="I88" s="2584"/>
      <c r="J88" s="2584"/>
      <c r="K88" s="2584"/>
      <c r="L88" s="2584"/>
      <c r="M88" s="2584"/>
      <c r="N88" s="2584"/>
      <c r="O88" s="2585">
        <f>IF($B$2=0,"",IF(OR(C85="",P84="不要"),"",ROUND(CM88,0)))</f>
        <v>27</v>
      </c>
      <c r="P88" s="2585"/>
      <c r="Q88" s="2585"/>
      <c r="R88" s="2585"/>
      <c r="S88" s="2585"/>
      <c r="T88" s="2585" t="str">
        <f>IF(OR($B$2=0,C85="",P84="不要"),"",IF(BH84="天井ケーブル","C-25mm",IF(MID(BH84,4,2)="PF","PF-22mm",IF(MID(BH84,4,2)="CD","CD-22mm",IF(MID(BH84,4,2)="C ","C-25mm",IF(MID(BH84,4,2)="G ","G-22mm",""))))))</f>
        <v>C-25mm</v>
      </c>
      <c r="U88" s="2585"/>
      <c r="V88" s="2585"/>
      <c r="W88" s="2585"/>
      <c r="X88" s="2585"/>
      <c r="Y88" s="2585"/>
      <c r="Z88" s="2585"/>
      <c r="AA88" s="2585"/>
      <c r="AB88" s="2585">
        <f>IF(OR($B$2=0,C85="",P84="不要"),"",CP88)</f>
        <v>25.8</v>
      </c>
      <c r="AC88" s="2585"/>
      <c r="AD88" s="2585"/>
      <c r="AE88" s="2585"/>
      <c r="AF88" s="2585"/>
      <c r="AG88" s="2572" t="str">
        <f>IF($B$2=0,"","補償SP2種")</f>
        <v>補償SP2種</v>
      </c>
      <c r="AH88" s="2572"/>
      <c r="AI88" s="2572"/>
      <c r="AJ88" s="2572"/>
      <c r="AK88" s="2572"/>
      <c r="AL88" s="2572"/>
      <c r="AM88" s="2572"/>
      <c r="AN88" s="2312">
        <f>IF(OR($B$2=0,P84="不要"),"",IF(AQ88&lt;&gt;"",AQ88,CA88))</f>
        <v>2</v>
      </c>
      <c r="AO88" s="2312"/>
      <c r="AP88" s="2312"/>
      <c r="AQ88" s="2575"/>
      <c r="AR88" s="2575"/>
      <c r="AS88" s="2575"/>
      <c r="AT88" s="2546" t="str">
        <f>IF($B$2=0,"","HP起動押ボタン")</f>
        <v>HP起動押ボタン</v>
      </c>
      <c r="AU88" s="2546"/>
      <c r="AV88" s="2546"/>
      <c r="AW88" s="2546"/>
      <c r="AX88" s="2546"/>
      <c r="AY88" s="2546"/>
      <c r="AZ88" s="2546"/>
      <c r="BA88" s="2544" t="str">
        <f>IF(P84="不要","",IF(BD88&lt;&gt;"",BD88,IF([4]Top!$BL$51="要",AZ85,"")))</f>
        <v/>
      </c>
      <c r="BB88" s="2544"/>
      <c r="BC88" s="2544"/>
      <c r="BD88" s="2573"/>
      <c r="BE88" s="2573"/>
      <c r="BF88" s="2573"/>
      <c r="BG88" s="2546" t="str">
        <f>IF($B$2=0,"","光電式煙3種埋")</f>
        <v>光電式煙3種埋</v>
      </c>
      <c r="BH88" s="2546"/>
      <c r="BI88" s="2546"/>
      <c r="BJ88" s="2546"/>
      <c r="BK88" s="2546"/>
      <c r="BL88" s="2546"/>
      <c r="BM88" s="2546"/>
      <c r="BN88" s="2546"/>
      <c r="BO88" s="2544">
        <f>IF(OR($B$2=0,C85="",P84="不要"),"",IF(BR88&lt;&gt;"",BR88,2*BR85))</f>
        <v>8</v>
      </c>
      <c r="BP88" s="2544"/>
      <c r="BQ88" s="2544"/>
      <c r="BR88" s="2573"/>
      <c r="BS88" s="2573"/>
      <c r="BT88" s="2574"/>
      <c r="BU88" s="19"/>
      <c r="BV88" s="35"/>
      <c r="BW88" s="351" t="s">
        <v>359</v>
      </c>
      <c r="BX88" s="361"/>
      <c r="BY88" s="349">
        <f>CA88</f>
        <v>2</v>
      </c>
      <c r="BZ88" s="348"/>
      <c r="CA88" s="360">
        <f>IF(C85="","",1+INT(W85/200))</f>
        <v>2</v>
      </c>
      <c r="CB88" s="358"/>
      <c r="CC88" s="359">
        <f>CA88</f>
        <v>2</v>
      </c>
      <c r="CD88" s="346"/>
      <c r="CE88" s="349">
        <f>CA88</f>
        <v>2</v>
      </c>
      <c r="CF88" s="358"/>
      <c r="CG88" s="357">
        <f>CA88</f>
        <v>2</v>
      </c>
      <c r="CH88" s="35"/>
      <c r="CI88" s="133">
        <f>IF(BR85&lt;&gt;"",BR85,0)</f>
        <v>4</v>
      </c>
      <c r="CJ88" s="88" t="s">
        <v>121</v>
      </c>
      <c r="CK88" s="187">
        <f>IF(OR(C85="",C85="  RF"),"",IF($AX$8=0,0,2*($AX$8/1000-0.15-0.1)*(INT(1000*CJ86/$BF$8)+1)*(INT(1000*CK86/$BF$8)+1)*4))</f>
        <v>53.999999999999993</v>
      </c>
      <c r="CL88" s="187" t="s">
        <v>358</v>
      </c>
      <c r="CM88" s="139">
        <f>IF(OR(C85="",C85="  RF"),"",IF(J85="直天",$AN$8/1000+F85-1.2+CJ86+CK86/2,$AN$8/1000+J85-1.2+CJ86+CK86/2))</f>
        <v>27.3</v>
      </c>
      <c r="CN88" s="136">
        <f>IF(OR(C85="",C85="  RF"),"",IF(J85="直天",F85-$Y$8/1000+F85-$Y$9/1000+2*8+($AN$7+2*$AN$9)/1000,J85-$Y$8/1000+J85-$Y$9/1000+2*8+($AN$7+2*$AN$9)/1000))</f>
        <v>20.599999999999998</v>
      </c>
      <c r="CO88" s="151" t="s">
        <v>358</v>
      </c>
      <c r="CP88" s="185">
        <f>IF(OR(C85="",C85="  RF"),"",IF(J85="直天",F85-1.2+CJ86+CK86/2,IF(AQ84="天井ケーブル",J85-1.2,J85-1.2+CJ86+CK86/2)))</f>
        <v>25.8</v>
      </c>
      <c r="CQ88" s="356">
        <f>IF(OR(C85="",C85="  RF"),"",IF(J85="直天",F85-$Y$8/1000+F85-$Y$9/1000+2*8,IF(BH84="天井ケーブル",J85-$Y$8/1000+J85-$Y$9/1000,J85-$Y$8/1000+J85-$Y$9/1000+2*8)))</f>
        <v>18.399999999999999</v>
      </c>
      <c r="CR88" s="355" t="s">
        <v>87</v>
      </c>
      <c r="CS88" s="336" t="s">
        <v>395</v>
      </c>
      <c r="CT88" s="336" t="s">
        <v>394</v>
      </c>
      <c r="CU88" s="192" t="s">
        <v>393</v>
      </c>
      <c r="CV88" s="336" t="s">
        <v>392</v>
      </c>
      <c r="CW88" s="336" t="s">
        <v>391</v>
      </c>
      <c r="CX88" s="336" t="s">
        <v>390</v>
      </c>
      <c r="CY88" s="354" t="s">
        <v>389</v>
      </c>
      <c r="CZ88" s="216"/>
      <c r="DA88" s="8"/>
      <c r="DB88" s="197">
        <f t="shared" si="22"/>
        <v>10</v>
      </c>
      <c r="DC88" s="197" t="str">
        <f t="shared" si="23"/>
        <v/>
      </c>
      <c r="DD88" s="201" t="str">
        <f>G89</f>
        <v>FCPEV 0.9-5Pr</v>
      </c>
      <c r="DE88" s="8"/>
      <c r="DF88" s="8"/>
      <c r="DG88" s="8"/>
      <c r="DH88" s="8" t="str">
        <f>IF(COUNTIF($DD$15:DD87,DD88)&gt;0,"",DD88)</f>
        <v/>
      </c>
      <c r="DI88" s="252">
        <f>O89</f>
        <v>18</v>
      </c>
      <c r="DJ88" s="32">
        <f>SUMIF($DD$17:$DD$185,DH88,$DI$17:$DI$185)</f>
        <v>0</v>
      </c>
      <c r="DK88" s="197">
        <f t="shared" si="24"/>
        <v>4</v>
      </c>
      <c r="DL88" s="197" t="str">
        <f t="shared" si="25"/>
        <v/>
      </c>
      <c r="DM88" s="11" t="str">
        <f>IF(CY84="","",CV84)</f>
        <v>光電式煙2種埋</v>
      </c>
      <c r="DN88" s="11"/>
      <c r="DO88" s="11"/>
      <c r="DP88" s="9"/>
      <c r="DQ88" s="9" t="str">
        <f>IF(COUNTIF($DM$15:DM87,DM88)&gt;0,"",DM88)</f>
        <v/>
      </c>
      <c r="DR88" s="101">
        <f>AN89</f>
        <v>8</v>
      </c>
      <c r="DS88" s="32">
        <f t="shared" si="28"/>
        <v>8</v>
      </c>
      <c r="DT88" s="8"/>
      <c r="DU88" s="197">
        <f t="shared" si="26"/>
        <v>4</v>
      </c>
      <c r="DV88" s="197" t="str">
        <f t="shared" si="27"/>
        <v/>
      </c>
      <c r="DW88" s="201" t="str">
        <f>T88</f>
        <v>C-25mm</v>
      </c>
      <c r="DX88" s="8"/>
      <c r="DY88" s="8"/>
      <c r="DZ88" s="8"/>
      <c r="EA88" s="8" t="str">
        <f>IF(COUNTIF($DW$15:DW87,DW88)&gt;0,"",DW88)</f>
        <v/>
      </c>
      <c r="EB88" s="197">
        <f>AB88</f>
        <v>25.8</v>
      </c>
      <c r="EC88" s="32">
        <f ca="1">SUMIF($DW$17:$DW$185,EA88,$EB$17:$EB$184)</f>
        <v>0</v>
      </c>
    </row>
    <row r="89" spans="1:133" ht="11.25" customHeight="1" thickBot="1">
      <c r="A89" s="15"/>
      <c r="B89" s="23"/>
      <c r="C89" s="2568" t="s">
        <v>352</v>
      </c>
      <c r="D89" s="2569"/>
      <c r="E89" s="2569"/>
      <c r="F89" s="2569"/>
      <c r="G89" s="2557" t="str">
        <f>IF(OR($B$2=0,C85="",P84="不要"),"",IF(CR89&lt;10,"FCPEV 0.9-5Pr",IF(CR89&lt;20,"FCPEV 0.9- 10Pr",IF(CR89&lt;30,"FCPEV 0.9- 15Pr",IF(CR89&lt;40,"FCPEV 0.9- 20Pr","")))))</f>
        <v>FCPEV 0.9-5Pr</v>
      </c>
      <c r="H89" s="2557"/>
      <c r="I89" s="2557"/>
      <c r="J89" s="2557"/>
      <c r="K89" s="2557"/>
      <c r="L89" s="2557"/>
      <c r="M89" s="2557"/>
      <c r="N89" s="2557"/>
      <c r="O89" s="2557">
        <f>IF(OR(C85="",P84="不要",G89=""),"",INT(AZ85*(CJ86+CK86)/4))</f>
        <v>18</v>
      </c>
      <c r="P89" s="2557"/>
      <c r="Q89" s="2557"/>
      <c r="R89" s="2557"/>
      <c r="S89" s="2557"/>
      <c r="T89" s="2558" t="str">
        <f>IF(OR(C85="",P84="不要",G89=""),"",IF(AQ84="天井ケーブル","C-"&amp;CM90&amp;"mm",IF(MID(AQ84,4,2)="PF","PF-"&amp;CL90&amp;"mm",IF(MID(AQ84,4,2)="CD","CD-"&amp;CL90&amp;"mm",IF(MID(AQ84,4,2)="C ","C-"&amp;CM90&amp;"mm",IF(MID(AQ84,4,2)="G ","G-"&amp;CL90&amp;"mm"))))))</f>
        <v>C-31mm</v>
      </c>
      <c r="U89" s="2557"/>
      <c r="V89" s="2557"/>
      <c r="W89" s="2557"/>
      <c r="X89" s="2557"/>
      <c r="Y89" s="2557"/>
      <c r="Z89" s="2557"/>
      <c r="AA89" s="2557"/>
      <c r="AB89" s="2557">
        <f>IF(OR(C85="",P84="不要",G89=""),"",IF(AQ84="天井ケーブル",2*AZ85*(F85-$Y$7/1000),O89*0.9))</f>
        <v>16.2</v>
      </c>
      <c r="AC89" s="2557"/>
      <c r="AD89" s="2557"/>
      <c r="AE89" s="2557"/>
      <c r="AF89" s="2557"/>
      <c r="AG89" s="2572" t="str">
        <f>IF($B$2=0,"","光電式煙2種埋")</f>
        <v>光電式煙2種埋</v>
      </c>
      <c r="AH89" s="2572"/>
      <c r="AI89" s="2572"/>
      <c r="AJ89" s="2572"/>
      <c r="AK89" s="2572"/>
      <c r="AL89" s="2572"/>
      <c r="AM89" s="2572"/>
      <c r="AN89" s="2312">
        <f>IF(OR(C85="",$B$2=0,P84="不要"),"",IF(AQ89&lt;&gt;"",AQ89,IF(AX90="B",BX89+BY89,IF(AND(BL89="耐 火",AZ89="無窓"),CB89+CC89,IF(AND(BL89&lt;&gt;"耐 火",AZ89="無窓"),CF89+CG89,"")))))</f>
        <v>8</v>
      </c>
      <c r="AO89" s="2312"/>
      <c r="AP89" s="2312"/>
      <c r="AQ89" s="2339"/>
      <c r="AR89" s="2339"/>
      <c r="AS89" s="2551"/>
      <c r="AT89" s="2577" t="str">
        <f>IF(C85="","","消防法上")</f>
        <v>消防法上</v>
      </c>
      <c r="AU89" s="2289"/>
      <c r="AV89" s="2289"/>
      <c r="AW89" s="2289"/>
      <c r="AX89" s="2289"/>
      <c r="AY89" s="2578"/>
      <c r="AZ89" s="2579" t="str">
        <f>IF($B$2=0,"",IF(BD89="",[4]Top!$BO$26,BD89))</f>
        <v>無窓</v>
      </c>
      <c r="BA89" s="2394"/>
      <c r="BB89" s="2580"/>
      <c r="BC89" s="353" t="s">
        <v>387</v>
      </c>
      <c r="BD89" s="2552"/>
      <c r="BE89" s="2552"/>
      <c r="BF89" s="2553"/>
      <c r="BG89" s="2581" t="str">
        <f>IF(C85="","","耐火構造")</f>
        <v>耐火構造</v>
      </c>
      <c r="BH89" s="2289"/>
      <c r="BI89" s="2289"/>
      <c r="BJ89" s="2289"/>
      <c r="BK89" s="2290"/>
      <c r="BL89" s="2278" t="str">
        <f>IF($B$2=0,"",IF(BQ89="",[4]Top!$AN$18,BQ89))</f>
        <v>耐 火</v>
      </c>
      <c r="BM89" s="2394"/>
      <c r="BN89" s="2394"/>
      <c r="BO89" s="2580"/>
      <c r="BP89" s="352" t="s">
        <v>387</v>
      </c>
      <c r="BQ89" s="2582"/>
      <c r="BR89" s="2552"/>
      <c r="BS89" s="2552"/>
      <c r="BT89" s="2583"/>
      <c r="BU89" s="19"/>
      <c r="BV89" s="35"/>
      <c r="BW89" s="351" t="s">
        <v>351</v>
      </c>
      <c r="BX89" s="350">
        <f>CB89</f>
        <v>2</v>
      </c>
      <c r="BY89" s="349">
        <f>CC89</f>
        <v>6</v>
      </c>
      <c r="BZ89" s="348"/>
      <c r="CA89" s="345"/>
      <c r="CB89" s="344">
        <f>IF(OR([6]Top!$BD$72&lt;&gt;"要",C85=""),"",IF(J85&gt;=4,1+INT(BZ86*0.47),1+INT(BZ86*0.47)))</f>
        <v>2</v>
      </c>
      <c r="CC89" s="347">
        <f>IF(OR([6]Top!$BD$72&lt;&gt;"要",C85=""),"",IF(J85&gt;=4,1+INT(CA86*0.47),1+INT(CA86*0.47)))</f>
        <v>6</v>
      </c>
      <c r="CD89" s="346"/>
      <c r="CE89" s="345"/>
      <c r="CF89" s="344">
        <f>IF(AND(AX76&lt;720,J85&lt;4),1+INT(CD86*0.47),1+INT(CD86*0.94))</f>
        <v>6</v>
      </c>
      <c r="CG89" s="343">
        <f>IF(AND(AX76&lt;720,J85&lt;4),1+INT(CE86*0.47),1+INT(CE86*0.94))</f>
        <v>14</v>
      </c>
      <c r="CH89" s="35"/>
      <c r="CI89" s="133">
        <f>IF(AND(C85&lt;&gt;"",LEFT(C85,2)&lt;&gt;" P"),CI77+F85,"")</f>
        <v>39</v>
      </c>
      <c r="CJ89" s="88" t="s">
        <v>350</v>
      </c>
      <c r="CK89" s="182" t="s">
        <v>349</v>
      </c>
      <c r="CL89" s="342">
        <f>IF(OR(C85="",C85="  RF"),"",IF(AZ93&lt;&gt;"",AZ85,AZ85+BG85))</f>
        <v>2</v>
      </c>
      <c r="CM89" s="341" t="s">
        <v>348</v>
      </c>
      <c r="CN89" s="219" t="s">
        <v>347</v>
      </c>
      <c r="CO89" s="138">
        <f>IF(OR(C85="",P84="不要"),"",AZ85*INT(CJ86+CK86)/5)</f>
        <v>14.4</v>
      </c>
      <c r="CP89" s="151" t="s">
        <v>347</v>
      </c>
      <c r="CQ89" s="340">
        <f>IF(AQ84="天井ケーブル",F85,CO89)</f>
        <v>14.4</v>
      </c>
      <c r="CR89" s="339">
        <f>SUM(CS89:CX89)</f>
        <v>8</v>
      </c>
      <c r="CS89" s="338">
        <f>AZ85</f>
        <v>2</v>
      </c>
      <c r="CT89" s="338">
        <f>IF(BA85="",0,BA85)</f>
        <v>0</v>
      </c>
      <c r="CU89" s="88">
        <v>1</v>
      </c>
      <c r="CV89" s="222">
        <v>1</v>
      </c>
      <c r="CW89" s="222">
        <v>2</v>
      </c>
      <c r="CX89" s="222">
        <v>2</v>
      </c>
      <c r="CY89" s="337" t="str">
        <f>IF(CK84="=",3*BR85+2,"")</f>
        <v/>
      </c>
      <c r="CZ89" s="218"/>
      <c r="DA89" s="8"/>
      <c r="DB89" s="127">
        <f t="shared" si="22"/>
        <v>10</v>
      </c>
      <c r="DC89" s="127" t="str">
        <f t="shared" si="23"/>
        <v/>
      </c>
      <c r="DD89" s="11" t="str">
        <f>CR84</f>
        <v>防火区画処理</v>
      </c>
      <c r="DE89" s="9"/>
      <c r="DF89" s="9"/>
      <c r="DG89" s="9"/>
      <c r="DH89" s="9" t="str">
        <f>IF(COUNTIF($DD$15:DD88,DD89)&gt;0,"",DD89)</f>
        <v/>
      </c>
      <c r="DI89" s="242">
        <f>CU84</f>
        <v>13</v>
      </c>
      <c r="DJ89" s="32">
        <f>SUMIF($DD$17:$DD$185,DH89,$DI$17:$DI$185)</f>
        <v>0</v>
      </c>
      <c r="DK89" s="127">
        <f t="shared" si="24"/>
        <v>4</v>
      </c>
      <c r="DL89" s="127" t="str">
        <f t="shared" si="25"/>
        <v/>
      </c>
      <c r="DM89" s="11" t="str">
        <f>IF(AN90="","",AG90)</f>
        <v/>
      </c>
      <c r="DN89" s="11"/>
      <c r="DO89" s="11"/>
      <c r="DP89" s="9"/>
      <c r="DQ89" s="9" t="str">
        <f>IF(COUNTIF($DM$15:DM88,DM89)&gt;0,"",DM89)</f>
        <v/>
      </c>
      <c r="DR89" s="101">
        <f>CY84</f>
        <v>8</v>
      </c>
      <c r="DS89" s="32">
        <f t="shared" si="28"/>
        <v>8</v>
      </c>
      <c r="DT89" s="9"/>
      <c r="DU89" s="197">
        <f t="shared" si="26"/>
        <v>4</v>
      </c>
      <c r="DV89" s="197" t="str">
        <f t="shared" si="27"/>
        <v/>
      </c>
      <c r="DW89" s="201" t="str">
        <f>T89</f>
        <v>C-31mm</v>
      </c>
      <c r="DX89" s="8"/>
      <c r="DY89" s="8"/>
      <c r="DZ89" s="8"/>
      <c r="EA89" s="8" t="str">
        <f>IF(COUNTIF($DW$15:DW88,DW89)&gt;0,"",DW89)</f>
        <v/>
      </c>
      <c r="EB89" s="197">
        <f>AB89</f>
        <v>16.2</v>
      </c>
      <c r="EC89" s="32">
        <f ca="1">SUMIF($DW$17:$DW$185,EA89,$EB$17:$EB$184)</f>
        <v>0</v>
      </c>
    </row>
    <row r="90" spans="1:133" ht="11.25" customHeight="1" thickBot="1">
      <c r="A90" s="15"/>
      <c r="B90" s="23"/>
      <c r="C90" s="2570"/>
      <c r="D90" s="2571"/>
      <c r="E90" s="2571"/>
      <c r="F90" s="2571"/>
      <c r="G90" s="2554" t="str">
        <f>IF(OR($B$2=0,P84="不要"),"",IF(CR90=0,"",IF(OR(C85="",P84="不要"),"",IF(CR90&lt;10,"FCPEV 1.2-5Pr",IF(CR90&lt;20,"FCPEV 1.2- 10Pr",IF(CR90&lt;30,"FCPEV 1.2- 15Pr",IF(CR90&lt;40,"FCPEV 1.2- 20Pr",IF(CR90&lt;60,"FCPEV 1.2- 30Pr",IF(CR90&lt;100,"FCPEV 1.2- 50Pr",IF(CR90&lt;140,"FCPEV 1.2- 70Pr",IF(CR90&lt;200,"FCPEV 1.2-100Pr","FCPEV 1.2-200Pr")))))))))))</f>
        <v>FCPEV 1.2- 15Pr</v>
      </c>
      <c r="H90" s="2555"/>
      <c r="I90" s="2555"/>
      <c r="J90" s="2555"/>
      <c r="K90" s="2555"/>
      <c r="L90" s="2555"/>
      <c r="M90" s="2555"/>
      <c r="N90" s="2555"/>
      <c r="O90" s="2555">
        <f>IF(OR(G90="",C85="",P84="不要"),"",CO89)</f>
        <v>14.4</v>
      </c>
      <c r="P90" s="2555"/>
      <c r="Q90" s="2555"/>
      <c r="R90" s="2555"/>
      <c r="S90" s="2555"/>
      <c r="T90" s="2555" t="str">
        <f>IF(OR(G90="",C85="",P84="不要"),"",IF(AQ84="天井ケーブル","C-"&amp;CO90&amp;"mm",IF(MID(AQ84,4,2)="PF","PF-"&amp;CN90&amp;"mm",IF(MID(AQ84,4,2)="CD","CD-"&amp;CN90&amp;"mm",IF(MID(AQ84,4,2)="C ","C-"&amp;CO90&amp;"mm",IF(MID(AQ84,4,2)="G ","G-"&amp;CN90&amp;"mm"))))))</f>
        <v>C-31mm</v>
      </c>
      <c r="U90" s="2555"/>
      <c r="V90" s="2555"/>
      <c r="W90" s="2555"/>
      <c r="X90" s="2555"/>
      <c r="Y90" s="2555"/>
      <c r="Z90" s="2555"/>
      <c r="AA90" s="2555"/>
      <c r="AB90" s="2555">
        <f>IF(OR(G90="",P84="不要"),"",CQ89)</f>
        <v>14.4</v>
      </c>
      <c r="AC90" s="2555"/>
      <c r="AD90" s="2555"/>
      <c r="AE90" s="2555"/>
      <c r="AF90" s="2555"/>
      <c r="AG90" s="2556" t="str">
        <f>IF($B$2=0,"","定温SP1種Exp")</f>
        <v>定温SP1種Exp</v>
      </c>
      <c r="AH90" s="2556"/>
      <c r="AI90" s="2556"/>
      <c r="AJ90" s="2556"/>
      <c r="AK90" s="2556"/>
      <c r="AL90" s="2556"/>
      <c r="AM90" s="2556"/>
      <c r="AN90" s="2335" t="str">
        <f>IF(AQ90&lt;&gt;"",AQ90,"")</f>
        <v/>
      </c>
      <c r="AO90" s="2335"/>
      <c r="AP90" s="2335"/>
      <c r="AQ90" s="2566"/>
      <c r="AR90" s="2566"/>
      <c r="AS90" s="2567"/>
      <c r="AT90" s="2586" t="str">
        <f>IF(C85="","","盤位置")</f>
        <v>盤位置</v>
      </c>
      <c r="AU90" s="2587"/>
      <c r="AV90" s="2587"/>
      <c r="AW90" s="2587"/>
      <c r="AX90" s="2588" t="str">
        <f>非誘!V65</f>
        <v>⑦</v>
      </c>
      <c r="AY90" s="2588"/>
      <c r="AZ90" s="2588"/>
      <c r="BA90" s="2559" t="str">
        <f>IF(C85="","","専部屋面積")</f>
        <v>専部屋面積</v>
      </c>
      <c r="BB90" s="2560"/>
      <c r="BC90" s="2560"/>
      <c r="BD90" s="2560"/>
      <c r="BE90" s="2560"/>
      <c r="BF90" s="2561"/>
      <c r="BG90" s="2562">
        <f>IF(OR(C85="",S85=""),"",S85/AA85)</f>
        <v>268.8</v>
      </c>
      <c r="BH90" s="2563"/>
      <c r="BI90" s="2563"/>
      <c r="BJ90" s="2564"/>
      <c r="BK90" s="2559" t="str">
        <f>IF(C85="","","共部屋面積")</f>
        <v>共部屋面積</v>
      </c>
      <c r="BL90" s="2560"/>
      <c r="BM90" s="2560"/>
      <c r="BN90" s="2560"/>
      <c r="BO90" s="2560"/>
      <c r="BP90" s="2561"/>
      <c r="BQ90" s="2562">
        <f>IF(OR($B$2=0,C85=""),"",W85/AD85)</f>
        <v>38.400000000000006</v>
      </c>
      <c r="BR90" s="2563"/>
      <c r="BS90" s="2563"/>
      <c r="BT90" s="2565"/>
      <c r="BU90" s="19"/>
      <c r="BV90" s="35"/>
      <c r="BW90" s="99"/>
      <c r="BX90" s="35"/>
      <c r="BY90" s="35"/>
      <c r="BZ90" s="35"/>
      <c r="CA90" s="35"/>
      <c r="CB90" s="35"/>
      <c r="CC90" s="35"/>
      <c r="CD90" s="35"/>
      <c r="CE90" s="35"/>
      <c r="CF90" s="35"/>
      <c r="CG90" s="35"/>
      <c r="CH90" s="35"/>
      <c r="CI90" s="8"/>
      <c r="CJ90" s="8"/>
      <c r="CK90" s="8"/>
      <c r="CL90" s="336" t="str">
        <f>IF(OR(RIGHT(G89,3)="5Pr",RIGHT(G89,4)="10Pr",RIGHT(G89,4)="15Pr"),"28",IF(OR(RIGHT(G89,4)="20Pr",RIGHT(G89,4)="30Pr"),"36",IF(OR(RIGHT(G89,4)="50Pr",RIGHT(G89,4)="70Pr"),"42","")))</f>
        <v>28</v>
      </c>
      <c r="CM90" s="336" t="str">
        <f>IF(OR(RIGHT(G89,3)="5Pr",RIGHT(G89,4)="10Pr",RIGHT(G89,4)="15Pr"),"31",IF(OR(RIGHT(G89,4)="20Pr",RIGHT(G89,4)="30Pr"),"39",IF(OR(RIGHT(G89,4)="50Pr",RIGHT(G89,4)="70Pr"),"51","")))</f>
        <v>31</v>
      </c>
      <c r="CN90" s="86" t="str">
        <f>IF(OR(RIGHT(G90,3)="5Pr",RIGHT(G90,4)="10Pr",RIGHT(G90,4)="15Pr"),"28",IF(OR(RIGHT(G90,4)="20Pr",RIGHT(G90,4)="30Pr"),"36",IF(OR(RIGHT(G90,4)="50Pr",RIGHT(G90,4)="70Pr"),"42","")))</f>
        <v>28</v>
      </c>
      <c r="CO90" s="86" t="str">
        <f>IF(OR(RIGHT(G90,3)="5Pr",RIGHT(G90,4)="10Pr",RIGHT(G90,4)="15Pr"),"31",IF(OR(RIGHT(G90,4)="20Pr",RIGHT(G90,4)="30Pr"),"39",IF(OR(RIGHT(G90,4)="50Pr",RIGHT(G90,4)="70Pr"),"51","")))</f>
        <v>31</v>
      </c>
      <c r="CP90" s="9"/>
      <c r="CQ90" s="9"/>
      <c r="CR90" s="335">
        <f>IF(P84="不要","",SUM(CS90:CX90))</f>
        <v>25</v>
      </c>
      <c r="CS90" s="334">
        <f>IF(OR(CK84="",CK84="=",P84="不要"),0,IF(CK84="－",CL89+CS82,IF(CK84="+",CL89+CS98)))</f>
        <v>16</v>
      </c>
      <c r="CT90" s="188">
        <f>IF(OR(CK84="",CK84="=",P84="不要"),0,IF(CS90&lt;7,1,IF(CS90&lt;14,2,IF(CS90&lt;21,3,IF(CS90&lt;28,4,IF(CS90&lt;35,5,IF(CS90&lt;42,6,IF(CS90&lt;49,7,IF(CS90&lt;56,8,IF(CS90&lt;63,9,IF(CS90&lt;70,10,IF(CS90&lt;77,11,"---"))))))))))))</f>
        <v>3</v>
      </c>
      <c r="CU90" s="188">
        <f>IF(CS90=0,0,1)</f>
        <v>1</v>
      </c>
      <c r="CV90" s="333">
        <f>IF(CS90=0,0,1)</f>
        <v>1</v>
      </c>
      <c r="CW90" s="333">
        <f>IF(CS90=0,0,2)</f>
        <v>2</v>
      </c>
      <c r="CX90" s="333">
        <f>IF(CS90=0,0,2)</f>
        <v>2</v>
      </c>
      <c r="CY90" s="332">
        <f>IF(OR(BR93="",P84="不要"),0,IF(CK84="=",0,IF(CK84="－",2*BR85+3,IF(CK84="+",2*(BR85+BR93)+3,""))))</f>
        <v>19</v>
      </c>
      <c r="CZ90" s="216"/>
      <c r="DA90" s="9"/>
      <c r="DB90" s="127">
        <f t="shared" si="22"/>
        <v>10</v>
      </c>
      <c r="DC90" s="127" t="str">
        <f t="shared" si="23"/>
        <v/>
      </c>
      <c r="DD90" s="11"/>
      <c r="DE90" s="9"/>
      <c r="DF90" s="9"/>
      <c r="DG90" s="9"/>
      <c r="DH90" s="9"/>
      <c r="DI90" s="242"/>
      <c r="DJ90" s="13"/>
      <c r="DK90" s="127">
        <f t="shared" si="24"/>
        <v>4</v>
      </c>
      <c r="DL90" s="127" t="str">
        <f t="shared" si="25"/>
        <v/>
      </c>
      <c r="DM90" s="11" t="str">
        <f>IF(CY85="","",CV85)</f>
        <v/>
      </c>
      <c r="DN90" s="11"/>
      <c r="DO90" s="11"/>
      <c r="DP90" s="9"/>
      <c r="DQ90" s="9" t="str">
        <f>IF(COUNTIF($DM$15:DM89,DM90)&gt;0,"",DM90)</f>
        <v/>
      </c>
      <c r="DR90" s="101" t="str">
        <f>CY85</f>
        <v/>
      </c>
      <c r="DS90" s="32">
        <f t="shared" si="28"/>
        <v>8</v>
      </c>
      <c r="DT90" s="9"/>
      <c r="DU90" s="8">
        <f t="shared" si="26"/>
        <v>4</v>
      </c>
      <c r="DV90" s="8" t="str">
        <f t="shared" si="27"/>
        <v/>
      </c>
      <c r="DW90" s="8"/>
      <c r="DX90" s="8"/>
      <c r="DY90" s="8"/>
      <c r="DZ90" s="8"/>
      <c r="EA90" s="8"/>
      <c r="EB90" s="8"/>
      <c r="EC90" s="8"/>
    </row>
    <row r="91" spans="1:133" ht="11.25" customHeight="1">
      <c r="A91" s="15"/>
      <c r="B91" s="23"/>
      <c r="C91" s="37"/>
      <c r="D91" s="37"/>
      <c r="E91" s="37"/>
      <c r="F91" s="37"/>
      <c r="G91" s="331"/>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157"/>
      <c r="AH91" s="157"/>
      <c r="AI91" s="157"/>
      <c r="AJ91" s="157"/>
      <c r="AK91" s="157"/>
      <c r="AL91" s="157"/>
      <c r="AM91" s="157"/>
      <c r="AN91" s="377"/>
      <c r="AO91" s="377"/>
      <c r="AP91" s="377"/>
      <c r="AQ91" s="37"/>
      <c r="AR91" s="37"/>
      <c r="AS91" s="37"/>
      <c r="AT91" s="157"/>
      <c r="AU91" s="157"/>
      <c r="AV91" s="157"/>
      <c r="AW91" s="157"/>
      <c r="AX91" s="157"/>
      <c r="AY91" s="157"/>
      <c r="AZ91" s="157"/>
      <c r="BA91" s="377"/>
      <c r="BB91" s="377"/>
      <c r="BC91" s="377"/>
      <c r="BD91" s="37"/>
      <c r="BE91" s="37"/>
      <c r="BF91" s="37"/>
      <c r="BG91" s="157"/>
      <c r="BH91" s="157"/>
      <c r="BI91" s="157"/>
      <c r="BJ91" s="157"/>
      <c r="BK91" s="157"/>
      <c r="BL91" s="157"/>
      <c r="BM91" s="157"/>
      <c r="BN91" s="157"/>
      <c r="BO91" s="377"/>
      <c r="BP91" s="377"/>
      <c r="BQ91" s="377"/>
      <c r="BR91" s="37"/>
      <c r="BS91" s="37"/>
      <c r="BT91" s="37"/>
      <c r="BU91" s="19"/>
      <c r="BV91" s="35"/>
      <c r="BW91" s="99"/>
      <c r="BX91" s="35"/>
      <c r="BY91" s="35"/>
      <c r="BZ91" s="35"/>
      <c r="CA91" s="35"/>
      <c r="CB91" s="35"/>
      <c r="CC91" s="35"/>
      <c r="CD91" s="35"/>
      <c r="CE91" s="35"/>
      <c r="CF91" s="35"/>
      <c r="CG91" s="35"/>
      <c r="CH91" s="35"/>
      <c r="CI91" s="8"/>
      <c r="CJ91" s="8"/>
      <c r="CK91" s="8"/>
      <c r="CL91" s="64"/>
      <c r="CM91" s="64"/>
      <c r="CN91" s="64"/>
      <c r="CO91" s="64"/>
      <c r="CP91" s="9"/>
      <c r="CQ91" s="9"/>
      <c r="CR91" s="376"/>
      <c r="CS91" s="375"/>
      <c r="CT91" s="145"/>
      <c r="CU91" s="145"/>
      <c r="CV91" s="127"/>
      <c r="CW91" s="127"/>
      <c r="CX91" s="127"/>
      <c r="CY91" s="9"/>
      <c r="CZ91" s="218"/>
      <c r="DA91" s="9"/>
      <c r="DB91" s="9">
        <f t="shared" si="22"/>
        <v>10</v>
      </c>
      <c r="DC91" s="9" t="str">
        <f t="shared" si="23"/>
        <v/>
      </c>
      <c r="DD91" s="9"/>
      <c r="DE91" s="9"/>
      <c r="DF91" s="9"/>
      <c r="DG91" s="9"/>
      <c r="DH91" s="9"/>
      <c r="DI91" s="9"/>
      <c r="DJ91" s="9"/>
      <c r="DK91" s="9">
        <f t="shared" si="24"/>
        <v>4</v>
      </c>
      <c r="DL91" s="9" t="str">
        <f t="shared" si="25"/>
        <v/>
      </c>
      <c r="DM91" s="11" t="str">
        <f>IF(CY86="","",CV86)</f>
        <v>P1総合盤露出</v>
      </c>
      <c r="DN91" s="11"/>
      <c r="DO91" s="11"/>
      <c r="DP91" s="9"/>
      <c r="DQ91" s="9" t="str">
        <f>IF(COUNTIF($DM$15:DM90,DM91)&gt;0,"",DM91)</f>
        <v/>
      </c>
      <c r="DR91" s="101">
        <f>CY86</f>
        <v>2</v>
      </c>
      <c r="DS91" s="13">
        <f t="shared" si="28"/>
        <v>8</v>
      </c>
      <c r="DT91" s="9"/>
      <c r="DU91" s="127">
        <f t="shared" si="26"/>
        <v>4</v>
      </c>
      <c r="DV91" s="127" t="str">
        <f t="shared" si="27"/>
        <v/>
      </c>
      <c r="DW91" s="9"/>
      <c r="DX91" s="9"/>
      <c r="DY91" s="9"/>
      <c r="DZ91" s="9"/>
      <c r="EA91" s="9"/>
      <c r="EB91" s="9"/>
      <c r="EC91" s="9"/>
    </row>
    <row r="92" spans="1:133" ht="11.25" customHeight="1" thickBot="1">
      <c r="A92" s="374">
        <v>10</v>
      </c>
      <c r="B92" s="23"/>
      <c r="C92" s="2626" t="str">
        <f>非誘!J70</f>
        <v>( 4 )</v>
      </c>
      <c r="D92" s="2627"/>
      <c r="E92" s="2628"/>
      <c r="F92" s="2629" t="str">
        <f>非誘!M70</f>
        <v>百貨店等</v>
      </c>
      <c r="G92" s="2629"/>
      <c r="H92" s="2629"/>
      <c r="I92" s="2629"/>
      <c r="J92" s="2629"/>
      <c r="K92" s="2629"/>
      <c r="L92" s="2629"/>
      <c r="M92" s="2629"/>
      <c r="N92" s="2629"/>
      <c r="O92" s="2629"/>
      <c r="P92" s="2630" t="str">
        <f>IF(U92="",RIGHT($D$8,2),U92)</f>
        <v>設置</v>
      </c>
      <c r="Q92" s="2630"/>
      <c r="R92" s="2630"/>
      <c r="S92" s="2631"/>
      <c r="T92" s="31" t="s">
        <v>387</v>
      </c>
      <c r="U92" s="2632"/>
      <c r="V92" s="2632"/>
      <c r="W92" s="2632"/>
      <c r="X92" s="2633"/>
      <c r="Y92" s="2634" t="s">
        <v>20</v>
      </c>
      <c r="Z92" s="2634"/>
      <c r="AA92" s="2634"/>
      <c r="AB92" s="2634"/>
      <c r="AC92" s="2634"/>
      <c r="AD92" s="2635">
        <f>非誘!J71</f>
        <v>0.5</v>
      </c>
      <c r="AE92" s="2635"/>
      <c r="AF92" s="2635"/>
      <c r="AG92" s="2635"/>
      <c r="AH92" s="2299" t="s">
        <v>135</v>
      </c>
      <c r="AI92" s="2299"/>
      <c r="AJ92" s="2299"/>
      <c r="AK92" s="2299"/>
      <c r="AL92" s="2299"/>
      <c r="AM92" s="2299" t="s">
        <v>366</v>
      </c>
      <c r="AN92" s="2299"/>
      <c r="AO92" s="2299"/>
      <c r="AP92" s="2299"/>
      <c r="AQ92" s="2569" t="str">
        <f>IF(AX92="","天井ケーブル",AX92)</f>
        <v>天井(C 管)</v>
      </c>
      <c r="AR92" s="2569"/>
      <c r="AS92" s="2569"/>
      <c r="AT92" s="2569"/>
      <c r="AU92" s="2569"/>
      <c r="AV92" s="2569"/>
      <c r="AW92" s="175" t="s">
        <v>387</v>
      </c>
      <c r="AX92" s="2338" t="s">
        <v>388</v>
      </c>
      <c r="AY92" s="2338"/>
      <c r="AZ92" s="2338"/>
      <c r="BA92" s="2338"/>
      <c r="BB92" s="2338"/>
      <c r="BC92" s="2338"/>
      <c r="BD92" s="2299" t="s">
        <v>363</v>
      </c>
      <c r="BE92" s="2299"/>
      <c r="BF92" s="2299"/>
      <c r="BG92" s="2299"/>
      <c r="BH92" s="2569" t="str">
        <f>IF(BO92="","天井(C 管)",BO92)</f>
        <v>天井(C 管)</v>
      </c>
      <c r="BI92" s="2569"/>
      <c r="BJ92" s="2569"/>
      <c r="BK92" s="2569"/>
      <c r="BL92" s="2569"/>
      <c r="BM92" s="2569"/>
      <c r="BN92" s="175" t="s">
        <v>387</v>
      </c>
      <c r="BO92" s="2338"/>
      <c r="BP92" s="2338"/>
      <c r="BQ92" s="2338"/>
      <c r="BR92" s="2338"/>
      <c r="BS92" s="2338"/>
      <c r="BT92" s="2622"/>
      <c r="BU92" s="19"/>
      <c r="BV92" s="35"/>
      <c r="BW92" s="99"/>
      <c r="BX92" s="35"/>
      <c r="BY92" s="35"/>
      <c r="BZ92" s="35"/>
      <c r="CA92" s="35"/>
      <c r="CB92" s="35"/>
      <c r="CC92" s="35"/>
      <c r="CD92" s="35"/>
      <c r="CE92" s="35"/>
      <c r="CF92" s="35"/>
      <c r="CG92" s="35"/>
      <c r="CH92" s="35"/>
      <c r="CI92" s="8">
        <v>23</v>
      </c>
      <c r="CJ92" s="97" t="str">
        <f>IF(LEFT(C93,2)=" B",-MID(C93,3,1),IF(C93="  RF","",LEFT(C93,3)))</f>
        <v xml:space="preserve">  8</v>
      </c>
      <c r="CK92" s="10" t="str">
        <f>IF(OR(C93="",C93="  RF"),"",IF(LEFT(C93,1)="P","+",IF($CJ$14&gt;CJ92,"－",IF($CJ$14=CJ92,"=","+"))))</f>
        <v>+</v>
      </c>
      <c r="CL92" s="2601" t="s">
        <v>376</v>
      </c>
      <c r="CM92" s="2601"/>
      <c r="CN92" s="2601"/>
      <c r="CO92" s="2601" t="s">
        <v>375</v>
      </c>
      <c r="CP92" s="2601"/>
      <c r="CQ92" s="2601"/>
      <c r="CR92" s="2589" t="str">
        <f>AG93</f>
        <v>防火区画処理</v>
      </c>
      <c r="CS92" s="2590"/>
      <c r="CT92" s="2591"/>
      <c r="CU92" s="184">
        <f>AN93</f>
        <v>13</v>
      </c>
      <c r="CV92" s="2589" t="str">
        <f>AG97</f>
        <v>光電式煙2種埋</v>
      </c>
      <c r="CW92" s="2590"/>
      <c r="CX92" s="2591"/>
      <c r="CY92" s="184">
        <f>AN97</f>
        <v>8</v>
      </c>
      <c r="CZ92" s="216"/>
      <c r="DA92" s="88">
        <v>10</v>
      </c>
      <c r="DB92" s="373">
        <f t="shared" si="22"/>
        <v>10</v>
      </c>
      <c r="DC92" s="45" t="str">
        <f t="shared" si="23"/>
        <v/>
      </c>
      <c r="DD92" s="45"/>
      <c r="DE92" s="45"/>
      <c r="DF92" s="45"/>
      <c r="DG92" s="45"/>
      <c r="DH92" s="45"/>
      <c r="DI92" s="45"/>
      <c r="DJ92" s="45"/>
      <c r="DK92" s="45">
        <f t="shared" si="24"/>
        <v>4</v>
      </c>
      <c r="DL92" s="45" t="str">
        <f t="shared" si="25"/>
        <v/>
      </c>
      <c r="DM92" s="154" t="str">
        <f>IF(CY87="","",CV87)</f>
        <v/>
      </c>
      <c r="DN92" s="154"/>
      <c r="DO92" s="154"/>
      <c r="DP92" s="45"/>
      <c r="DQ92" s="45"/>
      <c r="DR92" s="209"/>
      <c r="DS92" s="230">
        <f t="shared" si="28"/>
        <v>0</v>
      </c>
      <c r="DT92" s="88">
        <v>10</v>
      </c>
      <c r="DU92" s="204">
        <f t="shared" si="26"/>
        <v>4</v>
      </c>
      <c r="DV92" s="155" t="str">
        <f t="shared" si="27"/>
        <v/>
      </c>
      <c r="DW92" s="45"/>
      <c r="DX92" s="45"/>
      <c r="DY92" s="45"/>
      <c r="DZ92" s="45"/>
      <c r="EA92" s="45"/>
      <c r="EB92" s="45"/>
      <c r="EC92" s="45"/>
    </row>
    <row r="93" spans="1:133" ht="11.25" customHeight="1" thickBot="1">
      <c r="A93" s="15">
        <v>81</v>
      </c>
      <c r="B93" s="23"/>
      <c r="C93" s="2602" t="str">
        <f>非誘!C72</f>
        <v xml:space="preserve">  8F</v>
      </c>
      <c r="D93" s="2603"/>
      <c r="E93" s="2604"/>
      <c r="F93" s="2605">
        <f>非誘!F72</f>
        <v>4</v>
      </c>
      <c r="G93" s="2606"/>
      <c r="H93" s="2606"/>
      <c r="I93" s="2607"/>
      <c r="J93" s="2605">
        <f>非誘!J72</f>
        <v>3</v>
      </c>
      <c r="K93" s="2606"/>
      <c r="L93" s="2606"/>
      <c r="M93" s="2607"/>
      <c r="N93" s="2608">
        <f>非誘!N72</f>
        <v>1152</v>
      </c>
      <c r="O93" s="2609"/>
      <c r="P93" s="2609"/>
      <c r="Q93" s="2609"/>
      <c r="R93" s="2610"/>
      <c r="S93" s="2608">
        <f>非誘!S72</f>
        <v>806.4</v>
      </c>
      <c r="T93" s="2609"/>
      <c r="U93" s="2609"/>
      <c r="V93" s="2610"/>
      <c r="W93" s="2608">
        <f>非誘!W72</f>
        <v>345.6</v>
      </c>
      <c r="X93" s="2609"/>
      <c r="Y93" s="2609"/>
      <c r="Z93" s="2610"/>
      <c r="AA93" s="2611">
        <f>非誘!AA72</f>
        <v>3</v>
      </c>
      <c r="AB93" s="2603"/>
      <c r="AC93" s="2604"/>
      <c r="AD93" s="2612">
        <f>非誘!AD72</f>
        <v>9</v>
      </c>
      <c r="AE93" s="2613"/>
      <c r="AF93" s="2614"/>
      <c r="AG93" s="2615" t="str">
        <f>IF($B$2=0,"","防火区画処理")</f>
        <v>防火区画処理</v>
      </c>
      <c r="AH93" s="2615"/>
      <c r="AI93" s="2615"/>
      <c r="AJ93" s="2615"/>
      <c r="AK93" s="2615"/>
      <c r="AL93" s="2615"/>
      <c r="AM93" s="2615"/>
      <c r="AN93" s="2616">
        <f>IF(OR($B$2=0,C93="",P92="不要"),"",AZ93+BG93+BR93*2)</f>
        <v>13</v>
      </c>
      <c r="AO93" s="2616"/>
      <c r="AP93" s="2616"/>
      <c r="AQ93" s="2617" t="s">
        <v>374</v>
      </c>
      <c r="AR93" s="2617"/>
      <c r="AS93" s="2617"/>
      <c r="AT93" s="2617"/>
      <c r="AU93" s="2617"/>
      <c r="AV93" s="2618" t="s">
        <v>373</v>
      </c>
      <c r="AW93" s="2618"/>
      <c r="AX93" s="2618"/>
      <c r="AY93" s="2618"/>
      <c r="AZ93" s="2619">
        <f>IF(OR($B$2=0,C93="",P92="不要"),"",IF(LEFT(C93,1)="P",1+INT(W93/450),INT(S93/450)+1+INT(W93/450)))</f>
        <v>2</v>
      </c>
      <c r="BA93" s="2619"/>
      <c r="BB93" s="2619"/>
      <c r="BC93" s="2618" t="s">
        <v>372</v>
      </c>
      <c r="BD93" s="2618"/>
      <c r="BE93" s="2618"/>
      <c r="BF93" s="2618"/>
      <c r="BG93" s="2619">
        <f>IF(OR($B$2=0,C93="",P92="不要"),"",1+INT(N93/500))</f>
        <v>3</v>
      </c>
      <c r="BH93" s="2619"/>
      <c r="BI93" s="2619"/>
      <c r="BJ93" s="2617" t="s">
        <v>371</v>
      </c>
      <c r="BK93" s="2617"/>
      <c r="BL93" s="2617"/>
      <c r="BM93" s="2617"/>
      <c r="BN93" s="2617"/>
      <c r="BO93" s="2617"/>
      <c r="BP93" s="2617"/>
      <c r="BQ93" s="2617"/>
      <c r="BR93" s="2620">
        <f>IF(OR($B$2=0,C93="",P92="不要"),"",1+INT(0.055*N93^0.6))</f>
        <v>4</v>
      </c>
      <c r="BS93" s="2620"/>
      <c r="BT93" s="2621"/>
      <c r="BU93" s="19"/>
      <c r="BV93" s="35"/>
      <c r="BW93" s="99"/>
      <c r="BX93" s="35"/>
      <c r="BY93" s="35"/>
      <c r="BZ93" s="35"/>
      <c r="CA93" s="35"/>
      <c r="CB93" s="35"/>
      <c r="CC93" s="35"/>
      <c r="CD93" s="35"/>
      <c r="CE93" s="35"/>
      <c r="CF93" s="35"/>
      <c r="CG93" s="35"/>
      <c r="CH93" s="35"/>
      <c r="CI93" s="8">
        <v>2</v>
      </c>
      <c r="CJ93" s="88" t="s">
        <v>386</v>
      </c>
      <c r="CK93" s="88" t="s">
        <v>385</v>
      </c>
      <c r="CL93" s="372">
        <f>IF(C94="","",IF(AX98="①",CJ94+CK94+3,IF(AX98="②",CJ94*5/8+CK94+3,IF(AX98="③",CJ94/2+CK94+3,IF(AX98="④",CJ94+CK94*5/8+3,IF(AX98="⑤",(CJ94+CK94)*5/8+3,IF(AX98="⑥",CJ94/2+CK94*5/8+3,IF(AX98="⑦",CJ94+CK94/2+3,IF(AX98="⑧",CJ94*5/8+CK94/2+3,IF(AX98="⑨",(CJ94+CK94)/2+3))))))))))</f>
        <v>27</v>
      </c>
      <c r="CM93" s="371" t="s">
        <v>384</v>
      </c>
      <c r="CN93" s="371" t="s">
        <v>383</v>
      </c>
      <c r="CO93" s="370"/>
      <c r="CP93" s="371" t="s">
        <v>384</v>
      </c>
      <c r="CQ93" s="370" t="s">
        <v>383</v>
      </c>
      <c r="CR93" s="2589" t="str">
        <f>AG94</f>
        <v>差動SP2種埋</v>
      </c>
      <c r="CS93" s="2590"/>
      <c r="CT93" s="2591"/>
      <c r="CU93" s="184" t="str">
        <f>AN94</f>
        <v/>
      </c>
      <c r="CV93" s="2589" t="str">
        <f>AT96</f>
        <v>HP起動押ボタン</v>
      </c>
      <c r="CW93" s="2590"/>
      <c r="CX93" s="2591"/>
      <c r="CY93" s="184" t="str">
        <f>BA96</f>
        <v/>
      </c>
      <c r="CZ93" s="216"/>
      <c r="DA93" s="8"/>
      <c r="DB93" s="197">
        <f t="shared" si="22"/>
        <v>10</v>
      </c>
      <c r="DC93" s="197" t="str">
        <f t="shared" si="23"/>
        <v/>
      </c>
      <c r="DD93" s="201" t="str">
        <f>G94</f>
        <v>AE 0.9mm-4C</v>
      </c>
      <c r="DE93" s="8"/>
      <c r="DF93" s="8"/>
      <c r="DG93" s="8"/>
      <c r="DH93" s="8" t="str">
        <f>IF(COUNTIF($DD$15:DD92,DD93)&gt;0,"",DD93)</f>
        <v/>
      </c>
      <c r="DI93" s="252">
        <f>O94</f>
        <v>149</v>
      </c>
      <c r="DJ93" s="32">
        <f t="shared" ref="DJ93:DJ98" si="29">SUMIF($DD$17:$DD$184,DH93,$DI$17:$DI$184)</f>
        <v>0</v>
      </c>
      <c r="DK93" s="197">
        <f t="shared" si="24"/>
        <v>4</v>
      </c>
      <c r="DL93" s="197" t="str">
        <f t="shared" si="25"/>
        <v/>
      </c>
      <c r="DM93" s="10" t="str">
        <f>IF(CU93="","",CR93)</f>
        <v/>
      </c>
      <c r="DN93" s="10" t="str">
        <f>CR93</f>
        <v>差動SP2種埋</v>
      </c>
      <c r="DO93" s="10"/>
      <c r="DP93" s="8"/>
      <c r="DQ93" s="8" t="str">
        <f>IF(COUNTIF($DM$15:DM92,DM93)&gt;0,"",DM93)</f>
        <v/>
      </c>
      <c r="DR93" s="200" t="str">
        <f>CU93</f>
        <v/>
      </c>
      <c r="DS93" s="32">
        <f t="shared" ref="DS93:DS99" si="30">SUMIF($DM$17:$DM$184,DQ93,$DR$17:$DR$184)</f>
        <v>8</v>
      </c>
      <c r="DT93" s="8"/>
      <c r="DU93" s="197">
        <f t="shared" si="26"/>
        <v>4</v>
      </c>
      <c r="DV93" s="197" t="str">
        <f t="shared" si="27"/>
        <v/>
      </c>
      <c r="DW93" s="201"/>
      <c r="DX93" s="8"/>
      <c r="DY93" s="8"/>
      <c r="DZ93" s="8"/>
      <c r="EA93" s="8"/>
      <c r="EB93" s="252"/>
      <c r="EC93" s="32"/>
    </row>
    <row r="94" spans="1:133" ht="11.25" customHeight="1">
      <c r="A94" s="15"/>
      <c r="B94" s="23"/>
      <c r="C94" s="2623" t="s">
        <v>366</v>
      </c>
      <c r="D94" s="2624"/>
      <c r="E94" s="2624"/>
      <c r="F94" s="2624"/>
      <c r="G94" s="2625" t="str">
        <f>IF(C93="","","AE 0.9mm-4C")</f>
        <v>AE 0.9mm-4C</v>
      </c>
      <c r="H94" s="2625"/>
      <c r="I94" s="2625"/>
      <c r="J94" s="2625"/>
      <c r="K94" s="2625"/>
      <c r="L94" s="2625"/>
      <c r="M94" s="2625"/>
      <c r="N94" s="2625"/>
      <c r="O94" s="2593">
        <f>IF($B$2=0,"",IF(OR(C93="",P92="不要"),"",ROUND((CM94+CN94),0)))</f>
        <v>149</v>
      </c>
      <c r="P94" s="2593"/>
      <c r="Q94" s="2593"/>
      <c r="R94" s="2593"/>
      <c r="S94" s="2593"/>
      <c r="T94" s="2593" t="str">
        <f>IF(OR($B$2=0,C93="",P92="不要"),"",IF(AQ92="天井ケーブル","C-19mm",IF(MID(AQ92,4,2)="PF","PF-16mm",IF(MID(AQ92,4,2)="CD","CD-16mm",IF(MID(AQ92,4,2)="C ","C-19mm",IF(MID(AQ92,4,2)="G ","G-16mm",""))))))</f>
        <v>C-19mm</v>
      </c>
      <c r="U94" s="2593"/>
      <c r="V94" s="2593"/>
      <c r="W94" s="2593"/>
      <c r="X94" s="2593"/>
      <c r="Y94" s="2593"/>
      <c r="Z94" s="2593"/>
      <c r="AA94" s="2593"/>
      <c r="AB94" s="2593">
        <f>IF(OR($B$2=0,C93="",P92="不要"),"",IF(CQ94="",ROUND(CP94,0),ROUND((CP94+CQ94),0)))</f>
        <v>119</v>
      </c>
      <c r="AC94" s="2593"/>
      <c r="AD94" s="2593"/>
      <c r="AE94" s="2593"/>
      <c r="AF94" s="2593"/>
      <c r="AG94" s="2595" t="str">
        <f>IF($B$2=0,"","差動SP2種埋")</f>
        <v>差動SP2種埋</v>
      </c>
      <c r="AH94" s="2595"/>
      <c r="AI94" s="2595"/>
      <c r="AJ94" s="2595"/>
      <c r="AK94" s="2595"/>
      <c r="AL94" s="2595"/>
      <c r="AM94" s="2595"/>
      <c r="AN94" s="2593" t="str">
        <f>IF(OR(C93="",P92="不要"),"",IF(AQ94&lt;&gt;"",AQ94,IF(AX98="B","",IF(AZ97="無窓","",IF(AND(BL97="耐 火",AZ97="有窓"),BZ94+CA94,CD94+CE94)))))</f>
        <v/>
      </c>
      <c r="AO94" s="2593"/>
      <c r="AP94" s="2593"/>
      <c r="AQ94" s="2594"/>
      <c r="AR94" s="2594"/>
      <c r="AS94" s="2594"/>
      <c r="AT94" s="2595" t="str">
        <f>IF($B$2=0,"","P1総合盤露出")</f>
        <v>P1総合盤露出</v>
      </c>
      <c r="AU94" s="2595"/>
      <c r="AV94" s="2595"/>
      <c r="AW94" s="2595"/>
      <c r="AX94" s="2595"/>
      <c r="AY94" s="2595"/>
      <c r="AZ94" s="2595"/>
      <c r="BA94" s="2593">
        <f>IF(P92="不要","",IF(BD94&lt;&gt;"",BD94,IF([4]Top!$BD$51="要","",AZ93)))</f>
        <v>2</v>
      </c>
      <c r="BB94" s="2593"/>
      <c r="BC94" s="2593"/>
      <c r="BD94" s="2594"/>
      <c r="BE94" s="2594"/>
      <c r="BF94" s="2594"/>
      <c r="BG94" s="2597" t="str">
        <f>IF($B$2=0,"","ﾗｯﾁ電磁レリーズ")</f>
        <v>ﾗｯﾁ電磁レリーズ</v>
      </c>
      <c r="BH94" s="2597"/>
      <c r="BI94" s="2597"/>
      <c r="BJ94" s="2597"/>
      <c r="BK94" s="2597"/>
      <c r="BL94" s="2597"/>
      <c r="BM94" s="2597"/>
      <c r="BN94" s="2597"/>
      <c r="BO94" s="2593">
        <f>IF(P92="不要","",IF(BR94&lt;&gt;"",BR94,BR93))</f>
        <v>4</v>
      </c>
      <c r="BP94" s="2593"/>
      <c r="BQ94" s="2593"/>
      <c r="BR94" s="2594"/>
      <c r="BS94" s="2594"/>
      <c r="BT94" s="2596"/>
      <c r="BU94" s="19"/>
      <c r="BV94" s="35"/>
      <c r="BW94" s="351" t="s">
        <v>365</v>
      </c>
      <c r="BX94" s="368"/>
      <c r="BY94" s="369"/>
      <c r="BZ94" s="344">
        <f>IF(AA93="",0,IF(OR([6]Top!$BD$72&lt;&gt;"要",C93=""),"",IF(J93&gt;=4,1+INT(AA93*2.4),1+INT(AA93*1.2))))</f>
        <v>4</v>
      </c>
      <c r="CA94" s="360">
        <f>IF(OR([6]Top!$BD$72&lt;&gt;"要",C93=""),"",IF(J93&gt;=4,1+INT(AD93*2.4),1+INT(AD93*1.2)))</f>
        <v>11</v>
      </c>
      <c r="CB94" s="368"/>
      <c r="CC94" s="369"/>
      <c r="CD94" s="343">
        <f>IF($AX$8&lt;=500,BZ94*2,1+INT(BZ94*2.5))</f>
        <v>11</v>
      </c>
      <c r="CE94" s="360">
        <f>IF($AX$8&lt;=500,CA94*2,1+INT(CA94*2.5))</f>
        <v>28</v>
      </c>
      <c r="CF94" s="368"/>
      <c r="CG94" s="367"/>
      <c r="CH94" s="35"/>
      <c r="CI94" s="133">
        <f>IF(AZ93&lt;&gt;"",AZ93,0)</f>
        <v>2</v>
      </c>
      <c r="CJ94" s="98">
        <f>非誘!BW72</f>
        <v>12</v>
      </c>
      <c r="CK94" s="98">
        <f>非誘!BX72</f>
        <v>24</v>
      </c>
      <c r="CL94" s="88" t="s">
        <v>364</v>
      </c>
      <c r="CM94" s="185">
        <f>IF(OR(C93="",C93="  RF"),"",IF(J93="直天",$AN$10/1000+F93-1.2+SQRT(CK95/CM95),$AN$10/1000+J93-1.2+SQRT(CK95/CM95)))</f>
        <v>14.097958971132712</v>
      </c>
      <c r="CN94" s="185">
        <f>IF(OR(C93="",P92="不要"),"",CL93+CK96*AZ93)</f>
        <v>135</v>
      </c>
      <c r="CO94" s="88" t="s">
        <v>364</v>
      </c>
      <c r="CP94" s="185">
        <f>IF(OR(C93="",C93="  RF"),"",IF(J93="直天",F93-1.2+SQRT(CK95/CM95),IF(AQ92="天井ケーブル",J93-1.2,J93-1.2+SQRT(CK95/CM95))))</f>
        <v>11.597958971132712</v>
      </c>
      <c r="CQ94" s="356">
        <f>IF(OR(C93="",C93="  RF"),"",IF(AQ92="天井ケーブル","",(CM95-1)*SQRT(CK95/CM95)))</f>
        <v>107.77754868245982</v>
      </c>
      <c r="CR94" s="2589" t="str">
        <f>AG95</f>
        <v>定温SP1種WP</v>
      </c>
      <c r="CS94" s="2590"/>
      <c r="CT94" s="2591"/>
      <c r="CU94" s="184">
        <f>AN95</f>
        <v>2</v>
      </c>
      <c r="CV94" s="2589" t="str">
        <f>AT94</f>
        <v>P1総合盤露出</v>
      </c>
      <c r="CW94" s="2590"/>
      <c r="CX94" s="2591"/>
      <c r="CY94" s="184">
        <f>BA94</f>
        <v>2</v>
      </c>
      <c r="CZ94" s="216"/>
      <c r="DA94" s="8"/>
      <c r="DB94" s="197">
        <f t="shared" si="22"/>
        <v>10</v>
      </c>
      <c r="DC94" s="197" t="str">
        <f t="shared" si="23"/>
        <v/>
      </c>
      <c r="DD94" s="201" t="str">
        <f>G95</f>
        <v>HP 1.2mm-3C</v>
      </c>
      <c r="DE94" s="8"/>
      <c r="DF94" s="8"/>
      <c r="DG94" s="8"/>
      <c r="DH94" s="8" t="str">
        <f>IF(COUNTIF($DD$15:DD93,DD94)&gt;0,"",DD94)</f>
        <v/>
      </c>
      <c r="DI94" s="252">
        <f>O95</f>
        <v>21</v>
      </c>
      <c r="DJ94" s="32">
        <f t="shared" si="29"/>
        <v>0</v>
      </c>
      <c r="DK94" s="197">
        <f t="shared" si="24"/>
        <v>4</v>
      </c>
      <c r="DL94" s="197" t="str">
        <f t="shared" si="25"/>
        <v/>
      </c>
      <c r="DM94" s="10" t="str">
        <f>IF(CU94="","",CR94)</f>
        <v>定温SP1種WP</v>
      </c>
      <c r="DN94" s="10" t="str">
        <f>CR94</f>
        <v>定温SP1種WP</v>
      </c>
      <c r="DO94" s="10"/>
      <c r="DP94" s="8"/>
      <c r="DQ94" s="8" t="str">
        <f>IF(COUNTIF($DM$15:DM93,DM94)&gt;0,"",DM94)</f>
        <v/>
      </c>
      <c r="DR94" s="200">
        <f>CU94</f>
        <v>2</v>
      </c>
      <c r="DS94" s="32">
        <f t="shared" si="30"/>
        <v>8</v>
      </c>
      <c r="DT94" s="8"/>
      <c r="DU94" s="197">
        <f t="shared" si="26"/>
        <v>4</v>
      </c>
      <c r="DV94" s="197" t="str">
        <f t="shared" si="27"/>
        <v/>
      </c>
      <c r="DW94" s="201" t="str">
        <f>T94</f>
        <v>C-19mm</v>
      </c>
      <c r="DX94" s="8"/>
      <c r="DY94" s="8"/>
      <c r="DZ94" s="8"/>
      <c r="EA94" s="8" t="str">
        <f>IF(COUNTIF($DW$15:DW93,DW94)&gt;0,"",DW94)</f>
        <v/>
      </c>
      <c r="EB94" s="197">
        <f>AB94</f>
        <v>119</v>
      </c>
      <c r="EC94" s="32">
        <f>SUMIF($DW$17:$DW$184,EA94,$EB$17:$EB$184)</f>
        <v>0</v>
      </c>
    </row>
    <row r="95" spans="1:133" ht="11.25" customHeight="1" thickBot="1">
      <c r="A95" s="15"/>
      <c r="B95" s="176"/>
      <c r="C95" s="2568" t="s">
        <v>363</v>
      </c>
      <c r="D95" s="2569"/>
      <c r="E95" s="2569"/>
      <c r="F95" s="2569"/>
      <c r="G95" s="2592" t="str">
        <f>IF(C93="","","HP 1.2mm-3C")</f>
        <v>HP 1.2mm-3C</v>
      </c>
      <c r="H95" s="2592"/>
      <c r="I95" s="2592"/>
      <c r="J95" s="2592"/>
      <c r="K95" s="2592"/>
      <c r="L95" s="2592"/>
      <c r="M95" s="2592"/>
      <c r="N95" s="2592"/>
      <c r="O95" s="2557">
        <f>IF($B$2=0,"",IF(OR(C93="",P92="不要"),"",ROUND(CN96,0)))</f>
        <v>21</v>
      </c>
      <c r="P95" s="2557"/>
      <c r="Q95" s="2557"/>
      <c r="R95" s="2557"/>
      <c r="S95" s="2557"/>
      <c r="T95" s="2557" t="str">
        <f>IF(OR($B$2=0,C93="",P92="不要"),"",IF(BH92="天井ケーブル","C-19mm",IF(MID(BH92,4,2)="PF","PF-16mm",IF(MID(BH92,4,2)="CD","CD-16mm",IF(MID(BH92,4,2)="C ","C-19mm",IF(MID(BH92,4,2)="G ","G-16mm",""))))))</f>
        <v>C-19mm</v>
      </c>
      <c r="U95" s="2557"/>
      <c r="V95" s="2557"/>
      <c r="W95" s="2557"/>
      <c r="X95" s="2557"/>
      <c r="Y95" s="2557"/>
      <c r="Z95" s="2557"/>
      <c r="AA95" s="2557"/>
      <c r="AB95" s="2557">
        <f>IF($B$2=0,"",IF(OR(C93="",P92="不要",CQ97=""),"",CQ96+CQ97))</f>
        <v>32.799999999999997</v>
      </c>
      <c r="AC95" s="2557"/>
      <c r="AD95" s="2557"/>
      <c r="AE95" s="2557"/>
      <c r="AF95" s="2557"/>
      <c r="AG95" s="2572" t="str">
        <f>IF($B$2=0,"","定温SP1種WP")</f>
        <v>定温SP1種WP</v>
      </c>
      <c r="AH95" s="2572"/>
      <c r="AI95" s="2572"/>
      <c r="AJ95" s="2572"/>
      <c r="AK95" s="2572"/>
      <c r="AL95" s="2572"/>
      <c r="AM95" s="2572"/>
      <c r="AN95" s="2312">
        <f>IF(OR($B$2=0,P92="不要"),"",IF(AQ95&lt;&gt;"",AQ95,CA95))</f>
        <v>2</v>
      </c>
      <c r="AO95" s="2312"/>
      <c r="AP95" s="2312"/>
      <c r="AQ95" s="2575"/>
      <c r="AR95" s="2575"/>
      <c r="AS95" s="2575"/>
      <c r="AT95" s="2572" t="str">
        <f>IF($B$2=0,"","P1総合盤埋込")</f>
        <v>P1総合盤埋込</v>
      </c>
      <c r="AU95" s="2572"/>
      <c r="AV95" s="2572"/>
      <c r="AW95" s="2572"/>
      <c r="AX95" s="2572"/>
      <c r="AY95" s="2572"/>
      <c r="AZ95" s="2572"/>
      <c r="BA95" s="2312" t="str">
        <f>IF(P92="不要","",IF(BD95&lt;&gt;"",BD95,IF([4]Top!$BD$51&lt;&gt;"要","",AZ93)))</f>
        <v/>
      </c>
      <c r="BB95" s="2312"/>
      <c r="BC95" s="2312"/>
      <c r="BD95" s="2575"/>
      <c r="BE95" s="2575"/>
      <c r="BF95" s="2575"/>
      <c r="BG95" s="2572" t="str">
        <f>IF($B$2=0,"","ｱｰﾑ電磁レリーズ")</f>
        <v>ｱｰﾑ電磁レリーズ</v>
      </c>
      <c r="BH95" s="2572"/>
      <c r="BI95" s="2572"/>
      <c r="BJ95" s="2572"/>
      <c r="BK95" s="2572"/>
      <c r="BL95" s="2572"/>
      <c r="BM95" s="2572"/>
      <c r="BN95" s="2572"/>
      <c r="BO95" s="2312">
        <f>IF(P92="不要","",IF(BR95&lt;&gt;"",BR95,BR93))</f>
        <v>4</v>
      </c>
      <c r="BP95" s="2312"/>
      <c r="BQ95" s="2312"/>
      <c r="BR95" s="2575"/>
      <c r="BS95" s="2575"/>
      <c r="BT95" s="2576"/>
      <c r="BU95" s="19"/>
      <c r="BV95" s="35"/>
      <c r="BW95" s="351" t="s">
        <v>362</v>
      </c>
      <c r="BX95" s="348"/>
      <c r="BY95" s="349">
        <f>CA95</f>
        <v>2</v>
      </c>
      <c r="BZ95" s="366"/>
      <c r="CA95" s="360">
        <f>IF(C93="","",1+INT(W93/200))</f>
        <v>2</v>
      </c>
      <c r="CB95" s="348"/>
      <c r="CC95" s="359">
        <f>CA95</f>
        <v>2</v>
      </c>
      <c r="CD95" s="365"/>
      <c r="CE95" s="349">
        <f>CA95</f>
        <v>2</v>
      </c>
      <c r="CF95" s="348"/>
      <c r="CG95" s="357">
        <f>CA95</f>
        <v>2</v>
      </c>
      <c r="CH95" s="35"/>
      <c r="CI95" s="133">
        <f>IF(BG93&lt;&gt;"",BG93,0)</f>
        <v>3</v>
      </c>
      <c r="CJ95" s="88" t="s">
        <v>361</v>
      </c>
      <c r="CK95" s="107">
        <f>N93</f>
        <v>1152</v>
      </c>
      <c r="CL95" s="88" t="s">
        <v>360</v>
      </c>
      <c r="CM95" s="185">
        <f>SUM(AN94:AP98)</f>
        <v>12</v>
      </c>
      <c r="CN95" s="364"/>
      <c r="CO95" s="168"/>
      <c r="CP95" s="363"/>
      <c r="CQ95" s="150"/>
      <c r="CR95" s="2598" t="str">
        <f>AG96</f>
        <v>補償SP2種</v>
      </c>
      <c r="CS95" s="2599"/>
      <c r="CT95" s="2600"/>
      <c r="CU95" s="362">
        <f>AN96</f>
        <v>2</v>
      </c>
      <c r="CV95" s="2598" t="str">
        <f>AT95</f>
        <v>P1総合盤埋込</v>
      </c>
      <c r="CW95" s="2599"/>
      <c r="CX95" s="2600"/>
      <c r="CY95" s="362" t="str">
        <f>BA95</f>
        <v/>
      </c>
      <c r="CZ95" s="216"/>
      <c r="DA95" s="8"/>
      <c r="DB95" s="197">
        <f t="shared" si="22"/>
        <v>10</v>
      </c>
      <c r="DC95" s="197" t="str">
        <f t="shared" si="23"/>
        <v/>
      </c>
      <c r="DD95" s="201" t="str">
        <f>G96</f>
        <v>HP 1.2mm-5C</v>
      </c>
      <c r="DE95" s="8"/>
      <c r="DF95" s="8"/>
      <c r="DG95" s="8"/>
      <c r="DH95" s="8" t="str">
        <f>IF(COUNTIF($DD$15:DD94,DD95)&gt;0,"",DD95)</f>
        <v/>
      </c>
      <c r="DI95" s="252">
        <f>O96</f>
        <v>27</v>
      </c>
      <c r="DJ95" s="32">
        <f t="shared" si="29"/>
        <v>0</v>
      </c>
      <c r="DK95" s="197">
        <f t="shared" si="24"/>
        <v>4</v>
      </c>
      <c r="DL95" s="197" t="str">
        <f t="shared" si="25"/>
        <v/>
      </c>
      <c r="DM95" s="10" t="str">
        <f>IF(CU95="","",CR95)</f>
        <v>補償SP2種</v>
      </c>
      <c r="DN95" s="10" t="str">
        <f>CR95</f>
        <v>補償SP2種</v>
      </c>
      <c r="DO95" s="10"/>
      <c r="DP95" s="8"/>
      <c r="DQ95" s="8" t="str">
        <f>IF(COUNTIF($DM$15:DM94,DM95)&gt;0,"",DM95)</f>
        <v/>
      </c>
      <c r="DR95" s="200">
        <f>CU95</f>
        <v>2</v>
      </c>
      <c r="DS95" s="32">
        <f t="shared" si="30"/>
        <v>8</v>
      </c>
      <c r="DT95" s="8"/>
      <c r="DU95" s="197">
        <f t="shared" si="26"/>
        <v>4</v>
      </c>
      <c r="DV95" s="197" t="str">
        <f t="shared" si="27"/>
        <v/>
      </c>
      <c r="DW95" s="201" t="str">
        <f>T95</f>
        <v>C-19mm</v>
      </c>
      <c r="DX95" s="8"/>
      <c r="DY95" s="8"/>
      <c r="DZ95" s="8"/>
      <c r="EA95" s="8" t="str">
        <f>IF(COUNTIF($DW$15:DW94,DW95)&gt;0,"",DW95)</f>
        <v/>
      </c>
      <c r="EB95" s="197">
        <f>AB95</f>
        <v>32.799999999999997</v>
      </c>
      <c r="EC95" s="32">
        <f>SUMIF($DW$17:$DW$184,EA95,$EB$17:$EB$184)</f>
        <v>0</v>
      </c>
    </row>
    <row r="96" spans="1:133" ht="11.25" customHeight="1" thickBot="1">
      <c r="A96" s="15"/>
      <c r="B96" s="23"/>
      <c r="C96" s="2568"/>
      <c r="D96" s="2569"/>
      <c r="E96" s="2569"/>
      <c r="F96" s="2569"/>
      <c r="G96" s="2584" t="str">
        <f>IF(C93="","","HP 1.2mm-5C")</f>
        <v>HP 1.2mm-5C</v>
      </c>
      <c r="H96" s="2584"/>
      <c r="I96" s="2584"/>
      <c r="J96" s="2584"/>
      <c r="K96" s="2584"/>
      <c r="L96" s="2584"/>
      <c r="M96" s="2584"/>
      <c r="N96" s="2584"/>
      <c r="O96" s="2585">
        <f>IF($B$2=0,"",IF(OR(C93="",P92="不要"),"",ROUND(CM96,0)))</f>
        <v>27</v>
      </c>
      <c r="P96" s="2585"/>
      <c r="Q96" s="2585"/>
      <c r="R96" s="2585"/>
      <c r="S96" s="2585"/>
      <c r="T96" s="2585" t="str">
        <f>IF(OR($B$2=0,C93="",P92="不要"),"",IF(BH92="天井ケーブル","C-25mm",IF(MID(BH92,4,2)="PF","PF-22mm",IF(MID(BH92,4,2)="CD","CD-22mm",IF(MID(BH92,4,2)="C ","C-25mm",IF(MID(BH92,4,2)="G ","G-22mm",""))))))</f>
        <v>C-25mm</v>
      </c>
      <c r="U96" s="2585"/>
      <c r="V96" s="2585"/>
      <c r="W96" s="2585"/>
      <c r="X96" s="2585"/>
      <c r="Y96" s="2585"/>
      <c r="Z96" s="2585"/>
      <c r="AA96" s="2585"/>
      <c r="AB96" s="2585">
        <f>IF(OR($B$2=0,C93="",P92="不要"),"",CP96)</f>
        <v>25.8</v>
      </c>
      <c r="AC96" s="2585"/>
      <c r="AD96" s="2585"/>
      <c r="AE96" s="2585"/>
      <c r="AF96" s="2585"/>
      <c r="AG96" s="2572" t="str">
        <f>IF($B$2=0,"","補償SP2種")</f>
        <v>補償SP2種</v>
      </c>
      <c r="AH96" s="2572"/>
      <c r="AI96" s="2572"/>
      <c r="AJ96" s="2572"/>
      <c r="AK96" s="2572"/>
      <c r="AL96" s="2572"/>
      <c r="AM96" s="2572"/>
      <c r="AN96" s="2312">
        <f>IF(OR($B$2=0,P92="不要"),"",IF(AQ96&lt;&gt;"",AQ96,CA96))</f>
        <v>2</v>
      </c>
      <c r="AO96" s="2312"/>
      <c r="AP96" s="2312"/>
      <c r="AQ96" s="2575"/>
      <c r="AR96" s="2575"/>
      <c r="AS96" s="2575"/>
      <c r="AT96" s="2546" t="str">
        <f>IF($B$2=0,"","HP起動押ボタン")</f>
        <v>HP起動押ボタン</v>
      </c>
      <c r="AU96" s="2546"/>
      <c r="AV96" s="2546"/>
      <c r="AW96" s="2546"/>
      <c r="AX96" s="2546"/>
      <c r="AY96" s="2546"/>
      <c r="AZ96" s="2546"/>
      <c r="BA96" s="2544" t="str">
        <f>IF(P92="不要","",IF(BD96&lt;&gt;"",BD96,IF([4]Top!$BL$51="要",AZ93,"")))</f>
        <v/>
      </c>
      <c r="BB96" s="2544"/>
      <c r="BC96" s="2544"/>
      <c r="BD96" s="2573"/>
      <c r="BE96" s="2573"/>
      <c r="BF96" s="2573"/>
      <c r="BG96" s="2546" t="str">
        <f>IF($B$2=0,"","光電式煙3種埋")</f>
        <v>光電式煙3種埋</v>
      </c>
      <c r="BH96" s="2546"/>
      <c r="BI96" s="2546"/>
      <c r="BJ96" s="2546"/>
      <c r="BK96" s="2546"/>
      <c r="BL96" s="2546"/>
      <c r="BM96" s="2546"/>
      <c r="BN96" s="2546"/>
      <c r="BO96" s="2544">
        <f>IF(OR($B$2=0,C93="",P92="不要"),"",IF(BR96&lt;&gt;"",BR96,2*BR93))</f>
        <v>8</v>
      </c>
      <c r="BP96" s="2544"/>
      <c r="BQ96" s="2544"/>
      <c r="BR96" s="2573"/>
      <c r="BS96" s="2573"/>
      <c r="BT96" s="2574"/>
      <c r="BU96" s="19"/>
      <c r="BV96" s="35"/>
      <c r="BW96" s="351" t="s">
        <v>359</v>
      </c>
      <c r="BX96" s="361"/>
      <c r="BY96" s="349">
        <f>CA96</f>
        <v>2</v>
      </c>
      <c r="BZ96" s="348"/>
      <c r="CA96" s="360">
        <f>IF(C93="","",1+INT(W93/200))</f>
        <v>2</v>
      </c>
      <c r="CB96" s="358"/>
      <c r="CC96" s="359">
        <f>CA96</f>
        <v>2</v>
      </c>
      <c r="CD96" s="346"/>
      <c r="CE96" s="349">
        <f>CA96</f>
        <v>2</v>
      </c>
      <c r="CF96" s="358"/>
      <c r="CG96" s="357">
        <f>CA96</f>
        <v>2</v>
      </c>
      <c r="CH96" s="35"/>
      <c r="CI96" s="133">
        <f>IF(BR93&lt;&gt;"",BR93,0)</f>
        <v>4</v>
      </c>
      <c r="CJ96" s="88" t="s">
        <v>121</v>
      </c>
      <c r="CK96" s="187">
        <f>IF(OR(C93="",C93="  RF"),"",IF($AX$8=0,0,2*($AX$8/1000-0.15-0.1)*(INT(1000*CJ94/$BF$8)+1)*(INT(1000*CK94/$BF$8)+1)*4))</f>
        <v>53.999999999999993</v>
      </c>
      <c r="CL96" s="187" t="s">
        <v>358</v>
      </c>
      <c r="CM96" s="139">
        <f>IF(OR(C93="",C93="  RF"),"",IF(J93="直天",$AN$8/1000+F93-1.2+CJ94+CK94/2,$AN$8/1000+J93-1.2+CJ94+CK94/2))</f>
        <v>27.3</v>
      </c>
      <c r="CN96" s="136">
        <f>IF(OR(C93="",C93="  RF"),"",IF(J93="直天",F93-$Y$8/1000+F93-$Y$9/1000+2*8+($AN$7+2*$AN$9)/1000,J93-$Y$8/1000+J93-$Y$9/1000+2*8+($AN$7+2*$AN$9)/1000))</f>
        <v>20.599999999999998</v>
      </c>
      <c r="CO96" s="151" t="s">
        <v>358</v>
      </c>
      <c r="CP96" s="185">
        <f>IF(OR(C93="",C93="  RF"),"",IF(J93="直天",F93-1.2+CJ94+CK94/2,IF(AQ92="天井ケーブル",J93-1.2,J93-1.2+CJ94+CK94/2)))</f>
        <v>25.8</v>
      </c>
      <c r="CQ96" s="356">
        <f>IF(OR(C93="",C93="  RF"),"",IF(J93="直天",F93-$Y$8/1000+F93-$Y$9/1000+2*8,IF(BH92="天井ケーブル",J93-$Y$8/1000+J93-$Y$9/1000,J93-$Y$8/1000+J93-$Y$9/1000+2*8)))</f>
        <v>18.399999999999999</v>
      </c>
      <c r="CR96" s="355" t="s">
        <v>87</v>
      </c>
      <c r="CS96" s="336" t="s">
        <v>395</v>
      </c>
      <c r="CT96" s="336" t="s">
        <v>394</v>
      </c>
      <c r="CU96" s="192" t="s">
        <v>393</v>
      </c>
      <c r="CV96" s="336" t="s">
        <v>392</v>
      </c>
      <c r="CW96" s="336" t="s">
        <v>391</v>
      </c>
      <c r="CX96" s="336" t="s">
        <v>390</v>
      </c>
      <c r="CY96" s="354" t="s">
        <v>389</v>
      </c>
      <c r="CZ96" s="216"/>
      <c r="DA96" s="8"/>
      <c r="DB96" s="197">
        <f t="shared" si="22"/>
        <v>10</v>
      </c>
      <c r="DC96" s="197" t="str">
        <f t="shared" si="23"/>
        <v/>
      </c>
      <c r="DD96" s="201" t="str">
        <f>G97</f>
        <v>FCPEV 0.9-5Pr</v>
      </c>
      <c r="DE96" s="8"/>
      <c r="DF96" s="8"/>
      <c r="DG96" s="8"/>
      <c r="DH96" s="8" t="str">
        <f>IF(COUNTIF($DD$15:DD95,DD96)&gt;0,"",DD96)</f>
        <v/>
      </c>
      <c r="DI96" s="252">
        <f>O97</f>
        <v>18</v>
      </c>
      <c r="DJ96" s="32">
        <f t="shared" si="29"/>
        <v>0</v>
      </c>
      <c r="DK96" s="197">
        <f t="shared" si="24"/>
        <v>4</v>
      </c>
      <c r="DL96" s="197" t="str">
        <f t="shared" si="25"/>
        <v/>
      </c>
      <c r="DM96" s="11" t="str">
        <f>IF(CY92="","",CV92)</f>
        <v>光電式煙2種埋</v>
      </c>
      <c r="DN96" s="11"/>
      <c r="DO96" s="11"/>
      <c r="DP96" s="9"/>
      <c r="DQ96" s="9" t="str">
        <f>IF(COUNTIF($DM$15:DM95,DM96)&gt;0,"",DM96)</f>
        <v/>
      </c>
      <c r="DR96" s="200">
        <f>CY92</f>
        <v>8</v>
      </c>
      <c r="DS96" s="32">
        <f t="shared" si="30"/>
        <v>8</v>
      </c>
      <c r="DT96" s="8"/>
      <c r="DU96" s="197">
        <f t="shared" si="26"/>
        <v>4</v>
      </c>
      <c r="DV96" s="197" t="str">
        <f t="shared" si="27"/>
        <v/>
      </c>
      <c r="DW96" s="201" t="str">
        <f>T96</f>
        <v>C-25mm</v>
      </c>
      <c r="DX96" s="8"/>
      <c r="DY96" s="8"/>
      <c r="DZ96" s="8"/>
      <c r="EA96" s="8" t="str">
        <f>IF(COUNTIF($DW$15:DW95,DW96)&gt;0,"",DW96)</f>
        <v/>
      </c>
      <c r="EB96" s="197">
        <f>AB96</f>
        <v>25.8</v>
      </c>
      <c r="EC96" s="32">
        <f>SUMIF($DW$17:$DW$184,EA96,$EB$17:$EB$184)</f>
        <v>0</v>
      </c>
    </row>
    <row r="97" spans="1:133" ht="11.25" customHeight="1" thickBot="1">
      <c r="A97" s="15"/>
      <c r="B97" s="23"/>
      <c r="C97" s="2568" t="s">
        <v>352</v>
      </c>
      <c r="D97" s="2569"/>
      <c r="E97" s="2569"/>
      <c r="F97" s="2569"/>
      <c r="G97" s="2557" t="str">
        <f>IF(OR($B$2=0,C93="",P92="不要"),"",IF(CR97&lt;10,"FCPEV 0.9-5Pr",IF(CR97&lt;20,"FCPEV 0.9- 10Pr",IF(CR97&lt;30,"FCPEV 0.9- 15Pr",IF(CR97&lt;40,"FCPEV 0.9- 20Pr","")))))</f>
        <v>FCPEV 0.9-5Pr</v>
      </c>
      <c r="H97" s="2557"/>
      <c r="I97" s="2557"/>
      <c r="J97" s="2557"/>
      <c r="K97" s="2557"/>
      <c r="L97" s="2557"/>
      <c r="M97" s="2557"/>
      <c r="N97" s="2557"/>
      <c r="O97" s="2557">
        <f>IF(OR(C93="",P92="不要",G97=""),"",INT(AZ93*(CJ94+CK94)/4))</f>
        <v>18</v>
      </c>
      <c r="P97" s="2557"/>
      <c r="Q97" s="2557"/>
      <c r="R97" s="2557"/>
      <c r="S97" s="2557"/>
      <c r="T97" s="2558" t="str">
        <f>IF(OR(C93="",P92="不要",G97=""),"",IF(AQ92="天井ケーブル","C-"&amp;CM98&amp;"mm",IF(MID(AQ92,4,2)="PF","PF-"&amp;CL98&amp;"mm",IF(MID(AQ92,4,2)="CD","CD-"&amp;CL98&amp;"mm",IF(MID(AQ92,4,2)="C ","C-"&amp;CM98&amp;"mm",IF(MID(AQ92,4,2)="G ","G-"&amp;CL98&amp;"mm"))))))</f>
        <v>C-31mm</v>
      </c>
      <c r="U97" s="2557"/>
      <c r="V97" s="2557"/>
      <c r="W97" s="2557"/>
      <c r="X97" s="2557"/>
      <c r="Y97" s="2557"/>
      <c r="Z97" s="2557"/>
      <c r="AA97" s="2557"/>
      <c r="AB97" s="2557">
        <f>IF(OR(C93="",P92="不要",G97=""),"",IF(AQ92="天井ケーブル",2*AZ93*(F93-$Y$7/1000),O97*0.9))</f>
        <v>16.2</v>
      </c>
      <c r="AC97" s="2557"/>
      <c r="AD97" s="2557"/>
      <c r="AE97" s="2557"/>
      <c r="AF97" s="2557"/>
      <c r="AG97" s="2572" t="str">
        <f>IF($B$2=0,"","光電式煙2種埋")</f>
        <v>光電式煙2種埋</v>
      </c>
      <c r="AH97" s="2572"/>
      <c r="AI97" s="2572"/>
      <c r="AJ97" s="2572"/>
      <c r="AK97" s="2572"/>
      <c r="AL97" s="2572"/>
      <c r="AM97" s="2572"/>
      <c r="AN97" s="2312">
        <f>IF(OR(C93="",$B$2=0,P92="不要"),"",IF(AQ97&lt;&gt;"",AQ97,IF(AX98="B",BX97+BY97,IF(AND(BL97="耐 火",AZ97="無窓"),CB97+CC97,IF(AND(BL97&lt;&gt;"耐 火",AZ97="無窓"),CF97+CG97,"")))))</f>
        <v>8</v>
      </c>
      <c r="AO97" s="2312"/>
      <c r="AP97" s="2312"/>
      <c r="AQ97" s="2339"/>
      <c r="AR97" s="2339"/>
      <c r="AS97" s="2551"/>
      <c r="AT97" s="2577" t="str">
        <f>IF(C93="","","消防法上")</f>
        <v>消防法上</v>
      </c>
      <c r="AU97" s="2289"/>
      <c r="AV97" s="2289"/>
      <c r="AW97" s="2289"/>
      <c r="AX97" s="2289"/>
      <c r="AY97" s="2578"/>
      <c r="AZ97" s="2579" t="str">
        <f>IF($B$2=0,"",IF(BD97="",[4]Top!$BO$26,BD97))</f>
        <v>無窓</v>
      </c>
      <c r="BA97" s="2394"/>
      <c r="BB97" s="2580"/>
      <c r="BC97" s="353" t="s">
        <v>387</v>
      </c>
      <c r="BD97" s="2552"/>
      <c r="BE97" s="2552"/>
      <c r="BF97" s="2553"/>
      <c r="BG97" s="2581" t="str">
        <f>IF(C93="","","耐火構造")</f>
        <v>耐火構造</v>
      </c>
      <c r="BH97" s="2289"/>
      <c r="BI97" s="2289"/>
      <c r="BJ97" s="2289"/>
      <c r="BK97" s="2290"/>
      <c r="BL97" s="2278" t="str">
        <f>IF($B$2=0,"",IF(BQ97="",[4]Top!$AN$18,BQ97))</f>
        <v>耐 火</v>
      </c>
      <c r="BM97" s="2394"/>
      <c r="BN97" s="2394"/>
      <c r="BO97" s="2580"/>
      <c r="BP97" s="352" t="s">
        <v>387</v>
      </c>
      <c r="BQ97" s="2582"/>
      <c r="BR97" s="2552"/>
      <c r="BS97" s="2552"/>
      <c r="BT97" s="2583"/>
      <c r="BU97" s="19"/>
      <c r="BV97" s="35"/>
      <c r="BW97" s="351" t="s">
        <v>351</v>
      </c>
      <c r="BX97" s="350">
        <f>CB97</f>
        <v>2</v>
      </c>
      <c r="BY97" s="349">
        <f>CC97</f>
        <v>6</v>
      </c>
      <c r="BZ97" s="348"/>
      <c r="CA97" s="345"/>
      <c r="CB97" s="344">
        <f>IF(OR([6]Top!$BD$72&lt;&gt;"要",C93=""),"",IF(J93&gt;=4,1+INT(BZ94*0.47),1+INT(BZ94*0.47)))</f>
        <v>2</v>
      </c>
      <c r="CC97" s="347">
        <f>IF(OR([6]Top!$BD$72&lt;&gt;"要",C93=""),"",IF(J93&gt;=4,1+INT(CA94*0.47),1+INT(CA94*0.47)))</f>
        <v>6</v>
      </c>
      <c r="CD97" s="346"/>
      <c r="CE97" s="345"/>
      <c r="CF97" s="344">
        <f>IF(AND(AX84&lt;720,J93&lt;4),1+INT(CD94*0.47),1+INT(CD94*0.94))</f>
        <v>11</v>
      </c>
      <c r="CG97" s="343">
        <f>IF(AND(AX84&lt;720,J93&lt;4),1+INT(CE94*0.47),1+INT(CE94*0.94))</f>
        <v>27</v>
      </c>
      <c r="CH97" s="35"/>
      <c r="CI97" s="133">
        <f>IF(AND(C93&lt;&gt;"",LEFT(C93,2)&lt;&gt;" P"),CI89+F93,"")</f>
        <v>43</v>
      </c>
      <c r="CJ97" s="88" t="s">
        <v>350</v>
      </c>
      <c r="CK97" s="182" t="s">
        <v>349</v>
      </c>
      <c r="CL97" s="342">
        <f>IF(OR(C93="",C93="  RF"),"",IF(AZ101&lt;&gt;"",AZ93,AZ93+BG93))</f>
        <v>2</v>
      </c>
      <c r="CM97" s="341" t="s">
        <v>348</v>
      </c>
      <c r="CN97" s="219" t="s">
        <v>347</v>
      </c>
      <c r="CO97" s="138">
        <f>IF(OR(C93="",P92="不要"),"",AZ93*INT(CJ94+CK94)/5)</f>
        <v>14.4</v>
      </c>
      <c r="CP97" s="151" t="s">
        <v>347</v>
      </c>
      <c r="CQ97" s="340">
        <f>IF(AQ92="天井ケーブル",F93,CO97)</f>
        <v>14.4</v>
      </c>
      <c r="CR97" s="339">
        <f>SUM(CS97:CX97)</f>
        <v>8</v>
      </c>
      <c r="CS97" s="338">
        <f>AZ93</f>
        <v>2</v>
      </c>
      <c r="CT97" s="338">
        <f>IF(BA93="",0,BA93)</f>
        <v>0</v>
      </c>
      <c r="CU97" s="88">
        <v>1</v>
      </c>
      <c r="CV97" s="222">
        <v>1</v>
      </c>
      <c r="CW97" s="222">
        <v>2</v>
      </c>
      <c r="CX97" s="222">
        <v>2</v>
      </c>
      <c r="CY97" s="337" t="str">
        <f>IF(CK92="=",3*BR93+2,"")</f>
        <v/>
      </c>
      <c r="CZ97" s="218"/>
      <c r="DA97" s="8"/>
      <c r="DB97" s="197">
        <f t="shared" si="22"/>
        <v>10</v>
      </c>
      <c r="DC97" s="197" t="str">
        <f t="shared" si="23"/>
        <v/>
      </c>
      <c r="DD97" s="201" t="str">
        <f>G98</f>
        <v>FCPEV 1.2- 15Pr</v>
      </c>
      <c r="DE97" s="8"/>
      <c r="DF97" s="8"/>
      <c r="DG97" s="8"/>
      <c r="DH97" s="8" t="str">
        <f>IF(COUNTIF($DD$15:DD96,DD97)&gt;0,"",DD97)</f>
        <v/>
      </c>
      <c r="DI97" s="252">
        <f>O98</f>
        <v>14.4</v>
      </c>
      <c r="DJ97" s="32">
        <f t="shared" si="29"/>
        <v>0</v>
      </c>
      <c r="DK97" s="197">
        <f t="shared" si="24"/>
        <v>4</v>
      </c>
      <c r="DL97" s="197" t="str">
        <f t="shared" si="25"/>
        <v/>
      </c>
      <c r="DM97" s="11" t="str">
        <f>IF(AN98="","",AG98)</f>
        <v/>
      </c>
      <c r="DN97" s="11"/>
      <c r="DO97" s="11"/>
      <c r="DP97" s="9"/>
      <c r="DQ97" s="9" t="str">
        <f>IF(COUNTIF($DM$15:DM96,DM97)&gt;0,"",DM97)</f>
        <v/>
      </c>
      <c r="DR97" s="101" t="str">
        <f>AN98</f>
        <v/>
      </c>
      <c r="DS97" s="32">
        <f t="shared" si="30"/>
        <v>8</v>
      </c>
      <c r="DT97" s="8"/>
      <c r="DU97" s="197">
        <f t="shared" si="26"/>
        <v>4</v>
      </c>
      <c r="DV97" s="197" t="str">
        <f t="shared" si="27"/>
        <v/>
      </c>
      <c r="DW97" s="201" t="str">
        <f>T97</f>
        <v>C-31mm</v>
      </c>
      <c r="DX97" s="8"/>
      <c r="DY97" s="8"/>
      <c r="DZ97" s="8"/>
      <c r="EA97" s="8" t="str">
        <f>IF(COUNTIF($DW$15:DW96,DW97)&gt;0,"",DW97)</f>
        <v/>
      </c>
      <c r="EB97" s="197">
        <f>AB97</f>
        <v>16.2</v>
      </c>
      <c r="EC97" s="32">
        <f>SUMIF($DW$17:$DW$184,EA97,$EB$17:$EB$184)</f>
        <v>0</v>
      </c>
    </row>
    <row r="98" spans="1:133" ht="11.25" customHeight="1" thickBot="1">
      <c r="A98" s="15"/>
      <c r="B98" s="23"/>
      <c r="C98" s="2570"/>
      <c r="D98" s="2571"/>
      <c r="E98" s="2571"/>
      <c r="F98" s="2571"/>
      <c r="G98" s="2554" t="str">
        <f>IF(OR($B$2=0,P92="不要"),"",IF(CR98=0,"",IF(OR(C93="",P92="不要"),"",IF(CR98&lt;10,"FCPEV 1.2-5Pr",IF(CR98&lt;20,"FCPEV 1.2- 10Pr",IF(CR98&lt;30,"FCPEV 1.2- 15Pr",IF(CR98&lt;40,"FCPEV 1.2- 20Pr",IF(CR98&lt;60,"FCPEV 1.2- 30Pr",IF(CR98&lt;100,"FCPEV 1.2- 50Pr",IF(CR98&lt;140,"FCPEV 1.2- 70Pr",IF(CR98&lt;200,"FCPEV 1.2-100Pr","FCPEV 1.2-200Pr")))))))))))</f>
        <v>FCPEV 1.2- 15Pr</v>
      </c>
      <c r="H98" s="2555"/>
      <c r="I98" s="2555"/>
      <c r="J98" s="2555"/>
      <c r="K98" s="2555"/>
      <c r="L98" s="2555"/>
      <c r="M98" s="2555"/>
      <c r="N98" s="2555"/>
      <c r="O98" s="2555">
        <f>IF(OR(G98="",C93="",P92="不要"),"",CO97)</f>
        <v>14.4</v>
      </c>
      <c r="P98" s="2555"/>
      <c r="Q98" s="2555"/>
      <c r="R98" s="2555"/>
      <c r="S98" s="2555"/>
      <c r="T98" s="2555" t="str">
        <f>IF(OR(G98="",C93="",P92="不要"),"",IF(AQ92="天井ケーブル","C-"&amp;CO98&amp;"mm",IF(MID(AQ92,4,2)="PF","PF-"&amp;CN98&amp;"mm",IF(MID(AQ92,4,2)="CD","CD-"&amp;CN98&amp;"mm",IF(MID(AQ92,4,2)="C ","C-"&amp;CO98&amp;"mm",IF(MID(AQ92,4,2)="G ","G-"&amp;CN98&amp;"mm"))))))</f>
        <v>C-31mm</v>
      </c>
      <c r="U98" s="2555"/>
      <c r="V98" s="2555"/>
      <c r="W98" s="2555"/>
      <c r="X98" s="2555"/>
      <c r="Y98" s="2555"/>
      <c r="Z98" s="2555"/>
      <c r="AA98" s="2555"/>
      <c r="AB98" s="2555">
        <f>IF(OR(G98="",P92="不要"),"",CQ97)</f>
        <v>14.4</v>
      </c>
      <c r="AC98" s="2555"/>
      <c r="AD98" s="2555"/>
      <c r="AE98" s="2555"/>
      <c r="AF98" s="2555"/>
      <c r="AG98" s="2556" t="str">
        <f>IF($B$2=0,"","定温SP1種Exp")</f>
        <v>定温SP1種Exp</v>
      </c>
      <c r="AH98" s="2556"/>
      <c r="AI98" s="2556"/>
      <c r="AJ98" s="2556"/>
      <c r="AK98" s="2556"/>
      <c r="AL98" s="2556"/>
      <c r="AM98" s="2556"/>
      <c r="AN98" s="2335" t="str">
        <f>IF(AQ98&lt;&gt;"",AQ98,"")</f>
        <v/>
      </c>
      <c r="AO98" s="2335"/>
      <c r="AP98" s="2335"/>
      <c r="AQ98" s="2566"/>
      <c r="AR98" s="2566"/>
      <c r="AS98" s="2567"/>
      <c r="AT98" s="2586" t="str">
        <f>IF(C93="","","盤位置")</f>
        <v>盤位置</v>
      </c>
      <c r="AU98" s="2587"/>
      <c r="AV98" s="2587"/>
      <c r="AW98" s="2587"/>
      <c r="AX98" s="2588" t="str">
        <f>非誘!V71</f>
        <v>⑦</v>
      </c>
      <c r="AY98" s="2588"/>
      <c r="AZ98" s="2588"/>
      <c r="BA98" s="2559" t="str">
        <f>IF(C93="","","専部屋面積")</f>
        <v>専部屋面積</v>
      </c>
      <c r="BB98" s="2560"/>
      <c r="BC98" s="2560"/>
      <c r="BD98" s="2560"/>
      <c r="BE98" s="2560"/>
      <c r="BF98" s="2561"/>
      <c r="BG98" s="2562">
        <f>IF(OR(C93="",S93=""),"",S93/AA93)</f>
        <v>268.8</v>
      </c>
      <c r="BH98" s="2563"/>
      <c r="BI98" s="2563"/>
      <c r="BJ98" s="2564"/>
      <c r="BK98" s="2559" t="str">
        <f>IF(C93="","","共部屋面積")</f>
        <v>共部屋面積</v>
      </c>
      <c r="BL98" s="2560"/>
      <c r="BM98" s="2560"/>
      <c r="BN98" s="2560"/>
      <c r="BO98" s="2560"/>
      <c r="BP98" s="2561"/>
      <c r="BQ98" s="2562">
        <f>IF(OR($B$2=0,C93=""),"",W93/AD93)</f>
        <v>38.400000000000006</v>
      </c>
      <c r="BR98" s="2563"/>
      <c r="BS98" s="2563"/>
      <c r="BT98" s="2565"/>
      <c r="BU98" s="19"/>
      <c r="BV98" s="35"/>
      <c r="BW98" s="99"/>
      <c r="BX98" s="35"/>
      <c r="BY98" s="35"/>
      <c r="BZ98" s="35"/>
      <c r="CA98" s="35"/>
      <c r="CB98" s="35"/>
      <c r="CC98" s="35"/>
      <c r="CD98" s="35"/>
      <c r="CE98" s="35"/>
      <c r="CF98" s="35"/>
      <c r="CG98" s="35"/>
      <c r="CH98" s="35"/>
      <c r="CI98" s="8"/>
      <c r="CJ98" s="8"/>
      <c r="CK98" s="8"/>
      <c r="CL98" s="336" t="str">
        <f>IF(OR(RIGHT(G97,3)="5Pr",RIGHT(G97,4)="10Pr",RIGHT(G97,4)="15Pr"),"28",IF(OR(RIGHT(G97,4)="20Pr",RIGHT(G97,4)="30Pr"),"36",IF(OR(RIGHT(G97,4)="50Pr",RIGHT(G97,4)="70Pr"),"42","")))</f>
        <v>28</v>
      </c>
      <c r="CM98" s="336" t="str">
        <f>IF(OR(RIGHT(G97,3)="5Pr",RIGHT(G97,4)="10Pr",RIGHT(G97,4)="15Pr"),"31",IF(OR(RIGHT(G97,4)="20Pr",RIGHT(G97,4)="30Pr"),"39",IF(OR(RIGHT(G97,4)="50Pr",RIGHT(G97,4)="70Pr"),"51","")))</f>
        <v>31</v>
      </c>
      <c r="CN98" s="86" t="str">
        <f>IF(OR(RIGHT(G98,3)="5Pr",RIGHT(G98,4)="10Pr",RIGHT(G98,4)="15Pr"),"28",IF(OR(RIGHT(G98,4)="20Pr",RIGHT(G98,4)="30Pr"),"36",IF(OR(RIGHT(G98,4)="50Pr",RIGHT(G98,4)="70Pr"),"42","")))</f>
        <v>28</v>
      </c>
      <c r="CO98" s="86" t="str">
        <f>IF(OR(RIGHT(G98,3)="5Pr",RIGHT(G98,4)="10Pr",RIGHT(G98,4)="15Pr"),"31",IF(OR(RIGHT(G98,4)="20Pr",RIGHT(G98,4)="30Pr"),"39",IF(OR(RIGHT(G98,4)="50Pr",RIGHT(G98,4)="70Pr"),"51","")))</f>
        <v>31</v>
      </c>
      <c r="CP98" s="9"/>
      <c r="CQ98" s="9"/>
      <c r="CR98" s="335">
        <f>IF(P92="不要","",SUM(CS98:CX98))</f>
        <v>23</v>
      </c>
      <c r="CS98" s="334">
        <f>IF(OR(CK92="",CK92="=",P92="不要"),0,IF(CK92="－",CL97+CS90,IF(CK92="+",CL97+CS106)))</f>
        <v>14</v>
      </c>
      <c r="CT98" s="188">
        <f>IF(OR(CK92="",CK92="=",P92="不要"),0,IF(CS98&lt;7,1,IF(CS98&lt;14,2,IF(CS98&lt;21,3,IF(CS98&lt;28,4,IF(CS98&lt;35,5,IF(CS98&lt;42,6,IF(CS98&lt;49,7,IF(CS98&lt;56,8,IF(CS98&lt;63,9,IF(CS98&lt;70,10,IF(CS98&lt;77,11,"---"))))))))))))</f>
        <v>3</v>
      </c>
      <c r="CU98" s="188">
        <f>IF(CS98=0,0,1)</f>
        <v>1</v>
      </c>
      <c r="CV98" s="333">
        <f>IF(CS98=0,0,1)</f>
        <v>1</v>
      </c>
      <c r="CW98" s="333">
        <f>IF(CS98=0,0,2)</f>
        <v>2</v>
      </c>
      <c r="CX98" s="333">
        <f>IF(CS98=0,0,2)</f>
        <v>2</v>
      </c>
      <c r="CY98" s="332">
        <f>IF(OR(BR101="",P92="不要"),0,IF(CK92="=",0,IF(CK92="－",2*BR93+3,IF(CK92="+",2*(BR93+BR101)+3,""))))</f>
        <v>19</v>
      </c>
      <c r="CZ98" s="216"/>
      <c r="DA98" s="9"/>
      <c r="DB98" s="127">
        <f t="shared" si="22"/>
        <v>10</v>
      </c>
      <c r="DC98" s="127" t="str">
        <f t="shared" si="23"/>
        <v/>
      </c>
      <c r="DD98" s="11" t="str">
        <f>CR92</f>
        <v>防火区画処理</v>
      </c>
      <c r="DE98" s="9"/>
      <c r="DF98" s="9"/>
      <c r="DG98" s="9"/>
      <c r="DH98" s="9" t="str">
        <f>IF(COUNTIF($DD$15:DD97,DD98)&gt;0,"",DD98)</f>
        <v/>
      </c>
      <c r="DI98" s="242">
        <f>CU92</f>
        <v>13</v>
      </c>
      <c r="DJ98" s="32">
        <f t="shared" si="29"/>
        <v>0</v>
      </c>
      <c r="DK98" s="127">
        <f t="shared" si="24"/>
        <v>4</v>
      </c>
      <c r="DL98" s="127" t="str">
        <f t="shared" si="25"/>
        <v/>
      </c>
      <c r="DM98" s="11" t="str">
        <f>IF(CY93="","",CV93)</f>
        <v/>
      </c>
      <c r="DN98" s="11"/>
      <c r="DO98" s="11"/>
      <c r="DP98" s="9"/>
      <c r="DQ98" s="9" t="str">
        <f>IF(COUNTIF($DM$15:DM97,DM98)&gt;0,"",DM98)</f>
        <v/>
      </c>
      <c r="DR98" s="101" t="str">
        <f>CY93</f>
        <v/>
      </c>
      <c r="DS98" s="32">
        <f t="shared" si="30"/>
        <v>8</v>
      </c>
      <c r="DT98" s="9"/>
      <c r="DU98" s="197">
        <f t="shared" si="26"/>
        <v>4</v>
      </c>
      <c r="DV98" s="197" t="str">
        <f t="shared" si="27"/>
        <v/>
      </c>
      <c r="DW98" s="201" t="str">
        <f>T98</f>
        <v>C-31mm</v>
      </c>
      <c r="DX98" s="8"/>
      <c r="DY98" s="8"/>
      <c r="DZ98" s="8"/>
      <c r="EA98" s="8" t="str">
        <f>IF(COUNTIF($DW$15:DW97,DW98)&gt;0,"",DW98)</f>
        <v/>
      </c>
      <c r="EB98" s="197">
        <f>AB98</f>
        <v>14.4</v>
      </c>
      <c r="EC98" s="32">
        <f>SUMIF($DW$17:$DW$184,EA98,$EB$17:$EB$184)</f>
        <v>0</v>
      </c>
    </row>
    <row r="99" spans="1:133" ht="11.25" customHeight="1">
      <c r="A99" s="15"/>
      <c r="B99" s="23"/>
      <c r="C99" s="37"/>
      <c r="D99" s="37"/>
      <c r="E99" s="37"/>
      <c r="F99" s="37"/>
      <c r="G99" s="331"/>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157"/>
      <c r="AH99" s="157"/>
      <c r="AI99" s="157"/>
      <c r="AJ99" s="157"/>
      <c r="AK99" s="157"/>
      <c r="AL99" s="157"/>
      <c r="AM99" s="157"/>
      <c r="AN99" s="377"/>
      <c r="AO99" s="377"/>
      <c r="AP99" s="377"/>
      <c r="AQ99" s="37"/>
      <c r="AR99" s="37"/>
      <c r="AS99" s="37"/>
      <c r="AT99" s="157"/>
      <c r="AU99" s="157"/>
      <c r="AV99" s="157"/>
      <c r="AW99" s="157"/>
      <c r="AX99" s="157"/>
      <c r="AY99" s="157"/>
      <c r="AZ99" s="157"/>
      <c r="BA99" s="377"/>
      <c r="BB99" s="377"/>
      <c r="BC99" s="377"/>
      <c r="BD99" s="37"/>
      <c r="BE99" s="37"/>
      <c r="BF99" s="37"/>
      <c r="BG99" s="157"/>
      <c r="BH99" s="157"/>
      <c r="BI99" s="157"/>
      <c r="BJ99" s="157"/>
      <c r="BK99" s="157"/>
      <c r="BL99" s="157"/>
      <c r="BM99" s="157"/>
      <c r="BN99" s="157"/>
      <c r="BO99" s="377"/>
      <c r="BP99" s="377"/>
      <c r="BQ99" s="377"/>
      <c r="BR99" s="37"/>
      <c r="BS99" s="37"/>
      <c r="BT99" s="37"/>
      <c r="BU99" s="19"/>
      <c r="BV99" s="35"/>
      <c r="BW99" s="99"/>
      <c r="BX99" s="35"/>
      <c r="BY99" s="35"/>
      <c r="BZ99" s="35"/>
      <c r="CA99" s="35"/>
      <c r="CB99" s="35"/>
      <c r="CC99" s="35"/>
      <c r="CD99" s="35"/>
      <c r="CE99" s="35"/>
      <c r="CF99" s="35"/>
      <c r="CG99" s="35"/>
      <c r="CH99" s="35"/>
      <c r="CI99" s="8"/>
      <c r="CJ99" s="8"/>
      <c r="CK99" s="8"/>
      <c r="CL99" s="64"/>
      <c r="CM99" s="64"/>
      <c r="CN99" s="64"/>
      <c r="CO99" s="64"/>
      <c r="CP99" s="9"/>
      <c r="CQ99" s="9"/>
      <c r="CR99" s="376"/>
      <c r="CS99" s="375"/>
      <c r="CT99" s="145"/>
      <c r="CU99" s="145"/>
      <c r="CV99" s="127"/>
      <c r="CW99" s="127"/>
      <c r="CX99" s="127"/>
      <c r="CY99" s="9"/>
      <c r="CZ99" s="218"/>
      <c r="DA99" s="9"/>
      <c r="DB99" s="127">
        <f t="shared" si="22"/>
        <v>10</v>
      </c>
      <c r="DC99" s="127" t="str">
        <f t="shared" si="23"/>
        <v/>
      </c>
      <c r="DD99" s="11"/>
      <c r="DE99" s="9"/>
      <c r="DF99" s="9"/>
      <c r="DG99" s="9"/>
      <c r="DH99" s="9"/>
      <c r="DI99" s="242"/>
      <c r="DJ99" s="13"/>
      <c r="DK99" s="127">
        <f t="shared" si="24"/>
        <v>4</v>
      </c>
      <c r="DL99" s="127" t="str">
        <f t="shared" si="25"/>
        <v/>
      </c>
      <c r="DM99" s="11" t="str">
        <f>IF(CY94="","",CV94)</f>
        <v>P1総合盤露出</v>
      </c>
      <c r="DN99" s="11"/>
      <c r="DO99" s="11"/>
      <c r="DP99" s="9"/>
      <c r="DQ99" s="9" t="str">
        <f>IF(COUNTIF($DM$15:DM98,DM99)&gt;0,"",DM99)</f>
        <v/>
      </c>
      <c r="DR99" s="101">
        <f>CY94</f>
        <v>2</v>
      </c>
      <c r="DS99" s="32">
        <f t="shared" si="30"/>
        <v>8</v>
      </c>
      <c r="DT99" s="9"/>
      <c r="DU99" s="8">
        <f t="shared" si="26"/>
        <v>4</v>
      </c>
      <c r="DV99" s="8" t="str">
        <f t="shared" si="27"/>
        <v/>
      </c>
      <c r="DW99" s="8"/>
      <c r="DX99" s="8"/>
      <c r="DY99" s="8"/>
      <c r="DZ99" s="8"/>
      <c r="EA99" s="8"/>
      <c r="EB99" s="8"/>
      <c r="EC99" s="8"/>
    </row>
    <row r="100" spans="1:133" ht="11.25" customHeight="1" thickBot="1">
      <c r="A100" s="374">
        <v>11</v>
      </c>
      <c r="B100" s="23"/>
      <c r="C100" s="2626" t="str">
        <f>非誘!J76</f>
        <v>( 4 )</v>
      </c>
      <c r="D100" s="2627"/>
      <c r="E100" s="2628"/>
      <c r="F100" s="2629" t="str">
        <f>非誘!M76</f>
        <v>百貨店等</v>
      </c>
      <c r="G100" s="2629"/>
      <c r="H100" s="2629"/>
      <c r="I100" s="2629"/>
      <c r="J100" s="2629"/>
      <c r="K100" s="2629"/>
      <c r="L100" s="2629"/>
      <c r="M100" s="2629"/>
      <c r="N100" s="2629"/>
      <c r="O100" s="2629"/>
      <c r="P100" s="2630" t="str">
        <f>IF(U100="",RIGHT($D$8,2),U100)</f>
        <v>設置</v>
      </c>
      <c r="Q100" s="2630"/>
      <c r="R100" s="2630"/>
      <c r="S100" s="2631"/>
      <c r="T100" s="31" t="s">
        <v>387</v>
      </c>
      <c r="U100" s="2632"/>
      <c r="V100" s="2632"/>
      <c r="W100" s="2632"/>
      <c r="X100" s="2633"/>
      <c r="Y100" s="2634" t="s">
        <v>20</v>
      </c>
      <c r="Z100" s="2634"/>
      <c r="AA100" s="2634"/>
      <c r="AB100" s="2634"/>
      <c r="AC100" s="2634"/>
      <c r="AD100" s="2635">
        <f>非誘!J77</f>
        <v>0.5</v>
      </c>
      <c r="AE100" s="2635"/>
      <c r="AF100" s="2635"/>
      <c r="AG100" s="2635"/>
      <c r="AH100" s="2299" t="s">
        <v>135</v>
      </c>
      <c r="AI100" s="2299"/>
      <c r="AJ100" s="2299"/>
      <c r="AK100" s="2299"/>
      <c r="AL100" s="2299"/>
      <c r="AM100" s="2299" t="s">
        <v>366</v>
      </c>
      <c r="AN100" s="2299"/>
      <c r="AO100" s="2299"/>
      <c r="AP100" s="2299"/>
      <c r="AQ100" s="2569" t="str">
        <f>IF(AX100="","天井ケーブル",AX100)</f>
        <v>天井(C 管)</v>
      </c>
      <c r="AR100" s="2569"/>
      <c r="AS100" s="2569"/>
      <c r="AT100" s="2569"/>
      <c r="AU100" s="2569"/>
      <c r="AV100" s="2569"/>
      <c r="AW100" s="175" t="s">
        <v>387</v>
      </c>
      <c r="AX100" s="2338" t="s">
        <v>388</v>
      </c>
      <c r="AY100" s="2338"/>
      <c r="AZ100" s="2338"/>
      <c r="BA100" s="2338"/>
      <c r="BB100" s="2338"/>
      <c r="BC100" s="2338"/>
      <c r="BD100" s="2299" t="s">
        <v>363</v>
      </c>
      <c r="BE100" s="2299"/>
      <c r="BF100" s="2299"/>
      <c r="BG100" s="2299"/>
      <c r="BH100" s="2569" t="str">
        <f>IF(BO100="","天井(C 管)",BO100)</f>
        <v>天井(C 管)</v>
      </c>
      <c r="BI100" s="2569"/>
      <c r="BJ100" s="2569"/>
      <c r="BK100" s="2569"/>
      <c r="BL100" s="2569"/>
      <c r="BM100" s="2569"/>
      <c r="BN100" s="175" t="s">
        <v>387</v>
      </c>
      <c r="BO100" s="2338"/>
      <c r="BP100" s="2338"/>
      <c r="BQ100" s="2338"/>
      <c r="BR100" s="2338"/>
      <c r="BS100" s="2338"/>
      <c r="BT100" s="2622"/>
      <c r="BU100" s="19"/>
      <c r="BV100" s="35"/>
      <c r="BW100" s="99"/>
      <c r="BX100" s="35"/>
      <c r="BY100" s="35"/>
      <c r="BZ100" s="35"/>
      <c r="CA100" s="35"/>
      <c r="CB100" s="35"/>
      <c r="CC100" s="35"/>
      <c r="CD100" s="35"/>
      <c r="CE100" s="35"/>
      <c r="CF100" s="35"/>
      <c r="CG100" s="35"/>
      <c r="CH100" s="35"/>
      <c r="CI100" s="8">
        <v>23</v>
      </c>
      <c r="CJ100" s="97" t="str">
        <f>IF(LEFT(C101,2)=" B",-MID(C101,3,1),IF(C101="  RF","",LEFT(C101,3)))</f>
        <v xml:space="preserve">  9</v>
      </c>
      <c r="CK100" s="10" t="str">
        <f>IF(OR(C101="",C101="  RF"),"",IF(LEFT(C101,1)="P","+",IF($CJ$14&gt;CJ100,"－",IF($CJ$14=CJ100,"=","+"))))</f>
        <v>+</v>
      </c>
      <c r="CL100" s="2601" t="s">
        <v>376</v>
      </c>
      <c r="CM100" s="2601"/>
      <c r="CN100" s="2601"/>
      <c r="CO100" s="2601" t="s">
        <v>375</v>
      </c>
      <c r="CP100" s="2601"/>
      <c r="CQ100" s="2601"/>
      <c r="CR100" s="2589" t="str">
        <f>AG101</f>
        <v>防火区画処理</v>
      </c>
      <c r="CS100" s="2590"/>
      <c r="CT100" s="2591"/>
      <c r="CU100" s="184">
        <f>AN101</f>
        <v>13</v>
      </c>
      <c r="CV100" s="2589" t="str">
        <f>AG105</f>
        <v>光電式煙2種埋</v>
      </c>
      <c r="CW100" s="2590"/>
      <c r="CX100" s="2591"/>
      <c r="CY100" s="184">
        <f>AN105</f>
        <v>8</v>
      </c>
      <c r="CZ100" s="216"/>
      <c r="DA100" s="88">
        <v>11</v>
      </c>
      <c r="DB100" s="204">
        <f t="shared" si="22"/>
        <v>10</v>
      </c>
      <c r="DC100" s="155" t="str">
        <f t="shared" si="23"/>
        <v/>
      </c>
      <c r="DD100" s="45"/>
      <c r="DE100" s="45"/>
      <c r="DF100" s="45"/>
      <c r="DG100" s="45"/>
      <c r="DH100" s="45"/>
      <c r="DI100" s="45"/>
      <c r="DJ100" s="45"/>
      <c r="DK100" s="155">
        <f t="shared" si="24"/>
        <v>4</v>
      </c>
      <c r="DL100" s="155" t="str">
        <f t="shared" si="25"/>
        <v/>
      </c>
      <c r="DM100" s="154" t="str">
        <f>IF(CY95="","",CV95)</f>
        <v/>
      </c>
      <c r="DN100" s="154"/>
      <c r="DO100" s="154"/>
      <c r="DP100" s="45"/>
      <c r="DQ100" s="45"/>
      <c r="DR100" s="209"/>
      <c r="DS100" s="230">
        <f>SUMIF($DM$17:$DM$185,DQ100,$DR$17:$DR$185)</f>
        <v>0</v>
      </c>
      <c r="DT100" s="88">
        <v>11</v>
      </c>
      <c r="DU100" s="373">
        <f t="shared" si="26"/>
        <v>4</v>
      </c>
      <c r="DV100" s="45" t="str">
        <f t="shared" si="27"/>
        <v/>
      </c>
      <c r="DW100" s="45"/>
      <c r="DX100" s="45"/>
      <c r="DY100" s="45"/>
      <c r="DZ100" s="45"/>
      <c r="EA100" s="45"/>
      <c r="EB100" s="45"/>
      <c r="EC100" s="45"/>
    </row>
    <row r="101" spans="1:133" ht="11.25" customHeight="1" thickBot="1">
      <c r="A101" s="15">
        <v>92</v>
      </c>
      <c r="B101" s="23"/>
      <c r="C101" s="2602" t="str">
        <f>非誘!C78</f>
        <v xml:space="preserve">  9F</v>
      </c>
      <c r="D101" s="2603"/>
      <c r="E101" s="2604"/>
      <c r="F101" s="2605">
        <f>非誘!F78</f>
        <v>4</v>
      </c>
      <c r="G101" s="2606"/>
      <c r="H101" s="2606"/>
      <c r="I101" s="2607"/>
      <c r="J101" s="2605">
        <f>非誘!J78</f>
        <v>3</v>
      </c>
      <c r="K101" s="2606"/>
      <c r="L101" s="2606"/>
      <c r="M101" s="2607"/>
      <c r="N101" s="2608">
        <f>非誘!N78</f>
        <v>1152</v>
      </c>
      <c r="O101" s="2609"/>
      <c r="P101" s="2609"/>
      <c r="Q101" s="2609"/>
      <c r="R101" s="2610"/>
      <c r="S101" s="2608">
        <f>非誘!S78</f>
        <v>806.4</v>
      </c>
      <c r="T101" s="2609"/>
      <c r="U101" s="2609"/>
      <c r="V101" s="2610"/>
      <c r="W101" s="2608">
        <f>非誘!W78</f>
        <v>345.6</v>
      </c>
      <c r="X101" s="2609"/>
      <c r="Y101" s="2609"/>
      <c r="Z101" s="2610"/>
      <c r="AA101" s="2611">
        <f>非誘!AA78</f>
        <v>3</v>
      </c>
      <c r="AB101" s="2603"/>
      <c r="AC101" s="2604"/>
      <c r="AD101" s="2612">
        <f>非誘!AD78</f>
        <v>9</v>
      </c>
      <c r="AE101" s="2613"/>
      <c r="AF101" s="2614"/>
      <c r="AG101" s="2615" t="str">
        <f>IF($B$2=0,"","防火区画処理")</f>
        <v>防火区画処理</v>
      </c>
      <c r="AH101" s="2615"/>
      <c r="AI101" s="2615"/>
      <c r="AJ101" s="2615"/>
      <c r="AK101" s="2615"/>
      <c r="AL101" s="2615"/>
      <c r="AM101" s="2615"/>
      <c r="AN101" s="2616">
        <f>IF(OR($B$2=0,C101="",P100="不要"),"",AZ101+BG101+BR101*2)</f>
        <v>13</v>
      </c>
      <c r="AO101" s="2616"/>
      <c r="AP101" s="2616"/>
      <c r="AQ101" s="2617" t="s">
        <v>374</v>
      </c>
      <c r="AR101" s="2617"/>
      <c r="AS101" s="2617"/>
      <c r="AT101" s="2617"/>
      <c r="AU101" s="2617"/>
      <c r="AV101" s="2618" t="s">
        <v>373</v>
      </c>
      <c r="AW101" s="2618"/>
      <c r="AX101" s="2618"/>
      <c r="AY101" s="2618"/>
      <c r="AZ101" s="2619">
        <f>IF(OR($B$2=0,C101="",P100="不要"),"",IF(LEFT(C101,1)="P",1+INT(W101/450),INT(S101/450)+1+INT(W101/450)))</f>
        <v>2</v>
      </c>
      <c r="BA101" s="2619"/>
      <c r="BB101" s="2619"/>
      <c r="BC101" s="2618" t="s">
        <v>372</v>
      </c>
      <c r="BD101" s="2618"/>
      <c r="BE101" s="2618"/>
      <c r="BF101" s="2618"/>
      <c r="BG101" s="2619">
        <f>IF(OR($B$2=0,C101="",P100="不要"),"",1+INT(N101/500))</f>
        <v>3</v>
      </c>
      <c r="BH101" s="2619"/>
      <c r="BI101" s="2619"/>
      <c r="BJ101" s="2617" t="s">
        <v>371</v>
      </c>
      <c r="BK101" s="2617"/>
      <c r="BL101" s="2617"/>
      <c r="BM101" s="2617"/>
      <c r="BN101" s="2617"/>
      <c r="BO101" s="2617"/>
      <c r="BP101" s="2617"/>
      <c r="BQ101" s="2617"/>
      <c r="BR101" s="2620">
        <f>IF(OR($B$2=0,C101="",P100="不要"),"",1+INT(0.055*N101^0.6))</f>
        <v>4</v>
      </c>
      <c r="BS101" s="2620"/>
      <c r="BT101" s="2621"/>
      <c r="BU101" s="19"/>
      <c r="BV101" s="35"/>
      <c r="BW101" s="99"/>
      <c r="BX101" s="35"/>
      <c r="BY101" s="35"/>
      <c r="BZ101" s="35"/>
      <c r="CA101" s="35"/>
      <c r="CB101" s="35"/>
      <c r="CC101" s="35"/>
      <c r="CD101" s="35"/>
      <c r="CE101" s="35"/>
      <c r="CF101" s="35"/>
      <c r="CG101" s="35"/>
      <c r="CH101" s="35"/>
      <c r="CI101" s="8">
        <v>2</v>
      </c>
      <c r="CJ101" s="88" t="s">
        <v>386</v>
      </c>
      <c r="CK101" s="88" t="s">
        <v>385</v>
      </c>
      <c r="CL101" s="372">
        <f>IF(C102="","",IF(AX106="①",CJ102+CK102+3,IF(AX106="②",CJ102*5/8+CK102+3,IF(AX106="③",CJ102/2+CK102+3,IF(AX106="④",CJ102+CK102*5/8+3,IF(AX106="⑤",(CJ102+CK102)*5/8+3,IF(AX106="⑥",CJ102/2+CK102*5/8+3,IF(AX106="⑦",CJ102+CK102/2+3,IF(AX106="⑧",CJ102*5/8+CK102/2+3,IF(AX106="⑨",(CJ102+CK102)/2+3))))))))))</f>
        <v>27</v>
      </c>
      <c r="CM101" s="371" t="s">
        <v>384</v>
      </c>
      <c r="CN101" s="371" t="s">
        <v>383</v>
      </c>
      <c r="CO101" s="370"/>
      <c r="CP101" s="371" t="s">
        <v>384</v>
      </c>
      <c r="CQ101" s="370" t="s">
        <v>383</v>
      </c>
      <c r="CR101" s="2589" t="str">
        <f>AG102</f>
        <v>差動SP2種埋</v>
      </c>
      <c r="CS101" s="2590"/>
      <c r="CT101" s="2591"/>
      <c r="CU101" s="184" t="str">
        <f>AN102</f>
        <v/>
      </c>
      <c r="CV101" s="2589" t="str">
        <f>AT104</f>
        <v>HP起動押ボタン</v>
      </c>
      <c r="CW101" s="2590"/>
      <c r="CX101" s="2591"/>
      <c r="CY101" s="184" t="str">
        <f>BA104</f>
        <v/>
      </c>
      <c r="CZ101" s="216"/>
      <c r="DA101" s="8"/>
      <c r="DB101" s="197">
        <f t="shared" si="22"/>
        <v>10</v>
      </c>
      <c r="DC101" s="197" t="str">
        <f t="shared" si="23"/>
        <v/>
      </c>
      <c r="DD101" s="201" t="str">
        <f>G102</f>
        <v>AE 0.9mm-4C</v>
      </c>
      <c r="DE101" s="8"/>
      <c r="DF101" s="8"/>
      <c r="DG101" s="8"/>
      <c r="DH101" s="8" t="str">
        <f>IF(COUNTIF($DD$15:DD100,DD101)&gt;0,"",DD101)</f>
        <v/>
      </c>
      <c r="DI101" s="252">
        <f>O102</f>
        <v>149</v>
      </c>
      <c r="DJ101" s="32">
        <f t="shared" ref="DJ101:DJ106" si="31">SUMIF($DD$17:$DD$184,DH101,$DI$17:$DI$184)</f>
        <v>0</v>
      </c>
      <c r="DK101" s="197">
        <f t="shared" si="24"/>
        <v>4</v>
      </c>
      <c r="DL101" s="197" t="str">
        <f t="shared" si="25"/>
        <v/>
      </c>
      <c r="DM101" s="10" t="str">
        <f>IF(CU101="","",CR101)</f>
        <v/>
      </c>
      <c r="DN101" s="10" t="str">
        <f>CR101</f>
        <v>差動SP2種埋</v>
      </c>
      <c r="DO101" s="10"/>
      <c r="DP101" s="8"/>
      <c r="DQ101" s="8" t="str">
        <f>IF(COUNTIF($DM$15:DM100,DM101)&gt;0,"",DM101)</f>
        <v/>
      </c>
      <c r="DR101" s="200" t="str">
        <f>CU101</f>
        <v/>
      </c>
      <c r="DS101" s="32">
        <f t="shared" ref="DS101:DS107" si="32">SUMIF($DM$17:$DM$184,DQ101,$DR$17:$DR$184)</f>
        <v>8</v>
      </c>
      <c r="DT101" s="8"/>
      <c r="DU101" s="197">
        <f t="shared" si="26"/>
        <v>4</v>
      </c>
      <c r="DV101" s="197" t="str">
        <f t="shared" si="27"/>
        <v/>
      </c>
      <c r="DW101" s="201"/>
      <c r="DX101" s="8"/>
      <c r="DY101" s="8"/>
      <c r="DZ101" s="8"/>
      <c r="EA101" s="8"/>
      <c r="EB101" s="252"/>
      <c r="EC101" s="32"/>
    </row>
    <row r="102" spans="1:133" ht="11.25" customHeight="1">
      <c r="A102" s="15"/>
      <c r="B102" s="23"/>
      <c r="C102" s="2623" t="s">
        <v>366</v>
      </c>
      <c r="D102" s="2624"/>
      <c r="E102" s="2624"/>
      <c r="F102" s="2624"/>
      <c r="G102" s="2625" t="str">
        <f>IF(C101="","","AE 0.9mm-4C")</f>
        <v>AE 0.9mm-4C</v>
      </c>
      <c r="H102" s="2625"/>
      <c r="I102" s="2625"/>
      <c r="J102" s="2625"/>
      <c r="K102" s="2625"/>
      <c r="L102" s="2625"/>
      <c r="M102" s="2625"/>
      <c r="N102" s="2625"/>
      <c r="O102" s="2593">
        <f>IF($B$2=0,"",IF(OR(C101="",P100="不要"),"",ROUND((CM102+CN102),0)))</f>
        <v>149</v>
      </c>
      <c r="P102" s="2593"/>
      <c r="Q102" s="2593"/>
      <c r="R102" s="2593"/>
      <c r="S102" s="2593"/>
      <c r="T102" s="2593" t="str">
        <f>IF(OR($B$2=0,C101="",P100="不要"),"",IF(AQ100="天井ケーブル","C-19mm",IF(MID(AQ100,4,2)="PF","PF-16mm",IF(MID(AQ100,4,2)="CD","CD-16mm",IF(MID(AQ100,4,2)="C ","C-19mm",IF(MID(AQ100,4,2)="G ","G-16mm",""))))))</f>
        <v>C-19mm</v>
      </c>
      <c r="U102" s="2593"/>
      <c r="V102" s="2593"/>
      <c r="W102" s="2593"/>
      <c r="X102" s="2593"/>
      <c r="Y102" s="2593"/>
      <c r="Z102" s="2593"/>
      <c r="AA102" s="2593"/>
      <c r="AB102" s="2593">
        <f>IF(OR($B$2=0,C101="",P100="不要"),"",IF(CQ102="",ROUND(CP102,0),ROUND((CP102+CQ102),0)))</f>
        <v>119</v>
      </c>
      <c r="AC102" s="2593"/>
      <c r="AD102" s="2593"/>
      <c r="AE102" s="2593"/>
      <c r="AF102" s="2593"/>
      <c r="AG102" s="2595" t="str">
        <f>IF($B$2=0,"","差動SP2種埋")</f>
        <v>差動SP2種埋</v>
      </c>
      <c r="AH102" s="2595"/>
      <c r="AI102" s="2595"/>
      <c r="AJ102" s="2595"/>
      <c r="AK102" s="2595"/>
      <c r="AL102" s="2595"/>
      <c r="AM102" s="2595"/>
      <c r="AN102" s="2593" t="str">
        <f>IF(OR(C101="",P100="不要"),"",IF(AQ102&lt;&gt;"",AQ102,IF(AX106="B","",IF(AZ105="無窓","",IF(AND(BL105="耐 火",AZ105="有窓"),BZ102+CA102,CD102+CE102)))))</f>
        <v/>
      </c>
      <c r="AO102" s="2593"/>
      <c r="AP102" s="2593"/>
      <c r="AQ102" s="2594"/>
      <c r="AR102" s="2594"/>
      <c r="AS102" s="2594"/>
      <c r="AT102" s="2595" t="str">
        <f>IF($B$2=0,"","P1総合盤露出")</f>
        <v>P1総合盤露出</v>
      </c>
      <c r="AU102" s="2595"/>
      <c r="AV102" s="2595"/>
      <c r="AW102" s="2595"/>
      <c r="AX102" s="2595"/>
      <c r="AY102" s="2595"/>
      <c r="AZ102" s="2595"/>
      <c r="BA102" s="2593">
        <f>IF(P100="不要","",IF(BD102&lt;&gt;"",BD102,IF([4]Top!$BD$51="要","",AZ101)))</f>
        <v>2</v>
      </c>
      <c r="BB102" s="2593"/>
      <c r="BC102" s="2593"/>
      <c r="BD102" s="2594"/>
      <c r="BE102" s="2594"/>
      <c r="BF102" s="2594"/>
      <c r="BG102" s="2597" t="str">
        <f>IF($B$2=0,"","ﾗｯﾁ電磁レリーズ")</f>
        <v>ﾗｯﾁ電磁レリーズ</v>
      </c>
      <c r="BH102" s="2597"/>
      <c r="BI102" s="2597"/>
      <c r="BJ102" s="2597"/>
      <c r="BK102" s="2597"/>
      <c r="BL102" s="2597"/>
      <c r="BM102" s="2597"/>
      <c r="BN102" s="2597"/>
      <c r="BO102" s="2593">
        <f>IF(P100="不要","",IF(BR102&lt;&gt;"",BR102,BR101))</f>
        <v>4</v>
      </c>
      <c r="BP102" s="2593"/>
      <c r="BQ102" s="2593"/>
      <c r="BR102" s="2594"/>
      <c r="BS102" s="2594"/>
      <c r="BT102" s="2596"/>
      <c r="BU102" s="19"/>
      <c r="BV102" s="35"/>
      <c r="BW102" s="351" t="s">
        <v>365</v>
      </c>
      <c r="BX102" s="368"/>
      <c r="BY102" s="369"/>
      <c r="BZ102" s="344">
        <f>IF(AA101="",0,IF(OR([6]Top!$BD$72&lt;&gt;"要",C101=""),"",IF(J101&gt;=4,1+INT(AA101*2.4),1+INT(AA101*1.2))))</f>
        <v>4</v>
      </c>
      <c r="CA102" s="360">
        <f>IF(OR([6]Top!$BD$72&lt;&gt;"要",C101=""),"",IF(J101&gt;=4,1+INT(AD101*2.4),1+INT(AD101*1.2)))</f>
        <v>11</v>
      </c>
      <c r="CB102" s="368"/>
      <c r="CC102" s="369"/>
      <c r="CD102" s="343">
        <f>IF($AX$8&lt;=500,BZ102*2,1+INT(BZ102*2.5))</f>
        <v>11</v>
      </c>
      <c r="CE102" s="360">
        <f>IF($AX$8&lt;=500,CA102*2,1+INT(CA102*2.5))</f>
        <v>28</v>
      </c>
      <c r="CF102" s="368"/>
      <c r="CG102" s="367"/>
      <c r="CH102" s="35"/>
      <c r="CI102" s="133">
        <f>IF(AZ101&lt;&gt;"",AZ101,0)</f>
        <v>2</v>
      </c>
      <c r="CJ102" s="98">
        <f>非誘!BW78</f>
        <v>12</v>
      </c>
      <c r="CK102" s="98">
        <f>非誘!BX78</f>
        <v>24</v>
      </c>
      <c r="CL102" s="88" t="s">
        <v>364</v>
      </c>
      <c r="CM102" s="185">
        <f>IF(OR(C101="",C101="  RF"),"",IF(J101="直天",$AN$10/1000+F101-1.2+SQRT(CK103/CM103),$AN$10/1000+J101-1.2+SQRT(CK103/CM103)))</f>
        <v>14.097958971132712</v>
      </c>
      <c r="CN102" s="185">
        <f>IF(OR(C101="",P100="不要"),"",CL101+CK104*AZ101)</f>
        <v>135</v>
      </c>
      <c r="CO102" s="88" t="s">
        <v>364</v>
      </c>
      <c r="CP102" s="185">
        <f>IF(OR(C101="",C101="  RF"),"",IF(J101="直天",F101-1.2+SQRT(CK103/CM103),IF(AQ100="天井ケーブル",J101-1.2,J101-1.2+SQRT(CK103/CM103))))</f>
        <v>11.597958971132712</v>
      </c>
      <c r="CQ102" s="356">
        <f>IF(OR(C101="",C101="  RF"),"",IF(AQ100="天井ケーブル","",(CM103-1)*SQRT(CK103/CM103)))</f>
        <v>107.77754868245982</v>
      </c>
      <c r="CR102" s="2589" t="str">
        <f>AG103</f>
        <v>定温SP1種WP</v>
      </c>
      <c r="CS102" s="2590"/>
      <c r="CT102" s="2591"/>
      <c r="CU102" s="184">
        <f>AN103</f>
        <v>2</v>
      </c>
      <c r="CV102" s="2589" t="str">
        <f>AT102</f>
        <v>P1総合盤露出</v>
      </c>
      <c r="CW102" s="2590"/>
      <c r="CX102" s="2591"/>
      <c r="CY102" s="184">
        <f>BA102</f>
        <v>2</v>
      </c>
      <c r="CZ102" s="216"/>
      <c r="DA102" s="8"/>
      <c r="DB102" s="197">
        <f t="shared" si="22"/>
        <v>10</v>
      </c>
      <c r="DC102" s="197" t="str">
        <f t="shared" si="23"/>
        <v/>
      </c>
      <c r="DD102" s="201" t="str">
        <f>G103</f>
        <v>HP 1.2mm-3C</v>
      </c>
      <c r="DE102" s="8"/>
      <c r="DF102" s="8"/>
      <c r="DG102" s="8"/>
      <c r="DH102" s="8" t="str">
        <f>IF(COUNTIF($DD$15:DD101,DD102)&gt;0,"",DD102)</f>
        <v/>
      </c>
      <c r="DI102" s="252">
        <f>O103</f>
        <v>21</v>
      </c>
      <c r="DJ102" s="32">
        <f t="shared" si="31"/>
        <v>0</v>
      </c>
      <c r="DK102" s="197">
        <f t="shared" si="24"/>
        <v>4</v>
      </c>
      <c r="DL102" s="197" t="str">
        <f t="shared" si="25"/>
        <v/>
      </c>
      <c r="DM102" s="10" t="str">
        <f>IF(CU102="","",CR102)</f>
        <v>定温SP1種WP</v>
      </c>
      <c r="DN102" s="10" t="str">
        <f>CR102</f>
        <v>定温SP1種WP</v>
      </c>
      <c r="DO102" s="10"/>
      <c r="DP102" s="8"/>
      <c r="DQ102" s="8" t="str">
        <f>IF(COUNTIF($DM$15:DM101,DM102)&gt;0,"",DM102)</f>
        <v/>
      </c>
      <c r="DR102" s="200">
        <f>CU102</f>
        <v>2</v>
      </c>
      <c r="DS102" s="32">
        <f t="shared" si="32"/>
        <v>8</v>
      </c>
      <c r="DT102" s="8"/>
      <c r="DU102" s="197">
        <f t="shared" si="26"/>
        <v>4</v>
      </c>
      <c r="DV102" s="197" t="str">
        <f t="shared" si="27"/>
        <v/>
      </c>
      <c r="DW102" s="201" t="str">
        <f>T102</f>
        <v>C-19mm</v>
      </c>
      <c r="DX102" s="8"/>
      <c r="DY102" s="8"/>
      <c r="DZ102" s="8"/>
      <c r="EA102" s="8" t="str">
        <f>IF(COUNTIF($DW$15:DW101,DW102)&gt;0,"",DW102)</f>
        <v/>
      </c>
      <c r="EB102" s="197">
        <f>AB102</f>
        <v>119</v>
      </c>
      <c r="EC102" s="32">
        <f>SUMIF($DW$17:$DW$184,EA102,$EB$17:$EB$184)</f>
        <v>0</v>
      </c>
    </row>
    <row r="103" spans="1:133" ht="11.25" customHeight="1" thickBot="1">
      <c r="A103" s="15"/>
      <c r="B103" s="176"/>
      <c r="C103" s="2568" t="s">
        <v>363</v>
      </c>
      <c r="D103" s="2569"/>
      <c r="E103" s="2569"/>
      <c r="F103" s="2569"/>
      <c r="G103" s="2592" t="str">
        <f>IF(C101="","","HP 1.2mm-3C")</f>
        <v>HP 1.2mm-3C</v>
      </c>
      <c r="H103" s="2592"/>
      <c r="I103" s="2592"/>
      <c r="J103" s="2592"/>
      <c r="K103" s="2592"/>
      <c r="L103" s="2592"/>
      <c r="M103" s="2592"/>
      <c r="N103" s="2592"/>
      <c r="O103" s="2557">
        <f>IF($B$2=0,"",IF(OR(C101="",P100="不要"),"",ROUND(CN104,0)))</f>
        <v>21</v>
      </c>
      <c r="P103" s="2557"/>
      <c r="Q103" s="2557"/>
      <c r="R103" s="2557"/>
      <c r="S103" s="2557"/>
      <c r="T103" s="2557" t="str">
        <f>IF(OR($B$2=0,C101="",P100="不要"),"",IF(BH100="天井ケーブル","C-19mm",IF(MID(BH100,4,2)="PF","PF-16mm",IF(MID(BH100,4,2)="CD","CD-16mm",IF(MID(BH100,4,2)="C ","C-19mm",IF(MID(BH100,4,2)="G ","G-16mm",""))))))</f>
        <v>C-19mm</v>
      </c>
      <c r="U103" s="2557"/>
      <c r="V103" s="2557"/>
      <c r="W103" s="2557"/>
      <c r="X103" s="2557"/>
      <c r="Y103" s="2557"/>
      <c r="Z103" s="2557"/>
      <c r="AA103" s="2557"/>
      <c r="AB103" s="2557">
        <f>IF($B$2=0,"",IF(OR(C101="",P100="不要",CQ105=""),"",CQ104+CQ105))</f>
        <v>32.799999999999997</v>
      </c>
      <c r="AC103" s="2557"/>
      <c r="AD103" s="2557"/>
      <c r="AE103" s="2557"/>
      <c r="AF103" s="2557"/>
      <c r="AG103" s="2572" t="str">
        <f>IF($B$2=0,"","定温SP1種WP")</f>
        <v>定温SP1種WP</v>
      </c>
      <c r="AH103" s="2572"/>
      <c r="AI103" s="2572"/>
      <c r="AJ103" s="2572"/>
      <c r="AK103" s="2572"/>
      <c r="AL103" s="2572"/>
      <c r="AM103" s="2572"/>
      <c r="AN103" s="2312">
        <f>IF(OR($B$2=0,P100="不要"),"",IF(AQ103&lt;&gt;"",AQ103,CA103))</f>
        <v>2</v>
      </c>
      <c r="AO103" s="2312"/>
      <c r="AP103" s="2312"/>
      <c r="AQ103" s="2575"/>
      <c r="AR103" s="2575"/>
      <c r="AS103" s="2575"/>
      <c r="AT103" s="2572" t="str">
        <f>IF($B$2=0,"","P1総合盤埋込")</f>
        <v>P1総合盤埋込</v>
      </c>
      <c r="AU103" s="2572"/>
      <c r="AV103" s="2572"/>
      <c r="AW103" s="2572"/>
      <c r="AX103" s="2572"/>
      <c r="AY103" s="2572"/>
      <c r="AZ103" s="2572"/>
      <c r="BA103" s="2312" t="str">
        <f>IF(P100="不要","",IF(BD103&lt;&gt;"",BD103,IF([4]Top!$BD$51&lt;&gt;"要","",AZ101)))</f>
        <v/>
      </c>
      <c r="BB103" s="2312"/>
      <c r="BC103" s="2312"/>
      <c r="BD103" s="2575"/>
      <c r="BE103" s="2575"/>
      <c r="BF103" s="2575"/>
      <c r="BG103" s="2572" t="str">
        <f>IF($B$2=0,"","ｱｰﾑ電磁レリーズ")</f>
        <v>ｱｰﾑ電磁レリーズ</v>
      </c>
      <c r="BH103" s="2572"/>
      <c r="BI103" s="2572"/>
      <c r="BJ103" s="2572"/>
      <c r="BK103" s="2572"/>
      <c r="BL103" s="2572"/>
      <c r="BM103" s="2572"/>
      <c r="BN103" s="2572"/>
      <c r="BO103" s="2312">
        <f>IF(P100="不要","",IF(BR103&lt;&gt;"",BR103,BR101))</f>
        <v>4</v>
      </c>
      <c r="BP103" s="2312"/>
      <c r="BQ103" s="2312"/>
      <c r="BR103" s="2575"/>
      <c r="BS103" s="2575"/>
      <c r="BT103" s="2576"/>
      <c r="BU103" s="19"/>
      <c r="BV103" s="35"/>
      <c r="BW103" s="351" t="s">
        <v>362</v>
      </c>
      <c r="BX103" s="348"/>
      <c r="BY103" s="349">
        <f>CA103</f>
        <v>2</v>
      </c>
      <c r="BZ103" s="366"/>
      <c r="CA103" s="360">
        <f>IF(C101="","",1+INT(W101/200))</f>
        <v>2</v>
      </c>
      <c r="CB103" s="348"/>
      <c r="CC103" s="359">
        <f>CA103</f>
        <v>2</v>
      </c>
      <c r="CD103" s="365"/>
      <c r="CE103" s="349">
        <f>CA103</f>
        <v>2</v>
      </c>
      <c r="CF103" s="348"/>
      <c r="CG103" s="357">
        <f>CA103</f>
        <v>2</v>
      </c>
      <c r="CH103" s="35"/>
      <c r="CI103" s="133">
        <f>IF(BG101&lt;&gt;"",BG101,0)</f>
        <v>3</v>
      </c>
      <c r="CJ103" s="88" t="s">
        <v>361</v>
      </c>
      <c r="CK103" s="107">
        <f>N101</f>
        <v>1152</v>
      </c>
      <c r="CL103" s="88" t="s">
        <v>360</v>
      </c>
      <c r="CM103" s="185">
        <f>SUM(AN102:AP106)</f>
        <v>12</v>
      </c>
      <c r="CN103" s="364"/>
      <c r="CO103" s="168"/>
      <c r="CP103" s="363"/>
      <c r="CQ103" s="150"/>
      <c r="CR103" s="2598" t="str">
        <f>AG104</f>
        <v>補償SP2種</v>
      </c>
      <c r="CS103" s="2599"/>
      <c r="CT103" s="2600"/>
      <c r="CU103" s="362">
        <f>AN104</f>
        <v>2</v>
      </c>
      <c r="CV103" s="2598" t="str">
        <f>AT103</f>
        <v>P1総合盤埋込</v>
      </c>
      <c r="CW103" s="2599"/>
      <c r="CX103" s="2600"/>
      <c r="CY103" s="362" t="str">
        <f>BA103</f>
        <v/>
      </c>
      <c r="CZ103" s="216"/>
      <c r="DA103" s="8"/>
      <c r="DB103" s="197">
        <f t="shared" si="22"/>
        <v>10</v>
      </c>
      <c r="DC103" s="197" t="str">
        <f t="shared" si="23"/>
        <v/>
      </c>
      <c r="DD103" s="201" t="str">
        <f>G104</f>
        <v>HP 1.2mm-5C</v>
      </c>
      <c r="DE103" s="8"/>
      <c r="DF103" s="8"/>
      <c r="DG103" s="8"/>
      <c r="DH103" s="8" t="str">
        <f>IF(COUNTIF($DD$15:DD102,DD103)&gt;0,"",DD103)</f>
        <v/>
      </c>
      <c r="DI103" s="252">
        <f>O104</f>
        <v>27</v>
      </c>
      <c r="DJ103" s="32">
        <f t="shared" si="31"/>
        <v>0</v>
      </c>
      <c r="DK103" s="197">
        <f t="shared" si="24"/>
        <v>4</v>
      </c>
      <c r="DL103" s="197" t="str">
        <f t="shared" si="25"/>
        <v/>
      </c>
      <c r="DM103" s="10" t="str">
        <f>IF(CU103="","",CR103)</f>
        <v>補償SP2種</v>
      </c>
      <c r="DN103" s="10" t="str">
        <f>CR103</f>
        <v>補償SP2種</v>
      </c>
      <c r="DO103" s="10"/>
      <c r="DP103" s="8"/>
      <c r="DQ103" s="8" t="str">
        <f>IF(COUNTIF($DM$15:DM102,DM103)&gt;0,"",DM103)</f>
        <v/>
      </c>
      <c r="DR103" s="200">
        <f>CU103</f>
        <v>2</v>
      </c>
      <c r="DS103" s="32">
        <f t="shared" si="32"/>
        <v>8</v>
      </c>
      <c r="DT103" s="8"/>
      <c r="DU103" s="197">
        <f t="shared" si="26"/>
        <v>4</v>
      </c>
      <c r="DV103" s="197" t="str">
        <f t="shared" si="27"/>
        <v/>
      </c>
      <c r="DW103" s="201" t="str">
        <f>T103</f>
        <v>C-19mm</v>
      </c>
      <c r="DX103" s="8"/>
      <c r="DY103" s="8"/>
      <c r="DZ103" s="8"/>
      <c r="EA103" s="8" t="str">
        <f>IF(COUNTIF($DW$15:DW102,DW103)&gt;0,"",DW103)</f>
        <v/>
      </c>
      <c r="EB103" s="197">
        <f>AB103</f>
        <v>32.799999999999997</v>
      </c>
      <c r="EC103" s="32">
        <f>SUMIF($DW$17:$DW$184,EA103,$EB$17:$EB$184)</f>
        <v>0</v>
      </c>
    </row>
    <row r="104" spans="1:133" ht="11.25" customHeight="1" thickBot="1">
      <c r="A104" s="15"/>
      <c r="B104" s="23"/>
      <c r="C104" s="2568"/>
      <c r="D104" s="2569"/>
      <c r="E104" s="2569"/>
      <c r="F104" s="2569"/>
      <c r="G104" s="2584" t="str">
        <f>IF(C101="","","HP 1.2mm-5C")</f>
        <v>HP 1.2mm-5C</v>
      </c>
      <c r="H104" s="2584"/>
      <c r="I104" s="2584"/>
      <c r="J104" s="2584"/>
      <c r="K104" s="2584"/>
      <c r="L104" s="2584"/>
      <c r="M104" s="2584"/>
      <c r="N104" s="2584"/>
      <c r="O104" s="2585">
        <f>IF($B$2=0,"",IF(OR(C101="",P100="不要"),"",ROUND(CM104,0)))</f>
        <v>27</v>
      </c>
      <c r="P104" s="2585"/>
      <c r="Q104" s="2585"/>
      <c r="R104" s="2585"/>
      <c r="S104" s="2585"/>
      <c r="T104" s="2585" t="str">
        <f>IF(OR($B$2=0,C101="",P100="不要"),"",IF(BH100="天井ケーブル","C-25mm",IF(MID(BH100,4,2)="PF","PF-22mm",IF(MID(BH100,4,2)="CD","CD-22mm",IF(MID(BH100,4,2)="C ","C-25mm",IF(MID(BH100,4,2)="G ","G-22mm",""))))))</f>
        <v>C-25mm</v>
      </c>
      <c r="U104" s="2585"/>
      <c r="V104" s="2585"/>
      <c r="W104" s="2585"/>
      <c r="X104" s="2585"/>
      <c r="Y104" s="2585"/>
      <c r="Z104" s="2585"/>
      <c r="AA104" s="2585"/>
      <c r="AB104" s="2585">
        <f>IF(OR($B$2=0,C101="",P100="不要"),"",CP104)</f>
        <v>25.8</v>
      </c>
      <c r="AC104" s="2585"/>
      <c r="AD104" s="2585"/>
      <c r="AE104" s="2585"/>
      <c r="AF104" s="2585"/>
      <c r="AG104" s="2572" t="str">
        <f>IF($B$2=0,"","補償SP2種")</f>
        <v>補償SP2種</v>
      </c>
      <c r="AH104" s="2572"/>
      <c r="AI104" s="2572"/>
      <c r="AJ104" s="2572"/>
      <c r="AK104" s="2572"/>
      <c r="AL104" s="2572"/>
      <c r="AM104" s="2572"/>
      <c r="AN104" s="2312">
        <f>IF(OR($B$2=0,P100="不要"),"",IF(AQ104&lt;&gt;"",AQ104,CA104))</f>
        <v>2</v>
      </c>
      <c r="AO104" s="2312"/>
      <c r="AP104" s="2312"/>
      <c r="AQ104" s="2575"/>
      <c r="AR104" s="2575"/>
      <c r="AS104" s="2575"/>
      <c r="AT104" s="2546" t="str">
        <f>IF($B$2=0,"","HP起動押ボタン")</f>
        <v>HP起動押ボタン</v>
      </c>
      <c r="AU104" s="2546"/>
      <c r="AV104" s="2546"/>
      <c r="AW104" s="2546"/>
      <c r="AX104" s="2546"/>
      <c r="AY104" s="2546"/>
      <c r="AZ104" s="2546"/>
      <c r="BA104" s="2544" t="str">
        <f>IF(P100="不要","",IF(BD104&lt;&gt;"",BD104,IF([4]Top!$BL$51="要",AZ101,"")))</f>
        <v/>
      </c>
      <c r="BB104" s="2544"/>
      <c r="BC104" s="2544"/>
      <c r="BD104" s="2573"/>
      <c r="BE104" s="2573"/>
      <c r="BF104" s="2573"/>
      <c r="BG104" s="2546" t="str">
        <f>IF($B$2=0,"","光電式煙3種埋")</f>
        <v>光電式煙3種埋</v>
      </c>
      <c r="BH104" s="2546"/>
      <c r="BI104" s="2546"/>
      <c r="BJ104" s="2546"/>
      <c r="BK104" s="2546"/>
      <c r="BL104" s="2546"/>
      <c r="BM104" s="2546"/>
      <c r="BN104" s="2546"/>
      <c r="BO104" s="2544">
        <f>IF(OR($B$2=0,C101="",P100="不要"),"",IF(BR104&lt;&gt;"",BR104,2*BR101))</f>
        <v>8</v>
      </c>
      <c r="BP104" s="2544"/>
      <c r="BQ104" s="2544"/>
      <c r="BR104" s="2573"/>
      <c r="BS104" s="2573"/>
      <c r="BT104" s="2574"/>
      <c r="BU104" s="19"/>
      <c r="BV104" s="35"/>
      <c r="BW104" s="351" t="s">
        <v>359</v>
      </c>
      <c r="BX104" s="361"/>
      <c r="BY104" s="349">
        <f>CA104</f>
        <v>2</v>
      </c>
      <c r="BZ104" s="348"/>
      <c r="CA104" s="360">
        <f>IF(C101="","",1+INT(W101/200))</f>
        <v>2</v>
      </c>
      <c r="CB104" s="358"/>
      <c r="CC104" s="359">
        <f>CA104</f>
        <v>2</v>
      </c>
      <c r="CD104" s="346"/>
      <c r="CE104" s="349">
        <f>CA104</f>
        <v>2</v>
      </c>
      <c r="CF104" s="358"/>
      <c r="CG104" s="357">
        <f>CA104</f>
        <v>2</v>
      </c>
      <c r="CH104" s="35"/>
      <c r="CI104" s="133">
        <f>IF(BR101&lt;&gt;"",BR101,0)</f>
        <v>4</v>
      </c>
      <c r="CJ104" s="88" t="s">
        <v>121</v>
      </c>
      <c r="CK104" s="187">
        <f>IF(OR(C101="",C101="  RF"),"",IF($AX$8=0,0,2*($AX$8/1000-0.15-0.1)*(INT(1000*CJ102/$BF$8)+1)*(INT(1000*CK102/$BF$8)+1)*4))</f>
        <v>53.999999999999993</v>
      </c>
      <c r="CL104" s="187" t="s">
        <v>358</v>
      </c>
      <c r="CM104" s="139">
        <f>IF(OR(C101="",C101="  RF"),"",IF(J101="直天",$AN$8/1000+F101-1.2+CJ102+CK102/2,$AN$8/1000+J101-1.2+CJ102+CK102/2))</f>
        <v>27.3</v>
      </c>
      <c r="CN104" s="136">
        <f>IF(OR(C101="",C101="  RF"),"",IF(J101="直天",F101-$Y$8/1000+F101-$Y$9/1000+2*8+($AN$7+2*$AN$9)/1000,J101-$Y$8/1000+J101-$Y$9/1000+2*8+($AN$7+2*$AN$9)/1000))</f>
        <v>20.599999999999998</v>
      </c>
      <c r="CO104" s="151" t="s">
        <v>358</v>
      </c>
      <c r="CP104" s="185">
        <f>IF(OR(C101="",C101="  RF"),"",IF(J101="直天",F101-1.2+CJ102+CK102/2,IF(AQ100="天井ケーブル",J101-1.2,J101-1.2+CJ102+CK102/2)))</f>
        <v>25.8</v>
      </c>
      <c r="CQ104" s="356">
        <f>IF(OR(C101="",C101="  RF"),"",IF(J101="直天",F101-$Y$8/1000+F101-$Y$9/1000+2*8,IF(BH100="天井ケーブル",J101-$Y$8/1000+J101-$Y$9/1000,J101-$Y$8/1000+J101-$Y$9/1000+2*8)))</f>
        <v>18.399999999999999</v>
      </c>
      <c r="CR104" s="355" t="s">
        <v>87</v>
      </c>
      <c r="CS104" s="336" t="s">
        <v>395</v>
      </c>
      <c r="CT104" s="336" t="s">
        <v>394</v>
      </c>
      <c r="CU104" s="192" t="s">
        <v>393</v>
      </c>
      <c r="CV104" s="336" t="s">
        <v>392</v>
      </c>
      <c r="CW104" s="336" t="s">
        <v>391</v>
      </c>
      <c r="CX104" s="336" t="s">
        <v>390</v>
      </c>
      <c r="CY104" s="354" t="s">
        <v>389</v>
      </c>
      <c r="CZ104" s="216"/>
      <c r="DA104" s="8"/>
      <c r="DB104" s="197">
        <f t="shared" si="22"/>
        <v>10</v>
      </c>
      <c r="DC104" s="197" t="str">
        <f t="shared" si="23"/>
        <v/>
      </c>
      <c r="DD104" s="201" t="str">
        <f>G105</f>
        <v>FCPEV 0.9-5Pr</v>
      </c>
      <c r="DE104" s="8"/>
      <c r="DF104" s="8"/>
      <c r="DG104" s="8"/>
      <c r="DH104" s="8" t="str">
        <f>IF(COUNTIF($DD$15:DD103,DD104)&gt;0,"",DD104)</f>
        <v/>
      </c>
      <c r="DI104" s="252">
        <f>O105</f>
        <v>18</v>
      </c>
      <c r="DJ104" s="32">
        <f t="shared" si="31"/>
        <v>0</v>
      </c>
      <c r="DK104" s="197">
        <f t="shared" si="24"/>
        <v>4</v>
      </c>
      <c r="DL104" s="197" t="str">
        <f t="shared" si="25"/>
        <v/>
      </c>
      <c r="DM104" s="11" t="str">
        <f>IF(CY100="","",CV100)</f>
        <v>光電式煙2種埋</v>
      </c>
      <c r="DN104" s="11"/>
      <c r="DO104" s="11"/>
      <c r="DP104" s="9"/>
      <c r="DQ104" s="9" t="str">
        <f>IF(COUNTIF($DM$15:DM103,DM104)&gt;0,"",DM104)</f>
        <v/>
      </c>
      <c r="DR104" s="200">
        <f>CY100</f>
        <v>8</v>
      </c>
      <c r="DS104" s="32">
        <f t="shared" si="32"/>
        <v>8</v>
      </c>
      <c r="DT104" s="8"/>
      <c r="DU104" s="197">
        <f t="shared" si="26"/>
        <v>4</v>
      </c>
      <c r="DV104" s="197" t="str">
        <f t="shared" si="27"/>
        <v/>
      </c>
      <c r="DW104" s="201" t="str">
        <f>T104</f>
        <v>C-25mm</v>
      </c>
      <c r="DX104" s="8"/>
      <c r="DY104" s="8"/>
      <c r="DZ104" s="8"/>
      <c r="EA104" s="8" t="str">
        <f>IF(COUNTIF($DW$15:DW103,DW104)&gt;0,"",DW104)</f>
        <v/>
      </c>
      <c r="EB104" s="197">
        <f>AB104</f>
        <v>25.8</v>
      </c>
      <c r="EC104" s="32">
        <f>SUMIF($DW$17:$DW$184,EA104,$EB$17:$EB$184)</f>
        <v>0</v>
      </c>
    </row>
    <row r="105" spans="1:133" ht="11.25" customHeight="1" thickBot="1">
      <c r="A105" s="15"/>
      <c r="B105" s="23"/>
      <c r="C105" s="2568" t="s">
        <v>352</v>
      </c>
      <c r="D105" s="2569"/>
      <c r="E105" s="2569"/>
      <c r="F105" s="2569"/>
      <c r="G105" s="2557" t="str">
        <f>IF(OR($B$2=0,C101="",P100="不要"),"",IF(CR105&lt;10,"FCPEV 0.9-5Pr",IF(CR105&lt;20,"FCPEV 0.9- 10Pr",IF(CR105&lt;30,"FCPEV 0.9- 15Pr",IF(CR105&lt;40,"FCPEV 0.9- 20Pr","")))))</f>
        <v>FCPEV 0.9-5Pr</v>
      </c>
      <c r="H105" s="2557"/>
      <c r="I105" s="2557"/>
      <c r="J105" s="2557"/>
      <c r="K105" s="2557"/>
      <c r="L105" s="2557"/>
      <c r="M105" s="2557"/>
      <c r="N105" s="2557"/>
      <c r="O105" s="2557">
        <f>IF(OR(C101="",P100="不要",G105=""),"",INT(AZ101*(CJ102+CK102)/4))</f>
        <v>18</v>
      </c>
      <c r="P105" s="2557"/>
      <c r="Q105" s="2557"/>
      <c r="R105" s="2557"/>
      <c r="S105" s="2557"/>
      <c r="T105" s="2558" t="str">
        <f>IF(OR(C101="",P100="不要",G105=""),"",IF(AQ100="天井ケーブル","C-"&amp;CM106&amp;"mm",IF(MID(AQ100,4,2)="PF","PF-"&amp;CL106&amp;"mm",IF(MID(AQ100,4,2)="CD","CD-"&amp;CL106&amp;"mm",IF(MID(AQ100,4,2)="C ","C-"&amp;CM106&amp;"mm",IF(MID(AQ100,4,2)="G ","G-"&amp;CL106&amp;"mm"))))))</f>
        <v>C-31mm</v>
      </c>
      <c r="U105" s="2557"/>
      <c r="V105" s="2557"/>
      <c r="W105" s="2557"/>
      <c r="X105" s="2557"/>
      <c r="Y105" s="2557"/>
      <c r="Z105" s="2557"/>
      <c r="AA105" s="2557"/>
      <c r="AB105" s="2557">
        <f>IF(OR(C101="",P100="不要",G105=""),"",IF(AQ100="天井ケーブル",2*AZ101*(F101-$Y$7/1000),O105*0.9))</f>
        <v>16.2</v>
      </c>
      <c r="AC105" s="2557"/>
      <c r="AD105" s="2557"/>
      <c r="AE105" s="2557"/>
      <c r="AF105" s="2557"/>
      <c r="AG105" s="2572" t="str">
        <f>IF($B$2=0,"","光電式煙2種埋")</f>
        <v>光電式煙2種埋</v>
      </c>
      <c r="AH105" s="2572"/>
      <c r="AI105" s="2572"/>
      <c r="AJ105" s="2572"/>
      <c r="AK105" s="2572"/>
      <c r="AL105" s="2572"/>
      <c r="AM105" s="2572"/>
      <c r="AN105" s="2312">
        <f>IF(OR(C101="",$B$2=0,P100="不要"),"",IF(AQ105&lt;&gt;"",AQ105,IF(AX106="B",BX105+BY105,IF(AND(BL105="耐 火",AZ105="無窓"),CB105+CC105,IF(AND(BL105&lt;&gt;"耐 火",AZ105="無窓"),CF105+CG105,"")))))</f>
        <v>8</v>
      </c>
      <c r="AO105" s="2312"/>
      <c r="AP105" s="2312"/>
      <c r="AQ105" s="2339"/>
      <c r="AR105" s="2339"/>
      <c r="AS105" s="2551"/>
      <c r="AT105" s="2577" t="str">
        <f>IF(C101="","","消防法上")</f>
        <v>消防法上</v>
      </c>
      <c r="AU105" s="2289"/>
      <c r="AV105" s="2289"/>
      <c r="AW105" s="2289"/>
      <c r="AX105" s="2289"/>
      <c r="AY105" s="2578"/>
      <c r="AZ105" s="2579" t="str">
        <f>IF($B$2=0,"",IF(BD105="",[4]Top!$BO$26,BD105))</f>
        <v>無窓</v>
      </c>
      <c r="BA105" s="2394"/>
      <c r="BB105" s="2580"/>
      <c r="BC105" s="353" t="s">
        <v>387</v>
      </c>
      <c r="BD105" s="2552"/>
      <c r="BE105" s="2552"/>
      <c r="BF105" s="2553"/>
      <c r="BG105" s="2581" t="str">
        <f>IF(C101="","","耐火構造")</f>
        <v>耐火構造</v>
      </c>
      <c r="BH105" s="2289"/>
      <c r="BI105" s="2289"/>
      <c r="BJ105" s="2289"/>
      <c r="BK105" s="2290"/>
      <c r="BL105" s="2278" t="str">
        <f>IF($B$2=0,"",IF(BQ105="",[4]Top!$AN$18,BQ105))</f>
        <v>耐 火</v>
      </c>
      <c r="BM105" s="2394"/>
      <c r="BN105" s="2394"/>
      <c r="BO105" s="2580"/>
      <c r="BP105" s="352" t="s">
        <v>387</v>
      </c>
      <c r="BQ105" s="2582"/>
      <c r="BR105" s="2552"/>
      <c r="BS105" s="2552"/>
      <c r="BT105" s="2583"/>
      <c r="BU105" s="19"/>
      <c r="BV105" s="35"/>
      <c r="BW105" s="351" t="s">
        <v>351</v>
      </c>
      <c r="BX105" s="350">
        <f>CB105</f>
        <v>2</v>
      </c>
      <c r="BY105" s="349">
        <f>CC105</f>
        <v>6</v>
      </c>
      <c r="BZ105" s="348"/>
      <c r="CA105" s="345"/>
      <c r="CB105" s="344">
        <f>IF(OR([6]Top!$BD$72&lt;&gt;"要",C101=""),"",IF(J101&gt;=4,1+INT(BZ102*0.47),1+INT(BZ102*0.47)))</f>
        <v>2</v>
      </c>
      <c r="CC105" s="347">
        <f>IF(OR([6]Top!$BD$72&lt;&gt;"要",C101=""),"",IF(J101&gt;=4,1+INT(CA102*0.47),1+INT(CA102*0.47)))</f>
        <v>6</v>
      </c>
      <c r="CD105" s="346"/>
      <c r="CE105" s="345"/>
      <c r="CF105" s="344">
        <f>IF(AND(AX92&lt;720,J101&lt;4),1+INT(CD102*0.47),1+INT(CD102*0.94))</f>
        <v>11</v>
      </c>
      <c r="CG105" s="343">
        <f>IF(AND(AX92&lt;720,J101&lt;4),1+INT(CE102*0.47),1+INT(CE102*0.94))</f>
        <v>27</v>
      </c>
      <c r="CH105" s="35"/>
      <c r="CI105" s="133">
        <f>IF(AND(C101&lt;&gt;"",LEFT(C101,2)&lt;&gt;" P"),CI97+F101,"")</f>
        <v>47</v>
      </c>
      <c r="CJ105" s="88" t="s">
        <v>350</v>
      </c>
      <c r="CK105" s="182" t="s">
        <v>349</v>
      </c>
      <c r="CL105" s="342">
        <f>IF(OR(C101="",C101="  RF"),"",IF(AZ109&lt;&gt;"",AZ101,AZ101+BG101))</f>
        <v>2</v>
      </c>
      <c r="CM105" s="341" t="s">
        <v>348</v>
      </c>
      <c r="CN105" s="219" t="s">
        <v>347</v>
      </c>
      <c r="CO105" s="138">
        <f>IF(OR(C101="",P100="不要"),"",AZ101*INT(CJ102+CK102)/5)</f>
        <v>14.4</v>
      </c>
      <c r="CP105" s="151" t="s">
        <v>347</v>
      </c>
      <c r="CQ105" s="340">
        <f>IF(AQ100="天井ケーブル",F101,CO105)</f>
        <v>14.4</v>
      </c>
      <c r="CR105" s="339">
        <f>SUM(CS105:CX105)</f>
        <v>8</v>
      </c>
      <c r="CS105" s="338">
        <f>AZ101</f>
        <v>2</v>
      </c>
      <c r="CT105" s="338">
        <f>IF(BA101="",0,BA101)</f>
        <v>0</v>
      </c>
      <c r="CU105" s="88">
        <v>1</v>
      </c>
      <c r="CV105" s="222">
        <v>1</v>
      </c>
      <c r="CW105" s="222">
        <v>2</v>
      </c>
      <c r="CX105" s="222">
        <v>2</v>
      </c>
      <c r="CY105" s="337" t="str">
        <f>IF(CK100="=",3*BR101+2,"")</f>
        <v/>
      </c>
      <c r="CZ105" s="218"/>
      <c r="DA105" s="8"/>
      <c r="DB105" s="197">
        <f t="shared" si="22"/>
        <v>10</v>
      </c>
      <c r="DC105" s="197" t="str">
        <f t="shared" si="23"/>
        <v/>
      </c>
      <c r="DD105" s="201" t="str">
        <f>G106</f>
        <v>FCPEV 1.2- 15Pr</v>
      </c>
      <c r="DE105" s="8"/>
      <c r="DF105" s="8"/>
      <c r="DG105" s="8"/>
      <c r="DH105" s="8" t="str">
        <f>IF(COUNTIF($DD$15:DD104,DD105)&gt;0,"",DD105)</f>
        <v/>
      </c>
      <c r="DI105" s="252">
        <f>O106</f>
        <v>14.4</v>
      </c>
      <c r="DJ105" s="32">
        <f t="shared" si="31"/>
        <v>0</v>
      </c>
      <c r="DK105" s="197">
        <f t="shared" si="24"/>
        <v>4</v>
      </c>
      <c r="DL105" s="197" t="str">
        <f t="shared" si="25"/>
        <v/>
      </c>
      <c r="DM105" s="11" t="str">
        <f>IF(AN106="","",AG106)</f>
        <v/>
      </c>
      <c r="DN105" s="11"/>
      <c r="DO105" s="11"/>
      <c r="DP105" s="9"/>
      <c r="DQ105" s="9" t="str">
        <f>IF(COUNTIF($DM$15:DM104,DM105)&gt;0,"",DM105)</f>
        <v/>
      </c>
      <c r="DR105" s="101" t="str">
        <f>AN106</f>
        <v/>
      </c>
      <c r="DS105" s="32">
        <f t="shared" si="32"/>
        <v>8</v>
      </c>
      <c r="DT105" s="8"/>
      <c r="DU105" s="197">
        <f t="shared" si="26"/>
        <v>4</v>
      </c>
      <c r="DV105" s="197" t="str">
        <f t="shared" si="27"/>
        <v/>
      </c>
      <c r="DW105" s="201" t="str">
        <f>T105</f>
        <v>C-31mm</v>
      </c>
      <c r="DX105" s="8"/>
      <c r="DY105" s="8"/>
      <c r="DZ105" s="8"/>
      <c r="EA105" s="8" t="str">
        <f>IF(COUNTIF($DW$15:DW104,DW105)&gt;0,"",DW105)</f>
        <v/>
      </c>
      <c r="EB105" s="197">
        <f>AB105</f>
        <v>16.2</v>
      </c>
      <c r="EC105" s="32">
        <f>SUMIF($DW$17:$DW$184,EA105,$EB$17:$EB$184)</f>
        <v>0</v>
      </c>
    </row>
    <row r="106" spans="1:133" ht="11.25" customHeight="1" thickBot="1">
      <c r="A106" s="15"/>
      <c r="B106" s="23"/>
      <c r="C106" s="2570"/>
      <c r="D106" s="2571"/>
      <c r="E106" s="2571"/>
      <c r="F106" s="2571"/>
      <c r="G106" s="2554" t="str">
        <f>IF(OR($B$2=0,P100="不要"),"",IF(CR106=0,"",IF(OR(C101="",P100="不要"),"",IF(CR106&lt;10,"FCPEV 1.2-5Pr",IF(CR106&lt;20,"FCPEV 1.2- 10Pr",IF(CR106&lt;30,"FCPEV 1.2- 15Pr",IF(CR106&lt;40,"FCPEV 1.2- 20Pr",IF(CR106&lt;60,"FCPEV 1.2- 30Pr",IF(CR106&lt;100,"FCPEV 1.2- 50Pr",IF(CR106&lt;140,"FCPEV 1.2- 70Pr",IF(CR106&lt;200,"FCPEV 1.2-100Pr","FCPEV 1.2-200Pr")))))))))))</f>
        <v>FCPEV 1.2- 15Pr</v>
      </c>
      <c r="H106" s="2555"/>
      <c r="I106" s="2555"/>
      <c r="J106" s="2555"/>
      <c r="K106" s="2555"/>
      <c r="L106" s="2555"/>
      <c r="M106" s="2555"/>
      <c r="N106" s="2555"/>
      <c r="O106" s="2555">
        <f>IF(OR(G106="",C101="",P100="不要"),"",CO105)</f>
        <v>14.4</v>
      </c>
      <c r="P106" s="2555"/>
      <c r="Q106" s="2555"/>
      <c r="R106" s="2555"/>
      <c r="S106" s="2555"/>
      <c r="T106" s="2555" t="str">
        <f>IF(OR(G106="",C101="",P100="不要"),"",IF(AQ100="天井ケーブル","C-"&amp;CO106&amp;"mm",IF(MID(AQ100,4,2)="PF","PF-"&amp;CN106&amp;"mm",IF(MID(AQ100,4,2)="CD","CD-"&amp;CN106&amp;"mm",IF(MID(AQ100,4,2)="C ","C-"&amp;CO106&amp;"mm",IF(MID(AQ100,4,2)="G ","G-"&amp;CN106&amp;"mm"))))))</f>
        <v>C-31mm</v>
      </c>
      <c r="U106" s="2555"/>
      <c r="V106" s="2555"/>
      <c r="W106" s="2555"/>
      <c r="X106" s="2555"/>
      <c r="Y106" s="2555"/>
      <c r="Z106" s="2555"/>
      <c r="AA106" s="2555"/>
      <c r="AB106" s="2555">
        <f>IF(OR(G106="",P100="不要"),"",CQ105)</f>
        <v>14.4</v>
      </c>
      <c r="AC106" s="2555"/>
      <c r="AD106" s="2555"/>
      <c r="AE106" s="2555"/>
      <c r="AF106" s="2555"/>
      <c r="AG106" s="2556" t="str">
        <f>IF($B$2=0,"","定温SP1種Exp")</f>
        <v>定温SP1種Exp</v>
      </c>
      <c r="AH106" s="2556"/>
      <c r="AI106" s="2556"/>
      <c r="AJ106" s="2556"/>
      <c r="AK106" s="2556"/>
      <c r="AL106" s="2556"/>
      <c r="AM106" s="2556"/>
      <c r="AN106" s="2335" t="str">
        <f>IF(AQ106&lt;&gt;"",AQ106,"")</f>
        <v/>
      </c>
      <c r="AO106" s="2335"/>
      <c r="AP106" s="2335"/>
      <c r="AQ106" s="2566"/>
      <c r="AR106" s="2566"/>
      <c r="AS106" s="2567"/>
      <c r="AT106" s="2586" t="str">
        <f>IF(C101="","","盤位置")</f>
        <v>盤位置</v>
      </c>
      <c r="AU106" s="2587"/>
      <c r="AV106" s="2587"/>
      <c r="AW106" s="2587"/>
      <c r="AX106" s="2588" t="str">
        <f>非誘!V77</f>
        <v>⑦</v>
      </c>
      <c r="AY106" s="2588"/>
      <c r="AZ106" s="2588"/>
      <c r="BA106" s="2559" t="str">
        <f>IF(C101="","","専部屋面積")</f>
        <v>専部屋面積</v>
      </c>
      <c r="BB106" s="2560"/>
      <c r="BC106" s="2560"/>
      <c r="BD106" s="2560"/>
      <c r="BE106" s="2560"/>
      <c r="BF106" s="2561"/>
      <c r="BG106" s="2562">
        <f>IF(OR(C101="",S101=""),"",S101/AA101)</f>
        <v>268.8</v>
      </c>
      <c r="BH106" s="2563"/>
      <c r="BI106" s="2563"/>
      <c r="BJ106" s="2564"/>
      <c r="BK106" s="2559" t="str">
        <f>IF(C101="","","共部屋面積")</f>
        <v>共部屋面積</v>
      </c>
      <c r="BL106" s="2560"/>
      <c r="BM106" s="2560"/>
      <c r="BN106" s="2560"/>
      <c r="BO106" s="2560"/>
      <c r="BP106" s="2561"/>
      <c r="BQ106" s="2562">
        <f>IF(OR($B$2=0,C101=""),"",W101/AD101)</f>
        <v>38.400000000000006</v>
      </c>
      <c r="BR106" s="2563"/>
      <c r="BS106" s="2563"/>
      <c r="BT106" s="2565"/>
      <c r="BU106" s="19"/>
      <c r="BV106" s="35"/>
      <c r="BW106" s="99"/>
      <c r="BX106" s="35"/>
      <c r="BY106" s="35"/>
      <c r="BZ106" s="35"/>
      <c r="CA106" s="35"/>
      <c r="CB106" s="35"/>
      <c r="CC106" s="35"/>
      <c r="CD106" s="35"/>
      <c r="CE106" s="35"/>
      <c r="CF106" s="35"/>
      <c r="CG106" s="35"/>
      <c r="CH106" s="35"/>
      <c r="CI106" s="8"/>
      <c r="CJ106" s="8"/>
      <c r="CK106" s="8"/>
      <c r="CL106" s="336" t="str">
        <f>IF(OR(RIGHT(G105,3)="5Pr",RIGHT(G105,4)="10Pr",RIGHT(G105,4)="15Pr"),"28",IF(OR(RIGHT(G105,4)="20Pr",RIGHT(G105,4)="30Pr"),"36",IF(OR(RIGHT(G105,4)="50Pr",RIGHT(G105,4)="70Pr"),"42","")))</f>
        <v>28</v>
      </c>
      <c r="CM106" s="336" t="str">
        <f>IF(OR(RIGHT(G105,3)="5Pr",RIGHT(G105,4)="10Pr",RIGHT(G105,4)="15Pr"),"31",IF(OR(RIGHT(G105,4)="20Pr",RIGHT(G105,4)="30Pr"),"39",IF(OR(RIGHT(G105,4)="50Pr",RIGHT(G105,4)="70Pr"),"51","")))</f>
        <v>31</v>
      </c>
      <c r="CN106" s="86" t="str">
        <f>IF(OR(RIGHT(G106,3)="5Pr",RIGHT(G106,4)="10Pr",RIGHT(G106,4)="15Pr"),"28",IF(OR(RIGHT(G106,4)="20Pr",RIGHT(G106,4)="30Pr"),"36",IF(OR(RIGHT(G106,4)="50Pr",RIGHT(G106,4)="70Pr"),"42","")))</f>
        <v>28</v>
      </c>
      <c r="CO106" s="86" t="str">
        <f>IF(OR(RIGHT(G106,3)="5Pr",RIGHT(G106,4)="10Pr",RIGHT(G106,4)="15Pr"),"31",IF(OR(RIGHT(G106,4)="20Pr",RIGHT(G106,4)="30Pr"),"39",IF(OR(RIGHT(G106,4)="50Pr",RIGHT(G106,4)="70Pr"),"51","")))</f>
        <v>31</v>
      </c>
      <c r="CP106" s="9"/>
      <c r="CQ106" s="9"/>
      <c r="CR106" s="335">
        <f>IF(P100="不要","",SUM(CS106:CX106))</f>
        <v>20</v>
      </c>
      <c r="CS106" s="334">
        <f>IF(OR(CK100="",CK100="=",P100="不要"),0,IF(CK100="－",CL105+CS98,IF(CK100="+",CL105+CS114)))</f>
        <v>12</v>
      </c>
      <c r="CT106" s="188">
        <f>IF(OR(CK100="",CK100="=",P100="不要"),0,IF(CS106&lt;7,1,IF(CS106&lt;14,2,IF(CS106&lt;21,3,IF(CS106&lt;28,4,IF(CS106&lt;35,5,IF(CS106&lt;42,6,IF(CS106&lt;49,7,IF(CS106&lt;56,8,IF(CS106&lt;63,9,IF(CS106&lt;70,10,IF(CS106&lt;77,11,"---"))))))))))))</f>
        <v>2</v>
      </c>
      <c r="CU106" s="188">
        <f>IF(CS106=0,0,1)</f>
        <v>1</v>
      </c>
      <c r="CV106" s="333">
        <f>IF(CS106=0,0,1)</f>
        <v>1</v>
      </c>
      <c r="CW106" s="333">
        <f>IF(CS106=0,0,2)</f>
        <v>2</v>
      </c>
      <c r="CX106" s="333">
        <f>IF(CS106=0,0,2)</f>
        <v>2</v>
      </c>
      <c r="CY106" s="332">
        <f>IF(OR(BR109="",P100="不要"),0,IF(CK100="=",0,IF(CK100="－",2*BR101+3,IF(CK100="+",2*(BR101+BR109)+3,""))))</f>
        <v>19</v>
      </c>
      <c r="CZ106" s="216"/>
      <c r="DA106" s="9"/>
      <c r="DB106" s="127">
        <f t="shared" si="22"/>
        <v>10</v>
      </c>
      <c r="DC106" s="127" t="str">
        <f t="shared" si="23"/>
        <v/>
      </c>
      <c r="DD106" s="11" t="str">
        <f>CR100</f>
        <v>防火区画処理</v>
      </c>
      <c r="DE106" s="9"/>
      <c r="DF106" s="9"/>
      <c r="DG106" s="9"/>
      <c r="DH106" s="9" t="str">
        <f>IF(COUNTIF($DD$15:DD105,DD106)&gt;0,"",DD106)</f>
        <v/>
      </c>
      <c r="DI106" s="242">
        <f>CU100</f>
        <v>13</v>
      </c>
      <c r="DJ106" s="32">
        <f t="shared" si="31"/>
        <v>0</v>
      </c>
      <c r="DK106" s="127">
        <f t="shared" si="24"/>
        <v>4</v>
      </c>
      <c r="DL106" s="127" t="str">
        <f t="shared" si="25"/>
        <v/>
      </c>
      <c r="DM106" s="11" t="str">
        <f>IF(CY101="","",CV101)</f>
        <v/>
      </c>
      <c r="DN106" s="11"/>
      <c r="DO106" s="11"/>
      <c r="DP106" s="9"/>
      <c r="DQ106" s="9" t="str">
        <f>IF(COUNTIF($DM$15:DM105,DM106)&gt;0,"",DM106)</f>
        <v/>
      </c>
      <c r="DR106" s="101" t="str">
        <f>CY101</f>
        <v/>
      </c>
      <c r="DS106" s="32">
        <f t="shared" si="32"/>
        <v>8</v>
      </c>
      <c r="DT106" s="9"/>
      <c r="DU106" s="197">
        <f t="shared" si="26"/>
        <v>4</v>
      </c>
      <c r="DV106" s="197" t="str">
        <f t="shared" si="27"/>
        <v/>
      </c>
      <c r="DW106" s="201" t="str">
        <f>T106</f>
        <v>C-31mm</v>
      </c>
      <c r="DX106" s="8"/>
      <c r="DY106" s="8"/>
      <c r="DZ106" s="8"/>
      <c r="EA106" s="8" t="str">
        <f>IF(COUNTIF($DW$15:DW105,DW106)&gt;0,"",DW106)</f>
        <v/>
      </c>
      <c r="EB106" s="197">
        <f>AB106</f>
        <v>14.4</v>
      </c>
      <c r="EC106" s="32">
        <f>SUMIF($DW$17:$DW$184,EA106,$EB$17:$EB$184)</f>
        <v>0</v>
      </c>
    </row>
    <row r="107" spans="1:133" ht="11.25" customHeight="1">
      <c r="A107" s="15"/>
      <c r="B107" s="23"/>
      <c r="C107" s="37"/>
      <c r="D107" s="37"/>
      <c r="E107" s="37"/>
      <c r="F107" s="37"/>
      <c r="G107" s="331"/>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157"/>
      <c r="AH107" s="157"/>
      <c r="AI107" s="157"/>
      <c r="AJ107" s="157"/>
      <c r="AK107" s="157"/>
      <c r="AL107" s="157"/>
      <c r="AM107" s="157"/>
      <c r="AN107" s="377"/>
      <c r="AO107" s="377"/>
      <c r="AP107" s="377"/>
      <c r="AQ107" s="37"/>
      <c r="AR107" s="37"/>
      <c r="AS107" s="37"/>
      <c r="AT107" s="157"/>
      <c r="AU107" s="157"/>
      <c r="AV107" s="157"/>
      <c r="AW107" s="157"/>
      <c r="AX107" s="157"/>
      <c r="AY107" s="157"/>
      <c r="AZ107" s="157"/>
      <c r="BA107" s="377"/>
      <c r="BB107" s="377"/>
      <c r="BC107" s="377"/>
      <c r="BD107" s="37"/>
      <c r="BE107" s="37"/>
      <c r="BF107" s="37"/>
      <c r="BG107" s="157"/>
      <c r="BH107" s="157"/>
      <c r="BI107" s="157"/>
      <c r="BJ107" s="157"/>
      <c r="BK107" s="157"/>
      <c r="BL107" s="157"/>
      <c r="BM107" s="157"/>
      <c r="BN107" s="157"/>
      <c r="BO107" s="377"/>
      <c r="BP107" s="377"/>
      <c r="BQ107" s="377"/>
      <c r="BR107" s="37"/>
      <c r="BS107" s="37"/>
      <c r="BT107" s="37"/>
      <c r="BU107" s="19"/>
      <c r="BV107" s="35"/>
      <c r="BW107" s="99"/>
      <c r="BX107" s="35"/>
      <c r="BY107" s="35"/>
      <c r="BZ107" s="35"/>
      <c r="CA107" s="35"/>
      <c r="CB107" s="35"/>
      <c r="CC107" s="35"/>
      <c r="CD107" s="35"/>
      <c r="CE107" s="35"/>
      <c r="CF107" s="35"/>
      <c r="CG107" s="35"/>
      <c r="CH107" s="35"/>
      <c r="CI107" s="8"/>
      <c r="CJ107" s="8"/>
      <c r="CK107" s="8"/>
      <c r="CL107" s="64"/>
      <c r="CM107" s="64"/>
      <c r="CN107" s="64"/>
      <c r="CO107" s="64"/>
      <c r="CP107" s="9"/>
      <c r="CQ107" s="9"/>
      <c r="CR107" s="376"/>
      <c r="CS107" s="375"/>
      <c r="CT107" s="145"/>
      <c r="CU107" s="145"/>
      <c r="CV107" s="127"/>
      <c r="CW107" s="127"/>
      <c r="CX107" s="127"/>
      <c r="CY107" s="9"/>
      <c r="CZ107" s="218"/>
      <c r="DA107" s="9"/>
      <c r="DB107" s="127">
        <f t="shared" si="22"/>
        <v>10</v>
      </c>
      <c r="DC107" s="127" t="str">
        <f t="shared" si="23"/>
        <v/>
      </c>
      <c r="DD107" s="11"/>
      <c r="DE107" s="9"/>
      <c r="DF107" s="9"/>
      <c r="DG107" s="9"/>
      <c r="DH107" s="9"/>
      <c r="DI107" s="242"/>
      <c r="DJ107" s="13"/>
      <c r="DK107" s="127">
        <f t="shared" si="24"/>
        <v>4</v>
      </c>
      <c r="DL107" s="127" t="str">
        <f t="shared" si="25"/>
        <v/>
      </c>
      <c r="DM107" s="11" t="str">
        <f>IF(CY102="","",CV102)</f>
        <v>P1総合盤露出</v>
      </c>
      <c r="DN107" s="11"/>
      <c r="DO107" s="11"/>
      <c r="DP107" s="9"/>
      <c r="DQ107" s="9" t="str">
        <f>IF(COUNTIF($DM$15:DM106,DM107)&gt;0,"",DM107)</f>
        <v/>
      </c>
      <c r="DR107" s="101">
        <f>CY102</f>
        <v>2</v>
      </c>
      <c r="DS107" s="32">
        <f t="shared" si="32"/>
        <v>8</v>
      </c>
      <c r="DT107" s="9"/>
      <c r="DU107" s="8">
        <f t="shared" si="26"/>
        <v>4</v>
      </c>
      <c r="DV107" s="8" t="str">
        <f t="shared" si="27"/>
        <v/>
      </c>
      <c r="DW107" s="8"/>
      <c r="DX107" s="8"/>
      <c r="DY107" s="8"/>
      <c r="DZ107" s="8"/>
      <c r="EA107" s="8"/>
      <c r="EB107" s="8"/>
      <c r="EC107" s="8"/>
    </row>
    <row r="108" spans="1:133" ht="11.25" customHeight="1" thickBot="1">
      <c r="A108" s="374">
        <v>12</v>
      </c>
      <c r="B108" s="23"/>
      <c r="C108" s="2626" t="str">
        <f>非誘!J87</f>
        <v>( 4 )</v>
      </c>
      <c r="D108" s="2627"/>
      <c r="E108" s="2628"/>
      <c r="F108" s="2629" t="str">
        <f>非誘!M87</f>
        <v>百貨店等</v>
      </c>
      <c r="G108" s="2629"/>
      <c r="H108" s="2629"/>
      <c r="I108" s="2629"/>
      <c r="J108" s="2629"/>
      <c r="K108" s="2629"/>
      <c r="L108" s="2629"/>
      <c r="M108" s="2629"/>
      <c r="N108" s="2629"/>
      <c r="O108" s="2629"/>
      <c r="P108" s="2630" t="str">
        <f>IF(U108="",RIGHT($D$8,2),U108)</f>
        <v>設置</v>
      </c>
      <c r="Q108" s="2630"/>
      <c r="R108" s="2630"/>
      <c r="S108" s="2631"/>
      <c r="T108" s="31" t="s">
        <v>387</v>
      </c>
      <c r="U108" s="2632"/>
      <c r="V108" s="2632"/>
      <c r="W108" s="2632"/>
      <c r="X108" s="2633"/>
      <c r="Y108" s="2634" t="s">
        <v>20</v>
      </c>
      <c r="Z108" s="2634"/>
      <c r="AA108" s="2634"/>
      <c r="AB108" s="2634"/>
      <c r="AC108" s="2634"/>
      <c r="AD108" s="2635">
        <f>非誘!J88</f>
        <v>0.5</v>
      </c>
      <c r="AE108" s="2635"/>
      <c r="AF108" s="2635"/>
      <c r="AG108" s="2635"/>
      <c r="AH108" s="2299" t="s">
        <v>135</v>
      </c>
      <c r="AI108" s="2299"/>
      <c r="AJ108" s="2299"/>
      <c r="AK108" s="2299"/>
      <c r="AL108" s="2299"/>
      <c r="AM108" s="2299" t="s">
        <v>366</v>
      </c>
      <c r="AN108" s="2299"/>
      <c r="AO108" s="2299"/>
      <c r="AP108" s="2299"/>
      <c r="AQ108" s="2569" t="str">
        <f>IF(AX108="","天井ケーブル",AX108)</f>
        <v>天井(C 管)</v>
      </c>
      <c r="AR108" s="2569"/>
      <c r="AS108" s="2569"/>
      <c r="AT108" s="2569"/>
      <c r="AU108" s="2569"/>
      <c r="AV108" s="2569"/>
      <c r="AW108" s="175" t="s">
        <v>387</v>
      </c>
      <c r="AX108" s="2338" t="s">
        <v>388</v>
      </c>
      <c r="AY108" s="2338"/>
      <c r="AZ108" s="2338"/>
      <c r="BA108" s="2338"/>
      <c r="BB108" s="2338"/>
      <c r="BC108" s="2338"/>
      <c r="BD108" s="2299" t="s">
        <v>363</v>
      </c>
      <c r="BE108" s="2299"/>
      <c r="BF108" s="2299"/>
      <c r="BG108" s="2299"/>
      <c r="BH108" s="2569" t="str">
        <f>IF(BO108="","天井(C 管)",BO108)</f>
        <v>天井(C 管)</v>
      </c>
      <c r="BI108" s="2569"/>
      <c r="BJ108" s="2569"/>
      <c r="BK108" s="2569"/>
      <c r="BL108" s="2569"/>
      <c r="BM108" s="2569"/>
      <c r="BN108" s="175" t="s">
        <v>387</v>
      </c>
      <c r="BO108" s="2338"/>
      <c r="BP108" s="2338"/>
      <c r="BQ108" s="2338"/>
      <c r="BR108" s="2338"/>
      <c r="BS108" s="2338"/>
      <c r="BT108" s="2622"/>
      <c r="BU108" s="19"/>
      <c r="BV108" s="35"/>
      <c r="BW108" s="99"/>
      <c r="BX108" s="35"/>
      <c r="BY108" s="35"/>
      <c r="BZ108" s="35"/>
      <c r="CA108" s="35"/>
      <c r="CB108" s="35"/>
      <c r="CC108" s="35"/>
      <c r="CD108" s="35"/>
      <c r="CE108" s="35"/>
      <c r="CF108" s="35"/>
      <c r="CG108" s="35"/>
      <c r="CH108" s="35"/>
      <c r="CI108" s="8">
        <v>23</v>
      </c>
      <c r="CJ108" s="97" t="str">
        <f>IF(LEFT(C109,2)=" B",-MID(C109,3,1),IF(C109="  RF","",LEFT(C109,3)))</f>
        <v xml:space="preserve"> 10</v>
      </c>
      <c r="CK108" s="10" t="str">
        <f>IF(OR(C109="",C109="  RF"),"",IF(LEFT(C109,1)="P","+",IF($CJ$14&gt;CJ108,"－",IF($CJ$14=CJ108,"=","+"))))</f>
        <v>+</v>
      </c>
      <c r="CL108" s="2601" t="s">
        <v>376</v>
      </c>
      <c r="CM108" s="2601"/>
      <c r="CN108" s="2601"/>
      <c r="CO108" s="2601" t="s">
        <v>375</v>
      </c>
      <c r="CP108" s="2601"/>
      <c r="CQ108" s="2601"/>
      <c r="CR108" s="2589" t="str">
        <f>AG109</f>
        <v>防火区画処理</v>
      </c>
      <c r="CS108" s="2590"/>
      <c r="CT108" s="2591"/>
      <c r="CU108" s="184">
        <f>AN109</f>
        <v>13</v>
      </c>
      <c r="CV108" s="2589" t="str">
        <f>AG113</f>
        <v>光電式煙2種埋</v>
      </c>
      <c r="CW108" s="2590"/>
      <c r="CX108" s="2591"/>
      <c r="CY108" s="184">
        <f>AN113</f>
        <v>8</v>
      </c>
      <c r="CZ108" s="216"/>
      <c r="DA108" s="88">
        <v>12</v>
      </c>
      <c r="DB108" s="204">
        <f t="shared" si="22"/>
        <v>10</v>
      </c>
      <c r="DC108" s="155" t="str">
        <f t="shared" si="23"/>
        <v/>
      </c>
      <c r="DD108" s="45"/>
      <c r="DE108" s="45"/>
      <c r="DF108" s="45"/>
      <c r="DG108" s="45"/>
      <c r="DH108" s="45"/>
      <c r="DI108" s="45"/>
      <c r="DJ108" s="45"/>
      <c r="DK108" s="155">
        <f t="shared" si="24"/>
        <v>4</v>
      </c>
      <c r="DL108" s="155" t="str">
        <f t="shared" si="25"/>
        <v/>
      </c>
      <c r="DM108" s="154" t="str">
        <f>IF(CY103="","",CV103)</f>
        <v/>
      </c>
      <c r="DN108" s="154"/>
      <c r="DO108" s="154"/>
      <c r="DP108" s="45"/>
      <c r="DQ108" s="45"/>
      <c r="DR108" s="209"/>
      <c r="DS108" s="230">
        <f>SUMIF($DM$17:$DM$185,DQ108,$DR$17:$DR$185)</f>
        <v>0</v>
      </c>
      <c r="DT108" s="88">
        <v>12</v>
      </c>
      <c r="DU108" s="373">
        <f t="shared" si="26"/>
        <v>4</v>
      </c>
      <c r="DV108" s="45" t="str">
        <f t="shared" si="27"/>
        <v/>
      </c>
      <c r="DW108" s="45"/>
      <c r="DX108" s="45"/>
      <c r="DY108" s="45"/>
      <c r="DZ108" s="45"/>
      <c r="EA108" s="45"/>
      <c r="EB108" s="45"/>
      <c r="EC108" s="45"/>
    </row>
    <row r="109" spans="1:133" ht="11.25" customHeight="1" thickBot="1">
      <c r="A109" s="15">
        <v>99</v>
      </c>
      <c r="B109" s="23"/>
      <c r="C109" s="2602" t="str">
        <f>非誘!C89</f>
        <v xml:space="preserve"> 10F</v>
      </c>
      <c r="D109" s="2603"/>
      <c r="E109" s="2604"/>
      <c r="F109" s="2605">
        <f>非誘!F89</f>
        <v>4</v>
      </c>
      <c r="G109" s="2606"/>
      <c r="H109" s="2606"/>
      <c r="I109" s="2607"/>
      <c r="J109" s="2605">
        <f>非誘!J89</f>
        <v>3</v>
      </c>
      <c r="K109" s="2606"/>
      <c r="L109" s="2606"/>
      <c r="M109" s="2607"/>
      <c r="N109" s="2608">
        <f>非誘!N89</f>
        <v>1152</v>
      </c>
      <c r="O109" s="2609"/>
      <c r="P109" s="2609"/>
      <c r="Q109" s="2609"/>
      <c r="R109" s="2610"/>
      <c r="S109" s="2608">
        <f>非誘!S89</f>
        <v>806.4</v>
      </c>
      <c r="T109" s="2609"/>
      <c r="U109" s="2609"/>
      <c r="V109" s="2610"/>
      <c r="W109" s="2608">
        <f>非誘!W89</f>
        <v>345.6</v>
      </c>
      <c r="X109" s="2609"/>
      <c r="Y109" s="2609"/>
      <c r="Z109" s="2610"/>
      <c r="AA109" s="2611">
        <f>非誘!AA89</f>
        <v>3</v>
      </c>
      <c r="AB109" s="2603"/>
      <c r="AC109" s="2604"/>
      <c r="AD109" s="2612">
        <f>非誘!AD89</f>
        <v>9</v>
      </c>
      <c r="AE109" s="2613"/>
      <c r="AF109" s="2614"/>
      <c r="AG109" s="2615" t="str">
        <f>IF($B$2=0,"","防火区画処理")</f>
        <v>防火区画処理</v>
      </c>
      <c r="AH109" s="2615"/>
      <c r="AI109" s="2615"/>
      <c r="AJ109" s="2615"/>
      <c r="AK109" s="2615"/>
      <c r="AL109" s="2615"/>
      <c r="AM109" s="2615"/>
      <c r="AN109" s="2616">
        <f>IF(OR($B$2=0,C109="",P108="不要"),"",AZ109+BG109+BR109*2)</f>
        <v>13</v>
      </c>
      <c r="AO109" s="2616"/>
      <c r="AP109" s="2616"/>
      <c r="AQ109" s="2617" t="s">
        <v>374</v>
      </c>
      <c r="AR109" s="2617"/>
      <c r="AS109" s="2617"/>
      <c r="AT109" s="2617"/>
      <c r="AU109" s="2617"/>
      <c r="AV109" s="2618" t="s">
        <v>373</v>
      </c>
      <c r="AW109" s="2618"/>
      <c r="AX109" s="2618"/>
      <c r="AY109" s="2618"/>
      <c r="AZ109" s="2619">
        <f>IF(OR($B$2=0,C109="",P108="不要"),"",IF(LEFT(C109,1)="P",1+INT(W109/450),INT(S109/450)+1+INT(W109/450)))</f>
        <v>2</v>
      </c>
      <c r="BA109" s="2619"/>
      <c r="BB109" s="2619"/>
      <c r="BC109" s="2618" t="s">
        <v>372</v>
      </c>
      <c r="BD109" s="2618"/>
      <c r="BE109" s="2618"/>
      <c r="BF109" s="2618"/>
      <c r="BG109" s="2619">
        <f>IF(OR($B$2=0,C109="",P108="不要"),"",1+INT(N109/500))</f>
        <v>3</v>
      </c>
      <c r="BH109" s="2619"/>
      <c r="BI109" s="2619"/>
      <c r="BJ109" s="2617" t="s">
        <v>371</v>
      </c>
      <c r="BK109" s="2617"/>
      <c r="BL109" s="2617"/>
      <c r="BM109" s="2617"/>
      <c r="BN109" s="2617"/>
      <c r="BO109" s="2617"/>
      <c r="BP109" s="2617"/>
      <c r="BQ109" s="2617"/>
      <c r="BR109" s="2620">
        <f>IF(OR($B$2=0,C109="",P108="不要"),"",1+INT(0.055*N109^0.6))</f>
        <v>4</v>
      </c>
      <c r="BS109" s="2620"/>
      <c r="BT109" s="2621"/>
      <c r="BU109" s="19"/>
      <c r="BV109" s="35"/>
      <c r="BW109" s="99"/>
      <c r="BX109" s="35"/>
      <c r="BY109" s="35"/>
      <c r="BZ109" s="35"/>
      <c r="CA109" s="35"/>
      <c r="CB109" s="35"/>
      <c r="CC109" s="35"/>
      <c r="CD109" s="35"/>
      <c r="CE109" s="35"/>
      <c r="CF109" s="35"/>
      <c r="CG109" s="35"/>
      <c r="CH109" s="35"/>
      <c r="CI109" s="8">
        <v>2</v>
      </c>
      <c r="CJ109" s="88" t="s">
        <v>386</v>
      </c>
      <c r="CK109" s="88" t="s">
        <v>385</v>
      </c>
      <c r="CL109" s="372">
        <f>IF(C110="","",IF(AX114="①",CJ110+CK110+3,IF(AX114="②",CJ110*5/8+CK110+3,IF(AX114="③",CJ110/2+CK110+3,IF(AX114="④",CJ110+CK110*5/8+3,IF(AX114="⑤",(CJ110+CK110)*5/8+3,IF(AX114="⑥",CJ110/2+CK110*5/8+3,IF(AX114="⑦",CJ110+CK110/2+3,IF(AX114="⑧",CJ110*5/8+CK110/2+3,IF(AX114="⑨",(CJ110+CK110)/2+3))))))))))</f>
        <v>27</v>
      </c>
      <c r="CM109" s="371" t="s">
        <v>384</v>
      </c>
      <c r="CN109" s="371" t="s">
        <v>383</v>
      </c>
      <c r="CO109" s="370"/>
      <c r="CP109" s="371" t="s">
        <v>384</v>
      </c>
      <c r="CQ109" s="370" t="s">
        <v>383</v>
      </c>
      <c r="CR109" s="2589" t="str">
        <f>AG110</f>
        <v>差動SP2種埋</v>
      </c>
      <c r="CS109" s="2590"/>
      <c r="CT109" s="2591"/>
      <c r="CU109" s="184" t="str">
        <f>AN110</f>
        <v/>
      </c>
      <c r="CV109" s="2589" t="str">
        <f>AT112</f>
        <v>HP起動押ボタン</v>
      </c>
      <c r="CW109" s="2590"/>
      <c r="CX109" s="2591"/>
      <c r="CY109" s="184" t="str">
        <f>BA112</f>
        <v/>
      </c>
      <c r="CZ109" s="216"/>
      <c r="DA109" s="8"/>
      <c r="DB109" s="197">
        <f t="shared" si="22"/>
        <v>10</v>
      </c>
      <c r="DC109" s="197" t="str">
        <f t="shared" si="23"/>
        <v/>
      </c>
      <c r="DD109" s="201" t="str">
        <f>G110</f>
        <v>AE 0.9mm-4C</v>
      </c>
      <c r="DE109" s="8"/>
      <c r="DF109" s="8"/>
      <c r="DG109" s="8"/>
      <c r="DH109" s="8" t="str">
        <f>IF(COUNTIF($DD$15:DD108,DD109)&gt;0,"",DD109)</f>
        <v/>
      </c>
      <c r="DI109" s="252">
        <f>O110</f>
        <v>149</v>
      </c>
      <c r="DJ109" s="32">
        <f t="shared" ref="DJ109:DJ114" si="33">SUMIF($DD$17:$DD$184,DH109,$DI$17:$DI$184)</f>
        <v>0</v>
      </c>
      <c r="DK109" s="197">
        <f t="shared" si="24"/>
        <v>4</v>
      </c>
      <c r="DL109" s="197" t="str">
        <f t="shared" si="25"/>
        <v/>
      </c>
      <c r="DM109" s="10" t="str">
        <f>IF(CU109="","",CR109)</f>
        <v/>
      </c>
      <c r="DN109" s="10" t="str">
        <f>CR109</f>
        <v>差動SP2種埋</v>
      </c>
      <c r="DO109" s="10"/>
      <c r="DP109" s="8"/>
      <c r="DQ109" s="8" t="str">
        <f>IF(COUNTIF($DM$15:DM108,DM109)&gt;0,"",DM109)</f>
        <v/>
      </c>
      <c r="DR109" s="200" t="str">
        <f>CU109</f>
        <v/>
      </c>
      <c r="DS109" s="32">
        <f t="shared" ref="DS109:DS115" si="34">SUMIF($DM$17:$DM$184,DQ109,$DR$17:$DR$184)</f>
        <v>8</v>
      </c>
      <c r="DT109" s="8"/>
      <c r="DU109" s="197">
        <f t="shared" si="26"/>
        <v>4</v>
      </c>
      <c r="DV109" s="197" t="str">
        <f t="shared" si="27"/>
        <v/>
      </c>
      <c r="DW109" s="201"/>
      <c r="DX109" s="8"/>
      <c r="DY109" s="8"/>
      <c r="DZ109" s="8"/>
      <c r="EA109" s="8"/>
      <c r="EB109" s="252"/>
      <c r="EC109" s="32"/>
    </row>
    <row r="110" spans="1:133" ht="11.25" customHeight="1">
      <c r="A110" s="15"/>
      <c r="B110" s="23"/>
      <c r="C110" s="2623" t="s">
        <v>366</v>
      </c>
      <c r="D110" s="2624"/>
      <c r="E110" s="2624"/>
      <c r="F110" s="2624"/>
      <c r="G110" s="2625" t="str">
        <f>IF(C109="","","AE 0.9mm-4C")</f>
        <v>AE 0.9mm-4C</v>
      </c>
      <c r="H110" s="2625"/>
      <c r="I110" s="2625"/>
      <c r="J110" s="2625"/>
      <c r="K110" s="2625"/>
      <c r="L110" s="2625"/>
      <c r="M110" s="2625"/>
      <c r="N110" s="2625"/>
      <c r="O110" s="2593">
        <f>IF($B$2=0,"",IF(OR(C109="",P108="不要"),"",ROUND((CM110+CN110),0)))</f>
        <v>149</v>
      </c>
      <c r="P110" s="2593"/>
      <c r="Q110" s="2593"/>
      <c r="R110" s="2593"/>
      <c r="S110" s="2593"/>
      <c r="T110" s="2593" t="str">
        <f>IF(OR($B$2=0,C109="",P108="不要"),"",IF(AQ108="天井ケーブル","C-19mm",IF(MID(AQ108,4,2)="PF","PF-16mm",IF(MID(AQ108,4,2)="CD","CD-16mm",IF(MID(AQ108,4,2)="C ","C-19mm",IF(MID(AQ108,4,2)="G ","G-16mm",""))))))</f>
        <v>C-19mm</v>
      </c>
      <c r="U110" s="2593"/>
      <c r="V110" s="2593"/>
      <c r="W110" s="2593"/>
      <c r="X110" s="2593"/>
      <c r="Y110" s="2593"/>
      <c r="Z110" s="2593"/>
      <c r="AA110" s="2593"/>
      <c r="AB110" s="2593">
        <f>IF(OR($B$2=0,C109="",P108="不要"),"",IF(CQ110="",ROUND(CP110,0),ROUND((CP110+CQ110),0)))</f>
        <v>119</v>
      </c>
      <c r="AC110" s="2593"/>
      <c r="AD110" s="2593"/>
      <c r="AE110" s="2593"/>
      <c r="AF110" s="2593"/>
      <c r="AG110" s="2595" t="str">
        <f>IF($B$2=0,"","差動SP2種埋")</f>
        <v>差動SP2種埋</v>
      </c>
      <c r="AH110" s="2595"/>
      <c r="AI110" s="2595"/>
      <c r="AJ110" s="2595"/>
      <c r="AK110" s="2595"/>
      <c r="AL110" s="2595"/>
      <c r="AM110" s="2595"/>
      <c r="AN110" s="2593" t="str">
        <f>IF(OR(C109="",P108="不要"),"",IF(AQ110&lt;&gt;"",AQ110,IF(AX114="B","",IF(AZ113="無窓","",IF(AND(BL113="耐 火",AZ113="有窓"),BZ110+CA110,CD110+CE110)))))</f>
        <v/>
      </c>
      <c r="AO110" s="2593"/>
      <c r="AP110" s="2593"/>
      <c r="AQ110" s="2594"/>
      <c r="AR110" s="2594"/>
      <c r="AS110" s="2594"/>
      <c r="AT110" s="2595" t="str">
        <f>IF($B$2=0,"","P1総合盤露出")</f>
        <v>P1総合盤露出</v>
      </c>
      <c r="AU110" s="2595"/>
      <c r="AV110" s="2595"/>
      <c r="AW110" s="2595"/>
      <c r="AX110" s="2595"/>
      <c r="AY110" s="2595"/>
      <c r="AZ110" s="2595"/>
      <c r="BA110" s="2593">
        <f>IF(P108="不要","",IF(BD110&lt;&gt;"",BD110,IF([4]Top!$BD$51="要","",AZ109)))</f>
        <v>2</v>
      </c>
      <c r="BB110" s="2593"/>
      <c r="BC110" s="2593"/>
      <c r="BD110" s="2594"/>
      <c r="BE110" s="2594"/>
      <c r="BF110" s="2594"/>
      <c r="BG110" s="2597" t="str">
        <f>IF($B$2=0,"","ﾗｯﾁ電磁レリーズ")</f>
        <v>ﾗｯﾁ電磁レリーズ</v>
      </c>
      <c r="BH110" s="2597"/>
      <c r="BI110" s="2597"/>
      <c r="BJ110" s="2597"/>
      <c r="BK110" s="2597"/>
      <c r="BL110" s="2597"/>
      <c r="BM110" s="2597"/>
      <c r="BN110" s="2597"/>
      <c r="BO110" s="2593">
        <f>IF(P108="不要","",IF(BR110&lt;&gt;"",BR110,BR109))</f>
        <v>4</v>
      </c>
      <c r="BP110" s="2593"/>
      <c r="BQ110" s="2593"/>
      <c r="BR110" s="2594"/>
      <c r="BS110" s="2594"/>
      <c r="BT110" s="2596"/>
      <c r="BU110" s="19"/>
      <c r="BV110" s="35"/>
      <c r="BW110" s="351" t="s">
        <v>365</v>
      </c>
      <c r="BX110" s="368"/>
      <c r="BY110" s="369"/>
      <c r="BZ110" s="344">
        <f>IF(AA109="",0,IF(OR([6]Top!$BD$72&lt;&gt;"要",C109=""),"",IF(J109&gt;=4,1+INT(AA109*2.4),1+INT(AA109*1.2))))</f>
        <v>4</v>
      </c>
      <c r="CA110" s="360">
        <f>IF(OR([6]Top!$BD$72&lt;&gt;"要",C109=""),"",IF(J109&gt;=4,1+INT(AD109*2.4),1+INT(AD109*1.2)))</f>
        <v>11</v>
      </c>
      <c r="CB110" s="368"/>
      <c r="CC110" s="369"/>
      <c r="CD110" s="343">
        <f>IF($AX$8&lt;=500,BZ110*2,1+INT(BZ110*2.5))</f>
        <v>11</v>
      </c>
      <c r="CE110" s="360">
        <f>IF($AX$8&lt;=500,CA110*2,1+INT(CA110*2.5))</f>
        <v>28</v>
      </c>
      <c r="CF110" s="368"/>
      <c r="CG110" s="367"/>
      <c r="CH110" s="35"/>
      <c r="CI110" s="133">
        <f>IF(AZ109&lt;&gt;"",AZ109,0)</f>
        <v>2</v>
      </c>
      <c r="CJ110" s="98">
        <f>非誘!BW89</f>
        <v>12</v>
      </c>
      <c r="CK110" s="98">
        <f>非誘!BX89</f>
        <v>24</v>
      </c>
      <c r="CL110" s="88" t="s">
        <v>364</v>
      </c>
      <c r="CM110" s="185">
        <f>IF(OR(C109="",C109="  RF"),"",IF(J109="直天",$AN$10/1000+F109-1.2+SQRT(CK111/CM111),$AN$10/1000+J109-1.2+SQRT(CK111/CM111)))</f>
        <v>14.097958971132712</v>
      </c>
      <c r="CN110" s="185">
        <f>IF(OR(C109="",P108="不要"),"",CL109+CK112*AZ109)</f>
        <v>135</v>
      </c>
      <c r="CO110" s="88" t="s">
        <v>364</v>
      </c>
      <c r="CP110" s="185">
        <f>IF(OR(C109="",C109="  RF"),"",IF(J109="直天",F109-1.2+SQRT(CK111/CM111),IF(AQ108="天井ケーブル",J109-1.2,J109-1.2+SQRT(CK111/CM111))))</f>
        <v>11.597958971132712</v>
      </c>
      <c r="CQ110" s="356">
        <f>IF(OR(C109="",C109="  RF"),"",IF(AQ108="天井ケーブル","",(CM111-1)*SQRT(CK111/CM111)))</f>
        <v>107.77754868245982</v>
      </c>
      <c r="CR110" s="2589" t="str">
        <f>AG111</f>
        <v>定温SP1種WP</v>
      </c>
      <c r="CS110" s="2590"/>
      <c r="CT110" s="2591"/>
      <c r="CU110" s="184">
        <f>AN111</f>
        <v>2</v>
      </c>
      <c r="CV110" s="2589" t="str">
        <f>AT110</f>
        <v>P1総合盤露出</v>
      </c>
      <c r="CW110" s="2590"/>
      <c r="CX110" s="2591"/>
      <c r="CY110" s="184">
        <f>BA110</f>
        <v>2</v>
      </c>
      <c r="CZ110" s="216"/>
      <c r="DA110" s="8"/>
      <c r="DB110" s="197">
        <f t="shared" si="22"/>
        <v>10</v>
      </c>
      <c r="DC110" s="197" t="str">
        <f t="shared" si="23"/>
        <v/>
      </c>
      <c r="DD110" s="201" t="str">
        <f>G111</f>
        <v>HP 1.2mm-3C</v>
      </c>
      <c r="DE110" s="8"/>
      <c r="DF110" s="8"/>
      <c r="DG110" s="8"/>
      <c r="DH110" s="8" t="str">
        <f>IF(COUNTIF($DD$15:DD109,DD110)&gt;0,"",DD110)</f>
        <v/>
      </c>
      <c r="DI110" s="252">
        <f>O111</f>
        <v>21</v>
      </c>
      <c r="DJ110" s="32">
        <f t="shared" si="33"/>
        <v>0</v>
      </c>
      <c r="DK110" s="197">
        <f t="shared" si="24"/>
        <v>4</v>
      </c>
      <c r="DL110" s="197" t="str">
        <f t="shared" si="25"/>
        <v/>
      </c>
      <c r="DM110" s="10" t="str">
        <f>IF(CU110="","",CR110)</f>
        <v>定温SP1種WP</v>
      </c>
      <c r="DN110" s="10" t="str">
        <f>CR110</f>
        <v>定温SP1種WP</v>
      </c>
      <c r="DO110" s="10"/>
      <c r="DP110" s="8"/>
      <c r="DQ110" s="8" t="str">
        <f>IF(COUNTIF($DM$15:DM109,DM110)&gt;0,"",DM110)</f>
        <v/>
      </c>
      <c r="DR110" s="200">
        <f>CU110</f>
        <v>2</v>
      </c>
      <c r="DS110" s="32">
        <f t="shared" si="34"/>
        <v>8</v>
      </c>
      <c r="DT110" s="8"/>
      <c r="DU110" s="197">
        <f t="shared" si="26"/>
        <v>4</v>
      </c>
      <c r="DV110" s="197" t="str">
        <f t="shared" si="27"/>
        <v/>
      </c>
      <c r="DW110" s="201" t="str">
        <f>T110</f>
        <v>C-19mm</v>
      </c>
      <c r="DX110" s="8"/>
      <c r="DY110" s="8"/>
      <c r="DZ110" s="8"/>
      <c r="EA110" s="8" t="str">
        <f>IF(COUNTIF($DW$15:DW109,DW110)&gt;0,"",DW110)</f>
        <v/>
      </c>
      <c r="EB110" s="197">
        <f>AB110</f>
        <v>119</v>
      </c>
      <c r="EC110" s="32">
        <f>SUMIF($DW$17:$DW$184,EA110,$EB$17:$EB$184)</f>
        <v>0</v>
      </c>
    </row>
    <row r="111" spans="1:133" ht="11.25" customHeight="1" thickBot="1">
      <c r="A111" s="15"/>
      <c r="B111" s="176"/>
      <c r="C111" s="2568" t="s">
        <v>363</v>
      </c>
      <c r="D111" s="2569"/>
      <c r="E111" s="2569"/>
      <c r="F111" s="2569"/>
      <c r="G111" s="2592" t="str">
        <f>IF(C109="","","HP 1.2mm-3C")</f>
        <v>HP 1.2mm-3C</v>
      </c>
      <c r="H111" s="2592"/>
      <c r="I111" s="2592"/>
      <c r="J111" s="2592"/>
      <c r="K111" s="2592"/>
      <c r="L111" s="2592"/>
      <c r="M111" s="2592"/>
      <c r="N111" s="2592"/>
      <c r="O111" s="2557">
        <f>IF($B$2=0,"",IF(OR(C109="",P108="不要"),"",ROUND(CN112,0)))</f>
        <v>21</v>
      </c>
      <c r="P111" s="2557"/>
      <c r="Q111" s="2557"/>
      <c r="R111" s="2557"/>
      <c r="S111" s="2557"/>
      <c r="T111" s="2557" t="str">
        <f>IF(OR($B$2=0,C109="",P108="不要"),"",IF(BH108="天井ケーブル","C-19mm",IF(MID(BH108,4,2)="PF","PF-16mm",IF(MID(BH108,4,2)="CD","CD-16mm",IF(MID(BH108,4,2)="C ","C-19mm",IF(MID(BH108,4,2)="G ","G-16mm",""))))))</f>
        <v>C-19mm</v>
      </c>
      <c r="U111" s="2557"/>
      <c r="V111" s="2557"/>
      <c r="W111" s="2557"/>
      <c r="X111" s="2557"/>
      <c r="Y111" s="2557"/>
      <c r="Z111" s="2557"/>
      <c r="AA111" s="2557"/>
      <c r="AB111" s="2557">
        <f>IF($B$2=0,"",IF(OR(C109="",P108="不要",CQ113=""),"",CQ112+CQ113))</f>
        <v>32.799999999999997</v>
      </c>
      <c r="AC111" s="2557"/>
      <c r="AD111" s="2557"/>
      <c r="AE111" s="2557"/>
      <c r="AF111" s="2557"/>
      <c r="AG111" s="2572" t="str">
        <f>IF($B$2=0,"","定温SP1種WP")</f>
        <v>定温SP1種WP</v>
      </c>
      <c r="AH111" s="2572"/>
      <c r="AI111" s="2572"/>
      <c r="AJ111" s="2572"/>
      <c r="AK111" s="2572"/>
      <c r="AL111" s="2572"/>
      <c r="AM111" s="2572"/>
      <c r="AN111" s="2312">
        <f>IF(OR($B$2=0,P108="不要"),"",IF(AQ111&lt;&gt;"",AQ111,CA111))</f>
        <v>2</v>
      </c>
      <c r="AO111" s="2312"/>
      <c r="AP111" s="2312"/>
      <c r="AQ111" s="2575"/>
      <c r="AR111" s="2575"/>
      <c r="AS111" s="2575"/>
      <c r="AT111" s="2572" t="str">
        <f>IF($B$2=0,"","P1総合盤埋込")</f>
        <v>P1総合盤埋込</v>
      </c>
      <c r="AU111" s="2572"/>
      <c r="AV111" s="2572"/>
      <c r="AW111" s="2572"/>
      <c r="AX111" s="2572"/>
      <c r="AY111" s="2572"/>
      <c r="AZ111" s="2572"/>
      <c r="BA111" s="2312" t="str">
        <f>IF(P108="不要","",IF(BD111&lt;&gt;"",BD111,IF([4]Top!$BD$51&lt;&gt;"要","",AZ109)))</f>
        <v/>
      </c>
      <c r="BB111" s="2312"/>
      <c r="BC111" s="2312"/>
      <c r="BD111" s="2575"/>
      <c r="BE111" s="2575"/>
      <c r="BF111" s="2575"/>
      <c r="BG111" s="2572" t="str">
        <f>IF($B$2=0,"","ｱｰﾑ電磁レリーズ")</f>
        <v>ｱｰﾑ電磁レリーズ</v>
      </c>
      <c r="BH111" s="2572"/>
      <c r="BI111" s="2572"/>
      <c r="BJ111" s="2572"/>
      <c r="BK111" s="2572"/>
      <c r="BL111" s="2572"/>
      <c r="BM111" s="2572"/>
      <c r="BN111" s="2572"/>
      <c r="BO111" s="2312">
        <f>IF(P108="不要","",IF(BR111&lt;&gt;"",BR111,BR109))</f>
        <v>4</v>
      </c>
      <c r="BP111" s="2312"/>
      <c r="BQ111" s="2312"/>
      <c r="BR111" s="2575"/>
      <c r="BS111" s="2575"/>
      <c r="BT111" s="2576"/>
      <c r="BU111" s="19"/>
      <c r="BV111" s="35"/>
      <c r="BW111" s="351" t="s">
        <v>362</v>
      </c>
      <c r="BX111" s="348"/>
      <c r="BY111" s="349">
        <f>CA111</f>
        <v>2</v>
      </c>
      <c r="BZ111" s="366"/>
      <c r="CA111" s="360">
        <f>IF(C109="","",1+INT(W109/200))</f>
        <v>2</v>
      </c>
      <c r="CB111" s="348"/>
      <c r="CC111" s="359">
        <f>CA111</f>
        <v>2</v>
      </c>
      <c r="CD111" s="365"/>
      <c r="CE111" s="349">
        <f>CA111</f>
        <v>2</v>
      </c>
      <c r="CF111" s="348"/>
      <c r="CG111" s="357">
        <f>CA111</f>
        <v>2</v>
      </c>
      <c r="CH111" s="35"/>
      <c r="CI111" s="133">
        <f>IF(BG109&lt;&gt;"",BG109,0)</f>
        <v>3</v>
      </c>
      <c r="CJ111" s="88" t="s">
        <v>361</v>
      </c>
      <c r="CK111" s="107">
        <f>N109</f>
        <v>1152</v>
      </c>
      <c r="CL111" s="88" t="s">
        <v>360</v>
      </c>
      <c r="CM111" s="185">
        <f>SUM(AN110:AP114)</f>
        <v>12</v>
      </c>
      <c r="CN111" s="364"/>
      <c r="CO111" s="168"/>
      <c r="CP111" s="363"/>
      <c r="CQ111" s="150"/>
      <c r="CR111" s="2598" t="str">
        <f>AG112</f>
        <v>補償SP2種</v>
      </c>
      <c r="CS111" s="2599"/>
      <c r="CT111" s="2600"/>
      <c r="CU111" s="362">
        <f>AN112</f>
        <v>2</v>
      </c>
      <c r="CV111" s="2598" t="str">
        <f>AT111</f>
        <v>P1総合盤埋込</v>
      </c>
      <c r="CW111" s="2599"/>
      <c r="CX111" s="2600"/>
      <c r="CY111" s="362" t="str">
        <f>BA111</f>
        <v/>
      </c>
      <c r="CZ111" s="216"/>
      <c r="DA111" s="8"/>
      <c r="DB111" s="197">
        <f t="shared" si="22"/>
        <v>10</v>
      </c>
      <c r="DC111" s="197" t="str">
        <f t="shared" si="23"/>
        <v/>
      </c>
      <c r="DD111" s="201" t="str">
        <f>G112</f>
        <v>HP 1.2mm-5C</v>
      </c>
      <c r="DE111" s="8"/>
      <c r="DF111" s="8"/>
      <c r="DG111" s="8"/>
      <c r="DH111" s="8" t="str">
        <f>IF(COUNTIF($DD$15:DD110,DD111)&gt;0,"",DD111)</f>
        <v/>
      </c>
      <c r="DI111" s="252">
        <f>O112</f>
        <v>27</v>
      </c>
      <c r="DJ111" s="32">
        <f t="shared" si="33"/>
        <v>0</v>
      </c>
      <c r="DK111" s="197">
        <f t="shared" si="24"/>
        <v>4</v>
      </c>
      <c r="DL111" s="197" t="str">
        <f t="shared" si="25"/>
        <v/>
      </c>
      <c r="DM111" s="10" t="str">
        <f>IF(CU111="","",CR111)</f>
        <v>補償SP2種</v>
      </c>
      <c r="DN111" s="10" t="str">
        <f>CR111</f>
        <v>補償SP2種</v>
      </c>
      <c r="DO111" s="10"/>
      <c r="DP111" s="8"/>
      <c r="DQ111" s="8" t="str">
        <f>IF(COUNTIF($DM$15:DM110,DM111)&gt;0,"",DM111)</f>
        <v/>
      </c>
      <c r="DR111" s="200">
        <f>CU111</f>
        <v>2</v>
      </c>
      <c r="DS111" s="32">
        <f t="shared" si="34"/>
        <v>8</v>
      </c>
      <c r="DT111" s="8"/>
      <c r="DU111" s="197">
        <f t="shared" si="26"/>
        <v>4</v>
      </c>
      <c r="DV111" s="197" t="str">
        <f t="shared" si="27"/>
        <v/>
      </c>
      <c r="DW111" s="201" t="str">
        <f>T111</f>
        <v>C-19mm</v>
      </c>
      <c r="DX111" s="8"/>
      <c r="DY111" s="8"/>
      <c r="DZ111" s="8"/>
      <c r="EA111" s="8" t="str">
        <f>IF(COUNTIF($DW$15:DW110,DW111)&gt;0,"",DW111)</f>
        <v/>
      </c>
      <c r="EB111" s="197">
        <f>AB111</f>
        <v>32.799999999999997</v>
      </c>
      <c r="EC111" s="32">
        <f>SUMIF($DW$17:$DW$184,EA111,$EB$17:$EB$184)</f>
        <v>0</v>
      </c>
    </row>
    <row r="112" spans="1:133" ht="11.25" customHeight="1" thickBot="1">
      <c r="A112" s="15"/>
      <c r="B112" s="23"/>
      <c r="C112" s="2568"/>
      <c r="D112" s="2569"/>
      <c r="E112" s="2569"/>
      <c r="F112" s="2569"/>
      <c r="G112" s="2584" t="str">
        <f>IF(C109="","","HP 1.2mm-5C")</f>
        <v>HP 1.2mm-5C</v>
      </c>
      <c r="H112" s="2584"/>
      <c r="I112" s="2584"/>
      <c r="J112" s="2584"/>
      <c r="K112" s="2584"/>
      <c r="L112" s="2584"/>
      <c r="M112" s="2584"/>
      <c r="N112" s="2584"/>
      <c r="O112" s="2585">
        <f>IF($B$2=0,"",IF(OR(C109="",P108="不要"),"",ROUND(CM112,0)))</f>
        <v>27</v>
      </c>
      <c r="P112" s="2585"/>
      <c r="Q112" s="2585"/>
      <c r="R112" s="2585"/>
      <c r="S112" s="2585"/>
      <c r="T112" s="2585" t="str">
        <f>IF(OR($B$2=0,C109="",P108="不要"),"",IF(BH108="天井ケーブル","C-25mm",IF(MID(BH108,4,2)="PF","PF-22mm",IF(MID(BH108,4,2)="CD","CD-22mm",IF(MID(BH108,4,2)="C ","C-25mm",IF(MID(BH108,4,2)="G ","G-22mm",""))))))</f>
        <v>C-25mm</v>
      </c>
      <c r="U112" s="2585"/>
      <c r="V112" s="2585"/>
      <c r="W112" s="2585"/>
      <c r="X112" s="2585"/>
      <c r="Y112" s="2585"/>
      <c r="Z112" s="2585"/>
      <c r="AA112" s="2585"/>
      <c r="AB112" s="2585">
        <f>IF(OR($B$2=0,C109="",P108="不要"),"",CP112)</f>
        <v>25.8</v>
      </c>
      <c r="AC112" s="2585"/>
      <c r="AD112" s="2585"/>
      <c r="AE112" s="2585"/>
      <c r="AF112" s="2585"/>
      <c r="AG112" s="2572" t="str">
        <f>IF($B$2=0,"","補償SP2種")</f>
        <v>補償SP2種</v>
      </c>
      <c r="AH112" s="2572"/>
      <c r="AI112" s="2572"/>
      <c r="AJ112" s="2572"/>
      <c r="AK112" s="2572"/>
      <c r="AL112" s="2572"/>
      <c r="AM112" s="2572"/>
      <c r="AN112" s="2312">
        <f>IF(OR($B$2=0,P108="不要"),"",IF(AQ112&lt;&gt;"",AQ112,CA112))</f>
        <v>2</v>
      </c>
      <c r="AO112" s="2312"/>
      <c r="AP112" s="2312"/>
      <c r="AQ112" s="2575"/>
      <c r="AR112" s="2575"/>
      <c r="AS112" s="2575"/>
      <c r="AT112" s="2546" t="str">
        <f>IF($B$2=0,"","HP起動押ボタン")</f>
        <v>HP起動押ボタン</v>
      </c>
      <c r="AU112" s="2546"/>
      <c r="AV112" s="2546"/>
      <c r="AW112" s="2546"/>
      <c r="AX112" s="2546"/>
      <c r="AY112" s="2546"/>
      <c r="AZ112" s="2546"/>
      <c r="BA112" s="2544" t="str">
        <f>IF(P108="不要","",IF(BD112&lt;&gt;"",BD112,IF([4]Top!$BL$51="要",AZ109,"")))</f>
        <v/>
      </c>
      <c r="BB112" s="2544"/>
      <c r="BC112" s="2544"/>
      <c r="BD112" s="2573"/>
      <c r="BE112" s="2573"/>
      <c r="BF112" s="2573"/>
      <c r="BG112" s="2546" t="str">
        <f>IF($B$2=0,"","光電式煙3種埋")</f>
        <v>光電式煙3種埋</v>
      </c>
      <c r="BH112" s="2546"/>
      <c r="BI112" s="2546"/>
      <c r="BJ112" s="2546"/>
      <c r="BK112" s="2546"/>
      <c r="BL112" s="2546"/>
      <c r="BM112" s="2546"/>
      <c r="BN112" s="2546"/>
      <c r="BO112" s="2544">
        <f>IF(OR($B$2=0,C109="",P108="不要"),"",IF(BR112&lt;&gt;"",BR112,2*BR109))</f>
        <v>8</v>
      </c>
      <c r="BP112" s="2544"/>
      <c r="BQ112" s="2544"/>
      <c r="BR112" s="2573"/>
      <c r="BS112" s="2573"/>
      <c r="BT112" s="2574"/>
      <c r="BU112" s="19"/>
      <c r="BV112" s="35"/>
      <c r="BW112" s="351" t="s">
        <v>359</v>
      </c>
      <c r="BX112" s="361"/>
      <c r="BY112" s="349">
        <f>CA112</f>
        <v>2</v>
      </c>
      <c r="BZ112" s="348"/>
      <c r="CA112" s="360">
        <f>IF(C109="","",1+INT(W109/200))</f>
        <v>2</v>
      </c>
      <c r="CB112" s="358"/>
      <c r="CC112" s="359">
        <f>CA112</f>
        <v>2</v>
      </c>
      <c r="CD112" s="346"/>
      <c r="CE112" s="349">
        <f>CA112</f>
        <v>2</v>
      </c>
      <c r="CF112" s="358"/>
      <c r="CG112" s="357">
        <f>CA112</f>
        <v>2</v>
      </c>
      <c r="CH112" s="35"/>
      <c r="CI112" s="133">
        <f>IF(BR109&lt;&gt;"",BR109,0)</f>
        <v>4</v>
      </c>
      <c r="CJ112" s="88" t="s">
        <v>121</v>
      </c>
      <c r="CK112" s="187">
        <f>IF(OR(C109="",C109="  RF"),"",IF($AX$8=0,0,2*($AX$8/1000-0.15-0.1)*(INT(1000*CJ110/$BF$8)+1)*(INT(1000*CK110/$BF$8)+1)*4))</f>
        <v>53.999999999999993</v>
      </c>
      <c r="CL112" s="187" t="s">
        <v>358</v>
      </c>
      <c r="CM112" s="139">
        <f>IF(OR(C109="",C109="  RF"),"",IF(J109="直天",$AN$8/1000+F109-1.2+CJ110+CK110/2,$AN$8/1000+J109-1.2+CJ110+CK110/2))</f>
        <v>27.3</v>
      </c>
      <c r="CN112" s="136">
        <f>IF(OR(C109="",C109="  RF"),"",IF(J109="直天",F109-$Y$8/1000+F109-$Y$9/1000+2*8+($AN$7+2*$AN$9)/1000,J109-$Y$8/1000+J109-$Y$9/1000+2*8+($AN$7+2*$AN$9)/1000))</f>
        <v>20.599999999999998</v>
      </c>
      <c r="CO112" s="151" t="s">
        <v>358</v>
      </c>
      <c r="CP112" s="185">
        <f>IF(OR(C109="",C109="  RF"),"",IF(J109="直天",F109-1.2+CJ110+CK110/2,IF(AQ108="天井ケーブル",J109-1.2,J109-1.2+CJ110+CK110/2)))</f>
        <v>25.8</v>
      </c>
      <c r="CQ112" s="356">
        <f>IF(OR(C109="",C109="  RF"),"",IF(J109="直天",F109-$Y$8/1000+F109-$Y$9/1000+2*8,IF(BH108="天井ケーブル",J109-$Y$8/1000+J109-$Y$9/1000,J109-$Y$8/1000+J109-$Y$9/1000+2*8)))</f>
        <v>18.399999999999999</v>
      </c>
      <c r="CR112" s="355" t="s">
        <v>87</v>
      </c>
      <c r="CS112" s="336" t="s">
        <v>395</v>
      </c>
      <c r="CT112" s="336" t="s">
        <v>394</v>
      </c>
      <c r="CU112" s="192" t="s">
        <v>393</v>
      </c>
      <c r="CV112" s="336" t="s">
        <v>392</v>
      </c>
      <c r="CW112" s="336" t="s">
        <v>391</v>
      </c>
      <c r="CX112" s="336" t="s">
        <v>390</v>
      </c>
      <c r="CY112" s="354" t="s">
        <v>389</v>
      </c>
      <c r="CZ112" s="216"/>
      <c r="DA112" s="8"/>
      <c r="DB112" s="197">
        <f t="shared" si="22"/>
        <v>10</v>
      </c>
      <c r="DC112" s="197" t="str">
        <f t="shared" si="23"/>
        <v/>
      </c>
      <c r="DD112" s="201" t="str">
        <f>G113</f>
        <v>FCPEV 0.9-5Pr</v>
      </c>
      <c r="DE112" s="8"/>
      <c r="DF112" s="8"/>
      <c r="DG112" s="8"/>
      <c r="DH112" s="8" t="str">
        <f>IF(COUNTIF($DD$15:DD111,DD112)&gt;0,"",DD112)</f>
        <v/>
      </c>
      <c r="DI112" s="252">
        <f>O113</f>
        <v>18</v>
      </c>
      <c r="DJ112" s="32">
        <f t="shared" si="33"/>
        <v>0</v>
      </c>
      <c r="DK112" s="197">
        <f t="shared" si="24"/>
        <v>4</v>
      </c>
      <c r="DL112" s="197" t="str">
        <f t="shared" si="25"/>
        <v/>
      </c>
      <c r="DM112" s="11" t="str">
        <f>IF(CY108="","",CV108)</f>
        <v>光電式煙2種埋</v>
      </c>
      <c r="DN112" s="11"/>
      <c r="DO112" s="11"/>
      <c r="DP112" s="9"/>
      <c r="DQ112" s="9" t="str">
        <f>IF(COUNTIF($DM$15:DM111,DM112)&gt;0,"",DM112)</f>
        <v/>
      </c>
      <c r="DR112" s="200">
        <f>CY108</f>
        <v>8</v>
      </c>
      <c r="DS112" s="32">
        <f t="shared" si="34"/>
        <v>8</v>
      </c>
      <c r="DT112" s="8"/>
      <c r="DU112" s="197">
        <f t="shared" si="26"/>
        <v>4</v>
      </c>
      <c r="DV112" s="197" t="str">
        <f t="shared" si="27"/>
        <v/>
      </c>
      <c r="DW112" s="201" t="str">
        <f>T112</f>
        <v>C-25mm</v>
      </c>
      <c r="DX112" s="8"/>
      <c r="DY112" s="8"/>
      <c r="DZ112" s="8"/>
      <c r="EA112" s="8" t="str">
        <f>IF(COUNTIF($DW$15:DW111,DW112)&gt;0,"",DW112)</f>
        <v/>
      </c>
      <c r="EB112" s="197">
        <f>AB112</f>
        <v>25.8</v>
      </c>
      <c r="EC112" s="32">
        <f>SUMIF($DW$17:$DW$184,EA112,$EB$17:$EB$184)</f>
        <v>0</v>
      </c>
    </row>
    <row r="113" spans="1:133" ht="11.25" customHeight="1" thickBot="1">
      <c r="A113" s="15"/>
      <c r="B113" s="23"/>
      <c r="C113" s="2568" t="s">
        <v>352</v>
      </c>
      <c r="D113" s="2569"/>
      <c r="E113" s="2569"/>
      <c r="F113" s="2569"/>
      <c r="G113" s="2557" t="str">
        <f>IF(OR($B$2=0,C109="",P108="不要"),"",IF(CR113&lt;10,"FCPEV 0.9-5Pr",IF(CR113&lt;20,"FCPEV 0.9- 10Pr",IF(CR113&lt;30,"FCPEV 0.9- 15Pr",IF(CR113&lt;40,"FCPEV 0.9- 20Pr","")))))</f>
        <v>FCPEV 0.9-5Pr</v>
      </c>
      <c r="H113" s="2557"/>
      <c r="I113" s="2557"/>
      <c r="J113" s="2557"/>
      <c r="K113" s="2557"/>
      <c r="L113" s="2557"/>
      <c r="M113" s="2557"/>
      <c r="N113" s="2557"/>
      <c r="O113" s="2557">
        <f>IF(OR(C109="",P108="不要",G113=""),"",INT(AZ109*(CJ110+CK110)/4))</f>
        <v>18</v>
      </c>
      <c r="P113" s="2557"/>
      <c r="Q113" s="2557"/>
      <c r="R113" s="2557"/>
      <c r="S113" s="2557"/>
      <c r="T113" s="2558" t="str">
        <f>IF(OR(C109="",P108="不要",G113=""),"",IF(AQ108="天井ケーブル","C-"&amp;CM114&amp;"mm",IF(MID(AQ108,4,2)="PF","PF-"&amp;CL114&amp;"mm",IF(MID(AQ108,4,2)="CD","CD-"&amp;CL114&amp;"mm",IF(MID(AQ108,4,2)="C ","C-"&amp;CM114&amp;"mm",IF(MID(AQ108,4,2)="G ","G-"&amp;CL114&amp;"mm"))))))</f>
        <v>C-31mm</v>
      </c>
      <c r="U113" s="2557"/>
      <c r="V113" s="2557"/>
      <c r="W113" s="2557"/>
      <c r="X113" s="2557"/>
      <c r="Y113" s="2557"/>
      <c r="Z113" s="2557"/>
      <c r="AA113" s="2557"/>
      <c r="AB113" s="2557">
        <f>IF(OR(C109="",P108="不要",G113=""),"",IF(AQ108="天井ケーブル",2*AZ109*(F109-$Y$7/1000),O113*0.9))</f>
        <v>16.2</v>
      </c>
      <c r="AC113" s="2557"/>
      <c r="AD113" s="2557"/>
      <c r="AE113" s="2557"/>
      <c r="AF113" s="2557"/>
      <c r="AG113" s="2572" t="str">
        <f>IF($B$2=0,"","光電式煙2種埋")</f>
        <v>光電式煙2種埋</v>
      </c>
      <c r="AH113" s="2572"/>
      <c r="AI113" s="2572"/>
      <c r="AJ113" s="2572"/>
      <c r="AK113" s="2572"/>
      <c r="AL113" s="2572"/>
      <c r="AM113" s="2572"/>
      <c r="AN113" s="2312">
        <f>IF(OR(C109="",$B$2=0,P108="不要"),"",IF(AQ113&lt;&gt;"",AQ113,IF(AX114="B",BX113+BY113,IF(AND(BL113="耐 火",AZ113="無窓"),CB113+CC113,IF(AND(BL113&lt;&gt;"耐 火",AZ113="無窓"),CF113+CG113,"")))))</f>
        <v>8</v>
      </c>
      <c r="AO113" s="2312"/>
      <c r="AP113" s="2312"/>
      <c r="AQ113" s="2339"/>
      <c r="AR113" s="2339"/>
      <c r="AS113" s="2551"/>
      <c r="AT113" s="2577" t="str">
        <f>IF(C109="","","消防法上")</f>
        <v>消防法上</v>
      </c>
      <c r="AU113" s="2289"/>
      <c r="AV113" s="2289"/>
      <c r="AW113" s="2289"/>
      <c r="AX113" s="2289"/>
      <c r="AY113" s="2578"/>
      <c r="AZ113" s="2579" t="str">
        <f>IF($B$2=0,"",IF(BD113="",[4]Top!$BO$26,BD113))</f>
        <v>無窓</v>
      </c>
      <c r="BA113" s="2394"/>
      <c r="BB113" s="2580"/>
      <c r="BC113" s="353" t="s">
        <v>387</v>
      </c>
      <c r="BD113" s="2552"/>
      <c r="BE113" s="2552"/>
      <c r="BF113" s="2553"/>
      <c r="BG113" s="2581" t="str">
        <f>IF(C109="","","耐火構造")</f>
        <v>耐火構造</v>
      </c>
      <c r="BH113" s="2289"/>
      <c r="BI113" s="2289"/>
      <c r="BJ113" s="2289"/>
      <c r="BK113" s="2290"/>
      <c r="BL113" s="2278" t="str">
        <f>IF($B$2=0,"",IF(BQ113="",[4]Top!$AN$18,BQ113))</f>
        <v>耐 火</v>
      </c>
      <c r="BM113" s="2394"/>
      <c r="BN113" s="2394"/>
      <c r="BO113" s="2580"/>
      <c r="BP113" s="352" t="s">
        <v>387</v>
      </c>
      <c r="BQ113" s="2582"/>
      <c r="BR113" s="2552"/>
      <c r="BS113" s="2552"/>
      <c r="BT113" s="2583"/>
      <c r="BU113" s="19"/>
      <c r="BV113" s="35"/>
      <c r="BW113" s="351" t="s">
        <v>351</v>
      </c>
      <c r="BX113" s="350">
        <f>CB113</f>
        <v>2</v>
      </c>
      <c r="BY113" s="349">
        <f>CC113</f>
        <v>6</v>
      </c>
      <c r="BZ113" s="348"/>
      <c r="CA113" s="345"/>
      <c r="CB113" s="344">
        <f>IF(OR([6]Top!$BD$72&lt;&gt;"要",C109=""),"",IF(J109&gt;=4,1+INT(BZ110*0.47),1+INT(BZ110*0.47)))</f>
        <v>2</v>
      </c>
      <c r="CC113" s="347">
        <f>IF(OR([6]Top!$BD$72&lt;&gt;"要",C109=""),"",IF(J109&gt;=4,1+INT(CA110*0.47),1+INT(CA110*0.47)))</f>
        <v>6</v>
      </c>
      <c r="CD113" s="346"/>
      <c r="CE113" s="345"/>
      <c r="CF113" s="344">
        <f>IF(AND(AX100&lt;720,J109&lt;4),1+INT(CD110*0.47),1+INT(CD110*0.94))</f>
        <v>11</v>
      </c>
      <c r="CG113" s="343">
        <f>IF(AND(AX100&lt;720,J109&lt;4),1+INT(CE110*0.47),1+INT(CE110*0.94))</f>
        <v>27</v>
      </c>
      <c r="CH113" s="35"/>
      <c r="CI113" s="133">
        <f>IF(AND(C109&lt;&gt;"",LEFT(C109,2)&lt;&gt;" P"),CI105+F109,"")</f>
        <v>51</v>
      </c>
      <c r="CJ113" s="88" t="s">
        <v>350</v>
      </c>
      <c r="CK113" s="182" t="s">
        <v>349</v>
      </c>
      <c r="CL113" s="342">
        <f>IF(OR(C109="",C109="  RF"),"",IF(AZ117&lt;&gt;"",AZ109,AZ109+BG109))</f>
        <v>2</v>
      </c>
      <c r="CM113" s="341" t="s">
        <v>348</v>
      </c>
      <c r="CN113" s="219" t="s">
        <v>347</v>
      </c>
      <c r="CO113" s="138">
        <f>IF(OR(C109="",P108="不要"),"",AZ109*INT(CJ110+CK110)/5)</f>
        <v>14.4</v>
      </c>
      <c r="CP113" s="151" t="s">
        <v>347</v>
      </c>
      <c r="CQ113" s="340">
        <f>IF(AQ108="天井ケーブル",F109,CO113)</f>
        <v>14.4</v>
      </c>
      <c r="CR113" s="339">
        <f>SUM(CS113:CX113)</f>
        <v>8</v>
      </c>
      <c r="CS113" s="338">
        <f>AZ109</f>
        <v>2</v>
      </c>
      <c r="CT113" s="338">
        <f>IF(BA109="",0,BA109)</f>
        <v>0</v>
      </c>
      <c r="CU113" s="88">
        <v>1</v>
      </c>
      <c r="CV113" s="222">
        <v>1</v>
      </c>
      <c r="CW113" s="222">
        <v>2</v>
      </c>
      <c r="CX113" s="222">
        <v>2</v>
      </c>
      <c r="CY113" s="337" t="str">
        <f>IF(CK108="=",3*BR109+2,"")</f>
        <v/>
      </c>
      <c r="CZ113" s="218"/>
      <c r="DA113" s="8"/>
      <c r="DB113" s="197">
        <f t="shared" ref="DB113:DB144" si="35">IF(DH113&lt;&gt;"",DB112+1,DB112)</f>
        <v>10</v>
      </c>
      <c r="DC113" s="197" t="str">
        <f t="shared" ref="DC113:DC144" si="36">IF(AND(DB113&lt;&gt;"",DH113&lt;&gt;""),DB113,"")</f>
        <v/>
      </c>
      <c r="DD113" s="201" t="str">
        <f>G114</f>
        <v>FCPEV 1.2- 10Pr</v>
      </c>
      <c r="DE113" s="8"/>
      <c r="DF113" s="8"/>
      <c r="DG113" s="8"/>
      <c r="DH113" s="8" t="str">
        <f>IF(COUNTIF($DD$15:DD112,DD113)&gt;0,"",DD113)</f>
        <v/>
      </c>
      <c r="DI113" s="252">
        <f>O114</f>
        <v>14.4</v>
      </c>
      <c r="DJ113" s="32">
        <f t="shared" si="33"/>
        <v>0</v>
      </c>
      <c r="DK113" s="197">
        <f t="shared" ref="DK113:DK144" si="37">IF(DQ113&lt;&gt;"",DK112+1,DK112)</f>
        <v>4</v>
      </c>
      <c r="DL113" s="197" t="str">
        <f t="shared" ref="DL113:DL144" si="38">IF(AND(DK113&lt;&gt;"",DQ113&lt;&gt;""),DK113,"")</f>
        <v/>
      </c>
      <c r="DM113" s="11" t="str">
        <f>IF(AN114="","",AG114)</f>
        <v/>
      </c>
      <c r="DN113" s="11"/>
      <c r="DO113" s="11"/>
      <c r="DP113" s="9"/>
      <c r="DQ113" s="9" t="str">
        <f>IF(COUNTIF($DM$15:DM112,DM113)&gt;0,"",DM113)</f>
        <v/>
      </c>
      <c r="DR113" s="101" t="str">
        <f>AN114</f>
        <v/>
      </c>
      <c r="DS113" s="32">
        <f t="shared" si="34"/>
        <v>8</v>
      </c>
      <c r="DT113" s="8"/>
      <c r="DU113" s="197">
        <f t="shared" ref="DU113:DU144" si="39">IF(EA113&lt;&gt;"",DU112+1,DU112)</f>
        <v>4</v>
      </c>
      <c r="DV113" s="197" t="str">
        <f t="shared" ref="DV113:DV144" si="40">IF(AND(DU113&lt;&gt;"",EA113&lt;&gt;""),DU113,"")</f>
        <v/>
      </c>
      <c r="DW113" s="201" t="str">
        <f>T113</f>
        <v>C-31mm</v>
      </c>
      <c r="DX113" s="8"/>
      <c r="DY113" s="8"/>
      <c r="DZ113" s="8"/>
      <c r="EA113" s="8" t="str">
        <f>IF(COUNTIF($DW$15:DW112,DW113)&gt;0,"",DW113)</f>
        <v/>
      </c>
      <c r="EB113" s="197">
        <f>AB113</f>
        <v>16.2</v>
      </c>
      <c r="EC113" s="32">
        <f>SUMIF($DW$17:$DW$184,EA113,$EB$17:$EB$184)</f>
        <v>0</v>
      </c>
    </row>
    <row r="114" spans="1:133" ht="11.25" customHeight="1" thickBot="1">
      <c r="A114" s="15"/>
      <c r="B114" s="23"/>
      <c r="C114" s="2570"/>
      <c r="D114" s="2571"/>
      <c r="E114" s="2571"/>
      <c r="F114" s="2571"/>
      <c r="G114" s="2554" t="str">
        <f>IF(OR($B$2=0,P108="不要"),"",IF(CR114=0,"",IF(OR(C109="",P108="不要"),"",IF(CR114&lt;10,"FCPEV 1.2-5Pr",IF(CR114&lt;20,"FCPEV 1.2- 10Pr",IF(CR114&lt;30,"FCPEV 1.2- 15Pr",IF(CR114&lt;40,"FCPEV 1.2- 20Pr",IF(CR114&lt;60,"FCPEV 1.2- 30Pr",IF(CR114&lt;100,"FCPEV 1.2- 50Pr",IF(CR114&lt;140,"FCPEV 1.2- 70Pr",IF(CR114&lt;200,"FCPEV 1.2-100Pr","FCPEV 1.2-200Pr")))))))))))</f>
        <v>FCPEV 1.2- 10Pr</v>
      </c>
      <c r="H114" s="2555"/>
      <c r="I114" s="2555"/>
      <c r="J114" s="2555"/>
      <c r="K114" s="2555"/>
      <c r="L114" s="2555"/>
      <c r="M114" s="2555"/>
      <c r="N114" s="2555"/>
      <c r="O114" s="2555">
        <f>IF(OR(G114="",C109="",P108="不要"),"",CO113)</f>
        <v>14.4</v>
      </c>
      <c r="P114" s="2555"/>
      <c r="Q114" s="2555"/>
      <c r="R114" s="2555"/>
      <c r="S114" s="2555"/>
      <c r="T114" s="2555" t="str">
        <f>IF(OR(G114="",C109="",P108="不要"),"",IF(AQ108="天井ケーブル","C-"&amp;CO114&amp;"mm",IF(MID(AQ108,4,2)="PF","PF-"&amp;CN114&amp;"mm",IF(MID(AQ108,4,2)="CD","CD-"&amp;CN114&amp;"mm",IF(MID(AQ108,4,2)="C ","C-"&amp;CO114&amp;"mm",IF(MID(AQ108,4,2)="G ","G-"&amp;CN114&amp;"mm"))))))</f>
        <v>C-31mm</v>
      </c>
      <c r="U114" s="2555"/>
      <c r="V114" s="2555"/>
      <c r="W114" s="2555"/>
      <c r="X114" s="2555"/>
      <c r="Y114" s="2555"/>
      <c r="Z114" s="2555"/>
      <c r="AA114" s="2555"/>
      <c r="AB114" s="2555">
        <f>IF(OR(G114="",P108="不要"),"",CQ113)</f>
        <v>14.4</v>
      </c>
      <c r="AC114" s="2555"/>
      <c r="AD114" s="2555"/>
      <c r="AE114" s="2555"/>
      <c r="AF114" s="2555"/>
      <c r="AG114" s="2556" t="str">
        <f>IF($B$2=0,"","定温SP1種Exp")</f>
        <v>定温SP1種Exp</v>
      </c>
      <c r="AH114" s="2556"/>
      <c r="AI114" s="2556"/>
      <c r="AJ114" s="2556"/>
      <c r="AK114" s="2556"/>
      <c r="AL114" s="2556"/>
      <c r="AM114" s="2556"/>
      <c r="AN114" s="2335" t="str">
        <f>IF(AQ114&lt;&gt;"",AQ114,"")</f>
        <v/>
      </c>
      <c r="AO114" s="2335"/>
      <c r="AP114" s="2335"/>
      <c r="AQ114" s="2566"/>
      <c r="AR114" s="2566"/>
      <c r="AS114" s="2567"/>
      <c r="AT114" s="2586" t="str">
        <f>IF(C109="","","盤位置")</f>
        <v>盤位置</v>
      </c>
      <c r="AU114" s="2587"/>
      <c r="AV114" s="2587"/>
      <c r="AW114" s="2587"/>
      <c r="AX114" s="2588" t="str">
        <f>非誘!V88</f>
        <v>⑦</v>
      </c>
      <c r="AY114" s="2588"/>
      <c r="AZ114" s="2588"/>
      <c r="BA114" s="2559" t="str">
        <f>IF(C109="","","専部屋面積")</f>
        <v>専部屋面積</v>
      </c>
      <c r="BB114" s="2560"/>
      <c r="BC114" s="2560"/>
      <c r="BD114" s="2560"/>
      <c r="BE114" s="2560"/>
      <c r="BF114" s="2561"/>
      <c r="BG114" s="2562">
        <f>IF(OR(C109="",S109=""),"",S109/AA109)</f>
        <v>268.8</v>
      </c>
      <c r="BH114" s="2563"/>
      <c r="BI114" s="2563"/>
      <c r="BJ114" s="2564"/>
      <c r="BK114" s="2559" t="str">
        <f>IF(C109="","","共部屋面積")</f>
        <v>共部屋面積</v>
      </c>
      <c r="BL114" s="2560"/>
      <c r="BM114" s="2560"/>
      <c r="BN114" s="2560"/>
      <c r="BO114" s="2560"/>
      <c r="BP114" s="2561"/>
      <c r="BQ114" s="2562">
        <f>IF(OR($B$2=0,C109=""),"",W109/AD109)</f>
        <v>38.400000000000006</v>
      </c>
      <c r="BR114" s="2563"/>
      <c r="BS114" s="2563"/>
      <c r="BT114" s="2565"/>
      <c r="BU114" s="19"/>
      <c r="BV114" s="35"/>
      <c r="BW114" s="99"/>
      <c r="BX114" s="35"/>
      <c r="BY114" s="35"/>
      <c r="BZ114" s="35"/>
      <c r="CA114" s="35"/>
      <c r="CB114" s="35"/>
      <c r="CC114" s="35"/>
      <c r="CD114" s="35"/>
      <c r="CE114" s="35"/>
      <c r="CF114" s="35"/>
      <c r="CG114" s="35"/>
      <c r="CH114" s="35"/>
      <c r="CI114" s="8"/>
      <c r="CJ114" s="8"/>
      <c r="CK114" s="8"/>
      <c r="CL114" s="336" t="str">
        <f>IF(OR(RIGHT(G113,3)="5Pr",RIGHT(G113,4)="10Pr",RIGHT(G113,4)="15Pr"),"28",IF(OR(RIGHT(G113,4)="20Pr",RIGHT(G113,4)="30Pr"),"36",IF(OR(RIGHT(G113,4)="50Pr",RIGHT(G113,4)="70Pr"),"42","")))</f>
        <v>28</v>
      </c>
      <c r="CM114" s="336" t="str">
        <f>IF(OR(RIGHT(G113,3)="5Pr",RIGHT(G113,4)="10Pr",RIGHT(G113,4)="15Pr"),"31",IF(OR(RIGHT(G113,4)="20Pr",RIGHT(G113,4)="30Pr"),"39",IF(OR(RIGHT(G113,4)="50Pr",RIGHT(G113,4)="70Pr"),"51","")))</f>
        <v>31</v>
      </c>
      <c r="CN114" s="86" t="str">
        <f>IF(OR(RIGHT(G114,3)="5Pr",RIGHT(G114,4)="10Pr",RIGHT(G114,4)="15Pr"),"28",IF(OR(RIGHT(G114,4)="20Pr",RIGHT(G114,4)="30Pr"),"36",IF(OR(RIGHT(G114,4)="50Pr",RIGHT(G114,4)="70Pr"),"42","")))</f>
        <v>28</v>
      </c>
      <c r="CO114" s="86" t="str">
        <f>IF(OR(RIGHT(G114,3)="5Pr",RIGHT(G114,4)="10Pr",RIGHT(G114,4)="15Pr"),"31",IF(OR(RIGHT(G114,4)="20Pr",RIGHT(G114,4)="30Pr"),"39",IF(OR(RIGHT(G114,4)="50Pr",RIGHT(G114,4)="70Pr"),"51","")))</f>
        <v>31</v>
      </c>
      <c r="CP114" s="9"/>
      <c r="CQ114" s="9"/>
      <c r="CR114" s="335">
        <f>IF(P108="不要","",SUM(CS114:CX114))</f>
        <v>18</v>
      </c>
      <c r="CS114" s="334">
        <f>IF(OR(CK108="",CK108="=",P108="不要"),0,IF(CK108="－",CL113+CS106,IF(CK108="+",CL113+CS122)))</f>
        <v>10</v>
      </c>
      <c r="CT114" s="188">
        <f>IF(OR(CK108="",CK108="=",P108="不要"),0,IF(CS114&lt;7,1,IF(CS114&lt;14,2,IF(CS114&lt;21,3,IF(CS114&lt;28,4,IF(CS114&lt;35,5,IF(CS114&lt;42,6,IF(CS114&lt;49,7,IF(CS114&lt;56,8,IF(CS114&lt;63,9,IF(CS114&lt;70,10,IF(CS114&lt;77,11,"---"))))))))))))</f>
        <v>2</v>
      </c>
      <c r="CU114" s="188">
        <f>IF(CS114=0,0,1)</f>
        <v>1</v>
      </c>
      <c r="CV114" s="333">
        <f>IF(CS114=0,0,1)</f>
        <v>1</v>
      </c>
      <c r="CW114" s="333">
        <f>IF(CS114=0,0,2)</f>
        <v>2</v>
      </c>
      <c r="CX114" s="333">
        <f>IF(CS114=0,0,2)</f>
        <v>2</v>
      </c>
      <c r="CY114" s="332">
        <f>IF(OR(BR117="",P108="不要"),0,IF(CK108="=",0,IF(CK108="－",2*BR109+3,IF(CK108="+",2*(BR109+BR117)+3,""))))</f>
        <v>19</v>
      </c>
      <c r="CZ114" s="216"/>
      <c r="DA114" s="9"/>
      <c r="DB114" s="127">
        <f t="shared" si="35"/>
        <v>10</v>
      </c>
      <c r="DC114" s="127" t="str">
        <f t="shared" si="36"/>
        <v/>
      </c>
      <c r="DD114" s="11" t="str">
        <f>CR108</f>
        <v>防火区画処理</v>
      </c>
      <c r="DE114" s="9"/>
      <c r="DF114" s="9"/>
      <c r="DG114" s="9"/>
      <c r="DH114" s="9" t="str">
        <f>IF(COUNTIF($DD$15:DD113,DD114)&gt;0,"",DD114)</f>
        <v/>
      </c>
      <c r="DI114" s="242">
        <f>CU108</f>
        <v>13</v>
      </c>
      <c r="DJ114" s="32">
        <f t="shared" si="33"/>
        <v>0</v>
      </c>
      <c r="DK114" s="127">
        <f t="shared" si="37"/>
        <v>4</v>
      </c>
      <c r="DL114" s="127" t="str">
        <f t="shared" si="38"/>
        <v/>
      </c>
      <c r="DM114" s="11" t="str">
        <f>IF(CY109="","",CV109)</f>
        <v/>
      </c>
      <c r="DN114" s="11"/>
      <c r="DO114" s="11"/>
      <c r="DP114" s="9"/>
      <c r="DQ114" s="9" t="str">
        <f>IF(COUNTIF($DM$15:DM113,DM114)&gt;0,"",DM114)</f>
        <v/>
      </c>
      <c r="DR114" s="101" t="str">
        <f>CY109</f>
        <v/>
      </c>
      <c r="DS114" s="32">
        <f t="shared" si="34"/>
        <v>8</v>
      </c>
      <c r="DT114" s="9"/>
      <c r="DU114" s="197">
        <f t="shared" si="39"/>
        <v>4</v>
      </c>
      <c r="DV114" s="197" t="str">
        <f t="shared" si="40"/>
        <v/>
      </c>
      <c r="DW114" s="201" t="str">
        <f>T114</f>
        <v>C-31mm</v>
      </c>
      <c r="DX114" s="8"/>
      <c r="DY114" s="8"/>
      <c r="DZ114" s="8"/>
      <c r="EA114" s="8" t="str">
        <f>IF(COUNTIF($DW$15:DW113,DW114)&gt;0,"",DW114)</f>
        <v/>
      </c>
      <c r="EB114" s="197">
        <f>AB114</f>
        <v>14.4</v>
      </c>
      <c r="EC114" s="32">
        <f>SUMIF($DW$17:$DW$184,EA114,$EB$17:$EB$184)</f>
        <v>0</v>
      </c>
    </row>
    <row r="115" spans="1:133" ht="11.25" customHeight="1">
      <c r="A115" s="15"/>
      <c r="B115" s="23"/>
      <c r="C115" s="37"/>
      <c r="D115" s="37"/>
      <c r="E115" s="37"/>
      <c r="F115" s="37"/>
      <c r="G115" s="331"/>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157"/>
      <c r="AH115" s="157"/>
      <c r="AI115" s="157"/>
      <c r="AJ115" s="157"/>
      <c r="AK115" s="157"/>
      <c r="AL115" s="157"/>
      <c r="AM115" s="157"/>
      <c r="AN115" s="377"/>
      <c r="AO115" s="377"/>
      <c r="AP115" s="377"/>
      <c r="AQ115" s="37"/>
      <c r="AR115" s="37"/>
      <c r="AS115" s="37"/>
      <c r="AT115" s="157"/>
      <c r="AU115" s="157"/>
      <c r="AV115" s="157"/>
      <c r="AW115" s="157"/>
      <c r="AX115" s="157"/>
      <c r="AY115" s="157"/>
      <c r="AZ115" s="157"/>
      <c r="BA115" s="377"/>
      <c r="BB115" s="377"/>
      <c r="BC115" s="377"/>
      <c r="BD115" s="37"/>
      <c r="BE115" s="37"/>
      <c r="BF115" s="37"/>
      <c r="BG115" s="157"/>
      <c r="BH115" s="157"/>
      <c r="BI115" s="157"/>
      <c r="BJ115" s="157"/>
      <c r="BK115" s="157"/>
      <c r="BL115" s="157"/>
      <c r="BM115" s="157"/>
      <c r="BN115" s="157"/>
      <c r="BO115" s="377"/>
      <c r="BP115" s="377"/>
      <c r="BQ115" s="377"/>
      <c r="BR115" s="37"/>
      <c r="BS115" s="37"/>
      <c r="BT115" s="37"/>
      <c r="BU115" s="19"/>
      <c r="BV115" s="35"/>
      <c r="BW115" s="99"/>
      <c r="BX115" s="35"/>
      <c r="BY115" s="35"/>
      <c r="BZ115" s="35"/>
      <c r="CA115" s="35"/>
      <c r="CB115" s="35"/>
      <c r="CC115" s="35"/>
      <c r="CD115" s="35"/>
      <c r="CE115" s="35"/>
      <c r="CF115" s="35"/>
      <c r="CG115" s="35"/>
      <c r="CH115" s="35"/>
      <c r="CI115" s="199"/>
      <c r="CJ115" s="8"/>
      <c r="CK115" s="8"/>
      <c r="CL115" s="64"/>
      <c r="CM115" s="64"/>
      <c r="CN115" s="64"/>
      <c r="CO115" s="64"/>
      <c r="CP115" s="9"/>
      <c r="CQ115" s="9"/>
      <c r="CR115" s="376"/>
      <c r="CS115" s="375"/>
      <c r="CT115" s="145"/>
      <c r="CU115" s="145"/>
      <c r="CV115" s="127"/>
      <c r="CW115" s="127"/>
      <c r="CX115" s="127"/>
      <c r="CY115" s="9"/>
      <c r="CZ115" s="218"/>
      <c r="DA115" s="9"/>
      <c r="DB115" s="127">
        <f t="shared" si="35"/>
        <v>10</v>
      </c>
      <c r="DC115" s="127" t="str">
        <f t="shared" si="36"/>
        <v/>
      </c>
      <c r="DD115" s="11"/>
      <c r="DE115" s="9"/>
      <c r="DF115" s="9"/>
      <c r="DG115" s="9"/>
      <c r="DH115" s="9"/>
      <c r="DI115" s="242"/>
      <c r="DJ115" s="13"/>
      <c r="DK115" s="127">
        <f t="shared" si="37"/>
        <v>4</v>
      </c>
      <c r="DL115" s="127" t="str">
        <f t="shared" si="38"/>
        <v/>
      </c>
      <c r="DM115" s="11" t="str">
        <f>IF(CY110="","",CV110)</f>
        <v>P1総合盤露出</v>
      </c>
      <c r="DN115" s="11"/>
      <c r="DO115" s="11"/>
      <c r="DP115" s="9"/>
      <c r="DQ115" s="9" t="str">
        <f>IF(COUNTIF($DM$15:DM114,DM115)&gt;0,"",DM115)</f>
        <v/>
      </c>
      <c r="DR115" s="101">
        <f>CY110</f>
        <v>2</v>
      </c>
      <c r="DS115" s="32">
        <f t="shared" si="34"/>
        <v>8</v>
      </c>
      <c r="DT115" s="9"/>
      <c r="DU115" s="8">
        <f t="shared" si="39"/>
        <v>4</v>
      </c>
      <c r="DV115" s="8" t="str">
        <f t="shared" si="40"/>
        <v/>
      </c>
      <c r="DW115" s="8"/>
      <c r="DX115" s="8"/>
      <c r="DY115" s="8"/>
      <c r="DZ115" s="8"/>
      <c r="EA115" s="8"/>
      <c r="EB115" s="8"/>
      <c r="EC115" s="8"/>
    </row>
    <row r="116" spans="1:133" ht="11.25" customHeight="1" thickBot="1">
      <c r="A116" s="374">
        <v>13</v>
      </c>
      <c r="B116" s="23"/>
      <c r="C116" s="2626" t="str">
        <f>非誘!J93</f>
        <v>( 4 )</v>
      </c>
      <c r="D116" s="2627"/>
      <c r="E116" s="2628"/>
      <c r="F116" s="2629" t="str">
        <f>非誘!M93</f>
        <v>百貨店等</v>
      </c>
      <c r="G116" s="2629"/>
      <c r="H116" s="2629"/>
      <c r="I116" s="2629"/>
      <c r="J116" s="2629"/>
      <c r="K116" s="2629"/>
      <c r="L116" s="2629"/>
      <c r="M116" s="2629"/>
      <c r="N116" s="2629"/>
      <c r="O116" s="2629"/>
      <c r="P116" s="2630" t="str">
        <f>IF(U116="",RIGHT($D$8,2),U116)</f>
        <v>設置</v>
      </c>
      <c r="Q116" s="2630"/>
      <c r="R116" s="2630"/>
      <c r="S116" s="2631"/>
      <c r="T116" s="31" t="s">
        <v>387</v>
      </c>
      <c r="U116" s="2632"/>
      <c r="V116" s="2632"/>
      <c r="W116" s="2632"/>
      <c r="X116" s="2633"/>
      <c r="Y116" s="2634" t="s">
        <v>20</v>
      </c>
      <c r="Z116" s="2634"/>
      <c r="AA116" s="2634"/>
      <c r="AB116" s="2634"/>
      <c r="AC116" s="2634"/>
      <c r="AD116" s="2635">
        <f>非誘!J94</f>
        <v>0.5</v>
      </c>
      <c r="AE116" s="2635"/>
      <c r="AF116" s="2635"/>
      <c r="AG116" s="2635"/>
      <c r="AH116" s="2299" t="s">
        <v>135</v>
      </c>
      <c r="AI116" s="2299"/>
      <c r="AJ116" s="2299"/>
      <c r="AK116" s="2299"/>
      <c r="AL116" s="2299"/>
      <c r="AM116" s="2299" t="s">
        <v>366</v>
      </c>
      <c r="AN116" s="2299"/>
      <c r="AO116" s="2299"/>
      <c r="AP116" s="2299"/>
      <c r="AQ116" s="2569" t="str">
        <f>IF(AX116="","天井ケーブル",AX116)</f>
        <v>天井(C 管)</v>
      </c>
      <c r="AR116" s="2569"/>
      <c r="AS116" s="2569"/>
      <c r="AT116" s="2569"/>
      <c r="AU116" s="2569"/>
      <c r="AV116" s="2569"/>
      <c r="AW116" s="175" t="s">
        <v>387</v>
      </c>
      <c r="AX116" s="2338" t="s">
        <v>388</v>
      </c>
      <c r="AY116" s="2338"/>
      <c r="AZ116" s="2338"/>
      <c r="BA116" s="2338"/>
      <c r="BB116" s="2338"/>
      <c r="BC116" s="2338"/>
      <c r="BD116" s="2299" t="s">
        <v>363</v>
      </c>
      <c r="BE116" s="2299"/>
      <c r="BF116" s="2299"/>
      <c r="BG116" s="2299"/>
      <c r="BH116" s="2569" t="str">
        <f>IF(BO116="","天井(C 管)",BO116)</f>
        <v>天井(C 管)</v>
      </c>
      <c r="BI116" s="2569"/>
      <c r="BJ116" s="2569"/>
      <c r="BK116" s="2569"/>
      <c r="BL116" s="2569"/>
      <c r="BM116" s="2569"/>
      <c r="BN116" s="175" t="s">
        <v>387</v>
      </c>
      <c r="BO116" s="2338"/>
      <c r="BP116" s="2338"/>
      <c r="BQ116" s="2338"/>
      <c r="BR116" s="2338"/>
      <c r="BS116" s="2338"/>
      <c r="BT116" s="2622"/>
      <c r="BU116" s="19"/>
      <c r="BV116" s="35"/>
      <c r="BW116" s="99"/>
      <c r="BX116" s="35"/>
      <c r="BY116" s="35"/>
      <c r="BZ116" s="35"/>
      <c r="CA116" s="35"/>
      <c r="CB116" s="35"/>
      <c r="CC116" s="35"/>
      <c r="CD116" s="35"/>
      <c r="CE116" s="35"/>
      <c r="CF116" s="35"/>
      <c r="CG116" s="35"/>
      <c r="CH116" s="35"/>
      <c r="CI116" s="8">
        <v>23</v>
      </c>
      <c r="CJ116" s="97" t="str">
        <f>IF(LEFT(C117,2)=" B",-MID(C117,3,1),IF(C117="  RF","",LEFT(C117,3)))</f>
        <v xml:space="preserve"> 11</v>
      </c>
      <c r="CK116" s="10" t="str">
        <f>IF(OR(C117="",C117="  RF"),"",IF(LEFT(C117,1)="P","+",IF($CJ$14&gt;CJ116,"－",IF($CJ$14=CJ116,"=","+"))))</f>
        <v>+</v>
      </c>
      <c r="CL116" s="2601" t="s">
        <v>376</v>
      </c>
      <c r="CM116" s="2601"/>
      <c r="CN116" s="2601"/>
      <c r="CO116" s="2601" t="s">
        <v>375</v>
      </c>
      <c r="CP116" s="2601"/>
      <c r="CQ116" s="2601"/>
      <c r="CR116" s="2589" t="str">
        <f>AG117</f>
        <v>防火区画処理</v>
      </c>
      <c r="CS116" s="2590"/>
      <c r="CT116" s="2591"/>
      <c r="CU116" s="184">
        <f>AN117</f>
        <v>13</v>
      </c>
      <c r="CV116" s="2589" t="str">
        <f>AG121</f>
        <v>光電式煙2種埋</v>
      </c>
      <c r="CW116" s="2590"/>
      <c r="CX116" s="2591"/>
      <c r="CY116" s="184">
        <f>AN121</f>
        <v>8</v>
      </c>
      <c r="CZ116" s="216"/>
      <c r="DA116" s="88">
        <v>13</v>
      </c>
      <c r="DB116" s="204">
        <f t="shared" si="35"/>
        <v>10</v>
      </c>
      <c r="DC116" s="155" t="str">
        <f t="shared" si="36"/>
        <v/>
      </c>
      <c r="DD116" s="45"/>
      <c r="DE116" s="45"/>
      <c r="DF116" s="45"/>
      <c r="DG116" s="45"/>
      <c r="DH116" s="45"/>
      <c r="DI116" s="45"/>
      <c r="DJ116" s="45"/>
      <c r="DK116" s="155">
        <f t="shared" si="37"/>
        <v>4</v>
      </c>
      <c r="DL116" s="155" t="str">
        <f t="shared" si="38"/>
        <v/>
      </c>
      <c r="DM116" s="154" t="str">
        <f>IF(CY111="","",CV111)</f>
        <v/>
      </c>
      <c r="DN116" s="154"/>
      <c r="DO116" s="154"/>
      <c r="DP116" s="45"/>
      <c r="DQ116" s="45"/>
      <c r="DR116" s="209"/>
      <c r="DS116" s="230">
        <f>SUMIF($DM$17:$DM$185,DQ116,$DR$17:$DR$185)</f>
        <v>0</v>
      </c>
      <c r="DT116" s="88">
        <v>13</v>
      </c>
      <c r="DU116" s="373">
        <f t="shared" si="39"/>
        <v>4</v>
      </c>
      <c r="DV116" s="45" t="str">
        <f t="shared" si="40"/>
        <v/>
      </c>
      <c r="DW116" s="45"/>
      <c r="DX116" s="45"/>
      <c r="DY116" s="45"/>
      <c r="DZ116" s="45"/>
      <c r="EA116" s="45"/>
      <c r="EB116" s="45"/>
      <c r="EC116" s="45"/>
    </row>
    <row r="117" spans="1:133" ht="11.25" customHeight="1" thickBot="1">
      <c r="A117" s="167" t="s">
        <v>406</v>
      </c>
      <c r="B117" s="23"/>
      <c r="C117" s="2602" t="str">
        <f>非誘!C95</f>
        <v xml:space="preserve"> 11F</v>
      </c>
      <c r="D117" s="2603"/>
      <c r="E117" s="2604"/>
      <c r="F117" s="2605">
        <f>非誘!F95</f>
        <v>4</v>
      </c>
      <c r="G117" s="2606"/>
      <c r="H117" s="2606"/>
      <c r="I117" s="2607"/>
      <c r="J117" s="2605">
        <f>非誘!J95</f>
        <v>3</v>
      </c>
      <c r="K117" s="2606"/>
      <c r="L117" s="2606"/>
      <c r="M117" s="2607"/>
      <c r="N117" s="2608">
        <f>非誘!N95</f>
        <v>1152</v>
      </c>
      <c r="O117" s="2609"/>
      <c r="P117" s="2609"/>
      <c r="Q117" s="2609"/>
      <c r="R117" s="2610"/>
      <c r="S117" s="2608">
        <f>非誘!S95</f>
        <v>806.4</v>
      </c>
      <c r="T117" s="2609"/>
      <c r="U117" s="2609"/>
      <c r="V117" s="2610"/>
      <c r="W117" s="2608">
        <f>非誘!W95</f>
        <v>345.6</v>
      </c>
      <c r="X117" s="2609"/>
      <c r="Y117" s="2609"/>
      <c r="Z117" s="2610"/>
      <c r="AA117" s="2611">
        <f>非誘!AA95</f>
        <v>3</v>
      </c>
      <c r="AB117" s="2603"/>
      <c r="AC117" s="2604"/>
      <c r="AD117" s="2612">
        <f>非誘!AD95</f>
        <v>9</v>
      </c>
      <c r="AE117" s="2613"/>
      <c r="AF117" s="2614"/>
      <c r="AG117" s="2615" t="str">
        <f>IF($B$2=0,"","防火区画処理")</f>
        <v>防火区画処理</v>
      </c>
      <c r="AH117" s="2615"/>
      <c r="AI117" s="2615"/>
      <c r="AJ117" s="2615"/>
      <c r="AK117" s="2615"/>
      <c r="AL117" s="2615"/>
      <c r="AM117" s="2615"/>
      <c r="AN117" s="2616">
        <f>IF(OR($B$2=0,C117="",P116="不要"),"",AZ117+BG117+BR117*2)</f>
        <v>13</v>
      </c>
      <c r="AO117" s="2616"/>
      <c r="AP117" s="2616"/>
      <c r="AQ117" s="2617" t="s">
        <v>374</v>
      </c>
      <c r="AR117" s="2617"/>
      <c r="AS117" s="2617"/>
      <c r="AT117" s="2617"/>
      <c r="AU117" s="2617"/>
      <c r="AV117" s="2618" t="s">
        <v>373</v>
      </c>
      <c r="AW117" s="2618"/>
      <c r="AX117" s="2618"/>
      <c r="AY117" s="2618"/>
      <c r="AZ117" s="2619">
        <f>IF(OR($B$2=0,C117="",P116="不要"),"",IF(LEFT(C117,1)="P",1+INT(W117/450),INT(S117/450)+1+INT(W117/450)))</f>
        <v>2</v>
      </c>
      <c r="BA117" s="2619"/>
      <c r="BB117" s="2619"/>
      <c r="BC117" s="2618" t="s">
        <v>372</v>
      </c>
      <c r="BD117" s="2618"/>
      <c r="BE117" s="2618"/>
      <c r="BF117" s="2618"/>
      <c r="BG117" s="2619">
        <f>IF(OR($B$2=0,C117="",P116="不要"),"",1+INT(N117/500))</f>
        <v>3</v>
      </c>
      <c r="BH117" s="2619"/>
      <c r="BI117" s="2619"/>
      <c r="BJ117" s="2617" t="s">
        <v>371</v>
      </c>
      <c r="BK117" s="2617"/>
      <c r="BL117" s="2617"/>
      <c r="BM117" s="2617"/>
      <c r="BN117" s="2617"/>
      <c r="BO117" s="2617"/>
      <c r="BP117" s="2617"/>
      <c r="BQ117" s="2617"/>
      <c r="BR117" s="2620">
        <f>IF(OR($B$2=0,C117="",P116="不要"),"",1+INT(0.055*N117^0.6))</f>
        <v>4</v>
      </c>
      <c r="BS117" s="2620"/>
      <c r="BT117" s="2621"/>
      <c r="BU117" s="19"/>
      <c r="BV117" s="35"/>
      <c r="BW117" s="99"/>
      <c r="BX117" s="35"/>
      <c r="BY117" s="35"/>
      <c r="BZ117" s="35"/>
      <c r="CA117" s="35"/>
      <c r="CB117" s="35"/>
      <c r="CC117" s="35"/>
      <c r="CD117" s="35"/>
      <c r="CE117" s="35"/>
      <c r="CF117" s="35"/>
      <c r="CG117" s="35"/>
      <c r="CH117" s="35"/>
      <c r="CI117" s="8">
        <v>2</v>
      </c>
      <c r="CJ117" s="88" t="s">
        <v>386</v>
      </c>
      <c r="CK117" s="88" t="s">
        <v>385</v>
      </c>
      <c r="CL117" s="372">
        <f>IF(C118="","",IF(AX122="①",CJ118+CK118+3,IF(AX122="②",CJ118*5/8+CK118+3,IF(AX122="③",CJ118/2+CK118+3,IF(AX122="④",CJ118+CK118*5/8+3,IF(AX122="⑤",(CJ118+CK118)*5/8+3,IF(AX122="⑥",CJ118/2+CK118*5/8+3,IF(AX122="⑦",CJ118+CK118/2+3,IF(AX122="⑧",CJ118*5/8+CK118/2+3,IF(AX122="⑨",(CJ118+CK118)/2+3))))))))))</f>
        <v>27</v>
      </c>
      <c r="CM117" s="371" t="s">
        <v>384</v>
      </c>
      <c r="CN117" s="371" t="s">
        <v>383</v>
      </c>
      <c r="CO117" s="370"/>
      <c r="CP117" s="371" t="s">
        <v>384</v>
      </c>
      <c r="CQ117" s="370" t="s">
        <v>383</v>
      </c>
      <c r="CR117" s="2589" t="str">
        <f>AG118</f>
        <v>差動SP2種埋</v>
      </c>
      <c r="CS117" s="2590"/>
      <c r="CT117" s="2591"/>
      <c r="CU117" s="184" t="str">
        <f>AN118</f>
        <v/>
      </c>
      <c r="CV117" s="2589" t="str">
        <f>AT120</f>
        <v>HP起動押ボタン</v>
      </c>
      <c r="CW117" s="2590"/>
      <c r="CX117" s="2591"/>
      <c r="CY117" s="184" t="str">
        <f>BA120</f>
        <v/>
      </c>
      <c r="CZ117" s="216"/>
      <c r="DA117" s="8"/>
      <c r="DB117" s="197">
        <f t="shared" si="35"/>
        <v>10</v>
      </c>
      <c r="DC117" s="197" t="str">
        <f t="shared" si="36"/>
        <v/>
      </c>
      <c r="DD117" s="201" t="str">
        <f>G118</f>
        <v>AE 0.9mm-4C</v>
      </c>
      <c r="DE117" s="8"/>
      <c r="DF117" s="8"/>
      <c r="DG117" s="8"/>
      <c r="DH117" s="8" t="str">
        <f>IF(COUNTIF($DD$15:DD116,DD117)&gt;0,"",DD117)</f>
        <v/>
      </c>
      <c r="DI117" s="252">
        <f>O118</f>
        <v>149</v>
      </c>
      <c r="DJ117" s="32">
        <f t="shared" ref="DJ117:DJ122" si="41">SUMIF($DD$17:$DD$184,DH117,$DI$17:$DI$184)</f>
        <v>0</v>
      </c>
      <c r="DK117" s="197">
        <f t="shared" si="37"/>
        <v>4</v>
      </c>
      <c r="DL117" s="197" t="str">
        <f t="shared" si="38"/>
        <v/>
      </c>
      <c r="DM117" s="10" t="str">
        <f>IF(CU117="","",CR117)</f>
        <v/>
      </c>
      <c r="DN117" s="10" t="str">
        <f>CR117</f>
        <v>差動SP2種埋</v>
      </c>
      <c r="DO117" s="10"/>
      <c r="DP117" s="8"/>
      <c r="DQ117" s="8" t="str">
        <f>IF(COUNTIF($DM$15:DM116,DM117)&gt;0,"",DM117)</f>
        <v/>
      </c>
      <c r="DR117" s="200" t="str">
        <f>CU117</f>
        <v/>
      </c>
      <c r="DS117" s="32">
        <f t="shared" ref="DS117:DS123" si="42">SUMIF($DM$17:$DM$184,DQ117,$DR$17:$DR$184)</f>
        <v>8</v>
      </c>
      <c r="DT117" s="8"/>
      <c r="DU117" s="197">
        <f t="shared" si="39"/>
        <v>4</v>
      </c>
      <c r="DV117" s="197" t="str">
        <f t="shared" si="40"/>
        <v/>
      </c>
      <c r="DW117" s="201"/>
      <c r="DX117" s="8"/>
      <c r="DY117" s="8"/>
      <c r="DZ117" s="8"/>
      <c r="EA117" s="8"/>
      <c r="EB117" s="252"/>
      <c r="EC117" s="32"/>
    </row>
    <row r="118" spans="1:133" ht="11.25" customHeight="1">
      <c r="A118" s="15"/>
      <c r="B118" s="23"/>
      <c r="C118" s="2623" t="s">
        <v>366</v>
      </c>
      <c r="D118" s="2624"/>
      <c r="E118" s="2624"/>
      <c r="F118" s="2624"/>
      <c r="G118" s="2625" t="str">
        <f>IF(C117="","","AE 0.9mm-4C")</f>
        <v>AE 0.9mm-4C</v>
      </c>
      <c r="H118" s="2625"/>
      <c r="I118" s="2625"/>
      <c r="J118" s="2625"/>
      <c r="K118" s="2625"/>
      <c r="L118" s="2625"/>
      <c r="M118" s="2625"/>
      <c r="N118" s="2625"/>
      <c r="O118" s="2593">
        <f>IF($B$2=0,"",IF(OR(C117="",P116="不要"),"",ROUND((CM118+CN118),0)))</f>
        <v>149</v>
      </c>
      <c r="P118" s="2593"/>
      <c r="Q118" s="2593"/>
      <c r="R118" s="2593"/>
      <c r="S118" s="2593"/>
      <c r="T118" s="2593" t="str">
        <f>IF(OR($B$2=0,C117="",P116="不要"),"",IF(AQ116="天井ケーブル","C-19mm",IF(MID(AQ116,4,2)="PF","PF-16mm",IF(MID(AQ116,4,2)="CD","CD-16mm",IF(MID(AQ116,4,2)="C ","C-19mm",IF(MID(AQ116,4,2)="G ","G-16mm",""))))))</f>
        <v>C-19mm</v>
      </c>
      <c r="U118" s="2593"/>
      <c r="V118" s="2593"/>
      <c r="W118" s="2593"/>
      <c r="X118" s="2593"/>
      <c r="Y118" s="2593"/>
      <c r="Z118" s="2593"/>
      <c r="AA118" s="2593"/>
      <c r="AB118" s="2593">
        <f>IF(OR($B$2=0,C117="",P116="不要"),"",IF(CQ118="",ROUND(CP118,0),ROUND((CP118+CQ118),0)))</f>
        <v>119</v>
      </c>
      <c r="AC118" s="2593"/>
      <c r="AD118" s="2593"/>
      <c r="AE118" s="2593"/>
      <c r="AF118" s="2593"/>
      <c r="AG118" s="2595" t="str">
        <f>IF($B$2=0,"","差動SP2種埋")</f>
        <v>差動SP2種埋</v>
      </c>
      <c r="AH118" s="2595"/>
      <c r="AI118" s="2595"/>
      <c r="AJ118" s="2595"/>
      <c r="AK118" s="2595"/>
      <c r="AL118" s="2595"/>
      <c r="AM118" s="2595"/>
      <c r="AN118" s="2593" t="str">
        <f>IF(OR(C117="",P116="不要"),"",IF(AQ118&lt;&gt;"",AQ118,IF(AX122="B","",IF(AZ121="無窓","",IF(AND(BL121="耐 火",AZ121="有窓"),BZ118+CA118,CD118+CE118)))))</f>
        <v/>
      </c>
      <c r="AO118" s="2593"/>
      <c r="AP118" s="2593"/>
      <c r="AQ118" s="2594"/>
      <c r="AR118" s="2594"/>
      <c r="AS118" s="2594"/>
      <c r="AT118" s="2595" t="str">
        <f>IF($B$2=0,"","P1総合盤露出")</f>
        <v>P1総合盤露出</v>
      </c>
      <c r="AU118" s="2595"/>
      <c r="AV118" s="2595"/>
      <c r="AW118" s="2595"/>
      <c r="AX118" s="2595"/>
      <c r="AY118" s="2595"/>
      <c r="AZ118" s="2595"/>
      <c r="BA118" s="2593">
        <f>IF(P116="不要","",IF(BD118&lt;&gt;"",BD118,IF([4]Top!$BD$51="要","",AZ117)))</f>
        <v>2</v>
      </c>
      <c r="BB118" s="2593"/>
      <c r="BC118" s="2593"/>
      <c r="BD118" s="2594"/>
      <c r="BE118" s="2594"/>
      <c r="BF118" s="2594"/>
      <c r="BG118" s="2597" t="str">
        <f>IF($B$2=0,"","ﾗｯﾁ電磁レリーズ")</f>
        <v>ﾗｯﾁ電磁レリーズ</v>
      </c>
      <c r="BH118" s="2597"/>
      <c r="BI118" s="2597"/>
      <c r="BJ118" s="2597"/>
      <c r="BK118" s="2597"/>
      <c r="BL118" s="2597"/>
      <c r="BM118" s="2597"/>
      <c r="BN118" s="2597"/>
      <c r="BO118" s="2593">
        <f>IF(P116="不要","",IF(BR118&lt;&gt;"",BR118,BR117))</f>
        <v>4</v>
      </c>
      <c r="BP118" s="2593"/>
      <c r="BQ118" s="2593"/>
      <c r="BR118" s="2594"/>
      <c r="BS118" s="2594"/>
      <c r="BT118" s="2596"/>
      <c r="BU118" s="19"/>
      <c r="BV118" s="35"/>
      <c r="BW118" s="351" t="s">
        <v>365</v>
      </c>
      <c r="BX118" s="368"/>
      <c r="BY118" s="369"/>
      <c r="BZ118" s="344">
        <f>IF(AA117="",0,IF(OR([6]Top!$BD$72&lt;&gt;"要",C117=""),"",IF(J117&gt;=4,1+INT(AA117*2.4),1+INT(AA117*1.2))))</f>
        <v>4</v>
      </c>
      <c r="CA118" s="360">
        <f>IF(OR([6]Top!$BD$72&lt;&gt;"要",C117=""),"",IF(J117&gt;=4,1+INT(AD117*2.4),1+INT(AD117*1.2)))</f>
        <v>11</v>
      </c>
      <c r="CB118" s="368"/>
      <c r="CC118" s="369"/>
      <c r="CD118" s="343">
        <f>IF($AX$8&lt;=500,BZ118*2,1+INT(BZ118*2.5))</f>
        <v>11</v>
      </c>
      <c r="CE118" s="360">
        <f>IF($AX$8&lt;=500,CA118*2,1+INT(CA118*2.5))</f>
        <v>28</v>
      </c>
      <c r="CF118" s="368"/>
      <c r="CG118" s="367"/>
      <c r="CH118" s="35"/>
      <c r="CI118" s="133">
        <f>IF(AZ117&lt;&gt;"",AZ117,0)</f>
        <v>2</v>
      </c>
      <c r="CJ118" s="98">
        <f>非誘!BW95</f>
        <v>12</v>
      </c>
      <c r="CK118" s="98">
        <f>非誘!BX95</f>
        <v>24</v>
      </c>
      <c r="CL118" s="88" t="s">
        <v>364</v>
      </c>
      <c r="CM118" s="185">
        <f>IF(OR(C117="",C117="  RF"),"",IF(J117="直天",$AN$10/1000+F117-1.2+SQRT(CK119/CM119),$AN$10/1000+J117-1.2+SQRT(CK119/CM119)))</f>
        <v>14.097958971132712</v>
      </c>
      <c r="CN118" s="185">
        <f>IF(OR(C117="",P116="不要"),"",CL117+CK120*AZ117)</f>
        <v>135</v>
      </c>
      <c r="CO118" s="88" t="s">
        <v>364</v>
      </c>
      <c r="CP118" s="185">
        <f>IF(OR(C117="",C117="  RF"),"",IF(J117="直天",F117-1.2+SQRT(CK119/CM119),IF(AQ116="天井ケーブル",J117-1.2,J117-1.2+SQRT(CK119/CM119))))</f>
        <v>11.597958971132712</v>
      </c>
      <c r="CQ118" s="356">
        <f>IF(OR(C117="",C117="  RF"),"",IF(AQ116="天井ケーブル","",(CM119-1)*SQRT(CK119/CM119)))</f>
        <v>107.77754868245982</v>
      </c>
      <c r="CR118" s="2589" t="str">
        <f>AG119</f>
        <v>定温SP1種WP</v>
      </c>
      <c r="CS118" s="2590"/>
      <c r="CT118" s="2591"/>
      <c r="CU118" s="184">
        <f>AN119</f>
        <v>2</v>
      </c>
      <c r="CV118" s="2589" t="str">
        <f>AT118</f>
        <v>P1総合盤露出</v>
      </c>
      <c r="CW118" s="2590"/>
      <c r="CX118" s="2591"/>
      <c r="CY118" s="184">
        <f>BA118</f>
        <v>2</v>
      </c>
      <c r="CZ118" s="216"/>
      <c r="DA118" s="8"/>
      <c r="DB118" s="197">
        <f t="shared" si="35"/>
        <v>10</v>
      </c>
      <c r="DC118" s="197" t="str">
        <f t="shared" si="36"/>
        <v/>
      </c>
      <c r="DD118" s="201" t="str">
        <f>G119</f>
        <v>HP 1.2mm-3C</v>
      </c>
      <c r="DE118" s="8"/>
      <c r="DF118" s="8"/>
      <c r="DG118" s="8"/>
      <c r="DH118" s="8" t="str">
        <f>IF(COUNTIF($DD$15:DD117,DD118)&gt;0,"",DD118)</f>
        <v/>
      </c>
      <c r="DI118" s="252">
        <f>O119</f>
        <v>21</v>
      </c>
      <c r="DJ118" s="32">
        <f t="shared" si="41"/>
        <v>0</v>
      </c>
      <c r="DK118" s="197">
        <f t="shared" si="37"/>
        <v>4</v>
      </c>
      <c r="DL118" s="197" t="str">
        <f t="shared" si="38"/>
        <v/>
      </c>
      <c r="DM118" s="10" t="str">
        <f>IF(CU118="","",CR118)</f>
        <v>定温SP1種WP</v>
      </c>
      <c r="DN118" s="10" t="str">
        <f>CR118</f>
        <v>定温SP1種WP</v>
      </c>
      <c r="DO118" s="10"/>
      <c r="DP118" s="8"/>
      <c r="DQ118" s="8" t="str">
        <f>IF(COUNTIF($DM$15:DM117,DM118)&gt;0,"",DM118)</f>
        <v/>
      </c>
      <c r="DR118" s="200">
        <f>CU118</f>
        <v>2</v>
      </c>
      <c r="DS118" s="32">
        <f t="shared" si="42"/>
        <v>8</v>
      </c>
      <c r="DT118" s="8"/>
      <c r="DU118" s="197">
        <f t="shared" si="39"/>
        <v>4</v>
      </c>
      <c r="DV118" s="197" t="str">
        <f t="shared" si="40"/>
        <v/>
      </c>
      <c r="DW118" s="201" t="str">
        <f>T118</f>
        <v>C-19mm</v>
      </c>
      <c r="DX118" s="8"/>
      <c r="DY118" s="8"/>
      <c r="DZ118" s="8"/>
      <c r="EA118" s="8" t="str">
        <f>IF(COUNTIF($DW$15:DW117,DW118)&gt;0,"",DW118)</f>
        <v/>
      </c>
      <c r="EB118" s="197">
        <f>AB118</f>
        <v>119</v>
      </c>
      <c r="EC118" s="32">
        <f>SUMIF($DW$17:$DW$184,EA118,$EB$17:$EB$184)</f>
        <v>0</v>
      </c>
    </row>
    <row r="119" spans="1:133" ht="11.25" customHeight="1" thickBot="1">
      <c r="A119" s="15"/>
      <c r="B119" s="176"/>
      <c r="C119" s="2568" t="s">
        <v>363</v>
      </c>
      <c r="D119" s="2569"/>
      <c r="E119" s="2569"/>
      <c r="F119" s="2569"/>
      <c r="G119" s="2592" t="str">
        <f>IF(C117="","","HP 1.2mm-3C")</f>
        <v>HP 1.2mm-3C</v>
      </c>
      <c r="H119" s="2592"/>
      <c r="I119" s="2592"/>
      <c r="J119" s="2592"/>
      <c r="K119" s="2592"/>
      <c r="L119" s="2592"/>
      <c r="M119" s="2592"/>
      <c r="N119" s="2592"/>
      <c r="O119" s="2557">
        <f>IF($B$2=0,"",IF(OR(C117="",P116="不要"),"",ROUND(CN120,0)))</f>
        <v>21</v>
      </c>
      <c r="P119" s="2557"/>
      <c r="Q119" s="2557"/>
      <c r="R119" s="2557"/>
      <c r="S119" s="2557"/>
      <c r="T119" s="2557" t="str">
        <f>IF(OR($B$2=0,C117="",P116="不要"),"",IF(BH116="天井ケーブル","C-19mm",IF(MID(BH116,4,2)="PF","PF-16mm",IF(MID(BH116,4,2)="CD","CD-16mm",IF(MID(BH116,4,2)="C ","C-19mm",IF(MID(BH116,4,2)="G ","G-16mm",""))))))</f>
        <v>C-19mm</v>
      </c>
      <c r="U119" s="2557"/>
      <c r="V119" s="2557"/>
      <c r="W119" s="2557"/>
      <c r="X119" s="2557"/>
      <c r="Y119" s="2557"/>
      <c r="Z119" s="2557"/>
      <c r="AA119" s="2557"/>
      <c r="AB119" s="2557">
        <f>IF($B$2=0,"",IF(OR(C117="",P116="不要",CQ121=""),"",CQ120+CQ121))</f>
        <v>32.799999999999997</v>
      </c>
      <c r="AC119" s="2557"/>
      <c r="AD119" s="2557"/>
      <c r="AE119" s="2557"/>
      <c r="AF119" s="2557"/>
      <c r="AG119" s="2572" t="str">
        <f>IF($B$2=0,"","定温SP1種WP")</f>
        <v>定温SP1種WP</v>
      </c>
      <c r="AH119" s="2572"/>
      <c r="AI119" s="2572"/>
      <c r="AJ119" s="2572"/>
      <c r="AK119" s="2572"/>
      <c r="AL119" s="2572"/>
      <c r="AM119" s="2572"/>
      <c r="AN119" s="2312">
        <f>IF(OR($B$2=0,P116="不要"),"",IF(AQ119&lt;&gt;"",AQ119,CA119))</f>
        <v>2</v>
      </c>
      <c r="AO119" s="2312"/>
      <c r="AP119" s="2312"/>
      <c r="AQ119" s="2575"/>
      <c r="AR119" s="2575"/>
      <c r="AS119" s="2575"/>
      <c r="AT119" s="2572" t="str">
        <f>IF($B$2=0,"","P1総合盤埋込")</f>
        <v>P1総合盤埋込</v>
      </c>
      <c r="AU119" s="2572"/>
      <c r="AV119" s="2572"/>
      <c r="AW119" s="2572"/>
      <c r="AX119" s="2572"/>
      <c r="AY119" s="2572"/>
      <c r="AZ119" s="2572"/>
      <c r="BA119" s="2312" t="str">
        <f>IF(P116="不要","",IF(BD119&lt;&gt;"",BD119,IF([4]Top!$BD$51&lt;&gt;"要","",AZ117)))</f>
        <v/>
      </c>
      <c r="BB119" s="2312"/>
      <c r="BC119" s="2312"/>
      <c r="BD119" s="2575"/>
      <c r="BE119" s="2575"/>
      <c r="BF119" s="2575"/>
      <c r="BG119" s="2572" t="str">
        <f>IF($B$2=0,"","ｱｰﾑ電磁レリーズ")</f>
        <v>ｱｰﾑ電磁レリーズ</v>
      </c>
      <c r="BH119" s="2572"/>
      <c r="BI119" s="2572"/>
      <c r="BJ119" s="2572"/>
      <c r="BK119" s="2572"/>
      <c r="BL119" s="2572"/>
      <c r="BM119" s="2572"/>
      <c r="BN119" s="2572"/>
      <c r="BO119" s="2312">
        <f>IF(P116="不要","",IF(BR119&lt;&gt;"",BR119,BR117))</f>
        <v>4</v>
      </c>
      <c r="BP119" s="2312"/>
      <c r="BQ119" s="2312"/>
      <c r="BR119" s="2575"/>
      <c r="BS119" s="2575"/>
      <c r="BT119" s="2576"/>
      <c r="BU119" s="19"/>
      <c r="BV119" s="35"/>
      <c r="BW119" s="351" t="s">
        <v>362</v>
      </c>
      <c r="BX119" s="348"/>
      <c r="BY119" s="349">
        <f>CA119</f>
        <v>2</v>
      </c>
      <c r="BZ119" s="366"/>
      <c r="CA119" s="360">
        <f>IF(C117="","",1+INT(W117/200))</f>
        <v>2</v>
      </c>
      <c r="CB119" s="348"/>
      <c r="CC119" s="359">
        <f>CA119</f>
        <v>2</v>
      </c>
      <c r="CD119" s="365"/>
      <c r="CE119" s="349">
        <f>CA119</f>
        <v>2</v>
      </c>
      <c r="CF119" s="348"/>
      <c r="CG119" s="357">
        <f>CA119</f>
        <v>2</v>
      </c>
      <c r="CH119" s="35"/>
      <c r="CI119" s="133">
        <f>IF(BG117&lt;&gt;"",BG117,0)</f>
        <v>3</v>
      </c>
      <c r="CJ119" s="88" t="s">
        <v>361</v>
      </c>
      <c r="CK119" s="107">
        <f>N117</f>
        <v>1152</v>
      </c>
      <c r="CL119" s="88" t="s">
        <v>360</v>
      </c>
      <c r="CM119" s="185">
        <f>SUM(AN118:AP122)</f>
        <v>12</v>
      </c>
      <c r="CN119" s="364"/>
      <c r="CO119" s="168"/>
      <c r="CP119" s="363"/>
      <c r="CQ119" s="150"/>
      <c r="CR119" s="2598" t="str">
        <f>AG120</f>
        <v>補償SP2種</v>
      </c>
      <c r="CS119" s="2599"/>
      <c r="CT119" s="2600"/>
      <c r="CU119" s="362">
        <f>AN120</f>
        <v>2</v>
      </c>
      <c r="CV119" s="2598" t="str">
        <f>AT119</f>
        <v>P1総合盤埋込</v>
      </c>
      <c r="CW119" s="2599"/>
      <c r="CX119" s="2600"/>
      <c r="CY119" s="362" t="str">
        <f>BA119</f>
        <v/>
      </c>
      <c r="CZ119" s="216"/>
      <c r="DA119" s="8"/>
      <c r="DB119" s="197">
        <f t="shared" si="35"/>
        <v>10</v>
      </c>
      <c r="DC119" s="197" t="str">
        <f t="shared" si="36"/>
        <v/>
      </c>
      <c r="DD119" s="201" t="str">
        <f>G120</f>
        <v>HP 1.2mm-5C</v>
      </c>
      <c r="DE119" s="8"/>
      <c r="DF119" s="8"/>
      <c r="DG119" s="8"/>
      <c r="DH119" s="8" t="str">
        <f>IF(COUNTIF($DD$15:DD118,DD119)&gt;0,"",DD119)</f>
        <v/>
      </c>
      <c r="DI119" s="252">
        <f>O120</f>
        <v>27</v>
      </c>
      <c r="DJ119" s="32">
        <f t="shared" si="41"/>
        <v>0</v>
      </c>
      <c r="DK119" s="197">
        <f t="shared" si="37"/>
        <v>4</v>
      </c>
      <c r="DL119" s="197" t="str">
        <f t="shared" si="38"/>
        <v/>
      </c>
      <c r="DM119" s="10" t="str">
        <f>IF(CU119="","",CR119)</f>
        <v>補償SP2種</v>
      </c>
      <c r="DN119" s="10" t="str">
        <f>CR119</f>
        <v>補償SP2種</v>
      </c>
      <c r="DO119" s="10"/>
      <c r="DP119" s="8"/>
      <c r="DQ119" s="8" t="str">
        <f>IF(COUNTIF($DM$15:DM118,DM119)&gt;0,"",DM119)</f>
        <v/>
      </c>
      <c r="DR119" s="200">
        <f>CU119</f>
        <v>2</v>
      </c>
      <c r="DS119" s="32">
        <f t="shared" si="42"/>
        <v>8</v>
      </c>
      <c r="DT119" s="8"/>
      <c r="DU119" s="197">
        <f t="shared" si="39"/>
        <v>4</v>
      </c>
      <c r="DV119" s="197" t="str">
        <f t="shared" si="40"/>
        <v/>
      </c>
      <c r="DW119" s="201" t="str">
        <f>T119</f>
        <v>C-19mm</v>
      </c>
      <c r="DX119" s="8"/>
      <c r="DY119" s="8"/>
      <c r="DZ119" s="8"/>
      <c r="EA119" s="8" t="str">
        <f>IF(COUNTIF($DW$15:DW118,DW119)&gt;0,"",DW119)</f>
        <v/>
      </c>
      <c r="EB119" s="197">
        <f>AB119</f>
        <v>32.799999999999997</v>
      </c>
      <c r="EC119" s="32">
        <f>SUMIF($DW$17:$DW$184,EA119,$EB$17:$EB$184)</f>
        <v>0</v>
      </c>
    </row>
    <row r="120" spans="1:133" ht="11.25" customHeight="1" thickBot="1">
      <c r="A120" s="15"/>
      <c r="B120" s="23"/>
      <c r="C120" s="2568"/>
      <c r="D120" s="2569"/>
      <c r="E120" s="2569"/>
      <c r="F120" s="2569"/>
      <c r="G120" s="2584" t="str">
        <f>IF(C117="","","HP 1.2mm-5C")</f>
        <v>HP 1.2mm-5C</v>
      </c>
      <c r="H120" s="2584"/>
      <c r="I120" s="2584"/>
      <c r="J120" s="2584"/>
      <c r="K120" s="2584"/>
      <c r="L120" s="2584"/>
      <c r="M120" s="2584"/>
      <c r="N120" s="2584"/>
      <c r="O120" s="2585">
        <f>IF($B$2=0,"",IF(OR(C117="",P116="不要"),"",ROUND(CM120,0)))</f>
        <v>27</v>
      </c>
      <c r="P120" s="2585"/>
      <c r="Q120" s="2585"/>
      <c r="R120" s="2585"/>
      <c r="S120" s="2585"/>
      <c r="T120" s="2585" t="str">
        <f>IF(OR($B$2=0,C117="",P116="不要"),"",IF(BH116="天井ケーブル","C-25mm",IF(MID(BH116,4,2)="PF","PF-22mm",IF(MID(BH116,4,2)="CD","CD-22mm",IF(MID(BH116,4,2)="C ","C-25mm",IF(MID(BH116,4,2)="G ","G-22mm",""))))))</f>
        <v>C-25mm</v>
      </c>
      <c r="U120" s="2585"/>
      <c r="V120" s="2585"/>
      <c r="W120" s="2585"/>
      <c r="X120" s="2585"/>
      <c r="Y120" s="2585"/>
      <c r="Z120" s="2585"/>
      <c r="AA120" s="2585"/>
      <c r="AB120" s="2585">
        <f>IF(OR($B$2=0,C117="",P116="不要"),"",CP120)</f>
        <v>25.8</v>
      </c>
      <c r="AC120" s="2585"/>
      <c r="AD120" s="2585"/>
      <c r="AE120" s="2585"/>
      <c r="AF120" s="2585"/>
      <c r="AG120" s="2572" t="str">
        <f>IF($B$2=0,"","補償SP2種")</f>
        <v>補償SP2種</v>
      </c>
      <c r="AH120" s="2572"/>
      <c r="AI120" s="2572"/>
      <c r="AJ120" s="2572"/>
      <c r="AK120" s="2572"/>
      <c r="AL120" s="2572"/>
      <c r="AM120" s="2572"/>
      <c r="AN120" s="2312">
        <f>IF(OR($B$2=0,P116="不要"),"",IF(AQ120&lt;&gt;"",AQ120,CA120))</f>
        <v>2</v>
      </c>
      <c r="AO120" s="2312"/>
      <c r="AP120" s="2312"/>
      <c r="AQ120" s="2575"/>
      <c r="AR120" s="2575"/>
      <c r="AS120" s="2575"/>
      <c r="AT120" s="2546" t="str">
        <f>IF($B$2=0,"","HP起動押ボタン")</f>
        <v>HP起動押ボタン</v>
      </c>
      <c r="AU120" s="2546"/>
      <c r="AV120" s="2546"/>
      <c r="AW120" s="2546"/>
      <c r="AX120" s="2546"/>
      <c r="AY120" s="2546"/>
      <c r="AZ120" s="2546"/>
      <c r="BA120" s="2544" t="str">
        <f>IF(P116="不要","",IF(BD120&lt;&gt;"",BD120,IF([4]Top!$BL$51="要",AZ117,"")))</f>
        <v/>
      </c>
      <c r="BB120" s="2544"/>
      <c r="BC120" s="2544"/>
      <c r="BD120" s="2573"/>
      <c r="BE120" s="2573"/>
      <c r="BF120" s="2573"/>
      <c r="BG120" s="2546" t="str">
        <f>IF($B$2=0,"","光電式煙3種埋")</f>
        <v>光電式煙3種埋</v>
      </c>
      <c r="BH120" s="2546"/>
      <c r="BI120" s="2546"/>
      <c r="BJ120" s="2546"/>
      <c r="BK120" s="2546"/>
      <c r="BL120" s="2546"/>
      <c r="BM120" s="2546"/>
      <c r="BN120" s="2546"/>
      <c r="BO120" s="2544">
        <f>IF(OR($B$2=0,C117="",P116="不要"),"",IF(BR120&lt;&gt;"",BR120,2*BR117))</f>
        <v>8</v>
      </c>
      <c r="BP120" s="2544"/>
      <c r="BQ120" s="2544"/>
      <c r="BR120" s="2573"/>
      <c r="BS120" s="2573"/>
      <c r="BT120" s="2574"/>
      <c r="BU120" s="19"/>
      <c r="BV120" s="35"/>
      <c r="BW120" s="351" t="s">
        <v>359</v>
      </c>
      <c r="BX120" s="361"/>
      <c r="BY120" s="349">
        <f>CA120</f>
        <v>2</v>
      </c>
      <c r="BZ120" s="348"/>
      <c r="CA120" s="360">
        <f>IF(C117="","",1+INT(W117/200))</f>
        <v>2</v>
      </c>
      <c r="CB120" s="358"/>
      <c r="CC120" s="359">
        <f>CA120</f>
        <v>2</v>
      </c>
      <c r="CD120" s="346"/>
      <c r="CE120" s="349">
        <f>CA120</f>
        <v>2</v>
      </c>
      <c r="CF120" s="358"/>
      <c r="CG120" s="357">
        <f>CA120</f>
        <v>2</v>
      </c>
      <c r="CH120" s="35"/>
      <c r="CI120" s="133">
        <f>IF(BR117&lt;&gt;"",BR117,0)</f>
        <v>4</v>
      </c>
      <c r="CJ120" s="88" t="s">
        <v>121</v>
      </c>
      <c r="CK120" s="187">
        <f>IF(OR(C117="",C117="  RF"),"",IF($AX$8=0,0,2*($AX$8/1000-0.15-0.1)*(INT(1000*CJ118/$BF$8)+1)*(INT(1000*CK118/$BF$8)+1)*4))</f>
        <v>53.999999999999993</v>
      </c>
      <c r="CL120" s="187" t="s">
        <v>358</v>
      </c>
      <c r="CM120" s="139">
        <f>IF(OR(C117="",C117="  RF"),"",IF(J117="直天",$AN$8/1000+F117-1.2+CJ118+CK118/2,$AN$8/1000+J117-1.2+CJ118+CK118/2))</f>
        <v>27.3</v>
      </c>
      <c r="CN120" s="136">
        <f>IF(OR(C117="",C117="  RF"),"",IF(J117="直天",F117-$Y$8/1000+F117-$Y$9/1000+2*8+($AN$7+2*$AN$9)/1000,J117-$Y$8/1000+J117-$Y$9/1000+2*8+($AN$7+2*$AN$9)/1000))</f>
        <v>20.599999999999998</v>
      </c>
      <c r="CO120" s="151" t="s">
        <v>358</v>
      </c>
      <c r="CP120" s="185">
        <f>IF(OR(C117="",C117="  RF"),"",IF(J117="直天",F117-1.2+CJ118+CK118/2,IF(AQ116="天井ケーブル",J117-1.2,J117-1.2+CJ118+CK118/2)))</f>
        <v>25.8</v>
      </c>
      <c r="CQ120" s="356">
        <f>IF(OR(C117="",C117="  RF"),"",IF(J117="直天",F117-$Y$8/1000+F117-$Y$9/1000+2*8,IF(BH116="天井ケーブル",J117-$Y$8/1000+J117-$Y$9/1000,J117-$Y$8/1000+J117-$Y$9/1000+2*8)))</f>
        <v>18.399999999999999</v>
      </c>
      <c r="CR120" s="355" t="s">
        <v>87</v>
      </c>
      <c r="CS120" s="336" t="s">
        <v>395</v>
      </c>
      <c r="CT120" s="336" t="s">
        <v>394</v>
      </c>
      <c r="CU120" s="192" t="s">
        <v>393</v>
      </c>
      <c r="CV120" s="336" t="s">
        <v>392</v>
      </c>
      <c r="CW120" s="336" t="s">
        <v>391</v>
      </c>
      <c r="CX120" s="336" t="s">
        <v>390</v>
      </c>
      <c r="CY120" s="354" t="s">
        <v>389</v>
      </c>
      <c r="CZ120" s="216"/>
      <c r="DA120" s="8"/>
      <c r="DB120" s="197">
        <f t="shared" si="35"/>
        <v>10</v>
      </c>
      <c r="DC120" s="197" t="str">
        <f t="shared" si="36"/>
        <v/>
      </c>
      <c r="DD120" s="201" t="str">
        <f>G121</f>
        <v>FCPEV 0.9-5Pr</v>
      </c>
      <c r="DE120" s="8"/>
      <c r="DF120" s="8"/>
      <c r="DG120" s="8"/>
      <c r="DH120" s="8" t="str">
        <f>IF(COUNTIF($DD$15:DD119,DD120)&gt;0,"",DD120)</f>
        <v/>
      </c>
      <c r="DI120" s="252">
        <f>O121</f>
        <v>18</v>
      </c>
      <c r="DJ120" s="32">
        <f t="shared" si="41"/>
        <v>0</v>
      </c>
      <c r="DK120" s="197">
        <f t="shared" si="37"/>
        <v>4</v>
      </c>
      <c r="DL120" s="197" t="str">
        <f t="shared" si="38"/>
        <v/>
      </c>
      <c r="DM120" s="11" t="str">
        <f>IF(CY116="","",CV116)</f>
        <v>光電式煙2種埋</v>
      </c>
      <c r="DN120" s="11"/>
      <c r="DO120" s="11"/>
      <c r="DP120" s="9"/>
      <c r="DQ120" s="9" t="str">
        <f>IF(COUNTIF($DM$15:DM119,DM120)&gt;0,"",DM120)</f>
        <v/>
      </c>
      <c r="DR120" s="200">
        <f>CY116</f>
        <v>8</v>
      </c>
      <c r="DS120" s="32">
        <f t="shared" si="42"/>
        <v>8</v>
      </c>
      <c r="DT120" s="8"/>
      <c r="DU120" s="197">
        <f t="shared" si="39"/>
        <v>4</v>
      </c>
      <c r="DV120" s="197" t="str">
        <f t="shared" si="40"/>
        <v/>
      </c>
      <c r="DW120" s="201" t="str">
        <f>T120</f>
        <v>C-25mm</v>
      </c>
      <c r="DX120" s="8"/>
      <c r="DY120" s="8"/>
      <c r="DZ120" s="8"/>
      <c r="EA120" s="8" t="str">
        <f>IF(COUNTIF($DW$15:DW119,DW120)&gt;0,"",DW120)</f>
        <v/>
      </c>
      <c r="EB120" s="197">
        <f>AB120</f>
        <v>25.8</v>
      </c>
      <c r="EC120" s="32">
        <f>SUMIF($DW$17:$DW$184,EA120,$EB$17:$EB$184)</f>
        <v>0</v>
      </c>
    </row>
    <row r="121" spans="1:133" ht="11.25" customHeight="1" thickBot="1">
      <c r="A121" s="15"/>
      <c r="B121" s="23"/>
      <c r="C121" s="2568" t="s">
        <v>352</v>
      </c>
      <c r="D121" s="2569"/>
      <c r="E121" s="2569"/>
      <c r="F121" s="2569"/>
      <c r="G121" s="2557" t="str">
        <f>IF(OR($B$2=0,C117="",P116="不要"),"",IF(CR121&lt;10,"FCPEV 0.9-5Pr",IF(CR121&lt;20,"FCPEV 0.9- 10Pr",IF(CR121&lt;30,"FCPEV 0.9- 15Pr",IF(CR121&lt;40,"FCPEV 0.9- 20Pr","")))))</f>
        <v>FCPEV 0.9-5Pr</v>
      </c>
      <c r="H121" s="2557"/>
      <c r="I121" s="2557"/>
      <c r="J121" s="2557"/>
      <c r="K121" s="2557"/>
      <c r="L121" s="2557"/>
      <c r="M121" s="2557"/>
      <c r="N121" s="2557"/>
      <c r="O121" s="2557">
        <f>IF(OR(C117="",P116="不要",G121=""),"",INT(AZ117*(CJ118+CK118)/4))</f>
        <v>18</v>
      </c>
      <c r="P121" s="2557"/>
      <c r="Q121" s="2557"/>
      <c r="R121" s="2557"/>
      <c r="S121" s="2557"/>
      <c r="T121" s="2558" t="str">
        <f>IF(OR(C117="",P116="不要",G121=""),"",IF(AQ116="天井ケーブル","C-"&amp;CM122&amp;"mm",IF(MID(AQ116,4,2)="PF","PF-"&amp;CL122&amp;"mm",IF(MID(AQ116,4,2)="CD","CD-"&amp;CL122&amp;"mm",IF(MID(AQ116,4,2)="C ","C-"&amp;CM122&amp;"mm",IF(MID(AQ116,4,2)="G ","G-"&amp;CL122&amp;"mm"))))))</f>
        <v>C-31mm</v>
      </c>
      <c r="U121" s="2557"/>
      <c r="V121" s="2557"/>
      <c r="W121" s="2557"/>
      <c r="X121" s="2557"/>
      <c r="Y121" s="2557"/>
      <c r="Z121" s="2557"/>
      <c r="AA121" s="2557"/>
      <c r="AB121" s="2557">
        <f>IF(OR(C117="",P116="不要",G121=""),"",IF(AQ116="天井ケーブル",2*AZ117*(F117-$Y$7/1000),O121*0.9))</f>
        <v>16.2</v>
      </c>
      <c r="AC121" s="2557"/>
      <c r="AD121" s="2557"/>
      <c r="AE121" s="2557"/>
      <c r="AF121" s="2557"/>
      <c r="AG121" s="2572" t="str">
        <f>IF($B$2=0,"","光電式煙2種埋")</f>
        <v>光電式煙2種埋</v>
      </c>
      <c r="AH121" s="2572"/>
      <c r="AI121" s="2572"/>
      <c r="AJ121" s="2572"/>
      <c r="AK121" s="2572"/>
      <c r="AL121" s="2572"/>
      <c r="AM121" s="2572"/>
      <c r="AN121" s="2312">
        <f>IF(OR(C117="",$B$2=0,P116="不要"),"",IF(AQ121&lt;&gt;"",AQ121,IF(AX122="B",BX121+BY121,IF(AND(BL121="耐 火",AZ121="無窓"),CB121+CC121,IF(AND(BL121&lt;&gt;"耐 火",AZ121="無窓"),CF121+CG121,"")))))</f>
        <v>8</v>
      </c>
      <c r="AO121" s="2312"/>
      <c r="AP121" s="2312"/>
      <c r="AQ121" s="2339"/>
      <c r="AR121" s="2339"/>
      <c r="AS121" s="2551"/>
      <c r="AT121" s="2577" t="str">
        <f>IF(C117="","","消防法上")</f>
        <v>消防法上</v>
      </c>
      <c r="AU121" s="2289"/>
      <c r="AV121" s="2289"/>
      <c r="AW121" s="2289"/>
      <c r="AX121" s="2289"/>
      <c r="AY121" s="2578"/>
      <c r="AZ121" s="2579" t="str">
        <f>IF($B$2=0,"",IF(BD121="",[4]Top!$BO$26,BD121))</f>
        <v>無窓</v>
      </c>
      <c r="BA121" s="2394"/>
      <c r="BB121" s="2580"/>
      <c r="BC121" s="353" t="s">
        <v>387</v>
      </c>
      <c r="BD121" s="2552"/>
      <c r="BE121" s="2552"/>
      <c r="BF121" s="2553"/>
      <c r="BG121" s="2581" t="str">
        <f>IF(C117="","","耐火構造")</f>
        <v>耐火構造</v>
      </c>
      <c r="BH121" s="2289"/>
      <c r="BI121" s="2289"/>
      <c r="BJ121" s="2289"/>
      <c r="BK121" s="2290"/>
      <c r="BL121" s="2278" t="str">
        <f>IF($B$2=0,"",IF(BQ121="",[4]Top!$AN$18,BQ121))</f>
        <v>耐 火</v>
      </c>
      <c r="BM121" s="2394"/>
      <c r="BN121" s="2394"/>
      <c r="BO121" s="2580"/>
      <c r="BP121" s="352" t="s">
        <v>387</v>
      </c>
      <c r="BQ121" s="2582"/>
      <c r="BR121" s="2552"/>
      <c r="BS121" s="2552"/>
      <c r="BT121" s="2583"/>
      <c r="BU121" s="19"/>
      <c r="BV121" s="35"/>
      <c r="BW121" s="351" t="s">
        <v>351</v>
      </c>
      <c r="BX121" s="350">
        <f>CB121</f>
        <v>2</v>
      </c>
      <c r="BY121" s="349">
        <f>CC121</f>
        <v>6</v>
      </c>
      <c r="BZ121" s="348"/>
      <c r="CA121" s="345"/>
      <c r="CB121" s="344">
        <f>IF(OR([6]Top!$BD$72&lt;&gt;"要",C117=""),"",IF(J117&gt;=4,1+INT(BZ118*0.47),1+INT(BZ118*0.47)))</f>
        <v>2</v>
      </c>
      <c r="CC121" s="347">
        <f>IF(OR([6]Top!$BD$72&lt;&gt;"要",C117=""),"",IF(J117&gt;=4,1+INT(CA118*0.47),1+INT(CA118*0.47)))</f>
        <v>6</v>
      </c>
      <c r="CD121" s="346"/>
      <c r="CE121" s="345"/>
      <c r="CF121" s="344">
        <f>IF(AND(AX108&lt;720,J117&lt;4),1+INT(CD118*0.47),1+INT(CD118*0.94))</f>
        <v>11</v>
      </c>
      <c r="CG121" s="343">
        <f>IF(AND(AX108&lt;720,J117&lt;4),1+INT(CE118*0.47),1+INT(CE118*0.94))</f>
        <v>27</v>
      </c>
      <c r="CH121" s="35"/>
      <c r="CI121" s="133">
        <f>IF(AND(C117&lt;&gt;"",LEFT(C117,2)&lt;&gt;" P"),CI113+F117,"")</f>
        <v>55</v>
      </c>
      <c r="CJ121" s="88" t="s">
        <v>350</v>
      </c>
      <c r="CK121" s="182" t="s">
        <v>349</v>
      </c>
      <c r="CL121" s="342">
        <f>IF(OR(C117="",C117="  RF"),"",IF(AZ125&lt;&gt;"",AZ117,AZ117+BG117))</f>
        <v>2</v>
      </c>
      <c r="CM121" s="341" t="s">
        <v>348</v>
      </c>
      <c r="CN121" s="219" t="s">
        <v>347</v>
      </c>
      <c r="CO121" s="138">
        <f>IF(OR(C117="",P116="不要"),"",AZ117*INT(CJ118+CK118)/5)</f>
        <v>14.4</v>
      </c>
      <c r="CP121" s="151" t="s">
        <v>347</v>
      </c>
      <c r="CQ121" s="340">
        <f>IF(AQ116="天井ケーブル",F117,CO121)</f>
        <v>14.4</v>
      </c>
      <c r="CR121" s="339">
        <f>SUM(CS121:CX121)</f>
        <v>8</v>
      </c>
      <c r="CS121" s="338">
        <f>AZ117</f>
        <v>2</v>
      </c>
      <c r="CT121" s="338">
        <f>IF(BA117="",0,BA117)</f>
        <v>0</v>
      </c>
      <c r="CU121" s="88">
        <v>1</v>
      </c>
      <c r="CV121" s="222">
        <v>1</v>
      </c>
      <c r="CW121" s="222">
        <v>2</v>
      </c>
      <c r="CX121" s="222">
        <v>2</v>
      </c>
      <c r="CY121" s="337" t="str">
        <f>IF(CK116="=",3*BR117+2,"")</f>
        <v/>
      </c>
      <c r="CZ121" s="218"/>
      <c r="DA121" s="8"/>
      <c r="DB121" s="197">
        <f t="shared" si="35"/>
        <v>10</v>
      </c>
      <c r="DC121" s="197" t="str">
        <f t="shared" si="36"/>
        <v/>
      </c>
      <c r="DD121" s="201" t="str">
        <f>G122</f>
        <v>FCPEV 1.2- 10Pr</v>
      </c>
      <c r="DE121" s="8"/>
      <c r="DF121" s="8"/>
      <c r="DG121" s="8"/>
      <c r="DH121" s="8" t="str">
        <f>IF(COUNTIF($DD$15:DD120,DD121)&gt;0,"",DD121)</f>
        <v/>
      </c>
      <c r="DI121" s="252">
        <f>O122</f>
        <v>14.4</v>
      </c>
      <c r="DJ121" s="32">
        <f t="shared" si="41"/>
        <v>0</v>
      </c>
      <c r="DK121" s="197">
        <f t="shared" si="37"/>
        <v>4</v>
      </c>
      <c r="DL121" s="197" t="str">
        <f t="shared" si="38"/>
        <v/>
      </c>
      <c r="DM121" s="11" t="str">
        <f>IF(AN122="","",AG122)</f>
        <v/>
      </c>
      <c r="DN121" s="11"/>
      <c r="DO121" s="11"/>
      <c r="DP121" s="9"/>
      <c r="DQ121" s="9" t="str">
        <f>IF(COUNTIF($DM$15:DM120,DM121)&gt;0,"",DM121)</f>
        <v/>
      </c>
      <c r="DR121" s="101" t="str">
        <f>AN122</f>
        <v/>
      </c>
      <c r="DS121" s="32">
        <f t="shared" si="42"/>
        <v>8</v>
      </c>
      <c r="DT121" s="8"/>
      <c r="DU121" s="197">
        <f t="shared" si="39"/>
        <v>4</v>
      </c>
      <c r="DV121" s="197" t="str">
        <f t="shared" si="40"/>
        <v/>
      </c>
      <c r="DW121" s="201" t="str">
        <f>T121</f>
        <v>C-31mm</v>
      </c>
      <c r="DX121" s="8"/>
      <c r="DY121" s="8"/>
      <c r="DZ121" s="8"/>
      <c r="EA121" s="8" t="str">
        <f>IF(COUNTIF($DW$15:DW120,DW121)&gt;0,"",DW121)</f>
        <v/>
      </c>
      <c r="EB121" s="197">
        <f>AB121</f>
        <v>16.2</v>
      </c>
      <c r="EC121" s="32">
        <f>SUMIF($DW$17:$DW$184,EA121,$EB$17:$EB$184)</f>
        <v>0</v>
      </c>
    </row>
    <row r="122" spans="1:133" ht="11.25" customHeight="1" thickBot="1">
      <c r="A122" s="15"/>
      <c r="B122" s="23"/>
      <c r="C122" s="2570"/>
      <c r="D122" s="2571"/>
      <c r="E122" s="2571"/>
      <c r="F122" s="2571"/>
      <c r="G122" s="2554" t="str">
        <f>IF(OR($B$2=0,P116="不要"),"",IF(CR122=0,"",IF(OR(C117="",P116="不要"),"",IF(CR122&lt;10,"FCPEV 1.2-5Pr",IF(CR122&lt;20,"FCPEV 1.2- 10Pr",IF(CR122&lt;30,"FCPEV 1.2- 15Pr",IF(CR122&lt;40,"FCPEV 1.2- 20Pr",IF(CR122&lt;60,"FCPEV 1.2- 30Pr",IF(CR122&lt;100,"FCPEV 1.2- 50Pr",IF(CR122&lt;140,"FCPEV 1.2- 70Pr",IF(CR122&lt;200,"FCPEV 1.2-100Pr","FCPEV 1.2-200Pr")))))))))))</f>
        <v>FCPEV 1.2- 10Pr</v>
      </c>
      <c r="H122" s="2555"/>
      <c r="I122" s="2555"/>
      <c r="J122" s="2555"/>
      <c r="K122" s="2555"/>
      <c r="L122" s="2555"/>
      <c r="M122" s="2555"/>
      <c r="N122" s="2555"/>
      <c r="O122" s="2555">
        <f>IF(OR(G122="",C117="",P116="不要"),"",CO121)</f>
        <v>14.4</v>
      </c>
      <c r="P122" s="2555"/>
      <c r="Q122" s="2555"/>
      <c r="R122" s="2555"/>
      <c r="S122" s="2555"/>
      <c r="T122" s="2555" t="str">
        <f>IF(OR(G122="",C117="",P116="不要"),"",IF(AQ116="天井ケーブル","C-"&amp;CO122&amp;"mm",IF(MID(AQ116,4,2)="PF","PF-"&amp;CN122&amp;"mm",IF(MID(AQ116,4,2)="CD","CD-"&amp;CN122&amp;"mm",IF(MID(AQ116,4,2)="C ","C-"&amp;CO122&amp;"mm",IF(MID(AQ116,4,2)="G ","G-"&amp;CN122&amp;"mm"))))))</f>
        <v>C-31mm</v>
      </c>
      <c r="U122" s="2555"/>
      <c r="V122" s="2555"/>
      <c r="W122" s="2555"/>
      <c r="X122" s="2555"/>
      <c r="Y122" s="2555"/>
      <c r="Z122" s="2555"/>
      <c r="AA122" s="2555"/>
      <c r="AB122" s="2555">
        <f>IF(OR(G122="",P116="不要"),"",CQ121)</f>
        <v>14.4</v>
      </c>
      <c r="AC122" s="2555"/>
      <c r="AD122" s="2555"/>
      <c r="AE122" s="2555"/>
      <c r="AF122" s="2555"/>
      <c r="AG122" s="2556" t="str">
        <f>IF($B$2=0,"","定温SP1種Exp")</f>
        <v>定温SP1種Exp</v>
      </c>
      <c r="AH122" s="2556"/>
      <c r="AI122" s="2556"/>
      <c r="AJ122" s="2556"/>
      <c r="AK122" s="2556"/>
      <c r="AL122" s="2556"/>
      <c r="AM122" s="2556"/>
      <c r="AN122" s="2335" t="str">
        <f>IF(AQ122&lt;&gt;"",AQ122,"")</f>
        <v/>
      </c>
      <c r="AO122" s="2335"/>
      <c r="AP122" s="2335"/>
      <c r="AQ122" s="2566"/>
      <c r="AR122" s="2566"/>
      <c r="AS122" s="2567"/>
      <c r="AT122" s="2586" t="str">
        <f>IF(C117="","","盤位置")</f>
        <v>盤位置</v>
      </c>
      <c r="AU122" s="2587"/>
      <c r="AV122" s="2587"/>
      <c r="AW122" s="2587"/>
      <c r="AX122" s="2588" t="str">
        <f>非誘!V94</f>
        <v>⑦</v>
      </c>
      <c r="AY122" s="2588"/>
      <c r="AZ122" s="2588"/>
      <c r="BA122" s="2559" t="str">
        <f>IF(C117="","","専部屋面積")</f>
        <v>専部屋面積</v>
      </c>
      <c r="BB122" s="2560"/>
      <c r="BC122" s="2560"/>
      <c r="BD122" s="2560"/>
      <c r="BE122" s="2560"/>
      <c r="BF122" s="2561"/>
      <c r="BG122" s="2562">
        <f>IF(OR(C117="",S117=""),"",S117/AA117)</f>
        <v>268.8</v>
      </c>
      <c r="BH122" s="2563"/>
      <c r="BI122" s="2563"/>
      <c r="BJ122" s="2564"/>
      <c r="BK122" s="2559" t="str">
        <f>IF(C117="","","共部屋面積")</f>
        <v>共部屋面積</v>
      </c>
      <c r="BL122" s="2560"/>
      <c r="BM122" s="2560"/>
      <c r="BN122" s="2560"/>
      <c r="BO122" s="2560"/>
      <c r="BP122" s="2561"/>
      <c r="BQ122" s="2562">
        <f>IF(OR($B$2=0,C117=""),"",W117/AD117)</f>
        <v>38.400000000000006</v>
      </c>
      <c r="BR122" s="2563"/>
      <c r="BS122" s="2563"/>
      <c r="BT122" s="2565"/>
      <c r="BU122" s="19"/>
      <c r="BV122" s="35"/>
      <c r="BW122" s="99"/>
      <c r="BX122" s="35"/>
      <c r="BY122" s="35"/>
      <c r="BZ122" s="35"/>
      <c r="CA122" s="35"/>
      <c r="CB122" s="35"/>
      <c r="CC122" s="35"/>
      <c r="CD122" s="35"/>
      <c r="CE122" s="35"/>
      <c r="CF122" s="35"/>
      <c r="CG122" s="35"/>
      <c r="CH122" s="35"/>
      <c r="CI122" s="8"/>
      <c r="CJ122" s="8"/>
      <c r="CK122" s="8"/>
      <c r="CL122" s="336" t="str">
        <f>IF(OR(RIGHT(G121,3)="5Pr",RIGHT(G121,4)="10Pr",RIGHT(G121,4)="15Pr"),"28",IF(OR(RIGHT(G121,4)="20Pr",RIGHT(G121,4)="30Pr"),"36",IF(OR(RIGHT(G121,4)="50Pr",RIGHT(G121,4)="70Pr"),"42","")))</f>
        <v>28</v>
      </c>
      <c r="CM122" s="336" t="str">
        <f>IF(OR(RIGHT(G121,3)="5Pr",RIGHT(G121,4)="10Pr",RIGHT(G121,4)="15Pr"),"31",IF(OR(RIGHT(G121,4)="20Pr",RIGHT(G121,4)="30Pr"),"39",IF(OR(RIGHT(G121,4)="50Pr",RIGHT(G121,4)="70Pr"),"51","")))</f>
        <v>31</v>
      </c>
      <c r="CN122" s="86" t="str">
        <f>IF(OR(RIGHT(G122,3)="5Pr",RIGHT(G122,4)="10Pr",RIGHT(G122,4)="15Pr"),"28",IF(OR(RIGHT(G122,4)="20Pr",RIGHT(G122,4)="30Pr"),"36",IF(OR(RIGHT(G122,4)="50Pr",RIGHT(G122,4)="70Pr"),"42","")))</f>
        <v>28</v>
      </c>
      <c r="CO122" s="86" t="str">
        <f>IF(OR(RIGHT(G122,3)="5Pr",RIGHT(G122,4)="10Pr",RIGHT(G122,4)="15Pr"),"31",IF(OR(RIGHT(G122,4)="20Pr",RIGHT(G122,4)="30Pr"),"39",IF(OR(RIGHT(G122,4)="50Pr",RIGHT(G122,4)="70Pr"),"51","")))</f>
        <v>31</v>
      </c>
      <c r="CP122" s="9"/>
      <c r="CQ122" s="9"/>
      <c r="CR122" s="335">
        <f>IF(P116="不要","",SUM(CS122:CX122))</f>
        <v>16</v>
      </c>
      <c r="CS122" s="334">
        <f>IF(OR(CK116="",CK116="=",P116="不要"),0,IF(CK116="－",CL121+CS114,IF(CK116="+",CL121+CS130)))</f>
        <v>8</v>
      </c>
      <c r="CT122" s="188">
        <f>IF(OR(CK116="",CK116="=",P116="不要"),0,IF(CS122&lt;7,1,IF(CS122&lt;14,2,IF(CS122&lt;21,3,IF(CS122&lt;28,4,IF(CS122&lt;35,5,IF(CS122&lt;42,6,IF(CS122&lt;49,7,IF(CS122&lt;56,8,IF(CS122&lt;63,9,IF(CS122&lt;70,10,IF(CS122&lt;77,11,"---"))))))))))))</f>
        <v>2</v>
      </c>
      <c r="CU122" s="188">
        <f>IF(CS122=0,0,1)</f>
        <v>1</v>
      </c>
      <c r="CV122" s="333">
        <f>IF(CS122=0,0,1)</f>
        <v>1</v>
      </c>
      <c r="CW122" s="333">
        <f>IF(CS122=0,0,2)</f>
        <v>2</v>
      </c>
      <c r="CX122" s="333">
        <f>IF(CS122=0,0,2)</f>
        <v>2</v>
      </c>
      <c r="CY122" s="332">
        <f>IF(OR(BR125="",P116="不要"),0,IF(CK116="=",0,IF(CK116="－",2*BR117+3,IF(CK116="+",2*(BR117+BR125)+3,""))))</f>
        <v>19</v>
      </c>
      <c r="CZ122" s="216"/>
      <c r="DA122" s="9"/>
      <c r="DB122" s="127">
        <f t="shared" si="35"/>
        <v>10</v>
      </c>
      <c r="DC122" s="127" t="str">
        <f t="shared" si="36"/>
        <v/>
      </c>
      <c r="DD122" s="11" t="str">
        <f>CR116</f>
        <v>防火区画処理</v>
      </c>
      <c r="DE122" s="9"/>
      <c r="DF122" s="9"/>
      <c r="DG122" s="9"/>
      <c r="DH122" s="9" t="str">
        <f>IF(COUNTIF($DD$15:DD121,DD122)&gt;0,"",DD122)</f>
        <v/>
      </c>
      <c r="DI122" s="242">
        <f>CU116</f>
        <v>13</v>
      </c>
      <c r="DJ122" s="32">
        <f t="shared" si="41"/>
        <v>0</v>
      </c>
      <c r="DK122" s="127">
        <f t="shared" si="37"/>
        <v>4</v>
      </c>
      <c r="DL122" s="127" t="str">
        <f t="shared" si="38"/>
        <v/>
      </c>
      <c r="DM122" s="11" t="str">
        <f>IF(CY117="","",CV117)</f>
        <v/>
      </c>
      <c r="DN122" s="11"/>
      <c r="DO122" s="11"/>
      <c r="DP122" s="9"/>
      <c r="DQ122" s="9" t="str">
        <f>IF(COUNTIF($DM$15:DM121,DM122)&gt;0,"",DM122)</f>
        <v/>
      </c>
      <c r="DR122" s="101" t="str">
        <f>CY117</f>
        <v/>
      </c>
      <c r="DS122" s="32">
        <f t="shared" si="42"/>
        <v>8</v>
      </c>
      <c r="DT122" s="9"/>
      <c r="DU122" s="197">
        <f t="shared" si="39"/>
        <v>4</v>
      </c>
      <c r="DV122" s="197" t="str">
        <f t="shared" si="40"/>
        <v/>
      </c>
      <c r="DW122" s="201" t="str">
        <f>T122</f>
        <v>C-31mm</v>
      </c>
      <c r="DX122" s="8"/>
      <c r="DY122" s="8"/>
      <c r="DZ122" s="8"/>
      <c r="EA122" s="8" t="str">
        <f>IF(COUNTIF($DW$15:DW121,DW122)&gt;0,"",DW122)</f>
        <v/>
      </c>
      <c r="EB122" s="197">
        <f>AB122</f>
        <v>14.4</v>
      </c>
      <c r="EC122" s="32">
        <f>SUMIF($DW$17:$DW$184,EA122,$EB$17:$EB$184)</f>
        <v>0</v>
      </c>
    </row>
    <row r="123" spans="1:133" ht="11.25" customHeight="1">
      <c r="A123" s="15"/>
      <c r="B123" s="23"/>
      <c r="C123" s="37"/>
      <c r="D123" s="37"/>
      <c r="E123" s="37"/>
      <c r="F123" s="37"/>
      <c r="G123" s="331"/>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157"/>
      <c r="AH123" s="157"/>
      <c r="AI123" s="157"/>
      <c r="AJ123" s="157"/>
      <c r="AK123" s="157"/>
      <c r="AL123" s="157"/>
      <c r="AM123" s="157"/>
      <c r="AN123" s="377"/>
      <c r="AO123" s="377"/>
      <c r="AP123" s="377"/>
      <c r="AQ123" s="37"/>
      <c r="AR123" s="37"/>
      <c r="AS123" s="37"/>
      <c r="AT123" s="157"/>
      <c r="AU123" s="157"/>
      <c r="AV123" s="157"/>
      <c r="AW123" s="157"/>
      <c r="AX123" s="157"/>
      <c r="AY123" s="157"/>
      <c r="AZ123" s="157"/>
      <c r="BA123" s="377"/>
      <c r="BB123" s="377"/>
      <c r="BC123" s="377"/>
      <c r="BD123" s="37"/>
      <c r="BE123" s="37"/>
      <c r="BF123" s="37"/>
      <c r="BG123" s="157"/>
      <c r="BH123" s="157"/>
      <c r="BI123" s="157"/>
      <c r="BJ123" s="157"/>
      <c r="BK123" s="157"/>
      <c r="BL123" s="157"/>
      <c r="BM123" s="157"/>
      <c r="BN123" s="157"/>
      <c r="BO123" s="377"/>
      <c r="BP123" s="377"/>
      <c r="BQ123" s="377"/>
      <c r="BR123" s="37"/>
      <c r="BS123" s="37"/>
      <c r="BT123" s="37"/>
      <c r="BU123" s="19"/>
      <c r="BV123" s="35"/>
      <c r="BW123" s="99"/>
      <c r="BX123" s="35"/>
      <c r="BY123" s="35"/>
      <c r="BZ123" s="35"/>
      <c r="CA123" s="35"/>
      <c r="CB123" s="35"/>
      <c r="CC123" s="35"/>
      <c r="CD123" s="35"/>
      <c r="CE123" s="35"/>
      <c r="CF123" s="35"/>
      <c r="CG123" s="35"/>
      <c r="CH123" s="35"/>
      <c r="CI123" s="199"/>
      <c r="CJ123" s="8"/>
      <c r="CK123" s="8"/>
      <c r="CL123" s="64"/>
      <c r="CM123" s="64"/>
      <c r="CN123" s="64"/>
      <c r="CO123" s="64"/>
      <c r="CP123" s="9"/>
      <c r="CQ123" s="9"/>
      <c r="CR123" s="376"/>
      <c r="CS123" s="375"/>
      <c r="CT123" s="145"/>
      <c r="CU123" s="145"/>
      <c r="CV123" s="127"/>
      <c r="CW123" s="127"/>
      <c r="CX123" s="127"/>
      <c r="CY123" s="9"/>
      <c r="CZ123" s="218"/>
      <c r="DA123" s="9"/>
      <c r="DB123" s="127">
        <f t="shared" si="35"/>
        <v>10</v>
      </c>
      <c r="DC123" s="127" t="str">
        <f t="shared" si="36"/>
        <v/>
      </c>
      <c r="DD123" s="11"/>
      <c r="DE123" s="9"/>
      <c r="DF123" s="9"/>
      <c r="DG123" s="9"/>
      <c r="DH123" s="9"/>
      <c r="DI123" s="242"/>
      <c r="DJ123" s="13"/>
      <c r="DK123" s="127">
        <f t="shared" si="37"/>
        <v>4</v>
      </c>
      <c r="DL123" s="127" t="str">
        <f t="shared" si="38"/>
        <v/>
      </c>
      <c r="DM123" s="11" t="str">
        <f>IF(CY118="","",CV118)</f>
        <v>P1総合盤露出</v>
      </c>
      <c r="DN123" s="11"/>
      <c r="DO123" s="11"/>
      <c r="DP123" s="9"/>
      <c r="DQ123" s="9" t="str">
        <f>IF(COUNTIF($DM$15:DM122,DM123)&gt;0,"",DM123)</f>
        <v/>
      </c>
      <c r="DR123" s="101">
        <f>CY118</f>
        <v>2</v>
      </c>
      <c r="DS123" s="32">
        <f t="shared" si="42"/>
        <v>8</v>
      </c>
      <c r="DT123" s="9"/>
      <c r="DU123" s="8">
        <f t="shared" si="39"/>
        <v>4</v>
      </c>
      <c r="DV123" s="8" t="str">
        <f t="shared" si="40"/>
        <v/>
      </c>
      <c r="DW123" s="8"/>
      <c r="DX123" s="8"/>
      <c r="DY123" s="8"/>
      <c r="DZ123" s="8"/>
      <c r="EA123" s="8"/>
      <c r="EB123" s="8"/>
      <c r="EC123" s="8"/>
    </row>
    <row r="124" spans="1:133" ht="11.25" customHeight="1" thickBot="1">
      <c r="A124" s="374">
        <v>14</v>
      </c>
      <c r="B124" s="23"/>
      <c r="C124" s="2626" t="str">
        <f>非誘!J99</f>
        <v>(3) イ</v>
      </c>
      <c r="D124" s="2627"/>
      <c r="E124" s="2628"/>
      <c r="F124" s="2629" t="str">
        <f>非誘!M99</f>
        <v>料理店等</v>
      </c>
      <c r="G124" s="2629"/>
      <c r="H124" s="2629"/>
      <c r="I124" s="2629"/>
      <c r="J124" s="2629"/>
      <c r="K124" s="2629"/>
      <c r="L124" s="2629"/>
      <c r="M124" s="2629"/>
      <c r="N124" s="2629"/>
      <c r="O124" s="2629"/>
      <c r="P124" s="2630" t="str">
        <f>IF(U124="",RIGHT($D$8,2),U124)</f>
        <v>設置</v>
      </c>
      <c r="Q124" s="2630"/>
      <c r="R124" s="2630"/>
      <c r="S124" s="2631"/>
      <c r="T124" s="31" t="s">
        <v>387</v>
      </c>
      <c r="U124" s="2632"/>
      <c r="V124" s="2632"/>
      <c r="W124" s="2632"/>
      <c r="X124" s="2633"/>
      <c r="Y124" s="2634" t="s">
        <v>20</v>
      </c>
      <c r="Z124" s="2634"/>
      <c r="AA124" s="2634"/>
      <c r="AB124" s="2634"/>
      <c r="AC124" s="2634"/>
      <c r="AD124" s="2635">
        <f>非誘!J100</f>
        <v>0.5</v>
      </c>
      <c r="AE124" s="2635"/>
      <c r="AF124" s="2635"/>
      <c r="AG124" s="2635"/>
      <c r="AH124" s="2299" t="s">
        <v>135</v>
      </c>
      <c r="AI124" s="2299"/>
      <c r="AJ124" s="2299"/>
      <c r="AK124" s="2299"/>
      <c r="AL124" s="2299"/>
      <c r="AM124" s="2299" t="s">
        <v>366</v>
      </c>
      <c r="AN124" s="2299"/>
      <c r="AO124" s="2299"/>
      <c r="AP124" s="2299"/>
      <c r="AQ124" s="2569" t="str">
        <f>IF(AX124="","天井ケーブル",AX124)</f>
        <v>天井(C 管)</v>
      </c>
      <c r="AR124" s="2569"/>
      <c r="AS124" s="2569"/>
      <c r="AT124" s="2569"/>
      <c r="AU124" s="2569"/>
      <c r="AV124" s="2569"/>
      <c r="AW124" s="175" t="s">
        <v>387</v>
      </c>
      <c r="AX124" s="2338" t="s">
        <v>388</v>
      </c>
      <c r="AY124" s="2338"/>
      <c r="AZ124" s="2338"/>
      <c r="BA124" s="2338"/>
      <c r="BB124" s="2338"/>
      <c r="BC124" s="2338"/>
      <c r="BD124" s="2299" t="s">
        <v>363</v>
      </c>
      <c r="BE124" s="2299"/>
      <c r="BF124" s="2299"/>
      <c r="BG124" s="2299"/>
      <c r="BH124" s="2569" t="str">
        <f>IF(BO124="","天井(C 管)",BO124)</f>
        <v>天井(C 管)</v>
      </c>
      <c r="BI124" s="2569"/>
      <c r="BJ124" s="2569"/>
      <c r="BK124" s="2569"/>
      <c r="BL124" s="2569"/>
      <c r="BM124" s="2569"/>
      <c r="BN124" s="175" t="s">
        <v>387</v>
      </c>
      <c r="BO124" s="2643"/>
      <c r="BP124" s="2643"/>
      <c r="BQ124" s="2643"/>
      <c r="BR124" s="2643"/>
      <c r="BS124" s="2643"/>
      <c r="BT124" s="2644"/>
      <c r="BU124" s="19"/>
      <c r="BV124" s="35"/>
      <c r="BW124" s="99"/>
      <c r="BX124" s="35"/>
      <c r="BY124" s="35"/>
      <c r="BZ124" s="35"/>
      <c r="CA124" s="35"/>
      <c r="CB124" s="35"/>
      <c r="CC124" s="35"/>
      <c r="CD124" s="35"/>
      <c r="CE124" s="35"/>
      <c r="CF124" s="35"/>
      <c r="CG124" s="35"/>
      <c r="CH124" s="35"/>
      <c r="CI124" s="8">
        <v>23</v>
      </c>
      <c r="CJ124" s="97" t="str">
        <f>IF(LEFT(C125,2)=" B",-MID(C125,3,1),IF(C125="  RF","",LEFT(C125,3)))</f>
        <v xml:space="preserve"> 12</v>
      </c>
      <c r="CK124" s="10" t="str">
        <f>IF(OR(C125="",C125="  RF"),"",IF(LEFT(C125,1)="P","+",IF($CJ$14&gt;CJ124,"－",IF($CJ$14=CJ124,"=","+"))))</f>
        <v>+</v>
      </c>
      <c r="CL124" s="2601" t="s">
        <v>376</v>
      </c>
      <c r="CM124" s="2601"/>
      <c r="CN124" s="2601"/>
      <c r="CO124" s="2601" t="s">
        <v>375</v>
      </c>
      <c r="CP124" s="2601"/>
      <c r="CQ124" s="2601"/>
      <c r="CR124" s="2589" t="str">
        <f>AG125</f>
        <v>防火区画処理</v>
      </c>
      <c r="CS124" s="2590"/>
      <c r="CT124" s="2591"/>
      <c r="CU124" s="184">
        <f>AN125</f>
        <v>14</v>
      </c>
      <c r="CV124" s="2589" t="str">
        <f>AG129</f>
        <v>光電式煙2種埋</v>
      </c>
      <c r="CW124" s="2590"/>
      <c r="CX124" s="2591"/>
      <c r="CY124" s="184">
        <f>AN129</f>
        <v>12</v>
      </c>
      <c r="CZ124" s="216"/>
      <c r="DA124" s="88">
        <v>14</v>
      </c>
      <c r="DB124" s="204">
        <f t="shared" si="35"/>
        <v>10</v>
      </c>
      <c r="DC124" s="155" t="str">
        <f t="shared" si="36"/>
        <v/>
      </c>
      <c r="DD124" s="45"/>
      <c r="DE124" s="45"/>
      <c r="DF124" s="45"/>
      <c r="DG124" s="45"/>
      <c r="DH124" s="45"/>
      <c r="DI124" s="45"/>
      <c r="DJ124" s="45"/>
      <c r="DK124" s="155">
        <f t="shared" si="37"/>
        <v>4</v>
      </c>
      <c r="DL124" s="155" t="str">
        <f t="shared" si="38"/>
        <v/>
      </c>
      <c r="DM124" s="154" t="str">
        <f>IF(CY119="","",CV119)</f>
        <v/>
      </c>
      <c r="DN124" s="154"/>
      <c r="DO124" s="154"/>
      <c r="DP124" s="45"/>
      <c r="DQ124" s="45"/>
      <c r="DR124" s="209"/>
      <c r="DS124" s="230">
        <f>SUMIF($DM$17:$DM$185,DQ124,$DR$17:$DR$185)</f>
        <v>0</v>
      </c>
      <c r="DT124" s="88">
        <v>14</v>
      </c>
      <c r="DU124" s="373">
        <f t="shared" si="39"/>
        <v>4</v>
      </c>
      <c r="DV124" s="45" t="str">
        <f t="shared" si="40"/>
        <v/>
      </c>
      <c r="DW124" s="45"/>
      <c r="DX124" s="45"/>
      <c r="DY124" s="45"/>
      <c r="DZ124" s="45"/>
      <c r="EA124" s="45"/>
      <c r="EB124" s="45"/>
      <c r="EC124" s="45"/>
    </row>
    <row r="125" spans="1:133" ht="11.25" customHeight="1" thickBot="1">
      <c r="A125" s="15">
        <v>13</v>
      </c>
      <c r="B125" s="23"/>
      <c r="C125" s="2602" t="str">
        <f>非誘!C101</f>
        <v xml:space="preserve"> 12F</v>
      </c>
      <c r="D125" s="2603"/>
      <c r="E125" s="2604"/>
      <c r="F125" s="2605">
        <f>非誘!F101</f>
        <v>4</v>
      </c>
      <c r="G125" s="2606"/>
      <c r="H125" s="2606"/>
      <c r="I125" s="2607"/>
      <c r="J125" s="2605">
        <f>非誘!J101</f>
        <v>3</v>
      </c>
      <c r="K125" s="2606"/>
      <c r="L125" s="2606"/>
      <c r="M125" s="2607"/>
      <c r="N125" s="2608">
        <f>非誘!N101</f>
        <v>1152</v>
      </c>
      <c r="O125" s="2609"/>
      <c r="P125" s="2609"/>
      <c r="Q125" s="2609"/>
      <c r="R125" s="2610"/>
      <c r="S125" s="2608">
        <f>非誘!S101</f>
        <v>691.2</v>
      </c>
      <c r="T125" s="2609"/>
      <c r="U125" s="2609"/>
      <c r="V125" s="2610"/>
      <c r="W125" s="2608">
        <f>非誘!W101</f>
        <v>460.79999999999995</v>
      </c>
      <c r="X125" s="2609"/>
      <c r="Y125" s="2609"/>
      <c r="Z125" s="2610"/>
      <c r="AA125" s="2611">
        <f>非誘!AA101</f>
        <v>5</v>
      </c>
      <c r="AB125" s="2603"/>
      <c r="AC125" s="2604"/>
      <c r="AD125" s="2612">
        <f>非誘!AD101</f>
        <v>12</v>
      </c>
      <c r="AE125" s="2613"/>
      <c r="AF125" s="2614"/>
      <c r="AG125" s="2615" t="str">
        <f>IF($B$2=0,"","防火区画処理")</f>
        <v>防火区画処理</v>
      </c>
      <c r="AH125" s="2615"/>
      <c r="AI125" s="2615"/>
      <c r="AJ125" s="2615"/>
      <c r="AK125" s="2615"/>
      <c r="AL125" s="2615"/>
      <c r="AM125" s="2615"/>
      <c r="AN125" s="2616">
        <f>IF(OR($B$2=0,C125="",P124="不要"),"",AZ125+BG125+BR125*2)</f>
        <v>14</v>
      </c>
      <c r="AO125" s="2616"/>
      <c r="AP125" s="2616"/>
      <c r="AQ125" s="2617" t="s">
        <v>374</v>
      </c>
      <c r="AR125" s="2617"/>
      <c r="AS125" s="2617"/>
      <c r="AT125" s="2617"/>
      <c r="AU125" s="2617"/>
      <c r="AV125" s="2618" t="s">
        <v>373</v>
      </c>
      <c r="AW125" s="2618"/>
      <c r="AX125" s="2618"/>
      <c r="AY125" s="2618"/>
      <c r="AZ125" s="2619">
        <f>IF(OR($B$2=0,C125="",P124="不要"),"",IF(LEFT(C125,1)="P",1+INT(W125/450),INT(S125/450)+1+INT(W125/450)))</f>
        <v>3</v>
      </c>
      <c r="BA125" s="2619"/>
      <c r="BB125" s="2619"/>
      <c r="BC125" s="2618" t="s">
        <v>372</v>
      </c>
      <c r="BD125" s="2618"/>
      <c r="BE125" s="2618"/>
      <c r="BF125" s="2618"/>
      <c r="BG125" s="2619">
        <f>IF(OR($B$2=0,C125="",P124="不要"),"",1+INT(N125/500))</f>
        <v>3</v>
      </c>
      <c r="BH125" s="2619"/>
      <c r="BI125" s="2619"/>
      <c r="BJ125" s="2617" t="s">
        <v>371</v>
      </c>
      <c r="BK125" s="2617"/>
      <c r="BL125" s="2617"/>
      <c r="BM125" s="2617"/>
      <c r="BN125" s="2617"/>
      <c r="BO125" s="2617"/>
      <c r="BP125" s="2617"/>
      <c r="BQ125" s="2617"/>
      <c r="BR125" s="2620">
        <f>IF(OR($B$2=0,C125="",P124="不要"),"",1+INT(0.055*N125^0.6))</f>
        <v>4</v>
      </c>
      <c r="BS125" s="2620"/>
      <c r="BT125" s="2621"/>
      <c r="BU125" s="19"/>
      <c r="BV125" s="35"/>
      <c r="BW125" s="99"/>
      <c r="BX125" s="35"/>
      <c r="BY125" s="35"/>
      <c r="BZ125" s="35"/>
      <c r="CA125" s="35"/>
      <c r="CB125" s="35"/>
      <c r="CC125" s="35"/>
      <c r="CD125" s="35"/>
      <c r="CE125" s="35"/>
      <c r="CF125" s="35"/>
      <c r="CG125" s="35"/>
      <c r="CH125" s="35"/>
      <c r="CI125" s="8">
        <v>2</v>
      </c>
      <c r="CJ125" s="88" t="s">
        <v>386</v>
      </c>
      <c r="CK125" s="88" t="s">
        <v>385</v>
      </c>
      <c r="CL125" s="372">
        <f>IF(C126="","",IF(AX130="①",CJ126+CK126+3,IF(AX130="②",CJ126*5/8+CK126+3,IF(AX130="③",CJ126/2+CK126+3,IF(AX130="④",CJ126+CK126*5/8+3,IF(AX130="⑤",(CJ126+CK126)*5/8+3,IF(AX130="⑥",CJ126/2+CK126*5/8+3,IF(AX130="⑦",CJ126+CK126/2+3,IF(AX130="⑧",CJ126*5/8+CK126/2+3,IF(AX130="⑨",(CJ126+CK126)/2+3))))))))))</f>
        <v>27</v>
      </c>
      <c r="CM125" s="371" t="s">
        <v>384</v>
      </c>
      <c r="CN125" s="371" t="s">
        <v>383</v>
      </c>
      <c r="CO125" s="370"/>
      <c r="CP125" s="371" t="s">
        <v>384</v>
      </c>
      <c r="CQ125" s="370" t="s">
        <v>383</v>
      </c>
      <c r="CR125" s="2589" t="str">
        <f>AG126</f>
        <v>差動SP2種埋</v>
      </c>
      <c r="CS125" s="2590"/>
      <c r="CT125" s="2591"/>
      <c r="CU125" s="184" t="str">
        <f>AN126</f>
        <v/>
      </c>
      <c r="CV125" s="2589" t="str">
        <f>AT128</f>
        <v>HP起動押ボタン</v>
      </c>
      <c r="CW125" s="2590"/>
      <c r="CX125" s="2591"/>
      <c r="CY125" s="184" t="str">
        <f>BA128</f>
        <v/>
      </c>
      <c r="CZ125" s="216"/>
      <c r="DA125" s="8"/>
      <c r="DB125" s="197">
        <f t="shared" si="35"/>
        <v>10</v>
      </c>
      <c r="DC125" s="197" t="str">
        <f t="shared" si="36"/>
        <v/>
      </c>
      <c r="DD125" s="201" t="str">
        <f>G126</f>
        <v>AE 0.9mm-4C</v>
      </c>
      <c r="DE125" s="8"/>
      <c r="DF125" s="8"/>
      <c r="DG125" s="8"/>
      <c r="DH125" s="8" t="str">
        <f>IF(COUNTIF($DD$15:DD124,DD125)&gt;0,"",DD125)</f>
        <v/>
      </c>
      <c r="DI125" s="252">
        <f>O126</f>
        <v>201</v>
      </c>
      <c r="DJ125" s="32">
        <f t="shared" ref="DJ125:DJ130" si="43">SUMIF($DD$17:$DD$184,DH125,$DI$17:$DI$184)</f>
        <v>0</v>
      </c>
      <c r="DK125" s="197">
        <f t="shared" si="37"/>
        <v>4</v>
      </c>
      <c r="DL125" s="197" t="str">
        <f t="shared" si="38"/>
        <v/>
      </c>
      <c r="DM125" s="10" t="str">
        <f>IF(CU125="","",CR125)</f>
        <v/>
      </c>
      <c r="DN125" s="10" t="str">
        <f>CR125</f>
        <v>差動SP2種埋</v>
      </c>
      <c r="DO125" s="10"/>
      <c r="DP125" s="8"/>
      <c r="DQ125" s="8" t="str">
        <f>IF(COUNTIF($DM$15:DM124,DM125)&gt;0,"",DM125)</f>
        <v/>
      </c>
      <c r="DR125" s="200" t="str">
        <f>CU125</f>
        <v/>
      </c>
      <c r="DS125" s="32">
        <f t="shared" ref="DS125:DS131" si="44">SUMIF($DM$17:$DM$184,DQ125,$DR$17:$DR$184)</f>
        <v>8</v>
      </c>
      <c r="DT125" s="8"/>
      <c r="DU125" s="197">
        <f t="shared" si="39"/>
        <v>4</v>
      </c>
      <c r="DV125" s="197" t="str">
        <f t="shared" si="40"/>
        <v/>
      </c>
      <c r="DW125" s="201"/>
      <c r="DX125" s="8"/>
      <c r="DY125" s="8"/>
      <c r="DZ125" s="8"/>
      <c r="EA125" s="8"/>
      <c r="EB125" s="252"/>
      <c r="EC125" s="32"/>
    </row>
    <row r="126" spans="1:133" ht="11.25" customHeight="1">
      <c r="A126" s="15"/>
      <c r="B126" s="23"/>
      <c r="C126" s="2623" t="s">
        <v>366</v>
      </c>
      <c r="D126" s="2624"/>
      <c r="E126" s="2624"/>
      <c r="F126" s="2624"/>
      <c r="G126" s="2625" t="str">
        <f>IF(C125="","","AE 0.9mm-4C")</f>
        <v>AE 0.9mm-4C</v>
      </c>
      <c r="H126" s="2625"/>
      <c r="I126" s="2625"/>
      <c r="J126" s="2625"/>
      <c r="K126" s="2625"/>
      <c r="L126" s="2625"/>
      <c r="M126" s="2625"/>
      <c r="N126" s="2625"/>
      <c r="O126" s="2593">
        <f>IF($B$2=0,"",IF(OR(C125="",P124="不要"),"",ROUND((CM126+CN126),0)))</f>
        <v>201</v>
      </c>
      <c r="P126" s="2593"/>
      <c r="Q126" s="2593"/>
      <c r="R126" s="2593"/>
      <c r="S126" s="2593"/>
      <c r="T126" s="2593" t="str">
        <f>IF(OR($B$2=0,C125="",P124="不要"),"",IF(AQ124="天井ケーブル","C-19mm",IF(MID(AQ124,4,2)="PF","PF-16mm",IF(MID(AQ124,4,2)="CD","CD-16mm",IF(MID(AQ124,4,2)="C ","C-19mm",IF(MID(AQ124,4,2)="G ","G-16mm",""))))))</f>
        <v>C-19mm</v>
      </c>
      <c r="U126" s="2593"/>
      <c r="V126" s="2593"/>
      <c r="W126" s="2593"/>
      <c r="X126" s="2593"/>
      <c r="Y126" s="2593"/>
      <c r="Z126" s="2593"/>
      <c r="AA126" s="2593"/>
      <c r="AB126" s="2593">
        <f>IF(OR($B$2=0,C125="",P124="不要"),"",IF(CQ126="",ROUND(CP126,0),ROUND((CP126+CQ126),0)))</f>
        <v>146</v>
      </c>
      <c r="AC126" s="2593"/>
      <c r="AD126" s="2593"/>
      <c r="AE126" s="2593"/>
      <c r="AF126" s="2593"/>
      <c r="AG126" s="2595" t="str">
        <f>IF($B$2=0,"","差動SP2種埋")</f>
        <v>差動SP2種埋</v>
      </c>
      <c r="AH126" s="2595"/>
      <c r="AI126" s="2595"/>
      <c r="AJ126" s="2595"/>
      <c r="AK126" s="2595"/>
      <c r="AL126" s="2595"/>
      <c r="AM126" s="2595"/>
      <c r="AN126" s="2593" t="str">
        <f>IF(OR(C125="",P124="不要"),"",IF(AQ126&lt;&gt;"",AQ126,IF(AX130="B","",IF(AZ129="無窓","",IF(AND(BL129="耐 火",AZ129="有窓"),BZ126+CA126,CD126+CE126)))))</f>
        <v/>
      </c>
      <c r="AO126" s="2593"/>
      <c r="AP126" s="2593"/>
      <c r="AQ126" s="2594"/>
      <c r="AR126" s="2594"/>
      <c r="AS126" s="2594"/>
      <c r="AT126" s="2595" t="str">
        <f>IF($B$2=0,"","P1総合盤露出")</f>
        <v>P1総合盤露出</v>
      </c>
      <c r="AU126" s="2595"/>
      <c r="AV126" s="2595"/>
      <c r="AW126" s="2595"/>
      <c r="AX126" s="2595"/>
      <c r="AY126" s="2595"/>
      <c r="AZ126" s="2595"/>
      <c r="BA126" s="2593">
        <f>IF(P124="不要","",IF(BD126&lt;&gt;"",BD126,IF([4]Top!$BD$51="要","",AZ125)))</f>
        <v>3</v>
      </c>
      <c r="BB126" s="2593"/>
      <c r="BC126" s="2593"/>
      <c r="BD126" s="2594"/>
      <c r="BE126" s="2594"/>
      <c r="BF126" s="2594"/>
      <c r="BG126" s="2597" t="str">
        <f>IF($B$2=0,"","ﾗｯﾁ電磁レリーズ")</f>
        <v>ﾗｯﾁ電磁レリーズ</v>
      </c>
      <c r="BH126" s="2597"/>
      <c r="BI126" s="2597"/>
      <c r="BJ126" s="2597"/>
      <c r="BK126" s="2597"/>
      <c r="BL126" s="2597"/>
      <c r="BM126" s="2597"/>
      <c r="BN126" s="2597"/>
      <c r="BO126" s="2593">
        <f>IF(P124="不要","",IF(BR126&lt;&gt;"",BR126,BR125))</f>
        <v>4</v>
      </c>
      <c r="BP126" s="2593"/>
      <c r="BQ126" s="2593"/>
      <c r="BR126" s="2594"/>
      <c r="BS126" s="2594"/>
      <c r="BT126" s="2596"/>
      <c r="BU126" s="19"/>
      <c r="BV126" s="35"/>
      <c r="BW126" s="351" t="s">
        <v>365</v>
      </c>
      <c r="BX126" s="368"/>
      <c r="BY126" s="369"/>
      <c r="BZ126" s="344">
        <f>IF(AA125="",0,IF(OR([6]Top!$BD$72&lt;&gt;"要",C125=""),"",IF(J125&gt;=4,1+INT(AA125*2.4),1+INT(AA125*1.2))))</f>
        <v>7</v>
      </c>
      <c r="CA126" s="360">
        <f>IF(OR([6]Top!$BD$72&lt;&gt;"要",C125=""),"",IF(J125&gt;=4,1+INT(AD125*2.4),1+INT(AD125*1.2)))</f>
        <v>15</v>
      </c>
      <c r="CB126" s="368"/>
      <c r="CC126" s="369"/>
      <c r="CD126" s="343">
        <f>IF($AX$8&lt;=500,BZ126*2,1+INT(BZ126*2.5))</f>
        <v>18</v>
      </c>
      <c r="CE126" s="360">
        <f>IF($AX$8&lt;=500,CA126*2,1+INT(CA126*2.5))</f>
        <v>38</v>
      </c>
      <c r="CF126" s="368"/>
      <c r="CG126" s="367"/>
      <c r="CH126" s="35"/>
      <c r="CI126" s="133">
        <f>IF(AZ125&lt;&gt;"",AZ125,0)</f>
        <v>3</v>
      </c>
      <c r="CJ126" s="98">
        <f>非誘!BW101</f>
        <v>12</v>
      </c>
      <c r="CK126" s="98">
        <f>非誘!BX101</f>
        <v>24</v>
      </c>
      <c r="CL126" s="88" t="s">
        <v>364</v>
      </c>
      <c r="CM126" s="185">
        <f>IF(OR(C125="",C125="  RF"),"",IF(J125="直天",$AN$10/1000+F125-1.2+SQRT(CK127/CM127),$AN$10/1000+J125-1.2+SQRT(CK127/CM127)))</f>
        <v>12.3</v>
      </c>
      <c r="CN126" s="185">
        <f>IF(OR(C125="",P124="不要"),"",CL125+CK128*AZ125)</f>
        <v>188.99999999999997</v>
      </c>
      <c r="CO126" s="88" t="s">
        <v>364</v>
      </c>
      <c r="CP126" s="185">
        <f>IF(OR(C125="",C125="  RF"),"",IF(J125="直天",F125-1.2+SQRT(CK127/CM127),IF(AQ124="天井ケーブル",J125-1.2,J125-1.2+SQRT(CK127/CM127))))</f>
        <v>9.8000000000000007</v>
      </c>
      <c r="CQ126" s="356">
        <f>IF(OR(C125="",C125="  RF"),"",IF(AQ124="天井ケーブル","",(CM127-1)*SQRT(CK127/CM127)))</f>
        <v>136</v>
      </c>
      <c r="CR126" s="2589" t="str">
        <f>AG127</f>
        <v>定温SP1種WP</v>
      </c>
      <c r="CS126" s="2590"/>
      <c r="CT126" s="2591"/>
      <c r="CU126" s="184">
        <f>AN127</f>
        <v>3</v>
      </c>
      <c r="CV126" s="2589" t="str">
        <f>AT126</f>
        <v>P1総合盤露出</v>
      </c>
      <c r="CW126" s="2590"/>
      <c r="CX126" s="2591"/>
      <c r="CY126" s="184">
        <f>BA126</f>
        <v>3</v>
      </c>
      <c r="CZ126" s="216"/>
      <c r="DA126" s="8"/>
      <c r="DB126" s="197">
        <f t="shared" si="35"/>
        <v>10</v>
      </c>
      <c r="DC126" s="197" t="str">
        <f t="shared" si="36"/>
        <v/>
      </c>
      <c r="DD126" s="201" t="str">
        <f>G127</f>
        <v>HP 1.2mm-3C</v>
      </c>
      <c r="DE126" s="8"/>
      <c r="DF126" s="8"/>
      <c r="DG126" s="8"/>
      <c r="DH126" s="8" t="str">
        <f>IF(COUNTIF($DD$15:DD125,DD126)&gt;0,"",DD126)</f>
        <v/>
      </c>
      <c r="DI126" s="252">
        <f>O127</f>
        <v>21</v>
      </c>
      <c r="DJ126" s="32">
        <f t="shared" si="43"/>
        <v>0</v>
      </c>
      <c r="DK126" s="197">
        <f t="shared" si="37"/>
        <v>4</v>
      </c>
      <c r="DL126" s="197" t="str">
        <f t="shared" si="38"/>
        <v/>
      </c>
      <c r="DM126" s="10" t="str">
        <f>IF(CU126="","",CR126)</f>
        <v>定温SP1種WP</v>
      </c>
      <c r="DN126" s="10" t="str">
        <f>CR126</f>
        <v>定温SP1種WP</v>
      </c>
      <c r="DO126" s="10"/>
      <c r="DP126" s="8"/>
      <c r="DQ126" s="8" t="str">
        <f>IF(COUNTIF($DM$15:DM125,DM126)&gt;0,"",DM126)</f>
        <v/>
      </c>
      <c r="DR126" s="200">
        <f>CU126</f>
        <v>3</v>
      </c>
      <c r="DS126" s="32">
        <f t="shared" si="44"/>
        <v>8</v>
      </c>
      <c r="DT126" s="8"/>
      <c r="DU126" s="197">
        <f t="shared" si="39"/>
        <v>4</v>
      </c>
      <c r="DV126" s="197" t="str">
        <f t="shared" si="40"/>
        <v/>
      </c>
      <c r="DW126" s="201" t="str">
        <f>T126</f>
        <v>C-19mm</v>
      </c>
      <c r="DX126" s="8"/>
      <c r="DY126" s="8"/>
      <c r="DZ126" s="8"/>
      <c r="EA126" s="8" t="str">
        <f>IF(COUNTIF($DW$15:DW125,DW126)&gt;0,"",DW126)</f>
        <v/>
      </c>
      <c r="EB126" s="197">
        <f>AB126</f>
        <v>146</v>
      </c>
      <c r="EC126" s="32">
        <f>SUMIF($DW$17:$DW$184,EA126,$EB$17:$EB$184)</f>
        <v>0</v>
      </c>
    </row>
    <row r="127" spans="1:133" ht="11.25" customHeight="1" thickBot="1">
      <c r="A127" s="15"/>
      <c r="B127" s="176"/>
      <c r="C127" s="2568" t="s">
        <v>363</v>
      </c>
      <c r="D127" s="2569"/>
      <c r="E127" s="2569"/>
      <c r="F127" s="2569"/>
      <c r="G127" s="2592" t="str">
        <f>IF(C125="","","HP 1.2mm-3C")</f>
        <v>HP 1.2mm-3C</v>
      </c>
      <c r="H127" s="2592"/>
      <c r="I127" s="2592"/>
      <c r="J127" s="2592"/>
      <c r="K127" s="2592"/>
      <c r="L127" s="2592"/>
      <c r="M127" s="2592"/>
      <c r="N127" s="2592"/>
      <c r="O127" s="2557">
        <f>IF($B$2=0,"",IF(OR(C125="",P124="不要"),"",ROUND(CN128,0)))</f>
        <v>21</v>
      </c>
      <c r="P127" s="2557"/>
      <c r="Q127" s="2557"/>
      <c r="R127" s="2557"/>
      <c r="S127" s="2557"/>
      <c r="T127" s="2557" t="str">
        <f>IF(OR($B$2=0,C125="",P124="不要"),"",IF(BH124="天井ケーブル","C-19mm",IF(MID(BH124,4,2)="PF","PF-16mm",IF(MID(BH124,4,2)="CD","CD-16mm",IF(MID(BH124,4,2)="C ","C-19mm",IF(MID(BH124,4,2)="G ","G-16mm",""))))))</f>
        <v>C-19mm</v>
      </c>
      <c r="U127" s="2557"/>
      <c r="V127" s="2557"/>
      <c r="W127" s="2557"/>
      <c r="X127" s="2557"/>
      <c r="Y127" s="2557"/>
      <c r="Z127" s="2557"/>
      <c r="AA127" s="2557"/>
      <c r="AB127" s="2557">
        <f>IF($B$2=0,"",IF(OR(C125="",P124="不要",CQ129=""),"",CQ128+CQ129))</f>
        <v>40</v>
      </c>
      <c r="AC127" s="2557"/>
      <c r="AD127" s="2557"/>
      <c r="AE127" s="2557"/>
      <c r="AF127" s="2557"/>
      <c r="AG127" s="2572" t="str">
        <f>IF($B$2=0,"","定温SP1種WP")</f>
        <v>定温SP1種WP</v>
      </c>
      <c r="AH127" s="2572"/>
      <c r="AI127" s="2572"/>
      <c r="AJ127" s="2572"/>
      <c r="AK127" s="2572"/>
      <c r="AL127" s="2572"/>
      <c r="AM127" s="2572"/>
      <c r="AN127" s="2312">
        <f>IF(OR($B$2=0,P124="不要"),"",IF(AQ127&lt;&gt;"",AQ127,CA127))</f>
        <v>3</v>
      </c>
      <c r="AO127" s="2312"/>
      <c r="AP127" s="2312"/>
      <c r="AQ127" s="2575"/>
      <c r="AR127" s="2575"/>
      <c r="AS127" s="2575"/>
      <c r="AT127" s="2572" t="str">
        <f>IF($B$2=0,"","P1総合盤埋込")</f>
        <v>P1総合盤埋込</v>
      </c>
      <c r="AU127" s="2572"/>
      <c r="AV127" s="2572"/>
      <c r="AW127" s="2572"/>
      <c r="AX127" s="2572"/>
      <c r="AY127" s="2572"/>
      <c r="AZ127" s="2572"/>
      <c r="BA127" s="2312" t="str">
        <f>IF(P124="不要","",IF(BD127&lt;&gt;"",BD127,IF([4]Top!$BD$51&lt;&gt;"要","",AZ125)))</f>
        <v/>
      </c>
      <c r="BB127" s="2312"/>
      <c r="BC127" s="2312"/>
      <c r="BD127" s="2575"/>
      <c r="BE127" s="2575"/>
      <c r="BF127" s="2575"/>
      <c r="BG127" s="2572" t="str">
        <f>IF($B$2=0,"","ｱｰﾑ電磁レリーズ")</f>
        <v>ｱｰﾑ電磁レリーズ</v>
      </c>
      <c r="BH127" s="2572"/>
      <c r="BI127" s="2572"/>
      <c r="BJ127" s="2572"/>
      <c r="BK127" s="2572"/>
      <c r="BL127" s="2572"/>
      <c r="BM127" s="2572"/>
      <c r="BN127" s="2572"/>
      <c r="BO127" s="2312">
        <f>IF(P124="不要","",IF(BR127&lt;&gt;"",BR127,BR125))</f>
        <v>4</v>
      </c>
      <c r="BP127" s="2312"/>
      <c r="BQ127" s="2312"/>
      <c r="BR127" s="2575"/>
      <c r="BS127" s="2575"/>
      <c r="BT127" s="2576"/>
      <c r="BU127" s="19"/>
      <c r="BV127" s="35"/>
      <c r="BW127" s="351" t="s">
        <v>362</v>
      </c>
      <c r="BX127" s="348"/>
      <c r="BY127" s="349">
        <f>CA127</f>
        <v>3</v>
      </c>
      <c r="BZ127" s="366"/>
      <c r="CA127" s="360">
        <f>IF(C125="","",1+INT(W125/200))</f>
        <v>3</v>
      </c>
      <c r="CB127" s="348"/>
      <c r="CC127" s="359">
        <f>CA127</f>
        <v>3</v>
      </c>
      <c r="CD127" s="365"/>
      <c r="CE127" s="349">
        <f>CA127</f>
        <v>3</v>
      </c>
      <c r="CF127" s="348"/>
      <c r="CG127" s="357">
        <f>CA127</f>
        <v>3</v>
      </c>
      <c r="CH127" s="35"/>
      <c r="CI127" s="133">
        <f>IF(BG125&lt;&gt;"",BG125,0)</f>
        <v>3</v>
      </c>
      <c r="CJ127" s="88" t="s">
        <v>361</v>
      </c>
      <c r="CK127" s="107">
        <f>N125</f>
        <v>1152</v>
      </c>
      <c r="CL127" s="88" t="s">
        <v>360</v>
      </c>
      <c r="CM127" s="185">
        <f>SUM(AN126:AP130)</f>
        <v>18</v>
      </c>
      <c r="CN127" s="364"/>
      <c r="CO127" s="168"/>
      <c r="CP127" s="363"/>
      <c r="CQ127" s="150"/>
      <c r="CR127" s="2598" t="str">
        <f>AG128</f>
        <v>補償SP2種</v>
      </c>
      <c r="CS127" s="2599"/>
      <c r="CT127" s="2600"/>
      <c r="CU127" s="362">
        <f>AN128</f>
        <v>3</v>
      </c>
      <c r="CV127" s="2598" t="str">
        <f>AT127</f>
        <v>P1総合盤埋込</v>
      </c>
      <c r="CW127" s="2599"/>
      <c r="CX127" s="2600"/>
      <c r="CY127" s="362" t="str">
        <f>BA127</f>
        <v/>
      </c>
      <c r="CZ127" s="216"/>
      <c r="DA127" s="8"/>
      <c r="DB127" s="197">
        <f t="shared" si="35"/>
        <v>10</v>
      </c>
      <c r="DC127" s="197" t="str">
        <f t="shared" si="36"/>
        <v/>
      </c>
      <c r="DD127" s="201" t="str">
        <f>G128</f>
        <v>HP 1.2mm-5C</v>
      </c>
      <c r="DE127" s="8"/>
      <c r="DF127" s="8"/>
      <c r="DG127" s="8"/>
      <c r="DH127" s="8" t="str">
        <f>IF(COUNTIF($DD$15:DD126,DD127)&gt;0,"",DD127)</f>
        <v/>
      </c>
      <c r="DI127" s="252">
        <f>O128</f>
        <v>27</v>
      </c>
      <c r="DJ127" s="32">
        <f t="shared" si="43"/>
        <v>0</v>
      </c>
      <c r="DK127" s="197">
        <f t="shared" si="37"/>
        <v>4</v>
      </c>
      <c r="DL127" s="197" t="str">
        <f t="shared" si="38"/>
        <v/>
      </c>
      <c r="DM127" s="10" t="str">
        <f>IF(CU127="","",CR127)</f>
        <v>補償SP2種</v>
      </c>
      <c r="DN127" s="10" t="str">
        <f>CR127</f>
        <v>補償SP2種</v>
      </c>
      <c r="DO127" s="10"/>
      <c r="DP127" s="8"/>
      <c r="DQ127" s="8" t="str">
        <f>IF(COUNTIF($DM$15:DM126,DM127)&gt;0,"",DM127)</f>
        <v/>
      </c>
      <c r="DR127" s="200">
        <f>CU127</f>
        <v>3</v>
      </c>
      <c r="DS127" s="32">
        <f t="shared" si="44"/>
        <v>8</v>
      </c>
      <c r="DT127" s="8"/>
      <c r="DU127" s="197">
        <f t="shared" si="39"/>
        <v>4</v>
      </c>
      <c r="DV127" s="197" t="str">
        <f t="shared" si="40"/>
        <v/>
      </c>
      <c r="DW127" s="201" t="str">
        <f>T127</f>
        <v>C-19mm</v>
      </c>
      <c r="DX127" s="8"/>
      <c r="DY127" s="8"/>
      <c r="DZ127" s="8"/>
      <c r="EA127" s="8" t="str">
        <f>IF(COUNTIF($DW$15:DW126,DW127)&gt;0,"",DW127)</f>
        <v/>
      </c>
      <c r="EB127" s="197">
        <f>AB127</f>
        <v>40</v>
      </c>
      <c r="EC127" s="32">
        <f>SUMIF($DW$17:$DW$184,EA127,$EB$17:$EB$184)</f>
        <v>0</v>
      </c>
    </row>
    <row r="128" spans="1:133" ht="11.25" customHeight="1" thickBot="1">
      <c r="A128" s="15"/>
      <c r="B128" s="23"/>
      <c r="C128" s="2568"/>
      <c r="D128" s="2569"/>
      <c r="E128" s="2569"/>
      <c r="F128" s="2569"/>
      <c r="G128" s="2584" t="str">
        <f>IF(C125="","","HP 1.2mm-5C")</f>
        <v>HP 1.2mm-5C</v>
      </c>
      <c r="H128" s="2584"/>
      <c r="I128" s="2584"/>
      <c r="J128" s="2584"/>
      <c r="K128" s="2584"/>
      <c r="L128" s="2584"/>
      <c r="M128" s="2584"/>
      <c r="N128" s="2584"/>
      <c r="O128" s="2585">
        <f>IF($B$2=0,"",IF(OR(C125="",P124="不要"),"",ROUND(CM128,0)))</f>
        <v>27</v>
      </c>
      <c r="P128" s="2585"/>
      <c r="Q128" s="2585"/>
      <c r="R128" s="2585"/>
      <c r="S128" s="2585"/>
      <c r="T128" s="2585" t="str">
        <f>IF(OR($B$2=0,C125="",P124="不要"),"",IF(BH124="天井ケーブル","C-25mm",IF(MID(BH124,4,2)="PF","PF-22mm",IF(MID(BH124,4,2)="CD","CD-22mm",IF(MID(BH124,4,2)="C ","C-25mm",IF(MID(BH124,4,2)="G ","G-22mm",""))))))</f>
        <v>C-25mm</v>
      </c>
      <c r="U128" s="2585"/>
      <c r="V128" s="2585"/>
      <c r="W128" s="2585"/>
      <c r="X128" s="2585"/>
      <c r="Y128" s="2585"/>
      <c r="Z128" s="2585"/>
      <c r="AA128" s="2585"/>
      <c r="AB128" s="2585">
        <f>IF(OR($B$2=0,C125="",P124="不要"),"",CP128)</f>
        <v>25.8</v>
      </c>
      <c r="AC128" s="2585"/>
      <c r="AD128" s="2585"/>
      <c r="AE128" s="2585"/>
      <c r="AF128" s="2585"/>
      <c r="AG128" s="2572" t="str">
        <f>IF($B$2=0,"","補償SP2種")</f>
        <v>補償SP2種</v>
      </c>
      <c r="AH128" s="2572"/>
      <c r="AI128" s="2572"/>
      <c r="AJ128" s="2572"/>
      <c r="AK128" s="2572"/>
      <c r="AL128" s="2572"/>
      <c r="AM128" s="2572"/>
      <c r="AN128" s="2312">
        <f>IF(OR($B$2=0,P124="不要"),"",IF(AQ128&lt;&gt;"",AQ128,CA128))</f>
        <v>3</v>
      </c>
      <c r="AO128" s="2312"/>
      <c r="AP128" s="2312"/>
      <c r="AQ128" s="2575"/>
      <c r="AR128" s="2575"/>
      <c r="AS128" s="2575"/>
      <c r="AT128" s="2546" t="str">
        <f>IF($B$2=0,"","HP起動押ボタン")</f>
        <v>HP起動押ボタン</v>
      </c>
      <c r="AU128" s="2546"/>
      <c r="AV128" s="2546"/>
      <c r="AW128" s="2546"/>
      <c r="AX128" s="2546"/>
      <c r="AY128" s="2546"/>
      <c r="AZ128" s="2546"/>
      <c r="BA128" s="2544" t="str">
        <f>IF(P124="不要","",IF(BD128&lt;&gt;"",BD128,IF([4]Top!$BL$51="要",AZ125,"")))</f>
        <v/>
      </c>
      <c r="BB128" s="2544"/>
      <c r="BC128" s="2544"/>
      <c r="BD128" s="2573"/>
      <c r="BE128" s="2573"/>
      <c r="BF128" s="2573"/>
      <c r="BG128" s="2546" t="str">
        <f>IF($B$2=0,"","光電式煙3種埋")</f>
        <v>光電式煙3種埋</v>
      </c>
      <c r="BH128" s="2546"/>
      <c r="BI128" s="2546"/>
      <c r="BJ128" s="2546"/>
      <c r="BK128" s="2546"/>
      <c r="BL128" s="2546"/>
      <c r="BM128" s="2546"/>
      <c r="BN128" s="2546"/>
      <c r="BO128" s="2544">
        <f>IF(OR($B$2=0,C125="",P124="不要"),"",IF(BR128&lt;&gt;"",BR128,2*BR125))</f>
        <v>8</v>
      </c>
      <c r="BP128" s="2544"/>
      <c r="BQ128" s="2544"/>
      <c r="BR128" s="2573"/>
      <c r="BS128" s="2573"/>
      <c r="BT128" s="2574"/>
      <c r="BU128" s="19"/>
      <c r="BV128" s="35"/>
      <c r="BW128" s="351" t="s">
        <v>359</v>
      </c>
      <c r="BX128" s="361"/>
      <c r="BY128" s="349">
        <f>CA128</f>
        <v>3</v>
      </c>
      <c r="BZ128" s="348"/>
      <c r="CA128" s="360">
        <f>IF(C125="","",1+INT(W125/200))</f>
        <v>3</v>
      </c>
      <c r="CB128" s="358"/>
      <c r="CC128" s="359">
        <f>CA128</f>
        <v>3</v>
      </c>
      <c r="CD128" s="346"/>
      <c r="CE128" s="349">
        <f>CA128</f>
        <v>3</v>
      </c>
      <c r="CF128" s="358"/>
      <c r="CG128" s="357">
        <f>CA128</f>
        <v>3</v>
      </c>
      <c r="CH128" s="35"/>
      <c r="CI128" s="133">
        <f>IF(BR125&lt;&gt;"",BR125,0)</f>
        <v>4</v>
      </c>
      <c r="CJ128" s="88" t="s">
        <v>121</v>
      </c>
      <c r="CK128" s="187">
        <f>IF(OR(C125="",C125="  RF"),"",IF($AX$8=0,0,2*($AX$8/1000-0.15-0.1)*(INT(1000*CJ126/$BF$8)+1)*(INT(1000*CK126/$BF$8)+1)*4))</f>
        <v>53.999999999999993</v>
      </c>
      <c r="CL128" s="187" t="s">
        <v>358</v>
      </c>
      <c r="CM128" s="139">
        <f>IF(OR(C125="",C125="  RF"),"",IF(J125="直天",$AN$8/1000+F125-1.2+CJ126+CK126/2,$AN$8/1000+J125-1.2+CJ126+CK126/2))</f>
        <v>27.3</v>
      </c>
      <c r="CN128" s="136">
        <f>IF(OR(C125="",C125="  RF"),"",IF(J125="直天",F125-$Y$8/1000+F125-$Y$9/1000+2*8+($AN$7+2*$AN$9)/1000,J125-$Y$8/1000+J125-$Y$9/1000+2*8+($AN$7+2*$AN$9)/1000))</f>
        <v>20.599999999999998</v>
      </c>
      <c r="CO128" s="151" t="s">
        <v>358</v>
      </c>
      <c r="CP128" s="185">
        <f>IF(OR(C125="",C125="  RF"),"",IF(J125="直天",F125-1.2+CJ126+CK126/2,IF(AQ124="天井ケーブル",J125-1.2,J125-1.2+CJ126+CK126/2)))</f>
        <v>25.8</v>
      </c>
      <c r="CQ128" s="356">
        <f>IF(OR(C125="",C125="  RF"),"",IF(J125="直天",F125-$Y$8/1000+F125-$Y$9/1000+2*8,IF(BH124="天井ケーブル",J125-$Y$8/1000+J125-$Y$9/1000,J125-$Y$8/1000+J125-$Y$9/1000+2*8)))</f>
        <v>18.399999999999999</v>
      </c>
      <c r="CR128" s="355" t="s">
        <v>87</v>
      </c>
      <c r="CS128" s="336" t="s">
        <v>395</v>
      </c>
      <c r="CT128" s="336" t="s">
        <v>394</v>
      </c>
      <c r="CU128" s="192" t="s">
        <v>393</v>
      </c>
      <c r="CV128" s="336" t="s">
        <v>392</v>
      </c>
      <c r="CW128" s="336" t="s">
        <v>391</v>
      </c>
      <c r="CX128" s="336" t="s">
        <v>390</v>
      </c>
      <c r="CY128" s="354" t="s">
        <v>389</v>
      </c>
      <c r="CZ128" s="216"/>
      <c r="DA128" s="8"/>
      <c r="DB128" s="197">
        <f t="shared" si="35"/>
        <v>10</v>
      </c>
      <c r="DC128" s="197" t="str">
        <f t="shared" si="36"/>
        <v/>
      </c>
      <c r="DD128" s="201" t="str">
        <f>G129</f>
        <v>FCPEV 0.9-5Pr</v>
      </c>
      <c r="DE128" s="8"/>
      <c r="DF128" s="8"/>
      <c r="DG128" s="8"/>
      <c r="DH128" s="8" t="str">
        <f>IF(COUNTIF($DD$15:DD127,DD128)&gt;0,"",DD128)</f>
        <v/>
      </c>
      <c r="DI128" s="252">
        <f>O129</f>
        <v>27</v>
      </c>
      <c r="DJ128" s="32">
        <f t="shared" si="43"/>
        <v>0</v>
      </c>
      <c r="DK128" s="197">
        <f t="shared" si="37"/>
        <v>4</v>
      </c>
      <c r="DL128" s="197" t="str">
        <f t="shared" si="38"/>
        <v/>
      </c>
      <c r="DM128" s="11" t="str">
        <f>IF(CY124="","",CV124)</f>
        <v>光電式煙2種埋</v>
      </c>
      <c r="DN128" s="11"/>
      <c r="DO128" s="11"/>
      <c r="DP128" s="9"/>
      <c r="DQ128" s="9" t="str">
        <f>IF(COUNTIF($DM$15:DM127,DM128)&gt;0,"",DM128)</f>
        <v/>
      </c>
      <c r="DR128" s="200">
        <f>CY124</f>
        <v>12</v>
      </c>
      <c r="DS128" s="32">
        <f t="shared" si="44"/>
        <v>8</v>
      </c>
      <c r="DT128" s="8"/>
      <c r="DU128" s="197">
        <f t="shared" si="39"/>
        <v>4</v>
      </c>
      <c r="DV128" s="197" t="str">
        <f t="shared" si="40"/>
        <v/>
      </c>
      <c r="DW128" s="201" t="str">
        <f>T128</f>
        <v>C-25mm</v>
      </c>
      <c r="DX128" s="8"/>
      <c r="DY128" s="8"/>
      <c r="DZ128" s="8"/>
      <c r="EA128" s="8" t="str">
        <f>IF(COUNTIF($DW$15:DW127,DW128)&gt;0,"",DW128)</f>
        <v/>
      </c>
      <c r="EB128" s="197">
        <f>AB128</f>
        <v>25.8</v>
      </c>
      <c r="EC128" s="32">
        <f>SUMIF($DW$17:$DW$184,EA128,$EB$17:$EB$184)</f>
        <v>0</v>
      </c>
    </row>
    <row r="129" spans="1:133" ht="11.25" customHeight="1" thickBot="1">
      <c r="A129" s="15"/>
      <c r="B129" s="23"/>
      <c r="C129" s="2568" t="s">
        <v>352</v>
      </c>
      <c r="D129" s="2569"/>
      <c r="E129" s="2569"/>
      <c r="F129" s="2569"/>
      <c r="G129" s="2557" t="str">
        <f>IF(OR($B$2=0,C125="",P124="不要"),"",IF(CR129&lt;10,"FCPEV 0.9-5Pr",IF(CR129&lt;20,"FCPEV 0.9- 10Pr",IF(CR129&lt;30,"FCPEV 0.9- 15Pr",IF(CR129&lt;40,"FCPEV 0.9- 20Pr","")))))</f>
        <v>FCPEV 0.9-5Pr</v>
      </c>
      <c r="H129" s="2557"/>
      <c r="I129" s="2557"/>
      <c r="J129" s="2557"/>
      <c r="K129" s="2557"/>
      <c r="L129" s="2557"/>
      <c r="M129" s="2557"/>
      <c r="N129" s="2557"/>
      <c r="O129" s="2557">
        <f>IF(OR(C125="",P124="不要",G129=""),"",INT(AZ125*(CJ126+CK126)/4))</f>
        <v>27</v>
      </c>
      <c r="P129" s="2557"/>
      <c r="Q129" s="2557"/>
      <c r="R129" s="2557"/>
      <c r="S129" s="2557"/>
      <c r="T129" s="2558" t="str">
        <f>IF(OR(C125="",P124="不要",G129=""),"",IF(AQ124="天井ケーブル","C-"&amp;CM130&amp;"mm",IF(MID(AQ124,4,2)="PF","PF-"&amp;CL130&amp;"mm",IF(MID(AQ124,4,2)="CD","CD-"&amp;CL130&amp;"mm",IF(MID(AQ124,4,2)="C ","C-"&amp;CM130&amp;"mm",IF(MID(AQ124,4,2)="G ","G-"&amp;CL130&amp;"mm"))))))</f>
        <v>C-31mm</v>
      </c>
      <c r="U129" s="2557"/>
      <c r="V129" s="2557"/>
      <c r="W129" s="2557"/>
      <c r="X129" s="2557"/>
      <c r="Y129" s="2557"/>
      <c r="Z129" s="2557"/>
      <c r="AA129" s="2557"/>
      <c r="AB129" s="2557">
        <f>IF(OR(C125="",P124="不要",G129=""),"",IF(AQ124="天井ケーブル",2*AZ125*(F125-$Y$7/1000),O129*0.9))</f>
        <v>24.3</v>
      </c>
      <c r="AC129" s="2557"/>
      <c r="AD129" s="2557"/>
      <c r="AE129" s="2557"/>
      <c r="AF129" s="2557"/>
      <c r="AG129" s="2572" t="str">
        <f>IF($B$2=0,"","光電式煙2種埋")</f>
        <v>光電式煙2種埋</v>
      </c>
      <c r="AH129" s="2572"/>
      <c r="AI129" s="2572"/>
      <c r="AJ129" s="2572"/>
      <c r="AK129" s="2572"/>
      <c r="AL129" s="2572"/>
      <c r="AM129" s="2572"/>
      <c r="AN129" s="2312">
        <f>IF(OR(C125="",$B$2=0,P124="不要"),"",IF(AQ129&lt;&gt;"",AQ129,IF(AX130="B",BX129+BY129,IF(AND(BL129="耐 火",AZ129="無窓"),CB129+CC129,IF(AND(BL129&lt;&gt;"耐 火",AZ129="無窓"),CF129+CG129,"")))))</f>
        <v>12</v>
      </c>
      <c r="AO129" s="2312"/>
      <c r="AP129" s="2312"/>
      <c r="AQ129" s="2339"/>
      <c r="AR129" s="2339"/>
      <c r="AS129" s="2551"/>
      <c r="AT129" s="2577" t="str">
        <f>IF(C125="","","消防法上")</f>
        <v>消防法上</v>
      </c>
      <c r="AU129" s="2289"/>
      <c r="AV129" s="2289"/>
      <c r="AW129" s="2289"/>
      <c r="AX129" s="2289"/>
      <c r="AY129" s="2578"/>
      <c r="AZ129" s="2579" t="str">
        <f>IF($B$2=0,"",IF(BD129="",[4]Top!$BO$26,BD129))</f>
        <v>無窓</v>
      </c>
      <c r="BA129" s="2394"/>
      <c r="BB129" s="2580"/>
      <c r="BC129" s="353" t="s">
        <v>387</v>
      </c>
      <c r="BD129" s="2552"/>
      <c r="BE129" s="2552"/>
      <c r="BF129" s="2553"/>
      <c r="BG129" s="2581" t="str">
        <f>IF(C125="","","耐火構造")</f>
        <v>耐火構造</v>
      </c>
      <c r="BH129" s="2289"/>
      <c r="BI129" s="2289"/>
      <c r="BJ129" s="2289"/>
      <c r="BK129" s="2290"/>
      <c r="BL129" s="2278" t="str">
        <f>IF($B$2=0,"",IF(BQ129="",[4]Top!$AN$18,BQ129))</f>
        <v>耐 火</v>
      </c>
      <c r="BM129" s="2394"/>
      <c r="BN129" s="2394"/>
      <c r="BO129" s="2580"/>
      <c r="BP129" s="352" t="s">
        <v>387</v>
      </c>
      <c r="BQ129" s="2582"/>
      <c r="BR129" s="2552"/>
      <c r="BS129" s="2552"/>
      <c r="BT129" s="2583"/>
      <c r="BU129" s="19"/>
      <c r="BV129" s="35"/>
      <c r="BW129" s="351" t="s">
        <v>351</v>
      </c>
      <c r="BX129" s="350">
        <f>CB129</f>
        <v>4</v>
      </c>
      <c r="BY129" s="349">
        <f>CC129</f>
        <v>8</v>
      </c>
      <c r="BZ129" s="348"/>
      <c r="CA129" s="345"/>
      <c r="CB129" s="344">
        <f>IF(OR([6]Top!$BD$72&lt;&gt;"要",C125=""),"",IF(J125&gt;=4,1+INT(BZ126*0.47),1+INT(BZ126*0.47)))</f>
        <v>4</v>
      </c>
      <c r="CC129" s="347">
        <f>IF(OR([6]Top!$BD$72&lt;&gt;"要",C125=""),"",IF(J125&gt;=4,1+INT(CA126*0.47),1+INT(CA126*0.47)))</f>
        <v>8</v>
      </c>
      <c r="CD129" s="346"/>
      <c r="CE129" s="345"/>
      <c r="CF129" s="344">
        <f>IF(AND(AX116&lt;720,J125&lt;4),1+INT(CD126*0.47),1+INT(CD126*0.94))</f>
        <v>17</v>
      </c>
      <c r="CG129" s="343">
        <f>IF(AND(AX116&lt;720,J125&lt;4),1+INT(CE126*0.47),1+INT(CE126*0.94))</f>
        <v>36</v>
      </c>
      <c r="CH129" s="35"/>
      <c r="CI129" s="133">
        <f>IF(AND(C125&lt;&gt;"",LEFT(C125,2)&lt;&gt;" P"),CI121+F125,"")</f>
        <v>59</v>
      </c>
      <c r="CJ129" s="88" t="s">
        <v>350</v>
      </c>
      <c r="CK129" s="182" t="s">
        <v>349</v>
      </c>
      <c r="CL129" s="342">
        <f>IF(OR(C125="",C125="  RF"),"",IF(AZ133&lt;&gt;"",AZ125,AZ125+BG125))</f>
        <v>3</v>
      </c>
      <c r="CM129" s="341" t="s">
        <v>348</v>
      </c>
      <c r="CN129" s="219" t="s">
        <v>347</v>
      </c>
      <c r="CO129" s="138">
        <f>IF(OR(C125="",P124="不要"),"",AZ125*INT(CJ126+CK126)/5)</f>
        <v>21.6</v>
      </c>
      <c r="CP129" s="151" t="s">
        <v>347</v>
      </c>
      <c r="CQ129" s="340">
        <f>IF(AQ124="天井ケーブル",F125,CO129)</f>
        <v>21.6</v>
      </c>
      <c r="CR129" s="339">
        <f>SUM(CS129:CX129)</f>
        <v>9</v>
      </c>
      <c r="CS129" s="338">
        <f>AZ125</f>
        <v>3</v>
      </c>
      <c r="CT129" s="338">
        <f>IF(BA125="",0,BA125)</f>
        <v>0</v>
      </c>
      <c r="CU129" s="88">
        <v>1</v>
      </c>
      <c r="CV129" s="222">
        <v>1</v>
      </c>
      <c r="CW129" s="222">
        <v>2</v>
      </c>
      <c r="CX129" s="222">
        <v>2</v>
      </c>
      <c r="CY129" s="337" t="str">
        <f>IF(CK124="=",3*BR125+2,"")</f>
        <v/>
      </c>
      <c r="CZ129" s="218"/>
      <c r="DA129" s="8"/>
      <c r="DB129" s="197">
        <f t="shared" si="35"/>
        <v>10</v>
      </c>
      <c r="DC129" s="197" t="str">
        <f t="shared" si="36"/>
        <v/>
      </c>
      <c r="DD129" s="201" t="str">
        <f>G130</f>
        <v>FCPEV 1.2- 10Pr</v>
      </c>
      <c r="DE129" s="8"/>
      <c r="DF129" s="8"/>
      <c r="DG129" s="8"/>
      <c r="DH129" s="8" t="str">
        <f>IF(COUNTIF($DD$15:DD128,DD129)&gt;0,"",DD129)</f>
        <v/>
      </c>
      <c r="DI129" s="252">
        <f>O130</f>
        <v>21.6</v>
      </c>
      <c r="DJ129" s="32">
        <f t="shared" si="43"/>
        <v>0</v>
      </c>
      <c r="DK129" s="197">
        <f t="shared" si="37"/>
        <v>4</v>
      </c>
      <c r="DL129" s="197" t="str">
        <f t="shared" si="38"/>
        <v/>
      </c>
      <c r="DM129" s="11" t="str">
        <f>IF(AN130="","",AG130)</f>
        <v/>
      </c>
      <c r="DN129" s="11"/>
      <c r="DO129" s="11"/>
      <c r="DP129" s="9"/>
      <c r="DQ129" s="9" t="str">
        <f>IF(COUNTIF($DM$15:DM128,DM129)&gt;0,"",DM129)</f>
        <v/>
      </c>
      <c r="DR129" s="101" t="str">
        <f>AN130</f>
        <v/>
      </c>
      <c r="DS129" s="32">
        <f t="shared" si="44"/>
        <v>8</v>
      </c>
      <c r="DT129" s="8"/>
      <c r="DU129" s="197">
        <f t="shared" si="39"/>
        <v>4</v>
      </c>
      <c r="DV129" s="197" t="str">
        <f t="shared" si="40"/>
        <v/>
      </c>
      <c r="DW129" s="201" t="str">
        <f>T129</f>
        <v>C-31mm</v>
      </c>
      <c r="DX129" s="8"/>
      <c r="DY129" s="8"/>
      <c r="DZ129" s="8"/>
      <c r="EA129" s="8" t="str">
        <f>IF(COUNTIF($DW$15:DW128,DW129)&gt;0,"",DW129)</f>
        <v/>
      </c>
      <c r="EB129" s="197">
        <f>AB129</f>
        <v>24.3</v>
      </c>
      <c r="EC129" s="32">
        <f>SUMIF($DW$17:$DW$184,EA129,$EB$17:$EB$184)</f>
        <v>0</v>
      </c>
    </row>
    <row r="130" spans="1:133" ht="11.25" customHeight="1" thickBot="1">
      <c r="A130" s="15"/>
      <c r="B130" s="23"/>
      <c r="C130" s="2570"/>
      <c r="D130" s="2571"/>
      <c r="E130" s="2571"/>
      <c r="F130" s="2571"/>
      <c r="G130" s="2554" t="str">
        <f>IF(OR($B$2=0,P124="不要"),"",IF(CR130=0,"",IF(OR(C125="",P124="不要"),"",IF(CR130&lt;10,"FCPEV 1.2-5Pr",IF(CR130&lt;20,"FCPEV 1.2- 10Pr",IF(CR130&lt;30,"FCPEV 1.2- 15Pr",IF(CR130&lt;40,"FCPEV 1.2- 20Pr",IF(CR130&lt;60,"FCPEV 1.2- 30Pr",IF(CR130&lt;100,"FCPEV 1.2- 50Pr",IF(CR130&lt;140,"FCPEV 1.2- 70Pr",IF(CR130&lt;200,"FCPEV 1.2-100Pr","FCPEV 1.2-200Pr")))))))))))</f>
        <v>FCPEV 1.2- 10Pr</v>
      </c>
      <c r="H130" s="2555"/>
      <c r="I130" s="2555"/>
      <c r="J130" s="2555"/>
      <c r="K130" s="2555"/>
      <c r="L130" s="2555"/>
      <c r="M130" s="2555"/>
      <c r="N130" s="2555"/>
      <c r="O130" s="2555">
        <f>IF(OR(G130="",C125="",P124="不要"),"",CO129)</f>
        <v>21.6</v>
      </c>
      <c r="P130" s="2555"/>
      <c r="Q130" s="2555"/>
      <c r="R130" s="2555"/>
      <c r="S130" s="2555"/>
      <c r="T130" s="2555" t="str">
        <f>IF(OR(G130="",C125="",P124="不要"),"",IF(AQ124="天井ケーブル","C-"&amp;CO130&amp;"mm",IF(MID(AQ124,4,2)="PF","PF-"&amp;CN130&amp;"mm",IF(MID(AQ124,4,2)="CD","CD-"&amp;CN130&amp;"mm",IF(MID(AQ124,4,2)="C ","C-"&amp;CO130&amp;"mm",IF(MID(AQ124,4,2)="G ","G-"&amp;CN130&amp;"mm"))))))</f>
        <v>C-31mm</v>
      </c>
      <c r="U130" s="2555"/>
      <c r="V130" s="2555"/>
      <c r="W130" s="2555"/>
      <c r="X130" s="2555"/>
      <c r="Y130" s="2555"/>
      <c r="Z130" s="2555"/>
      <c r="AA130" s="2555"/>
      <c r="AB130" s="2555">
        <f>IF(OR(G130="",P124="不要"),"",CQ129)</f>
        <v>21.6</v>
      </c>
      <c r="AC130" s="2555"/>
      <c r="AD130" s="2555"/>
      <c r="AE130" s="2555"/>
      <c r="AF130" s="2555"/>
      <c r="AG130" s="2556" t="str">
        <f>IF($B$2=0,"","定温SP1種Exp")</f>
        <v>定温SP1種Exp</v>
      </c>
      <c r="AH130" s="2556"/>
      <c r="AI130" s="2556"/>
      <c r="AJ130" s="2556"/>
      <c r="AK130" s="2556"/>
      <c r="AL130" s="2556"/>
      <c r="AM130" s="2556"/>
      <c r="AN130" s="2335" t="str">
        <f>IF(AQ130&lt;&gt;"",AQ130,"")</f>
        <v/>
      </c>
      <c r="AO130" s="2335"/>
      <c r="AP130" s="2335"/>
      <c r="AQ130" s="2566"/>
      <c r="AR130" s="2566"/>
      <c r="AS130" s="2567"/>
      <c r="AT130" s="2586" t="str">
        <f>IF(C125="","","盤位置")</f>
        <v>盤位置</v>
      </c>
      <c r="AU130" s="2587"/>
      <c r="AV130" s="2587"/>
      <c r="AW130" s="2587"/>
      <c r="AX130" s="2588" t="str">
        <f>非誘!V100</f>
        <v>⑦</v>
      </c>
      <c r="AY130" s="2588"/>
      <c r="AZ130" s="2588"/>
      <c r="BA130" s="2559" t="str">
        <f>IF(C125="","","専部屋面積")</f>
        <v>専部屋面積</v>
      </c>
      <c r="BB130" s="2560"/>
      <c r="BC130" s="2560"/>
      <c r="BD130" s="2560"/>
      <c r="BE130" s="2560"/>
      <c r="BF130" s="2561"/>
      <c r="BG130" s="2562">
        <f>IF(OR(C125="",S125=""),"",S125/AA125)</f>
        <v>138.24</v>
      </c>
      <c r="BH130" s="2563"/>
      <c r="BI130" s="2563"/>
      <c r="BJ130" s="2564"/>
      <c r="BK130" s="2559" t="str">
        <f>IF(C125="","","共部屋面積")</f>
        <v>共部屋面積</v>
      </c>
      <c r="BL130" s="2560"/>
      <c r="BM130" s="2560"/>
      <c r="BN130" s="2560"/>
      <c r="BO130" s="2560"/>
      <c r="BP130" s="2561"/>
      <c r="BQ130" s="2562">
        <f>IF(OR($B$2=0,C125=""),"",W125/AD125)</f>
        <v>38.4</v>
      </c>
      <c r="BR130" s="2563"/>
      <c r="BS130" s="2563"/>
      <c r="BT130" s="2565"/>
      <c r="BU130" s="19"/>
      <c r="BV130" s="35"/>
      <c r="BW130" s="99"/>
      <c r="BX130" s="35"/>
      <c r="BY130" s="35"/>
      <c r="BZ130" s="35"/>
      <c r="CA130" s="35"/>
      <c r="CB130" s="35"/>
      <c r="CC130" s="35"/>
      <c r="CD130" s="35"/>
      <c r="CE130" s="35"/>
      <c r="CF130" s="35"/>
      <c r="CG130" s="35"/>
      <c r="CH130" s="35"/>
      <c r="CI130" s="8"/>
      <c r="CJ130" s="8"/>
      <c r="CK130" s="8"/>
      <c r="CL130" s="336" t="str">
        <f>IF(OR(RIGHT(G129,3)="5Pr",RIGHT(G129,4)="10Pr",RIGHT(G129,4)="15Pr"),"28",IF(OR(RIGHT(G129,4)="20Pr",RIGHT(G129,4)="30Pr"),"36",IF(OR(RIGHT(G129,4)="50Pr",RIGHT(G129,4)="70Pr"),"42","")))</f>
        <v>28</v>
      </c>
      <c r="CM130" s="336" t="str">
        <f>IF(OR(RIGHT(G129,3)="5Pr",RIGHT(G129,4)="10Pr",RIGHT(G129,4)="15Pr"),"31",IF(OR(RIGHT(G129,4)="20Pr",RIGHT(G129,4)="30Pr"),"39",IF(OR(RIGHT(G129,4)="50Pr",RIGHT(G129,4)="70Pr"),"51","")))</f>
        <v>31</v>
      </c>
      <c r="CN130" s="86" t="str">
        <f>IF(OR(RIGHT(G130,3)="5Pr",RIGHT(G130,4)="10Pr",RIGHT(G130,4)="15Pr"),"28",IF(OR(RIGHT(G130,4)="20Pr",RIGHT(G130,4)="30Pr"),"36",IF(OR(RIGHT(G130,4)="50Pr",RIGHT(G130,4)="70Pr"),"42","")))</f>
        <v>28</v>
      </c>
      <c r="CO130" s="86" t="str">
        <f>IF(OR(RIGHT(G130,3)="5Pr",RIGHT(G130,4)="10Pr",RIGHT(G130,4)="15Pr"),"31",IF(OR(RIGHT(G130,4)="20Pr",RIGHT(G130,4)="30Pr"),"39",IF(OR(RIGHT(G130,4)="50Pr",RIGHT(G130,4)="70Pr"),"51","")))</f>
        <v>31</v>
      </c>
      <c r="CP130" s="9"/>
      <c r="CQ130" s="9"/>
      <c r="CR130" s="335">
        <f>IF(P124="不要","",SUM(CS130:CX130))</f>
        <v>13</v>
      </c>
      <c r="CS130" s="334">
        <f>IF(OR(CK124="",CK124="=",P124="不要"),0,IF(CK124="－",CL129+CS122,IF(CK124="+",CL129+CS138)))</f>
        <v>6</v>
      </c>
      <c r="CT130" s="188">
        <f>IF(OR(CK124="",CK124="=",P124="不要"),0,IF(CS130&lt;7,1,IF(CS130&lt;14,2,IF(CS130&lt;21,3,IF(CS130&lt;28,4,IF(CS130&lt;35,5,IF(CS130&lt;42,6,IF(CS130&lt;49,7,IF(CS130&lt;56,8,IF(CS130&lt;63,9,IF(CS130&lt;70,10,IF(CS130&lt;77,11,"---"))))))))))))</f>
        <v>1</v>
      </c>
      <c r="CU130" s="188">
        <f>IF(CS130=0,0,1)</f>
        <v>1</v>
      </c>
      <c r="CV130" s="333">
        <f>IF(CS130=0,0,1)</f>
        <v>1</v>
      </c>
      <c r="CW130" s="333">
        <f>IF(CS130=0,0,2)</f>
        <v>2</v>
      </c>
      <c r="CX130" s="333">
        <f>IF(CS130=0,0,2)</f>
        <v>2</v>
      </c>
      <c r="CY130" s="332">
        <f>IF(OR(BR133="",P124="不要"),0,IF(CK124="=",0,IF(CK124="－",2*BR125+3,IF(CK124="+",2*(BR125+BR133)+3,""))))</f>
        <v>15</v>
      </c>
      <c r="CZ130" s="216"/>
      <c r="DA130" s="9"/>
      <c r="DB130" s="127">
        <f t="shared" si="35"/>
        <v>10</v>
      </c>
      <c r="DC130" s="127" t="str">
        <f t="shared" si="36"/>
        <v/>
      </c>
      <c r="DD130" s="11" t="str">
        <f>CR124</f>
        <v>防火区画処理</v>
      </c>
      <c r="DE130" s="9"/>
      <c r="DF130" s="9"/>
      <c r="DG130" s="9"/>
      <c r="DH130" s="9" t="str">
        <f>IF(COUNTIF($DD$15:DD129,DD130)&gt;0,"",DD130)</f>
        <v/>
      </c>
      <c r="DI130" s="242">
        <f>CU124</f>
        <v>14</v>
      </c>
      <c r="DJ130" s="32">
        <f t="shared" si="43"/>
        <v>0</v>
      </c>
      <c r="DK130" s="127">
        <f t="shared" si="37"/>
        <v>4</v>
      </c>
      <c r="DL130" s="127" t="str">
        <f t="shared" si="38"/>
        <v/>
      </c>
      <c r="DM130" s="11" t="str">
        <f>IF(CY125="","",CV125)</f>
        <v/>
      </c>
      <c r="DN130" s="11"/>
      <c r="DO130" s="11"/>
      <c r="DP130" s="9"/>
      <c r="DQ130" s="9" t="str">
        <f>IF(COUNTIF($DM$15:DM129,DM130)&gt;0,"",DM130)</f>
        <v/>
      </c>
      <c r="DR130" s="101" t="str">
        <f>CY125</f>
        <v/>
      </c>
      <c r="DS130" s="32">
        <f t="shared" si="44"/>
        <v>8</v>
      </c>
      <c r="DT130" s="9"/>
      <c r="DU130" s="197">
        <f t="shared" si="39"/>
        <v>4</v>
      </c>
      <c r="DV130" s="197" t="str">
        <f t="shared" si="40"/>
        <v/>
      </c>
      <c r="DW130" s="201" t="str">
        <f>T130</f>
        <v>C-31mm</v>
      </c>
      <c r="DX130" s="8"/>
      <c r="DY130" s="8"/>
      <c r="DZ130" s="8"/>
      <c r="EA130" s="8" t="str">
        <f>IF(COUNTIF($DW$15:DW129,DW130)&gt;0,"",DW130)</f>
        <v/>
      </c>
      <c r="EB130" s="197">
        <f>AB130</f>
        <v>21.6</v>
      </c>
      <c r="EC130" s="32">
        <f>SUMIF($DW$17:$DW$184,EA130,$EB$17:$EB$184)</f>
        <v>0</v>
      </c>
    </row>
    <row r="131" spans="1:133" ht="11.25" customHeight="1">
      <c r="A131" s="15"/>
      <c r="B131" s="23"/>
      <c r="C131" s="37"/>
      <c r="D131" s="37"/>
      <c r="E131" s="37"/>
      <c r="F131" s="37"/>
      <c r="G131" s="331"/>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157"/>
      <c r="AH131" s="157"/>
      <c r="AI131" s="157"/>
      <c r="AJ131" s="157"/>
      <c r="AK131" s="157"/>
      <c r="AL131" s="157"/>
      <c r="AM131" s="157"/>
      <c r="AN131" s="377"/>
      <c r="AO131" s="377"/>
      <c r="AP131" s="377"/>
      <c r="AQ131" s="37"/>
      <c r="AR131" s="37"/>
      <c r="AS131" s="37"/>
      <c r="AT131" s="157"/>
      <c r="AU131" s="157"/>
      <c r="AV131" s="157"/>
      <c r="AW131" s="157"/>
      <c r="AX131" s="157"/>
      <c r="AY131" s="157"/>
      <c r="AZ131" s="157"/>
      <c r="BA131" s="377"/>
      <c r="BB131" s="377"/>
      <c r="BC131" s="377"/>
      <c r="BD131" s="37"/>
      <c r="BE131" s="37"/>
      <c r="BF131" s="37"/>
      <c r="BG131" s="157"/>
      <c r="BH131" s="157"/>
      <c r="BI131" s="157"/>
      <c r="BJ131" s="157"/>
      <c r="BK131" s="157"/>
      <c r="BL131" s="157"/>
      <c r="BM131" s="157"/>
      <c r="BN131" s="157"/>
      <c r="BO131" s="377"/>
      <c r="BP131" s="377"/>
      <c r="BQ131" s="377"/>
      <c r="BR131" s="37"/>
      <c r="BS131" s="37"/>
      <c r="BT131" s="37"/>
      <c r="BU131" s="19"/>
      <c r="BV131" s="35"/>
      <c r="BW131" s="99"/>
      <c r="BX131" s="35"/>
      <c r="BY131" s="35"/>
      <c r="BZ131" s="35"/>
      <c r="CA131" s="35"/>
      <c r="CB131" s="35"/>
      <c r="CC131" s="35"/>
      <c r="CD131" s="35"/>
      <c r="CE131" s="35"/>
      <c r="CF131" s="35"/>
      <c r="CG131" s="35"/>
      <c r="CH131" s="35"/>
      <c r="CI131" s="199"/>
      <c r="CJ131" s="8"/>
      <c r="CK131" s="8"/>
      <c r="CL131" s="64"/>
      <c r="CM131" s="64"/>
      <c r="CN131" s="64"/>
      <c r="CO131" s="64"/>
      <c r="CP131" s="9"/>
      <c r="CQ131" s="9"/>
      <c r="CR131" s="376"/>
      <c r="CS131" s="375"/>
      <c r="CT131" s="145"/>
      <c r="CU131" s="145"/>
      <c r="CV131" s="127"/>
      <c r="CW131" s="127"/>
      <c r="CX131" s="127"/>
      <c r="CY131" s="9"/>
      <c r="CZ131" s="218"/>
      <c r="DA131" s="9"/>
      <c r="DB131" s="127">
        <f t="shared" si="35"/>
        <v>10</v>
      </c>
      <c r="DC131" s="127" t="str">
        <f t="shared" si="36"/>
        <v/>
      </c>
      <c r="DD131" s="11"/>
      <c r="DE131" s="9"/>
      <c r="DF131" s="9"/>
      <c r="DG131" s="9"/>
      <c r="DH131" s="9"/>
      <c r="DI131" s="242"/>
      <c r="DJ131" s="13"/>
      <c r="DK131" s="127">
        <f t="shared" si="37"/>
        <v>4</v>
      </c>
      <c r="DL131" s="127" t="str">
        <f t="shared" si="38"/>
        <v/>
      </c>
      <c r="DM131" s="11" t="str">
        <f>IF(CY126="","",CV126)</f>
        <v>P1総合盤露出</v>
      </c>
      <c r="DN131" s="11"/>
      <c r="DO131" s="11"/>
      <c r="DP131" s="9"/>
      <c r="DQ131" s="9" t="str">
        <f>IF(COUNTIF($DM$15:DM130,DM131)&gt;0,"",DM131)</f>
        <v/>
      </c>
      <c r="DR131" s="101">
        <f>CY126</f>
        <v>3</v>
      </c>
      <c r="DS131" s="32">
        <f t="shared" si="44"/>
        <v>8</v>
      </c>
      <c r="DT131" s="9"/>
      <c r="DU131" s="8">
        <f t="shared" si="39"/>
        <v>4</v>
      </c>
      <c r="DV131" s="8" t="str">
        <f t="shared" si="40"/>
        <v/>
      </c>
      <c r="DW131" s="8"/>
      <c r="DX131" s="8"/>
      <c r="DY131" s="8"/>
      <c r="DZ131" s="8"/>
      <c r="EA131" s="8"/>
      <c r="EB131" s="8"/>
      <c r="EC131" s="8"/>
    </row>
    <row r="132" spans="1:133" ht="11.25" customHeight="1" thickBot="1">
      <c r="A132" s="374">
        <v>15</v>
      </c>
      <c r="B132" s="23"/>
      <c r="C132" s="2626" t="str">
        <f>非誘!J105</f>
        <v>( 15)</v>
      </c>
      <c r="D132" s="2627"/>
      <c r="E132" s="2628"/>
      <c r="F132" s="2629" t="str">
        <f>非誘!M105</f>
        <v>前各項以外</v>
      </c>
      <c r="G132" s="2629"/>
      <c r="H132" s="2629"/>
      <c r="I132" s="2629"/>
      <c r="J132" s="2629"/>
      <c r="K132" s="2629"/>
      <c r="L132" s="2629"/>
      <c r="M132" s="2629"/>
      <c r="N132" s="2629"/>
      <c r="O132" s="2629"/>
      <c r="P132" s="2630" t="str">
        <f>IF(U132="",RIGHT($D$8,2),U132)</f>
        <v>設置</v>
      </c>
      <c r="Q132" s="2630"/>
      <c r="R132" s="2630"/>
      <c r="S132" s="2631"/>
      <c r="T132" s="31" t="s">
        <v>387</v>
      </c>
      <c r="U132" s="2632"/>
      <c r="V132" s="2632"/>
      <c r="W132" s="2632"/>
      <c r="X132" s="2633"/>
      <c r="Y132" s="2634" t="s">
        <v>20</v>
      </c>
      <c r="Z132" s="2634"/>
      <c r="AA132" s="2634"/>
      <c r="AB132" s="2634"/>
      <c r="AC132" s="2634"/>
      <c r="AD132" s="2635">
        <f>非誘!J106</f>
        <v>0.7142857142857143</v>
      </c>
      <c r="AE132" s="2635"/>
      <c r="AF132" s="2635"/>
      <c r="AG132" s="2635"/>
      <c r="AH132" s="2299" t="s">
        <v>135</v>
      </c>
      <c r="AI132" s="2299"/>
      <c r="AJ132" s="2299"/>
      <c r="AK132" s="2299"/>
      <c r="AL132" s="2299"/>
      <c r="AM132" s="2299" t="s">
        <v>366</v>
      </c>
      <c r="AN132" s="2299"/>
      <c r="AO132" s="2299"/>
      <c r="AP132" s="2299"/>
      <c r="AQ132" s="2569" t="str">
        <f>IF(AX132="","天井ケーブル",AX132)</f>
        <v>天井(C 管)</v>
      </c>
      <c r="AR132" s="2569"/>
      <c r="AS132" s="2569"/>
      <c r="AT132" s="2569"/>
      <c r="AU132" s="2569"/>
      <c r="AV132" s="2569"/>
      <c r="AW132" s="175" t="s">
        <v>387</v>
      </c>
      <c r="AX132" s="2338" t="s">
        <v>388</v>
      </c>
      <c r="AY132" s="2338"/>
      <c r="AZ132" s="2338"/>
      <c r="BA132" s="2338"/>
      <c r="BB132" s="2338"/>
      <c r="BC132" s="2338"/>
      <c r="BD132" s="2299" t="s">
        <v>363</v>
      </c>
      <c r="BE132" s="2299"/>
      <c r="BF132" s="2299"/>
      <c r="BG132" s="2299"/>
      <c r="BH132" s="2569" t="str">
        <f>IF(BO132="","天井(C 管)",BO132)</f>
        <v>天井(C 管)</v>
      </c>
      <c r="BI132" s="2569"/>
      <c r="BJ132" s="2569"/>
      <c r="BK132" s="2569"/>
      <c r="BL132" s="2569"/>
      <c r="BM132" s="2569"/>
      <c r="BN132" s="175" t="s">
        <v>387</v>
      </c>
      <c r="BO132" s="2338"/>
      <c r="BP132" s="2338"/>
      <c r="BQ132" s="2338"/>
      <c r="BR132" s="2338"/>
      <c r="BS132" s="2338"/>
      <c r="BT132" s="2622"/>
      <c r="BU132" s="19"/>
      <c r="BV132" s="35"/>
      <c r="BW132" s="99"/>
      <c r="BX132" s="35"/>
      <c r="BY132" s="35"/>
      <c r="BZ132" s="35"/>
      <c r="CA132" s="35"/>
      <c r="CB132" s="35"/>
      <c r="CC132" s="35"/>
      <c r="CD132" s="35"/>
      <c r="CE132" s="35"/>
      <c r="CF132" s="35"/>
      <c r="CG132" s="35"/>
      <c r="CH132" s="35"/>
      <c r="CI132" s="8">
        <v>23</v>
      </c>
      <c r="CJ132" s="97" t="str">
        <f>IF(LEFT(C133,2)=" B",-MID(C133,3,1),IF(C133="  RF","",LEFT(C133,3)))</f>
        <v>PH1</v>
      </c>
      <c r="CK132" s="10" t="str">
        <f>IF(OR(C133="",C133="  RF"),"",IF(LEFT(C133,1)="P","+",IF($CJ$14&gt;CJ132,"－",IF($CJ$14=CJ132,"=","+"))))</f>
        <v>+</v>
      </c>
      <c r="CL132" s="2601" t="s">
        <v>376</v>
      </c>
      <c r="CM132" s="2601"/>
      <c r="CN132" s="2601"/>
      <c r="CO132" s="2601" t="s">
        <v>375</v>
      </c>
      <c r="CP132" s="2601"/>
      <c r="CQ132" s="2601"/>
      <c r="CR132" s="2589" t="str">
        <f>AG133</f>
        <v>防火区画処理</v>
      </c>
      <c r="CS132" s="2590"/>
      <c r="CT132" s="2591"/>
      <c r="CU132" s="184">
        <f>AN133</f>
        <v>6</v>
      </c>
      <c r="CV132" s="2589" t="str">
        <f>AG137</f>
        <v>光電式煙2種埋</v>
      </c>
      <c r="CW132" s="2590"/>
      <c r="CX132" s="2591"/>
      <c r="CY132" s="184">
        <f>AN137</f>
        <v>11</v>
      </c>
      <c r="CZ132" s="216"/>
      <c r="DA132" s="88">
        <v>15</v>
      </c>
      <c r="DB132" s="204">
        <f t="shared" si="35"/>
        <v>10</v>
      </c>
      <c r="DC132" s="155" t="str">
        <f t="shared" si="36"/>
        <v/>
      </c>
      <c r="DD132" s="45"/>
      <c r="DE132" s="45"/>
      <c r="DF132" s="45"/>
      <c r="DG132" s="45"/>
      <c r="DH132" s="45"/>
      <c r="DI132" s="45"/>
      <c r="DJ132" s="45"/>
      <c r="DK132" s="155">
        <f t="shared" si="37"/>
        <v>4</v>
      </c>
      <c r="DL132" s="155" t="str">
        <f t="shared" si="38"/>
        <v/>
      </c>
      <c r="DM132" s="154" t="str">
        <f>IF(CY127="","",CV127)</f>
        <v/>
      </c>
      <c r="DN132" s="154"/>
      <c r="DO132" s="154"/>
      <c r="DP132" s="45"/>
      <c r="DQ132" s="45"/>
      <c r="DR132" s="209"/>
      <c r="DS132" s="230">
        <f>SUMIF($DM$17:$DM$185,DQ132,$DR$17:$DR$185)</f>
        <v>0</v>
      </c>
      <c r="DT132" s="88">
        <v>15</v>
      </c>
      <c r="DU132" s="373">
        <f t="shared" si="39"/>
        <v>4</v>
      </c>
      <c r="DV132" s="45" t="str">
        <f t="shared" si="40"/>
        <v/>
      </c>
      <c r="DW132" s="45"/>
      <c r="DX132" s="45"/>
      <c r="DY132" s="45"/>
      <c r="DZ132" s="45"/>
      <c r="EA132" s="45"/>
      <c r="EB132" s="45"/>
      <c r="EC132" s="45"/>
    </row>
    <row r="133" spans="1:133" ht="11.25" customHeight="1" thickBot="1">
      <c r="A133" s="15">
        <v>20</v>
      </c>
      <c r="B133" s="23"/>
      <c r="C133" s="2602" t="str">
        <f>非誘!C107</f>
        <v>PH1F</v>
      </c>
      <c r="D133" s="2603"/>
      <c r="E133" s="2604"/>
      <c r="F133" s="2605">
        <f>非誘!F107</f>
        <v>4</v>
      </c>
      <c r="G133" s="2606"/>
      <c r="H133" s="2606"/>
      <c r="I133" s="2607"/>
      <c r="J133" s="2605" t="str">
        <f>非誘!J107</f>
        <v>直天</v>
      </c>
      <c r="K133" s="2606"/>
      <c r="L133" s="2606"/>
      <c r="M133" s="2607"/>
      <c r="N133" s="2608">
        <f>非誘!N107</f>
        <v>140</v>
      </c>
      <c r="O133" s="2609"/>
      <c r="P133" s="2609"/>
      <c r="Q133" s="2609"/>
      <c r="R133" s="2610"/>
      <c r="S133" s="2608" t="str">
        <f>非誘!S107</f>
        <v/>
      </c>
      <c r="T133" s="2609"/>
      <c r="U133" s="2609"/>
      <c r="V133" s="2610"/>
      <c r="W133" s="2608">
        <f>非誘!W107</f>
        <v>140</v>
      </c>
      <c r="X133" s="2609"/>
      <c r="Y133" s="2609"/>
      <c r="Z133" s="2610"/>
      <c r="AA133" s="2611" t="str">
        <f>非誘!AA107</f>
        <v/>
      </c>
      <c r="AB133" s="2603"/>
      <c r="AC133" s="2604"/>
      <c r="AD133" s="2612">
        <f>非誘!AD107</f>
        <v>8</v>
      </c>
      <c r="AE133" s="2613"/>
      <c r="AF133" s="2614"/>
      <c r="AG133" s="2615" t="str">
        <f>IF($B$2=0,"","防火区画処理")</f>
        <v>防火区画処理</v>
      </c>
      <c r="AH133" s="2615"/>
      <c r="AI133" s="2615"/>
      <c r="AJ133" s="2615"/>
      <c r="AK133" s="2615"/>
      <c r="AL133" s="2615"/>
      <c r="AM133" s="2615"/>
      <c r="AN133" s="2616">
        <f>IF(OR($B$2=0,C133="",P132="不要"),"",AZ133+BG133+BR133*2)</f>
        <v>6</v>
      </c>
      <c r="AO133" s="2616"/>
      <c r="AP133" s="2616"/>
      <c r="AQ133" s="2617" t="s">
        <v>374</v>
      </c>
      <c r="AR133" s="2617"/>
      <c r="AS133" s="2617"/>
      <c r="AT133" s="2617"/>
      <c r="AU133" s="2617"/>
      <c r="AV133" s="2618" t="s">
        <v>373</v>
      </c>
      <c r="AW133" s="2618"/>
      <c r="AX133" s="2618"/>
      <c r="AY133" s="2618"/>
      <c r="AZ133" s="2619">
        <f>IF(OR($B$2=0,C133="",P132="不要"),"",IF(LEFT(C133,1)="P",1+INT(W133/450),INT(S133/450)+1+INT(W133/450)))</f>
        <v>1</v>
      </c>
      <c r="BA133" s="2619"/>
      <c r="BB133" s="2619"/>
      <c r="BC133" s="2618" t="s">
        <v>372</v>
      </c>
      <c r="BD133" s="2618"/>
      <c r="BE133" s="2618"/>
      <c r="BF133" s="2618"/>
      <c r="BG133" s="2619">
        <f>IF(OR($B$2=0,C133="",P132="不要"),"",1+INT(N133/500))</f>
        <v>1</v>
      </c>
      <c r="BH133" s="2619"/>
      <c r="BI133" s="2619"/>
      <c r="BJ133" s="2617" t="s">
        <v>371</v>
      </c>
      <c r="BK133" s="2617"/>
      <c r="BL133" s="2617"/>
      <c r="BM133" s="2617"/>
      <c r="BN133" s="2617"/>
      <c r="BO133" s="2617"/>
      <c r="BP133" s="2617"/>
      <c r="BQ133" s="2617"/>
      <c r="BR133" s="2620">
        <f>IF(OR($B$2=0,C133="",P132="不要"),"",1+INT(0.055*N133^0.6))</f>
        <v>2</v>
      </c>
      <c r="BS133" s="2620"/>
      <c r="BT133" s="2621"/>
      <c r="BU133" s="19"/>
      <c r="BV133" s="35"/>
      <c r="BW133" s="99"/>
      <c r="BX133" s="35"/>
      <c r="BY133" s="35"/>
      <c r="BZ133" s="35"/>
      <c r="CA133" s="35"/>
      <c r="CB133" s="35"/>
      <c r="CC133" s="35"/>
      <c r="CD133" s="35"/>
      <c r="CE133" s="35"/>
      <c r="CF133" s="35"/>
      <c r="CG133" s="35"/>
      <c r="CH133" s="35"/>
      <c r="CI133" s="8">
        <v>2</v>
      </c>
      <c r="CJ133" s="88" t="s">
        <v>386</v>
      </c>
      <c r="CK133" s="88" t="s">
        <v>385</v>
      </c>
      <c r="CL133" s="372">
        <f>IF(C134="","",IF(AX138="①",CJ134+CK134+3,IF(AX138="②",CJ134*5/8+CK134+3,IF(AX138="③",CJ134/2+CK134+3,IF(AX138="④",CJ134+CK134*5/8+3,IF(AX138="⑤",(CJ134+CK134)*5/8+3,IF(AX138="⑥",CJ134/2+CK134*5/8+3,IF(AX138="⑦",CJ134+CK134/2+3,IF(AX138="⑧",CJ134*5/8+CK134/2+3,IF(AX138="⑨",(CJ134+CK134)/2+3))))))))))</f>
        <v>11.5</v>
      </c>
      <c r="CM133" s="371" t="s">
        <v>384</v>
      </c>
      <c r="CN133" s="371" t="s">
        <v>383</v>
      </c>
      <c r="CO133" s="370"/>
      <c r="CP133" s="371" t="s">
        <v>384</v>
      </c>
      <c r="CQ133" s="370" t="s">
        <v>383</v>
      </c>
      <c r="CR133" s="2589" t="str">
        <f>AG134</f>
        <v>差動SP2種埋</v>
      </c>
      <c r="CS133" s="2590"/>
      <c r="CT133" s="2591"/>
      <c r="CU133" s="184" t="str">
        <f>AN134</f>
        <v/>
      </c>
      <c r="CV133" s="2589" t="str">
        <f>AT136</f>
        <v>HP起動押ボタン</v>
      </c>
      <c r="CW133" s="2590"/>
      <c r="CX133" s="2591"/>
      <c r="CY133" s="184" t="str">
        <f>BA136</f>
        <v/>
      </c>
      <c r="CZ133" s="216"/>
      <c r="DA133" s="8"/>
      <c r="DB133" s="197">
        <f t="shared" si="35"/>
        <v>10</v>
      </c>
      <c r="DC133" s="197" t="str">
        <f t="shared" si="36"/>
        <v/>
      </c>
      <c r="DD133" s="201" t="str">
        <f>G134</f>
        <v>AE 0.9mm-4C</v>
      </c>
      <c r="DE133" s="8"/>
      <c r="DF133" s="8"/>
      <c r="DG133" s="8"/>
      <c r="DH133" s="8" t="str">
        <f>IF(COUNTIF($DD$15:DD132,DD133)&gt;0,"",DD133)</f>
        <v/>
      </c>
      <c r="DI133" s="252">
        <f>O134</f>
        <v>27</v>
      </c>
      <c r="DJ133" s="32">
        <f t="shared" ref="DJ133:DJ138" si="45">SUMIF($DD$17:$DD$184,DH133,$DI$17:$DI$184)</f>
        <v>0</v>
      </c>
      <c r="DK133" s="197">
        <f t="shared" si="37"/>
        <v>4</v>
      </c>
      <c r="DL133" s="197" t="str">
        <f t="shared" si="38"/>
        <v/>
      </c>
      <c r="DM133" s="10" t="str">
        <f>IF(CU133="","",CR133)</f>
        <v/>
      </c>
      <c r="DN133" s="10" t="str">
        <f>CR133</f>
        <v>差動SP2種埋</v>
      </c>
      <c r="DO133" s="10"/>
      <c r="DP133" s="8"/>
      <c r="DQ133" s="8" t="str">
        <f>IF(COUNTIF($DM$15:DM132,DM133)&gt;0,"",DM133)</f>
        <v/>
      </c>
      <c r="DR133" s="200" t="str">
        <f>CU133</f>
        <v/>
      </c>
      <c r="DS133" s="32">
        <f t="shared" ref="DS133:DS139" si="46">SUMIF($DM$17:$DM$184,DQ133,$DR$17:$DR$184)</f>
        <v>8</v>
      </c>
      <c r="DT133" s="8"/>
      <c r="DU133" s="197">
        <f t="shared" si="39"/>
        <v>4</v>
      </c>
      <c r="DV133" s="197" t="str">
        <f t="shared" si="40"/>
        <v/>
      </c>
      <c r="DW133" s="201"/>
      <c r="DX133" s="8"/>
      <c r="DY133" s="8"/>
      <c r="DZ133" s="8"/>
      <c r="EA133" s="8"/>
      <c r="EB133" s="252"/>
      <c r="EC133" s="32"/>
    </row>
    <row r="134" spans="1:133" ht="11.25" customHeight="1">
      <c r="A134" s="15"/>
      <c r="B134" s="23"/>
      <c r="C134" s="2623" t="s">
        <v>366</v>
      </c>
      <c r="D134" s="2624"/>
      <c r="E134" s="2624"/>
      <c r="F134" s="2624"/>
      <c r="G134" s="2625" t="str">
        <f>IF(C133="","","AE 0.9mm-4C")</f>
        <v>AE 0.9mm-4C</v>
      </c>
      <c r="H134" s="2625"/>
      <c r="I134" s="2625"/>
      <c r="J134" s="2625"/>
      <c r="K134" s="2625"/>
      <c r="L134" s="2625"/>
      <c r="M134" s="2625"/>
      <c r="N134" s="2625"/>
      <c r="O134" s="2593">
        <f>IF($B$2=0,"",IF(OR(C133="",P132="不要"),"",ROUND((CM134+CN134),0)))</f>
        <v>27</v>
      </c>
      <c r="P134" s="2593"/>
      <c r="Q134" s="2593"/>
      <c r="R134" s="2593"/>
      <c r="S134" s="2593"/>
      <c r="T134" s="2593" t="str">
        <f>IF(OR($B$2=0,C133="",P132="不要"),"",IF(AQ132="天井ケーブル","C-19mm",IF(MID(AQ132,4,2)="PF","PF-16mm",IF(MID(AQ132,4,2)="CD","CD-16mm",IF(MID(AQ132,4,2)="C ","C-19mm",IF(MID(AQ132,4,2)="G ","G-16mm",""))))))</f>
        <v>C-19mm</v>
      </c>
      <c r="U134" s="2593"/>
      <c r="V134" s="2593"/>
      <c r="W134" s="2593"/>
      <c r="X134" s="2593"/>
      <c r="Y134" s="2593"/>
      <c r="Z134" s="2593"/>
      <c r="AA134" s="2593"/>
      <c r="AB134" s="2593">
        <f>IF(OR($B$2=0,C133="",P132="不要"),"",IF(CQ134="",ROUND(CP134,0),ROUND((CP134+CQ134),0)))</f>
        <v>45</v>
      </c>
      <c r="AC134" s="2593"/>
      <c r="AD134" s="2593"/>
      <c r="AE134" s="2593"/>
      <c r="AF134" s="2593"/>
      <c r="AG134" s="2595" t="str">
        <f>IF($B$2=0,"","差動SP2種埋")</f>
        <v>差動SP2種埋</v>
      </c>
      <c r="AH134" s="2595"/>
      <c r="AI134" s="2595"/>
      <c r="AJ134" s="2595"/>
      <c r="AK134" s="2595"/>
      <c r="AL134" s="2595"/>
      <c r="AM134" s="2595"/>
      <c r="AN134" s="2593" t="str">
        <f>IF(OR(C133="",P132="不要"),"",IF(AQ134&lt;&gt;"",AQ134,IF(AX138="B","",IF(AZ137="無窓","",IF(AND(BL137="耐 火",AZ137="有窓"),BZ134+CA134,CD134+CE134)))))</f>
        <v/>
      </c>
      <c r="AO134" s="2593"/>
      <c r="AP134" s="2593"/>
      <c r="AQ134" s="2594"/>
      <c r="AR134" s="2594"/>
      <c r="AS134" s="2594"/>
      <c r="AT134" s="2595" t="str">
        <f>IF($B$2=0,"","P1総合盤露出")</f>
        <v>P1総合盤露出</v>
      </c>
      <c r="AU134" s="2595"/>
      <c r="AV134" s="2595"/>
      <c r="AW134" s="2595"/>
      <c r="AX134" s="2595"/>
      <c r="AY134" s="2595"/>
      <c r="AZ134" s="2595"/>
      <c r="BA134" s="2593">
        <f>IF(P132="不要","",IF(BD134&lt;&gt;"",BD134,IF([4]Top!$BD$51="要","",AZ133)))</f>
        <v>1</v>
      </c>
      <c r="BB134" s="2593"/>
      <c r="BC134" s="2593"/>
      <c r="BD134" s="2594"/>
      <c r="BE134" s="2594"/>
      <c r="BF134" s="2594"/>
      <c r="BG134" s="2597" t="str">
        <f>IF($B$2=0,"","ﾗｯﾁ電磁レリーズ")</f>
        <v>ﾗｯﾁ電磁レリーズ</v>
      </c>
      <c r="BH134" s="2597"/>
      <c r="BI134" s="2597"/>
      <c r="BJ134" s="2597"/>
      <c r="BK134" s="2597"/>
      <c r="BL134" s="2597"/>
      <c r="BM134" s="2597"/>
      <c r="BN134" s="2597"/>
      <c r="BO134" s="2593">
        <f>IF(P132="不要","",IF(BR134&lt;&gt;"",BR134,BR133))</f>
        <v>2</v>
      </c>
      <c r="BP134" s="2593"/>
      <c r="BQ134" s="2593"/>
      <c r="BR134" s="2594"/>
      <c r="BS134" s="2594"/>
      <c r="BT134" s="2596"/>
      <c r="BU134" s="19"/>
      <c r="BV134" s="35"/>
      <c r="BW134" s="351" t="s">
        <v>365</v>
      </c>
      <c r="BX134" s="368"/>
      <c r="BY134" s="369"/>
      <c r="BZ134" s="344">
        <f>IF(AA133="",0,IF(OR([6]Top!$BD$72&lt;&gt;"要",C133=""),"",IF(J133&gt;=4,1+INT(AA133*2.4),1+INT(AA133*1.2))))</f>
        <v>0</v>
      </c>
      <c r="CA134" s="360">
        <f>IF(OR([6]Top!$BD$72&lt;&gt;"要",C133=""),"",IF(J133&gt;=4,1+INT(AD133*2.4),1+INT(AD133*1.2)))</f>
        <v>20</v>
      </c>
      <c r="CB134" s="368"/>
      <c r="CC134" s="369"/>
      <c r="CD134" s="343">
        <f>IF($AX$8&lt;=500,BZ134*2,1+INT(BZ134*2.5))</f>
        <v>1</v>
      </c>
      <c r="CE134" s="360">
        <f>IF($AX$8&lt;=500,CA134*2,1+INT(CA134*2.5))</f>
        <v>51</v>
      </c>
      <c r="CF134" s="368"/>
      <c r="CG134" s="367"/>
      <c r="CH134" s="35"/>
      <c r="CI134" s="133">
        <f>IF(AZ133&lt;&gt;"",AZ133,0)</f>
        <v>1</v>
      </c>
      <c r="CJ134" s="98">
        <f>非誘!BW107</f>
        <v>5</v>
      </c>
      <c r="CK134" s="98">
        <f>非誘!BX107</f>
        <v>7</v>
      </c>
      <c r="CL134" s="88" t="s">
        <v>364</v>
      </c>
      <c r="CM134" s="185">
        <f>IF(OR(C133="",C133="  RF"),"",IF(J133="直天",$AN$10/1000+F133-1.2+SQRT(CK135/CM135),$AN$10/1000+J133-1.2+SQRT(CK135/CM135)))</f>
        <v>8.5816506165694673</v>
      </c>
      <c r="CN134" s="185">
        <f>IF(OR(C133="",P132="不要"),"",CL133+CK136*AZ133)</f>
        <v>18.7</v>
      </c>
      <c r="CO134" s="88" t="s">
        <v>364</v>
      </c>
      <c r="CP134" s="185">
        <f>IF(OR(C133="",C133="  RF"),"",IF(J133="直天",F133-1.2+SQRT(CK135/CM135),IF(AQ132="天井ケーブル",J133-1.2,J133-1.2+SQRT(CK135/CM135))))</f>
        <v>6.0816506165694673</v>
      </c>
      <c r="CQ134" s="356">
        <f>IF(OR(C133="",C133="  RF"),"",IF(AQ132="天井ケーブル","",(CM135-1)*SQRT(CK135/CM135)))</f>
        <v>39.379807398833613</v>
      </c>
      <c r="CR134" s="2589" t="str">
        <f>AG135</f>
        <v>定温SP1種WP</v>
      </c>
      <c r="CS134" s="2590"/>
      <c r="CT134" s="2591"/>
      <c r="CU134" s="184">
        <f>AN135</f>
        <v>1</v>
      </c>
      <c r="CV134" s="2589" t="str">
        <f>AT134</f>
        <v>P1総合盤露出</v>
      </c>
      <c r="CW134" s="2590"/>
      <c r="CX134" s="2591"/>
      <c r="CY134" s="184">
        <f>BA134</f>
        <v>1</v>
      </c>
      <c r="CZ134" s="216"/>
      <c r="DA134" s="8"/>
      <c r="DB134" s="197">
        <f t="shared" si="35"/>
        <v>10</v>
      </c>
      <c r="DC134" s="197" t="str">
        <f t="shared" si="36"/>
        <v/>
      </c>
      <c r="DD134" s="201" t="str">
        <f>G135</f>
        <v>HP 1.2mm-3C</v>
      </c>
      <c r="DE134" s="8"/>
      <c r="DF134" s="8"/>
      <c r="DG134" s="8"/>
      <c r="DH134" s="8" t="str">
        <f>IF(COUNTIF($DD$15:DD133,DD134)&gt;0,"",DD134)</f>
        <v/>
      </c>
      <c r="DI134" s="252">
        <f>O135</f>
        <v>23</v>
      </c>
      <c r="DJ134" s="32">
        <f t="shared" si="45"/>
        <v>0</v>
      </c>
      <c r="DK134" s="197">
        <f t="shared" si="37"/>
        <v>4</v>
      </c>
      <c r="DL134" s="197" t="str">
        <f t="shared" si="38"/>
        <v/>
      </c>
      <c r="DM134" s="10" t="str">
        <f>IF(CU134="","",CR134)</f>
        <v>定温SP1種WP</v>
      </c>
      <c r="DN134" s="10" t="str">
        <f>CR134</f>
        <v>定温SP1種WP</v>
      </c>
      <c r="DO134" s="10"/>
      <c r="DP134" s="8"/>
      <c r="DQ134" s="8" t="str">
        <f>IF(COUNTIF($DM$15:DM133,DM134)&gt;0,"",DM134)</f>
        <v/>
      </c>
      <c r="DR134" s="200">
        <f>CU134</f>
        <v>1</v>
      </c>
      <c r="DS134" s="32">
        <f t="shared" si="46"/>
        <v>8</v>
      </c>
      <c r="DT134" s="8"/>
      <c r="DU134" s="197">
        <f t="shared" si="39"/>
        <v>4</v>
      </c>
      <c r="DV134" s="197" t="str">
        <f t="shared" si="40"/>
        <v/>
      </c>
      <c r="DW134" s="201" t="str">
        <f>T134</f>
        <v>C-19mm</v>
      </c>
      <c r="DX134" s="8"/>
      <c r="DY134" s="8"/>
      <c r="DZ134" s="8"/>
      <c r="EA134" s="8" t="str">
        <f>IF(COUNTIF($DW$15:DW133,DW134)&gt;0,"",DW134)</f>
        <v/>
      </c>
      <c r="EB134" s="197">
        <f>AB134</f>
        <v>45</v>
      </c>
      <c r="EC134" s="32">
        <f>SUMIF($DW$17:$DW$184,EA134,$EB$17:$EB$184)</f>
        <v>0</v>
      </c>
    </row>
    <row r="135" spans="1:133" ht="11.25" customHeight="1" thickBot="1">
      <c r="A135" s="15"/>
      <c r="B135" s="176"/>
      <c r="C135" s="2568" t="s">
        <v>363</v>
      </c>
      <c r="D135" s="2569"/>
      <c r="E135" s="2569"/>
      <c r="F135" s="2569"/>
      <c r="G135" s="2592" t="str">
        <f>IF(C133="","","HP 1.2mm-3C")</f>
        <v>HP 1.2mm-3C</v>
      </c>
      <c r="H135" s="2592"/>
      <c r="I135" s="2592"/>
      <c r="J135" s="2592"/>
      <c r="K135" s="2592"/>
      <c r="L135" s="2592"/>
      <c r="M135" s="2592"/>
      <c r="N135" s="2592"/>
      <c r="O135" s="2557">
        <f>IF($B$2=0,"",IF(OR(C133="",P132="不要"),"",ROUND(CN136,0)))</f>
        <v>23</v>
      </c>
      <c r="P135" s="2557"/>
      <c r="Q135" s="2557"/>
      <c r="R135" s="2557"/>
      <c r="S135" s="2557"/>
      <c r="T135" s="2557" t="str">
        <f>IF(OR($B$2=0,C133="",P132="不要"),"",IF(BH132="天井ケーブル","C-19mm",IF(MID(BH132,4,2)="PF","PF-16mm",IF(MID(BH132,4,2)="CD","CD-16mm",IF(MID(BH132,4,2)="C ","C-19mm",IF(MID(BH132,4,2)="G ","G-16mm",""))))))</f>
        <v>C-19mm</v>
      </c>
      <c r="U135" s="2557"/>
      <c r="V135" s="2557"/>
      <c r="W135" s="2557"/>
      <c r="X135" s="2557"/>
      <c r="Y135" s="2557"/>
      <c r="Z135" s="2557"/>
      <c r="AA135" s="2557"/>
      <c r="AB135" s="2557">
        <f>IF($B$2=0,"",IF(OR(C133="",P132="不要",CQ137=""),"",CQ136+CQ137))</f>
        <v>22.799999999999997</v>
      </c>
      <c r="AC135" s="2557"/>
      <c r="AD135" s="2557"/>
      <c r="AE135" s="2557"/>
      <c r="AF135" s="2557"/>
      <c r="AG135" s="2572" t="str">
        <f>IF($B$2=0,"","定温SP1種WP")</f>
        <v>定温SP1種WP</v>
      </c>
      <c r="AH135" s="2572"/>
      <c r="AI135" s="2572"/>
      <c r="AJ135" s="2572"/>
      <c r="AK135" s="2572"/>
      <c r="AL135" s="2572"/>
      <c r="AM135" s="2572"/>
      <c r="AN135" s="2312">
        <f>IF(OR($B$2=0,P132="不要"),"",IF(AQ135&lt;&gt;"",AQ135,CA135))</f>
        <v>1</v>
      </c>
      <c r="AO135" s="2312"/>
      <c r="AP135" s="2312"/>
      <c r="AQ135" s="2575"/>
      <c r="AR135" s="2575"/>
      <c r="AS135" s="2575"/>
      <c r="AT135" s="2572" t="str">
        <f>IF($B$2=0,"","P1総合盤埋込")</f>
        <v>P1総合盤埋込</v>
      </c>
      <c r="AU135" s="2572"/>
      <c r="AV135" s="2572"/>
      <c r="AW135" s="2572"/>
      <c r="AX135" s="2572"/>
      <c r="AY135" s="2572"/>
      <c r="AZ135" s="2572"/>
      <c r="BA135" s="2312" t="str">
        <f>IF(P132="不要","",IF(BD135&lt;&gt;"",BD135,IF([4]Top!$BD$51&lt;&gt;"要","",AZ133)))</f>
        <v/>
      </c>
      <c r="BB135" s="2312"/>
      <c r="BC135" s="2312"/>
      <c r="BD135" s="2575"/>
      <c r="BE135" s="2575"/>
      <c r="BF135" s="2575"/>
      <c r="BG135" s="2572" t="str">
        <f>IF($B$2=0,"","ｱｰﾑ電磁レリーズ")</f>
        <v>ｱｰﾑ電磁レリーズ</v>
      </c>
      <c r="BH135" s="2572"/>
      <c r="BI135" s="2572"/>
      <c r="BJ135" s="2572"/>
      <c r="BK135" s="2572"/>
      <c r="BL135" s="2572"/>
      <c r="BM135" s="2572"/>
      <c r="BN135" s="2572"/>
      <c r="BO135" s="2312">
        <f>IF(P132="不要","",IF(BR135&lt;&gt;"",BR135,BR133))</f>
        <v>2</v>
      </c>
      <c r="BP135" s="2312"/>
      <c r="BQ135" s="2312"/>
      <c r="BR135" s="2575"/>
      <c r="BS135" s="2575"/>
      <c r="BT135" s="2576"/>
      <c r="BU135" s="19"/>
      <c r="BV135" s="35"/>
      <c r="BW135" s="351" t="s">
        <v>362</v>
      </c>
      <c r="BX135" s="348"/>
      <c r="BY135" s="349">
        <f>CA135</f>
        <v>1</v>
      </c>
      <c r="BZ135" s="366"/>
      <c r="CA135" s="360">
        <f>IF(C133="","",1+INT(W133/200))</f>
        <v>1</v>
      </c>
      <c r="CB135" s="348"/>
      <c r="CC135" s="359">
        <f>CA135</f>
        <v>1</v>
      </c>
      <c r="CD135" s="365"/>
      <c r="CE135" s="349">
        <f>CA135</f>
        <v>1</v>
      </c>
      <c r="CF135" s="348"/>
      <c r="CG135" s="357">
        <f>CA135</f>
        <v>1</v>
      </c>
      <c r="CH135" s="35"/>
      <c r="CI135" s="133">
        <f>IF(BG133&lt;&gt;"",BG133,0)</f>
        <v>1</v>
      </c>
      <c r="CJ135" s="88" t="s">
        <v>361</v>
      </c>
      <c r="CK135" s="107">
        <f>N133</f>
        <v>140</v>
      </c>
      <c r="CL135" s="88" t="s">
        <v>360</v>
      </c>
      <c r="CM135" s="185">
        <f>SUM(AN134:AP138)</f>
        <v>13</v>
      </c>
      <c r="CN135" s="364"/>
      <c r="CO135" s="168"/>
      <c r="CP135" s="363"/>
      <c r="CQ135" s="150"/>
      <c r="CR135" s="2598" t="str">
        <f>AG136</f>
        <v>補償SP2種</v>
      </c>
      <c r="CS135" s="2599"/>
      <c r="CT135" s="2600"/>
      <c r="CU135" s="362">
        <f>AN136</f>
        <v>1</v>
      </c>
      <c r="CV135" s="2598" t="str">
        <f>AT135</f>
        <v>P1総合盤埋込</v>
      </c>
      <c r="CW135" s="2599"/>
      <c r="CX135" s="2600"/>
      <c r="CY135" s="362" t="str">
        <f>BA135</f>
        <v/>
      </c>
      <c r="CZ135" s="216"/>
      <c r="DA135" s="8"/>
      <c r="DB135" s="197">
        <f t="shared" si="35"/>
        <v>10</v>
      </c>
      <c r="DC135" s="197" t="str">
        <f t="shared" si="36"/>
        <v/>
      </c>
      <c r="DD135" s="201" t="str">
        <f>G136</f>
        <v>HP 1.2mm-5C</v>
      </c>
      <c r="DE135" s="8"/>
      <c r="DF135" s="8"/>
      <c r="DG135" s="8"/>
      <c r="DH135" s="8" t="str">
        <f>IF(COUNTIF($DD$15:DD134,DD135)&gt;0,"",DD135)</f>
        <v/>
      </c>
      <c r="DI135" s="252">
        <f>O136</f>
        <v>13</v>
      </c>
      <c r="DJ135" s="32">
        <f t="shared" si="45"/>
        <v>0</v>
      </c>
      <c r="DK135" s="197">
        <f t="shared" si="37"/>
        <v>4</v>
      </c>
      <c r="DL135" s="197" t="str">
        <f t="shared" si="38"/>
        <v/>
      </c>
      <c r="DM135" s="10" t="str">
        <f>IF(CU135="","",CR135)</f>
        <v>補償SP2種</v>
      </c>
      <c r="DN135" s="10" t="str">
        <f>CR135</f>
        <v>補償SP2種</v>
      </c>
      <c r="DO135" s="10"/>
      <c r="DP135" s="8"/>
      <c r="DQ135" s="8" t="str">
        <f>IF(COUNTIF($DM$15:DM134,DM135)&gt;0,"",DM135)</f>
        <v/>
      </c>
      <c r="DR135" s="200">
        <f>CU135</f>
        <v>1</v>
      </c>
      <c r="DS135" s="32">
        <f t="shared" si="46"/>
        <v>8</v>
      </c>
      <c r="DT135" s="8"/>
      <c r="DU135" s="197">
        <f t="shared" si="39"/>
        <v>4</v>
      </c>
      <c r="DV135" s="197" t="str">
        <f t="shared" si="40"/>
        <v/>
      </c>
      <c r="DW135" s="201" t="str">
        <f>T135</f>
        <v>C-19mm</v>
      </c>
      <c r="DX135" s="8"/>
      <c r="DY135" s="8"/>
      <c r="DZ135" s="8"/>
      <c r="EA135" s="8" t="str">
        <f>IF(COUNTIF($DW$15:DW134,DW135)&gt;0,"",DW135)</f>
        <v/>
      </c>
      <c r="EB135" s="197">
        <f>AB135</f>
        <v>22.799999999999997</v>
      </c>
      <c r="EC135" s="32">
        <f>SUMIF($DW$17:$DW$184,EA135,$EB$17:$EB$184)</f>
        <v>0</v>
      </c>
    </row>
    <row r="136" spans="1:133" ht="11.25" customHeight="1" thickBot="1">
      <c r="A136" s="15"/>
      <c r="B136" s="23"/>
      <c r="C136" s="2568"/>
      <c r="D136" s="2569"/>
      <c r="E136" s="2569"/>
      <c r="F136" s="2569"/>
      <c r="G136" s="2584" t="str">
        <f>IF(C133="","","HP 1.2mm-5C")</f>
        <v>HP 1.2mm-5C</v>
      </c>
      <c r="H136" s="2584"/>
      <c r="I136" s="2584"/>
      <c r="J136" s="2584"/>
      <c r="K136" s="2584"/>
      <c r="L136" s="2584"/>
      <c r="M136" s="2584"/>
      <c r="N136" s="2584"/>
      <c r="O136" s="2585">
        <f>IF($B$2=0,"",IF(OR(C133="",P132="不要"),"",ROUND(CM136,0)))</f>
        <v>13</v>
      </c>
      <c r="P136" s="2585"/>
      <c r="Q136" s="2585"/>
      <c r="R136" s="2585"/>
      <c r="S136" s="2585"/>
      <c r="T136" s="2585" t="str">
        <f>IF(OR($B$2=0,C133="",P132="不要"),"",IF(BH132="天井ケーブル","C-25mm",IF(MID(BH132,4,2)="PF","PF-22mm",IF(MID(BH132,4,2)="CD","CD-22mm",IF(MID(BH132,4,2)="C ","C-25mm",IF(MID(BH132,4,2)="G ","G-22mm",""))))))</f>
        <v>C-25mm</v>
      </c>
      <c r="U136" s="2585"/>
      <c r="V136" s="2585"/>
      <c r="W136" s="2585"/>
      <c r="X136" s="2585"/>
      <c r="Y136" s="2585"/>
      <c r="Z136" s="2585"/>
      <c r="AA136" s="2585"/>
      <c r="AB136" s="2585">
        <f>IF(OR($B$2=0,C133="",P132="不要"),"",CP136)</f>
        <v>11.3</v>
      </c>
      <c r="AC136" s="2585"/>
      <c r="AD136" s="2585"/>
      <c r="AE136" s="2585"/>
      <c r="AF136" s="2585"/>
      <c r="AG136" s="2572" t="str">
        <f>IF($B$2=0,"","補償SP2種")</f>
        <v>補償SP2種</v>
      </c>
      <c r="AH136" s="2572"/>
      <c r="AI136" s="2572"/>
      <c r="AJ136" s="2572"/>
      <c r="AK136" s="2572"/>
      <c r="AL136" s="2572"/>
      <c r="AM136" s="2572"/>
      <c r="AN136" s="2312">
        <f>IF(OR($B$2=0,P132="不要"),"",IF(AQ136&lt;&gt;"",AQ136,CA136))</f>
        <v>1</v>
      </c>
      <c r="AO136" s="2312"/>
      <c r="AP136" s="2312"/>
      <c r="AQ136" s="2575"/>
      <c r="AR136" s="2575"/>
      <c r="AS136" s="2575"/>
      <c r="AT136" s="2546" t="str">
        <f>IF($B$2=0,"","HP起動押ボタン")</f>
        <v>HP起動押ボタン</v>
      </c>
      <c r="AU136" s="2546"/>
      <c r="AV136" s="2546"/>
      <c r="AW136" s="2546"/>
      <c r="AX136" s="2546"/>
      <c r="AY136" s="2546"/>
      <c r="AZ136" s="2546"/>
      <c r="BA136" s="2544" t="str">
        <f>IF(P132="不要","",IF(BD136&lt;&gt;"",BD136,IF([4]Top!$BL$51="要",AZ133,"")))</f>
        <v/>
      </c>
      <c r="BB136" s="2544"/>
      <c r="BC136" s="2544"/>
      <c r="BD136" s="2573"/>
      <c r="BE136" s="2573"/>
      <c r="BF136" s="2573"/>
      <c r="BG136" s="2546" t="str">
        <f>IF($B$2=0,"","光電式煙3種埋")</f>
        <v>光電式煙3種埋</v>
      </c>
      <c r="BH136" s="2546"/>
      <c r="BI136" s="2546"/>
      <c r="BJ136" s="2546"/>
      <c r="BK136" s="2546"/>
      <c r="BL136" s="2546"/>
      <c r="BM136" s="2546"/>
      <c r="BN136" s="2546"/>
      <c r="BO136" s="2544">
        <f>IF(OR($B$2=0,C133="",P132="不要"),"",IF(BR136&lt;&gt;"",BR136,2*BR133))</f>
        <v>4</v>
      </c>
      <c r="BP136" s="2544"/>
      <c r="BQ136" s="2544"/>
      <c r="BR136" s="2573"/>
      <c r="BS136" s="2573"/>
      <c r="BT136" s="2574"/>
      <c r="BU136" s="19"/>
      <c r="BV136" s="35"/>
      <c r="BW136" s="351" t="s">
        <v>359</v>
      </c>
      <c r="BX136" s="361"/>
      <c r="BY136" s="349">
        <f>CA136</f>
        <v>1</v>
      </c>
      <c r="BZ136" s="348"/>
      <c r="CA136" s="360">
        <f>IF(C133="","",1+INT(W133/200))</f>
        <v>1</v>
      </c>
      <c r="CB136" s="358"/>
      <c r="CC136" s="359">
        <f>CA136</f>
        <v>1</v>
      </c>
      <c r="CD136" s="346"/>
      <c r="CE136" s="349">
        <f>CA136</f>
        <v>1</v>
      </c>
      <c r="CF136" s="358"/>
      <c r="CG136" s="357">
        <f>CA136</f>
        <v>1</v>
      </c>
      <c r="CH136" s="35"/>
      <c r="CI136" s="133">
        <f>IF(BR133&lt;&gt;"",BR133,0)</f>
        <v>2</v>
      </c>
      <c r="CJ136" s="88" t="s">
        <v>121</v>
      </c>
      <c r="CK136" s="187">
        <f>IF(OR(C133="",C133="  RF"),"",IF($AX$8=0,0,2*($AX$8/1000-0.15-0.1)*(INT(1000*CJ134/$BF$8)+1)*(INT(1000*CK134/$BF$8)+1)*4))</f>
        <v>7.1999999999999993</v>
      </c>
      <c r="CL136" s="187" t="s">
        <v>358</v>
      </c>
      <c r="CM136" s="139">
        <f>IF(OR(C133="",C133="  RF"),"",IF(J133="直天",$AN$8/1000+F133-1.2+CJ134+CK134/2,$AN$8/1000+J133-1.2+CJ134+CK134/2))</f>
        <v>12.8</v>
      </c>
      <c r="CN136" s="136">
        <f>IF(OR(C133="",C133="  RF"),"",IF(J133="直天",F133-$Y$8/1000+F133-$Y$9/1000+2*8+($AN$7+2*$AN$9)/1000,J133-$Y$8/1000+J133-$Y$9/1000+2*8+($AN$7+2*$AN$9)/1000))</f>
        <v>22.599999999999998</v>
      </c>
      <c r="CO136" s="151" t="s">
        <v>358</v>
      </c>
      <c r="CP136" s="185">
        <f>IF(OR(C133="",C133="  RF"),"",IF(J133="直天",F133-1.2+CJ134+CK134/2,IF(AQ132="天井ケーブル",J133-1.2,J133-1.2+CJ134+CK134/2)))</f>
        <v>11.3</v>
      </c>
      <c r="CQ136" s="356">
        <f>IF(OR(C133="",C133="  RF"),"",IF(J133="直天",F133-$Y$8/1000+F133-$Y$9/1000+2*8,IF(BH132="天井ケーブル",J133-$Y$8/1000+J133-$Y$9/1000,J133-$Y$8/1000+J133-$Y$9/1000+2*8)))</f>
        <v>20.399999999999999</v>
      </c>
      <c r="CR136" s="355" t="s">
        <v>87</v>
      </c>
      <c r="CS136" s="336" t="s">
        <v>395</v>
      </c>
      <c r="CT136" s="336" t="s">
        <v>394</v>
      </c>
      <c r="CU136" s="192" t="s">
        <v>393</v>
      </c>
      <c r="CV136" s="336" t="s">
        <v>392</v>
      </c>
      <c r="CW136" s="336" t="s">
        <v>391</v>
      </c>
      <c r="CX136" s="336" t="s">
        <v>390</v>
      </c>
      <c r="CY136" s="354" t="s">
        <v>389</v>
      </c>
      <c r="CZ136" s="216"/>
      <c r="DA136" s="8"/>
      <c r="DB136" s="197">
        <f t="shared" si="35"/>
        <v>10</v>
      </c>
      <c r="DC136" s="197" t="str">
        <f t="shared" si="36"/>
        <v/>
      </c>
      <c r="DD136" s="201" t="str">
        <f>G137</f>
        <v>FCPEV 0.9-5Pr</v>
      </c>
      <c r="DE136" s="8"/>
      <c r="DF136" s="8"/>
      <c r="DG136" s="8"/>
      <c r="DH136" s="8" t="str">
        <f>IF(COUNTIF($DD$15:DD135,DD136)&gt;0,"",DD136)</f>
        <v/>
      </c>
      <c r="DI136" s="252">
        <f>O137</f>
        <v>3</v>
      </c>
      <c r="DJ136" s="32">
        <f t="shared" si="45"/>
        <v>0</v>
      </c>
      <c r="DK136" s="197">
        <f t="shared" si="37"/>
        <v>4</v>
      </c>
      <c r="DL136" s="197" t="str">
        <f t="shared" si="38"/>
        <v/>
      </c>
      <c r="DM136" s="11" t="str">
        <f>IF(CY132="","",CV132)</f>
        <v>光電式煙2種埋</v>
      </c>
      <c r="DN136" s="11"/>
      <c r="DO136" s="11"/>
      <c r="DP136" s="9"/>
      <c r="DQ136" s="9" t="str">
        <f>IF(COUNTIF($DM$15:DM135,DM136)&gt;0,"",DM136)</f>
        <v/>
      </c>
      <c r="DR136" s="200">
        <f>CY132</f>
        <v>11</v>
      </c>
      <c r="DS136" s="32">
        <f t="shared" si="46"/>
        <v>8</v>
      </c>
      <c r="DT136" s="8"/>
      <c r="DU136" s="197">
        <f t="shared" si="39"/>
        <v>4</v>
      </c>
      <c r="DV136" s="197" t="str">
        <f t="shared" si="40"/>
        <v/>
      </c>
      <c r="DW136" s="201" t="str">
        <f>T136</f>
        <v>C-25mm</v>
      </c>
      <c r="DX136" s="8"/>
      <c r="DY136" s="8"/>
      <c r="DZ136" s="8"/>
      <c r="EA136" s="8" t="str">
        <f>IF(COUNTIF($DW$15:DW135,DW136)&gt;0,"",DW136)</f>
        <v/>
      </c>
      <c r="EB136" s="197">
        <f>AB136</f>
        <v>11.3</v>
      </c>
      <c r="EC136" s="32">
        <f>SUMIF($DW$17:$DW$184,EA136,$EB$17:$EB$184)</f>
        <v>0</v>
      </c>
    </row>
    <row r="137" spans="1:133" ht="11.25" customHeight="1" thickBot="1">
      <c r="A137" s="15"/>
      <c r="B137" s="23"/>
      <c r="C137" s="2568" t="s">
        <v>352</v>
      </c>
      <c r="D137" s="2569"/>
      <c r="E137" s="2569"/>
      <c r="F137" s="2569"/>
      <c r="G137" s="2557" t="str">
        <f>IF(OR($B$2=0,C133="",P132="不要"),"",IF(CR137&lt;10,"FCPEV 0.9-5Pr",IF(CR137&lt;20,"FCPEV 0.9- 10Pr",IF(CR137&lt;30,"FCPEV 0.9- 15Pr",IF(CR137&lt;40,"FCPEV 0.9- 20Pr","")))))</f>
        <v>FCPEV 0.9-5Pr</v>
      </c>
      <c r="H137" s="2557"/>
      <c r="I137" s="2557"/>
      <c r="J137" s="2557"/>
      <c r="K137" s="2557"/>
      <c r="L137" s="2557"/>
      <c r="M137" s="2557"/>
      <c r="N137" s="2557"/>
      <c r="O137" s="2557">
        <f>IF(OR(C133="",P132="不要",G137=""),"",INT(AZ133*(CJ134+CK134)/4))</f>
        <v>3</v>
      </c>
      <c r="P137" s="2557"/>
      <c r="Q137" s="2557"/>
      <c r="R137" s="2557"/>
      <c r="S137" s="2557"/>
      <c r="T137" s="2558" t="str">
        <f>IF(OR(C133="",P132="不要",G137=""),"",IF(AQ132="天井ケーブル","C-"&amp;CM138&amp;"mm",IF(MID(AQ132,4,2)="PF","PF-"&amp;CL138&amp;"mm",IF(MID(AQ132,4,2)="CD","CD-"&amp;CL138&amp;"mm",IF(MID(AQ132,4,2)="C ","C-"&amp;CM138&amp;"mm",IF(MID(AQ132,4,2)="G ","G-"&amp;CL138&amp;"mm"))))))</f>
        <v>C-31mm</v>
      </c>
      <c r="U137" s="2557"/>
      <c r="V137" s="2557"/>
      <c r="W137" s="2557"/>
      <c r="X137" s="2557"/>
      <c r="Y137" s="2557"/>
      <c r="Z137" s="2557"/>
      <c r="AA137" s="2557"/>
      <c r="AB137" s="2557">
        <f>IF(OR(C133="",P132="不要",G137=""),"",IF(AQ132="天井ケーブル",2*AZ133*(F133-$Y$7/1000),O137*0.9))</f>
        <v>2.7</v>
      </c>
      <c r="AC137" s="2557"/>
      <c r="AD137" s="2557"/>
      <c r="AE137" s="2557"/>
      <c r="AF137" s="2557"/>
      <c r="AG137" s="2572" t="str">
        <f>IF($B$2=0,"","光電式煙2種埋")</f>
        <v>光電式煙2種埋</v>
      </c>
      <c r="AH137" s="2572"/>
      <c r="AI137" s="2572"/>
      <c r="AJ137" s="2572"/>
      <c r="AK137" s="2572"/>
      <c r="AL137" s="2572"/>
      <c r="AM137" s="2572"/>
      <c r="AN137" s="2312">
        <f>IF(OR(C133="",$B$2=0,P132="不要"),"",IF(AQ137&lt;&gt;"",AQ137,IF(AX138="B",BX137+BY137,IF(AND(BL137="耐 火",AZ137="無窓"),CB137+CC137,IF(AND(BL137&lt;&gt;"耐 火",AZ137="無窓"),CF137+CG137,"")))))</f>
        <v>11</v>
      </c>
      <c r="AO137" s="2312"/>
      <c r="AP137" s="2312"/>
      <c r="AQ137" s="2339"/>
      <c r="AR137" s="2339"/>
      <c r="AS137" s="2551"/>
      <c r="AT137" s="2577" t="str">
        <f>IF(C133="","","消防法上")</f>
        <v>消防法上</v>
      </c>
      <c r="AU137" s="2289"/>
      <c r="AV137" s="2289"/>
      <c r="AW137" s="2289"/>
      <c r="AX137" s="2289"/>
      <c r="AY137" s="2578"/>
      <c r="AZ137" s="2579" t="str">
        <f>IF($B$2=0,"",IF(BD137="",[4]Top!$BO$26,BD137))</f>
        <v>無窓</v>
      </c>
      <c r="BA137" s="2394"/>
      <c r="BB137" s="2580"/>
      <c r="BC137" s="353" t="s">
        <v>387</v>
      </c>
      <c r="BD137" s="2552"/>
      <c r="BE137" s="2552"/>
      <c r="BF137" s="2553"/>
      <c r="BG137" s="2581" t="str">
        <f>IF(C133="","","耐火構造")</f>
        <v>耐火構造</v>
      </c>
      <c r="BH137" s="2289"/>
      <c r="BI137" s="2289"/>
      <c r="BJ137" s="2289"/>
      <c r="BK137" s="2290"/>
      <c r="BL137" s="2278" t="str">
        <f>IF($B$2=0,"",IF(BQ137="",[4]Top!$AN$18,BQ137))</f>
        <v>耐 火</v>
      </c>
      <c r="BM137" s="2394"/>
      <c r="BN137" s="2394"/>
      <c r="BO137" s="2580"/>
      <c r="BP137" s="352" t="s">
        <v>387</v>
      </c>
      <c r="BQ137" s="2582"/>
      <c r="BR137" s="2552"/>
      <c r="BS137" s="2552"/>
      <c r="BT137" s="2583"/>
      <c r="BU137" s="19"/>
      <c r="BV137" s="35"/>
      <c r="BW137" s="351" t="s">
        <v>351</v>
      </c>
      <c r="BX137" s="350">
        <f>CB137</f>
        <v>1</v>
      </c>
      <c r="BY137" s="349">
        <f>CC137</f>
        <v>10</v>
      </c>
      <c r="BZ137" s="348"/>
      <c r="CA137" s="345"/>
      <c r="CB137" s="344">
        <f>IF(OR([6]Top!$BD$72&lt;&gt;"要",C133=""),"",IF(J133&gt;=4,1+INT(BZ134*0.47),1+INT(BZ134*0.47)))</f>
        <v>1</v>
      </c>
      <c r="CC137" s="347">
        <f>IF(OR([6]Top!$BD$72&lt;&gt;"要",C133=""),"",IF(J133&gt;=4,1+INT(CA134*0.47),1+INT(CA134*0.47)))</f>
        <v>10</v>
      </c>
      <c r="CD137" s="346"/>
      <c r="CE137" s="345"/>
      <c r="CF137" s="344">
        <f>IF(AND(AX124&lt;720,J133&lt;4),1+INT(CD134*0.47),1+INT(CD134*0.94))</f>
        <v>1</v>
      </c>
      <c r="CG137" s="343">
        <f>IF(AND(AX124&lt;720,J133&lt;4),1+INT(CE134*0.47),1+INT(CE134*0.94))</f>
        <v>48</v>
      </c>
      <c r="CH137" s="35"/>
      <c r="CI137" s="133">
        <f>IF(AND(C133&lt;&gt;"",LEFT(C133,2)&lt;&gt;" P"),CI129+F133,"")</f>
        <v>63</v>
      </c>
      <c r="CJ137" s="88" t="s">
        <v>350</v>
      </c>
      <c r="CK137" s="182" t="s">
        <v>349</v>
      </c>
      <c r="CL137" s="342">
        <f>IF(OR(C133="",C133="  RF"),"",IF(AZ141&lt;&gt;"",AZ133,AZ133+BG133))</f>
        <v>1</v>
      </c>
      <c r="CM137" s="341" t="s">
        <v>348</v>
      </c>
      <c r="CN137" s="219" t="s">
        <v>347</v>
      </c>
      <c r="CO137" s="138">
        <f>IF(OR(C133="",P132="不要"),"",AZ133*INT(CJ134+CK134)/5)</f>
        <v>2.4</v>
      </c>
      <c r="CP137" s="151" t="s">
        <v>347</v>
      </c>
      <c r="CQ137" s="340">
        <f>IF(AQ132="天井ケーブル",F133,CO137)</f>
        <v>2.4</v>
      </c>
      <c r="CR137" s="339">
        <f>SUM(CS137:CX137)</f>
        <v>7</v>
      </c>
      <c r="CS137" s="338">
        <f>AZ133</f>
        <v>1</v>
      </c>
      <c r="CT137" s="338">
        <f>IF(BA133="",0,BA133)</f>
        <v>0</v>
      </c>
      <c r="CU137" s="88">
        <v>1</v>
      </c>
      <c r="CV137" s="222">
        <v>1</v>
      </c>
      <c r="CW137" s="222">
        <v>2</v>
      </c>
      <c r="CX137" s="222">
        <v>2</v>
      </c>
      <c r="CY137" s="337" t="str">
        <f>IF(CK132="=",3*BR133+2,"")</f>
        <v/>
      </c>
      <c r="CZ137" s="218"/>
      <c r="DA137" s="8"/>
      <c r="DB137" s="197">
        <f t="shared" si="35"/>
        <v>10</v>
      </c>
      <c r="DC137" s="197" t="str">
        <f t="shared" si="36"/>
        <v/>
      </c>
      <c r="DD137" s="201" t="str">
        <f>G138</f>
        <v>FCPEV 1.2- 10Pr</v>
      </c>
      <c r="DE137" s="8"/>
      <c r="DF137" s="8"/>
      <c r="DG137" s="8"/>
      <c r="DH137" s="8" t="str">
        <f>IF(COUNTIF($DD$15:DD136,DD137)&gt;0,"",DD137)</f>
        <v/>
      </c>
      <c r="DI137" s="252">
        <f>O138</f>
        <v>2.4</v>
      </c>
      <c r="DJ137" s="32">
        <f t="shared" si="45"/>
        <v>0</v>
      </c>
      <c r="DK137" s="197">
        <f t="shared" si="37"/>
        <v>4</v>
      </c>
      <c r="DL137" s="197" t="str">
        <f t="shared" si="38"/>
        <v/>
      </c>
      <c r="DM137" s="11" t="str">
        <f>IF(AN138="","",AG138)</f>
        <v/>
      </c>
      <c r="DN137" s="11"/>
      <c r="DO137" s="11"/>
      <c r="DP137" s="9"/>
      <c r="DQ137" s="9" t="str">
        <f>IF(COUNTIF($DM$15:DM136,DM137)&gt;0,"",DM137)</f>
        <v/>
      </c>
      <c r="DR137" s="101" t="str">
        <f>AN138</f>
        <v/>
      </c>
      <c r="DS137" s="32">
        <f t="shared" si="46"/>
        <v>8</v>
      </c>
      <c r="DT137" s="8"/>
      <c r="DU137" s="197">
        <f t="shared" si="39"/>
        <v>4</v>
      </c>
      <c r="DV137" s="197" t="str">
        <f t="shared" si="40"/>
        <v/>
      </c>
      <c r="DW137" s="201" t="str">
        <f>T137</f>
        <v>C-31mm</v>
      </c>
      <c r="DX137" s="8"/>
      <c r="DY137" s="8"/>
      <c r="DZ137" s="8"/>
      <c r="EA137" s="8" t="str">
        <f>IF(COUNTIF($DW$15:DW136,DW137)&gt;0,"",DW137)</f>
        <v/>
      </c>
      <c r="EB137" s="197">
        <f>AB137</f>
        <v>2.7</v>
      </c>
      <c r="EC137" s="32">
        <f>SUMIF($DW$17:$DW$184,EA137,$EB$17:$EB$184)</f>
        <v>0</v>
      </c>
    </row>
    <row r="138" spans="1:133" ht="11.25" customHeight="1" thickBot="1">
      <c r="A138" s="15"/>
      <c r="B138" s="23"/>
      <c r="C138" s="2570"/>
      <c r="D138" s="2571"/>
      <c r="E138" s="2571"/>
      <c r="F138" s="2571"/>
      <c r="G138" s="2554" t="str">
        <f>IF(OR($B$2=0,P132="不要"),"",IF(CR138=0,"",IF(OR(C133="",P132="不要"),"",IF(CR138&lt;10,"FCPEV 1.2-5Pr",IF(CR138&lt;20,"FCPEV 1.2- 10Pr",IF(CR138&lt;30,"FCPEV 1.2- 15Pr",IF(CR138&lt;40,"FCPEV 1.2- 20Pr",IF(CR138&lt;60,"FCPEV 1.2- 30Pr",IF(CR138&lt;100,"FCPEV 1.2- 50Pr",IF(CR138&lt;140,"FCPEV 1.2- 70Pr",IF(CR138&lt;200,"FCPEV 1.2-100Pr","FCPEV 1.2-200Pr")))))))))))</f>
        <v>FCPEV 1.2- 10Pr</v>
      </c>
      <c r="H138" s="2555"/>
      <c r="I138" s="2555"/>
      <c r="J138" s="2555"/>
      <c r="K138" s="2555"/>
      <c r="L138" s="2555"/>
      <c r="M138" s="2555"/>
      <c r="N138" s="2555"/>
      <c r="O138" s="2555">
        <f>IF(OR(G138="",C133="",P132="不要"),"",CO137)</f>
        <v>2.4</v>
      </c>
      <c r="P138" s="2555"/>
      <c r="Q138" s="2555"/>
      <c r="R138" s="2555"/>
      <c r="S138" s="2555"/>
      <c r="T138" s="2555" t="str">
        <f>IF(OR(G138="",C133="",P132="不要"),"",IF(AQ132="天井ケーブル","C-"&amp;CO138&amp;"mm",IF(MID(AQ132,4,2)="PF","PF-"&amp;CN138&amp;"mm",IF(MID(AQ132,4,2)="CD","CD-"&amp;CN138&amp;"mm",IF(MID(AQ132,4,2)="C ","C-"&amp;CO138&amp;"mm",IF(MID(AQ132,4,2)="G ","G-"&amp;CN138&amp;"mm"))))))</f>
        <v>C-31mm</v>
      </c>
      <c r="U138" s="2555"/>
      <c r="V138" s="2555"/>
      <c r="W138" s="2555"/>
      <c r="X138" s="2555"/>
      <c r="Y138" s="2555"/>
      <c r="Z138" s="2555"/>
      <c r="AA138" s="2555"/>
      <c r="AB138" s="2555">
        <f>IF(OR(G138="",P132="不要"),"",CQ137)</f>
        <v>2.4</v>
      </c>
      <c r="AC138" s="2555"/>
      <c r="AD138" s="2555"/>
      <c r="AE138" s="2555"/>
      <c r="AF138" s="2555"/>
      <c r="AG138" s="2556" t="str">
        <f>IF($B$2=0,"","定温SP1種Exp")</f>
        <v>定温SP1種Exp</v>
      </c>
      <c r="AH138" s="2556"/>
      <c r="AI138" s="2556"/>
      <c r="AJ138" s="2556"/>
      <c r="AK138" s="2556"/>
      <c r="AL138" s="2556"/>
      <c r="AM138" s="2556"/>
      <c r="AN138" s="2335" t="str">
        <f>IF(AQ138&lt;&gt;"",AQ138,"")</f>
        <v/>
      </c>
      <c r="AO138" s="2335"/>
      <c r="AP138" s="2335"/>
      <c r="AQ138" s="2566"/>
      <c r="AR138" s="2566"/>
      <c r="AS138" s="2567"/>
      <c r="AT138" s="2586" t="str">
        <f>IF(C133="","","盤位置")</f>
        <v>盤位置</v>
      </c>
      <c r="AU138" s="2587"/>
      <c r="AV138" s="2587"/>
      <c r="AW138" s="2587"/>
      <c r="AX138" s="2588" t="str">
        <f>非誘!V106</f>
        <v>⑦</v>
      </c>
      <c r="AY138" s="2588"/>
      <c r="AZ138" s="2588"/>
      <c r="BA138" s="2559" t="str">
        <f>IF(C133="","","専部屋面積")</f>
        <v>専部屋面積</v>
      </c>
      <c r="BB138" s="2560"/>
      <c r="BC138" s="2560"/>
      <c r="BD138" s="2560"/>
      <c r="BE138" s="2560"/>
      <c r="BF138" s="2561"/>
      <c r="BG138" s="2562" t="str">
        <f>IF(OR(C133="",S133=""),"",S133/AA133)</f>
        <v/>
      </c>
      <c r="BH138" s="2563"/>
      <c r="BI138" s="2563"/>
      <c r="BJ138" s="2564"/>
      <c r="BK138" s="2559" t="str">
        <f>IF(C133="","","共部屋面積")</f>
        <v>共部屋面積</v>
      </c>
      <c r="BL138" s="2560"/>
      <c r="BM138" s="2560"/>
      <c r="BN138" s="2560"/>
      <c r="BO138" s="2560"/>
      <c r="BP138" s="2561"/>
      <c r="BQ138" s="2562">
        <f>IF(OR($B$2=0,C133=""),"",W133/AD133)</f>
        <v>17.5</v>
      </c>
      <c r="BR138" s="2563"/>
      <c r="BS138" s="2563"/>
      <c r="BT138" s="2565"/>
      <c r="BU138" s="19"/>
      <c r="BV138" s="35"/>
      <c r="BW138" s="99"/>
      <c r="BX138" s="35"/>
      <c r="BY138" s="35"/>
      <c r="BZ138" s="35"/>
      <c r="CA138" s="35"/>
      <c r="CB138" s="35"/>
      <c r="CC138" s="35"/>
      <c r="CD138" s="35"/>
      <c r="CE138" s="35"/>
      <c r="CF138" s="35"/>
      <c r="CG138" s="35"/>
      <c r="CH138" s="35"/>
      <c r="CI138" s="8"/>
      <c r="CJ138" s="8"/>
      <c r="CK138" s="8"/>
      <c r="CL138" s="336" t="str">
        <f>IF(OR(RIGHT(G137,3)="5Pr",RIGHT(G137,4)="10Pr",RIGHT(G137,4)="15Pr"),"28",IF(OR(RIGHT(G137,4)="20Pr",RIGHT(G137,4)="30Pr"),"36",IF(OR(RIGHT(G137,4)="50Pr",RIGHT(G137,4)="70Pr"),"42","")))</f>
        <v>28</v>
      </c>
      <c r="CM138" s="336" t="str">
        <f>IF(OR(RIGHT(G137,3)="5Pr",RIGHT(G137,4)="10Pr",RIGHT(G137,4)="15Pr"),"31",IF(OR(RIGHT(G137,4)="20Pr",RIGHT(G137,4)="30Pr"),"39",IF(OR(RIGHT(G137,4)="50Pr",RIGHT(G137,4)="70Pr"),"51","")))</f>
        <v>31</v>
      </c>
      <c r="CN138" s="86" t="str">
        <f>IF(OR(RIGHT(G138,3)="5Pr",RIGHT(G138,4)="10Pr",RIGHT(G138,4)="15Pr"),"28",IF(OR(RIGHT(G138,4)="20Pr",RIGHT(G138,4)="30Pr"),"36",IF(OR(RIGHT(G138,4)="50Pr",RIGHT(G138,4)="70Pr"),"42","")))</f>
        <v>28</v>
      </c>
      <c r="CO138" s="86" t="str">
        <f>IF(OR(RIGHT(G138,3)="5Pr",RIGHT(G138,4)="10Pr",RIGHT(G138,4)="15Pr"),"31",IF(OR(RIGHT(G138,4)="20Pr",RIGHT(G138,4)="30Pr"),"39",IF(OR(RIGHT(G138,4)="50Pr",RIGHT(G138,4)="70Pr"),"51","")))</f>
        <v>31</v>
      </c>
      <c r="CP138" s="9"/>
      <c r="CQ138" s="9"/>
      <c r="CR138" s="335">
        <f>IF(P132="不要","",SUM(CS138:CX138))</f>
        <v>10</v>
      </c>
      <c r="CS138" s="334">
        <f>IF(OR(CK132="",CK132="=",P132="不要"),0,IF(CK132="－",CL137+CS130,IF(CK132="+",CL137+CS146)))</f>
        <v>3</v>
      </c>
      <c r="CT138" s="188">
        <f>IF(OR(CK132="",CK132="=",P132="不要"),0,IF(CS138&lt;7,1,IF(CS138&lt;14,2,IF(CS138&lt;21,3,IF(CS138&lt;28,4,IF(CS138&lt;35,5,IF(CS138&lt;42,6,IF(CS138&lt;49,7,IF(CS138&lt;56,8,IF(CS138&lt;63,9,IF(CS138&lt;70,10,IF(CS138&lt;77,11,"---"))))))))))))</f>
        <v>1</v>
      </c>
      <c r="CU138" s="188">
        <f>IF(CS138=0,0,1)</f>
        <v>1</v>
      </c>
      <c r="CV138" s="333">
        <f>IF(CS138=0,0,1)</f>
        <v>1</v>
      </c>
      <c r="CW138" s="333">
        <f>IF(CS138=0,0,2)</f>
        <v>2</v>
      </c>
      <c r="CX138" s="333">
        <f>IF(CS138=0,0,2)</f>
        <v>2</v>
      </c>
      <c r="CY138" s="332">
        <f>IF(OR(BR141="",P132="不要"),0,IF(CK132="=",0,IF(CK132="－",2*BR133+3,IF(CK132="+",2*(BR133+BR141)+3,""))))</f>
        <v>11</v>
      </c>
      <c r="CZ138" s="216"/>
      <c r="DA138" s="9"/>
      <c r="DB138" s="127">
        <f t="shared" si="35"/>
        <v>10</v>
      </c>
      <c r="DC138" s="127" t="str">
        <f t="shared" si="36"/>
        <v/>
      </c>
      <c r="DD138" s="11" t="str">
        <f>CR132</f>
        <v>防火区画処理</v>
      </c>
      <c r="DE138" s="9"/>
      <c r="DF138" s="9"/>
      <c r="DG138" s="9"/>
      <c r="DH138" s="9" t="str">
        <f>IF(COUNTIF($DD$15:DD137,DD138)&gt;0,"",DD138)</f>
        <v/>
      </c>
      <c r="DI138" s="242">
        <f>CU132</f>
        <v>6</v>
      </c>
      <c r="DJ138" s="32">
        <f t="shared" si="45"/>
        <v>0</v>
      </c>
      <c r="DK138" s="127">
        <f t="shared" si="37"/>
        <v>4</v>
      </c>
      <c r="DL138" s="127" t="str">
        <f t="shared" si="38"/>
        <v/>
      </c>
      <c r="DM138" s="11" t="str">
        <f>IF(CY133="","",CV133)</f>
        <v/>
      </c>
      <c r="DN138" s="11"/>
      <c r="DO138" s="11"/>
      <c r="DP138" s="9"/>
      <c r="DQ138" s="9" t="str">
        <f>IF(COUNTIF($DM$15:DM137,DM138)&gt;0,"",DM138)</f>
        <v/>
      </c>
      <c r="DR138" s="101" t="str">
        <f>CY133</f>
        <v/>
      </c>
      <c r="DS138" s="32">
        <f t="shared" si="46"/>
        <v>8</v>
      </c>
      <c r="DT138" s="9"/>
      <c r="DU138" s="197">
        <f t="shared" si="39"/>
        <v>4</v>
      </c>
      <c r="DV138" s="197" t="str">
        <f t="shared" si="40"/>
        <v/>
      </c>
      <c r="DW138" s="201" t="str">
        <f>T138</f>
        <v>C-31mm</v>
      </c>
      <c r="DX138" s="8"/>
      <c r="DY138" s="8"/>
      <c r="DZ138" s="8"/>
      <c r="EA138" s="8" t="str">
        <f>IF(COUNTIF($DW$15:DW137,DW138)&gt;0,"",DW138)</f>
        <v/>
      </c>
      <c r="EB138" s="197">
        <f>AB138</f>
        <v>2.4</v>
      </c>
      <c r="EC138" s="32">
        <f>SUMIF($DW$17:$DW$184,EA138,$EB$17:$EB$184)</f>
        <v>0</v>
      </c>
    </row>
    <row r="139" spans="1:133" ht="11.25" customHeight="1">
      <c r="A139" s="15"/>
      <c r="B139" s="23"/>
      <c r="C139" s="37"/>
      <c r="D139" s="37"/>
      <c r="E139" s="37"/>
      <c r="F139" s="37"/>
      <c r="G139" s="331"/>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157"/>
      <c r="AH139" s="157"/>
      <c r="AI139" s="157"/>
      <c r="AJ139" s="157"/>
      <c r="AK139" s="157"/>
      <c r="AL139" s="157"/>
      <c r="AM139" s="157"/>
      <c r="AN139" s="377"/>
      <c r="AO139" s="377"/>
      <c r="AP139" s="377"/>
      <c r="AQ139" s="37"/>
      <c r="AR139" s="37"/>
      <c r="AS139" s="37"/>
      <c r="AT139" s="157"/>
      <c r="AU139" s="157"/>
      <c r="AV139" s="157"/>
      <c r="AW139" s="157"/>
      <c r="AX139" s="157"/>
      <c r="AY139" s="157"/>
      <c r="AZ139" s="157"/>
      <c r="BA139" s="377"/>
      <c r="BB139" s="377"/>
      <c r="BC139" s="377"/>
      <c r="BD139" s="37"/>
      <c r="BE139" s="37"/>
      <c r="BF139" s="37"/>
      <c r="BG139" s="157"/>
      <c r="BH139" s="157"/>
      <c r="BI139" s="157"/>
      <c r="BJ139" s="157"/>
      <c r="BK139" s="157"/>
      <c r="BL139" s="157"/>
      <c r="BM139" s="157"/>
      <c r="BN139" s="157"/>
      <c r="BO139" s="377"/>
      <c r="BP139" s="377"/>
      <c r="BQ139" s="377"/>
      <c r="BR139" s="37"/>
      <c r="BS139" s="37"/>
      <c r="BT139" s="37"/>
      <c r="BU139" s="19"/>
      <c r="BV139" s="35"/>
      <c r="BW139" s="99"/>
      <c r="BX139" s="35"/>
      <c r="BY139" s="35"/>
      <c r="BZ139" s="35"/>
      <c r="CA139" s="35"/>
      <c r="CB139" s="35"/>
      <c r="CC139" s="35"/>
      <c r="CD139" s="35"/>
      <c r="CE139" s="35"/>
      <c r="CF139" s="35"/>
      <c r="CG139" s="35"/>
      <c r="CH139" s="35"/>
      <c r="CI139" s="199"/>
      <c r="CJ139" s="8"/>
      <c r="CK139" s="8"/>
      <c r="CL139" s="64"/>
      <c r="CM139" s="64"/>
      <c r="CN139" s="64"/>
      <c r="CO139" s="64"/>
      <c r="CP139" s="9"/>
      <c r="CQ139" s="9"/>
      <c r="CR139" s="376"/>
      <c r="CS139" s="375"/>
      <c r="CT139" s="145"/>
      <c r="CU139" s="145"/>
      <c r="CV139" s="127"/>
      <c r="CW139" s="127"/>
      <c r="CX139" s="127"/>
      <c r="CY139" s="9"/>
      <c r="CZ139" s="218"/>
      <c r="DA139" s="9"/>
      <c r="DB139" s="127">
        <f t="shared" si="35"/>
        <v>10</v>
      </c>
      <c r="DC139" s="127" t="str">
        <f t="shared" si="36"/>
        <v/>
      </c>
      <c r="DD139" s="11"/>
      <c r="DE139" s="9"/>
      <c r="DF139" s="9"/>
      <c r="DG139" s="9"/>
      <c r="DH139" s="9"/>
      <c r="DI139" s="242"/>
      <c r="DJ139" s="13"/>
      <c r="DK139" s="127">
        <f t="shared" si="37"/>
        <v>4</v>
      </c>
      <c r="DL139" s="127" t="str">
        <f t="shared" si="38"/>
        <v/>
      </c>
      <c r="DM139" s="11" t="str">
        <f>IF(CY134="","",CV134)</f>
        <v>P1総合盤露出</v>
      </c>
      <c r="DN139" s="11"/>
      <c r="DO139" s="11"/>
      <c r="DP139" s="9"/>
      <c r="DQ139" s="9" t="str">
        <f>IF(COUNTIF($DM$15:DM138,DM139)&gt;0,"",DM139)</f>
        <v/>
      </c>
      <c r="DR139" s="101">
        <f>CY134</f>
        <v>1</v>
      </c>
      <c r="DS139" s="32">
        <f t="shared" si="46"/>
        <v>8</v>
      </c>
      <c r="DT139" s="9"/>
      <c r="DU139" s="8">
        <f t="shared" si="39"/>
        <v>4</v>
      </c>
      <c r="DV139" s="8" t="str">
        <f t="shared" si="40"/>
        <v/>
      </c>
      <c r="DW139" s="8"/>
      <c r="DX139" s="8"/>
      <c r="DY139" s="8"/>
      <c r="DZ139" s="8"/>
      <c r="EA139" s="8"/>
      <c r="EB139" s="8"/>
      <c r="EC139" s="8"/>
    </row>
    <row r="140" spans="1:133" ht="11.25" customHeight="1" thickBot="1">
      <c r="A140" s="374">
        <v>16</v>
      </c>
      <c r="B140" s="23"/>
      <c r="C140" s="2626" t="str">
        <f>非誘!J111</f>
        <v>( 15)</v>
      </c>
      <c r="D140" s="2627"/>
      <c r="E140" s="2628"/>
      <c r="F140" s="2629" t="str">
        <f>非誘!M111</f>
        <v>前各項以外</v>
      </c>
      <c r="G140" s="2629"/>
      <c r="H140" s="2629"/>
      <c r="I140" s="2629"/>
      <c r="J140" s="2629"/>
      <c r="K140" s="2629"/>
      <c r="L140" s="2629"/>
      <c r="M140" s="2629"/>
      <c r="N140" s="2629"/>
      <c r="O140" s="2629"/>
      <c r="P140" s="2630" t="str">
        <f>IF(U140="",RIGHT($D$8,2),U140)</f>
        <v>設置</v>
      </c>
      <c r="Q140" s="2630"/>
      <c r="R140" s="2630"/>
      <c r="S140" s="2631"/>
      <c r="T140" s="31" t="s">
        <v>387</v>
      </c>
      <c r="U140" s="2632"/>
      <c r="V140" s="2632"/>
      <c r="W140" s="2632"/>
      <c r="X140" s="2633"/>
      <c r="Y140" s="2634" t="s">
        <v>20</v>
      </c>
      <c r="Z140" s="2634"/>
      <c r="AA140" s="2634"/>
      <c r="AB140" s="2634"/>
      <c r="AC140" s="2634"/>
      <c r="AD140" s="2635">
        <f>非誘!J112</f>
        <v>0.7142857142857143</v>
      </c>
      <c r="AE140" s="2635"/>
      <c r="AF140" s="2635"/>
      <c r="AG140" s="2635"/>
      <c r="AH140" s="2299" t="s">
        <v>135</v>
      </c>
      <c r="AI140" s="2299"/>
      <c r="AJ140" s="2299"/>
      <c r="AK140" s="2299"/>
      <c r="AL140" s="2299"/>
      <c r="AM140" s="2299" t="s">
        <v>366</v>
      </c>
      <c r="AN140" s="2299"/>
      <c r="AO140" s="2299"/>
      <c r="AP140" s="2299"/>
      <c r="AQ140" s="2569" t="str">
        <f>IF(AX140="","天井ケーブル",AX140)</f>
        <v>天井(C 管)</v>
      </c>
      <c r="AR140" s="2569"/>
      <c r="AS140" s="2569"/>
      <c r="AT140" s="2569"/>
      <c r="AU140" s="2569"/>
      <c r="AV140" s="2569"/>
      <c r="AW140" s="175" t="s">
        <v>387</v>
      </c>
      <c r="AX140" s="2338" t="s">
        <v>388</v>
      </c>
      <c r="AY140" s="2338"/>
      <c r="AZ140" s="2338"/>
      <c r="BA140" s="2338"/>
      <c r="BB140" s="2338"/>
      <c r="BC140" s="2338"/>
      <c r="BD140" s="2299" t="s">
        <v>363</v>
      </c>
      <c r="BE140" s="2299"/>
      <c r="BF140" s="2299"/>
      <c r="BG140" s="2299"/>
      <c r="BH140" s="2569" t="str">
        <f>IF(BO140="","天井(C 管)",BO140)</f>
        <v>天井(C 管)</v>
      </c>
      <c r="BI140" s="2569"/>
      <c r="BJ140" s="2569"/>
      <c r="BK140" s="2569"/>
      <c r="BL140" s="2569"/>
      <c r="BM140" s="2569"/>
      <c r="BN140" s="175" t="s">
        <v>387</v>
      </c>
      <c r="BO140" s="2338"/>
      <c r="BP140" s="2338"/>
      <c r="BQ140" s="2338"/>
      <c r="BR140" s="2338"/>
      <c r="BS140" s="2338"/>
      <c r="BT140" s="2622"/>
      <c r="BU140" s="19"/>
      <c r="BV140" s="35"/>
      <c r="BW140" s="99"/>
      <c r="BX140" s="35"/>
      <c r="BY140" s="35"/>
      <c r="BZ140" s="35"/>
      <c r="CA140" s="35"/>
      <c r="CB140" s="35"/>
      <c r="CC140" s="35"/>
      <c r="CD140" s="35"/>
      <c r="CE140" s="35"/>
      <c r="CF140" s="35"/>
      <c r="CG140" s="35"/>
      <c r="CH140" s="35"/>
      <c r="CI140" s="8">
        <v>23</v>
      </c>
      <c r="CJ140" s="97" t="str">
        <f>IF(LEFT(C141,2)=" B",-MID(C141,3,1),IF(C141="  RF","",LEFT(C141,3)))</f>
        <v>PH2</v>
      </c>
      <c r="CK140" s="10" t="str">
        <f>IF(OR(C141="",C141="  RF"),"",IF(LEFT(C141,1)="P","+",IF($CJ$14&gt;CJ140,"－",IF($CJ$14=CJ140,"=","+"))))</f>
        <v>+</v>
      </c>
      <c r="CL140" s="2601" t="s">
        <v>376</v>
      </c>
      <c r="CM140" s="2601"/>
      <c r="CN140" s="2601"/>
      <c r="CO140" s="2601" t="s">
        <v>375</v>
      </c>
      <c r="CP140" s="2601"/>
      <c r="CQ140" s="2601"/>
      <c r="CR140" s="2589" t="str">
        <f>AG141</f>
        <v>防火区画処理</v>
      </c>
      <c r="CS140" s="2590"/>
      <c r="CT140" s="2591"/>
      <c r="CU140" s="184">
        <f>AN141</f>
        <v>6</v>
      </c>
      <c r="CV140" s="2589" t="str">
        <f>AG145</f>
        <v>光電式煙2種埋</v>
      </c>
      <c r="CW140" s="2590"/>
      <c r="CX140" s="2591"/>
      <c r="CY140" s="184">
        <f>AN145</f>
        <v>11</v>
      </c>
      <c r="CZ140" s="216"/>
      <c r="DA140" s="88">
        <v>16</v>
      </c>
      <c r="DB140" s="204">
        <f t="shared" si="35"/>
        <v>10</v>
      </c>
      <c r="DC140" s="155" t="str">
        <f t="shared" si="36"/>
        <v/>
      </c>
      <c r="DD140" s="45"/>
      <c r="DE140" s="45"/>
      <c r="DF140" s="45"/>
      <c r="DG140" s="45"/>
      <c r="DH140" s="45"/>
      <c r="DI140" s="45"/>
      <c r="DJ140" s="45"/>
      <c r="DK140" s="155">
        <f t="shared" si="37"/>
        <v>4</v>
      </c>
      <c r="DL140" s="155" t="str">
        <f t="shared" si="38"/>
        <v/>
      </c>
      <c r="DM140" s="154" t="str">
        <f>IF(CY135="","",CV135)</f>
        <v/>
      </c>
      <c r="DN140" s="154"/>
      <c r="DO140" s="154"/>
      <c r="DP140" s="45"/>
      <c r="DQ140" s="45"/>
      <c r="DR140" s="209"/>
      <c r="DS140" s="230">
        <f>SUMIF($DM$17:$DM$185,DQ140,$DR$17:$DR$185)</f>
        <v>0</v>
      </c>
      <c r="DT140" s="88">
        <v>16</v>
      </c>
      <c r="DU140" s="373">
        <f t="shared" si="39"/>
        <v>4</v>
      </c>
      <c r="DV140" s="45" t="str">
        <f t="shared" si="40"/>
        <v/>
      </c>
      <c r="DW140" s="45"/>
      <c r="DX140" s="45"/>
      <c r="DY140" s="45"/>
      <c r="DZ140" s="45"/>
      <c r="EA140" s="45"/>
      <c r="EB140" s="45"/>
      <c r="EC140" s="45"/>
    </row>
    <row r="141" spans="1:133" ht="11.25" customHeight="1" thickBot="1">
      <c r="A141" s="15">
        <v>27</v>
      </c>
      <c r="B141" s="23"/>
      <c r="C141" s="2602" t="str">
        <f>非誘!C113</f>
        <v>PH2F</v>
      </c>
      <c r="D141" s="2603"/>
      <c r="E141" s="2604"/>
      <c r="F141" s="2605">
        <f>非誘!F113</f>
        <v>4</v>
      </c>
      <c r="G141" s="2606"/>
      <c r="H141" s="2606"/>
      <c r="I141" s="2607"/>
      <c r="J141" s="2605" t="str">
        <f>非誘!J113</f>
        <v>直天</v>
      </c>
      <c r="K141" s="2606"/>
      <c r="L141" s="2606"/>
      <c r="M141" s="2607"/>
      <c r="N141" s="2608">
        <f>非誘!N113</f>
        <v>140</v>
      </c>
      <c r="O141" s="2609"/>
      <c r="P141" s="2609"/>
      <c r="Q141" s="2609"/>
      <c r="R141" s="2610"/>
      <c r="S141" s="2608" t="str">
        <f>非誘!S113</f>
        <v/>
      </c>
      <c r="T141" s="2609"/>
      <c r="U141" s="2609"/>
      <c r="V141" s="2610"/>
      <c r="W141" s="2608">
        <f>非誘!W113</f>
        <v>140</v>
      </c>
      <c r="X141" s="2609"/>
      <c r="Y141" s="2609"/>
      <c r="Z141" s="2610"/>
      <c r="AA141" s="2611" t="str">
        <f>非誘!AA113</f>
        <v/>
      </c>
      <c r="AB141" s="2603"/>
      <c r="AC141" s="2604"/>
      <c r="AD141" s="2612">
        <f>非誘!AD113</f>
        <v>8</v>
      </c>
      <c r="AE141" s="2613"/>
      <c r="AF141" s="2614"/>
      <c r="AG141" s="2615" t="str">
        <f>IF($B$2=0,"","防火区画処理")</f>
        <v>防火区画処理</v>
      </c>
      <c r="AH141" s="2615"/>
      <c r="AI141" s="2615"/>
      <c r="AJ141" s="2615"/>
      <c r="AK141" s="2615"/>
      <c r="AL141" s="2615"/>
      <c r="AM141" s="2615"/>
      <c r="AN141" s="2616">
        <f>IF(OR($B$2=0,C141="",P140="不要"),"",AZ141+BG141+BR141*2)</f>
        <v>6</v>
      </c>
      <c r="AO141" s="2616"/>
      <c r="AP141" s="2616"/>
      <c r="AQ141" s="2617" t="s">
        <v>374</v>
      </c>
      <c r="AR141" s="2617"/>
      <c r="AS141" s="2617"/>
      <c r="AT141" s="2617"/>
      <c r="AU141" s="2617"/>
      <c r="AV141" s="2618" t="s">
        <v>373</v>
      </c>
      <c r="AW141" s="2618"/>
      <c r="AX141" s="2618"/>
      <c r="AY141" s="2618"/>
      <c r="AZ141" s="2619">
        <f>IF(OR($B$2=0,C141="",P140="不要"),"",IF(LEFT(C141,1)="P",1+INT(W141/450),INT(S141/450)+1+INT(W141/450)))</f>
        <v>1</v>
      </c>
      <c r="BA141" s="2619"/>
      <c r="BB141" s="2619"/>
      <c r="BC141" s="2618" t="s">
        <v>372</v>
      </c>
      <c r="BD141" s="2618"/>
      <c r="BE141" s="2618"/>
      <c r="BF141" s="2618"/>
      <c r="BG141" s="2619">
        <f>IF(OR($B$2=0,C141="",P140="不要"),"",1+INT(N141/500))</f>
        <v>1</v>
      </c>
      <c r="BH141" s="2619"/>
      <c r="BI141" s="2619"/>
      <c r="BJ141" s="2617" t="s">
        <v>371</v>
      </c>
      <c r="BK141" s="2617"/>
      <c r="BL141" s="2617"/>
      <c r="BM141" s="2617"/>
      <c r="BN141" s="2617"/>
      <c r="BO141" s="2617"/>
      <c r="BP141" s="2617"/>
      <c r="BQ141" s="2617"/>
      <c r="BR141" s="2620">
        <f>IF(OR($B$2=0,C141="",P140="不要"),"",1+INT(0.055*N141^0.6))</f>
        <v>2</v>
      </c>
      <c r="BS141" s="2620"/>
      <c r="BT141" s="2621"/>
      <c r="BU141" s="19"/>
      <c r="BV141" s="35"/>
      <c r="BW141" s="99"/>
      <c r="BX141" s="35"/>
      <c r="BY141" s="35"/>
      <c r="BZ141" s="35"/>
      <c r="CA141" s="35"/>
      <c r="CB141" s="35"/>
      <c r="CC141" s="35"/>
      <c r="CD141" s="35"/>
      <c r="CE141" s="35"/>
      <c r="CF141" s="35"/>
      <c r="CG141" s="35"/>
      <c r="CH141" s="35"/>
      <c r="CI141" s="8">
        <v>2</v>
      </c>
      <c r="CJ141" s="88" t="s">
        <v>386</v>
      </c>
      <c r="CK141" s="88" t="s">
        <v>385</v>
      </c>
      <c r="CL141" s="372">
        <f>IF(C142="","",IF(AX146="①",CJ142+CK142+3,IF(AX146="②",CJ142*5/8+CK142+3,IF(AX146="③",CJ142/2+CK142+3,IF(AX146="④",CJ142+CK142*5/8+3,IF(AX146="⑤",(CJ142+CK142)*5/8+3,IF(AX146="⑥",CJ142/2+CK142*5/8+3,IF(AX146="⑦",CJ142+CK142/2+3,IF(AX146="⑧",CJ142*5/8+CK142/2+3,IF(AX146="⑨",(CJ142+CK142)/2+3))))))))))</f>
        <v>11.5</v>
      </c>
      <c r="CM141" s="371" t="s">
        <v>384</v>
      </c>
      <c r="CN141" s="371" t="s">
        <v>383</v>
      </c>
      <c r="CO141" s="370"/>
      <c r="CP141" s="371" t="s">
        <v>384</v>
      </c>
      <c r="CQ141" s="370" t="s">
        <v>383</v>
      </c>
      <c r="CR141" s="2589" t="str">
        <f>AG142</f>
        <v>差動SP2種埋</v>
      </c>
      <c r="CS141" s="2590"/>
      <c r="CT141" s="2591"/>
      <c r="CU141" s="184" t="str">
        <f>AN142</f>
        <v/>
      </c>
      <c r="CV141" s="2589" t="str">
        <f>AT144</f>
        <v>HP起動押ボタン</v>
      </c>
      <c r="CW141" s="2590"/>
      <c r="CX141" s="2591"/>
      <c r="CY141" s="184" t="str">
        <f>BA144</f>
        <v/>
      </c>
      <c r="CZ141" s="216"/>
      <c r="DA141" s="8"/>
      <c r="DB141" s="197">
        <f t="shared" si="35"/>
        <v>10</v>
      </c>
      <c r="DC141" s="197" t="str">
        <f t="shared" si="36"/>
        <v/>
      </c>
      <c r="DD141" s="201" t="str">
        <f>G142</f>
        <v>AE 0.9mm-4C</v>
      </c>
      <c r="DE141" s="8"/>
      <c r="DF141" s="8"/>
      <c r="DG141" s="8"/>
      <c r="DH141" s="8" t="str">
        <f>IF(COUNTIF($DD$15:DD140,DD141)&gt;0,"",DD141)</f>
        <v/>
      </c>
      <c r="DI141" s="252">
        <f>O142</f>
        <v>27</v>
      </c>
      <c r="DJ141" s="32">
        <f t="shared" ref="DJ141:DJ146" si="47">SUMIF($DD$17:$DD$184,DH141,$DI$17:$DI$184)</f>
        <v>0</v>
      </c>
      <c r="DK141" s="197">
        <f t="shared" si="37"/>
        <v>4</v>
      </c>
      <c r="DL141" s="197" t="str">
        <f t="shared" si="38"/>
        <v/>
      </c>
      <c r="DM141" s="10" t="str">
        <f>IF(CU141="","",CR141)</f>
        <v/>
      </c>
      <c r="DN141" s="10" t="str">
        <f>CR141</f>
        <v>差動SP2種埋</v>
      </c>
      <c r="DO141" s="10"/>
      <c r="DP141" s="8"/>
      <c r="DQ141" s="8" t="str">
        <f>IF(COUNTIF($DM$15:DM140,DM141)&gt;0,"",DM141)</f>
        <v/>
      </c>
      <c r="DR141" s="200" t="str">
        <f>CU141</f>
        <v/>
      </c>
      <c r="DS141" s="32">
        <f t="shared" ref="DS141:DS147" si="48">SUMIF($DM$17:$DM$184,DQ141,$DR$17:$DR$184)</f>
        <v>8</v>
      </c>
      <c r="DT141" s="8"/>
      <c r="DU141" s="197">
        <f t="shared" si="39"/>
        <v>4</v>
      </c>
      <c r="DV141" s="197" t="str">
        <f t="shared" si="40"/>
        <v/>
      </c>
      <c r="DW141" s="201"/>
      <c r="DX141" s="8"/>
      <c r="DY141" s="8"/>
      <c r="DZ141" s="8"/>
      <c r="EA141" s="8"/>
      <c r="EB141" s="252"/>
      <c r="EC141" s="32"/>
    </row>
    <row r="142" spans="1:133" ht="11.25" customHeight="1">
      <c r="A142" s="15"/>
      <c r="B142" s="23"/>
      <c r="C142" s="2623" t="s">
        <v>366</v>
      </c>
      <c r="D142" s="2624"/>
      <c r="E142" s="2624"/>
      <c r="F142" s="2624"/>
      <c r="G142" s="2625" t="str">
        <f>IF(C141="","","AE 0.9mm-4C")</f>
        <v>AE 0.9mm-4C</v>
      </c>
      <c r="H142" s="2625"/>
      <c r="I142" s="2625"/>
      <c r="J142" s="2625"/>
      <c r="K142" s="2625"/>
      <c r="L142" s="2625"/>
      <c r="M142" s="2625"/>
      <c r="N142" s="2625"/>
      <c r="O142" s="2593">
        <f>IF($B$2=0,"",IF(OR(C141="",P140="不要"),"",ROUND((CM142+CN142),0)))</f>
        <v>27</v>
      </c>
      <c r="P142" s="2593"/>
      <c r="Q142" s="2593"/>
      <c r="R142" s="2593"/>
      <c r="S142" s="2593"/>
      <c r="T142" s="2593" t="str">
        <f>IF(OR($B$2=0,C141="",P140="不要"),"",IF(AQ140="天井ケーブル","C-19mm",IF(MID(AQ140,4,2)="PF","PF-16mm",IF(MID(AQ140,4,2)="CD","CD-16mm",IF(MID(AQ140,4,2)="C ","C-19mm",IF(MID(AQ140,4,2)="G ","G-16mm",""))))))</f>
        <v>C-19mm</v>
      </c>
      <c r="U142" s="2593"/>
      <c r="V142" s="2593"/>
      <c r="W142" s="2593"/>
      <c r="X142" s="2593"/>
      <c r="Y142" s="2593"/>
      <c r="Z142" s="2593"/>
      <c r="AA142" s="2593"/>
      <c r="AB142" s="2593">
        <f>IF(OR($B$2=0,C141="",P140="不要"),"",IF(CQ142="",ROUND(CP142,0),ROUND((CP142+CQ142),0)))</f>
        <v>45</v>
      </c>
      <c r="AC142" s="2593"/>
      <c r="AD142" s="2593"/>
      <c r="AE142" s="2593"/>
      <c r="AF142" s="2593"/>
      <c r="AG142" s="2595" t="str">
        <f>IF($B$2=0,"","差動SP2種埋")</f>
        <v>差動SP2種埋</v>
      </c>
      <c r="AH142" s="2595"/>
      <c r="AI142" s="2595"/>
      <c r="AJ142" s="2595"/>
      <c r="AK142" s="2595"/>
      <c r="AL142" s="2595"/>
      <c r="AM142" s="2595"/>
      <c r="AN142" s="2593" t="str">
        <f>IF(OR(C141="",P140="不要"),"",IF(AQ142&lt;&gt;"",AQ142,IF(AX146="B","",IF(AZ145="無窓","",IF(AND(BL145="耐 火",AZ145="有窓"),BZ142+CA142,CD142+CE142)))))</f>
        <v/>
      </c>
      <c r="AO142" s="2593"/>
      <c r="AP142" s="2593"/>
      <c r="AQ142" s="2594"/>
      <c r="AR142" s="2594"/>
      <c r="AS142" s="2594"/>
      <c r="AT142" s="2595" t="str">
        <f>IF($B$2=0,"","P1総合盤露出")</f>
        <v>P1総合盤露出</v>
      </c>
      <c r="AU142" s="2595"/>
      <c r="AV142" s="2595"/>
      <c r="AW142" s="2595"/>
      <c r="AX142" s="2595"/>
      <c r="AY142" s="2595"/>
      <c r="AZ142" s="2595"/>
      <c r="BA142" s="2593">
        <f>IF(P140="不要","",IF(BD142&lt;&gt;"",BD142,IF([4]Top!$BD$51="要","",AZ141)))</f>
        <v>1</v>
      </c>
      <c r="BB142" s="2593"/>
      <c r="BC142" s="2593"/>
      <c r="BD142" s="2594"/>
      <c r="BE142" s="2594"/>
      <c r="BF142" s="2594"/>
      <c r="BG142" s="2597" t="str">
        <f>IF($B$2=0,"","ﾗｯﾁ電磁レリーズ")</f>
        <v>ﾗｯﾁ電磁レリーズ</v>
      </c>
      <c r="BH142" s="2597"/>
      <c r="BI142" s="2597"/>
      <c r="BJ142" s="2597"/>
      <c r="BK142" s="2597"/>
      <c r="BL142" s="2597"/>
      <c r="BM142" s="2597"/>
      <c r="BN142" s="2597"/>
      <c r="BO142" s="2593">
        <f>IF(P140="不要","",IF(BR142&lt;&gt;"",BR142,BR141))</f>
        <v>2</v>
      </c>
      <c r="BP142" s="2593"/>
      <c r="BQ142" s="2593"/>
      <c r="BR142" s="2594"/>
      <c r="BS142" s="2594"/>
      <c r="BT142" s="2596"/>
      <c r="BU142" s="19"/>
      <c r="BV142" s="35"/>
      <c r="BW142" s="351" t="s">
        <v>365</v>
      </c>
      <c r="BX142" s="368"/>
      <c r="BY142" s="369"/>
      <c r="BZ142" s="344">
        <f>IF(AA141="",0,IF(OR([6]Top!$BD$72&lt;&gt;"要",C141=""),"",IF(J141&gt;=4,1+INT(AA141*2.4),1+INT(AA141*1.2))))</f>
        <v>0</v>
      </c>
      <c r="CA142" s="360">
        <f>IF(OR([6]Top!$BD$72&lt;&gt;"要",C141=""),"",IF(J141&gt;=4,1+INT(AD141*2.4),1+INT(AD141*1.2)))</f>
        <v>20</v>
      </c>
      <c r="CB142" s="368"/>
      <c r="CC142" s="369"/>
      <c r="CD142" s="343">
        <f>IF($AX$8&lt;=500,BZ142*2,1+INT(BZ142*2.5))</f>
        <v>1</v>
      </c>
      <c r="CE142" s="360">
        <f>IF($AX$8&lt;=500,CA142*2,1+INT(CA142*2.5))</f>
        <v>51</v>
      </c>
      <c r="CF142" s="368"/>
      <c r="CG142" s="367"/>
      <c r="CH142" s="35"/>
      <c r="CI142" s="133">
        <f>IF(AZ141&lt;&gt;"",AZ141,0)</f>
        <v>1</v>
      </c>
      <c r="CJ142" s="98">
        <f>非誘!BW113</f>
        <v>5</v>
      </c>
      <c r="CK142" s="98">
        <f>非誘!BX113</f>
        <v>7</v>
      </c>
      <c r="CL142" s="88" t="s">
        <v>364</v>
      </c>
      <c r="CM142" s="185">
        <f>IF(OR(C141="",C141="  RF"),"",IF(J141="直天",$AN$10/1000+F141-1.2+SQRT(CK143/CM143),$AN$10/1000+J141-1.2+SQRT(CK143/CM143)))</f>
        <v>8.5816506165694673</v>
      </c>
      <c r="CN142" s="185">
        <f>IF(OR(C141="",P140="不要"),"",CL141+CK144*AZ141)</f>
        <v>18.7</v>
      </c>
      <c r="CO142" s="88" t="s">
        <v>364</v>
      </c>
      <c r="CP142" s="185">
        <f>IF(OR(C141="",C141="  RF"),"",IF(J141="直天",F141-1.2+SQRT(CK143/CM143),IF(AQ140="天井ケーブル",J141-1.2,J141-1.2+SQRT(CK143/CM143))))</f>
        <v>6.0816506165694673</v>
      </c>
      <c r="CQ142" s="356">
        <f>IF(OR(C141="",C141="  RF"),"",IF(AQ140="天井ケーブル","",(CM143-1)*SQRT(CK143/CM143)))</f>
        <v>39.379807398833613</v>
      </c>
      <c r="CR142" s="2589" t="str">
        <f>AG143</f>
        <v>定温SP1種WP</v>
      </c>
      <c r="CS142" s="2590"/>
      <c r="CT142" s="2591"/>
      <c r="CU142" s="184">
        <f>AN143</f>
        <v>1</v>
      </c>
      <c r="CV142" s="2589" t="str">
        <f>AT142</f>
        <v>P1総合盤露出</v>
      </c>
      <c r="CW142" s="2590"/>
      <c r="CX142" s="2591"/>
      <c r="CY142" s="184">
        <f>BA142</f>
        <v>1</v>
      </c>
      <c r="CZ142" s="216"/>
      <c r="DA142" s="8"/>
      <c r="DB142" s="197">
        <f t="shared" si="35"/>
        <v>10</v>
      </c>
      <c r="DC142" s="197" t="str">
        <f t="shared" si="36"/>
        <v/>
      </c>
      <c r="DD142" s="201" t="str">
        <f>G143</f>
        <v>HP 1.2mm-3C</v>
      </c>
      <c r="DE142" s="8"/>
      <c r="DF142" s="8"/>
      <c r="DG142" s="8"/>
      <c r="DH142" s="8" t="str">
        <f>IF(COUNTIF($DD$15:DD141,DD142)&gt;0,"",DD142)</f>
        <v/>
      </c>
      <c r="DI142" s="252">
        <f>O143</f>
        <v>23</v>
      </c>
      <c r="DJ142" s="32">
        <f t="shared" si="47"/>
        <v>0</v>
      </c>
      <c r="DK142" s="197">
        <f t="shared" si="37"/>
        <v>4</v>
      </c>
      <c r="DL142" s="197" t="str">
        <f t="shared" si="38"/>
        <v/>
      </c>
      <c r="DM142" s="10" t="str">
        <f>IF(CU142="","",CR142)</f>
        <v>定温SP1種WP</v>
      </c>
      <c r="DN142" s="10" t="str">
        <f>CR142</f>
        <v>定温SP1種WP</v>
      </c>
      <c r="DO142" s="10"/>
      <c r="DP142" s="8"/>
      <c r="DQ142" s="8" t="str">
        <f>IF(COUNTIF($DM$15:DM141,DM142)&gt;0,"",DM142)</f>
        <v/>
      </c>
      <c r="DR142" s="200">
        <f>CU142</f>
        <v>1</v>
      </c>
      <c r="DS142" s="32">
        <f t="shared" si="48"/>
        <v>8</v>
      </c>
      <c r="DT142" s="8"/>
      <c r="DU142" s="197">
        <f t="shared" si="39"/>
        <v>4</v>
      </c>
      <c r="DV142" s="197" t="str">
        <f t="shared" si="40"/>
        <v/>
      </c>
      <c r="DW142" s="201" t="str">
        <f>T142</f>
        <v>C-19mm</v>
      </c>
      <c r="DX142" s="8"/>
      <c r="DY142" s="8"/>
      <c r="DZ142" s="8"/>
      <c r="EA142" s="8" t="str">
        <f>IF(COUNTIF($DW$15:DW141,DW142)&gt;0,"",DW142)</f>
        <v/>
      </c>
      <c r="EB142" s="197">
        <f>AB142</f>
        <v>45</v>
      </c>
      <c r="EC142" s="32">
        <f>SUMIF($DW$17:$DW$184,EA142,$EB$17:$EB$184)</f>
        <v>0</v>
      </c>
    </row>
    <row r="143" spans="1:133" ht="11.25" customHeight="1" thickBot="1">
      <c r="A143" s="15"/>
      <c r="B143" s="176"/>
      <c r="C143" s="2568" t="s">
        <v>363</v>
      </c>
      <c r="D143" s="2569"/>
      <c r="E143" s="2569"/>
      <c r="F143" s="2569"/>
      <c r="G143" s="2592" t="str">
        <f>IF(C141="","","HP 1.2mm-3C")</f>
        <v>HP 1.2mm-3C</v>
      </c>
      <c r="H143" s="2592"/>
      <c r="I143" s="2592"/>
      <c r="J143" s="2592"/>
      <c r="K143" s="2592"/>
      <c r="L143" s="2592"/>
      <c r="M143" s="2592"/>
      <c r="N143" s="2592"/>
      <c r="O143" s="2557">
        <f>IF($B$2=0,"",IF(OR(C141="",P140="不要"),"",ROUND(CN144,0)))</f>
        <v>23</v>
      </c>
      <c r="P143" s="2557"/>
      <c r="Q143" s="2557"/>
      <c r="R143" s="2557"/>
      <c r="S143" s="2557"/>
      <c r="T143" s="2557" t="str">
        <f>IF(OR($B$2=0,C141="",P140="不要"),"",IF(BH140="天井ケーブル","C-19mm",IF(MID(BH140,4,2)="PF","PF-16mm",IF(MID(BH140,4,2)="CD","CD-16mm",IF(MID(BH140,4,2)="C ","C-19mm",IF(MID(BH140,4,2)="G ","G-16mm",""))))))</f>
        <v>C-19mm</v>
      </c>
      <c r="U143" s="2557"/>
      <c r="V143" s="2557"/>
      <c r="W143" s="2557"/>
      <c r="X143" s="2557"/>
      <c r="Y143" s="2557"/>
      <c r="Z143" s="2557"/>
      <c r="AA143" s="2557"/>
      <c r="AB143" s="2557">
        <f>IF($B$2=0,"",IF(OR(C141="",P140="不要",CQ145=""),"",CQ144+CQ145))</f>
        <v>22.799999999999997</v>
      </c>
      <c r="AC143" s="2557"/>
      <c r="AD143" s="2557"/>
      <c r="AE143" s="2557"/>
      <c r="AF143" s="2557"/>
      <c r="AG143" s="2572" t="str">
        <f>IF($B$2=0,"","定温SP1種WP")</f>
        <v>定温SP1種WP</v>
      </c>
      <c r="AH143" s="2572"/>
      <c r="AI143" s="2572"/>
      <c r="AJ143" s="2572"/>
      <c r="AK143" s="2572"/>
      <c r="AL143" s="2572"/>
      <c r="AM143" s="2572"/>
      <c r="AN143" s="2312">
        <f>IF(OR($B$2=0,P140="不要"),"",IF(AQ143&lt;&gt;"",AQ143,CA143))</f>
        <v>1</v>
      </c>
      <c r="AO143" s="2312"/>
      <c r="AP143" s="2312"/>
      <c r="AQ143" s="2575"/>
      <c r="AR143" s="2575"/>
      <c r="AS143" s="2575"/>
      <c r="AT143" s="2572" t="str">
        <f>IF($B$2=0,"","P1総合盤埋込")</f>
        <v>P1総合盤埋込</v>
      </c>
      <c r="AU143" s="2572"/>
      <c r="AV143" s="2572"/>
      <c r="AW143" s="2572"/>
      <c r="AX143" s="2572"/>
      <c r="AY143" s="2572"/>
      <c r="AZ143" s="2572"/>
      <c r="BA143" s="2312" t="str">
        <f>IF(P140="不要","",IF(BD143&lt;&gt;"",BD143,IF([4]Top!$BD$51&lt;&gt;"要","",AZ141)))</f>
        <v/>
      </c>
      <c r="BB143" s="2312"/>
      <c r="BC143" s="2312"/>
      <c r="BD143" s="2575"/>
      <c r="BE143" s="2575"/>
      <c r="BF143" s="2575"/>
      <c r="BG143" s="2572" t="str">
        <f>IF($B$2=0,"","ｱｰﾑ電磁レリーズ")</f>
        <v>ｱｰﾑ電磁レリーズ</v>
      </c>
      <c r="BH143" s="2572"/>
      <c r="BI143" s="2572"/>
      <c r="BJ143" s="2572"/>
      <c r="BK143" s="2572"/>
      <c r="BL143" s="2572"/>
      <c r="BM143" s="2572"/>
      <c r="BN143" s="2572"/>
      <c r="BO143" s="2312">
        <f>IF(P140="不要","",IF(BR143&lt;&gt;"",BR143,BR141))</f>
        <v>2</v>
      </c>
      <c r="BP143" s="2312"/>
      <c r="BQ143" s="2312"/>
      <c r="BR143" s="2575"/>
      <c r="BS143" s="2575"/>
      <c r="BT143" s="2576"/>
      <c r="BU143" s="19"/>
      <c r="BV143" s="35"/>
      <c r="BW143" s="351" t="s">
        <v>362</v>
      </c>
      <c r="BX143" s="348"/>
      <c r="BY143" s="349">
        <f>CA143</f>
        <v>1</v>
      </c>
      <c r="BZ143" s="366"/>
      <c r="CA143" s="360">
        <f>IF(C141="","",1+INT(W141/200))</f>
        <v>1</v>
      </c>
      <c r="CB143" s="348"/>
      <c r="CC143" s="359">
        <f>CA143</f>
        <v>1</v>
      </c>
      <c r="CD143" s="365"/>
      <c r="CE143" s="349">
        <f>CA143</f>
        <v>1</v>
      </c>
      <c r="CF143" s="348"/>
      <c r="CG143" s="357">
        <f>CA143</f>
        <v>1</v>
      </c>
      <c r="CH143" s="35"/>
      <c r="CI143" s="133">
        <f>IF(BG141&lt;&gt;"",BG141,0)</f>
        <v>1</v>
      </c>
      <c r="CJ143" s="88" t="s">
        <v>361</v>
      </c>
      <c r="CK143" s="107">
        <f>N141</f>
        <v>140</v>
      </c>
      <c r="CL143" s="88" t="s">
        <v>360</v>
      </c>
      <c r="CM143" s="185">
        <f>SUM(AN142:AP146)</f>
        <v>13</v>
      </c>
      <c r="CN143" s="364"/>
      <c r="CO143" s="168"/>
      <c r="CP143" s="363"/>
      <c r="CQ143" s="150"/>
      <c r="CR143" s="2598" t="str">
        <f>AG144</f>
        <v>補償SP2種</v>
      </c>
      <c r="CS143" s="2599"/>
      <c r="CT143" s="2600"/>
      <c r="CU143" s="362">
        <f>AN144</f>
        <v>1</v>
      </c>
      <c r="CV143" s="2598" t="str">
        <f>AT143</f>
        <v>P1総合盤埋込</v>
      </c>
      <c r="CW143" s="2599"/>
      <c r="CX143" s="2600"/>
      <c r="CY143" s="362" t="str">
        <f>BA143</f>
        <v/>
      </c>
      <c r="CZ143" s="216"/>
      <c r="DA143" s="8"/>
      <c r="DB143" s="197">
        <f t="shared" si="35"/>
        <v>10</v>
      </c>
      <c r="DC143" s="197" t="str">
        <f t="shared" si="36"/>
        <v/>
      </c>
      <c r="DD143" s="201" t="str">
        <f>G144</f>
        <v>HP 1.2mm-5C</v>
      </c>
      <c r="DE143" s="8"/>
      <c r="DF143" s="8"/>
      <c r="DG143" s="8"/>
      <c r="DH143" s="8" t="str">
        <f>IF(COUNTIF($DD$15:DD142,DD143)&gt;0,"",DD143)</f>
        <v/>
      </c>
      <c r="DI143" s="252">
        <f>O144</f>
        <v>13</v>
      </c>
      <c r="DJ143" s="32">
        <f t="shared" si="47"/>
        <v>0</v>
      </c>
      <c r="DK143" s="197">
        <f t="shared" si="37"/>
        <v>4</v>
      </c>
      <c r="DL143" s="197" t="str">
        <f t="shared" si="38"/>
        <v/>
      </c>
      <c r="DM143" s="10" t="str">
        <f>IF(CU143="","",CR143)</f>
        <v>補償SP2種</v>
      </c>
      <c r="DN143" s="10" t="str">
        <f>CR143</f>
        <v>補償SP2種</v>
      </c>
      <c r="DO143" s="10"/>
      <c r="DP143" s="8"/>
      <c r="DQ143" s="8" t="str">
        <f>IF(COUNTIF($DM$15:DM142,DM143)&gt;0,"",DM143)</f>
        <v/>
      </c>
      <c r="DR143" s="200">
        <f>CU143</f>
        <v>1</v>
      </c>
      <c r="DS143" s="32">
        <f t="shared" si="48"/>
        <v>8</v>
      </c>
      <c r="DT143" s="8"/>
      <c r="DU143" s="197">
        <f t="shared" si="39"/>
        <v>4</v>
      </c>
      <c r="DV143" s="197" t="str">
        <f t="shared" si="40"/>
        <v/>
      </c>
      <c r="DW143" s="201" t="str">
        <f>T143</f>
        <v>C-19mm</v>
      </c>
      <c r="DX143" s="8"/>
      <c r="DY143" s="8"/>
      <c r="DZ143" s="8"/>
      <c r="EA143" s="8" t="str">
        <f>IF(COUNTIF($DW$15:DW142,DW143)&gt;0,"",DW143)</f>
        <v/>
      </c>
      <c r="EB143" s="197">
        <f>AB143</f>
        <v>22.799999999999997</v>
      </c>
      <c r="EC143" s="32">
        <f>SUMIF($DW$17:$DW$184,EA143,$EB$17:$EB$184)</f>
        <v>0</v>
      </c>
    </row>
    <row r="144" spans="1:133" ht="11.25" customHeight="1" thickBot="1">
      <c r="A144" s="15"/>
      <c r="B144" s="23"/>
      <c r="C144" s="2568"/>
      <c r="D144" s="2569"/>
      <c r="E144" s="2569"/>
      <c r="F144" s="2569"/>
      <c r="G144" s="2584" t="str">
        <f>IF(C141="","","HP 1.2mm-5C")</f>
        <v>HP 1.2mm-5C</v>
      </c>
      <c r="H144" s="2584"/>
      <c r="I144" s="2584"/>
      <c r="J144" s="2584"/>
      <c r="K144" s="2584"/>
      <c r="L144" s="2584"/>
      <c r="M144" s="2584"/>
      <c r="N144" s="2584"/>
      <c r="O144" s="2585">
        <f>IF($B$2=0,"",IF(OR(C141="",P140="不要"),"",ROUND(CM144,0)))</f>
        <v>13</v>
      </c>
      <c r="P144" s="2585"/>
      <c r="Q144" s="2585"/>
      <c r="R144" s="2585"/>
      <c r="S144" s="2585"/>
      <c r="T144" s="2585" t="str">
        <f>IF(OR($B$2=0,C141="",P140="不要"),"",IF(BH140="天井ケーブル","C-25mm",IF(MID(BH140,4,2)="PF","PF-22mm",IF(MID(BH140,4,2)="CD","CD-22mm",IF(MID(BH140,4,2)="C ","C-25mm",IF(MID(BH140,4,2)="G ","G-22mm",""))))))</f>
        <v>C-25mm</v>
      </c>
      <c r="U144" s="2585"/>
      <c r="V144" s="2585"/>
      <c r="W144" s="2585"/>
      <c r="X144" s="2585"/>
      <c r="Y144" s="2585"/>
      <c r="Z144" s="2585"/>
      <c r="AA144" s="2585"/>
      <c r="AB144" s="2585">
        <f>IF(OR($B$2=0,C141="",P140="不要"),"",CP144)</f>
        <v>11.3</v>
      </c>
      <c r="AC144" s="2585"/>
      <c r="AD144" s="2585"/>
      <c r="AE144" s="2585"/>
      <c r="AF144" s="2585"/>
      <c r="AG144" s="2572" t="str">
        <f>IF($B$2=0,"","補償SP2種")</f>
        <v>補償SP2種</v>
      </c>
      <c r="AH144" s="2572"/>
      <c r="AI144" s="2572"/>
      <c r="AJ144" s="2572"/>
      <c r="AK144" s="2572"/>
      <c r="AL144" s="2572"/>
      <c r="AM144" s="2572"/>
      <c r="AN144" s="2312">
        <f>IF(OR($B$2=0,P140="不要"),"",IF(AQ144&lt;&gt;"",AQ144,CA144))</f>
        <v>1</v>
      </c>
      <c r="AO144" s="2312"/>
      <c r="AP144" s="2312"/>
      <c r="AQ144" s="2575"/>
      <c r="AR144" s="2575"/>
      <c r="AS144" s="2575"/>
      <c r="AT144" s="2546" t="str">
        <f>IF($B$2=0,"","HP起動押ボタン")</f>
        <v>HP起動押ボタン</v>
      </c>
      <c r="AU144" s="2546"/>
      <c r="AV144" s="2546"/>
      <c r="AW144" s="2546"/>
      <c r="AX144" s="2546"/>
      <c r="AY144" s="2546"/>
      <c r="AZ144" s="2546"/>
      <c r="BA144" s="2544" t="str">
        <f>IF(P140="不要","",IF(BD144&lt;&gt;"",BD144,IF([4]Top!$BL$51="要",AZ141,"")))</f>
        <v/>
      </c>
      <c r="BB144" s="2544"/>
      <c r="BC144" s="2544"/>
      <c r="BD144" s="2573"/>
      <c r="BE144" s="2573"/>
      <c r="BF144" s="2573"/>
      <c r="BG144" s="2546" t="str">
        <f>IF($B$2=0,"","光電式煙3種埋")</f>
        <v>光電式煙3種埋</v>
      </c>
      <c r="BH144" s="2546"/>
      <c r="BI144" s="2546"/>
      <c r="BJ144" s="2546"/>
      <c r="BK144" s="2546"/>
      <c r="BL144" s="2546"/>
      <c r="BM144" s="2546"/>
      <c r="BN144" s="2546"/>
      <c r="BO144" s="2544">
        <f>IF(OR($B$2=0,C141="",P140="不要"),"",IF(BR144&lt;&gt;"",BR144,2*BR141))</f>
        <v>4</v>
      </c>
      <c r="BP144" s="2544"/>
      <c r="BQ144" s="2544"/>
      <c r="BR144" s="2573"/>
      <c r="BS144" s="2573"/>
      <c r="BT144" s="2574"/>
      <c r="BU144" s="19"/>
      <c r="BV144" s="35"/>
      <c r="BW144" s="351" t="s">
        <v>359</v>
      </c>
      <c r="BX144" s="361"/>
      <c r="BY144" s="349">
        <f>CA144</f>
        <v>1</v>
      </c>
      <c r="BZ144" s="348"/>
      <c r="CA144" s="360">
        <f>IF(C141="","",1+INT(W141/200))</f>
        <v>1</v>
      </c>
      <c r="CB144" s="358"/>
      <c r="CC144" s="359">
        <f>CA144</f>
        <v>1</v>
      </c>
      <c r="CD144" s="346"/>
      <c r="CE144" s="349">
        <f>CA144</f>
        <v>1</v>
      </c>
      <c r="CF144" s="358"/>
      <c r="CG144" s="357">
        <f>CA144</f>
        <v>1</v>
      </c>
      <c r="CH144" s="35"/>
      <c r="CI144" s="133">
        <f>IF(BR141&lt;&gt;"",BR141,0)</f>
        <v>2</v>
      </c>
      <c r="CJ144" s="88" t="s">
        <v>121</v>
      </c>
      <c r="CK144" s="187">
        <f>IF(OR(C141="",C141="  RF"),"",IF($AX$8=0,0,2*($AX$8/1000-0.15-0.1)*(INT(1000*CJ142/$BF$8)+1)*(INT(1000*CK142/$BF$8)+1)*4))</f>
        <v>7.1999999999999993</v>
      </c>
      <c r="CL144" s="187" t="s">
        <v>358</v>
      </c>
      <c r="CM144" s="139">
        <f>IF(OR(C141="",C141="  RF"),"",IF(J141="直天",$AN$8/1000+F141-1.2+CJ142+CK142/2,$AN$8/1000+J141-1.2+CJ142+CK142/2))</f>
        <v>12.8</v>
      </c>
      <c r="CN144" s="136">
        <f>IF(OR(C141="",C141="  RF"),"",IF(J141="直天",F141-$Y$8/1000+F141-$Y$9/1000+2*8+($AN$7+2*$AN$9)/1000,J141-$Y$8/1000+J141-$Y$9/1000+2*8+($AN$7+2*$AN$9)/1000))</f>
        <v>22.599999999999998</v>
      </c>
      <c r="CO144" s="151" t="s">
        <v>358</v>
      </c>
      <c r="CP144" s="185">
        <f>IF(OR(C141="",C141="  RF"),"",IF(J141="直天",F141-1.2+CJ142+CK142/2,IF(AQ140="天井ケーブル",J141-1.2,J141-1.2+CJ142+CK142/2)))</f>
        <v>11.3</v>
      </c>
      <c r="CQ144" s="356">
        <f>IF(OR(C141="",C141="  RF"),"",IF(J141="直天",F141-$Y$8/1000+F141-$Y$9/1000+2*8,IF(BH140="天井ケーブル",J141-$Y$8/1000+J141-$Y$9/1000,J141-$Y$8/1000+J141-$Y$9/1000+2*8)))</f>
        <v>20.399999999999999</v>
      </c>
      <c r="CR144" s="355" t="s">
        <v>87</v>
      </c>
      <c r="CS144" s="336" t="s">
        <v>395</v>
      </c>
      <c r="CT144" s="336" t="s">
        <v>394</v>
      </c>
      <c r="CU144" s="192" t="s">
        <v>393</v>
      </c>
      <c r="CV144" s="336" t="s">
        <v>392</v>
      </c>
      <c r="CW144" s="336" t="s">
        <v>391</v>
      </c>
      <c r="CX144" s="336" t="s">
        <v>390</v>
      </c>
      <c r="CY144" s="354" t="s">
        <v>389</v>
      </c>
      <c r="CZ144" s="216"/>
      <c r="DA144" s="8"/>
      <c r="DB144" s="197">
        <f t="shared" si="35"/>
        <v>10</v>
      </c>
      <c r="DC144" s="197" t="str">
        <f t="shared" si="36"/>
        <v/>
      </c>
      <c r="DD144" s="201" t="str">
        <f>G145</f>
        <v>FCPEV 0.9-5Pr</v>
      </c>
      <c r="DE144" s="8"/>
      <c r="DF144" s="8"/>
      <c r="DG144" s="8"/>
      <c r="DH144" s="8" t="str">
        <f>IF(COUNTIF($DD$15:DD143,DD144)&gt;0,"",DD144)</f>
        <v/>
      </c>
      <c r="DI144" s="252">
        <f>O145</f>
        <v>3</v>
      </c>
      <c r="DJ144" s="32">
        <f t="shared" si="47"/>
        <v>0</v>
      </c>
      <c r="DK144" s="197">
        <f t="shared" si="37"/>
        <v>4</v>
      </c>
      <c r="DL144" s="197" t="str">
        <f t="shared" si="38"/>
        <v/>
      </c>
      <c r="DM144" s="11" t="str">
        <f>IF(CY140="","",CV140)</f>
        <v>光電式煙2種埋</v>
      </c>
      <c r="DN144" s="11"/>
      <c r="DO144" s="11"/>
      <c r="DP144" s="9"/>
      <c r="DQ144" s="9" t="str">
        <f>IF(COUNTIF($DM$15:DM143,DM144)&gt;0,"",DM144)</f>
        <v/>
      </c>
      <c r="DR144" s="200">
        <f>CY140</f>
        <v>11</v>
      </c>
      <c r="DS144" s="32">
        <f t="shared" si="48"/>
        <v>8</v>
      </c>
      <c r="DT144" s="8"/>
      <c r="DU144" s="197">
        <f t="shared" si="39"/>
        <v>4</v>
      </c>
      <c r="DV144" s="197" t="str">
        <f t="shared" si="40"/>
        <v/>
      </c>
      <c r="DW144" s="201" t="str">
        <f>T144</f>
        <v>C-25mm</v>
      </c>
      <c r="DX144" s="8"/>
      <c r="DY144" s="8"/>
      <c r="DZ144" s="8"/>
      <c r="EA144" s="8" t="str">
        <f>IF(COUNTIF($DW$15:DW143,DW144)&gt;0,"",DW144)</f>
        <v/>
      </c>
      <c r="EB144" s="197">
        <f>AB144</f>
        <v>11.3</v>
      </c>
      <c r="EC144" s="32">
        <f>SUMIF($DW$17:$DW$184,EA144,$EB$17:$EB$184)</f>
        <v>0</v>
      </c>
    </row>
    <row r="145" spans="1:133" ht="11.25" customHeight="1" thickBot="1">
      <c r="A145" s="15"/>
      <c r="B145" s="23"/>
      <c r="C145" s="2568" t="s">
        <v>352</v>
      </c>
      <c r="D145" s="2569"/>
      <c r="E145" s="2569"/>
      <c r="F145" s="2569"/>
      <c r="G145" s="2557" t="str">
        <f>IF(OR($B$2=0,C141="",P140="不要"),"",IF(CR145&lt;10,"FCPEV 0.9-5Pr",IF(CR145&lt;20,"FCPEV 0.9- 10Pr",IF(CR145&lt;30,"FCPEV 0.9- 15Pr",IF(CR145&lt;40,"FCPEV 0.9- 20Pr","")))))</f>
        <v>FCPEV 0.9-5Pr</v>
      </c>
      <c r="H145" s="2557"/>
      <c r="I145" s="2557"/>
      <c r="J145" s="2557"/>
      <c r="K145" s="2557"/>
      <c r="L145" s="2557"/>
      <c r="M145" s="2557"/>
      <c r="N145" s="2557"/>
      <c r="O145" s="2557">
        <f>IF(OR(C141="",P140="不要",G145=""),"",INT(AZ141*(CJ142+CK142)/4))</f>
        <v>3</v>
      </c>
      <c r="P145" s="2557"/>
      <c r="Q145" s="2557"/>
      <c r="R145" s="2557"/>
      <c r="S145" s="2557"/>
      <c r="T145" s="2558" t="str">
        <f>IF(OR(C141="",P140="不要",G145=""),"",IF(AQ140="天井ケーブル","C-"&amp;CM146&amp;"mm",IF(MID(AQ140,4,2)="PF","PF-"&amp;CL146&amp;"mm",IF(MID(AQ140,4,2)="CD","CD-"&amp;CL146&amp;"mm",IF(MID(AQ140,4,2)="C ","C-"&amp;CM146&amp;"mm",IF(MID(AQ140,4,2)="G ","G-"&amp;CL146&amp;"mm"))))))</f>
        <v>C-31mm</v>
      </c>
      <c r="U145" s="2557"/>
      <c r="V145" s="2557"/>
      <c r="W145" s="2557"/>
      <c r="X145" s="2557"/>
      <c r="Y145" s="2557"/>
      <c r="Z145" s="2557"/>
      <c r="AA145" s="2557"/>
      <c r="AB145" s="2557">
        <f>IF(OR(C141="",P140="不要",G145=""),"",IF(AQ140="天井ケーブル",2*AZ141*(F141-$Y$7/1000),O145*0.9))</f>
        <v>2.7</v>
      </c>
      <c r="AC145" s="2557"/>
      <c r="AD145" s="2557"/>
      <c r="AE145" s="2557"/>
      <c r="AF145" s="2557"/>
      <c r="AG145" s="2572" t="str">
        <f>IF($B$2=0,"","光電式煙2種埋")</f>
        <v>光電式煙2種埋</v>
      </c>
      <c r="AH145" s="2572"/>
      <c r="AI145" s="2572"/>
      <c r="AJ145" s="2572"/>
      <c r="AK145" s="2572"/>
      <c r="AL145" s="2572"/>
      <c r="AM145" s="2572"/>
      <c r="AN145" s="2312">
        <f>IF(OR(C141="",$B$2=0,P140="不要"),"",IF(AQ145&lt;&gt;"",AQ145,IF(AX146="B",BX145+BY145,IF(AND(BL145="耐 火",AZ145="無窓"),CB145+CC145,IF(AND(BL145&lt;&gt;"耐 火",AZ145="無窓"),CF145+CG145,"")))))</f>
        <v>11</v>
      </c>
      <c r="AO145" s="2312"/>
      <c r="AP145" s="2312"/>
      <c r="AQ145" s="2339"/>
      <c r="AR145" s="2339"/>
      <c r="AS145" s="2551"/>
      <c r="AT145" s="2577" t="str">
        <f>IF(C141="","","消防法上")</f>
        <v>消防法上</v>
      </c>
      <c r="AU145" s="2289"/>
      <c r="AV145" s="2289"/>
      <c r="AW145" s="2289"/>
      <c r="AX145" s="2289"/>
      <c r="AY145" s="2578"/>
      <c r="AZ145" s="2579" t="str">
        <f>IF($B$2=0,"",IF(BD145="",[4]Top!$BO$26,BD145))</f>
        <v>無窓</v>
      </c>
      <c r="BA145" s="2394"/>
      <c r="BB145" s="2580"/>
      <c r="BC145" s="353" t="s">
        <v>387</v>
      </c>
      <c r="BD145" s="2552"/>
      <c r="BE145" s="2552"/>
      <c r="BF145" s="2553"/>
      <c r="BG145" s="2581" t="str">
        <f>IF(C141="","","耐火構造")</f>
        <v>耐火構造</v>
      </c>
      <c r="BH145" s="2289"/>
      <c r="BI145" s="2289"/>
      <c r="BJ145" s="2289"/>
      <c r="BK145" s="2290"/>
      <c r="BL145" s="2278" t="str">
        <f>IF($B$2=0,"",IF(BQ145="",[4]Top!$AN$18,BQ145))</f>
        <v>耐 火</v>
      </c>
      <c r="BM145" s="2394"/>
      <c r="BN145" s="2394"/>
      <c r="BO145" s="2580"/>
      <c r="BP145" s="352" t="s">
        <v>387</v>
      </c>
      <c r="BQ145" s="2582"/>
      <c r="BR145" s="2552"/>
      <c r="BS145" s="2552"/>
      <c r="BT145" s="2583"/>
      <c r="BU145" s="19"/>
      <c r="BV145" s="35"/>
      <c r="BW145" s="351" t="s">
        <v>351</v>
      </c>
      <c r="BX145" s="350">
        <f>CB145</f>
        <v>1</v>
      </c>
      <c r="BY145" s="349">
        <f>CC145</f>
        <v>10</v>
      </c>
      <c r="BZ145" s="348"/>
      <c r="CA145" s="345"/>
      <c r="CB145" s="344">
        <f>IF(OR([6]Top!$BD$72&lt;&gt;"要",C141=""),"",IF(J141&gt;=4,1+INT(BZ142*0.47),1+INT(BZ142*0.47)))</f>
        <v>1</v>
      </c>
      <c r="CC145" s="347">
        <f>IF(OR([6]Top!$BD$72&lt;&gt;"要",C141=""),"",IF(J141&gt;=4,1+INT(CA142*0.47),1+INT(CA142*0.47)))</f>
        <v>10</v>
      </c>
      <c r="CD145" s="346"/>
      <c r="CE145" s="345"/>
      <c r="CF145" s="344">
        <f>IF(AND(AX132&lt;720,J141&lt;4),1+INT(CD142*0.47),1+INT(CD142*0.94))</f>
        <v>1</v>
      </c>
      <c r="CG145" s="343">
        <f>IF(AND(AX132&lt;720,J141&lt;4),1+INT(CE142*0.47),1+INT(CE142*0.94))</f>
        <v>48</v>
      </c>
      <c r="CH145" s="35"/>
      <c r="CI145" s="133">
        <f>IF(AND(C141&lt;&gt;"",LEFT(C141,2)&lt;&gt;" P"),CI137+F141,"")</f>
        <v>67</v>
      </c>
      <c r="CJ145" s="88" t="s">
        <v>350</v>
      </c>
      <c r="CK145" s="182" t="s">
        <v>349</v>
      </c>
      <c r="CL145" s="342">
        <f>IF(OR(C141="",C141="  RF"),"",IF(AZ149&lt;&gt;"",AZ141,AZ141+BG141))</f>
        <v>2</v>
      </c>
      <c r="CM145" s="341" t="s">
        <v>348</v>
      </c>
      <c r="CN145" s="219" t="s">
        <v>347</v>
      </c>
      <c r="CO145" s="138">
        <f>IF(OR(C141="",P140="不要"),"",AZ141*INT(CJ142+CK142)/5)</f>
        <v>2.4</v>
      </c>
      <c r="CP145" s="151" t="s">
        <v>347</v>
      </c>
      <c r="CQ145" s="340">
        <f>IF(AQ140="天井ケーブル",F141,CO145)</f>
        <v>2.4</v>
      </c>
      <c r="CR145" s="339">
        <f>SUM(CS145:CX145)</f>
        <v>7</v>
      </c>
      <c r="CS145" s="338">
        <f>AZ141</f>
        <v>1</v>
      </c>
      <c r="CT145" s="338">
        <f>IF(BA141="",0,BA141)</f>
        <v>0</v>
      </c>
      <c r="CU145" s="88">
        <v>1</v>
      </c>
      <c r="CV145" s="222">
        <v>1</v>
      </c>
      <c r="CW145" s="222">
        <v>2</v>
      </c>
      <c r="CX145" s="222">
        <v>2</v>
      </c>
      <c r="CY145" s="337" t="str">
        <f>IF(CK140="=",3*BR141+2,"")</f>
        <v/>
      </c>
      <c r="CZ145" s="218"/>
      <c r="DA145" s="8"/>
      <c r="DB145" s="197">
        <f t="shared" ref="DB145:DB176" si="49">IF(DH145&lt;&gt;"",DB144+1,DB144)</f>
        <v>10</v>
      </c>
      <c r="DC145" s="197" t="str">
        <f t="shared" ref="DC145:DC176" si="50">IF(AND(DB145&lt;&gt;"",DH145&lt;&gt;""),DB145,"")</f>
        <v/>
      </c>
      <c r="DD145" s="201" t="str">
        <f>G146</f>
        <v>FCPEV 1.2-5Pr</v>
      </c>
      <c r="DE145" s="8"/>
      <c r="DF145" s="8"/>
      <c r="DG145" s="8"/>
      <c r="DH145" s="8" t="str">
        <f>IF(COUNTIF($DD$15:DD144,DD145)&gt;0,"",DD145)</f>
        <v/>
      </c>
      <c r="DI145" s="252">
        <f>O146</f>
        <v>2.4</v>
      </c>
      <c r="DJ145" s="32">
        <f t="shared" si="47"/>
        <v>0</v>
      </c>
      <c r="DK145" s="197">
        <f t="shared" ref="DK145:DK156" si="51">IF(DQ145&lt;&gt;"",DK144+1,DK144)</f>
        <v>4</v>
      </c>
      <c r="DL145" s="197" t="str">
        <f t="shared" ref="DL145:DL156" si="52">IF(AND(DK145&lt;&gt;"",DQ145&lt;&gt;""),DK145,"")</f>
        <v/>
      </c>
      <c r="DM145" s="11" t="str">
        <f>IF(AN146="","",AG146)</f>
        <v/>
      </c>
      <c r="DN145" s="11"/>
      <c r="DO145" s="11"/>
      <c r="DP145" s="9"/>
      <c r="DQ145" s="9" t="str">
        <f>IF(COUNTIF($DM$15:DM144,DM145)&gt;0,"",DM145)</f>
        <v/>
      </c>
      <c r="DR145" s="101" t="str">
        <f>AN146</f>
        <v/>
      </c>
      <c r="DS145" s="32">
        <f t="shared" si="48"/>
        <v>8</v>
      </c>
      <c r="DT145" s="8"/>
      <c r="DU145" s="197">
        <f t="shared" ref="DU145:DU176" si="53">IF(EA145&lt;&gt;"",DU144+1,DU144)</f>
        <v>4</v>
      </c>
      <c r="DV145" s="197" t="str">
        <f t="shared" ref="DV145:DV176" si="54">IF(AND(DU145&lt;&gt;"",EA145&lt;&gt;""),DU145,"")</f>
        <v/>
      </c>
      <c r="DW145" s="201" t="str">
        <f>T145</f>
        <v>C-31mm</v>
      </c>
      <c r="DX145" s="8"/>
      <c r="DY145" s="8"/>
      <c r="DZ145" s="8"/>
      <c r="EA145" s="8" t="str">
        <f>IF(COUNTIF($DW$15:DW144,DW145)&gt;0,"",DW145)</f>
        <v/>
      </c>
      <c r="EB145" s="197">
        <f>AB145</f>
        <v>2.7</v>
      </c>
      <c r="EC145" s="32">
        <f>SUMIF($DW$17:$DW$184,EA145,$EB$17:$EB$184)</f>
        <v>0</v>
      </c>
    </row>
    <row r="146" spans="1:133" ht="11.25" customHeight="1" thickBot="1">
      <c r="A146" s="15"/>
      <c r="B146" s="23"/>
      <c r="C146" s="2570"/>
      <c r="D146" s="2571"/>
      <c r="E146" s="2571"/>
      <c r="F146" s="2571"/>
      <c r="G146" s="2554" t="str">
        <f>IF(OR($B$2=0,P140="不要"),"",IF(CR146=0,"",IF(OR(C141="",P140="不要"),"",IF(CR146&lt;10,"FCPEV 1.2-5Pr",IF(CR146&lt;20,"FCPEV 1.2- 10Pr",IF(CR146&lt;30,"FCPEV 1.2- 15Pr",IF(CR146&lt;40,"FCPEV 1.2- 20Pr",IF(CR146&lt;60,"FCPEV 1.2- 30Pr",IF(CR146&lt;100,"FCPEV 1.2- 50Pr",IF(CR146&lt;140,"FCPEV 1.2- 70Pr",IF(CR146&lt;200,"FCPEV 1.2-100Pr","FCPEV 1.2-200Pr")))))))))))</f>
        <v>FCPEV 1.2-5Pr</v>
      </c>
      <c r="H146" s="2555"/>
      <c r="I146" s="2555"/>
      <c r="J146" s="2555"/>
      <c r="K146" s="2555"/>
      <c r="L146" s="2555"/>
      <c r="M146" s="2555"/>
      <c r="N146" s="2555"/>
      <c r="O146" s="2555">
        <f>IF(OR(G146="",C141="",P140="不要"),"",CO145)</f>
        <v>2.4</v>
      </c>
      <c r="P146" s="2555"/>
      <c r="Q146" s="2555"/>
      <c r="R146" s="2555"/>
      <c r="S146" s="2555"/>
      <c r="T146" s="2555" t="str">
        <f>IF(OR(G146="",C141="",P140="不要"),"",IF(AQ140="天井ケーブル","C-"&amp;CO146&amp;"mm",IF(MID(AQ140,4,2)="PF","PF-"&amp;CN146&amp;"mm",IF(MID(AQ140,4,2)="CD","CD-"&amp;CN146&amp;"mm",IF(MID(AQ140,4,2)="C ","C-"&amp;CO146&amp;"mm",IF(MID(AQ140,4,2)="G ","G-"&amp;CN146&amp;"mm"))))))</f>
        <v>C-31mm</v>
      </c>
      <c r="U146" s="2555"/>
      <c r="V146" s="2555"/>
      <c r="W146" s="2555"/>
      <c r="X146" s="2555"/>
      <c r="Y146" s="2555"/>
      <c r="Z146" s="2555"/>
      <c r="AA146" s="2555"/>
      <c r="AB146" s="2555">
        <f>IF(OR(G146="",P140="不要"),"",CQ145)</f>
        <v>2.4</v>
      </c>
      <c r="AC146" s="2555"/>
      <c r="AD146" s="2555"/>
      <c r="AE146" s="2555"/>
      <c r="AF146" s="2555"/>
      <c r="AG146" s="2556" t="str">
        <f>IF($B$2=0,"","定温SP1種Exp")</f>
        <v>定温SP1種Exp</v>
      </c>
      <c r="AH146" s="2556"/>
      <c r="AI146" s="2556"/>
      <c r="AJ146" s="2556"/>
      <c r="AK146" s="2556"/>
      <c r="AL146" s="2556"/>
      <c r="AM146" s="2556"/>
      <c r="AN146" s="2335" t="str">
        <f>IF(AQ146&lt;&gt;"",AQ146,"")</f>
        <v/>
      </c>
      <c r="AO146" s="2335"/>
      <c r="AP146" s="2335"/>
      <c r="AQ146" s="2566"/>
      <c r="AR146" s="2566"/>
      <c r="AS146" s="2567"/>
      <c r="AT146" s="2586" t="str">
        <f>IF(C141="","","盤位置")</f>
        <v>盤位置</v>
      </c>
      <c r="AU146" s="2587"/>
      <c r="AV146" s="2587"/>
      <c r="AW146" s="2587"/>
      <c r="AX146" s="2588" t="str">
        <f>非誘!V112</f>
        <v>⑦</v>
      </c>
      <c r="AY146" s="2588"/>
      <c r="AZ146" s="2588"/>
      <c r="BA146" s="2559" t="str">
        <f>IF(C141="","","専部屋面積")</f>
        <v>専部屋面積</v>
      </c>
      <c r="BB146" s="2560"/>
      <c r="BC146" s="2560"/>
      <c r="BD146" s="2560"/>
      <c r="BE146" s="2560"/>
      <c r="BF146" s="2561"/>
      <c r="BG146" s="2562" t="str">
        <f>IF(OR(C141="",S141=""),"",S141/AA141)</f>
        <v/>
      </c>
      <c r="BH146" s="2563"/>
      <c r="BI146" s="2563"/>
      <c r="BJ146" s="2564"/>
      <c r="BK146" s="2559" t="str">
        <f>IF(C141="","","共部屋面積")</f>
        <v>共部屋面積</v>
      </c>
      <c r="BL146" s="2560"/>
      <c r="BM146" s="2560"/>
      <c r="BN146" s="2560"/>
      <c r="BO146" s="2560"/>
      <c r="BP146" s="2561"/>
      <c r="BQ146" s="2562">
        <f>IF(OR($B$2=0,C141=""),"",W141/AD141)</f>
        <v>17.5</v>
      </c>
      <c r="BR146" s="2563"/>
      <c r="BS146" s="2563"/>
      <c r="BT146" s="2565"/>
      <c r="BU146" s="19"/>
      <c r="BV146" s="35"/>
      <c r="BW146" s="99"/>
      <c r="BX146" s="35"/>
      <c r="BY146" s="35"/>
      <c r="BZ146" s="35"/>
      <c r="CA146" s="35"/>
      <c r="CB146" s="35"/>
      <c r="CC146" s="35"/>
      <c r="CD146" s="35"/>
      <c r="CE146" s="35"/>
      <c r="CF146" s="35"/>
      <c r="CG146" s="35"/>
      <c r="CH146" s="35"/>
      <c r="CI146" s="8"/>
      <c r="CJ146" s="8"/>
      <c r="CK146" s="8"/>
      <c r="CL146" s="336" t="str">
        <f>IF(OR(RIGHT(G145,3)="5Pr",RIGHT(G145,4)="10Pr",RIGHT(G145,4)="15Pr"),"28",IF(OR(RIGHT(G145,4)="20Pr",RIGHT(G145,4)="30Pr"),"36",IF(OR(RIGHT(G145,4)="50Pr",RIGHT(G145,4)="70Pr"),"42","")))</f>
        <v>28</v>
      </c>
      <c r="CM146" s="336" t="str">
        <f>IF(OR(RIGHT(G145,3)="5Pr",RIGHT(G145,4)="10Pr",RIGHT(G145,4)="15Pr"),"31",IF(OR(RIGHT(G145,4)="20Pr",RIGHT(G145,4)="30Pr"),"39",IF(OR(RIGHT(G145,4)="50Pr",RIGHT(G145,4)="70Pr"),"51","")))</f>
        <v>31</v>
      </c>
      <c r="CN146" s="86" t="str">
        <f>IF(OR(RIGHT(G146,3)="5Pr",RIGHT(G146,4)="10Pr",RIGHT(G146,4)="15Pr"),"28",IF(OR(RIGHT(G146,4)="20Pr",RIGHT(G146,4)="30Pr"),"36",IF(OR(RIGHT(G146,4)="50Pr",RIGHT(G146,4)="70Pr"),"42","")))</f>
        <v>28</v>
      </c>
      <c r="CO146" s="86" t="str">
        <f>IF(OR(RIGHT(G146,3)="5Pr",RIGHT(G146,4)="10Pr",RIGHT(G146,4)="15Pr"),"31",IF(OR(RIGHT(G146,4)="20Pr",RIGHT(G146,4)="30Pr"),"39",IF(OR(RIGHT(G146,4)="50Pr",RIGHT(G146,4)="70Pr"),"51","")))</f>
        <v>31</v>
      </c>
      <c r="CP146" s="9"/>
      <c r="CQ146" s="9"/>
      <c r="CR146" s="335">
        <f>IF(P140="不要","",SUM(CS146:CX146))</f>
        <v>9</v>
      </c>
      <c r="CS146" s="334">
        <f>IF(OR(CK140="",CK140="=",P140="不要"),0,IF(CK140="－",CL145+CS138,IF(CK140="+",CL145+CS154)))</f>
        <v>2</v>
      </c>
      <c r="CT146" s="188">
        <f>IF(OR(CK140="",CK140="=",P140="不要"),0,IF(CS146&lt;7,1,IF(CS146&lt;14,2,IF(CS146&lt;21,3,IF(CS146&lt;28,4,IF(CS146&lt;35,5,IF(CS146&lt;42,6,IF(CS146&lt;49,7,IF(CS146&lt;56,8,IF(CS146&lt;63,9,IF(CS146&lt;70,10,IF(CS146&lt;77,11,"---"))))))))))))</f>
        <v>1</v>
      </c>
      <c r="CU146" s="188">
        <f>IF(CS146=0,0,1)</f>
        <v>1</v>
      </c>
      <c r="CV146" s="333">
        <f>IF(CS146=0,0,1)</f>
        <v>1</v>
      </c>
      <c r="CW146" s="333">
        <f>IF(CS146=0,0,2)</f>
        <v>2</v>
      </c>
      <c r="CX146" s="333">
        <f>IF(CS146=0,0,2)</f>
        <v>2</v>
      </c>
      <c r="CY146" s="332">
        <f>IF(OR(BR149="",P140="不要"),0,IF(CK140="=",0,IF(CK140="－",2*BR141+3,IF(CK140="+",2*(BR141+BR149)+3,""))))</f>
        <v>0</v>
      </c>
      <c r="CZ146" s="216"/>
      <c r="DA146" s="9"/>
      <c r="DB146" s="127">
        <f t="shared" si="49"/>
        <v>10</v>
      </c>
      <c r="DC146" s="127" t="str">
        <f t="shared" si="50"/>
        <v/>
      </c>
      <c r="DD146" s="11" t="str">
        <f>CR140</f>
        <v>防火区画処理</v>
      </c>
      <c r="DE146" s="9"/>
      <c r="DF146" s="9"/>
      <c r="DG146" s="9"/>
      <c r="DH146" s="9" t="str">
        <f>IF(COUNTIF($DD$15:DD145,DD146)&gt;0,"",DD146)</f>
        <v/>
      </c>
      <c r="DI146" s="242">
        <f>CU140</f>
        <v>6</v>
      </c>
      <c r="DJ146" s="32">
        <f t="shared" si="47"/>
        <v>0</v>
      </c>
      <c r="DK146" s="127">
        <f t="shared" si="51"/>
        <v>4</v>
      </c>
      <c r="DL146" s="127" t="str">
        <f t="shared" si="52"/>
        <v/>
      </c>
      <c r="DM146" s="11" t="str">
        <f>IF(CY141="","",CV141)</f>
        <v/>
      </c>
      <c r="DN146" s="11"/>
      <c r="DO146" s="11"/>
      <c r="DP146" s="9"/>
      <c r="DQ146" s="9" t="str">
        <f>IF(COUNTIF($DM$15:DM145,DM146)&gt;0,"",DM146)</f>
        <v/>
      </c>
      <c r="DR146" s="101" t="str">
        <f>CY141</f>
        <v/>
      </c>
      <c r="DS146" s="32">
        <f t="shared" si="48"/>
        <v>8</v>
      </c>
      <c r="DT146" s="9"/>
      <c r="DU146" s="197">
        <f t="shared" si="53"/>
        <v>4</v>
      </c>
      <c r="DV146" s="197" t="str">
        <f t="shared" si="54"/>
        <v/>
      </c>
      <c r="DW146" s="201" t="str">
        <f>T146</f>
        <v>C-31mm</v>
      </c>
      <c r="DX146" s="8"/>
      <c r="DY146" s="8"/>
      <c r="DZ146" s="8"/>
      <c r="EA146" s="8" t="str">
        <f>IF(COUNTIF($DW$15:DW145,DW146)&gt;0,"",DW146)</f>
        <v/>
      </c>
      <c r="EB146" s="197">
        <f>AB146</f>
        <v>2.4</v>
      </c>
      <c r="EC146" s="32">
        <f>SUMIF($DW$17:$DW$184,EA146,$EB$17:$EB$184)</f>
        <v>0</v>
      </c>
    </row>
    <row r="147" spans="1:133" ht="11.25" customHeight="1">
      <c r="A147" s="15"/>
      <c r="B147" s="23"/>
      <c r="C147" s="37"/>
      <c r="D147" s="37"/>
      <c r="E147" s="37"/>
      <c r="F147" s="37"/>
      <c r="G147" s="331"/>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157"/>
      <c r="AH147" s="157"/>
      <c r="AI147" s="157"/>
      <c r="AJ147" s="157"/>
      <c r="AK147" s="157"/>
      <c r="AL147" s="157"/>
      <c r="AM147" s="157"/>
      <c r="AN147" s="377"/>
      <c r="AO147" s="377"/>
      <c r="AP147" s="377"/>
      <c r="AQ147" s="37"/>
      <c r="AR147" s="37"/>
      <c r="AS147" s="37"/>
      <c r="AT147" s="157"/>
      <c r="AU147" s="157"/>
      <c r="AV147" s="157"/>
      <c r="AW147" s="157"/>
      <c r="AX147" s="157"/>
      <c r="AY147" s="157"/>
      <c r="AZ147" s="157"/>
      <c r="BA147" s="377"/>
      <c r="BB147" s="377"/>
      <c r="BC147" s="377"/>
      <c r="BD147" s="37"/>
      <c r="BE147" s="37"/>
      <c r="BF147" s="37"/>
      <c r="BG147" s="157"/>
      <c r="BH147" s="157"/>
      <c r="BI147" s="157"/>
      <c r="BJ147" s="157"/>
      <c r="BK147" s="157"/>
      <c r="BL147" s="157"/>
      <c r="BM147" s="157"/>
      <c r="BN147" s="157"/>
      <c r="BO147" s="377"/>
      <c r="BP147" s="377"/>
      <c r="BQ147" s="377"/>
      <c r="BR147" s="37"/>
      <c r="BS147" s="37"/>
      <c r="BT147" s="37"/>
      <c r="BU147" s="19"/>
      <c r="BV147" s="35"/>
      <c r="BW147" s="99"/>
      <c r="BX147" s="35"/>
      <c r="BY147" s="35"/>
      <c r="BZ147" s="35"/>
      <c r="CA147" s="35"/>
      <c r="CB147" s="35"/>
      <c r="CC147" s="35"/>
      <c r="CD147" s="35"/>
      <c r="CE147" s="35"/>
      <c r="CF147" s="35"/>
      <c r="CG147" s="35"/>
      <c r="CH147" s="35"/>
      <c r="CI147" s="199"/>
      <c r="CJ147" s="8"/>
      <c r="CK147" s="8"/>
      <c r="CL147" s="64"/>
      <c r="CM147" s="64"/>
      <c r="CN147" s="64"/>
      <c r="CO147" s="64"/>
      <c r="CP147" s="9"/>
      <c r="CQ147" s="9"/>
      <c r="CR147" s="376"/>
      <c r="CS147" s="375"/>
      <c r="CT147" s="145"/>
      <c r="CU147" s="145"/>
      <c r="CV147" s="127"/>
      <c r="CW147" s="127"/>
      <c r="CX147" s="127"/>
      <c r="CY147" s="9"/>
      <c r="CZ147" s="218"/>
      <c r="DA147" s="9"/>
      <c r="DB147" s="127">
        <f t="shared" si="49"/>
        <v>10</v>
      </c>
      <c r="DC147" s="127" t="str">
        <f t="shared" si="50"/>
        <v/>
      </c>
      <c r="DD147" s="11"/>
      <c r="DE147" s="9"/>
      <c r="DF147" s="9"/>
      <c r="DG147" s="9"/>
      <c r="DH147" s="9"/>
      <c r="DI147" s="242"/>
      <c r="DJ147" s="13"/>
      <c r="DK147" s="127">
        <f t="shared" si="51"/>
        <v>4</v>
      </c>
      <c r="DL147" s="127" t="str">
        <f t="shared" si="52"/>
        <v/>
      </c>
      <c r="DM147" s="11" t="str">
        <f>IF(CY142="","",CV142)</f>
        <v>P1総合盤露出</v>
      </c>
      <c r="DN147" s="11"/>
      <c r="DO147" s="11"/>
      <c r="DP147" s="9"/>
      <c r="DQ147" s="9" t="str">
        <f>IF(COUNTIF($DM$15:DM146,DM147)&gt;0,"",DM147)</f>
        <v/>
      </c>
      <c r="DR147" s="101">
        <f>CY142</f>
        <v>1</v>
      </c>
      <c r="DS147" s="32">
        <f t="shared" si="48"/>
        <v>8</v>
      </c>
      <c r="DT147" s="9"/>
      <c r="DU147" s="8">
        <f t="shared" si="53"/>
        <v>4</v>
      </c>
      <c r="DV147" s="8" t="str">
        <f t="shared" si="54"/>
        <v/>
      </c>
      <c r="DW147" s="8"/>
      <c r="DX147" s="8"/>
      <c r="DY147" s="8"/>
      <c r="DZ147" s="8"/>
      <c r="EA147" s="8"/>
      <c r="EB147" s="8"/>
      <c r="EC147" s="8"/>
    </row>
    <row r="148" spans="1:133" ht="11.25" customHeight="1" thickBot="1">
      <c r="A148" s="374">
        <v>17</v>
      </c>
      <c r="B148" s="23"/>
      <c r="C148" s="2626" t="str">
        <f>非誘!J117</f>
        <v/>
      </c>
      <c r="D148" s="2627"/>
      <c r="E148" s="2628"/>
      <c r="F148" s="2629" t="str">
        <f>非誘!M117</f>
        <v/>
      </c>
      <c r="G148" s="2629"/>
      <c r="H148" s="2629"/>
      <c r="I148" s="2629"/>
      <c r="J148" s="2629"/>
      <c r="K148" s="2629"/>
      <c r="L148" s="2629"/>
      <c r="M148" s="2629"/>
      <c r="N148" s="2629"/>
      <c r="O148" s="2629"/>
      <c r="P148" s="2630" t="str">
        <f>IF(U148="",RIGHT($D$8,2),U148)</f>
        <v>設置</v>
      </c>
      <c r="Q148" s="2630"/>
      <c r="R148" s="2630"/>
      <c r="S148" s="2631"/>
      <c r="T148" s="31" t="s">
        <v>387</v>
      </c>
      <c r="U148" s="2632"/>
      <c r="V148" s="2632"/>
      <c r="W148" s="2632"/>
      <c r="X148" s="2633"/>
      <c r="Y148" s="2634" t="s">
        <v>20</v>
      </c>
      <c r="Z148" s="2634"/>
      <c r="AA148" s="2634"/>
      <c r="AB148" s="2634"/>
      <c r="AC148" s="2634"/>
      <c r="AD148" s="2635" t="str">
        <f>非誘!J118</f>
        <v/>
      </c>
      <c r="AE148" s="2635"/>
      <c r="AF148" s="2635"/>
      <c r="AG148" s="2635"/>
      <c r="AH148" s="2299" t="s">
        <v>135</v>
      </c>
      <c r="AI148" s="2299"/>
      <c r="AJ148" s="2299"/>
      <c r="AK148" s="2299"/>
      <c r="AL148" s="2299"/>
      <c r="AM148" s="2299" t="s">
        <v>366</v>
      </c>
      <c r="AN148" s="2299"/>
      <c r="AO148" s="2299"/>
      <c r="AP148" s="2299"/>
      <c r="AQ148" s="2569" t="str">
        <f>IF(AX148="","天井ケーブル",AX148)</f>
        <v>天井(C 管)</v>
      </c>
      <c r="AR148" s="2569"/>
      <c r="AS148" s="2569"/>
      <c r="AT148" s="2569"/>
      <c r="AU148" s="2569"/>
      <c r="AV148" s="2569"/>
      <c r="AW148" s="175" t="s">
        <v>387</v>
      </c>
      <c r="AX148" s="2338" t="s">
        <v>388</v>
      </c>
      <c r="AY148" s="2338"/>
      <c r="AZ148" s="2338"/>
      <c r="BA148" s="2338"/>
      <c r="BB148" s="2338"/>
      <c r="BC148" s="2338"/>
      <c r="BD148" s="2299" t="s">
        <v>363</v>
      </c>
      <c r="BE148" s="2299"/>
      <c r="BF148" s="2299"/>
      <c r="BG148" s="2299"/>
      <c r="BH148" s="2569" t="str">
        <f>IF(BO148="","天井(C 管)",BO148)</f>
        <v>天井(C 管)</v>
      </c>
      <c r="BI148" s="2569"/>
      <c r="BJ148" s="2569"/>
      <c r="BK148" s="2569"/>
      <c r="BL148" s="2569"/>
      <c r="BM148" s="2569"/>
      <c r="BN148" s="175" t="s">
        <v>387</v>
      </c>
      <c r="BO148" s="2338"/>
      <c r="BP148" s="2338"/>
      <c r="BQ148" s="2338"/>
      <c r="BR148" s="2338"/>
      <c r="BS148" s="2338"/>
      <c r="BT148" s="2622"/>
      <c r="BU148" s="19"/>
      <c r="BV148" s="35"/>
      <c r="BW148" s="99"/>
      <c r="BX148" s="35"/>
      <c r="BY148" s="35"/>
      <c r="BZ148" s="35"/>
      <c r="CA148" s="35"/>
      <c r="CB148" s="35"/>
      <c r="CC148" s="35"/>
      <c r="CD148" s="35"/>
      <c r="CE148" s="35"/>
      <c r="CF148" s="35"/>
      <c r="CG148" s="35"/>
      <c r="CH148" s="35"/>
      <c r="CI148" s="8">
        <v>23</v>
      </c>
      <c r="CJ148" s="97" t="str">
        <f>IF(LEFT(C149,2)=" B",-MID(C149,3,1),IF(C149="  RF","",LEFT(C149,3)))</f>
        <v/>
      </c>
      <c r="CK148" s="10" t="str">
        <f>IF(OR(C149="",C149="  RF"),"",IF(LEFT(C149,1)="P","+",IF($CJ$14&gt;CJ148,"－",IF($CJ$14=CJ148,"=","+"))))</f>
        <v/>
      </c>
      <c r="CL148" s="2601" t="s">
        <v>376</v>
      </c>
      <c r="CM148" s="2601"/>
      <c r="CN148" s="2601"/>
      <c r="CO148" s="2601" t="s">
        <v>375</v>
      </c>
      <c r="CP148" s="2601"/>
      <c r="CQ148" s="2601"/>
      <c r="CR148" s="2589" t="str">
        <f>AG149</f>
        <v>防火区画処理</v>
      </c>
      <c r="CS148" s="2590"/>
      <c r="CT148" s="2591"/>
      <c r="CU148" s="184" t="str">
        <f>AN149</f>
        <v/>
      </c>
      <c r="CV148" s="2589" t="str">
        <f>AG153</f>
        <v>光電式煙2種埋</v>
      </c>
      <c r="CW148" s="2590"/>
      <c r="CX148" s="2591"/>
      <c r="CY148" s="184" t="str">
        <f>AN153</f>
        <v/>
      </c>
      <c r="CZ148" s="216"/>
      <c r="DA148" s="88">
        <v>17</v>
      </c>
      <c r="DB148" s="204">
        <f t="shared" si="49"/>
        <v>10</v>
      </c>
      <c r="DC148" s="155" t="str">
        <f t="shared" si="50"/>
        <v/>
      </c>
      <c r="DD148" s="45"/>
      <c r="DE148" s="45"/>
      <c r="DF148" s="45"/>
      <c r="DG148" s="45"/>
      <c r="DH148" s="45"/>
      <c r="DI148" s="45"/>
      <c r="DJ148" s="45"/>
      <c r="DK148" s="155">
        <f t="shared" si="51"/>
        <v>4</v>
      </c>
      <c r="DL148" s="155" t="str">
        <f t="shared" si="52"/>
        <v/>
      </c>
      <c r="DM148" s="154" t="str">
        <f>IF(CY143="","",CV143)</f>
        <v/>
      </c>
      <c r="DN148" s="154"/>
      <c r="DO148" s="154"/>
      <c r="DP148" s="45"/>
      <c r="DQ148" s="45"/>
      <c r="DR148" s="209"/>
      <c r="DS148" s="230">
        <f>SUMIF($DM$17:$DM$185,DQ148,$DR$17:$DR$185)</f>
        <v>0</v>
      </c>
      <c r="DT148" s="88">
        <v>17</v>
      </c>
      <c r="DU148" s="373">
        <f t="shared" si="53"/>
        <v>4</v>
      </c>
      <c r="DV148" s="45" t="str">
        <f t="shared" si="54"/>
        <v/>
      </c>
      <c r="DW148" s="45"/>
      <c r="DX148" s="45"/>
      <c r="DY148" s="45"/>
      <c r="DZ148" s="45"/>
      <c r="EA148" s="45"/>
      <c r="EB148" s="45"/>
      <c r="EC148" s="45"/>
    </row>
    <row r="149" spans="1:133" ht="11.25" customHeight="1" thickBot="1">
      <c r="A149" s="15">
        <v>34</v>
      </c>
      <c r="B149" s="23"/>
      <c r="C149" s="2602" t="str">
        <f>非誘!C119</f>
        <v/>
      </c>
      <c r="D149" s="2603"/>
      <c r="E149" s="2604"/>
      <c r="F149" s="2605" t="str">
        <f>非誘!F119</f>
        <v/>
      </c>
      <c r="G149" s="2606"/>
      <c r="H149" s="2606"/>
      <c r="I149" s="2607"/>
      <c r="J149" s="2605" t="str">
        <f>非誘!J119</f>
        <v/>
      </c>
      <c r="K149" s="2606"/>
      <c r="L149" s="2606"/>
      <c r="M149" s="2607"/>
      <c r="N149" s="2608" t="str">
        <f>非誘!N119</f>
        <v/>
      </c>
      <c r="O149" s="2609"/>
      <c r="P149" s="2609"/>
      <c r="Q149" s="2609"/>
      <c r="R149" s="2610"/>
      <c r="S149" s="2608" t="str">
        <f>非誘!S119</f>
        <v/>
      </c>
      <c r="T149" s="2609"/>
      <c r="U149" s="2609"/>
      <c r="V149" s="2610"/>
      <c r="W149" s="2608" t="str">
        <f>非誘!W119</f>
        <v/>
      </c>
      <c r="X149" s="2609"/>
      <c r="Y149" s="2609"/>
      <c r="Z149" s="2610"/>
      <c r="AA149" s="2611" t="str">
        <f>非誘!AA119</f>
        <v/>
      </c>
      <c r="AB149" s="2603"/>
      <c r="AC149" s="2604"/>
      <c r="AD149" s="2612" t="str">
        <f>非誘!AD119</f>
        <v/>
      </c>
      <c r="AE149" s="2613"/>
      <c r="AF149" s="2614"/>
      <c r="AG149" s="2615" t="str">
        <f>IF($B$2=0,"","防火区画処理")</f>
        <v>防火区画処理</v>
      </c>
      <c r="AH149" s="2615"/>
      <c r="AI149" s="2615"/>
      <c r="AJ149" s="2615"/>
      <c r="AK149" s="2615"/>
      <c r="AL149" s="2615"/>
      <c r="AM149" s="2615"/>
      <c r="AN149" s="2616" t="str">
        <f>IF(OR($B$2=0,C149="",P148="不要"),"",AZ149+BG149+BR149*2)</f>
        <v/>
      </c>
      <c r="AO149" s="2616"/>
      <c r="AP149" s="2616"/>
      <c r="AQ149" s="2617" t="s">
        <v>374</v>
      </c>
      <c r="AR149" s="2617"/>
      <c r="AS149" s="2617"/>
      <c r="AT149" s="2617"/>
      <c r="AU149" s="2617"/>
      <c r="AV149" s="2618" t="s">
        <v>373</v>
      </c>
      <c r="AW149" s="2618"/>
      <c r="AX149" s="2618"/>
      <c r="AY149" s="2618"/>
      <c r="AZ149" s="2619" t="str">
        <f>IF(OR($B$2=0,C149="",P148="不要"),"",IF(LEFT(C149,1)="P",1+INT(W149/450),INT(S149/450)+1+INT(W149/450)))</f>
        <v/>
      </c>
      <c r="BA149" s="2619"/>
      <c r="BB149" s="2619"/>
      <c r="BC149" s="2618" t="s">
        <v>372</v>
      </c>
      <c r="BD149" s="2618"/>
      <c r="BE149" s="2618"/>
      <c r="BF149" s="2618"/>
      <c r="BG149" s="2619" t="str">
        <f>IF(OR($B$2=0,C149="",P148="不要"),"",1+INT(N149/500))</f>
        <v/>
      </c>
      <c r="BH149" s="2619"/>
      <c r="BI149" s="2619"/>
      <c r="BJ149" s="2617" t="s">
        <v>371</v>
      </c>
      <c r="BK149" s="2617"/>
      <c r="BL149" s="2617"/>
      <c r="BM149" s="2617"/>
      <c r="BN149" s="2617"/>
      <c r="BO149" s="2617"/>
      <c r="BP149" s="2617"/>
      <c r="BQ149" s="2617"/>
      <c r="BR149" s="2620" t="str">
        <f>IF(OR($B$2=0,C149="",P148="不要"),"",1+INT(0.055*N149^0.6))</f>
        <v/>
      </c>
      <c r="BS149" s="2620"/>
      <c r="BT149" s="2621"/>
      <c r="BU149" s="19"/>
      <c r="BV149" s="35"/>
      <c r="BW149" s="99"/>
      <c r="BX149" s="35"/>
      <c r="BY149" s="35"/>
      <c r="BZ149" s="35"/>
      <c r="CA149" s="35"/>
      <c r="CB149" s="35"/>
      <c r="CC149" s="35"/>
      <c r="CD149" s="35"/>
      <c r="CE149" s="35"/>
      <c r="CF149" s="35"/>
      <c r="CG149" s="35"/>
      <c r="CH149" s="35"/>
      <c r="CI149" s="8">
        <v>2</v>
      </c>
      <c r="CJ149" s="88" t="s">
        <v>386</v>
      </c>
      <c r="CK149" s="88" t="s">
        <v>385</v>
      </c>
      <c r="CL149" s="372" t="b">
        <f>IF(C150="","",IF(AX154="①",CJ150+CK150+3,IF(AX154="②",CJ150*5/8+CK150+3,IF(AX154="③",CJ150/2+CK150+3,IF(AX154="④",CJ150+CK150*5/8+3,IF(AX154="⑤",(CJ150+CK150)*5/8+3,IF(AX154="⑥",CJ150/2+CK150*5/8+3,IF(AX154="⑦",CJ150+CK150/2+3,IF(AX154="⑧",CJ150*5/8+CK150/2+3,IF(AX154="⑨",(CJ150+CK150)/2+3))))))))))</f>
        <v>0</v>
      </c>
      <c r="CM149" s="371" t="s">
        <v>384</v>
      </c>
      <c r="CN149" s="371" t="s">
        <v>383</v>
      </c>
      <c r="CO149" s="370"/>
      <c r="CP149" s="371" t="s">
        <v>384</v>
      </c>
      <c r="CQ149" s="370" t="s">
        <v>383</v>
      </c>
      <c r="CR149" s="2589" t="str">
        <f>AG150</f>
        <v>差動SP2種埋</v>
      </c>
      <c r="CS149" s="2590"/>
      <c r="CT149" s="2591"/>
      <c r="CU149" s="184" t="str">
        <f>AN150</f>
        <v/>
      </c>
      <c r="CV149" s="2589" t="str">
        <f>AT152</f>
        <v>HP起動押ボタン</v>
      </c>
      <c r="CW149" s="2590"/>
      <c r="CX149" s="2591"/>
      <c r="CY149" s="184" t="str">
        <f>BA152</f>
        <v/>
      </c>
      <c r="CZ149" s="216"/>
      <c r="DA149" s="8"/>
      <c r="DB149" s="197">
        <f t="shared" si="49"/>
        <v>10</v>
      </c>
      <c r="DC149" s="197" t="str">
        <f t="shared" si="50"/>
        <v/>
      </c>
      <c r="DD149" s="201" t="str">
        <f>G150</f>
        <v/>
      </c>
      <c r="DE149" s="8"/>
      <c r="DF149" s="8"/>
      <c r="DG149" s="8"/>
      <c r="DH149" s="8" t="str">
        <f>IF(COUNTIF($DD$15:DD148,DD149)&gt;0,"",DD149)</f>
        <v/>
      </c>
      <c r="DI149" s="252" t="str">
        <f>O150</f>
        <v/>
      </c>
      <c r="DJ149" s="32">
        <f t="shared" ref="DJ149:DJ154" si="55">SUMIF($DD$17:$DD$184,DH149,$DI$17:$DI$184)</f>
        <v>0</v>
      </c>
      <c r="DK149" s="197">
        <f t="shared" si="51"/>
        <v>4</v>
      </c>
      <c r="DL149" s="197" t="str">
        <f t="shared" si="52"/>
        <v/>
      </c>
      <c r="DM149" s="10" t="str">
        <f>IF(CU149="","",CR149)</f>
        <v/>
      </c>
      <c r="DN149" s="10" t="str">
        <f>CR149</f>
        <v>差動SP2種埋</v>
      </c>
      <c r="DO149" s="10"/>
      <c r="DP149" s="8"/>
      <c r="DQ149" s="8" t="str">
        <f>IF(COUNTIF($DM$15:DM148,DM149)&gt;0,"",DM149)</f>
        <v/>
      </c>
      <c r="DR149" s="200" t="str">
        <f>CU149</f>
        <v/>
      </c>
      <c r="DS149" s="32">
        <f t="shared" ref="DS149:DS156" si="56">SUMIF($DM$17:$DM$184,DQ149,$DR$17:$DR$184)</f>
        <v>8</v>
      </c>
      <c r="DT149" s="8"/>
      <c r="DU149" s="197">
        <f t="shared" si="53"/>
        <v>4</v>
      </c>
      <c r="DV149" s="197" t="str">
        <f t="shared" si="54"/>
        <v/>
      </c>
      <c r="DW149" s="201"/>
      <c r="DX149" s="8"/>
      <c r="DY149" s="8"/>
      <c r="DZ149" s="8"/>
      <c r="EA149" s="8"/>
      <c r="EB149" s="252"/>
      <c r="EC149" s="32"/>
    </row>
    <row r="150" spans="1:133" ht="11.25" customHeight="1">
      <c r="A150" s="15"/>
      <c r="B150" s="23"/>
      <c r="C150" s="2623" t="s">
        <v>366</v>
      </c>
      <c r="D150" s="2624"/>
      <c r="E150" s="2624"/>
      <c r="F150" s="2624"/>
      <c r="G150" s="2625" t="str">
        <f>IF(C149="","","AE 0.9mm-4C")</f>
        <v/>
      </c>
      <c r="H150" s="2625"/>
      <c r="I150" s="2625"/>
      <c r="J150" s="2625"/>
      <c r="K150" s="2625"/>
      <c r="L150" s="2625"/>
      <c r="M150" s="2625"/>
      <c r="N150" s="2625"/>
      <c r="O150" s="2593" t="str">
        <f>IF($B$2=0,"",IF(OR(C149="",P148="不要"),"",ROUND((CM150+CN150),0)))</f>
        <v/>
      </c>
      <c r="P150" s="2593"/>
      <c r="Q150" s="2593"/>
      <c r="R150" s="2593"/>
      <c r="S150" s="2593"/>
      <c r="T150" s="2593" t="str">
        <f>IF(OR($B$2=0,C149="",P148="不要"),"",IF(AQ148="天井ケーブル","C-19mm",IF(MID(AQ148,4,2)="PF","PF-16mm",IF(MID(AQ148,4,2)="CD","CD-16mm",IF(MID(AQ148,4,2)="C ","C-19mm",IF(MID(AQ148,4,2)="G ","G-16mm",""))))))</f>
        <v/>
      </c>
      <c r="U150" s="2593"/>
      <c r="V150" s="2593"/>
      <c r="W150" s="2593"/>
      <c r="X150" s="2593"/>
      <c r="Y150" s="2593"/>
      <c r="Z150" s="2593"/>
      <c r="AA150" s="2593"/>
      <c r="AB150" s="2593" t="str">
        <f>IF(OR($B$2=0,C149="",P148="不要"),"",IF(CQ150="",ROUND(CP150,0),ROUND((CP150+CQ150),0)))</f>
        <v/>
      </c>
      <c r="AC150" s="2593"/>
      <c r="AD150" s="2593"/>
      <c r="AE150" s="2593"/>
      <c r="AF150" s="2593"/>
      <c r="AG150" s="2595" t="str">
        <f>IF($B$2=0,"","差動SP2種埋")</f>
        <v>差動SP2種埋</v>
      </c>
      <c r="AH150" s="2595"/>
      <c r="AI150" s="2595"/>
      <c r="AJ150" s="2595"/>
      <c r="AK150" s="2595"/>
      <c r="AL150" s="2595"/>
      <c r="AM150" s="2595"/>
      <c r="AN150" s="2593" t="str">
        <f>IF(OR(C149="",P148="不要"),"",IF(AQ150&lt;&gt;"",AQ150,IF(AX154="B","",IF(AZ153="無窓","",IF(AND(BL153="耐 火",AZ153="有窓"),BZ150+CA150,CD150+CE150)))))</f>
        <v/>
      </c>
      <c r="AO150" s="2593"/>
      <c r="AP150" s="2593"/>
      <c r="AQ150" s="2594"/>
      <c r="AR150" s="2594"/>
      <c r="AS150" s="2594"/>
      <c r="AT150" s="2595" t="str">
        <f>IF($B$2=0,"","P1総合盤露出")</f>
        <v>P1総合盤露出</v>
      </c>
      <c r="AU150" s="2595"/>
      <c r="AV150" s="2595"/>
      <c r="AW150" s="2595"/>
      <c r="AX150" s="2595"/>
      <c r="AY150" s="2595"/>
      <c r="AZ150" s="2595"/>
      <c r="BA150" s="2593" t="str">
        <f>IF(P148="不要","",IF(BD150&lt;&gt;"",BD150,IF([4]Top!$BD$51="要","",AZ149)))</f>
        <v/>
      </c>
      <c r="BB150" s="2593"/>
      <c r="BC150" s="2593"/>
      <c r="BD150" s="2594"/>
      <c r="BE150" s="2594"/>
      <c r="BF150" s="2594"/>
      <c r="BG150" s="2597" t="str">
        <f>IF($B$2=0,"","ﾗｯﾁ電磁レリーズ")</f>
        <v>ﾗｯﾁ電磁レリーズ</v>
      </c>
      <c r="BH150" s="2597"/>
      <c r="BI150" s="2597"/>
      <c r="BJ150" s="2597"/>
      <c r="BK150" s="2597"/>
      <c r="BL150" s="2597"/>
      <c r="BM150" s="2597"/>
      <c r="BN150" s="2597"/>
      <c r="BO150" s="2593" t="str">
        <f>IF(P148="不要","",IF(BR150&lt;&gt;"",BR150,BR149))</f>
        <v/>
      </c>
      <c r="BP150" s="2593"/>
      <c r="BQ150" s="2593"/>
      <c r="BR150" s="2594"/>
      <c r="BS150" s="2594"/>
      <c r="BT150" s="2596"/>
      <c r="BU150" s="19"/>
      <c r="BV150" s="35"/>
      <c r="BW150" s="351" t="s">
        <v>365</v>
      </c>
      <c r="BX150" s="368"/>
      <c r="BY150" s="369"/>
      <c r="BZ150" s="344">
        <f>IF(AA149="",0,IF(OR([6]Top!$BD$72&lt;&gt;"要",C149=""),"",IF(J149&gt;=4,1+INT(AA149*2.4),1+INT(AA149*1.2))))</f>
        <v>0</v>
      </c>
      <c r="CA150" s="360" t="str">
        <f>IF(OR([6]Top!$BD$72&lt;&gt;"要",C149=""),"",IF(J149&gt;=4,1+INT(AD149*2.4),1+INT(AD149*1.2)))</f>
        <v/>
      </c>
      <c r="CB150" s="368"/>
      <c r="CC150" s="369"/>
      <c r="CD150" s="343">
        <f>IF($AX$8&lt;=500,BZ150*2,1+INT(BZ150*2.5))</f>
        <v>1</v>
      </c>
      <c r="CE150" s="360" t="e">
        <f>IF($AX$8&lt;=500,CA150*2,1+INT(CA150*2.5))</f>
        <v>#VALUE!</v>
      </c>
      <c r="CF150" s="368"/>
      <c r="CG150" s="367"/>
      <c r="CH150" s="35"/>
      <c r="CI150" s="133">
        <f>IF(AZ149&lt;&gt;"",AZ149,0)</f>
        <v>0</v>
      </c>
      <c r="CJ150" s="98">
        <f>非誘!BW119</f>
        <v>0</v>
      </c>
      <c r="CK150" s="98">
        <f>非誘!BX119</f>
        <v>0</v>
      </c>
      <c r="CL150" s="88" t="s">
        <v>364</v>
      </c>
      <c r="CM150" s="185" t="str">
        <f>IF(OR(C149="",C149="  RF"),"",IF(J149="直天",$AN$10/1000+F149-1.2+SQRT(CK151/CM151),$AN$10/1000+J149-1.2+SQRT(CK151/CM151)))</f>
        <v/>
      </c>
      <c r="CN150" s="185" t="str">
        <f>IF(OR(C149="",P148="不要"),"",CL149+CK152*AZ149)</f>
        <v/>
      </c>
      <c r="CO150" s="88" t="s">
        <v>364</v>
      </c>
      <c r="CP150" s="185" t="str">
        <f>IF(OR(C149="",C149="  RF"),"",IF(J149="直天",F149-1.2+SQRT(CK151/CM151),IF(AQ148="天井ケーブル",J149-1.2,J149-1.2+SQRT(CK151/CM151))))</f>
        <v/>
      </c>
      <c r="CQ150" s="356" t="str">
        <f>IF(OR(C149="",C149="  RF"),"",IF(AQ148="天井ケーブル","",(CM151-1)*SQRT(CK151/CM151)))</f>
        <v/>
      </c>
      <c r="CR150" s="2589" t="str">
        <f>AG151</f>
        <v>定温SP1種WP</v>
      </c>
      <c r="CS150" s="2590"/>
      <c r="CT150" s="2591"/>
      <c r="CU150" s="184" t="str">
        <f>AN151</f>
        <v/>
      </c>
      <c r="CV150" s="2589" t="str">
        <f>AT150</f>
        <v>P1総合盤露出</v>
      </c>
      <c r="CW150" s="2590"/>
      <c r="CX150" s="2591"/>
      <c r="CY150" s="184" t="str">
        <f>BA150</f>
        <v/>
      </c>
      <c r="CZ150" s="216"/>
      <c r="DA150" s="8"/>
      <c r="DB150" s="197">
        <f t="shared" si="49"/>
        <v>10</v>
      </c>
      <c r="DC150" s="197" t="str">
        <f t="shared" si="50"/>
        <v/>
      </c>
      <c r="DD150" s="201" t="str">
        <f>G151</f>
        <v/>
      </c>
      <c r="DE150" s="8"/>
      <c r="DF150" s="8"/>
      <c r="DG150" s="8"/>
      <c r="DH150" s="8" t="str">
        <f>IF(COUNTIF($DD$15:DD149,DD150)&gt;0,"",DD150)</f>
        <v/>
      </c>
      <c r="DI150" s="252" t="str">
        <f>O151</f>
        <v/>
      </c>
      <c r="DJ150" s="32">
        <f t="shared" si="55"/>
        <v>0</v>
      </c>
      <c r="DK150" s="197">
        <f t="shared" si="51"/>
        <v>4</v>
      </c>
      <c r="DL150" s="197" t="str">
        <f t="shared" si="52"/>
        <v/>
      </c>
      <c r="DM150" s="10" t="str">
        <f>IF(CU150="","",CR150)</f>
        <v/>
      </c>
      <c r="DN150" s="10" t="str">
        <f>CR150</f>
        <v>定温SP1種WP</v>
      </c>
      <c r="DO150" s="10"/>
      <c r="DP150" s="8"/>
      <c r="DQ150" s="8" t="str">
        <f>IF(COUNTIF($DM$15:DM149,DM150)&gt;0,"",DM150)</f>
        <v/>
      </c>
      <c r="DR150" s="200" t="str">
        <f>CU150</f>
        <v/>
      </c>
      <c r="DS150" s="32">
        <f t="shared" si="56"/>
        <v>8</v>
      </c>
      <c r="DT150" s="8"/>
      <c r="DU150" s="197">
        <f t="shared" si="53"/>
        <v>4</v>
      </c>
      <c r="DV150" s="197" t="str">
        <f t="shared" si="54"/>
        <v/>
      </c>
      <c r="DW150" s="201" t="str">
        <f>T150</f>
        <v/>
      </c>
      <c r="DX150" s="8"/>
      <c r="DY150" s="8"/>
      <c r="DZ150" s="8"/>
      <c r="EA150" s="8" t="str">
        <f>IF(COUNTIF($DW$15:DW149,DW150)&gt;0,"",DW150)</f>
        <v/>
      </c>
      <c r="EB150" s="197" t="str">
        <f>AB150</f>
        <v/>
      </c>
      <c r="EC150" s="32">
        <f>SUMIF($DW$17:$DW$184,EA150,$EB$17:$EB$184)</f>
        <v>0</v>
      </c>
    </row>
    <row r="151" spans="1:133" ht="11.25" customHeight="1" thickBot="1">
      <c r="A151" s="15"/>
      <c r="B151" s="176"/>
      <c r="C151" s="2568" t="s">
        <v>363</v>
      </c>
      <c r="D151" s="2569"/>
      <c r="E151" s="2569"/>
      <c r="F151" s="2569"/>
      <c r="G151" s="2592" t="str">
        <f>IF(C149="","","HP 1.2mm-3C")</f>
        <v/>
      </c>
      <c r="H151" s="2592"/>
      <c r="I151" s="2592"/>
      <c r="J151" s="2592"/>
      <c r="K151" s="2592"/>
      <c r="L151" s="2592"/>
      <c r="M151" s="2592"/>
      <c r="N151" s="2592"/>
      <c r="O151" s="2557" t="str">
        <f>IF($B$2=0,"",IF(OR(C149="",P148="不要"),"",ROUND(CN152,0)))</f>
        <v/>
      </c>
      <c r="P151" s="2557"/>
      <c r="Q151" s="2557"/>
      <c r="R151" s="2557"/>
      <c r="S151" s="2557"/>
      <c r="T151" s="2557" t="str">
        <f>IF(OR($B$2=0,C149="",P148="不要"),"",IF(BH148="天井ケーブル","C-19mm",IF(MID(BH148,4,2)="PF","PF-16mm",IF(MID(BH148,4,2)="CD","CD-16mm",IF(MID(BH148,4,2)="C ","C-19mm",IF(MID(BH148,4,2)="G ","G-16mm",""))))))</f>
        <v/>
      </c>
      <c r="U151" s="2557"/>
      <c r="V151" s="2557"/>
      <c r="W151" s="2557"/>
      <c r="X151" s="2557"/>
      <c r="Y151" s="2557"/>
      <c r="Z151" s="2557"/>
      <c r="AA151" s="2557"/>
      <c r="AB151" s="2557" t="str">
        <f>IF($B$2=0,"",IF(OR(C149="",P148="不要",CQ153=""),"",CQ152+CQ153))</f>
        <v/>
      </c>
      <c r="AC151" s="2557"/>
      <c r="AD151" s="2557"/>
      <c r="AE151" s="2557"/>
      <c r="AF151" s="2557"/>
      <c r="AG151" s="2572" t="str">
        <f>IF($B$2=0,"","定温SP1種WP")</f>
        <v>定温SP1種WP</v>
      </c>
      <c r="AH151" s="2572"/>
      <c r="AI151" s="2572"/>
      <c r="AJ151" s="2572"/>
      <c r="AK151" s="2572"/>
      <c r="AL151" s="2572"/>
      <c r="AM151" s="2572"/>
      <c r="AN151" s="2312" t="str">
        <f>IF(OR($B$2=0,P148="不要"),"",IF(AQ151&lt;&gt;"",AQ151,CA151))</f>
        <v/>
      </c>
      <c r="AO151" s="2312"/>
      <c r="AP151" s="2312"/>
      <c r="AQ151" s="2575"/>
      <c r="AR151" s="2575"/>
      <c r="AS151" s="2575"/>
      <c r="AT151" s="2572" t="str">
        <f>IF($B$2=0,"","P1総合盤埋込")</f>
        <v>P1総合盤埋込</v>
      </c>
      <c r="AU151" s="2572"/>
      <c r="AV151" s="2572"/>
      <c r="AW151" s="2572"/>
      <c r="AX151" s="2572"/>
      <c r="AY151" s="2572"/>
      <c r="AZ151" s="2572"/>
      <c r="BA151" s="2312" t="str">
        <f>IF(P148="不要","",IF(BD151&lt;&gt;"",BD151,IF([4]Top!$BD$51&lt;&gt;"要","",AZ149)))</f>
        <v/>
      </c>
      <c r="BB151" s="2312"/>
      <c r="BC151" s="2312"/>
      <c r="BD151" s="2575"/>
      <c r="BE151" s="2575"/>
      <c r="BF151" s="2575"/>
      <c r="BG151" s="2572" t="str">
        <f>IF($B$2=0,"","ｱｰﾑ電磁レリーズ")</f>
        <v>ｱｰﾑ電磁レリーズ</v>
      </c>
      <c r="BH151" s="2572"/>
      <c r="BI151" s="2572"/>
      <c r="BJ151" s="2572"/>
      <c r="BK151" s="2572"/>
      <c r="BL151" s="2572"/>
      <c r="BM151" s="2572"/>
      <c r="BN151" s="2572"/>
      <c r="BO151" s="2312" t="str">
        <f>IF(P148="不要","",IF(BR151&lt;&gt;"",BR151,BR149))</f>
        <v/>
      </c>
      <c r="BP151" s="2312"/>
      <c r="BQ151" s="2312"/>
      <c r="BR151" s="2575"/>
      <c r="BS151" s="2575"/>
      <c r="BT151" s="2576"/>
      <c r="BU151" s="19"/>
      <c r="BV151" s="35"/>
      <c r="BW151" s="351" t="s">
        <v>362</v>
      </c>
      <c r="BX151" s="348"/>
      <c r="BY151" s="349" t="str">
        <f>CA151</f>
        <v/>
      </c>
      <c r="BZ151" s="366"/>
      <c r="CA151" s="360" t="str">
        <f>IF(C149="","",1+INT(W149/200))</f>
        <v/>
      </c>
      <c r="CB151" s="348"/>
      <c r="CC151" s="359" t="str">
        <f>CA151</f>
        <v/>
      </c>
      <c r="CD151" s="365"/>
      <c r="CE151" s="349" t="str">
        <f>CA151</f>
        <v/>
      </c>
      <c r="CF151" s="348"/>
      <c r="CG151" s="357" t="str">
        <f>CA151</f>
        <v/>
      </c>
      <c r="CH151" s="35"/>
      <c r="CI151" s="133">
        <f>IF(BG149&lt;&gt;"",BG149,0)</f>
        <v>0</v>
      </c>
      <c r="CJ151" s="88" t="s">
        <v>361</v>
      </c>
      <c r="CK151" s="107" t="str">
        <f>N149</f>
        <v/>
      </c>
      <c r="CL151" s="88" t="s">
        <v>360</v>
      </c>
      <c r="CM151" s="185">
        <f>SUM(AN150:AP154)</f>
        <v>0</v>
      </c>
      <c r="CN151" s="364"/>
      <c r="CO151" s="168"/>
      <c r="CP151" s="363"/>
      <c r="CQ151" s="150"/>
      <c r="CR151" s="2598" t="str">
        <f>AG152</f>
        <v>補償SP2種</v>
      </c>
      <c r="CS151" s="2599"/>
      <c r="CT151" s="2600"/>
      <c r="CU151" s="362" t="str">
        <f>AN152</f>
        <v/>
      </c>
      <c r="CV151" s="2598" t="str">
        <f>AT151</f>
        <v>P1総合盤埋込</v>
      </c>
      <c r="CW151" s="2599"/>
      <c r="CX151" s="2600"/>
      <c r="CY151" s="362" t="str">
        <f>BA151</f>
        <v/>
      </c>
      <c r="CZ151" s="216"/>
      <c r="DA151" s="8"/>
      <c r="DB151" s="197">
        <f t="shared" si="49"/>
        <v>10</v>
      </c>
      <c r="DC151" s="197" t="str">
        <f t="shared" si="50"/>
        <v/>
      </c>
      <c r="DD151" s="201" t="str">
        <f>G152</f>
        <v/>
      </c>
      <c r="DE151" s="8"/>
      <c r="DF151" s="8"/>
      <c r="DG151" s="8"/>
      <c r="DH151" s="8" t="str">
        <f>IF(COUNTIF($DD$15:DD150,DD151)&gt;0,"",DD151)</f>
        <v/>
      </c>
      <c r="DI151" s="252" t="str">
        <f>O152</f>
        <v/>
      </c>
      <c r="DJ151" s="32">
        <f t="shared" si="55"/>
        <v>0</v>
      </c>
      <c r="DK151" s="197">
        <f t="shared" si="51"/>
        <v>4</v>
      </c>
      <c r="DL151" s="197" t="str">
        <f t="shared" si="52"/>
        <v/>
      </c>
      <c r="DM151" s="10" t="str">
        <f>IF(CU151="","",CR151)</f>
        <v/>
      </c>
      <c r="DN151" s="10" t="str">
        <f>CR151</f>
        <v>補償SP2種</v>
      </c>
      <c r="DO151" s="10"/>
      <c r="DP151" s="8"/>
      <c r="DQ151" s="8" t="str">
        <f>IF(COUNTIF($DM$15:DM150,DM151)&gt;0,"",DM151)</f>
        <v/>
      </c>
      <c r="DR151" s="200" t="str">
        <f>CU151</f>
        <v/>
      </c>
      <c r="DS151" s="32">
        <f t="shared" si="56"/>
        <v>8</v>
      </c>
      <c r="DT151" s="8"/>
      <c r="DU151" s="197">
        <f t="shared" si="53"/>
        <v>4</v>
      </c>
      <c r="DV151" s="197" t="str">
        <f t="shared" si="54"/>
        <v/>
      </c>
      <c r="DW151" s="201" t="str">
        <f>T151</f>
        <v/>
      </c>
      <c r="DX151" s="8"/>
      <c r="DY151" s="8"/>
      <c r="DZ151" s="8"/>
      <c r="EA151" s="8" t="str">
        <f>IF(COUNTIF($DW$15:DW150,DW151)&gt;0,"",DW151)</f>
        <v/>
      </c>
      <c r="EB151" s="197" t="str">
        <f>AB151</f>
        <v/>
      </c>
      <c r="EC151" s="32">
        <f>SUMIF($DW$17:$DW$184,EA151,$EB$17:$EB$184)</f>
        <v>0</v>
      </c>
    </row>
    <row r="152" spans="1:133" ht="11.25" customHeight="1" thickBot="1">
      <c r="A152" s="15"/>
      <c r="B152" s="23"/>
      <c r="C152" s="2568"/>
      <c r="D152" s="2569"/>
      <c r="E152" s="2569"/>
      <c r="F152" s="2569"/>
      <c r="G152" s="2584" t="str">
        <f>IF(C149="","","HP 1.2mm-5C")</f>
        <v/>
      </c>
      <c r="H152" s="2584"/>
      <c r="I152" s="2584"/>
      <c r="J152" s="2584"/>
      <c r="K152" s="2584"/>
      <c r="L152" s="2584"/>
      <c r="M152" s="2584"/>
      <c r="N152" s="2584"/>
      <c r="O152" s="2585" t="str">
        <f>IF($B$2=0,"",IF(OR(C149="",P148="不要"),"",ROUND(CM152,0)))</f>
        <v/>
      </c>
      <c r="P152" s="2585"/>
      <c r="Q152" s="2585"/>
      <c r="R152" s="2585"/>
      <c r="S152" s="2585"/>
      <c r="T152" s="2585" t="str">
        <f>IF(OR($B$2=0,C149="",P148="不要"),"",IF(BH148="天井ケーブル","C-25mm",IF(MID(BH148,4,2)="PF","PF-22mm",IF(MID(BH148,4,2)="CD","CD-22mm",IF(MID(BH148,4,2)="C ","C-25mm",IF(MID(BH148,4,2)="G ","G-22mm",""))))))</f>
        <v/>
      </c>
      <c r="U152" s="2585"/>
      <c r="V152" s="2585"/>
      <c r="W152" s="2585"/>
      <c r="X152" s="2585"/>
      <c r="Y152" s="2585"/>
      <c r="Z152" s="2585"/>
      <c r="AA152" s="2585"/>
      <c r="AB152" s="2585" t="str">
        <f>IF(OR($B$2=0,C149="",P148="不要"),"",CP152)</f>
        <v/>
      </c>
      <c r="AC152" s="2585"/>
      <c r="AD152" s="2585"/>
      <c r="AE152" s="2585"/>
      <c r="AF152" s="2585"/>
      <c r="AG152" s="2572" t="str">
        <f>IF($B$2=0,"","補償SP2種")</f>
        <v>補償SP2種</v>
      </c>
      <c r="AH152" s="2572"/>
      <c r="AI152" s="2572"/>
      <c r="AJ152" s="2572"/>
      <c r="AK152" s="2572"/>
      <c r="AL152" s="2572"/>
      <c r="AM152" s="2572"/>
      <c r="AN152" s="2312" t="str">
        <f>IF(OR($B$2=0,P148="不要"),"",IF(AQ152&lt;&gt;"",AQ152,CA152))</f>
        <v/>
      </c>
      <c r="AO152" s="2312"/>
      <c r="AP152" s="2312"/>
      <c r="AQ152" s="2575"/>
      <c r="AR152" s="2575"/>
      <c r="AS152" s="2575"/>
      <c r="AT152" s="2546" t="str">
        <f>IF($B$2=0,"","HP起動押ボタン")</f>
        <v>HP起動押ボタン</v>
      </c>
      <c r="AU152" s="2546"/>
      <c r="AV152" s="2546"/>
      <c r="AW152" s="2546"/>
      <c r="AX152" s="2546"/>
      <c r="AY152" s="2546"/>
      <c r="AZ152" s="2546"/>
      <c r="BA152" s="2544" t="str">
        <f>IF(P148="不要","",IF(BD152&lt;&gt;"",BD152,IF([4]Top!$BL$51="要",AZ149,"")))</f>
        <v/>
      </c>
      <c r="BB152" s="2544"/>
      <c r="BC152" s="2544"/>
      <c r="BD152" s="2573"/>
      <c r="BE152" s="2573"/>
      <c r="BF152" s="2573"/>
      <c r="BG152" s="2546" t="str">
        <f>IF($B$2=0,"","光電式煙3種埋")</f>
        <v>光電式煙3種埋</v>
      </c>
      <c r="BH152" s="2546"/>
      <c r="BI152" s="2546"/>
      <c r="BJ152" s="2546"/>
      <c r="BK152" s="2546"/>
      <c r="BL152" s="2546"/>
      <c r="BM152" s="2546"/>
      <c r="BN152" s="2546"/>
      <c r="BO152" s="2544" t="str">
        <f>IF(OR($B$2=0,C149="",P148="不要"),"",IF(BR152&lt;&gt;"",BR152,2*BR149))</f>
        <v/>
      </c>
      <c r="BP152" s="2544"/>
      <c r="BQ152" s="2544"/>
      <c r="BR152" s="2573"/>
      <c r="BS152" s="2573"/>
      <c r="BT152" s="2574"/>
      <c r="BU152" s="19"/>
      <c r="BV152" s="35"/>
      <c r="BW152" s="351" t="s">
        <v>359</v>
      </c>
      <c r="BX152" s="361"/>
      <c r="BY152" s="349" t="str">
        <f>CA152</f>
        <v/>
      </c>
      <c r="BZ152" s="348"/>
      <c r="CA152" s="360" t="str">
        <f>IF(C149="","",1+INT(W149/200))</f>
        <v/>
      </c>
      <c r="CB152" s="358"/>
      <c r="CC152" s="359" t="str">
        <f>CA152</f>
        <v/>
      </c>
      <c r="CD152" s="346"/>
      <c r="CE152" s="349" t="str">
        <f>CA152</f>
        <v/>
      </c>
      <c r="CF152" s="358"/>
      <c r="CG152" s="357" t="str">
        <f>CA152</f>
        <v/>
      </c>
      <c r="CH152" s="35"/>
      <c r="CI152" s="133">
        <f>IF(BR149&lt;&gt;"",BR149,0)</f>
        <v>0</v>
      </c>
      <c r="CJ152" s="88" t="s">
        <v>121</v>
      </c>
      <c r="CK152" s="187" t="str">
        <f>IF(OR(C149="",C149="  RF"),"",IF($AX$8=0,0,2*($AX$8/1000-0.15-0.1)*(INT(1000*CJ150/$BF$8)+1)*(INT(1000*CK150/$BF$8)+1)*4))</f>
        <v/>
      </c>
      <c r="CL152" s="187" t="s">
        <v>358</v>
      </c>
      <c r="CM152" s="139" t="str">
        <f>IF(OR(C149="",C149="  RF"),"",IF(J149="直天",$AN$8/1000+F149-1.2+CJ150+CK150/2,$AN$8/1000+J149-1.2+CJ150+CK150/2))</f>
        <v/>
      </c>
      <c r="CN152" s="136" t="str">
        <f>IF(OR(C149="",C149="  RF"),"",IF(J149="直天",F149-$Y$8/1000+F149-$Y$9/1000+2*8+($AN$7+2*$AN$9)/1000,J149-$Y$8/1000+J149-$Y$9/1000+2*8+($AN$7+2*$AN$9)/1000))</f>
        <v/>
      </c>
      <c r="CO152" s="151" t="s">
        <v>358</v>
      </c>
      <c r="CP152" s="185" t="str">
        <f>IF(OR(C149="",C149="  RF"),"",IF(J149="直天",F149-1.2+CJ150+CK150/2,IF(AQ148="天井ケーブル",J149-1.2,J149-1.2+CJ150+CK150/2)))</f>
        <v/>
      </c>
      <c r="CQ152" s="356" t="str">
        <f>IF(OR(C149="",C149="  RF"),"",IF(J149="直天",F149-$Y$8/1000+F149-$Y$9/1000+2*8,IF(BH148="天井ケーブル",J149-$Y$8/1000+J149-$Y$9/1000,J149-$Y$8/1000+J149-$Y$9/1000+2*8)))</f>
        <v/>
      </c>
      <c r="CR152" s="355" t="s">
        <v>87</v>
      </c>
      <c r="CS152" s="336" t="s">
        <v>405</v>
      </c>
      <c r="CT152" s="336" t="s">
        <v>404</v>
      </c>
      <c r="CU152" s="192" t="s">
        <v>403</v>
      </c>
      <c r="CV152" s="336" t="s">
        <v>402</v>
      </c>
      <c r="CW152" s="336" t="s">
        <v>401</v>
      </c>
      <c r="CX152" s="336" t="s">
        <v>400</v>
      </c>
      <c r="CY152" s="354" t="s">
        <v>399</v>
      </c>
      <c r="CZ152" s="216"/>
      <c r="DA152" s="8"/>
      <c r="DB152" s="197">
        <f t="shared" si="49"/>
        <v>10</v>
      </c>
      <c r="DC152" s="197" t="str">
        <f t="shared" si="50"/>
        <v/>
      </c>
      <c r="DD152" s="201" t="str">
        <f>G153</f>
        <v/>
      </c>
      <c r="DE152" s="8"/>
      <c r="DF152" s="8"/>
      <c r="DG152" s="8"/>
      <c r="DH152" s="8" t="str">
        <f>IF(COUNTIF($DD$15:DD151,DD152)&gt;0,"",DD152)</f>
        <v/>
      </c>
      <c r="DI152" s="252" t="str">
        <f>O153</f>
        <v/>
      </c>
      <c r="DJ152" s="32">
        <f t="shared" si="55"/>
        <v>0</v>
      </c>
      <c r="DK152" s="197">
        <f t="shared" si="51"/>
        <v>4</v>
      </c>
      <c r="DL152" s="197" t="str">
        <f t="shared" si="52"/>
        <v/>
      </c>
      <c r="DM152" s="11" t="str">
        <f>IF(CY148="","",CV148)</f>
        <v/>
      </c>
      <c r="DN152" s="11"/>
      <c r="DO152" s="11"/>
      <c r="DP152" s="9"/>
      <c r="DQ152" s="9" t="str">
        <f>IF(COUNTIF($DM$15:DM151,DM152)&gt;0,"",DM152)</f>
        <v/>
      </c>
      <c r="DR152" s="200" t="str">
        <f>CY148</f>
        <v/>
      </c>
      <c r="DS152" s="32">
        <f t="shared" si="56"/>
        <v>8</v>
      </c>
      <c r="DT152" s="8"/>
      <c r="DU152" s="197">
        <f t="shared" si="53"/>
        <v>4</v>
      </c>
      <c r="DV152" s="197" t="str">
        <f t="shared" si="54"/>
        <v/>
      </c>
      <c r="DW152" s="201" t="str">
        <f>T152</f>
        <v/>
      </c>
      <c r="DX152" s="8"/>
      <c r="DY152" s="8"/>
      <c r="DZ152" s="8"/>
      <c r="EA152" s="8" t="str">
        <f>IF(COUNTIF($DW$15:DW151,DW152)&gt;0,"",DW152)</f>
        <v/>
      </c>
      <c r="EB152" s="197" t="str">
        <f>AB152</f>
        <v/>
      </c>
      <c r="EC152" s="32">
        <f>SUMIF($DW$17:$DW$184,EA152,$EB$17:$EB$184)</f>
        <v>0</v>
      </c>
    </row>
    <row r="153" spans="1:133" ht="11.25" customHeight="1" thickBot="1">
      <c r="A153" s="15"/>
      <c r="B153" s="23"/>
      <c r="C153" s="2568" t="s">
        <v>352</v>
      </c>
      <c r="D153" s="2569"/>
      <c r="E153" s="2569"/>
      <c r="F153" s="2569"/>
      <c r="G153" s="2557" t="str">
        <f>IF(OR($B$2=0,C149="",P148="不要"),"",IF(CR153&lt;10,"FCPEV 0.9-5Pr",IF(CR153&lt;20,"FCPEV 0.9- 10Pr",IF(CR153&lt;30,"FCPEV 0.9- 15Pr",IF(CR153&lt;40,"FCPEV 0.9- 20Pr","")))))</f>
        <v/>
      </c>
      <c r="H153" s="2557"/>
      <c r="I153" s="2557"/>
      <c r="J153" s="2557"/>
      <c r="K153" s="2557"/>
      <c r="L153" s="2557"/>
      <c r="M153" s="2557"/>
      <c r="N153" s="2557"/>
      <c r="O153" s="2557" t="str">
        <f>IF(OR(C149="",P148="不要",G153=""),"",INT(AZ149*(CJ150+CK150)/4))</f>
        <v/>
      </c>
      <c r="P153" s="2557"/>
      <c r="Q153" s="2557"/>
      <c r="R153" s="2557"/>
      <c r="S153" s="2557"/>
      <c r="T153" s="2558" t="str">
        <f>IF(OR(C149="",P148="不要",G153=""),"",IF(AQ148="天井ケーブル","C-"&amp;CM154&amp;"mm",IF(MID(AQ148,4,2)="PF","PF-"&amp;CL154&amp;"mm",IF(MID(AQ148,4,2)="CD","CD-"&amp;CL154&amp;"mm",IF(MID(AQ148,4,2)="C ","C-"&amp;CM154&amp;"mm",IF(MID(AQ148,4,2)="G ","G-"&amp;CL154&amp;"mm"))))))</f>
        <v/>
      </c>
      <c r="U153" s="2557"/>
      <c r="V153" s="2557"/>
      <c r="W153" s="2557"/>
      <c r="X153" s="2557"/>
      <c r="Y153" s="2557"/>
      <c r="Z153" s="2557"/>
      <c r="AA153" s="2557"/>
      <c r="AB153" s="2557" t="str">
        <f>IF(OR(C149="",P148="不要",G153=""),"",IF(AQ148="天井ケーブル",2*AZ149*(F149-$Y$7/1000),O153*0.9))</f>
        <v/>
      </c>
      <c r="AC153" s="2557"/>
      <c r="AD153" s="2557"/>
      <c r="AE153" s="2557"/>
      <c r="AF153" s="2557"/>
      <c r="AG153" s="2572" t="str">
        <f>IF($B$2=0,"","光電式煙2種埋")</f>
        <v>光電式煙2種埋</v>
      </c>
      <c r="AH153" s="2572"/>
      <c r="AI153" s="2572"/>
      <c r="AJ153" s="2572"/>
      <c r="AK153" s="2572"/>
      <c r="AL153" s="2572"/>
      <c r="AM153" s="2572"/>
      <c r="AN153" s="2312" t="str">
        <f>IF(OR(C149="",$B$2=0,P148="不要"),"",IF(AQ153&lt;&gt;"",AQ153,IF(AX154="B",BX153+BY153,IF(AND(BL153="耐 火",AZ153="無窓"),CB153+CC153,IF(AND(BL153&lt;&gt;"耐 火",AZ153="無窓"),CF153+CG153,"")))))</f>
        <v/>
      </c>
      <c r="AO153" s="2312"/>
      <c r="AP153" s="2312"/>
      <c r="AQ153" s="2339"/>
      <c r="AR153" s="2339"/>
      <c r="AS153" s="2551"/>
      <c r="AT153" s="2577" t="str">
        <f>IF(C149="","","消防法上")</f>
        <v/>
      </c>
      <c r="AU153" s="2289"/>
      <c r="AV153" s="2289"/>
      <c r="AW153" s="2289"/>
      <c r="AX153" s="2289"/>
      <c r="AY153" s="2578"/>
      <c r="AZ153" s="2579" t="str">
        <f>IF($B$2=0,"",IF(BD153="",[4]Top!$BO$26,BD153))</f>
        <v>無窓</v>
      </c>
      <c r="BA153" s="2394"/>
      <c r="BB153" s="2580"/>
      <c r="BC153" s="353" t="s">
        <v>103</v>
      </c>
      <c r="BD153" s="2552"/>
      <c r="BE153" s="2552"/>
      <c r="BF153" s="2553"/>
      <c r="BG153" s="2581" t="str">
        <f>IF(C149="","","耐火構造")</f>
        <v/>
      </c>
      <c r="BH153" s="2289"/>
      <c r="BI153" s="2289"/>
      <c r="BJ153" s="2289"/>
      <c r="BK153" s="2290"/>
      <c r="BL153" s="2278" t="str">
        <f>IF($B$2=0,"",IF(BQ153="",[4]Top!$AN$18,BQ153))</f>
        <v>耐 火</v>
      </c>
      <c r="BM153" s="2394"/>
      <c r="BN153" s="2394"/>
      <c r="BO153" s="2580"/>
      <c r="BP153" s="352" t="s">
        <v>103</v>
      </c>
      <c r="BQ153" s="2582"/>
      <c r="BR153" s="2552"/>
      <c r="BS153" s="2552"/>
      <c r="BT153" s="2583"/>
      <c r="BU153" s="19"/>
      <c r="BV153" s="35"/>
      <c r="BW153" s="351" t="s">
        <v>351</v>
      </c>
      <c r="BX153" s="350" t="str">
        <f>CB153</f>
        <v/>
      </c>
      <c r="BY153" s="349" t="str">
        <f>CC153</f>
        <v/>
      </c>
      <c r="BZ153" s="348"/>
      <c r="CA153" s="345"/>
      <c r="CB153" s="344" t="str">
        <f>IF(OR([6]Top!$BD$72&lt;&gt;"要",C149=""),"",IF(J149&gt;=4,1+INT(BZ150*0.47),1+INT(BZ150*0.47)))</f>
        <v/>
      </c>
      <c r="CC153" s="347" t="str">
        <f>IF(OR([6]Top!$BD$72&lt;&gt;"要",C149=""),"",IF(J149&gt;=4,1+INT(CA150*0.47),1+INT(CA150*0.47)))</f>
        <v/>
      </c>
      <c r="CD153" s="346"/>
      <c r="CE153" s="345"/>
      <c r="CF153" s="344">
        <f>IF(AND(AX140&lt;720,J149&lt;4),1+INT(CD150*0.47),1+INT(CD150*0.94))</f>
        <v>1</v>
      </c>
      <c r="CG153" s="343" t="e">
        <f>IF(AND(AX140&lt;720,J149&lt;4),1+INT(CE150*0.47),1+INT(CE150*0.94))</f>
        <v>#VALUE!</v>
      </c>
      <c r="CH153" s="35"/>
      <c r="CI153" s="133" t="str">
        <f>IF(AND(C149&lt;&gt;"",LEFT(C149,2)&lt;&gt;" P"),CI145+F149,"")</f>
        <v/>
      </c>
      <c r="CJ153" s="88" t="s">
        <v>350</v>
      </c>
      <c r="CK153" s="182" t="s">
        <v>349</v>
      </c>
      <c r="CL153" s="342" t="str">
        <f>IF(OR(C149="",C149="  RF"),"",IF(AZ157&lt;&gt;"",AZ149,AZ149+BG149))</f>
        <v/>
      </c>
      <c r="CM153" s="341" t="s">
        <v>348</v>
      </c>
      <c r="CN153" s="219" t="s">
        <v>347</v>
      </c>
      <c r="CO153" s="138" t="str">
        <f>IF(OR(C149="",P148="不要"),"",AZ149*INT(CJ150+CK150)/5)</f>
        <v/>
      </c>
      <c r="CP153" s="151" t="s">
        <v>347</v>
      </c>
      <c r="CQ153" s="340" t="str">
        <f>IF(AQ148="天井ケーブル",F149,CO153)</f>
        <v/>
      </c>
      <c r="CR153" s="339">
        <f>SUM(CS153:CX153)</f>
        <v>6</v>
      </c>
      <c r="CS153" s="338" t="str">
        <f>AZ149</f>
        <v/>
      </c>
      <c r="CT153" s="338">
        <f>IF(BA149="",0,BA149)</f>
        <v>0</v>
      </c>
      <c r="CU153" s="88">
        <v>1</v>
      </c>
      <c r="CV153" s="222">
        <v>1</v>
      </c>
      <c r="CW153" s="222">
        <v>2</v>
      </c>
      <c r="CX153" s="222">
        <v>2</v>
      </c>
      <c r="CY153" s="337" t="str">
        <f>IF(CK148="=",3*BR149+2,"")</f>
        <v/>
      </c>
      <c r="CZ153" s="218"/>
      <c r="DA153" s="8"/>
      <c r="DB153" s="197">
        <f t="shared" si="49"/>
        <v>10</v>
      </c>
      <c r="DC153" s="197" t="str">
        <f t="shared" si="50"/>
        <v/>
      </c>
      <c r="DD153" s="201" t="str">
        <f>G154</f>
        <v/>
      </c>
      <c r="DE153" s="8"/>
      <c r="DF153" s="8"/>
      <c r="DG153" s="8"/>
      <c r="DH153" s="8" t="str">
        <f>IF(COUNTIF($DD$15:DD152,DD153)&gt;0,"",DD153)</f>
        <v/>
      </c>
      <c r="DI153" s="252" t="str">
        <f>O154</f>
        <v/>
      </c>
      <c r="DJ153" s="32">
        <f t="shared" si="55"/>
        <v>0</v>
      </c>
      <c r="DK153" s="197">
        <f t="shared" si="51"/>
        <v>4</v>
      </c>
      <c r="DL153" s="197" t="str">
        <f t="shared" si="52"/>
        <v/>
      </c>
      <c r="DM153" s="11" t="str">
        <f>IF(AN154="","",AG154)</f>
        <v/>
      </c>
      <c r="DN153" s="11"/>
      <c r="DO153" s="11"/>
      <c r="DP153" s="9"/>
      <c r="DQ153" s="9" t="str">
        <f>IF(COUNTIF($DM$15:DM152,DM153)&gt;0,"",DM153)</f>
        <v/>
      </c>
      <c r="DR153" s="101" t="str">
        <f>AN154</f>
        <v/>
      </c>
      <c r="DS153" s="32">
        <f t="shared" si="56"/>
        <v>8</v>
      </c>
      <c r="DT153" s="8"/>
      <c r="DU153" s="197">
        <f t="shared" si="53"/>
        <v>4</v>
      </c>
      <c r="DV153" s="197" t="str">
        <f t="shared" si="54"/>
        <v/>
      </c>
      <c r="DW153" s="201" t="str">
        <f>T153</f>
        <v/>
      </c>
      <c r="DX153" s="8"/>
      <c r="DY153" s="8"/>
      <c r="DZ153" s="8"/>
      <c r="EA153" s="8" t="str">
        <f>IF(COUNTIF($DW$15:DW152,DW153)&gt;0,"",DW153)</f>
        <v/>
      </c>
      <c r="EB153" s="197" t="str">
        <f>AB153</f>
        <v/>
      </c>
      <c r="EC153" s="32">
        <f>SUMIF($DW$17:$DW$184,EA153,$EB$17:$EB$184)</f>
        <v>0</v>
      </c>
    </row>
    <row r="154" spans="1:133" ht="11.25" customHeight="1" thickBot="1">
      <c r="A154" s="15"/>
      <c r="B154" s="23"/>
      <c r="C154" s="2570"/>
      <c r="D154" s="2571"/>
      <c r="E154" s="2571"/>
      <c r="F154" s="2571"/>
      <c r="G154" s="2554" t="str">
        <f>IF(OR($B$2=0,P148="不要"),"",IF(CR154=0,"",IF(OR(C149="",P148="不要"),"",IF(CR154&lt;10,"FCPEV 1.2-5Pr",IF(CR154&lt;20,"FCPEV 1.2- 10Pr",IF(CR154&lt;30,"FCPEV 1.2- 15Pr",IF(CR154&lt;40,"FCPEV 1.2- 20Pr",IF(CR154&lt;60,"FCPEV 1.2- 30Pr",IF(CR154&lt;100,"FCPEV 1.2- 50Pr",IF(CR154&lt;140,"FCPEV 1.2- 70Pr",IF(CR154&lt;200,"FCPEV 1.2-100Pr","FCPEV 1.2-200Pr")))))))))))</f>
        <v/>
      </c>
      <c r="H154" s="2555"/>
      <c r="I154" s="2555"/>
      <c r="J154" s="2555"/>
      <c r="K154" s="2555"/>
      <c r="L154" s="2555"/>
      <c r="M154" s="2555"/>
      <c r="N154" s="2555"/>
      <c r="O154" s="2555" t="str">
        <f>IF(OR(G154="",C149="",P148="不要"),"",CO153)</f>
        <v/>
      </c>
      <c r="P154" s="2555"/>
      <c r="Q154" s="2555"/>
      <c r="R154" s="2555"/>
      <c r="S154" s="2555"/>
      <c r="T154" s="2555" t="str">
        <f>IF(OR(G154="",C149="",P148="不要"),"",IF(AQ148="天井ケーブル","C-"&amp;CO154&amp;"mm",IF(MID(AQ148,4,2)="PF","PF-"&amp;CN154&amp;"mm",IF(MID(AQ148,4,2)="CD","CD-"&amp;CN154&amp;"mm",IF(MID(AQ148,4,2)="C ","C-"&amp;CO154&amp;"mm",IF(MID(AQ148,4,2)="G ","G-"&amp;CN154&amp;"mm"))))))</f>
        <v/>
      </c>
      <c r="U154" s="2555"/>
      <c r="V154" s="2555"/>
      <c r="W154" s="2555"/>
      <c r="X154" s="2555"/>
      <c r="Y154" s="2555"/>
      <c r="Z154" s="2555"/>
      <c r="AA154" s="2555"/>
      <c r="AB154" s="2555" t="str">
        <f>IF(OR(G154="",P148="不要"),"",CQ153)</f>
        <v/>
      </c>
      <c r="AC154" s="2555"/>
      <c r="AD154" s="2555"/>
      <c r="AE154" s="2555"/>
      <c r="AF154" s="2555"/>
      <c r="AG154" s="2556" t="str">
        <f>IF($B$2=0,"","定温SP1種Exp")</f>
        <v>定温SP1種Exp</v>
      </c>
      <c r="AH154" s="2556"/>
      <c r="AI154" s="2556"/>
      <c r="AJ154" s="2556"/>
      <c r="AK154" s="2556"/>
      <c r="AL154" s="2556"/>
      <c r="AM154" s="2556"/>
      <c r="AN154" s="2335" t="str">
        <f>IF(AQ154&lt;&gt;"",AQ154,"")</f>
        <v/>
      </c>
      <c r="AO154" s="2335"/>
      <c r="AP154" s="2335"/>
      <c r="AQ154" s="2566"/>
      <c r="AR154" s="2566"/>
      <c r="AS154" s="2567"/>
      <c r="AT154" s="2586" t="str">
        <f>IF(C149="","","盤位置")</f>
        <v/>
      </c>
      <c r="AU154" s="2587"/>
      <c r="AV154" s="2587"/>
      <c r="AW154" s="2587"/>
      <c r="AX154" s="2588" t="str">
        <f>非誘!V118</f>
        <v/>
      </c>
      <c r="AY154" s="2588"/>
      <c r="AZ154" s="2588"/>
      <c r="BA154" s="2559" t="str">
        <f>IF(C149="","","専部屋面積")</f>
        <v/>
      </c>
      <c r="BB154" s="2560"/>
      <c r="BC154" s="2560"/>
      <c r="BD154" s="2560"/>
      <c r="BE154" s="2560"/>
      <c r="BF154" s="2561"/>
      <c r="BG154" s="2562" t="str">
        <f>IF(OR(C149="",S149=""),"",S149/AA149)</f>
        <v/>
      </c>
      <c r="BH154" s="2563"/>
      <c r="BI154" s="2563"/>
      <c r="BJ154" s="2564"/>
      <c r="BK154" s="2559" t="str">
        <f>IF(C149="","","共部屋面積")</f>
        <v/>
      </c>
      <c r="BL154" s="2560"/>
      <c r="BM154" s="2560"/>
      <c r="BN154" s="2560"/>
      <c r="BO154" s="2560"/>
      <c r="BP154" s="2561"/>
      <c r="BQ154" s="2562" t="str">
        <f>IF(OR($B$2=0,C149=""),"",W149/AD149)</f>
        <v/>
      </c>
      <c r="BR154" s="2563"/>
      <c r="BS154" s="2563"/>
      <c r="BT154" s="2565"/>
      <c r="BU154" s="19"/>
      <c r="BV154" s="35"/>
      <c r="BW154" s="99"/>
      <c r="BX154" s="35"/>
      <c r="BY154" s="35"/>
      <c r="BZ154" s="35"/>
      <c r="CA154" s="35"/>
      <c r="CB154" s="35"/>
      <c r="CC154" s="35"/>
      <c r="CD154" s="35"/>
      <c r="CE154" s="35"/>
      <c r="CF154" s="35"/>
      <c r="CG154" s="35"/>
      <c r="CH154" s="35"/>
      <c r="CI154" s="8"/>
      <c r="CJ154" s="8"/>
      <c r="CK154" s="8"/>
      <c r="CL154" s="336" t="str">
        <f>IF(OR(RIGHT(G153,3)="5Pr",RIGHT(G153,4)="10Pr",RIGHT(G153,4)="15Pr"),"28",IF(OR(RIGHT(G153,4)="20Pr",RIGHT(G153,4)="30Pr"),"36",IF(OR(RIGHT(G153,4)="50Pr",RIGHT(G153,4)="70Pr"),"42","")))</f>
        <v/>
      </c>
      <c r="CM154" s="336" t="str">
        <f>IF(OR(RIGHT(G153,3)="5Pr",RIGHT(G153,4)="10Pr",RIGHT(G153,4)="15Pr"),"31",IF(OR(RIGHT(G153,4)="20Pr",RIGHT(G153,4)="30Pr"),"39",IF(OR(RIGHT(G153,4)="50Pr",RIGHT(G153,4)="70Pr"),"51","")))</f>
        <v/>
      </c>
      <c r="CN154" s="86" t="str">
        <f>IF(OR(RIGHT(G154,3)="5Pr",RIGHT(G154,4)="10Pr",RIGHT(G154,4)="15Pr"),"28",IF(OR(RIGHT(G154,4)="20Pr",RIGHT(G154,4)="30Pr"),"36",IF(OR(RIGHT(G154,4)="50Pr",RIGHT(G154,4)="70Pr"),"42","")))</f>
        <v/>
      </c>
      <c r="CO154" s="86" t="str">
        <f>IF(OR(RIGHT(G154,3)="5Pr",RIGHT(G154,4)="10Pr",RIGHT(G154,4)="15Pr"),"31",IF(OR(RIGHT(G154,4)="20Pr",RIGHT(G154,4)="30Pr"),"39",IF(OR(RIGHT(G154,4)="50Pr",RIGHT(G154,4)="70Pr"),"51","")))</f>
        <v/>
      </c>
      <c r="CP154" s="9"/>
      <c r="CQ154" s="9"/>
      <c r="CR154" s="335">
        <f>IF(P148="不要","",SUM(CS154:CX154))</f>
        <v>0</v>
      </c>
      <c r="CS154" s="334">
        <f>IF(OR(CK148="",CK148="=",P148="不要"),0,IF(CK148="－",CL153+CS146,IF(CK148="+",CL153+CS162)))</f>
        <v>0</v>
      </c>
      <c r="CT154" s="188">
        <f>IF(OR(CK148="",CK148="=",P148="不要"),0,IF(CS154&lt;7,1,IF(CS154&lt;14,2,IF(CS154&lt;21,3,IF(CS154&lt;28,4,IF(CS154&lt;35,5,IF(CS154&lt;42,6,IF(CS154&lt;49,7,IF(CS154&lt;56,8,IF(CS154&lt;63,9,IF(CS154&lt;70,10,IF(CS154&lt;77,11,"---"))))))))))))</f>
        <v>0</v>
      </c>
      <c r="CU154" s="188">
        <f>IF(CS154=0,0,1)</f>
        <v>0</v>
      </c>
      <c r="CV154" s="333">
        <f>IF(CS154=0,0,1)</f>
        <v>0</v>
      </c>
      <c r="CW154" s="333">
        <f>IF(CS154=0,0,2)</f>
        <v>0</v>
      </c>
      <c r="CX154" s="333">
        <f>IF(CS154=0,0,2)</f>
        <v>0</v>
      </c>
      <c r="CY154" s="332">
        <f>IF(OR(BR161="",P148="不要"),0,IF(CK148="=",0,IF(CK148="－",2*BR149+3,IF(CK148="+",2*(BR149+BR161)+3,""))))</f>
        <v>0</v>
      </c>
      <c r="CZ154" s="216"/>
      <c r="DA154" s="9"/>
      <c r="DB154" s="127">
        <f t="shared" si="49"/>
        <v>10</v>
      </c>
      <c r="DC154" s="127" t="str">
        <f t="shared" si="50"/>
        <v/>
      </c>
      <c r="DD154" s="11" t="str">
        <f>CR148</f>
        <v>防火区画処理</v>
      </c>
      <c r="DE154" s="9"/>
      <c r="DF154" s="9"/>
      <c r="DG154" s="9"/>
      <c r="DH154" s="9" t="str">
        <f>IF(COUNTIF($DD$15:DD153,DD154)&gt;0,"",DD154)</f>
        <v/>
      </c>
      <c r="DI154" s="242" t="str">
        <f>CU148</f>
        <v/>
      </c>
      <c r="DJ154" s="32">
        <f t="shared" si="55"/>
        <v>0</v>
      </c>
      <c r="DK154" s="127">
        <f t="shared" si="51"/>
        <v>4</v>
      </c>
      <c r="DL154" s="127" t="str">
        <f t="shared" si="52"/>
        <v/>
      </c>
      <c r="DM154" s="11" t="str">
        <f>IF(CY149="","",CV149)</f>
        <v/>
      </c>
      <c r="DN154" s="11"/>
      <c r="DO154" s="11"/>
      <c r="DP154" s="9"/>
      <c r="DQ154" s="9" t="str">
        <f>IF(COUNTIF($DM$15:DM153,DM154)&gt;0,"",DM154)</f>
        <v/>
      </c>
      <c r="DR154" s="101" t="str">
        <f>CY149</f>
        <v/>
      </c>
      <c r="DS154" s="32">
        <f t="shared" si="56"/>
        <v>8</v>
      </c>
      <c r="DT154" s="9"/>
      <c r="DU154" s="197">
        <f t="shared" si="53"/>
        <v>4</v>
      </c>
      <c r="DV154" s="197" t="str">
        <f t="shared" si="54"/>
        <v/>
      </c>
      <c r="DW154" s="201" t="str">
        <f>T154</f>
        <v/>
      </c>
      <c r="DX154" s="8"/>
      <c r="DY154" s="8"/>
      <c r="DZ154" s="8"/>
      <c r="EA154" s="8" t="str">
        <f>IF(COUNTIF($DW$15:DW153,DW154)&gt;0,"",DW154)</f>
        <v/>
      </c>
      <c r="EB154" s="197" t="str">
        <f>AB154</f>
        <v/>
      </c>
      <c r="EC154" s="32">
        <f>SUMIF($DW$17:$DW$184,EA154,$EB$17:$EB$184)</f>
        <v>0</v>
      </c>
    </row>
    <row r="155" spans="1:133" ht="10.5" customHeight="1">
      <c r="B155" s="18"/>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6"/>
      <c r="BV155" s="35"/>
      <c r="BW155" s="99"/>
      <c r="BX155" s="35"/>
      <c r="BY155" s="35"/>
      <c r="BZ155" s="35"/>
      <c r="CA155" s="35"/>
      <c r="CB155" s="35"/>
      <c r="CC155" s="35"/>
      <c r="CD155" s="35"/>
      <c r="CE155" s="35"/>
      <c r="CF155" s="35"/>
      <c r="CG155" s="35"/>
      <c r="CH155" s="35"/>
      <c r="CI155" s="199"/>
      <c r="CJ155" s="108"/>
      <c r="CK155" s="8"/>
      <c r="CL155" s="8"/>
      <c r="CM155" s="10"/>
      <c r="CN155" s="8"/>
      <c r="CO155" s="8"/>
      <c r="CP155" s="8"/>
      <c r="CQ155" s="8"/>
      <c r="CR155" s="8"/>
      <c r="CS155" s="8"/>
      <c r="CT155" s="8"/>
      <c r="CU155" s="8"/>
      <c r="CV155" s="8"/>
      <c r="CW155" s="8"/>
      <c r="CX155" s="8"/>
      <c r="CY155" s="8"/>
      <c r="CZ155" s="8"/>
      <c r="DA155" s="9"/>
      <c r="DB155" s="127">
        <f t="shared" si="49"/>
        <v>10</v>
      </c>
      <c r="DC155" s="127" t="str">
        <f t="shared" si="50"/>
        <v/>
      </c>
      <c r="DD155" s="11"/>
      <c r="DE155" s="9"/>
      <c r="DF155" s="9"/>
      <c r="DG155" s="9"/>
      <c r="DH155" s="9"/>
      <c r="DI155" s="242"/>
      <c r="DJ155" s="13"/>
      <c r="DK155" s="127">
        <f t="shared" si="51"/>
        <v>4</v>
      </c>
      <c r="DL155" s="127" t="str">
        <f t="shared" si="52"/>
        <v/>
      </c>
      <c r="DM155" s="11" t="str">
        <f>IF(CY150="","",CV150)</f>
        <v/>
      </c>
      <c r="DN155" s="11"/>
      <c r="DO155" s="11"/>
      <c r="DP155" s="9"/>
      <c r="DQ155" s="9" t="str">
        <f>IF(COUNTIF($DM$15:DM154,DM155)&gt;0,"",DM155)</f>
        <v/>
      </c>
      <c r="DR155" s="101" t="str">
        <f>CY150</f>
        <v/>
      </c>
      <c r="DS155" s="32">
        <f t="shared" si="56"/>
        <v>8</v>
      </c>
      <c r="DT155" s="9"/>
      <c r="DU155" s="8">
        <f t="shared" si="53"/>
        <v>4</v>
      </c>
      <c r="DV155" s="8" t="str">
        <f t="shared" si="54"/>
        <v/>
      </c>
      <c r="DW155" s="8"/>
      <c r="DX155" s="8"/>
      <c r="DY155" s="8"/>
      <c r="DZ155" s="8"/>
      <c r="EA155" s="8"/>
      <c r="EB155" s="8"/>
      <c r="EC155" s="8"/>
    </row>
    <row r="156" spans="1:133" ht="7.5" customHeight="1">
      <c r="B156" s="93"/>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78"/>
      <c r="BV156" s="35"/>
      <c r="BW156" s="99"/>
      <c r="BX156" s="35"/>
      <c r="BY156" s="35"/>
      <c r="BZ156" s="35"/>
      <c r="CA156" s="35"/>
      <c r="CB156" s="35"/>
      <c r="CC156" s="35"/>
      <c r="CD156" s="35"/>
      <c r="CE156" s="35"/>
      <c r="CF156" s="35"/>
      <c r="CG156" s="35"/>
      <c r="CH156" s="35"/>
      <c r="CI156" s="199"/>
      <c r="CJ156" s="7"/>
      <c r="CK156" s="8"/>
      <c r="CL156" s="8"/>
      <c r="CM156" s="10"/>
      <c r="CN156" s="8"/>
      <c r="CO156" s="8"/>
      <c r="CP156" s="8"/>
      <c r="CQ156" s="8"/>
      <c r="CR156" s="8"/>
      <c r="CS156" s="8"/>
      <c r="CT156" s="8"/>
      <c r="CU156" s="8"/>
      <c r="CV156" s="8"/>
      <c r="CW156" s="8"/>
      <c r="CX156" s="8"/>
      <c r="CY156" s="8"/>
      <c r="CZ156" s="8"/>
      <c r="DA156" s="8"/>
      <c r="DB156" s="197">
        <f t="shared" si="49"/>
        <v>10</v>
      </c>
      <c r="DC156" s="197" t="str">
        <f t="shared" si="50"/>
        <v/>
      </c>
      <c r="DD156" s="9"/>
      <c r="DE156" s="9"/>
      <c r="DF156" s="9"/>
      <c r="DG156" s="9"/>
      <c r="DH156" s="9"/>
      <c r="DI156" s="9"/>
      <c r="DJ156" s="9"/>
      <c r="DK156" s="9">
        <f t="shared" si="51"/>
        <v>4</v>
      </c>
      <c r="DL156" s="9" t="str">
        <f t="shared" si="52"/>
        <v/>
      </c>
      <c r="DM156" s="11" t="str">
        <f>IF(CY151="","",CV151)</f>
        <v/>
      </c>
      <c r="DN156" s="11"/>
      <c r="DO156" s="11"/>
      <c r="DP156" s="9"/>
      <c r="DQ156" s="9" t="str">
        <f>IF(COUNTIF($DM$15:DM155,DM156)&gt;0,"",DM156)</f>
        <v/>
      </c>
      <c r="DR156" s="101" t="str">
        <f>CY151</f>
        <v/>
      </c>
      <c r="DS156" s="13">
        <f t="shared" si="56"/>
        <v>8</v>
      </c>
      <c r="DT156" s="8"/>
      <c r="DU156" s="9">
        <f t="shared" si="53"/>
        <v>4</v>
      </c>
      <c r="DV156" s="9" t="str">
        <f t="shared" si="54"/>
        <v/>
      </c>
      <c r="DW156" s="9"/>
      <c r="DX156" s="9"/>
      <c r="DY156" s="9"/>
      <c r="DZ156" s="9"/>
      <c r="EA156" s="9"/>
      <c r="EB156" s="9"/>
      <c r="EC156" s="9"/>
    </row>
    <row r="157" spans="1:133" ht="11.25" customHeight="1">
      <c r="B157" s="23"/>
      <c r="C157" s="2636" t="s">
        <v>16</v>
      </c>
      <c r="D157" s="2382"/>
      <c r="E157" s="2383"/>
      <c r="F157" s="2636" t="s">
        <v>22</v>
      </c>
      <c r="G157" s="2382"/>
      <c r="H157" s="2382"/>
      <c r="I157" s="2383"/>
      <c r="J157" s="2636" t="s">
        <v>5</v>
      </c>
      <c r="K157" s="2382"/>
      <c r="L157" s="2382"/>
      <c r="M157" s="2383"/>
      <c r="N157" s="2636" t="s">
        <v>6</v>
      </c>
      <c r="O157" s="2382"/>
      <c r="P157" s="2382"/>
      <c r="Q157" s="2382"/>
      <c r="R157" s="2383"/>
      <c r="S157" s="2637" t="s">
        <v>133</v>
      </c>
      <c r="T157" s="2638"/>
      <c r="U157" s="2638"/>
      <c r="V157" s="2638"/>
      <c r="W157" s="2638"/>
      <c r="X157" s="2638"/>
      <c r="Y157" s="2638"/>
      <c r="Z157" s="2639"/>
      <c r="AA157" s="2636" t="s">
        <v>9</v>
      </c>
      <c r="AB157" s="2382"/>
      <c r="AC157" s="2383"/>
      <c r="AD157" s="2636" t="s">
        <v>9</v>
      </c>
      <c r="AE157" s="2382"/>
      <c r="AF157" s="2383"/>
      <c r="AG157" s="2636" t="s">
        <v>398</v>
      </c>
      <c r="AH157" s="2382"/>
      <c r="AI157" s="2382"/>
      <c r="AJ157" s="2382"/>
      <c r="AK157" s="2382"/>
      <c r="AL157" s="2382"/>
      <c r="AM157" s="2382"/>
      <c r="AN157" s="2636" t="s">
        <v>129</v>
      </c>
      <c r="AO157" s="2382"/>
      <c r="AP157" s="2383"/>
      <c r="AQ157" s="2636" t="s">
        <v>90</v>
      </c>
      <c r="AR157" s="2382"/>
      <c r="AS157" s="2383"/>
      <c r="AT157" s="2636" t="s">
        <v>398</v>
      </c>
      <c r="AU157" s="2382"/>
      <c r="AV157" s="2382"/>
      <c r="AW157" s="2382"/>
      <c r="AX157" s="2382"/>
      <c r="AY157" s="2382"/>
      <c r="AZ157" s="2382"/>
      <c r="BA157" s="2636" t="s">
        <v>129</v>
      </c>
      <c r="BB157" s="2382"/>
      <c r="BC157" s="2383"/>
      <c r="BD157" s="2636" t="s">
        <v>90</v>
      </c>
      <c r="BE157" s="2382"/>
      <c r="BF157" s="2383"/>
      <c r="BG157" s="2636" t="s">
        <v>397</v>
      </c>
      <c r="BH157" s="2382"/>
      <c r="BI157" s="2382"/>
      <c r="BJ157" s="2382"/>
      <c r="BK157" s="2382"/>
      <c r="BL157" s="2382"/>
      <c r="BM157" s="2382"/>
      <c r="BN157" s="2383"/>
      <c r="BO157" s="2636" t="s">
        <v>129</v>
      </c>
      <c r="BP157" s="2382"/>
      <c r="BQ157" s="2383"/>
      <c r="BR157" s="2636" t="s">
        <v>90</v>
      </c>
      <c r="BS157" s="2382"/>
      <c r="BT157" s="2383"/>
      <c r="BU157" s="19"/>
      <c r="BV157" s="35"/>
      <c r="BW157" s="99"/>
      <c r="BX157" s="35"/>
      <c r="BY157" s="35"/>
      <c r="BZ157" s="35"/>
      <c r="CA157" s="35"/>
      <c r="CB157" s="35"/>
      <c r="CC157" s="35"/>
      <c r="CD157" s="35"/>
      <c r="CE157" s="35"/>
      <c r="CF157" s="35"/>
      <c r="CG157" s="35"/>
      <c r="CH157" s="35"/>
      <c r="CI157" s="199"/>
      <c r="CJ157" s="8"/>
      <c r="CK157" s="8"/>
      <c r="CL157" s="11"/>
      <c r="CM157" s="9"/>
      <c r="CN157" s="9"/>
      <c r="CO157" s="7"/>
      <c r="CP157" s="8"/>
      <c r="CQ157" s="8"/>
      <c r="CR157" s="8"/>
      <c r="CS157" s="8"/>
      <c r="CT157" s="8"/>
      <c r="CU157" s="8"/>
      <c r="CV157" s="8"/>
      <c r="CW157" s="8"/>
      <c r="CX157" s="8"/>
      <c r="CY157" s="8"/>
      <c r="CZ157" s="8"/>
      <c r="DA157" s="8"/>
      <c r="DB157" s="8">
        <f t="shared" si="49"/>
        <v>10</v>
      </c>
      <c r="DC157" s="8" t="str">
        <f t="shared" si="50"/>
        <v/>
      </c>
      <c r="DD157" s="8"/>
      <c r="DE157" s="8"/>
      <c r="DF157" s="8"/>
      <c r="DG157" s="8"/>
      <c r="DH157" s="8"/>
      <c r="DI157" s="8"/>
      <c r="DJ157" s="8"/>
      <c r="DK157" s="8">
        <f>IF(OR(DQ157=0,DQ157=""),DK156,DK156+1)</f>
        <v>4</v>
      </c>
      <c r="DL157" s="8"/>
      <c r="DM157" s="8"/>
      <c r="DN157" s="8"/>
      <c r="DO157" s="8"/>
      <c r="DP157" s="8"/>
      <c r="DQ157" s="8"/>
      <c r="DR157" s="8"/>
      <c r="DS157" s="8"/>
      <c r="DT157" s="8"/>
      <c r="DU157" s="8">
        <f t="shared" si="53"/>
        <v>4</v>
      </c>
      <c r="DV157" s="8" t="str">
        <f t="shared" si="54"/>
        <v/>
      </c>
      <c r="DW157" s="8"/>
      <c r="DX157" s="8"/>
      <c r="DY157" s="8"/>
      <c r="DZ157" s="8"/>
      <c r="EA157" s="8"/>
      <c r="EB157" s="8"/>
      <c r="EC157" s="8"/>
    </row>
    <row r="158" spans="1:133" ht="11.25" customHeight="1">
      <c r="B158" s="23"/>
      <c r="C158" s="2384"/>
      <c r="D158" s="2385"/>
      <c r="E158" s="2386"/>
      <c r="F158" s="2384"/>
      <c r="G158" s="2385"/>
      <c r="H158" s="2385"/>
      <c r="I158" s="2386"/>
      <c r="J158" s="2384"/>
      <c r="K158" s="2385"/>
      <c r="L158" s="2385"/>
      <c r="M158" s="2386"/>
      <c r="N158" s="2384"/>
      <c r="O158" s="2385"/>
      <c r="P158" s="2385"/>
      <c r="Q158" s="2385"/>
      <c r="R158" s="2386"/>
      <c r="S158" s="2384" t="s">
        <v>7</v>
      </c>
      <c r="T158" s="2385"/>
      <c r="U158" s="2385"/>
      <c r="V158" s="2386"/>
      <c r="W158" s="2384" t="s">
        <v>8</v>
      </c>
      <c r="X158" s="2385"/>
      <c r="Y158" s="2385"/>
      <c r="Z158" s="2386"/>
      <c r="AA158" s="2384"/>
      <c r="AB158" s="2385"/>
      <c r="AC158" s="2386"/>
      <c r="AD158" s="2384"/>
      <c r="AE158" s="2385"/>
      <c r="AF158" s="2386"/>
      <c r="AG158" s="2384"/>
      <c r="AH158" s="2385"/>
      <c r="AI158" s="2385"/>
      <c r="AJ158" s="2385"/>
      <c r="AK158" s="2385"/>
      <c r="AL158" s="2385"/>
      <c r="AM158" s="2385"/>
      <c r="AN158" s="2384"/>
      <c r="AO158" s="2385"/>
      <c r="AP158" s="2386"/>
      <c r="AQ158" s="2384" t="s">
        <v>3</v>
      </c>
      <c r="AR158" s="2385"/>
      <c r="AS158" s="2386"/>
      <c r="AT158" s="2384"/>
      <c r="AU158" s="2385"/>
      <c r="AV158" s="2385"/>
      <c r="AW158" s="2385"/>
      <c r="AX158" s="2385"/>
      <c r="AY158" s="2385"/>
      <c r="AZ158" s="2385"/>
      <c r="BA158" s="2384"/>
      <c r="BB158" s="2385"/>
      <c r="BC158" s="2386"/>
      <c r="BD158" s="2384" t="s">
        <v>3</v>
      </c>
      <c r="BE158" s="2385"/>
      <c r="BF158" s="2386"/>
      <c r="BG158" s="2384"/>
      <c r="BH158" s="2385"/>
      <c r="BI158" s="2385"/>
      <c r="BJ158" s="2385"/>
      <c r="BK158" s="2385"/>
      <c r="BL158" s="2385"/>
      <c r="BM158" s="2385"/>
      <c r="BN158" s="2386"/>
      <c r="BO158" s="2384"/>
      <c r="BP158" s="2385"/>
      <c r="BQ158" s="2386"/>
      <c r="BR158" s="2384" t="s">
        <v>3</v>
      </c>
      <c r="BS158" s="2385"/>
      <c r="BT158" s="2386"/>
      <c r="BU158" s="19"/>
      <c r="BV158" s="35"/>
      <c r="BW158" s="99"/>
      <c r="BX158" s="35"/>
      <c r="BY158" s="35"/>
      <c r="BZ158" s="35"/>
      <c r="CA158" s="35"/>
      <c r="CB158" s="35"/>
      <c r="CC158" s="35"/>
      <c r="CD158" s="35"/>
      <c r="CE158" s="35"/>
      <c r="CF158" s="35"/>
      <c r="CG158" s="35"/>
      <c r="CH158" s="35"/>
      <c r="CI158" s="199"/>
      <c r="CJ158" s="9"/>
      <c r="CK158" s="9"/>
      <c r="CL158" s="9"/>
      <c r="CM158" s="9"/>
      <c r="CN158" s="9"/>
      <c r="CO158" s="7"/>
      <c r="CP158" s="8"/>
      <c r="CQ158" s="8"/>
      <c r="CR158" s="8"/>
      <c r="CS158" s="8"/>
      <c r="CT158" s="8"/>
      <c r="CU158" s="8"/>
      <c r="CV158" s="8"/>
      <c r="CW158" s="8"/>
      <c r="CX158" s="8"/>
      <c r="CY158" s="8"/>
      <c r="CZ158" s="8"/>
      <c r="DA158" s="8"/>
      <c r="DB158" s="8">
        <f t="shared" si="49"/>
        <v>10</v>
      </c>
      <c r="DC158" s="8" t="str">
        <f t="shared" si="50"/>
        <v/>
      </c>
      <c r="DD158" s="8"/>
      <c r="DE158" s="8"/>
      <c r="DF158" s="8"/>
      <c r="DG158" s="8"/>
      <c r="DH158" s="8"/>
      <c r="DI158" s="8"/>
      <c r="DJ158" s="8"/>
      <c r="DK158" s="8">
        <f>IF(OR(DQ158=0,DQ158=""),DK157,DK157+1)</f>
        <v>4</v>
      </c>
      <c r="DL158" s="8"/>
      <c r="DM158" s="8"/>
      <c r="DN158" s="8"/>
      <c r="DO158" s="8"/>
      <c r="DP158" s="8"/>
      <c r="DQ158" s="8"/>
      <c r="DR158" s="8"/>
      <c r="DS158" s="8"/>
      <c r="DT158" s="8"/>
      <c r="DU158" s="8">
        <f t="shared" si="53"/>
        <v>4</v>
      </c>
      <c r="DV158" s="8" t="str">
        <f t="shared" si="54"/>
        <v/>
      </c>
      <c r="DW158" s="8"/>
      <c r="DX158" s="8"/>
      <c r="DY158" s="8"/>
      <c r="DZ158" s="8"/>
      <c r="EA158" s="8"/>
      <c r="EB158" s="8"/>
      <c r="EC158" s="8"/>
    </row>
    <row r="159" spans="1:133" ht="12" customHeight="1">
      <c r="B159" s="23"/>
      <c r="C159" s="2384"/>
      <c r="D159" s="2385"/>
      <c r="E159" s="2386"/>
      <c r="F159" s="2384" t="s">
        <v>396</v>
      </c>
      <c r="G159" s="2385"/>
      <c r="H159" s="2385"/>
      <c r="I159" s="2386"/>
      <c r="J159" s="2384" t="s">
        <v>396</v>
      </c>
      <c r="K159" s="2385"/>
      <c r="L159" s="2385"/>
      <c r="M159" s="2386"/>
      <c r="N159" s="2384" t="s">
        <v>128</v>
      </c>
      <c r="O159" s="2385"/>
      <c r="P159" s="2385"/>
      <c r="Q159" s="2385"/>
      <c r="R159" s="2386"/>
      <c r="S159" s="2384" t="s">
        <v>128</v>
      </c>
      <c r="T159" s="2385"/>
      <c r="U159" s="2385"/>
      <c r="V159" s="2386"/>
      <c r="W159" s="2384" t="s">
        <v>128</v>
      </c>
      <c r="X159" s="2385"/>
      <c r="Y159" s="2385"/>
      <c r="Z159" s="2386"/>
      <c r="AA159" s="2384" t="s">
        <v>111</v>
      </c>
      <c r="AB159" s="2385"/>
      <c r="AC159" s="2386"/>
      <c r="AD159" s="2384" t="s">
        <v>110</v>
      </c>
      <c r="AE159" s="2385"/>
      <c r="AF159" s="2386"/>
      <c r="AG159" s="2384"/>
      <c r="AH159" s="2385"/>
      <c r="AI159" s="2385"/>
      <c r="AJ159" s="2385"/>
      <c r="AK159" s="2385"/>
      <c r="AL159" s="2385"/>
      <c r="AM159" s="2385"/>
      <c r="AN159" s="2384" t="s">
        <v>90</v>
      </c>
      <c r="AO159" s="2385"/>
      <c r="AP159" s="2386"/>
      <c r="AQ159" s="2640" t="s">
        <v>387</v>
      </c>
      <c r="AR159" s="2641"/>
      <c r="AS159" s="2642"/>
      <c r="AT159" s="2384"/>
      <c r="AU159" s="2385"/>
      <c r="AV159" s="2385"/>
      <c r="AW159" s="2385"/>
      <c r="AX159" s="2385"/>
      <c r="AY159" s="2385"/>
      <c r="AZ159" s="2385"/>
      <c r="BA159" s="2384" t="s">
        <v>90</v>
      </c>
      <c r="BB159" s="2385"/>
      <c r="BC159" s="2386"/>
      <c r="BD159" s="2640" t="s">
        <v>387</v>
      </c>
      <c r="BE159" s="2641"/>
      <c r="BF159" s="2642"/>
      <c r="BG159" s="2384"/>
      <c r="BH159" s="2385"/>
      <c r="BI159" s="2385"/>
      <c r="BJ159" s="2385"/>
      <c r="BK159" s="2385"/>
      <c r="BL159" s="2385"/>
      <c r="BM159" s="2385"/>
      <c r="BN159" s="2386"/>
      <c r="BO159" s="2384" t="s">
        <v>90</v>
      </c>
      <c r="BP159" s="2385"/>
      <c r="BQ159" s="2386"/>
      <c r="BR159" s="2640" t="s">
        <v>387</v>
      </c>
      <c r="BS159" s="2641"/>
      <c r="BT159" s="2642"/>
      <c r="BU159" s="19"/>
      <c r="BV159" s="35"/>
      <c r="BW159" s="99"/>
      <c r="BX159" s="35"/>
      <c r="BY159" s="35"/>
      <c r="BZ159" s="35"/>
      <c r="CA159" s="35"/>
      <c r="CB159" s="35"/>
      <c r="CC159" s="35"/>
      <c r="CD159" s="35"/>
      <c r="CE159" s="35"/>
      <c r="CF159" s="35"/>
      <c r="CG159" s="35"/>
      <c r="CH159" s="35"/>
      <c r="CI159" s="199"/>
      <c r="CJ159" s="8"/>
      <c r="CK159" s="8"/>
      <c r="CL159" s="9"/>
      <c r="CM159" s="9"/>
      <c r="CN159" s="9"/>
      <c r="CO159" s="7"/>
      <c r="CP159" s="8"/>
      <c r="CQ159" s="8"/>
      <c r="CR159" s="8"/>
      <c r="CS159" s="8"/>
      <c r="CT159" s="8"/>
      <c r="CU159" s="8"/>
      <c r="CV159" s="8"/>
      <c r="CW159" s="8"/>
      <c r="CX159" s="8"/>
      <c r="CY159" s="8"/>
      <c r="CZ159" s="8"/>
      <c r="DA159" s="8"/>
      <c r="DB159" s="8">
        <f t="shared" si="49"/>
        <v>10</v>
      </c>
      <c r="DC159" s="8" t="str">
        <f t="shared" si="50"/>
        <v/>
      </c>
      <c r="DD159" s="8"/>
      <c r="DE159" s="8"/>
      <c r="DF159" s="8"/>
      <c r="DG159" s="8"/>
      <c r="DH159" s="8"/>
      <c r="DI159" s="8"/>
      <c r="DJ159" s="8"/>
      <c r="DK159" s="8">
        <f>IF(OR(DQ159=0,DQ159=""),DK158,DK158+1)</f>
        <v>4</v>
      </c>
      <c r="DL159" s="8"/>
      <c r="DM159" s="8"/>
      <c r="DN159" s="8"/>
      <c r="DO159" s="8"/>
      <c r="DP159" s="8"/>
      <c r="DQ159" s="8"/>
      <c r="DR159" s="8"/>
      <c r="DS159" s="8"/>
      <c r="DT159" s="8"/>
      <c r="DU159" s="8">
        <f t="shared" si="53"/>
        <v>4</v>
      </c>
      <c r="DV159" s="8" t="str">
        <f t="shared" si="54"/>
        <v/>
      </c>
      <c r="DW159" s="8"/>
      <c r="DX159" s="8"/>
      <c r="DY159" s="8"/>
      <c r="DZ159" s="8"/>
      <c r="EA159" s="8"/>
      <c r="EB159" s="8"/>
      <c r="EC159" s="8"/>
    </row>
    <row r="160" spans="1:133" ht="11.25" customHeight="1" thickBot="1">
      <c r="A160" s="374">
        <v>18</v>
      </c>
      <c r="B160" s="23"/>
      <c r="C160" s="2626" t="str">
        <f>非誘!J123</f>
        <v/>
      </c>
      <c r="D160" s="2627"/>
      <c r="E160" s="2628"/>
      <c r="F160" s="2629" t="str">
        <f>非誘!M123</f>
        <v/>
      </c>
      <c r="G160" s="2629"/>
      <c r="H160" s="2629"/>
      <c r="I160" s="2629"/>
      <c r="J160" s="2629"/>
      <c r="K160" s="2629"/>
      <c r="L160" s="2629"/>
      <c r="M160" s="2629"/>
      <c r="N160" s="2629"/>
      <c r="O160" s="2629"/>
      <c r="P160" s="2630" t="str">
        <f>IF(U160="",RIGHT($D$8,2),U160)</f>
        <v>設置</v>
      </c>
      <c r="Q160" s="2630"/>
      <c r="R160" s="2630"/>
      <c r="S160" s="2631"/>
      <c r="T160" s="31" t="s">
        <v>387</v>
      </c>
      <c r="U160" s="2632"/>
      <c r="V160" s="2632"/>
      <c r="W160" s="2632"/>
      <c r="X160" s="2633"/>
      <c r="Y160" s="2634" t="s">
        <v>20</v>
      </c>
      <c r="Z160" s="2634"/>
      <c r="AA160" s="2634"/>
      <c r="AB160" s="2634"/>
      <c r="AC160" s="2634"/>
      <c r="AD160" s="2635" t="str">
        <f>非誘!J124</f>
        <v/>
      </c>
      <c r="AE160" s="2635"/>
      <c r="AF160" s="2635"/>
      <c r="AG160" s="2635"/>
      <c r="AH160" s="2299" t="s">
        <v>135</v>
      </c>
      <c r="AI160" s="2299"/>
      <c r="AJ160" s="2299"/>
      <c r="AK160" s="2299"/>
      <c r="AL160" s="2299"/>
      <c r="AM160" s="2299" t="s">
        <v>366</v>
      </c>
      <c r="AN160" s="2299"/>
      <c r="AO160" s="2299"/>
      <c r="AP160" s="2299"/>
      <c r="AQ160" s="2569" t="str">
        <f>IF(AX160="","天井ケーブル",AX160)</f>
        <v>天井(C 管)</v>
      </c>
      <c r="AR160" s="2569"/>
      <c r="AS160" s="2569"/>
      <c r="AT160" s="2569"/>
      <c r="AU160" s="2569"/>
      <c r="AV160" s="2569"/>
      <c r="AW160" s="175" t="s">
        <v>387</v>
      </c>
      <c r="AX160" s="2338" t="s">
        <v>388</v>
      </c>
      <c r="AY160" s="2338"/>
      <c r="AZ160" s="2338"/>
      <c r="BA160" s="2338"/>
      <c r="BB160" s="2338"/>
      <c r="BC160" s="2338"/>
      <c r="BD160" s="2299" t="s">
        <v>363</v>
      </c>
      <c r="BE160" s="2299"/>
      <c r="BF160" s="2299"/>
      <c r="BG160" s="2299"/>
      <c r="BH160" s="2569" t="str">
        <f>IF(BO160="","天井(C 管)",BO160)</f>
        <v>天井(C 管)</v>
      </c>
      <c r="BI160" s="2569"/>
      <c r="BJ160" s="2569"/>
      <c r="BK160" s="2569"/>
      <c r="BL160" s="2569"/>
      <c r="BM160" s="2569"/>
      <c r="BN160" s="175" t="s">
        <v>387</v>
      </c>
      <c r="BO160" s="2338"/>
      <c r="BP160" s="2338"/>
      <c r="BQ160" s="2338"/>
      <c r="BR160" s="2338"/>
      <c r="BS160" s="2338"/>
      <c r="BT160" s="2622"/>
      <c r="BU160" s="19"/>
      <c r="BV160" s="35"/>
      <c r="BW160" s="99"/>
      <c r="BX160" s="35"/>
      <c r="BY160" s="35"/>
      <c r="BZ160" s="35"/>
      <c r="CA160" s="35"/>
      <c r="CB160" s="35"/>
      <c r="CC160" s="35"/>
      <c r="CD160" s="35"/>
      <c r="CE160" s="35"/>
      <c r="CF160" s="35"/>
      <c r="CG160" s="35"/>
      <c r="CH160" s="35"/>
      <c r="CI160" s="8">
        <v>23</v>
      </c>
      <c r="CJ160" s="97" t="str">
        <f>IF(LEFT(C161,2)=" B",-MID(C161,3,1),IF(C161="  RF","",LEFT(C161,3)))</f>
        <v/>
      </c>
      <c r="CK160" s="10" t="str">
        <f>IF(OR(C161="",C161="  RF"),"",IF(LEFT(C161,1)="P","+",IF($CJ$14&gt;CJ160,"－",IF($CJ$14=CJ160,"=","+"))))</f>
        <v/>
      </c>
      <c r="CL160" s="2601" t="s">
        <v>376</v>
      </c>
      <c r="CM160" s="2601"/>
      <c r="CN160" s="2601"/>
      <c r="CO160" s="2601" t="s">
        <v>375</v>
      </c>
      <c r="CP160" s="2601"/>
      <c r="CQ160" s="2601"/>
      <c r="CR160" s="2589" t="str">
        <f>AG161</f>
        <v>防火区画処理</v>
      </c>
      <c r="CS160" s="2590"/>
      <c r="CT160" s="2591"/>
      <c r="CU160" s="184" t="str">
        <f>AN161</f>
        <v/>
      </c>
      <c r="CV160" s="2589" t="str">
        <f>AG165</f>
        <v>光電式煙2種埋</v>
      </c>
      <c r="CW160" s="2590"/>
      <c r="CX160" s="2591"/>
      <c r="CY160" s="184" t="str">
        <f>AN165</f>
        <v/>
      </c>
      <c r="CZ160" s="216"/>
      <c r="DA160" s="88">
        <v>18</v>
      </c>
      <c r="DB160" s="373">
        <f t="shared" si="49"/>
        <v>10</v>
      </c>
      <c r="DC160" s="45" t="str">
        <f t="shared" si="50"/>
        <v/>
      </c>
      <c r="DD160" s="45"/>
      <c r="DE160" s="45"/>
      <c r="DF160" s="45"/>
      <c r="DG160" s="45"/>
      <c r="DH160" s="45"/>
      <c r="DI160" s="45"/>
      <c r="DJ160" s="45"/>
      <c r="DK160" s="45">
        <f>IF(OR(DQ160=0,DQ160=""),DK159,DK159+1)</f>
        <v>4</v>
      </c>
      <c r="DL160" s="45"/>
      <c r="DM160" s="154"/>
      <c r="DN160" s="154"/>
      <c r="DO160" s="154"/>
      <c r="DP160" s="45"/>
      <c r="DQ160" s="45"/>
      <c r="DR160" s="209"/>
      <c r="DS160" s="230">
        <f>SUMIF($DM$17:$DM$185,DQ160,$DR$17:$DR$185)</f>
        <v>0</v>
      </c>
      <c r="DT160" s="88">
        <v>18</v>
      </c>
      <c r="DU160" s="373">
        <f t="shared" si="53"/>
        <v>4</v>
      </c>
      <c r="DV160" s="45" t="str">
        <f t="shared" si="54"/>
        <v/>
      </c>
      <c r="DW160" s="45"/>
      <c r="DX160" s="45"/>
      <c r="DY160" s="45"/>
      <c r="DZ160" s="45"/>
      <c r="EA160" s="45"/>
      <c r="EB160" s="45"/>
      <c r="EC160" s="45"/>
    </row>
    <row r="161" spans="1:133" ht="11.25" customHeight="1" thickBot="1">
      <c r="A161" s="15">
        <v>41</v>
      </c>
      <c r="B161" s="23"/>
      <c r="C161" s="2602" t="str">
        <f>非誘!C125</f>
        <v/>
      </c>
      <c r="D161" s="2603"/>
      <c r="E161" s="2604"/>
      <c r="F161" s="2605" t="str">
        <f>非誘!F125</f>
        <v/>
      </c>
      <c r="G161" s="2606"/>
      <c r="H161" s="2606"/>
      <c r="I161" s="2607"/>
      <c r="J161" s="2605" t="str">
        <f>非誘!J125</f>
        <v/>
      </c>
      <c r="K161" s="2606"/>
      <c r="L161" s="2606"/>
      <c r="M161" s="2607"/>
      <c r="N161" s="2608" t="str">
        <f>非誘!N125</f>
        <v/>
      </c>
      <c r="O161" s="2609"/>
      <c r="P161" s="2609"/>
      <c r="Q161" s="2609"/>
      <c r="R161" s="2610"/>
      <c r="S161" s="2608" t="str">
        <f>非誘!S125</f>
        <v/>
      </c>
      <c r="T161" s="2609"/>
      <c r="U161" s="2609"/>
      <c r="V161" s="2610"/>
      <c r="W161" s="2608" t="str">
        <f>非誘!W125</f>
        <v/>
      </c>
      <c r="X161" s="2609"/>
      <c r="Y161" s="2609"/>
      <c r="Z161" s="2610"/>
      <c r="AA161" s="2611" t="str">
        <f>非誘!AA125</f>
        <v/>
      </c>
      <c r="AB161" s="2603"/>
      <c r="AC161" s="2604"/>
      <c r="AD161" s="2612" t="str">
        <f>非誘!AD125</f>
        <v/>
      </c>
      <c r="AE161" s="2613"/>
      <c r="AF161" s="2614"/>
      <c r="AG161" s="2615" t="str">
        <f>IF($B$2=0,"","防火区画処理")</f>
        <v>防火区画処理</v>
      </c>
      <c r="AH161" s="2615"/>
      <c r="AI161" s="2615"/>
      <c r="AJ161" s="2615"/>
      <c r="AK161" s="2615"/>
      <c r="AL161" s="2615"/>
      <c r="AM161" s="2615"/>
      <c r="AN161" s="2616" t="str">
        <f>IF(OR($B$2=0,C161="",P160="不要"),"",AZ161+BG161+BR161*2)</f>
        <v/>
      </c>
      <c r="AO161" s="2616"/>
      <c r="AP161" s="2616"/>
      <c r="AQ161" s="2617" t="s">
        <v>374</v>
      </c>
      <c r="AR161" s="2617"/>
      <c r="AS161" s="2617"/>
      <c r="AT161" s="2617"/>
      <c r="AU161" s="2617"/>
      <c r="AV161" s="2618" t="s">
        <v>373</v>
      </c>
      <c r="AW161" s="2618"/>
      <c r="AX161" s="2618"/>
      <c r="AY161" s="2618"/>
      <c r="AZ161" s="2619" t="str">
        <f>IF(OR($B$2=0,C161="",P160="不要"),"",IF(LEFT(C161,1)="P",1+INT(W161/450),INT(S161/450)+1+INT(W161/450)))</f>
        <v/>
      </c>
      <c r="BA161" s="2619"/>
      <c r="BB161" s="2619"/>
      <c r="BC161" s="2618" t="s">
        <v>372</v>
      </c>
      <c r="BD161" s="2618"/>
      <c r="BE161" s="2618"/>
      <c r="BF161" s="2618"/>
      <c r="BG161" s="2619" t="str">
        <f>IF(OR($B$2=0,C161="",P160="不要"),"",1+INT(N161/500))</f>
        <v/>
      </c>
      <c r="BH161" s="2619"/>
      <c r="BI161" s="2619"/>
      <c r="BJ161" s="2617" t="s">
        <v>371</v>
      </c>
      <c r="BK161" s="2617"/>
      <c r="BL161" s="2617"/>
      <c r="BM161" s="2617"/>
      <c r="BN161" s="2617"/>
      <c r="BO161" s="2617"/>
      <c r="BP161" s="2617"/>
      <c r="BQ161" s="2617"/>
      <c r="BR161" s="2620" t="str">
        <f>IF(OR($B$2=0,C161="",P160="不要"),"",1+INT(0.055*N161^0.6))</f>
        <v/>
      </c>
      <c r="BS161" s="2620"/>
      <c r="BT161" s="2621"/>
      <c r="BU161" s="19"/>
      <c r="BV161" s="35"/>
      <c r="BW161" s="99"/>
      <c r="BX161" s="35"/>
      <c r="BY161" s="35"/>
      <c r="BZ161" s="35"/>
      <c r="CA161" s="35"/>
      <c r="CB161" s="35"/>
      <c r="CC161" s="35"/>
      <c r="CD161" s="35"/>
      <c r="CE161" s="35"/>
      <c r="CF161" s="35"/>
      <c r="CG161" s="35"/>
      <c r="CH161" s="35"/>
      <c r="CI161" s="8">
        <v>2</v>
      </c>
      <c r="CJ161" s="88" t="s">
        <v>386</v>
      </c>
      <c r="CK161" s="88" t="s">
        <v>385</v>
      </c>
      <c r="CL161" s="372" t="b">
        <f>IF(C162="","",IF(AX166="①",CJ162+CK162+3,IF(AX166="②",CJ162*5/8+CK162+3,IF(AX166="③",CJ162/2+CK162+3,IF(AX166="④",CJ162+CK162*5/8+3,IF(AX166="⑤",(CJ162+CK162)*5/8+3,IF(AX166="⑥",CJ162/2+CK162*5/8+3,IF(AX166="⑦",CJ162+CK162/2+3,IF(AX166="⑧",CJ162*5/8+CK162/2+3,IF(AX166="⑨",(CJ162+CK162)/2+3))))))))))</f>
        <v>0</v>
      </c>
      <c r="CM161" s="371" t="s">
        <v>384</v>
      </c>
      <c r="CN161" s="371" t="s">
        <v>383</v>
      </c>
      <c r="CO161" s="370"/>
      <c r="CP161" s="371" t="s">
        <v>384</v>
      </c>
      <c r="CQ161" s="370" t="s">
        <v>383</v>
      </c>
      <c r="CR161" s="2589" t="str">
        <f>AG162</f>
        <v>差動SP2種埋</v>
      </c>
      <c r="CS161" s="2590"/>
      <c r="CT161" s="2591"/>
      <c r="CU161" s="184" t="str">
        <f>AN162</f>
        <v/>
      </c>
      <c r="CV161" s="2589" t="str">
        <f>AT164</f>
        <v>HP起動押ボタン</v>
      </c>
      <c r="CW161" s="2590"/>
      <c r="CX161" s="2591"/>
      <c r="CY161" s="184" t="str">
        <f>BA164</f>
        <v/>
      </c>
      <c r="CZ161" s="216"/>
      <c r="DA161" s="8"/>
      <c r="DB161" s="197">
        <f t="shared" si="49"/>
        <v>10</v>
      </c>
      <c r="DC161" s="197" t="str">
        <f t="shared" si="50"/>
        <v/>
      </c>
      <c r="DD161" s="201" t="str">
        <f>G162</f>
        <v/>
      </c>
      <c r="DE161" s="8"/>
      <c r="DF161" s="8"/>
      <c r="DG161" s="8"/>
      <c r="DH161" s="8" t="str">
        <f>IF(COUNTIF($DD$15:DD160,DD161)&gt;0,"",DD161)</f>
        <v/>
      </c>
      <c r="DI161" s="252" t="str">
        <f>O162</f>
        <v/>
      </c>
      <c r="DJ161" s="32">
        <f t="shared" ref="DJ161:DJ166" si="57">SUMIF($DD$17:$DD$184,DH161,$DI$17:$DI$184)</f>
        <v>0</v>
      </c>
      <c r="DK161" s="197">
        <f t="shared" ref="DK161:DK182" si="58">IF(DQ161&lt;&gt;"",DK160+1,DK160)</f>
        <v>4</v>
      </c>
      <c r="DL161" s="197" t="str">
        <f t="shared" ref="DL161:DL184" si="59">IF(AND(DK161&lt;&gt;"",DQ161&lt;&gt;""),DK161,"")</f>
        <v/>
      </c>
      <c r="DM161" s="10" t="str">
        <f>IF(CU161="","",CR161)</f>
        <v/>
      </c>
      <c r="DN161" s="10" t="str">
        <f>CR161</f>
        <v>差動SP2種埋</v>
      </c>
      <c r="DO161" s="10"/>
      <c r="DP161" s="8"/>
      <c r="DQ161" s="8" t="str">
        <f>IF(COUNTIF($DM$15:DM160,DM161)&gt;0,"",DM161)</f>
        <v/>
      </c>
      <c r="DR161" s="200" t="str">
        <f>CU161</f>
        <v/>
      </c>
      <c r="DS161" s="32">
        <f t="shared" ref="DS161:DS167" si="60">SUMIF($DM$17:$DM$184,DQ161,$DR$17:$DR$184)</f>
        <v>8</v>
      </c>
      <c r="DT161" s="8"/>
      <c r="DU161" s="197">
        <f t="shared" si="53"/>
        <v>4</v>
      </c>
      <c r="DV161" s="197" t="str">
        <f t="shared" si="54"/>
        <v/>
      </c>
      <c r="DW161" s="201"/>
      <c r="DX161" s="8"/>
      <c r="DY161" s="8"/>
      <c r="DZ161" s="8"/>
      <c r="EA161" s="8"/>
      <c r="EB161" s="252"/>
      <c r="EC161" s="32"/>
    </row>
    <row r="162" spans="1:133" ht="11.25" customHeight="1">
      <c r="A162" s="15"/>
      <c r="B162" s="23"/>
      <c r="C162" s="2623" t="s">
        <v>366</v>
      </c>
      <c r="D162" s="2624"/>
      <c r="E162" s="2624"/>
      <c r="F162" s="2624"/>
      <c r="G162" s="2625" t="str">
        <f>IF(C161="","","AE 0.9mm-4C")</f>
        <v/>
      </c>
      <c r="H162" s="2625"/>
      <c r="I162" s="2625"/>
      <c r="J162" s="2625"/>
      <c r="K162" s="2625"/>
      <c r="L162" s="2625"/>
      <c r="M162" s="2625"/>
      <c r="N162" s="2625"/>
      <c r="O162" s="2593" t="str">
        <f>IF($B$2=0,"",IF(OR(C161="",P160="不要"),"",ROUND((CM162+CN162),0)))</f>
        <v/>
      </c>
      <c r="P162" s="2593"/>
      <c r="Q162" s="2593"/>
      <c r="R162" s="2593"/>
      <c r="S162" s="2593"/>
      <c r="T162" s="2593" t="str">
        <f>IF(OR($B$2=0,C161="",P160="不要"),"",IF(AQ160="天井ケーブル","C-19mm",IF(MID(AQ160,4,2)="PF","PF-16mm",IF(MID(AQ160,4,2)="CD","CD-16mm",IF(MID(AQ160,4,2)="C ","C-19mm",IF(MID(AQ160,4,2)="G ","G-16mm",""))))))</f>
        <v/>
      </c>
      <c r="U162" s="2593"/>
      <c r="V162" s="2593"/>
      <c r="W162" s="2593"/>
      <c r="X162" s="2593"/>
      <c r="Y162" s="2593"/>
      <c r="Z162" s="2593"/>
      <c r="AA162" s="2593"/>
      <c r="AB162" s="2593" t="str">
        <f>IF(OR($B$2=0,C161="",P160="不要"),"",IF(CQ162="",ROUND(CP162,0),ROUND((CP162+CQ162),0)))</f>
        <v/>
      </c>
      <c r="AC162" s="2593"/>
      <c r="AD162" s="2593"/>
      <c r="AE162" s="2593"/>
      <c r="AF162" s="2593"/>
      <c r="AG162" s="2595" t="str">
        <f>IF($B$2=0,"","差動SP2種埋")</f>
        <v>差動SP2種埋</v>
      </c>
      <c r="AH162" s="2595"/>
      <c r="AI162" s="2595"/>
      <c r="AJ162" s="2595"/>
      <c r="AK162" s="2595"/>
      <c r="AL162" s="2595"/>
      <c r="AM162" s="2595"/>
      <c r="AN162" s="2593" t="str">
        <f>IF(OR(C161="",P160="不要"),"",IF(AQ162&lt;&gt;"",AQ162,IF(AX166="B","",IF(AZ165="無窓","",IF(AND(BL165="耐 火",AZ165="有窓"),BZ162+CA162,CD162+CE162)))))</f>
        <v/>
      </c>
      <c r="AO162" s="2593"/>
      <c r="AP162" s="2593"/>
      <c r="AQ162" s="2594"/>
      <c r="AR162" s="2594"/>
      <c r="AS162" s="2594"/>
      <c r="AT162" s="2595" t="str">
        <f>IF($B$2=0,"","P1総合盤露出")</f>
        <v>P1総合盤露出</v>
      </c>
      <c r="AU162" s="2595"/>
      <c r="AV162" s="2595"/>
      <c r="AW162" s="2595"/>
      <c r="AX162" s="2595"/>
      <c r="AY162" s="2595"/>
      <c r="AZ162" s="2595"/>
      <c r="BA162" s="2593" t="str">
        <f>IF(P160="不要","",IF(BD162&lt;&gt;"",BD162,IF([4]Top!$BD$51="要","",AZ161)))</f>
        <v/>
      </c>
      <c r="BB162" s="2593"/>
      <c r="BC162" s="2593"/>
      <c r="BD162" s="2594"/>
      <c r="BE162" s="2594"/>
      <c r="BF162" s="2594"/>
      <c r="BG162" s="2597" t="str">
        <f>IF($B$2=0,"","ﾗｯﾁ電磁レリーズ")</f>
        <v>ﾗｯﾁ電磁レリーズ</v>
      </c>
      <c r="BH162" s="2597"/>
      <c r="BI162" s="2597"/>
      <c r="BJ162" s="2597"/>
      <c r="BK162" s="2597"/>
      <c r="BL162" s="2597"/>
      <c r="BM162" s="2597"/>
      <c r="BN162" s="2597"/>
      <c r="BO162" s="2593" t="str">
        <f>IF(P160="不要","",IF(BR162&lt;&gt;"",BR162,BR161))</f>
        <v/>
      </c>
      <c r="BP162" s="2593"/>
      <c r="BQ162" s="2593"/>
      <c r="BR162" s="2594"/>
      <c r="BS162" s="2594"/>
      <c r="BT162" s="2596"/>
      <c r="BU162" s="19"/>
      <c r="BV162" s="35"/>
      <c r="BW162" s="351" t="s">
        <v>365</v>
      </c>
      <c r="BX162" s="368"/>
      <c r="BY162" s="369"/>
      <c r="BZ162" s="344">
        <f>IF(AA161="",0,IF(OR([6]Top!$BD$72&lt;&gt;"要",C161=""),"",IF(J161&gt;=4,1+INT(AA161*2.4),1+INT(AA161*1.2))))</f>
        <v>0</v>
      </c>
      <c r="CA162" s="360" t="str">
        <f>IF(OR([6]Top!$BD$72&lt;&gt;"要",C161=""),"",IF(J161&gt;=4,1+INT(AD161*2.4),1+INT(AD161*1.2)))</f>
        <v/>
      </c>
      <c r="CB162" s="368"/>
      <c r="CC162" s="369"/>
      <c r="CD162" s="343">
        <f>IF($AX$8&lt;=500,BZ162*2,1+INT(BZ162*2.5))</f>
        <v>1</v>
      </c>
      <c r="CE162" s="360" t="e">
        <f>IF($AX$8&lt;=500,CA162*2,1+INT(CA162*2.5))</f>
        <v>#VALUE!</v>
      </c>
      <c r="CF162" s="368"/>
      <c r="CG162" s="367"/>
      <c r="CH162" s="35"/>
      <c r="CI162" s="133">
        <f>IF(AZ161&lt;&gt;"",AZ161,0)</f>
        <v>0</v>
      </c>
      <c r="CJ162" s="98">
        <f>非誘!BW125</f>
        <v>0</v>
      </c>
      <c r="CK162" s="98">
        <f>非誘!BX125</f>
        <v>0</v>
      </c>
      <c r="CL162" s="88" t="s">
        <v>364</v>
      </c>
      <c r="CM162" s="185" t="str">
        <f>IF(OR(C161="",C161="  RF"),"",IF(J161="直天",$AN$10/1000+F161-1.2+SQRT(CK163/CM163),$AN$10/1000+J161-1.2+SQRT(CK163/CM163)))</f>
        <v/>
      </c>
      <c r="CN162" s="185" t="str">
        <f>IF(OR(C161="",P160="不要"),"",CL161+CK164*AZ161)</f>
        <v/>
      </c>
      <c r="CO162" s="88" t="s">
        <v>364</v>
      </c>
      <c r="CP162" s="185" t="str">
        <f>IF(OR(C161="",C161="  RF"),"",IF(J161="直天",F161-1.2+SQRT(CK163/CM163),IF(AQ160="天井ケーブル",J161-1.2,J161-1.2+SQRT(CK163/CM163))))</f>
        <v/>
      </c>
      <c r="CQ162" s="356" t="str">
        <f>IF(OR(C161="",C161="  RF"),"",IF(AQ160="天井ケーブル","",(CM163-1)*SQRT(CK163/CM163)))</f>
        <v/>
      </c>
      <c r="CR162" s="2589" t="str">
        <f>AG163</f>
        <v>定温SP1種WP</v>
      </c>
      <c r="CS162" s="2590"/>
      <c r="CT162" s="2591"/>
      <c r="CU162" s="184" t="str">
        <f>AN163</f>
        <v/>
      </c>
      <c r="CV162" s="2589" t="str">
        <f>AT162</f>
        <v>P1総合盤露出</v>
      </c>
      <c r="CW162" s="2590"/>
      <c r="CX162" s="2591"/>
      <c r="CY162" s="184" t="str">
        <f>BA162</f>
        <v/>
      </c>
      <c r="CZ162" s="216"/>
      <c r="DA162" s="8"/>
      <c r="DB162" s="197">
        <f t="shared" si="49"/>
        <v>10</v>
      </c>
      <c r="DC162" s="197" t="str">
        <f t="shared" si="50"/>
        <v/>
      </c>
      <c r="DD162" s="201" t="str">
        <f>G163</f>
        <v/>
      </c>
      <c r="DE162" s="8"/>
      <c r="DF162" s="8"/>
      <c r="DG162" s="8"/>
      <c r="DH162" s="8" t="str">
        <f>IF(COUNTIF($DD$15:DD161,DD162)&gt;0,"",DD162)</f>
        <v/>
      </c>
      <c r="DI162" s="252" t="str">
        <f>O163</f>
        <v/>
      </c>
      <c r="DJ162" s="32">
        <f t="shared" si="57"/>
        <v>0</v>
      </c>
      <c r="DK162" s="197">
        <f t="shared" si="58"/>
        <v>4</v>
      </c>
      <c r="DL162" s="197" t="str">
        <f t="shared" si="59"/>
        <v/>
      </c>
      <c r="DM162" s="10" t="str">
        <f>IF(CU162="","",CR162)</f>
        <v/>
      </c>
      <c r="DN162" s="10" t="str">
        <f>CR162</f>
        <v>定温SP1種WP</v>
      </c>
      <c r="DO162" s="10"/>
      <c r="DP162" s="8"/>
      <c r="DQ162" s="8" t="str">
        <f>IF(COUNTIF($DM$15:DM161,DM162)&gt;0,"",DM162)</f>
        <v/>
      </c>
      <c r="DR162" s="200" t="str">
        <f>CU162</f>
        <v/>
      </c>
      <c r="DS162" s="32">
        <f t="shared" si="60"/>
        <v>8</v>
      </c>
      <c r="DT162" s="8"/>
      <c r="DU162" s="197">
        <f t="shared" si="53"/>
        <v>4</v>
      </c>
      <c r="DV162" s="197" t="str">
        <f t="shared" si="54"/>
        <v/>
      </c>
      <c r="DW162" s="201" t="str">
        <f>T162</f>
        <v/>
      </c>
      <c r="DX162" s="8"/>
      <c r="DY162" s="8"/>
      <c r="DZ162" s="8"/>
      <c r="EA162" s="8" t="str">
        <f>IF(COUNTIF($DW$15:DW161,DW162)&gt;0,"",DW162)</f>
        <v/>
      </c>
      <c r="EB162" s="197" t="str">
        <f>AB162</f>
        <v/>
      </c>
      <c r="EC162" s="32">
        <f>SUMIF($DW$17:$DW$184,EA162,$EB$17:$EB$184)</f>
        <v>0</v>
      </c>
    </row>
    <row r="163" spans="1:133" ht="11.25" customHeight="1" thickBot="1">
      <c r="A163" s="15"/>
      <c r="B163" s="176"/>
      <c r="C163" s="2568" t="s">
        <v>363</v>
      </c>
      <c r="D163" s="2569"/>
      <c r="E163" s="2569"/>
      <c r="F163" s="2569"/>
      <c r="G163" s="2592" t="str">
        <f>IF(C161="","","HP 1.2mm-3C")</f>
        <v/>
      </c>
      <c r="H163" s="2592"/>
      <c r="I163" s="2592"/>
      <c r="J163" s="2592"/>
      <c r="K163" s="2592"/>
      <c r="L163" s="2592"/>
      <c r="M163" s="2592"/>
      <c r="N163" s="2592"/>
      <c r="O163" s="2557" t="str">
        <f>IF($B$2=0,"",IF(OR(C161="",P160="不要"),"",ROUND(CN164,0)))</f>
        <v/>
      </c>
      <c r="P163" s="2557"/>
      <c r="Q163" s="2557"/>
      <c r="R163" s="2557"/>
      <c r="S163" s="2557"/>
      <c r="T163" s="2557" t="str">
        <f>IF(OR($B$2=0,C161="",P160="不要"),"",IF(BH160="天井ケーブル","C-19mm",IF(MID(BH160,4,2)="PF","PF-16mm",IF(MID(BH160,4,2)="CD","CD-16mm",IF(MID(BH160,4,2)="C ","C-19mm",IF(MID(BH160,4,2)="G ","G-16mm",""))))))</f>
        <v/>
      </c>
      <c r="U163" s="2557"/>
      <c r="V163" s="2557"/>
      <c r="W163" s="2557"/>
      <c r="X163" s="2557"/>
      <c r="Y163" s="2557"/>
      <c r="Z163" s="2557"/>
      <c r="AA163" s="2557"/>
      <c r="AB163" s="2557" t="str">
        <f>IF($B$2=0,"",IF(OR(C161="",P160="不要",CQ165=""),"",CQ164+CQ165))</f>
        <v/>
      </c>
      <c r="AC163" s="2557"/>
      <c r="AD163" s="2557"/>
      <c r="AE163" s="2557"/>
      <c r="AF163" s="2557"/>
      <c r="AG163" s="2572" t="str">
        <f>IF($B$2=0,"","定温SP1種WP")</f>
        <v>定温SP1種WP</v>
      </c>
      <c r="AH163" s="2572"/>
      <c r="AI163" s="2572"/>
      <c r="AJ163" s="2572"/>
      <c r="AK163" s="2572"/>
      <c r="AL163" s="2572"/>
      <c r="AM163" s="2572"/>
      <c r="AN163" s="2312" t="str">
        <f>IF(OR($B$2=0,P160="不要"),"",IF(AQ163&lt;&gt;"",AQ163,CA163))</f>
        <v/>
      </c>
      <c r="AO163" s="2312"/>
      <c r="AP163" s="2312"/>
      <c r="AQ163" s="2575"/>
      <c r="AR163" s="2575"/>
      <c r="AS163" s="2575"/>
      <c r="AT163" s="2572" t="str">
        <f>IF($B$2=0,"","P1総合盤埋込")</f>
        <v>P1総合盤埋込</v>
      </c>
      <c r="AU163" s="2572"/>
      <c r="AV163" s="2572"/>
      <c r="AW163" s="2572"/>
      <c r="AX163" s="2572"/>
      <c r="AY163" s="2572"/>
      <c r="AZ163" s="2572"/>
      <c r="BA163" s="2312" t="str">
        <f>IF(P160="不要","",IF(BD163&lt;&gt;"",BD163,IF([4]Top!$BD$51&lt;&gt;"要","",AZ161)))</f>
        <v/>
      </c>
      <c r="BB163" s="2312"/>
      <c r="BC163" s="2312"/>
      <c r="BD163" s="2575"/>
      <c r="BE163" s="2575"/>
      <c r="BF163" s="2575"/>
      <c r="BG163" s="2572" t="str">
        <f>IF($B$2=0,"","ｱｰﾑ電磁レリーズ")</f>
        <v>ｱｰﾑ電磁レリーズ</v>
      </c>
      <c r="BH163" s="2572"/>
      <c r="BI163" s="2572"/>
      <c r="BJ163" s="2572"/>
      <c r="BK163" s="2572"/>
      <c r="BL163" s="2572"/>
      <c r="BM163" s="2572"/>
      <c r="BN163" s="2572"/>
      <c r="BO163" s="2312" t="str">
        <f>IF(P160="不要","",IF(BR163&lt;&gt;"",BR163,BR161))</f>
        <v/>
      </c>
      <c r="BP163" s="2312"/>
      <c r="BQ163" s="2312"/>
      <c r="BR163" s="2575"/>
      <c r="BS163" s="2575"/>
      <c r="BT163" s="2576"/>
      <c r="BU163" s="19"/>
      <c r="BV163" s="35"/>
      <c r="BW163" s="351" t="s">
        <v>362</v>
      </c>
      <c r="BX163" s="348"/>
      <c r="BY163" s="349" t="str">
        <f>CA163</f>
        <v/>
      </c>
      <c r="BZ163" s="366"/>
      <c r="CA163" s="360" t="str">
        <f>IF(C161="","",1+INT(W161/200))</f>
        <v/>
      </c>
      <c r="CB163" s="348"/>
      <c r="CC163" s="359" t="str">
        <f>CA163</f>
        <v/>
      </c>
      <c r="CD163" s="365"/>
      <c r="CE163" s="349" t="str">
        <f>CA163</f>
        <v/>
      </c>
      <c r="CF163" s="348"/>
      <c r="CG163" s="357" t="str">
        <f>CA163</f>
        <v/>
      </c>
      <c r="CH163" s="35"/>
      <c r="CI163" s="133">
        <f>IF(BG161&lt;&gt;"",BG161,0)</f>
        <v>0</v>
      </c>
      <c r="CJ163" s="88" t="s">
        <v>361</v>
      </c>
      <c r="CK163" s="107" t="str">
        <f>N161</f>
        <v/>
      </c>
      <c r="CL163" s="88" t="s">
        <v>360</v>
      </c>
      <c r="CM163" s="185">
        <f>SUM(AN162:AP166)</f>
        <v>0</v>
      </c>
      <c r="CN163" s="364"/>
      <c r="CO163" s="168"/>
      <c r="CP163" s="363"/>
      <c r="CQ163" s="150"/>
      <c r="CR163" s="2598" t="str">
        <f>AG164</f>
        <v>補償SP2種</v>
      </c>
      <c r="CS163" s="2599"/>
      <c r="CT163" s="2600"/>
      <c r="CU163" s="362" t="str">
        <f>AN164</f>
        <v/>
      </c>
      <c r="CV163" s="2598" t="str">
        <f>AT163</f>
        <v>P1総合盤埋込</v>
      </c>
      <c r="CW163" s="2599"/>
      <c r="CX163" s="2600"/>
      <c r="CY163" s="362" t="str">
        <f>BA163</f>
        <v/>
      </c>
      <c r="CZ163" s="216"/>
      <c r="DA163" s="8"/>
      <c r="DB163" s="197">
        <f t="shared" si="49"/>
        <v>10</v>
      </c>
      <c r="DC163" s="197" t="str">
        <f t="shared" si="50"/>
        <v/>
      </c>
      <c r="DD163" s="201" t="str">
        <f>G164</f>
        <v/>
      </c>
      <c r="DE163" s="8"/>
      <c r="DF163" s="8"/>
      <c r="DG163" s="8"/>
      <c r="DH163" s="8" t="str">
        <f>IF(COUNTIF($DD$15:DD162,DD163)&gt;0,"",DD163)</f>
        <v/>
      </c>
      <c r="DI163" s="252" t="str">
        <f>O164</f>
        <v/>
      </c>
      <c r="DJ163" s="32">
        <f t="shared" si="57"/>
        <v>0</v>
      </c>
      <c r="DK163" s="197">
        <f t="shared" si="58"/>
        <v>4</v>
      </c>
      <c r="DL163" s="197" t="str">
        <f t="shared" si="59"/>
        <v/>
      </c>
      <c r="DM163" s="10" t="str">
        <f>IF(CU163="","",CR163)</f>
        <v/>
      </c>
      <c r="DN163" s="10" t="str">
        <f>CR163</f>
        <v>補償SP2種</v>
      </c>
      <c r="DO163" s="10"/>
      <c r="DP163" s="8"/>
      <c r="DQ163" s="8" t="str">
        <f>IF(COUNTIF($DM$15:DM162,DM163)&gt;0,"",DM163)</f>
        <v/>
      </c>
      <c r="DR163" s="200" t="str">
        <f>CU163</f>
        <v/>
      </c>
      <c r="DS163" s="32">
        <f t="shared" si="60"/>
        <v>8</v>
      </c>
      <c r="DT163" s="8"/>
      <c r="DU163" s="197">
        <f t="shared" si="53"/>
        <v>4</v>
      </c>
      <c r="DV163" s="197" t="str">
        <f t="shared" si="54"/>
        <v/>
      </c>
      <c r="DW163" s="201" t="str">
        <f>T163</f>
        <v/>
      </c>
      <c r="DX163" s="8"/>
      <c r="DY163" s="8"/>
      <c r="DZ163" s="8"/>
      <c r="EA163" s="8" t="str">
        <f>IF(COUNTIF($DW$15:DW162,DW163)&gt;0,"",DW163)</f>
        <v/>
      </c>
      <c r="EB163" s="197" t="str">
        <f>AB163</f>
        <v/>
      </c>
      <c r="EC163" s="32">
        <f>SUMIF($DW$17:$DW$184,EA163,$EB$17:$EB$184)</f>
        <v>0</v>
      </c>
    </row>
    <row r="164" spans="1:133" ht="11.25" customHeight="1" thickBot="1">
      <c r="A164" s="15"/>
      <c r="B164" s="23"/>
      <c r="C164" s="2568"/>
      <c r="D164" s="2569"/>
      <c r="E164" s="2569"/>
      <c r="F164" s="2569"/>
      <c r="G164" s="2584" t="str">
        <f>IF(C161="","","HP 1.2mm-5C")</f>
        <v/>
      </c>
      <c r="H164" s="2584"/>
      <c r="I164" s="2584"/>
      <c r="J164" s="2584"/>
      <c r="K164" s="2584"/>
      <c r="L164" s="2584"/>
      <c r="M164" s="2584"/>
      <c r="N164" s="2584"/>
      <c r="O164" s="2585" t="str">
        <f>IF($B$2=0,"",IF(OR(C161="",P160="不要"),"",ROUND(CM164,0)))</f>
        <v/>
      </c>
      <c r="P164" s="2585"/>
      <c r="Q164" s="2585"/>
      <c r="R164" s="2585"/>
      <c r="S164" s="2585"/>
      <c r="T164" s="2585" t="str">
        <f>IF(OR($B$2=0,C161="",P160="不要"),"",IF(BH160="天井ケーブル","C-25mm",IF(MID(BH160,4,2)="PF","PF-22mm",IF(MID(BH160,4,2)="CD","CD-22mm",IF(MID(BH160,4,2)="C ","C-25mm",IF(MID(BH160,4,2)="G ","G-22mm",""))))))</f>
        <v/>
      </c>
      <c r="U164" s="2585"/>
      <c r="V164" s="2585"/>
      <c r="W164" s="2585"/>
      <c r="X164" s="2585"/>
      <c r="Y164" s="2585"/>
      <c r="Z164" s="2585"/>
      <c r="AA164" s="2585"/>
      <c r="AB164" s="2585" t="str">
        <f>IF(OR($B$2=0,C161="",P160="不要"),"",CP164)</f>
        <v/>
      </c>
      <c r="AC164" s="2585"/>
      <c r="AD164" s="2585"/>
      <c r="AE164" s="2585"/>
      <c r="AF164" s="2585"/>
      <c r="AG164" s="2572" t="str">
        <f>IF($B$2=0,"","補償SP2種")</f>
        <v>補償SP2種</v>
      </c>
      <c r="AH164" s="2572"/>
      <c r="AI164" s="2572"/>
      <c r="AJ164" s="2572"/>
      <c r="AK164" s="2572"/>
      <c r="AL164" s="2572"/>
      <c r="AM164" s="2572"/>
      <c r="AN164" s="2312" t="str">
        <f>IF(OR($B$2=0,P160="不要"),"",IF(AQ164&lt;&gt;"",AQ164,CA164))</f>
        <v/>
      </c>
      <c r="AO164" s="2312"/>
      <c r="AP164" s="2312"/>
      <c r="AQ164" s="2575"/>
      <c r="AR164" s="2575"/>
      <c r="AS164" s="2575"/>
      <c r="AT164" s="2546" t="str">
        <f>IF($B$2=0,"","HP起動押ボタン")</f>
        <v>HP起動押ボタン</v>
      </c>
      <c r="AU164" s="2546"/>
      <c r="AV164" s="2546"/>
      <c r="AW164" s="2546"/>
      <c r="AX164" s="2546"/>
      <c r="AY164" s="2546"/>
      <c r="AZ164" s="2546"/>
      <c r="BA164" s="2544" t="str">
        <f>IF(P160="不要","",IF(BD164&lt;&gt;"",BD164,IF([4]Top!$BL$51="要",AZ161,"")))</f>
        <v/>
      </c>
      <c r="BB164" s="2544"/>
      <c r="BC164" s="2544"/>
      <c r="BD164" s="2573"/>
      <c r="BE164" s="2573"/>
      <c r="BF164" s="2573"/>
      <c r="BG164" s="2546" t="str">
        <f>IF($B$2=0,"","光電式煙3種埋")</f>
        <v>光電式煙3種埋</v>
      </c>
      <c r="BH164" s="2546"/>
      <c r="BI164" s="2546"/>
      <c r="BJ164" s="2546"/>
      <c r="BK164" s="2546"/>
      <c r="BL164" s="2546"/>
      <c r="BM164" s="2546"/>
      <c r="BN164" s="2546"/>
      <c r="BO164" s="2544" t="str">
        <f>IF(OR($B$2=0,C161="",P160="不要"),"",IF(BR164&lt;&gt;"",BR164,2*BR161))</f>
        <v/>
      </c>
      <c r="BP164" s="2544"/>
      <c r="BQ164" s="2544"/>
      <c r="BR164" s="2573"/>
      <c r="BS164" s="2573"/>
      <c r="BT164" s="2574"/>
      <c r="BU164" s="19"/>
      <c r="BV164" s="35"/>
      <c r="BW164" s="351" t="s">
        <v>359</v>
      </c>
      <c r="BX164" s="361"/>
      <c r="BY164" s="349" t="str">
        <f>CA164</f>
        <v/>
      </c>
      <c r="BZ164" s="348"/>
      <c r="CA164" s="360" t="str">
        <f>IF(C161="","",1+INT(W161/200))</f>
        <v/>
      </c>
      <c r="CB164" s="358"/>
      <c r="CC164" s="359" t="str">
        <f>CA164</f>
        <v/>
      </c>
      <c r="CD164" s="346"/>
      <c r="CE164" s="349" t="str">
        <f>CA164</f>
        <v/>
      </c>
      <c r="CF164" s="358"/>
      <c r="CG164" s="357" t="str">
        <f>CA164</f>
        <v/>
      </c>
      <c r="CH164" s="35"/>
      <c r="CI164" s="133">
        <f>IF(BR161&lt;&gt;"",BR161,0)</f>
        <v>0</v>
      </c>
      <c r="CJ164" s="88" t="s">
        <v>121</v>
      </c>
      <c r="CK164" s="187" t="str">
        <f>IF(OR(C161="",C161="  RF"),"",IF($AX$8=0,0,2*($AX$8/1000-0.15-0.1)*(INT(1000*CJ162/$BF$8)+1)*(INT(1000*CK162/$BF$8)+1)*4))</f>
        <v/>
      </c>
      <c r="CL164" s="187" t="s">
        <v>358</v>
      </c>
      <c r="CM164" s="139" t="str">
        <f>IF(OR(C161="",C161="  RF"),"",IF(J161="直天",$AN$8/1000+F161-1.2+CJ162+CK162/2,$AN$8/1000+J161-1.2+CJ162+CK162/2))</f>
        <v/>
      </c>
      <c r="CN164" s="136" t="str">
        <f>IF(OR(C161="",C161="  RF"),"",IF(J161="直天",F161-$Y$8/1000+F161-$Y$9/1000+2*8+($AN$7+2*$AN$9)/1000,J161-$Y$8/1000+J161-$Y$9/1000+2*8+($AN$7+2*$AN$9)/1000))</f>
        <v/>
      </c>
      <c r="CO164" s="151" t="s">
        <v>358</v>
      </c>
      <c r="CP164" s="185" t="str">
        <f>IF(OR(C161="",C161="  RF"),"",IF(J161="直天",F161-1.2+CJ162+CK162/2,IF(AQ160="天井ケーブル",J161-1.2,J161-1.2+CJ162+CK162/2)))</f>
        <v/>
      </c>
      <c r="CQ164" s="356" t="str">
        <f>IF(OR(C161="",C161="  RF"),"",IF(J161="直天",F161-$Y$8/1000+F161-$Y$9/1000+2*8,IF(BH160="天井ケーブル",J161-$Y$8/1000+J161-$Y$9/1000,J161-$Y$8/1000+J161-$Y$9/1000+2*8)))</f>
        <v/>
      </c>
      <c r="CR164" s="355" t="s">
        <v>87</v>
      </c>
      <c r="CS164" s="336" t="s">
        <v>395</v>
      </c>
      <c r="CT164" s="336" t="s">
        <v>394</v>
      </c>
      <c r="CU164" s="192" t="s">
        <v>393</v>
      </c>
      <c r="CV164" s="336" t="s">
        <v>392</v>
      </c>
      <c r="CW164" s="336" t="s">
        <v>391</v>
      </c>
      <c r="CX164" s="336" t="s">
        <v>390</v>
      </c>
      <c r="CY164" s="354" t="s">
        <v>389</v>
      </c>
      <c r="CZ164" s="216"/>
      <c r="DA164" s="8"/>
      <c r="DB164" s="197">
        <f t="shared" si="49"/>
        <v>10</v>
      </c>
      <c r="DC164" s="197" t="str">
        <f t="shared" si="50"/>
        <v/>
      </c>
      <c r="DD164" s="201" t="str">
        <f>G165</f>
        <v/>
      </c>
      <c r="DE164" s="8"/>
      <c r="DF164" s="8"/>
      <c r="DG164" s="8"/>
      <c r="DH164" s="8" t="str">
        <f>IF(COUNTIF($DD$15:DD163,DD164)&gt;0,"",DD164)</f>
        <v/>
      </c>
      <c r="DI164" s="252" t="str">
        <f>O165</f>
        <v/>
      </c>
      <c r="DJ164" s="32">
        <f t="shared" si="57"/>
        <v>0</v>
      </c>
      <c r="DK164" s="197">
        <f t="shared" si="58"/>
        <v>4</v>
      </c>
      <c r="DL164" s="197" t="str">
        <f t="shared" si="59"/>
        <v/>
      </c>
      <c r="DM164" s="11" t="str">
        <f>IF(CY160="","",CV160)</f>
        <v/>
      </c>
      <c r="DN164" s="11"/>
      <c r="DO164" s="11"/>
      <c r="DP164" s="9"/>
      <c r="DQ164" s="9" t="str">
        <f>IF(COUNTIF($DM$15:DM163,DM164)&gt;0,"",DM164)</f>
        <v/>
      </c>
      <c r="DR164" s="200" t="str">
        <f>CY160</f>
        <v/>
      </c>
      <c r="DS164" s="32">
        <f t="shared" si="60"/>
        <v>8</v>
      </c>
      <c r="DT164" s="8"/>
      <c r="DU164" s="197">
        <f t="shared" si="53"/>
        <v>4</v>
      </c>
      <c r="DV164" s="197" t="str">
        <f t="shared" si="54"/>
        <v/>
      </c>
      <c r="DW164" s="201" t="str">
        <f>T164</f>
        <v/>
      </c>
      <c r="DX164" s="8"/>
      <c r="DY164" s="8"/>
      <c r="DZ164" s="8"/>
      <c r="EA164" s="8" t="str">
        <f>IF(COUNTIF($DW$15:DW163,DW164)&gt;0,"",DW164)</f>
        <v/>
      </c>
      <c r="EB164" s="197" t="str">
        <f>AB164</f>
        <v/>
      </c>
      <c r="EC164" s="32">
        <f>SUMIF($DW$17:$DW$184,EA164,$EB$17:$EB$184)</f>
        <v>0</v>
      </c>
    </row>
    <row r="165" spans="1:133" ht="11.25" customHeight="1" thickBot="1">
      <c r="A165" s="15"/>
      <c r="B165" s="23"/>
      <c r="C165" s="2568" t="s">
        <v>352</v>
      </c>
      <c r="D165" s="2569"/>
      <c r="E165" s="2569"/>
      <c r="F165" s="2569"/>
      <c r="G165" s="2557" t="str">
        <f>IF(OR($B$2=0,C161="",P160="不要"),"",IF(CR165&lt;10,"FCPEV 0.9-5Pr",IF(CR165&lt;20,"FCPEV 0.9- 10Pr",IF(CR165&lt;30,"FCPEV 0.9- 15Pr",IF(CR165&lt;40,"FCPEV 0.9- 20Pr","")))))</f>
        <v/>
      </c>
      <c r="H165" s="2557"/>
      <c r="I165" s="2557"/>
      <c r="J165" s="2557"/>
      <c r="K165" s="2557"/>
      <c r="L165" s="2557"/>
      <c r="M165" s="2557"/>
      <c r="N165" s="2557"/>
      <c r="O165" s="2557" t="str">
        <f>IF(OR(C161="",P160="不要",G165=""),"",INT(AZ161*(CJ162+CK162)/4))</f>
        <v/>
      </c>
      <c r="P165" s="2557"/>
      <c r="Q165" s="2557"/>
      <c r="R165" s="2557"/>
      <c r="S165" s="2557"/>
      <c r="T165" s="2558" t="str">
        <f>IF(OR(C161="",P160="不要",G165=""),"",IF(AQ160="天井ケーブル","C-"&amp;CM166&amp;"mm",IF(MID(AQ160,4,2)="PF","PF-"&amp;CL166&amp;"mm",IF(MID(AQ160,4,2)="CD","CD-"&amp;CL166&amp;"mm",IF(MID(AQ160,4,2)="C ","C-"&amp;CM166&amp;"mm",IF(MID(AQ160,4,2)="G ","G-"&amp;CL166&amp;"mm"))))))</f>
        <v/>
      </c>
      <c r="U165" s="2557"/>
      <c r="V165" s="2557"/>
      <c r="W165" s="2557"/>
      <c r="X165" s="2557"/>
      <c r="Y165" s="2557"/>
      <c r="Z165" s="2557"/>
      <c r="AA165" s="2557"/>
      <c r="AB165" s="2557" t="str">
        <f>IF(OR(C161="",P160="不要",G165=""),"",IF(AQ160="天井ケーブル",2*AZ161*(F161-$Y$7/1000),O165*0.9))</f>
        <v/>
      </c>
      <c r="AC165" s="2557"/>
      <c r="AD165" s="2557"/>
      <c r="AE165" s="2557"/>
      <c r="AF165" s="2557"/>
      <c r="AG165" s="2572" t="str">
        <f>IF($B$2=0,"","光電式煙2種埋")</f>
        <v>光電式煙2種埋</v>
      </c>
      <c r="AH165" s="2572"/>
      <c r="AI165" s="2572"/>
      <c r="AJ165" s="2572"/>
      <c r="AK165" s="2572"/>
      <c r="AL165" s="2572"/>
      <c r="AM165" s="2572"/>
      <c r="AN165" s="2312" t="str">
        <f>IF(OR(C161="",$B$2=0,P160="不要"),"",IF(AQ165&lt;&gt;"",AQ165,IF(AX166="B",BX165+BY165,IF(AND(BL165="耐 火",AZ165="無窓"),CB165+CC165,IF(AND(BL165&lt;&gt;"耐 火",AZ165="無窓"),CF165+CG165,"")))))</f>
        <v/>
      </c>
      <c r="AO165" s="2312"/>
      <c r="AP165" s="2312"/>
      <c r="AQ165" s="2339"/>
      <c r="AR165" s="2339"/>
      <c r="AS165" s="2551"/>
      <c r="AT165" s="2577" t="str">
        <f>IF(C161="","","消防法上")</f>
        <v/>
      </c>
      <c r="AU165" s="2289"/>
      <c r="AV165" s="2289"/>
      <c r="AW165" s="2289"/>
      <c r="AX165" s="2289"/>
      <c r="AY165" s="2578"/>
      <c r="AZ165" s="2579" t="str">
        <f>IF($B$2=0,"",IF(BD165="",[4]Top!$BO$26,BD165))</f>
        <v>無窓</v>
      </c>
      <c r="BA165" s="2394"/>
      <c r="BB165" s="2580"/>
      <c r="BC165" s="353" t="s">
        <v>387</v>
      </c>
      <c r="BD165" s="2552"/>
      <c r="BE165" s="2552"/>
      <c r="BF165" s="2553"/>
      <c r="BG165" s="2581" t="str">
        <f>IF(C161="","","耐火構造")</f>
        <v/>
      </c>
      <c r="BH165" s="2289"/>
      <c r="BI165" s="2289"/>
      <c r="BJ165" s="2289"/>
      <c r="BK165" s="2290"/>
      <c r="BL165" s="2278" t="str">
        <f>IF($B$2=0,"",IF(BQ165="",[4]Top!$AN$18,BQ165))</f>
        <v>耐 火</v>
      </c>
      <c r="BM165" s="2394"/>
      <c r="BN165" s="2394"/>
      <c r="BO165" s="2580"/>
      <c r="BP165" s="352" t="s">
        <v>387</v>
      </c>
      <c r="BQ165" s="2582"/>
      <c r="BR165" s="2552"/>
      <c r="BS165" s="2552"/>
      <c r="BT165" s="2583"/>
      <c r="BU165" s="19"/>
      <c r="BV165" s="35"/>
      <c r="BW165" s="351" t="s">
        <v>351</v>
      </c>
      <c r="BX165" s="350" t="str">
        <f>CB165</f>
        <v/>
      </c>
      <c r="BY165" s="349" t="str">
        <f>CC165</f>
        <v/>
      </c>
      <c r="BZ165" s="348"/>
      <c r="CA165" s="345"/>
      <c r="CB165" s="344" t="str">
        <f>IF(OR([6]Top!$BD$72&lt;&gt;"要",C161=""),"",IF(J161&gt;=4,1+INT(BZ162*0.47),1+INT(BZ162*0.47)))</f>
        <v/>
      </c>
      <c r="CC165" s="347" t="str">
        <f>IF(OR([6]Top!$BD$72&lt;&gt;"要",C161=""),"",IF(J161&gt;=4,1+INT(CA162*0.47),1+INT(CA162*0.47)))</f>
        <v/>
      </c>
      <c r="CD165" s="346"/>
      <c r="CE165" s="345"/>
      <c r="CF165" s="344">
        <f>IF(AND(AX152&lt;720,J161&lt;4),1+INT(CD162*0.47),1+INT(CD162*0.94))</f>
        <v>1</v>
      </c>
      <c r="CG165" s="343" t="e">
        <f>IF(AND(AX152&lt;720,J161&lt;4),1+INT(CE162*0.47),1+INT(CE162*0.94))</f>
        <v>#VALUE!</v>
      </c>
      <c r="CH165" s="35"/>
      <c r="CI165" s="133" t="str">
        <f>IF(AND(C161&lt;&gt;"",LEFT(C161,2)&lt;&gt;" P"),CI153+F161,"")</f>
        <v/>
      </c>
      <c r="CJ165" s="88" t="s">
        <v>350</v>
      </c>
      <c r="CK165" s="182" t="s">
        <v>349</v>
      </c>
      <c r="CL165" s="342" t="str">
        <f>IF(OR(C161="",C161="  RF"),"",IF(AZ169&lt;&gt;"",AZ161,AZ161+BG161))</f>
        <v/>
      </c>
      <c r="CM165" s="341" t="s">
        <v>348</v>
      </c>
      <c r="CN165" s="219" t="s">
        <v>347</v>
      </c>
      <c r="CO165" s="138" t="str">
        <f>IF(OR(C161="",P160="不要"),"",AZ161*INT(CJ162+CK162)/5)</f>
        <v/>
      </c>
      <c r="CP165" s="151" t="s">
        <v>347</v>
      </c>
      <c r="CQ165" s="340" t="str">
        <f>IF(AQ160="天井ケーブル",F161,CO165)</f>
        <v/>
      </c>
      <c r="CR165" s="339">
        <f>SUM(CS165:CX165)</f>
        <v>6</v>
      </c>
      <c r="CS165" s="338" t="str">
        <f>AZ161</f>
        <v/>
      </c>
      <c r="CT165" s="338">
        <f>IF(BA161="",0,BA161)</f>
        <v>0</v>
      </c>
      <c r="CU165" s="88">
        <v>1</v>
      </c>
      <c r="CV165" s="222">
        <v>1</v>
      </c>
      <c r="CW165" s="222">
        <v>2</v>
      </c>
      <c r="CX165" s="222">
        <v>2</v>
      </c>
      <c r="CY165" s="337" t="str">
        <f>IF(CK160="=",3*BR161+2,"")</f>
        <v/>
      </c>
      <c r="CZ165" s="218"/>
      <c r="DA165" s="8"/>
      <c r="DB165" s="197">
        <f t="shared" si="49"/>
        <v>10</v>
      </c>
      <c r="DC165" s="197" t="str">
        <f t="shared" si="50"/>
        <v/>
      </c>
      <c r="DD165" s="201" t="str">
        <f>G166</f>
        <v/>
      </c>
      <c r="DE165" s="8"/>
      <c r="DF165" s="8"/>
      <c r="DG165" s="8"/>
      <c r="DH165" s="8" t="str">
        <f>IF(COUNTIF($DD$15:DD164,DD165)&gt;0,"",DD165)</f>
        <v/>
      </c>
      <c r="DI165" s="252" t="str">
        <f>O166</f>
        <v/>
      </c>
      <c r="DJ165" s="32">
        <f t="shared" si="57"/>
        <v>0</v>
      </c>
      <c r="DK165" s="197">
        <f t="shared" si="58"/>
        <v>4</v>
      </c>
      <c r="DL165" s="197" t="str">
        <f t="shared" si="59"/>
        <v/>
      </c>
      <c r="DM165" s="11" t="str">
        <f>IF(AN166="","",AG166)</f>
        <v/>
      </c>
      <c r="DN165" s="11"/>
      <c r="DO165" s="11"/>
      <c r="DP165" s="9"/>
      <c r="DQ165" s="9" t="str">
        <f>IF(COUNTIF($DM$15:DM164,DM165)&gt;0,"",DM165)</f>
        <v/>
      </c>
      <c r="DR165" s="101" t="str">
        <f>AN166</f>
        <v/>
      </c>
      <c r="DS165" s="32">
        <f t="shared" si="60"/>
        <v>8</v>
      </c>
      <c r="DT165" s="8"/>
      <c r="DU165" s="197">
        <f t="shared" si="53"/>
        <v>4</v>
      </c>
      <c r="DV165" s="197" t="str">
        <f t="shared" si="54"/>
        <v/>
      </c>
      <c r="DW165" s="201" t="str">
        <f>T165</f>
        <v/>
      </c>
      <c r="DX165" s="8"/>
      <c r="DY165" s="8"/>
      <c r="DZ165" s="8"/>
      <c r="EA165" s="8" t="str">
        <f>IF(COUNTIF($DW$15:DW164,DW165)&gt;0,"",DW165)</f>
        <v/>
      </c>
      <c r="EB165" s="197" t="str">
        <f>AB165</f>
        <v/>
      </c>
      <c r="EC165" s="32">
        <f>SUMIF($DW$17:$DW$184,EA165,$EB$17:$EB$184)</f>
        <v>0</v>
      </c>
    </row>
    <row r="166" spans="1:133" ht="11.25" customHeight="1" thickBot="1">
      <c r="A166" s="15"/>
      <c r="B166" s="23"/>
      <c r="C166" s="2570"/>
      <c r="D166" s="2571"/>
      <c r="E166" s="2571"/>
      <c r="F166" s="2571"/>
      <c r="G166" s="2554" t="str">
        <f>IF(OR($B$2=0,P160="不要"),"",IF(CR166=0,"",IF(OR(C161="",P160="不要"),"",IF(CR166&lt;10,"FCPEV 1.2-5Pr",IF(CR166&lt;20,"FCPEV 1.2- 10Pr",IF(CR166&lt;30,"FCPEV 1.2- 15Pr",IF(CR166&lt;40,"FCPEV 1.2- 20Pr",IF(CR166&lt;60,"FCPEV 1.2- 30Pr",IF(CR166&lt;100,"FCPEV 1.2- 50Pr",IF(CR166&lt;140,"FCPEV 1.2- 70Pr",IF(CR166&lt;200,"FCPEV 1.2-100Pr","FCPEV 1.2-200Pr")))))))))))</f>
        <v/>
      </c>
      <c r="H166" s="2555"/>
      <c r="I166" s="2555"/>
      <c r="J166" s="2555"/>
      <c r="K166" s="2555"/>
      <c r="L166" s="2555"/>
      <c r="M166" s="2555"/>
      <c r="N166" s="2555"/>
      <c r="O166" s="2555" t="str">
        <f>IF(OR(G166="",C161="",P160="不要"),"",CO165)</f>
        <v/>
      </c>
      <c r="P166" s="2555"/>
      <c r="Q166" s="2555"/>
      <c r="R166" s="2555"/>
      <c r="S166" s="2555"/>
      <c r="T166" s="2555" t="str">
        <f>IF(OR(G166="",C161="",P160="不要"),"",IF(AQ160="天井ケーブル","C-"&amp;CO166&amp;"mm",IF(MID(AQ160,4,2)="PF","PF-"&amp;CN166&amp;"mm",IF(MID(AQ160,4,2)="CD","CD-"&amp;CN166&amp;"mm",IF(MID(AQ160,4,2)="C ","C-"&amp;CO166&amp;"mm",IF(MID(AQ160,4,2)="G ","G-"&amp;CN166&amp;"mm"))))))</f>
        <v/>
      </c>
      <c r="U166" s="2555"/>
      <c r="V166" s="2555"/>
      <c r="W166" s="2555"/>
      <c r="X166" s="2555"/>
      <c r="Y166" s="2555"/>
      <c r="Z166" s="2555"/>
      <c r="AA166" s="2555"/>
      <c r="AB166" s="2555" t="str">
        <f>IF(OR(G166="",P160="不要"),"",CQ165)</f>
        <v/>
      </c>
      <c r="AC166" s="2555"/>
      <c r="AD166" s="2555"/>
      <c r="AE166" s="2555"/>
      <c r="AF166" s="2555"/>
      <c r="AG166" s="2556" t="str">
        <f>IF($B$2=0,"","定温SP1種Exp")</f>
        <v>定温SP1種Exp</v>
      </c>
      <c r="AH166" s="2556"/>
      <c r="AI166" s="2556"/>
      <c r="AJ166" s="2556"/>
      <c r="AK166" s="2556"/>
      <c r="AL166" s="2556"/>
      <c r="AM166" s="2556"/>
      <c r="AN166" s="2335" t="str">
        <f>IF(AQ166&lt;&gt;"",AQ166,"")</f>
        <v/>
      </c>
      <c r="AO166" s="2335"/>
      <c r="AP166" s="2335"/>
      <c r="AQ166" s="2566"/>
      <c r="AR166" s="2566"/>
      <c r="AS166" s="2567"/>
      <c r="AT166" s="2586" t="str">
        <f>IF(C161="","","盤位置")</f>
        <v/>
      </c>
      <c r="AU166" s="2587"/>
      <c r="AV166" s="2587"/>
      <c r="AW166" s="2587"/>
      <c r="AX166" s="2588" t="str">
        <f>非誘!V124</f>
        <v/>
      </c>
      <c r="AY166" s="2588"/>
      <c r="AZ166" s="2588"/>
      <c r="BA166" s="2559" t="str">
        <f>IF(C161="","","専部屋面積")</f>
        <v/>
      </c>
      <c r="BB166" s="2560"/>
      <c r="BC166" s="2560"/>
      <c r="BD166" s="2560"/>
      <c r="BE166" s="2560"/>
      <c r="BF166" s="2561"/>
      <c r="BG166" s="2562" t="str">
        <f>IF(OR(C161="",S161=""),"",S161/AA161)</f>
        <v/>
      </c>
      <c r="BH166" s="2563"/>
      <c r="BI166" s="2563"/>
      <c r="BJ166" s="2564"/>
      <c r="BK166" s="2559" t="str">
        <f>IF(C161="","","共部屋面積")</f>
        <v/>
      </c>
      <c r="BL166" s="2560"/>
      <c r="BM166" s="2560"/>
      <c r="BN166" s="2560"/>
      <c r="BO166" s="2560"/>
      <c r="BP166" s="2561"/>
      <c r="BQ166" s="2562" t="str">
        <f>IF(OR($B$2=0,C161=""),"",W161/AD161)</f>
        <v/>
      </c>
      <c r="BR166" s="2563"/>
      <c r="BS166" s="2563"/>
      <c r="BT166" s="2565"/>
      <c r="BU166" s="19"/>
      <c r="BV166" s="35"/>
      <c r="BW166" s="99"/>
      <c r="BX166" s="35"/>
      <c r="BY166" s="35"/>
      <c r="BZ166" s="35"/>
      <c r="CA166" s="35"/>
      <c r="CB166" s="35"/>
      <c r="CC166" s="35"/>
      <c r="CD166" s="35"/>
      <c r="CE166" s="35"/>
      <c r="CF166" s="35"/>
      <c r="CG166" s="35"/>
      <c r="CH166" s="35"/>
      <c r="CI166" s="8"/>
      <c r="CJ166" s="8"/>
      <c r="CK166" s="8"/>
      <c r="CL166" s="336" t="str">
        <f>IF(OR(RIGHT(G165,3)="5Pr",RIGHT(G165,4)="10Pr",RIGHT(G165,4)="15Pr"),"28",IF(OR(RIGHT(G165,4)="20Pr",RIGHT(G165,4)="30Pr"),"36",IF(OR(RIGHT(G165,4)="50Pr",RIGHT(G165,4)="70Pr"),"42","")))</f>
        <v/>
      </c>
      <c r="CM166" s="336" t="str">
        <f>IF(OR(RIGHT(G165,3)="5Pr",RIGHT(G165,4)="10Pr",RIGHT(G165,4)="15Pr"),"31",IF(OR(RIGHT(G165,4)="20Pr",RIGHT(G165,4)="30Pr"),"39",IF(OR(RIGHT(G165,4)="50Pr",RIGHT(G165,4)="70Pr"),"51","")))</f>
        <v/>
      </c>
      <c r="CN166" s="86" t="str">
        <f>IF(OR(RIGHT(G166,3)="5Pr",RIGHT(G166,4)="10Pr",RIGHT(G166,4)="15Pr"),"28",IF(OR(RIGHT(G166,4)="20Pr",RIGHT(G166,4)="30Pr"),"36",IF(OR(RIGHT(G166,4)="50Pr",RIGHT(G166,4)="70Pr"),"42","")))</f>
        <v/>
      </c>
      <c r="CO166" s="86" t="str">
        <f>IF(OR(RIGHT(G166,3)="5Pr",RIGHT(G166,4)="10Pr",RIGHT(G166,4)="15Pr"),"31",IF(OR(RIGHT(G166,4)="20Pr",RIGHT(G166,4)="30Pr"),"39",IF(OR(RIGHT(G166,4)="50Pr",RIGHT(G166,4)="70Pr"),"51","")))</f>
        <v/>
      </c>
      <c r="CP166" s="9"/>
      <c r="CQ166" s="9"/>
      <c r="CR166" s="335">
        <f>IF(P160="不要","",SUM(CS166:CX166))</f>
        <v>0</v>
      </c>
      <c r="CS166" s="334">
        <f>IF(OR(CK160="",CK160="=",P160="不要"),0,IF(CK160="－",CL165+CS158,IF(CK160="+",CL165+CS174)))</f>
        <v>0</v>
      </c>
      <c r="CT166" s="188">
        <f>IF(OR(CK160="",CK160="=",P160="不要"),0,IF(CS166&lt;7,1,IF(CS166&lt;14,2,IF(CS166&lt;21,3,IF(CS166&lt;28,4,IF(CS166&lt;35,5,IF(CS166&lt;42,6,IF(CS166&lt;49,7,IF(CS166&lt;56,8,IF(CS166&lt;63,9,IF(CS166&lt;70,10,IF(CS166&lt;77,11,"---"))))))))))))</f>
        <v>0</v>
      </c>
      <c r="CU166" s="188">
        <f>IF(CS166=0,0,1)</f>
        <v>0</v>
      </c>
      <c r="CV166" s="333">
        <f>IF(CS166=0,0,1)</f>
        <v>0</v>
      </c>
      <c r="CW166" s="333">
        <f>IF(CS166=0,0,2)</f>
        <v>0</v>
      </c>
      <c r="CX166" s="333">
        <f>IF(CS166=0,0,2)</f>
        <v>0</v>
      </c>
      <c r="CY166" s="332">
        <f>IF(OR(BR169="",P160="不要"),0,IF(CK160="=",0,IF(CK160="－",2*BR161+3,IF(CK160="+",2*(BR161+BR169)+3,""))))</f>
        <v>0</v>
      </c>
      <c r="CZ166" s="216"/>
      <c r="DA166" s="9"/>
      <c r="DB166" s="127">
        <f t="shared" si="49"/>
        <v>10</v>
      </c>
      <c r="DC166" s="127" t="str">
        <f t="shared" si="50"/>
        <v/>
      </c>
      <c r="DD166" s="11" t="str">
        <f>CR160</f>
        <v>防火区画処理</v>
      </c>
      <c r="DE166" s="9"/>
      <c r="DF166" s="9"/>
      <c r="DG166" s="9"/>
      <c r="DH166" s="9" t="str">
        <f>IF(COUNTIF($DD$15:DD165,DD166)&gt;0,"",DD166)</f>
        <v/>
      </c>
      <c r="DI166" s="242" t="str">
        <f>CU160</f>
        <v/>
      </c>
      <c r="DJ166" s="32">
        <f t="shared" si="57"/>
        <v>0</v>
      </c>
      <c r="DK166" s="127">
        <f t="shared" si="58"/>
        <v>4</v>
      </c>
      <c r="DL166" s="127" t="str">
        <f t="shared" si="59"/>
        <v/>
      </c>
      <c r="DM166" s="11" t="str">
        <f>IF(CY161="","",CV161)</f>
        <v/>
      </c>
      <c r="DN166" s="11"/>
      <c r="DO166" s="11"/>
      <c r="DP166" s="9"/>
      <c r="DQ166" s="9" t="str">
        <f>IF(COUNTIF($DM$15:DM165,DM166)&gt;0,"",DM166)</f>
        <v/>
      </c>
      <c r="DR166" s="101" t="str">
        <f>CY161</f>
        <v/>
      </c>
      <c r="DS166" s="32">
        <f t="shared" si="60"/>
        <v>8</v>
      </c>
      <c r="DT166" s="9"/>
      <c r="DU166" s="197">
        <f t="shared" si="53"/>
        <v>4</v>
      </c>
      <c r="DV166" s="197" t="str">
        <f t="shared" si="54"/>
        <v/>
      </c>
      <c r="DW166" s="201" t="str">
        <f>T166</f>
        <v/>
      </c>
      <c r="DX166" s="8"/>
      <c r="DY166" s="8"/>
      <c r="DZ166" s="8"/>
      <c r="EA166" s="8" t="str">
        <f>IF(COUNTIF($DW$15:DW165,DW166)&gt;0,"",DW166)</f>
        <v/>
      </c>
      <c r="EB166" s="197" t="str">
        <f>AB166</f>
        <v/>
      </c>
      <c r="EC166" s="32">
        <f>SUMIF($DW$17:$DW$184,EA166,$EB$17:$EB$184)</f>
        <v>0</v>
      </c>
    </row>
    <row r="167" spans="1:133" ht="7.5" customHeight="1">
      <c r="A167" s="15"/>
      <c r="B167" s="23"/>
      <c r="C167" s="37"/>
      <c r="D167" s="37"/>
      <c r="E167" s="37"/>
      <c r="F167" s="37"/>
      <c r="G167" s="331"/>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157"/>
      <c r="AH167" s="157"/>
      <c r="AI167" s="157"/>
      <c r="AJ167" s="157"/>
      <c r="AK167" s="157"/>
      <c r="AL167" s="157"/>
      <c r="AM167" s="157"/>
      <c r="AN167" s="377"/>
      <c r="AO167" s="377"/>
      <c r="AP167" s="377"/>
      <c r="AQ167" s="37"/>
      <c r="AR167" s="37"/>
      <c r="AS167" s="37"/>
      <c r="AT167" s="157"/>
      <c r="AU167" s="157"/>
      <c r="AV167" s="157"/>
      <c r="AW167" s="157"/>
      <c r="AX167" s="157"/>
      <c r="AY167" s="157"/>
      <c r="AZ167" s="157"/>
      <c r="BA167" s="377"/>
      <c r="BB167" s="377"/>
      <c r="BC167" s="377"/>
      <c r="BD167" s="37"/>
      <c r="BE167" s="37"/>
      <c r="BF167" s="37"/>
      <c r="BG167" s="157"/>
      <c r="BH167" s="157"/>
      <c r="BI167" s="157"/>
      <c r="BJ167" s="157"/>
      <c r="BK167" s="157"/>
      <c r="BL167" s="157"/>
      <c r="BM167" s="157"/>
      <c r="BN167" s="157"/>
      <c r="BO167" s="377"/>
      <c r="BP167" s="377"/>
      <c r="BQ167" s="377"/>
      <c r="BR167" s="37"/>
      <c r="BS167" s="37"/>
      <c r="BT167" s="37"/>
      <c r="BU167" s="19"/>
      <c r="BV167" s="35"/>
      <c r="BW167" s="99"/>
      <c r="BX167" s="35"/>
      <c r="BY167" s="35"/>
      <c r="BZ167" s="35"/>
      <c r="CA167" s="35"/>
      <c r="CB167" s="35"/>
      <c r="CC167" s="35"/>
      <c r="CD167" s="35"/>
      <c r="CE167" s="35"/>
      <c r="CF167" s="35"/>
      <c r="CG167" s="35"/>
      <c r="CH167" s="35"/>
      <c r="CI167" s="199"/>
      <c r="CJ167" s="8"/>
      <c r="CK167" s="8"/>
      <c r="CL167" s="64"/>
      <c r="CM167" s="64"/>
      <c r="CN167" s="64"/>
      <c r="CO167" s="64"/>
      <c r="CP167" s="9"/>
      <c r="CQ167" s="9"/>
      <c r="CR167" s="376"/>
      <c r="CS167" s="375"/>
      <c r="CT167" s="145"/>
      <c r="CU167" s="145"/>
      <c r="CV167" s="127"/>
      <c r="CW167" s="127"/>
      <c r="CX167" s="127"/>
      <c r="CY167" s="9"/>
      <c r="CZ167" s="218"/>
      <c r="DA167" s="9"/>
      <c r="DB167" s="127">
        <f t="shared" si="49"/>
        <v>10</v>
      </c>
      <c r="DC167" s="127" t="str">
        <f t="shared" si="50"/>
        <v/>
      </c>
      <c r="DD167" s="11"/>
      <c r="DE167" s="9"/>
      <c r="DF167" s="9"/>
      <c r="DG167" s="9"/>
      <c r="DH167" s="9"/>
      <c r="DI167" s="242"/>
      <c r="DJ167" s="13"/>
      <c r="DK167" s="127">
        <f t="shared" si="58"/>
        <v>4</v>
      </c>
      <c r="DL167" s="127" t="str">
        <f t="shared" si="59"/>
        <v/>
      </c>
      <c r="DM167" s="11" t="str">
        <f>IF(CY162="","",CV162)</f>
        <v/>
      </c>
      <c r="DN167" s="11"/>
      <c r="DO167" s="11"/>
      <c r="DP167" s="9"/>
      <c r="DQ167" s="9" t="str">
        <f>IF(COUNTIF($DM$15:DM166,DM167)&gt;0,"",DM167)</f>
        <v/>
      </c>
      <c r="DR167" s="101" t="str">
        <f>CY162</f>
        <v/>
      </c>
      <c r="DS167" s="32">
        <f t="shared" si="60"/>
        <v>8</v>
      </c>
      <c r="DT167" s="9"/>
      <c r="DU167" s="8">
        <f t="shared" si="53"/>
        <v>4</v>
      </c>
      <c r="DV167" s="8" t="str">
        <f t="shared" si="54"/>
        <v/>
      </c>
      <c r="DW167" s="8"/>
      <c r="DX167" s="8"/>
      <c r="DY167" s="8"/>
      <c r="DZ167" s="8"/>
      <c r="EA167" s="8"/>
      <c r="EB167" s="8"/>
      <c r="EC167" s="8"/>
    </row>
    <row r="168" spans="1:133" ht="11.25" customHeight="1" thickBot="1">
      <c r="A168" s="374">
        <v>19</v>
      </c>
      <c r="B168" s="23"/>
      <c r="C168" s="2626" t="str">
        <f>非誘!J129</f>
        <v/>
      </c>
      <c r="D168" s="2627"/>
      <c r="E168" s="2628"/>
      <c r="F168" s="2629" t="str">
        <f>非誘!M129</f>
        <v/>
      </c>
      <c r="G168" s="2629"/>
      <c r="H168" s="2629"/>
      <c r="I168" s="2629"/>
      <c r="J168" s="2629"/>
      <c r="K168" s="2629"/>
      <c r="L168" s="2629"/>
      <c r="M168" s="2629"/>
      <c r="N168" s="2629"/>
      <c r="O168" s="2629"/>
      <c r="P168" s="2630" t="str">
        <f>IF(U168="",RIGHT($D$8,2),U168)</f>
        <v>設置</v>
      </c>
      <c r="Q168" s="2630"/>
      <c r="R168" s="2630"/>
      <c r="S168" s="2631"/>
      <c r="T168" s="31" t="s">
        <v>387</v>
      </c>
      <c r="U168" s="2632"/>
      <c r="V168" s="2632"/>
      <c r="W168" s="2632"/>
      <c r="X168" s="2633"/>
      <c r="Y168" s="2634" t="s">
        <v>20</v>
      </c>
      <c r="Z168" s="2634"/>
      <c r="AA168" s="2634"/>
      <c r="AB168" s="2634"/>
      <c r="AC168" s="2634"/>
      <c r="AD168" s="2635" t="str">
        <f>非誘!J130</f>
        <v/>
      </c>
      <c r="AE168" s="2635"/>
      <c r="AF168" s="2635"/>
      <c r="AG168" s="2635"/>
      <c r="AH168" s="2299" t="s">
        <v>135</v>
      </c>
      <c r="AI168" s="2299"/>
      <c r="AJ168" s="2299"/>
      <c r="AK168" s="2299"/>
      <c r="AL168" s="2299"/>
      <c r="AM168" s="2299" t="s">
        <v>366</v>
      </c>
      <c r="AN168" s="2299"/>
      <c r="AO168" s="2299"/>
      <c r="AP168" s="2299"/>
      <c r="AQ168" s="2569" t="str">
        <f>IF(AX168="","天井ケーブル",AX168)</f>
        <v>天井(C 管)</v>
      </c>
      <c r="AR168" s="2569"/>
      <c r="AS168" s="2569"/>
      <c r="AT168" s="2569"/>
      <c r="AU168" s="2569"/>
      <c r="AV168" s="2569"/>
      <c r="AW168" s="175" t="s">
        <v>387</v>
      </c>
      <c r="AX168" s="2338" t="s">
        <v>388</v>
      </c>
      <c r="AY168" s="2338"/>
      <c r="AZ168" s="2338"/>
      <c r="BA168" s="2338"/>
      <c r="BB168" s="2338"/>
      <c r="BC168" s="2338"/>
      <c r="BD168" s="2299" t="s">
        <v>363</v>
      </c>
      <c r="BE168" s="2299"/>
      <c r="BF168" s="2299"/>
      <c r="BG168" s="2299"/>
      <c r="BH168" s="2569" t="str">
        <f>IF(BO168="","天井(C 管)",BO168)</f>
        <v>天井(C 管)</v>
      </c>
      <c r="BI168" s="2569"/>
      <c r="BJ168" s="2569"/>
      <c r="BK168" s="2569"/>
      <c r="BL168" s="2569"/>
      <c r="BM168" s="2569"/>
      <c r="BN168" s="175" t="s">
        <v>387</v>
      </c>
      <c r="BO168" s="2338"/>
      <c r="BP168" s="2338"/>
      <c r="BQ168" s="2338"/>
      <c r="BR168" s="2338"/>
      <c r="BS168" s="2338"/>
      <c r="BT168" s="2622"/>
      <c r="BU168" s="19"/>
      <c r="BV168" s="35"/>
      <c r="BW168" s="99"/>
      <c r="BX168" s="35"/>
      <c r="BY168" s="35"/>
      <c r="BZ168" s="35"/>
      <c r="CA168" s="35"/>
      <c r="CB168" s="35"/>
      <c r="CC168" s="35"/>
      <c r="CD168" s="35"/>
      <c r="CE168" s="35"/>
      <c r="CF168" s="35"/>
      <c r="CG168" s="35"/>
      <c r="CH168" s="35"/>
      <c r="CI168" s="8">
        <v>23</v>
      </c>
      <c r="CJ168" s="97" t="str">
        <f>IF(LEFT(C169,2)=" B",-MID(C169,3,1),IF(C169="  RF","",LEFT(C169,3)))</f>
        <v/>
      </c>
      <c r="CK168" s="10" t="str">
        <f>IF(OR(C169="",C169="  RF"),"",IF(LEFT(C169,1)="P","+",IF($CJ$14&gt;CJ168,"－",IF($CJ$14=CJ168,"=","+"))))</f>
        <v/>
      </c>
      <c r="CL168" s="2601" t="s">
        <v>376</v>
      </c>
      <c r="CM168" s="2601"/>
      <c r="CN168" s="2601"/>
      <c r="CO168" s="2601" t="s">
        <v>375</v>
      </c>
      <c r="CP168" s="2601"/>
      <c r="CQ168" s="2601"/>
      <c r="CR168" s="2589" t="str">
        <f>AG169</f>
        <v>防火区画処理</v>
      </c>
      <c r="CS168" s="2590"/>
      <c r="CT168" s="2591"/>
      <c r="CU168" s="184" t="str">
        <f>AN169</f>
        <v/>
      </c>
      <c r="CV168" s="2589" t="str">
        <f>AG173</f>
        <v>光電式煙2種埋</v>
      </c>
      <c r="CW168" s="2590"/>
      <c r="CX168" s="2591"/>
      <c r="CY168" s="184" t="str">
        <f>AN173</f>
        <v/>
      </c>
      <c r="CZ168" s="216"/>
      <c r="DA168" s="88">
        <v>19</v>
      </c>
      <c r="DB168" s="204">
        <f t="shared" si="49"/>
        <v>10</v>
      </c>
      <c r="DC168" s="155" t="str">
        <f t="shared" si="50"/>
        <v/>
      </c>
      <c r="DD168" s="45"/>
      <c r="DE168" s="45"/>
      <c r="DF168" s="45"/>
      <c r="DG168" s="45"/>
      <c r="DH168" s="45"/>
      <c r="DI168" s="45"/>
      <c r="DJ168" s="45"/>
      <c r="DK168" s="155">
        <f t="shared" si="58"/>
        <v>4</v>
      </c>
      <c r="DL168" s="155" t="str">
        <f t="shared" si="59"/>
        <v/>
      </c>
      <c r="DM168" s="154" t="str">
        <f>IF(CY163="","",CV163)</f>
        <v/>
      </c>
      <c r="DN168" s="154"/>
      <c r="DO168" s="154"/>
      <c r="DP168" s="45"/>
      <c r="DQ168" s="45"/>
      <c r="DR168" s="209"/>
      <c r="DS168" s="230">
        <f>SUMIF($DM$17:$DM$185,DQ168,$DR$17:$DR$185)</f>
        <v>0</v>
      </c>
      <c r="DT168" s="88">
        <v>19</v>
      </c>
      <c r="DU168" s="373">
        <f t="shared" si="53"/>
        <v>4</v>
      </c>
      <c r="DV168" s="45" t="str">
        <f t="shared" si="54"/>
        <v/>
      </c>
      <c r="DW168" s="45"/>
      <c r="DX168" s="45"/>
      <c r="DY168" s="45"/>
      <c r="DZ168" s="45"/>
      <c r="EA168" s="45"/>
      <c r="EB168" s="45"/>
      <c r="EC168" s="45"/>
    </row>
    <row r="169" spans="1:133" ht="11.25" customHeight="1" thickBot="1">
      <c r="A169" s="15">
        <v>48</v>
      </c>
      <c r="B169" s="23"/>
      <c r="C169" s="2602" t="str">
        <f>非誘!C131</f>
        <v/>
      </c>
      <c r="D169" s="2603"/>
      <c r="E169" s="2604"/>
      <c r="F169" s="2605" t="str">
        <f>非誘!F131</f>
        <v/>
      </c>
      <c r="G169" s="2606"/>
      <c r="H169" s="2606"/>
      <c r="I169" s="2607"/>
      <c r="J169" s="2605" t="str">
        <f>非誘!J131</f>
        <v/>
      </c>
      <c r="K169" s="2606"/>
      <c r="L169" s="2606"/>
      <c r="M169" s="2607"/>
      <c r="N169" s="2608" t="str">
        <f>非誘!N131</f>
        <v/>
      </c>
      <c r="O169" s="2609"/>
      <c r="P169" s="2609"/>
      <c r="Q169" s="2609"/>
      <c r="R169" s="2610"/>
      <c r="S169" s="2608" t="str">
        <f>非誘!S131</f>
        <v/>
      </c>
      <c r="T169" s="2609"/>
      <c r="U169" s="2609"/>
      <c r="V169" s="2610"/>
      <c r="W169" s="2608" t="str">
        <f>非誘!W131</f>
        <v/>
      </c>
      <c r="X169" s="2609"/>
      <c r="Y169" s="2609"/>
      <c r="Z169" s="2610"/>
      <c r="AA169" s="2611" t="str">
        <f>非誘!AA131</f>
        <v/>
      </c>
      <c r="AB169" s="2603"/>
      <c r="AC169" s="2604"/>
      <c r="AD169" s="2612" t="str">
        <f>非誘!AD131</f>
        <v/>
      </c>
      <c r="AE169" s="2613"/>
      <c r="AF169" s="2614"/>
      <c r="AG169" s="2615" t="str">
        <f>IF($B$2=0,"","防火区画処理")</f>
        <v>防火区画処理</v>
      </c>
      <c r="AH169" s="2615"/>
      <c r="AI169" s="2615"/>
      <c r="AJ169" s="2615"/>
      <c r="AK169" s="2615"/>
      <c r="AL169" s="2615"/>
      <c r="AM169" s="2615"/>
      <c r="AN169" s="2616" t="str">
        <f>IF(OR($B$2=0,C169="",P168="不要"),"",AZ169+BG169+BR169*2)</f>
        <v/>
      </c>
      <c r="AO169" s="2616"/>
      <c r="AP169" s="2616"/>
      <c r="AQ169" s="2617" t="s">
        <v>374</v>
      </c>
      <c r="AR169" s="2617"/>
      <c r="AS169" s="2617"/>
      <c r="AT169" s="2617"/>
      <c r="AU169" s="2617"/>
      <c r="AV169" s="2618" t="s">
        <v>373</v>
      </c>
      <c r="AW169" s="2618"/>
      <c r="AX169" s="2618"/>
      <c r="AY169" s="2618"/>
      <c r="AZ169" s="2619" t="str">
        <f>IF(OR($B$2=0,C169="",P168="不要"),"",IF(LEFT(C169,1)="P",1+INT(W169/450),INT(S169/450)+1+INT(W169/450)))</f>
        <v/>
      </c>
      <c r="BA169" s="2619"/>
      <c r="BB169" s="2619"/>
      <c r="BC169" s="2618" t="s">
        <v>372</v>
      </c>
      <c r="BD169" s="2618"/>
      <c r="BE169" s="2618"/>
      <c r="BF169" s="2618"/>
      <c r="BG169" s="2619" t="str">
        <f>IF(OR($B$2=0,C169="",P168="不要"),"",1+INT(N169/500))</f>
        <v/>
      </c>
      <c r="BH169" s="2619"/>
      <c r="BI169" s="2619"/>
      <c r="BJ169" s="2617" t="s">
        <v>371</v>
      </c>
      <c r="BK169" s="2617"/>
      <c r="BL169" s="2617"/>
      <c r="BM169" s="2617"/>
      <c r="BN169" s="2617"/>
      <c r="BO169" s="2617"/>
      <c r="BP169" s="2617"/>
      <c r="BQ169" s="2617"/>
      <c r="BR169" s="2620" t="str">
        <f>IF(OR($B$2=0,C169="",P168="不要"),"",1+INT(0.055*N169^0.6))</f>
        <v/>
      </c>
      <c r="BS169" s="2620"/>
      <c r="BT169" s="2621"/>
      <c r="BU169" s="19"/>
      <c r="BV169" s="35"/>
      <c r="BW169" s="99"/>
      <c r="BX169" s="35"/>
      <c r="BY169" s="35"/>
      <c r="BZ169" s="35"/>
      <c r="CA169" s="35"/>
      <c r="CB169" s="35"/>
      <c r="CC169" s="35"/>
      <c r="CD169" s="35"/>
      <c r="CE169" s="35"/>
      <c r="CF169" s="35"/>
      <c r="CG169" s="35"/>
      <c r="CH169" s="35"/>
      <c r="CI169" s="8">
        <v>2</v>
      </c>
      <c r="CJ169" s="88" t="s">
        <v>386</v>
      </c>
      <c r="CK169" s="88" t="s">
        <v>385</v>
      </c>
      <c r="CL169" s="372" t="b">
        <f>IF(C170="","",IF(AX174="①",CJ170+CK170+3,IF(AX174="②",CJ170*5/8+CK170+3,IF(AX174="③",CJ170/2+CK170+3,IF(AX174="④",CJ170+CK170*5/8+3,IF(AX174="⑤",(CJ170+CK170)*5/8+3,IF(AX174="⑥",CJ170/2+CK170*5/8+3,IF(AX174="⑦",CJ170+CK170/2+3,IF(AX174="⑧",CJ170*5/8+CK170/2+3,IF(AX174="⑨",(CJ170+CK170)/2+3))))))))))</f>
        <v>0</v>
      </c>
      <c r="CM169" s="371" t="s">
        <v>384</v>
      </c>
      <c r="CN169" s="371" t="s">
        <v>383</v>
      </c>
      <c r="CO169" s="370"/>
      <c r="CP169" s="371" t="s">
        <v>384</v>
      </c>
      <c r="CQ169" s="370" t="s">
        <v>383</v>
      </c>
      <c r="CR169" s="2589" t="str">
        <f>AG170</f>
        <v>差動SP2種埋</v>
      </c>
      <c r="CS169" s="2590"/>
      <c r="CT169" s="2591"/>
      <c r="CU169" s="184" t="str">
        <f>AN170</f>
        <v/>
      </c>
      <c r="CV169" s="2589" t="str">
        <f>AT172</f>
        <v>HP起動押ボタン</v>
      </c>
      <c r="CW169" s="2590"/>
      <c r="CX169" s="2591"/>
      <c r="CY169" s="184" t="str">
        <f>BA172</f>
        <v/>
      </c>
      <c r="CZ169" s="216"/>
      <c r="DA169" s="8"/>
      <c r="DB169" s="197">
        <f t="shared" si="49"/>
        <v>10</v>
      </c>
      <c r="DC169" s="197" t="str">
        <f t="shared" si="50"/>
        <v/>
      </c>
      <c r="DD169" s="201" t="str">
        <f>G170</f>
        <v/>
      </c>
      <c r="DE169" s="8"/>
      <c r="DF169" s="8"/>
      <c r="DG169" s="8"/>
      <c r="DH169" s="8" t="str">
        <f>IF(COUNTIF($DD$15:DD168,DD169)&gt;0,"",DD169)</f>
        <v/>
      </c>
      <c r="DI169" s="252" t="str">
        <f>O170</f>
        <v/>
      </c>
      <c r="DJ169" s="32">
        <f t="shared" ref="DJ169:DJ174" si="61">SUMIF($DD$17:$DD$184,DH169,$DI$17:$DI$184)</f>
        <v>0</v>
      </c>
      <c r="DK169" s="197">
        <f t="shared" si="58"/>
        <v>4</v>
      </c>
      <c r="DL169" s="197" t="str">
        <f t="shared" si="59"/>
        <v/>
      </c>
      <c r="DM169" s="10" t="str">
        <f>IF(CU169="","",CR169)</f>
        <v/>
      </c>
      <c r="DN169" s="10" t="str">
        <f>CR169</f>
        <v>差動SP2種埋</v>
      </c>
      <c r="DO169" s="10"/>
      <c r="DP169" s="8"/>
      <c r="DQ169" s="8" t="str">
        <f>IF(COUNTIF($DM$15:DM168,DM169)&gt;0,"",DM169)</f>
        <v/>
      </c>
      <c r="DR169" s="200" t="str">
        <f>CU169</f>
        <v/>
      </c>
      <c r="DS169" s="32">
        <f t="shared" ref="DS169:DS175" si="62">SUMIF($DM$17:$DM$184,DQ169,$DR$17:$DR$184)</f>
        <v>8</v>
      </c>
      <c r="DT169" s="8"/>
      <c r="DU169" s="197">
        <f t="shared" si="53"/>
        <v>4</v>
      </c>
      <c r="DV169" s="197" t="str">
        <f t="shared" si="54"/>
        <v/>
      </c>
      <c r="DW169" s="201"/>
      <c r="DX169" s="8"/>
      <c r="DY169" s="8"/>
      <c r="DZ169" s="8"/>
      <c r="EA169" s="8"/>
      <c r="EB169" s="252"/>
      <c r="EC169" s="32"/>
    </row>
    <row r="170" spans="1:133" ht="11.25" customHeight="1">
      <c r="A170" s="15"/>
      <c r="B170" s="23"/>
      <c r="C170" s="2623" t="s">
        <v>366</v>
      </c>
      <c r="D170" s="2624"/>
      <c r="E170" s="2624"/>
      <c r="F170" s="2624"/>
      <c r="G170" s="2625" t="str">
        <f>IF(C169="","","AE 0.9mm-4C")</f>
        <v/>
      </c>
      <c r="H170" s="2625"/>
      <c r="I170" s="2625"/>
      <c r="J170" s="2625"/>
      <c r="K170" s="2625"/>
      <c r="L170" s="2625"/>
      <c r="M170" s="2625"/>
      <c r="N170" s="2625"/>
      <c r="O170" s="2593" t="str">
        <f>IF($B$2=0,"",IF(OR(C169="",P168="不要"),"",ROUND((CM170+CN170),0)))</f>
        <v/>
      </c>
      <c r="P170" s="2593"/>
      <c r="Q170" s="2593"/>
      <c r="R170" s="2593"/>
      <c r="S170" s="2593"/>
      <c r="T170" s="2593" t="str">
        <f>IF(OR($B$2=0,C169="",P168="不要"),"",IF(AQ168="天井ケーブル","C-19mm",IF(MID(AQ168,4,2)="PF","PF-16mm",IF(MID(AQ168,4,2)="CD","CD-16mm",IF(MID(AQ168,4,2)="C ","C-19mm",IF(MID(AQ168,4,2)="G ","G-16mm",""))))))</f>
        <v/>
      </c>
      <c r="U170" s="2593"/>
      <c r="V170" s="2593"/>
      <c r="W170" s="2593"/>
      <c r="X170" s="2593"/>
      <c r="Y170" s="2593"/>
      <c r="Z170" s="2593"/>
      <c r="AA170" s="2593"/>
      <c r="AB170" s="2593" t="str">
        <f>IF(OR($B$2=0,C169="",P168="不要"),"",IF(CQ170="",ROUND(CP170,0),ROUND((CP170+CQ170),0)))</f>
        <v/>
      </c>
      <c r="AC170" s="2593"/>
      <c r="AD170" s="2593"/>
      <c r="AE170" s="2593"/>
      <c r="AF170" s="2593"/>
      <c r="AG170" s="2595" t="str">
        <f>IF($B$2=0,"","差動SP2種埋")</f>
        <v>差動SP2種埋</v>
      </c>
      <c r="AH170" s="2595"/>
      <c r="AI170" s="2595"/>
      <c r="AJ170" s="2595"/>
      <c r="AK170" s="2595"/>
      <c r="AL170" s="2595"/>
      <c r="AM170" s="2595"/>
      <c r="AN170" s="2593" t="str">
        <f>IF(OR(C169="",P168="不要"),"",IF(AQ170&lt;&gt;"",AQ170,IF(AX174="B","",IF(AZ173="無窓","",IF(AND(BL173="耐 火",AZ173="有窓"),BZ170+CA170,CD170+CE170)))))</f>
        <v/>
      </c>
      <c r="AO170" s="2593"/>
      <c r="AP170" s="2593"/>
      <c r="AQ170" s="2594"/>
      <c r="AR170" s="2594"/>
      <c r="AS170" s="2594"/>
      <c r="AT170" s="2595" t="str">
        <f>IF($B$2=0,"","P1総合盤露出")</f>
        <v>P1総合盤露出</v>
      </c>
      <c r="AU170" s="2595"/>
      <c r="AV170" s="2595"/>
      <c r="AW170" s="2595"/>
      <c r="AX170" s="2595"/>
      <c r="AY170" s="2595"/>
      <c r="AZ170" s="2595"/>
      <c r="BA170" s="2593" t="str">
        <f>IF(P168="不要","",IF(BD170&lt;&gt;"",BD170,IF([4]Top!$BD$51="要","",AZ169)))</f>
        <v/>
      </c>
      <c r="BB170" s="2593"/>
      <c r="BC170" s="2593"/>
      <c r="BD170" s="2594"/>
      <c r="BE170" s="2594"/>
      <c r="BF170" s="2594"/>
      <c r="BG170" s="2597" t="str">
        <f>IF($B$2=0,"","ﾗｯﾁ電磁レリーズ")</f>
        <v>ﾗｯﾁ電磁レリーズ</v>
      </c>
      <c r="BH170" s="2597"/>
      <c r="BI170" s="2597"/>
      <c r="BJ170" s="2597"/>
      <c r="BK170" s="2597"/>
      <c r="BL170" s="2597"/>
      <c r="BM170" s="2597"/>
      <c r="BN170" s="2597"/>
      <c r="BO170" s="2593" t="str">
        <f>IF(P168="不要","",IF(BR170&lt;&gt;"",BR170,BR169))</f>
        <v/>
      </c>
      <c r="BP170" s="2593"/>
      <c r="BQ170" s="2593"/>
      <c r="BR170" s="2594"/>
      <c r="BS170" s="2594"/>
      <c r="BT170" s="2596"/>
      <c r="BU170" s="19"/>
      <c r="BV170" s="35"/>
      <c r="BW170" s="351" t="s">
        <v>365</v>
      </c>
      <c r="BX170" s="368"/>
      <c r="BY170" s="369"/>
      <c r="BZ170" s="344">
        <f>IF(AA169="",0,IF(OR([6]Top!$BD$72&lt;&gt;"要",C169=""),"",IF(J169&gt;=4,1+INT(AA169*2.4),1+INT(AA169*1.2))))</f>
        <v>0</v>
      </c>
      <c r="CA170" s="360" t="str">
        <f>IF(OR([6]Top!$BD$72&lt;&gt;"要",C169=""),"",IF(J169&gt;=4,1+INT(AD169*2.4),1+INT(AD169*1.2)))</f>
        <v/>
      </c>
      <c r="CB170" s="368"/>
      <c r="CC170" s="369"/>
      <c r="CD170" s="343">
        <f>IF($AX$8&lt;=500,BZ170*2,1+INT(BZ170*2.5))</f>
        <v>1</v>
      </c>
      <c r="CE170" s="360" t="e">
        <f>IF($AX$8&lt;=500,CA170*2,1+INT(CA170*2.5))</f>
        <v>#VALUE!</v>
      </c>
      <c r="CF170" s="368"/>
      <c r="CG170" s="367"/>
      <c r="CH170" s="35"/>
      <c r="CI170" s="133">
        <f>IF(AZ169&lt;&gt;"",AZ169,0)</f>
        <v>0</v>
      </c>
      <c r="CJ170" s="98">
        <f>非誘!BW131</f>
        <v>0</v>
      </c>
      <c r="CK170" s="98">
        <f>非誘!BX131</f>
        <v>0</v>
      </c>
      <c r="CL170" s="88" t="s">
        <v>364</v>
      </c>
      <c r="CM170" s="185" t="str">
        <f>IF(OR(C169="",C169="  RF"),"",IF(J169="直天",$AN$10/1000+F169-1.2+SQRT(CK171/CM171),$AN$10/1000+J169-1.2+SQRT(CK171/CM171)))</f>
        <v/>
      </c>
      <c r="CN170" s="185" t="str">
        <f>IF(OR(C169="",P168="不要"),"",CL169+CK172*AZ169)</f>
        <v/>
      </c>
      <c r="CO170" s="88" t="s">
        <v>364</v>
      </c>
      <c r="CP170" s="185" t="str">
        <f>IF(OR(C169="",C169="  RF"),"",IF(J169="直天",F169-1.2+SQRT(CK171/CM171),IF(AQ168="天井ケーブル",J169-1.2,J169-1.2+SQRT(CK171/CM171))))</f>
        <v/>
      </c>
      <c r="CQ170" s="356" t="str">
        <f>IF(OR(C169="",C169="  RF"),"",IF(AQ168="天井ケーブル","",(CM171-1)*SQRT(CK171/CM171)))</f>
        <v/>
      </c>
      <c r="CR170" s="2589" t="str">
        <f>AG171</f>
        <v>定温SP1種WP</v>
      </c>
      <c r="CS170" s="2590"/>
      <c r="CT170" s="2591"/>
      <c r="CU170" s="184" t="str">
        <f>AN171</f>
        <v/>
      </c>
      <c r="CV170" s="2589" t="str">
        <f>AT170</f>
        <v>P1総合盤露出</v>
      </c>
      <c r="CW170" s="2590"/>
      <c r="CX170" s="2591"/>
      <c r="CY170" s="184" t="str">
        <f>BA170</f>
        <v/>
      </c>
      <c r="CZ170" s="216"/>
      <c r="DA170" s="8"/>
      <c r="DB170" s="197">
        <f t="shared" si="49"/>
        <v>10</v>
      </c>
      <c r="DC170" s="197" t="str">
        <f t="shared" si="50"/>
        <v/>
      </c>
      <c r="DD170" s="201" t="str">
        <f>G171</f>
        <v/>
      </c>
      <c r="DE170" s="8"/>
      <c r="DF170" s="8"/>
      <c r="DG170" s="8"/>
      <c r="DH170" s="8" t="str">
        <f>IF(COUNTIF($DD$15:DD169,DD170)&gt;0,"",DD170)</f>
        <v/>
      </c>
      <c r="DI170" s="252" t="str">
        <f>O171</f>
        <v/>
      </c>
      <c r="DJ170" s="32">
        <f t="shared" si="61"/>
        <v>0</v>
      </c>
      <c r="DK170" s="197">
        <f t="shared" si="58"/>
        <v>4</v>
      </c>
      <c r="DL170" s="197" t="str">
        <f t="shared" si="59"/>
        <v/>
      </c>
      <c r="DM170" s="10" t="str">
        <f>IF(CU170="","",CR170)</f>
        <v/>
      </c>
      <c r="DN170" s="10" t="str">
        <f>CR170</f>
        <v>定温SP1種WP</v>
      </c>
      <c r="DO170" s="10"/>
      <c r="DP170" s="8"/>
      <c r="DQ170" s="8" t="str">
        <f>IF(COUNTIF($DM$15:DM169,DM170)&gt;0,"",DM170)</f>
        <v/>
      </c>
      <c r="DR170" s="200" t="str">
        <f>CU170</f>
        <v/>
      </c>
      <c r="DS170" s="32">
        <f t="shared" si="62"/>
        <v>8</v>
      </c>
      <c r="DT170" s="8"/>
      <c r="DU170" s="197">
        <f t="shared" si="53"/>
        <v>4</v>
      </c>
      <c r="DV170" s="197" t="str">
        <f t="shared" si="54"/>
        <v/>
      </c>
      <c r="DW170" s="201" t="str">
        <f>T170</f>
        <v/>
      </c>
      <c r="DX170" s="8"/>
      <c r="DY170" s="8"/>
      <c r="DZ170" s="8"/>
      <c r="EA170" s="8" t="str">
        <f>IF(COUNTIF($DW$15:DW169,DW170)&gt;0,"",DW170)</f>
        <v/>
      </c>
      <c r="EB170" s="197" t="str">
        <f>AB170</f>
        <v/>
      </c>
      <c r="EC170" s="32">
        <f>SUMIF($DW$17:$DW$184,EA170,$EB$17:$EB$184)</f>
        <v>0</v>
      </c>
    </row>
    <row r="171" spans="1:133" ht="11.25" customHeight="1" thickBot="1">
      <c r="A171" s="15"/>
      <c r="B171" s="176"/>
      <c r="C171" s="2568" t="s">
        <v>363</v>
      </c>
      <c r="D171" s="2569"/>
      <c r="E171" s="2569"/>
      <c r="F171" s="2569"/>
      <c r="G171" s="2592" t="str">
        <f>IF(C169="","","HP 1.2mm-3C")</f>
        <v/>
      </c>
      <c r="H171" s="2592"/>
      <c r="I171" s="2592"/>
      <c r="J171" s="2592"/>
      <c r="K171" s="2592"/>
      <c r="L171" s="2592"/>
      <c r="M171" s="2592"/>
      <c r="N171" s="2592"/>
      <c r="O171" s="2557" t="str">
        <f>IF($B$2=0,"",IF(OR(C169="",P168="不要"),"",ROUND(CN172,0)))</f>
        <v/>
      </c>
      <c r="P171" s="2557"/>
      <c r="Q171" s="2557"/>
      <c r="R171" s="2557"/>
      <c r="S171" s="2557"/>
      <c r="T171" s="2557" t="str">
        <f>IF(OR($B$2=0,C169="",P168="不要"),"",IF(BH168="天井ケーブル","C-19mm",IF(MID(BH168,4,2)="PF","PF-16mm",IF(MID(BH168,4,2)="CD","CD-16mm",IF(MID(BH168,4,2)="C ","C-19mm",IF(MID(BH168,4,2)="G ","G-16mm",""))))))</f>
        <v/>
      </c>
      <c r="U171" s="2557"/>
      <c r="V171" s="2557"/>
      <c r="W171" s="2557"/>
      <c r="X171" s="2557"/>
      <c r="Y171" s="2557"/>
      <c r="Z171" s="2557"/>
      <c r="AA171" s="2557"/>
      <c r="AB171" s="2557" t="str">
        <f>IF($B$2=0,"",IF(OR(C169="",P168="不要",CQ173=""),"",CQ172+CQ173))</f>
        <v/>
      </c>
      <c r="AC171" s="2557"/>
      <c r="AD171" s="2557"/>
      <c r="AE171" s="2557"/>
      <c r="AF171" s="2557"/>
      <c r="AG171" s="2572" t="str">
        <f>IF($B$2=0,"","定温SP1種WP")</f>
        <v>定温SP1種WP</v>
      </c>
      <c r="AH171" s="2572"/>
      <c r="AI171" s="2572"/>
      <c r="AJ171" s="2572"/>
      <c r="AK171" s="2572"/>
      <c r="AL171" s="2572"/>
      <c r="AM171" s="2572"/>
      <c r="AN171" s="2312" t="str">
        <f>IF(OR($B$2=0,P168="不要"),"",IF(AQ171&lt;&gt;"",AQ171,CA171))</f>
        <v/>
      </c>
      <c r="AO171" s="2312"/>
      <c r="AP171" s="2312"/>
      <c r="AQ171" s="2575"/>
      <c r="AR171" s="2575"/>
      <c r="AS171" s="2575"/>
      <c r="AT171" s="2572" t="str">
        <f>IF($B$2=0,"","P1総合盤埋込")</f>
        <v>P1総合盤埋込</v>
      </c>
      <c r="AU171" s="2572"/>
      <c r="AV171" s="2572"/>
      <c r="AW171" s="2572"/>
      <c r="AX171" s="2572"/>
      <c r="AY171" s="2572"/>
      <c r="AZ171" s="2572"/>
      <c r="BA171" s="2312" t="str">
        <f>IF(P168="不要","",IF(BD171&lt;&gt;"",BD171,IF([4]Top!$BD$51&lt;&gt;"要","",AZ169)))</f>
        <v/>
      </c>
      <c r="BB171" s="2312"/>
      <c r="BC171" s="2312"/>
      <c r="BD171" s="2575"/>
      <c r="BE171" s="2575"/>
      <c r="BF171" s="2575"/>
      <c r="BG171" s="2572" t="str">
        <f>IF($B$2=0,"","ｱｰﾑ電磁レリーズ")</f>
        <v>ｱｰﾑ電磁レリーズ</v>
      </c>
      <c r="BH171" s="2572"/>
      <c r="BI171" s="2572"/>
      <c r="BJ171" s="2572"/>
      <c r="BK171" s="2572"/>
      <c r="BL171" s="2572"/>
      <c r="BM171" s="2572"/>
      <c r="BN171" s="2572"/>
      <c r="BO171" s="2312" t="str">
        <f>IF(P168="不要","",IF(BR171&lt;&gt;"",BR171,BR169))</f>
        <v/>
      </c>
      <c r="BP171" s="2312"/>
      <c r="BQ171" s="2312"/>
      <c r="BR171" s="2575"/>
      <c r="BS171" s="2575"/>
      <c r="BT171" s="2576"/>
      <c r="BU171" s="19"/>
      <c r="BV171" s="35"/>
      <c r="BW171" s="351" t="s">
        <v>362</v>
      </c>
      <c r="BX171" s="348"/>
      <c r="BY171" s="349" t="str">
        <f>CA171</f>
        <v/>
      </c>
      <c r="BZ171" s="366"/>
      <c r="CA171" s="360" t="str">
        <f>IF(C169="","",1+INT(W169/200))</f>
        <v/>
      </c>
      <c r="CB171" s="348"/>
      <c r="CC171" s="359" t="str">
        <f>CA171</f>
        <v/>
      </c>
      <c r="CD171" s="365"/>
      <c r="CE171" s="349" t="str">
        <f>CA171</f>
        <v/>
      </c>
      <c r="CF171" s="348"/>
      <c r="CG171" s="357" t="str">
        <f>CA171</f>
        <v/>
      </c>
      <c r="CH171" s="35"/>
      <c r="CI171" s="133">
        <f>IF(BG169&lt;&gt;"",BG169,0)</f>
        <v>0</v>
      </c>
      <c r="CJ171" s="88" t="s">
        <v>361</v>
      </c>
      <c r="CK171" s="107" t="str">
        <f>N169</f>
        <v/>
      </c>
      <c r="CL171" s="88" t="s">
        <v>360</v>
      </c>
      <c r="CM171" s="185">
        <f>SUM(AN170:AP174)</f>
        <v>0</v>
      </c>
      <c r="CN171" s="364"/>
      <c r="CO171" s="168"/>
      <c r="CP171" s="363"/>
      <c r="CQ171" s="150"/>
      <c r="CR171" s="2598" t="str">
        <f>AG172</f>
        <v>補償SP2種</v>
      </c>
      <c r="CS171" s="2599"/>
      <c r="CT171" s="2600"/>
      <c r="CU171" s="362" t="str">
        <f>AN172</f>
        <v/>
      </c>
      <c r="CV171" s="2598" t="str">
        <f>AT171</f>
        <v>P1総合盤埋込</v>
      </c>
      <c r="CW171" s="2599"/>
      <c r="CX171" s="2600"/>
      <c r="CY171" s="362" t="str">
        <f>BA171</f>
        <v/>
      </c>
      <c r="CZ171" s="216"/>
      <c r="DA171" s="8"/>
      <c r="DB171" s="197">
        <f t="shared" si="49"/>
        <v>10</v>
      </c>
      <c r="DC171" s="197" t="str">
        <f t="shared" si="50"/>
        <v/>
      </c>
      <c r="DD171" s="201" t="str">
        <f>G172</f>
        <v/>
      </c>
      <c r="DE171" s="8"/>
      <c r="DF171" s="8"/>
      <c r="DG171" s="8"/>
      <c r="DH171" s="8" t="str">
        <f>IF(COUNTIF($DD$15:DD170,DD171)&gt;0,"",DD171)</f>
        <v/>
      </c>
      <c r="DI171" s="252" t="str">
        <f>O172</f>
        <v/>
      </c>
      <c r="DJ171" s="32">
        <f t="shared" si="61"/>
        <v>0</v>
      </c>
      <c r="DK171" s="197">
        <f t="shared" si="58"/>
        <v>4</v>
      </c>
      <c r="DL171" s="197" t="str">
        <f t="shared" si="59"/>
        <v/>
      </c>
      <c r="DM171" s="10" t="str">
        <f>IF(CU171="","",CR171)</f>
        <v/>
      </c>
      <c r="DN171" s="10" t="str">
        <f>CR171</f>
        <v>補償SP2種</v>
      </c>
      <c r="DO171" s="10"/>
      <c r="DP171" s="8"/>
      <c r="DQ171" s="8" t="str">
        <f>IF(COUNTIF($DM$15:DM170,DM171)&gt;0,"",DM171)</f>
        <v/>
      </c>
      <c r="DR171" s="200" t="str">
        <f>CU171</f>
        <v/>
      </c>
      <c r="DS171" s="32">
        <f t="shared" si="62"/>
        <v>8</v>
      </c>
      <c r="DT171" s="8"/>
      <c r="DU171" s="197">
        <f t="shared" si="53"/>
        <v>4</v>
      </c>
      <c r="DV171" s="197" t="str">
        <f t="shared" si="54"/>
        <v/>
      </c>
      <c r="DW171" s="201" t="str">
        <f>T171</f>
        <v/>
      </c>
      <c r="DX171" s="8"/>
      <c r="DY171" s="8"/>
      <c r="DZ171" s="8"/>
      <c r="EA171" s="8" t="str">
        <f>IF(COUNTIF($DW$15:DW170,DW171)&gt;0,"",DW171)</f>
        <v/>
      </c>
      <c r="EB171" s="197" t="str">
        <f>AB171</f>
        <v/>
      </c>
      <c r="EC171" s="32">
        <f>SUMIF($DW$17:$DW$184,EA171,$EB$17:$EB$184)</f>
        <v>0</v>
      </c>
    </row>
    <row r="172" spans="1:133" ht="11.25" customHeight="1" thickBot="1">
      <c r="A172" s="15"/>
      <c r="B172" s="23"/>
      <c r="C172" s="2568"/>
      <c r="D172" s="2569"/>
      <c r="E172" s="2569"/>
      <c r="F172" s="2569"/>
      <c r="G172" s="2584" t="str">
        <f>IF(C169="","","HP 1.2mm-5C")</f>
        <v/>
      </c>
      <c r="H172" s="2584"/>
      <c r="I172" s="2584"/>
      <c r="J172" s="2584"/>
      <c r="K172" s="2584"/>
      <c r="L172" s="2584"/>
      <c r="M172" s="2584"/>
      <c r="N172" s="2584"/>
      <c r="O172" s="2585" t="str">
        <f>IF($B$2=0,"",IF(OR(C169="",P168="不要"),"",ROUND(CM172,0)))</f>
        <v/>
      </c>
      <c r="P172" s="2585"/>
      <c r="Q172" s="2585"/>
      <c r="R172" s="2585"/>
      <c r="S172" s="2585"/>
      <c r="T172" s="2585" t="str">
        <f>IF(OR($B$2=0,C169="",P168="不要"),"",IF(BH168="天井ケーブル","C-25mm",IF(MID(BH168,4,2)="PF","PF-22mm",IF(MID(BH168,4,2)="CD","CD-22mm",IF(MID(BH168,4,2)="C ","C-25mm",IF(MID(BH168,4,2)="G ","G-22mm",""))))))</f>
        <v/>
      </c>
      <c r="U172" s="2585"/>
      <c r="V172" s="2585"/>
      <c r="W172" s="2585"/>
      <c r="X172" s="2585"/>
      <c r="Y172" s="2585"/>
      <c r="Z172" s="2585"/>
      <c r="AA172" s="2585"/>
      <c r="AB172" s="2585" t="str">
        <f>IF(OR($B$2=0,C169="",P168="不要"),"",CP172)</f>
        <v/>
      </c>
      <c r="AC172" s="2585"/>
      <c r="AD172" s="2585"/>
      <c r="AE172" s="2585"/>
      <c r="AF172" s="2585"/>
      <c r="AG172" s="2572" t="str">
        <f>IF($B$2=0,"","補償SP2種")</f>
        <v>補償SP2種</v>
      </c>
      <c r="AH172" s="2572"/>
      <c r="AI172" s="2572"/>
      <c r="AJ172" s="2572"/>
      <c r="AK172" s="2572"/>
      <c r="AL172" s="2572"/>
      <c r="AM172" s="2572"/>
      <c r="AN172" s="2312" t="str">
        <f>IF(OR($B$2=0,P168="不要"),"",IF(AQ172&lt;&gt;"",AQ172,CA172))</f>
        <v/>
      </c>
      <c r="AO172" s="2312"/>
      <c r="AP172" s="2312"/>
      <c r="AQ172" s="2575"/>
      <c r="AR172" s="2575"/>
      <c r="AS172" s="2575"/>
      <c r="AT172" s="2546" t="str">
        <f>IF($B$2=0,"","HP起動押ボタン")</f>
        <v>HP起動押ボタン</v>
      </c>
      <c r="AU172" s="2546"/>
      <c r="AV172" s="2546"/>
      <c r="AW172" s="2546"/>
      <c r="AX172" s="2546"/>
      <c r="AY172" s="2546"/>
      <c r="AZ172" s="2546"/>
      <c r="BA172" s="2544" t="str">
        <f>IF(P168="不要","",IF(BD172&lt;&gt;"",BD172,IF([4]Top!$BL$51="要",AZ169,"")))</f>
        <v/>
      </c>
      <c r="BB172" s="2544"/>
      <c r="BC172" s="2544"/>
      <c r="BD172" s="2573"/>
      <c r="BE172" s="2573"/>
      <c r="BF172" s="2573"/>
      <c r="BG172" s="2546" t="str">
        <f>IF($B$2=0,"","光電式煙3種埋")</f>
        <v>光電式煙3種埋</v>
      </c>
      <c r="BH172" s="2546"/>
      <c r="BI172" s="2546"/>
      <c r="BJ172" s="2546"/>
      <c r="BK172" s="2546"/>
      <c r="BL172" s="2546"/>
      <c r="BM172" s="2546"/>
      <c r="BN172" s="2546"/>
      <c r="BO172" s="2544" t="str">
        <f>IF(OR($B$2=0,C169="",P168="不要"),"",IF(BR172&lt;&gt;"",BR172,2*BR169))</f>
        <v/>
      </c>
      <c r="BP172" s="2544"/>
      <c r="BQ172" s="2544"/>
      <c r="BR172" s="2573"/>
      <c r="BS172" s="2573"/>
      <c r="BT172" s="2574"/>
      <c r="BU172" s="19"/>
      <c r="BV172" s="35"/>
      <c r="BW172" s="351" t="s">
        <v>359</v>
      </c>
      <c r="BX172" s="361"/>
      <c r="BY172" s="349" t="str">
        <f>CA172</f>
        <v/>
      </c>
      <c r="BZ172" s="348"/>
      <c r="CA172" s="360" t="str">
        <f>IF(C169="","",1+INT(W169/200))</f>
        <v/>
      </c>
      <c r="CB172" s="358"/>
      <c r="CC172" s="359" t="str">
        <f>CA172</f>
        <v/>
      </c>
      <c r="CD172" s="346"/>
      <c r="CE172" s="349" t="str">
        <f>CA172</f>
        <v/>
      </c>
      <c r="CF172" s="358"/>
      <c r="CG172" s="357" t="str">
        <f>CA172</f>
        <v/>
      </c>
      <c r="CH172" s="35"/>
      <c r="CI172" s="133">
        <f>IF(BR169&lt;&gt;"",BR169,0)</f>
        <v>0</v>
      </c>
      <c r="CJ172" s="88" t="s">
        <v>121</v>
      </c>
      <c r="CK172" s="187" t="str">
        <f>IF(OR(C169="",C169="  RF"),"",IF($AX$8=0,0,2*($AX$8/1000-0.15-0.1)*(INT(1000*CJ170/$BF$8)+1)*(INT(1000*CK170/$BF$8)+1)*4))</f>
        <v/>
      </c>
      <c r="CL172" s="187" t="s">
        <v>358</v>
      </c>
      <c r="CM172" s="139" t="str">
        <f>IF(OR(C169="",C169="  RF"),"",IF(J169="直天",$AN$8/1000+F169-1.2+CJ170+CK170/2,$AN$8/1000+J169-1.2+CJ170+CK170/2))</f>
        <v/>
      </c>
      <c r="CN172" s="136" t="str">
        <f>IF(OR(C169="",C169="  RF"),"",IF(J169="直天",F169-$Y$8/1000+F169-$Y$9/1000+2*8+($AN$7+2*$AN$9)/1000,J169-$Y$8/1000+J169-$Y$9/1000+2*8+($AN$7+2*$AN$9)/1000))</f>
        <v/>
      </c>
      <c r="CO172" s="151" t="s">
        <v>358</v>
      </c>
      <c r="CP172" s="185" t="str">
        <f>IF(OR(C169="",C169="  RF"),"",IF(J169="直天",F169-1.2+CJ170+CK170/2,IF(AQ168="天井ケーブル",J169-1.2,J169-1.2+CJ170+CK170/2)))</f>
        <v/>
      </c>
      <c r="CQ172" s="356" t="str">
        <f>IF(OR(C169="",C169="  RF"),"",IF(J169="直天",F169-$Y$8/1000+F169-$Y$9/1000+2*8,IF(BH168="天井ケーブル",J169-$Y$8/1000+J169-$Y$9/1000,J169-$Y$8/1000+J169-$Y$9/1000+2*8)))</f>
        <v/>
      </c>
      <c r="CR172" s="355" t="s">
        <v>87</v>
      </c>
      <c r="CS172" s="336" t="s">
        <v>382</v>
      </c>
      <c r="CT172" s="336" t="s">
        <v>76</v>
      </c>
      <c r="CU172" s="192" t="s">
        <v>381</v>
      </c>
      <c r="CV172" s="336" t="s">
        <v>380</v>
      </c>
      <c r="CW172" s="336" t="s">
        <v>379</v>
      </c>
      <c r="CX172" s="336" t="s">
        <v>378</v>
      </c>
      <c r="CY172" s="354" t="s">
        <v>377</v>
      </c>
      <c r="CZ172" s="216"/>
      <c r="DA172" s="8"/>
      <c r="DB172" s="197">
        <f t="shared" si="49"/>
        <v>10</v>
      </c>
      <c r="DC172" s="197" t="str">
        <f t="shared" si="50"/>
        <v/>
      </c>
      <c r="DD172" s="201" t="str">
        <f>G173</f>
        <v/>
      </c>
      <c r="DE172" s="8"/>
      <c r="DF172" s="8"/>
      <c r="DG172" s="8"/>
      <c r="DH172" s="8" t="str">
        <f>IF(COUNTIF($DD$15:DD171,DD172)&gt;0,"",DD172)</f>
        <v/>
      </c>
      <c r="DI172" s="252" t="str">
        <f>O173</f>
        <v/>
      </c>
      <c r="DJ172" s="32">
        <f t="shared" si="61"/>
        <v>0</v>
      </c>
      <c r="DK172" s="197">
        <f t="shared" si="58"/>
        <v>4</v>
      </c>
      <c r="DL172" s="197" t="str">
        <f t="shared" si="59"/>
        <v/>
      </c>
      <c r="DM172" s="11" t="str">
        <f>IF(CY168="","",CV168)</f>
        <v/>
      </c>
      <c r="DN172" s="11"/>
      <c r="DO172" s="11"/>
      <c r="DP172" s="9"/>
      <c r="DQ172" s="9" t="str">
        <f>IF(COUNTIF($DM$15:DM171,DM172)&gt;0,"",DM172)</f>
        <v/>
      </c>
      <c r="DR172" s="200" t="str">
        <f>CY168</f>
        <v/>
      </c>
      <c r="DS172" s="32">
        <f t="shared" si="62"/>
        <v>8</v>
      </c>
      <c r="DT172" s="8"/>
      <c r="DU172" s="197">
        <f t="shared" si="53"/>
        <v>4</v>
      </c>
      <c r="DV172" s="197" t="str">
        <f t="shared" si="54"/>
        <v/>
      </c>
      <c r="DW172" s="201" t="str">
        <f>T172</f>
        <v/>
      </c>
      <c r="DX172" s="8"/>
      <c r="DY172" s="8"/>
      <c r="DZ172" s="8"/>
      <c r="EA172" s="8" t="str">
        <f>IF(COUNTIF($DW$15:DW171,DW172)&gt;0,"",DW172)</f>
        <v/>
      </c>
      <c r="EB172" s="197" t="str">
        <f>AB172</f>
        <v/>
      </c>
      <c r="EC172" s="32">
        <f>SUMIF($DW$17:$DW$184,EA172,$EB$17:$EB$184)</f>
        <v>0</v>
      </c>
    </row>
    <row r="173" spans="1:133" ht="11.25" customHeight="1" thickBot="1">
      <c r="A173" s="15"/>
      <c r="B173" s="23"/>
      <c r="C173" s="2568" t="s">
        <v>352</v>
      </c>
      <c r="D173" s="2569"/>
      <c r="E173" s="2569"/>
      <c r="F173" s="2569"/>
      <c r="G173" s="2557" t="str">
        <f>IF(OR($B$2=0,C169="",P168="不要"),"",IF(CR173&lt;10,"FCPEV 0.9-5Pr",IF(CR173&lt;20,"FCPEV 0.9- 10Pr",IF(CR173&lt;30,"FCPEV 0.9- 15Pr",IF(CR173&lt;40,"FCPEV 0.9- 20Pr","")))))</f>
        <v/>
      </c>
      <c r="H173" s="2557"/>
      <c r="I173" s="2557"/>
      <c r="J173" s="2557"/>
      <c r="K173" s="2557"/>
      <c r="L173" s="2557"/>
      <c r="M173" s="2557"/>
      <c r="N173" s="2557"/>
      <c r="O173" s="2557" t="str">
        <f>IF(OR(C169="",P168="不要",G173=""),"",INT(AZ169*(CJ170+CK170)/4))</f>
        <v/>
      </c>
      <c r="P173" s="2557"/>
      <c r="Q173" s="2557"/>
      <c r="R173" s="2557"/>
      <c r="S173" s="2557"/>
      <c r="T173" s="2558" t="str">
        <f>IF(OR(C169="",P168="不要",G173=""),"",IF(AQ168="天井ケーブル","C-"&amp;CM174&amp;"mm",IF(MID(AQ168,4,2)="PF","PF-"&amp;CL174&amp;"mm",IF(MID(AQ168,4,2)="CD","CD-"&amp;CL174&amp;"mm",IF(MID(AQ168,4,2)="C ","C-"&amp;CM174&amp;"mm",IF(MID(AQ168,4,2)="G ","G-"&amp;CL174&amp;"mm"))))))</f>
        <v/>
      </c>
      <c r="U173" s="2557"/>
      <c r="V173" s="2557"/>
      <c r="W173" s="2557"/>
      <c r="X173" s="2557"/>
      <c r="Y173" s="2557"/>
      <c r="Z173" s="2557"/>
      <c r="AA173" s="2557"/>
      <c r="AB173" s="2557" t="str">
        <f>IF(OR(C169="",P168="不要",G173=""),"",IF(AQ168="天井ケーブル",2*AZ169*(F169-$Y$7/1000),O173*0.9))</f>
        <v/>
      </c>
      <c r="AC173" s="2557"/>
      <c r="AD173" s="2557"/>
      <c r="AE173" s="2557"/>
      <c r="AF173" s="2557"/>
      <c r="AG173" s="2572" t="str">
        <f>IF($B$2=0,"","光電式煙2種埋")</f>
        <v>光電式煙2種埋</v>
      </c>
      <c r="AH173" s="2572"/>
      <c r="AI173" s="2572"/>
      <c r="AJ173" s="2572"/>
      <c r="AK173" s="2572"/>
      <c r="AL173" s="2572"/>
      <c r="AM173" s="2572"/>
      <c r="AN173" s="2312" t="str">
        <f>IF(OR(C169="",$B$2=0,P168="不要"),"",IF(AQ173&lt;&gt;"",AQ173,IF(AX174="B",BX173+BY173,IF(AND(BL173="耐 火",AZ173="無窓"),CB173+CC173,IF(AND(BL173&lt;&gt;"耐 火",AZ173="無窓"),CF173+CG173,"")))))</f>
        <v/>
      </c>
      <c r="AO173" s="2312"/>
      <c r="AP173" s="2312"/>
      <c r="AQ173" s="2339"/>
      <c r="AR173" s="2339"/>
      <c r="AS173" s="2551"/>
      <c r="AT173" s="2577" t="str">
        <f>IF(C169="","","消防法上")</f>
        <v/>
      </c>
      <c r="AU173" s="2289"/>
      <c r="AV173" s="2289"/>
      <c r="AW173" s="2289"/>
      <c r="AX173" s="2289"/>
      <c r="AY173" s="2578"/>
      <c r="AZ173" s="2579" t="str">
        <f>IF($B$2=0,"",IF(BD173="",[4]Top!$BO$26,BD173))</f>
        <v>無窓</v>
      </c>
      <c r="BA173" s="2394"/>
      <c r="BB173" s="2580"/>
      <c r="BC173" s="353" t="s">
        <v>68</v>
      </c>
      <c r="BD173" s="2552"/>
      <c r="BE173" s="2552"/>
      <c r="BF173" s="2553"/>
      <c r="BG173" s="2581" t="str">
        <f>IF(C169="","","耐火構造")</f>
        <v/>
      </c>
      <c r="BH173" s="2289"/>
      <c r="BI173" s="2289"/>
      <c r="BJ173" s="2289"/>
      <c r="BK173" s="2290"/>
      <c r="BL173" s="2278" t="str">
        <f>IF($B$2=0,"",IF(BQ173="",[4]Top!$AN$18,BQ173))</f>
        <v>耐 火</v>
      </c>
      <c r="BM173" s="2394"/>
      <c r="BN173" s="2394"/>
      <c r="BO173" s="2580"/>
      <c r="BP173" s="352" t="s">
        <v>68</v>
      </c>
      <c r="BQ173" s="2582"/>
      <c r="BR173" s="2552"/>
      <c r="BS173" s="2552"/>
      <c r="BT173" s="2583"/>
      <c r="BU173" s="19"/>
      <c r="BV173" s="35"/>
      <c r="BW173" s="351" t="s">
        <v>351</v>
      </c>
      <c r="BX173" s="350" t="str">
        <f>CB173</f>
        <v/>
      </c>
      <c r="BY173" s="349" t="str">
        <f>CC173</f>
        <v/>
      </c>
      <c r="BZ173" s="348"/>
      <c r="CA173" s="345"/>
      <c r="CB173" s="344" t="str">
        <f>IF(OR([6]Top!$BD$72&lt;&gt;"要",C169=""),"",IF(J169&gt;=4,1+INT(BZ170*0.47),1+INT(BZ170*0.47)))</f>
        <v/>
      </c>
      <c r="CC173" s="347" t="str">
        <f>IF(OR([6]Top!$BD$72&lt;&gt;"要",C169=""),"",IF(J169&gt;=4,1+INT(CA170*0.47),1+INT(CA170*0.47)))</f>
        <v/>
      </c>
      <c r="CD173" s="346"/>
      <c r="CE173" s="345"/>
      <c r="CF173" s="344">
        <f>IF(AND(AX160&lt;720,J169&lt;4),1+INT(CD170*0.47),1+INT(CD170*0.94))</f>
        <v>1</v>
      </c>
      <c r="CG173" s="343" t="e">
        <f>IF(AND(AX160&lt;720,J169&lt;4),1+INT(CE170*0.47),1+INT(CE170*0.94))</f>
        <v>#VALUE!</v>
      </c>
      <c r="CH173" s="35"/>
      <c r="CI173" s="133" t="str">
        <f>IF(AND(C169&lt;&gt;"",LEFT(C169,2)&lt;&gt;" P"),CI165+F169,"")</f>
        <v/>
      </c>
      <c r="CJ173" s="88" t="s">
        <v>350</v>
      </c>
      <c r="CK173" s="182" t="s">
        <v>349</v>
      </c>
      <c r="CL173" s="342" t="str">
        <f>IF(OR(C169="",C169="  RF"),"",IF(AZ177&lt;&gt;"",AZ169,AZ169+BG169))</f>
        <v/>
      </c>
      <c r="CM173" s="341" t="s">
        <v>348</v>
      </c>
      <c r="CN173" s="219" t="s">
        <v>347</v>
      </c>
      <c r="CO173" s="138" t="str">
        <f>IF(OR(C169="",P168="不要"),"",AZ169*INT(CJ170+CK170)/5)</f>
        <v/>
      </c>
      <c r="CP173" s="151" t="s">
        <v>347</v>
      </c>
      <c r="CQ173" s="340" t="str">
        <f>IF(AQ168="天井ケーブル",F169,CO173)</f>
        <v/>
      </c>
      <c r="CR173" s="339">
        <f>SUM(CS173:CX173)</f>
        <v>6</v>
      </c>
      <c r="CS173" s="338" t="str">
        <f>AZ169</f>
        <v/>
      </c>
      <c r="CT173" s="338">
        <f>IF(BA169="",0,BA169)</f>
        <v>0</v>
      </c>
      <c r="CU173" s="88">
        <v>1</v>
      </c>
      <c r="CV173" s="222">
        <v>1</v>
      </c>
      <c r="CW173" s="222">
        <v>2</v>
      </c>
      <c r="CX173" s="222">
        <v>2</v>
      </c>
      <c r="CY173" s="337" t="str">
        <f>IF(CK168="=",3*BR169+2,"")</f>
        <v/>
      </c>
      <c r="CZ173" s="218"/>
      <c r="DA173" s="8"/>
      <c r="DB173" s="197">
        <f t="shared" si="49"/>
        <v>10</v>
      </c>
      <c r="DC173" s="197" t="str">
        <f t="shared" si="50"/>
        <v/>
      </c>
      <c r="DD173" s="201" t="str">
        <f>G174</f>
        <v/>
      </c>
      <c r="DE173" s="8"/>
      <c r="DF173" s="8"/>
      <c r="DG173" s="8"/>
      <c r="DH173" s="8" t="str">
        <f>IF(COUNTIF($DD$15:DD172,DD173)&gt;0,"",DD173)</f>
        <v/>
      </c>
      <c r="DI173" s="252" t="str">
        <f>O174</f>
        <v/>
      </c>
      <c r="DJ173" s="32">
        <f t="shared" si="61"/>
        <v>0</v>
      </c>
      <c r="DK173" s="197">
        <f t="shared" si="58"/>
        <v>4</v>
      </c>
      <c r="DL173" s="197" t="str">
        <f t="shared" si="59"/>
        <v/>
      </c>
      <c r="DM173" s="11" t="str">
        <f>IF(AN174="","",AG174)</f>
        <v/>
      </c>
      <c r="DN173" s="11"/>
      <c r="DO173" s="11"/>
      <c r="DP173" s="9"/>
      <c r="DQ173" s="9" t="str">
        <f>IF(COUNTIF($DM$15:DM172,DM173)&gt;0,"",DM173)</f>
        <v/>
      </c>
      <c r="DR173" s="101" t="str">
        <f>AN174</f>
        <v/>
      </c>
      <c r="DS173" s="32">
        <f t="shared" si="62"/>
        <v>8</v>
      </c>
      <c r="DT173" s="8"/>
      <c r="DU173" s="197">
        <f t="shared" si="53"/>
        <v>4</v>
      </c>
      <c r="DV173" s="197" t="str">
        <f t="shared" si="54"/>
        <v/>
      </c>
      <c r="DW173" s="201" t="str">
        <f>T173</f>
        <v/>
      </c>
      <c r="DX173" s="8"/>
      <c r="DY173" s="8"/>
      <c r="DZ173" s="8"/>
      <c r="EA173" s="8" t="str">
        <f>IF(COUNTIF($DW$15:DW172,DW173)&gt;0,"",DW173)</f>
        <v/>
      </c>
      <c r="EB173" s="197" t="str">
        <f>AB173</f>
        <v/>
      </c>
      <c r="EC173" s="32">
        <f>SUMIF($DW$17:$DW$184,EA173,$EB$17:$EB$184)</f>
        <v>0</v>
      </c>
    </row>
    <row r="174" spans="1:133" ht="11.25" customHeight="1" thickBot="1">
      <c r="A174" s="15"/>
      <c r="B174" s="23"/>
      <c r="C174" s="2570"/>
      <c r="D174" s="2571"/>
      <c r="E174" s="2571"/>
      <c r="F174" s="2571"/>
      <c r="G174" s="2554" t="str">
        <f>IF(OR($B$2=0,P168="不要"),"",IF(CR174=0,"",IF(OR(C169="",P168="不要"),"",IF(CR174&lt;10,"FCPEV 1.2-5Pr",IF(CR174&lt;20,"FCPEV 1.2- 10Pr",IF(CR174&lt;30,"FCPEV 1.2- 15Pr",IF(CR174&lt;40,"FCPEV 1.2- 20Pr",IF(CR174&lt;60,"FCPEV 1.2- 30Pr",IF(CR174&lt;100,"FCPEV 1.2- 50Pr",IF(CR174&lt;140,"FCPEV 1.2- 70Pr",IF(CR174&lt;200,"FCPEV 1.2-100Pr","FCPEV 1.2-200Pr")))))))))))</f>
        <v/>
      </c>
      <c r="H174" s="2555"/>
      <c r="I174" s="2555"/>
      <c r="J174" s="2555"/>
      <c r="K174" s="2555"/>
      <c r="L174" s="2555"/>
      <c r="M174" s="2555"/>
      <c r="N174" s="2555"/>
      <c r="O174" s="2555" t="str">
        <f>IF(OR(G174="",C169="",P168="不要"),"",CO173)</f>
        <v/>
      </c>
      <c r="P174" s="2555"/>
      <c r="Q174" s="2555"/>
      <c r="R174" s="2555"/>
      <c r="S174" s="2555"/>
      <c r="T174" s="2555" t="str">
        <f>IF(OR(G174="",C169="",P168="不要"),"",IF(AQ168="天井ケーブル","C-"&amp;CO174&amp;"mm",IF(MID(AQ168,4,2)="PF","PF-"&amp;CN174&amp;"mm",IF(MID(AQ168,4,2)="CD","CD-"&amp;CN174&amp;"mm",IF(MID(AQ168,4,2)="C ","C-"&amp;CO174&amp;"mm",IF(MID(AQ168,4,2)="G ","G-"&amp;CN174&amp;"mm"))))))</f>
        <v/>
      </c>
      <c r="U174" s="2555"/>
      <c r="V174" s="2555"/>
      <c r="W174" s="2555"/>
      <c r="X174" s="2555"/>
      <c r="Y174" s="2555"/>
      <c r="Z174" s="2555"/>
      <c r="AA174" s="2555"/>
      <c r="AB174" s="2555" t="str">
        <f>IF(OR(G174="",P168="不要"),"",CQ173)</f>
        <v/>
      </c>
      <c r="AC174" s="2555"/>
      <c r="AD174" s="2555"/>
      <c r="AE174" s="2555"/>
      <c r="AF174" s="2555"/>
      <c r="AG174" s="2556" t="str">
        <f>IF($B$2=0,"","定温SP1種Exp")</f>
        <v>定温SP1種Exp</v>
      </c>
      <c r="AH174" s="2556"/>
      <c r="AI174" s="2556"/>
      <c r="AJ174" s="2556"/>
      <c r="AK174" s="2556"/>
      <c r="AL174" s="2556"/>
      <c r="AM174" s="2556"/>
      <c r="AN174" s="2335" t="str">
        <f>IF(AQ174&lt;&gt;"",AQ174,"")</f>
        <v/>
      </c>
      <c r="AO174" s="2335"/>
      <c r="AP174" s="2335"/>
      <c r="AQ174" s="2566"/>
      <c r="AR174" s="2566"/>
      <c r="AS174" s="2567"/>
      <c r="AT174" s="2586" t="str">
        <f>IF(C169="","","盤位置")</f>
        <v/>
      </c>
      <c r="AU174" s="2587"/>
      <c r="AV174" s="2587"/>
      <c r="AW174" s="2587"/>
      <c r="AX174" s="2588" t="str">
        <f>非誘!V130</f>
        <v/>
      </c>
      <c r="AY174" s="2588"/>
      <c r="AZ174" s="2588"/>
      <c r="BA174" s="2559" t="str">
        <f>IF(C169="","","専部屋面積")</f>
        <v/>
      </c>
      <c r="BB174" s="2560"/>
      <c r="BC174" s="2560"/>
      <c r="BD174" s="2560"/>
      <c r="BE174" s="2560"/>
      <c r="BF174" s="2561"/>
      <c r="BG174" s="2562" t="str">
        <f>IF(OR(C169="",S169=""),"",S169/AA169)</f>
        <v/>
      </c>
      <c r="BH174" s="2563"/>
      <c r="BI174" s="2563"/>
      <c r="BJ174" s="2564"/>
      <c r="BK174" s="2559" t="str">
        <f>IF(C169="","","共部屋面積")</f>
        <v/>
      </c>
      <c r="BL174" s="2560"/>
      <c r="BM174" s="2560"/>
      <c r="BN174" s="2560"/>
      <c r="BO174" s="2560"/>
      <c r="BP174" s="2561"/>
      <c r="BQ174" s="2562" t="str">
        <f>IF(OR($B$2=0,C169=""),"",W169/AD169)</f>
        <v/>
      </c>
      <c r="BR174" s="2563"/>
      <c r="BS174" s="2563"/>
      <c r="BT174" s="2565"/>
      <c r="BU174" s="19"/>
      <c r="BV174" s="35"/>
      <c r="BW174" s="99"/>
      <c r="BX174" s="35"/>
      <c r="BY174" s="35"/>
      <c r="BZ174" s="35"/>
      <c r="CA174" s="35"/>
      <c r="CB174" s="35"/>
      <c r="CC174" s="35"/>
      <c r="CD174" s="35"/>
      <c r="CE174" s="35"/>
      <c r="CF174" s="35"/>
      <c r="CG174" s="35"/>
      <c r="CH174" s="35"/>
      <c r="CI174" s="8"/>
      <c r="CJ174" s="8"/>
      <c r="CK174" s="8"/>
      <c r="CL174" s="336" t="str">
        <f>IF(OR(RIGHT(G173,3)="5Pr",RIGHT(G173,4)="10Pr",RIGHT(G173,4)="15Pr"),"28",IF(OR(RIGHT(G173,4)="20Pr",RIGHT(G173,4)="30Pr"),"36",IF(OR(RIGHT(G173,4)="50Pr",RIGHT(G173,4)="70Pr"),"42","")))</f>
        <v/>
      </c>
      <c r="CM174" s="336" t="str">
        <f>IF(OR(RIGHT(G173,3)="5Pr",RIGHT(G173,4)="10Pr",RIGHT(G173,4)="15Pr"),"31",IF(OR(RIGHT(G173,4)="20Pr",RIGHT(G173,4)="30Pr"),"39",IF(OR(RIGHT(G173,4)="50Pr",RIGHT(G173,4)="70Pr"),"51","")))</f>
        <v/>
      </c>
      <c r="CN174" s="86" t="str">
        <f>IF(OR(RIGHT(G174,3)="5Pr",RIGHT(G174,4)="10Pr",RIGHT(G174,4)="15Pr"),"28",IF(OR(RIGHT(G174,4)="20Pr",RIGHT(G174,4)="30Pr"),"36",IF(OR(RIGHT(G174,4)="50Pr",RIGHT(G174,4)="70Pr"),"42","")))</f>
        <v/>
      </c>
      <c r="CO174" s="86" t="str">
        <f>IF(OR(RIGHT(G174,3)="5Pr",RIGHT(G174,4)="10Pr",RIGHT(G174,4)="15Pr"),"31",IF(OR(RIGHT(G174,4)="20Pr",RIGHT(G174,4)="30Pr"),"39",IF(OR(RIGHT(G174,4)="50Pr",RIGHT(G174,4)="70Pr"),"51","")))</f>
        <v/>
      </c>
      <c r="CP174" s="9"/>
      <c r="CQ174" s="9"/>
      <c r="CR174" s="335">
        <f>IF(P168="不要","",SUM(CS174:CX174))</f>
        <v>0</v>
      </c>
      <c r="CS174" s="334">
        <f>IF(OR(CK168="",CK168="=",P168="不要"),0,IF(CK168="－",CL173+CS166,IF(CK168="+",CL173+CS182)))</f>
        <v>0</v>
      </c>
      <c r="CT174" s="188">
        <f>IF(OR(CK168="",CK168="=",P168="不要"),0,IF(CS174&lt;7,1,IF(CS174&lt;14,2,IF(CS174&lt;21,3,IF(CS174&lt;28,4,IF(CS174&lt;35,5,IF(CS174&lt;42,6,IF(CS174&lt;49,7,IF(CS174&lt;56,8,IF(CS174&lt;63,9,IF(CS174&lt;70,10,IF(CS174&lt;77,11,"---"))))))))))))</f>
        <v>0</v>
      </c>
      <c r="CU174" s="188">
        <f>IF(CS174=0,0,1)</f>
        <v>0</v>
      </c>
      <c r="CV174" s="333">
        <f>IF(CS174=0,0,1)</f>
        <v>0</v>
      </c>
      <c r="CW174" s="333">
        <f>IF(CS174=0,0,2)</f>
        <v>0</v>
      </c>
      <c r="CX174" s="333">
        <f>IF(CS174=0,0,2)</f>
        <v>0</v>
      </c>
      <c r="CY174" s="332">
        <f>IF(OR(BR177="",P168="不要"),0,IF(CK168="=",0,IF(CK168="－",2*BR169+3,IF(CK168="+",2*(BR169+BR177)+3,""))))</f>
        <v>0</v>
      </c>
      <c r="CZ174" s="216"/>
      <c r="DA174" s="9"/>
      <c r="DB174" s="127">
        <f t="shared" si="49"/>
        <v>10</v>
      </c>
      <c r="DC174" s="127" t="str">
        <f t="shared" si="50"/>
        <v/>
      </c>
      <c r="DD174" s="11" t="str">
        <f>CR168</f>
        <v>防火区画処理</v>
      </c>
      <c r="DE174" s="9"/>
      <c r="DF174" s="9"/>
      <c r="DG174" s="9"/>
      <c r="DH174" s="9" t="str">
        <f>IF(COUNTIF($DD$15:DD173,DD174)&gt;0,"",DD174)</f>
        <v/>
      </c>
      <c r="DI174" s="242" t="str">
        <f>CU168</f>
        <v/>
      </c>
      <c r="DJ174" s="32">
        <f t="shared" si="61"/>
        <v>0</v>
      </c>
      <c r="DK174" s="127">
        <f t="shared" si="58"/>
        <v>4</v>
      </c>
      <c r="DL174" s="127" t="str">
        <f t="shared" si="59"/>
        <v/>
      </c>
      <c r="DM174" s="11" t="str">
        <f>IF(CY169="","",CV169)</f>
        <v/>
      </c>
      <c r="DN174" s="11"/>
      <c r="DO174" s="11"/>
      <c r="DP174" s="9"/>
      <c r="DQ174" s="9" t="str">
        <f>IF(COUNTIF($DM$15:DM173,DM174)&gt;0,"",DM174)</f>
        <v/>
      </c>
      <c r="DR174" s="101" t="str">
        <f>CY169</f>
        <v/>
      </c>
      <c r="DS174" s="32">
        <f t="shared" si="62"/>
        <v>8</v>
      </c>
      <c r="DT174" s="9"/>
      <c r="DU174" s="197">
        <f t="shared" si="53"/>
        <v>4</v>
      </c>
      <c r="DV174" s="197" t="str">
        <f t="shared" si="54"/>
        <v/>
      </c>
      <c r="DW174" s="201" t="str">
        <f>T174</f>
        <v/>
      </c>
      <c r="DX174" s="8"/>
      <c r="DY174" s="8"/>
      <c r="DZ174" s="8"/>
      <c r="EA174" s="8" t="str">
        <f>IF(COUNTIF($DW$15:DW173,DW174)&gt;0,"",DW174)</f>
        <v/>
      </c>
      <c r="EB174" s="197" t="str">
        <f>AB174</f>
        <v/>
      </c>
      <c r="EC174" s="32">
        <f>SUMIF($DW$17:$DW$184,EA174,$EB$17:$EB$184)</f>
        <v>0</v>
      </c>
    </row>
    <row r="175" spans="1:133" ht="7.5" customHeight="1">
      <c r="A175" s="15"/>
      <c r="B175" s="23"/>
      <c r="C175" s="37"/>
      <c r="D175" s="37"/>
      <c r="E175" s="37"/>
      <c r="F175" s="37"/>
      <c r="G175" s="331"/>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157"/>
      <c r="AH175" s="157"/>
      <c r="AI175" s="157"/>
      <c r="AJ175" s="157"/>
      <c r="AK175" s="157"/>
      <c r="AL175" s="157"/>
      <c r="AM175" s="157"/>
      <c r="AN175" s="377"/>
      <c r="AO175" s="377"/>
      <c r="AP175" s="377"/>
      <c r="AQ175" s="37"/>
      <c r="AR175" s="37"/>
      <c r="AS175" s="37"/>
      <c r="AT175" s="157"/>
      <c r="AU175" s="157"/>
      <c r="AV175" s="157"/>
      <c r="AW175" s="157"/>
      <c r="AX175" s="157"/>
      <c r="AY175" s="157"/>
      <c r="AZ175" s="157"/>
      <c r="BA175" s="377"/>
      <c r="BB175" s="377"/>
      <c r="BC175" s="377"/>
      <c r="BD175" s="37"/>
      <c r="BE175" s="37"/>
      <c r="BF175" s="37"/>
      <c r="BG175" s="157"/>
      <c r="BH175" s="157"/>
      <c r="BI175" s="157"/>
      <c r="BJ175" s="157"/>
      <c r="BK175" s="157"/>
      <c r="BL175" s="157"/>
      <c r="BM175" s="157"/>
      <c r="BN175" s="157"/>
      <c r="BO175" s="377"/>
      <c r="BP175" s="377"/>
      <c r="BQ175" s="377"/>
      <c r="BR175" s="37"/>
      <c r="BS175" s="37"/>
      <c r="BT175" s="37"/>
      <c r="BU175" s="19"/>
      <c r="BV175" s="35"/>
      <c r="BW175" s="99"/>
      <c r="BX175" s="35"/>
      <c r="BY175" s="35"/>
      <c r="BZ175" s="35"/>
      <c r="CA175" s="35"/>
      <c r="CB175" s="35"/>
      <c r="CC175" s="35"/>
      <c r="CD175" s="35"/>
      <c r="CE175" s="35"/>
      <c r="CF175" s="35"/>
      <c r="CG175" s="35"/>
      <c r="CH175" s="35"/>
      <c r="CI175" s="199"/>
      <c r="CJ175" s="8"/>
      <c r="CK175" s="8"/>
      <c r="CL175" s="64"/>
      <c r="CM175" s="64"/>
      <c r="CN175" s="64"/>
      <c r="CO175" s="64"/>
      <c r="CP175" s="9"/>
      <c r="CQ175" s="9"/>
      <c r="CR175" s="376"/>
      <c r="CS175" s="375"/>
      <c r="CT175" s="145"/>
      <c r="CU175" s="145"/>
      <c r="CV175" s="127"/>
      <c r="CW175" s="127"/>
      <c r="CX175" s="127"/>
      <c r="CY175" s="9"/>
      <c r="CZ175" s="218"/>
      <c r="DA175" s="9"/>
      <c r="DB175" s="127">
        <f t="shared" si="49"/>
        <v>10</v>
      </c>
      <c r="DC175" s="127" t="str">
        <f t="shared" si="50"/>
        <v/>
      </c>
      <c r="DD175" s="11"/>
      <c r="DE175" s="9"/>
      <c r="DF175" s="9"/>
      <c r="DG175" s="9"/>
      <c r="DH175" s="9"/>
      <c r="DI175" s="242"/>
      <c r="DJ175" s="13"/>
      <c r="DK175" s="127">
        <f t="shared" si="58"/>
        <v>4</v>
      </c>
      <c r="DL175" s="127" t="str">
        <f t="shared" si="59"/>
        <v/>
      </c>
      <c r="DM175" s="11" t="str">
        <f>IF(CY170="","",CV170)</f>
        <v/>
      </c>
      <c r="DN175" s="11"/>
      <c r="DO175" s="11"/>
      <c r="DP175" s="9"/>
      <c r="DQ175" s="9" t="str">
        <f>IF(COUNTIF($DM$15:DM174,DM175)&gt;0,"",DM175)</f>
        <v/>
      </c>
      <c r="DR175" s="101" t="str">
        <f>CY170</f>
        <v/>
      </c>
      <c r="DS175" s="32">
        <f t="shared" si="62"/>
        <v>8</v>
      </c>
      <c r="DT175" s="9"/>
      <c r="DU175" s="8">
        <f t="shared" si="53"/>
        <v>4</v>
      </c>
      <c r="DV175" s="8" t="str">
        <f t="shared" si="54"/>
        <v/>
      </c>
      <c r="DW175" s="8"/>
      <c r="DX175" s="8"/>
      <c r="DY175" s="8"/>
      <c r="DZ175" s="8"/>
      <c r="EA175" s="8"/>
      <c r="EB175" s="8"/>
      <c r="EC175" s="8"/>
    </row>
    <row r="176" spans="1:133" ht="11.25" customHeight="1" thickBot="1">
      <c r="A176" s="374">
        <v>20</v>
      </c>
      <c r="B176" s="23"/>
      <c r="C176" s="2626" t="str">
        <f>非誘!J135</f>
        <v/>
      </c>
      <c r="D176" s="2627"/>
      <c r="E176" s="2628"/>
      <c r="F176" s="2629" t="str">
        <f>非誘!M135</f>
        <v/>
      </c>
      <c r="G176" s="2629"/>
      <c r="H176" s="2629"/>
      <c r="I176" s="2629"/>
      <c r="J176" s="2629"/>
      <c r="K176" s="2629"/>
      <c r="L176" s="2629"/>
      <c r="M176" s="2629"/>
      <c r="N176" s="2629"/>
      <c r="O176" s="2629"/>
      <c r="P176" s="2630" t="str">
        <f>IF(U176="",RIGHT($D$8,2),U176)</f>
        <v>設置</v>
      </c>
      <c r="Q176" s="2630"/>
      <c r="R176" s="2630"/>
      <c r="S176" s="2631"/>
      <c r="T176" s="31" t="s">
        <v>68</v>
      </c>
      <c r="U176" s="2632"/>
      <c r="V176" s="2632"/>
      <c r="W176" s="2632"/>
      <c r="X176" s="2633"/>
      <c r="Y176" s="2634" t="s">
        <v>20</v>
      </c>
      <c r="Z176" s="2634"/>
      <c r="AA176" s="2634"/>
      <c r="AB176" s="2634"/>
      <c r="AC176" s="2634"/>
      <c r="AD176" s="2635" t="str">
        <f>非誘!J136</f>
        <v/>
      </c>
      <c r="AE176" s="2635"/>
      <c r="AF176" s="2635"/>
      <c r="AG176" s="2635"/>
      <c r="AH176" s="2299" t="s">
        <v>135</v>
      </c>
      <c r="AI176" s="2299"/>
      <c r="AJ176" s="2299"/>
      <c r="AK176" s="2299"/>
      <c r="AL176" s="2299"/>
      <c r="AM176" s="2299" t="s">
        <v>366</v>
      </c>
      <c r="AN176" s="2299"/>
      <c r="AO176" s="2299"/>
      <c r="AP176" s="2299"/>
      <c r="AQ176" s="2569" t="str">
        <f>IF(AX176="","天井ケーブル",AX176)</f>
        <v>天井ケーブル</v>
      </c>
      <c r="AR176" s="2569"/>
      <c r="AS176" s="2569"/>
      <c r="AT176" s="2569"/>
      <c r="AU176" s="2569"/>
      <c r="AV176" s="2569"/>
      <c r="AW176" s="175" t="s">
        <v>68</v>
      </c>
      <c r="AX176" s="2338"/>
      <c r="AY176" s="2338"/>
      <c r="AZ176" s="2338"/>
      <c r="BA176" s="2338"/>
      <c r="BB176" s="2338"/>
      <c r="BC176" s="2338"/>
      <c r="BD176" s="2299" t="s">
        <v>363</v>
      </c>
      <c r="BE176" s="2299"/>
      <c r="BF176" s="2299"/>
      <c r="BG176" s="2299"/>
      <c r="BH176" s="2569" t="str">
        <f>IF(BO176="","天井(C 管)",BO176)</f>
        <v>天井(C 管)</v>
      </c>
      <c r="BI176" s="2569"/>
      <c r="BJ176" s="2569"/>
      <c r="BK176" s="2569"/>
      <c r="BL176" s="2569"/>
      <c r="BM176" s="2569"/>
      <c r="BN176" s="175" t="s">
        <v>68</v>
      </c>
      <c r="BO176" s="2338"/>
      <c r="BP176" s="2338"/>
      <c r="BQ176" s="2338"/>
      <c r="BR176" s="2338"/>
      <c r="BS176" s="2338"/>
      <c r="BT176" s="2622"/>
      <c r="BU176" s="19"/>
      <c r="BV176" s="35"/>
      <c r="BW176" s="99"/>
      <c r="BX176" s="35"/>
      <c r="BY176" s="35"/>
      <c r="BZ176" s="35"/>
      <c r="CA176" s="35"/>
      <c r="CB176" s="35"/>
      <c r="CC176" s="35"/>
      <c r="CD176" s="35"/>
      <c r="CE176" s="35"/>
      <c r="CF176" s="35"/>
      <c r="CG176" s="35"/>
      <c r="CH176" s="35"/>
      <c r="CI176" s="8">
        <v>23</v>
      </c>
      <c r="CJ176" s="97" t="str">
        <f>IF(LEFT(C177,2)=" B",-MID(C177,3,1),IF(C177="  RF","",LEFT(C177,3)))</f>
        <v/>
      </c>
      <c r="CK176" s="10" t="str">
        <f>IF(OR(C177="",C177="  RF"),"",IF(LEFT(C177,1)="P","+",IF($CJ$14&gt;CJ176,"－",IF($CJ$14=CJ176,"=","+"))))</f>
        <v/>
      </c>
      <c r="CL176" s="2601" t="s">
        <v>376</v>
      </c>
      <c r="CM176" s="2601"/>
      <c r="CN176" s="2601"/>
      <c r="CO176" s="2601" t="s">
        <v>375</v>
      </c>
      <c r="CP176" s="2601"/>
      <c r="CQ176" s="2601"/>
      <c r="CR176" s="2589" t="str">
        <f>AG177</f>
        <v>防火区画処理</v>
      </c>
      <c r="CS176" s="2590"/>
      <c r="CT176" s="2591"/>
      <c r="CU176" s="184" t="str">
        <f>AN177</f>
        <v/>
      </c>
      <c r="CV176" s="2589" t="str">
        <f>AG181</f>
        <v>光電式煙2種埋</v>
      </c>
      <c r="CW176" s="2590"/>
      <c r="CX176" s="2591"/>
      <c r="CY176" s="184" t="str">
        <f>AN181</f>
        <v/>
      </c>
      <c r="CZ176" s="216"/>
      <c r="DA176" s="88">
        <v>20</v>
      </c>
      <c r="DB176" s="204">
        <f t="shared" si="49"/>
        <v>10</v>
      </c>
      <c r="DC176" s="155" t="str">
        <f t="shared" si="50"/>
        <v/>
      </c>
      <c r="DD176" s="45"/>
      <c r="DE176" s="45"/>
      <c r="DF176" s="45"/>
      <c r="DG176" s="45"/>
      <c r="DH176" s="45"/>
      <c r="DI176" s="45"/>
      <c r="DJ176" s="45"/>
      <c r="DK176" s="155">
        <f t="shared" si="58"/>
        <v>4</v>
      </c>
      <c r="DL176" s="155" t="str">
        <f t="shared" si="59"/>
        <v/>
      </c>
      <c r="DM176" s="154" t="str">
        <f>IF(CY171="","",CV171)</f>
        <v/>
      </c>
      <c r="DN176" s="154"/>
      <c r="DO176" s="154"/>
      <c r="DP176" s="45"/>
      <c r="DQ176" s="45"/>
      <c r="DR176" s="209"/>
      <c r="DS176" s="230">
        <f>SUMIF($DM$17:$DM$185,DQ176,$DR$17:$DR$185)</f>
        <v>0</v>
      </c>
      <c r="DT176" s="88">
        <v>20</v>
      </c>
      <c r="DU176" s="373">
        <f t="shared" si="53"/>
        <v>4</v>
      </c>
      <c r="DV176" s="45" t="str">
        <f t="shared" si="54"/>
        <v/>
      </c>
      <c r="DW176" s="45"/>
      <c r="DX176" s="45"/>
      <c r="DY176" s="45"/>
      <c r="DZ176" s="45"/>
      <c r="EA176" s="45"/>
      <c r="EB176" s="45"/>
      <c r="EC176" s="45"/>
    </row>
    <row r="177" spans="1:133" ht="11.25" customHeight="1" thickBot="1">
      <c r="A177" s="15">
        <v>55</v>
      </c>
      <c r="B177" s="23"/>
      <c r="C177" s="2602" t="str">
        <f>非誘!C137</f>
        <v/>
      </c>
      <c r="D177" s="2603"/>
      <c r="E177" s="2604"/>
      <c r="F177" s="2605" t="str">
        <f>非誘!F137</f>
        <v/>
      </c>
      <c r="G177" s="2606"/>
      <c r="H177" s="2606"/>
      <c r="I177" s="2607"/>
      <c r="J177" s="2605" t="str">
        <f>非誘!J137</f>
        <v/>
      </c>
      <c r="K177" s="2606"/>
      <c r="L177" s="2606"/>
      <c r="M177" s="2607"/>
      <c r="N177" s="2608" t="str">
        <f>非誘!N137</f>
        <v/>
      </c>
      <c r="O177" s="2609"/>
      <c r="P177" s="2609"/>
      <c r="Q177" s="2609"/>
      <c r="R177" s="2610"/>
      <c r="S177" s="2608" t="str">
        <f>非誘!S137</f>
        <v/>
      </c>
      <c r="T177" s="2609"/>
      <c r="U177" s="2609"/>
      <c r="V177" s="2610"/>
      <c r="W177" s="2608" t="str">
        <f>非誘!W137</f>
        <v/>
      </c>
      <c r="X177" s="2609"/>
      <c r="Y177" s="2609"/>
      <c r="Z177" s="2610"/>
      <c r="AA177" s="2611" t="str">
        <f>非誘!AA137</f>
        <v/>
      </c>
      <c r="AB177" s="2603"/>
      <c r="AC177" s="2604"/>
      <c r="AD177" s="2612" t="str">
        <f>非誘!AD137</f>
        <v/>
      </c>
      <c r="AE177" s="2613"/>
      <c r="AF177" s="2614"/>
      <c r="AG177" s="2615" t="str">
        <f>IF($B$2=0,"","防火区画処理")</f>
        <v>防火区画処理</v>
      </c>
      <c r="AH177" s="2615"/>
      <c r="AI177" s="2615"/>
      <c r="AJ177" s="2615"/>
      <c r="AK177" s="2615"/>
      <c r="AL177" s="2615"/>
      <c r="AM177" s="2615"/>
      <c r="AN177" s="2616" t="str">
        <f>IF(OR($B$2=0,C177="",P176="不要"),"",AZ177+BG177+BR177*2)</f>
        <v/>
      </c>
      <c r="AO177" s="2616"/>
      <c r="AP177" s="2616"/>
      <c r="AQ177" s="2617" t="s">
        <v>374</v>
      </c>
      <c r="AR177" s="2617"/>
      <c r="AS177" s="2617"/>
      <c r="AT177" s="2617"/>
      <c r="AU177" s="2617"/>
      <c r="AV177" s="2618" t="s">
        <v>373</v>
      </c>
      <c r="AW177" s="2618"/>
      <c r="AX177" s="2618"/>
      <c r="AY177" s="2618"/>
      <c r="AZ177" s="2619" t="str">
        <f>IF(OR($B$2=0,C177="",P176="不要"),"",IF(LEFT(C177,1)="P",1+INT(W177/450),INT(S177/450)+1+INT(W177/450)))</f>
        <v/>
      </c>
      <c r="BA177" s="2619"/>
      <c r="BB177" s="2619"/>
      <c r="BC177" s="2618" t="s">
        <v>372</v>
      </c>
      <c r="BD177" s="2618"/>
      <c r="BE177" s="2618"/>
      <c r="BF177" s="2618"/>
      <c r="BG177" s="2619" t="str">
        <f>IF(OR($B$2=0,C177="",P176="不要"),"",1+INT(N177/500))</f>
        <v/>
      </c>
      <c r="BH177" s="2619"/>
      <c r="BI177" s="2619"/>
      <c r="BJ177" s="2617" t="s">
        <v>371</v>
      </c>
      <c r="BK177" s="2617"/>
      <c r="BL177" s="2617"/>
      <c r="BM177" s="2617"/>
      <c r="BN177" s="2617"/>
      <c r="BO177" s="2617"/>
      <c r="BP177" s="2617"/>
      <c r="BQ177" s="2617"/>
      <c r="BR177" s="2620" t="str">
        <f>IF(OR($B$2=0,C177="",P176="不要"),"",1+INT(0.055*N177^0.6))</f>
        <v/>
      </c>
      <c r="BS177" s="2620"/>
      <c r="BT177" s="2621"/>
      <c r="BU177" s="19"/>
      <c r="BV177" s="35"/>
      <c r="BW177" s="99"/>
      <c r="BX177" s="35"/>
      <c r="BY177" s="35"/>
      <c r="BZ177" s="35"/>
      <c r="CA177" s="35"/>
      <c r="CB177" s="35"/>
      <c r="CC177" s="35"/>
      <c r="CD177" s="35"/>
      <c r="CE177" s="35"/>
      <c r="CF177" s="35"/>
      <c r="CG177" s="35"/>
      <c r="CH177" s="35"/>
      <c r="CI177" s="8">
        <v>2</v>
      </c>
      <c r="CJ177" s="88" t="s">
        <v>370</v>
      </c>
      <c r="CK177" s="88" t="s">
        <v>71</v>
      </c>
      <c r="CL177" s="372" t="b">
        <f>IF(C178="","",IF(AX182="①",CJ178+CK178+3,IF(AX182="②",CJ178*5/8+CK178+3,IF(AX182="③",CJ178/2+CK178+3,IF(AX182="④",CJ178+CK178*5/8+3,IF(AX182="⑤",(CJ178+CK178)*5/8+3,IF(AX182="⑥",CJ178/2+CK178*5/8+3,IF(AX182="⑦",CJ178+CK178/2+3,IF(AX182="⑧",CJ178*5/8+CK178/2+3,IF(AX182="⑨",(CJ178+CK178)/2+3))))))))))</f>
        <v>0</v>
      </c>
      <c r="CM177" s="371" t="s">
        <v>368</v>
      </c>
      <c r="CN177" s="371" t="s">
        <v>367</v>
      </c>
      <c r="CO177" s="370"/>
      <c r="CP177" s="371" t="s">
        <v>368</v>
      </c>
      <c r="CQ177" s="370" t="s">
        <v>367</v>
      </c>
      <c r="CR177" s="2589" t="str">
        <f>AG178</f>
        <v>差動SP2種埋</v>
      </c>
      <c r="CS177" s="2590"/>
      <c r="CT177" s="2591"/>
      <c r="CU177" s="184" t="str">
        <f>AN178</f>
        <v/>
      </c>
      <c r="CV177" s="2589" t="str">
        <f>AT180</f>
        <v>HP起動押ボタン</v>
      </c>
      <c r="CW177" s="2590"/>
      <c r="CX177" s="2591"/>
      <c r="CY177" s="184" t="str">
        <f>BA180</f>
        <v/>
      </c>
      <c r="CZ177" s="216"/>
      <c r="DA177" s="8"/>
      <c r="DB177" s="197">
        <f t="shared" ref="DB177:DB182" si="63">IF(DH177&lt;&gt;"",DB176+1,DB176)</f>
        <v>10</v>
      </c>
      <c r="DC177" s="197" t="str">
        <f t="shared" ref="DC177:DC184" si="64">IF(AND(DB177&lt;&gt;"",DH177&lt;&gt;""),DB177,"")</f>
        <v/>
      </c>
      <c r="DD177" s="201" t="str">
        <f>G178</f>
        <v/>
      </c>
      <c r="DE177" s="8"/>
      <c r="DF177" s="8"/>
      <c r="DG177" s="8"/>
      <c r="DH177" s="8" t="str">
        <f>IF(COUNTIF($DD$15:DD176,DD177)&gt;0,"",DD177)</f>
        <v/>
      </c>
      <c r="DI177" s="252" t="str">
        <f>O178</f>
        <v/>
      </c>
      <c r="DJ177" s="32">
        <f t="shared" ref="DJ177:DJ182" si="65">SUMIF($DD$17:$DD$184,DH177,$DI$17:$DI$184)</f>
        <v>0</v>
      </c>
      <c r="DK177" s="197">
        <f t="shared" si="58"/>
        <v>4</v>
      </c>
      <c r="DL177" s="197" t="str">
        <f t="shared" si="59"/>
        <v/>
      </c>
      <c r="DM177" s="10" t="str">
        <f>IF(CU177="","",CR177)</f>
        <v/>
      </c>
      <c r="DN177" s="10" t="str">
        <f>CR177</f>
        <v>差動SP2種埋</v>
      </c>
      <c r="DO177" s="10"/>
      <c r="DP177" s="8"/>
      <c r="DQ177" s="8" t="str">
        <f>IF(COUNTIF($DM$15:DM176,DM177)&gt;0,"",DM177)</f>
        <v/>
      </c>
      <c r="DR177" s="200" t="str">
        <f>CU177</f>
        <v/>
      </c>
      <c r="DS177" s="32">
        <f t="shared" ref="DS177:DS184" si="66">SUMIF($DM$17:$DM$184,DQ177,$DR$17:$DR$184)</f>
        <v>8</v>
      </c>
      <c r="DT177" s="8"/>
      <c r="DU177" s="197">
        <f t="shared" ref="DU177:DU182" si="67">IF(EA177&lt;&gt;"",DU176+1,DU176)</f>
        <v>4</v>
      </c>
      <c r="DV177" s="197" t="str">
        <f t="shared" ref="DV177:DV184" si="68">IF(AND(DU177&lt;&gt;"",EA177&lt;&gt;""),DU177,"")</f>
        <v/>
      </c>
      <c r="DW177" s="201"/>
      <c r="DX177" s="8"/>
      <c r="DY177" s="8"/>
      <c r="DZ177" s="8"/>
      <c r="EA177" s="8"/>
      <c r="EB177" s="252"/>
      <c r="EC177" s="32"/>
    </row>
    <row r="178" spans="1:133" ht="11.25" customHeight="1">
      <c r="A178" s="15"/>
      <c r="B178" s="23"/>
      <c r="C178" s="2623" t="s">
        <v>366</v>
      </c>
      <c r="D178" s="2624"/>
      <c r="E178" s="2624"/>
      <c r="F178" s="2624"/>
      <c r="G178" s="2625" t="str">
        <f>IF(C177="","","AE 0.9mm-4C")</f>
        <v/>
      </c>
      <c r="H178" s="2625"/>
      <c r="I178" s="2625"/>
      <c r="J178" s="2625"/>
      <c r="K178" s="2625"/>
      <c r="L178" s="2625"/>
      <c r="M178" s="2625"/>
      <c r="N178" s="2625"/>
      <c r="O178" s="2593" t="str">
        <f>IF($B$2=0,"",IF(OR(C177="",P176="不要"),"",ROUND((CM178+CN178),0)))</f>
        <v/>
      </c>
      <c r="P178" s="2593"/>
      <c r="Q178" s="2593"/>
      <c r="R178" s="2593"/>
      <c r="S178" s="2593"/>
      <c r="T178" s="2593" t="str">
        <f>IF(OR($B$2=0,C177="",P176="不要"),"",IF(AQ176="天井ケーブル","C-19mm",IF(MID(AQ176,4,2)="PF","PF-16mm",IF(MID(AQ176,4,2)="CD","CD-16mm",IF(MID(AQ176,4,2)="C ","C-19mm",IF(MID(AQ176,4,2)="G ","G-16mm",""))))))</f>
        <v/>
      </c>
      <c r="U178" s="2593"/>
      <c r="V178" s="2593"/>
      <c r="W178" s="2593"/>
      <c r="X178" s="2593"/>
      <c r="Y178" s="2593"/>
      <c r="Z178" s="2593"/>
      <c r="AA178" s="2593"/>
      <c r="AB178" s="2593" t="str">
        <f>IF(OR($B$2=0,C177="",P176="不要"),"",IF(CQ178="",ROUND(CP178,0),ROUND((CP178+CQ178),0)))</f>
        <v/>
      </c>
      <c r="AC178" s="2593"/>
      <c r="AD178" s="2593"/>
      <c r="AE178" s="2593"/>
      <c r="AF178" s="2593"/>
      <c r="AG178" s="2595" t="str">
        <f>IF($B$2=0,"","差動SP2種埋")</f>
        <v>差動SP2種埋</v>
      </c>
      <c r="AH178" s="2595"/>
      <c r="AI178" s="2595"/>
      <c r="AJ178" s="2595"/>
      <c r="AK178" s="2595"/>
      <c r="AL178" s="2595"/>
      <c r="AM178" s="2595"/>
      <c r="AN178" s="2593" t="str">
        <f>IF(OR(C177="",P176="不要"),"",IF(AQ178&lt;&gt;"",AQ178,IF(AX182="B","",IF(AZ181="無窓","",IF(AND(BL181="耐 火",AZ181="有窓"),BZ178+CA178,CD178+CE178)))))</f>
        <v/>
      </c>
      <c r="AO178" s="2593"/>
      <c r="AP178" s="2593"/>
      <c r="AQ178" s="2594"/>
      <c r="AR178" s="2594"/>
      <c r="AS178" s="2594"/>
      <c r="AT178" s="2595" t="str">
        <f>IF($B$2=0,"","P1総合盤露出")</f>
        <v>P1総合盤露出</v>
      </c>
      <c r="AU178" s="2595"/>
      <c r="AV178" s="2595"/>
      <c r="AW178" s="2595"/>
      <c r="AX178" s="2595"/>
      <c r="AY178" s="2595"/>
      <c r="AZ178" s="2595"/>
      <c r="BA178" s="2593" t="str">
        <f>IF(P176="不要","",IF(BD178&lt;&gt;"",BD178,IF([4]Top!$BD$51="要","",AZ177)))</f>
        <v/>
      </c>
      <c r="BB178" s="2593"/>
      <c r="BC178" s="2593"/>
      <c r="BD178" s="2594"/>
      <c r="BE178" s="2594"/>
      <c r="BF178" s="2594"/>
      <c r="BG178" s="2597" t="str">
        <f>IF($B$2=0,"","ﾗｯﾁ電磁レリーズ")</f>
        <v>ﾗｯﾁ電磁レリーズ</v>
      </c>
      <c r="BH178" s="2597"/>
      <c r="BI178" s="2597"/>
      <c r="BJ178" s="2597"/>
      <c r="BK178" s="2597"/>
      <c r="BL178" s="2597"/>
      <c r="BM178" s="2597"/>
      <c r="BN178" s="2597"/>
      <c r="BO178" s="2593" t="str">
        <f>IF(P176="不要","",IF(BR178&lt;&gt;"",BR178,BR177))</f>
        <v/>
      </c>
      <c r="BP178" s="2593"/>
      <c r="BQ178" s="2593"/>
      <c r="BR178" s="2594"/>
      <c r="BS178" s="2594"/>
      <c r="BT178" s="2596"/>
      <c r="BU178" s="19"/>
      <c r="BV178" s="35"/>
      <c r="BW178" s="351" t="s">
        <v>365</v>
      </c>
      <c r="BX178" s="368"/>
      <c r="BY178" s="369"/>
      <c r="BZ178" s="344">
        <f>IF(AA177="",0,IF(OR([6]Top!$BD$72&lt;&gt;"要",C177=""),"",IF(J177&gt;=4,1+INT(AA177*2.4),1+INT(AA177*1.2))))</f>
        <v>0</v>
      </c>
      <c r="CA178" s="360" t="str">
        <f>IF(OR([6]Top!$BD$72&lt;&gt;"要",C177=""),"",IF(J177&gt;=4,1+INT(AD177*2.4),1+INT(AD177*1.2)))</f>
        <v/>
      </c>
      <c r="CB178" s="368"/>
      <c r="CC178" s="369"/>
      <c r="CD178" s="343">
        <f>IF($AX$8&lt;=500,BZ178*2,1+INT(BZ178*2.5))</f>
        <v>1</v>
      </c>
      <c r="CE178" s="360" t="e">
        <f>IF($AX$8&lt;=500,CA178*2,1+INT(CA178*2.5))</f>
        <v>#VALUE!</v>
      </c>
      <c r="CF178" s="368"/>
      <c r="CG178" s="367"/>
      <c r="CH178" s="35"/>
      <c r="CI178" s="133">
        <f>IF(AZ177&lt;&gt;"",AZ177,0)</f>
        <v>0</v>
      </c>
      <c r="CJ178" s="98">
        <f>非誘!BW137</f>
        <v>0</v>
      </c>
      <c r="CK178" s="98">
        <f>非誘!BX137</f>
        <v>0</v>
      </c>
      <c r="CL178" s="88" t="s">
        <v>364</v>
      </c>
      <c r="CM178" s="185" t="str">
        <f>IF(OR(C177="",C177="  RF"),"",IF(J177="直天",$AN$10/1000+F177-1.2+SQRT(CK179/CM179),$AN$10/1000+J177-1.2+SQRT(CK179/CM179)))</f>
        <v/>
      </c>
      <c r="CN178" s="185" t="str">
        <f>IF(OR(C177="",P176="不要"),"",CL177+CK180*AZ177)</f>
        <v/>
      </c>
      <c r="CO178" s="88" t="s">
        <v>364</v>
      </c>
      <c r="CP178" s="185" t="str">
        <f>IF(OR(C177="",C177="  RF"),"",IF(J177="直天",F177-1.2+SQRT(CK179/CM179),IF(AQ176="天井ケーブル",J177-1.2,J177-1.2+SQRT(CK179/CM179))))</f>
        <v/>
      </c>
      <c r="CQ178" s="356" t="str">
        <f>IF(OR(C177="",C177="  RF"),"",IF(AQ176="天井ケーブル","",(CM179-1)*SQRT(CK179/CM179)))</f>
        <v/>
      </c>
      <c r="CR178" s="2589" t="str">
        <f>AG179</f>
        <v>定温SP1種WP</v>
      </c>
      <c r="CS178" s="2590"/>
      <c r="CT178" s="2591"/>
      <c r="CU178" s="184" t="str">
        <f>AN179</f>
        <v/>
      </c>
      <c r="CV178" s="2589" t="str">
        <f>AT178</f>
        <v>P1総合盤露出</v>
      </c>
      <c r="CW178" s="2590"/>
      <c r="CX178" s="2591"/>
      <c r="CY178" s="184" t="str">
        <f>BA178</f>
        <v/>
      </c>
      <c r="CZ178" s="216"/>
      <c r="DA178" s="8"/>
      <c r="DB178" s="197">
        <f t="shared" si="63"/>
        <v>10</v>
      </c>
      <c r="DC178" s="197" t="str">
        <f t="shared" si="64"/>
        <v/>
      </c>
      <c r="DD178" s="201" t="str">
        <f>G179</f>
        <v/>
      </c>
      <c r="DE178" s="8"/>
      <c r="DF178" s="8"/>
      <c r="DG178" s="8"/>
      <c r="DH178" s="8" t="str">
        <f>IF(COUNTIF($DD$15:DD177,DD178)&gt;0,"",DD178)</f>
        <v/>
      </c>
      <c r="DI178" s="252" t="str">
        <f>O179</f>
        <v/>
      </c>
      <c r="DJ178" s="32">
        <f t="shared" si="65"/>
        <v>0</v>
      </c>
      <c r="DK178" s="197">
        <f t="shared" si="58"/>
        <v>4</v>
      </c>
      <c r="DL178" s="197" t="str">
        <f t="shared" si="59"/>
        <v/>
      </c>
      <c r="DM178" s="10" t="str">
        <f>IF(CU178="","",CR178)</f>
        <v/>
      </c>
      <c r="DN178" s="10" t="str">
        <f>CR178</f>
        <v>定温SP1種WP</v>
      </c>
      <c r="DO178" s="10"/>
      <c r="DP178" s="8"/>
      <c r="DQ178" s="8" t="str">
        <f>IF(COUNTIF($DM$15:DM177,DM178)&gt;0,"",DM178)</f>
        <v/>
      </c>
      <c r="DR178" s="200" t="str">
        <f>CU178</f>
        <v/>
      </c>
      <c r="DS178" s="32">
        <f t="shared" si="66"/>
        <v>8</v>
      </c>
      <c r="DT178" s="8"/>
      <c r="DU178" s="197">
        <f t="shared" si="67"/>
        <v>4</v>
      </c>
      <c r="DV178" s="197" t="str">
        <f t="shared" si="68"/>
        <v/>
      </c>
      <c r="DW178" s="201" t="str">
        <f>T178</f>
        <v/>
      </c>
      <c r="DX178" s="8"/>
      <c r="DY178" s="8"/>
      <c r="DZ178" s="8"/>
      <c r="EA178" s="8" t="str">
        <f>IF(COUNTIF($DW$15:DW177,DW178)&gt;0,"",DW178)</f>
        <v/>
      </c>
      <c r="EB178" s="197" t="str">
        <f>AB178</f>
        <v/>
      </c>
      <c r="EC178" s="32">
        <f>SUMIF($DW$17:$DW$184,EA178,$EB$17:$EB$184)</f>
        <v>0</v>
      </c>
    </row>
    <row r="179" spans="1:133" ht="11.25" customHeight="1" thickBot="1">
      <c r="A179" s="15"/>
      <c r="B179" s="176"/>
      <c r="C179" s="2568" t="s">
        <v>363</v>
      </c>
      <c r="D179" s="2569"/>
      <c r="E179" s="2569"/>
      <c r="F179" s="2569"/>
      <c r="G179" s="2592" t="str">
        <f>IF(C177="","","HP 1.2mm-3C")</f>
        <v/>
      </c>
      <c r="H179" s="2592"/>
      <c r="I179" s="2592"/>
      <c r="J179" s="2592"/>
      <c r="K179" s="2592"/>
      <c r="L179" s="2592"/>
      <c r="M179" s="2592"/>
      <c r="N179" s="2592"/>
      <c r="O179" s="2557" t="str">
        <f>IF($B$2=0,"",IF(OR(C177="",P176="不要"),"",ROUND(CN180,0)))</f>
        <v/>
      </c>
      <c r="P179" s="2557"/>
      <c r="Q179" s="2557"/>
      <c r="R179" s="2557"/>
      <c r="S179" s="2557"/>
      <c r="T179" s="2557" t="str">
        <f>IF(OR($B$2=0,C177="",P176="不要"),"",IF(BH176="天井ケーブル","C-19mm",IF(MID(BH176,4,2)="PF","PF-16mm",IF(MID(BH176,4,2)="CD","CD-16mm",IF(MID(BH176,4,2)="C ","C-19mm",IF(MID(BH176,4,2)="G ","G-16mm",""))))))</f>
        <v/>
      </c>
      <c r="U179" s="2557"/>
      <c r="V179" s="2557"/>
      <c r="W179" s="2557"/>
      <c r="X179" s="2557"/>
      <c r="Y179" s="2557"/>
      <c r="Z179" s="2557"/>
      <c r="AA179" s="2557"/>
      <c r="AB179" s="2557" t="str">
        <f>IF($B$2=0,"",IF(OR(C177="",P176="不要",CQ181=""),"",CQ180+CQ181))</f>
        <v/>
      </c>
      <c r="AC179" s="2557"/>
      <c r="AD179" s="2557"/>
      <c r="AE179" s="2557"/>
      <c r="AF179" s="2557"/>
      <c r="AG179" s="2572" t="str">
        <f>IF($B$2=0,"","定温SP1種WP")</f>
        <v>定温SP1種WP</v>
      </c>
      <c r="AH179" s="2572"/>
      <c r="AI179" s="2572"/>
      <c r="AJ179" s="2572"/>
      <c r="AK179" s="2572"/>
      <c r="AL179" s="2572"/>
      <c r="AM179" s="2572"/>
      <c r="AN179" s="2312" t="str">
        <f>IF(OR($B$2=0,P176="不要"),"",IF(AQ179&lt;&gt;"",AQ179,CA179))</f>
        <v/>
      </c>
      <c r="AO179" s="2312"/>
      <c r="AP179" s="2312"/>
      <c r="AQ179" s="2575"/>
      <c r="AR179" s="2575"/>
      <c r="AS179" s="2575"/>
      <c r="AT179" s="2572" t="str">
        <f>IF($B$2=0,"","P1総合盤埋込")</f>
        <v>P1総合盤埋込</v>
      </c>
      <c r="AU179" s="2572"/>
      <c r="AV179" s="2572"/>
      <c r="AW179" s="2572"/>
      <c r="AX179" s="2572"/>
      <c r="AY179" s="2572"/>
      <c r="AZ179" s="2572"/>
      <c r="BA179" s="2312" t="str">
        <f>IF(P176="不要","",IF(BD179&lt;&gt;"",BD179,IF([4]Top!$BD$51&lt;&gt;"要","",AZ177)))</f>
        <v/>
      </c>
      <c r="BB179" s="2312"/>
      <c r="BC179" s="2312"/>
      <c r="BD179" s="2575"/>
      <c r="BE179" s="2575"/>
      <c r="BF179" s="2575"/>
      <c r="BG179" s="2572" t="str">
        <f>IF($B$2=0,"","ｱｰﾑ電磁レリーズ")</f>
        <v>ｱｰﾑ電磁レリーズ</v>
      </c>
      <c r="BH179" s="2572"/>
      <c r="BI179" s="2572"/>
      <c r="BJ179" s="2572"/>
      <c r="BK179" s="2572"/>
      <c r="BL179" s="2572"/>
      <c r="BM179" s="2572"/>
      <c r="BN179" s="2572"/>
      <c r="BO179" s="2312" t="str">
        <f>IF(P176="不要","",IF(BR179&lt;&gt;"",BR179,BR177))</f>
        <v/>
      </c>
      <c r="BP179" s="2312"/>
      <c r="BQ179" s="2312"/>
      <c r="BR179" s="2575"/>
      <c r="BS179" s="2575"/>
      <c r="BT179" s="2576"/>
      <c r="BU179" s="19"/>
      <c r="BV179" s="35"/>
      <c r="BW179" s="351" t="s">
        <v>362</v>
      </c>
      <c r="BX179" s="348"/>
      <c r="BY179" s="349" t="str">
        <f>CA179</f>
        <v/>
      </c>
      <c r="BZ179" s="366"/>
      <c r="CA179" s="360" t="str">
        <f>IF(C177="","",1+INT(W177/200))</f>
        <v/>
      </c>
      <c r="CB179" s="348"/>
      <c r="CC179" s="359" t="str">
        <f>CA179</f>
        <v/>
      </c>
      <c r="CD179" s="365"/>
      <c r="CE179" s="349" t="str">
        <f>CA179</f>
        <v/>
      </c>
      <c r="CF179" s="348"/>
      <c r="CG179" s="357" t="str">
        <f>CA179</f>
        <v/>
      </c>
      <c r="CH179" s="35"/>
      <c r="CI179" s="133">
        <f>IF(BG177&lt;&gt;"",BG177,0)</f>
        <v>0</v>
      </c>
      <c r="CJ179" s="88" t="s">
        <v>361</v>
      </c>
      <c r="CK179" s="107" t="str">
        <f>N177</f>
        <v/>
      </c>
      <c r="CL179" s="88" t="s">
        <v>360</v>
      </c>
      <c r="CM179" s="185">
        <f>SUM(AN178:AP182)</f>
        <v>0</v>
      </c>
      <c r="CN179" s="364"/>
      <c r="CO179" s="168"/>
      <c r="CP179" s="363"/>
      <c r="CQ179" s="150"/>
      <c r="CR179" s="2598" t="str">
        <f>AG180</f>
        <v>補償SP2種</v>
      </c>
      <c r="CS179" s="2599"/>
      <c r="CT179" s="2600"/>
      <c r="CU179" s="362" t="str">
        <f>AN180</f>
        <v/>
      </c>
      <c r="CV179" s="2598" t="str">
        <f>AT179</f>
        <v>P1総合盤埋込</v>
      </c>
      <c r="CW179" s="2599"/>
      <c r="CX179" s="2600"/>
      <c r="CY179" s="362" t="str">
        <f>BA179</f>
        <v/>
      </c>
      <c r="CZ179" s="216"/>
      <c r="DA179" s="8"/>
      <c r="DB179" s="197">
        <f t="shared" si="63"/>
        <v>10</v>
      </c>
      <c r="DC179" s="197" t="str">
        <f t="shared" si="64"/>
        <v/>
      </c>
      <c r="DD179" s="201" t="str">
        <f>G180</f>
        <v/>
      </c>
      <c r="DE179" s="8"/>
      <c r="DF179" s="8"/>
      <c r="DG179" s="8"/>
      <c r="DH179" s="8" t="str">
        <f>IF(COUNTIF($DD$15:DD178,DD179)&gt;0,"",DD179)</f>
        <v/>
      </c>
      <c r="DI179" s="252" t="str">
        <f>O180</f>
        <v/>
      </c>
      <c r="DJ179" s="32">
        <f t="shared" si="65"/>
        <v>0</v>
      </c>
      <c r="DK179" s="197">
        <f t="shared" si="58"/>
        <v>4</v>
      </c>
      <c r="DL179" s="197" t="str">
        <f t="shared" si="59"/>
        <v/>
      </c>
      <c r="DM179" s="10" t="str">
        <f>IF(CU179="","",CR179)</f>
        <v/>
      </c>
      <c r="DN179" s="10" t="str">
        <f>CR179</f>
        <v>補償SP2種</v>
      </c>
      <c r="DO179" s="10"/>
      <c r="DP179" s="8"/>
      <c r="DQ179" s="8" t="str">
        <f>IF(COUNTIF($DM$15:DM178,DM179)&gt;0,"",DM179)</f>
        <v/>
      </c>
      <c r="DR179" s="200" t="str">
        <f>CU179</f>
        <v/>
      </c>
      <c r="DS179" s="32">
        <f t="shared" si="66"/>
        <v>8</v>
      </c>
      <c r="DT179" s="8"/>
      <c r="DU179" s="197">
        <f t="shared" si="67"/>
        <v>4</v>
      </c>
      <c r="DV179" s="197" t="str">
        <f t="shared" si="68"/>
        <v/>
      </c>
      <c r="DW179" s="201" t="str">
        <f>T179</f>
        <v/>
      </c>
      <c r="DX179" s="8"/>
      <c r="DY179" s="8"/>
      <c r="DZ179" s="8"/>
      <c r="EA179" s="8" t="str">
        <f>IF(COUNTIF($DW$15:DW178,DW179)&gt;0,"",DW179)</f>
        <v/>
      </c>
      <c r="EB179" s="197" t="str">
        <f>AB179</f>
        <v/>
      </c>
      <c r="EC179" s="32">
        <f>SUMIF($DW$17:$DW$184,EA179,$EB$17:$EB$184)</f>
        <v>0</v>
      </c>
    </row>
    <row r="180" spans="1:133" ht="11.25" customHeight="1" thickBot="1">
      <c r="A180" s="15"/>
      <c r="B180" s="23"/>
      <c r="C180" s="2568"/>
      <c r="D180" s="2569"/>
      <c r="E180" s="2569"/>
      <c r="F180" s="2569"/>
      <c r="G180" s="2584" t="str">
        <f>IF(C177="","","HP 1.2mm-5C")</f>
        <v/>
      </c>
      <c r="H180" s="2584"/>
      <c r="I180" s="2584"/>
      <c r="J180" s="2584"/>
      <c r="K180" s="2584"/>
      <c r="L180" s="2584"/>
      <c r="M180" s="2584"/>
      <c r="N180" s="2584"/>
      <c r="O180" s="2585" t="str">
        <f>IF($B$2=0,"",IF(OR(C177="",P176="不要"),"",ROUND(CM180,0)))</f>
        <v/>
      </c>
      <c r="P180" s="2585"/>
      <c r="Q180" s="2585"/>
      <c r="R180" s="2585"/>
      <c r="S180" s="2585"/>
      <c r="T180" s="2585" t="str">
        <f>IF(OR($B$2=0,C177="",P176="不要"),"",IF(BH176="天井ケーブル","C-25mm",IF(MID(BH176,4,2)="PF","PF-22mm",IF(MID(BH176,4,2)="CD","CD-22mm",IF(MID(BH176,4,2)="C ","C-25mm",IF(MID(BH176,4,2)="G ","G-22mm",""))))))</f>
        <v/>
      </c>
      <c r="U180" s="2585"/>
      <c r="V180" s="2585"/>
      <c r="W180" s="2585"/>
      <c r="X180" s="2585"/>
      <c r="Y180" s="2585"/>
      <c r="Z180" s="2585"/>
      <c r="AA180" s="2585"/>
      <c r="AB180" s="2585" t="str">
        <f>IF(OR($B$2=0,C177="",P176="不要"),"",CP180)</f>
        <v/>
      </c>
      <c r="AC180" s="2585"/>
      <c r="AD180" s="2585"/>
      <c r="AE180" s="2585"/>
      <c r="AF180" s="2585"/>
      <c r="AG180" s="2572" t="str">
        <f>IF($B$2=0,"","補償SP2種")</f>
        <v>補償SP2種</v>
      </c>
      <c r="AH180" s="2572"/>
      <c r="AI180" s="2572"/>
      <c r="AJ180" s="2572"/>
      <c r="AK180" s="2572"/>
      <c r="AL180" s="2572"/>
      <c r="AM180" s="2572"/>
      <c r="AN180" s="2312" t="str">
        <f>IF(OR($B$2=0,P176="不要"),"",IF(AQ180&lt;&gt;"",AQ180,CA180))</f>
        <v/>
      </c>
      <c r="AO180" s="2312"/>
      <c r="AP180" s="2312"/>
      <c r="AQ180" s="2575"/>
      <c r="AR180" s="2575"/>
      <c r="AS180" s="2575"/>
      <c r="AT180" s="2546" t="str">
        <f>IF($B$2=0,"","HP起動押ボタン")</f>
        <v>HP起動押ボタン</v>
      </c>
      <c r="AU180" s="2546"/>
      <c r="AV180" s="2546"/>
      <c r="AW180" s="2546"/>
      <c r="AX180" s="2546"/>
      <c r="AY180" s="2546"/>
      <c r="AZ180" s="2546"/>
      <c r="BA180" s="2544" t="str">
        <f>IF(P176="不要","",IF(BD180&lt;&gt;"",BD180,IF([4]Top!$BL$51="要",AZ177,"")))</f>
        <v/>
      </c>
      <c r="BB180" s="2544"/>
      <c r="BC180" s="2544"/>
      <c r="BD180" s="2573"/>
      <c r="BE180" s="2573"/>
      <c r="BF180" s="2573"/>
      <c r="BG180" s="2546" t="str">
        <f>IF($B$2=0,"","光電式煙3種埋")</f>
        <v>光電式煙3種埋</v>
      </c>
      <c r="BH180" s="2546"/>
      <c r="BI180" s="2546"/>
      <c r="BJ180" s="2546"/>
      <c r="BK180" s="2546"/>
      <c r="BL180" s="2546"/>
      <c r="BM180" s="2546"/>
      <c r="BN180" s="2546"/>
      <c r="BO180" s="2544" t="str">
        <f>IF(OR($B$2=0,C177="",P176="不要"),"",IF(BR180&lt;&gt;"",BR180,2*BR177))</f>
        <v/>
      </c>
      <c r="BP180" s="2544"/>
      <c r="BQ180" s="2544"/>
      <c r="BR180" s="2573"/>
      <c r="BS180" s="2573"/>
      <c r="BT180" s="2574"/>
      <c r="BU180" s="19"/>
      <c r="BV180" s="35"/>
      <c r="BW180" s="351" t="s">
        <v>359</v>
      </c>
      <c r="BX180" s="361"/>
      <c r="BY180" s="349" t="str">
        <f>CA180</f>
        <v/>
      </c>
      <c r="BZ180" s="348"/>
      <c r="CA180" s="360" t="str">
        <f>IF(C177="","",1+INT(W177/200))</f>
        <v/>
      </c>
      <c r="CB180" s="358"/>
      <c r="CC180" s="359" t="str">
        <f>CA180</f>
        <v/>
      </c>
      <c r="CD180" s="346"/>
      <c r="CE180" s="349" t="str">
        <f>CA180</f>
        <v/>
      </c>
      <c r="CF180" s="358"/>
      <c r="CG180" s="357" t="str">
        <f>CA180</f>
        <v/>
      </c>
      <c r="CH180" s="35"/>
      <c r="CI180" s="133">
        <f>IF(BR177&lt;&gt;"",BR177,0)</f>
        <v>0</v>
      </c>
      <c r="CJ180" s="88" t="s">
        <v>121</v>
      </c>
      <c r="CK180" s="187" t="str">
        <f>IF(OR(C177="",C177="  RF"),"",IF($AX$8=0,0,2*($AX$8/1000-0.15-0.1)*(INT(1000*CJ178/$BF$8)+1)*(INT(1000*CK178/$BF$8)+1)*4))</f>
        <v/>
      </c>
      <c r="CL180" s="187" t="s">
        <v>358</v>
      </c>
      <c r="CM180" s="139" t="str">
        <f>IF(OR(C177="",C177="  RF"),"",IF(J177="直天",$AN$8/1000+F177-1.2+CJ178+CK178/2,$AN$8/1000+J177-1.2+CJ178+CK178/2))</f>
        <v/>
      </c>
      <c r="CN180" s="136" t="str">
        <f>IF(OR(C177="",C177="  RF"),"",IF(J177="直天",F177-$Y$8/1000+F177-$Y$9/1000+2*8+($AN$7+2*$AN$9)/1000,J177-$Y$8/1000+J177-$Y$9/1000+2*8+($AN$7+2*$AN$9)/1000))</f>
        <v/>
      </c>
      <c r="CO180" s="151" t="s">
        <v>358</v>
      </c>
      <c r="CP180" s="185" t="str">
        <f>IF(OR(C177="",C177="  RF"),"",IF(J177="直天",F177-1.2+CJ178+CK178/2,IF(AQ176="天井ケーブル",J177-1.2,J177-1.2+CJ178+CK178/2)))</f>
        <v/>
      </c>
      <c r="CQ180" s="356" t="str">
        <f>IF(OR(C177="",C177="  RF"),"",IF(J177="直天",F177-$Y$8/1000+F177-$Y$9/1000+2*8,IF(BH176="天井ケーブル",J177-$Y$8/1000+J177-$Y$9/1000,J177-$Y$8/1000+J177-$Y$9/1000+2*8)))</f>
        <v/>
      </c>
      <c r="CR180" s="355" t="s">
        <v>87</v>
      </c>
      <c r="CS180" s="336" t="s">
        <v>357</v>
      </c>
      <c r="CT180" s="336" t="s">
        <v>81</v>
      </c>
      <c r="CU180" s="192" t="s">
        <v>356</v>
      </c>
      <c r="CV180" s="336" t="s">
        <v>83</v>
      </c>
      <c r="CW180" s="336" t="s">
        <v>355</v>
      </c>
      <c r="CX180" s="336" t="s">
        <v>354</v>
      </c>
      <c r="CY180" s="354" t="s">
        <v>353</v>
      </c>
      <c r="CZ180" s="216"/>
      <c r="DA180" s="8"/>
      <c r="DB180" s="197">
        <f t="shared" si="63"/>
        <v>10</v>
      </c>
      <c r="DC180" s="197" t="str">
        <f t="shared" si="64"/>
        <v/>
      </c>
      <c r="DD180" s="201" t="str">
        <f>G181</f>
        <v/>
      </c>
      <c r="DE180" s="8"/>
      <c r="DF180" s="8"/>
      <c r="DG180" s="8"/>
      <c r="DH180" s="8" t="str">
        <f>IF(COUNTIF($DD$15:DD179,DD180)&gt;0,"",DD180)</f>
        <v/>
      </c>
      <c r="DI180" s="252" t="str">
        <f>O181</f>
        <v/>
      </c>
      <c r="DJ180" s="32">
        <f t="shared" si="65"/>
        <v>0</v>
      </c>
      <c r="DK180" s="197">
        <f t="shared" si="58"/>
        <v>4</v>
      </c>
      <c r="DL180" s="197" t="str">
        <f t="shared" si="59"/>
        <v/>
      </c>
      <c r="DM180" s="11" t="str">
        <f>IF(CY176="","",CV176)</f>
        <v/>
      </c>
      <c r="DN180" s="11"/>
      <c r="DO180" s="11"/>
      <c r="DP180" s="9"/>
      <c r="DQ180" s="9" t="str">
        <f>IF(COUNTIF($DM$15:DM179,DM180)&gt;0,"",DM180)</f>
        <v/>
      </c>
      <c r="DR180" s="200" t="str">
        <f>CY176</f>
        <v/>
      </c>
      <c r="DS180" s="32">
        <f t="shared" si="66"/>
        <v>8</v>
      </c>
      <c r="DT180" s="8"/>
      <c r="DU180" s="197">
        <f t="shared" si="67"/>
        <v>4</v>
      </c>
      <c r="DV180" s="197" t="str">
        <f t="shared" si="68"/>
        <v/>
      </c>
      <c r="DW180" s="201" t="str">
        <f>T180</f>
        <v/>
      </c>
      <c r="DX180" s="8"/>
      <c r="DY180" s="8"/>
      <c r="DZ180" s="8"/>
      <c r="EA180" s="8" t="str">
        <f>IF(COUNTIF($DW$15:DW179,DW180)&gt;0,"",DW180)</f>
        <v/>
      </c>
      <c r="EB180" s="197" t="str">
        <f>AB180</f>
        <v/>
      </c>
      <c r="EC180" s="32">
        <f>SUMIF($DW$17:$DW$184,EA180,$EB$17:$EB$184)</f>
        <v>0</v>
      </c>
    </row>
    <row r="181" spans="1:133" ht="11.25" customHeight="1" thickBot="1">
      <c r="A181" s="15"/>
      <c r="B181" s="23"/>
      <c r="C181" s="2568" t="s">
        <v>352</v>
      </c>
      <c r="D181" s="2569"/>
      <c r="E181" s="2569"/>
      <c r="F181" s="2569"/>
      <c r="G181" s="2557" t="str">
        <f>IF(OR($B$2=0,C177="",P176="不要"),"",IF(CR181&lt;10,"FCPEV 0.9-5Pr",IF(CR181&lt;20,"FCPEV 0.9- 10Pr",IF(CR181&lt;30,"FCPEV 0.9- 15Pr",IF(CR181&lt;40,"FCPEV 0.9- 20Pr","")))))</f>
        <v/>
      </c>
      <c r="H181" s="2557"/>
      <c r="I181" s="2557"/>
      <c r="J181" s="2557"/>
      <c r="K181" s="2557"/>
      <c r="L181" s="2557"/>
      <c r="M181" s="2557"/>
      <c r="N181" s="2557"/>
      <c r="O181" s="2557" t="str">
        <f>IF(OR(C177="",P176="不要",G181=""),"",INT(AZ177*(CJ178+CK178)/4))</f>
        <v/>
      </c>
      <c r="P181" s="2557"/>
      <c r="Q181" s="2557"/>
      <c r="R181" s="2557"/>
      <c r="S181" s="2557"/>
      <c r="T181" s="2558" t="str">
        <f>IF(OR(C177="",P176="不要",G181=""),"",IF(AQ176="天井ケーブル","C-"&amp;CM182&amp;"mm",IF(MID(AQ176,4,2)="PF","PF-"&amp;CL182&amp;"mm",IF(MID(AQ176,4,2)="CD","CD-"&amp;CL182&amp;"mm",IF(MID(AQ176,4,2)="C ","C-"&amp;CM182&amp;"mm",IF(MID(AQ176,4,2)="G ","G-"&amp;CL182&amp;"mm"))))))</f>
        <v/>
      </c>
      <c r="U181" s="2557"/>
      <c r="V181" s="2557"/>
      <c r="W181" s="2557"/>
      <c r="X181" s="2557"/>
      <c r="Y181" s="2557"/>
      <c r="Z181" s="2557"/>
      <c r="AA181" s="2557"/>
      <c r="AB181" s="2557" t="str">
        <f>IF(OR(C177="",P176="不要",G181=""),"",IF(AQ176="天井ケーブル",2*AZ177*(F177-$Y$7/1000),O181*0.9))</f>
        <v/>
      </c>
      <c r="AC181" s="2557"/>
      <c r="AD181" s="2557"/>
      <c r="AE181" s="2557"/>
      <c r="AF181" s="2557"/>
      <c r="AG181" s="2572" t="str">
        <f>IF($B$2=0,"","光電式煙2種埋")</f>
        <v>光電式煙2種埋</v>
      </c>
      <c r="AH181" s="2572"/>
      <c r="AI181" s="2572"/>
      <c r="AJ181" s="2572"/>
      <c r="AK181" s="2572"/>
      <c r="AL181" s="2572"/>
      <c r="AM181" s="2572"/>
      <c r="AN181" s="2312" t="str">
        <f>IF(OR(C177="",$B$2=0,P176="不要"),"",IF(AQ181&lt;&gt;"",AQ181,IF(AX182="B",BX181+BY181,IF(AND(BL181="耐 火",AZ181="無窓"),CB181+CC181,IF(AND(BL181&lt;&gt;"耐 火",AZ181="無窓"),CF181+CG181,"")))))</f>
        <v/>
      </c>
      <c r="AO181" s="2312"/>
      <c r="AP181" s="2312"/>
      <c r="AQ181" s="2339"/>
      <c r="AR181" s="2339"/>
      <c r="AS181" s="2551"/>
      <c r="AT181" s="2577" t="str">
        <f>IF(C177="","","消防法上")</f>
        <v/>
      </c>
      <c r="AU181" s="2289"/>
      <c r="AV181" s="2289"/>
      <c r="AW181" s="2289"/>
      <c r="AX181" s="2289"/>
      <c r="AY181" s="2578"/>
      <c r="AZ181" s="2579" t="str">
        <f>IF($B$2=0,"",IF(BD181="",[4]Top!$BO$26,BD181))</f>
        <v>無窓</v>
      </c>
      <c r="BA181" s="2394"/>
      <c r="BB181" s="2580"/>
      <c r="BC181" s="353" t="s">
        <v>34</v>
      </c>
      <c r="BD181" s="2552"/>
      <c r="BE181" s="2552"/>
      <c r="BF181" s="2553"/>
      <c r="BG181" s="2581" t="str">
        <f>IF(C177="","","耐火構造")</f>
        <v/>
      </c>
      <c r="BH181" s="2289"/>
      <c r="BI181" s="2289"/>
      <c r="BJ181" s="2289"/>
      <c r="BK181" s="2290"/>
      <c r="BL181" s="2278" t="str">
        <f>IF($B$2=0,"",IF(BQ181="",[4]Top!$AN$18,BQ181))</f>
        <v>耐 火</v>
      </c>
      <c r="BM181" s="2394"/>
      <c r="BN181" s="2394"/>
      <c r="BO181" s="2580"/>
      <c r="BP181" s="352" t="s">
        <v>34</v>
      </c>
      <c r="BQ181" s="2582"/>
      <c r="BR181" s="2552"/>
      <c r="BS181" s="2552"/>
      <c r="BT181" s="2583"/>
      <c r="BU181" s="19"/>
      <c r="BV181" s="35"/>
      <c r="BW181" s="351" t="s">
        <v>351</v>
      </c>
      <c r="BX181" s="350" t="str">
        <f>CB181</f>
        <v/>
      </c>
      <c r="BY181" s="349" t="str">
        <f>CC181</f>
        <v/>
      </c>
      <c r="BZ181" s="348"/>
      <c r="CA181" s="345"/>
      <c r="CB181" s="344" t="str">
        <f>IF(OR([6]Top!$BD$72&lt;&gt;"要",C177=""),"",IF(J177&gt;=4,1+INT(BZ178*0.47),1+INT(BZ178*0.47)))</f>
        <v/>
      </c>
      <c r="CC181" s="347" t="str">
        <f>IF(OR([6]Top!$BD$72&lt;&gt;"要",C177=""),"",IF(J177&gt;=4,1+INT(CA178*0.47),1+INT(CA178*0.47)))</f>
        <v/>
      </c>
      <c r="CD181" s="346"/>
      <c r="CE181" s="345"/>
      <c r="CF181" s="344">
        <f>IF(AND(AX168&lt;720,J177&lt;4),1+INT(CD178*0.47),1+INT(CD178*0.94))</f>
        <v>1</v>
      </c>
      <c r="CG181" s="343" t="e">
        <f>IF(AND(AX168&lt;720,J177&lt;4),1+INT(CE178*0.47),1+INT(CE178*0.94))</f>
        <v>#VALUE!</v>
      </c>
      <c r="CH181" s="35"/>
      <c r="CI181" s="133" t="str">
        <f>IF(AND(C177&lt;&gt;"",LEFT(C177,2)&lt;&gt;" P"),CI173+F177,"")</f>
        <v/>
      </c>
      <c r="CJ181" s="88" t="s">
        <v>350</v>
      </c>
      <c r="CK181" s="182" t="s">
        <v>349</v>
      </c>
      <c r="CL181" s="342" t="str">
        <f>IF(OR(C177="",C177="  RF"),"",IF(AZ186&lt;&gt;"",AZ177,AZ177+BG177))</f>
        <v/>
      </c>
      <c r="CM181" s="341" t="s">
        <v>348</v>
      </c>
      <c r="CN181" s="219" t="s">
        <v>347</v>
      </c>
      <c r="CO181" s="138" t="str">
        <f>IF(OR(C177="",P176="不要"),"",AZ177*INT(CJ178+CK178)/5)</f>
        <v/>
      </c>
      <c r="CP181" s="151" t="s">
        <v>347</v>
      </c>
      <c r="CQ181" s="340" t="str">
        <f>IF(AQ176="天井ケーブル",F177,CO181)</f>
        <v/>
      </c>
      <c r="CR181" s="339">
        <f>SUM(CS181:CX181)</f>
        <v>6</v>
      </c>
      <c r="CS181" s="338" t="str">
        <f>AZ177</f>
        <v/>
      </c>
      <c r="CT181" s="338">
        <f>IF(BA177="",0,BA177)</f>
        <v>0</v>
      </c>
      <c r="CU181" s="88">
        <v>1</v>
      </c>
      <c r="CV181" s="222">
        <v>1</v>
      </c>
      <c r="CW181" s="222">
        <v>2</v>
      </c>
      <c r="CX181" s="222">
        <v>2</v>
      </c>
      <c r="CY181" s="337" t="str">
        <f>IF(CK176="=",3*BR177+2,"")</f>
        <v/>
      </c>
      <c r="CZ181" s="218"/>
      <c r="DA181" s="8"/>
      <c r="DB181" s="197">
        <f t="shared" si="63"/>
        <v>10</v>
      </c>
      <c r="DC181" s="197" t="str">
        <f t="shared" si="64"/>
        <v/>
      </c>
      <c r="DD181" s="201" t="str">
        <f>G182</f>
        <v/>
      </c>
      <c r="DE181" s="8"/>
      <c r="DF181" s="8"/>
      <c r="DG181" s="8"/>
      <c r="DH181" s="8" t="str">
        <f>IF(COUNTIF($DD$15:DD180,DD181)&gt;0,"",DD181)</f>
        <v/>
      </c>
      <c r="DI181" s="252" t="str">
        <f>O182</f>
        <v/>
      </c>
      <c r="DJ181" s="32">
        <f t="shared" si="65"/>
        <v>0</v>
      </c>
      <c r="DK181" s="197">
        <f t="shared" si="58"/>
        <v>4</v>
      </c>
      <c r="DL181" s="197" t="str">
        <f t="shared" si="59"/>
        <v/>
      </c>
      <c r="DM181" s="11" t="str">
        <f>IF(AN182="","",AG182)</f>
        <v/>
      </c>
      <c r="DN181" s="11"/>
      <c r="DO181" s="11"/>
      <c r="DP181" s="9"/>
      <c r="DQ181" s="9" t="str">
        <f>IF(COUNTIF($DM$15:DM180,DM181)&gt;0,"",DM181)</f>
        <v/>
      </c>
      <c r="DR181" s="101" t="str">
        <f>AN182</f>
        <v/>
      </c>
      <c r="DS181" s="32">
        <f t="shared" si="66"/>
        <v>8</v>
      </c>
      <c r="DT181" s="8"/>
      <c r="DU181" s="197">
        <f t="shared" si="67"/>
        <v>4</v>
      </c>
      <c r="DV181" s="197" t="str">
        <f t="shared" si="68"/>
        <v/>
      </c>
      <c r="DW181" s="201" t="str">
        <f>T181</f>
        <v/>
      </c>
      <c r="DX181" s="8"/>
      <c r="DY181" s="8"/>
      <c r="DZ181" s="8"/>
      <c r="EA181" s="8" t="str">
        <f>IF(COUNTIF($DW$15:DW180,DW181)&gt;0,"",DW181)</f>
        <v/>
      </c>
      <c r="EB181" s="197" t="str">
        <f>AB181</f>
        <v/>
      </c>
      <c r="EC181" s="32">
        <f>SUMIF($DW$17:$DW$184,EA181,$EB$17:$EB$184)</f>
        <v>0</v>
      </c>
    </row>
    <row r="182" spans="1:133" ht="11.25" customHeight="1" thickBot="1">
      <c r="A182" s="15"/>
      <c r="B182" s="23"/>
      <c r="C182" s="2570"/>
      <c r="D182" s="2571"/>
      <c r="E182" s="2571"/>
      <c r="F182" s="2571"/>
      <c r="G182" s="2554" t="str">
        <f>IF(OR($B$2=0,P176="不要"),"",IF(CR182=0,"",IF(OR(C177="",P176="不要"),"",IF(CR182&lt;10,"FCPEV 1.2-5Pr",IF(CR182&lt;20,"FCPEV 1.2- 10Pr",IF(CR182&lt;30,"FCPEV 1.2- 15Pr",IF(CR182&lt;40,"FCPEV 1.2- 20Pr",IF(CR182&lt;60,"FCPEV 1.2- 30Pr",IF(CR182&lt;100,"FCPEV 1.2- 50Pr",IF(CR182&lt;140,"FCPEV 1.2- 70Pr",IF(CR182&lt;200,"FCPEV 1.2-100Pr","FCPEV 1.2-200Pr")))))))))))</f>
        <v/>
      </c>
      <c r="H182" s="2555"/>
      <c r="I182" s="2555"/>
      <c r="J182" s="2555"/>
      <c r="K182" s="2555"/>
      <c r="L182" s="2555"/>
      <c r="M182" s="2555"/>
      <c r="N182" s="2555"/>
      <c r="O182" s="2555" t="str">
        <f>IF(OR(G182="",C177="",P176="不要"),"",CO181)</f>
        <v/>
      </c>
      <c r="P182" s="2555"/>
      <c r="Q182" s="2555"/>
      <c r="R182" s="2555"/>
      <c r="S182" s="2555"/>
      <c r="T182" s="2555" t="str">
        <f>IF(OR(G182="",C177="",P176="不要"),"",IF(AQ176="天井ケーブル","C-"&amp;CO182&amp;"mm",IF(MID(AQ176,4,2)="PF","PF-"&amp;CN182&amp;"mm",IF(MID(AQ176,4,2)="CD","CD-"&amp;CN182&amp;"mm",IF(MID(AQ176,4,2)="C ","C-"&amp;CO182&amp;"mm",IF(MID(AQ176,4,2)="G ","G-"&amp;CN182&amp;"mm"))))))</f>
        <v/>
      </c>
      <c r="U182" s="2555"/>
      <c r="V182" s="2555"/>
      <c r="W182" s="2555"/>
      <c r="X182" s="2555"/>
      <c r="Y182" s="2555"/>
      <c r="Z182" s="2555"/>
      <c r="AA182" s="2555"/>
      <c r="AB182" s="2555" t="str">
        <f>IF(OR(G182="",P176="不要"),"",CQ181)</f>
        <v/>
      </c>
      <c r="AC182" s="2555"/>
      <c r="AD182" s="2555"/>
      <c r="AE182" s="2555"/>
      <c r="AF182" s="2555"/>
      <c r="AG182" s="2556" t="str">
        <f>IF($B$2=0,"","定温SP1種Exp")</f>
        <v>定温SP1種Exp</v>
      </c>
      <c r="AH182" s="2556"/>
      <c r="AI182" s="2556"/>
      <c r="AJ182" s="2556"/>
      <c r="AK182" s="2556"/>
      <c r="AL182" s="2556"/>
      <c r="AM182" s="2556"/>
      <c r="AN182" s="2335" t="str">
        <f>IF(AQ182&lt;&gt;"",AQ182,"")</f>
        <v/>
      </c>
      <c r="AO182" s="2335"/>
      <c r="AP182" s="2335"/>
      <c r="AQ182" s="2566"/>
      <c r="AR182" s="2566"/>
      <c r="AS182" s="2567"/>
      <c r="AT182" s="2586" t="str">
        <f>IF(C177="","","盤位置")</f>
        <v/>
      </c>
      <c r="AU182" s="2587"/>
      <c r="AV182" s="2587"/>
      <c r="AW182" s="2587"/>
      <c r="AX182" s="2588" t="str">
        <f>非誘!V136</f>
        <v/>
      </c>
      <c r="AY182" s="2588"/>
      <c r="AZ182" s="2588"/>
      <c r="BA182" s="2559" t="str">
        <f>IF(C177="","","専部屋面積")</f>
        <v/>
      </c>
      <c r="BB182" s="2560"/>
      <c r="BC182" s="2560"/>
      <c r="BD182" s="2560"/>
      <c r="BE182" s="2560"/>
      <c r="BF182" s="2561"/>
      <c r="BG182" s="2562" t="str">
        <f>IF(OR(C177="",S177=""),"",S177/AA177)</f>
        <v/>
      </c>
      <c r="BH182" s="2563"/>
      <c r="BI182" s="2563"/>
      <c r="BJ182" s="2564"/>
      <c r="BK182" s="2559" t="str">
        <f>IF(C177="","","共部屋面積")</f>
        <v/>
      </c>
      <c r="BL182" s="2560"/>
      <c r="BM182" s="2560"/>
      <c r="BN182" s="2560"/>
      <c r="BO182" s="2560"/>
      <c r="BP182" s="2561"/>
      <c r="BQ182" s="2562" t="str">
        <f>IF(OR($B$2=0,C177=""),"",W177/AD177)</f>
        <v/>
      </c>
      <c r="BR182" s="2563"/>
      <c r="BS182" s="2563"/>
      <c r="BT182" s="2565"/>
      <c r="BU182" s="19"/>
      <c r="BV182" s="35"/>
      <c r="BW182" s="35"/>
      <c r="BX182" s="35"/>
      <c r="BY182" s="35"/>
      <c r="BZ182" s="35"/>
      <c r="CA182" s="35"/>
      <c r="CB182" s="35"/>
      <c r="CC182" s="35"/>
      <c r="CD182" s="35"/>
      <c r="CE182" s="35"/>
      <c r="CF182" s="35"/>
      <c r="CG182" s="35"/>
      <c r="CH182" s="35"/>
      <c r="CI182" s="8"/>
      <c r="CJ182" s="8"/>
      <c r="CK182" s="8"/>
      <c r="CL182" s="336" t="str">
        <f>IF(OR(RIGHT(G181,3)="5Pr",RIGHT(G181,4)="10Pr",RIGHT(G181,4)="15Pr"),"28",IF(OR(RIGHT(G181,4)="20Pr",RIGHT(G181,4)="30Pr"),"36",IF(OR(RIGHT(G181,4)="50Pr",RIGHT(G181,4)="70Pr"),"42","")))</f>
        <v/>
      </c>
      <c r="CM182" s="336" t="str">
        <f>IF(OR(RIGHT(G181,3)="5Pr",RIGHT(G181,4)="10Pr",RIGHT(G181,4)="15Pr"),"31",IF(OR(RIGHT(G181,4)="20Pr",RIGHT(G181,4)="30Pr"),"39",IF(OR(RIGHT(G181,4)="50Pr",RIGHT(G181,4)="70Pr"),"51","")))</f>
        <v/>
      </c>
      <c r="CN182" s="86" t="str">
        <f>IF(OR(RIGHT(G182,3)="5Pr",RIGHT(G182,4)="10Pr",RIGHT(G182,4)="15Pr"),"28",IF(OR(RIGHT(G182,4)="20Pr",RIGHT(G182,4)="30Pr"),"36",IF(OR(RIGHT(G182,4)="50Pr",RIGHT(G182,4)="70Pr"),"42","")))</f>
        <v/>
      </c>
      <c r="CO182" s="86" t="str">
        <f>IF(OR(RIGHT(G182,3)="5Pr",RIGHT(G182,4)="10Pr",RIGHT(G182,4)="15Pr"),"31",IF(OR(RIGHT(G182,4)="20Pr",RIGHT(G182,4)="30Pr"),"39",IF(OR(RIGHT(G182,4)="50Pr",RIGHT(G182,4)="70Pr"),"51","")))</f>
        <v/>
      </c>
      <c r="CP182" s="9"/>
      <c r="CQ182" s="9"/>
      <c r="CR182" s="335">
        <f>IF(P176="不要","",SUM(CS182:CX182))</f>
        <v>0</v>
      </c>
      <c r="CS182" s="334">
        <f>IF(OR(CK176="",CK176="=",P176="不要"),0,IF(CK176="－",CL181+CS174,IF(CK176="+",CL181+#REF!)))</f>
        <v>0</v>
      </c>
      <c r="CT182" s="188">
        <f>IF(OR(CK176="",CK176="=",P176="不要"),0,IF(CS182&lt;7,1,IF(CS182&lt;14,2,IF(CS182&lt;21,3,IF(CS182&lt;28,4,IF(CS182&lt;35,5,IF(CS182&lt;42,6,IF(CS182&lt;49,7,IF(CS182&lt;56,8,IF(CS182&lt;63,9,IF(CS182&lt;70,10,IF(CS182&lt;77,11,"---"))))))))))))</f>
        <v>0</v>
      </c>
      <c r="CU182" s="188">
        <f>IF(CS182=0,0,1)</f>
        <v>0</v>
      </c>
      <c r="CV182" s="333">
        <f>IF(CS182=0,0,1)</f>
        <v>0</v>
      </c>
      <c r="CW182" s="333">
        <f>IF(CS182=0,0,2)</f>
        <v>0</v>
      </c>
      <c r="CX182" s="333">
        <f>IF(CS182=0,0,2)</f>
        <v>0</v>
      </c>
      <c r="CY182" s="332">
        <f>IF(BR186="",0,IF(CK176="=",0,IF(CK176="－",2*BR177+3,IF(CK176="+",2*(BR177+BR186)+3,""))))</f>
        <v>0</v>
      </c>
      <c r="CZ182" s="216"/>
      <c r="DA182" s="9"/>
      <c r="DB182" s="127">
        <f t="shared" si="63"/>
        <v>10</v>
      </c>
      <c r="DC182" s="127" t="str">
        <f t="shared" si="64"/>
        <v/>
      </c>
      <c r="DD182" s="11" t="str">
        <f>CR176</f>
        <v>防火区画処理</v>
      </c>
      <c r="DE182" s="9"/>
      <c r="DF182" s="9"/>
      <c r="DG182" s="9"/>
      <c r="DH182" s="9" t="str">
        <f>IF(COUNTIF($DD$15:DD181,DD182)&gt;0,"",DD182)</f>
        <v/>
      </c>
      <c r="DI182" s="242" t="str">
        <f>CU176</f>
        <v/>
      </c>
      <c r="DJ182" s="32">
        <f t="shared" si="65"/>
        <v>0</v>
      </c>
      <c r="DK182" s="127">
        <f t="shared" si="58"/>
        <v>4</v>
      </c>
      <c r="DL182" s="127" t="str">
        <f t="shared" si="59"/>
        <v/>
      </c>
      <c r="DM182" s="11" t="str">
        <f>IF(CY177="","",CV177)</f>
        <v/>
      </c>
      <c r="DN182" s="11"/>
      <c r="DO182" s="11"/>
      <c r="DP182" s="9"/>
      <c r="DQ182" s="9" t="str">
        <f>IF(COUNTIF($DM$15:DM181,DM182)&gt;0,"",DM182)</f>
        <v/>
      </c>
      <c r="DR182" s="101" t="str">
        <f>CY177</f>
        <v/>
      </c>
      <c r="DS182" s="32">
        <f t="shared" si="66"/>
        <v>8</v>
      </c>
      <c r="DT182" s="9"/>
      <c r="DU182" s="197">
        <f t="shared" si="67"/>
        <v>4</v>
      </c>
      <c r="DV182" s="197" t="str">
        <f t="shared" si="68"/>
        <v/>
      </c>
      <c r="DW182" s="201" t="str">
        <f>T182</f>
        <v/>
      </c>
      <c r="DX182" s="8"/>
      <c r="DY182" s="8"/>
      <c r="DZ182" s="8"/>
      <c r="EA182" s="8" t="str">
        <f>IF(COUNTIF($DW$15:DW181,DW182)&gt;0,"",DW182)</f>
        <v/>
      </c>
      <c r="EB182" s="197" t="str">
        <f>AB182</f>
        <v/>
      </c>
      <c r="EC182" s="32">
        <f>SUMIF($DW$17:$DW$184,EA182,$EB$17:$EB$184)</f>
        <v>0</v>
      </c>
    </row>
    <row r="183" spans="1:133" ht="11.25" customHeight="1">
      <c r="A183" s="15"/>
      <c r="B183" s="23"/>
      <c r="C183" s="37"/>
      <c r="D183" s="37"/>
      <c r="E183" s="37"/>
      <c r="F183" s="37"/>
      <c r="G183" s="331"/>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157"/>
      <c r="AH183" s="157"/>
      <c r="AI183" s="157"/>
      <c r="AJ183" s="157"/>
      <c r="AK183" s="157"/>
      <c r="AL183" s="157"/>
      <c r="AM183" s="157"/>
      <c r="AN183" s="330"/>
      <c r="AO183" s="330"/>
      <c r="AP183" s="330"/>
      <c r="AQ183" s="330"/>
      <c r="AR183" s="330"/>
      <c r="AS183" s="330"/>
      <c r="AT183" s="37"/>
      <c r="AU183" s="37"/>
      <c r="AV183" s="37"/>
      <c r="AW183" s="37"/>
      <c r="AX183" s="329"/>
      <c r="AY183" s="329"/>
      <c r="AZ183" s="329"/>
      <c r="BA183" s="37"/>
      <c r="BB183" s="37"/>
      <c r="BC183" s="37"/>
      <c r="BD183" s="37"/>
      <c r="BE183" s="37"/>
      <c r="BF183" s="37"/>
      <c r="BG183" s="328"/>
      <c r="BH183" s="328"/>
      <c r="BI183" s="328"/>
      <c r="BJ183" s="328"/>
      <c r="BK183" s="37"/>
      <c r="BL183" s="37"/>
      <c r="BM183" s="37"/>
      <c r="BN183" s="37"/>
      <c r="BO183" s="37"/>
      <c r="BP183" s="37"/>
      <c r="BQ183" s="328"/>
      <c r="BR183" s="328"/>
      <c r="BS183" s="328"/>
      <c r="BT183" s="328"/>
      <c r="BU183" s="19"/>
      <c r="BV183" s="35"/>
      <c r="BW183" s="35"/>
      <c r="BX183" s="35"/>
      <c r="BY183" s="35"/>
      <c r="BZ183" s="35"/>
      <c r="CA183" s="35"/>
      <c r="CB183" s="35"/>
      <c r="CC183" s="35"/>
      <c r="CD183" s="35"/>
      <c r="CE183" s="35"/>
      <c r="CF183" s="35"/>
      <c r="CG183" s="35"/>
      <c r="CH183" s="35"/>
      <c r="CI183" s="8"/>
      <c r="CJ183" s="8"/>
      <c r="CK183" s="8"/>
      <c r="CL183" s="38"/>
      <c r="CM183" s="38"/>
      <c r="CN183" s="38"/>
      <c r="CO183" s="38"/>
      <c r="CP183" s="9"/>
      <c r="CQ183" s="9"/>
      <c r="CR183" s="60"/>
      <c r="CS183" s="172"/>
      <c r="CT183" s="9"/>
      <c r="CU183" s="9"/>
      <c r="CV183" s="127"/>
      <c r="CW183" s="127"/>
      <c r="CX183" s="127"/>
      <c r="CY183" s="38"/>
      <c r="CZ183" s="216"/>
      <c r="DA183" s="9"/>
      <c r="DB183" s="127">
        <f>IF(DH183&lt;&gt;"",DB174+1,DB174)</f>
        <v>10</v>
      </c>
      <c r="DC183" s="127" t="str">
        <f t="shared" si="64"/>
        <v/>
      </c>
      <c r="DD183" s="11"/>
      <c r="DE183" s="9"/>
      <c r="DF183" s="9"/>
      <c r="DG183" s="9"/>
      <c r="DH183" s="9"/>
      <c r="DI183" s="242"/>
      <c r="DJ183" s="13"/>
      <c r="DK183" s="127">
        <f>IF(DQ183&lt;&gt;"",DK174+1,DK174)</f>
        <v>4</v>
      </c>
      <c r="DL183" s="127" t="str">
        <f t="shared" si="59"/>
        <v/>
      </c>
      <c r="DM183" s="11" t="str">
        <f>IF(CY178="","",CV178)</f>
        <v/>
      </c>
      <c r="DN183" s="11"/>
      <c r="DO183" s="11"/>
      <c r="DP183" s="9"/>
      <c r="DQ183" s="9" t="str">
        <f>IF(COUNTIF($DM$15:DM174,DM183)&gt;0,"",DM183)</f>
        <v/>
      </c>
      <c r="DR183" s="101" t="str">
        <f>CY170</f>
        <v/>
      </c>
      <c r="DS183" s="32">
        <f t="shared" si="66"/>
        <v>8</v>
      </c>
      <c r="DT183" s="9"/>
      <c r="DU183" s="8">
        <f>IF(EA183&lt;&gt;"",DU174+1,DU174)</f>
        <v>4</v>
      </c>
      <c r="DV183" s="8" t="str">
        <f t="shared" si="68"/>
        <v/>
      </c>
      <c r="DW183" s="8"/>
      <c r="DX183" s="8"/>
      <c r="DY183" s="8"/>
      <c r="DZ183" s="8"/>
      <c r="EA183" s="8"/>
      <c r="EB183" s="8"/>
      <c r="EC183" s="8"/>
    </row>
    <row r="184" spans="1:133" ht="11.25" customHeight="1">
      <c r="A184" s="15"/>
      <c r="B184" s="23"/>
      <c r="C184" s="37"/>
      <c r="D184" s="37"/>
      <c r="E184" s="37"/>
      <c r="F184" s="37"/>
      <c r="G184" s="331"/>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157"/>
      <c r="AH184" s="157"/>
      <c r="AI184" s="157"/>
      <c r="AJ184" s="157"/>
      <c r="AK184" s="157"/>
      <c r="AL184" s="157"/>
      <c r="AM184" s="157"/>
      <c r="AN184" s="330"/>
      <c r="AO184" s="330"/>
      <c r="AP184" s="330"/>
      <c r="AQ184" s="330"/>
      <c r="AR184" s="330"/>
      <c r="AS184" s="330"/>
      <c r="AT184" s="37"/>
      <c r="AU184" s="37"/>
      <c r="AV184" s="37"/>
      <c r="AW184" s="37"/>
      <c r="AX184" s="329"/>
      <c r="AY184" s="329"/>
      <c r="AZ184" s="329"/>
      <c r="BA184" s="37"/>
      <c r="BB184" s="37"/>
      <c r="BC184" s="37"/>
      <c r="BD184" s="37"/>
      <c r="BE184" s="37"/>
      <c r="BF184" s="37"/>
      <c r="BG184" s="328"/>
      <c r="BH184" s="328"/>
      <c r="BI184" s="328"/>
      <c r="BJ184" s="328"/>
      <c r="BK184" s="37"/>
      <c r="BL184" s="37"/>
      <c r="BM184" s="37"/>
      <c r="BN184" s="37"/>
      <c r="BO184" s="37"/>
      <c r="BP184" s="37"/>
      <c r="BQ184" s="328"/>
      <c r="BR184" s="328"/>
      <c r="BS184" s="328"/>
      <c r="BT184" s="328"/>
      <c r="BU184" s="19"/>
      <c r="BV184" s="35"/>
      <c r="BW184" s="35"/>
      <c r="BX184" s="35"/>
      <c r="BY184" s="35"/>
      <c r="BZ184" s="35"/>
      <c r="CA184" s="35"/>
      <c r="CB184" s="35"/>
      <c r="CC184" s="35"/>
      <c r="CD184" s="35"/>
      <c r="CE184" s="35"/>
      <c r="CF184" s="35"/>
      <c r="CG184" s="35"/>
      <c r="CH184" s="35"/>
      <c r="CI184" s="8"/>
      <c r="CJ184" s="8"/>
      <c r="CK184" s="8"/>
      <c r="CL184" s="38"/>
      <c r="CM184" s="38"/>
      <c r="CN184" s="38"/>
      <c r="CO184" s="38"/>
      <c r="CP184" s="9"/>
      <c r="CQ184" s="9"/>
      <c r="CR184" s="60"/>
      <c r="CS184" s="172"/>
      <c r="CT184" s="9"/>
      <c r="CU184" s="9"/>
      <c r="CV184" s="127"/>
      <c r="CW184" s="127"/>
      <c r="CX184" s="127"/>
      <c r="CY184" s="38"/>
      <c r="CZ184" s="216"/>
      <c r="DA184" s="327"/>
      <c r="DB184" s="155">
        <f>IF(DH184&lt;&gt;"",DB183+1,DB183)</f>
        <v>10</v>
      </c>
      <c r="DC184" s="155" t="str">
        <f t="shared" si="64"/>
        <v/>
      </c>
      <c r="DD184" s="45"/>
      <c r="DE184" s="45"/>
      <c r="DF184" s="45"/>
      <c r="DG184" s="45"/>
      <c r="DH184" s="45"/>
      <c r="DI184" s="45"/>
      <c r="DJ184" s="45"/>
      <c r="DK184" s="45">
        <f>IF(DQ184&lt;&gt;"",DK183+1,DK183)</f>
        <v>4</v>
      </c>
      <c r="DL184" s="45" t="str">
        <f t="shared" si="59"/>
        <v/>
      </c>
      <c r="DM184" s="154" t="str">
        <f>IF(CY179="","",CV179)</f>
        <v/>
      </c>
      <c r="DN184" s="154"/>
      <c r="DO184" s="154"/>
      <c r="DP184" s="45"/>
      <c r="DQ184" s="45" t="str">
        <f>IF(COUNTIF($DM$15:DM183,DM184)&gt;0,"",DM184)</f>
        <v/>
      </c>
      <c r="DR184" s="209" t="str">
        <f>CY171</f>
        <v/>
      </c>
      <c r="DS184" s="169">
        <f t="shared" si="66"/>
        <v>8</v>
      </c>
      <c r="DT184" s="327"/>
      <c r="DU184" s="45">
        <f>IF(EA184&lt;&gt;"",DU183+1,DU183)</f>
        <v>4</v>
      </c>
      <c r="DV184" s="45" t="str">
        <f t="shared" si="68"/>
        <v/>
      </c>
      <c r="DW184" s="45"/>
      <c r="DX184" s="45"/>
      <c r="DY184" s="45"/>
      <c r="DZ184" s="45"/>
      <c r="EA184" s="45"/>
      <c r="EB184" s="45"/>
      <c r="EC184" s="45"/>
    </row>
    <row r="185" spans="1:133" ht="9" customHeight="1">
      <c r="B185" s="2326"/>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19"/>
      <c r="BV185" s="35"/>
      <c r="BW185" s="35"/>
      <c r="BX185" s="35"/>
      <c r="BY185" s="35"/>
      <c r="BZ185" s="35"/>
      <c r="CA185" s="35"/>
      <c r="CB185" s="35"/>
      <c r="CC185" s="35"/>
      <c r="CD185" s="35"/>
      <c r="CE185" s="35"/>
      <c r="CF185" s="35"/>
      <c r="CG185" s="35"/>
      <c r="CH185" s="35"/>
      <c r="CI185" s="8"/>
      <c r="CJ185" s="7"/>
      <c r="CK185" s="7" t="s">
        <v>346</v>
      </c>
      <c r="CL185" s="8"/>
      <c r="CM185" s="10"/>
      <c r="CN185" s="8"/>
      <c r="CO185" s="8"/>
      <c r="CP185" s="8"/>
      <c r="CQ185" s="8"/>
      <c r="CR185" s="8"/>
      <c r="CS185" s="8"/>
      <c r="CT185" s="8"/>
      <c r="CU185" s="8"/>
      <c r="CV185" s="8"/>
      <c r="CW185" s="8"/>
      <c r="CX185" s="160"/>
      <c r="CY185" s="160"/>
      <c r="CZ185" s="160"/>
      <c r="DA185" s="160"/>
      <c r="DB185" s="160"/>
      <c r="DC185" s="160"/>
      <c r="DD185" s="160"/>
      <c r="DE185" s="160"/>
      <c r="DF185" s="160"/>
      <c r="DG185" s="160"/>
      <c r="DH185" s="160"/>
      <c r="DI185" s="160"/>
      <c r="DJ185" s="160"/>
      <c r="DK185" s="160"/>
      <c r="DL185" s="160"/>
      <c r="DM185" s="160"/>
      <c r="DN185" s="160"/>
      <c r="DO185" s="160"/>
      <c r="DP185" s="160"/>
      <c r="DQ185" s="160"/>
      <c r="DR185" s="160"/>
      <c r="DS185" s="160"/>
      <c r="DT185" s="160"/>
      <c r="DU185" s="160"/>
      <c r="DV185" s="160"/>
      <c r="DW185" s="8"/>
      <c r="DX185" s="8"/>
      <c r="DY185" s="8"/>
      <c r="DZ185" s="8"/>
      <c r="EA185" s="8"/>
      <c r="EB185" s="8"/>
      <c r="EC185" s="8"/>
    </row>
    <row r="186" spans="1:133" ht="11.25" customHeight="1">
      <c r="B186" s="2326"/>
      <c r="C186" s="2261" t="str">
        <f>IF(B2=0,"","集 計 表")</f>
        <v>集 計 表</v>
      </c>
      <c r="D186" s="2261"/>
      <c r="E186" s="2261"/>
      <c r="F186" s="2261"/>
      <c r="G186" s="2261"/>
      <c r="H186" s="2261"/>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19"/>
      <c r="BV186" s="35"/>
      <c r="BW186" s="35"/>
      <c r="BX186" s="35"/>
      <c r="BY186" s="35"/>
      <c r="BZ186" s="35"/>
      <c r="CA186" s="35"/>
      <c r="CB186" s="35"/>
      <c r="CC186" s="35"/>
      <c r="CD186" s="35"/>
      <c r="CE186" s="35"/>
      <c r="CF186" s="35"/>
      <c r="CG186" s="35"/>
      <c r="CH186" s="35"/>
      <c r="CI186" s="8"/>
      <c r="CJ186" s="7"/>
      <c r="CK186" s="7" t="s">
        <v>345</v>
      </c>
      <c r="CL186" s="8"/>
      <c r="CM186" s="10"/>
      <c r="CN186" s="8"/>
      <c r="CO186" s="8"/>
      <c r="CP186" s="8"/>
      <c r="CQ186" s="8"/>
      <c r="CR186" s="8"/>
      <c r="CS186" s="8"/>
      <c r="CT186" s="8"/>
      <c r="CU186" s="8"/>
      <c r="CV186" s="8"/>
      <c r="CW186" s="8"/>
      <c r="CX186" s="160"/>
      <c r="CY186" s="160"/>
      <c r="CZ186" s="160"/>
      <c r="DA186" s="160"/>
      <c r="DB186" s="160"/>
      <c r="DC186" s="160"/>
      <c r="DD186" s="160"/>
      <c r="DE186" s="160"/>
      <c r="DF186" s="160"/>
      <c r="DG186" s="160"/>
      <c r="DH186" s="160"/>
      <c r="DI186" s="160"/>
      <c r="DJ186" s="160"/>
      <c r="DK186" s="160"/>
      <c r="DL186" s="160"/>
      <c r="DM186" s="160"/>
      <c r="DN186" s="160"/>
      <c r="DO186" s="160"/>
      <c r="DP186" s="160"/>
      <c r="DQ186" s="160"/>
      <c r="DR186" s="160"/>
      <c r="DS186" s="160"/>
      <c r="DT186" s="160"/>
      <c r="DU186" s="160"/>
      <c r="DV186" s="160"/>
      <c r="DW186" s="8"/>
      <c r="DX186" s="8"/>
      <c r="DY186" s="8"/>
      <c r="DZ186" s="8"/>
      <c r="EA186" s="8"/>
      <c r="EB186" s="8"/>
      <c r="EC186" s="8"/>
    </row>
    <row r="187" spans="1:133" ht="9" customHeight="1" thickBot="1">
      <c r="B187" s="2326"/>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19"/>
      <c r="BV187" s="35"/>
      <c r="BW187" s="35"/>
      <c r="BX187" s="35"/>
      <c r="BY187" s="35"/>
      <c r="BZ187" s="35"/>
      <c r="CA187" s="35"/>
      <c r="CB187" s="35"/>
      <c r="CC187" s="35"/>
      <c r="CD187" s="35"/>
      <c r="CE187" s="35"/>
      <c r="CF187" s="35"/>
      <c r="CG187" s="35"/>
      <c r="CH187" s="35"/>
      <c r="CI187" s="8"/>
      <c r="CJ187" s="7"/>
      <c r="CK187" s="7" t="s">
        <v>344</v>
      </c>
      <c r="CL187" s="9"/>
      <c r="CM187" s="7"/>
      <c r="CN187" s="8"/>
      <c r="CO187" s="8"/>
      <c r="CP187" s="8"/>
      <c r="CQ187" s="8"/>
      <c r="CR187" s="324"/>
      <c r="CS187" s="324"/>
      <c r="CT187" s="324"/>
      <c r="CU187" s="8"/>
      <c r="CV187" s="8"/>
      <c r="CW187" s="8"/>
      <c r="CX187" s="160"/>
      <c r="CY187" s="160"/>
      <c r="CZ187" s="160"/>
      <c r="DA187" s="160"/>
      <c r="DB187" s="160"/>
      <c r="DC187" s="160"/>
      <c r="DD187" s="160"/>
      <c r="DE187" s="160"/>
      <c r="DF187" s="160"/>
      <c r="DG187" s="160"/>
      <c r="DH187" s="160"/>
      <c r="DI187" s="160"/>
      <c r="DJ187" s="160"/>
      <c r="DK187" s="160"/>
      <c r="DL187" s="160"/>
      <c r="DM187" s="160"/>
      <c r="DN187" s="160"/>
      <c r="DO187" s="160"/>
      <c r="DP187" s="160"/>
      <c r="DQ187" s="160"/>
      <c r="DR187" s="160"/>
      <c r="DS187" s="160"/>
      <c r="DT187" s="160"/>
      <c r="DU187" s="160"/>
      <c r="DV187" s="160"/>
      <c r="DW187" s="8"/>
      <c r="DX187" s="8"/>
      <c r="DY187" s="8"/>
      <c r="DZ187" s="8"/>
      <c r="EA187" s="8"/>
      <c r="EB187" s="8"/>
      <c r="EC187" s="8"/>
    </row>
    <row r="188" spans="1:133" ht="12" customHeight="1" thickBot="1">
      <c r="B188" s="2326"/>
      <c r="C188" s="2261" t="s">
        <v>93</v>
      </c>
      <c r="D188" s="2261"/>
      <c r="E188" s="2261"/>
      <c r="F188" s="2261"/>
      <c r="G188" s="2261"/>
      <c r="H188" s="2261"/>
      <c r="I188" s="2261"/>
      <c r="J188" s="2261"/>
      <c r="K188" s="2261"/>
      <c r="L188" s="2327" t="s">
        <v>92</v>
      </c>
      <c r="M188" s="2328"/>
      <c r="N188" s="2328"/>
      <c r="O188" s="2328"/>
      <c r="P188" s="2329"/>
      <c r="Q188" s="2261" t="s">
        <v>15</v>
      </c>
      <c r="R188" s="2261"/>
      <c r="S188" s="2261"/>
      <c r="T188" s="2327" t="s">
        <v>119</v>
      </c>
      <c r="U188" s="2328"/>
      <c r="V188" s="2328"/>
      <c r="W188" s="2328"/>
      <c r="X188" s="2328"/>
      <c r="Y188" s="2329"/>
      <c r="Z188" s="2327" t="s">
        <v>118</v>
      </c>
      <c r="AA188" s="2328"/>
      <c r="AB188" s="2328"/>
      <c r="AC188" s="2328"/>
      <c r="AD188" s="2328"/>
      <c r="AE188" s="2328"/>
      <c r="AF188" s="2328"/>
      <c r="AG188" s="2329"/>
      <c r="AH188" s="21">
        <f>IF(BN209="北海道",4,IF(BN209="東北",6,IF(BN209="関東",8,IF(BN209="中部",10,IF(BN209="近畿",12,IF(BN209="北陸",14,IF(BN209="中国",16,IF(BN209="四国",18,IF(BN209="九州",20,IF(BN209="沖縄",22,RIGHT(AZ209,1)+21))))))))))</f>
        <v>12</v>
      </c>
      <c r="AI188" s="2327" t="s">
        <v>117</v>
      </c>
      <c r="AJ188" s="2328"/>
      <c r="AK188" s="2328"/>
      <c r="AL188" s="2329"/>
      <c r="AM188" s="2327" t="s">
        <v>43</v>
      </c>
      <c r="AN188" s="2328"/>
      <c r="AO188" s="2328"/>
      <c r="AP188" s="2328"/>
      <c r="AQ188" s="2329"/>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458" t="s">
        <v>88</v>
      </c>
      <c r="BO188" s="2459"/>
      <c r="BP188" s="2460"/>
      <c r="BQ188" s="20"/>
      <c r="BR188" s="20"/>
      <c r="BS188" s="20"/>
      <c r="BT188" s="20"/>
      <c r="BU188" s="19"/>
      <c r="BV188" s="35"/>
      <c r="BW188" s="35"/>
      <c r="BX188" s="35"/>
      <c r="BY188" s="326">
        <v>1</v>
      </c>
      <c r="BZ188" s="2452">
        <v>2</v>
      </c>
      <c r="CA188" s="2452"/>
      <c r="CB188" s="2452">
        <v>4</v>
      </c>
      <c r="CC188" s="2452"/>
      <c r="CD188" s="326">
        <v>6</v>
      </c>
      <c r="CE188" s="35"/>
      <c r="CF188" s="35"/>
      <c r="CG188" s="35"/>
      <c r="CH188" s="35"/>
      <c r="CI188" s="8"/>
      <c r="CJ188" s="7"/>
      <c r="CK188" s="7" t="s">
        <v>343</v>
      </c>
      <c r="CL188" s="9"/>
      <c r="CM188" s="7"/>
      <c r="CN188" s="8"/>
      <c r="CO188" s="8"/>
      <c r="CP188" s="8"/>
      <c r="CQ188" s="8"/>
      <c r="CR188" s="324"/>
      <c r="CS188" s="324"/>
      <c r="CT188" s="324"/>
      <c r="CU188" s="8"/>
      <c r="CV188" s="8"/>
      <c r="CW188" s="8"/>
      <c r="CX188" s="160"/>
      <c r="CY188" s="160"/>
      <c r="CZ188" s="160"/>
      <c r="DA188" s="160"/>
      <c r="DB188" s="160"/>
      <c r="DC188" s="160"/>
      <c r="DD188" s="160"/>
      <c r="DE188" s="160"/>
      <c r="DF188" s="160"/>
      <c r="DG188" s="160"/>
      <c r="DH188" s="160"/>
      <c r="DI188" s="160"/>
      <c r="DJ188" s="160"/>
      <c r="DK188" s="160"/>
      <c r="DL188" s="160"/>
      <c r="DM188" s="160"/>
      <c r="DN188" s="160"/>
      <c r="DO188" s="160"/>
      <c r="DP188" s="160"/>
      <c r="DQ188" s="160"/>
      <c r="DR188" s="160"/>
      <c r="DS188" s="160"/>
      <c r="DT188" s="160"/>
      <c r="DU188" s="160"/>
      <c r="DV188" s="160"/>
      <c r="DW188" s="8"/>
      <c r="DX188" s="8"/>
      <c r="DY188" s="8"/>
      <c r="DZ188" s="8"/>
      <c r="EA188" s="8"/>
      <c r="EB188" s="8"/>
      <c r="EC188" s="8"/>
    </row>
    <row r="189" spans="1:133" ht="11.25" customHeight="1">
      <c r="B189" s="2326"/>
      <c r="C189" s="2250" t="str">
        <f t="shared" ref="C189:C202" si="69">IF($BW$3=0,"",IF(ISNA(VLOOKUP(BW189,火報W,6,FALSE)),"",VLOOKUP(BW189,火報W,6,FALSE)))</f>
        <v>AE 0.9mm-4C</v>
      </c>
      <c r="D189" s="2251"/>
      <c r="E189" s="2251"/>
      <c r="F189" s="2251"/>
      <c r="G189" s="2251"/>
      <c r="H189" s="2251"/>
      <c r="I189" s="2251"/>
      <c r="J189" s="2251"/>
      <c r="K189" s="2252"/>
      <c r="L189" s="2504">
        <f t="shared" ref="L189:L202" si="70">IF(C189="","",IF(ISNA(VLOOKUP(CI189,火報W,8,FALSE)),"",(VLOOKUP(CI189,火報W,8,FALSE))))</f>
        <v>6504</v>
      </c>
      <c r="M189" s="2208"/>
      <c r="N189" s="2208"/>
      <c r="O189" s="2208"/>
      <c r="P189" s="2249"/>
      <c r="Q189" s="2479" t="str">
        <f>IF(C189="","",VLOOKUP(C189,[7]建物1802!$E$5:$AL$3275,2,FALSE))</f>
        <v>ｍ</v>
      </c>
      <c r="R189" s="2479"/>
      <c r="S189" s="2479"/>
      <c r="T189" s="2483">
        <f>IF(C189="","",VLOOKUP(C189,[7]建物1802!$E$5:$AL$3275,$AH$188,FALSE))</f>
        <v>40.700000000000003</v>
      </c>
      <c r="U189" s="2484"/>
      <c r="V189" s="2484"/>
      <c r="W189" s="2484"/>
      <c r="X189" s="2484"/>
      <c r="Y189" s="2485"/>
      <c r="Z189" s="2207">
        <f t="shared" ref="Z189:Z203" si="71">IF(OR(C189="",L189=""),"",INT(L189*T189))</f>
        <v>264712</v>
      </c>
      <c r="AA189" s="2208"/>
      <c r="AB189" s="2208"/>
      <c r="AC189" s="2208"/>
      <c r="AD189" s="2208"/>
      <c r="AE189" s="2208"/>
      <c r="AF189" s="2208"/>
      <c r="AG189" s="2249"/>
      <c r="AH189" s="325">
        <f>RIGHT($AZ$210,1)+25</f>
        <v>26</v>
      </c>
      <c r="AI189" s="2480">
        <f>IF(C189="","",VLOOKUP(C189,[7]建物1802!$E$5:$AL$3275,$AH$189,FALSE))</f>
        <v>1.7000000000000001E-2</v>
      </c>
      <c r="AJ189" s="2481"/>
      <c r="AK189" s="2481"/>
      <c r="AL189" s="2482"/>
      <c r="AM189" s="2257">
        <f t="shared" ref="AM189:AM203" si="72">IF(AI189="","",L189*AI189)</f>
        <v>110.56800000000001</v>
      </c>
      <c r="AN189" s="2258"/>
      <c r="AO189" s="2258"/>
      <c r="AP189" s="2258"/>
      <c r="AQ189" s="2259"/>
      <c r="AR189" s="20"/>
      <c r="AS189" s="20"/>
      <c r="AT189" s="2262" t="str">
        <f>IF(B2=0,"","電工単価")</f>
        <v>電工単価</v>
      </c>
      <c r="AU189" s="2262"/>
      <c r="AV189" s="2262"/>
      <c r="AW189" s="2262"/>
      <c r="AX189" s="2262"/>
      <c r="AY189" s="2209">
        <f>IF($B$2=0,"",IF(BE189="",[6]原価!$AD$44,BE189))</f>
        <v>6000</v>
      </c>
      <c r="AZ189" s="2210"/>
      <c r="BA189" s="2210"/>
      <c r="BB189" s="2210"/>
      <c r="BC189" s="2210"/>
      <c r="BD189" s="31" t="s">
        <v>34</v>
      </c>
      <c r="BE189" s="2545"/>
      <c r="BF189" s="2545"/>
      <c r="BG189" s="2545"/>
      <c r="BH189" s="2545"/>
      <c r="BI189" s="2545"/>
      <c r="BJ189" s="20"/>
      <c r="BK189" s="20"/>
      <c r="BL189" s="20"/>
      <c r="BM189" s="20"/>
      <c r="BN189" s="20"/>
      <c r="BO189" s="20"/>
      <c r="BP189" s="20"/>
      <c r="BQ189" s="20"/>
      <c r="BR189" s="20"/>
      <c r="BS189" s="20"/>
      <c r="BT189" s="20"/>
      <c r="BU189" s="19"/>
      <c r="BV189" s="35"/>
      <c r="BW189" s="94">
        <v>1</v>
      </c>
      <c r="BX189" s="35"/>
      <c r="BY189" s="317" t="str">
        <f>C17</f>
        <v xml:space="preserve"> B2F</v>
      </c>
      <c r="BZ189" s="2445">
        <f>CJ18</f>
        <v>24</v>
      </c>
      <c r="CA189" s="2446"/>
      <c r="CB189" s="2445">
        <f>CK18</f>
        <v>33</v>
      </c>
      <c r="CC189" s="2446"/>
      <c r="CD189" s="316">
        <f>CI21</f>
        <v>5</v>
      </c>
      <c r="CE189" s="35"/>
      <c r="CF189" s="94" t="str">
        <f>[6]Top!$E109</f>
        <v xml:space="preserve"> B2F</v>
      </c>
      <c r="CG189" s="35"/>
      <c r="CH189" s="35"/>
      <c r="CI189" s="8">
        <v>1</v>
      </c>
      <c r="CJ189" s="7"/>
      <c r="CK189" s="7" t="s">
        <v>342</v>
      </c>
      <c r="CL189" s="9"/>
      <c r="CM189" s="7"/>
      <c r="CN189" s="8"/>
      <c r="CO189" s="8"/>
      <c r="CP189" s="8"/>
      <c r="CQ189" s="8"/>
      <c r="CR189" s="324"/>
      <c r="CS189" s="324"/>
      <c r="CT189" s="324"/>
      <c r="CU189" s="8"/>
      <c r="CV189" s="8"/>
      <c r="CW189" s="8"/>
      <c r="CX189" s="160"/>
      <c r="CY189" s="160"/>
      <c r="CZ189" s="160"/>
      <c r="DA189" s="160"/>
      <c r="DB189" s="160"/>
      <c r="DC189" s="160"/>
      <c r="DD189" s="160"/>
      <c r="DE189" s="160"/>
      <c r="DF189" s="160"/>
      <c r="DG189" s="160"/>
      <c r="DH189" s="160"/>
      <c r="DI189" s="160"/>
      <c r="DJ189" s="160"/>
      <c r="DK189" s="160"/>
      <c r="DL189" s="160"/>
      <c r="DM189" s="160"/>
      <c r="DN189" s="160"/>
      <c r="DO189" s="160"/>
      <c r="DP189" s="160"/>
      <c r="DQ189" s="160"/>
      <c r="DR189" s="160"/>
      <c r="DS189" s="160"/>
      <c r="DT189" s="160"/>
      <c r="DU189" s="160"/>
      <c r="DV189" s="160"/>
      <c r="DW189" s="8"/>
      <c r="DX189" s="8"/>
      <c r="DY189" s="8"/>
      <c r="DZ189" s="8"/>
      <c r="EA189" s="8"/>
      <c r="EB189" s="8"/>
      <c r="EC189" s="8"/>
    </row>
    <row r="190" spans="1:133" ht="11.25" customHeight="1">
      <c r="B190" s="2326"/>
      <c r="C190" s="2250" t="str">
        <f t="shared" si="69"/>
        <v>HP 1.2mm-3C</v>
      </c>
      <c r="D190" s="2251"/>
      <c r="E190" s="2251"/>
      <c r="F190" s="2251"/>
      <c r="G190" s="2251"/>
      <c r="H190" s="2251"/>
      <c r="I190" s="2251"/>
      <c r="J190" s="2251"/>
      <c r="K190" s="2252"/>
      <c r="L190" s="2504">
        <f t="shared" si="70"/>
        <v>344</v>
      </c>
      <c r="M190" s="2208"/>
      <c r="N190" s="2208"/>
      <c r="O190" s="2208"/>
      <c r="P190" s="2249"/>
      <c r="Q190" s="2479" t="str">
        <f>IF(C190="","",VLOOKUP(C190,[7]建物1802!$E$5:$AL$3275,2,FALSE))</f>
        <v>ｍ</v>
      </c>
      <c r="R190" s="2479"/>
      <c r="S190" s="2479"/>
      <c r="T190" s="2483">
        <f>IF(C190="","",VLOOKUP(C190,[7]建物1802!$E$5:$AL$3275,$AH$188,FALSE))</f>
        <v>66.599999999999994</v>
      </c>
      <c r="U190" s="2484"/>
      <c r="V190" s="2484"/>
      <c r="W190" s="2484"/>
      <c r="X190" s="2484"/>
      <c r="Y190" s="2485"/>
      <c r="Z190" s="2207">
        <f t="shared" si="71"/>
        <v>22910</v>
      </c>
      <c r="AA190" s="2208"/>
      <c r="AB190" s="2208"/>
      <c r="AC190" s="2208"/>
      <c r="AD190" s="2208"/>
      <c r="AE190" s="2208"/>
      <c r="AF190" s="2208"/>
      <c r="AG190" s="2249"/>
      <c r="AH190" s="323"/>
      <c r="AI190" s="2480">
        <f>IF(C190="","",VLOOKUP(C190,[7]建物1802!$E$5:$AL$3275,$AH$189,FALSE))</f>
        <v>1.7000000000000001E-2</v>
      </c>
      <c r="AJ190" s="2481"/>
      <c r="AK190" s="2481"/>
      <c r="AL190" s="2482"/>
      <c r="AM190" s="2257">
        <f t="shared" si="72"/>
        <v>5.8480000000000008</v>
      </c>
      <c r="AN190" s="2258"/>
      <c r="AO190" s="2258"/>
      <c r="AP190" s="2258"/>
      <c r="AQ190" s="2259"/>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19"/>
      <c r="BV190" s="35"/>
      <c r="BW190" s="94">
        <v>2</v>
      </c>
      <c r="BX190" s="35"/>
      <c r="BY190" s="317" t="str">
        <f>C25</f>
        <v xml:space="preserve"> B1F</v>
      </c>
      <c r="BZ190" s="2445">
        <f>CJ26</f>
        <v>24</v>
      </c>
      <c r="CA190" s="2446"/>
      <c r="CB190" s="2445">
        <f>CK26</f>
        <v>33</v>
      </c>
      <c r="CC190" s="2446"/>
      <c r="CD190" s="316">
        <f>CI29</f>
        <v>10</v>
      </c>
      <c r="CE190" s="35"/>
      <c r="CF190" s="94" t="str">
        <f>[6]Top!$E110</f>
        <v xml:space="preserve"> B1F</v>
      </c>
      <c r="CG190" s="35"/>
      <c r="CH190" s="35"/>
      <c r="CI190" s="8">
        <v>2</v>
      </c>
      <c r="CJ190" s="7"/>
      <c r="CK190" s="7" t="s">
        <v>341</v>
      </c>
      <c r="CL190" s="9"/>
      <c r="CM190" s="7"/>
      <c r="CN190" s="8"/>
      <c r="CO190" s="8"/>
      <c r="CP190" s="8"/>
      <c r="CQ190" s="8"/>
      <c r="CR190" s="324"/>
      <c r="CS190" s="324"/>
      <c r="CT190" s="324"/>
      <c r="CU190" s="8"/>
      <c r="CV190" s="8"/>
      <c r="CW190" s="8"/>
      <c r="CX190" s="160"/>
      <c r="CY190" s="160"/>
      <c r="CZ190" s="160"/>
      <c r="DA190" s="160"/>
      <c r="DB190" s="160"/>
      <c r="DC190" s="160"/>
      <c r="DD190" s="160"/>
      <c r="DE190" s="160"/>
      <c r="DF190" s="160"/>
      <c r="DG190" s="160"/>
      <c r="DH190" s="160"/>
      <c r="DI190" s="160"/>
      <c r="DJ190" s="160"/>
      <c r="DK190" s="160"/>
      <c r="DL190" s="160"/>
      <c r="DM190" s="160"/>
      <c r="DN190" s="160"/>
      <c r="DO190" s="160"/>
      <c r="DP190" s="160"/>
      <c r="DQ190" s="160"/>
      <c r="DR190" s="160"/>
      <c r="DS190" s="160"/>
      <c r="DT190" s="160"/>
      <c r="DU190" s="160"/>
      <c r="DV190" s="160"/>
      <c r="DW190" s="8"/>
      <c r="DX190" s="8"/>
      <c r="DY190" s="8"/>
      <c r="DZ190" s="8"/>
      <c r="EA190" s="8"/>
      <c r="EB190" s="8"/>
      <c r="EC190" s="8"/>
    </row>
    <row r="191" spans="1:133" ht="11.25" customHeight="1">
      <c r="B191" s="2326"/>
      <c r="C191" s="2250" t="str">
        <f t="shared" si="69"/>
        <v>HP 1.2mm-5C</v>
      </c>
      <c r="D191" s="2251"/>
      <c r="E191" s="2251"/>
      <c r="F191" s="2251"/>
      <c r="G191" s="2251"/>
      <c r="H191" s="2251"/>
      <c r="I191" s="2251"/>
      <c r="J191" s="2251"/>
      <c r="K191" s="2252"/>
      <c r="L191" s="2504">
        <f t="shared" si="70"/>
        <v>506</v>
      </c>
      <c r="M191" s="2208"/>
      <c r="N191" s="2208"/>
      <c r="O191" s="2208"/>
      <c r="P191" s="2249"/>
      <c r="Q191" s="2479" t="str">
        <f>IF(C191="","",VLOOKUP(C191,[7]建物1802!$E$5:$AL$3275,2,FALSE))</f>
        <v>ｍ</v>
      </c>
      <c r="R191" s="2479"/>
      <c r="S191" s="2479"/>
      <c r="T191" s="2483">
        <f>IF(C191="","",VLOOKUP(C191,[7]建物1802!$E$5:$AL$3275,$AH$188,FALSE))</f>
        <v>113</v>
      </c>
      <c r="U191" s="2484"/>
      <c r="V191" s="2484"/>
      <c r="W191" s="2484"/>
      <c r="X191" s="2484"/>
      <c r="Y191" s="2485"/>
      <c r="Z191" s="2207">
        <f t="shared" si="71"/>
        <v>57178</v>
      </c>
      <c r="AA191" s="2208"/>
      <c r="AB191" s="2208"/>
      <c r="AC191" s="2208"/>
      <c r="AD191" s="2208"/>
      <c r="AE191" s="2208"/>
      <c r="AF191" s="2208"/>
      <c r="AG191" s="2249"/>
      <c r="AH191" s="323"/>
      <c r="AI191" s="2480">
        <f>IF(C191="","",VLOOKUP(C191,[7]建物1802!$E$5:$AL$3275,$AH$189,FALSE))</f>
        <v>0.02</v>
      </c>
      <c r="AJ191" s="2481"/>
      <c r="AK191" s="2481"/>
      <c r="AL191" s="2482"/>
      <c r="AM191" s="2257">
        <f t="shared" si="72"/>
        <v>10.120000000000001</v>
      </c>
      <c r="AN191" s="2258"/>
      <c r="AO191" s="2258"/>
      <c r="AP191" s="2258"/>
      <c r="AQ191" s="2259"/>
      <c r="AR191" s="42"/>
      <c r="AS191" s="42"/>
      <c r="AT191" s="2261">
        <f>B3</f>
        <v>9</v>
      </c>
      <c r="AU191" s="2261"/>
      <c r="AV191" s="2261"/>
      <c r="AW191" s="2274" t="str">
        <f>E3</f>
        <v xml:space="preserve"> 自火報防排煙設備工事</v>
      </c>
      <c r="AX191" s="2274"/>
      <c r="AY191" s="2274"/>
      <c r="AZ191" s="2274"/>
      <c r="BA191" s="2274"/>
      <c r="BB191" s="2274"/>
      <c r="BC191" s="2274"/>
      <c r="BD191" s="2274"/>
      <c r="BE191" s="2274"/>
      <c r="BF191" s="2274"/>
      <c r="BG191" s="2274"/>
      <c r="BH191" s="2274"/>
      <c r="BI191" s="2274"/>
      <c r="BJ191" s="2262" t="str">
        <f>IF(B2=0,"","掛率％")</f>
        <v>掛率％</v>
      </c>
      <c r="BK191" s="2262"/>
      <c r="BL191" s="2262"/>
      <c r="BM191" s="2262"/>
      <c r="BN191" s="42"/>
      <c r="BO191" s="42"/>
      <c r="BP191" s="42"/>
      <c r="BQ191" s="42"/>
      <c r="BR191" s="42"/>
      <c r="BS191" s="42"/>
      <c r="BT191" s="42"/>
      <c r="BU191" s="19"/>
      <c r="BV191" s="35"/>
      <c r="BW191" s="94">
        <v>3</v>
      </c>
      <c r="BX191" s="35"/>
      <c r="BY191" s="317" t="str">
        <f>C33</f>
        <v xml:space="preserve">  1F</v>
      </c>
      <c r="BZ191" s="2445">
        <f>CJ34</f>
        <v>30</v>
      </c>
      <c r="CA191" s="2446"/>
      <c r="CB191" s="2445">
        <f>CK34</f>
        <v>31.8</v>
      </c>
      <c r="CC191" s="2446"/>
      <c r="CD191" s="316">
        <f>CI37</f>
        <v>15</v>
      </c>
      <c r="CE191" s="35"/>
      <c r="CF191" s="94" t="str">
        <f>[6]Top!$E111</f>
        <v xml:space="preserve">  1F</v>
      </c>
      <c r="CG191" s="35"/>
      <c r="CH191" s="35"/>
      <c r="CI191" s="8">
        <v>3</v>
      </c>
      <c r="CJ191" s="7"/>
      <c r="CK191" s="7" t="s">
        <v>340</v>
      </c>
      <c r="CL191" s="9"/>
      <c r="CM191" s="7"/>
      <c r="CN191" s="8"/>
      <c r="CO191" s="8"/>
      <c r="CP191" s="8"/>
      <c r="CQ191" s="8"/>
      <c r="CR191" s="324"/>
      <c r="CS191" s="324"/>
      <c r="CT191" s="324"/>
      <c r="CU191" s="8"/>
      <c r="CV191" s="8"/>
      <c r="CW191" s="8"/>
      <c r="CX191" s="160"/>
      <c r="CY191" s="160"/>
      <c r="CZ191" s="160"/>
      <c r="DA191" s="160"/>
      <c r="DB191" s="160"/>
      <c r="DC191" s="160"/>
      <c r="DD191" s="160"/>
      <c r="DE191" s="160"/>
      <c r="DF191" s="160"/>
      <c r="DG191" s="160"/>
      <c r="DH191" s="160"/>
      <c r="DI191" s="160"/>
      <c r="DJ191" s="160"/>
      <c r="DK191" s="160"/>
      <c r="DL191" s="160"/>
      <c r="DM191" s="160"/>
      <c r="DN191" s="160"/>
      <c r="DO191" s="160"/>
      <c r="DP191" s="160"/>
      <c r="DQ191" s="160"/>
      <c r="DR191" s="160"/>
      <c r="DS191" s="160"/>
      <c r="DT191" s="160"/>
      <c r="DU191" s="160"/>
      <c r="DV191" s="160"/>
      <c r="DW191" s="8"/>
      <c r="DX191" s="8"/>
      <c r="DY191" s="8"/>
      <c r="DZ191" s="8"/>
      <c r="EA191" s="8"/>
      <c r="EB191" s="8"/>
      <c r="EC191" s="8"/>
    </row>
    <row r="192" spans="1:133" ht="11.25" customHeight="1">
      <c r="B192" s="2326"/>
      <c r="C192" s="2250" t="str">
        <f t="shared" si="69"/>
        <v>FCPEV 0.9- 10Pr</v>
      </c>
      <c r="D192" s="2251"/>
      <c r="E192" s="2251"/>
      <c r="F192" s="2251"/>
      <c r="G192" s="2251"/>
      <c r="H192" s="2251"/>
      <c r="I192" s="2251"/>
      <c r="J192" s="2251"/>
      <c r="K192" s="2252"/>
      <c r="L192" s="2504">
        <f t="shared" si="70"/>
        <v>583</v>
      </c>
      <c r="M192" s="2208"/>
      <c r="N192" s="2208"/>
      <c r="O192" s="2208"/>
      <c r="P192" s="2249"/>
      <c r="Q192" s="2479" t="str">
        <f>IF(C192="","",VLOOKUP(C192,[7]建物1802!$E$5:$AL$3275,2,FALSE))</f>
        <v>ｍ</v>
      </c>
      <c r="R192" s="2479"/>
      <c r="S192" s="2479"/>
      <c r="T192" s="2483">
        <f>IF(C192="","",VLOOKUP(C192,[7]建物1802!$E$5:$AL$3275,$AH$188,FALSE))</f>
        <v>240</v>
      </c>
      <c r="U192" s="2484"/>
      <c r="V192" s="2484"/>
      <c r="W192" s="2484"/>
      <c r="X192" s="2484"/>
      <c r="Y192" s="2485"/>
      <c r="Z192" s="2207">
        <f t="shared" si="71"/>
        <v>139920</v>
      </c>
      <c r="AA192" s="2208"/>
      <c r="AB192" s="2208"/>
      <c r="AC192" s="2208"/>
      <c r="AD192" s="2208"/>
      <c r="AE192" s="2208"/>
      <c r="AF192" s="2208"/>
      <c r="AG192" s="2249"/>
      <c r="AH192" s="323"/>
      <c r="AI192" s="2480">
        <f>IF(C192="","",VLOOKUP(C192,[7]建物1802!$E$5:$AL$3275,$AH$189,FALSE))</f>
        <v>2.5000000000000001E-2</v>
      </c>
      <c r="AJ192" s="2481"/>
      <c r="AK192" s="2481"/>
      <c r="AL192" s="2482"/>
      <c r="AM192" s="2257">
        <f t="shared" si="72"/>
        <v>14.575000000000001</v>
      </c>
      <c r="AN192" s="2258"/>
      <c r="AO192" s="2258"/>
      <c r="AP192" s="2258"/>
      <c r="AQ192" s="2259"/>
      <c r="AR192" s="244"/>
      <c r="AS192" s="244"/>
      <c r="AT192" s="2542" t="str">
        <f>IF(B2=0,"","配管配線材料")</f>
        <v>配管配線材料</v>
      </c>
      <c r="AU192" s="2542"/>
      <c r="AV192" s="2542"/>
      <c r="AW192" s="2542"/>
      <c r="AX192" s="2542"/>
      <c r="AY192" s="2542"/>
      <c r="AZ192" s="2542"/>
      <c r="BA192" s="2542"/>
      <c r="BB192" s="2260">
        <f>IF($BW$3=0,"",IF(BK192&lt;&gt;"",1000*INT((1+BK192/100)*1.3*SUM(Z189:AG215)/1000),1000*INT(1.3*SUM(Z189:AG215)/1000)))</f>
        <v>3869000</v>
      </c>
      <c r="BC192" s="2260"/>
      <c r="BD192" s="2260"/>
      <c r="BE192" s="2260"/>
      <c r="BF192" s="2260"/>
      <c r="BG192" s="2260"/>
      <c r="BH192" s="2260"/>
      <c r="BI192" s="2260"/>
      <c r="BJ192" s="31" t="s">
        <v>34</v>
      </c>
      <c r="BK192" s="2548"/>
      <c r="BL192" s="2549"/>
      <c r="BM192" s="2550"/>
      <c r="BN192" s="2547" t="str">
        <f>IF(BK192="","",1000*INT(1.3*SUM(Z189:AG215)/1000))</f>
        <v/>
      </c>
      <c r="BO192" s="2547"/>
      <c r="BP192" s="2547"/>
      <c r="BQ192" s="2547"/>
      <c r="BR192" s="2547"/>
      <c r="BS192" s="2547"/>
      <c r="BT192" s="2547"/>
      <c r="BU192" s="19"/>
      <c r="BV192" s="35"/>
      <c r="BW192" s="94">
        <v>4</v>
      </c>
      <c r="BX192" s="35"/>
      <c r="BY192" s="317" t="str">
        <f>C41</f>
        <v xml:space="preserve">  2F</v>
      </c>
      <c r="BZ192" s="2445">
        <f>CJ42</f>
        <v>30</v>
      </c>
      <c r="CA192" s="2446"/>
      <c r="CB192" s="2445">
        <f>CK42</f>
        <v>31.8</v>
      </c>
      <c r="CC192" s="2446"/>
      <c r="CD192" s="316">
        <f>CI45</f>
        <v>19</v>
      </c>
      <c r="CE192" s="35"/>
      <c r="CF192" s="94" t="str">
        <f>[6]Top!$E112</f>
        <v xml:space="preserve">  2F</v>
      </c>
      <c r="CG192" s="35"/>
      <c r="CH192" s="35"/>
      <c r="CI192" s="8">
        <v>4</v>
      </c>
      <c r="CJ192" s="7"/>
      <c r="CK192" s="7" t="s">
        <v>339</v>
      </c>
      <c r="CL192" s="9"/>
      <c r="CM192" s="7"/>
      <c r="CN192" s="8"/>
      <c r="CO192" s="8"/>
      <c r="CP192" s="8"/>
      <c r="CQ192" s="8"/>
      <c r="CR192" s="324"/>
      <c r="CS192" s="324"/>
      <c r="CT192" s="324"/>
      <c r="CU192" s="8"/>
      <c r="CV192" s="8"/>
      <c r="CW192" s="8"/>
      <c r="CX192" s="160"/>
      <c r="CY192" s="160"/>
      <c r="CZ192" s="160"/>
      <c r="DA192" s="160"/>
      <c r="DB192" s="160"/>
      <c r="DC192" s="160"/>
      <c r="DD192" s="160"/>
      <c r="DE192" s="160"/>
      <c r="DF192" s="160"/>
      <c r="DG192" s="160"/>
      <c r="DH192" s="160"/>
      <c r="DI192" s="160"/>
      <c r="DJ192" s="160"/>
      <c r="DK192" s="160"/>
      <c r="DL192" s="160"/>
      <c r="DM192" s="160"/>
      <c r="DN192" s="160"/>
      <c r="DO192" s="160"/>
      <c r="DP192" s="160"/>
      <c r="DQ192" s="160"/>
      <c r="DR192" s="160"/>
      <c r="DS192" s="160"/>
      <c r="DT192" s="160"/>
      <c r="DU192" s="160"/>
      <c r="DV192" s="160"/>
      <c r="DW192" s="8"/>
      <c r="DX192" s="8"/>
      <c r="DY192" s="8"/>
      <c r="DZ192" s="8"/>
      <c r="EA192" s="8"/>
      <c r="EB192" s="8"/>
      <c r="EC192" s="8"/>
    </row>
    <row r="193" spans="2:133" ht="11.25" customHeight="1">
      <c r="B193" s="2326"/>
      <c r="C193" s="2250" t="str">
        <f t="shared" si="69"/>
        <v>FCPEV 1.2- 10Pr</v>
      </c>
      <c r="D193" s="2251"/>
      <c r="E193" s="2251"/>
      <c r="F193" s="2251"/>
      <c r="G193" s="2251"/>
      <c r="H193" s="2251"/>
      <c r="I193" s="2251"/>
      <c r="J193" s="2251"/>
      <c r="K193" s="2252"/>
      <c r="L193" s="2504">
        <f t="shared" si="70"/>
        <v>161.4</v>
      </c>
      <c r="M193" s="2208"/>
      <c r="N193" s="2208"/>
      <c r="O193" s="2208"/>
      <c r="P193" s="2249"/>
      <c r="Q193" s="2479" t="str">
        <f>IF(C193="","",VLOOKUP(C193,[7]建物1802!$E$5:$AL$3275,2,FALSE))</f>
        <v>ｍ</v>
      </c>
      <c r="R193" s="2479"/>
      <c r="S193" s="2479"/>
      <c r="T193" s="2483">
        <f>IF(C193="","",VLOOKUP(C193,[7]建物1802!$E$5:$AL$3275,$AH$188,FALSE))</f>
        <v>369</v>
      </c>
      <c r="U193" s="2484"/>
      <c r="V193" s="2484"/>
      <c r="W193" s="2484"/>
      <c r="X193" s="2484"/>
      <c r="Y193" s="2485"/>
      <c r="Z193" s="2207">
        <f t="shared" si="71"/>
        <v>59556</v>
      </c>
      <c r="AA193" s="2208"/>
      <c r="AB193" s="2208"/>
      <c r="AC193" s="2208"/>
      <c r="AD193" s="2208"/>
      <c r="AE193" s="2208"/>
      <c r="AF193" s="2208"/>
      <c r="AG193" s="2249"/>
      <c r="AH193" s="323"/>
      <c r="AI193" s="2480">
        <f>IF(C193="","",VLOOKUP(C193,[7]建物1802!$E$5:$AL$3275,$AH$189,FALSE))</f>
        <v>3.1E-2</v>
      </c>
      <c r="AJ193" s="2481"/>
      <c r="AK193" s="2481"/>
      <c r="AL193" s="2482"/>
      <c r="AM193" s="2257">
        <f t="shared" si="72"/>
        <v>5.0034000000000001</v>
      </c>
      <c r="AN193" s="2258"/>
      <c r="AO193" s="2258"/>
      <c r="AP193" s="2258"/>
      <c r="AQ193" s="2259"/>
      <c r="AR193" s="244"/>
      <c r="AS193" s="244"/>
      <c r="AT193" s="2542" t="str">
        <f>IF(B2=0,"","火災報知機器")</f>
        <v>火災報知機器</v>
      </c>
      <c r="AU193" s="2542"/>
      <c r="AV193" s="2542"/>
      <c r="AW193" s="2542"/>
      <c r="AX193" s="2542"/>
      <c r="AY193" s="2542"/>
      <c r="AZ193" s="2542"/>
      <c r="BA193" s="2542"/>
      <c r="BB193" s="2260">
        <f>IF($BW$3=0,"",IF(BK193&lt;&gt;"",1000*INT((1+BK193/100)*1.02*SUM(Z216:AG231)/1000),1000*INT(1.02*SUM(Z216:AG231)/1000)))</f>
        <v>4834000</v>
      </c>
      <c r="BC193" s="2260"/>
      <c r="BD193" s="2260"/>
      <c r="BE193" s="2260"/>
      <c r="BF193" s="2260"/>
      <c r="BG193" s="2260"/>
      <c r="BH193" s="2260"/>
      <c r="BI193" s="2260"/>
      <c r="BJ193" s="36" t="s">
        <v>34</v>
      </c>
      <c r="BK193" s="2263"/>
      <c r="BL193" s="2263"/>
      <c r="BM193" s="2263"/>
      <c r="BN193" s="2547" t="str">
        <f>IF(BK193="","",1000*INT(1.02*SUM(Z216:AG231)/1000))</f>
        <v/>
      </c>
      <c r="BO193" s="2547"/>
      <c r="BP193" s="2547"/>
      <c r="BQ193" s="2547"/>
      <c r="BR193" s="2547"/>
      <c r="BS193" s="2547"/>
      <c r="BT193" s="2547"/>
      <c r="BU193" s="19"/>
      <c r="BV193" s="35"/>
      <c r="BW193" s="94">
        <v>5</v>
      </c>
      <c r="BX193" s="35"/>
      <c r="BY193" s="317" t="str">
        <f>C49</f>
        <v xml:space="preserve">  3F</v>
      </c>
      <c r="BZ193" s="2445">
        <f>CJ50</f>
        <v>30</v>
      </c>
      <c r="CA193" s="2446"/>
      <c r="CB193" s="2445">
        <f>CK50</f>
        <v>31.8</v>
      </c>
      <c r="CC193" s="2446"/>
      <c r="CD193" s="316">
        <f>CI53</f>
        <v>23</v>
      </c>
      <c r="CE193" s="35"/>
      <c r="CF193" s="94" t="str">
        <f>[6]Top!$E113</f>
        <v xml:space="preserve">  3F</v>
      </c>
      <c r="CG193" s="35"/>
      <c r="CH193" s="35"/>
      <c r="CI193" s="8">
        <v>5</v>
      </c>
      <c r="CJ193" s="7"/>
      <c r="CK193" s="7"/>
      <c r="CL193" s="9"/>
      <c r="CM193" s="7"/>
      <c r="CN193" s="8"/>
      <c r="CO193" s="8"/>
      <c r="CP193" s="8"/>
      <c r="CQ193" s="8"/>
      <c r="CR193" s="324"/>
      <c r="CS193" s="324"/>
      <c r="CT193" s="324"/>
      <c r="CU193" s="8"/>
      <c r="CV193" s="8"/>
      <c r="CW193" s="8"/>
      <c r="CX193" s="160"/>
      <c r="CY193" s="160"/>
      <c r="CZ193" s="160"/>
      <c r="DA193" s="160"/>
      <c r="DB193" s="160"/>
      <c r="DC193" s="160"/>
      <c r="DD193" s="160"/>
      <c r="DE193" s="160"/>
      <c r="DF193" s="160"/>
      <c r="DG193" s="160"/>
      <c r="DH193" s="160"/>
      <c r="DI193" s="160"/>
      <c r="DJ193" s="160"/>
      <c r="DK193" s="160"/>
      <c r="DL193" s="160"/>
      <c r="DM193" s="160"/>
      <c r="DN193" s="160"/>
      <c r="DO193" s="160"/>
      <c r="DP193" s="160"/>
      <c r="DQ193" s="160"/>
      <c r="DR193" s="160"/>
      <c r="DS193" s="160"/>
      <c r="DT193" s="160"/>
      <c r="DU193" s="160"/>
      <c r="DV193" s="160"/>
      <c r="DW193" s="8"/>
      <c r="DX193" s="8"/>
      <c r="DY193" s="8"/>
      <c r="DZ193" s="8"/>
      <c r="EA193" s="8"/>
      <c r="EB193" s="8"/>
      <c r="EC193" s="8"/>
    </row>
    <row r="194" spans="2:133" ht="11.25" customHeight="1">
      <c r="B194" s="2326"/>
      <c r="C194" s="2250" t="str">
        <f t="shared" si="69"/>
        <v>防火区画処理</v>
      </c>
      <c r="D194" s="2251"/>
      <c r="E194" s="2251"/>
      <c r="F194" s="2251"/>
      <c r="G194" s="2251"/>
      <c r="H194" s="2251"/>
      <c r="I194" s="2251"/>
      <c r="J194" s="2251"/>
      <c r="K194" s="2252"/>
      <c r="L194" s="2504">
        <f t="shared" si="70"/>
        <v>283</v>
      </c>
      <c r="M194" s="2208"/>
      <c r="N194" s="2208"/>
      <c r="O194" s="2208"/>
      <c r="P194" s="2249"/>
      <c r="Q194" s="2479" t="str">
        <f>IF(C194="","",VLOOKUP(C194,[7]建物1802!$E$5:$AL$3275,2,FALSE))</f>
        <v>箇所</v>
      </c>
      <c r="R194" s="2479"/>
      <c r="S194" s="2479"/>
      <c r="T194" s="2483">
        <f>IF(C194="","",VLOOKUP(C194,[7]建物1802!$E$5:$AL$3275,$AH$188,FALSE))</f>
        <v>2500</v>
      </c>
      <c r="U194" s="2484"/>
      <c r="V194" s="2484"/>
      <c r="W194" s="2484"/>
      <c r="X194" s="2484"/>
      <c r="Y194" s="2485"/>
      <c r="Z194" s="2207">
        <f t="shared" si="71"/>
        <v>707500</v>
      </c>
      <c r="AA194" s="2208"/>
      <c r="AB194" s="2208"/>
      <c r="AC194" s="2208"/>
      <c r="AD194" s="2208"/>
      <c r="AE194" s="2208"/>
      <c r="AF194" s="2208"/>
      <c r="AG194" s="2249"/>
      <c r="AH194" s="323"/>
      <c r="AI194" s="2480">
        <f>IF(C194="","",VLOOKUP(C194,[7]建物1802!$E$5:$AL$3275,$AH$189,FALSE))</f>
        <v>0.1</v>
      </c>
      <c r="AJ194" s="2481"/>
      <c r="AK194" s="2481"/>
      <c r="AL194" s="2482"/>
      <c r="AM194" s="2257">
        <f t="shared" si="72"/>
        <v>28.3</v>
      </c>
      <c r="AN194" s="2258"/>
      <c r="AO194" s="2258"/>
      <c r="AP194" s="2258"/>
      <c r="AQ194" s="2259"/>
      <c r="AR194" s="244"/>
      <c r="AS194" s="244"/>
      <c r="AT194" s="2542" t="str">
        <f>IF(B2=0,"","電　　工　　費")</f>
        <v>電　　工　　費</v>
      </c>
      <c r="AU194" s="2542"/>
      <c r="AV194" s="2542"/>
      <c r="AW194" s="2542"/>
      <c r="AX194" s="2542"/>
      <c r="AY194" s="2542"/>
      <c r="AZ194" s="2542"/>
      <c r="BA194" s="2542"/>
      <c r="BB194" s="2260">
        <f>IF($BW$3=0,"",AY189*1000*INT(1.15*SUM(AM189:AQ231))/1000)</f>
        <v>5934000</v>
      </c>
      <c r="BC194" s="2260"/>
      <c r="BD194" s="2260"/>
      <c r="BE194" s="2260"/>
      <c r="BF194" s="2260"/>
      <c r="BG194" s="2260"/>
      <c r="BH194" s="2260"/>
      <c r="BI194" s="2260"/>
      <c r="BJ194" s="244"/>
      <c r="BK194" s="244"/>
      <c r="BL194" s="244"/>
      <c r="BM194" s="244"/>
      <c r="BN194" s="244"/>
      <c r="BO194" s="244"/>
      <c r="BP194" s="244"/>
      <c r="BQ194" s="244"/>
      <c r="BR194" s="244"/>
      <c r="BS194" s="244"/>
      <c r="BT194" s="244"/>
      <c r="BU194" s="19"/>
      <c r="BV194" s="35"/>
      <c r="BW194" s="94">
        <v>6</v>
      </c>
      <c r="BX194" s="35"/>
      <c r="BY194" s="317" t="str">
        <f>C57</f>
        <v xml:space="preserve">  4F</v>
      </c>
      <c r="BZ194" s="2445">
        <f>CJ58</f>
        <v>12</v>
      </c>
      <c r="CA194" s="2446"/>
      <c r="CB194" s="2445">
        <f>CK58</f>
        <v>24</v>
      </c>
      <c r="CC194" s="2446"/>
      <c r="CD194" s="316">
        <f>CI61</f>
        <v>27</v>
      </c>
      <c r="CE194" s="35"/>
      <c r="CF194" s="94" t="str">
        <f>[6]Top!$E114</f>
        <v xml:space="preserve">  4F</v>
      </c>
      <c r="CG194" s="35"/>
      <c r="CH194" s="35"/>
      <c r="CI194" s="8">
        <v>6</v>
      </c>
      <c r="CJ194" s="7"/>
      <c r="CK194" s="7" t="s">
        <v>338</v>
      </c>
      <c r="CL194" s="9"/>
      <c r="CM194" s="7"/>
      <c r="CN194" s="8"/>
      <c r="CO194" s="8"/>
      <c r="CP194" s="8"/>
      <c r="CQ194" s="8"/>
      <c r="CR194" s="8"/>
      <c r="CS194" s="8"/>
      <c r="CT194" s="8"/>
      <c r="CU194" s="8"/>
      <c r="CV194" s="8"/>
      <c r="CW194" s="8"/>
      <c r="CX194" s="160"/>
      <c r="CY194" s="160"/>
      <c r="CZ194" s="160"/>
      <c r="DA194" s="160"/>
      <c r="DB194" s="160"/>
      <c r="DC194" s="160"/>
      <c r="DD194" s="160"/>
      <c r="DE194" s="160"/>
      <c r="DF194" s="160"/>
      <c r="DG194" s="160"/>
      <c r="DH194" s="160"/>
      <c r="DI194" s="160"/>
      <c r="DJ194" s="160"/>
      <c r="DK194" s="160"/>
      <c r="DL194" s="160"/>
      <c r="DM194" s="160"/>
      <c r="DN194" s="160"/>
      <c r="DO194" s="160"/>
      <c r="DP194" s="160"/>
      <c r="DQ194" s="160"/>
      <c r="DR194" s="160"/>
      <c r="DS194" s="160"/>
      <c r="DT194" s="160"/>
      <c r="DU194" s="160"/>
      <c r="DV194" s="160"/>
      <c r="DW194" s="8"/>
      <c r="DX194" s="8"/>
      <c r="DY194" s="8"/>
      <c r="DZ194" s="8"/>
      <c r="EA194" s="8"/>
      <c r="EB194" s="8"/>
      <c r="EC194" s="8"/>
    </row>
    <row r="195" spans="2:133" ht="11.25" customHeight="1">
      <c r="B195" s="2326"/>
      <c r="C195" s="2250" t="str">
        <f t="shared" si="69"/>
        <v>FCPEV 1.2- 15Pr</v>
      </c>
      <c r="D195" s="2251"/>
      <c r="E195" s="2251"/>
      <c r="F195" s="2251"/>
      <c r="G195" s="2251"/>
      <c r="H195" s="2251"/>
      <c r="I195" s="2251"/>
      <c r="J195" s="2251"/>
      <c r="K195" s="2252"/>
      <c r="L195" s="2504">
        <f t="shared" si="70"/>
        <v>206.2</v>
      </c>
      <c r="M195" s="2208"/>
      <c r="N195" s="2208"/>
      <c r="O195" s="2208"/>
      <c r="P195" s="2249"/>
      <c r="Q195" s="2479" t="str">
        <f>IF(C195="","",VLOOKUP(C195,[7]建物1802!$E$5:$AL$3275,2,FALSE))</f>
        <v>ｍ</v>
      </c>
      <c r="R195" s="2479"/>
      <c r="S195" s="2479"/>
      <c r="T195" s="2483">
        <f>IF(C195="","",VLOOKUP(C195,[7]建物1802!$E$5:$AL$3275,$AH$188,FALSE))</f>
        <v>507</v>
      </c>
      <c r="U195" s="2484"/>
      <c r="V195" s="2484"/>
      <c r="W195" s="2484"/>
      <c r="X195" s="2484"/>
      <c r="Y195" s="2485"/>
      <c r="Z195" s="2207">
        <f t="shared" si="71"/>
        <v>104543</v>
      </c>
      <c r="AA195" s="2208"/>
      <c r="AB195" s="2208"/>
      <c r="AC195" s="2208"/>
      <c r="AD195" s="2208"/>
      <c r="AE195" s="2208"/>
      <c r="AF195" s="2208"/>
      <c r="AG195" s="2249"/>
      <c r="AH195" s="323"/>
      <c r="AI195" s="2480">
        <f>IF(C195="","",VLOOKUP(C195,[7]建物1802!$E$5:$AL$3275,$AH$189,FALSE))</f>
        <v>3.4000000000000002E-2</v>
      </c>
      <c r="AJ195" s="2481"/>
      <c r="AK195" s="2481"/>
      <c r="AL195" s="2482"/>
      <c r="AM195" s="2257">
        <f t="shared" si="72"/>
        <v>7.0107999999999997</v>
      </c>
      <c r="AN195" s="2258"/>
      <c r="AO195" s="2258"/>
      <c r="AP195" s="2258"/>
      <c r="AQ195" s="2259"/>
      <c r="AR195" s="244"/>
      <c r="AS195" s="244"/>
      <c r="AT195" s="2542">
        <f>AT191</f>
        <v>9</v>
      </c>
      <c r="AU195" s="2542"/>
      <c r="AV195" s="2542"/>
      <c r="AW195" s="2543" t="str">
        <f>IF(AT195="","","　の 計")</f>
        <v>　の 計</v>
      </c>
      <c r="AX195" s="2543"/>
      <c r="AY195" s="2543"/>
      <c r="AZ195" s="2543"/>
      <c r="BA195" s="2543"/>
      <c r="BB195" s="2207">
        <f>IF($BW$3=0,"",1000*INT(SUM(BB192:BI194)/1000))</f>
        <v>14637000</v>
      </c>
      <c r="BC195" s="2208"/>
      <c r="BD195" s="2208"/>
      <c r="BE195" s="2208"/>
      <c r="BF195" s="2208"/>
      <c r="BG195" s="2208"/>
      <c r="BH195" s="2208"/>
      <c r="BI195" s="2249"/>
      <c r="BJ195" s="244"/>
      <c r="BK195" s="244"/>
      <c r="BL195" s="244"/>
      <c r="BM195" s="244"/>
      <c r="BN195" s="244"/>
      <c r="BO195" s="244"/>
      <c r="BP195" s="244"/>
      <c r="BQ195" s="244"/>
      <c r="BR195" s="244"/>
      <c r="BS195" s="244"/>
      <c r="BT195" s="244"/>
      <c r="BU195" s="19"/>
      <c r="BV195" s="35"/>
      <c r="BW195" s="94">
        <v>7</v>
      </c>
      <c r="BX195" s="35"/>
      <c r="BY195" s="317" t="str">
        <f>C65</f>
        <v xml:space="preserve">  5F</v>
      </c>
      <c r="BZ195" s="2445">
        <f>CJ66</f>
        <v>12</v>
      </c>
      <c r="CA195" s="2446"/>
      <c r="CB195" s="2445">
        <f>CK66</f>
        <v>24</v>
      </c>
      <c r="CC195" s="2446"/>
      <c r="CD195" s="316">
        <f>CI69</f>
        <v>31</v>
      </c>
      <c r="CE195" s="35"/>
      <c r="CF195" s="94" t="str">
        <f>[6]Top!$E115</f>
        <v xml:space="preserve">  5F</v>
      </c>
      <c r="CG195" s="35"/>
      <c r="CH195" s="35"/>
      <c r="CI195" s="8">
        <v>7</v>
      </c>
      <c r="CJ195" s="10"/>
      <c r="CK195" s="7" t="s">
        <v>337</v>
      </c>
      <c r="CL195" s="9"/>
      <c r="CM195" s="7"/>
      <c r="CN195" s="8"/>
      <c r="CO195" s="8"/>
      <c r="CP195" s="8"/>
      <c r="CQ195" s="10"/>
      <c r="CR195" s="8"/>
      <c r="CS195" s="8"/>
      <c r="CT195" s="8"/>
      <c r="CU195" s="8"/>
      <c r="CV195" s="8"/>
      <c r="CW195" s="8"/>
      <c r="CX195" s="160"/>
      <c r="CY195" s="160"/>
      <c r="CZ195" s="160"/>
      <c r="DA195" s="160"/>
      <c r="DB195" s="160"/>
      <c r="DC195" s="160"/>
      <c r="DD195" s="160"/>
      <c r="DE195" s="160"/>
      <c r="DF195" s="160"/>
      <c r="DG195" s="160"/>
      <c r="DH195" s="160"/>
      <c r="DI195" s="160"/>
      <c r="DJ195" s="160"/>
      <c r="DK195" s="160"/>
      <c r="DL195" s="160"/>
      <c r="DM195" s="160"/>
      <c r="DN195" s="160"/>
      <c r="DO195" s="160"/>
      <c r="DP195" s="160"/>
      <c r="DQ195" s="160"/>
      <c r="DR195" s="160"/>
      <c r="DS195" s="160"/>
      <c r="DT195" s="160"/>
      <c r="DU195" s="160"/>
      <c r="DV195" s="160"/>
      <c r="DW195" s="8"/>
      <c r="DX195" s="8"/>
      <c r="DY195" s="8"/>
      <c r="DZ195" s="8"/>
      <c r="EA195" s="8"/>
      <c r="EB195" s="8"/>
      <c r="EC195" s="8"/>
    </row>
    <row r="196" spans="2:133" ht="11.25" customHeight="1">
      <c r="B196" s="2326"/>
      <c r="C196" s="2250" t="str">
        <f t="shared" si="69"/>
        <v>FCPEV 1.2- 20Pr</v>
      </c>
      <c r="D196" s="2251"/>
      <c r="E196" s="2251"/>
      <c r="F196" s="2251"/>
      <c r="G196" s="2251"/>
      <c r="H196" s="2251"/>
      <c r="I196" s="2251"/>
      <c r="J196" s="2251"/>
      <c r="K196" s="2252"/>
      <c r="L196" s="2504">
        <f t="shared" si="70"/>
        <v>109.8</v>
      </c>
      <c r="M196" s="2208"/>
      <c r="N196" s="2208"/>
      <c r="O196" s="2208"/>
      <c r="P196" s="2249"/>
      <c r="Q196" s="2479" t="str">
        <f>IF(C196="","",VLOOKUP(C196,[7]建物1802!$E$5:$AL$3275,2,FALSE))</f>
        <v>ｍ</v>
      </c>
      <c r="R196" s="2479"/>
      <c r="S196" s="2479"/>
      <c r="T196" s="2483">
        <f>IF(C196="","",VLOOKUP(C196,[7]建物1802!$E$5:$AL$3275,$AH$188,FALSE))</f>
        <v>648</v>
      </c>
      <c r="U196" s="2484"/>
      <c r="V196" s="2484"/>
      <c r="W196" s="2484"/>
      <c r="X196" s="2484"/>
      <c r="Y196" s="2485"/>
      <c r="Z196" s="2207">
        <f t="shared" si="71"/>
        <v>71150</v>
      </c>
      <c r="AA196" s="2208"/>
      <c r="AB196" s="2208"/>
      <c r="AC196" s="2208"/>
      <c r="AD196" s="2208"/>
      <c r="AE196" s="2208"/>
      <c r="AF196" s="2208"/>
      <c r="AG196" s="2249"/>
      <c r="AH196" s="323"/>
      <c r="AI196" s="2480">
        <f>IF(C196="","",VLOOKUP(C196,[7]建物1802!$E$5:$AL$3275,$AH$189,FALSE))</f>
        <v>3.9E-2</v>
      </c>
      <c r="AJ196" s="2481"/>
      <c r="AK196" s="2481"/>
      <c r="AL196" s="2482"/>
      <c r="AM196" s="2257">
        <f t="shared" si="72"/>
        <v>4.2821999999999996</v>
      </c>
      <c r="AN196" s="2258"/>
      <c r="AO196" s="2258"/>
      <c r="AP196" s="2258"/>
      <c r="AQ196" s="2259"/>
      <c r="AR196" s="244"/>
      <c r="AS196" s="244"/>
      <c r="AT196" s="244"/>
      <c r="AU196" s="244"/>
      <c r="AV196" s="244"/>
      <c r="AW196" s="244"/>
      <c r="AX196" s="244"/>
      <c r="AY196" s="244"/>
      <c r="AZ196" s="244"/>
      <c r="BA196" s="244"/>
      <c r="BB196" s="43"/>
      <c r="BC196" s="43"/>
      <c r="BD196" s="158"/>
      <c r="BE196" s="158"/>
      <c r="BF196" s="158"/>
      <c r="BG196" s="244"/>
      <c r="BH196" s="244"/>
      <c r="BI196" s="244"/>
      <c r="BJ196" s="244"/>
      <c r="BK196" s="244"/>
      <c r="BL196" s="244"/>
      <c r="BM196" s="244"/>
      <c r="BN196" s="244"/>
      <c r="BO196" s="244"/>
      <c r="BP196" s="244"/>
      <c r="BQ196" s="244"/>
      <c r="BR196" s="244"/>
      <c r="BS196" s="244"/>
      <c r="BT196" s="244"/>
      <c r="BU196" s="19"/>
      <c r="BV196" s="35"/>
      <c r="BW196" s="94">
        <v>8</v>
      </c>
      <c r="BX196" s="35"/>
      <c r="BY196" s="317" t="str">
        <f>C73</f>
        <v xml:space="preserve">  6F</v>
      </c>
      <c r="BZ196" s="2445">
        <f>CJ74</f>
        <v>12</v>
      </c>
      <c r="CA196" s="2446"/>
      <c r="CB196" s="2445">
        <f>CK74</f>
        <v>24</v>
      </c>
      <c r="CC196" s="2446"/>
      <c r="CD196" s="316">
        <f>CI77</f>
        <v>35</v>
      </c>
      <c r="CE196" s="35"/>
      <c r="CF196" s="94" t="str">
        <f>[6]Top!$E116</f>
        <v xml:space="preserve">  6F</v>
      </c>
      <c r="CG196" s="35"/>
      <c r="CH196" s="35"/>
      <c r="CI196" s="8">
        <v>8</v>
      </c>
      <c r="CJ196" s="10"/>
      <c r="CK196" s="7" t="s">
        <v>336</v>
      </c>
      <c r="CL196" s="9"/>
      <c r="CM196" s="7"/>
      <c r="CN196" s="8"/>
      <c r="CO196" s="8"/>
      <c r="CP196" s="8"/>
      <c r="CQ196" s="10"/>
      <c r="CR196" s="8"/>
      <c r="CS196" s="8"/>
      <c r="CT196" s="8"/>
      <c r="CU196" s="8"/>
      <c r="CV196" s="8"/>
      <c r="CW196" s="8"/>
      <c r="CX196" s="160"/>
      <c r="CY196" s="160"/>
      <c r="CZ196" s="160"/>
      <c r="DA196" s="160"/>
      <c r="DB196" s="160"/>
      <c r="DC196" s="160"/>
      <c r="DD196" s="160"/>
      <c r="DE196" s="160"/>
      <c r="DF196" s="160"/>
      <c r="DG196" s="160"/>
      <c r="DH196" s="160"/>
      <c r="DI196" s="160"/>
      <c r="DJ196" s="160"/>
      <c r="DK196" s="160"/>
      <c r="DL196" s="160"/>
      <c r="DM196" s="160"/>
      <c r="DN196" s="160"/>
      <c r="DO196" s="160"/>
      <c r="DP196" s="160"/>
      <c r="DQ196" s="160"/>
      <c r="DR196" s="160"/>
      <c r="DS196" s="160"/>
      <c r="DT196" s="160"/>
      <c r="DU196" s="160"/>
      <c r="DV196" s="160"/>
      <c r="DW196" s="8"/>
      <c r="DX196" s="8"/>
      <c r="DY196" s="8"/>
      <c r="DZ196" s="8"/>
      <c r="EA196" s="8"/>
      <c r="EB196" s="8"/>
      <c r="EC196" s="8"/>
    </row>
    <row r="197" spans="2:133" ht="11.25" customHeight="1">
      <c r="B197" s="2326"/>
      <c r="C197" s="2250" t="str">
        <f t="shared" si="69"/>
        <v>FCPEV 0.9-5Pr</v>
      </c>
      <c r="D197" s="2251"/>
      <c r="E197" s="2251"/>
      <c r="F197" s="2251"/>
      <c r="G197" s="2251"/>
      <c r="H197" s="2251"/>
      <c r="I197" s="2251"/>
      <c r="J197" s="2251"/>
      <c r="K197" s="2252"/>
      <c r="L197" s="2504">
        <f t="shared" si="70"/>
        <v>177</v>
      </c>
      <c r="M197" s="2208"/>
      <c r="N197" s="2208"/>
      <c r="O197" s="2208"/>
      <c r="P197" s="2249"/>
      <c r="Q197" s="2479" t="str">
        <f>IF(C197="","",VLOOKUP(C197,[7]建物1802!$E$5:$AL$3275,2,FALSE))</f>
        <v>ｍ</v>
      </c>
      <c r="R197" s="2479"/>
      <c r="S197" s="2479"/>
      <c r="T197" s="2483">
        <f>IF(C197="","",VLOOKUP(C197,[7]建物1802!$E$5:$AL$3275,$AH$188,FALSE))</f>
        <v>137</v>
      </c>
      <c r="U197" s="2484"/>
      <c r="V197" s="2484"/>
      <c r="W197" s="2484"/>
      <c r="X197" s="2484"/>
      <c r="Y197" s="2485"/>
      <c r="Z197" s="2207">
        <f t="shared" si="71"/>
        <v>24249</v>
      </c>
      <c r="AA197" s="2208"/>
      <c r="AB197" s="2208"/>
      <c r="AC197" s="2208"/>
      <c r="AD197" s="2208"/>
      <c r="AE197" s="2208"/>
      <c r="AF197" s="2208"/>
      <c r="AG197" s="2249"/>
      <c r="AH197" s="323"/>
      <c r="AI197" s="2480">
        <f>IF(C197="","",VLOOKUP(C197,[7]建物1802!$E$5:$AL$3275,$AH$189,FALSE))</f>
        <v>2.1999999999999999E-2</v>
      </c>
      <c r="AJ197" s="2481"/>
      <c r="AK197" s="2481"/>
      <c r="AL197" s="2482"/>
      <c r="AM197" s="2257">
        <f t="shared" si="72"/>
        <v>3.8939999999999997</v>
      </c>
      <c r="AN197" s="2258"/>
      <c r="AO197" s="2258"/>
      <c r="AP197" s="2258"/>
      <c r="AQ197" s="2259"/>
      <c r="AR197" s="244"/>
      <c r="AS197" s="244"/>
      <c r="AT197" s="2523" t="str">
        <f>IF(B2=0,"","火報受信機")</f>
        <v>火報受信機</v>
      </c>
      <c r="AU197" s="2524"/>
      <c r="AV197" s="2524"/>
      <c r="AW197" s="2524"/>
      <c r="AX197" s="2524"/>
      <c r="AY197" s="2525"/>
      <c r="AZ197" s="2523" t="str">
        <f>IF(B2=0,"","連動操作盤")</f>
        <v>連動操作盤</v>
      </c>
      <c r="BA197" s="2524"/>
      <c r="BB197" s="2524"/>
      <c r="BC197" s="2524"/>
      <c r="BD197" s="2524"/>
      <c r="BE197" s="2525"/>
      <c r="BF197" s="2462" t="str">
        <f>IF(B2=0,"","火報平面")</f>
        <v>火報平面</v>
      </c>
      <c r="BG197" s="2462"/>
      <c r="BH197" s="2462"/>
      <c r="BI197" s="2462"/>
      <c r="BJ197" s="2462"/>
      <c r="BK197" s="2462" t="str">
        <f>IF(B2=0,"","火報縦穴")</f>
        <v>火報縦穴</v>
      </c>
      <c r="BL197" s="2462"/>
      <c r="BM197" s="2462"/>
      <c r="BN197" s="2462"/>
      <c r="BO197" s="2462"/>
      <c r="BP197" s="2462" t="str">
        <f>IF(B2=0,"","防火扉")</f>
        <v>防火扉</v>
      </c>
      <c r="BQ197" s="2462"/>
      <c r="BR197" s="2462"/>
      <c r="BS197" s="2462"/>
      <c r="BT197" s="2462"/>
      <c r="BU197" s="19"/>
      <c r="BV197" s="35"/>
      <c r="BW197" s="94">
        <v>9</v>
      </c>
      <c r="BX197" s="35"/>
      <c r="BY197" s="317" t="str">
        <f>C85</f>
        <v xml:space="preserve">  7F</v>
      </c>
      <c r="BZ197" s="2445">
        <f>CJ86</f>
        <v>12</v>
      </c>
      <c r="CA197" s="2446"/>
      <c r="CB197" s="2445">
        <f>CK86</f>
        <v>24</v>
      </c>
      <c r="CC197" s="2446"/>
      <c r="CD197" s="316">
        <f>CI89</f>
        <v>39</v>
      </c>
      <c r="CE197" s="35"/>
      <c r="CF197" s="94" t="str">
        <f>[6]Top!$E117</f>
        <v xml:space="preserve">  7F</v>
      </c>
      <c r="CG197" s="35"/>
      <c r="CH197" s="35"/>
      <c r="CI197" s="8">
        <v>9</v>
      </c>
      <c r="CJ197" s="10"/>
      <c r="CK197" s="7" t="s">
        <v>335</v>
      </c>
      <c r="CL197" s="9"/>
      <c r="CM197" s="7"/>
      <c r="CN197" s="8"/>
      <c r="CO197" s="8"/>
      <c r="CP197" s="8"/>
      <c r="CQ197" s="10"/>
      <c r="CR197" s="8"/>
      <c r="CS197" s="8"/>
      <c r="CT197" s="8"/>
      <c r="CU197" s="8"/>
      <c r="CV197" s="8"/>
      <c r="CW197" s="8"/>
      <c r="CX197" s="160"/>
      <c r="CY197" s="160"/>
      <c r="CZ197" s="160"/>
      <c r="DA197" s="160"/>
      <c r="DB197" s="160"/>
      <c r="DC197" s="160"/>
      <c r="DD197" s="160"/>
      <c r="DE197" s="160"/>
      <c r="DF197" s="160"/>
      <c r="DG197" s="160"/>
      <c r="DH197" s="160"/>
      <c r="DI197" s="160"/>
      <c r="DJ197" s="160"/>
      <c r="DK197" s="160"/>
      <c r="DL197" s="160"/>
      <c r="DM197" s="160"/>
      <c r="DN197" s="160"/>
      <c r="DO197" s="160"/>
      <c r="DP197" s="160"/>
      <c r="DQ197" s="160"/>
      <c r="DR197" s="160"/>
      <c r="DS197" s="160"/>
      <c r="DT197" s="160"/>
      <c r="DU197" s="160"/>
      <c r="DV197" s="160"/>
      <c r="DW197" s="8"/>
      <c r="DX197" s="8"/>
      <c r="DY197" s="8"/>
      <c r="DZ197" s="8"/>
      <c r="EA197" s="8"/>
      <c r="EB197" s="8"/>
      <c r="EC197" s="8"/>
    </row>
    <row r="198" spans="2:133" ht="11.25" customHeight="1">
      <c r="B198" s="2326"/>
      <c r="C198" s="2250" t="str">
        <f t="shared" si="69"/>
        <v>FCPEV 1.2-5Pr</v>
      </c>
      <c r="D198" s="2251"/>
      <c r="E198" s="2251"/>
      <c r="F198" s="2251"/>
      <c r="G198" s="2251"/>
      <c r="H198" s="2251"/>
      <c r="I198" s="2251"/>
      <c r="J198" s="2251"/>
      <c r="K198" s="2252"/>
      <c r="L198" s="2504">
        <f t="shared" si="70"/>
        <v>16.8</v>
      </c>
      <c r="M198" s="2208"/>
      <c r="N198" s="2208"/>
      <c r="O198" s="2208"/>
      <c r="P198" s="2249"/>
      <c r="Q198" s="2479" t="str">
        <f>IF(C198="","",VLOOKUP(C198,[7]建物1802!$E$5:$AL$3275,2,FALSE))</f>
        <v>ｍ</v>
      </c>
      <c r="R198" s="2479"/>
      <c r="S198" s="2479"/>
      <c r="T198" s="2483">
        <f>IF(C198="","",VLOOKUP(C198,[7]建物1802!$E$5:$AL$3275,$AH$188,FALSE))</f>
        <v>221</v>
      </c>
      <c r="U198" s="2484"/>
      <c r="V198" s="2484"/>
      <c r="W198" s="2484"/>
      <c r="X198" s="2484"/>
      <c r="Y198" s="2485"/>
      <c r="Z198" s="2207">
        <f t="shared" si="71"/>
        <v>3712</v>
      </c>
      <c r="AA198" s="2208"/>
      <c r="AB198" s="2208"/>
      <c r="AC198" s="2208"/>
      <c r="AD198" s="2208"/>
      <c r="AE198" s="2208"/>
      <c r="AF198" s="2208"/>
      <c r="AG198" s="2249"/>
      <c r="AH198" s="323"/>
      <c r="AI198" s="2480">
        <f>IF(C198="","",VLOOKUP(C198,[7]建物1802!$E$5:$AL$3275,$AH$189,FALSE))</f>
        <v>2.7E-2</v>
      </c>
      <c r="AJ198" s="2481"/>
      <c r="AK198" s="2481"/>
      <c r="AL198" s="2482"/>
      <c r="AM198" s="2257">
        <f t="shared" si="72"/>
        <v>0.4536</v>
      </c>
      <c r="AN198" s="2258"/>
      <c r="AO198" s="2258"/>
      <c r="AP198" s="2258"/>
      <c r="AQ198" s="2259"/>
      <c r="AR198" s="244"/>
      <c r="AS198" s="244"/>
      <c r="AT198" s="2539">
        <f>IF($BW$3=0,"",BF198+BK198)</f>
        <v>62</v>
      </c>
      <c r="AU198" s="2540"/>
      <c r="AV198" s="2541"/>
      <c r="AW198" s="2535">
        <f>IF($BW$3=0,"",IF(BB195="","",BD201-AT198))</f>
        <v>8</v>
      </c>
      <c r="AX198" s="2536"/>
      <c r="AY198" s="2537"/>
      <c r="AZ198" s="2461">
        <f>IF($BW$3=0,"",BP198)</f>
        <v>78</v>
      </c>
      <c r="BA198" s="2461"/>
      <c r="BB198" s="2461"/>
      <c r="BC198" s="2538">
        <f>IF($BW$3=0,"",IF(BB195="","",BD202-AZ198))</f>
        <v>12</v>
      </c>
      <c r="BD198" s="2538"/>
      <c r="BE198" s="2538"/>
      <c r="BF198" s="2461">
        <f>IF($BW$3=0,"",CI18+CI26+CI34+CI41+CI50+CI58+CI66+CI74+CI86+CI94+CI102+CI110+CI118+CI126+CI134+CI142+CI150+CI162+CI170+CI178)</f>
        <v>53</v>
      </c>
      <c r="BG198" s="2461"/>
      <c r="BH198" s="2461"/>
      <c r="BI198" s="2461"/>
      <c r="BJ198" s="2461"/>
      <c r="BK198" s="2461">
        <f>IF($BW$3=0,"",MAX(CI19,CI27,CI35,CI42,CI51,CI59,CI67,CI75,CI87,CI95,CI103,CI111,CI119,CI127,CI135,CI143,CI151,CI163,CI171,CI179))</f>
        <v>9</v>
      </c>
      <c r="BL198" s="2461"/>
      <c r="BM198" s="2461"/>
      <c r="BN198" s="2461"/>
      <c r="BO198" s="2461"/>
      <c r="BP198" s="2461">
        <f>IF($BW$3=0,"",CI20+CI28+CI36+CI43+CI52+CI60+CI68+CI76+CI88+CI96+CI104+CI112+CI120+CI128+CI136+CI144+CI152+CI164+CI172+CI180)</f>
        <v>78</v>
      </c>
      <c r="BQ198" s="2461"/>
      <c r="BR198" s="2461"/>
      <c r="BS198" s="2461"/>
      <c r="BT198" s="2461"/>
      <c r="BU198" s="19"/>
      <c r="BV198" s="35"/>
      <c r="BW198" s="94">
        <v>10</v>
      </c>
      <c r="BX198" s="35"/>
      <c r="BY198" s="317" t="str">
        <f>C93</f>
        <v xml:space="preserve">  8F</v>
      </c>
      <c r="BZ198" s="2445">
        <f>CJ94</f>
        <v>12</v>
      </c>
      <c r="CA198" s="2446"/>
      <c r="CB198" s="2445">
        <f>CK94</f>
        <v>24</v>
      </c>
      <c r="CC198" s="2446"/>
      <c r="CD198" s="316">
        <f>CI97</f>
        <v>43</v>
      </c>
      <c r="CE198" s="35"/>
      <c r="CF198" s="94" t="str">
        <f>[6]Top!$E118</f>
        <v xml:space="preserve">  8F</v>
      </c>
      <c r="CG198" s="35"/>
      <c r="CH198" s="35"/>
      <c r="CI198" s="8">
        <v>10</v>
      </c>
      <c r="CJ198" s="10"/>
      <c r="CK198" s="7" t="s">
        <v>334</v>
      </c>
      <c r="CL198" s="8"/>
      <c r="CM198" s="10"/>
      <c r="CN198" s="8"/>
      <c r="CO198" s="8"/>
      <c r="CP198" s="8"/>
      <c r="CQ198" s="10"/>
      <c r="CR198" s="8"/>
      <c r="CS198" s="8"/>
      <c r="CT198" s="8"/>
      <c r="CU198" s="8"/>
      <c r="CV198" s="8"/>
      <c r="CW198" s="8"/>
      <c r="CX198" s="160"/>
      <c r="CY198" s="160"/>
      <c r="CZ198" s="160"/>
      <c r="DA198" s="160"/>
      <c r="DB198" s="160"/>
      <c r="DC198" s="160"/>
      <c r="DD198" s="160"/>
      <c r="DE198" s="160"/>
      <c r="DF198" s="160"/>
      <c r="DG198" s="160"/>
      <c r="DH198" s="160"/>
      <c r="DI198" s="160"/>
      <c r="DJ198" s="160"/>
      <c r="DK198" s="160"/>
      <c r="DL198" s="160"/>
      <c r="DM198" s="160"/>
      <c r="DN198" s="160"/>
      <c r="DO198" s="160"/>
      <c r="DP198" s="160"/>
      <c r="DQ198" s="160"/>
      <c r="DR198" s="160"/>
      <c r="DS198" s="160"/>
      <c r="DT198" s="160"/>
      <c r="DU198" s="160"/>
      <c r="DV198" s="160"/>
      <c r="DW198" s="8"/>
      <c r="DX198" s="8"/>
      <c r="DY198" s="8"/>
      <c r="DZ198" s="8"/>
      <c r="EA198" s="8"/>
      <c r="EB198" s="8"/>
      <c r="EC198" s="8"/>
    </row>
    <row r="199" spans="2:133" ht="11.25" customHeight="1">
      <c r="B199" s="2326"/>
      <c r="C199" s="2250" t="str">
        <f t="shared" si="69"/>
        <v/>
      </c>
      <c r="D199" s="2251"/>
      <c r="E199" s="2251"/>
      <c r="F199" s="2251"/>
      <c r="G199" s="2251"/>
      <c r="H199" s="2251"/>
      <c r="I199" s="2251"/>
      <c r="J199" s="2251"/>
      <c r="K199" s="2252"/>
      <c r="L199" s="2504" t="str">
        <f t="shared" si="70"/>
        <v/>
      </c>
      <c r="M199" s="2208"/>
      <c r="N199" s="2208"/>
      <c r="O199" s="2208"/>
      <c r="P199" s="2249"/>
      <c r="Q199" s="2479" t="str">
        <f>IF(C199="","",VLOOKUP(C199,[7]建物1802!$E$5:$AL$3275,2,FALSE))</f>
        <v/>
      </c>
      <c r="R199" s="2479"/>
      <c r="S199" s="2479"/>
      <c r="T199" s="2483" t="str">
        <f>IF(C199="","",VLOOKUP(C199,[7]建物1802!$E$5:$AL$3275,$AH$188,FALSE))</f>
        <v/>
      </c>
      <c r="U199" s="2484"/>
      <c r="V199" s="2484"/>
      <c r="W199" s="2484"/>
      <c r="X199" s="2484"/>
      <c r="Y199" s="2485"/>
      <c r="Z199" s="2207" t="str">
        <f t="shared" si="71"/>
        <v/>
      </c>
      <c r="AA199" s="2208"/>
      <c r="AB199" s="2208"/>
      <c r="AC199" s="2208"/>
      <c r="AD199" s="2208"/>
      <c r="AE199" s="2208"/>
      <c r="AF199" s="2208"/>
      <c r="AG199" s="2249"/>
      <c r="AH199" s="323"/>
      <c r="AI199" s="2480" t="str">
        <f>IF(C199="","",VLOOKUP(C199,[7]建物1802!$E$5:$AL$3275,$AH$189,FALSE))</f>
        <v/>
      </c>
      <c r="AJ199" s="2481"/>
      <c r="AK199" s="2481"/>
      <c r="AL199" s="2482"/>
      <c r="AM199" s="2257" t="str">
        <f t="shared" si="72"/>
        <v/>
      </c>
      <c r="AN199" s="2258"/>
      <c r="AO199" s="2258"/>
      <c r="AP199" s="2258"/>
      <c r="AQ199" s="2259"/>
      <c r="AR199" s="244"/>
      <c r="AS199" s="244"/>
      <c r="AT199" s="2533" t="str">
        <f>IF(B2=0,"","実装")</f>
        <v>実装</v>
      </c>
      <c r="AU199" s="2533"/>
      <c r="AV199" s="2533"/>
      <c r="AW199" s="2533" t="str">
        <f>IF(B2=0,"","予備")</f>
        <v>予備</v>
      </c>
      <c r="AX199" s="2533"/>
      <c r="AY199" s="2533"/>
      <c r="AZ199" s="2533" t="str">
        <f>IF(B2=0,"","実装")</f>
        <v>実装</v>
      </c>
      <c r="BA199" s="2533"/>
      <c r="BB199" s="2533"/>
      <c r="BC199" s="2533" t="str">
        <f>IF(B2=0,"","予備")</f>
        <v>予備</v>
      </c>
      <c r="BD199" s="2533"/>
      <c r="BE199" s="2533"/>
      <c r="BF199" s="2534" t="str">
        <f>IF(B2=0,"","設　計　回　線　数")</f>
        <v>設　計　回　線　数</v>
      </c>
      <c r="BG199" s="2534"/>
      <c r="BH199" s="2534"/>
      <c r="BI199" s="2534"/>
      <c r="BJ199" s="2534"/>
      <c r="BK199" s="2534"/>
      <c r="BL199" s="2534"/>
      <c r="BM199" s="2534"/>
      <c r="BN199" s="2534"/>
      <c r="BO199" s="2534"/>
      <c r="BP199" s="2534"/>
      <c r="BQ199" s="2534"/>
      <c r="BR199" s="2534"/>
      <c r="BS199" s="2534"/>
      <c r="BT199" s="2534"/>
      <c r="BU199" s="19"/>
      <c r="BV199" s="35"/>
      <c r="BW199" s="94">
        <v>11</v>
      </c>
      <c r="BX199" s="35"/>
      <c r="BY199" s="317" t="str">
        <f>C101</f>
        <v xml:space="preserve">  9F</v>
      </c>
      <c r="BZ199" s="2445">
        <f>CJ102</f>
        <v>12</v>
      </c>
      <c r="CA199" s="2446"/>
      <c r="CB199" s="2445">
        <f>CK102</f>
        <v>24</v>
      </c>
      <c r="CC199" s="2446"/>
      <c r="CD199" s="316">
        <f>CI105</f>
        <v>47</v>
      </c>
      <c r="CE199" s="35"/>
      <c r="CF199" s="94" t="str">
        <f>[6]Top!$E119</f>
        <v xml:space="preserve">  9F</v>
      </c>
      <c r="CG199" s="35"/>
      <c r="CH199" s="35"/>
      <c r="CI199" s="8">
        <v>11</v>
      </c>
      <c r="CJ199" s="10"/>
      <c r="CK199" s="7" t="s">
        <v>333</v>
      </c>
      <c r="CL199" s="8"/>
      <c r="CM199" s="10"/>
      <c r="CN199" s="8"/>
      <c r="CO199" s="8"/>
      <c r="CP199" s="8"/>
      <c r="CQ199" s="10"/>
      <c r="CR199" s="8"/>
      <c r="CS199" s="8"/>
      <c r="CT199" s="8"/>
      <c r="CU199" s="8"/>
      <c r="CV199" s="8"/>
      <c r="CW199" s="8"/>
      <c r="CX199" s="160"/>
      <c r="CY199" s="160"/>
      <c r="CZ199" s="160"/>
      <c r="DA199" s="160"/>
      <c r="DB199" s="160"/>
      <c r="DC199" s="160"/>
      <c r="DD199" s="160"/>
      <c r="DE199" s="160"/>
      <c r="DF199" s="160"/>
      <c r="DG199" s="160"/>
      <c r="DH199" s="160"/>
      <c r="DI199" s="160"/>
      <c r="DJ199" s="160"/>
      <c r="DK199" s="160"/>
      <c r="DL199" s="160"/>
      <c r="DM199" s="160"/>
      <c r="DN199" s="160"/>
      <c r="DO199" s="160"/>
      <c r="DP199" s="160"/>
      <c r="DQ199" s="160"/>
      <c r="DR199" s="160"/>
      <c r="DS199" s="160"/>
      <c r="DT199" s="160"/>
      <c r="DU199" s="160"/>
      <c r="DV199" s="160"/>
      <c r="DW199" s="8"/>
      <c r="DX199" s="8"/>
      <c r="DY199" s="8"/>
      <c r="DZ199" s="8"/>
      <c r="EA199" s="8"/>
      <c r="EB199" s="8"/>
      <c r="EC199" s="8"/>
    </row>
    <row r="200" spans="2:133" ht="11.25" customHeight="1">
      <c r="B200" s="2326"/>
      <c r="C200" s="2250" t="str">
        <f t="shared" si="69"/>
        <v/>
      </c>
      <c r="D200" s="2251"/>
      <c r="E200" s="2251"/>
      <c r="F200" s="2251"/>
      <c r="G200" s="2251"/>
      <c r="H200" s="2251"/>
      <c r="I200" s="2251"/>
      <c r="J200" s="2251"/>
      <c r="K200" s="2252"/>
      <c r="L200" s="2504" t="str">
        <f t="shared" si="70"/>
        <v/>
      </c>
      <c r="M200" s="2208"/>
      <c r="N200" s="2208"/>
      <c r="O200" s="2208"/>
      <c r="P200" s="2249"/>
      <c r="Q200" s="2479" t="str">
        <f>IF(C200="","",VLOOKUP(C200,[7]建物1802!$E$5:$AL$3275,2,FALSE))</f>
        <v/>
      </c>
      <c r="R200" s="2479"/>
      <c r="S200" s="2479"/>
      <c r="T200" s="2483" t="str">
        <f>IF(C200="","",VLOOKUP(C200,[7]建物1802!$E$5:$AL$3275,$AH$188,FALSE))</f>
        <v/>
      </c>
      <c r="U200" s="2484"/>
      <c r="V200" s="2484"/>
      <c r="W200" s="2484"/>
      <c r="X200" s="2484"/>
      <c r="Y200" s="2485"/>
      <c r="Z200" s="2207" t="str">
        <f t="shared" si="71"/>
        <v/>
      </c>
      <c r="AA200" s="2208"/>
      <c r="AB200" s="2208"/>
      <c r="AC200" s="2208"/>
      <c r="AD200" s="2208"/>
      <c r="AE200" s="2208"/>
      <c r="AF200" s="2208"/>
      <c r="AG200" s="2249"/>
      <c r="AH200" s="323"/>
      <c r="AI200" s="2480" t="str">
        <f>IF(C200="","",VLOOKUP(C200,[7]建物1802!$E$5:$AL$3275,$AH$189,FALSE))</f>
        <v/>
      </c>
      <c r="AJ200" s="2481"/>
      <c r="AK200" s="2481"/>
      <c r="AL200" s="2482"/>
      <c r="AM200" s="2257" t="str">
        <f t="shared" si="72"/>
        <v/>
      </c>
      <c r="AN200" s="2258"/>
      <c r="AO200" s="2258"/>
      <c r="AP200" s="2258"/>
      <c r="AQ200" s="2259"/>
      <c r="AR200" s="244"/>
      <c r="AS200" s="244"/>
      <c r="AT200" s="244"/>
      <c r="AU200" s="244"/>
      <c r="AV200" s="244"/>
      <c r="AW200" s="244"/>
      <c r="AX200" s="244"/>
      <c r="AY200" s="244"/>
      <c r="AZ200" s="244"/>
      <c r="BA200" s="244"/>
      <c r="BB200" s="43"/>
      <c r="BC200" s="43"/>
      <c r="BD200" s="158"/>
      <c r="BE200" s="158"/>
      <c r="BF200" s="158"/>
      <c r="BG200" s="158"/>
      <c r="BH200" s="158"/>
      <c r="BI200" s="158"/>
      <c r="BJ200" s="158"/>
      <c r="BK200" s="158"/>
      <c r="BL200" s="158"/>
      <c r="BM200" s="158"/>
      <c r="BN200" s="158"/>
      <c r="BO200" s="158"/>
      <c r="BP200" s="158"/>
      <c r="BQ200" s="158"/>
      <c r="BR200" s="158"/>
      <c r="BS200" s="244"/>
      <c r="BT200" s="244"/>
      <c r="BU200" s="19"/>
      <c r="BV200" s="35"/>
      <c r="BW200" s="94">
        <v>12</v>
      </c>
      <c r="BX200" s="35"/>
      <c r="BY200" s="317" t="str">
        <f>C109</f>
        <v xml:space="preserve"> 10F</v>
      </c>
      <c r="BZ200" s="2445">
        <f>CJ110</f>
        <v>12</v>
      </c>
      <c r="CA200" s="2446"/>
      <c r="CB200" s="2445">
        <f>CK110</f>
        <v>24</v>
      </c>
      <c r="CC200" s="2446"/>
      <c r="CD200" s="316">
        <f>CI113</f>
        <v>51</v>
      </c>
      <c r="CE200" s="35"/>
      <c r="CF200" s="94" t="str">
        <f>[6]Top!$E120</f>
        <v xml:space="preserve"> 10F</v>
      </c>
      <c r="CG200" s="35"/>
      <c r="CH200" s="35"/>
      <c r="CI200" s="8">
        <v>12</v>
      </c>
      <c r="CJ200" s="10"/>
      <c r="CK200" s="7" t="s">
        <v>332</v>
      </c>
      <c r="CL200" s="8"/>
      <c r="CM200" s="10"/>
      <c r="CN200" s="8"/>
      <c r="CO200" s="8"/>
      <c r="CP200" s="8"/>
      <c r="CQ200" s="10"/>
      <c r="CR200" s="8"/>
      <c r="CS200" s="8"/>
      <c r="CT200" s="8"/>
      <c r="CU200" s="8"/>
      <c r="CV200" s="8"/>
      <c r="CW200" s="8"/>
      <c r="CX200" s="160"/>
      <c r="CY200" s="160"/>
      <c r="CZ200" s="160"/>
      <c r="DA200" s="160"/>
      <c r="DB200" s="160"/>
      <c r="DC200" s="160"/>
      <c r="DD200" s="160"/>
      <c r="DE200" s="160"/>
      <c r="DF200" s="160"/>
      <c r="DG200" s="160"/>
      <c r="DH200" s="160"/>
      <c r="DI200" s="160"/>
      <c r="DJ200" s="160"/>
      <c r="DK200" s="160"/>
      <c r="DL200" s="160"/>
      <c r="DM200" s="160"/>
      <c r="DN200" s="160"/>
      <c r="DO200" s="160"/>
      <c r="DP200" s="160"/>
      <c r="DQ200" s="160"/>
      <c r="DR200" s="160"/>
      <c r="DS200" s="160"/>
      <c r="DT200" s="160"/>
      <c r="DU200" s="160"/>
      <c r="DV200" s="160"/>
      <c r="DW200" s="8"/>
      <c r="DX200" s="8"/>
      <c r="DY200" s="8"/>
      <c r="DZ200" s="8"/>
      <c r="EA200" s="8"/>
      <c r="EB200" s="8"/>
      <c r="EC200" s="8"/>
    </row>
    <row r="201" spans="2:133" ht="11.25" customHeight="1">
      <c r="B201" s="2326"/>
      <c r="C201" s="2250" t="str">
        <f t="shared" si="69"/>
        <v/>
      </c>
      <c r="D201" s="2251"/>
      <c r="E201" s="2251"/>
      <c r="F201" s="2251"/>
      <c r="G201" s="2251"/>
      <c r="H201" s="2251"/>
      <c r="I201" s="2251"/>
      <c r="J201" s="2251"/>
      <c r="K201" s="2252"/>
      <c r="L201" s="2504" t="str">
        <f t="shared" si="70"/>
        <v/>
      </c>
      <c r="M201" s="2208"/>
      <c r="N201" s="2208"/>
      <c r="O201" s="2208"/>
      <c r="P201" s="2249"/>
      <c r="Q201" s="2479" t="str">
        <f>IF(C201="","",VLOOKUP(C201,[7]建物1802!$E$5:$AL$3275,2,FALSE))</f>
        <v/>
      </c>
      <c r="R201" s="2479"/>
      <c r="S201" s="2479"/>
      <c r="T201" s="2483" t="str">
        <f>IF(C201="","",VLOOKUP(C201,[7]建物1802!$E$5:$AL$3275,$AH$188,FALSE))</f>
        <v/>
      </c>
      <c r="U201" s="2484"/>
      <c r="V201" s="2484"/>
      <c r="W201" s="2484"/>
      <c r="X201" s="2484"/>
      <c r="Y201" s="2485"/>
      <c r="Z201" s="2207" t="str">
        <f t="shared" si="71"/>
        <v/>
      </c>
      <c r="AA201" s="2208"/>
      <c r="AB201" s="2208"/>
      <c r="AC201" s="2208"/>
      <c r="AD201" s="2208"/>
      <c r="AE201" s="2208"/>
      <c r="AF201" s="2208"/>
      <c r="AG201" s="2249"/>
      <c r="AH201" s="323"/>
      <c r="AI201" s="2480" t="str">
        <f>IF(C201="","",VLOOKUP(C201,[7]建物1802!$E$5:$AL$3275,$AH$189,FALSE))</f>
        <v/>
      </c>
      <c r="AJ201" s="2481"/>
      <c r="AK201" s="2481"/>
      <c r="AL201" s="2482"/>
      <c r="AM201" s="2257" t="str">
        <f t="shared" si="72"/>
        <v/>
      </c>
      <c r="AN201" s="2258"/>
      <c r="AO201" s="2258"/>
      <c r="AP201" s="2258"/>
      <c r="AQ201" s="2259"/>
      <c r="AR201" s="244"/>
      <c r="AS201" s="244"/>
      <c r="AT201" s="2523" t="str">
        <f>IF(BB195="","","自火報 受信機")</f>
        <v>自火報 受信機</v>
      </c>
      <c r="AU201" s="2524"/>
      <c r="AV201" s="2524"/>
      <c r="AW201" s="2524"/>
      <c r="AX201" s="2524"/>
      <c r="AY201" s="2524"/>
      <c r="AZ201" s="2524"/>
      <c r="BA201" s="2524"/>
      <c r="BB201" s="2524"/>
      <c r="BC201" s="2525"/>
      <c r="BD201" s="2526">
        <f>IF($BW$3=0,"",IF(BK201&lt;&gt;"",BK201,IF(BF198+BK198+3&lt;5,5,IF(BF198+BK198+5&lt;10,10,IF(BF198+BK198+5&lt;15,15,IF(BF198+BK198+5&lt;20,20,IF(BF198+BK198+5&lt;25,25,IF(BF198+BK198+5&lt;30,30,IF(BF198+BK198+6&lt;40,40,IF(BF198+BK198+6&lt;50,50,IF(BF198+BK198+6&lt;60,60,IF(BF198+BK198+7&lt;70,70,IF(BF198+BK198+8&lt;80,80,IF(BF198+BK198+9&lt;90,90,IF(BF198+BK198+9&lt;100,100,IF(BF198+BK198+9&lt;110,110,IF(BF198+BK198+10&lt;120,120,"---")))))))))))))))))</f>
        <v>70</v>
      </c>
      <c r="BE201" s="2527"/>
      <c r="BF201" s="2528"/>
      <c r="BG201" s="322" t="str">
        <f>IF(BD201:BD200201="","","回線")</f>
        <v>回線</v>
      </c>
      <c r="BH201" s="321"/>
      <c r="BI201" s="321"/>
      <c r="BJ201" s="214" t="s">
        <v>34</v>
      </c>
      <c r="BK201" s="2510"/>
      <c r="BL201" s="2511"/>
      <c r="BM201" s="2512"/>
      <c r="BN201" s="321"/>
      <c r="BO201" s="321"/>
      <c r="BP201" s="321"/>
      <c r="BQ201" s="321"/>
      <c r="BR201" s="321"/>
      <c r="BS201" s="244"/>
      <c r="BT201" s="244"/>
      <c r="BU201" s="19"/>
      <c r="BV201" s="35"/>
      <c r="BW201" s="94">
        <v>13</v>
      </c>
      <c r="BX201" s="35"/>
      <c r="BY201" s="317" t="str">
        <f>C117</f>
        <v xml:space="preserve"> 11F</v>
      </c>
      <c r="BZ201" s="2445">
        <f>CJ118</f>
        <v>12</v>
      </c>
      <c r="CA201" s="2446"/>
      <c r="CB201" s="2445">
        <f>CK118</f>
        <v>24</v>
      </c>
      <c r="CC201" s="2446"/>
      <c r="CD201" s="316">
        <f>CI121</f>
        <v>55</v>
      </c>
      <c r="CE201" s="35"/>
      <c r="CF201" s="94" t="str">
        <f>[6]Top!$E121</f>
        <v xml:space="preserve"> 11F</v>
      </c>
      <c r="CG201" s="35"/>
      <c r="CH201" s="35"/>
      <c r="CI201" s="8">
        <v>13</v>
      </c>
      <c r="CJ201" s="54"/>
      <c r="CK201" s="7" t="s">
        <v>330</v>
      </c>
      <c r="CL201" s="9"/>
      <c r="CM201" s="10"/>
      <c r="CN201" s="107">
        <f>BN204</f>
        <v>150</v>
      </c>
      <c r="CO201" s="10"/>
      <c r="CP201" s="8"/>
      <c r="CQ201" s="8"/>
      <c r="CR201" s="8"/>
      <c r="CS201" s="82"/>
      <c r="CT201" s="7"/>
      <c r="CU201" s="8"/>
      <c r="CV201" s="8"/>
      <c r="CW201" s="8"/>
      <c r="CX201" s="160"/>
      <c r="CY201" s="160"/>
      <c r="CZ201" s="160"/>
      <c r="DA201" s="160"/>
      <c r="DB201" s="160"/>
      <c r="DC201" s="160"/>
      <c r="DD201" s="160"/>
      <c r="DE201" s="160"/>
      <c r="DF201" s="160"/>
      <c r="DG201" s="160"/>
      <c r="DH201" s="160"/>
      <c r="DI201" s="160"/>
      <c r="DJ201" s="160"/>
      <c r="DK201" s="160"/>
      <c r="DL201" s="160"/>
      <c r="DM201" s="160"/>
      <c r="DN201" s="160"/>
      <c r="DO201" s="160"/>
      <c r="DP201" s="160"/>
      <c r="DQ201" s="160"/>
      <c r="DR201" s="160"/>
      <c r="DS201" s="160"/>
      <c r="DT201" s="160"/>
      <c r="DU201" s="160"/>
      <c r="DV201" s="160"/>
      <c r="DW201" s="8"/>
      <c r="DX201" s="8"/>
      <c r="DY201" s="8"/>
      <c r="DZ201" s="8"/>
      <c r="EA201" s="8"/>
      <c r="EB201" s="8"/>
      <c r="EC201" s="8"/>
    </row>
    <row r="202" spans="2:133" ht="11.25" customHeight="1">
      <c r="B202" s="2326"/>
      <c r="C202" s="2250" t="str">
        <f t="shared" si="69"/>
        <v/>
      </c>
      <c r="D202" s="2251"/>
      <c r="E202" s="2251"/>
      <c r="F202" s="2251"/>
      <c r="G202" s="2251"/>
      <c r="H202" s="2251"/>
      <c r="I202" s="2251"/>
      <c r="J202" s="2251"/>
      <c r="K202" s="2252"/>
      <c r="L202" s="2504" t="str">
        <f t="shared" si="70"/>
        <v/>
      </c>
      <c r="M202" s="2208"/>
      <c r="N202" s="2208"/>
      <c r="O202" s="2208"/>
      <c r="P202" s="2249"/>
      <c r="Q202" s="2479" t="str">
        <f>IF(C202="","",VLOOKUP(C202,[7]建物1802!$E$5:$AL$3275,2,FALSE))</f>
        <v/>
      </c>
      <c r="R202" s="2479"/>
      <c r="S202" s="2479"/>
      <c r="T202" s="2483" t="str">
        <f>IF(C202="","",VLOOKUP(C202,[7]建物1802!$E$5:$AL$3275,$AH$188,FALSE))</f>
        <v/>
      </c>
      <c r="U202" s="2484"/>
      <c r="V202" s="2484"/>
      <c r="W202" s="2484"/>
      <c r="X202" s="2484"/>
      <c r="Y202" s="2485"/>
      <c r="Z202" s="2207" t="str">
        <f t="shared" si="71"/>
        <v/>
      </c>
      <c r="AA202" s="2208"/>
      <c r="AB202" s="2208"/>
      <c r="AC202" s="2208"/>
      <c r="AD202" s="2208"/>
      <c r="AE202" s="2208"/>
      <c r="AF202" s="2208"/>
      <c r="AG202" s="2249"/>
      <c r="AH202" s="323"/>
      <c r="AI202" s="2480" t="str">
        <f>IF(C202="","",VLOOKUP(C202,[7]建物1802!$E$5:$AL$3275,$AH$189,FALSE))</f>
        <v/>
      </c>
      <c r="AJ202" s="2481"/>
      <c r="AK202" s="2481"/>
      <c r="AL202" s="2482"/>
      <c r="AM202" s="2257" t="str">
        <f t="shared" si="72"/>
        <v/>
      </c>
      <c r="AN202" s="2258"/>
      <c r="AO202" s="2258"/>
      <c r="AP202" s="2258"/>
      <c r="AQ202" s="2259"/>
      <c r="AR202" s="244"/>
      <c r="AS202" s="244"/>
      <c r="AT202" s="2523" t="str">
        <f>IF(BB195="","","連 動 操 作 盤")</f>
        <v>連 動 操 作 盤</v>
      </c>
      <c r="AU202" s="2524"/>
      <c r="AV202" s="2524"/>
      <c r="AW202" s="2524"/>
      <c r="AX202" s="2524"/>
      <c r="AY202" s="2524"/>
      <c r="AZ202" s="2524"/>
      <c r="BA202" s="2524"/>
      <c r="BB202" s="2524"/>
      <c r="BC202" s="2525"/>
      <c r="BD202" s="2526">
        <f>IF($BW$3=0,"",IF(BK202&lt;&gt;"",BK202,IF(BP198+1&lt;3,3,IF(BP198+2&lt;5,5,IF(BP198+2&lt;10,10,IF(BP198+3&lt;15,15,IF(BP198+3&lt;20,20,IF(BP198+3&lt;25,25,IF(BP198+3&lt;30,30,IF(BP198+3&lt;35,35,IF(BP198+4&lt;40,40,IF(BP198+4&lt;50,50,IF(BP198+4&lt;60,60,IF(BP198+4&lt;70,70,IF(BP198+4&lt;80,80,IF(BP198+4&lt;90,90,IF(BP198+4&lt;100,100,IF(BP198+4&lt;120,120,IF(BP198+4&lt;140,140,IF(BP198+4&lt;160,160,IF(BP198+4&lt;180,180,"---")))))))))))))))))))))</f>
        <v>90</v>
      </c>
      <c r="BE202" s="2527"/>
      <c r="BF202" s="2528"/>
      <c r="BG202" s="322" t="str">
        <f>IF(BD202="","","回線")</f>
        <v>回線</v>
      </c>
      <c r="BH202" s="321"/>
      <c r="BI202" s="321"/>
      <c r="BJ202" s="214" t="s">
        <v>34</v>
      </c>
      <c r="BK202" s="2510"/>
      <c r="BL202" s="2511"/>
      <c r="BM202" s="2512"/>
      <c r="BN202" s="244"/>
      <c r="BO202" s="244"/>
      <c r="BP202" s="244"/>
      <c r="BQ202" s="244"/>
      <c r="BR202" s="244"/>
      <c r="BS202" s="244"/>
      <c r="BT202" s="244"/>
      <c r="BU202" s="19"/>
      <c r="BV202" s="35"/>
      <c r="BW202" s="94">
        <v>14</v>
      </c>
      <c r="BX202" s="35"/>
      <c r="BY202" s="317" t="str">
        <f>C125</f>
        <v xml:space="preserve"> 12F</v>
      </c>
      <c r="BZ202" s="2445">
        <f>CJ126</f>
        <v>12</v>
      </c>
      <c r="CA202" s="2446"/>
      <c r="CB202" s="2445">
        <f>CK126</f>
        <v>24</v>
      </c>
      <c r="CC202" s="2446"/>
      <c r="CD202" s="316">
        <f>CI129</f>
        <v>59</v>
      </c>
      <c r="CE202" s="35"/>
      <c r="CF202" s="94" t="str">
        <f>[6]Top!$E122</f>
        <v xml:space="preserve"> 12F</v>
      </c>
      <c r="CG202" s="35"/>
      <c r="CH202" s="35"/>
      <c r="CI202" s="8">
        <v>14</v>
      </c>
      <c r="CJ202" s="315"/>
      <c r="CK202" s="7" t="s">
        <v>329</v>
      </c>
      <c r="CL202" s="9"/>
      <c r="CM202" s="10"/>
      <c r="CN202" s="97">
        <f>IF(CN201&lt;=5,5,IF(CN201&lt;=10,10,IF(CN201&lt;=15,15,IF(CN201&lt;=20,20,IF(CN201&lt;=30,30,IF(CN201&lt;=50,50,IF(CN201&lt;=70,70,IF(CN201&lt;=100,100,IF(CN201&lt;=150,150,IF(CN201&lt;=200,200,IF(CN201&lt;=300,300,"---")))))))))))</f>
        <v>150</v>
      </c>
      <c r="CO202" s="88">
        <f>IF(CN202=300,200,CN202)</f>
        <v>150</v>
      </c>
      <c r="CP202" s="88">
        <f>IF(CN202=300,2,1)</f>
        <v>1</v>
      </c>
      <c r="CQ202" s="8"/>
      <c r="CR202" s="8"/>
      <c r="CS202" s="82"/>
      <c r="CT202" s="7"/>
      <c r="CU202" s="8"/>
      <c r="CV202" s="8"/>
      <c r="CW202" s="8"/>
      <c r="CX202" s="160"/>
      <c r="CY202" s="160"/>
      <c r="CZ202" s="160"/>
      <c r="DA202" s="160"/>
      <c r="DB202" s="160"/>
      <c r="DC202" s="160"/>
      <c r="DD202" s="160"/>
      <c r="DE202" s="160"/>
      <c r="DF202" s="160"/>
      <c r="DG202" s="160"/>
      <c r="DH202" s="160"/>
      <c r="DI202" s="160"/>
      <c r="DJ202" s="160"/>
      <c r="DK202" s="160"/>
      <c r="DL202" s="160"/>
      <c r="DM202" s="160"/>
      <c r="DN202" s="160"/>
      <c r="DO202" s="160"/>
      <c r="DP202" s="160"/>
      <c r="DQ202" s="160"/>
      <c r="DR202" s="160"/>
      <c r="DS202" s="160"/>
      <c r="DT202" s="160"/>
      <c r="DU202" s="160"/>
      <c r="DV202" s="160"/>
      <c r="DW202" s="8"/>
      <c r="DX202" s="8"/>
      <c r="DY202" s="8"/>
      <c r="DZ202" s="8"/>
      <c r="EA202" s="8"/>
      <c r="EB202" s="8"/>
      <c r="EC202" s="8"/>
    </row>
    <row r="203" spans="2:133" ht="11.25" customHeight="1">
      <c r="B203" s="2326"/>
      <c r="C203" s="2243" t="str">
        <f>IF(BC204="要",AS206,"")</f>
        <v>FCPEV 1.2-150Pr</v>
      </c>
      <c r="D203" s="2244"/>
      <c r="E203" s="2244"/>
      <c r="F203" s="2244"/>
      <c r="G203" s="2244"/>
      <c r="H203" s="2244"/>
      <c r="I203" s="2244"/>
      <c r="J203" s="2244"/>
      <c r="K203" s="2245"/>
      <c r="L203" s="2506">
        <f>IF($BW$3=0,"",IF(BC204="不要","",INT(0.8*CP202*(BZ211+CB211)+ABS(CD211-CD210))))</f>
        <v>49</v>
      </c>
      <c r="M203" s="2529"/>
      <c r="N203" s="2529"/>
      <c r="O203" s="2529"/>
      <c r="P203" s="2530"/>
      <c r="Q203" s="2505" t="str">
        <f>IF(C203="","",VLOOKUP(C203,[7]建物1802!$E$5:$AL$3275,2,FALSE))</f>
        <v>ｍ</v>
      </c>
      <c r="R203" s="2505"/>
      <c r="S203" s="2505"/>
      <c r="T203" s="2495">
        <f>IF(C203="","",VLOOKUP(C203,[7]建物1802!$E$5:$AL$3275,$AH$188,FALSE))</f>
        <v>4380</v>
      </c>
      <c r="U203" s="2496"/>
      <c r="V203" s="2496"/>
      <c r="W203" s="2496"/>
      <c r="X203" s="2496"/>
      <c r="Y203" s="2497"/>
      <c r="Z203" s="2246">
        <f t="shared" si="71"/>
        <v>214620</v>
      </c>
      <c r="AA203" s="2247"/>
      <c r="AB203" s="2247"/>
      <c r="AC203" s="2247"/>
      <c r="AD203" s="2247"/>
      <c r="AE203" s="2247"/>
      <c r="AF203" s="2247"/>
      <c r="AG203" s="2248"/>
      <c r="AH203" s="312"/>
      <c r="AI203" s="2498">
        <f>IF(C203="","",VLOOKUP(C203,[7]建物1802!$E$5:$AL$3275,$AH$189,FALSE))</f>
        <v>0.13300000000000001</v>
      </c>
      <c r="AJ203" s="2499"/>
      <c r="AK203" s="2499"/>
      <c r="AL203" s="2500"/>
      <c r="AM203" s="2520">
        <f t="shared" si="72"/>
        <v>6.5170000000000003</v>
      </c>
      <c r="AN203" s="2521"/>
      <c r="AO203" s="2521"/>
      <c r="AP203" s="2521"/>
      <c r="AQ203" s="2522"/>
      <c r="AR203" s="244"/>
      <c r="AS203" s="244"/>
      <c r="AT203" s="244"/>
      <c r="AU203" s="244"/>
      <c r="AV203" s="244"/>
      <c r="AW203" s="244"/>
      <c r="AX203" s="244"/>
      <c r="AY203" s="244"/>
      <c r="AZ203" s="244"/>
      <c r="BA203" s="244"/>
      <c r="BB203" s="43"/>
      <c r="BC203" s="43"/>
      <c r="BD203" s="158"/>
      <c r="BE203" s="158"/>
      <c r="BF203" s="158"/>
      <c r="BG203" s="244"/>
      <c r="BH203" s="244"/>
      <c r="BI203" s="244"/>
      <c r="BJ203" s="244"/>
      <c r="BK203" s="244"/>
      <c r="BL203" s="244"/>
      <c r="BM203" s="244"/>
      <c r="BN203" s="244"/>
      <c r="BO203" s="244"/>
      <c r="BP203" s="244"/>
      <c r="BQ203" s="244"/>
      <c r="BR203" s="244"/>
      <c r="BS203" s="244"/>
      <c r="BT203" s="244"/>
      <c r="BU203" s="19"/>
      <c r="BV203" s="35"/>
      <c r="BW203" s="94">
        <v>15</v>
      </c>
      <c r="BX203" s="35"/>
      <c r="BY203" s="317" t="str">
        <f>C133</f>
        <v>PH1F</v>
      </c>
      <c r="BZ203" s="2445">
        <f>CJ134</f>
        <v>5</v>
      </c>
      <c r="CA203" s="2446"/>
      <c r="CB203" s="2445">
        <f>CK134</f>
        <v>7</v>
      </c>
      <c r="CC203" s="2446"/>
      <c r="CD203" s="316">
        <f>CI137</f>
        <v>63</v>
      </c>
      <c r="CE203" s="35"/>
      <c r="CF203" s="94" t="str">
        <f>[6]Top!$E123</f>
        <v>PH1F</v>
      </c>
      <c r="CG203" s="35"/>
      <c r="CH203" s="35"/>
      <c r="CI203" s="8">
        <v>15</v>
      </c>
      <c r="CJ203" s="54"/>
      <c r="CK203" s="7" t="s">
        <v>328</v>
      </c>
      <c r="CL203" s="9"/>
      <c r="CM203" s="10"/>
      <c r="CN203" s="82"/>
      <c r="CO203" s="10"/>
      <c r="CP203" s="8"/>
      <c r="CQ203" s="8"/>
      <c r="CR203" s="8"/>
      <c r="CS203" s="82"/>
      <c r="CT203" s="7"/>
      <c r="CU203" s="8"/>
      <c r="CV203" s="8"/>
      <c r="CW203" s="8"/>
      <c r="CX203" s="160"/>
      <c r="CY203" s="160"/>
      <c r="CZ203" s="160"/>
      <c r="DA203" s="160"/>
      <c r="DB203" s="160"/>
      <c r="DC203" s="160"/>
      <c r="DD203" s="160"/>
      <c r="DE203" s="160"/>
      <c r="DF203" s="160"/>
      <c r="DG203" s="160"/>
      <c r="DH203" s="160"/>
      <c r="DI203" s="160"/>
      <c r="DJ203" s="160"/>
      <c r="DK203" s="160"/>
      <c r="DL203" s="160"/>
      <c r="DM203" s="160"/>
      <c r="DN203" s="160"/>
      <c r="DO203" s="160"/>
      <c r="DP203" s="160"/>
      <c r="DQ203" s="160"/>
      <c r="DR203" s="160"/>
      <c r="DS203" s="160"/>
      <c r="DT203" s="160"/>
      <c r="DU203" s="160"/>
      <c r="DV203" s="160"/>
      <c r="DW203" s="8"/>
      <c r="DX203" s="8"/>
      <c r="DY203" s="8"/>
      <c r="DZ203" s="8"/>
      <c r="EA203" s="8"/>
      <c r="EB203" s="8"/>
      <c r="EC203" s="8"/>
    </row>
    <row r="204" spans="2:133" ht="11.25" customHeight="1">
      <c r="B204" s="2326"/>
      <c r="C204" s="2501" t="str">
        <f t="shared" ref="C204:C214" si="73">IF($BW$3=0,"",IF(ISNA(VLOOKUP(BW204,火報P,6,FALSE)),"",VLOOKUP(BW204,火報P,6,FALSE)))</f>
        <v>C-19mm</v>
      </c>
      <c r="D204" s="2502"/>
      <c r="E204" s="2502"/>
      <c r="F204" s="2502"/>
      <c r="G204" s="2502"/>
      <c r="H204" s="2502"/>
      <c r="I204" s="2502"/>
      <c r="J204" s="2502"/>
      <c r="K204" s="2503"/>
      <c r="L204" s="2504">
        <f t="shared" ref="L204:L214" si="74">IF(C204="","",IF(ISNA(VLOOKUP(CI204,火報W,8,FALSE)),"",(VLOOKUP(CI204,火報W,8,FALSE))))</f>
        <v>6504</v>
      </c>
      <c r="M204" s="2208"/>
      <c r="N204" s="2208"/>
      <c r="O204" s="2208"/>
      <c r="P204" s="2249"/>
      <c r="Q204" s="2463" t="str">
        <f>IF(C204="","",VLOOKUP(C204,[7]建物1802!$E$5:$AL$3275,2,FALSE))</f>
        <v>ｍ</v>
      </c>
      <c r="R204" s="2463"/>
      <c r="S204" s="2463"/>
      <c r="T204" s="2507">
        <f>IF(C204="","",VLOOKUP(C204,[7]建物1802!$E$5:$AL$3275,$AH$188,FALSE))</f>
        <v>135</v>
      </c>
      <c r="U204" s="2508"/>
      <c r="V204" s="2508"/>
      <c r="W204" s="2508"/>
      <c r="X204" s="2508"/>
      <c r="Y204" s="2509"/>
      <c r="Z204" s="2218">
        <f t="shared" ref="Z204:Z231" si="75">IF(OR(L204=0,T204=""),"",INT(L204*T204))</f>
        <v>878040</v>
      </c>
      <c r="AA204" s="2219"/>
      <c r="AB204" s="2219"/>
      <c r="AC204" s="2219"/>
      <c r="AD204" s="2219"/>
      <c r="AE204" s="2219"/>
      <c r="AF204" s="2219"/>
      <c r="AG204" s="2220"/>
      <c r="AH204" s="312"/>
      <c r="AI204" s="2470">
        <f>IF(C204="","",VLOOKUP(C204,[7]建物1802!$E$5:$AL$3275,$AH$189,FALSE))</f>
        <v>5.1999999999999998E-2</v>
      </c>
      <c r="AJ204" s="2471"/>
      <c r="AK204" s="2471"/>
      <c r="AL204" s="2472"/>
      <c r="AM204" s="2222">
        <f t="shared" ref="AM204:AM231" si="76">IF(OR(L204=0,AI204=""),"",L204*AI204)</f>
        <v>338.20799999999997</v>
      </c>
      <c r="AN204" s="2223"/>
      <c r="AO204" s="2223"/>
      <c r="AP204" s="2223"/>
      <c r="AQ204" s="2224"/>
      <c r="AR204" s="244"/>
      <c r="AS204" s="244"/>
      <c r="AT204" s="2523" t="str">
        <f>IF(B2=0,"","副受信機設置")</f>
        <v>副受信機設置</v>
      </c>
      <c r="AU204" s="2524"/>
      <c r="AV204" s="2524"/>
      <c r="AW204" s="2524"/>
      <c r="AX204" s="2524"/>
      <c r="AY204" s="2524"/>
      <c r="AZ204" s="2524"/>
      <c r="BA204" s="2524"/>
      <c r="BB204" s="2525"/>
      <c r="BC204" s="2718" t="str">
        <f>IF(B2=0,"",IF(AND(BG204="",BW3=1),"要",BG204))</f>
        <v>要</v>
      </c>
      <c r="BD204" s="2213"/>
      <c r="BE204" s="2214"/>
      <c r="BF204" s="31" t="s">
        <v>68</v>
      </c>
      <c r="BG204" s="2716"/>
      <c r="BH204" s="2717"/>
      <c r="BI204" s="2717"/>
      <c r="BJ204" s="320"/>
      <c r="BK204" s="2531" t="str">
        <f>IF(B2=0,"",IF(BA204="要","回線",""))</f>
        <v/>
      </c>
      <c r="BL204" s="2531"/>
      <c r="BM204" s="2532"/>
      <c r="BN204" s="2526">
        <f>IF(BR205="","",IF(BR204&lt;&gt;"",BR204,IF(BR205+2&lt;5,5,IF(BR205+3&lt;10,10,IF(BR205+4&lt;15,15,IF(BR205+4&lt;20,20,IF(BR205+5&lt;25,25,IF(BR205+5&lt;30,30,IF(BR205+5&lt;40,40,IF(BR205+5&lt;50,50,IF(BR205+5&lt;60,60,IF(BR205+5&lt;70,70,IF(BR205+6&lt;80,80,IF(BR205+6&lt;90,90,IF(BR205+6&lt;100,100,IF(BR205+7&lt;110,110,IF(BR205+7&lt;120,120,IF(BR205+7&lt;150,150,IF(BR205+7&lt;=200,200,IF(BR205+7&lt;=300,300,"---"))))))))))))))))))))</f>
        <v>150</v>
      </c>
      <c r="BO204" s="2527"/>
      <c r="BP204" s="2528"/>
      <c r="BQ204" s="214" t="s">
        <v>68</v>
      </c>
      <c r="BR204" s="2510"/>
      <c r="BS204" s="2511"/>
      <c r="BT204" s="2512"/>
      <c r="BU204" s="19"/>
      <c r="BV204" s="35"/>
      <c r="BW204" s="94">
        <v>1</v>
      </c>
      <c r="BX204" s="35"/>
      <c r="BY204" s="317" t="str">
        <f>C141</f>
        <v>PH2F</v>
      </c>
      <c r="BZ204" s="2445">
        <f>CJ142</f>
        <v>5</v>
      </c>
      <c r="CA204" s="2446"/>
      <c r="CB204" s="2445">
        <f>CK142</f>
        <v>7</v>
      </c>
      <c r="CC204" s="2446"/>
      <c r="CD204" s="316">
        <f>CI145</f>
        <v>67</v>
      </c>
      <c r="CE204" s="35"/>
      <c r="CF204" s="94" t="str">
        <f>[6]Top!$E124</f>
        <v>PH2F</v>
      </c>
      <c r="CG204" s="35"/>
      <c r="CH204" s="35"/>
      <c r="CI204" s="8">
        <v>1</v>
      </c>
      <c r="CJ204" s="54"/>
      <c r="CK204" s="7" t="s">
        <v>327</v>
      </c>
      <c r="CL204" s="9"/>
      <c r="CM204" s="10"/>
      <c r="CN204" s="82"/>
      <c r="CO204" s="10"/>
      <c r="CP204" s="8"/>
      <c r="CQ204" s="8"/>
      <c r="CR204" s="8"/>
      <c r="CS204" s="82"/>
      <c r="CT204" s="7"/>
      <c r="CU204" s="8"/>
      <c r="CV204" s="8"/>
      <c r="CW204" s="8"/>
      <c r="CX204" s="160"/>
      <c r="CY204" s="160"/>
      <c r="CZ204" s="160"/>
      <c r="DA204" s="160"/>
      <c r="DB204" s="160"/>
      <c r="DC204" s="160"/>
      <c r="DD204" s="160"/>
      <c r="DE204" s="160"/>
      <c r="DF204" s="160"/>
      <c r="DG204" s="160"/>
      <c r="DH204" s="160"/>
      <c r="DI204" s="160"/>
      <c r="DJ204" s="160"/>
      <c r="DK204" s="160"/>
      <c r="DL204" s="160"/>
      <c r="DM204" s="160"/>
      <c r="DN204" s="160"/>
      <c r="DO204" s="160"/>
      <c r="DP204" s="160"/>
      <c r="DQ204" s="160"/>
      <c r="DR204" s="160"/>
      <c r="DS204" s="160"/>
      <c r="DT204" s="160"/>
      <c r="DU204" s="160"/>
      <c r="DV204" s="160"/>
      <c r="DW204" s="8"/>
      <c r="DX204" s="8"/>
      <c r="DY204" s="8"/>
      <c r="DZ204" s="8"/>
      <c r="EA204" s="8"/>
      <c r="EB204" s="8"/>
      <c r="EC204" s="8"/>
    </row>
    <row r="205" spans="2:133" ht="11.25" customHeight="1">
      <c r="B205" s="2326"/>
      <c r="C205" s="2501" t="str">
        <f t="shared" si="73"/>
        <v>C-25mm</v>
      </c>
      <c r="D205" s="2502"/>
      <c r="E205" s="2502"/>
      <c r="F205" s="2502"/>
      <c r="G205" s="2502"/>
      <c r="H205" s="2502"/>
      <c r="I205" s="2502"/>
      <c r="J205" s="2502"/>
      <c r="K205" s="2503"/>
      <c r="L205" s="2504">
        <f t="shared" si="74"/>
        <v>344</v>
      </c>
      <c r="M205" s="2208"/>
      <c r="N205" s="2208"/>
      <c r="O205" s="2208"/>
      <c r="P205" s="2249"/>
      <c r="Q205" s="2479" t="str">
        <f>IF(C205="","",VLOOKUP(C205,[7]建物1802!$E$5:$AL$3275,2,FALSE))</f>
        <v>ｍ</v>
      </c>
      <c r="R205" s="2479"/>
      <c r="S205" s="2479"/>
      <c r="T205" s="2483">
        <f>IF(C205="","",VLOOKUP(C205,[7]建物1802!$E$5:$AL$3275,$AH$188,FALSE))</f>
        <v>189</v>
      </c>
      <c r="U205" s="2484"/>
      <c r="V205" s="2484"/>
      <c r="W205" s="2484"/>
      <c r="X205" s="2484"/>
      <c r="Y205" s="2485"/>
      <c r="Z205" s="2218">
        <f t="shared" si="75"/>
        <v>65016</v>
      </c>
      <c r="AA205" s="2219"/>
      <c r="AB205" s="2219"/>
      <c r="AC205" s="2219"/>
      <c r="AD205" s="2219"/>
      <c r="AE205" s="2219"/>
      <c r="AF205" s="2219"/>
      <c r="AG205" s="2220"/>
      <c r="AH205" s="312"/>
      <c r="AI205" s="2480">
        <f>IF(C205="","",VLOOKUP(C205,[7]建物1802!$E$5:$AL$3275,$AH$189,FALSE))</f>
        <v>7.0000000000000007E-2</v>
      </c>
      <c r="AJ205" s="2481"/>
      <c r="AK205" s="2481"/>
      <c r="AL205" s="2482"/>
      <c r="AM205" s="2222">
        <f t="shared" si="76"/>
        <v>24.080000000000002</v>
      </c>
      <c r="AN205" s="2223"/>
      <c r="AO205" s="2223"/>
      <c r="AP205" s="2223"/>
      <c r="AQ205" s="2224"/>
      <c r="AR205" s="20"/>
      <c r="AS205" s="20"/>
      <c r="AT205" s="2513" t="str">
        <f>IF(B2=0,"",IF(BC204="要","副受信機設置階",""))</f>
        <v>副受信機設置階</v>
      </c>
      <c r="AU205" s="2514"/>
      <c r="AV205" s="2514"/>
      <c r="AW205" s="2514"/>
      <c r="AX205" s="2514"/>
      <c r="AY205" s="2514"/>
      <c r="AZ205" s="2514"/>
      <c r="BA205" s="2515"/>
      <c r="BB205" s="2516"/>
      <c r="BC205" s="2410" t="str">
        <f>IF($BW$3=0,"",IF(BG205&lt;&gt;"",BG205,"  1F"))</f>
        <v xml:space="preserve">  1F</v>
      </c>
      <c r="BD205" s="2411"/>
      <c r="BE205" s="2412"/>
      <c r="BF205" s="319" t="s">
        <v>68</v>
      </c>
      <c r="BG205" s="2517"/>
      <c r="BH205" s="2518"/>
      <c r="BI205" s="2519"/>
      <c r="BJ205" s="28"/>
      <c r="BK205" s="28"/>
      <c r="BL205" s="28"/>
      <c r="BM205" s="28"/>
      <c r="BN205" s="2523" t="str">
        <f>IF(B2=0,"",IF(BC204="要","実装",""))</f>
        <v>実装</v>
      </c>
      <c r="BO205" s="2524"/>
      <c r="BP205" s="2524"/>
      <c r="BQ205" s="2525"/>
      <c r="BR205" s="2527">
        <f>IF(AND(BC204="要",OR(BD201&lt;&gt;"",BD202&lt;&gt;"")),BF198+BK198+BP198,"")</f>
        <v>140</v>
      </c>
      <c r="BS205" s="2527"/>
      <c r="BT205" s="2528"/>
      <c r="BU205" s="19"/>
      <c r="BV205" s="35"/>
      <c r="BW205" s="94">
        <v>2</v>
      </c>
      <c r="BX205" s="35"/>
      <c r="BY205" s="317" t="str">
        <f>C149</f>
        <v/>
      </c>
      <c r="BZ205" s="2445">
        <f>CJ150</f>
        <v>0</v>
      </c>
      <c r="CA205" s="2446"/>
      <c r="CB205" s="2445">
        <f>CK150</f>
        <v>0</v>
      </c>
      <c r="CC205" s="2446"/>
      <c r="CD205" s="316" t="str">
        <f>CI153</f>
        <v/>
      </c>
      <c r="CE205" s="35"/>
      <c r="CF205" s="94" t="str">
        <f>[6]Top!$E125</f>
        <v/>
      </c>
      <c r="CG205" s="35"/>
      <c r="CH205" s="35"/>
      <c r="CI205" s="8">
        <v>2</v>
      </c>
      <c r="CJ205" s="54"/>
      <c r="CK205" s="7" t="s">
        <v>326</v>
      </c>
      <c r="CL205" s="9"/>
      <c r="CM205" s="10"/>
      <c r="CN205" s="82"/>
      <c r="CO205" s="10"/>
      <c r="CP205" s="8"/>
      <c r="CQ205" s="8"/>
      <c r="CR205" s="8"/>
      <c r="CS205" s="82"/>
      <c r="CT205" s="7"/>
      <c r="CU205" s="8"/>
      <c r="CV205" s="8"/>
      <c r="CW205" s="8"/>
      <c r="CX205" s="160"/>
      <c r="CY205" s="160"/>
      <c r="CZ205" s="160"/>
      <c r="DA205" s="160"/>
      <c r="DB205" s="160"/>
      <c r="DC205" s="160"/>
      <c r="DD205" s="160"/>
      <c r="DE205" s="160"/>
      <c r="DF205" s="160"/>
      <c r="DG205" s="160"/>
      <c r="DH205" s="160"/>
      <c r="DI205" s="160"/>
      <c r="DJ205" s="160"/>
      <c r="DK205" s="160"/>
      <c r="DL205" s="160"/>
      <c r="DM205" s="160"/>
      <c r="DN205" s="160"/>
      <c r="DO205" s="160"/>
      <c r="DP205" s="160"/>
      <c r="DQ205" s="160"/>
      <c r="DR205" s="160"/>
      <c r="DS205" s="160"/>
      <c r="DT205" s="160"/>
      <c r="DU205" s="160"/>
      <c r="DV205" s="160"/>
      <c r="DW205" s="8"/>
      <c r="DX205" s="8"/>
      <c r="DY205" s="8"/>
      <c r="DZ205" s="8"/>
      <c r="EA205" s="8"/>
      <c r="EB205" s="8"/>
      <c r="EC205" s="8"/>
    </row>
    <row r="206" spans="2:133" ht="11.25" customHeight="1">
      <c r="B206" s="2326"/>
      <c r="C206" s="2501" t="str">
        <f t="shared" si="73"/>
        <v>C-31mm</v>
      </c>
      <c r="D206" s="2502"/>
      <c r="E206" s="2502"/>
      <c r="F206" s="2502"/>
      <c r="G206" s="2502"/>
      <c r="H206" s="2502"/>
      <c r="I206" s="2502"/>
      <c r="J206" s="2502"/>
      <c r="K206" s="2503"/>
      <c r="L206" s="2504">
        <f t="shared" si="74"/>
        <v>506</v>
      </c>
      <c r="M206" s="2208"/>
      <c r="N206" s="2208"/>
      <c r="O206" s="2208"/>
      <c r="P206" s="2249"/>
      <c r="Q206" s="2479" t="str">
        <f>IF(C206="","",VLOOKUP(C206,[7]建物1802!$E$5:$AL$3275,2,FALSE))</f>
        <v>ｍ</v>
      </c>
      <c r="R206" s="2479"/>
      <c r="S206" s="2479"/>
      <c r="T206" s="2483">
        <f>IF(C206="","",VLOOKUP(C206,[7]建物1802!$E$5:$AL$3275,$AH$188,FALSE))</f>
        <v>252</v>
      </c>
      <c r="U206" s="2484"/>
      <c r="V206" s="2484"/>
      <c r="W206" s="2484"/>
      <c r="X206" s="2484"/>
      <c r="Y206" s="2485"/>
      <c r="Z206" s="2218">
        <f t="shared" si="75"/>
        <v>127512</v>
      </c>
      <c r="AA206" s="2219"/>
      <c r="AB206" s="2219"/>
      <c r="AC206" s="2219"/>
      <c r="AD206" s="2219"/>
      <c r="AE206" s="2219"/>
      <c r="AF206" s="2219"/>
      <c r="AG206" s="2220"/>
      <c r="AH206" s="312"/>
      <c r="AI206" s="2480">
        <f>IF(C206="","",VLOOKUP(C206,[7]建物1802!$E$5:$AL$3275,$AH$189,FALSE))</f>
        <v>8.8999999999999996E-2</v>
      </c>
      <c r="AJ206" s="2481"/>
      <c r="AK206" s="2481"/>
      <c r="AL206" s="2482"/>
      <c r="AM206" s="2222">
        <f t="shared" si="76"/>
        <v>45.033999999999999</v>
      </c>
      <c r="AN206" s="2223"/>
      <c r="AO206" s="2223"/>
      <c r="AP206" s="2223"/>
      <c r="AQ206" s="2224"/>
      <c r="AR206" s="20"/>
      <c r="AS206" s="2448" t="str">
        <f>IF($BW$3=0,"",IF(BC204="要","FCPEV 1.2-"&amp;CO202&amp;"Pr",""))</f>
        <v>FCPEV 1.2-150Pr</v>
      </c>
      <c r="AT206" s="2448"/>
      <c r="AU206" s="2448"/>
      <c r="AV206" s="2448"/>
      <c r="AW206" s="2448"/>
      <c r="AX206" s="2448"/>
      <c r="AY206" s="2448"/>
      <c r="AZ206" s="2448"/>
      <c r="BA206" s="2448"/>
      <c r="BB206" s="2448"/>
      <c r="BC206" s="2447" t="str">
        <f>IF(BC204="不要","",L203&amp;" m")</f>
        <v>49 m</v>
      </c>
      <c r="BD206" s="2447"/>
      <c r="BE206" s="2447"/>
      <c r="BF206" s="2447"/>
      <c r="BG206" s="2447"/>
      <c r="BH206" s="2447"/>
      <c r="BI206" s="28"/>
      <c r="BJ206" s="28"/>
      <c r="BK206" s="28"/>
      <c r="BL206" s="28"/>
      <c r="BM206" s="28"/>
      <c r="BN206" s="28"/>
      <c r="BO206" s="28"/>
      <c r="BP206" s="28"/>
      <c r="BQ206" s="28"/>
      <c r="BR206" s="28"/>
      <c r="BS206" s="28"/>
      <c r="BT206" s="28"/>
      <c r="BU206" s="19"/>
      <c r="BV206" s="35"/>
      <c r="BW206" s="94">
        <v>3</v>
      </c>
      <c r="BX206" s="35"/>
      <c r="BY206" s="317" t="str">
        <f>C161</f>
        <v/>
      </c>
      <c r="BZ206" s="2445">
        <f>CJ162</f>
        <v>0</v>
      </c>
      <c r="CA206" s="2446"/>
      <c r="CB206" s="2445">
        <f>CK162</f>
        <v>0</v>
      </c>
      <c r="CC206" s="2446"/>
      <c r="CD206" s="316" t="str">
        <f>CI165</f>
        <v/>
      </c>
      <c r="CE206" s="35"/>
      <c r="CF206" s="94" t="str">
        <f>[6]Top!$E126</f>
        <v/>
      </c>
      <c r="CG206" s="35"/>
      <c r="CH206" s="35"/>
      <c r="CI206" s="8">
        <v>3</v>
      </c>
      <c r="CJ206" s="54"/>
      <c r="CK206" s="7" t="s">
        <v>325</v>
      </c>
      <c r="CL206" s="9"/>
      <c r="CM206" s="10"/>
      <c r="CN206" s="82"/>
      <c r="CO206" s="10"/>
      <c r="CP206" s="8"/>
      <c r="CQ206" s="8"/>
      <c r="CR206" s="8"/>
      <c r="CS206" s="82"/>
      <c r="CT206" s="7"/>
      <c r="CU206" s="8"/>
      <c r="CV206" s="8"/>
      <c r="CW206" s="8"/>
      <c r="CX206" s="8"/>
      <c r="CY206" s="8"/>
      <c r="CZ206" s="8"/>
      <c r="DA206" s="9"/>
      <c r="DB206" s="127"/>
      <c r="DC206" s="127"/>
      <c r="DD206" s="11"/>
      <c r="DE206" s="9"/>
      <c r="DF206" s="9"/>
      <c r="DG206" s="9"/>
      <c r="DH206" s="9"/>
      <c r="DI206" s="242"/>
      <c r="DJ206" s="124"/>
      <c r="DK206" s="124"/>
      <c r="DL206" s="124"/>
      <c r="DM206" s="203"/>
      <c r="DN206" s="203"/>
      <c r="DO206" s="203"/>
      <c r="DP206" s="9"/>
      <c r="DQ206" s="9"/>
      <c r="DR206" s="101"/>
      <c r="DS206" s="125"/>
      <c r="DT206" s="9"/>
      <c r="DU206" s="8"/>
      <c r="DV206" s="8"/>
      <c r="DW206" s="8"/>
      <c r="DX206" s="8"/>
      <c r="DY206" s="8"/>
      <c r="DZ206" s="8"/>
      <c r="EA206" s="8"/>
      <c r="EB206" s="8"/>
      <c r="EC206" s="8"/>
    </row>
    <row r="207" spans="2:133" ht="11.25" customHeight="1">
      <c r="B207" s="2326"/>
      <c r="C207" s="2501" t="str">
        <f t="shared" si="73"/>
        <v>C-39mm</v>
      </c>
      <c r="D207" s="2502"/>
      <c r="E207" s="2502"/>
      <c r="F207" s="2502"/>
      <c r="G207" s="2502"/>
      <c r="H207" s="2502"/>
      <c r="I207" s="2502"/>
      <c r="J207" s="2502"/>
      <c r="K207" s="2503"/>
      <c r="L207" s="2504">
        <f t="shared" si="74"/>
        <v>583</v>
      </c>
      <c r="M207" s="2208"/>
      <c r="N207" s="2208"/>
      <c r="O207" s="2208"/>
      <c r="P207" s="2249"/>
      <c r="Q207" s="2479" t="str">
        <f>IF(C207="","",VLOOKUP(C207,[7]建物1802!$E$5:$AL$3275,2,FALSE))</f>
        <v>ｍ</v>
      </c>
      <c r="R207" s="2479"/>
      <c r="S207" s="2479"/>
      <c r="T207" s="2483">
        <f>IF(C207="","",VLOOKUP(C207,[7]建物1802!$E$5:$AL$3275,$AH$188,FALSE))</f>
        <v>292</v>
      </c>
      <c r="U207" s="2484"/>
      <c r="V207" s="2484"/>
      <c r="W207" s="2484"/>
      <c r="X207" s="2484"/>
      <c r="Y207" s="2485"/>
      <c r="Z207" s="2218">
        <f t="shared" si="75"/>
        <v>170236</v>
      </c>
      <c r="AA207" s="2219"/>
      <c r="AB207" s="2219"/>
      <c r="AC207" s="2219"/>
      <c r="AD207" s="2219"/>
      <c r="AE207" s="2219"/>
      <c r="AF207" s="2219"/>
      <c r="AG207" s="2220"/>
      <c r="AH207" s="312"/>
      <c r="AI207" s="2480">
        <f>IF(C207="","",VLOOKUP(C207,[7]建物1802!$E$5:$AL$3275,$AH$189,FALSE))</f>
        <v>0.109</v>
      </c>
      <c r="AJ207" s="2481"/>
      <c r="AK207" s="2481"/>
      <c r="AL207" s="2482"/>
      <c r="AM207" s="2222">
        <f t="shared" si="76"/>
        <v>63.546999999999997</v>
      </c>
      <c r="AN207" s="2223"/>
      <c r="AO207" s="2223"/>
      <c r="AP207" s="2223"/>
      <c r="AQ207" s="2224"/>
      <c r="AR207" s="20"/>
      <c r="AS207" s="20"/>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19"/>
      <c r="BV207" s="35"/>
      <c r="BW207" s="94">
        <v>4</v>
      </c>
      <c r="BX207" s="35"/>
      <c r="BY207" s="317" t="str">
        <f>C169</f>
        <v/>
      </c>
      <c r="BZ207" s="2445">
        <f>CJ170</f>
        <v>0</v>
      </c>
      <c r="CA207" s="2446"/>
      <c r="CB207" s="2445">
        <f>CK170</f>
        <v>0</v>
      </c>
      <c r="CC207" s="2446"/>
      <c r="CD207" s="316" t="str">
        <f>CI173</f>
        <v/>
      </c>
      <c r="CE207" s="35"/>
      <c r="CF207" s="94" t="str">
        <f>[6]Top!$E127</f>
        <v/>
      </c>
      <c r="CG207" s="35"/>
      <c r="CH207" s="35"/>
      <c r="CI207" s="8">
        <v>4</v>
      </c>
      <c r="CJ207" s="54"/>
      <c r="CK207" s="7" t="s">
        <v>324</v>
      </c>
      <c r="CL207" s="9"/>
      <c r="CM207" s="10"/>
      <c r="CN207" s="82"/>
      <c r="CO207" s="10"/>
      <c r="CP207" s="8"/>
      <c r="CQ207" s="8"/>
      <c r="CR207" s="8"/>
      <c r="CS207" s="82"/>
      <c r="CT207" s="7"/>
      <c r="CU207" s="8"/>
      <c r="CV207" s="8"/>
      <c r="CW207" s="8"/>
      <c r="CX207" s="8"/>
      <c r="CY207" s="8"/>
      <c r="CZ207" s="8"/>
      <c r="DA207" s="9"/>
      <c r="DB207" s="127"/>
      <c r="DC207" s="127"/>
      <c r="DD207" s="11"/>
      <c r="DE207" s="9"/>
      <c r="DF207" s="9"/>
      <c r="DG207" s="9"/>
      <c r="DH207" s="9"/>
      <c r="DI207" s="242"/>
      <c r="DJ207" s="124"/>
      <c r="DK207" s="124"/>
      <c r="DL207" s="124"/>
      <c r="DM207" s="203"/>
      <c r="DN207" s="203"/>
      <c r="DO207" s="203"/>
      <c r="DP207" s="9"/>
      <c r="DQ207" s="9"/>
      <c r="DR207" s="101"/>
      <c r="DS207" s="125"/>
      <c r="DT207" s="9"/>
      <c r="DU207" s="8"/>
      <c r="DV207" s="8"/>
      <c r="DW207" s="8"/>
      <c r="DX207" s="8"/>
      <c r="DY207" s="8"/>
      <c r="DZ207" s="8"/>
      <c r="EA207" s="8"/>
      <c r="EB207" s="8"/>
      <c r="EC207" s="8"/>
    </row>
    <row r="208" spans="2:133" ht="11.25" customHeight="1" thickBot="1">
      <c r="B208" s="2326"/>
      <c r="C208" s="2501" t="str">
        <f t="shared" si="73"/>
        <v/>
      </c>
      <c r="D208" s="2502"/>
      <c r="E208" s="2502"/>
      <c r="F208" s="2502"/>
      <c r="G208" s="2502"/>
      <c r="H208" s="2502"/>
      <c r="I208" s="2502"/>
      <c r="J208" s="2502"/>
      <c r="K208" s="2503"/>
      <c r="L208" s="2504" t="str">
        <f t="shared" si="74"/>
        <v/>
      </c>
      <c r="M208" s="2208"/>
      <c r="N208" s="2208"/>
      <c r="O208" s="2208"/>
      <c r="P208" s="2249"/>
      <c r="Q208" s="2479" t="str">
        <f>IF(C208="","",VLOOKUP(C208,[7]建物1802!$E$5:$AL$3275,2,FALSE))</f>
        <v/>
      </c>
      <c r="R208" s="2479"/>
      <c r="S208" s="2479"/>
      <c r="T208" s="2483" t="str">
        <f>IF(C208="","",VLOOKUP(C208,[7]建物1802!$E$5:$AL$3275,$AH$188,FALSE))</f>
        <v/>
      </c>
      <c r="U208" s="2484"/>
      <c r="V208" s="2484"/>
      <c r="W208" s="2484"/>
      <c r="X208" s="2484"/>
      <c r="Y208" s="2485"/>
      <c r="Z208" s="2218" t="str">
        <f t="shared" si="75"/>
        <v/>
      </c>
      <c r="AA208" s="2219"/>
      <c r="AB208" s="2219"/>
      <c r="AC208" s="2219"/>
      <c r="AD208" s="2219"/>
      <c r="AE208" s="2219"/>
      <c r="AF208" s="2219"/>
      <c r="AG208" s="2220"/>
      <c r="AH208" s="312"/>
      <c r="AI208" s="2480" t="str">
        <f>IF(C208="","",VLOOKUP(C208,[7]建物1802!$E$5:$AL$3275,$AH$189,FALSE))</f>
        <v/>
      </c>
      <c r="AJ208" s="2481"/>
      <c r="AK208" s="2481"/>
      <c r="AL208" s="2482"/>
      <c r="AM208" s="2222" t="str">
        <f t="shared" si="76"/>
        <v/>
      </c>
      <c r="AN208" s="2223"/>
      <c r="AO208" s="2223"/>
      <c r="AP208" s="2223"/>
      <c r="AQ208" s="2224"/>
      <c r="AR208" s="20"/>
      <c r="AS208" s="20"/>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19"/>
      <c r="BV208" s="35"/>
      <c r="BW208" s="94">
        <v>5</v>
      </c>
      <c r="BX208" s="35"/>
      <c r="BY208" s="317" t="str">
        <f>C177</f>
        <v/>
      </c>
      <c r="BZ208" s="2445">
        <f>CJ178</f>
        <v>0</v>
      </c>
      <c r="CA208" s="2446"/>
      <c r="CB208" s="2445">
        <f>CK178</f>
        <v>0</v>
      </c>
      <c r="CC208" s="2446"/>
      <c r="CD208" s="316" t="str">
        <f>CI181</f>
        <v/>
      </c>
      <c r="CE208" s="35"/>
      <c r="CF208" s="94" t="str">
        <f>[6]Top!$E128</f>
        <v/>
      </c>
      <c r="CG208" s="35"/>
      <c r="CH208" s="35"/>
      <c r="CI208" s="8">
        <v>5</v>
      </c>
      <c r="CJ208" s="54"/>
      <c r="CK208" s="7" t="s">
        <v>323</v>
      </c>
      <c r="CL208" s="9"/>
      <c r="CM208" s="10"/>
      <c r="CN208" s="82"/>
      <c r="CO208" s="10"/>
      <c r="CP208" s="8"/>
      <c r="CQ208" s="8"/>
      <c r="CR208" s="8"/>
      <c r="CS208" s="82"/>
      <c r="CT208" s="7"/>
      <c r="CU208" s="8"/>
      <c r="CV208" s="8"/>
      <c r="CW208" s="8"/>
      <c r="CX208" s="8"/>
      <c r="CY208" s="8"/>
      <c r="CZ208" s="8"/>
      <c r="DA208" s="9"/>
      <c r="DB208" s="127"/>
      <c r="DC208" s="127"/>
      <c r="DD208" s="11"/>
      <c r="DE208" s="9"/>
      <c r="DF208" s="9"/>
      <c r="DG208" s="9"/>
      <c r="DH208" s="9"/>
      <c r="DI208" s="242"/>
      <c r="DJ208" s="124"/>
      <c r="DK208" s="124"/>
      <c r="DL208" s="124"/>
      <c r="DM208" s="203"/>
      <c r="DN208" s="203"/>
      <c r="DO208" s="203"/>
      <c r="DP208" s="9"/>
      <c r="DQ208" s="9"/>
      <c r="DR208" s="101"/>
      <c r="DS208" s="125"/>
      <c r="DT208" s="9"/>
      <c r="DU208" s="8"/>
      <c r="DV208" s="8"/>
      <c r="DW208" s="8"/>
      <c r="DX208" s="8"/>
      <c r="DY208" s="8"/>
      <c r="DZ208" s="8"/>
      <c r="EA208" s="8"/>
      <c r="EB208" s="8"/>
      <c r="EC208" s="8"/>
    </row>
    <row r="209" spans="2:133" ht="11.25" customHeight="1" thickTop="1" thickBot="1">
      <c r="B209" s="2326"/>
      <c r="C209" s="2501" t="str">
        <f t="shared" si="73"/>
        <v/>
      </c>
      <c r="D209" s="2502"/>
      <c r="E209" s="2502"/>
      <c r="F209" s="2502"/>
      <c r="G209" s="2502"/>
      <c r="H209" s="2502"/>
      <c r="I209" s="2502"/>
      <c r="J209" s="2502"/>
      <c r="K209" s="2503"/>
      <c r="L209" s="2504" t="str">
        <f t="shared" si="74"/>
        <v/>
      </c>
      <c r="M209" s="2208"/>
      <c r="N209" s="2208"/>
      <c r="O209" s="2208"/>
      <c r="P209" s="2249"/>
      <c r="Q209" s="2479" t="str">
        <f>IF(C209="","",VLOOKUP(C209,[7]建物1802!$E$5:$AL$3275,2,FALSE))</f>
        <v/>
      </c>
      <c r="R209" s="2479"/>
      <c r="S209" s="2479"/>
      <c r="T209" s="2483" t="str">
        <f>IF(C209="","",VLOOKUP(C209,[7]建物1802!$E$5:$AL$3275,$AH$188,FALSE))</f>
        <v/>
      </c>
      <c r="U209" s="2484"/>
      <c r="V209" s="2484"/>
      <c r="W209" s="2484"/>
      <c r="X209" s="2484"/>
      <c r="Y209" s="2485"/>
      <c r="Z209" s="2218" t="str">
        <f t="shared" si="75"/>
        <v/>
      </c>
      <c r="AA209" s="2219"/>
      <c r="AB209" s="2219"/>
      <c r="AC209" s="2219"/>
      <c r="AD209" s="2219"/>
      <c r="AE209" s="2219"/>
      <c r="AF209" s="2219"/>
      <c r="AG209" s="2220"/>
      <c r="AH209" s="312"/>
      <c r="AI209" s="2480" t="str">
        <f>IF(C209="","",VLOOKUP(C209,[7]建物1802!$E$5:$AL$3275,$AH$189,FALSE))</f>
        <v/>
      </c>
      <c r="AJ209" s="2481"/>
      <c r="AK209" s="2481"/>
      <c r="AL209" s="2482"/>
      <c r="AM209" s="2222" t="str">
        <f t="shared" si="76"/>
        <v/>
      </c>
      <c r="AN209" s="2223"/>
      <c r="AO209" s="2223"/>
      <c r="AP209" s="2223"/>
      <c r="AQ209" s="2224"/>
      <c r="AR209" s="20"/>
      <c r="AS209" s="20"/>
      <c r="AT209" s="2253" t="str">
        <f>IF(B2=0,"","単価設定")</f>
        <v>単価設定</v>
      </c>
      <c r="AU209" s="2254"/>
      <c r="AV209" s="2254"/>
      <c r="AW209" s="2254"/>
      <c r="AX209" s="2254"/>
      <c r="AY209" s="2254"/>
      <c r="AZ209" s="2255" t="str">
        <f>IF(B2=0,"",IF(BG209="",[6]原価!$AD$42,BG209))</f>
        <v>単価-1</v>
      </c>
      <c r="BA209" s="2255"/>
      <c r="BB209" s="2255"/>
      <c r="BC209" s="2255"/>
      <c r="BD209" s="2255"/>
      <c r="BE209" s="2255"/>
      <c r="BF209" s="27" t="s">
        <v>68</v>
      </c>
      <c r="BG209" s="2256"/>
      <c r="BH209" s="2256"/>
      <c r="BI209" s="2256"/>
      <c r="BJ209" s="2256"/>
      <c r="BK209" s="2256"/>
      <c r="BL209" s="2256"/>
      <c r="BM209" s="28"/>
      <c r="BN209" s="2449" t="str">
        <f>IF(B2=0,"",IF(AND(AZ209="単価-1",AZ210="歩掛-1"),[6]Top!$BH$15,"User"))</f>
        <v>近畿</v>
      </c>
      <c r="BO209" s="2233"/>
      <c r="BP209" s="2233"/>
      <c r="BQ209" s="2233"/>
      <c r="BR209" s="2450"/>
      <c r="BS209" s="2451"/>
      <c r="BT209" s="28"/>
      <c r="BU209" s="19"/>
      <c r="BV209" s="35"/>
      <c r="BW209" s="94">
        <v>6</v>
      </c>
      <c r="BX209" s="35"/>
      <c r="BY209" s="35"/>
      <c r="BZ209" s="35"/>
      <c r="CA209" s="35"/>
      <c r="CB209" s="35"/>
      <c r="CC209" s="35"/>
      <c r="CD209" s="35"/>
      <c r="CE209" s="35"/>
      <c r="CF209" s="35"/>
      <c r="CG209" s="35"/>
      <c r="CH209" s="35"/>
      <c r="CI209" s="8">
        <v>6</v>
      </c>
      <c r="CJ209" s="54"/>
      <c r="CK209" s="7" t="s">
        <v>322</v>
      </c>
      <c r="CL209" s="9"/>
      <c r="CM209" s="10"/>
      <c r="CN209" s="82"/>
      <c r="CO209" s="10"/>
      <c r="CP209" s="8"/>
      <c r="CQ209" s="8"/>
      <c r="CR209" s="8"/>
      <c r="CS209" s="82"/>
      <c r="CT209" s="7"/>
      <c r="CU209" s="8"/>
      <c r="CV209" s="8"/>
      <c r="CW209" s="8"/>
      <c r="CX209" s="8"/>
      <c r="CY209" s="8"/>
      <c r="CZ209" s="8"/>
      <c r="DA209" s="9"/>
      <c r="DB209" s="127"/>
      <c r="DC209" s="127"/>
      <c r="DD209" s="11"/>
      <c r="DE209" s="9"/>
      <c r="DF209" s="9"/>
      <c r="DG209" s="9"/>
      <c r="DH209" s="9"/>
      <c r="DI209" s="242"/>
      <c r="DJ209" s="124"/>
      <c r="DK209" s="124"/>
      <c r="DL209" s="124"/>
      <c r="DM209" s="11"/>
      <c r="DN209" s="11"/>
      <c r="DO209" s="11"/>
      <c r="DP209" s="9"/>
      <c r="DQ209" s="9"/>
      <c r="DR209" s="9"/>
      <c r="DS209" s="125"/>
      <c r="DT209" s="9"/>
      <c r="DU209" s="8"/>
      <c r="DV209" s="8"/>
      <c r="DW209" s="8"/>
      <c r="DX209" s="8"/>
      <c r="DY209" s="8"/>
      <c r="DZ209" s="8"/>
      <c r="EA209" s="8"/>
      <c r="EB209" s="8"/>
      <c r="EC209" s="8"/>
    </row>
    <row r="210" spans="2:133" ht="11.25" customHeight="1" thickTop="1" thickBot="1">
      <c r="B210" s="2326"/>
      <c r="C210" s="2501" t="str">
        <f t="shared" si="73"/>
        <v/>
      </c>
      <c r="D210" s="2502"/>
      <c r="E210" s="2502"/>
      <c r="F210" s="2502"/>
      <c r="G210" s="2502"/>
      <c r="H210" s="2502"/>
      <c r="I210" s="2502"/>
      <c r="J210" s="2502"/>
      <c r="K210" s="2503"/>
      <c r="L210" s="2504" t="str">
        <f t="shared" si="74"/>
        <v/>
      </c>
      <c r="M210" s="2208"/>
      <c r="N210" s="2208"/>
      <c r="O210" s="2208"/>
      <c r="P210" s="2249"/>
      <c r="Q210" s="2479" t="str">
        <f>IF(C210="","",VLOOKUP(C210,[7]建物1802!$E$5:$AL$3275,2,FALSE))</f>
        <v/>
      </c>
      <c r="R210" s="2479"/>
      <c r="S210" s="2479"/>
      <c r="T210" s="2483" t="str">
        <f>IF(C210="","",VLOOKUP(C210,[7]建物1802!$E$5:$AL$3275,$AH$188,FALSE))</f>
        <v/>
      </c>
      <c r="U210" s="2484"/>
      <c r="V210" s="2484"/>
      <c r="W210" s="2484"/>
      <c r="X210" s="2484"/>
      <c r="Y210" s="2485"/>
      <c r="Z210" s="2218" t="str">
        <f t="shared" si="75"/>
        <v/>
      </c>
      <c r="AA210" s="2219"/>
      <c r="AB210" s="2219"/>
      <c r="AC210" s="2219"/>
      <c r="AD210" s="2219"/>
      <c r="AE210" s="2219"/>
      <c r="AF210" s="2219"/>
      <c r="AG210" s="2220"/>
      <c r="AH210" s="312"/>
      <c r="AI210" s="2480" t="str">
        <f>IF(C210="","",VLOOKUP(C210,[7]建物1802!$E$5:$AL$3275,$AH$189,FALSE))</f>
        <v/>
      </c>
      <c r="AJ210" s="2481"/>
      <c r="AK210" s="2481"/>
      <c r="AL210" s="2482"/>
      <c r="AM210" s="2222" t="str">
        <f t="shared" si="76"/>
        <v/>
      </c>
      <c r="AN210" s="2223"/>
      <c r="AO210" s="2223"/>
      <c r="AP210" s="2223"/>
      <c r="AQ210" s="2224"/>
      <c r="AR210" s="20"/>
      <c r="AS210" s="20"/>
      <c r="AT210" s="2253" t="str">
        <f>IF(B2=0,"","歩掛設定")</f>
        <v>歩掛設定</v>
      </c>
      <c r="AU210" s="2254"/>
      <c r="AV210" s="2254"/>
      <c r="AW210" s="2254"/>
      <c r="AX210" s="2254"/>
      <c r="AY210" s="2254"/>
      <c r="AZ210" s="2255" t="str">
        <f>IF(B2=0,"",IF(BG210="",[6]原価!$AD$43,BG210))</f>
        <v>歩掛-1</v>
      </c>
      <c r="BA210" s="2255"/>
      <c r="BB210" s="2255"/>
      <c r="BC210" s="2255"/>
      <c r="BD210" s="2255"/>
      <c r="BE210" s="2255"/>
      <c r="BF210" s="27" t="s">
        <v>68</v>
      </c>
      <c r="BG210" s="2256"/>
      <c r="BH210" s="2256"/>
      <c r="BI210" s="2256"/>
      <c r="BJ210" s="2256"/>
      <c r="BK210" s="2256"/>
      <c r="BL210" s="2256"/>
      <c r="BM210" s="2231" t="str">
        <f>IF(B2=0,"","建設物価")</f>
        <v>建設物価</v>
      </c>
      <c r="BN210" s="2232"/>
      <c r="BO210" s="2232"/>
      <c r="BP210" s="2232"/>
      <c r="BQ210" s="2232"/>
      <c r="BR210" s="2232"/>
      <c r="BS210" s="28"/>
      <c r="BT210" s="28"/>
      <c r="BU210" s="19"/>
      <c r="BV210" s="35"/>
      <c r="BW210" s="94">
        <v>7</v>
      </c>
      <c r="BX210" s="318" t="s">
        <v>321</v>
      </c>
      <c r="BY210" s="317" t="str">
        <f>BJ10</f>
        <v xml:space="preserve">  1F</v>
      </c>
      <c r="BZ210" s="2445">
        <f>IF(ISNA(VLOOKUP(BY210,火階,2,FALSE)),"",(VLOOKUP(BY210,火階,2,FALSE)))</f>
        <v>30</v>
      </c>
      <c r="CA210" s="2446"/>
      <c r="CB210" s="2445">
        <f>IF(ISNA(VLOOKUP(BY210,火階,4,FALSE)),"",(VLOOKUP(BY210,火階,4,FALSE)))</f>
        <v>31.8</v>
      </c>
      <c r="CC210" s="2446"/>
      <c r="CD210" s="316">
        <f>VLOOKUP(BY210,火階,6,FALSE)</f>
        <v>15</v>
      </c>
      <c r="CE210" s="35"/>
      <c r="CF210" s="35"/>
      <c r="CG210" s="35"/>
      <c r="CH210" s="35"/>
      <c r="CI210" s="8">
        <v>7</v>
      </c>
      <c r="CJ210" s="54"/>
      <c r="CK210" s="7" t="s">
        <v>320</v>
      </c>
      <c r="CL210" s="9"/>
      <c r="CM210" s="10"/>
      <c r="CN210" s="82"/>
      <c r="CO210" s="10"/>
      <c r="CP210" s="8"/>
      <c r="CQ210" s="8"/>
      <c r="CR210" s="8"/>
      <c r="CS210" s="82"/>
      <c r="CT210" s="7"/>
      <c r="CU210" s="8"/>
      <c r="CV210" s="8"/>
      <c r="CW210" s="8"/>
      <c r="CX210" s="8"/>
      <c r="CY210" s="8"/>
      <c r="CZ210" s="8"/>
      <c r="DA210" s="9"/>
      <c r="DB210" s="127"/>
      <c r="DC210" s="127"/>
      <c r="DD210" s="11"/>
      <c r="DE210" s="9"/>
      <c r="DF210" s="9"/>
      <c r="DG210" s="9"/>
      <c r="DH210" s="9"/>
      <c r="DI210" s="242"/>
      <c r="DJ210" s="124"/>
      <c r="DK210" s="124"/>
      <c r="DL210" s="124"/>
      <c r="DM210" s="11"/>
      <c r="DN210" s="11"/>
      <c r="DO210" s="11"/>
      <c r="DP210" s="9"/>
      <c r="DQ210" s="9"/>
      <c r="DR210" s="9"/>
      <c r="DS210" s="125"/>
      <c r="DT210" s="9"/>
      <c r="DU210" s="8"/>
      <c r="DV210" s="8"/>
      <c r="DW210" s="8"/>
      <c r="DX210" s="8"/>
      <c r="DY210" s="8"/>
      <c r="DZ210" s="8"/>
      <c r="EA210" s="8"/>
      <c r="EB210" s="8"/>
      <c r="EC210" s="8"/>
    </row>
    <row r="211" spans="2:133" ht="11.25" customHeight="1" thickTop="1">
      <c r="B211" s="2326"/>
      <c r="C211" s="2501" t="str">
        <f t="shared" si="73"/>
        <v/>
      </c>
      <c r="D211" s="2502"/>
      <c r="E211" s="2502"/>
      <c r="F211" s="2502"/>
      <c r="G211" s="2502"/>
      <c r="H211" s="2502"/>
      <c r="I211" s="2502"/>
      <c r="J211" s="2502"/>
      <c r="K211" s="2503"/>
      <c r="L211" s="2504" t="str">
        <f t="shared" si="74"/>
        <v/>
      </c>
      <c r="M211" s="2208"/>
      <c r="N211" s="2208"/>
      <c r="O211" s="2208"/>
      <c r="P211" s="2249"/>
      <c r="Q211" s="2479" t="str">
        <f>IF(C211="","",VLOOKUP(C211,[7]建物1802!$E$5:$AL$3275,2,FALSE))</f>
        <v/>
      </c>
      <c r="R211" s="2479"/>
      <c r="S211" s="2479"/>
      <c r="T211" s="2483" t="str">
        <f>IF(C211="","",VLOOKUP(C211,[7]建物1802!$E$5:$AL$3275,$AH$188,FALSE))</f>
        <v/>
      </c>
      <c r="U211" s="2484"/>
      <c r="V211" s="2484"/>
      <c r="W211" s="2484"/>
      <c r="X211" s="2484"/>
      <c r="Y211" s="2485"/>
      <c r="Z211" s="2218" t="str">
        <f t="shared" si="75"/>
        <v/>
      </c>
      <c r="AA211" s="2219"/>
      <c r="AB211" s="2219"/>
      <c r="AC211" s="2219"/>
      <c r="AD211" s="2219"/>
      <c r="AE211" s="2219"/>
      <c r="AF211" s="2219"/>
      <c r="AG211" s="2220"/>
      <c r="AH211" s="312"/>
      <c r="AI211" s="2480" t="str">
        <f>IF(C211="","",VLOOKUP(C211,[7]建物1802!$E$5:$AL$3275,$AH$189,FALSE))</f>
        <v/>
      </c>
      <c r="AJ211" s="2481"/>
      <c r="AK211" s="2481"/>
      <c r="AL211" s="2482"/>
      <c r="AM211" s="2222" t="str">
        <f t="shared" si="76"/>
        <v/>
      </c>
      <c r="AN211" s="2223"/>
      <c r="AO211" s="2223"/>
      <c r="AP211" s="2223"/>
      <c r="AQ211" s="2224"/>
      <c r="AR211" s="20"/>
      <c r="AS211" s="20"/>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19"/>
      <c r="BV211" s="35"/>
      <c r="BW211" s="94">
        <v>8</v>
      </c>
      <c r="BX211" s="318" t="s">
        <v>319</v>
      </c>
      <c r="BY211" s="317" t="str">
        <f>BC205</f>
        <v xml:space="preserve">  1F</v>
      </c>
      <c r="BZ211" s="2445">
        <f>IF(ISNA(VLOOKUP(BY211,火階,2,FALSE)),"",(VLOOKUP(BY211,火階,2,FALSE)))</f>
        <v>30</v>
      </c>
      <c r="CA211" s="2446"/>
      <c r="CB211" s="2445">
        <f>IF(ISNA(VLOOKUP(BY211,火階,4,FALSE)),"",(VLOOKUP(BY211,火階,4,FALSE)))</f>
        <v>31.8</v>
      </c>
      <c r="CC211" s="2446"/>
      <c r="CD211" s="316">
        <f>VLOOKUP(BY211,火階,6,FALSE)</f>
        <v>15</v>
      </c>
      <c r="CE211" s="35"/>
      <c r="CF211" s="35"/>
      <c r="CG211" s="35"/>
      <c r="CH211" s="35"/>
      <c r="CI211" s="8">
        <v>8</v>
      </c>
      <c r="CJ211" s="54"/>
      <c r="CK211" s="7" t="s">
        <v>318</v>
      </c>
      <c r="CL211" s="9"/>
      <c r="CM211" s="10"/>
      <c r="CN211" s="82"/>
      <c r="CO211" s="10"/>
      <c r="CP211" s="8"/>
      <c r="CQ211" s="8"/>
      <c r="CR211" s="8"/>
      <c r="CS211" s="82"/>
      <c r="CT211" s="7"/>
      <c r="CU211" s="8"/>
      <c r="CV211" s="8"/>
      <c r="CW211" s="8"/>
      <c r="CX211" s="8"/>
      <c r="CY211" s="8"/>
      <c r="CZ211" s="8"/>
      <c r="DA211" s="9"/>
      <c r="DB211" s="127"/>
      <c r="DC211" s="127"/>
      <c r="DD211" s="11"/>
      <c r="DE211" s="9"/>
      <c r="DF211" s="9"/>
      <c r="DG211" s="9"/>
      <c r="DH211" s="9"/>
      <c r="DI211" s="242"/>
      <c r="DJ211" s="124"/>
      <c r="DK211" s="124"/>
      <c r="DL211" s="124"/>
      <c r="DM211" s="203"/>
      <c r="DN211" s="203"/>
      <c r="DO211" s="203"/>
      <c r="DP211" s="9"/>
      <c r="DQ211" s="9"/>
      <c r="DR211" s="101"/>
      <c r="DS211" s="125"/>
      <c r="DT211" s="9"/>
      <c r="DU211" s="8"/>
      <c r="DV211" s="8"/>
      <c r="DW211" s="8"/>
      <c r="DX211" s="8"/>
      <c r="DY211" s="8"/>
      <c r="DZ211" s="8"/>
      <c r="EA211" s="8"/>
      <c r="EB211" s="8"/>
      <c r="EC211" s="8"/>
    </row>
    <row r="212" spans="2:133" ht="11.25" customHeight="1">
      <c r="B212" s="2326"/>
      <c r="C212" s="2501" t="str">
        <f t="shared" si="73"/>
        <v/>
      </c>
      <c r="D212" s="2502"/>
      <c r="E212" s="2502"/>
      <c r="F212" s="2502"/>
      <c r="G212" s="2502"/>
      <c r="H212" s="2502"/>
      <c r="I212" s="2502"/>
      <c r="J212" s="2502"/>
      <c r="K212" s="2503"/>
      <c r="L212" s="2504" t="str">
        <f t="shared" si="74"/>
        <v/>
      </c>
      <c r="M212" s="2208"/>
      <c r="N212" s="2208"/>
      <c r="O212" s="2208"/>
      <c r="P212" s="2249"/>
      <c r="Q212" s="2479" t="str">
        <f>IF(C212="","",VLOOKUP(C212,[7]建物1802!$E$5:$AL$3275,2,FALSE))</f>
        <v/>
      </c>
      <c r="R212" s="2479"/>
      <c r="S212" s="2479"/>
      <c r="T212" s="2483" t="str">
        <f>IF(C212="","",VLOOKUP(C212,[7]建物1802!$E$5:$AL$3275,$AH$188,FALSE))</f>
        <v/>
      </c>
      <c r="U212" s="2484"/>
      <c r="V212" s="2484"/>
      <c r="W212" s="2484"/>
      <c r="X212" s="2484"/>
      <c r="Y212" s="2485"/>
      <c r="Z212" s="2218" t="str">
        <f t="shared" si="75"/>
        <v/>
      </c>
      <c r="AA212" s="2219"/>
      <c r="AB212" s="2219"/>
      <c r="AC212" s="2219"/>
      <c r="AD212" s="2219"/>
      <c r="AE212" s="2219"/>
      <c r="AF212" s="2219"/>
      <c r="AG212" s="2220"/>
      <c r="AH212" s="312"/>
      <c r="AI212" s="2480" t="str">
        <f>IF(C212="","",VLOOKUP(C212,[7]建物1802!$E$5:$AL$3275,$AH$189,FALSE))</f>
        <v/>
      </c>
      <c r="AJ212" s="2481"/>
      <c r="AK212" s="2481"/>
      <c r="AL212" s="2482"/>
      <c r="AM212" s="2222" t="str">
        <f t="shared" si="76"/>
        <v/>
      </c>
      <c r="AN212" s="2223"/>
      <c r="AO212" s="2223"/>
      <c r="AP212" s="2223"/>
      <c r="AQ212" s="2224"/>
      <c r="AR212" s="20"/>
      <c r="AS212" s="20"/>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19"/>
      <c r="BV212" s="35"/>
      <c r="BW212" s="94">
        <v>9</v>
      </c>
      <c r="BX212" s="318" t="s">
        <v>317</v>
      </c>
      <c r="BY212" s="317" t="str">
        <f>BJ10</f>
        <v xml:space="preserve">  1F</v>
      </c>
      <c r="BZ212" s="2445">
        <f>IF(ISNA(VLOOKUP(BY212,火階,2,FALSE)),"",(VLOOKUP(BY212,火階,2,FALSE)))</f>
        <v>30</v>
      </c>
      <c r="CA212" s="2446"/>
      <c r="CB212" s="2445">
        <f>IF(ISNA(VLOOKUP(BY212,火階,4,FALSE)),"",(VLOOKUP(BY212,火階,4,FALSE)))</f>
        <v>31.8</v>
      </c>
      <c r="CC212" s="2446"/>
      <c r="CD212" s="316">
        <f>VLOOKUP(BY212,火階,6,FALSE)</f>
        <v>15</v>
      </c>
      <c r="CE212" s="35"/>
      <c r="CF212" s="35"/>
      <c r="CG212" s="35"/>
      <c r="CH212" s="35"/>
      <c r="CI212" s="8">
        <v>9</v>
      </c>
      <c r="CJ212" s="54"/>
      <c r="CK212" s="7"/>
      <c r="CL212" s="9"/>
      <c r="CM212" s="10"/>
      <c r="CN212" s="82"/>
      <c r="CO212" s="10"/>
      <c r="CP212" s="8"/>
      <c r="CQ212" s="8"/>
      <c r="CR212" s="8"/>
      <c r="CS212" s="82"/>
      <c r="CT212" s="7"/>
      <c r="CU212" s="8"/>
      <c r="CV212" s="8"/>
      <c r="CW212" s="8"/>
      <c r="CX212" s="8"/>
      <c r="CY212" s="8"/>
      <c r="CZ212" s="8"/>
      <c r="DA212" s="9"/>
      <c r="DB212" s="127"/>
      <c r="DC212" s="127"/>
      <c r="DD212" s="11"/>
      <c r="DE212" s="9"/>
      <c r="DF212" s="9"/>
      <c r="DG212" s="9"/>
      <c r="DH212" s="9"/>
      <c r="DI212" s="242"/>
      <c r="DJ212" s="124"/>
      <c r="DK212" s="124"/>
      <c r="DL212" s="124"/>
      <c r="DM212" s="203"/>
      <c r="DN212" s="203"/>
      <c r="DO212" s="203"/>
      <c r="DP212" s="9"/>
      <c r="DQ212" s="9"/>
      <c r="DR212" s="101"/>
      <c r="DS212" s="125"/>
      <c r="DT212" s="9"/>
      <c r="DU212" s="8"/>
      <c r="DV212" s="8"/>
      <c r="DW212" s="8"/>
      <c r="DX212" s="8"/>
      <c r="DY212" s="8"/>
      <c r="DZ212" s="8"/>
      <c r="EA212" s="8"/>
      <c r="EB212" s="8"/>
      <c r="EC212" s="8"/>
    </row>
    <row r="213" spans="2:133" ht="11.25" customHeight="1">
      <c r="B213" s="2326"/>
      <c r="C213" s="2501" t="str">
        <f t="shared" si="73"/>
        <v/>
      </c>
      <c r="D213" s="2502"/>
      <c r="E213" s="2502"/>
      <c r="F213" s="2502"/>
      <c r="G213" s="2502"/>
      <c r="H213" s="2502"/>
      <c r="I213" s="2502"/>
      <c r="J213" s="2502"/>
      <c r="K213" s="2503"/>
      <c r="L213" s="2504" t="str">
        <f t="shared" si="74"/>
        <v/>
      </c>
      <c r="M213" s="2208"/>
      <c r="N213" s="2208"/>
      <c r="O213" s="2208"/>
      <c r="P213" s="2249"/>
      <c r="Q213" s="2479" t="str">
        <f>IF(C213="","",VLOOKUP(C213,[7]建物1802!$E$5:$AL$3275,2,FALSE))</f>
        <v/>
      </c>
      <c r="R213" s="2479"/>
      <c r="S213" s="2479"/>
      <c r="T213" s="2483" t="str">
        <f>IF(C213="","",VLOOKUP(C213,[7]建物1802!$E$5:$AL$3275,$AH$188,FALSE))</f>
        <v/>
      </c>
      <c r="U213" s="2484"/>
      <c r="V213" s="2484"/>
      <c r="W213" s="2484"/>
      <c r="X213" s="2484"/>
      <c r="Y213" s="2485"/>
      <c r="Z213" s="2218" t="str">
        <f t="shared" si="75"/>
        <v/>
      </c>
      <c r="AA213" s="2219"/>
      <c r="AB213" s="2219"/>
      <c r="AC213" s="2219"/>
      <c r="AD213" s="2219"/>
      <c r="AE213" s="2219"/>
      <c r="AF213" s="2219"/>
      <c r="AG213" s="2220"/>
      <c r="AH213" s="312"/>
      <c r="AI213" s="2480" t="str">
        <f>IF(C213="","",VLOOKUP(C213,[7]建物1802!$E$5:$AL$3275,$AH$189,FALSE))</f>
        <v/>
      </c>
      <c r="AJ213" s="2481"/>
      <c r="AK213" s="2481"/>
      <c r="AL213" s="2482"/>
      <c r="AM213" s="2222" t="str">
        <f t="shared" si="76"/>
        <v/>
      </c>
      <c r="AN213" s="2223"/>
      <c r="AO213" s="2223"/>
      <c r="AP213" s="2223"/>
      <c r="AQ213" s="2224"/>
      <c r="AR213" s="20"/>
      <c r="AS213" s="20"/>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19"/>
      <c r="BV213" s="35"/>
      <c r="BW213" s="94">
        <v>10</v>
      </c>
      <c r="BX213" s="35"/>
      <c r="BY213" s="35"/>
      <c r="BZ213" s="35"/>
      <c r="CA213" s="35"/>
      <c r="CB213" s="35"/>
      <c r="CC213" s="35"/>
      <c r="CD213" s="35"/>
      <c r="CE213" s="35"/>
      <c r="CF213" s="35"/>
      <c r="CG213" s="35"/>
      <c r="CH213" s="35"/>
      <c r="CI213" s="8">
        <v>10</v>
      </c>
      <c r="CJ213" s="54"/>
      <c r="CK213" s="7"/>
      <c r="CL213" s="9"/>
      <c r="CM213" s="10"/>
      <c r="CN213" s="82"/>
      <c r="CO213" s="10"/>
      <c r="CP213" s="8"/>
      <c r="CQ213" s="8"/>
      <c r="CR213" s="8"/>
      <c r="CS213" s="82"/>
      <c r="CT213" s="7"/>
      <c r="CU213" s="8"/>
      <c r="CV213" s="8"/>
      <c r="CW213" s="8"/>
      <c r="CX213" s="8"/>
      <c r="CY213" s="8"/>
      <c r="CZ213" s="8"/>
      <c r="DA213" s="9"/>
      <c r="DB213" s="127"/>
      <c r="DC213" s="127"/>
      <c r="DD213" s="11"/>
      <c r="DE213" s="9"/>
      <c r="DF213" s="9"/>
      <c r="DG213" s="9"/>
      <c r="DH213" s="9"/>
      <c r="DI213" s="242"/>
      <c r="DJ213" s="124"/>
      <c r="DK213" s="124"/>
      <c r="DL213" s="124"/>
      <c r="DM213" s="203"/>
      <c r="DN213" s="203"/>
      <c r="DO213" s="203"/>
      <c r="DP213" s="9"/>
      <c r="DQ213" s="9"/>
      <c r="DR213" s="101"/>
      <c r="DS213" s="125"/>
      <c r="DT213" s="9"/>
      <c r="DU213" s="8"/>
      <c r="DV213" s="8"/>
      <c r="DW213" s="8"/>
      <c r="DX213" s="8"/>
      <c r="DY213" s="8"/>
      <c r="DZ213" s="8"/>
      <c r="EA213" s="8"/>
      <c r="EB213" s="8"/>
      <c r="EC213" s="8"/>
    </row>
    <row r="214" spans="2:133" ht="11.25" customHeight="1">
      <c r="B214" s="2326"/>
      <c r="C214" s="2501" t="str">
        <f t="shared" si="73"/>
        <v/>
      </c>
      <c r="D214" s="2502"/>
      <c r="E214" s="2502"/>
      <c r="F214" s="2502"/>
      <c r="G214" s="2502"/>
      <c r="H214" s="2502"/>
      <c r="I214" s="2502"/>
      <c r="J214" s="2502"/>
      <c r="K214" s="2503"/>
      <c r="L214" s="2504" t="str">
        <f t="shared" si="74"/>
        <v/>
      </c>
      <c r="M214" s="2208"/>
      <c r="N214" s="2208"/>
      <c r="O214" s="2208"/>
      <c r="P214" s="2249"/>
      <c r="Q214" s="2479" t="str">
        <f>IF(C214="","",VLOOKUP(C214,[7]建物1802!$E$5:$AL$3275,2,FALSE))</f>
        <v/>
      </c>
      <c r="R214" s="2479"/>
      <c r="S214" s="2479"/>
      <c r="T214" s="2483" t="str">
        <f>IF(C214="","",VLOOKUP(C214,[7]建物1802!$E$5:$AL$3275,$AH$188,FALSE))</f>
        <v/>
      </c>
      <c r="U214" s="2484"/>
      <c r="V214" s="2484"/>
      <c r="W214" s="2484"/>
      <c r="X214" s="2484"/>
      <c r="Y214" s="2485"/>
      <c r="Z214" s="2218" t="str">
        <f t="shared" si="75"/>
        <v/>
      </c>
      <c r="AA214" s="2219"/>
      <c r="AB214" s="2219"/>
      <c r="AC214" s="2219"/>
      <c r="AD214" s="2219"/>
      <c r="AE214" s="2219"/>
      <c r="AF214" s="2219"/>
      <c r="AG214" s="2220"/>
      <c r="AH214" s="312"/>
      <c r="AI214" s="2480" t="str">
        <f>IF(C214="","",VLOOKUP(C214,[7]建物1802!$E$5:$AL$3275,$AH$189,FALSE))</f>
        <v/>
      </c>
      <c r="AJ214" s="2481"/>
      <c r="AK214" s="2481"/>
      <c r="AL214" s="2482"/>
      <c r="AM214" s="2222" t="str">
        <f t="shared" si="76"/>
        <v/>
      </c>
      <c r="AN214" s="2223"/>
      <c r="AO214" s="2223"/>
      <c r="AP214" s="2223"/>
      <c r="AQ214" s="2224"/>
      <c r="AR214" s="20"/>
      <c r="AS214" s="20"/>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19"/>
      <c r="BV214" s="35"/>
      <c r="BW214" s="35"/>
      <c r="BX214" s="35"/>
      <c r="BY214" s="35"/>
      <c r="BZ214" s="35"/>
      <c r="CA214" s="35"/>
      <c r="CB214" s="35"/>
      <c r="CC214" s="35"/>
      <c r="CD214" s="35"/>
      <c r="CE214" s="35"/>
      <c r="CF214" s="35"/>
      <c r="CG214" s="35"/>
      <c r="CH214" s="35"/>
      <c r="CI214" s="8">
        <v>11</v>
      </c>
      <c r="CJ214" s="54">
        <v>5</v>
      </c>
      <c r="CK214" s="7" t="s">
        <v>316</v>
      </c>
      <c r="CL214" s="9"/>
      <c r="CM214" s="10"/>
      <c r="CN214" s="82">
        <v>3</v>
      </c>
      <c r="CO214" s="10" t="s">
        <v>315</v>
      </c>
      <c r="CP214" s="8"/>
      <c r="CQ214" s="8"/>
      <c r="CR214" s="8"/>
      <c r="CS214" s="82">
        <v>5</v>
      </c>
      <c r="CT214" s="7" t="s">
        <v>314</v>
      </c>
      <c r="CU214" s="8"/>
      <c r="CV214" s="8"/>
      <c r="CW214" s="8"/>
      <c r="CX214" s="8"/>
      <c r="CY214" s="8"/>
      <c r="CZ214" s="8"/>
      <c r="DA214" s="9"/>
      <c r="DB214" s="127"/>
      <c r="DC214" s="127"/>
      <c r="DD214" s="11"/>
      <c r="DE214" s="9"/>
      <c r="DF214" s="9"/>
      <c r="DG214" s="9"/>
      <c r="DH214" s="9"/>
      <c r="DI214" s="242"/>
      <c r="DJ214" s="124"/>
      <c r="DK214" s="124"/>
      <c r="DL214" s="124"/>
      <c r="DM214" s="203"/>
      <c r="DN214" s="203"/>
      <c r="DO214" s="203"/>
      <c r="DP214" s="9"/>
      <c r="DQ214" s="9"/>
      <c r="DR214" s="101"/>
      <c r="DS214" s="125"/>
      <c r="DT214" s="9"/>
      <c r="DU214" s="8"/>
      <c r="DV214" s="8"/>
      <c r="DW214" s="8"/>
      <c r="DX214" s="8"/>
      <c r="DY214" s="8"/>
      <c r="DZ214" s="8"/>
      <c r="EA214" s="8"/>
      <c r="EB214" s="8"/>
      <c r="EC214" s="8"/>
    </row>
    <row r="215" spans="2:133" ht="11.25" customHeight="1">
      <c r="B215" s="2326"/>
      <c r="C215" s="2243" t="str">
        <f>IF(L215&lt;&gt;"","C-OBox4角中深","")</f>
        <v>C-OBox4角中深</v>
      </c>
      <c r="D215" s="2244"/>
      <c r="E215" s="2244"/>
      <c r="F215" s="2244"/>
      <c r="G215" s="2244"/>
      <c r="H215" s="2244"/>
      <c r="I215" s="2244"/>
      <c r="J215" s="2244"/>
      <c r="K215" s="2245"/>
      <c r="L215" s="2506">
        <f>IF(SUM(L216:P231)=0,"",SUM(L216:P231))</f>
        <v>422</v>
      </c>
      <c r="M215" s="2247"/>
      <c r="N215" s="2247"/>
      <c r="O215" s="2247"/>
      <c r="P215" s="2248"/>
      <c r="Q215" s="2505" t="str">
        <f>IF(C215="","",VLOOKUP(C215,[7]建物1802!$E$5:$AL$3275,2,FALSE))</f>
        <v>個</v>
      </c>
      <c r="R215" s="2505"/>
      <c r="S215" s="2505"/>
      <c r="T215" s="2495">
        <f>IF(C215="","",VLOOKUP(C215,[7]建物1802!$E$5:$AL$3275,$AH$188,FALSE))</f>
        <v>155</v>
      </c>
      <c r="U215" s="2496"/>
      <c r="V215" s="2496"/>
      <c r="W215" s="2496"/>
      <c r="X215" s="2496"/>
      <c r="Y215" s="2497"/>
      <c r="Z215" s="2246">
        <f t="shared" si="75"/>
        <v>65410</v>
      </c>
      <c r="AA215" s="2247"/>
      <c r="AB215" s="2247"/>
      <c r="AC215" s="2247"/>
      <c r="AD215" s="2247"/>
      <c r="AE215" s="2247"/>
      <c r="AF215" s="2247"/>
      <c r="AG215" s="2248"/>
      <c r="AH215" s="312"/>
      <c r="AI215" s="2498">
        <f>IF(C215="","",VLOOKUP(C215,[7]建物1802!$E$5:$AL$3275,$AH$189,FALSE))</f>
        <v>0.1</v>
      </c>
      <c r="AJ215" s="2499"/>
      <c r="AK215" s="2499"/>
      <c r="AL215" s="2500"/>
      <c r="AM215" s="2237">
        <f t="shared" si="76"/>
        <v>42.2</v>
      </c>
      <c r="AN215" s="2238"/>
      <c r="AO215" s="2238"/>
      <c r="AP215" s="2238"/>
      <c r="AQ215" s="2239"/>
      <c r="AR215" s="20"/>
      <c r="AS215" s="20"/>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19"/>
      <c r="BV215" s="35"/>
      <c r="BW215" s="314"/>
      <c r="BX215" s="35"/>
      <c r="BY215" s="35"/>
      <c r="BZ215" s="35"/>
      <c r="CA215" s="35"/>
      <c r="CB215" s="35"/>
      <c r="CC215" s="35"/>
      <c r="CD215" s="35"/>
      <c r="CE215" s="35"/>
      <c r="CF215" s="35"/>
      <c r="CG215" s="35"/>
      <c r="CH215" s="35"/>
      <c r="CI215" s="8">
        <v>12</v>
      </c>
      <c r="CJ215" s="315">
        <v>10</v>
      </c>
      <c r="CK215" s="7" t="s">
        <v>313</v>
      </c>
      <c r="CL215" s="9"/>
      <c r="CM215" s="10"/>
      <c r="CN215" s="82">
        <v>5</v>
      </c>
      <c r="CO215" s="10" t="s">
        <v>312</v>
      </c>
      <c r="CP215" s="8"/>
      <c r="CQ215" s="8"/>
      <c r="CR215" s="8"/>
      <c r="CS215" s="82">
        <v>10</v>
      </c>
      <c r="CT215" s="7" t="s">
        <v>311</v>
      </c>
      <c r="CU215" s="8"/>
      <c r="CV215" s="8"/>
      <c r="CW215" s="8"/>
      <c r="CX215" s="8"/>
      <c r="CY215" s="8"/>
      <c r="CZ215" s="8"/>
      <c r="DA215" s="9"/>
      <c r="DB215" s="127"/>
      <c r="DC215" s="127"/>
      <c r="DD215" s="11"/>
      <c r="DE215" s="9"/>
      <c r="DF215" s="9"/>
      <c r="DG215" s="9"/>
      <c r="DH215" s="9"/>
      <c r="DI215" s="242"/>
      <c r="DJ215" s="124"/>
      <c r="DK215" s="124"/>
      <c r="DL215" s="124"/>
      <c r="DM215" s="203"/>
      <c r="DN215" s="203"/>
      <c r="DO215" s="203"/>
      <c r="DP215" s="9"/>
      <c r="DQ215" s="9"/>
      <c r="DR215" s="101"/>
      <c r="DS215" s="125"/>
      <c r="DT215" s="9"/>
      <c r="DU215" s="8"/>
      <c r="DV215" s="8"/>
      <c r="DW215" s="8"/>
      <c r="DX215" s="8"/>
      <c r="DY215" s="8"/>
      <c r="DZ215" s="8"/>
      <c r="EA215" s="8"/>
      <c r="EB215" s="8"/>
      <c r="EC215" s="8"/>
    </row>
    <row r="216" spans="2:133" ht="11.25" customHeight="1">
      <c r="B216" s="2326"/>
      <c r="C216" s="2476" t="str">
        <f t="shared" ref="C216:C228" si="77">IF($BW$3=0,"",IF(ISNA(VLOOKUP(CI216,火報K,2,FALSE)),"",VLOOKUP(CI216,火報K,2,FALSE)))</f>
        <v>定温SP1種WP</v>
      </c>
      <c r="D216" s="2477"/>
      <c r="E216" s="2477"/>
      <c r="F216" s="2477"/>
      <c r="G216" s="2477"/>
      <c r="H216" s="2477"/>
      <c r="I216" s="2477"/>
      <c r="J216" s="2477"/>
      <c r="K216" s="2478"/>
      <c r="L216" s="2467">
        <f t="shared" ref="L216:L228" si="78">IF($BW$3=0,"",IF(ISNA(VLOOKUP(CI216,火報K,8,FALSE)),"",VLOOKUP(CI216,火報K,8,FALSE)))</f>
        <v>47</v>
      </c>
      <c r="M216" s="2468"/>
      <c r="N216" s="2468"/>
      <c r="O216" s="2468"/>
      <c r="P216" s="2469"/>
      <c r="Q216" s="2463" t="str">
        <f>IF(C216="","",VLOOKUP(C216,[7]建物1802!$E$5:$AL$3275,2,FALSE))</f>
        <v>個</v>
      </c>
      <c r="R216" s="2463"/>
      <c r="S216" s="2463"/>
      <c r="T216" s="2507">
        <f>IF(C216="","",VLOOKUP(C216,[7]建物1802!$E$5:$AL$3275,$AH$188,FALSE))</f>
        <v>1190</v>
      </c>
      <c r="U216" s="2508"/>
      <c r="V216" s="2508"/>
      <c r="W216" s="2508"/>
      <c r="X216" s="2508"/>
      <c r="Y216" s="2509"/>
      <c r="Z216" s="2467">
        <f t="shared" si="75"/>
        <v>55930</v>
      </c>
      <c r="AA216" s="2468"/>
      <c r="AB216" s="2468"/>
      <c r="AC216" s="2468"/>
      <c r="AD216" s="2468"/>
      <c r="AE216" s="2468"/>
      <c r="AF216" s="2468"/>
      <c r="AG216" s="2469"/>
      <c r="AH216" s="313"/>
      <c r="AI216" s="2470">
        <f>IF(C216="","",VLOOKUP(C216,[7]建物1802!$E$5:$AL$3275,$AH$189,FALSE))</f>
        <v>0.13300000000000001</v>
      </c>
      <c r="AJ216" s="2471"/>
      <c r="AK216" s="2471"/>
      <c r="AL216" s="2472"/>
      <c r="AM216" s="2473">
        <f t="shared" si="76"/>
        <v>6.2510000000000003</v>
      </c>
      <c r="AN216" s="2474"/>
      <c r="AO216" s="2474"/>
      <c r="AP216" s="2474"/>
      <c r="AQ216" s="2475"/>
      <c r="AR216" s="20"/>
      <c r="AS216" s="20"/>
      <c r="AT216" s="29"/>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19"/>
      <c r="BV216" s="35"/>
      <c r="BW216" s="314"/>
      <c r="BX216" s="35"/>
      <c r="BY216" s="35"/>
      <c r="BZ216" s="35"/>
      <c r="CA216" s="35"/>
      <c r="CB216" s="35"/>
      <c r="CC216" s="35"/>
      <c r="CD216" s="35"/>
      <c r="CE216" s="35"/>
      <c r="CF216" s="35"/>
      <c r="CG216" s="35"/>
      <c r="CH216" s="35"/>
      <c r="CI216" s="8">
        <v>1</v>
      </c>
      <c r="CJ216" s="54">
        <v>15</v>
      </c>
      <c r="CK216" s="7" t="s">
        <v>310</v>
      </c>
      <c r="CL216" s="9"/>
      <c r="CM216" s="10"/>
      <c r="CN216" s="82">
        <v>10</v>
      </c>
      <c r="CO216" s="10" t="s">
        <v>309</v>
      </c>
      <c r="CP216" s="8"/>
      <c r="CQ216" s="8"/>
      <c r="CR216" s="8"/>
      <c r="CS216" s="82">
        <v>15</v>
      </c>
      <c r="CT216" s="7" t="s">
        <v>308</v>
      </c>
      <c r="CU216" s="8"/>
      <c r="CV216" s="8"/>
      <c r="CW216" s="8"/>
      <c r="CX216" s="8"/>
      <c r="CY216" s="8"/>
      <c r="CZ216" s="8"/>
      <c r="DA216" s="9"/>
      <c r="DB216" s="127"/>
      <c r="DC216" s="127"/>
      <c r="DD216" s="11"/>
      <c r="DE216" s="9"/>
      <c r="DF216" s="9"/>
      <c r="DG216" s="9"/>
      <c r="DH216" s="9"/>
      <c r="DI216" s="242"/>
      <c r="DJ216" s="124"/>
      <c r="DK216" s="124"/>
      <c r="DL216" s="124"/>
      <c r="DM216" s="203"/>
      <c r="DN216" s="203"/>
      <c r="DO216" s="203"/>
      <c r="DP216" s="9"/>
      <c r="DQ216" s="9"/>
      <c r="DR216" s="101"/>
      <c r="DS216" s="125"/>
      <c r="DT216" s="9"/>
      <c r="DU216" s="8"/>
      <c r="DV216" s="8"/>
      <c r="DW216" s="8"/>
      <c r="DX216" s="8"/>
      <c r="DY216" s="8"/>
      <c r="DZ216" s="8"/>
      <c r="EA216" s="8"/>
      <c r="EB216" s="8"/>
      <c r="EC216" s="8"/>
    </row>
    <row r="217" spans="2:133" ht="11.25" customHeight="1">
      <c r="B217" s="2326"/>
      <c r="C217" s="2476" t="str">
        <f t="shared" si="77"/>
        <v>補償SP2種</v>
      </c>
      <c r="D217" s="2477"/>
      <c r="E217" s="2477"/>
      <c r="F217" s="2477"/>
      <c r="G217" s="2477"/>
      <c r="H217" s="2477"/>
      <c r="I217" s="2477"/>
      <c r="J217" s="2477"/>
      <c r="K217" s="2478"/>
      <c r="L217" s="2218">
        <f t="shared" si="78"/>
        <v>47</v>
      </c>
      <c r="M217" s="2219"/>
      <c r="N217" s="2219"/>
      <c r="O217" s="2219"/>
      <c r="P217" s="2220"/>
      <c r="Q217" s="2479" t="str">
        <f>IF(C217="","",VLOOKUP(C217,[7]建物1802!$E$5:$AL$3275,2,FALSE))</f>
        <v>個</v>
      </c>
      <c r="R217" s="2479"/>
      <c r="S217" s="2479"/>
      <c r="T217" s="2483">
        <f>IF(C217="","",VLOOKUP(C217,[7]建物1802!$E$5:$AL$3275,$AH$188,FALSE))</f>
        <v>2500</v>
      </c>
      <c r="U217" s="2484"/>
      <c r="V217" s="2484"/>
      <c r="W217" s="2484"/>
      <c r="X217" s="2484"/>
      <c r="Y217" s="2485"/>
      <c r="Z217" s="2207">
        <f t="shared" si="75"/>
        <v>117500</v>
      </c>
      <c r="AA217" s="2208"/>
      <c r="AB217" s="2208"/>
      <c r="AC217" s="2208"/>
      <c r="AD217" s="2208"/>
      <c r="AE217" s="2208"/>
      <c r="AF217" s="2208"/>
      <c r="AG217" s="2249"/>
      <c r="AH217" s="313"/>
      <c r="AI217" s="2480">
        <f>IF(C217="","",VLOOKUP(C217,[7]建物1802!$E$5:$AL$3275,$AH$189,FALSE))</f>
        <v>0.13300000000000001</v>
      </c>
      <c r="AJ217" s="2481"/>
      <c r="AK217" s="2481"/>
      <c r="AL217" s="2482"/>
      <c r="AM217" s="2257">
        <f t="shared" si="76"/>
        <v>6.2510000000000003</v>
      </c>
      <c r="AN217" s="2258"/>
      <c r="AO217" s="2258"/>
      <c r="AP217" s="2258"/>
      <c r="AQ217" s="2259"/>
      <c r="AR217" s="20"/>
      <c r="AS217" s="20"/>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19"/>
      <c r="BV217" s="35"/>
      <c r="BW217" s="35"/>
      <c r="BX217" s="35"/>
      <c r="BY217" s="35"/>
      <c r="BZ217" s="35"/>
      <c r="CA217" s="35"/>
      <c r="CB217" s="35"/>
      <c r="CC217" s="35"/>
      <c r="CD217" s="35"/>
      <c r="CE217" s="35"/>
      <c r="CF217" s="35"/>
      <c r="CG217" s="35"/>
      <c r="CH217" s="35"/>
      <c r="CI217" s="8">
        <v>2</v>
      </c>
      <c r="CJ217" s="54">
        <v>20</v>
      </c>
      <c r="CK217" s="7" t="s">
        <v>307</v>
      </c>
      <c r="CL217" s="9"/>
      <c r="CM217" s="10"/>
      <c r="CN217" s="82">
        <v>15</v>
      </c>
      <c r="CO217" s="10" t="s">
        <v>306</v>
      </c>
      <c r="CP217" s="8"/>
      <c r="CQ217" s="8"/>
      <c r="CR217" s="8"/>
      <c r="CS217" s="82">
        <v>20</v>
      </c>
      <c r="CT217" s="7" t="s">
        <v>305</v>
      </c>
      <c r="CU217" s="8"/>
      <c r="CV217" s="8"/>
      <c r="CW217" s="8"/>
      <c r="CX217" s="8"/>
      <c r="CY217" s="8"/>
      <c r="CZ217" s="8"/>
      <c r="DA217" s="9"/>
      <c r="DB217" s="127"/>
      <c r="DC217" s="127"/>
      <c r="DD217" s="11"/>
      <c r="DE217" s="9"/>
      <c r="DF217" s="9"/>
      <c r="DG217" s="9"/>
      <c r="DH217" s="9"/>
      <c r="DI217" s="242"/>
      <c r="DJ217" s="124"/>
      <c r="DK217" s="124"/>
      <c r="DL217" s="124"/>
      <c r="DM217" s="203"/>
      <c r="DN217" s="203"/>
      <c r="DO217" s="203"/>
      <c r="DP217" s="9"/>
      <c r="DQ217" s="9"/>
      <c r="DR217" s="101"/>
      <c r="DS217" s="125"/>
      <c r="DT217" s="9"/>
      <c r="DU217" s="8"/>
      <c r="DV217" s="8"/>
      <c r="DW217" s="8"/>
      <c r="DX217" s="8"/>
      <c r="DY217" s="8"/>
      <c r="DZ217" s="8"/>
      <c r="EA217" s="8"/>
      <c r="EB217" s="8"/>
      <c r="EC217" s="8"/>
    </row>
    <row r="218" spans="2:133" ht="11.25" customHeight="1">
      <c r="B218" s="2326"/>
      <c r="C218" s="2476" t="str">
        <f t="shared" si="77"/>
        <v>光電式煙2種埋</v>
      </c>
      <c r="D218" s="2477"/>
      <c r="E218" s="2477"/>
      <c r="F218" s="2477"/>
      <c r="G218" s="2477"/>
      <c r="H218" s="2477"/>
      <c r="I218" s="2477"/>
      <c r="J218" s="2477"/>
      <c r="K218" s="2478"/>
      <c r="L218" s="2218">
        <f t="shared" si="78"/>
        <v>267</v>
      </c>
      <c r="M218" s="2219"/>
      <c r="N218" s="2219"/>
      <c r="O218" s="2219"/>
      <c r="P218" s="2220"/>
      <c r="Q218" s="2479" t="str">
        <f>IF(C218="","",VLOOKUP(C218,[7]建物1802!$E$5:$AL$3275,2,FALSE))</f>
        <v>個</v>
      </c>
      <c r="R218" s="2479"/>
      <c r="S218" s="2479"/>
      <c r="T218" s="2483">
        <f>IF(C218="","",VLOOKUP(C218,[7]建物1802!$E$5:$AL$3275,$AH$188,FALSE))</f>
        <v>8400</v>
      </c>
      <c r="U218" s="2484"/>
      <c r="V218" s="2484"/>
      <c r="W218" s="2484"/>
      <c r="X218" s="2484"/>
      <c r="Y218" s="2485"/>
      <c r="Z218" s="2207">
        <f t="shared" si="75"/>
        <v>2242800</v>
      </c>
      <c r="AA218" s="2208"/>
      <c r="AB218" s="2208"/>
      <c r="AC218" s="2208"/>
      <c r="AD218" s="2208"/>
      <c r="AE218" s="2208"/>
      <c r="AF218" s="2208"/>
      <c r="AG218" s="2249"/>
      <c r="AH218" s="313"/>
      <c r="AI218" s="2480">
        <f>IF(C218="","",VLOOKUP(C218,[7]建物1802!$E$5:$AL$3275,$AH$189,FALSE))</f>
        <v>0.159</v>
      </c>
      <c r="AJ218" s="2481"/>
      <c r="AK218" s="2481"/>
      <c r="AL218" s="2482"/>
      <c r="AM218" s="2257">
        <f t="shared" si="76"/>
        <v>42.453000000000003</v>
      </c>
      <c r="AN218" s="2258"/>
      <c r="AO218" s="2258"/>
      <c r="AP218" s="2258"/>
      <c r="AQ218" s="2259"/>
      <c r="AR218" s="20"/>
      <c r="AS218" s="20"/>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19"/>
      <c r="BV218" s="35"/>
      <c r="BW218" s="35"/>
      <c r="BX218" s="35"/>
      <c r="BY218" s="35"/>
      <c r="BZ218" s="35"/>
      <c r="CA218" s="35"/>
      <c r="CB218" s="35"/>
      <c r="CC218" s="35"/>
      <c r="CD218" s="35"/>
      <c r="CE218" s="35"/>
      <c r="CF218" s="35"/>
      <c r="CG218" s="35"/>
      <c r="CH218" s="35"/>
      <c r="CI218" s="8">
        <v>3</v>
      </c>
      <c r="CJ218" s="54">
        <v>25</v>
      </c>
      <c r="CK218" s="7" t="s">
        <v>304</v>
      </c>
      <c r="CL218" s="9"/>
      <c r="CM218" s="10"/>
      <c r="CN218" s="82">
        <v>20</v>
      </c>
      <c r="CO218" s="10" t="s">
        <v>303</v>
      </c>
      <c r="CP218" s="8"/>
      <c r="CQ218" s="8"/>
      <c r="CR218" s="8"/>
      <c r="CS218" s="82">
        <v>25</v>
      </c>
      <c r="CT218" s="7" t="s">
        <v>302</v>
      </c>
      <c r="CU218" s="8"/>
      <c r="CV218" s="8"/>
      <c r="CW218" s="8"/>
      <c r="CX218" s="8"/>
      <c r="CY218" s="8"/>
      <c r="CZ218" s="8"/>
      <c r="DA218" s="9"/>
      <c r="DB218" s="127"/>
      <c r="DC218" s="127"/>
      <c r="DD218" s="11"/>
      <c r="DE218" s="9"/>
      <c r="DF218" s="9"/>
      <c r="DG218" s="9"/>
      <c r="DH218" s="9"/>
      <c r="DI218" s="242"/>
      <c r="DJ218" s="124"/>
      <c r="DK218" s="124"/>
      <c r="DL218" s="124"/>
      <c r="DM218" s="203"/>
      <c r="DN218" s="203"/>
      <c r="DO218" s="203"/>
      <c r="DP218" s="9"/>
      <c r="DQ218" s="9"/>
      <c r="DR218" s="101"/>
      <c r="DS218" s="125"/>
      <c r="DT218" s="9"/>
      <c r="DU218" s="8"/>
      <c r="DV218" s="8"/>
      <c r="DW218" s="8"/>
      <c r="DX218" s="8"/>
      <c r="DY218" s="8"/>
      <c r="DZ218" s="8"/>
      <c r="EA218" s="8"/>
      <c r="EB218" s="8"/>
      <c r="EC218" s="8"/>
    </row>
    <row r="219" spans="2:133" ht="11.25" customHeight="1">
      <c r="B219" s="2326"/>
      <c r="C219" s="2476" t="str">
        <f t="shared" si="77"/>
        <v>P1総合盤露出</v>
      </c>
      <c r="D219" s="2477"/>
      <c r="E219" s="2477"/>
      <c r="F219" s="2477"/>
      <c r="G219" s="2477"/>
      <c r="H219" s="2477"/>
      <c r="I219" s="2477"/>
      <c r="J219" s="2477"/>
      <c r="K219" s="2478"/>
      <c r="L219" s="2218">
        <f t="shared" si="78"/>
        <v>58</v>
      </c>
      <c r="M219" s="2219"/>
      <c r="N219" s="2219"/>
      <c r="O219" s="2219"/>
      <c r="P219" s="2220"/>
      <c r="Q219" s="2479" t="str">
        <f>IF(C219="","",VLOOKUP(C219,[7]建物1802!$E$5:$AL$3275,2,FALSE))</f>
        <v>個</v>
      </c>
      <c r="R219" s="2479"/>
      <c r="S219" s="2479"/>
      <c r="T219" s="2483">
        <f>IF(C219="","",VLOOKUP(C219,[7]建物1802!$E$5:$AL$3275,$AH$188,FALSE))</f>
        <v>10200</v>
      </c>
      <c r="U219" s="2484"/>
      <c r="V219" s="2484"/>
      <c r="W219" s="2484"/>
      <c r="X219" s="2484"/>
      <c r="Y219" s="2485"/>
      <c r="Z219" s="2207">
        <f t="shared" si="75"/>
        <v>591600</v>
      </c>
      <c r="AA219" s="2208"/>
      <c r="AB219" s="2208"/>
      <c r="AC219" s="2208"/>
      <c r="AD219" s="2208"/>
      <c r="AE219" s="2208"/>
      <c r="AF219" s="2208"/>
      <c r="AG219" s="2249"/>
      <c r="AH219" s="313"/>
      <c r="AI219" s="2480">
        <f>IF(C219="","",VLOOKUP(C219,[7]建物1802!$E$5:$AL$3275,$AH$189,FALSE))</f>
        <v>0.61899999999999999</v>
      </c>
      <c r="AJ219" s="2481"/>
      <c r="AK219" s="2481"/>
      <c r="AL219" s="2482"/>
      <c r="AM219" s="2257">
        <f t="shared" si="76"/>
        <v>35.902000000000001</v>
      </c>
      <c r="AN219" s="2258"/>
      <c r="AO219" s="2258"/>
      <c r="AP219" s="2258"/>
      <c r="AQ219" s="2259"/>
      <c r="AR219" s="20"/>
      <c r="AS219" s="20"/>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19"/>
      <c r="BV219" s="35"/>
      <c r="BW219" s="35"/>
      <c r="BX219" s="35"/>
      <c r="BY219" s="35"/>
      <c r="BZ219" s="35"/>
      <c r="CA219" s="35"/>
      <c r="CB219" s="35"/>
      <c r="CC219" s="35"/>
      <c r="CD219" s="35"/>
      <c r="CE219" s="35"/>
      <c r="CF219" s="35"/>
      <c r="CG219" s="35"/>
      <c r="CH219" s="35"/>
      <c r="CI219" s="8">
        <v>4</v>
      </c>
      <c r="CJ219" s="54">
        <v>30</v>
      </c>
      <c r="CK219" s="7" t="s">
        <v>301</v>
      </c>
      <c r="CL219" s="9"/>
      <c r="CM219" s="10"/>
      <c r="CN219" s="82">
        <v>25</v>
      </c>
      <c r="CO219" s="10" t="s">
        <v>300</v>
      </c>
      <c r="CP219" s="8"/>
      <c r="CQ219" s="8"/>
      <c r="CR219" s="8"/>
      <c r="CS219" s="82">
        <v>30</v>
      </c>
      <c r="CT219" s="7" t="s">
        <v>299</v>
      </c>
      <c r="CU219" s="8"/>
      <c r="CV219" s="8"/>
      <c r="CW219" s="8"/>
      <c r="CX219" s="8"/>
      <c r="CY219" s="8"/>
      <c r="CZ219" s="8"/>
      <c r="DA219" s="9"/>
      <c r="DB219" s="127"/>
      <c r="DC219" s="127"/>
      <c r="DD219" s="11"/>
      <c r="DE219" s="9"/>
      <c r="DF219" s="9"/>
      <c r="DG219" s="9"/>
      <c r="DH219" s="9"/>
      <c r="DI219" s="242"/>
      <c r="DJ219" s="124"/>
      <c r="DK219" s="124"/>
      <c r="DL219" s="124"/>
      <c r="DM219" s="203"/>
      <c r="DN219" s="203"/>
      <c r="DO219" s="203"/>
      <c r="DP219" s="9"/>
      <c r="DQ219" s="9"/>
      <c r="DR219" s="101"/>
      <c r="DS219" s="125"/>
      <c r="DT219" s="9"/>
      <c r="DU219" s="8"/>
      <c r="DV219" s="8"/>
      <c r="DW219" s="8"/>
      <c r="DX219" s="8"/>
      <c r="DY219" s="8"/>
      <c r="DZ219" s="8"/>
      <c r="EA219" s="8"/>
      <c r="EB219" s="8"/>
      <c r="EC219" s="8"/>
    </row>
    <row r="220" spans="2:133" ht="11.25" customHeight="1" thickBot="1">
      <c r="B220" s="23"/>
      <c r="C220" s="2476" t="str">
        <f t="shared" si="77"/>
        <v/>
      </c>
      <c r="D220" s="2477"/>
      <c r="E220" s="2477"/>
      <c r="F220" s="2477"/>
      <c r="G220" s="2477"/>
      <c r="H220" s="2477"/>
      <c r="I220" s="2477"/>
      <c r="J220" s="2477"/>
      <c r="K220" s="2478"/>
      <c r="L220" s="2218" t="str">
        <f t="shared" si="78"/>
        <v/>
      </c>
      <c r="M220" s="2219"/>
      <c r="N220" s="2219"/>
      <c r="O220" s="2219"/>
      <c r="P220" s="2220"/>
      <c r="Q220" s="2479" t="str">
        <f>IF(C220="","",VLOOKUP(C220,[7]建物1802!$E$5:$AL$3275,2,FALSE))</f>
        <v/>
      </c>
      <c r="R220" s="2479"/>
      <c r="S220" s="2479"/>
      <c r="T220" s="2483" t="str">
        <f>IF(C220="","",VLOOKUP(C220,[7]建物1802!$E$5:$AL$3275,$AH$188,FALSE))</f>
        <v/>
      </c>
      <c r="U220" s="2484"/>
      <c r="V220" s="2484"/>
      <c r="W220" s="2484"/>
      <c r="X220" s="2484"/>
      <c r="Y220" s="2485"/>
      <c r="Z220" s="2207" t="str">
        <f t="shared" si="75"/>
        <v/>
      </c>
      <c r="AA220" s="2208"/>
      <c r="AB220" s="2208"/>
      <c r="AC220" s="2208"/>
      <c r="AD220" s="2208"/>
      <c r="AE220" s="2208"/>
      <c r="AF220" s="2208"/>
      <c r="AG220" s="2249"/>
      <c r="AH220" s="313"/>
      <c r="AI220" s="2480" t="str">
        <f>IF(C220="","",VLOOKUP(C220,[7]建物1802!$E$5:$AL$3275,$AH$189,FALSE))</f>
        <v/>
      </c>
      <c r="AJ220" s="2481"/>
      <c r="AK220" s="2481"/>
      <c r="AL220" s="2482"/>
      <c r="AM220" s="2257" t="str">
        <f t="shared" si="76"/>
        <v/>
      </c>
      <c r="AN220" s="2258"/>
      <c r="AO220" s="2258"/>
      <c r="AP220" s="2258"/>
      <c r="AQ220" s="2259"/>
      <c r="AR220" s="20"/>
      <c r="AS220" s="20"/>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19"/>
      <c r="BV220" s="35"/>
      <c r="BW220" s="35"/>
      <c r="BX220" s="35"/>
      <c r="BY220" s="35"/>
      <c r="BZ220" s="35"/>
      <c r="CA220" s="35"/>
      <c r="CB220" s="35"/>
      <c r="CC220" s="35"/>
      <c r="CD220" s="35"/>
      <c r="CE220" s="35"/>
      <c r="CF220" s="35"/>
      <c r="CG220" s="35"/>
      <c r="CH220" s="35"/>
      <c r="CI220" s="8">
        <v>5</v>
      </c>
      <c r="CJ220" s="54">
        <v>40</v>
      </c>
      <c r="CK220" s="7" t="s">
        <v>298</v>
      </c>
      <c r="CL220" s="9"/>
      <c r="CM220" s="10"/>
      <c r="CN220" s="82">
        <v>30</v>
      </c>
      <c r="CO220" s="10" t="s">
        <v>297</v>
      </c>
      <c r="CP220" s="8"/>
      <c r="CQ220" s="8"/>
      <c r="CR220" s="8"/>
      <c r="CS220" s="82">
        <v>40</v>
      </c>
      <c r="CT220" s="7" t="s">
        <v>296</v>
      </c>
      <c r="CU220" s="8"/>
      <c r="CV220" s="8"/>
      <c r="CW220" s="8"/>
      <c r="CX220" s="8"/>
      <c r="CY220" s="8"/>
      <c r="CZ220" s="8"/>
      <c r="DA220" s="9"/>
      <c r="DB220" s="127"/>
      <c r="DC220" s="127"/>
      <c r="DD220" s="11"/>
      <c r="DE220" s="9"/>
      <c r="DF220" s="9"/>
      <c r="DG220" s="9"/>
      <c r="DH220" s="9"/>
      <c r="DI220" s="242"/>
      <c r="DJ220" s="124"/>
      <c r="DK220" s="124"/>
      <c r="DL220" s="124"/>
      <c r="DM220" s="203"/>
      <c r="DN220" s="203"/>
      <c r="DO220" s="203"/>
      <c r="DP220" s="9"/>
      <c r="DQ220" s="9"/>
      <c r="DR220" s="101"/>
      <c r="DS220" s="125"/>
      <c r="DT220" s="9"/>
      <c r="DU220" s="8"/>
      <c r="DV220" s="8"/>
      <c r="DW220" s="8"/>
      <c r="DX220" s="8"/>
      <c r="DY220" s="8"/>
      <c r="DZ220" s="8"/>
      <c r="EA220" s="8"/>
      <c r="EB220" s="8"/>
      <c r="EC220" s="8"/>
    </row>
    <row r="221" spans="2:133" ht="11.25" customHeight="1" thickBot="1">
      <c r="B221" s="23"/>
      <c r="C221" s="2476" t="str">
        <f t="shared" si="77"/>
        <v/>
      </c>
      <c r="D221" s="2477"/>
      <c r="E221" s="2477"/>
      <c r="F221" s="2477"/>
      <c r="G221" s="2477"/>
      <c r="H221" s="2477"/>
      <c r="I221" s="2477"/>
      <c r="J221" s="2477"/>
      <c r="K221" s="2478"/>
      <c r="L221" s="2218" t="str">
        <f t="shared" si="78"/>
        <v/>
      </c>
      <c r="M221" s="2219"/>
      <c r="N221" s="2219"/>
      <c r="O221" s="2219"/>
      <c r="P221" s="2220"/>
      <c r="Q221" s="2479" t="str">
        <f>IF(C221="","",VLOOKUP(C221,[7]建物1802!$E$5:$AL$3275,2,FALSE))</f>
        <v/>
      </c>
      <c r="R221" s="2479"/>
      <c r="S221" s="2479"/>
      <c r="T221" s="2483" t="str">
        <f>IF(C221="","",VLOOKUP(C221,[7]建物1802!$E$5:$AL$3275,$AH$188,FALSE))</f>
        <v/>
      </c>
      <c r="U221" s="2484"/>
      <c r="V221" s="2484"/>
      <c r="W221" s="2484"/>
      <c r="X221" s="2484"/>
      <c r="Y221" s="2485"/>
      <c r="Z221" s="2207" t="str">
        <f t="shared" si="75"/>
        <v/>
      </c>
      <c r="AA221" s="2208"/>
      <c r="AB221" s="2208"/>
      <c r="AC221" s="2208"/>
      <c r="AD221" s="2208"/>
      <c r="AE221" s="2208"/>
      <c r="AF221" s="2208"/>
      <c r="AG221" s="2249"/>
      <c r="AH221" s="313"/>
      <c r="AI221" s="2480" t="str">
        <f>IF(C221="","",VLOOKUP(C221,[7]建物1802!$E$5:$AL$3275,$AH$189,FALSE))</f>
        <v/>
      </c>
      <c r="AJ221" s="2481"/>
      <c r="AK221" s="2481"/>
      <c r="AL221" s="2482"/>
      <c r="AM221" s="2257" t="str">
        <f t="shared" si="76"/>
        <v/>
      </c>
      <c r="AN221" s="2258"/>
      <c r="AO221" s="2258"/>
      <c r="AP221" s="2258"/>
      <c r="AQ221" s="2259"/>
      <c r="AR221" s="20"/>
      <c r="AS221" s="20"/>
      <c r="AT221" s="28"/>
      <c r="AU221" s="28"/>
      <c r="AV221" s="28"/>
      <c r="AW221" s="28"/>
      <c r="AX221" s="28"/>
      <c r="AY221" s="28"/>
      <c r="AZ221" s="28"/>
      <c r="BA221" s="28"/>
      <c r="BB221" s="28"/>
      <c r="BC221" s="28"/>
      <c r="BD221" s="28"/>
      <c r="BE221" s="28"/>
      <c r="BF221" s="28"/>
      <c r="BG221" s="28"/>
      <c r="BH221" s="28"/>
      <c r="BI221" s="28"/>
      <c r="BJ221" s="28"/>
      <c r="BK221" s="28"/>
      <c r="BL221" s="28"/>
      <c r="BM221" s="28"/>
      <c r="BN221" s="2458" t="s">
        <v>295</v>
      </c>
      <c r="BO221" s="2459"/>
      <c r="BP221" s="2460"/>
      <c r="BQ221" s="28"/>
      <c r="BR221" s="28"/>
      <c r="BS221" s="28"/>
      <c r="BT221" s="28"/>
      <c r="BU221" s="19"/>
      <c r="BV221" s="35"/>
      <c r="BW221" s="35"/>
      <c r="BX221" s="35"/>
      <c r="BY221" s="35"/>
      <c r="BZ221" s="35"/>
      <c r="CA221" s="35"/>
      <c r="CB221" s="35"/>
      <c r="CC221" s="35"/>
      <c r="CD221" s="35"/>
      <c r="CE221" s="35"/>
      <c r="CF221" s="35"/>
      <c r="CG221" s="35"/>
      <c r="CH221" s="35"/>
      <c r="CI221" s="8">
        <v>6</v>
      </c>
      <c r="CJ221" s="54">
        <v>50</v>
      </c>
      <c r="CK221" s="7" t="s">
        <v>294</v>
      </c>
      <c r="CL221" s="9"/>
      <c r="CM221" s="10"/>
      <c r="CN221" s="82">
        <v>35</v>
      </c>
      <c r="CO221" s="10" t="s">
        <v>293</v>
      </c>
      <c r="CP221" s="8"/>
      <c r="CQ221" s="8"/>
      <c r="CR221" s="8"/>
      <c r="CS221" s="82">
        <v>50</v>
      </c>
      <c r="CT221" s="7" t="s">
        <v>292</v>
      </c>
      <c r="CU221" s="8"/>
      <c r="CV221" s="8"/>
      <c r="CW221" s="8"/>
      <c r="CX221" s="8"/>
      <c r="CY221" s="8"/>
      <c r="CZ221" s="8"/>
      <c r="DA221" s="9"/>
      <c r="DB221" s="127"/>
      <c r="DC221" s="127"/>
      <c r="DD221" s="11"/>
      <c r="DE221" s="9"/>
      <c r="DF221" s="9"/>
      <c r="DG221" s="9"/>
      <c r="DH221" s="9"/>
      <c r="DI221" s="242"/>
      <c r="DJ221" s="124"/>
      <c r="DK221" s="124"/>
      <c r="DL221" s="124"/>
      <c r="DM221" s="203"/>
      <c r="DN221" s="203"/>
      <c r="DO221" s="203"/>
      <c r="DP221" s="9"/>
      <c r="DQ221" s="9"/>
      <c r="DR221" s="101"/>
      <c r="DS221" s="125"/>
      <c r="DT221" s="9"/>
      <c r="DU221" s="8"/>
      <c r="DV221" s="8"/>
      <c r="DW221" s="8"/>
      <c r="DX221" s="8"/>
      <c r="DY221" s="8"/>
      <c r="DZ221" s="8"/>
      <c r="EA221" s="8"/>
      <c r="EB221" s="8"/>
      <c r="EC221" s="8"/>
    </row>
    <row r="222" spans="2:133" ht="11.25" customHeight="1">
      <c r="B222" s="23"/>
      <c r="C222" s="2476" t="str">
        <f t="shared" si="77"/>
        <v/>
      </c>
      <c r="D222" s="2477"/>
      <c r="E222" s="2477"/>
      <c r="F222" s="2477"/>
      <c r="G222" s="2477"/>
      <c r="H222" s="2477"/>
      <c r="I222" s="2477"/>
      <c r="J222" s="2477"/>
      <c r="K222" s="2478"/>
      <c r="L222" s="2218" t="str">
        <f t="shared" si="78"/>
        <v/>
      </c>
      <c r="M222" s="2219"/>
      <c r="N222" s="2219"/>
      <c r="O222" s="2219"/>
      <c r="P222" s="2220"/>
      <c r="Q222" s="2479" t="str">
        <f>IF(C222="","",VLOOKUP(C222,[7]建物1802!$E$5:$AL$3275,2,FALSE))</f>
        <v/>
      </c>
      <c r="R222" s="2479"/>
      <c r="S222" s="2479"/>
      <c r="T222" s="2483" t="str">
        <f>IF(C222="","",VLOOKUP(C222,[7]建物1802!$E$5:$AL$3275,$AH$188,FALSE))</f>
        <v/>
      </c>
      <c r="U222" s="2484"/>
      <c r="V222" s="2484"/>
      <c r="W222" s="2484"/>
      <c r="X222" s="2484"/>
      <c r="Y222" s="2485"/>
      <c r="Z222" s="2207" t="str">
        <f t="shared" si="75"/>
        <v/>
      </c>
      <c r="AA222" s="2208"/>
      <c r="AB222" s="2208"/>
      <c r="AC222" s="2208"/>
      <c r="AD222" s="2208"/>
      <c r="AE222" s="2208"/>
      <c r="AF222" s="2208"/>
      <c r="AG222" s="2249"/>
      <c r="AH222" s="313"/>
      <c r="AI222" s="2480" t="str">
        <f>IF(C222="","",VLOOKUP(C222,[7]建物1802!$E$5:$AL$3275,$AH$189,FALSE))</f>
        <v/>
      </c>
      <c r="AJ222" s="2481"/>
      <c r="AK222" s="2481"/>
      <c r="AL222" s="2482"/>
      <c r="AM222" s="2257" t="str">
        <f t="shared" si="76"/>
        <v/>
      </c>
      <c r="AN222" s="2258"/>
      <c r="AO222" s="2258"/>
      <c r="AP222" s="2258"/>
      <c r="AQ222" s="2259"/>
      <c r="AR222" s="20"/>
      <c r="AS222" s="20"/>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19"/>
      <c r="BV222" s="35"/>
      <c r="BW222" s="35"/>
      <c r="BX222" s="35"/>
      <c r="BY222" s="35"/>
      <c r="BZ222" s="35"/>
      <c r="CA222" s="35"/>
      <c r="CB222" s="35"/>
      <c r="CC222" s="35"/>
      <c r="CD222" s="35"/>
      <c r="CE222" s="35"/>
      <c r="CF222" s="35"/>
      <c r="CG222" s="35"/>
      <c r="CH222" s="35"/>
      <c r="CI222" s="8">
        <v>7</v>
      </c>
      <c r="CJ222" s="54">
        <v>60</v>
      </c>
      <c r="CK222" s="7" t="s">
        <v>291</v>
      </c>
      <c r="CL222" s="9"/>
      <c r="CM222" s="10"/>
      <c r="CN222" s="82">
        <v>40</v>
      </c>
      <c r="CO222" s="10" t="s">
        <v>290</v>
      </c>
      <c r="CP222" s="8"/>
      <c r="CQ222" s="8"/>
      <c r="CR222" s="8"/>
      <c r="CS222" s="82">
        <v>60</v>
      </c>
      <c r="CT222" s="7" t="s">
        <v>289</v>
      </c>
      <c r="CU222" s="8"/>
      <c r="CV222" s="8"/>
      <c r="CW222" s="8"/>
      <c r="CX222" s="8"/>
      <c r="CY222" s="8"/>
      <c r="CZ222" s="8"/>
      <c r="DA222" s="9"/>
      <c r="DB222" s="127"/>
      <c r="DC222" s="127"/>
      <c r="DD222" s="11"/>
      <c r="DE222" s="9"/>
      <c r="DF222" s="9"/>
      <c r="DG222" s="9"/>
      <c r="DH222" s="9"/>
      <c r="DI222" s="242"/>
      <c r="DJ222" s="124"/>
      <c r="DK222" s="124"/>
      <c r="DL222" s="124"/>
      <c r="DM222" s="203"/>
      <c r="DN222" s="203"/>
      <c r="DO222" s="203"/>
      <c r="DP222" s="9"/>
      <c r="DQ222" s="9"/>
      <c r="DR222" s="101"/>
      <c r="DS222" s="125"/>
      <c r="DT222" s="9"/>
      <c r="DU222" s="8"/>
      <c r="DV222" s="8"/>
      <c r="DW222" s="8"/>
      <c r="DX222" s="8"/>
      <c r="DY222" s="8"/>
      <c r="DZ222" s="8"/>
      <c r="EA222" s="8"/>
      <c r="EB222" s="8"/>
      <c r="EC222" s="8"/>
    </row>
    <row r="223" spans="2:133" ht="11.25" customHeight="1">
      <c r="B223" s="23"/>
      <c r="C223" s="2476" t="str">
        <f t="shared" si="77"/>
        <v/>
      </c>
      <c r="D223" s="2477"/>
      <c r="E223" s="2477"/>
      <c r="F223" s="2477"/>
      <c r="G223" s="2477"/>
      <c r="H223" s="2477"/>
      <c r="I223" s="2477"/>
      <c r="J223" s="2477"/>
      <c r="K223" s="2478"/>
      <c r="L223" s="2218" t="str">
        <f t="shared" si="78"/>
        <v/>
      </c>
      <c r="M223" s="2219"/>
      <c r="N223" s="2219"/>
      <c r="O223" s="2219"/>
      <c r="P223" s="2220"/>
      <c r="Q223" s="2479" t="str">
        <f>IF(C223="","",VLOOKUP(C223,[7]建物1802!$E$5:$AL$3275,2,FALSE))</f>
        <v/>
      </c>
      <c r="R223" s="2479"/>
      <c r="S223" s="2479"/>
      <c r="T223" s="2483" t="str">
        <f>IF(C223="","",VLOOKUP(C223,[7]建物1802!$E$5:$AL$3275,$AH$188,FALSE))</f>
        <v/>
      </c>
      <c r="U223" s="2484"/>
      <c r="V223" s="2484"/>
      <c r="W223" s="2484"/>
      <c r="X223" s="2484"/>
      <c r="Y223" s="2485"/>
      <c r="Z223" s="2207" t="str">
        <f t="shared" si="75"/>
        <v/>
      </c>
      <c r="AA223" s="2208"/>
      <c r="AB223" s="2208"/>
      <c r="AC223" s="2208"/>
      <c r="AD223" s="2208"/>
      <c r="AE223" s="2208"/>
      <c r="AF223" s="2208"/>
      <c r="AG223" s="2249"/>
      <c r="AH223" s="313"/>
      <c r="AI223" s="2480" t="str">
        <f>IF(C223="","",VLOOKUP(C223,[7]建物1802!$E$5:$AL$3275,$AH$189,FALSE))</f>
        <v/>
      </c>
      <c r="AJ223" s="2481"/>
      <c r="AK223" s="2481"/>
      <c r="AL223" s="2482"/>
      <c r="AM223" s="2257" t="str">
        <f t="shared" si="76"/>
        <v/>
      </c>
      <c r="AN223" s="2258"/>
      <c r="AO223" s="2258"/>
      <c r="AP223" s="2258"/>
      <c r="AQ223" s="2259"/>
      <c r="AR223" s="20"/>
      <c r="AS223" s="20"/>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19"/>
      <c r="BV223" s="35"/>
      <c r="BW223" s="35"/>
      <c r="BX223" s="35"/>
      <c r="BY223" s="35"/>
      <c r="BZ223" s="35"/>
      <c r="CA223" s="35"/>
      <c r="CB223" s="35"/>
      <c r="CC223" s="35"/>
      <c r="CD223" s="35"/>
      <c r="CE223" s="35"/>
      <c r="CF223" s="35"/>
      <c r="CG223" s="35"/>
      <c r="CH223" s="35"/>
      <c r="CI223" s="8">
        <v>8</v>
      </c>
      <c r="CJ223" s="54">
        <v>70</v>
      </c>
      <c r="CK223" s="7" t="s">
        <v>288</v>
      </c>
      <c r="CL223" s="9"/>
      <c r="CM223" s="10"/>
      <c r="CN223" s="82">
        <v>50</v>
      </c>
      <c r="CO223" s="10" t="s">
        <v>287</v>
      </c>
      <c r="CP223" s="8"/>
      <c r="CQ223" s="8"/>
      <c r="CR223" s="8"/>
      <c r="CS223" s="82">
        <v>70</v>
      </c>
      <c r="CT223" s="7" t="s">
        <v>286</v>
      </c>
      <c r="CU223" s="8"/>
      <c r="CV223" s="8"/>
      <c r="CW223" s="8"/>
      <c r="CX223" s="8"/>
      <c r="CY223" s="8"/>
      <c r="CZ223" s="8"/>
      <c r="DA223" s="9"/>
      <c r="DB223" s="127"/>
      <c r="DC223" s="127"/>
      <c r="DD223" s="11"/>
      <c r="DE223" s="9"/>
      <c r="DF223" s="9"/>
      <c r="DG223" s="9"/>
      <c r="DH223" s="9"/>
      <c r="DI223" s="242"/>
      <c r="DJ223" s="124"/>
      <c r="DK223" s="124"/>
      <c r="DL223" s="124"/>
      <c r="DM223" s="203"/>
      <c r="DN223" s="203"/>
      <c r="DO223" s="203"/>
      <c r="DP223" s="9"/>
      <c r="DQ223" s="9"/>
      <c r="DR223" s="101"/>
      <c r="DS223" s="125"/>
      <c r="DT223" s="9"/>
      <c r="DU223" s="8"/>
      <c r="DV223" s="8"/>
      <c r="DW223" s="8"/>
      <c r="DX223" s="8"/>
      <c r="DY223" s="8"/>
      <c r="DZ223" s="8"/>
      <c r="EA223" s="8"/>
      <c r="EB223" s="8"/>
      <c r="EC223" s="8"/>
    </row>
    <row r="224" spans="2:133" ht="11.25" customHeight="1">
      <c r="B224" s="23"/>
      <c r="C224" s="2476" t="str">
        <f t="shared" si="77"/>
        <v/>
      </c>
      <c r="D224" s="2477"/>
      <c r="E224" s="2477"/>
      <c r="F224" s="2477"/>
      <c r="G224" s="2477"/>
      <c r="H224" s="2477"/>
      <c r="I224" s="2477"/>
      <c r="J224" s="2477"/>
      <c r="K224" s="2478"/>
      <c r="L224" s="2218" t="str">
        <f t="shared" si="78"/>
        <v/>
      </c>
      <c r="M224" s="2219"/>
      <c r="N224" s="2219"/>
      <c r="O224" s="2219"/>
      <c r="P224" s="2220"/>
      <c r="Q224" s="2479" t="str">
        <f>IF(C224="","",VLOOKUP(C224,[7]建物1802!$E$5:$AL$3275,2,FALSE))</f>
        <v/>
      </c>
      <c r="R224" s="2479"/>
      <c r="S224" s="2479"/>
      <c r="T224" s="2483" t="str">
        <f>IF(C224="","",VLOOKUP(C224,[7]建物1802!$E$5:$AL$3275,$AH$188,FALSE))</f>
        <v/>
      </c>
      <c r="U224" s="2484"/>
      <c r="V224" s="2484"/>
      <c r="W224" s="2484"/>
      <c r="X224" s="2484"/>
      <c r="Y224" s="2485"/>
      <c r="Z224" s="2207" t="str">
        <f t="shared" si="75"/>
        <v/>
      </c>
      <c r="AA224" s="2208"/>
      <c r="AB224" s="2208"/>
      <c r="AC224" s="2208"/>
      <c r="AD224" s="2208"/>
      <c r="AE224" s="2208"/>
      <c r="AF224" s="2208"/>
      <c r="AG224" s="2249"/>
      <c r="AH224" s="313"/>
      <c r="AI224" s="2480" t="str">
        <f>IF(C224="","",VLOOKUP(C224,[7]建物1802!$E$5:$AL$3275,$AH$189,FALSE))</f>
        <v/>
      </c>
      <c r="AJ224" s="2481"/>
      <c r="AK224" s="2481"/>
      <c r="AL224" s="2482"/>
      <c r="AM224" s="2257" t="str">
        <f t="shared" si="76"/>
        <v/>
      </c>
      <c r="AN224" s="2258"/>
      <c r="AO224" s="2258"/>
      <c r="AP224" s="2258"/>
      <c r="AQ224" s="2259"/>
      <c r="AR224" s="20"/>
      <c r="AS224" s="20"/>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19"/>
      <c r="BV224" s="35"/>
      <c r="BW224" s="35"/>
      <c r="BX224" s="35"/>
      <c r="BY224" s="35"/>
      <c r="BZ224" s="35"/>
      <c r="CA224" s="35"/>
      <c r="CB224" s="35"/>
      <c r="CC224" s="35"/>
      <c r="CD224" s="35"/>
      <c r="CE224" s="35"/>
      <c r="CF224" s="35"/>
      <c r="CG224" s="35"/>
      <c r="CH224" s="35"/>
      <c r="CI224" s="8">
        <v>9</v>
      </c>
      <c r="CJ224" s="54">
        <v>80</v>
      </c>
      <c r="CK224" s="7" t="s">
        <v>285</v>
      </c>
      <c r="CL224" s="9"/>
      <c r="CM224" s="10"/>
      <c r="CN224" s="82">
        <v>60</v>
      </c>
      <c r="CO224" s="10" t="s">
        <v>284</v>
      </c>
      <c r="CP224" s="8"/>
      <c r="CQ224" s="8"/>
      <c r="CR224" s="8"/>
      <c r="CS224" s="82">
        <v>80</v>
      </c>
      <c r="CT224" s="7" t="s">
        <v>283</v>
      </c>
      <c r="CU224" s="8"/>
      <c r="CV224" s="8"/>
      <c r="CW224" s="8"/>
      <c r="CX224" s="8"/>
      <c r="CY224" s="8"/>
      <c r="CZ224" s="8"/>
      <c r="DA224" s="9"/>
      <c r="DB224" s="127"/>
      <c r="DC224" s="127"/>
      <c r="DD224" s="11"/>
      <c r="DE224" s="9"/>
      <c r="DF224" s="9"/>
      <c r="DG224" s="9"/>
      <c r="DH224" s="9"/>
      <c r="DI224" s="242"/>
      <c r="DJ224" s="124"/>
      <c r="DK224" s="124"/>
      <c r="DL224" s="124"/>
      <c r="DM224" s="203"/>
      <c r="DN224" s="203"/>
      <c r="DO224" s="203"/>
      <c r="DP224" s="9"/>
      <c r="DQ224" s="9"/>
      <c r="DR224" s="101"/>
      <c r="DS224" s="125"/>
      <c r="DT224" s="9"/>
      <c r="DU224" s="8"/>
      <c r="DV224" s="8"/>
      <c r="DW224" s="8"/>
      <c r="DX224" s="8"/>
      <c r="DY224" s="8"/>
      <c r="DZ224" s="8"/>
      <c r="EA224" s="8"/>
      <c r="EB224" s="8"/>
      <c r="EC224" s="8"/>
    </row>
    <row r="225" spans="2:133" ht="11.25" customHeight="1">
      <c r="B225" s="23"/>
      <c r="C225" s="2476" t="str">
        <f t="shared" si="77"/>
        <v/>
      </c>
      <c r="D225" s="2477"/>
      <c r="E225" s="2477"/>
      <c r="F225" s="2477"/>
      <c r="G225" s="2477"/>
      <c r="H225" s="2477"/>
      <c r="I225" s="2477"/>
      <c r="J225" s="2477"/>
      <c r="K225" s="2478"/>
      <c r="L225" s="2218" t="str">
        <f t="shared" si="78"/>
        <v/>
      </c>
      <c r="M225" s="2219"/>
      <c r="N225" s="2219"/>
      <c r="O225" s="2219"/>
      <c r="P225" s="2220"/>
      <c r="Q225" s="2479" t="str">
        <f>IF(C225="","",VLOOKUP(C225,[7]建物1802!$E$5:$AL$3275,2,FALSE))</f>
        <v/>
      </c>
      <c r="R225" s="2479"/>
      <c r="S225" s="2479"/>
      <c r="T225" s="2483" t="str">
        <f>IF(C225="","",VLOOKUP(C225,[7]建物1802!$E$5:$AL$3275,$AH$188,FALSE))</f>
        <v/>
      </c>
      <c r="U225" s="2484"/>
      <c r="V225" s="2484"/>
      <c r="W225" s="2484"/>
      <c r="X225" s="2484"/>
      <c r="Y225" s="2485"/>
      <c r="Z225" s="2207" t="str">
        <f t="shared" si="75"/>
        <v/>
      </c>
      <c r="AA225" s="2208"/>
      <c r="AB225" s="2208"/>
      <c r="AC225" s="2208"/>
      <c r="AD225" s="2208"/>
      <c r="AE225" s="2208"/>
      <c r="AF225" s="2208"/>
      <c r="AG225" s="2249"/>
      <c r="AH225" s="313"/>
      <c r="AI225" s="2480" t="str">
        <f>IF(C225="","",VLOOKUP(C225,[7]建物1802!$E$5:$AL$3275,$AH$189,FALSE))</f>
        <v/>
      </c>
      <c r="AJ225" s="2481"/>
      <c r="AK225" s="2481"/>
      <c r="AL225" s="2482"/>
      <c r="AM225" s="2257" t="str">
        <f t="shared" si="76"/>
        <v/>
      </c>
      <c r="AN225" s="2258"/>
      <c r="AO225" s="2258"/>
      <c r="AP225" s="2258"/>
      <c r="AQ225" s="2259"/>
      <c r="AR225" s="20"/>
      <c r="AS225" s="20"/>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19"/>
      <c r="BV225" s="35"/>
      <c r="BW225" s="35"/>
      <c r="BX225" s="35"/>
      <c r="BY225" s="35"/>
      <c r="BZ225" s="35"/>
      <c r="CA225" s="35"/>
      <c r="CB225" s="35"/>
      <c r="CC225" s="35"/>
      <c r="CD225" s="35"/>
      <c r="CE225" s="35"/>
      <c r="CF225" s="35"/>
      <c r="CG225" s="35"/>
      <c r="CH225" s="35"/>
      <c r="CI225" s="8">
        <v>10</v>
      </c>
      <c r="CJ225" s="54">
        <v>90</v>
      </c>
      <c r="CK225" s="7" t="s">
        <v>282</v>
      </c>
      <c r="CL225" s="9"/>
      <c r="CM225" s="10"/>
      <c r="CN225" s="82">
        <v>70</v>
      </c>
      <c r="CO225" s="10" t="s">
        <v>281</v>
      </c>
      <c r="CP225" s="8"/>
      <c r="CQ225" s="8"/>
      <c r="CR225" s="8"/>
      <c r="CS225" s="82">
        <v>90</v>
      </c>
      <c r="CT225" s="7" t="s">
        <v>280</v>
      </c>
      <c r="CU225" s="8"/>
      <c r="CV225" s="8"/>
      <c r="CW225" s="8"/>
      <c r="CX225" s="8"/>
      <c r="CY225" s="8"/>
      <c r="CZ225" s="8"/>
      <c r="DA225" s="9"/>
      <c r="DB225" s="127"/>
      <c r="DC225" s="127"/>
      <c r="DD225" s="11"/>
      <c r="DE225" s="9"/>
      <c r="DF225" s="9"/>
      <c r="DG225" s="9"/>
      <c r="DH225" s="9"/>
      <c r="DI225" s="242"/>
      <c r="DJ225" s="124"/>
      <c r="DK225" s="124"/>
      <c r="DL225" s="124"/>
      <c r="DM225" s="203"/>
      <c r="DN225" s="203"/>
      <c r="DO225" s="203"/>
      <c r="DP225" s="9"/>
      <c r="DQ225" s="9"/>
      <c r="DR225" s="101"/>
      <c r="DS225" s="125"/>
      <c r="DT225" s="9"/>
      <c r="DU225" s="8"/>
      <c r="DV225" s="8"/>
      <c r="DW225" s="8"/>
      <c r="DX225" s="8"/>
      <c r="DY225" s="8"/>
      <c r="DZ225" s="8"/>
      <c r="EA225" s="8"/>
      <c r="EB225" s="8"/>
      <c r="EC225" s="8"/>
    </row>
    <row r="226" spans="2:133" ht="11.25" customHeight="1">
      <c r="B226" s="23"/>
      <c r="C226" s="2476" t="str">
        <f t="shared" si="77"/>
        <v/>
      </c>
      <c r="D226" s="2477"/>
      <c r="E226" s="2477"/>
      <c r="F226" s="2477"/>
      <c r="G226" s="2477"/>
      <c r="H226" s="2477"/>
      <c r="I226" s="2477"/>
      <c r="J226" s="2477"/>
      <c r="K226" s="2478"/>
      <c r="L226" s="2218" t="str">
        <f t="shared" si="78"/>
        <v/>
      </c>
      <c r="M226" s="2219"/>
      <c r="N226" s="2219"/>
      <c r="O226" s="2219"/>
      <c r="P226" s="2220"/>
      <c r="Q226" s="2479" t="str">
        <f>IF(C226="","",VLOOKUP(C226,[7]建物1802!$E$5:$AL$3275,2,FALSE))</f>
        <v/>
      </c>
      <c r="R226" s="2479"/>
      <c r="S226" s="2479"/>
      <c r="T226" s="2483" t="str">
        <f>IF(C226="","",VLOOKUP(C226,[7]建物1802!$E$5:$AL$3275,$AH$188,FALSE))</f>
        <v/>
      </c>
      <c r="U226" s="2484"/>
      <c r="V226" s="2484"/>
      <c r="W226" s="2484"/>
      <c r="X226" s="2484"/>
      <c r="Y226" s="2485"/>
      <c r="Z226" s="2207" t="str">
        <f t="shared" si="75"/>
        <v/>
      </c>
      <c r="AA226" s="2208"/>
      <c r="AB226" s="2208"/>
      <c r="AC226" s="2208"/>
      <c r="AD226" s="2208"/>
      <c r="AE226" s="2208"/>
      <c r="AF226" s="2208"/>
      <c r="AG226" s="2249"/>
      <c r="AH226" s="313"/>
      <c r="AI226" s="2480" t="str">
        <f>IF(C226="","",VLOOKUP(C226,[7]建物1802!$E$5:$AL$3275,$AH$189,FALSE))</f>
        <v/>
      </c>
      <c r="AJ226" s="2481"/>
      <c r="AK226" s="2481"/>
      <c r="AL226" s="2482"/>
      <c r="AM226" s="2257" t="str">
        <f t="shared" si="76"/>
        <v/>
      </c>
      <c r="AN226" s="2258"/>
      <c r="AO226" s="2258"/>
      <c r="AP226" s="2258"/>
      <c r="AQ226" s="2259"/>
      <c r="AR226" s="20"/>
      <c r="AS226" s="20"/>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19"/>
      <c r="BV226" s="35"/>
      <c r="BW226" s="35"/>
      <c r="BX226" s="35"/>
      <c r="BY226" s="35"/>
      <c r="BZ226" s="35"/>
      <c r="CA226" s="35"/>
      <c r="CB226" s="35"/>
      <c r="CC226" s="35"/>
      <c r="CD226" s="35"/>
      <c r="CE226" s="35"/>
      <c r="CF226" s="35"/>
      <c r="CG226" s="35"/>
      <c r="CH226" s="35"/>
      <c r="CI226" s="8">
        <v>11</v>
      </c>
      <c r="CJ226" s="54">
        <v>100</v>
      </c>
      <c r="CK226" s="7" t="s">
        <v>279</v>
      </c>
      <c r="CL226" s="9"/>
      <c r="CM226" s="10"/>
      <c r="CN226" s="82">
        <v>80</v>
      </c>
      <c r="CO226" s="10" t="s">
        <v>278</v>
      </c>
      <c r="CP226" s="8"/>
      <c r="CQ226" s="8"/>
      <c r="CR226" s="8"/>
      <c r="CS226" s="82">
        <v>100</v>
      </c>
      <c r="CT226" s="7" t="s">
        <v>277</v>
      </c>
      <c r="CU226" s="8"/>
      <c r="CV226" s="8"/>
      <c r="CW226" s="8"/>
      <c r="CX226" s="8"/>
      <c r="CY226" s="8"/>
      <c r="CZ226" s="8"/>
      <c r="DA226" s="9"/>
      <c r="DB226" s="127"/>
      <c r="DC226" s="127"/>
      <c r="DD226" s="11"/>
      <c r="DE226" s="9"/>
      <c r="DF226" s="9"/>
      <c r="DG226" s="9"/>
      <c r="DH226" s="9"/>
      <c r="DI226" s="242"/>
      <c r="DJ226" s="124"/>
      <c r="DK226" s="124"/>
      <c r="DL226" s="124"/>
      <c r="DM226" s="203"/>
      <c r="DN226" s="203"/>
      <c r="DO226" s="203"/>
      <c r="DP226" s="9"/>
      <c r="DQ226" s="9"/>
      <c r="DR226" s="101"/>
      <c r="DS226" s="125"/>
      <c r="DT226" s="9"/>
      <c r="DU226" s="8"/>
      <c r="DV226" s="8"/>
      <c r="DW226" s="8"/>
      <c r="DX226" s="8"/>
      <c r="DY226" s="8"/>
      <c r="DZ226" s="8"/>
      <c r="EA226" s="8"/>
      <c r="EB226" s="8"/>
      <c r="EC226" s="8"/>
    </row>
    <row r="227" spans="2:133" ht="11.25" customHeight="1">
      <c r="B227" s="23"/>
      <c r="C227" s="2476" t="str">
        <f t="shared" si="77"/>
        <v/>
      </c>
      <c r="D227" s="2477"/>
      <c r="E227" s="2477"/>
      <c r="F227" s="2477"/>
      <c r="G227" s="2477"/>
      <c r="H227" s="2477"/>
      <c r="I227" s="2477"/>
      <c r="J227" s="2477"/>
      <c r="K227" s="2478"/>
      <c r="L227" s="2218" t="str">
        <f t="shared" si="78"/>
        <v/>
      </c>
      <c r="M227" s="2219"/>
      <c r="N227" s="2219"/>
      <c r="O227" s="2219"/>
      <c r="P227" s="2220"/>
      <c r="Q227" s="2479" t="str">
        <f>IF(C227="","",VLOOKUP(C227,[7]建物1802!$E$5:$AL$3275,2,FALSE))</f>
        <v/>
      </c>
      <c r="R227" s="2479"/>
      <c r="S227" s="2479"/>
      <c r="T227" s="2483" t="str">
        <f>IF(C227="","",VLOOKUP(C227,[7]建物1802!$E$5:$AL$3275,$AH$188,FALSE))</f>
        <v/>
      </c>
      <c r="U227" s="2484"/>
      <c r="V227" s="2484"/>
      <c r="W227" s="2484"/>
      <c r="X227" s="2484"/>
      <c r="Y227" s="2485"/>
      <c r="Z227" s="2207" t="str">
        <f t="shared" si="75"/>
        <v/>
      </c>
      <c r="AA227" s="2208"/>
      <c r="AB227" s="2208"/>
      <c r="AC227" s="2208"/>
      <c r="AD227" s="2208"/>
      <c r="AE227" s="2208"/>
      <c r="AF227" s="2208"/>
      <c r="AG227" s="2249"/>
      <c r="AH227" s="313"/>
      <c r="AI227" s="2480" t="str">
        <f>IF(C227="","",VLOOKUP(C227,[7]建物1802!$E$5:$AL$3275,$AH$189,FALSE))</f>
        <v/>
      </c>
      <c r="AJ227" s="2481"/>
      <c r="AK227" s="2481"/>
      <c r="AL227" s="2482"/>
      <c r="AM227" s="2257" t="str">
        <f t="shared" si="76"/>
        <v/>
      </c>
      <c r="AN227" s="2258"/>
      <c r="AO227" s="2258"/>
      <c r="AP227" s="2258"/>
      <c r="AQ227" s="2259"/>
      <c r="AR227" s="20"/>
      <c r="AS227" s="20"/>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19"/>
      <c r="BV227" s="35"/>
      <c r="BW227" s="35"/>
      <c r="BX227" s="35"/>
      <c r="BY227" s="35"/>
      <c r="BZ227" s="35"/>
      <c r="CA227" s="35"/>
      <c r="CB227" s="35"/>
      <c r="CC227" s="35"/>
      <c r="CD227" s="35"/>
      <c r="CE227" s="35"/>
      <c r="CF227" s="35"/>
      <c r="CG227" s="35"/>
      <c r="CH227" s="35"/>
      <c r="CI227" s="8">
        <v>12</v>
      </c>
      <c r="CJ227" s="54">
        <v>110</v>
      </c>
      <c r="CK227" s="7" t="s">
        <v>276</v>
      </c>
      <c r="CL227" s="9"/>
      <c r="CM227" s="10"/>
      <c r="CN227" s="82">
        <v>90</v>
      </c>
      <c r="CO227" s="10" t="s">
        <v>275</v>
      </c>
      <c r="CP227" s="8"/>
      <c r="CQ227" s="8"/>
      <c r="CR227" s="8"/>
      <c r="CS227" s="82">
        <v>110</v>
      </c>
      <c r="CT227" s="7" t="s">
        <v>274</v>
      </c>
      <c r="CU227" s="8"/>
      <c r="CV227" s="8"/>
      <c r="CW227" s="8"/>
      <c r="CX227" s="8"/>
      <c r="CY227" s="8"/>
      <c r="CZ227" s="8"/>
      <c r="DA227" s="9"/>
      <c r="DB227" s="127"/>
      <c r="DC227" s="127"/>
      <c r="DD227" s="11"/>
      <c r="DE227" s="9"/>
      <c r="DF227" s="9"/>
      <c r="DG227" s="9"/>
      <c r="DH227" s="9"/>
      <c r="DI227" s="242"/>
      <c r="DJ227" s="124"/>
      <c r="DK227" s="124"/>
      <c r="DL227" s="124"/>
      <c r="DM227" s="203"/>
      <c r="DN227" s="203"/>
      <c r="DO227" s="203"/>
      <c r="DP227" s="9"/>
      <c r="DQ227" s="9"/>
      <c r="DR227" s="101"/>
      <c r="DS227" s="125"/>
      <c r="DT227" s="9"/>
      <c r="DU227" s="8"/>
      <c r="DV227" s="8"/>
      <c r="DW227" s="8"/>
      <c r="DX227" s="8"/>
      <c r="DY227" s="8"/>
      <c r="DZ227" s="8"/>
      <c r="EA227" s="8"/>
      <c r="EB227" s="8"/>
      <c r="EC227" s="8"/>
    </row>
    <row r="228" spans="2:133" ht="11.25" customHeight="1">
      <c r="B228" s="23"/>
      <c r="C228" s="2489" t="str">
        <f t="shared" si="77"/>
        <v/>
      </c>
      <c r="D228" s="2490"/>
      <c r="E228" s="2490"/>
      <c r="F228" s="2490"/>
      <c r="G228" s="2490"/>
      <c r="H228" s="2490"/>
      <c r="I228" s="2490"/>
      <c r="J228" s="2490"/>
      <c r="K228" s="2491"/>
      <c r="L228" s="2246" t="str">
        <f t="shared" si="78"/>
        <v/>
      </c>
      <c r="M228" s="2247"/>
      <c r="N228" s="2247"/>
      <c r="O228" s="2247"/>
      <c r="P228" s="2248"/>
      <c r="Q228" s="2492" t="str">
        <f>IF(C228="","",VLOOKUP(C228,[7]建物1802!$E$5:$AL$3275,2,FALSE))</f>
        <v/>
      </c>
      <c r="R228" s="2493"/>
      <c r="S228" s="2494"/>
      <c r="T228" s="2495" t="str">
        <f>IF(C228="","",VLOOKUP(C228,[7]建物1802!$E$5:$AL$3275,$AH$188,FALSE))</f>
        <v/>
      </c>
      <c r="U228" s="2496"/>
      <c r="V228" s="2496"/>
      <c r="W228" s="2496"/>
      <c r="X228" s="2496"/>
      <c r="Y228" s="2497"/>
      <c r="Z228" s="2246" t="str">
        <f t="shared" si="75"/>
        <v/>
      </c>
      <c r="AA228" s="2247"/>
      <c r="AB228" s="2247"/>
      <c r="AC228" s="2247"/>
      <c r="AD228" s="2247"/>
      <c r="AE228" s="2247"/>
      <c r="AF228" s="2247"/>
      <c r="AG228" s="2248"/>
      <c r="AH228" s="313"/>
      <c r="AI228" s="2498" t="str">
        <f>IF(C228="","",VLOOKUP(C228,[7]建物1802!$E$5:$AL$3275,$AH$189,FALSE))</f>
        <v/>
      </c>
      <c r="AJ228" s="2499"/>
      <c r="AK228" s="2499"/>
      <c r="AL228" s="2500"/>
      <c r="AM228" s="2237" t="str">
        <f t="shared" si="76"/>
        <v/>
      </c>
      <c r="AN228" s="2238"/>
      <c r="AO228" s="2238"/>
      <c r="AP228" s="2238"/>
      <c r="AQ228" s="2239"/>
      <c r="AR228" s="20"/>
      <c r="AS228" s="20"/>
      <c r="AT228" s="28"/>
      <c r="AU228" s="28"/>
      <c r="AV228" s="28"/>
      <c r="AW228" s="28"/>
      <c r="AX228" s="28"/>
      <c r="AY228" s="28"/>
      <c r="AZ228" s="28"/>
      <c r="BA228" s="28"/>
      <c r="BB228" s="28"/>
      <c r="BC228" s="28"/>
      <c r="BD228" s="28"/>
      <c r="BE228" s="28"/>
      <c r="BF228" s="28"/>
      <c r="BG228" s="28"/>
      <c r="BH228" s="28"/>
      <c r="BI228" s="28"/>
      <c r="BJ228" s="28"/>
      <c r="BK228" s="28"/>
      <c r="BL228" s="2457" t="s">
        <v>273</v>
      </c>
      <c r="BM228" s="2457"/>
      <c r="BN228" s="2457"/>
      <c r="BO228" s="2457"/>
      <c r="BP228" s="2457"/>
      <c r="BQ228" s="2457"/>
      <c r="BR228" s="2457"/>
      <c r="BS228" s="28"/>
      <c r="BT228" s="28"/>
      <c r="BU228" s="19"/>
      <c r="BV228" s="35"/>
      <c r="BW228" s="35"/>
      <c r="BX228" s="35"/>
      <c r="BY228" s="35"/>
      <c r="BZ228" s="35"/>
      <c r="CA228" s="35"/>
      <c r="CB228" s="35"/>
      <c r="CC228" s="35"/>
      <c r="CD228" s="35"/>
      <c r="CE228" s="35"/>
      <c r="CF228" s="35"/>
      <c r="CG228" s="35"/>
      <c r="CH228" s="35"/>
      <c r="CI228" s="8">
        <v>13</v>
      </c>
      <c r="CJ228" s="54">
        <v>120</v>
      </c>
      <c r="CK228" s="7" t="s">
        <v>272</v>
      </c>
      <c r="CL228" s="9"/>
      <c r="CM228" s="10"/>
      <c r="CN228" s="82">
        <v>100</v>
      </c>
      <c r="CO228" s="10" t="s">
        <v>271</v>
      </c>
      <c r="CP228" s="8"/>
      <c r="CQ228" s="8"/>
      <c r="CR228" s="8"/>
      <c r="CS228" s="82">
        <v>120</v>
      </c>
      <c r="CT228" s="7" t="s">
        <v>270</v>
      </c>
      <c r="CU228" s="8"/>
      <c r="CV228" s="8"/>
      <c r="CW228" s="8"/>
      <c r="CX228" s="8"/>
      <c r="CY228" s="8"/>
      <c r="CZ228" s="8"/>
      <c r="DA228" s="9"/>
      <c r="DB228" s="127"/>
      <c r="DC228" s="127"/>
      <c r="DD228" s="11"/>
      <c r="DE228" s="9"/>
      <c r="DF228" s="9"/>
      <c r="DG228" s="9"/>
      <c r="DH228" s="9"/>
      <c r="DI228" s="242"/>
      <c r="DJ228" s="124"/>
      <c r="DK228" s="124"/>
      <c r="DL228" s="124"/>
      <c r="DM228" s="203"/>
      <c r="DN228" s="203"/>
      <c r="DO228" s="203"/>
      <c r="DP228" s="9"/>
      <c r="DQ228" s="9"/>
      <c r="DR228" s="101"/>
      <c r="DS228" s="125"/>
      <c r="DT228" s="9"/>
      <c r="DU228" s="8"/>
      <c r="DV228" s="8"/>
      <c r="DW228" s="8"/>
      <c r="DX228" s="8"/>
      <c r="DY228" s="8"/>
      <c r="DZ228" s="8"/>
      <c r="EA228" s="8"/>
      <c r="EB228" s="8"/>
      <c r="EC228" s="8"/>
    </row>
    <row r="229" spans="2:133" ht="11.25" customHeight="1">
      <c r="B229" s="23"/>
      <c r="C229" s="2476" t="str">
        <f>IF(B2=0,"",BB229)</f>
        <v>P1受信機 70L自</v>
      </c>
      <c r="D229" s="2477"/>
      <c r="E229" s="2477"/>
      <c r="F229" s="2477"/>
      <c r="G229" s="2477"/>
      <c r="H229" s="2477"/>
      <c r="I229" s="2477"/>
      <c r="J229" s="2477"/>
      <c r="K229" s="2478"/>
      <c r="L229" s="2467">
        <f>IF(C229="","",1)</f>
        <v>1</v>
      </c>
      <c r="M229" s="2468"/>
      <c r="N229" s="2468"/>
      <c r="O229" s="2468"/>
      <c r="P229" s="2469"/>
      <c r="Q229" s="2463" t="str">
        <f>IF(C229="","",VLOOKUP(C229,[7]建物1802!$E$5:$AL$3275,2,FALSE))</f>
        <v>面</v>
      </c>
      <c r="R229" s="2463"/>
      <c r="S229" s="2463"/>
      <c r="T229" s="2464">
        <f>IF(C229="","",VLOOKUP(C229,[7]建物1802!$E$5:$AL$3275,$AH$188,FALSE))</f>
        <v>669000</v>
      </c>
      <c r="U229" s="2465"/>
      <c r="V229" s="2465"/>
      <c r="W229" s="2465"/>
      <c r="X229" s="2465"/>
      <c r="Y229" s="2466"/>
      <c r="Z229" s="2467">
        <f t="shared" si="75"/>
        <v>669000</v>
      </c>
      <c r="AA229" s="2468"/>
      <c r="AB229" s="2468"/>
      <c r="AC229" s="2468"/>
      <c r="AD229" s="2468"/>
      <c r="AE229" s="2468"/>
      <c r="AF229" s="2468"/>
      <c r="AG229" s="2469"/>
      <c r="AH229" s="312"/>
      <c r="AI229" s="2470">
        <f>IF(C229="","",VLOOKUP(C229,[7]建物1802!$E$5:$AL$3275,$AH$189,FALSE))</f>
        <v>22.700000000000003</v>
      </c>
      <c r="AJ229" s="2471"/>
      <c r="AK229" s="2471"/>
      <c r="AL229" s="2472"/>
      <c r="AM229" s="2473">
        <f t="shared" si="76"/>
        <v>22.700000000000003</v>
      </c>
      <c r="AN229" s="2474"/>
      <c r="AO229" s="2474"/>
      <c r="AP229" s="2474"/>
      <c r="AQ229" s="2475"/>
      <c r="AR229" s="20"/>
      <c r="AS229" s="2453" t="s">
        <v>262</v>
      </c>
      <c r="AT229" s="2454"/>
      <c r="AU229" s="2454"/>
      <c r="AV229" s="2454"/>
      <c r="AW229" s="2454"/>
      <c r="AX229" s="2454"/>
      <c r="AY229" s="2454"/>
      <c r="AZ229" s="2454"/>
      <c r="BA229" s="2455"/>
      <c r="BB229" s="2410" t="str">
        <f>IF(B2=0,"",VLOOKUP(BD201,火受,2,FALSE))</f>
        <v>P1受信機 70L自</v>
      </c>
      <c r="BC229" s="2411"/>
      <c r="BD229" s="2411"/>
      <c r="BE229" s="2411"/>
      <c r="BF229" s="2411"/>
      <c r="BG229" s="2411"/>
      <c r="BH229" s="2411"/>
      <c r="BI229" s="2411"/>
      <c r="BJ229" s="2411"/>
      <c r="BK229" s="31" t="s">
        <v>2</v>
      </c>
      <c r="BL229" s="2456"/>
      <c r="BM229" s="2456"/>
      <c r="BN229" s="2456"/>
      <c r="BO229" s="2456"/>
      <c r="BP229" s="2456"/>
      <c r="BQ229" s="2456"/>
      <c r="BR229" s="2456"/>
      <c r="BS229" s="28"/>
      <c r="BT229" s="28"/>
      <c r="BU229" s="19"/>
      <c r="BV229" s="35"/>
      <c r="BW229" s="35"/>
      <c r="BX229" s="35"/>
      <c r="BY229" s="35"/>
      <c r="BZ229" s="35"/>
      <c r="CA229" s="35"/>
      <c r="CB229" s="35"/>
      <c r="CC229" s="35"/>
      <c r="CD229" s="35"/>
      <c r="CE229" s="35"/>
      <c r="CF229" s="35"/>
      <c r="CG229" s="35"/>
      <c r="CH229" s="35"/>
      <c r="CI229" s="8"/>
      <c r="CJ229" s="54">
        <v>150</v>
      </c>
      <c r="CK229" s="7" t="s">
        <v>269</v>
      </c>
      <c r="CL229" s="9"/>
      <c r="CM229" s="10"/>
      <c r="CN229" s="82">
        <v>120</v>
      </c>
      <c r="CO229" s="10" t="s">
        <v>268</v>
      </c>
      <c r="CP229" s="8"/>
      <c r="CQ229" s="8"/>
      <c r="CR229" s="8"/>
      <c r="CS229" s="82">
        <v>150</v>
      </c>
      <c r="CT229" s="7" t="s">
        <v>267</v>
      </c>
      <c r="CU229" s="8"/>
      <c r="CV229" s="8"/>
      <c r="CW229" s="8"/>
      <c r="CX229" s="8"/>
      <c r="CY229" s="8"/>
      <c r="CZ229" s="8"/>
      <c r="DA229" s="9"/>
      <c r="DB229" s="127"/>
      <c r="DC229" s="127"/>
      <c r="DD229" s="11"/>
      <c r="DE229" s="9"/>
      <c r="DF229" s="9"/>
      <c r="DG229" s="9"/>
      <c r="DH229" s="9"/>
      <c r="DI229" s="242"/>
      <c r="DJ229" s="124"/>
      <c r="DK229" s="124"/>
      <c r="DL229" s="124"/>
      <c r="DM229" s="203"/>
      <c r="DN229" s="203"/>
      <c r="DO229" s="203"/>
      <c r="DP229" s="9"/>
      <c r="DQ229" s="9"/>
      <c r="DR229" s="101"/>
      <c r="DS229" s="125"/>
      <c r="DT229" s="9"/>
      <c r="DU229" s="8"/>
      <c r="DV229" s="8"/>
      <c r="DW229" s="8"/>
      <c r="DX229" s="8"/>
      <c r="DY229" s="8"/>
      <c r="DZ229" s="8"/>
      <c r="EA229" s="8"/>
      <c r="EB229" s="8"/>
      <c r="EC229" s="8"/>
    </row>
    <row r="230" spans="2:133" ht="11.25" customHeight="1">
      <c r="B230" s="23"/>
      <c r="C230" s="2476" t="str">
        <f>IF(B2=0,"",BB230)</f>
        <v>P1副受信機 150L</v>
      </c>
      <c r="D230" s="2477"/>
      <c r="E230" s="2477"/>
      <c r="F230" s="2477"/>
      <c r="G230" s="2477"/>
      <c r="H230" s="2477"/>
      <c r="I230" s="2477"/>
      <c r="J230" s="2477"/>
      <c r="K230" s="2478"/>
      <c r="L230" s="2467">
        <f>IF(C230="","",1)</f>
        <v>1</v>
      </c>
      <c r="M230" s="2468"/>
      <c r="N230" s="2468"/>
      <c r="O230" s="2468"/>
      <c r="P230" s="2469"/>
      <c r="Q230" s="2479" t="str">
        <f>IF(C230="","",VLOOKUP(C230,[7]建物1802!$E$5:$AL$3275,2,FALSE))</f>
        <v>面</v>
      </c>
      <c r="R230" s="2479"/>
      <c r="S230" s="2479"/>
      <c r="T230" s="2464">
        <f>IF(C230="","",VLOOKUP(C230,[7]建物1802!$E$5:$AL$3275,$AH$188,FALSE))</f>
        <v>110600</v>
      </c>
      <c r="U230" s="2465"/>
      <c r="V230" s="2465"/>
      <c r="W230" s="2465"/>
      <c r="X230" s="2465"/>
      <c r="Y230" s="2466"/>
      <c r="Z230" s="2207">
        <f t="shared" si="75"/>
        <v>110600</v>
      </c>
      <c r="AA230" s="2208"/>
      <c r="AB230" s="2208"/>
      <c r="AC230" s="2208"/>
      <c r="AD230" s="2208"/>
      <c r="AE230" s="2208"/>
      <c r="AF230" s="2208"/>
      <c r="AG230" s="2249"/>
      <c r="AH230" s="312"/>
      <c r="AI230" s="2480">
        <f>IF(C230="","",VLOOKUP(C230,[7]建物1802!$E$5:$AL$3275,$AH$189,FALSE))</f>
        <v>9.25</v>
      </c>
      <c r="AJ230" s="2481"/>
      <c r="AK230" s="2481"/>
      <c r="AL230" s="2482"/>
      <c r="AM230" s="2222">
        <f t="shared" si="76"/>
        <v>9.25</v>
      </c>
      <c r="AN230" s="2223"/>
      <c r="AO230" s="2223"/>
      <c r="AP230" s="2223"/>
      <c r="AQ230" s="2224"/>
      <c r="AR230" s="20"/>
      <c r="AS230" s="2453" t="s">
        <v>266</v>
      </c>
      <c r="AT230" s="2454"/>
      <c r="AU230" s="2454"/>
      <c r="AV230" s="2454"/>
      <c r="AW230" s="2454"/>
      <c r="AX230" s="2454"/>
      <c r="AY230" s="2454"/>
      <c r="AZ230" s="2454"/>
      <c r="BA230" s="2455"/>
      <c r="BB230" s="2410" t="str">
        <f>IF(B2=0,"",VLOOKUP(BN204,火副,2,FALSE))</f>
        <v>P1副受信機 150L</v>
      </c>
      <c r="BC230" s="2411"/>
      <c r="BD230" s="2411"/>
      <c r="BE230" s="2411"/>
      <c r="BF230" s="2411"/>
      <c r="BG230" s="2411"/>
      <c r="BH230" s="2411"/>
      <c r="BI230" s="2411"/>
      <c r="BJ230" s="2411"/>
      <c r="BK230" s="31" t="s">
        <v>2</v>
      </c>
      <c r="BL230" s="2456"/>
      <c r="BM230" s="2456"/>
      <c r="BN230" s="2456"/>
      <c r="BO230" s="2456"/>
      <c r="BP230" s="2456"/>
      <c r="BQ230" s="2456"/>
      <c r="BR230" s="2456"/>
      <c r="BS230" s="28"/>
      <c r="BT230" s="28"/>
      <c r="BU230" s="19"/>
      <c r="BV230" s="35"/>
      <c r="BW230" s="35"/>
      <c r="BX230" s="35"/>
      <c r="BY230" s="35"/>
      <c r="BZ230" s="35"/>
      <c r="CA230" s="35"/>
      <c r="CB230" s="35"/>
      <c r="CC230" s="35"/>
      <c r="CD230" s="35"/>
      <c r="CE230" s="35"/>
      <c r="CF230" s="35"/>
      <c r="CG230" s="35"/>
      <c r="CH230" s="35"/>
      <c r="CI230" s="8"/>
      <c r="CJ230" s="54">
        <v>200</v>
      </c>
      <c r="CK230" s="7" t="s">
        <v>265</v>
      </c>
      <c r="CL230" s="9"/>
      <c r="CM230" s="10"/>
      <c r="CN230" s="82">
        <v>140</v>
      </c>
      <c r="CO230" s="10" t="s">
        <v>264</v>
      </c>
      <c r="CP230" s="8"/>
      <c r="CQ230" s="8"/>
      <c r="CR230" s="8"/>
      <c r="CS230" s="82">
        <v>200</v>
      </c>
      <c r="CT230" s="7" t="s">
        <v>263</v>
      </c>
      <c r="CU230" s="8"/>
      <c r="CV230" s="8"/>
      <c r="CW230" s="8"/>
      <c r="CX230" s="8"/>
      <c r="CY230" s="8"/>
      <c r="CZ230" s="8"/>
      <c r="DA230" s="9"/>
      <c r="DB230" s="127"/>
      <c r="DC230" s="127"/>
      <c r="DD230" s="11"/>
      <c r="DE230" s="9"/>
      <c r="DF230" s="9"/>
      <c r="DG230" s="9"/>
      <c r="DH230" s="9"/>
      <c r="DI230" s="242"/>
      <c r="DJ230" s="124"/>
      <c r="DK230" s="124"/>
      <c r="DL230" s="124"/>
      <c r="DM230" s="203"/>
      <c r="DN230" s="203"/>
      <c r="DO230" s="203"/>
      <c r="DP230" s="9"/>
      <c r="DQ230" s="9"/>
      <c r="DR230" s="101"/>
      <c r="DS230" s="125"/>
      <c r="DT230" s="9"/>
      <c r="DU230" s="8"/>
      <c r="DV230" s="8"/>
      <c r="DW230" s="8"/>
      <c r="DX230" s="8"/>
      <c r="DY230" s="8"/>
      <c r="DZ230" s="8"/>
      <c r="EA230" s="8"/>
      <c r="EB230" s="8"/>
      <c r="EC230" s="8"/>
    </row>
    <row r="231" spans="2:133" ht="11.25" customHeight="1">
      <c r="B231" s="23"/>
      <c r="C231" s="2476" t="str">
        <f>IF(B2=0,"",BB231)</f>
        <v>連動操作盤 90L自</v>
      </c>
      <c r="D231" s="2477"/>
      <c r="E231" s="2477"/>
      <c r="F231" s="2477"/>
      <c r="G231" s="2477"/>
      <c r="H231" s="2477"/>
      <c r="I231" s="2477"/>
      <c r="J231" s="2477"/>
      <c r="K231" s="2478"/>
      <c r="L231" s="2467">
        <f>IF(C231="","",1)</f>
        <v>1</v>
      </c>
      <c r="M231" s="2468"/>
      <c r="N231" s="2468"/>
      <c r="O231" s="2468"/>
      <c r="P231" s="2469"/>
      <c r="Q231" s="2479" t="str">
        <f>IF(C231="","",VLOOKUP(C231,[7]建物1802!$E$5:$AL$3275,2,FALSE))</f>
        <v>面</v>
      </c>
      <c r="R231" s="2479"/>
      <c r="S231" s="2479"/>
      <c r="T231" s="2464">
        <f>IF(C231="","",VLOOKUP(C231,[7]建物1802!$E$5:$AL$3275,$AH$188,FALSE))</f>
        <v>952000</v>
      </c>
      <c r="U231" s="2465"/>
      <c r="V231" s="2465"/>
      <c r="W231" s="2465"/>
      <c r="X231" s="2465"/>
      <c r="Y231" s="2466"/>
      <c r="Z231" s="2207">
        <f t="shared" si="75"/>
        <v>952000</v>
      </c>
      <c r="AA231" s="2208"/>
      <c r="AB231" s="2208"/>
      <c r="AC231" s="2208"/>
      <c r="AD231" s="2208"/>
      <c r="AE231" s="2208"/>
      <c r="AF231" s="2208"/>
      <c r="AG231" s="2249"/>
      <c r="AH231" s="312"/>
      <c r="AI231" s="2486">
        <f>IF(C231="","",VLOOKUP(C231,[7]建物1802!$E$5:$AL$3275,$AH$189,FALSE))</f>
        <v>28.1</v>
      </c>
      <c r="AJ231" s="2487"/>
      <c r="AK231" s="2487"/>
      <c r="AL231" s="2488"/>
      <c r="AM231" s="2222">
        <f t="shared" si="76"/>
        <v>28.1</v>
      </c>
      <c r="AN231" s="2223"/>
      <c r="AO231" s="2223"/>
      <c r="AP231" s="2223"/>
      <c r="AQ231" s="2224"/>
      <c r="AR231" s="20"/>
      <c r="AS231" s="2453" t="s">
        <v>262</v>
      </c>
      <c r="AT231" s="2454"/>
      <c r="AU231" s="2454"/>
      <c r="AV231" s="2454"/>
      <c r="AW231" s="2454"/>
      <c r="AX231" s="2454"/>
      <c r="AY231" s="2454"/>
      <c r="AZ231" s="2454"/>
      <c r="BA231" s="2455"/>
      <c r="BB231" s="2410" t="str">
        <f>IF(B2=0,"",VLOOKUP(BD202,火連,2,FALSE))</f>
        <v>連動操作盤 90L自</v>
      </c>
      <c r="BC231" s="2411"/>
      <c r="BD231" s="2411"/>
      <c r="BE231" s="2411"/>
      <c r="BF231" s="2411"/>
      <c r="BG231" s="2411"/>
      <c r="BH231" s="2411"/>
      <c r="BI231" s="2411"/>
      <c r="BJ231" s="2411"/>
      <c r="BK231" s="31" t="s">
        <v>2</v>
      </c>
      <c r="BL231" s="2456"/>
      <c r="BM231" s="2456"/>
      <c r="BN231" s="2456"/>
      <c r="BO231" s="2456"/>
      <c r="BP231" s="2456"/>
      <c r="BQ231" s="2456"/>
      <c r="BR231" s="2456"/>
      <c r="BS231" s="28"/>
      <c r="BT231" s="28"/>
      <c r="BU231" s="19"/>
      <c r="BV231" s="35"/>
      <c r="BW231" s="35"/>
      <c r="BX231" s="35"/>
      <c r="BY231" s="35"/>
      <c r="BZ231" s="35"/>
      <c r="CA231" s="35"/>
      <c r="CB231" s="35"/>
      <c r="CC231" s="35"/>
      <c r="CD231" s="35"/>
      <c r="CE231" s="35"/>
      <c r="CF231" s="35"/>
      <c r="CG231" s="35"/>
      <c r="CH231" s="35"/>
      <c r="CI231" s="8"/>
      <c r="CJ231" s="178"/>
      <c r="CK231" s="8"/>
      <c r="CL231" s="8"/>
      <c r="CM231" s="10"/>
      <c r="CN231" s="82">
        <v>160</v>
      </c>
      <c r="CO231" s="10" t="s">
        <v>261</v>
      </c>
      <c r="CP231" s="8"/>
      <c r="CQ231" s="8"/>
      <c r="CR231" s="8"/>
      <c r="CS231" s="82">
        <v>300</v>
      </c>
      <c r="CT231" s="7" t="s">
        <v>260</v>
      </c>
      <c r="CU231" s="8"/>
      <c r="CV231" s="8"/>
      <c r="CW231" s="8"/>
      <c r="CX231" s="8"/>
      <c r="CY231" s="8"/>
      <c r="CZ231" s="8"/>
      <c r="DA231" s="9"/>
      <c r="DB231" s="127"/>
      <c r="DC231" s="127"/>
      <c r="DD231" s="11"/>
      <c r="DE231" s="9"/>
      <c r="DF231" s="9"/>
      <c r="DG231" s="9"/>
      <c r="DH231" s="126"/>
      <c r="DI231" s="242"/>
      <c r="DJ231" s="124"/>
      <c r="DK231" s="124"/>
      <c r="DL231" s="124"/>
      <c r="DM231" s="203"/>
      <c r="DN231" s="203"/>
      <c r="DO231" s="203"/>
      <c r="DP231" s="9"/>
      <c r="DQ231" s="9"/>
      <c r="DR231" s="101"/>
      <c r="DS231" s="125"/>
      <c r="DT231" s="9"/>
    </row>
    <row r="232" spans="2:133" ht="11.25" customHeight="1">
      <c r="B232" s="18"/>
      <c r="C232" s="309"/>
      <c r="D232" s="309"/>
      <c r="E232" s="309"/>
      <c r="F232" s="309"/>
      <c r="G232" s="309"/>
      <c r="H232" s="309"/>
      <c r="I232" s="309"/>
      <c r="J232" s="309"/>
      <c r="K232" s="309"/>
      <c r="L232" s="311"/>
      <c r="M232" s="311"/>
      <c r="N232" s="311"/>
      <c r="O232" s="311"/>
      <c r="P232" s="311"/>
      <c r="Q232" s="311"/>
      <c r="R232" s="310"/>
      <c r="S232" s="310"/>
      <c r="T232" s="310"/>
      <c r="U232" s="310"/>
      <c r="V232" s="310"/>
      <c r="W232" s="309"/>
      <c r="X232" s="309"/>
      <c r="Y232" s="309"/>
      <c r="Z232" s="308"/>
      <c r="AA232" s="308"/>
      <c r="AB232" s="308"/>
      <c r="AC232" s="308"/>
      <c r="AD232" s="308"/>
      <c r="AE232" s="308"/>
      <c r="AF232" s="308"/>
      <c r="AG232" s="308"/>
      <c r="AH232" s="17"/>
      <c r="AI232" s="307"/>
      <c r="AJ232" s="307"/>
      <c r="AK232" s="307"/>
      <c r="AL232" s="307"/>
      <c r="AM232" s="306"/>
      <c r="AN232" s="306"/>
      <c r="AO232" s="306"/>
      <c r="AP232" s="306"/>
      <c r="AQ232" s="306"/>
      <c r="AR232" s="17"/>
      <c r="AS232" s="17"/>
      <c r="AT232" s="206"/>
      <c r="AU232" s="206"/>
      <c r="AV232" s="206"/>
      <c r="AW232" s="206"/>
      <c r="AX232" s="206"/>
      <c r="AY232" s="206"/>
      <c r="AZ232" s="206"/>
      <c r="BA232" s="206"/>
      <c r="BB232" s="206"/>
      <c r="BC232" s="206"/>
      <c r="BD232" s="206"/>
      <c r="BE232" s="206"/>
      <c r="BF232" s="206"/>
      <c r="BG232" s="206"/>
      <c r="BH232" s="206"/>
      <c r="BI232" s="206"/>
      <c r="BJ232" s="206"/>
      <c r="BK232" s="206"/>
      <c r="BL232" s="206"/>
      <c r="BM232" s="206"/>
      <c r="BN232" s="206"/>
      <c r="BO232" s="206"/>
      <c r="BP232" s="206"/>
      <c r="BQ232" s="206"/>
      <c r="BR232" s="206"/>
      <c r="BS232" s="206"/>
      <c r="BT232" s="206"/>
      <c r="BU232" s="16"/>
      <c r="BV232" s="35"/>
      <c r="BW232" s="35"/>
      <c r="BX232" s="35"/>
      <c r="BY232" s="35"/>
      <c r="BZ232" s="35"/>
      <c r="CA232" s="35"/>
      <c r="CB232" s="35"/>
      <c r="CC232" s="35"/>
      <c r="CD232" s="35"/>
      <c r="CE232" s="35"/>
      <c r="CF232" s="35"/>
      <c r="CG232" s="35"/>
      <c r="CH232" s="35"/>
      <c r="CI232" s="8"/>
      <c r="CJ232" s="178"/>
      <c r="CK232" s="8"/>
      <c r="CL232" s="8"/>
      <c r="CM232" s="10"/>
      <c r="CN232" s="82">
        <v>180</v>
      </c>
      <c r="CO232" s="10" t="s">
        <v>259</v>
      </c>
      <c r="CP232" s="8"/>
      <c r="CQ232" s="8"/>
      <c r="CR232" s="8"/>
      <c r="CS232" s="8"/>
      <c r="CT232" s="8"/>
      <c r="CU232" s="8"/>
      <c r="CV232" s="8"/>
      <c r="CW232" s="8"/>
      <c r="CX232" s="8"/>
      <c r="CY232" s="8"/>
      <c r="CZ232" s="8"/>
      <c r="DA232" s="9"/>
      <c r="DB232" s="127"/>
      <c r="DC232" s="127"/>
      <c r="DD232" s="11"/>
      <c r="DE232" s="9"/>
      <c r="DF232" s="9"/>
      <c r="DG232" s="9"/>
      <c r="DH232" s="126"/>
      <c r="DI232" s="242"/>
      <c r="DJ232" s="124"/>
      <c r="DK232" s="124"/>
      <c r="DL232" s="124"/>
      <c r="DM232" s="11"/>
      <c r="DN232" s="11"/>
      <c r="DO232" s="11"/>
      <c r="DP232" s="9"/>
      <c r="DQ232" s="9"/>
      <c r="DR232" s="9"/>
      <c r="DS232" s="125"/>
      <c r="DT232" s="9"/>
    </row>
    <row r="233" spans="2:133" ht="12" customHeight="1">
      <c r="B233" s="35"/>
      <c r="C233" s="41"/>
      <c r="D233" s="41"/>
      <c r="E233" s="41"/>
      <c r="F233" s="41"/>
      <c r="G233" s="41"/>
      <c r="H233" s="41"/>
      <c r="I233" s="41"/>
      <c r="J233" s="41"/>
      <c r="K233" s="41"/>
      <c r="L233" s="241"/>
      <c r="M233" s="241"/>
      <c r="N233" s="241"/>
      <c r="O233" s="241"/>
      <c r="P233" s="241"/>
      <c r="Q233" s="241"/>
      <c r="R233" s="132"/>
      <c r="S233" s="132"/>
      <c r="T233" s="132"/>
      <c r="U233" s="132"/>
      <c r="V233" s="132"/>
      <c r="W233" s="41"/>
      <c r="X233" s="41"/>
      <c r="Y233" s="41"/>
      <c r="Z233" s="240"/>
      <c r="AA233" s="240"/>
      <c r="AB233" s="240"/>
      <c r="AC233" s="240"/>
      <c r="AD233" s="240"/>
      <c r="AE233" s="240"/>
      <c r="AF233" s="240"/>
      <c r="AG233" s="240"/>
      <c r="AH233" s="20"/>
      <c r="AI233" s="239"/>
      <c r="AJ233" s="239"/>
      <c r="AK233" s="239"/>
      <c r="AL233" s="239"/>
      <c r="AM233" s="238"/>
      <c r="AN233" s="238"/>
      <c r="AO233" s="238"/>
      <c r="AP233" s="238"/>
      <c r="AQ233" s="238"/>
      <c r="AR233" s="20"/>
      <c r="AS233" s="20"/>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35"/>
      <c r="BV233" s="35"/>
      <c r="BW233" s="35"/>
      <c r="BX233" s="35"/>
      <c r="BY233" s="35"/>
      <c r="BZ233" s="35"/>
      <c r="CA233" s="35"/>
      <c r="CB233" s="35"/>
      <c r="CC233" s="35"/>
      <c r="CD233" s="35"/>
      <c r="CE233" s="35"/>
      <c r="CF233" s="35"/>
      <c r="CG233" s="35"/>
      <c r="CH233" s="35"/>
      <c r="CI233" s="8"/>
      <c r="CJ233" s="178"/>
      <c r="CK233" s="8"/>
      <c r="CL233" s="8"/>
      <c r="CM233" s="10"/>
      <c r="CN233" s="8"/>
      <c r="CO233" s="8"/>
      <c r="CP233" s="8"/>
      <c r="CQ233" s="8"/>
      <c r="CR233" s="8"/>
      <c r="CS233" s="8"/>
      <c r="CT233" s="8"/>
      <c r="CU233" s="8"/>
      <c r="CV233" s="8"/>
      <c r="CW233" s="8"/>
      <c r="CX233" s="8"/>
      <c r="CY233" s="8"/>
      <c r="CZ233" s="8"/>
      <c r="DA233" s="9"/>
      <c r="DB233" s="127"/>
      <c r="DC233" s="127"/>
      <c r="DD233" s="11"/>
      <c r="DE233" s="9"/>
      <c r="DF233" s="9"/>
      <c r="DG233" s="9"/>
      <c r="DH233" s="126"/>
      <c r="DI233" s="242"/>
      <c r="DJ233" s="124"/>
      <c r="DK233" s="124"/>
      <c r="DL233" s="124"/>
      <c r="DM233" s="11"/>
      <c r="DN233" s="11"/>
      <c r="DO233" s="11"/>
      <c r="DP233" s="9"/>
      <c r="DQ233" s="9"/>
      <c r="DR233" s="9"/>
      <c r="DS233" s="125"/>
      <c r="DT233" s="9"/>
    </row>
    <row r="234" spans="2:133" ht="12" customHeight="1">
      <c r="B234" s="35"/>
      <c r="C234" s="41"/>
      <c r="D234" s="41"/>
      <c r="E234" s="41"/>
      <c r="F234" s="41"/>
      <c r="G234" s="41"/>
      <c r="H234" s="41"/>
      <c r="I234" s="41"/>
      <c r="J234" s="41"/>
      <c r="K234" s="41"/>
      <c r="L234" s="241"/>
      <c r="M234" s="241"/>
      <c r="N234" s="241"/>
      <c r="O234" s="241"/>
      <c r="P234" s="241"/>
      <c r="Q234" s="241"/>
      <c r="R234" s="132"/>
      <c r="S234" s="132"/>
      <c r="T234" s="132"/>
      <c r="U234" s="132"/>
      <c r="V234" s="132"/>
      <c r="W234" s="41"/>
      <c r="X234" s="41"/>
      <c r="Y234" s="41"/>
      <c r="Z234" s="240"/>
      <c r="AA234" s="240"/>
      <c r="AB234" s="240"/>
      <c r="AC234" s="240"/>
      <c r="AD234" s="240"/>
      <c r="AE234" s="240"/>
      <c r="AF234" s="240"/>
      <c r="AG234" s="240"/>
      <c r="AH234" s="20"/>
      <c r="AI234" s="239"/>
      <c r="AJ234" s="239"/>
      <c r="AK234" s="239"/>
      <c r="AL234" s="239"/>
      <c r="AM234" s="238"/>
      <c r="AN234" s="238"/>
      <c r="AO234" s="238"/>
      <c r="AP234" s="238"/>
      <c r="AQ234" s="238"/>
      <c r="AR234" s="20"/>
      <c r="AS234" s="20"/>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35"/>
      <c r="BV234" s="35"/>
      <c r="BW234" s="35"/>
      <c r="BX234" s="35"/>
      <c r="BY234" s="35"/>
      <c r="BZ234" s="35"/>
      <c r="CA234" s="35"/>
      <c r="CB234" s="35"/>
      <c r="CC234" s="35"/>
      <c r="CD234" s="35"/>
      <c r="CE234" s="35"/>
      <c r="CF234" s="35"/>
      <c r="CG234" s="35"/>
      <c r="CH234" s="35"/>
      <c r="CI234" s="8"/>
      <c r="CJ234" s="178"/>
      <c r="CK234" s="8"/>
      <c r="CL234" s="8"/>
      <c r="CM234" s="10"/>
      <c r="CN234" s="8"/>
      <c r="CO234" s="8"/>
      <c r="CP234" s="8"/>
      <c r="CQ234" s="8"/>
      <c r="CR234" s="8"/>
      <c r="CS234" s="8"/>
      <c r="CT234" s="8"/>
      <c r="CU234" s="8"/>
      <c r="CV234" s="8"/>
      <c r="CW234" s="8"/>
      <c r="CX234" s="8"/>
      <c r="CY234" s="8"/>
      <c r="CZ234" s="8"/>
      <c r="DA234" s="9"/>
      <c r="DB234" s="127"/>
      <c r="DC234" s="127"/>
      <c r="DD234" s="11"/>
      <c r="DE234" s="9"/>
      <c r="DF234" s="9"/>
      <c r="DG234" s="9"/>
      <c r="DH234" s="126"/>
      <c r="DI234" s="242"/>
      <c r="DJ234" s="124"/>
      <c r="DK234" s="124"/>
      <c r="DL234" s="124"/>
      <c r="DM234" s="203"/>
      <c r="DN234" s="203"/>
      <c r="DO234" s="203"/>
      <c r="DP234" s="9"/>
      <c r="DQ234" s="9"/>
      <c r="DR234" s="101"/>
      <c r="DS234" s="125"/>
      <c r="DT234" s="9"/>
    </row>
    <row r="235" spans="2:133" ht="12" customHeight="1">
      <c r="B235" s="35"/>
      <c r="C235" s="41"/>
      <c r="D235" s="41"/>
      <c r="E235" s="41"/>
      <c r="F235" s="41"/>
      <c r="G235" s="41"/>
      <c r="H235" s="41"/>
      <c r="I235" s="41"/>
      <c r="J235" s="41"/>
      <c r="K235" s="41"/>
      <c r="L235" s="241"/>
      <c r="M235" s="241"/>
      <c r="N235" s="241"/>
      <c r="O235" s="241"/>
      <c r="P235" s="241"/>
      <c r="Q235" s="241"/>
      <c r="R235" s="132"/>
      <c r="S235" s="132"/>
      <c r="T235" s="132"/>
      <c r="U235" s="132"/>
      <c r="V235" s="132"/>
      <c r="W235" s="41"/>
      <c r="X235" s="41"/>
      <c r="Y235" s="41"/>
      <c r="Z235" s="240"/>
      <c r="AA235" s="240"/>
      <c r="AB235" s="240"/>
      <c r="AC235" s="240"/>
      <c r="AD235" s="240"/>
      <c r="AE235" s="240"/>
      <c r="AF235" s="240"/>
      <c r="AG235" s="240"/>
      <c r="AH235" s="20"/>
      <c r="AI235" s="239"/>
      <c r="AJ235" s="239"/>
      <c r="AK235" s="239"/>
      <c r="AL235" s="239"/>
      <c r="AM235" s="238"/>
      <c r="AN235" s="238"/>
      <c r="AO235" s="238"/>
      <c r="AP235" s="238"/>
      <c r="AQ235" s="238"/>
      <c r="AR235" s="20"/>
      <c r="AS235" s="20"/>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35"/>
      <c r="BV235" s="35"/>
      <c r="BW235" s="35"/>
      <c r="BX235" s="35"/>
      <c r="BY235" s="35"/>
      <c r="BZ235" s="35"/>
      <c r="CA235" s="35"/>
      <c r="CB235" s="35"/>
      <c r="CC235" s="35"/>
      <c r="CD235" s="35"/>
      <c r="CE235" s="35"/>
      <c r="CF235" s="35"/>
      <c r="CG235" s="35"/>
      <c r="CH235" s="35"/>
      <c r="CI235" s="8"/>
      <c r="CJ235" s="178"/>
      <c r="CK235" s="8"/>
      <c r="CL235" s="8"/>
      <c r="CM235" s="10"/>
      <c r="CN235" s="8"/>
      <c r="CO235" s="8"/>
      <c r="CP235" s="8"/>
      <c r="CQ235" s="8"/>
      <c r="CR235" s="8"/>
      <c r="CS235" s="8"/>
      <c r="CT235" s="8"/>
      <c r="CU235" s="8"/>
      <c r="CV235" s="8"/>
      <c r="CW235" s="8"/>
      <c r="CX235" s="8"/>
      <c r="CY235" s="8"/>
      <c r="CZ235" s="8"/>
      <c r="DA235" s="9"/>
      <c r="DB235" s="127"/>
      <c r="DC235" s="127"/>
      <c r="DD235" s="11"/>
      <c r="DE235" s="9"/>
      <c r="DF235" s="9"/>
      <c r="DG235" s="9"/>
      <c r="DH235" s="126"/>
      <c r="DI235" s="242"/>
      <c r="DJ235" s="124"/>
      <c r="DK235" s="124"/>
      <c r="DL235" s="124"/>
      <c r="DM235" s="203"/>
      <c r="DN235" s="203"/>
      <c r="DO235" s="203"/>
      <c r="DP235" s="9"/>
      <c r="DQ235" s="9"/>
      <c r="DR235" s="101"/>
      <c r="DS235" s="125"/>
      <c r="DT235" s="9"/>
    </row>
    <row r="236" spans="2:133" ht="12" customHeight="1">
      <c r="B236" s="35"/>
      <c r="C236" s="41"/>
      <c r="D236" s="41"/>
      <c r="E236" s="41"/>
      <c r="F236" s="41"/>
      <c r="G236" s="41"/>
      <c r="H236" s="41"/>
      <c r="I236" s="41"/>
      <c r="J236" s="41"/>
      <c r="K236" s="41"/>
      <c r="L236" s="241"/>
      <c r="M236" s="241"/>
      <c r="N236" s="241"/>
      <c r="O236" s="241"/>
      <c r="P236" s="241"/>
      <c r="Q236" s="241"/>
      <c r="R236" s="132"/>
      <c r="S236" s="132"/>
      <c r="T236" s="132"/>
      <c r="U236" s="132"/>
      <c r="V236" s="132"/>
      <c r="W236" s="41"/>
      <c r="X236" s="41"/>
      <c r="Y236" s="41"/>
      <c r="Z236" s="240"/>
      <c r="AA236" s="240"/>
      <c r="AB236" s="240"/>
      <c r="AC236" s="240"/>
      <c r="AD236" s="240"/>
      <c r="AE236" s="240"/>
      <c r="AF236" s="240"/>
      <c r="AG236" s="240"/>
      <c r="AH236" s="20"/>
      <c r="AI236" s="239"/>
      <c r="AJ236" s="239"/>
      <c r="AK236" s="239"/>
      <c r="AL236" s="239"/>
      <c r="AM236" s="238"/>
      <c r="AN236" s="238"/>
      <c r="AO236" s="238"/>
      <c r="AP236" s="238"/>
      <c r="AQ236" s="238"/>
      <c r="AR236" s="20"/>
      <c r="AS236" s="20"/>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35"/>
      <c r="BV236" s="35"/>
      <c r="BW236" s="35"/>
      <c r="BX236" s="35"/>
      <c r="BY236" s="35"/>
      <c r="BZ236" s="35"/>
      <c r="CA236" s="35"/>
      <c r="CB236" s="35"/>
      <c r="CC236" s="35"/>
      <c r="CD236" s="35"/>
      <c r="CE236" s="35"/>
      <c r="CF236" s="35"/>
      <c r="CG236" s="35"/>
      <c r="CH236" s="35"/>
      <c r="CI236" s="8"/>
      <c r="CJ236" s="178"/>
      <c r="CK236" s="8"/>
      <c r="CL236" s="8"/>
      <c r="CM236" s="10"/>
      <c r="CN236" s="8"/>
      <c r="CO236" s="8"/>
      <c r="CP236" s="8"/>
      <c r="CQ236" s="8"/>
      <c r="CR236" s="8"/>
      <c r="CS236" s="8"/>
      <c r="CT236" s="8"/>
      <c r="CU236" s="8"/>
      <c r="CV236" s="8"/>
      <c r="CW236" s="8"/>
      <c r="CX236" s="8"/>
      <c r="CY236" s="8"/>
      <c r="CZ236" s="8"/>
      <c r="DA236" s="9"/>
      <c r="DB236" s="127"/>
      <c r="DC236" s="127"/>
      <c r="DD236" s="11"/>
      <c r="DE236" s="9"/>
      <c r="DF236" s="9"/>
      <c r="DG236" s="9"/>
      <c r="DH236" s="126"/>
      <c r="DI236" s="242"/>
      <c r="DJ236" s="124"/>
      <c r="DK236" s="124"/>
      <c r="DL236" s="124"/>
      <c r="DM236" s="203"/>
      <c r="DN236" s="203"/>
      <c r="DO236" s="203"/>
      <c r="DP236" s="9"/>
      <c r="DQ236" s="9"/>
      <c r="DR236" s="101"/>
      <c r="DS236" s="125"/>
      <c r="DT236" s="9"/>
    </row>
    <row r="237" spans="2:133" ht="12" customHeight="1">
      <c r="B237" s="35"/>
      <c r="C237" s="41"/>
      <c r="D237" s="41"/>
      <c r="E237" s="41"/>
      <c r="F237" s="41"/>
      <c r="G237" s="41"/>
      <c r="H237" s="41"/>
      <c r="I237" s="41"/>
      <c r="J237" s="41"/>
      <c r="K237" s="41"/>
      <c r="L237" s="241"/>
      <c r="M237" s="241"/>
      <c r="N237" s="241"/>
      <c r="O237" s="241"/>
      <c r="P237" s="241"/>
      <c r="Q237" s="241"/>
      <c r="R237" s="132"/>
      <c r="S237" s="132"/>
      <c r="T237" s="132"/>
      <c r="U237" s="132"/>
      <c r="V237" s="132"/>
      <c r="W237" s="41"/>
      <c r="X237" s="41"/>
      <c r="Y237" s="41"/>
      <c r="Z237" s="240"/>
      <c r="AA237" s="240"/>
      <c r="AB237" s="240"/>
      <c r="AC237" s="240"/>
      <c r="AD237" s="240"/>
      <c r="AE237" s="240"/>
      <c r="AF237" s="240"/>
      <c r="AG237" s="240"/>
      <c r="AH237" s="20"/>
      <c r="AI237" s="239"/>
      <c r="AJ237" s="239"/>
      <c r="AK237" s="239"/>
      <c r="AL237" s="239"/>
      <c r="AM237" s="238"/>
      <c r="AN237" s="238"/>
      <c r="AO237" s="238"/>
      <c r="AP237" s="238"/>
      <c r="AQ237" s="238"/>
      <c r="AR237" s="20"/>
      <c r="AS237" s="20"/>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35"/>
      <c r="BV237" s="35"/>
      <c r="BW237" s="35"/>
      <c r="BX237" s="35"/>
      <c r="BY237" s="35"/>
      <c r="BZ237" s="35"/>
      <c r="CA237" s="35"/>
      <c r="CB237" s="35"/>
      <c r="CC237" s="35"/>
      <c r="CD237" s="35"/>
      <c r="CE237" s="35"/>
      <c r="CF237" s="35"/>
      <c r="CG237" s="35"/>
      <c r="CH237" s="35"/>
      <c r="CI237" s="8"/>
      <c r="CJ237" s="178"/>
      <c r="CK237" s="8"/>
      <c r="CL237" s="8"/>
      <c r="CM237" s="10"/>
      <c r="CN237" s="8"/>
      <c r="CO237" s="8"/>
      <c r="CP237" s="8"/>
      <c r="CQ237" s="8"/>
      <c r="CR237" s="8"/>
      <c r="CS237" s="8"/>
      <c r="CT237" s="8"/>
      <c r="CU237" s="8"/>
      <c r="CV237" s="8"/>
      <c r="CW237" s="8"/>
      <c r="CX237" s="8"/>
      <c r="CY237" s="8"/>
      <c r="CZ237" s="8"/>
      <c r="DA237" s="9"/>
      <c r="DB237" s="127"/>
      <c r="DC237" s="127"/>
      <c r="DD237" s="11"/>
      <c r="DE237" s="9"/>
      <c r="DF237" s="9"/>
      <c r="DG237" s="9"/>
      <c r="DH237" s="126"/>
      <c r="DI237" s="242"/>
      <c r="DJ237" s="124"/>
      <c r="DK237" s="124"/>
      <c r="DL237" s="124"/>
      <c r="DM237" s="203"/>
      <c r="DN237" s="203"/>
      <c r="DO237" s="203"/>
      <c r="DP237" s="9"/>
      <c r="DQ237" s="9"/>
      <c r="DR237" s="101"/>
      <c r="DS237" s="125"/>
      <c r="DT237" s="9"/>
    </row>
    <row r="238" spans="2:133" ht="12" customHeight="1">
      <c r="B238" s="35"/>
      <c r="C238" s="41"/>
      <c r="D238" s="41"/>
      <c r="E238" s="41"/>
      <c r="F238" s="41"/>
      <c r="G238" s="41"/>
      <c r="H238" s="41"/>
      <c r="I238" s="41"/>
      <c r="J238" s="41"/>
      <c r="K238" s="41"/>
      <c r="L238" s="241"/>
      <c r="M238" s="241"/>
      <c r="N238" s="241"/>
      <c r="O238" s="241"/>
      <c r="P238" s="241"/>
      <c r="Q238" s="241"/>
      <c r="R238" s="132"/>
      <c r="S238" s="132"/>
      <c r="T238" s="132"/>
      <c r="U238" s="132"/>
      <c r="V238" s="132"/>
      <c r="W238" s="41"/>
      <c r="X238" s="41"/>
      <c r="Y238" s="41"/>
      <c r="Z238" s="240"/>
      <c r="AA238" s="240"/>
      <c r="AB238" s="240"/>
      <c r="AC238" s="240"/>
      <c r="AD238" s="240"/>
      <c r="AE238" s="240"/>
      <c r="AF238" s="240"/>
      <c r="AG238" s="240"/>
      <c r="AH238" s="20"/>
      <c r="AI238" s="239"/>
      <c r="AJ238" s="239"/>
      <c r="AK238" s="239"/>
      <c r="AL238" s="239"/>
      <c r="AM238" s="238"/>
      <c r="AN238" s="238"/>
      <c r="AO238" s="238"/>
      <c r="AP238" s="238"/>
      <c r="AQ238" s="238"/>
      <c r="AR238" s="20"/>
      <c r="AS238" s="20"/>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35"/>
      <c r="BV238" s="35"/>
      <c r="BW238" s="35"/>
      <c r="BX238" s="35"/>
      <c r="BY238" s="35"/>
      <c r="BZ238" s="35"/>
      <c r="CA238" s="35"/>
      <c r="CB238" s="35"/>
      <c r="CC238" s="35"/>
      <c r="CD238" s="35"/>
      <c r="CE238" s="35"/>
      <c r="CF238" s="35"/>
      <c r="CG238" s="35"/>
      <c r="CH238" s="35"/>
      <c r="CI238" s="8"/>
      <c r="CJ238" s="178"/>
      <c r="CK238" s="8"/>
      <c r="CL238" s="8"/>
      <c r="CM238" s="10"/>
      <c r="CN238" s="8"/>
      <c r="CO238" s="8"/>
      <c r="CP238" s="8"/>
      <c r="CQ238" s="8"/>
      <c r="CR238" s="8"/>
      <c r="CS238" s="8"/>
      <c r="CT238" s="8"/>
      <c r="CU238" s="8"/>
      <c r="CV238" s="8"/>
      <c r="CW238" s="8"/>
      <c r="CX238" s="8"/>
      <c r="CY238" s="8"/>
      <c r="CZ238" s="8"/>
      <c r="DA238" s="9"/>
      <c r="DB238" s="127"/>
      <c r="DC238" s="127"/>
      <c r="DD238" s="11"/>
      <c r="DE238" s="9"/>
      <c r="DF238" s="9"/>
      <c r="DG238" s="9"/>
      <c r="DH238" s="126"/>
      <c r="DI238" s="242"/>
      <c r="DJ238" s="124"/>
      <c r="DK238" s="124"/>
      <c r="DL238" s="124"/>
      <c r="DM238" s="203"/>
      <c r="DN238" s="203"/>
      <c r="DO238" s="203"/>
      <c r="DP238" s="9"/>
      <c r="DQ238" s="9"/>
      <c r="DR238" s="101"/>
      <c r="DS238" s="125"/>
      <c r="DT238" s="9"/>
    </row>
    <row r="239" spans="2:133" ht="12" customHeight="1">
      <c r="B239" s="35"/>
      <c r="C239" s="41"/>
      <c r="D239" s="41"/>
      <c r="E239" s="41"/>
      <c r="F239" s="41"/>
      <c r="G239" s="41"/>
      <c r="H239" s="41"/>
      <c r="I239" s="41"/>
      <c r="J239" s="41"/>
      <c r="K239" s="41"/>
      <c r="L239" s="241"/>
      <c r="M239" s="241"/>
      <c r="N239" s="241"/>
      <c r="O239" s="241"/>
      <c r="P239" s="241"/>
      <c r="Q239" s="241"/>
      <c r="R239" s="132"/>
      <c r="S239" s="132"/>
      <c r="T239" s="132"/>
      <c r="U239" s="132"/>
      <c r="V239" s="132"/>
      <c r="W239" s="41"/>
      <c r="X239" s="41"/>
      <c r="Y239" s="41"/>
      <c r="Z239" s="240"/>
      <c r="AA239" s="240"/>
      <c r="AB239" s="240"/>
      <c r="AC239" s="240"/>
      <c r="AD239" s="240"/>
      <c r="AE239" s="240"/>
      <c r="AF239" s="240"/>
      <c r="AG239" s="240"/>
      <c r="AH239" s="20"/>
      <c r="AI239" s="239"/>
      <c r="AJ239" s="239"/>
      <c r="AK239" s="239"/>
      <c r="AL239" s="239"/>
      <c r="AM239" s="238"/>
      <c r="AN239" s="238"/>
      <c r="AO239" s="238"/>
      <c r="AP239" s="238"/>
      <c r="AQ239" s="238"/>
      <c r="AR239" s="20"/>
      <c r="AS239" s="20"/>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35"/>
      <c r="BV239" s="35"/>
      <c r="BW239" s="35"/>
      <c r="BX239" s="35"/>
      <c r="BY239" s="35"/>
      <c r="BZ239" s="35"/>
      <c r="CA239" s="35"/>
      <c r="CB239" s="35"/>
      <c r="CC239" s="35"/>
      <c r="CD239" s="35"/>
      <c r="CE239" s="35"/>
      <c r="CF239" s="35"/>
      <c r="CG239" s="35"/>
      <c r="CH239" s="35"/>
      <c r="CI239" s="8"/>
      <c r="CJ239" s="178"/>
      <c r="CK239" s="8"/>
      <c r="CL239" s="8"/>
      <c r="CM239" s="10"/>
      <c r="CN239" s="8"/>
      <c r="CO239" s="8"/>
      <c r="CP239" s="8"/>
      <c r="CQ239" s="8"/>
      <c r="CR239" s="8"/>
      <c r="CS239" s="8"/>
      <c r="CT239" s="8"/>
      <c r="CU239" s="8"/>
      <c r="CV239" s="8"/>
      <c r="CW239" s="8"/>
      <c r="CX239" s="8"/>
      <c r="CY239" s="8"/>
      <c r="CZ239" s="8"/>
      <c r="DA239" s="9"/>
      <c r="DB239" s="127"/>
      <c r="DC239" s="127"/>
      <c r="DD239" s="11"/>
      <c r="DE239" s="9"/>
      <c r="DF239" s="9"/>
      <c r="DG239" s="9"/>
      <c r="DH239" s="126"/>
      <c r="DI239" s="242"/>
      <c r="DJ239" s="124"/>
      <c r="DK239" s="124"/>
      <c r="DL239" s="124"/>
      <c r="DM239" s="203"/>
      <c r="DN239" s="203"/>
      <c r="DO239" s="203"/>
      <c r="DP239" s="9"/>
      <c r="DQ239" s="9"/>
      <c r="DR239" s="101"/>
      <c r="DS239" s="125"/>
      <c r="DT239" s="9"/>
    </row>
    <row r="240" spans="2:133" ht="12" customHeight="1">
      <c r="B240" s="35"/>
      <c r="C240" s="41"/>
      <c r="D240" s="41"/>
      <c r="E240" s="41"/>
      <c r="F240" s="41"/>
      <c r="G240" s="41"/>
      <c r="H240" s="41"/>
      <c r="I240" s="41"/>
      <c r="J240" s="41"/>
      <c r="K240" s="41"/>
      <c r="L240" s="241"/>
      <c r="M240" s="241"/>
      <c r="N240" s="241"/>
      <c r="O240" s="241"/>
      <c r="P240" s="241"/>
      <c r="Q240" s="241"/>
      <c r="R240" s="132"/>
      <c r="S240" s="132"/>
      <c r="T240" s="132"/>
      <c r="U240" s="132"/>
      <c r="V240" s="132"/>
      <c r="W240" s="41"/>
      <c r="X240" s="41"/>
      <c r="Y240" s="41"/>
      <c r="Z240" s="240"/>
      <c r="AA240" s="240"/>
      <c r="AB240" s="240"/>
      <c r="AC240" s="240"/>
      <c r="AD240" s="240"/>
      <c r="AE240" s="240"/>
      <c r="AF240" s="240"/>
      <c r="AG240" s="240"/>
      <c r="AH240" s="20"/>
      <c r="AI240" s="239"/>
      <c r="AJ240" s="239"/>
      <c r="AK240" s="239"/>
      <c r="AL240" s="239"/>
      <c r="AM240" s="238"/>
      <c r="AN240" s="238"/>
      <c r="AO240" s="238"/>
      <c r="AP240" s="238"/>
      <c r="AQ240" s="238"/>
      <c r="AR240" s="20"/>
      <c r="AS240" s="20"/>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35"/>
      <c r="BV240" s="35"/>
      <c r="BW240" s="35"/>
      <c r="BX240" s="35"/>
      <c r="BY240" s="35"/>
      <c r="BZ240" s="35"/>
      <c r="CA240" s="35"/>
      <c r="CB240" s="35"/>
      <c r="CC240" s="35"/>
      <c r="CD240" s="35"/>
      <c r="CE240" s="35"/>
      <c r="CF240" s="35"/>
      <c r="CG240" s="35"/>
      <c r="CH240" s="35"/>
      <c r="CI240" s="8"/>
      <c r="CJ240" s="178"/>
      <c r="CK240" s="8"/>
      <c r="CL240" s="8"/>
      <c r="CM240" s="10"/>
      <c r="CN240" s="8"/>
      <c r="CO240" s="8"/>
      <c r="CP240" s="8"/>
      <c r="CQ240" s="8"/>
      <c r="CR240" s="8"/>
      <c r="CS240" s="8"/>
      <c r="CT240" s="8"/>
      <c r="CU240" s="8"/>
      <c r="CV240" s="8"/>
      <c r="CW240" s="8"/>
      <c r="CX240" s="8"/>
      <c r="CY240" s="8"/>
      <c r="CZ240" s="8"/>
      <c r="DA240" s="9"/>
      <c r="DB240" s="127"/>
      <c r="DC240" s="127"/>
      <c r="DD240" s="11"/>
      <c r="DE240" s="9"/>
      <c r="DF240" s="9"/>
      <c r="DG240" s="9"/>
      <c r="DH240" s="126"/>
      <c r="DI240" s="242"/>
      <c r="DJ240" s="124"/>
      <c r="DK240" s="124"/>
      <c r="DL240" s="124"/>
      <c r="DM240" s="203"/>
      <c r="DN240" s="203"/>
      <c r="DO240" s="203"/>
      <c r="DP240" s="9"/>
      <c r="DQ240" s="9"/>
      <c r="DR240" s="101"/>
      <c r="DS240" s="125"/>
      <c r="DT240" s="9"/>
    </row>
    <row r="241" spans="2:124" ht="12" customHeight="1">
      <c r="B241" s="35"/>
      <c r="C241" s="41"/>
      <c r="D241" s="41"/>
      <c r="E241" s="41"/>
      <c r="F241" s="41"/>
      <c r="G241" s="41"/>
      <c r="H241" s="41"/>
      <c r="I241" s="41"/>
      <c r="J241" s="41"/>
      <c r="K241" s="41"/>
      <c r="L241" s="241"/>
      <c r="M241" s="241"/>
      <c r="N241" s="241"/>
      <c r="O241" s="241"/>
      <c r="P241" s="241"/>
      <c r="Q241" s="241"/>
      <c r="R241" s="132"/>
      <c r="S241" s="132"/>
      <c r="T241" s="132"/>
      <c r="U241" s="132"/>
      <c r="V241" s="132"/>
      <c r="W241" s="41"/>
      <c r="X241" s="41"/>
      <c r="Y241" s="41"/>
      <c r="Z241" s="240"/>
      <c r="AA241" s="240"/>
      <c r="AB241" s="240"/>
      <c r="AC241" s="240"/>
      <c r="AD241" s="240"/>
      <c r="AE241" s="240"/>
      <c r="AF241" s="240"/>
      <c r="AG241" s="240"/>
      <c r="AH241" s="20"/>
      <c r="AI241" s="239"/>
      <c r="AJ241" s="239"/>
      <c r="AK241" s="239"/>
      <c r="AL241" s="239"/>
      <c r="AM241" s="238"/>
      <c r="AN241" s="238"/>
      <c r="AO241" s="238"/>
      <c r="AP241" s="238"/>
      <c r="AQ241" s="238"/>
      <c r="AR241" s="20"/>
      <c r="AS241" s="20"/>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0"/>
      <c r="BP241" s="20"/>
      <c r="BQ241" s="20"/>
      <c r="BR241" s="20"/>
      <c r="BS241" s="20"/>
      <c r="BT241" s="20"/>
      <c r="BU241" s="35"/>
      <c r="BV241" s="35"/>
      <c r="BW241" s="35"/>
      <c r="BX241" s="35"/>
      <c r="BY241" s="35"/>
      <c r="BZ241" s="35"/>
      <c r="CA241" s="35"/>
      <c r="CB241" s="35"/>
      <c r="CC241" s="35"/>
      <c r="CD241" s="35"/>
      <c r="CE241" s="35"/>
      <c r="CF241" s="35"/>
      <c r="CG241" s="35"/>
      <c r="CH241" s="35"/>
      <c r="CI241" s="8"/>
      <c r="CJ241" s="178"/>
      <c r="CK241" s="8"/>
      <c r="CL241" s="8"/>
      <c r="CM241" s="10"/>
      <c r="CN241" s="8"/>
      <c r="CO241" s="8"/>
      <c r="CP241" s="8"/>
      <c r="CQ241" s="8"/>
      <c r="CR241" s="8"/>
      <c r="CS241" s="8"/>
      <c r="CT241" s="8"/>
      <c r="CU241" s="8"/>
      <c r="CV241" s="8"/>
      <c r="CW241" s="8"/>
      <c r="CX241" s="8"/>
      <c r="CY241" s="8"/>
      <c r="CZ241" s="8"/>
      <c r="DA241" s="9"/>
      <c r="DB241" s="127"/>
      <c r="DC241" s="127"/>
      <c r="DD241" s="11"/>
      <c r="DE241" s="9"/>
      <c r="DF241" s="9"/>
      <c r="DG241" s="9"/>
      <c r="DH241" s="126"/>
      <c r="DI241" s="242"/>
      <c r="DJ241" s="124"/>
      <c r="DK241" s="124"/>
      <c r="DL241" s="124"/>
      <c r="DM241" s="203"/>
      <c r="DN241" s="203"/>
      <c r="DO241" s="203"/>
      <c r="DP241" s="9"/>
      <c r="DQ241" s="9"/>
      <c r="DR241" s="101"/>
      <c r="DS241" s="125"/>
      <c r="DT241" s="9"/>
    </row>
    <row r="242" spans="2:124" ht="12" customHeight="1">
      <c r="B242" s="35"/>
      <c r="C242" s="41"/>
      <c r="D242" s="41"/>
      <c r="E242" s="41"/>
      <c r="F242" s="41"/>
      <c r="G242" s="41"/>
      <c r="H242" s="41"/>
      <c r="I242" s="41"/>
      <c r="J242" s="41"/>
      <c r="K242" s="41"/>
      <c r="L242" s="241"/>
      <c r="M242" s="241"/>
      <c r="N242" s="241"/>
      <c r="O242" s="241"/>
      <c r="P242" s="241"/>
      <c r="Q242" s="241"/>
      <c r="R242" s="132"/>
      <c r="S242" s="132"/>
      <c r="T242" s="132"/>
      <c r="U242" s="132"/>
      <c r="V242" s="132"/>
      <c r="W242" s="41"/>
      <c r="X242" s="41"/>
      <c r="Y242" s="41"/>
      <c r="Z242" s="240"/>
      <c r="AA242" s="240"/>
      <c r="AB242" s="240"/>
      <c r="AC242" s="240"/>
      <c r="AD242" s="240"/>
      <c r="AE242" s="240"/>
      <c r="AF242" s="240"/>
      <c r="AG242" s="240"/>
      <c r="AH242" s="20"/>
      <c r="AI242" s="239"/>
      <c r="AJ242" s="239"/>
      <c r="AK242" s="239"/>
      <c r="AL242" s="239"/>
      <c r="AM242" s="238"/>
      <c r="AN242" s="238"/>
      <c r="AO242" s="238"/>
      <c r="AP242" s="238"/>
      <c r="AQ242" s="238"/>
      <c r="AR242" s="20"/>
      <c r="AS242" s="20"/>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0"/>
      <c r="BP242" s="20"/>
      <c r="BQ242" s="20"/>
      <c r="BR242" s="20"/>
      <c r="BS242" s="20"/>
      <c r="BT242" s="20"/>
      <c r="BU242" s="35"/>
      <c r="BV242" s="35"/>
      <c r="BW242" s="35"/>
      <c r="BX242" s="35"/>
      <c r="BY242" s="35"/>
      <c r="BZ242" s="35"/>
      <c r="CA242" s="35"/>
      <c r="CB242" s="35"/>
      <c r="CC242" s="35"/>
      <c r="CD242" s="35"/>
      <c r="CE242" s="35"/>
      <c r="CF242" s="35"/>
      <c r="CG242" s="35"/>
      <c r="CH242" s="35"/>
      <c r="CI242" s="8"/>
      <c r="CJ242" s="178"/>
      <c r="CK242" s="8"/>
      <c r="CL242" s="8"/>
      <c r="CM242" s="10"/>
      <c r="CN242" s="8"/>
      <c r="CO242" s="8"/>
      <c r="CP242" s="8"/>
      <c r="CQ242" s="8"/>
      <c r="CR242" s="8"/>
      <c r="CS242" s="8"/>
      <c r="CT242" s="8"/>
      <c r="CU242" s="8"/>
      <c r="CV242" s="8"/>
      <c r="CW242" s="8"/>
      <c r="CX242" s="8"/>
      <c r="CY242" s="8"/>
      <c r="CZ242" s="8"/>
      <c r="DA242" s="9"/>
      <c r="DB242" s="127"/>
      <c r="DC242" s="127"/>
      <c r="DD242" s="11"/>
      <c r="DE242" s="9"/>
      <c r="DF242" s="9"/>
      <c r="DG242" s="9"/>
      <c r="DH242" s="126"/>
      <c r="DI242" s="242"/>
      <c r="DJ242" s="124"/>
      <c r="DK242" s="124"/>
      <c r="DL242" s="124"/>
      <c r="DM242" s="11"/>
      <c r="DN242" s="11"/>
      <c r="DO242" s="11"/>
      <c r="DP242" s="9"/>
      <c r="DQ242" s="9"/>
      <c r="DR242" s="9"/>
      <c r="DS242" s="125"/>
      <c r="DT242" s="9"/>
    </row>
    <row r="243" spans="2:124" ht="12" customHeight="1">
      <c r="B243" s="35"/>
      <c r="C243" s="41"/>
      <c r="D243" s="41"/>
      <c r="E243" s="41"/>
      <c r="F243" s="41"/>
      <c r="G243" s="41"/>
      <c r="H243" s="41"/>
      <c r="I243" s="41"/>
      <c r="J243" s="41"/>
      <c r="K243" s="41"/>
      <c r="L243" s="241"/>
      <c r="M243" s="241"/>
      <c r="N243" s="241"/>
      <c r="O243" s="241"/>
      <c r="P243" s="241"/>
      <c r="Q243" s="241"/>
      <c r="R243" s="132"/>
      <c r="S243" s="132"/>
      <c r="T243" s="132"/>
      <c r="U243" s="132"/>
      <c r="V243" s="132"/>
      <c r="W243" s="41"/>
      <c r="X243" s="41"/>
      <c r="Y243" s="41"/>
      <c r="Z243" s="240"/>
      <c r="AA243" s="240"/>
      <c r="AB243" s="240"/>
      <c r="AC243" s="240"/>
      <c r="AD243" s="240"/>
      <c r="AE243" s="240"/>
      <c r="AF243" s="240"/>
      <c r="AG243" s="240"/>
      <c r="AH243" s="20"/>
      <c r="AI243" s="239"/>
      <c r="AJ243" s="239"/>
      <c r="AK243" s="239"/>
      <c r="AL243" s="239"/>
      <c r="AM243" s="238"/>
      <c r="AN243" s="238"/>
      <c r="AO243" s="238"/>
      <c r="AP243" s="238"/>
      <c r="AQ243" s="238"/>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35"/>
      <c r="BV243" s="35"/>
      <c r="BW243" s="35"/>
      <c r="BX243" s="35"/>
      <c r="BY243" s="35"/>
      <c r="BZ243" s="35"/>
      <c r="CA243" s="35"/>
      <c r="CB243" s="35"/>
      <c r="CC243" s="35"/>
      <c r="CD243" s="35"/>
      <c r="CE243" s="35"/>
      <c r="CF243" s="35"/>
      <c r="CG243" s="35"/>
      <c r="CH243" s="35"/>
      <c r="CI243" s="8"/>
      <c r="CJ243" s="178"/>
      <c r="CK243" s="8"/>
      <c r="CL243" s="8"/>
      <c r="CM243" s="10"/>
      <c r="CN243" s="8"/>
      <c r="CO243" s="8"/>
      <c r="CP243" s="8"/>
      <c r="CQ243" s="8"/>
      <c r="CR243" s="8"/>
      <c r="CS243" s="8"/>
      <c r="CT243" s="8"/>
      <c r="CU243" s="8"/>
      <c r="CV243" s="8"/>
      <c r="CW243" s="8"/>
      <c r="CX243" s="8"/>
      <c r="CY243" s="8"/>
      <c r="CZ243" s="8"/>
      <c r="DA243" s="9"/>
      <c r="DB243" s="127"/>
      <c r="DC243" s="127"/>
      <c r="DD243" s="11"/>
      <c r="DE243" s="9"/>
      <c r="DF243" s="9"/>
      <c r="DG243" s="9"/>
      <c r="DH243" s="126"/>
      <c r="DI243" s="242"/>
      <c r="DJ243" s="124"/>
      <c r="DK243" s="124"/>
      <c r="DL243" s="124"/>
      <c r="DM243" s="11"/>
      <c r="DN243" s="11"/>
      <c r="DO243" s="11"/>
      <c r="DP243" s="9"/>
      <c r="DQ243" s="9"/>
      <c r="DR243" s="9"/>
      <c r="DS243" s="125"/>
      <c r="DT243" s="9"/>
    </row>
    <row r="244" spans="2:124" ht="12" customHeight="1">
      <c r="B244" s="35"/>
      <c r="C244" s="41"/>
      <c r="D244" s="41"/>
      <c r="E244" s="41"/>
      <c r="F244" s="41"/>
      <c r="G244" s="41"/>
      <c r="H244" s="41"/>
      <c r="I244" s="41"/>
      <c r="J244" s="41"/>
      <c r="K244" s="41"/>
      <c r="L244" s="241"/>
      <c r="M244" s="241"/>
      <c r="N244" s="241"/>
      <c r="O244" s="241"/>
      <c r="P244" s="241"/>
      <c r="Q244" s="241"/>
      <c r="R244" s="132"/>
      <c r="S244" s="132"/>
      <c r="T244" s="132"/>
      <c r="U244" s="132"/>
      <c r="V244" s="132"/>
      <c r="W244" s="41"/>
      <c r="X244" s="41"/>
      <c r="Y244" s="41"/>
      <c r="Z244" s="240"/>
      <c r="AA244" s="240"/>
      <c r="AB244" s="240"/>
      <c r="AC244" s="240"/>
      <c r="AD244" s="240"/>
      <c r="AE244" s="240"/>
      <c r="AF244" s="240"/>
      <c r="AG244" s="240"/>
      <c r="AH244" s="20"/>
      <c r="AI244" s="239"/>
      <c r="AJ244" s="239"/>
      <c r="AK244" s="239"/>
      <c r="AL244" s="239"/>
      <c r="AM244" s="238"/>
      <c r="AN244" s="238"/>
      <c r="AO244" s="238"/>
      <c r="AP244" s="238"/>
      <c r="AQ244" s="238"/>
      <c r="AR244" s="20"/>
      <c r="AS244" s="20"/>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0"/>
      <c r="BP244" s="20"/>
      <c r="BQ244" s="20"/>
      <c r="BR244" s="20"/>
      <c r="BS244" s="20"/>
      <c r="BT244" s="20"/>
      <c r="BU244" s="35"/>
      <c r="BV244" s="35"/>
      <c r="BW244" s="35"/>
      <c r="BX244" s="35"/>
      <c r="BY244" s="35"/>
      <c r="BZ244" s="35"/>
      <c r="CA244" s="35"/>
      <c r="CB244" s="35"/>
      <c r="CC244" s="35"/>
      <c r="CD244" s="35"/>
      <c r="CE244" s="35"/>
      <c r="CF244" s="35"/>
      <c r="CG244" s="35"/>
      <c r="CH244" s="35"/>
      <c r="CI244" s="8"/>
      <c r="CJ244" s="178"/>
      <c r="CK244" s="8"/>
      <c r="CL244" s="8"/>
      <c r="CM244" s="10"/>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9"/>
      <c r="DL244" s="9"/>
      <c r="DM244" s="9"/>
      <c r="DN244" s="9"/>
      <c r="DO244" s="9"/>
      <c r="DP244" s="9"/>
      <c r="DQ244" s="9"/>
      <c r="DR244" s="9"/>
      <c r="DS244" s="9"/>
      <c r="DT244" s="9"/>
    </row>
    <row r="245" spans="2:124" ht="12" customHeight="1">
      <c r="B245" s="35"/>
      <c r="C245" s="41"/>
      <c r="D245" s="41"/>
      <c r="E245" s="41"/>
      <c r="F245" s="41"/>
      <c r="G245" s="41"/>
      <c r="H245" s="41"/>
      <c r="I245" s="41"/>
      <c r="J245" s="41"/>
      <c r="K245" s="41"/>
      <c r="L245" s="241"/>
      <c r="M245" s="241"/>
      <c r="N245" s="241"/>
      <c r="O245" s="241"/>
      <c r="P245" s="241"/>
      <c r="Q245" s="241"/>
      <c r="R245" s="132"/>
      <c r="S245" s="132"/>
      <c r="T245" s="132"/>
      <c r="U245" s="132"/>
      <c r="V245" s="132"/>
      <c r="W245" s="41"/>
      <c r="X245" s="41"/>
      <c r="Y245" s="41"/>
      <c r="Z245" s="240"/>
      <c r="AA245" s="240"/>
      <c r="AB245" s="240"/>
      <c r="AC245" s="240"/>
      <c r="AD245" s="240"/>
      <c r="AE245" s="240"/>
      <c r="AF245" s="240"/>
      <c r="AG245" s="240"/>
      <c r="AH245" s="20"/>
      <c r="AI245" s="239"/>
      <c r="AJ245" s="239"/>
      <c r="AK245" s="239"/>
      <c r="AL245" s="239"/>
      <c r="AM245" s="238"/>
      <c r="AN245" s="238"/>
      <c r="AO245" s="238"/>
      <c r="AP245" s="238"/>
      <c r="AQ245" s="238"/>
      <c r="AR245" s="20"/>
      <c r="AS245" s="20"/>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0"/>
      <c r="BP245" s="20"/>
      <c r="BQ245" s="20"/>
      <c r="BR245" s="20"/>
      <c r="BS245" s="20"/>
      <c r="BT245" s="20"/>
      <c r="BU245" s="35"/>
      <c r="BV245" s="35"/>
      <c r="BW245" s="35"/>
      <c r="BX245" s="35"/>
      <c r="BY245" s="35"/>
      <c r="BZ245" s="35"/>
      <c r="CA245" s="35"/>
      <c r="CB245" s="35"/>
      <c r="CC245" s="35"/>
      <c r="CD245" s="35"/>
      <c r="CE245" s="35"/>
      <c r="CF245" s="35"/>
      <c r="CG245" s="35"/>
      <c r="CH245" s="35"/>
      <c r="CI245" s="8"/>
      <c r="CJ245" s="178"/>
      <c r="CK245" s="8"/>
      <c r="CL245" s="8"/>
      <c r="CM245" s="10"/>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9"/>
      <c r="DL245" s="9"/>
      <c r="DM245" s="9"/>
      <c r="DN245" s="9"/>
      <c r="DO245" s="9"/>
      <c r="DP245" s="9"/>
      <c r="DQ245" s="9"/>
      <c r="DR245" s="9"/>
      <c r="DS245" s="9"/>
      <c r="DT245" s="9"/>
    </row>
    <row r="246" spans="2:124" ht="12" customHeight="1">
      <c r="B246" s="35"/>
      <c r="C246" s="41"/>
      <c r="D246" s="41"/>
      <c r="E246" s="41"/>
      <c r="F246" s="41"/>
      <c r="G246" s="41"/>
      <c r="H246" s="41"/>
      <c r="I246" s="41"/>
      <c r="J246" s="41"/>
      <c r="K246" s="41"/>
      <c r="L246" s="241"/>
      <c r="M246" s="241"/>
      <c r="N246" s="241"/>
      <c r="O246" s="241"/>
      <c r="P246" s="241"/>
      <c r="Q246" s="241"/>
      <c r="R246" s="132"/>
      <c r="S246" s="132"/>
      <c r="T246" s="132"/>
      <c r="U246" s="132"/>
      <c r="V246" s="132"/>
      <c r="W246" s="41"/>
      <c r="X246" s="41"/>
      <c r="Y246" s="41"/>
      <c r="Z246" s="240"/>
      <c r="AA246" s="240"/>
      <c r="AB246" s="240"/>
      <c r="AC246" s="240"/>
      <c r="AD246" s="240"/>
      <c r="AE246" s="240"/>
      <c r="AF246" s="240"/>
      <c r="AG246" s="240"/>
      <c r="AH246" s="20"/>
      <c r="AI246" s="239"/>
      <c r="AJ246" s="239"/>
      <c r="AK246" s="239"/>
      <c r="AL246" s="239"/>
      <c r="AM246" s="238"/>
      <c r="AN246" s="238"/>
      <c r="AO246" s="238"/>
      <c r="AP246" s="238"/>
      <c r="AQ246" s="238"/>
      <c r="AR246" s="20"/>
      <c r="AS246" s="20"/>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0"/>
      <c r="BP246" s="20"/>
      <c r="BQ246" s="20"/>
      <c r="BR246" s="20"/>
      <c r="BS246" s="20"/>
      <c r="BT246" s="20"/>
      <c r="BU246" s="35"/>
      <c r="BV246" s="35"/>
      <c r="BW246" s="35"/>
      <c r="BX246" s="35"/>
      <c r="BY246" s="35"/>
      <c r="BZ246" s="35"/>
      <c r="CA246" s="35"/>
      <c r="CB246" s="35"/>
      <c r="CC246" s="35"/>
      <c r="CD246" s="35"/>
      <c r="CE246" s="35"/>
      <c r="CF246" s="35"/>
      <c r="CG246" s="35"/>
      <c r="CH246" s="35"/>
      <c r="CI246" s="8"/>
      <c r="CJ246" s="178"/>
      <c r="CK246" s="8"/>
      <c r="CL246" s="8"/>
      <c r="CM246" s="10"/>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9"/>
      <c r="DL246" s="9"/>
      <c r="DM246" s="9"/>
      <c r="DN246" s="9"/>
      <c r="DO246" s="9"/>
      <c r="DP246" s="9"/>
      <c r="DQ246" s="9"/>
      <c r="DR246" s="9"/>
      <c r="DS246" s="9"/>
      <c r="DT246" s="9"/>
    </row>
    <row r="247" spans="2:124" ht="12" customHeight="1">
      <c r="B247" s="35"/>
      <c r="C247" s="41"/>
      <c r="D247" s="41"/>
      <c r="E247" s="41"/>
      <c r="F247" s="41"/>
      <c r="G247" s="41"/>
      <c r="H247" s="41"/>
      <c r="I247" s="41"/>
      <c r="J247" s="41"/>
      <c r="K247" s="41"/>
      <c r="L247" s="241"/>
      <c r="M247" s="241"/>
      <c r="N247" s="241"/>
      <c r="O247" s="241"/>
      <c r="P247" s="241"/>
      <c r="Q247" s="241"/>
      <c r="R247" s="132"/>
      <c r="S247" s="132"/>
      <c r="T247" s="132"/>
      <c r="U247" s="132"/>
      <c r="V247" s="132"/>
      <c r="W247" s="41"/>
      <c r="X247" s="41"/>
      <c r="Y247" s="41"/>
      <c r="Z247" s="240"/>
      <c r="AA247" s="240"/>
      <c r="AB247" s="240"/>
      <c r="AC247" s="240"/>
      <c r="AD247" s="240"/>
      <c r="AE247" s="240"/>
      <c r="AF247" s="240"/>
      <c r="AG247" s="240"/>
      <c r="AH247" s="20"/>
      <c r="AI247" s="239"/>
      <c r="AJ247" s="239"/>
      <c r="AK247" s="239"/>
      <c r="AL247" s="239"/>
      <c r="AM247" s="238"/>
      <c r="AN247" s="238"/>
      <c r="AO247" s="238"/>
      <c r="AP247" s="238"/>
      <c r="AQ247" s="238"/>
      <c r="AR247" s="20"/>
      <c r="AS247" s="20"/>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0"/>
      <c r="BP247" s="20"/>
      <c r="BQ247" s="20"/>
      <c r="BR247" s="20"/>
      <c r="BS247" s="20"/>
      <c r="BT247" s="20"/>
      <c r="BU247" s="35"/>
      <c r="BV247" s="35"/>
      <c r="BW247" s="35"/>
      <c r="BX247" s="35"/>
      <c r="BY247" s="35"/>
      <c r="BZ247" s="35"/>
      <c r="CA247" s="35"/>
      <c r="CB247" s="35"/>
      <c r="CC247" s="35"/>
      <c r="CD247" s="35"/>
      <c r="CE247" s="35"/>
      <c r="CF247" s="35"/>
      <c r="CG247" s="35"/>
      <c r="CH247" s="35"/>
      <c r="CI247" s="8"/>
      <c r="CJ247" s="178"/>
      <c r="CK247" s="8"/>
      <c r="CL247" s="8"/>
      <c r="CM247" s="10"/>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9"/>
      <c r="DL247" s="9"/>
      <c r="DM247" s="9"/>
      <c r="DN247" s="9"/>
      <c r="DO247" s="9"/>
      <c r="DP247" s="9"/>
      <c r="DQ247" s="9"/>
      <c r="DR247" s="9"/>
      <c r="DS247" s="9"/>
      <c r="DT247" s="9"/>
    </row>
    <row r="248" spans="2:124" ht="12" customHeight="1">
      <c r="B248" s="35"/>
      <c r="C248" s="41"/>
      <c r="D248" s="41"/>
      <c r="E248" s="41"/>
      <c r="F248" s="41"/>
      <c r="G248" s="41"/>
      <c r="H248" s="41"/>
      <c r="I248" s="41"/>
      <c r="J248" s="41"/>
      <c r="K248" s="41"/>
      <c r="L248" s="241"/>
      <c r="M248" s="241"/>
      <c r="N248" s="241"/>
      <c r="O248" s="241"/>
      <c r="P248" s="241"/>
      <c r="Q248" s="241"/>
      <c r="R248" s="132"/>
      <c r="S248" s="132"/>
      <c r="T248" s="132"/>
      <c r="U248" s="132"/>
      <c r="V248" s="132"/>
      <c r="W248" s="41"/>
      <c r="X248" s="41"/>
      <c r="Y248" s="41"/>
      <c r="Z248" s="240"/>
      <c r="AA248" s="240"/>
      <c r="AB248" s="240"/>
      <c r="AC248" s="240"/>
      <c r="AD248" s="240"/>
      <c r="AE248" s="240"/>
      <c r="AF248" s="240"/>
      <c r="AG248" s="240"/>
      <c r="AH248" s="20"/>
      <c r="AI248" s="239"/>
      <c r="AJ248" s="239"/>
      <c r="AK248" s="239"/>
      <c r="AL248" s="239"/>
      <c r="AM248" s="238"/>
      <c r="AN248" s="238"/>
      <c r="AO248" s="238"/>
      <c r="AP248" s="238"/>
      <c r="AQ248" s="238"/>
      <c r="AR248" s="20"/>
      <c r="AS248" s="20"/>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0"/>
      <c r="BP248" s="20"/>
      <c r="BQ248" s="20"/>
      <c r="BR248" s="20"/>
      <c r="BS248" s="20"/>
      <c r="BT248" s="20"/>
      <c r="BU248" s="35"/>
      <c r="BV248" s="35"/>
      <c r="BW248" s="35"/>
      <c r="BX248" s="35"/>
      <c r="BY248" s="35"/>
      <c r="BZ248" s="35"/>
      <c r="CA248" s="35"/>
      <c r="CB248" s="35"/>
      <c r="CC248" s="35"/>
      <c r="CD248" s="35"/>
      <c r="CE248" s="35"/>
      <c r="CF248" s="35"/>
      <c r="CG248" s="35"/>
      <c r="CH248" s="35"/>
      <c r="CI248" s="8"/>
      <c r="CJ248" s="178"/>
      <c r="CK248" s="8"/>
      <c r="CL248" s="8"/>
      <c r="CM248" s="10"/>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9"/>
      <c r="DL248" s="9"/>
      <c r="DM248" s="9"/>
      <c r="DN248" s="9"/>
      <c r="DO248" s="9"/>
      <c r="DP248" s="9"/>
      <c r="DQ248" s="9"/>
      <c r="DR248" s="9"/>
      <c r="DS248" s="9"/>
      <c r="DT248" s="9"/>
    </row>
    <row r="249" spans="2:124" ht="12" customHeight="1">
      <c r="B249" s="35"/>
      <c r="C249" s="41"/>
      <c r="D249" s="41"/>
      <c r="E249" s="41"/>
      <c r="F249" s="41"/>
      <c r="G249" s="41"/>
      <c r="H249" s="41"/>
      <c r="I249" s="41"/>
      <c r="J249" s="41"/>
      <c r="K249" s="41"/>
      <c r="L249" s="241"/>
      <c r="M249" s="241"/>
      <c r="N249" s="241"/>
      <c r="O249" s="241"/>
      <c r="P249" s="241"/>
      <c r="Q249" s="241"/>
      <c r="R249" s="132"/>
      <c r="S249" s="132"/>
      <c r="T249" s="132"/>
      <c r="U249" s="132"/>
      <c r="V249" s="132"/>
      <c r="W249" s="41"/>
      <c r="X249" s="41"/>
      <c r="Y249" s="41"/>
      <c r="Z249" s="240"/>
      <c r="AA249" s="240"/>
      <c r="AB249" s="240"/>
      <c r="AC249" s="240"/>
      <c r="AD249" s="240"/>
      <c r="AE249" s="240"/>
      <c r="AF249" s="240"/>
      <c r="AG249" s="240"/>
      <c r="AH249" s="20"/>
      <c r="AI249" s="239"/>
      <c r="AJ249" s="239"/>
      <c r="AK249" s="239"/>
      <c r="AL249" s="239"/>
      <c r="AM249" s="238"/>
      <c r="AN249" s="238"/>
      <c r="AO249" s="238"/>
      <c r="AP249" s="238"/>
      <c r="AQ249" s="238"/>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35"/>
      <c r="BV249" s="35"/>
      <c r="BW249" s="35"/>
      <c r="BX249" s="35"/>
      <c r="BY249" s="35"/>
      <c r="BZ249" s="35"/>
      <c r="CA249" s="35"/>
      <c r="CB249" s="35"/>
      <c r="CC249" s="35"/>
      <c r="CD249" s="35"/>
      <c r="CE249" s="35"/>
      <c r="CF249" s="35"/>
      <c r="CG249" s="35"/>
      <c r="CH249" s="35"/>
      <c r="CI249" s="8"/>
      <c r="CJ249" s="178"/>
      <c r="CK249" s="8"/>
      <c r="CL249" s="8"/>
      <c r="CM249" s="10"/>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9"/>
      <c r="DL249" s="9"/>
      <c r="DM249" s="9"/>
      <c r="DN249" s="9"/>
      <c r="DO249" s="9"/>
      <c r="DP249" s="9"/>
      <c r="DQ249" s="9"/>
      <c r="DR249" s="9"/>
      <c r="DS249" s="9"/>
      <c r="DT249" s="9"/>
    </row>
    <row r="250" spans="2:124" ht="12" customHeight="1">
      <c r="B250" s="35"/>
      <c r="C250" s="41"/>
      <c r="D250" s="41"/>
      <c r="E250" s="41"/>
      <c r="F250" s="41"/>
      <c r="G250" s="41"/>
      <c r="H250" s="41"/>
      <c r="I250" s="41"/>
      <c r="J250" s="41"/>
      <c r="K250" s="41"/>
      <c r="L250" s="241"/>
      <c r="M250" s="241"/>
      <c r="N250" s="241"/>
      <c r="O250" s="241"/>
      <c r="P250" s="241"/>
      <c r="Q250" s="241"/>
      <c r="R250" s="132"/>
      <c r="S250" s="132"/>
      <c r="T250" s="132"/>
      <c r="U250" s="132"/>
      <c r="V250" s="132"/>
      <c r="W250" s="41"/>
      <c r="X250" s="41"/>
      <c r="Y250" s="41"/>
      <c r="Z250" s="240"/>
      <c r="AA250" s="240"/>
      <c r="AB250" s="240"/>
      <c r="AC250" s="240"/>
      <c r="AD250" s="240"/>
      <c r="AE250" s="240"/>
      <c r="AF250" s="240"/>
      <c r="AG250" s="240"/>
      <c r="AH250" s="20"/>
      <c r="AI250" s="239"/>
      <c r="AJ250" s="239"/>
      <c r="AK250" s="239"/>
      <c r="AL250" s="239"/>
      <c r="AM250" s="238"/>
      <c r="AN250" s="238"/>
      <c r="AO250" s="238"/>
      <c r="AP250" s="238"/>
      <c r="AQ250" s="238"/>
      <c r="AR250" s="20"/>
      <c r="AS250" s="20"/>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0"/>
      <c r="BP250" s="20"/>
      <c r="BQ250" s="20"/>
      <c r="BR250" s="20"/>
      <c r="BS250" s="20"/>
      <c r="BT250" s="20"/>
      <c r="BU250" s="35"/>
      <c r="BV250" s="35"/>
      <c r="BW250" s="35"/>
      <c r="BX250" s="35"/>
      <c r="BY250" s="35"/>
      <c r="BZ250" s="35"/>
      <c r="CA250" s="35"/>
      <c r="CB250" s="35"/>
      <c r="CC250" s="35"/>
      <c r="CD250" s="35"/>
      <c r="CE250" s="35"/>
      <c r="CF250" s="35"/>
      <c r="CG250" s="35"/>
      <c r="CH250" s="35"/>
      <c r="CI250" s="8"/>
      <c r="CJ250" s="178"/>
      <c r="CK250" s="8"/>
      <c r="CL250" s="8"/>
      <c r="CM250" s="10"/>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9"/>
      <c r="DL250" s="9"/>
      <c r="DM250" s="9"/>
      <c r="DN250" s="9"/>
      <c r="DO250" s="9"/>
      <c r="DP250" s="9"/>
      <c r="DQ250" s="9"/>
      <c r="DR250" s="9"/>
      <c r="DS250" s="9"/>
      <c r="DT250" s="9"/>
    </row>
    <row r="251" spans="2:124" ht="12" customHeight="1">
      <c r="B251" s="35"/>
      <c r="C251" s="41"/>
      <c r="D251" s="41"/>
      <c r="E251" s="41"/>
      <c r="F251" s="41"/>
      <c r="G251" s="41"/>
      <c r="H251" s="41"/>
      <c r="I251" s="41"/>
      <c r="J251" s="41"/>
      <c r="K251" s="41"/>
      <c r="L251" s="241"/>
      <c r="M251" s="241"/>
      <c r="N251" s="241"/>
      <c r="O251" s="241"/>
      <c r="P251" s="241"/>
      <c r="Q251" s="241"/>
      <c r="R251" s="132"/>
      <c r="S251" s="132"/>
      <c r="T251" s="132"/>
      <c r="U251" s="132"/>
      <c r="V251" s="132"/>
      <c r="W251" s="41"/>
      <c r="X251" s="41"/>
      <c r="Y251" s="41"/>
      <c r="Z251" s="240"/>
      <c r="AA251" s="240"/>
      <c r="AB251" s="240"/>
      <c r="AC251" s="240"/>
      <c r="AD251" s="240"/>
      <c r="AE251" s="240"/>
      <c r="AF251" s="240"/>
      <c r="AG251" s="240"/>
      <c r="AH251" s="20"/>
      <c r="AI251" s="239"/>
      <c r="AJ251" s="239"/>
      <c r="AK251" s="239"/>
      <c r="AL251" s="239"/>
      <c r="AM251" s="238"/>
      <c r="AN251" s="238"/>
      <c r="AO251" s="238"/>
      <c r="AP251" s="238"/>
      <c r="AQ251" s="238"/>
      <c r="AR251" s="20"/>
      <c r="AS251" s="20"/>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0"/>
      <c r="BP251" s="20"/>
      <c r="BQ251" s="20"/>
      <c r="BR251" s="20"/>
      <c r="BS251" s="20"/>
      <c r="BT251" s="20"/>
      <c r="BU251" s="35"/>
      <c r="BV251" s="35"/>
      <c r="BW251" s="35"/>
      <c r="BX251" s="35"/>
      <c r="BY251" s="35"/>
      <c r="BZ251" s="35"/>
      <c r="CA251" s="35"/>
      <c r="CB251" s="35"/>
      <c r="CC251" s="35"/>
      <c r="CD251" s="35"/>
      <c r="CE251" s="35"/>
      <c r="CF251" s="35"/>
      <c r="CG251" s="35"/>
      <c r="CH251" s="35"/>
      <c r="CI251" s="8"/>
      <c r="CJ251" s="178"/>
      <c r="CK251" s="8"/>
      <c r="CL251" s="8"/>
      <c r="CM251" s="10"/>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9"/>
      <c r="DL251" s="9"/>
      <c r="DM251" s="9"/>
      <c r="DN251" s="9"/>
      <c r="DO251" s="9"/>
      <c r="DP251" s="9"/>
      <c r="DQ251" s="9"/>
      <c r="DR251" s="9"/>
      <c r="DS251" s="9"/>
      <c r="DT251" s="9"/>
    </row>
    <row r="252" spans="2:124" ht="12" customHeight="1">
      <c r="B252" s="35"/>
      <c r="C252" s="41"/>
      <c r="D252" s="41"/>
      <c r="E252" s="41"/>
      <c r="F252" s="41"/>
      <c r="G252" s="41"/>
      <c r="H252" s="41"/>
      <c r="I252" s="41"/>
      <c r="J252" s="41"/>
      <c r="K252" s="41"/>
      <c r="L252" s="241"/>
      <c r="M252" s="241"/>
      <c r="N252" s="241"/>
      <c r="O252" s="241"/>
      <c r="P252" s="241"/>
      <c r="Q252" s="241"/>
      <c r="R252" s="132"/>
      <c r="S252" s="132"/>
      <c r="T252" s="132"/>
      <c r="U252" s="132"/>
      <c r="V252" s="132"/>
      <c r="W252" s="41"/>
      <c r="X252" s="41"/>
      <c r="Y252" s="41"/>
      <c r="Z252" s="240"/>
      <c r="AA252" s="240"/>
      <c r="AB252" s="240"/>
      <c r="AC252" s="240"/>
      <c r="AD252" s="240"/>
      <c r="AE252" s="240"/>
      <c r="AF252" s="240"/>
      <c r="AG252" s="240"/>
      <c r="AH252" s="20"/>
      <c r="AI252" s="239"/>
      <c r="AJ252" s="239"/>
      <c r="AK252" s="239"/>
      <c r="AL252" s="239"/>
      <c r="AM252" s="238"/>
      <c r="AN252" s="238"/>
      <c r="AO252" s="238"/>
      <c r="AP252" s="238"/>
      <c r="AQ252" s="238"/>
      <c r="AR252" s="20"/>
      <c r="AS252" s="20"/>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0"/>
      <c r="BP252" s="20"/>
      <c r="BQ252" s="20"/>
      <c r="BR252" s="20"/>
      <c r="BS252" s="20"/>
      <c r="BT252" s="20"/>
      <c r="BU252" s="35"/>
      <c r="BV252" s="35"/>
      <c r="BW252" s="35"/>
      <c r="BX252" s="35"/>
      <c r="BY252" s="35"/>
      <c r="BZ252" s="35"/>
      <c r="CA252" s="35"/>
      <c r="CB252" s="35"/>
      <c r="CC252" s="35"/>
      <c r="CD252" s="35"/>
      <c r="CE252" s="35"/>
      <c r="CF252" s="35"/>
      <c r="CG252" s="35"/>
      <c r="CH252" s="35"/>
      <c r="CI252" s="8"/>
      <c r="CJ252" s="178"/>
      <c r="CK252" s="8"/>
      <c r="CL252" s="8"/>
      <c r="CM252" s="10"/>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9"/>
      <c r="DL252" s="9"/>
      <c r="DM252" s="9"/>
      <c r="DN252" s="9"/>
      <c r="DO252" s="9"/>
      <c r="DP252" s="9"/>
      <c r="DQ252" s="9"/>
      <c r="DR252" s="9"/>
      <c r="DS252" s="9"/>
      <c r="DT252" s="9"/>
    </row>
    <row r="253" spans="2:124" ht="12" customHeight="1">
      <c r="B253" s="35"/>
      <c r="C253" s="41"/>
      <c r="D253" s="41"/>
      <c r="E253" s="41"/>
      <c r="F253" s="41"/>
      <c r="G253" s="41"/>
      <c r="H253" s="41"/>
      <c r="I253" s="41"/>
      <c r="J253" s="41"/>
      <c r="K253" s="41"/>
      <c r="L253" s="241"/>
      <c r="M253" s="241"/>
      <c r="N253" s="241"/>
      <c r="O253" s="241"/>
      <c r="P253" s="241"/>
      <c r="Q253" s="241"/>
      <c r="R253" s="132"/>
      <c r="S253" s="132"/>
      <c r="T253" s="132"/>
      <c r="U253" s="132"/>
      <c r="V253" s="132"/>
      <c r="W253" s="41"/>
      <c r="X253" s="41"/>
      <c r="Y253" s="41"/>
      <c r="Z253" s="240"/>
      <c r="AA253" s="240"/>
      <c r="AB253" s="240"/>
      <c r="AC253" s="240"/>
      <c r="AD253" s="240"/>
      <c r="AE253" s="240"/>
      <c r="AF253" s="240"/>
      <c r="AG253" s="240"/>
      <c r="AH253" s="20"/>
      <c r="AI253" s="239"/>
      <c r="AJ253" s="239"/>
      <c r="AK253" s="239"/>
      <c r="AL253" s="239"/>
      <c r="AM253" s="238"/>
      <c r="AN253" s="238"/>
      <c r="AO253" s="238"/>
      <c r="AP253" s="238"/>
      <c r="AQ253" s="238"/>
      <c r="AR253" s="20"/>
      <c r="AS253" s="20"/>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0"/>
      <c r="BP253" s="20"/>
      <c r="BQ253" s="20"/>
      <c r="BR253" s="20"/>
      <c r="BS253" s="20"/>
      <c r="BT253" s="20"/>
      <c r="BU253" s="35"/>
      <c r="BV253" s="35"/>
      <c r="BW253" s="35"/>
      <c r="BX253" s="35"/>
      <c r="BY253" s="35"/>
      <c r="BZ253" s="35"/>
      <c r="CA253" s="35"/>
      <c r="CB253" s="35"/>
      <c r="CC253" s="35"/>
      <c r="CD253" s="35"/>
      <c r="CE253" s="35"/>
      <c r="CF253" s="35"/>
      <c r="CG253" s="35"/>
      <c r="CH253" s="35"/>
      <c r="CI253" s="8"/>
      <c r="CJ253" s="178"/>
      <c r="CK253" s="8"/>
      <c r="CL253" s="8"/>
      <c r="CM253" s="10"/>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row>
    <row r="254" spans="2:124" ht="12" customHeight="1">
      <c r="B254" s="35"/>
      <c r="C254" s="41"/>
      <c r="D254" s="41"/>
      <c r="E254" s="41"/>
      <c r="F254" s="41"/>
      <c r="G254" s="41"/>
      <c r="H254" s="41"/>
      <c r="I254" s="41"/>
      <c r="J254" s="41"/>
      <c r="K254" s="41"/>
      <c r="L254" s="241"/>
      <c r="M254" s="241"/>
      <c r="N254" s="241"/>
      <c r="O254" s="241"/>
      <c r="P254" s="241"/>
      <c r="Q254" s="241"/>
      <c r="R254" s="132"/>
      <c r="S254" s="132"/>
      <c r="T254" s="132"/>
      <c r="U254" s="132"/>
      <c r="V254" s="132"/>
      <c r="W254" s="41"/>
      <c r="X254" s="41"/>
      <c r="Y254" s="41"/>
      <c r="Z254" s="240"/>
      <c r="AA254" s="240"/>
      <c r="AB254" s="240"/>
      <c r="AC254" s="240"/>
      <c r="AD254" s="240"/>
      <c r="AE254" s="240"/>
      <c r="AF254" s="240"/>
      <c r="AG254" s="240"/>
      <c r="AH254" s="20"/>
      <c r="AI254" s="239"/>
      <c r="AJ254" s="239"/>
      <c r="AK254" s="239"/>
      <c r="AL254" s="239"/>
      <c r="AM254" s="238"/>
      <c r="AN254" s="238"/>
      <c r="AO254" s="238"/>
      <c r="AP254" s="238"/>
      <c r="AQ254" s="238"/>
      <c r="AR254" s="20"/>
      <c r="AS254" s="20"/>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0"/>
      <c r="BP254" s="20"/>
      <c r="BQ254" s="20"/>
      <c r="BR254" s="20"/>
      <c r="BS254" s="20"/>
      <c r="BT254" s="20"/>
      <c r="BU254" s="35"/>
      <c r="BV254" s="35"/>
      <c r="BW254" s="35"/>
      <c r="BX254" s="35"/>
      <c r="BY254" s="35"/>
      <c r="BZ254" s="35"/>
      <c r="CA254" s="35"/>
      <c r="CB254" s="35"/>
      <c r="CC254" s="35"/>
      <c r="CD254" s="35"/>
      <c r="CE254" s="35"/>
      <c r="CF254" s="35"/>
      <c r="CG254" s="35"/>
      <c r="CH254" s="35"/>
      <c r="CI254" s="8"/>
      <c r="CJ254" s="178"/>
      <c r="CK254" s="8"/>
      <c r="CL254" s="8"/>
      <c r="CM254" s="10"/>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row>
    <row r="255" spans="2:124" ht="12" customHeight="1">
      <c r="B255" s="35"/>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35"/>
      <c r="BV255" s="35"/>
      <c r="BW255" s="35"/>
      <c r="BX255" s="35"/>
      <c r="BY255" s="35"/>
      <c r="BZ255" s="35"/>
      <c r="CA255" s="35"/>
      <c r="CB255" s="35"/>
      <c r="CC255" s="35"/>
      <c r="CD255" s="35"/>
      <c r="CE255" s="35"/>
      <c r="CF255" s="35"/>
      <c r="CG255" s="35"/>
      <c r="CH255" s="35"/>
      <c r="CI255" s="8"/>
      <c r="CJ255" s="10"/>
      <c r="CK255" s="8"/>
      <c r="CL255" s="8"/>
      <c r="CM255" s="10"/>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row>
    <row r="256" spans="2:124" ht="12" customHeight="1">
      <c r="B256" s="35"/>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35"/>
      <c r="BV256" s="35"/>
      <c r="BW256" s="35"/>
      <c r="BX256" s="35"/>
      <c r="BY256" s="35"/>
      <c r="BZ256" s="35"/>
      <c r="CA256" s="35"/>
      <c r="CB256" s="35"/>
      <c r="CC256" s="35"/>
      <c r="CD256" s="35"/>
      <c r="CE256" s="35"/>
      <c r="CF256" s="35"/>
      <c r="CG256" s="35"/>
      <c r="CH256" s="35"/>
      <c r="CI256" s="8"/>
      <c r="CJ256" s="10"/>
      <c r="CK256" s="8"/>
      <c r="CL256" s="8"/>
      <c r="CM256" s="10"/>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row>
    <row r="257" spans="2:124" ht="10.5" customHeight="1">
      <c r="B257" s="35"/>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35"/>
      <c r="BV257" s="35"/>
      <c r="BW257" s="35"/>
      <c r="BX257" s="35"/>
      <c r="BY257" s="35"/>
      <c r="BZ257" s="35"/>
      <c r="CA257" s="35"/>
      <c r="CB257" s="35"/>
      <c r="CC257" s="35"/>
      <c r="CD257" s="35"/>
      <c r="CE257" s="35"/>
      <c r="CF257" s="35"/>
      <c r="CG257" s="35"/>
      <c r="CH257" s="35"/>
      <c r="CI257" s="8"/>
      <c r="CJ257" s="10"/>
      <c r="CK257" s="8"/>
      <c r="CL257" s="8"/>
      <c r="CM257" s="10"/>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row>
    <row r="258" spans="2:124" ht="10.5" customHeight="1">
      <c r="B258" s="35"/>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35"/>
      <c r="BV258" s="35"/>
      <c r="BW258" s="35"/>
      <c r="BX258" s="35"/>
      <c r="BY258" s="35"/>
      <c r="BZ258" s="35"/>
      <c r="CA258" s="35"/>
      <c r="CB258" s="35"/>
      <c r="CC258" s="35"/>
      <c r="CD258" s="35"/>
      <c r="CE258" s="35"/>
      <c r="CF258" s="35"/>
      <c r="CG258" s="35"/>
      <c r="CH258" s="35"/>
      <c r="CI258" s="8"/>
      <c r="CJ258" s="10"/>
      <c r="CK258" s="8"/>
      <c r="CL258" s="8"/>
      <c r="CM258" s="10"/>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row>
    <row r="259" spans="2:124" ht="10.5" customHeight="1">
      <c r="B259" s="35"/>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35"/>
      <c r="BV259" s="35"/>
      <c r="BW259" s="35"/>
      <c r="BX259" s="35"/>
      <c r="BY259" s="35"/>
      <c r="BZ259" s="35"/>
      <c r="CA259" s="35"/>
      <c r="CB259" s="35"/>
      <c r="CC259" s="35"/>
      <c r="CD259" s="35"/>
      <c r="CE259" s="35"/>
      <c r="CF259" s="35"/>
      <c r="CG259" s="35"/>
      <c r="CH259" s="35"/>
      <c r="CI259" s="8"/>
      <c r="CJ259" s="10"/>
      <c r="CK259" s="8"/>
      <c r="CL259" s="8"/>
      <c r="CM259" s="10"/>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row>
    <row r="260" spans="2:124" ht="10.5" customHeight="1">
      <c r="B260" s="35"/>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35"/>
      <c r="BV260" s="35"/>
      <c r="BW260" s="35"/>
      <c r="BX260" s="35"/>
      <c r="BY260" s="35"/>
      <c r="BZ260" s="35"/>
      <c r="CA260" s="35"/>
      <c r="CB260" s="35"/>
      <c r="CC260" s="35"/>
      <c r="CD260" s="35"/>
      <c r="CE260" s="35"/>
      <c r="CF260" s="35"/>
      <c r="CG260" s="35"/>
      <c r="CH260" s="35"/>
      <c r="CI260" s="8"/>
      <c r="CJ260" s="10"/>
      <c r="CK260" s="8"/>
      <c r="CL260" s="8"/>
      <c r="CM260" s="10"/>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row>
    <row r="261" spans="2:124" ht="10.5" customHeight="1">
      <c r="B261" s="35"/>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35"/>
      <c r="BV261" s="35"/>
      <c r="BW261" s="35"/>
      <c r="BX261" s="35"/>
      <c r="BY261" s="35"/>
      <c r="BZ261" s="35"/>
      <c r="CA261" s="35"/>
      <c r="CB261" s="35"/>
      <c r="CC261" s="35"/>
      <c r="CD261" s="35"/>
      <c r="CE261" s="35"/>
      <c r="CF261" s="35"/>
      <c r="CG261" s="35"/>
      <c r="CH261" s="35"/>
      <c r="CI261" s="8"/>
      <c r="CJ261" s="10"/>
      <c r="CK261" s="8"/>
      <c r="CL261" s="8"/>
      <c r="CM261" s="10"/>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row>
    <row r="262" spans="2:124" ht="10.5" customHeight="1">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8"/>
      <c r="CJ262" s="8"/>
      <c r="CK262" s="8"/>
      <c r="CL262" s="8"/>
      <c r="CM262" s="10"/>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row>
    <row r="263" spans="2:124" ht="10.5" customHeight="1">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8"/>
      <c r="CJ263" s="8"/>
      <c r="CK263" s="8"/>
      <c r="CL263" s="8"/>
      <c r="CM263" s="10"/>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row>
    <row r="264" spans="2:124" ht="10.5" customHeight="1">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8"/>
      <c r="CJ264" s="8"/>
      <c r="CK264" s="8"/>
      <c r="CL264" s="8"/>
      <c r="CM264" s="10"/>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row>
    <row r="265" spans="2:124" ht="10.5" customHeight="1">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8"/>
      <c r="CJ265" s="8"/>
      <c r="CK265" s="8"/>
      <c r="CL265" s="8"/>
      <c r="CM265" s="10"/>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row>
    <row r="266" spans="2:124" ht="10.5" customHeight="1">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row>
    <row r="267" spans="2:124" ht="10.5" customHeight="1">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row>
    <row r="268" spans="2:124" ht="10.5" customHeight="1">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row>
    <row r="269" spans="2:124" ht="10.5" customHeight="1">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row>
    <row r="270" spans="2:124" ht="10.5" customHeight="1">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row>
    <row r="271" spans="2:124" ht="10.5" customHeight="1">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row>
    <row r="272" spans="2:124" ht="10.5" customHeight="1">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row>
    <row r="273" spans="2:124" ht="10.5" customHeight="1">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row>
    <row r="274" spans="2:124" ht="10.5" customHeight="1">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row>
    <row r="275" spans="2:124" ht="10.5" customHeight="1">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row>
    <row r="276" spans="2:124" ht="10.5" customHeight="1">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row>
    <row r="277" spans="2:124" ht="10.5" customHeight="1">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row>
    <row r="278" spans="2:124" ht="10.5" customHeight="1">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row>
    <row r="279" spans="2:124" ht="10.5" customHeight="1">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row>
    <row r="280" spans="2:124" ht="10.5" customHeight="1">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row>
    <row r="281" spans="2:124" ht="10.5" customHeight="1">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row>
    <row r="282" spans="2:124" ht="10.5" customHeight="1">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row>
    <row r="283" spans="2:124" ht="10.5" customHeight="1">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row>
    <row r="284" spans="2:124" ht="10.5" customHeight="1">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row>
    <row r="285" spans="2:124" ht="10.5" customHeight="1">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row>
    <row r="286" spans="2:124" ht="10.5" customHeight="1">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row>
    <row r="287" spans="2:124" ht="10.5" customHeight="1">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row>
    <row r="288" spans="2:124" ht="10.5" customHeight="1">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row>
    <row r="289" spans="2:124" ht="10.5" customHeight="1">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row>
    <row r="290" spans="2:124" ht="10.5" customHeight="1">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row>
    <row r="291" spans="2:124" ht="10.5" customHeight="1">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row>
    <row r="292" spans="2:124" ht="10.5" customHeight="1">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row>
    <row r="293" spans="2:124" ht="10.5" customHeight="1">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row>
    <row r="294" spans="2:124" ht="10.5" customHeight="1">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row>
    <row r="295" spans="2:124" ht="10.5" customHeight="1">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row>
    <row r="296" spans="2:124" ht="10.5" customHeight="1">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row>
    <row r="297" spans="2:124" ht="10.5" customHeight="1">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row>
    <row r="298" spans="2:124" ht="10.5" customHeight="1">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row>
    <row r="299" spans="2:124">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row>
  </sheetData>
  <sheetProtection password="8220" sheet="1" objects="1" scenarios="1"/>
  <mergeCells count="2750">
    <mergeCell ref="BR205:BT205"/>
    <mergeCell ref="BG204:BI204"/>
    <mergeCell ref="BN204:BP204"/>
    <mergeCell ref="BN205:BQ205"/>
    <mergeCell ref="BC204:BE204"/>
    <mergeCell ref="AT204:BB204"/>
    <mergeCell ref="BO164:BQ164"/>
    <mergeCell ref="BO163:BQ163"/>
    <mergeCell ref="BR163:BT163"/>
    <mergeCell ref="BG162:BN162"/>
    <mergeCell ref="BR164:BT164"/>
    <mergeCell ref="Y168:AC168"/>
    <mergeCell ref="AD168:AG168"/>
    <mergeCell ref="AH168:AL168"/>
    <mergeCell ref="AM168:AP168"/>
    <mergeCell ref="AQ168:AV168"/>
    <mergeCell ref="AN166:AP166"/>
    <mergeCell ref="AB164:AF164"/>
    <mergeCell ref="AG164:AM164"/>
    <mergeCell ref="BO172:BQ172"/>
    <mergeCell ref="BR172:BT172"/>
    <mergeCell ref="BR171:BT171"/>
    <mergeCell ref="BK166:BP166"/>
    <mergeCell ref="BQ166:BT166"/>
    <mergeCell ref="AQ163:AS163"/>
    <mergeCell ref="BA164:BC164"/>
    <mergeCell ref="BD164:BF164"/>
    <mergeCell ref="BG164:BN164"/>
    <mergeCell ref="BH168:BM168"/>
    <mergeCell ref="BO168:BT168"/>
    <mergeCell ref="BK174:BP174"/>
    <mergeCell ref="BQ174:BT174"/>
    <mergeCell ref="AQ164:AS164"/>
    <mergeCell ref="AT164:AZ164"/>
    <mergeCell ref="AG162:AM162"/>
    <mergeCell ref="AN161:AP161"/>
    <mergeCell ref="AQ161:AU161"/>
    <mergeCell ref="AV161:AY161"/>
    <mergeCell ref="AT170:AZ170"/>
    <mergeCell ref="BG166:BJ166"/>
    <mergeCell ref="AN162:AP162"/>
    <mergeCell ref="AQ162:AS162"/>
    <mergeCell ref="BA162:BC162"/>
    <mergeCell ref="BD162:BF162"/>
    <mergeCell ref="C162:F162"/>
    <mergeCell ref="G162:N162"/>
    <mergeCell ref="O162:S162"/>
    <mergeCell ref="T162:AA162"/>
    <mergeCell ref="AB162:AF162"/>
    <mergeCell ref="G164:N164"/>
    <mergeCell ref="BA170:BC170"/>
    <mergeCell ref="C161:E161"/>
    <mergeCell ref="F161:I161"/>
    <mergeCell ref="J161:M161"/>
    <mergeCell ref="N161:R161"/>
    <mergeCell ref="S161:V161"/>
    <mergeCell ref="W161:Z161"/>
    <mergeCell ref="AA161:AC161"/>
    <mergeCell ref="AN164:AP164"/>
    <mergeCell ref="G163:N163"/>
    <mergeCell ref="O163:S163"/>
    <mergeCell ref="U168:X168"/>
    <mergeCell ref="C170:F170"/>
    <mergeCell ref="O165:S165"/>
    <mergeCell ref="C51:F52"/>
    <mergeCell ref="C121:F122"/>
    <mergeCell ref="G121:N121"/>
    <mergeCell ref="AB97:AF97"/>
    <mergeCell ref="C48:E48"/>
    <mergeCell ref="F48:O48"/>
    <mergeCell ref="P48:S48"/>
    <mergeCell ref="U48:X48"/>
    <mergeCell ref="C56:E56"/>
    <mergeCell ref="F56:O56"/>
    <mergeCell ref="P56:S56"/>
    <mergeCell ref="Y108:AC108"/>
    <mergeCell ref="C118:F118"/>
    <mergeCell ref="G118:N118"/>
    <mergeCell ref="O118:S118"/>
    <mergeCell ref="T118:AA118"/>
    <mergeCell ref="AB118:AF118"/>
    <mergeCell ref="C110:F110"/>
    <mergeCell ref="G110:N110"/>
    <mergeCell ref="O110:S110"/>
    <mergeCell ref="T110:AA110"/>
    <mergeCell ref="T111:AA111"/>
    <mergeCell ref="C111:F112"/>
    <mergeCell ref="C119:F120"/>
    <mergeCell ref="G122:N122"/>
    <mergeCell ref="O122:S122"/>
    <mergeCell ref="T122:AA122"/>
    <mergeCell ref="C95:F96"/>
    <mergeCell ref="C97:F98"/>
    <mergeCell ref="C103:F104"/>
    <mergeCell ref="C105:F106"/>
    <mergeCell ref="G111:N111"/>
    <mergeCell ref="B185:B219"/>
    <mergeCell ref="AT166:AW166"/>
    <mergeCell ref="AT174:AW174"/>
    <mergeCell ref="U32:X32"/>
    <mergeCell ref="C40:E40"/>
    <mergeCell ref="AT89:AY89"/>
    <mergeCell ref="AB43:AF43"/>
    <mergeCell ref="C53:F54"/>
    <mergeCell ref="C57:E57"/>
    <mergeCell ref="F57:I57"/>
    <mergeCell ref="J57:M57"/>
    <mergeCell ref="J8:N8"/>
    <mergeCell ref="C24:E24"/>
    <mergeCell ref="U24:X24"/>
    <mergeCell ref="P24:S24"/>
    <mergeCell ref="F24:O24"/>
    <mergeCell ref="C58:F58"/>
    <mergeCell ref="G58:N58"/>
    <mergeCell ref="O58:S58"/>
    <mergeCell ref="T58:AA58"/>
    <mergeCell ref="Y56:AC56"/>
    <mergeCell ref="C61:F62"/>
    <mergeCell ref="AB58:AF58"/>
    <mergeCell ref="N57:R57"/>
    <mergeCell ref="S57:V57"/>
    <mergeCell ref="W57:Z57"/>
    <mergeCell ref="U56:X56"/>
    <mergeCell ref="C64:E64"/>
    <mergeCell ref="F64:O64"/>
    <mergeCell ref="P64:S64"/>
    <mergeCell ref="U64:X64"/>
    <mergeCell ref="C32:E32"/>
    <mergeCell ref="BA106:BF106"/>
    <mergeCell ref="BG106:BJ106"/>
    <mergeCell ref="BK106:BP106"/>
    <mergeCell ref="AX114:AZ114"/>
    <mergeCell ref="AT122:AW122"/>
    <mergeCell ref="AX122:AZ122"/>
    <mergeCell ref="AT130:AW130"/>
    <mergeCell ref="AX130:AZ130"/>
    <mergeCell ref="AT138:AW138"/>
    <mergeCell ref="AX138:AZ138"/>
    <mergeCell ref="AX116:BC116"/>
    <mergeCell ref="BA119:BC119"/>
    <mergeCell ref="AZ133:BB133"/>
    <mergeCell ref="AT90:AW90"/>
    <mergeCell ref="AX90:AZ90"/>
    <mergeCell ref="AT98:AW98"/>
    <mergeCell ref="AX98:AZ98"/>
    <mergeCell ref="AT106:AW106"/>
    <mergeCell ref="AX106:AZ106"/>
    <mergeCell ref="AT114:AW114"/>
    <mergeCell ref="BK90:BP90"/>
    <mergeCell ref="BD113:BF113"/>
    <mergeCell ref="BO118:BQ118"/>
    <mergeCell ref="BG118:BN118"/>
    <mergeCell ref="BA138:BF138"/>
    <mergeCell ref="BA130:BF130"/>
    <mergeCell ref="BR120:BT120"/>
    <mergeCell ref="BO119:BQ119"/>
    <mergeCell ref="BR119:BT119"/>
    <mergeCell ref="BG128:BN128"/>
    <mergeCell ref="BQ114:BT114"/>
    <mergeCell ref="BQ138:BT138"/>
    <mergeCell ref="BO128:BQ128"/>
    <mergeCell ref="BR128:BT128"/>
    <mergeCell ref="BR127:BT127"/>
    <mergeCell ref="AQ136:AS136"/>
    <mergeCell ref="AT136:AZ136"/>
    <mergeCell ref="BA136:BC136"/>
    <mergeCell ref="BD136:BF136"/>
    <mergeCell ref="BG136:BN136"/>
    <mergeCell ref="BO136:BQ136"/>
    <mergeCell ref="BD134:BF134"/>
    <mergeCell ref="BG134:BN134"/>
    <mergeCell ref="BR136:BT136"/>
    <mergeCell ref="BD132:BG132"/>
    <mergeCell ref="BH132:BM132"/>
    <mergeCell ref="BO132:BT132"/>
    <mergeCell ref="BD135:BF135"/>
    <mergeCell ref="BG135:BN135"/>
    <mergeCell ref="AT137:AY137"/>
    <mergeCell ref="AZ137:BB137"/>
    <mergeCell ref="BG137:BK137"/>
    <mergeCell ref="BL137:BO137"/>
    <mergeCell ref="BG130:BJ130"/>
    <mergeCell ref="BK130:BP130"/>
    <mergeCell ref="BR134:BT134"/>
    <mergeCell ref="BG138:BJ138"/>
    <mergeCell ref="BK138:BP138"/>
    <mergeCell ref="BL165:BO165"/>
    <mergeCell ref="BQ165:BT165"/>
    <mergeCell ref="BD157:BF157"/>
    <mergeCell ref="BG157:BN159"/>
    <mergeCell ref="AT162:AZ162"/>
    <mergeCell ref="BO58:BQ58"/>
    <mergeCell ref="BR58:BT58"/>
    <mergeCell ref="BA62:BF62"/>
    <mergeCell ref="BG62:BJ62"/>
    <mergeCell ref="BK62:BP62"/>
    <mergeCell ref="BQ62:BT62"/>
    <mergeCell ref="BG58:BN58"/>
    <mergeCell ref="BO59:BQ59"/>
    <mergeCell ref="BR59:BT59"/>
    <mergeCell ref="BQ61:BT61"/>
    <mergeCell ref="BG141:BI141"/>
    <mergeCell ref="BJ141:BQ141"/>
    <mergeCell ref="BR141:BT141"/>
    <mergeCell ref="BD145:BF145"/>
    <mergeCell ref="BK78:BP78"/>
    <mergeCell ref="BQ78:BT78"/>
    <mergeCell ref="BG81:BN83"/>
    <mergeCell ref="BD84:BG84"/>
    <mergeCell ref="BH84:BM84"/>
    <mergeCell ref="BO84:BT84"/>
    <mergeCell ref="BK114:BP114"/>
    <mergeCell ref="BO112:BQ112"/>
    <mergeCell ref="AQ160:AV160"/>
    <mergeCell ref="AX160:BC160"/>
    <mergeCell ref="BR125:BT125"/>
    <mergeCell ref="BD129:BF129"/>
    <mergeCell ref="BG126:BN126"/>
    <mergeCell ref="AC9:AF9"/>
    <mergeCell ref="AI9:AM9"/>
    <mergeCell ref="BD15:BF15"/>
    <mergeCell ref="BR15:BT15"/>
    <mergeCell ref="AG13:AM15"/>
    <mergeCell ref="AN13:AP15"/>
    <mergeCell ref="AQ13:AS13"/>
    <mergeCell ref="AT13:AZ15"/>
    <mergeCell ref="BA13:BC15"/>
    <mergeCell ref="BD13:BF13"/>
    <mergeCell ref="BO13:BQ15"/>
    <mergeCell ref="BR13:BT13"/>
    <mergeCell ref="Q10:X10"/>
    <mergeCell ref="AN9:AQ9"/>
    <mergeCell ref="BX9:BZ9"/>
    <mergeCell ref="AR9:AU9"/>
    <mergeCell ref="BO20:BQ20"/>
    <mergeCell ref="BX15:BY15"/>
    <mergeCell ref="BD14:BF14"/>
    <mergeCell ref="BR14:BT14"/>
    <mergeCell ref="BD20:BF20"/>
    <mergeCell ref="BG20:BN20"/>
    <mergeCell ref="P16:S16"/>
    <mergeCell ref="U16:X16"/>
    <mergeCell ref="BZ15:CC15"/>
    <mergeCell ref="BZ16:CA16"/>
    <mergeCell ref="CB16:CC16"/>
    <mergeCell ref="BR20:BT20"/>
    <mergeCell ref="BA20:BC20"/>
    <mergeCell ref="BR19:BT19"/>
    <mergeCell ref="C41:E41"/>
    <mergeCell ref="F41:I41"/>
    <mergeCell ref="J41:M41"/>
    <mergeCell ref="N41:R41"/>
    <mergeCell ref="S41:V41"/>
    <mergeCell ref="W41:Z41"/>
    <mergeCell ref="AA41:AC41"/>
    <mergeCell ref="F15:I15"/>
    <mergeCell ref="J15:M15"/>
    <mergeCell ref="N15:R15"/>
    <mergeCell ref="AT54:AW54"/>
    <mergeCell ref="AX54:AZ54"/>
    <mergeCell ref="BG49:BI49"/>
    <mergeCell ref="AD41:AF41"/>
    <mergeCell ref="AQ41:AU41"/>
    <mergeCell ref="AV41:AY41"/>
    <mergeCell ref="BG13:BN15"/>
    <mergeCell ref="W17:Z17"/>
    <mergeCell ref="AA17:AC17"/>
    <mergeCell ref="AD17:AF17"/>
    <mergeCell ref="J13:M14"/>
    <mergeCell ref="N13:R14"/>
    <mergeCell ref="S13:Z13"/>
    <mergeCell ref="AA13:AC15"/>
    <mergeCell ref="AD13:AF15"/>
    <mergeCell ref="AG22:AM22"/>
    <mergeCell ref="AN22:AP22"/>
    <mergeCell ref="C16:E16"/>
    <mergeCell ref="F16:O16"/>
    <mergeCell ref="G43:N43"/>
    <mergeCell ref="O43:S43"/>
    <mergeCell ref="T43:AA43"/>
    <mergeCell ref="AR6:AU6"/>
    <mergeCell ref="AW6:BF6"/>
    <mergeCell ref="BO6:BS6"/>
    <mergeCell ref="Q7:X7"/>
    <mergeCell ref="C5:N6"/>
    <mergeCell ref="Y7:AB7"/>
    <mergeCell ref="AC7:AF7"/>
    <mergeCell ref="AI7:AM7"/>
    <mergeCell ref="AN7:AQ7"/>
    <mergeCell ref="AR7:AU7"/>
    <mergeCell ref="BJ7:BM7"/>
    <mergeCell ref="Q8:X8"/>
    <mergeCell ref="Y8:AB8"/>
    <mergeCell ref="AC8:AF8"/>
    <mergeCell ref="AI8:AM8"/>
    <mergeCell ref="AN8:AQ8"/>
    <mergeCell ref="BI3:BM3"/>
    <mergeCell ref="BP3:BT3"/>
    <mergeCell ref="AR8:AU8"/>
    <mergeCell ref="AX8:BA8"/>
    <mergeCell ref="BB8:BE8"/>
    <mergeCell ref="BF8:BI8"/>
    <mergeCell ref="BJ8:BM8"/>
    <mergeCell ref="AX7:BA7"/>
    <mergeCell ref="BB7:BE7"/>
    <mergeCell ref="BF7:BI7"/>
    <mergeCell ref="B3:D3"/>
    <mergeCell ref="E3:W3"/>
    <mergeCell ref="Y3:AC3"/>
    <mergeCell ref="AE3:AI3"/>
    <mergeCell ref="AC6:AF6"/>
    <mergeCell ref="CV16:CX16"/>
    <mergeCell ref="C17:E17"/>
    <mergeCell ref="F17:I17"/>
    <mergeCell ref="J17:M17"/>
    <mergeCell ref="N17:R17"/>
    <mergeCell ref="S17:V17"/>
    <mergeCell ref="AM16:AP16"/>
    <mergeCell ref="AQ16:AV16"/>
    <mergeCell ref="D8:H8"/>
    <mergeCell ref="S15:V15"/>
    <mergeCell ref="AQ15:AS15"/>
    <mergeCell ref="W15:Z15"/>
    <mergeCell ref="BN10:BQ10"/>
    <mergeCell ref="CL16:CN16"/>
    <mergeCell ref="AX16:BC16"/>
    <mergeCell ref="BD16:BG16"/>
    <mergeCell ref="BH16:BM16"/>
    <mergeCell ref="BO16:BT16"/>
    <mergeCell ref="S14:V14"/>
    <mergeCell ref="W14:Z14"/>
    <mergeCell ref="AQ14:AS14"/>
    <mergeCell ref="AG17:AM17"/>
    <mergeCell ref="AN17:AP17"/>
    <mergeCell ref="AN10:AQ10"/>
    <mergeCell ref="AR10:AU10"/>
    <mergeCell ref="AW10:BI10"/>
    <mergeCell ref="BJ10:BL10"/>
    <mergeCell ref="Y10:AB10"/>
    <mergeCell ref="AC10:AF10"/>
    <mergeCell ref="AI10:AM10"/>
    <mergeCell ref="Q9:X9"/>
    <mergeCell ref="Y9:AB9"/>
    <mergeCell ref="C13:E15"/>
    <mergeCell ref="F13:I14"/>
    <mergeCell ref="CR18:CT18"/>
    <mergeCell ref="BA18:BC18"/>
    <mergeCell ref="BD18:BF18"/>
    <mergeCell ref="BG18:BN18"/>
    <mergeCell ref="BO18:BQ18"/>
    <mergeCell ref="Y16:AC16"/>
    <mergeCell ref="AD16:AG16"/>
    <mergeCell ref="AH16:AL16"/>
    <mergeCell ref="CD16:CE16"/>
    <mergeCell ref="BX16:BY16"/>
    <mergeCell ref="BG17:BI17"/>
    <mergeCell ref="BJ17:BQ17"/>
    <mergeCell ref="BR17:BT17"/>
    <mergeCell ref="CO16:CQ16"/>
    <mergeCell ref="CR16:CT16"/>
    <mergeCell ref="CD15:CG15"/>
    <mergeCell ref="CF16:CG16"/>
    <mergeCell ref="AQ18:AS18"/>
    <mergeCell ref="AV17:AY17"/>
    <mergeCell ref="AZ17:BB17"/>
    <mergeCell ref="BC17:BF17"/>
    <mergeCell ref="AQ17:AU17"/>
    <mergeCell ref="BR18:BT18"/>
    <mergeCell ref="CR17:CT17"/>
    <mergeCell ref="CV17:CX17"/>
    <mergeCell ref="C18:F18"/>
    <mergeCell ref="G18:N18"/>
    <mergeCell ref="O18:S18"/>
    <mergeCell ref="T18:AA18"/>
    <mergeCell ref="AB18:AF18"/>
    <mergeCell ref="AG18:AM18"/>
    <mergeCell ref="AN18:AP18"/>
    <mergeCell ref="CV18:CX18"/>
    <mergeCell ref="C19:F20"/>
    <mergeCell ref="G19:N19"/>
    <mergeCell ref="O19:S19"/>
    <mergeCell ref="T19:AA19"/>
    <mergeCell ref="AB19:AF19"/>
    <mergeCell ref="AG19:AM19"/>
    <mergeCell ref="AN19:AP19"/>
    <mergeCell ref="AQ19:AS19"/>
    <mergeCell ref="AT18:AZ18"/>
    <mergeCell ref="BG21:BK21"/>
    <mergeCell ref="BL21:BO21"/>
    <mergeCell ref="BQ21:BT21"/>
    <mergeCell ref="CV19:CX19"/>
    <mergeCell ref="G20:N20"/>
    <mergeCell ref="O20:S20"/>
    <mergeCell ref="T20:AA20"/>
    <mergeCell ref="AB20:AF20"/>
    <mergeCell ref="AG20:AM20"/>
    <mergeCell ref="AN20:AP20"/>
    <mergeCell ref="AQ20:AS20"/>
    <mergeCell ref="AT20:AZ20"/>
    <mergeCell ref="AT19:AZ19"/>
    <mergeCell ref="C21:F22"/>
    <mergeCell ref="G21:N21"/>
    <mergeCell ref="O21:S21"/>
    <mergeCell ref="T21:AA21"/>
    <mergeCell ref="AB21:AF21"/>
    <mergeCell ref="CR19:CT19"/>
    <mergeCell ref="BA19:BC19"/>
    <mergeCell ref="BD19:BF19"/>
    <mergeCell ref="BG19:BN19"/>
    <mergeCell ref="BO19:BQ19"/>
    <mergeCell ref="AX22:AZ22"/>
    <mergeCell ref="CL24:CN24"/>
    <mergeCell ref="CO24:CQ24"/>
    <mergeCell ref="CR24:CT24"/>
    <mergeCell ref="CV24:CX24"/>
    <mergeCell ref="C25:E25"/>
    <mergeCell ref="F25:I25"/>
    <mergeCell ref="J25:M25"/>
    <mergeCell ref="N25:R25"/>
    <mergeCell ref="S25:V25"/>
    <mergeCell ref="AT21:AY21"/>
    <mergeCell ref="AZ21:BB21"/>
    <mergeCell ref="BD21:BF21"/>
    <mergeCell ref="AA25:AC25"/>
    <mergeCell ref="AD25:AF25"/>
    <mergeCell ref="AG25:AM25"/>
    <mergeCell ref="AN25:AP25"/>
    <mergeCell ref="AQ25:AU25"/>
    <mergeCell ref="AV25:AY25"/>
    <mergeCell ref="AT22:AW22"/>
    <mergeCell ref="G22:N22"/>
    <mergeCell ref="O22:S22"/>
    <mergeCell ref="T22:AA22"/>
    <mergeCell ref="AB22:AF22"/>
    <mergeCell ref="AQ22:AS22"/>
    <mergeCell ref="AG21:AM21"/>
    <mergeCell ref="AN21:AP21"/>
    <mergeCell ref="AQ21:AS21"/>
    <mergeCell ref="BA22:BF22"/>
    <mergeCell ref="BG22:BJ22"/>
    <mergeCell ref="BK22:BP22"/>
    <mergeCell ref="BQ22:BT22"/>
    <mergeCell ref="BO24:BT24"/>
    <mergeCell ref="Y24:AC24"/>
    <mergeCell ref="AD24:AG24"/>
    <mergeCell ref="AH24:AL24"/>
    <mergeCell ref="CV26:CX26"/>
    <mergeCell ref="C27:F28"/>
    <mergeCell ref="G27:N27"/>
    <mergeCell ref="O27:S27"/>
    <mergeCell ref="T27:AA27"/>
    <mergeCell ref="AB27:AF27"/>
    <mergeCell ref="W25:Z25"/>
    <mergeCell ref="AM24:AP24"/>
    <mergeCell ref="AQ24:AV24"/>
    <mergeCell ref="AX24:BC24"/>
    <mergeCell ref="BD24:BG24"/>
    <mergeCell ref="BH24:BM24"/>
    <mergeCell ref="AZ25:BB25"/>
    <mergeCell ref="BC25:BF25"/>
    <mergeCell ref="BG25:BI25"/>
    <mergeCell ref="BJ25:BQ25"/>
    <mergeCell ref="BR25:BT25"/>
    <mergeCell ref="CR25:CT25"/>
    <mergeCell ref="BD28:BF28"/>
    <mergeCell ref="BG28:BN28"/>
    <mergeCell ref="BO28:BQ28"/>
    <mergeCell ref="BR28:BT28"/>
    <mergeCell ref="BG26:BN26"/>
    <mergeCell ref="BO26:BQ26"/>
    <mergeCell ref="BR26:BT26"/>
    <mergeCell ref="CR26:CT26"/>
    <mergeCell ref="CV25:CX25"/>
    <mergeCell ref="C26:F26"/>
    <mergeCell ref="G26:N26"/>
    <mergeCell ref="O26:S26"/>
    <mergeCell ref="T26:AA26"/>
    <mergeCell ref="AB26:AF26"/>
    <mergeCell ref="AG27:AM27"/>
    <mergeCell ref="AN27:AP27"/>
    <mergeCell ref="AQ27:AS27"/>
    <mergeCell ref="AT27:AZ27"/>
    <mergeCell ref="BA26:BC26"/>
    <mergeCell ref="BD26:BF26"/>
    <mergeCell ref="AG26:AM26"/>
    <mergeCell ref="AN26:AP26"/>
    <mergeCell ref="AQ26:AS26"/>
    <mergeCell ref="AT26:AZ26"/>
    <mergeCell ref="BA27:BC27"/>
    <mergeCell ref="BD27:BF27"/>
    <mergeCell ref="BG27:BN27"/>
    <mergeCell ref="BO27:BQ27"/>
    <mergeCell ref="BR27:BT27"/>
    <mergeCell ref="CR27:CT27"/>
    <mergeCell ref="CV27:CX27"/>
    <mergeCell ref="G28:N28"/>
    <mergeCell ref="O28:S28"/>
    <mergeCell ref="T28:AA28"/>
    <mergeCell ref="AB28:AF28"/>
    <mergeCell ref="AG28:AM28"/>
    <mergeCell ref="AN28:AP28"/>
    <mergeCell ref="AQ28:AS28"/>
    <mergeCell ref="AT28:AZ28"/>
    <mergeCell ref="BA28:BC28"/>
    <mergeCell ref="C29:F30"/>
    <mergeCell ref="G29:N29"/>
    <mergeCell ref="O29:S29"/>
    <mergeCell ref="T29:AA29"/>
    <mergeCell ref="AB29:AF29"/>
    <mergeCell ref="AG29:AM29"/>
    <mergeCell ref="CL31:CN31"/>
    <mergeCell ref="BL29:BO29"/>
    <mergeCell ref="BQ29:BT29"/>
    <mergeCell ref="G30:N30"/>
    <mergeCell ref="O30:S30"/>
    <mergeCell ref="T30:AA30"/>
    <mergeCell ref="AB30:AF30"/>
    <mergeCell ref="AG30:AM30"/>
    <mergeCell ref="AT30:AW30"/>
    <mergeCell ref="AX30:AZ30"/>
    <mergeCell ref="CU31:CY31"/>
    <mergeCell ref="Y32:AC32"/>
    <mergeCell ref="AD32:AG32"/>
    <mergeCell ref="AH32:AL32"/>
    <mergeCell ref="AM32:AP32"/>
    <mergeCell ref="AQ32:AV32"/>
    <mergeCell ref="BA30:BF30"/>
    <mergeCell ref="BG30:BJ30"/>
    <mergeCell ref="CL32:CN32"/>
    <mergeCell ref="CO32:CQ32"/>
    <mergeCell ref="CR32:CT32"/>
    <mergeCell ref="CV32:CX32"/>
    <mergeCell ref="C34:F34"/>
    <mergeCell ref="G34:N34"/>
    <mergeCell ref="O34:S34"/>
    <mergeCell ref="T34:AA34"/>
    <mergeCell ref="AB34:AF34"/>
    <mergeCell ref="AG33:AM33"/>
    <mergeCell ref="AN33:AP33"/>
    <mergeCell ref="BD29:BF29"/>
    <mergeCell ref="BG29:BK29"/>
    <mergeCell ref="F32:O32"/>
    <mergeCell ref="P32:S32"/>
    <mergeCell ref="BG33:BI33"/>
    <mergeCell ref="BJ33:BQ33"/>
    <mergeCell ref="AQ33:AU33"/>
    <mergeCell ref="AV33:AY33"/>
    <mergeCell ref="AZ33:BB33"/>
    <mergeCell ref="BC33:BF33"/>
    <mergeCell ref="AN30:AP30"/>
    <mergeCell ref="AQ30:AS30"/>
    <mergeCell ref="AN29:AP29"/>
    <mergeCell ref="AQ29:AS29"/>
    <mergeCell ref="AT29:AY29"/>
    <mergeCell ref="AZ29:BB29"/>
    <mergeCell ref="BK30:BP30"/>
    <mergeCell ref="BQ30:BT30"/>
    <mergeCell ref="AX32:BC32"/>
    <mergeCell ref="BD32:BG32"/>
    <mergeCell ref="BH32:BM32"/>
    <mergeCell ref="BO32:BT32"/>
    <mergeCell ref="C33:E33"/>
    <mergeCell ref="F33:I33"/>
    <mergeCell ref="J33:M33"/>
    <mergeCell ref="N33:R33"/>
    <mergeCell ref="S33:V33"/>
    <mergeCell ref="W33:Z33"/>
    <mergeCell ref="AA33:AC33"/>
    <mergeCell ref="AD33:AF33"/>
    <mergeCell ref="BR33:BT33"/>
    <mergeCell ref="CR33:CT33"/>
    <mergeCell ref="CV33:CX33"/>
    <mergeCell ref="CR34:CT34"/>
    <mergeCell ref="CV34:CX34"/>
    <mergeCell ref="G35:N35"/>
    <mergeCell ref="O35:S35"/>
    <mergeCell ref="T35:AA35"/>
    <mergeCell ref="AB35:AF35"/>
    <mergeCell ref="AG34:AM34"/>
    <mergeCell ref="AN34:AP34"/>
    <mergeCell ref="AQ34:AS34"/>
    <mergeCell ref="AT34:AZ34"/>
    <mergeCell ref="AT35:AZ35"/>
    <mergeCell ref="BA35:BC35"/>
    <mergeCell ref="BD35:BF35"/>
    <mergeCell ref="BG34:BN34"/>
    <mergeCell ref="BO34:BQ34"/>
    <mergeCell ref="BR34:BT34"/>
    <mergeCell ref="BA34:BC34"/>
    <mergeCell ref="BD34:BF34"/>
    <mergeCell ref="CR35:CT35"/>
    <mergeCell ref="CV35:CX35"/>
    <mergeCell ref="AG35:AM35"/>
    <mergeCell ref="AN35:AP35"/>
    <mergeCell ref="AQ35:AS35"/>
    <mergeCell ref="BG36:BN36"/>
    <mergeCell ref="C35:F36"/>
    <mergeCell ref="BG35:BN35"/>
    <mergeCell ref="BO35:BQ35"/>
    <mergeCell ref="BR35:BT35"/>
    <mergeCell ref="AT37:AY37"/>
    <mergeCell ref="AZ37:BB37"/>
    <mergeCell ref="BG37:BK37"/>
    <mergeCell ref="BL37:BO37"/>
    <mergeCell ref="BQ37:BT37"/>
    <mergeCell ref="AQ37:AS37"/>
    <mergeCell ref="AN36:AP36"/>
    <mergeCell ref="AQ36:AS36"/>
    <mergeCell ref="AT36:AZ36"/>
    <mergeCell ref="BA36:BC36"/>
    <mergeCell ref="BD36:BF36"/>
    <mergeCell ref="BD37:BF37"/>
    <mergeCell ref="BO36:BQ36"/>
    <mergeCell ref="BR36:BT36"/>
    <mergeCell ref="C37:F38"/>
    <mergeCell ref="G37:N37"/>
    <mergeCell ref="O37:S37"/>
    <mergeCell ref="T37:AA37"/>
    <mergeCell ref="AB37:AF37"/>
    <mergeCell ref="AG37:AM37"/>
    <mergeCell ref="AN37:AP37"/>
    <mergeCell ref="G36:N36"/>
    <mergeCell ref="O36:S36"/>
    <mergeCell ref="T36:AA36"/>
    <mergeCell ref="AB36:AF36"/>
    <mergeCell ref="AG36:AM36"/>
    <mergeCell ref="BA38:BF38"/>
    <mergeCell ref="BG38:BJ38"/>
    <mergeCell ref="BK38:BP38"/>
    <mergeCell ref="AG41:AM41"/>
    <mergeCell ref="BR41:BT41"/>
    <mergeCell ref="CR41:CT41"/>
    <mergeCell ref="BQ38:BT38"/>
    <mergeCell ref="AT38:AW38"/>
    <mergeCell ref="AX38:AZ38"/>
    <mergeCell ref="CL40:CN40"/>
    <mergeCell ref="AQ38:AS38"/>
    <mergeCell ref="G38:N38"/>
    <mergeCell ref="O38:S38"/>
    <mergeCell ref="T38:AA38"/>
    <mergeCell ref="AB38:AF38"/>
    <mergeCell ref="AG38:AM38"/>
    <mergeCell ref="AN38:AP38"/>
    <mergeCell ref="CR40:CT40"/>
    <mergeCell ref="AZ41:BB41"/>
    <mergeCell ref="AG43:AM43"/>
    <mergeCell ref="AN43:AP43"/>
    <mergeCell ref="AN42:AP42"/>
    <mergeCell ref="CO40:CQ40"/>
    <mergeCell ref="BC41:BF41"/>
    <mergeCell ref="BG41:BI41"/>
    <mergeCell ref="BJ41:BQ41"/>
    <mergeCell ref="Y40:AC40"/>
    <mergeCell ref="AD40:AG40"/>
    <mergeCell ref="AH40:AL40"/>
    <mergeCell ref="AM40:AP40"/>
    <mergeCell ref="AQ40:AV40"/>
    <mergeCell ref="AX40:BC40"/>
    <mergeCell ref="CV41:CX41"/>
    <mergeCell ref="G42:N42"/>
    <mergeCell ref="O42:S42"/>
    <mergeCell ref="T42:AA42"/>
    <mergeCell ref="AB42:AF42"/>
    <mergeCell ref="AG42:AM42"/>
    <mergeCell ref="AN41:AP41"/>
    <mergeCell ref="AQ42:AS42"/>
    <mergeCell ref="AT42:AZ42"/>
    <mergeCell ref="BA42:BC42"/>
    <mergeCell ref="BD42:BF42"/>
    <mergeCell ref="BG42:BN42"/>
    <mergeCell ref="C42:F42"/>
    <mergeCell ref="C43:F44"/>
    <mergeCell ref="C45:F46"/>
    <mergeCell ref="AT45:AY45"/>
    <mergeCell ref="AZ45:BB45"/>
    <mergeCell ref="BG45:BK45"/>
    <mergeCell ref="BL45:BO45"/>
    <mergeCell ref="BA44:BC44"/>
    <mergeCell ref="CV43:CX43"/>
    <mergeCell ref="BO44:BQ44"/>
    <mergeCell ref="BR44:BT44"/>
    <mergeCell ref="CR42:CT42"/>
    <mergeCell ref="CV42:CX42"/>
    <mergeCell ref="BH40:BM40"/>
    <mergeCell ref="BO40:BT40"/>
    <mergeCell ref="CV40:CX40"/>
    <mergeCell ref="AQ43:AS43"/>
    <mergeCell ref="AT43:AZ43"/>
    <mergeCell ref="BA43:BC43"/>
    <mergeCell ref="BD43:BF43"/>
    <mergeCell ref="BG43:BN43"/>
    <mergeCell ref="BO43:BQ43"/>
    <mergeCell ref="BO42:BQ42"/>
    <mergeCell ref="BR42:BT42"/>
    <mergeCell ref="CR43:CT43"/>
    <mergeCell ref="BD40:BG40"/>
    <mergeCell ref="F40:O40"/>
    <mergeCell ref="P40:S40"/>
    <mergeCell ref="U40:X40"/>
    <mergeCell ref="BR43:BT43"/>
    <mergeCell ref="AN45:AP45"/>
    <mergeCell ref="AQ45:AS45"/>
    <mergeCell ref="T45:AA45"/>
    <mergeCell ref="AB45:AF45"/>
    <mergeCell ref="AG45:AM45"/>
    <mergeCell ref="AQ46:AS46"/>
    <mergeCell ref="BQ45:BT45"/>
    <mergeCell ref="G46:N46"/>
    <mergeCell ref="O46:S46"/>
    <mergeCell ref="T46:AA46"/>
    <mergeCell ref="AB46:AF46"/>
    <mergeCell ref="AG46:AM46"/>
    <mergeCell ref="BD45:BF45"/>
    <mergeCell ref="G45:N45"/>
    <mergeCell ref="O45:S45"/>
    <mergeCell ref="BD44:BF44"/>
    <mergeCell ref="BG44:BN44"/>
    <mergeCell ref="G44:N44"/>
    <mergeCell ref="O44:S44"/>
    <mergeCell ref="T44:AA44"/>
    <mergeCell ref="AB44:AF44"/>
    <mergeCell ref="AG44:AM44"/>
    <mergeCell ref="AN44:AP44"/>
    <mergeCell ref="AQ44:AS44"/>
    <mergeCell ref="AT44:AZ44"/>
    <mergeCell ref="C49:E49"/>
    <mergeCell ref="F49:I49"/>
    <mergeCell ref="J49:M49"/>
    <mergeCell ref="N49:R49"/>
    <mergeCell ref="S49:V49"/>
    <mergeCell ref="CR49:CT49"/>
    <mergeCell ref="CV49:CX49"/>
    <mergeCell ref="C50:F50"/>
    <mergeCell ref="G50:N50"/>
    <mergeCell ref="O50:S50"/>
    <mergeCell ref="T50:AA50"/>
    <mergeCell ref="AB50:AF50"/>
    <mergeCell ref="AG49:AM49"/>
    <mergeCell ref="AN49:AP49"/>
    <mergeCell ref="AQ49:AU49"/>
    <mergeCell ref="AN46:AP46"/>
    <mergeCell ref="BA46:BF46"/>
    <mergeCell ref="BG46:BJ46"/>
    <mergeCell ref="BK46:BP46"/>
    <mergeCell ref="BQ46:BT46"/>
    <mergeCell ref="AT46:AW46"/>
    <mergeCell ref="AX46:AZ46"/>
    <mergeCell ref="Y48:AC48"/>
    <mergeCell ref="AD48:AG48"/>
    <mergeCell ref="AH48:AL48"/>
    <mergeCell ref="AM48:AP48"/>
    <mergeCell ref="AQ48:AV48"/>
    <mergeCell ref="BJ49:BQ49"/>
    <mergeCell ref="BR49:BT49"/>
    <mergeCell ref="BO48:BT48"/>
    <mergeCell ref="CL48:CN48"/>
    <mergeCell ref="CO48:CQ48"/>
    <mergeCell ref="BG50:BN50"/>
    <mergeCell ref="BO50:BQ50"/>
    <mergeCell ref="BR50:BT50"/>
    <mergeCell ref="W49:Z49"/>
    <mergeCell ref="AA49:AC49"/>
    <mergeCell ref="AD49:AF49"/>
    <mergeCell ref="AX48:BC48"/>
    <mergeCell ref="BD48:BG48"/>
    <mergeCell ref="BH48:BM48"/>
    <mergeCell ref="AV49:AY49"/>
    <mergeCell ref="AZ49:BB49"/>
    <mergeCell ref="BC49:BF49"/>
    <mergeCell ref="CR48:CT48"/>
    <mergeCell ref="CV48:CX48"/>
    <mergeCell ref="BA50:BC50"/>
    <mergeCell ref="BD50:BF50"/>
    <mergeCell ref="BO52:BQ52"/>
    <mergeCell ref="BR52:BT52"/>
    <mergeCell ref="BR51:BT51"/>
    <mergeCell ref="AN52:AP52"/>
    <mergeCell ref="AQ52:AS52"/>
    <mergeCell ref="AT52:AZ52"/>
    <mergeCell ref="BA52:BC52"/>
    <mergeCell ref="BD52:BF52"/>
    <mergeCell ref="CR50:CT50"/>
    <mergeCell ref="CV50:CX50"/>
    <mergeCell ref="BG52:BN52"/>
    <mergeCell ref="BG51:BN51"/>
    <mergeCell ref="BO51:BQ51"/>
    <mergeCell ref="CR51:CT51"/>
    <mergeCell ref="CV51:CX51"/>
    <mergeCell ref="G51:N51"/>
    <mergeCell ref="O51:S51"/>
    <mergeCell ref="T51:AA51"/>
    <mergeCell ref="AB51:AF51"/>
    <mergeCell ref="AG50:AM50"/>
    <mergeCell ref="AN50:AP50"/>
    <mergeCell ref="AQ50:AS50"/>
    <mergeCell ref="AT50:AZ50"/>
    <mergeCell ref="AG51:AM51"/>
    <mergeCell ref="AN51:AP51"/>
    <mergeCell ref="AX56:BC56"/>
    <mergeCell ref="BC57:BF57"/>
    <mergeCell ref="AQ51:AS51"/>
    <mergeCell ref="AT51:AZ51"/>
    <mergeCell ref="BA51:BC51"/>
    <mergeCell ref="BD51:BF51"/>
    <mergeCell ref="AQ54:AS54"/>
    <mergeCell ref="AQ53:AS53"/>
    <mergeCell ref="G52:N52"/>
    <mergeCell ref="O52:S52"/>
    <mergeCell ref="T52:AA52"/>
    <mergeCell ref="AB52:AF52"/>
    <mergeCell ref="AG52:AM52"/>
    <mergeCell ref="BD53:BF53"/>
    <mergeCell ref="CV56:CX56"/>
    <mergeCell ref="BJ57:BQ57"/>
    <mergeCell ref="BR57:BT57"/>
    <mergeCell ref="CR57:CT57"/>
    <mergeCell ref="CV57:CX57"/>
    <mergeCell ref="AT53:AY53"/>
    <mergeCell ref="AZ53:BB53"/>
    <mergeCell ref="AQ58:AS58"/>
    <mergeCell ref="AT58:AZ58"/>
    <mergeCell ref="BA58:BC58"/>
    <mergeCell ref="BD58:BF58"/>
    <mergeCell ref="G53:N53"/>
    <mergeCell ref="O53:S53"/>
    <mergeCell ref="T53:AA53"/>
    <mergeCell ref="AB53:AF53"/>
    <mergeCell ref="AG53:AM53"/>
    <mergeCell ref="AN53:AP53"/>
    <mergeCell ref="BG53:BK53"/>
    <mergeCell ref="BL53:BO53"/>
    <mergeCell ref="BQ53:BT53"/>
    <mergeCell ref="BA54:BF54"/>
    <mergeCell ref="BG54:BJ54"/>
    <mergeCell ref="BK54:BP54"/>
    <mergeCell ref="BQ54:BT54"/>
    <mergeCell ref="G54:N54"/>
    <mergeCell ref="O54:S54"/>
    <mergeCell ref="T54:AA54"/>
    <mergeCell ref="AB54:AF54"/>
    <mergeCell ref="AG54:AM54"/>
    <mergeCell ref="AN54:AP54"/>
    <mergeCell ref="CL56:CN56"/>
    <mergeCell ref="CO56:CQ56"/>
    <mergeCell ref="CR56:CT56"/>
    <mergeCell ref="AD56:AG56"/>
    <mergeCell ref="AH56:AL56"/>
    <mergeCell ref="AM56:AP56"/>
    <mergeCell ref="AQ56:AV56"/>
    <mergeCell ref="AA57:AC57"/>
    <mergeCell ref="AD57:AF57"/>
    <mergeCell ref="AG57:AM57"/>
    <mergeCell ref="BD56:BG56"/>
    <mergeCell ref="BH56:BM56"/>
    <mergeCell ref="BO56:BT56"/>
    <mergeCell ref="BG57:BI57"/>
    <mergeCell ref="AG58:AM58"/>
    <mergeCell ref="AN57:AP57"/>
    <mergeCell ref="AQ57:AU57"/>
    <mergeCell ref="AV57:AY57"/>
    <mergeCell ref="AZ57:BB57"/>
    <mergeCell ref="CV58:CX58"/>
    <mergeCell ref="G59:N59"/>
    <mergeCell ref="O59:S59"/>
    <mergeCell ref="T59:AA59"/>
    <mergeCell ref="AB59:AF59"/>
    <mergeCell ref="AG59:AM59"/>
    <mergeCell ref="AN58:AP58"/>
    <mergeCell ref="AQ59:AS59"/>
    <mergeCell ref="AT59:AZ59"/>
    <mergeCell ref="BA59:BC59"/>
    <mergeCell ref="BD59:BF59"/>
    <mergeCell ref="BG59:BN59"/>
    <mergeCell ref="CR58:CT58"/>
    <mergeCell ref="C59:F60"/>
    <mergeCell ref="CR59:CT59"/>
    <mergeCell ref="CV59:CX59"/>
    <mergeCell ref="G60:N60"/>
    <mergeCell ref="O60:S60"/>
    <mergeCell ref="T60:AA60"/>
    <mergeCell ref="AB60:AF60"/>
    <mergeCell ref="AG60:AM60"/>
    <mergeCell ref="AN60:AP60"/>
    <mergeCell ref="AN59:AP59"/>
    <mergeCell ref="AQ60:AS60"/>
    <mergeCell ref="AT60:AZ60"/>
    <mergeCell ref="BA60:BC60"/>
    <mergeCell ref="BD60:BF60"/>
    <mergeCell ref="BG60:BN60"/>
    <mergeCell ref="BO60:BQ60"/>
    <mergeCell ref="BR60:BT60"/>
    <mergeCell ref="AG61:AM61"/>
    <mergeCell ref="AN61:AP61"/>
    <mergeCell ref="AQ61:AS61"/>
    <mergeCell ref="AT62:AW62"/>
    <mergeCell ref="AX62:AZ62"/>
    <mergeCell ref="CR65:CT65"/>
    <mergeCell ref="AZ65:BB65"/>
    <mergeCell ref="BC65:BF65"/>
    <mergeCell ref="CR64:CT64"/>
    <mergeCell ref="BD64:BG64"/>
    <mergeCell ref="BD61:BF61"/>
    <mergeCell ref="G62:N62"/>
    <mergeCell ref="O62:S62"/>
    <mergeCell ref="T62:AA62"/>
    <mergeCell ref="AB62:AF62"/>
    <mergeCell ref="AG62:AM62"/>
    <mergeCell ref="G61:N61"/>
    <mergeCell ref="O61:S61"/>
    <mergeCell ref="T61:AA61"/>
    <mergeCell ref="AB61:AF61"/>
    <mergeCell ref="Y64:AC64"/>
    <mergeCell ref="AD64:AG64"/>
    <mergeCell ref="AH64:AL64"/>
    <mergeCell ref="AM64:AP64"/>
    <mergeCell ref="AQ64:AV64"/>
    <mergeCell ref="AN62:AP62"/>
    <mergeCell ref="AQ62:AS62"/>
    <mergeCell ref="AT61:AY61"/>
    <mergeCell ref="AZ61:BB61"/>
    <mergeCell ref="BG61:BK61"/>
    <mergeCell ref="BL61:BO61"/>
    <mergeCell ref="BG65:BI65"/>
    <mergeCell ref="BH64:BM64"/>
    <mergeCell ref="BO64:BT64"/>
    <mergeCell ref="CL64:CN64"/>
    <mergeCell ref="CO64:CQ64"/>
    <mergeCell ref="BR65:BT65"/>
    <mergeCell ref="CR67:CT67"/>
    <mergeCell ref="CV64:CX64"/>
    <mergeCell ref="C65:E65"/>
    <mergeCell ref="F65:I65"/>
    <mergeCell ref="J65:M65"/>
    <mergeCell ref="N65:R65"/>
    <mergeCell ref="S65:V65"/>
    <mergeCell ref="W65:Z65"/>
    <mergeCell ref="AA65:AC65"/>
    <mergeCell ref="AD65:AF65"/>
    <mergeCell ref="AX64:BC64"/>
    <mergeCell ref="CV65:CX65"/>
    <mergeCell ref="C66:F66"/>
    <mergeCell ref="G66:N66"/>
    <mergeCell ref="O66:S66"/>
    <mergeCell ref="T66:AA66"/>
    <mergeCell ref="AB66:AF66"/>
    <mergeCell ref="AG65:AM65"/>
    <mergeCell ref="AN65:AP65"/>
    <mergeCell ref="AQ65:AU65"/>
    <mergeCell ref="AV65:AY65"/>
    <mergeCell ref="BJ65:BQ65"/>
    <mergeCell ref="CV66:CX66"/>
    <mergeCell ref="G67:N67"/>
    <mergeCell ref="O67:S67"/>
    <mergeCell ref="T67:AA67"/>
    <mergeCell ref="AB67:AF67"/>
    <mergeCell ref="AG66:AM66"/>
    <mergeCell ref="AN66:AP66"/>
    <mergeCell ref="AQ66:AS66"/>
    <mergeCell ref="AT66:AZ66"/>
    <mergeCell ref="BA66:BC66"/>
    <mergeCell ref="BA67:BC67"/>
    <mergeCell ref="BD67:BF67"/>
    <mergeCell ref="BG66:BN66"/>
    <mergeCell ref="BO66:BQ66"/>
    <mergeCell ref="BR66:BT66"/>
    <mergeCell ref="CR66:CT66"/>
    <mergeCell ref="BD66:BF66"/>
    <mergeCell ref="CV67:CX67"/>
    <mergeCell ref="AG67:AM67"/>
    <mergeCell ref="AN67:AP67"/>
    <mergeCell ref="AQ67:AS67"/>
    <mergeCell ref="AT67:AZ67"/>
    <mergeCell ref="C67:F68"/>
    <mergeCell ref="BG67:BN67"/>
    <mergeCell ref="BO67:BQ67"/>
    <mergeCell ref="AT69:AY69"/>
    <mergeCell ref="AZ69:BB69"/>
    <mergeCell ref="BG69:BK69"/>
    <mergeCell ref="BL69:BO69"/>
    <mergeCell ref="BQ69:BT69"/>
    <mergeCell ref="C69:F70"/>
    <mergeCell ref="G69:N69"/>
    <mergeCell ref="BO68:BQ68"/>
    <mergeCell ref="BR68:BT68"/>
    <mergeCell ref="BR67:BT67"/>
    <mergeCell ref="AN68:AP68"/>
    <mergeCell ref="AQ68:AS68"/>
    <mergeCell ref="AT68:AZ68"/>
    <mergeCell ref="BA68:BC68"/>
    <mergeCell ref="BD68:BF68"/>
    <mergeCell ref="BG68:BN68"/>
    <mergeCell ref="G68:N68"/>
    <mergeCell ref="O68:S68"/>
    <mergeCell ref="T68:AA68"/>
    <mergeCell ref="AB68:AF68"/>
    <mergeCell ref="AG68:AM68"/>
    <mergeCell ref="O69:S69"/>
    <mergeCell ref="T69:AA69"/>
    <mergeCell ref="AB69:AF69"/>
    <mergeCell ref="AG69:AM69"/>
    <mergeCell ref="AN69:AP69"/>
    <mergeCell ref="AQ69:AS69"/>
    <mergeCell ref="AQ70:AS70"/>
    <mergeCell ref="G70:N70"/>
    <mergeCell ref="O70:S70"/>
    <mergeCell ref="T70:AA70"/>
    <mergeCell ref="AB70:AF70"/>
    <mergeCell ref="AG70:AM70"/>
    <mergeCell ref="AN70:AP70"/>
    <mergeCell ref="BG70:BJ70"/>
    <mergeCell ref="BK70:BP70"/>
    <mergeCell ref="BQ70:BT70"/>
    <mergeCell ref="AX70:AZ70"/>
    <mergeCell ref="AT70:AW70"/>
    <mergeCell ref="BD69:BF69"/>
    <mergeCell ref="BA70:BF70"/>
    <mergeCell ref="AM72:AP72"/>
    <mergeCell ref="AQ72:AV72"/>
    <mergeCell ref="AX72:BC72"/>
    <mergeCell ref="AG73:AM73"/>
    <mergeCell ref="BD72:BG72"/>
    <mergeCell ref="BH72:BM72"/>
    <mergeCell ref="BO72:BT72"/>
    <mergeCell ref="CL72:CN72"/>
    <mergeCell ref="CO72:CQ72"/>
    <mergeCell ref="BC73:BF73"/>
    <mergeCell ref="BG73:BI73"/>
    <mergeCell ref="C73:E73"/>
    <mergeCell ref="F73:I73"/>
    <mergeCell ref="J73:M73"/>
    <mergeCell ref="N73:R73"/>
    <mergeCell ref="S73:V73"/>
    <mergeCell ref="W73:Z73"/>
    <mergeCell ref="AA73:AC73"/>
    <mergeCell ref="AD73:AF73"/>
    <mergeCell ref="C72:E72"/>
    <mergeCell ref="F72:O72"/>
    <mergeCell ref="P72:S72"/>
    <mergeCell ref="U72:X72"/>
    <mergeCell ref="BJ73:BQ73"/>
    <mergeCell ref="BR73:BT73"/>
    <mergeCell ref="AN73:AP73"/>
    <mergeCell ref="AQ73:AU73"/>
    <mergeCell ref="AV73:AY73"/>
    <mergeCell ref="AZ73:BB73"/>
    <mergeCell ref="CV75:CX75"/>
    <mergeCell ref="CR73:CT73"/>
    <mergeCell ref="CV73:CX73"/>
    <mergeCell ref="CV72:CX72"/>
    <mergeCell ref="C74:F74"/>
    <mergeCell ref="G74:N74"/>
    <mergeCell ref="O74:S74"/>
    <mergeCell ref="T74:AA74"/>
    <mergeCell ref="AB74:AF74"/>
    <mergeCell ref="AG74:AM74"/>
    <mergeCell ref="AQ74:AS74"/>
    <mergeCell ref="AT74:AZ74"/>
    <mergeCell ref="BA74:BC74"/>
    <mergeCell ref="BD74:BF74"/>
    <mergeCell ref="BG74:BN74"/>
    <mergeCell ref="CR75:CT75"/>
    <mergeCell ref="BO75:BQ75"/>
    <mergeCell ref="BR75:BT75"/>
    <mergeCell ref="BO74:BQ74"/>
    <mergeCell ref="BR74:BT74"/>
    <mergeCell ref="CR74:CT74"/>
    <mergeCell ref="CV74:CX74"/>
    <mergeCell ref="G75:N75"/>
    <mergeCell ref="O75:S75"/>
    <mergeCell ref="T75:AA75"/>
    <mergeCell ref="AB75:AF75"/>
    <mergeCell ref="AG75:AM75"/>
    <mergeCell ref="AN74:AP74"/>
    <mergeCell ref="CR72:CT72"/>
    <mergeCell ref="Y72:AC72"/>
    <mergeCell ref="AD72:AG72"/>
    <mergeCell ref="AH72:AL72"/>
    <mergeCell ref="AN75:AP75"/>
    <mergeCell ref="AQ75:AS75"/>
    <mergeCell ref="AT75:AZ75"/>
    <mergeCell ref="BA75:BC75"/>
    <mergeCell ref="BD75:BF75"/>
    <mergeCell ref="BG75:BN75"/>
    <mergeCell ref="BL77:BO77"/>
    <mergeCell ref="BQ77:BT77"/>
    <mergeCell ref="G76:N76"/>
    <mergeCell ref="O76:S76"/>
    <mergeCell ref="T76:AA76"/>
    <mergeCell ref="AB76:AF76"/>
    <mergeCell ref="AG76:AM76"/>
    <mergeCell ref="AN76:AP76"/>
    <mergeCell ref="BD77:BF77"/>
    <mergeCell ref="BR76:BT76"/>
    <mergeCell ref="AT77:AY77"/>
    <mergeCell ref="AZ77:BB77"/>
    <mergeCell ref="BG77:BK77"/>
    <mergeCell ref="AN77:AP77"/>
    <mergeCell ref="BO76:BQ76"/>
    <mergeCell ref="G77:N77"/>
    <mergeCell ref="O77:S77"/>
    <mergeCell ref="T77:AA77"/>
    <mergeCell ref="AB77:AF77"/>
    <mergeCell ref="AG77:AM77"/>
    <mergeCell ref="O78:S78"/>
    <mergeCell ref="T78:AA78"/>
    <mergeCell ref="AB78:AF78"/>
    <mergeCell ref="AG78:AM78"/>
    <mergeCell ref="C81:E83"/>
    <mergeCell ref="F81:I82"/>
    <mergeCell ref="N83:R83"/>
    <mergeCell ref="S83:V83"/>
    <mergeCell ref="W83:Z83"/>
    <mergeCell ref="AA83:AC83"/>
    <mergeCell ref="AN78:AP78"/>
    <mergeCell ref="AQ78:AS78"/>
    <mergeCell ref="AT78:AW78"/>
    <mergeCell ref="AX78:AZ78"/>
    <mergeCell ref="BA78:BF78"/>
    <mergeCell ref="BG78:BJ78"/>
    <mergeCell ref="S82:V82"/>
    <mergeCell ref="W82:Z82"/>
    <mergeCell ref="AQ82:AS82"/>
    <mergeCell ref="BD82:BF82"/>
    <mergeCell ref="BR82:BT82"/>
    <mergeCell ref="AN81:AP82"/>
    <mergeCell ref="AQ81:AS81"/>
    <mergeCell ref="AT81:AZ83"/>
    <mergeCell ref="BA81:BC82"/>
    <mergeCell ref="BD81:BF81"/>
    <mergeCell ref="BR83:BT83"/>
    <mergeCell ref="BR81:BT81"/>
    <mergeCell ref="J81:M82"/>
    <mergeCell ref="N81:R82"/>
    <mergeCell ref="S81:Z81"/>
    <mergeCell ref="AA81:AC82"/>
    <mergeCell ref="C75:F76"/>
    <mergeCell ref="AD83:AF83"/>
    <mergeCell ref="AN83:AP83"/>
    <mergeCell ref="AQ83:AS83"/>
    <mergeCell ref="BA83:BC83"/>
    <mergeCell ref="BD83:BF83"/>
    <mergeCell ref="BO83:BQ83"/>
    <mergeCell ref="F83:I83"/>
    <mergeCell ref="J83:M83"/>
    <mergeCell ref="AQ77:AS77"/>
    <mergeCell ref="AQ76:AS76"/>
    <mergeCell ref="AT76:AZ76"/>
    <mergeCell ref="BA76:BC76"/>
    <mergeCell ref="BD76:BF76"/>
    <mergeCell ref="BG76:BN76"/>
    <mergeCell ref="C77:F78"/>
    <mergeCell ref="AD81:AF82"/>
    <mergeCell ref="AG81:AM83"/>
    <mergeCell ref="BO81:BQ82"/>
    <mergeCell ref="G78:N78"/>
    <mergeCell ref="CV84:CX84"/>
    <mergeCell ref="C85:E85"/>
    <mergeCell ref="F85:I85"/>
    <mergeCell ref="J85:M85"/>
    <mergeCell ref="N85:R85"/>
    <mergeCell ref="S85:V85"/>
    <mergeCell ref="W85:Z85"/>
    <mergeCell ref="AA85:AC85"/>
    <mergeCell ref="AD85:AF85"/>
    <mergeCell ref="AG85:AM85"/>
    <mergeCell ref="AN85:AP85"/>
    <mergeCell ref="AQ85:AU85"/>
    <mergeCell ref="AV85:AY85"/>
    <mergeCell ref="AZ85:BB85"/>
    <mergeCell ref="BC85:BF85"/>
    <mergeCell ref="BG85:BI85"/>
    <mergeCell ref="C84:E84"/>
    <mergeCell ref="F84:O84"/>
    <mergeCell ref="P84:S84"/>
    <mergeCell ref="U84:X84"/>
    <mergeCell ref="CL84:CN84"/>
    <mergeCell ref="CO84:CQ84"/>
    <mergeCell ref="O88:S88"/>
    <mergeCell ref="T88:AA88"/>
    <mergeCell ref="AB87:AF87"/>
    <mergeCell ref="AG87:AM87"/>
    <mergeCell ref="AB88:AF88"/>
    <mergeCell ref="AG88:AM88"/>
    <mergeCell ref="AN86:AP86"/>
    <mergeCell ref="AN88:AP88"/>
    <mergeCell ref="AN87:AP87"/>
    <mergeCell ref="CR84:CT84"/>
    <mergeCell ref="Y84:AC84"/>
    <mergeCell ref="AD84:AG84"/>
    <mergeCell ref="AH84:AL84"/>
    <mergeCell ref="AM84:AP84"/>
    <mergeCell ref="AQ84:AV84"/>
    <mergeCell ref="AX84:BC84"/>
    <mergeCell ref="C86:F86"/>
    <mergeCell ref="G86:N86"/>
    <mergeCell ref="O86:S86"/>
    <mergeCell ref="T86:AA86"/>
    <mergeCell ref="BG86:BN86"/>
    <mergeCell ref="CV87:CX87"/>
    <mergeCell ref="AQ87:AS87"/>
    <mergeCell ref="AT87:AZ87"/>
    <mergeCell ref="BA87:BC87"/>
    <mergeCell ref="BD87:BF87"/>
    <mergeCell ref="BG87:BN87"/>
    <mergeCell ref="CR85:CT85"/>
    <mergeCell ref="CV85:CX85"/>
    <mergeCell ref="AQ88:AS88"/>
    <mergeCell ref="AT88:AZ88"/>
    <mergeCell ref="BA88:BC88"/>
    <mergeCell ref="BD88:BF88"/>
    <mergeCell ref="BG88:BN88"/>
    <mergeCell ref="BO88:BQ88"/>
    <mergeCell ref="BO87:BQ87"/>
    <mergeCell ref="BR87:BT87"/>
    <mergeCell ref="AQ86:AS86"/>
    <mergeCell ref="AT86:AZ86"/>
    <mergeCell ref="BA86:BC86"/>
    <mergeCell ref="BD86:BF86"/>
    <mergeCell ref="CV86:CX86"/>
    <mergeCell ref="BR88:BT88"/>
    <mergeCell ref="BJ85:BQ85"/>
    <mergeCell ref="BR85:BT85"/>
    <mergeCell ref="BO86:BQ86"/>
    <mergeCell ref="BR86:BT86"/>
    <mergeCell ref="AQ90:AS90"/>
    <mergeCell ref="BD89:BF89"/>
    <mergeCell ref="G90:N90"/>
    <mergeCell ref="O90:S90"/>
    <mergeCell ref="T90:AA90"/>
    <mergeCell ref="AB90:AF90"/>
    <mergeCell ref="AG90:AM90"/>
    <mergeCell ref="AN89:AP89"/>
    <mergeCell ref="AN90:AP90"/>
    <mergeCell ref="AZ89:BB89"/>
    <mergeCell ref="C89:F90"/>
    <mergeCell ref="G89:N89"/>
    <mergeCell ref="O89:S89"/>
    <mergeCell ref="T89:AA89"/>
    <mergeCell ref="AB89:AF89"/>
    <mergeCell ref="AG89:AM89"/>
    <mergeCell ref="CR86:CT86"/>
    <mergeCell ref="AB86:AF86"/>
    <mergeCell ref="AG86:AM86"/>
    <mergeCell ref="CR87:CT87"/>
    <mergeCell ref="BG89:BK89"/>
    <mergeCell ref="BL89:BO89"/>
    <mergeCell ref="BQ89:BT89"/>
    <mergeCell ref="BA90:BF90"/>
    <mergeCell ref="BG90:BJ90"/>
    <mergeCell ref="AQ89:AS89"/>
    <mergeCell ref="BQ90:BT90"/>
    <mergeCell ref="G87:N87"/>
    <mergeCell ref="O87:S87"/>
    <mergeCell ref="T87:AA87"/>
    <mergeCell ref="C87:F88"/>
    <mergeCell ref="G88:N88"/>
    <mergeCell ref="CL92:CN92"/>
    <mergeCell ref="CO92:CQ92"/>
    <mergeCell ref="Y92:AC92"/>
    <mergeCell ref="AD92:AG92"/>
    <mergeCell ref="AH92:AL92"/>
    <mergeCell ref="AM92:AP92"/>
    <mergeCell ref="BC93:BF93"/>
    <mergeCell ref="CR92:CT92"/>
    <mergeCell ref="CV92:CX92"/>
    <mergeCell ref="C93:E93"/>
    <mergeCell ref="F93:I93"/>
    <mergeCell ref="J93:M93"/>
    <mergeCell ref="N93:R93"/>
    <mergeCell ref="S93:V93"/>
    <mergeCell ref="W93:Z93"/>
    <mergeCell ref="AA93:AC93"/>
    <mergeCell ref="CR93:CT93"/>
    <mergeCell ref="CV93:CX93"/>
    <mergeCell ref="AN93:AP93"/>
    <mergeCell ref="AQ93:AU93"/>
    <mergeCell ref="AV93:AY93"/>
    <mergeCell ref="AZ93:BB93"/>
    <mergeCell ref="C94:F94"/>
    <mergeCell ref="G94:N94"/>
    <mergeCell ref="O94:S94"/>
    <mergeCell ref="T94:AA94"/>
    <mergeCell ref="AB94:AF94"/>
    <mergeCell ref="AG93:AM93"/>
    <mergeCell ref="AT94:AZ94"/>
    <mergeCell ref="BA94:BC94"/>
    <mergeCell ref="BD94:BF94"/>
    <mergeCell ref="C92:E92"/>
    <mergeCell ref="F92:O92"/>
    <mergeCell ref="P92:S92"/>
    <mergeCell ref="AN94:AP94"/>
    <mergeCell ref="AQ94:AS94"/>
    <mergeCell ref="BO96:BQ96"/>
    <mergeCell ref="BR96:BT96"/>
    <mergeCell ref="BR95:BT95"/>
    <mergeCell ref="AN96:AP96"/>
    <mergeCell ref="AQ96:AS96"/>
    <mergeCell ref="BD96:BF96"/>
    <mergeCell ref="BG96:BN96"/>
    <mergeCell ref="BG95:BN95"/>
    <mergeCell ref="BG94:BN94"/>
    <mergeCell ref="BO94:BQ94"/>
    <mergeCell ref="BR94:BT94"/>
    <mergeCell ref="BJ93:BQ93"/>
    <mergeCell ref="BR93:BT93"/>
    <mergeCell ref="AQ92:AV92"/>
    <mergeCell ref="U92:X92"/>
    <mergeCell ref="BA95:BC95"/>
    <mergeCell ref="BD95:BF95"/>
    <mergeCell ref="BA96:BC96"/>
    <mergeCell ref="CR94:CT94"/>
    <mergeCell ref="CV94:CX94"/>
    <mergeCell ref="G95:N95"/>
    <mergeCell ref="O95:S95"/>
    <mergeCell ref="T95:AA95"/>
    <mergeCell ref="AB95:AF95"/>
    <mergeCell ref="AG94:AM94"/>
    <mergeCell ref="CR95:CT95"/>
    <mergeCell ref="CV95:CX95"/>
    <mergeCell ref="G96:N96"/>
    <mergeCell ref="O96:S96"/>
    <mergeCell ref="T96:AA96"/>
    <mergeCell ref="AB96:AF96"/>
    <mergeCell ref="AG96:AM96"/>
    <mergeCell ref="AG95:AM95"/>
    <mergeCell ref="AN95:AP95"/>
    <mergeCell ref="AQ95:AS95"/>
    <mergeCell ref="AT96:AZ96"/>
    <mergeCell ref="AT95:AZ95"/>
    <mergeCell ref="G97:N97"/>
    <mergeCell ref="O97:S97"/>
    <mergeCell ref="T97:AA97"/>
    <mergeCell ref="AG97:AM97"/>
    <mergeCell ref="AN97:AP97"/>
    <mergeCell ref="AQ97:AS97"/>
    <mergeCell ref="T98:AA98"/>
    <mergeCell ref="AB98:AF98"/>
    <mergeCell ref="AG98:AM98"/>
    <mergeCell ref="AN98:AP98"/>
    <mergeCell ref="BA98:BF98"/>
    <mergeCell ref="BG98:BJ98"/>
    <mergeCell ref="BQ98:BT98"/>
    <mergeCell ref="AD93:AF93"/>
    <mergeCell ref="AX92:BC92"/>
    <mergeCell ref="BD92:BG92"/>
    <mergeCell ref="BH92:BM92"/>
    <mergeCell ref="BO92:BT92"/>
    <mergeCell ref="BD97:BF97"/>
    <mergeCell ref="AQ98:AS98"/>
    <mergeCell ref="BK98:BP98"/>
    <mergeCell ref="BG93:BI93"/>
    <mergeCell ref="BO95:BQ95"/>
    <mergeCell ref="AT97:AY97"/>
    <mergeCell ref="AZ97:BB97"/>
    <mergeCell ref="BG97:BK97"/>
    <mergeCell ref="BL97:BO97"/>
    <mergeCell ref="BQ97:BT97"/>
    <mergeCell ref="G98:N98"/>
    <mergeCell ref="O98:S98"/>
    <mergeCell ref="G102:N102"/>
    <mergeCell ref="O102:S102"/>
    <mergeCell ref="AQ101:AU101"/>
    <mergeCell ref="AV101:AY101"/>
    <mergeCell ref="AZ101:BB101"/>
    <mergeCell ref="BC101:BF101"/>
    <mergeCell ref="C100:E100"/>
    <mergeCell ref="F100:O100"/>
    <mergeCell ref="P100:S100"/>
    <mergeCell ref="U100:X100"/>
    <mergeCell ref="AD101:AF101"/>
    <mergeCell ref="AG101:AM101"/>
    <mergeCell ref="J101:M101"/>
    <mergeCell ref="N101:R101"/>
    <mergeCell ref="S101:V101"/>
    <mergeCell ref="W101:Z101"/>
    <mergeCell ref="BD100:BG100"/>
    <mergeCell ref="BG101:BI101"/>
    <mergeCell ref="AN102:AP102"/>
    <mergeCell ref="AQ102:AS102"/>
    <mergeCell ref="AT102:AZ102"/>
    <mergeCell ref="BA102:BC102"/>
    <mergeCell ref="BD102:BF102"/>
    <mergeCell ref="BG102:BN102"/>
    <mergeCell ref="C102:F102"/>
    <mergeCell ref="C101:E101"/>
    <mergeCell ref="F101:I101"/>
    <mergeCell ref="CV103:CX103"/>
    <mergeCell ref="AT103:AZ103"/>
    <mergeCell ref="BA103:BC103"/>
    <mergeCell ref="BD103:BF103"/>
    <mergeCell ref="BG103:BN103"/>
    <mergeCell ref="CR100:CT100"/>
    <mergeCell ref="AQ100:AV100"/>
    <mergeCell ref="BO102:BQ102"/>
    <mergeCell ref="CR102:CT102"/>
    <mergeCell ref="CV102:CX102"/>
    <mergeCell ref="CV100:CX100"/>
    <mergeCell ref="T102:AA102"/>
    <mergeCell ref="AB102:AF102"/>
    <mergeCell ref="AG102:AM102"/>
    <mergeCell ref="AN101:AP101"/>
    <mergeCell ref="AX100:BC100"/>
    <mergeCell ref="BJ101:BQ101"/>
    <mergeCell ref="CV101:CX101"/>
    <mergeCell ref="BO103:BQ103"/>
    <mergeCell ref="BR103:BT103"/>
    <mergeCell ref="BR102:BT102"/>
    <mergeCell ref="BH100:BM100"/>
    <mergeCell ref="BR101:BT101"/>
    <mergeCell ref="CR101:CT101"/>
    <mergeCell ref="CR103:CT103"/>
    <mergeCell ref="G104:N104"/>
    <mergeCell ref="O104:S104"/>
    <mergeCell ref="T104:AA104"/>
    <mergeCell ref="AB104:AF104"/>
    <mergeCell ref="AG104:AM104"/>
    <mergeCell ref="AN104:AP104"/>
    <mergeCell ref="AN103:AP103"/>
    <mergeCell ref="AQ103:AS103"/>
    <mergeCell ref="AQ105:AS105"/>
    <mergeCell ref="F108:O108"/>
    <mergeCell ref="P108:S108"/>
    <mergeCell ref="U108:X108"/>
    <mergeCell ref="CL100:CN100"/>
    <mergeCell ref="CO100:CQ100"/>
    <mergeCell ref="Y100:AC100"/>
    <mergeCell ref="AD100:AG100"/>
    <mergeCell ref="AH100:AL100"/>
    <mergeCell ref="AM100:AP100"/>
    <mergeCell ref="G105:N105"/>
    <mergeCell ref="O105:S105"/>
    <mergeCell ref="T105:AA105"/>
    <mergeCell ref="AB105:AF105"/>
    <mergeCell ref="AG105:AM105"/>
    <mergeCell ref="AN105:AP105"/>
    <mergeCell ref="AA101:AC101"/>
    <mergeCell ref="BO100:BT100"/>
    <mergeCell ref="AQ104:AS104"/>
    <mergeCell ref="AT104:AZ104"/>
    <mergeCell ref="BA104:BC104"/>
    <mergeCell ref="CL108:CN108"/>
    <mergeCell ref="CO108:CQ108"/>
    <mergeCell ref="G103:N103"/>
    <mergeCell ref="O103:S103"/>
    <mergeCell ref="T103:AA103"/>
    <mergeCell ref="AB103:AF103"/>
    <mergeCell ref="AG103:AM103"/>
    <mergeCell ref="BR104:BT104"/>
    <mergeCell ref="BG105:BK105"/>
    <mergeCell ref="T106:AA106"/>
    <mergeCell ref="AB106:AF106"/>
    <mergeCell ref="C109:E109"/>
    <mergeCell ref="F109:I109"/>
    <mergeCell ref="J109:M109"/>
    <mergeCell ref="N109:R109"/>
    <mergeCell ref="S109:V109"/>
    <mergeCell ref="W109:Z109"/>
    <mergeCell ref="AA109:AC109"/>
    <mergeCell ref="AD109:AF109"/>
    <mergeCell ref="BD104:BF104"/>
    <mergeCell ref="BG104:BN104"/>
    <mergeCell ref="BO104:BQ104"/>
    <mergeCell ref="AT105:AY105"/>
    <mergeCell ref="AZ105:BB105"/>
    <mergeCell ref="BJ109:BQ109"/>
    <mergeCell ref="BR109:BT109"/>
    <mergeCell ref="BQ106:BT106"/>
    <mergeCell ref="BG109:BI109"/>
    <mergeCell ref="G106:N106"/>
    <mergeCell ref="O106:S106"/>
    <mergeCell ref="BH108:BM108"/>
    <mergeCell ref="BO108:BT108"/>
    <mergeCell ref="AG106:AM106"/>
    <mergeCell ref="BD108:BG108"/>
    <mergeCell ref="BL105:BO105"/>
    <mergeCell ref="CR108:CT108"/>
    <mergeCell ref="CV108:CX108"/>
    <mergeCell ref="BC109:BF109"/>
    <mergeCell ref="CR110:CT110"/>
    <mergeCell ref="CV110:CX110"/>
    <mergeCell ref="BG110:BN110"/>
    <mergeCell ref="BO110:BQ110"/>
    <mergeCell ref="BR110:BT110"/>
    <mergeCell ref="BG111:BN111"/>
    <mergeCell ref="BO111:BQ111"/>
    <mergeCell ref="CR109:CT109"/>
    <mergeCell ref="CR111:CT111"/>
    <mergeCell ref="CV111:CX111"/>
    <mergeCell ref="BA111:BC111"/>
    <mergeCell ref="BD111:BF111"/>
    <mergeCell ref="BQ105:BT105"/>
    <mergeCell ref="C108:E108"/>
    <mergeCell ref="AD108:AG108"/>
    <mergeCell ref="AH108:AL108"/>
    <mergeCell ref="AM108:AP108"/>
    <mergeCell ref="AQ108:AV108"/>
    <mergeCell ref="AN106:AP106"/>
    <mergeCell ref="AQ106:AS106"/>
    <mergeCell ref="BD105:BF105"/>
    <mergeCell ref="AX108:BC108"/>
    <mergeCell ref="BR111:BT111"/>
    <mergeCell ref="AB110:AF110"/>
    <mergeCell ref="AG109:AM109"/>
    <mergeCell ref="AN109:AP109"/>
    <mergeCell ref="AQ109:AU109"/>
    <mergeCell ref="AV109:AY109"/>
    <mergeCell ref="AZ109:BB109"/>
    <mergeCell ref="AB111:AF111"/>
    <mergeCell ref="AG110:AM110"/>
    <mergeCell ref="AN110:AP110"/>
    <mergeCell ref="AQ110:AS110"/>
    <mergeCell ref="G112:N112"/>
    <mergeCell ref="O112:S112"/>
    <mergeCell ref="T112:AA112"/>
    <mergeCell ref="AB112:AF112"/>
    <mergeCell ref="AN111:AP111"/>
    <mergeCell ref="AQ111:AS111"/>
    <mergeCell ref="AT111:AZ111"/>
    <mergeCell ref="O111:S111"/>
    <mergeCell ref="Y116:AC116"/>
    <mergeCell ref="AD116:AG116"/>
    <mergeCell ref="AH116:AL116"/>
    <mergeCell ref="AM116:AP116"/>
    <mergeCell ref="CV109:CX109"/>
    <mergeCell ref="AT110:AZ110"/>
    <mergeCell ref="BA110:BC110"/>
    <mergeCell ref="BD110:BF110"/>
    <mergeCell ref="BR112:BT112"/>
    <mergeCell ref="AN112:AP112"/>
    <mergeCell ref="AQ112:AS112"/>
    <mergeCell ref="AT112:AZ112"/>
    <mergeCell ref="BA112:BC112"/>
    <mergeCell ref="AG111:AM111"/>
    <mergeCell ref="BL113:BO113"/>
    <mergeCell ref="BQ113:BT113"/>
    <mergeCell ref="BG112:BN112"/>
    <mergeCell ref="AN113:AP113"/>
    <mergeCell ref="AQ113:AS113"/>
    <mergeCell ref="AQ114:AS114"/>
    <mergeCell ref="C113:F114"/>
    <mergeCell ref="G113:N113"/>
    <mergeCell ref="O113:S113"/>
    <mergeCell ref="BJ117:BQ117"/>
    <mergeCell ref="BR117:BT117"/>
    <mergeCell ref="CR117:CT117"/>
    <mergeCell ref="CV117:CX117"/>
    <mergeCell ref="T113:AA113"/>
    <mergeCell ref="AB113:AF113"/>
    <mergeCell ref="AG113:AM113"/>
    <mergeCell ref="AG118:AM118"/>
    <mergeCell ref="AN117:AP117"/>
    <mergeCell ref="AQ117:AU117"/>
    <mergeCell ref="AV117:AY117"/>
    <mergeCell ref="AZ117:BB117"/>
    <mergeCell ref="BC117:BF117"/>
    <mergeCell ref="BD112:BF112"/>
    <mergeCell ref="AG112:AM112"/>
    <mergeCell ref="BG117:BI117"/>
    <mergeCell ref="N117:R117"/>
    <mergeCell ref="S117:V117"/>
    <mergeCell ref="W117:Z117"/>
    <mergeCell ref="BA114:BF114"/>
    <mergeCell ref="BG114:BJ114"/>
    <mergeCell ref="AT113:AY113"/>
    <mergeCell ref="AZ113:BB113"/>
    <mergeCell ref="BG113:BK113"/>
    <mergeCell ref="CV116:CX116"/>
    <mergeCell ref="CL116:CN116"/>
    <mergeCell ref="CO116:CQ116"/>
    <mergeCell ref="CR116:CT116"/>
    <mergeCell ref="AQ116:AV116"/>
    <mergeCell ref="G114:N114"/>
    <mergeCell ref="O114:S114"/>
    <mergeCell ref="T114:AA114"/>
    <mergeCell ref="AB114:AF114"/>
    <mergeCell ref="AG114:AM114"/>
    <mergeCell ref="AN114:AP114"/>
    <mergeCell ref="CR119:CT119"/>
    <mergeCell ref="CV119:CX119"/>
    <mergeCell ref="G119:N119"/>
    <mergeCell ref="O119:S119"/>
    <mergeCell ref="T119:AA119"/>
    <mergeCell ref="AB119:AF119"/>
    <mergeCell ref="AG119:AM119"/>
    <mergeCell ref="AN118:AP118"/>
    <mergeCell ref="C116:E116"/>
    <mergeCell ref="F116:O116"/>
    <mergeCell ref="P116:S116"/>
    <mergeCell ref="U116:X116"/>
    <mergeCell ref="CR118:CT118"/>
    <mergeCell ref="CV118:CX118"/>
    <mergeCell ref="AQ118:AS118"/>
    <mergeCell ref="AT118:AZ118"/>
    <mergeCell ref="BA118:BC118"/>
    <mergeCell ref="BD118:BF118"/>
    <mergeCell ref="AA117:AC117"/>
    <mergeCell ref="AD117:AF117"/>
    <mergeCell ref="AG117:AM117"/>
    <mergeCell ref="BD116:BG116"/>
    <mergeCell ref="BH116:BM116"/>
    <mergeCell ref="BO116:BT116"/>
    <mergeCell ref="BD119:BF119"/>
    <mergeCell ref="BG119:BN119"/>
    <mergeCell ref="C117:E117"/>
    <mergeCell ref="F117:I117"/>
    <mergeCell ref="J117:M117"/>
    <mergeCell ref="C125:E125"/>
    <mergeCell ref="F125:I125"/>
    <mergeCell ref="J125:M125"/>
    <mergeCell ref="N125:R125"/>
    <mergeCell ref="S125:V125"/>
    <mergeCell ref="W125:Z125"/>
    <mergeCell ref="G120:N120"/>
    <mergeCell ref="O120:S120"/>
    <mergeCell ref="T120:AA120"/>
    <mergeCell ref="AB120:AF120"/>
    <mergeCell ref="CR124:CT124"/>
    <mergeCell ref="F124:O124"/>
    <mergeCell ref="P124:S124"/>
    <mergeCell ref="U124:X124"/>
    <mergeCell ref="BO124:BT124"/>
    <mergeCell ref="AQ120:AS120"/>
    <mergeCell ref="AT120:AZ120"/>
    <mergeCell ref="BA120:BC120"/>
    <mergeCell ref="BD120:BF120"/>
    <mergeCell ref="BG120:BN120"/>
    <mergeCell ref="BO120:BQ120"/>
    <mergeCell ref="AT121:AY121"/>
    <mergeCell ref="AZ121:BB121"/>
    <mergeCell ref="BG121:BK121"/>
    <mergeCell ref="BL121:BO121"/>
    <mergeCell ref="BD121:BF121"/>
    <mergeCell ref="BR118:BT118"/>
    <mergeCell ref="BA122:BF122"/>
    <mergeCell ref="BG122:BJ122"/>
    <mergeCell ref="AG120:AM120"/>
    <mergeCell ref="AN120:AP120"/>
    <mergeCell ref="AD124:AG124"/>
    <mergeCell ref="AH124:AL124"/>
    <mergeCell ref="AM124:AP124"/>
    <mergeCell ref="AQ124:AV124"/>
    <mergeCell ref="AQ121:AS121"/>
    <mergeCell ref="AN125:AP125"/>
    <mergeCell ref="AX124:BC124"/>
    <mergeCell ref="BD124:BG124"/>
    <mergeCell ref="BH124:BM124"/>
    <mergeCell ref="AN126:AP126"/>
    <mergeCell ref="AQ126:AS126"/>
    <mergeCell ref="AT126:AZ126"/>
    <mergeCell ref="BA126:BC126"/>
    <mergeCell ref="BD126:BF126"/>
    <mergeCell ref="AN119:AP119"/>
    <mergeCell ref="AQ119:AS119"/>
    <mergeCell ref="AT119:AZ119"/>
    <mergeCell ref="O121:S121"/>
    <mergeCell ref="T121:AA121"/>
    <mergeCell ref="AB121:AF121"/>
    <mergeCell ref="AG121:AM121"/>
    <mergeCell ref="AN121:AP121"/>
    <mergeCell ref="AG122:AM122"/>
    <mergeCell ref="CO124:CQ124"/>
    <mergeCell ref="CR126:CT126"/>
    <mergeCell ref="CV126:CX126"/>
    <mergeCell ref="Y124:AC124"/>
    <mergeCell ref="AG126:AM126"/>
    <mergeCell ref="BK122:BP122"/>
    <mergeCell ref="BQ122:BT122"/>
    <mergeCell ref="BG125:BI125"/>
    <mergeCell ref="BJ125:BQ125"/>
    <mergeCell ref="CV124:CX124"/>
    <mergeCell ref="BQ121:BT121"/>
    <mergeCell ref="AN122:AP122"/>
    <mergeCell ref="AQ122:AS122"/>
    <mergeCell ref="AB122:AF122"/>
    <mergeCell ref="CR125:CT125"/>
    <mergeCell ref="CV125:CX125"/>
    <mergeCell ref="BO126:BQ126"/>
    <mergeCell ref="BR126:BT126"/>
    <mergeCell ref="AA125:AC125"/>
    <mergeCell ref="CL124:CN124"/>
    <mergeCell ref="C124:E124"/>
    <mergeCell ref="AQ125:AU125"/>
    <mergeCell ref="AV125:AY125"/>
    <mergeCell ref="AZ125:BB125"/>
    <mergeCell ref="BC125:BF125"/>
    <mergeCell ref="C127:F128"/>
    <mergeCell ref="BG127:BN127"/>
    <mergeCell ref="BO127:BQ127"/>
    <mergeCell ref="AT127:AZ127"/>
    <mergeCell ref="BA127:BC127"/>
    <mergeCell ref="C126:F126"/>
    <mergeCell ref="G126:N126"/>
    <mergeCell ref="O126:S126"/>
    <mergeCell ref="T126:AA126"/>
    <mergeCell ref="AB126:AF126"/>
    <mergeCell ref="AG125:AM125"/>
    <mergeCell ref="AD125:AF125"/>
    <mergeCell ref="G127:N127"/>
    <mergeCell ref="O127:S127"/>
    <mergeCell ref="T127:AA127"/>
    <mergeCell ref="AB127:AF127"/>
    <mergeCell ref="C132:E132"/>
    <mergeCell ref="F132:O132"/>
    <mergeCell ref="N133:R133"/>
    <mergeCell ref="S133:V133"/>
    <mergeCell ref="W133:Z133"/>
    <mergeCell ref="Y132:AC132"/>
    <mergeCell ref="AD132:AG132"/>
    <mergeCell ref="AH132:AL132"/>
    <mergeCell ref="AM132:AP132"/>
    <mergeCell ref="CR127:CT127"/>
    <mergeCell ref="CV127:CX127"/>
    <mergeCell ref="G128:N128"/>
    <mergeCell ref="O128:S128"/>
    <mergeCell ref="T128:AA128"/>
    <mergeCell ref="AB128:AF128"/>
    <mergeCell ref="AG128:AM128"/>
    <mergeCell ref="AG127:AM127"/>
    <mergeCell ref="AN127:AP127"/>
    <mergeCell ref="AQ127:AS127"/>
    <mergeCell ref="AN128:AP128"/>
    <mergeCell ref="AQ128:AS128"/>
    <mergeCell ref="AT128:AZ128"/>
    <mergeCell ref="BA128:BC128"/>
    <mergeCell ref="BD128:BF128"/>
    <mergeCell ref="BD127:BF127"/>
    <mergeCell ref="AQ130:AS130"/>
    <mergeCell ref="G130:N130"/>
    <mergeCell ref="O130:S130"/>
    <mergeCell ref="T130:AA130"/>
    <mergeCell ref="AB130:AF130"/>
    <mergeCell ref="AG130:AM130"/>
    <mergeCell ref="AN130:AP130"/>
    <mergeCell ref="AQ129:AS129"/>
    <mergeCell ref="AT129:AY129"/>
    <mergeCell ref="AZ129:BB129"/>
    <mergeCell ref="P132:S132"/>
    <mergeCell ref="U132:X132"/>
    <mergeCell ref="BQ130:BT130"/>
    <mergeCell ref="CV132:CX132"/>
    <mergeCell ref="CL132:CN132"/>
    <mergeCell ref="CO132:CQ132"/>
    <mergeCell ref="CR132:CT132"/>
    <mergeCell ref="AQ132:AV132"/>
    <mergeCell ref="BC133:BF133"/>
    <mergeCell ref="BG133:BI133"/>
    <mergeCell ref="C129:F130"/>
    <mergeCell ref="G129:N129"/>
    <mergeCell ref="O129:S129"/>
    <mergeCell ref="T129:AA129"/>
    <mergeCell ref="AB129:AF129"/>
    <mergeCell ref="AG129:AM129"/>
    <mergeCell ref="AN129:AP129"/>
    <mergeCell ref="BG129:BK129"/>
    <mergeCell ref="BL129:BO129"/>
    <mergeCell ref="BQ129:BT129"/>
    <mergeCell ref="AX132:BC132"/>
    <mergeCell ref="AN133:AP133"/>
    <mergeCell ref="AQ133:AU133"/>
    <mergeCell ref="AV133:AY133"/>
    <mergeCell ref="F133:I133"/>
    <mergeCell ref="J133:M133"/>
    <mergeCell ref="C133:E133"/>
    <mergeCell ref="BJ133:BQ133"/>
    <mergeCell ref="BR133:BT133"/>
    <mergeCell ref="AA133:AC133"/>
    <mergeCell ref="AD133:AF133"/>
    <mergeCell ref="AG133:AM133"/>
    <mergeCell ref="C134:F134"/>
    <mergeCell ref="G134:N134"/>
    <mergeCell ref="O134:S134"/>
    <mergeCell ref="T134:AA134"/>
    <mergeCell ref="AB134:AF134"/>
    <mergeCell ref="AG134:AM134"/>
    <mergeCell ref="CR133:CT133"/>
    <mergeCell ref="CV133:CX133"/>
    <mergeCell ref="BO135:BQ135"/>
    <mergeCell ref="BR135:BT135"/>
    <mergeCell ref="AT134:AZ134"/>
    <mergeCell ref="BA134:BC134"/>
    <mergeCell ref="AG136:AM136"/>
    <mergeCell ref="AN136:AP136"/>
    <mergeCell ref="AN135:AP135"/>
    <mergeCell ref="G135:N135"/>
    <mergeCell ref="O135:S135"/>
    <mergeCell ref="T135:AA135"/>
    <mergeCell ref="AB135:AF135"/>
    <mergeCell ref="AG135:AM135"/>
    <mergeCell ref="BO134:BQ134"/>
    <mergeCell ref="CR135:CT135"/>
    <mergeCell ref="CR134:CT134"/>
    <mergeCell ref="CV134:CX134"/>
    <mergeCell ref="AQ135:AS135"/>
    <mergeCell ref="AT135:AZ135"/>
    <mergeCell ref="BA135:BC135"/>
    <mergeCell ref="CV135:CX135"/>
    <mergeCell ref="CV140:CX140"/>
    <mergeCell ref="AN134:AP134"/>
    <mergeCell ref="AQ134:AS134"/>
    <mergeCell ref="G138:N138"/>
    <mergeCell ref="O138:S138"/>
    <mergeCell ref="T138:AA138"/>
    <mergeCell ref="AB138:AF138"/>
    <mergeCell ref="AG138:AM138"/>
    <mergeCell ref="C137:F138"/>
    <mergeCell ref="G137:N137"/>
    <mergeCell ref="O137:S137"/>
    <mergeCell ref="T137:AA137"/>
    <mergeCell ref="AB137:AF137"/>
    <mergeCell ref="BQ137:BT137"/>
    <mergeCell ref="AM140:AP140"/>
    <mergeCell ref="AQ140:AV140"/>
    <mergeCell ref="AN138:AP138"/>
    <mergeCell ref="AQ138:AS138"/>
    <mergeCell ref="BD137:BF137"/>
    <mergeCell ref="AG137:AM137"/>
    <mergeCell ref="AN137:AP137"/>
    <mergeCell ref="AQ137:AS137"/>
    <mergeCell ref="BH140:BM140"/>
    <mergeCell ref="Y140:AC140"/>
    <mergeCell ref="AD140:AG140"/>
    <mergeCell ref="AH140:AL140"/>
    <mergeCell ref="C135:F136"/>
    <mergeCell ref="BO140:BT140"/>
    <mergeCell ref="G136:N136"/>
    <mergeCell ref="O136:S136"/>
    <mergeCell ref="T136:AA136"/>
    <mergeCell ref="AB136:AF136"/>
    <mergeCell ref="J141:M141"/>
    <mergeCell ref="N141:R141"/>
    <mergeCell ref="S141:V141"/>
    <mergeCell ref="W141:Z141"/>
    <mergeCell ref="AA141:AC141"/>
    <mergeCell ref="AD141:AF141"/>
    <mergeCell ref="AX140:BC140"/>
    <mergeCell ref="CV141:CX141"/>
    <mergeCell ref="CR142:CT142"/>
    <mergeCell ref="CV142:CX142"/>
    <mergeCell ref="C142:F142"/>
    <mergeCell ref="G142:N142"/>
    <mergeCell ref="O142:S142"/>
    <mergeCell ref="T142:AA142"/>
    <mergeCell ref="AB142:AF142"/>
    <mergeCell ref="AG141:AM141"/>
    <mergeCell ref="AN141:AP141"/>
    <mergeCell ref="AQ141:AU141"/>
    <mergeCell ref="AV141:AY141"/>
    <mergeCell ref="C140:E140"/>
    <mergeCell ref="F140:O140"/>
    <mergeCell ref="P140:S140"/>
    <mergeCell ref="U140:X140"/>
    <mergeCell ref="CR141:CT141"/>
    <mergeCell ref="AZ141:BB141"/>
    <mergeCell ref="BC141:BF141"/>
    <mergeCell ref="CR140:CT140"/>
    <mergeCell ref="BD140:BG140"/>
    <mergeCell ref="CL140:CN140"/>
    <mergeCell ref="CO140:CQ140"/>
    <mergeCell ref="C141:E141"/>
    <mergeCell ref="F141:I141"/>
    <mergeCell ref="G143:N143"/>
    <mergeCell ref="O143:S143"/>
    <mergeCell ref="T143:AA143"/>
    <mergeCell ref="AB143:AF143"/>
    <mergeCell ref="AG142:AM142"/>
    <mergeCell ref="AN142:AP142"/>
    <mergeCell ref="AQ142:AS142"/>
    <mergeCell ref="AT142:AZ142"/>
    <mergeCell ref="AT143:AZ143"/>
    <mergeCell ref="BA143:BC143"/>
    <mergeCell ref="BD143:BF143"/>
    <mergeCell ref="BG142:BN142"/>
    <mergeCell ref="BO142:BQ142"/>
    <mergeCell ref="BR142:BT142"/>
    <mergeCell ref="BA142:BC142"/>
    <mergeCell ref="BD142:BF142"/>
    <mergeCell ref="CR143:CT143"/>
    <mergeCell ref="CV143:CX143"/>
    <mergeCell ref="AG143:AM143"/>
    <mergeCell ref="AN143:AP143"/>
    <mergeCell ref="AQ143:AS143"/>
    <mergeCell ref="BA146:BF146"/>
    <mergeCell ref="BD148:BG148"/>
    <mergeCell ref="C143:F144"/>
    <mergeCell ref="BG143:BN143"/>
    <mergeCell ref="BO143:BQ143"/>
    <mergeCell ref="AT145:AY145"/>
    <mergeCell ref="AZ145:BB145"/>
    <mergeCell ref="BG145:BK145"/>
    <mergeCell ref="BL145:BO145"/>
    <mergeCell ref="BQ145:BT145"/>
    <mergeCell ref="AB145:AF145"/>
    <mergeCell ref="AG145:AM145"/>
    <mergeCell ref="BO144:BQ144"/>
    <mergeCell ref="BR144:BT144"/>
    <mergeCell ref="BR143:BT143"/>
    <mergeCell ref="AN144:AP144"/>
    <mergeCell ref="AQ144:AS144"/>
    <mergeCell ref="AT144:AZ144"/>
    <mergeCell ref="BA144:BC144"/>
    <mergeCell ref="BD144:BF144"/>
    <mergeCell ref="BG144:BN144"/>
    <mergeCell ref="G144:N144"/>
    <mergeCell ref="O144:S144"/>
    <mergeCell ref="T144:AA144"/>
    <mergeCell ref="AB144:AF144"/>
    <mergeCell ref="AG144:AM144"/>
    <mergeCell ref="AT146:AW146"/>
    <mergeCell ref="AX146:AZ146"/>
    <mergeCell ref="AN145:AP145"/>
    <mergeCell ref="AQ145:AS145"/>
    <mergeCell ref="CR149:CT149"/>
    <mergeCell ref="CV149:CX149"/>
    <mergeCell ref="C150:F150"/>
    <mergeCell ref="G150:N150"/>
    <mergeCell ref="O150:S150"/>
    <mergeCell ref="T150:AA150"/>
    <mergeCell ref="AB150:AF150"/>
    <mergeCell ref="AG150:AM150"/>
    <mergeCell ref="C148:E148"/>
    <mergeCell ref="F148:O148"/>
    <mergeCell ref="P148:S148"/>
    <mergeCell ref="U148:X148"/>
    <mergeCell ref="C145:F146"/>
    <mergeCell ref="G145:N145"/>
    <mergeCell ref="O145:S145"/>
    <mergeCell ref="T145:AA145"/>
    <mergeCell ref="G146:N146"/>
    <mergeCell ref="O146:S146"/>
    <mergeCell ref="T146:AA146"/>
    <mergeCell ref="AB146:AF146"/>
    <mergeCell ref="AG146:AM146"/>
    <mergeCell ref="AN146:AP146"/>
    <mergeCell ref="BG146:BJ146"/>
    <mergeCell ref="BK146:BP146"/>
    <mergeCell ref="BQ146:BT146"/>
    <mergeCell ref="AH148:AL148"/>
    <mergeCell ref="AM148:AP148"/>
    <mergeCell ref="AQ148:AV148"/>
    <mergeCell ref="AX148:BC148"/>
    <mergeCell ref="AQ146:AS146"/>
    <mergeCell ref="BH148:BM148"/>
    <mergeCell ref="BO148:BT148"/>
    <mergeCell ref="CL148:CN148"/>
    <mergeCell ref="CO148:CQ148"/>
    <mergeCell ref="CR148:CT148"/>
    <mergeCell ref="Y148:AC148"/>
    <mergeCell ref="AD148:AG148"/>
    <mergeCell ref="CV148:CX148"/>
    <mergeCell ref="C149:E149"/>
    <mergeCell ref="F149:I149"/>
    <mergeCell ref="J149:M149"/>
    <mergeCell ref="N149:R149"/>
    <mergeCell ref="S149:V149"/>
    <mergeCell ref="W149:Z149"/>
    <mergeCell ref="AA149:AC149"/>
    <mergeCell ref="AD149:AF149"/>
    <mergeCell ref="AG149:AM149"/>
    <mergeCell ref="AN149:AP149"/>
    <mergeCell ref="AQ149:AU149"/>
    <mergeCell ref="AV149:AY149"/>
    <mergeCell ref="AZ149:BB149"/>
    <mergeCell ref="BC149:BF149"/>
    <mergeCell ref="BG149:BI149"/>
    <mergeCell ref="BJ149:BQ149"/>
    <mergeCell ref="BR149:BT149"/>
    <mergeCell ref="CR150:CT150"/>
    <mergeCell ref="CV150:CX150"/>
    <mergeCell ref="G151:N151"/>
    <mergeCell ref="O151:S151"/>
    <mergeCell ref="T151:AA151"/>
    <mergeCell ref="AB151:AF151"/>
    <mergeCell ref="AG151:AM151"/>
    <mergeCell ref="AN150:AP150"/>
    <mergeCell ref="AQ150:AS150"/>
    <mergeCell ref="AT150:AZ150"/>
    <mergeCell ref="AT151:AZ151"/>
    <mergeCell ref="BA151:BC151"/>
    <mergeCell ref="BD151:BF151"/>
    <mergeCell ref="BG151:BN151"/>
    <mergeCell ref="BO150:BQ150"/>
    <mergeCell ref="BR150:BT150"/>
    <mergeCell ref="BA150:BC150"/>
    <mergeCell ref="BD150:BF150"/>
    <mergeCell ref="BG150:BN150"/>
    <mergeCell ref="BR151:BT151"/>
    <mergeCell ref="CR151:CT151"/>
    <mergeCell ref="CV151:CX151"/>
    <mergeCell ref="AN151:AP151"/>
    <mergeCell ref="AQ151:AS151"/>
    <mergeCell ref="C151:F152"/>
    <mergeCell ref="BO151:BQ151"/>
    <mergeCell ref="C153:F154"/>
    <mergeCell ref="G153:N153"/>
    <mergeCell ref="O153:S153"/>
    <mergeCell ref="T153:AA153"/>
    <mergeCell ref="AB153:AF153"/>
    <mergeCell ref="AG153:AM153"/>
    <mergeCell ref="G154:N154"/>
    <mergeCell ref="O154:S154"/>
    <mergeCell ref="T154:AA154"/>
    <mergeCell ref="AB154:AF154"/>
    <mergeCell ref="AG154:AM154"/>
    <mergeCell ref="BR152:BT152"/>
    <mergeCell ref="AN153:AP153"/>
    <mergeCell ref="AQ153:AS153"/>
    <mergeCell ref="AQ152:AS152"/>
    <mergeCell ref="AT152:AZ152"/>
    <mergeCell ref="G152:N152"/>
    <mergeCell ref="O152:S152"/>
    <mergeCell ref="T152:AA152"/>
    <mergeCell ref="AB152:AF152"/>
    <mergeCell ref="AG152:AM152"/>
    <mergeCell ref="AN152:AP152"/>
    <mergeCell ref="AT154:AW154"/>
    <mergeCell ref="AX154:AZ154"/>
    <mergeCell ref="BA154:BF154"/>
    <mergeCell ref="BG154:BJ154"/>
    <mergeCell ref="BD153:BF153"/>
    <mergeCell ref="BQ153:BT153"/>
    <mergeCell ref="BK154:BP154"/>
    <mergeCell ref="BQ154:BT154"/>
    <mergeCell ref="AT153:AY153"/>
    <mergeCell ref="AZ153:BB153"/>
    <mergeCell ref="BG153:BK153"/>
    <mergeCell ref="AN154:AP154"/>
    <mergeCell ref="AQ154:AS154"/>
    <mergeCell ref="BL153:BO153"/>
    <mergeCell ref="BA152:BC152"/>
    <mergeCell ref="BD152:BF152"/>
    <mergeCell ref="BG152:BN152"/>
    <mergeCell ref="BO152:BQ152"/>
    <mergeCell ref="BR157:BT157"/>
    <mergeCell ref="BO157:BQ158"/>
    <mergeCell ref="W159:Z159"/>
    <mergeCell ref="AA159:AC159"/>
    <mergeCell ref="AD157:AF158"/>
    <mergeCell ref="AG157:AM159"/>
    <mergeCell ref="BR159:BT159"/>
    <mergeCell ref="AD159:AF159"/>
    <mergeCell ref="AN159:AP159"/>
    <mergeCell ref="AQ159:AS159"/>
    <mergeCell ref="BA159:BC159"/>
    <mergeCell ref="BD159:BF159"/>
    <mergeCell ref="BO159:BQ159"/>
    <mergeCell ref="C157:E159"/>
    <mergeCell ref="F157:I158"/>
    <mergeCell ref="J157:M158"/>
    <mergeCell ref="N157:R158"/>
    <mergeCell ref="S157:Z157"/>
    <mergeCell ref="AA157:AC158"/>
    <mergeCell ref="F159:I159"/>
    <mergeCell ref="J159:M159"/>
    <mergeCell ref="N159:R159"/>
    <mergeCell ref="S159:V159"/>
    <mergeCell ref="C160:E160"/>
    <mergeCell ref="F160:O160"/>
    <mergeCell ref="P160:S160"/>
    <mergeCell ref="BJ161:BQ161"/>
    <mergeCell ref="BR161:BT161"/>
    <mergeCell ref="S158:V158"/>
    <mergeCell ref="CR161:CT161"/>
    <mergeCell ref="W158:Z158"/>
    <mergeCell ref="AQ158:AS158"/>
    <mergeCell ref="BD158:BF158"/>
    <mergeCell ref="BR158:BT158"/>
    <mergeCell ref="AN157:AP158"/>
    <mergeCell ref="AQ157:AS157"/>
    <mergeCell ref="AT157:AZ159"/>
    <mergeCell ref="BA157:BC158"/>
    <mergeCell ref="CV161:CX161"/>
    <mergeCell ref="BG161:BI161"/>
    <mergeCell ref="CR163:CT163"/>
    <mergeCell ref="CV163:CX163"/>
    <mergeCell ref="CO160:CQ160"/>
    <mergeCell ref="CR160:CT160"/>
    <mergeCell ref="Y160:AC160"/>
    <mergeCell ref="CR162:CT162"/>
    <mergeCell ref="CV162:CX162"/>
    <mergeCell ref="T163:AA163"/>
    <mergeCell ref="AB163:AF163"/>
    <mergeCell ref="AG163:AM163"/>
    <mergeCell ref="AD161:AF161"/>
    <mergeCell ref="AG161:AM161"/>
    <mergeCell ref="BD160:BG160"/>
    <mergeCell ref="BH160:BM160"/>
    <mergeCell ref="BO160:BT160"/>
    <mergeCell ref="CL160:CN160"/>
    <mergeCell ref="AZ161:BB161"/>
    <mergeCell ref="BC161:BF161"/>
    <mergeCell ref="BO162:BQ162"/>
    <mergeCell ref="BR162:BT162"/>
    <mergeCell ref="U160:X160"/>
    <mergeCell ref="AH160:AL160"/>
    <mergeCell ref="AT163:AZ163"/>
    <mergeCell ref="BA163:BC163"/>
    <mergeCell ref="BD163:BF163"/>
    <mergeCell ref="BG163:BN163"/>
    <mergeCell ref="CV160:CX160"/>
    <mergeCell ref="AD160:AG160"/>
    <mergeCell ref="AM160:AP160"/>
    <mergeCell ref="AN163:AP163"/>
    <mergeCell ref="T165:AA165"/>
    <mergeCell ref="AB165:AF165"/>
    <mergeCell ref="AG165:AM165"/>
    <mergeCell ref="AQ166:AS166"/>
    <mergeCell ref="BD165:BF165"/>
    <mergeCell ref="G166:N166"/>
    <mergeCell ref="O166:S166"/>
    <mergeCell ref="T166:AA166"/>
    <mergeCell ref="AB166:AF166"/>
    <mergeCell ref="AG166:AM166"/>
    <mergeCell ref="AN165:AP165"/>
    <mergeCell ref="AQ165:AS165"/>
    <mergeCell ref="AX168:BC168"/>
    <mergeCell ref="BD168:BG168"/>
    <mergeCell ref="AT165:AY165"/>
    <mergeCell ref="AZ165:BB165"/>
    <mergeCell ref="BG165:BK165"/>
    <mergeCell ref="BA166:BF166"/>
    <mergeCell ref="C163:F164"/>
    <mergeCell ref="O164:S164"/>
    <mergeCell ref="T164:AA164"/>
    <mergeCell ref="AX166:AZ166"/>
    <mergeCell ref="CL168:CN168"/>
    <mergeCell ref="CO168:CQ168"/>
    <mergeCell ref="CR168:CT168"/>
    <mergeCell ref="CV168:CX168"/>
    <mergeCell ref="C169:E169"/>
    <mergeCell ref="F169:I169"/>
    <mergeCell ref="J169:M169"/>
    <mergeCell ref="N169:R169"/>
    <mergeCell ref="S169:V169"/>
    <mergeCell ref="W169:Z169"/>
    <mergeCell ref="AA169:AC169"/>
    <mergeCell ref="AD169:AF169"/>
    <mergeCell ref="AG169:AM169"/>
    <mergeCell ref="AN169:AP169"/>
    <mergeCell ref="AQ169:AU169"/>
    <mergeCell ref="AV169:AY169"/>
    <mergeCell ref="AZ169:BB169"/>
    <mergeCell ref="BC169:BF169"/>
    <mergeCell ref="BG169:BI169"/>
    <mergeCell ref="BJ169:BQ169"/>
    <mergeCell ref="BR169:BT169"/>
    <mergeCell ref="CR169:CT169"/>
    <mergeCell ref="CV169:CX169"/>
    <mergeCell ref="C168:E168"/>
    <mergeCell ref="F168:O168"/>
    <mergeCell ref="P168:S168"/>
    <mergeCell ref="C165:F166"/>
    <mergeCell ref="G165:N165"/>
    <mergeCell ref="CR170:CT170"/>
    <mergeCell ref="CV170:CX170"/>
    <mergeCell ref="G171:N171"/>
    <mergeCell ref="O171:S171"/>
    <mergeCell ref="T171:AA171"/>
    <mergeCell ref="AB171:AF171"/>
    <mergeCell ref="AG170:AM170"/>
    <mergeCell ref="AN170:AP170"/>
    <mergeCell ref="AQ170:AS170"/>
    <mergeCell ref="AT171:AZ171"/>
    <mergeCell ref="BA171:BC171"/>
    <mergeCell ref="BD171:BF171"/>
    <mergeCell ref="BG170:BN170"/>
    <mergeCell ref="BO170:BQ170"/>
    <mergeCell ref="BR170:BT170"/>
    <mergeCell ref="CR171:CT171"/>
    <mergeCell ref="CV171:CX171"/>
    <mergeCell ref="AG171:AM171"/>
    <mergeCell ref="AN171:AP171"/>
    <mergeCell ref="AQ171:AS171"/>
    <mergeCell ref="BD170:BF170"/>
    <mergeCell ref="G170:N170"/>
    <mergeCell ref="O170:S170"/>
    <mergeCell ref="T170:AA170"/>
    <mergeCell ref="AB170:AF170"/>
    <mergeCell ref="AQ174:AS174"/>
    <mergeCell ref="C171:F172"/>
    <mergeCell ref="BG171:BN171"/>
    <mergeCell ref="BO171:BQ171"/>
    <mergeCell ref="AT173:AY173"/>
    <mergeCell ref="AZ173:BB173"/>
    <mergeCell ref="BG173:BK173"/>
    <mergeCell ref="BL173:BO173"/>
    <mergeCell ref="BQ173:BT173"/>
    <mergeCell ref="AN172:AP172"/>
    <mergeCell ref="AQ172:AS172"/>
    <mergeCell ref="AT172:AZ172"/>
    <mergeCell ref="BA172:BC172"/>
    <mergeCell ref="BD172:BF172"/>
    <mergeCell ref="BG172:BN172"/>
    <mergeCell ref="G172:N172"/>
    <mergeCell ref="O172:S172"/>
    <mergeCell ref="T172:AA172"/>
    <mergeCell ref="AB172:AF172"/>
    <mergeCell ref="AG172:AM172"/>
    <mergeCell ref="AX174:AZ174"/>
    <mergeCell ref="BD173:BF173"/>
    <mergeCell ref="C178:F178"/>
    <mergeCell ref="G178:N178"/>
    <mergeCell ref="O178:S178"/>
    <mergeCell ref="T178:AA178"/>
    <mergeCell ref="AB178:AF178"/>
    <mergeCell ref="AG178:AM178"/>
    <mergeCell ref="BA174:BF174"/>
    <mergeCell ref="C173:F174"/>
    <mergeCell ref="G173:N173"/>
    <mergeCell ref="O173:S173"/>
    <mergeCell ref="T173:AA173"/>
    <mergeCell ref="AB173:AF173"/>
    <mergeCell ref="AG173:AM173"/>
    <mergeCell ref="AN173:AP173"/>
    <mergeCell ref="AQ173:AS173"/>
    <mergeCell ref="G174:N174"/>
    <mergeCell ref="O174:S174"/>
    <mergeCell ref="T174:AA174"/>
    <mergeCell ref="AB174:AF174"/>
    <mergeCell ref="AG174:AM174"/>
    <mergeCell ref="AN174:AP174"/>
    <mergeCell ref="BD176:BG176"/>
    <mergeCell ref="BG174:BJ174"/>
    <mergeCell ref="C176:E176"/>
    <mergeCell ref="F176:O176"/>
    <mergeCell ref="P176:S176"/>
    <mergeCell ref="U176:X176"/>
    <mergeCell ref="Y176:AC176"/>
    <mergeCell ref="AD176:AG176"/>
    <mergeCell ref="AH176:AL176"/>
    <mergeCell ref="AM176:AP176"/>
    <mergeCell ref="AQ176:AV176"/>
    <mergeCell ref="CL176:CN176"/>
    <mergeCell ref="CO176:CQ176"/>
    <mergeCell ref="CR176:CT176"/>
    <mergeCell ref="CV176:CX176"/>
    <mergeCell ref="C177:E177"/>
    <mergeCell ref="F177:I177"/>
    <mergeCell ref="J177:M177"/>
    <mergeCell ref="N177:R177"/>
    <mergeCell ref="S177:V177"/>
    <mergeCell ref="W177:Z177"/>
    <mergeCell ref="AA177:AC177"/>
    <mergeCell ref="AD177:AF177"/>
    <mergeCell ref="AG177:AM177"/>
    <mergeCell ref="AN177:AP177"/>
    <mergeCell ref="AQ177:AU177"/>
    <mergeCell ref="AV177:AY177"/>
    <mergeCell ref="AZ177:BB177"/>
    <mergeCell ref="BC177:BF177"/>
    <mergeCell ref="BG177:BI177"/>
    <mergeCell ref="BJ177:BQ177"/>
    <mergeCell ref="BR177:BT177"/>
    <mergeCell ref="CR177:CT177"/>
    <mergeCell ref="CV177:CX177"/>
    <mergeCell ref="AX176:BC176"/>
    <mergeCell ref="BH176:BM176"/>
    <mergeCell ref="BO176:BT176"/>
    <mergeCell ref="CR178:CT178"/>
    <mergeCell ref="CV178:CX178"/>
    <mergeCell ref="G179:N179"/>
    <mergeCell ref="O179:S179"/>
    <mergeCell ref="T179:AA179"/>
    <mergeCell ref="AB179:AF179"/>
    <mergeCell ref="AG179:AM179"/>
    <mergeCell ref="AN178:AP178"/>
    <mergeCell ref="AQ178:AS178"/>
    <mergeCell ref="AT178:AZ178"/>
    <mergeCell ref="AT179:AZ179"/>
    <mergeCell ref="BA179:BC179"/>
    <mergeCell ref="BD179:BF179"/>
    <mergeCell ref="BG179:BN179"/>
    <mergeCell ref="BO178:BQ178"/>
    <mergeCell ref="BR178:BT178"/>
    <mergeCell ref="BA178:BC178"/>
    <mergeCell ref="BD178:BF178"/>
    <mergeCell ref="BG178:BN178"/>
    <mergeCell ref="CR179:CT179"/>
    <mergeCell ref="CV179:CX179"/>
    <mergeCell ref="AN179:AP179"/>
    <mergeCell ref="AQ179:AS179"/>
    <mergeCell ref="BK182:BP182"/>
    <mergeCell ref="Z188:AG188"/>
    <mergeCell ref="BQ182:BT182"/>
    <mergeCell ref="C186:H186"/>
    <mergeCell ref="AN182:AP182"/>
    <mergeCell ref="AQ182:AS182"/>
    <mergeCell ref="C181:F182"/>
    <mergeCell ref="AG181:AM181"/>
    <mergeCell ref="AN181:AP181"/>
    <mergeCell ref="BR180:BT180"/>
    <mergeCell ref="AQ180:AS180"/>
    <mergeCell ref="BO179:BQ179"/>
    <mergeCell ref="BR179:BT179"/>
    <mergeCell ref="C179:F180"/>
    <mergeCell ref="AT181:AY181"/>
    <mergeCell ref="AZ181:BB181"/>
    <mergeCell ref="BG181:BK181"/>
    <mergeCell ref="BL181:BO181"/>
    <mergeCell ref="BQ181:BT181"/>
    <mergeCell ref="G180:N180"/>
    <mergeCell ref="O180:S180"/>
    <mergeCell ref="T180:AA180"/>
    <mergeCell ref="AB180:AF180"/>
    <mergeCell ref="AG180:AM180"/>
    <mergeCell ref="AN180:AP180"/>
    <mergeCell ref="AT182:AW182"/>
    <mergeCell ref="AX182:AZ182"/>
    <mergeCell ref="BD180:BF180"/>
    <mergeCell ref="BG180:BN180"/>
    <mergeCell ref="C189:K189"/>
    <mergeCell ref="L189:P189"/>
    <mergeCell ref="Q189:S189"/>
    <mergeCell ref="T189:Y189"/>
    <mergeCell ref="Z189:AG189"/>
    <mergeCell ref="BD181:BF181"/>
    <mergeCell ref="G182:N182"/>
    <mergeCell ref="O182:S182"/>
    <mergeCell ref="T182:AA182"/>
    <mergeCell ref="AB182:AF182"/>
    <mergeCell ref="AG182:AM182"/>
    <mergeCell ref="G181:N181"/>
    <mergeCell ref="O181:S181"/>
    <mergeCell ref="T181:AA181"/>
    <mergeCell ref="AB181:AF181"/>
    <mergeCell ref="BA182:BF182"/>
    <mergeCell ref="BG182:BJ182"/>
    <mergeCell ref="BJ191:BM191"/>
    <mergeCell ref="BO180:BQ180"/>
    <mergeCell ref="AI188:AL188"/>
    <mergeCell ref="AY189:BC189"/>
    <mergeCell ref="BE189:BI189"/>
    <mergeCell ref="AM188:AQ188"/>
    <mergeCell ref="AT180:AZ180"/>
    <mergeCell ref="Z190:AG190"/>
    <mergeCell ref="AI190:AL190"/>
    <mergeCell ref="C193:K193"/>
    <mergeCell ref="L193:P193"/>
    <mergeCell ref="C188:K188"/>
    <mergeCell ref="L188:P188"/>
    <mergeCell ref="Q188:S188"/>
    <mergeCell ref="T188:Y188"/>
    <mergeCell ref="C190:K190"/>
    <mergeCell ref="L190:P190"/>
    <mergeCell ref="Q190:S190"/>
    <mergeCell ref="T190:Y190"/>
    <mergeCell ref="AI189:AL189"/>
    <mergeCell ref="AM189:AQ189"/>
    <mergeCell ref="AT189:AX189"/>
    <mergeCell ref="BK193:BM193"/>
    <mergeCell ref="BN193:BT193"/>
    <mergeCell ref="AM192:AQ192"/>
    <mergeCell ref="AT192:BA192"/>
    <mergeCell ref="BB192:BI192"/>
    <mergeCell ref="BK192:BM192"/>
    <mergeCell ref="BN192:BT192"/>
    <mergeCell ref="AQ181:AS181"/>
    <mergeCell ref="BA180:BC180"/>
    <mergeCell ref="BN188:BP188"/>
    <mergeCell ref="C196:K196"/>
    <mergeCell ref="L196:P196"/>
    <mergeCell ref="Q196:S196"/>
    <mergeCell ref="T196:Y196"/>
    <mergeCell ref="Z196:AG196"/>
    <mergeCell ref="AI196:AL196"/>
    <mergeCell ref="T197:Y197"/>
    <mergeCell ref="Z197:AG197"/>
    <mergeCell ref="AI197:AL197"/>
    <mergeCell ref="AT195:AV195"/>
    <mergeCell ref="AW195:BA195"/>
    <mergeCell ref="BB195:BI195"/>
    <mergeCell ref="AM196:AQ196"/>
    <mergeCell ref="AM197:AQ197"/>
    <mergeCell ref="AT197:AY197"/>
    <mergeCell ref="AZ197:BE197"/>
    <mergeCell ref="AM190:AQ190"/>
    <mergeCell ref="Z193:AG193"/>
    <mergeCell ref="L191:P191"/>
    <mergeCell ref="Q191:S191"/>
    <mergeCell ref="T191:Y191"/>
    <mergeCell ref="Z191:AG191"/>
    <mergeCell ref="AI191:AL191"/>
    <mergeCell ref="AM191:AQ191"/>
    <mergeCell ref="AI193:AL193"/>
    <mergeCell ref="AM193:AQ193"/>
    <mergeCell ref="AT193:BA193"/>
    <mergeCell ref="BB193:BI193"/>
    <mergeCell ref="Q193:S193"/>
    <mergeCell ref="T193:Y193"/>
    <mergeCell ref="AM195:AQ195"/>
    <mergeCell ref="C194:K194"/>
    <mergeCell ref="AT194:BA194"/>
    <mergeCell ref="BB194:BI194"/>
    <mergeCell ref="C195:K195"/>
    <mergeCell ref="L195:P195"/>
    <mergeCell ref="Q195:S195"/>
    <mergeCell ref="T195:Y195"/>
    <mergeCell ref="Z195:AG195"/>
    <mergeCell ref="AI195:AL195"/>
    <mergeCell ref="AT191:AV191"/>
    <mergeCell ref="AW191:BI191"/>
    <mergeCell ref="C192:K192"/>
    <mergeCell ref="L192:P192"/>
    <mergeCell ref="Q192:S192"/>
    <mergeCell ref="T192:Y192"/>
    <mergeCell ref="Z192:AG192"/>
    <mergeCell ref="AI192:AL192"/>
    <mergeCell ref="C191:K191"/>
    <mergeCell ref="L194:P194"/>
    <mergeCell ref="Q194:S194"/>
    <mergeCell ref="T194:Y194"/>
    <mergeCell ref="Z194:AG194"/>
    <mergeCell ref="AI194:AL194"/>
    <mergeCell ref="AM194:AQ194"/>
    <mergeCell ref="BK197:BO197"/>
    <mergeCell ref="BP197:BT197"/>
    <mergeCell ref="C197:K197"/>
    <mergeCell ref="L197:P197"/>
    <mergeCell ref="Q197:S197"/>
    <mergeCell ref="AW198:AY198"/>
    <mergeCell ref="AZ198:BB198"/>
    <mergeCell ref="BC198:BE198"/>
    <mergeCell ref="BF198:BJ198"/>
    <mergeCell ref="C198:K198"/>
    <mergeCell ref="L198:P198"/>
    <mergeCell ref="Q198:S198"/>
    <mergeCell ref="T198:Y198"/>
    <mergeCell ref="Z198:AG198"/>
    <mergeCell ref="AI198:AL198"/>
    <mergeCell ref="T199:Y199"/>
    <mergeCell ref="Z199:AG199"/>
    <mergeCell ref="AI199:AL199"/>
    <mergeCell ref="AM199:AQ199"/>
    <mergeCell ref="AT199:AV199"/>
    <mergeCell ref="AM198:AQ198"/>
    <mergeCell ref="AT198:AV198"/>
    <mergeCell ref="C199:K199"/>
    <mergeCell ref="L199:P199"/>
    <mergeCell ref="Q199:S199"/>
    <mergeCell ref="BD202:BF202"/>
    <mergeCell ref="BK202:BM202"/>
    <mergeCell ref="AM202:AQ202"/>
    <mergeCell ref="AW199:AY199"/>
    <mergeCell ref="AZ199:BB199"/>
    <mergeCell ref="BC199:BE199"/>
    <mergeCell ref="BF199:BT199"/>
    <mergeCell ref="C200:K200"/>
    <mergeCell ref="L200:P200"/>
    <mergeCell ref="Q200:S200"/>
    <mergeCell ref="T200:Y200"/>
    <mergeCell ref="Z200:AG200"/>
    <mergeCell ref="AI200:AL200"/>
    <mergeCell ref="AM200:AQ200"/>
    <mergeCell ref="C201:K201"/>
    <mergeCell ref="L201:P201"/>
    <mergeCell ref="Q201:S201"/>
    <mergeCell ref="T201:Y201"/>
    <mergeCell ref="Z201:AG201"/>
    <mergeCell ref="AI201:AL201"/>
    <mergeCell ref="AM201:AQ201"/>
    <mergeCell ref="C206:K206"/>
    <mergeCell ref="L206:P206"/>
    <mergeCell ref="Q206:S206"/>
    <mergeCell ref="T206:Y206"/>
    <mergeCell ref="Z206:AG206"/>
    <mergeCell ref="AI206:AL206"/>
    <mergeCell ref="AM206:AQ206"/>
    <mergeCell ref="AM203:AQ203"/>
    <mergeCell ref="AT201:BC201"/>
    <mergeCell ref="BD201:BF201"/>
    <mergeCell ref="BK201:BM201"/>
    <mergeCell ref="C202:K202"/>
    <mergeCell ref="L202:P202"/>
    <mergeCell ref="Q202:S202"/>
    <mergeCell ref="T202:Y202"/>
    <mergeCell ref="Z202:AG202"/>
    <mergeCell ref="AI202:AL202"/>
    <mergeCell ref="C203:K203"/>
    <mergeCell ref="L203:P203"/>
    <mergeCell ref="Q203:S203"/>
    <mergeCell ref="T203:Y203"/>
    <mergeCell ref="Z203:AG203"/>
    <mergeCell ref="AI203:AL203"/>
    <mergeCell ref="AM204:AQ204"/>
    <mergeCell ref="BK204:BM204"/>
    <mergeCell ref="C204:K204"/>
    <mergeCell ref="L204:P204"/>
    <mergeCell ref="Q204:S204"/>
    <mergeCell ref="T204:Y204"/>
    <mergeCell ref="Z204:AG204"/>
    <mergeCell ref="AI204:AL204"/>
    <mergeCell ref="AT202:BC202"/>
    <mergeCell ref="BR204:BT204"/>
    <mergeCell ref="C205:K205"/>
    <mergeCell ref="L205:P205"/>
    <mergeCell ref="Q205:S205"/>
    <mergeCell ref="T205:Y205"/>
    <mergeCell ref="Z205:AG205"/>
    <mergeCell ref="AI205:AL205"/>
    <mergeCell ref="AM205:AQ205"/>
    <mergeCell ref="AT205:BB205"/>
    <mergeCell ref="BC205:BE205"/>
    <mergeCell ref="BG205:BI205"/>
    <mergeCell ref="Q207:S207"/>
    <mergeCell ref="T207:Y207"/>
    <mergeCell ref="Z207:AG207"/>
    <mergeCell ref="AI207:AL207"/>
    <mergeCell ref="AM211:AQ211"/>
    <mergeCell ref="C212:K212"/>
    <mergeCell ref="L212:P212"/>
    <mergeCell ref="Q212:S212"/>
    <mergeCell ref="T212:Y212"/>
    <mergeCell ref="Z212:AG212"/>
    <mergeCell ref="AM207:AQ207"/>
    <mergeCell ref="C208:K208"/>
    <mergeCell ref="L208:P208"/>
    <mergeCell ref="Q208:S208"/>
    <mergeCell ref="T208:Y208"/>
    <mergeCell ref="Z208:AG208"/>
    <mergeCell ref="AI208:AL208"/>
    <mergeCell ref="AM208:AQ208"/>
    <mergeCell ref="C207:K207"/>
    <mergeCell ref="L207:P207"/>
    <mergeCell ref="C209:K209"/>
    <mergeCell ref="L209:P209"/>
    <mergeCell ref="Q209:S209"/>
    <mergeCell ref="T209:Y209"/>
    <mergeCell ref="Z209:AG209"/>
    <mergeCell ref="AI209:AL209"/>
    <mergeCell ref="AM209:AQ209"/>
    <mergeCell ref="C210:K210"/>
    <mergeCell ref="L210:P210"/>
    <mergeCell ref="Q210:S210"/>
    <mergeCell ref="T210:Y210"/>
    <mergeCell ref="Z210:AG210"/>
    <mergeCell ref="Z216:AG216"/>
    <mergeCell ref="AI216:AL216"/>
    <mergeCell ref="AM216:AQ216"/>
    <mergeCell ref="C215:K215"/>
    <mergeCell ref="L215:P215"/>
    <mergeCell ref="C211:K211"/>
    <mergeCell ref="L211:P211"/>
    <mergeCell ref="Q211:S211"/>
    <mergeCell ref="T211:Y211"/>
    <mergeCell ref="Z211:AG211"/>
    <mergeCell ref="AI211:AL211"/>
    <mergeCell ref="AI212:AL212"/>
    <mergeCell ref="AM212:AQ212"/>
    <mergeCell ref="AM210:AQ210"/>
    <mergeCell ref="C216:K216"/>
    <mergeCell ref="L216:P216"/>
    <mergeCell ref="Q216:S216"/>
    <mergeCell ref="T216:Y216"/>
    <mergeCell ref="AT210:AY210"/>
    <mergeCell ref="AZ210:BE210"/>
    <mergeCell ref="BG210:BL210"/>
    <mergeCell ref="AI210:AL210"/>
    <mergeCell ref="C220:K220"/>
    <mergeCell ref="L220:P220"/>
    <mergeCell ref="Q220:S220"/>
    <mergeCell ref="T220:Y220"/>
    <mergeCell ref="Z220:AG220"/>
    <mergeCell ref="AI220:AL220"/>
    <mergeCell ref="AM220:AQ220"/>
    <mergeCell ref="C219:K219"/>
    <mergeCell ref="L219:P219"/>
    <mergeCell ref="AI214:AL214"/>
    <mergeCell ref="AM214:AQ214"/>
    <mergeCell ref="C213:K213"/>
    <mergeCell ref="L213:P213"/>
    <mergeCell ref="Q213:S213"/>
    <mergeCell ref="T213:Y213"/>
    <mergeCell ref="Z213:AG213"/>
    <mergeCell ref="AI213:AL213"/>
    <mergeCell ref="Q215:S215"/>
    <mergeCell ref="T215:Y215"/>
    <mergeCell ref="Z215:AG215"/>
    <mergeCell ref="AI215:AL215"/>
    <mergeCell ref="AM213:AQ213"/>
    <mergeCell ref="C214:K214"/>
    <mergeCell ref="L214:P214"/>
    <mergeCell ref="Q214:S214"/>
    <mergeCell ref="T214:Y214"/>
    <mergeCell ref="Z214:AG214"/>
    <mergeCell ref="AM215:AQ215"/>
    <mergeCell ref="AI218:AL218"/>
    <mergeCell ref="AM218:AQ218"/>
    <mergeCell ref="C217:K217"/>
    <mergeCell ref="L217:P217"/>
    <mergeCell ref="Q217:S217"/>
    <mergeCell ref="T217:Y217"/>
    <mergeCell ref="Z217:AG217"/>
    <mergeCell ref="AI217:AL217"/>
    <mergeCell ref="Q219:S219"/>
    <mergeCell ref="T219:Y219"/>
    <mergeCell ref="Z219:AG219"/>
    <mergeCell ref="AI219:AL219"/>
    <mergeCell ref="AM217:AQ217"/>
    <mergeCell ref="C218:K218"/>
    <mergeCell ref="L218:P218"/>
    <mergeCell ref="Q218:S218"/>
    <mergeCell ref="T218:Y218"/>
    <mergeCell ref="Z218:AG218"/>
    <mergeCell ref="AM219:AQ219"/>
    <mergeCell ref="T223:Y223"/>
    <mergeCell ref="Z223:AG223"/>
    <mergeCell ref="AI223:AL223"/>
    <mergeCell ref="AM221:AQ221"/>
    <mergeCell ref="C222:K222"/>
    <mergeCell ref="L222:P222"/>
    <mergeCell ref="Q222:S222"/>
    <mergeCell ref="T222:Y222"/>
    <mergeCell ref="Z222:AG222"/>
    <mergeCell ref="AM223:AQ223"/>
    <mergeCell ref="C224:K224"/>
    <mergeCell ref="L224:P224"/>
    <mergeCell ref="Q224:S224"/>
    <mergeCell ref="T224:Y224"/>
    <mergeCell ref="Z224:AG224"/>
    <mergeCell ref="AI224:AL224"/>
    <mergeCell ref="AM224:AQ224"/>
    <mergeCell ref="C223:K223"/>
    <mergeCell ref="L223:P223"/>
    <mergeCell ref="AM231:AQ231"/>
    <mergeCell ref="C231:K231"/>
    <mergeCell ref="L231:P231"/>
    <mergeCell ref="Q231:S231"/>
    <mergeCell ref="T231:Y231"/>
    <mergeCell ref="Z231:AG231"/>
    <mergeCell ref="AI231:AL231"/>
    <mergeCell ref="AI226:AL226"/>
    <mergeCell ref="AM226:AQ226"/>
    <mergeCell ref="C225:K225"/>
    <mergeCell ref="L225:P225"/>
    <mergeCell ref="Q225:S225"/>
    <mergeCell ref="T225:Y225"/>
    <mergeCell ref="Z225:AG225"/>
    <mergeCell ref="AI225:AL225"/>
    <mergeCell ref="Q227:S227"/>
    <mergeCell ref="T227:Y227"/>
    <mergeCell ref="Z227:AG227"/>
    <mergeCell ref="AI227:AL227"/>
    <mergeCell ref="AM225:AQ225"/>
    <mergeCell ref="C226:K226"/>
    <mergeCell ref="L226:P226"/>
    <mergeCell ref="Q226:S226"/>
    <mergeCell ref="T226:Y226"/>
    <mergeCell ref="Z226:AG226"/>
    <mergeCell ref="AM227:AQ227"/>
    <mergeCell ref="C228:K228"/>
    <mergeCell ref="L228:P228"/>
    <mergeCell ref="Q228:S228"/>
    <mergeCell ref="T228:Y228"/>
    <mergeCell ref="Z228:AG228"/>
    <mergeCell ref="AI228:AL228"/>
    <mergeCell ref="Q229:S229"/>
    <mergeCell ref="T229:Y229"/>
    <mergeCell ref="Z229:AG229"/>
    <mergeCell ref="AI229:AL229"/>
    <mergeCell ref="BZ200:CA200"/>
    <mergeCell ref="CB200:CC200"/>
    <mergeCell ref="BZ201:CA201"/>
    <mergeCell ref="CB201:CC201"/>
    <mergeCell ref="BZ202:CA202"/>
    <mergeCell ref="CB202:CC202"/>
    <mergeCell ref="AM229:AQ229"/>
    <mergeCell ref="C230:K230"/>
    <mergeCell ref="L230:P230"/>
    <mergeCell ref="Q230:S230"/>
    <mergeCell ref="T230:Y230"/>
    <mergeCell ref="Z230:AG230"/>
    <mergeCell ref="AI230:AL230"/>
    <mergeCell ref="AM230:AQ230"/>
    <mergeCell ref="C229:K229"/>
    <mergeCell ref="L229:P229"/>
    <mergeCell ref="AM228:AQ228"/>
    <mergeCell ref="C227:K227"/>
    <mergeCell ref="L227:P227"/>
    <mergeCell ref="AI222:AL222"/>
    <mergeCell ref="AM222:AQ222"/>
    <mergeCell ref="C221:K221"/>
    <mergeCell ref="L221:P221"/>
    <mergeCell ref="Q221:S221"/>
    <mergeCell ref="T221:Y221"/>
    <mergeCell ref="Z221:AG221"/>
    <mergeCell ref="AI221:AL221"/>
    <mergeCell ref="Q223:S223"/>
    <mergeCell ref="AS231:BA231"/>
    <mergeCell ref="BB229:BJ229"/>
    <mergeCell ref="BB230:BJ230"/>
    <mergeCell ref="BB231:BJ231"/>
    <mergeCell ref="BL229:BR229"/>
    <mergeCell ref="BL228:BR228"/>
    <mergeCell ref="BL230:BR230"/>
    <mergeCell ref="BL231:BR231"/>
    <mergeCell ref="BZ196:CA196"/>
    <mergeCell ref="CB196:CC196"/>
    <mergeCell ref="BZ197:CA197"/>
    <mergeCell ref="CB197:CC197"/>
    <mergeCell ref="AS229:BA229"/>
    <mergeCell ref="AS230:BA230"/>
    <mergeCell ref="BN221:BP221"/>
    <mergeCell ref="BM210:BR210"/>
    <mergeCell ref="BZ207:CA207"/>
    <mergeCell ref="CB207:CC207"/>
    <mergeCell ref="BZ206:CA206"/>
    <mergeCell ref="CB206:CC206"/>
    <mergeCell ref="BZ203:CA203"/>
    <mergeCell ref="CB203:CC203"/>
    <mergeCell ref="BZ204:CA204"/>
    <mergeCell ref="CB204:CC204"/>
    <mergeCell ref="BZ205:CA205"/>
    <mergeCell ref="CB205:CC205"/>
    <mergeCell ref="AT209:AY209"/>
    <mergeCell ref="AZ209:BE209"/>
    <mergeCell ref="BG209:BL209"/>
    <mergeCell ref="BK198:BO198"/>
    <mergeCell ref="BP198:BT198"/>
    <mergeCell ref="BF197:BJ197"/>
    <mergeCell ref="BZ211:CA211"/>
    <mergeCell ref="CB211:CC211"/>
    <mergeCell ref="BZ212:CA212"/>
    <mergeCell ref="CB212:CC212"/>
    <mergeCell ref="BC206:BH206"/>
    <mergeCell ref="AS206:BB206"/>
    <mergeCell ref="BN209:BQ209"/>
    <mergeCell ref="BR209:BS209"/>
    <mergeCell ref="BZ208:CA208"/>
    <mergeCell ref="CB208:CC208"/>
    <mergeCell ref="BZ188:CA188"/>
    <mergeCell ref="CB188:CC188"/>
    <mergeCell ref="BZ210:CA210"/>
    <mergeCell ref="CB210:CC210"/>
    <mergeCell ref="BZ198:CA198"/>
    <mergeCell ref="CB198:CC198"/>
    <mergeCell ref="BZ199:CA199"/>
    <mergeCell ref="CB199:CC199"/>
    <mergeCell ref="BZ193:CA193"/>
    <mergeCell ref="CB193:CC193"/>
    <mergeCell ref="BZ194:CA194"/>
    <mergeCell ref="CB194:CC194"/>
    <mergeCell ref="BZ195:CA195"/>
    <mergeCell ref="CB195:CC195"/>
    <mergeCell ref="BZ189:CA189"/>
    <mergeCell ref="CB189:CC189"/>
    <mergeCell ref="BZ190:CA190"/>
    <mergeCell ref="CB190:CC190"/>
    <mergeCell ref="BZ191:CA191"/>
    <mergeCell ref="CB191:CC191"/>
    <mergeCell ref="BZ192:CA192"/>
    <mergeCell ref="CB192:CC192"/>
  </mergeCells>
  <phoneticPr fontId="1"/>
  <dataValidations count="14">
    <dataValidation type="list" errorStyle="information" allowBlank="1" showInputMessage="1" showErrorMessage="1" sqref="G178:N180 G26:N28 G34:N36 G42:N44 G50:N52 G58:N60 G66:N68 G74:N76 G150:N152 G102:N104 G110:N112 G118:N120 G126:N128 G134:N136 G142:N144 G162:N164 G170:N172 G95:N96">
      <formula1>$CK$185:$CK$211</formula1>
    </dataValidation>
    <dataValidation type="list" allowBlank="1" showInputMessage="1" showErrorMessage="1" sqref="U24:X24 U16:X16 U32:X32 U40:X40 U48:X48 U56:X56 U64:X64 U72:X72 U84:X84 U92:X92 U100:X100 U108:X108 U116:X116 U124:X124 U132:X132 U140:X140 U148:X148 U160:X160 U168:X168 U176:X176">
      <formula1>"設置,不要"</formula1>
    </dataValidation>
    <dataValidation type="list" allowBlank="1" showInputMessage="1" showErrorMessage="1" sqref="J8:N8">
      <formula1>"任意設置,設置不要"</formula1>
    </dataValidation>
    <dataValidation type="list" allowBlank="1" showInputMessage="1" showErrorMessage="1" sqref="BN10:BQ10 BG205:BJ205">
      <formula1>$CF$189:$CF$208</formula1>
    </dataValidation>
    <dataValidation type="list" allowBlank="1" showInputMessage="1" showErrorMessage="1" sqref="AX16:BC16 AX168:BC168 BO168:BT168 AX148:BC148 AX140:BC140 BO140:BT140 AX132:BC132 BO132:BT132 AX124:BC124 BO124:BT124 AX116:BC116 BO116:BT116 AX108:BC108 BO108:BT108 AX100:BC100 BO100:BT100 AX92:BC92 BO92:BT92 AX84:BC84 BO84:BT84 AX72:BC72 BO72:BT72 AX64:BC64 BO64:BT64 AX56:BC56 BO56:BT56 AX48:BC48 BO48:BT48 AX40:BC40 BO40:BT40 AX32:BC32 BO32:BT32 AX24:BC24 BO24:BT24 AX160:BC160 BO16:BT16 BO160:BT160 BO148:BT148 AX176:BC176 BO176:BT176">
      <formula1>$CJ$6:$CJ$11</formula1>
    </dataValidation>
    <dataValidation type="list" allowBlank="1" showInputMessage="1" showErrorMessage="1" sqref="G86:N88 G18:N20 G94:N94">
      <formula1>$CK$185:$CK$211</formula1>
    </dataValidation>
    <dataValidation type="list" errorStyle="information" allowBlank="1" showInputMessage="1" showErrorMessage="1" sqref="BG204:BI204">
      <formula1>"要,不要"</formula1>
    </dataValidation>
    <dataValidation type="list" errorStyle="information" allowBlank="1" showInputMessage="1" showErrorMessage="1" sqref="BR204:BT204">
      <formula1>$CS$214:$CS$228</formula1>
    </dataValidation>
    <dataValidation type="list" allowBlank="1" showInputMessage="1" showErrorMessage="1" sqref="BK202:BM202">
      <formula1>$CN$214:$CN$228</formula1>
    </dataValidation>
    <dataValidation type="list" allowBlank="1" showInputMessage="1" showErrorMessage="1" sqref="BK201:BM201">
      <formula1>$CJ$214:$CJ$228</formula1>
    </dataValidation>
    <dataValidation type="list" allowBlank="1" showInputMessage="1" showErrorMessage="1" sqref="BG210:BL210">
      <formula1>"歩掛-1,歩掛-2,歩掛-3"</formula1>
    </dataValidation>
    <dataValidation type="list" allowBlank="1" showInputMessage="1" showErrorMessage="1" sqref="BG209:BL209">
      <formula1>"単価-1,単価-2,単価-3,単価-4"</formula1>
    </dataValidation>
    <dataValidation type="list" allowBlank="1" showInputMessage="1" showErrorMessage="1" sqref="BQ21:BT21 BQ29:BT29 BQ165:BT165 BQ173:BT173 BQ37:BT37 BQ45:BT45 BQ53:BT53 BQ61:BT61 BQ69:BT69 BQ77:BT77 BQ89:BT89 BQ97:BT97 BQ105:BT105 BQ113:BT113 BQ121:BT121 BQ129:BT129 BQ137:BT137 BQ145:BT145 BQ153:BT153 BQ181:BT181">
      <formula1>"耐 火,準耐火,非耐火"</formula1>
    </dataValidation>
    <dataValidation type="list" allowBlank="1" showInputMessage="1" showErrorMessage="1" sqref="BD21:BF21 BD153:BF153 BD29:BF29 BD165:BF165 BD173:BF173 BD37:BF37 BD45:BF45 BD53:BF53 BD61:BF61 BD69:BF69 BD77:BF77 BD89:BF89 BD97:BF97 BD105:BF105 BD113:BF113 BD121:BF121 BD129:BF129 BD137:BF137 BD145:BF145 BD181:BF181">
      <formula1>"有窓,無窓"</formula1>
    </dataValidation>
  </dataValidations>
  <hyperlinks>
    <hyperlink ref="BN188:BP188" location="火煙!A1" display="Top"/>
    <hyperlink ref="AE3:AI3" location="火煙!B192" display="集 計 表"/>
    <hyperlink ref="BN221:BP221" location="火煙!A1" display="Top"/>
    <hyperlink ref="BP3:BT3" r:id="rId1" location="Help!A1244" display="Help"/>
    <hyperlink ref="Y3:AC3" r:id="rId2" location="Top!A43" display="TopPage"/>
  </hyperlinks>
  <pageMargins left="0.78740157480314965" right="0.39370078740157483" top="0.59055118110236227" bottom="0.39370078740157483" header="0.31496062992125984" footer="0.31496062992125984"/>
  <pageSetup paperSize="9" scale="96" fitToHeight="0" orientation="portrait" r:id="rId3"/>
  <rowBreaks count="2" manualBreakCount="2">
    <brk id="79" min="1" max="72" man="1"/>
    <brk id="155" min="1" max="72" man="1"/>
  </rowBreaks>
  <colBreaks count="1" manualBreakCount="1">
    <brk id="85" max="1048575" man="1"/>
  </colBreaks>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CZ80"/>
  <sheetViews>
    <sheetView view="pageBreakPreview" zoomScale="140" zoomScaleNormal="100" zoomScaleSheetLayoutView="140" workbookViewId="0"/>
  </sheetViews>
  <sheetFormatPr defaultRowHeight="14.25"/>
  <cols>
    <col min="1" max="73" width="1.42578125" style="4" customWidth="1"/>
    <col min="74" max="93" width="3.7109375" style="4" hidden="1" customWidth="1"/>
    <col min="94" max="95" width="1.42578125" style="4" hidden="1" customWidth="1"/>
    <col min="96" max="97" width="3.7109375" style="4" hidden="1" customWidth="1"/>
    <col min="98" max="102" width="1.42578125" style="4" hidden="1" customWidth="1"/>
    <col min="103" max="104" width="2.7109375" style="4" hidden="1" customWidth="1"/>
    <col min="105" max="105" width="1.42578125" style="4" customWidth="1"/>
    <col min="106" max="117" width="2.85546875" style="4" customWidth="1"/>
    <col min="118" max="16384" width="9.140625" style="4"/>
  </cols>
  <sheetData>
    <row r="1" spans="2:90" ht="12" customHeight="1">
      <c r="Y1" s="81"/>
      <c r="BZ1" s="2859"/>
      <c r="CA1" s="2859"/>
      <c r="CI1" s="8" t="str">
        <f>BY3</f>
        <v xml:space="preserve"> 12F</v>
      </c>
      <c r="CJ1" s="8">
        <f>BY4</f>
        <v>49.75</v>
      </c>
    </row>
    <row r="2" spans="2:90" ht="12" customHeight="1" thickBot="1">
      <c r="B2" s="93">
        <v>1</v>
      </c>
      <c r="C2" s="494"/>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493"/>
      <c r="AI2" s="493"/>
      <c r="AJ2" s="493"/>
      <c r="AK2" s="493"/>
      <c r="AL2" s="493"/>
      <c r="AM2" s="493"/>
      <c r="AN2" s="493"/>
      <c r="AO2" s="493"/>
      <c r="AP2" s="493"/>
      <c r="AQ2" s="493"/>
      <c r="AR2" s="493"/>
      <c r="AS2" s="493"/>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8"/>
      <c r="BV2" s="94"/>
      <c r="BW2" s="94"/>
      <c r="BX2" s="8"/>
      <c r="BY2" s="8"/>
      <c r="BZ2" s="90" t="s">
        <v>531</v>
      </c>
      <c r="CA2" s="90" t="s">
        <v>530</v>
      </c>
      <c r="CB2" s="90" t="s">
        <v>529</v>
      </c>
      <c r="CC2" s="8"/>
      <c r="CD2" s="8"/>
      <c r="CE2" s="38" t="s">
        <v>528</v>
      </c>
      <c r="CF2" s="88" t="s">
        <v>527</v>
      </c>
      <c r="CG2" s="201">
        <f>IF(OR(P6="避雷突針",AE6="避雷突針",AE6="むね上げ導体"),1,"")</f>
        <v>1</v>
      </c>
      <c r="CH2" s="88" t="s">
        <v>526</v>
      </c>
      <c r="CI2" s="197">
        <f>IF(B2=0,"",IF(AZ6="①",1,IF(AZ6="②",2,IF(AZ6="③",3,IF(AZ6="④",4,IF(AZ6="⑤",5,IF(AZ6="⑥",6,IF(AZ6="⑦",7,IF(AZ6="⑧",8,IF(AZ6="⑨",9,0))))))))))</f>
        <v>4</v>
      </c>
      <c r="CJ2" s="197">
        <f>IF(AZ10="①",1,IF(AZ10="②",2,IF(AZ10="③",3,IF(AZ10="④",4,IF(AZ10="⑤",5,IF(AZ10="⑥",6,IF(AZ10="⑦",7,IF(AZ10="⑧",8,IF(AZ10="⑨",9,0)))))))))</f>
        <v>9</v>
      </c>
      <c r="CK2" s="8"/>
      <c r="CL2" s="11" t="s">
        <v>525</v>
      </c>
    </row>
    <row r="3" spans="2:90" ht="12" customHeight="1" thickBot="1">
      <c r="B3" s="2221">
        <f>[3]Top!$G$102</f>
        <v>10</v>
      </c>
      <c r="C3" s="2221"/>
      <c r="D3" s="2221"/>
      <c r="E3" s="2440" t="str">
        <f>IF(B2=0,"",[3]Top!$L$102)</f>
        <v xml:space="preserve"> 雷保護設備工事</v>
      </c>
      <c r="F3" s="2441"/>
      <c r="G3" s="2441"/>
      <c r="H3" s="2441"/>
      <c r="I3" s="2441"/>
      <c r="J3" s="2441"/>
      <c r="K3" s="2441"/>
      <c r="L3" s="2441"/>
      <c r="M3" s="2441"/>
      <c r="N3" s="2441"/>
      <c r="O3" s="2441"/>
      <c r="P3" s="2441"/>
      <c r="Q3" s="2441"/>
      <c r="R3" s="2441"/>
      <c r="S3" s="2441"/>
      <c r="T3" s="2441"/>
      <c r="U3" s="2441"/>
      <c r="V3" s="2441"/>
      <c r="W3" s="2441"/>
      <c r="X3" s="73"/>
      <c r="Y3" s="2432" t="s">
        <v>524</v>
      </c>
      <c r="Z3" s="2433"/>
      <c r="AA3" s="2433"/>
      <c r="AB3" s="2433"/>
      <c r="AC3" s="2434"/>
      <c r="AD3" s="35"/>
      <c r="AE3" s="35"/>
      <c r="AF3" s="35"/>
      <c r="AG3" s="35"/>
      <c r="AH3" s="492"/>
      <c r="AI3" s="492"/>
      <c r="AJ3" s="492"/>
      <c r="AK3" s="492"/>
      <c r="AL3" s="492"/>
      <c r="AM3" s="492"/>
      <c r="AN3" s="492"/>
      <c r="AO3" s="492"/>
      <c r="AP3" s="492"/>
      <c r="AQ3" s="492"/>
      <c r="AR3" s="492"/>
      <c r="AS3" s="492"/>
      <c r="AT3" s="44"/>
      <c r="AU3" s="44"/>
      <c r="AV3" s="44"/>
      <c r="AW3" s="44"/>
      <c r="AX3" s="44"/>
      <c r="AY3" s="44"/>
      <c r="AZ3" s="44"/>
      <c r="BA3" s="2432" t="s">
        <v>13</v>
      </c>
      <c r="BB3" s="2433"/>
      <c r="BC3" s="2433"/>
      <c r="BD3" s="2433"/>
      <c r="BE3" s="2434"/>
      <c r="BF3" s="35"/>
      <c r="BG3" s="35"/>
      <c r="BH3" s="35"/>
      <c r="BI3" s="35"/>
      <c r="BJ3" s="35"/>
      <c r="BK3" s="35"/>
      <c r="BL3" s="2866" t="s">
        <v>523</v>
      </c>
      <c r="BM3" s="2867"/>
      <c r="BN3" s="2867"/>
      <c r="BO3" s="2867"/>
      <c r="BP3" s="2867"/>
      <c r="BQ3" s="2867"/>
      <c r="BR3" s="2867"/>
      <c r="BS3" s="2868"/>
      <c r="BT3" s="35"/>
      <c r="BU3" s="19"/>
      <c r="BV3" s="94"/>
      <c r="BW3" s="317">
        <f>IF(OR(B2=0,BX3="不要"),0,1)</f>
        <v>1</v>
      </c>
      <c r="BX3" s="46" t="str">
        <f>IF(B2=0,"",IF(OR([4]Top!$AA$45&lt;20,BY3=""),"不要","要"))</f>
        <v>要</v>
      </c>
      <c r="BY3" s="88" t="str">
        <f>IF(B2=0,"",[6]Top!$AE$130)</f>
        <v xml:space="preserve"> 12F</v>
      </c>
      <c r="BZ3" s="436">
        <f>IF(B2=0,"",VLOOKUP(BY3,[5]!階高,10,FALSE))</f>
        <v>12</v>
      </c>
      <c r="CA3" s="109">
        <f>IF(B2=0,"",VLOOKUP(BY3,[5]!階高,11,FALSE))</f>
        <v>24</v>
      </c>
      <c r="CB3" s="88">
        <f>IFERROR(4*BZ3*CA3,"")</f>
        <v>1152</v>
      </c>
      <c r="CC3" s="479" t="s">
        <v>522</v>
      </c>
      <c r="CD3" s="95">
        <f>IFERROR(BZ3/2,0)</f>
        <v>6</v>
      </c>
      <c r="CE3" s="8"/>
      <c r="CF3" s="88" t="s">
        <v>521</v>
      </c>
      <c r="CG3" s="201" t="str">
        <f>IF(OR(P6="むね上げ導体",AE6="むね上げ導体"),1,"")</f>
        <v/>
      </c>
      <c r="CH3" s="88" t="s">
        <v>520</v>
      </c>
      <c r="CI3" s="197">
        <f>IF(B2=0,"",IF(AZ8="①",1,IF(AZ8="②",2,IF(AZ8="③",3,IF(AZ8="④",4,IF(AZ8="⑤",5,IF(AZ8="⑥",6,IF(AZ8="⑦",7,IF(AZ8="⑧",8,IF(AZ8="⑨",9,0))))))))))</f>
        <v>0</v>
      </c>
      <c r="CJ3" s="197">
        <f>IF(AZ12="①",1,IF(AZ12="②",2,IF(AZ12="③",3,IF(AZ12="④",4,IF(AZ12="⑤",5,IF(AZ12="⑥",6,IF(AZ12="⑦",7,IF(AZ12="⑧",8,IF(AZ12="⑨",9,0)))))))))</f>
        <v>7</v>
      </c>
      <c r="CK3" s="8"/>
      <c r="CL3" s="11" t="s">
        <v>519</v>
      </c>
    </row>
    <row r="4" spans="2:90" ht="12" customHeight="1" thickBot="1">
      <c r="B4" s="23"/>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492"/>
      <c r="AI4" s="492"/>
      <c r="AJ4" s="492"/>
      <c r="AK4" s="492"/>
      <c r="AL4" s="492"/>
      <c r="AM4" s="492"/>
      <c r="AN4" s="492"/>
      <c r="AO4" s="492"/>
      <c r="AP4" s="492"/>
      <c r="AQ4" s="492"/>
      <c r="AR4" s="492"/>
      <c r="AS4" s="492"/>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19"/>
      <c r="BV4" s="94"/>
      <c r="BW4" s="94"/>
      <c r="BX4" s="193" t="s">
        <v>518</v>
      </c>
      <c r="BY4" s="88">
        <f>IF(B2=0,"",[6]Top!$Y$130)</f>
        <v>49.75</v>
      </c>
      <c r="BZ4" s="2869" t="s">
        <v>517</v>
      </c>
      <c r="CA4" s="2796" t="s">
        <v>516</v>
      </c>
      <c r="CB4" s="2796" t="s">
        <v>515</v>
      </c>
      <c r="CC4" s="479" t="s">
        <v>502</v>
      </c>
      <c r="CD4" s="95">
        <f>IFERROR(CA3/2,0)</f>
        <v>12</v>
      </c>
      <c r="CE4" s="38" t="s">
        <v>514</v>
      </c>
      <c r="CF4" s="88">
        <f>IF(AI12="JIS 大",0.46,0.33)</f>
        <v>0.46</v>
      </c>
      <c r="CG4" s="2818" t="s">
        <v>513</v>
      </c>
      <c r="CH4" s="98">
        <f>IF(B2=0,"",IF(TV!AD19="自立型",TV!BV19+0.5,IF(TV!AD19="外壁取付",TV!BV19,0)))</f>
        <v>5</v>
      </c>
      <c r="CI4" s="10" t="s">
        <v>512</v>
      </c>
      <c r="CJ4" s="95" t="str">
        <f>IF(B2=0,"",IF(U10=1,VLOOKUP(CI2,雷2,CI3+3,FALSE),IF(CI8=2,VLOOKUP(11,雷2,CI3+3,FALSE),IF(CI8=3,VLOOKUP(13,雷2,CI3+3,FALSE),IF(CI8=4,VLOOKUP(12,雷2,CI3+3,FALSE),IF(CI8=6,VLOOKUP(14,雷2,CI3+3,FALSE),0))))))</f>
        <v>④-⑥-④'</v>
      </c>
      <c r="CK4" s="10" t="str">
        <f>BY3</f>
        <v xml:space="preserve"> 12F</v>
      </c>
      <c r="CL4" s="11" t="s">
        <v>511</v>
      </c>
    </row>
    <row r="5" spans="2:90" ht="3.75" customHeight="1" thickBot="1">
      <c r="B5" s="23"/>
      <c r="C5" s="491"/>
      <c r="D5" s="490"/>
      <c r="E5" s="490"/>
      <c r="F5" s="490"/>
      <c r="G5" s="490"/>
      <c r="H5" s="490"/>
      <c r="I5" s="490"/>
      <c r="J5" s="490"/>
      <c r="K5" s="490"/>
      <c r="L5" s="490"/>
      <c r="M5" s="490"/>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89"/>
      <c r="AO5" s="489"/>
      <c r="AP5" s="489"/>
      <c r="AQ5" s="489"/>
      <c r="AR5" s="489"/>
      <c r="AS5" s="489"/>
      <c r="AT5" s="489"/>
      <c r="AU5" s="489"/>
      <c r="AV5" s="489"/>
      <c r="AW5" s="489"/>
      <c r="AX5" s="489"/>
      <c r="AY5" s="489"/>
      <c r="AZ5" s="489"/>
      <c r="BA5" s="489"/>
      <c r="BB5" s="489"/>
      <c r="BC5" s="489"/>
      <c r="BD5" s="489"/>
      <c r="BE5" s="488"/>
      <c r="BF5" s="35"/>
      <c r="BG5" s="2820" t="str">
        <f>IF(B2=0,"","敷地形状")</f>
        <v>敷地形状</v>
      </c>
      <c r="BH5" s="2821"/>
      <c r="BI5" s="2821"/>
      <c r="BJ5" s="2821"/>
      <c r="BK5" s="2821"/>
      <c r="BL5" s="2821"/>
      <c r="BM5" s="2821"/>
      <c r="BN5" s="2824" t="str">
        <f>IF(B2=0,"","n="&amp;[6]Top!$AB$18)</f>
        <v>n=1.4</v>
      </c>
      <c r="BO5" s="2824"/>
      <c r="BP5" s="2824"/>
      <c r="BQ5" s="2824"/>
      <c r="BR5" s="2824"/>
      <c r="BS5" s="2824"/>
      <c r="BT5" s="2825"/>
      <c r="BU5" s="19"/>
      <c r="BV5" s="94"/>
      <c r="BW5" s="94"/>
      <c r="BX5" s="9"/>
      <c r="BY5" s="8"/>
      <c r="BZ5" s="2797"/>
      <c r="CA5" s="2796"/>
      <c r="CB5" s="2796"/>
      <c r="CC5" s="45"/>
      <c r="CD5" s="45"/>
      <c r="CE5" s="45"/>
      <c r="CF5" s="45"/>
      <c r="CG5" s="2819"/>
      <c r="CH5" s="8"/>
      <c r="CI5" s="8"/>
      <c r="CJ5" s="205"/>
      <c r="CK5" s="10"/>
      <c r="CL5" s="11" t="s">
        <v>510</v>
      </c>
    </row>
    <row r="6" spans="2:90" ht="11.25" customHeight="1">
      <c r="B6" s="23"/>
      <c r="C6" s="2860" t="s">
        <v>509</v>
      </c>
      <c r="D6" s="2861"/>
      <c r="E6" s="2861"/>
      <c r="F6" s="2861"/>
      <c r="G6" s="2861"/>
      <c r="H6" s="2861"/>
      <c r="I6" s="2861"/>
      <c r="J6" s="2736" t="str">
        <f>IF(BW3=0,"","受雷部")</f>
        <v>受雷部</v>
      </c>
      <c r="K6" s="2737"/>
      <c r="L6" s="2737"/>
      <c r="M6" s="2738"/>
      <c r="N6" s="2736" t="str">
        <f>IF(B2=0,"",IF(BX8="不要","","RF"))</f>
        <v>RF</v>
      </c>
      <c r="O6" s="2738"/>
      <c r="P6" s="2843" t="str">
        <f>IF(OR(B2=0,BX8="不要"),"",IF(X6&lt;&gt;"",X6,"避雷突針"))</f>
        <v>避雷突針</v>
      </c>
      <c r="Q6" s="2737"/>
      <c r="R6" s="2737"/>
      <c r="S6" s="2737"/>
      <c r="T6" s="2737"/>
      <c r="U6" s="2737"/>
      <c r="V6" s="2738"/>
      <c r="W6" s="104" t="s">
        <v>68</v>
      </c>
      <c r="X6" s="2853"/>
      <c r="Y6" s="2854"/>
      <c r="Z6" s="2854"/>
      <c r="AA6" s="2854"/>
      <c r="AB6" s="2854"/>
      <c r="AC6" s="2854"/>
      <c r="AD6" s="2854"/>
      <c r="AE6" s="2854"/>
      <c r="AF6" s="2855"/>
      <c r="AG6" s="2736" t="str">
        <f>IF(OR(B2=0,BX3="不要"),"","PH")</f>
        <v>PH</v>
      </c>
      <c r="AH6" s="2737"/>
      <c r="AI6" s="2738"/>
      <c r="AJ6" s="2862"/>
      <c r="AK6" s="2863"/>
      <c r="AL6" s="2863"/>
      <c r="AM6" s="2863"/>
      <c r="AN6" s="2863"/>
      <c r="AO6" s="2863"/>
      <c r="AP6" s="2863"/>
      <c r="AQ6" s="2864"/>
      <c r="AR6" s="2803" t="str">
        <f>IF(OR(BW3=0,P6="むね上げ導体"),"","RF突針部位置")</f>
        <v>RF突針部位置</v>
      </c>
      <c r="AS6" s="2804"/>
      <c r="AT6" s="2804"/>
      <c r="AU6" s="2804"/>
      <c r="AV6" s="2804"/>
      <c r="AW6" s="2804"/>
      <c r="AX6" s="2804"/>
      <c r="AY6" s="2805"/>
      <c r="AZ6" s="2811" t="str">
        <f>IF(AR6="","",IF(BC6&lt;&gt;"",BC6,IF(CH8=1,"⑨",IF(CH8=11,"⑧",IF(CH8=13,"⑦",IF(CH8=12,"⑤",IF(CH8=14,"④","")))))))</f>
        <v>④</v>
      </c>
      <c r="BA6" s="2812"/>
      <c r="BB6" s="104" t="s">
        <v>68</v>
      </c>
      <c r="BC6" s="2667"/>
      <c r="BD6" s="2669"/>
      <c r="BE6" s="452"/>
      <c r="BF6" s="35"/>
      <c r="BG6" s="2822"/>
      <c r="BH6" s="2823"/>
      <c r="BI6" s="2823"/>
      <c r="BJ6" s="2823"/>
      <c r="BK6" s="2823"/>
      <c r="BL6" s="2823"/>
      <c r="BM6" s="2823"/>
      <c r="BN6" s="2826"/>
      <c r="BO6" s="2826"/>
      <c r="BP6" s="2826"/>
      <c r="BQ6" s="2826"/>
      <c r="BR6" s="2826"/>
      <c r="BS6" s="2826"/>
      <c r="BT6" s="2827"/>
      <c r="BU6" s="19"/>
      <c r="BV6" s="94"/>
      <c r="BW6" s="94"/>
      <c r="BX6" s="9"/>
      <c r="BY6" s="88" t="str">
        <f>"  1F"</f>
        <v xml:space="preserve">  1F</v>
      </c>
      <c r="BZ6" s="109">
        <f>VLOOKUP(BY6,[5]!階高,10,FALSE)</f>
        <v>30</v>
      </c>
      <c r="CA6" s="487">
        <f>VLOOKUP(BY6,[5]!階高,11,FALSE)</f>
        <v>31.8</v>
      </c>
      <c r="CB6" s="88">
        <f>4*BZ6*CA6</f>
        <v>3816</v>
      </c>
      <c r="CC6" s="479" t="s">
        <v>508</v>
      </c>
      <c r="CD6" s="110">
        <f>IFERROR(BZ8/2,0)</f>
        <v>6</v>
      </c>
      <c r="CE6" s="202" t="s">
        <v>507</v>
      </c>
      <c r="CF6" s="181">
        <f>IF(P8="Ⅰ",0.7002075,IF(P8="Ⅱ",1,IF(P8="Ⅲ",1.428148,IF(P8="Ⅳ",2.144507,0))))</f>
        <v>2.1445069999999999</v>
      </c>
      <c r="CG6" s="92">
        <f>IF(P8="Ⅰ",1,IF(P8="Ⅱ",2,IF(P8="Ⅲ",3,4)))</f>
        <v>4</v>
      </c>
      <c r="CH6" s="2802" t="s">
        <v>506</v>
      </c>
      <c r="CI6" s="2802" t="s">
        <v>505</v>
      </c>
      <c r="CJ6" s="95">
        <f>IF(AB10="",0,VLOOKUP(CJ2+20,雷1,CJ3+3,FALSE))</f>
        <v>31.734083999999999</v>
      </c>
      <c r="CK6" s="10">
        <f>BY4</f>
        <v>49.75</v>
      </c>
      <c r="CL6" s="11" t="s">
        <v>504</v>
      </c>
    </row>
    <row r="7" spans="2:90" ht="2.25" customHeight="1">
      <c r="B7" s="23"/>
      <c r="C7" s="2860"/>
      <c r="D7" s="2861"/>
      <c r="E7" s="2861"/>
      <c r="F7" s="2861"/>
      <c r="G7" s="2861"/>
      <c r="H7" s="2861"/>
      <c r="I7" s="2861"/>
      <c r="J7" s="215"/>
      <c r="K7" s="215"/>
      <c r="L7" s="215"/>
      <c r="M7" s="215"/>
      <c r="N7" s="467"/>
      <c r="O7" s="48"/>
      <c r="P7" s="48"/>
      <c r="Q7" s="48"/>
      <c r="R7" s="48"/>
      <c r="S7" s="215"/>
      <c r="T7" s="215"/>
      <c r="U7" s="215"/>
      <c r="V7" s="215"/>
      <c r="W7" s="215"/>
      <c r="X7" s="215"/>
      <c r="Y7" s="215"/>
      <c r="Z7" s="215"/>
      <c r="AA7" s="215"/>
      <c r="AB7" s="486"/>
      <c r="AC7" s="48"/>
      <c r="AD7" s="48"/>
      <c r="AE7" s="48"/>
      <c r="AF7" s="48"/>
      <c r="AG7" s="48"/>
      <c r="AH7" s="215"/>
      <c r="AI7" s="215"/>
      <c r="AJ7" s="215"/>
      <c r="AK7" s="215"/>
      <c r="AL7" s="215"/>
      <c r="AM7" s="215"/>
      <c r="AN7" s="215"/>
      <c r="AO7" s="215"/>
      <c r="AP7" s="215"/>
      <c r="AQ7" s="486"/>
      <c r="AR7" s="48"/>
      <c r="AS7" s="48"/>
      <c r="AT7" s="48"/>
      <c r="AU7" s="48"/>
      <c r="AV7" s="468"/>
      <c r="AW7" s="468"/>
      <c r="AX7" s="468"/>
      <c r="AY7" s="468"/>
      <c r="AZ7" s="468"/>
      <c r="BA7" s="468"/>
      <c r="BB7" s="468"/>
      <c r="BC7" s="468"/>
      <c r="BD7" s="468"/>
      <c r="BE7" s="452"/>
      <c r="BF7" s="35"/>
      <c r="BG7" s="2822"/>
      <c r="BH7" s="2823"/>
      <c r="BI7" s="2823"/>
      <c r="BJ7" s="2823"/>
      <c r="BK7" s="2823"/>
      <c r="BL7" s="2823"/>
      <c r="BM7" s="2823"/>
      <c r="BN7" s="2826"/>
      <c r="BO7" s="2826"/>
      <c r="BP7" s="2826"/>
      <c r="BQ7" s="2826"/>
      <c r="BR7" s="2826"/>
      <c r="BS7" s="2826"/>
      <c r="BT7" s="2827"/>
      <c r="BU7" s="19"/>
      <c r="BV7" s="94"/>
      <c r="BW7" s="94"/>
      <c r="BX7" s="8"/>
      <c r="BY7" s="8"/>
      <c r="BZ7" s="205"/>
      <c r="CA7" s="205"/>
      <c r="CB7" s="485"/>
      <c r="CC7" s="205"/>
      <c r="CD7" s="205"/>
      <c r="CE7" s="205"/>
      <c r="CF7" s="8"/>
      <c r="CG7" s="8"/>
      <c r="CH7" s="2802"/>
      <c r="CI7" s="2802"/>
      <c r="CJ7" s="8"/>
      <c r="CK7" s="8"/>
      <c r="CL7" s="11" t="s">
        <v>503</v>
      </c>
    </row>
    <row r="8" spans="2:90" ht="11.25" customHeight="1">
      <c r="B8" s="23"/>
      <c r="C8" s="2860"/>
      <c r="D8" s="2861"/>
      <c r="E8" s="2861"/>
      <c r="F8" s="2861"/>
      <c r="G8" s="2861"/>
      <c r="H8" s="2861"/>
      <c r="I8" s="2861"/>
      <c r="J8" s="2803" t="str">
        <f>IF(BW3=0,"","保護レベル")</f>
        <v>保護レベル</v>
      </c>
      <c r="K8" s="2804"/>
      <c r="L8" s="2804"/>
      <c r="M8" s="2804"/>
      <c r="N8" s="2804"/>
      <c r="O8" s="2805"/>
      <c r="P8" s="2806" t="str">
        <f>IF(B2="","",IF(S8&lt;&gt;"",S8,IF(BY4&lt;=20,"Ⅰ",IF(BY4&lt;=30,"Ⅱ",IF(BY4&lt;=45,"Ⅲ",IF(BY4&lt;=60,"Ⅳ",""))))))</f>
        <v>Ⅳ</v>
      </c>
      <c r="Q8" s="2807"/>
      <c r="R8" s="104" t="s">
        <v>68</v>
      </c>
      <c r="S8" s="2808"/>
      <c r="T8" s="2809"/>
      <c r="U8" s="484"/>
      <c r="V8" s="2810" t="str">
        <f>IF(OR(B2=0,BX8="不要"),"","RF:GL+")</f>
        <v>RF:GL+</v>
      </c>
      <c r="W8" s="2810"/>
      <c r="X8" s="2810"/>
      <c r="Y8" s="2810"/>
      <c r="Z8" s="2810"/>
      <c r="AA8" s="2780">
        <f>IF(B2=0,"",[6]Top!$Y$130)</f>
        <v>49.75</v>
      </c>
      <c r="AB8" s="2781"/>
      <c r="AC8" s="2781"/>
      <c r="AD8" s="2781"/>
      <c r="AE8" s="2441" t="str">
        <f>IF(AA8="","","m")</f>
        <v>m</v>
      </c>
      <c r="AF8" s="2782"/>
      <c r="AG8" s="2810" t="str">
        <f>IF(OR(B2=0,BX3="不要"),"","PHF:GL+")</f>
        <v>PHF:GL+</v>
      </c>
      <c r="AH8" s="2810"/>
      <c r="AI8" s="2810"/>
      <c r="AJ8" s="2810"/>
      <c r="AK8" s="2810"/>
      <c r="AL8" s="2780">
        <f>IF(AG8="","",[6]Top!$Y$131)</f>
        <v>57.75</v>
      </c>
      <c r="AM8" s="2781"/>
      <c r="AN8" s="2781"/>
      <c r="AO8" s="2781"/>
      <c r="AP8" s="2441" t="str">
        <f>IF(AL8="","","m")</f>
        <v>m</v>
      </c>
      <c r="AQ8" s="2782"/>
      <c r="AR8" s="2803" t="str">
        <f>IF(BW3=0,"","RF  Ant.位置")</f>
        <v>RF  Ant.位置</v>
      </c>
      <c r="AS8" s="2804"/>
      <c r="AT8" s="2804"/>
      <c r="AU8" s="2804"/>
      <c r="AV8" s="2804"/>
      <c r="AW8" s="2804"/>
      <c r="AX8" s="2804"/>
      <c r="AY8" s="2805"/>
      <c r="AZ8" s="2811" t="str">
        <f>IF(B2=0,"",IF(OR(LEFT(TV!X10,2)="PH",BG20="ＣＡＴＶ受信",AR8=""),"",IF(AND(TV!AD19="外壁取付",OR(BC8="⑤",BC8="⑥",BC8="⑧",BC8="⑨")),"③",IF(BC8&lt;&gt;"",BC8,TV!AN11))))</f>
        <v/>
      </c>
      <c r="BA8" s="2812"/>
      <c r="BB8" s="104" t="s">
        <v>68</v>
      </c>
      <c r="BC8" s="2667"/>
      <c r="BD8" s="2669"/>
      <c r="BE8" s="452"/>
      <c r="BF8" s="35"/>
      <c r="BG8" s="483"/>
      <c r="BH8" s="482"/>
      <c r="BI8" s="2870" t="str">
        <f>IF(B2=0,"","突針部の位置")</f>
        <v>突針部の位置</v>
      </c>
      <c r="BJ8" s="2870"/>
      <c r="BK8" s="2870"/>
      <c r="BL8" s="2870"/>
      <c r="BM8" s="2870"/>
      <c r="BN8" s="2870"/>
      <c r="BO8" s="2870"/>
      <c r="BP8" s="2870"/>
      <c r="BQ8" s="2870"/>
      <c r="BR8" s="2870"/>
      <c r="BS8" s="481"/>
      <c r="BT8" s="480"/>
      <c r="BU8" s="19"/>
      <c r="BV8" s="94"/>
      <c r="BW8" s="94"/>
      <c r="BX8" s="46" t="str">
        <f>IF([4]Top!$AA$45&lt;20,"不要","要")</f>
        <v>要</v>
      </c>
      <c r="BY8" s="224" t="str">
        <f>[6]Top!$AE$130</f>
        <v xml:space="preserve"> 12F</v>
      </c>
      <c r="BZ8" s="436">
        <f>VLOOKUP(BY8,[5]!階高,10,FALSE)</f>
        <v>12</v>
      </c>
      <c r="CA8" s="109">
        <f>VLOOKUP(BY8,[5]!階高,11,FALSE)</f>
        <v>24</v>
      </c>
      <c r="CB8" s="88">
        <f>IFERROR(4*BZ8*CA8,"")</f>
        <v>1152</v>
      </c>
      <c r="CC8" s="479" t="s">
        <v>502</v>
      </c>
      <c r="CD8" s="95">
        <f>IFERROR(CA8/2,0)</f>
        <v>12</v>
      </c>
      <c r="CE8" s="202" t="s">
        <v>501</v>
      </c>
      <c r="CF8" s="98">
        <f>BO18</f>
        <v>1</v>
      </c>
      <c r="CG8" s="8"/>
      <c r="CH8" s="88">
        <f>IF(CB8&lt;=300,1,IF(CB8&lt;=500,11,IF(CB8&lt;=800,13,IF(CB8&lt;=1000,12,14))))</f>
        <v>14</v>
      </c>
      <c r="CI8" s="88">
        <f>IF(CH8=1,1,IF(CH8=11,2,IF(CH8=13,3,IF(CH8=12,4,IF(CH8=14,6,"")))))</f>
        <v>6</v>
      </c>
      <c r="CJ8" s="8"/>
      <c r="CK8" s="8"/>
      <c r="CL8" s="11" t="s">
        <v>500</v>
      </c>
    </row>
    <row r="9" spans="2:90" ht="2.25" customHeight="1">
      <c r="B9" s="23"/>
      <c r="C9" s="446"/>
      <c r="D9" s="215"/>
      <c r="E9" s="215"/>
      <c r="F9" s="215"/>
      <c r="G9" s="215"/>
      <c r="H9" s="215"/>
      <c r="I9" s="215"/>
      <c r="J9" s="215"/>
      <c r="K9" s="215"/>
      <c r="L9" s="215"/>
      <c r="M9" s="215"/>
      <c r="N9" s="467"/>
      <c r="O9" s="462"/>
      <c r="P9" s="462"/>
      <c r="Q9" s="462"/>
      <c r="R9" s="465"/>
      <c r="S9" s="465"/>
      <c r="T9" s="465"/>
      <c r="U9" s="465"/>
      <c r="V9" s="465"/>
      <c r="W9" s="465"/>
      <c r="X9" s="465"/>
      <c r="Y9" s="462"/>
      <c r="Z9" s="462"/>
      <c r="AA9" s="462"/>
      <c r="AB9" s="462"/>
      <c r="AC9" s="462"/>
      <c r="AD9" s="462"/>
      <c r="AE9" s="462"/>
      <c r="AF9" s="462"/>
      <c r="AG9" s="462"/>
      <c r="AH9" s="215"/>
      <c r="AI9" s="478"/>
      <c r="AJ9" s="478"/>
      <c r="AK9" s="478"/>
      <c r="AL9" s="478"/>
      <c r="AM9" s="478"/>
      <c r="AN9" s="462"/>
      <c r="AO9" s="462"/>
      <c r="AP9" s="462"/>
      <c r="AQ9" s="462"/>
      <c r="AR9" s="462"/>
      <c r="AS9" s="462"/>
      <c r="AT9" s="462"/>
      <c r="AU9" s="462"/>
      <c r="AV9" s="215"/>
      <c r="AW9" s="462"/>
      <c r="AX9" s="462"/>
      <c r="AY9" s="462"/>
      <c r="AZ9" s="462"/>
      <c r="BA9" s="462"/>
      <c r="BB9" s="462"/>
      <c r="BC9" s="462"/>
      <c r="BD9" s="462"/>
      <c r="BE9" s="452"/>
      <c r="BF9" s="35"/>
      <c r="BG9" s="477"/>
      <c r="BH9" s="476"/>
      <c r="BI9" s="476"/>
      <c r="BJ9" s="476"/>
      <c r="BK9" s="476"/>
      <c r="BL9" s="476"/>
      <c r="BM9" s="476"/>
      <c r="BN9" s="475"/>
      <c r="BO9" s="475"/>
      <c r="BP9" s="475"/>
      <c r="BQ9" s="475"/>
      <c r="BR9" s="475"/>
      <c r="BS9" s="475"/>
      <c r="BT9" s="474"/>
      <c r="BU9" s="19"/>
      <c r="BV9" s="94"/>
      <c r="BW9" s="94"/>
      <c r="BX9" s="8"/>
      <c r="BY9" s="8"/>
      <c r="BZ9" s="8"/>
      <c r="CA9" s="8"/>
      <c r="CB9" s="8"/>
      <c r="CC9" s="8"/>
      <c r="CD9" s="8"/>
      <c r="CE9" s="8"/>
      <c r="CF9" s="8"/>
      <c r="CG9" s="8"/>
      <c r="CH9" s="8"/>
      <c r="CI9" s="8"/>
      <c r="CJ9" s="8"/>
      <c r="CK9" s="8"/>
      <c r="CL9" s="11" t="s">
        <v>499</v>
      </c>
    </row>
    <row r="10" spans="2:90" ht="12" customHeight="1">
      <c r="B10" s="23"/>
      <c r="C10" s="446"/>
      <c r="D10" s="2723" t="str">
        <f>IF(BW3=0,"不 要","必 要")</f>
        <v>必 要</v>
      </c>
      <c r="E10" s="2724"/>
      <c r="F10" s="2724"/>
      <c r="G10" s="2724"/>
      <c r="H10" s="2725"/>
      <c r="I10" s="215"/>
      <c r="J10" s="2736" t="str">
        <f>IF(BW3=0,"","受雷部設置数")</f>
        <v>受雷部設置数</v>
      </c>
      <c r="K10" s="2737"/>
      <c r="L10" s="2737"/>
      <c r="M10" s="2737"/>
      <c r="N10" s="2737"/>
      <c r="O10" s="2737"/>
      <c r="P10" s="2737"/>
      <c r="Q10" s="2738"/>
      <c r="R10" s="2739" t="str">
        <f>IF(OR(B2=0,P6="むね上げ導体",BX8="不要"),"","RF")</f>
        <v>RF</v>
      </c>
      <c r="S10" s="2740"/>
      <c r="T10" s="2741"/>
      <c r="U10" s="2828">
        <f>IF(OR(P6="むね上げ導体",B2=0),"",IF(CH8=1,1,CI8))</f>
        <v>6</v>
      </c>
      <c r="V10" s="2829"/>
      <c r="W10" s="2813" t="str">
        <f>IF(U10="","","基")</f>
        <v>基</v>
      </c>
      <c r="X10" s="2814"/>
      <c r="Y10" s="2739" t="str">
        <f>IF(OR(B2=0,BX3="不要",BO20=0),"",BY3)</f>
        <v xml:space="preserve"> 12F</v>
      </c>
      <c r="Z10" s="2740"/>
      <c r="AA10" s="2741"/>
      <c r="AB10" s="2828">
        <f>IF(Y10="","",1)</f>
        <v>1</v>
      </c>
      <c r="AC10" s="2829"/>
      <c r="AD10" s="2813" t="str">
        <f>IF(AB10="","","基")</f>
        <v>基</v>
      </c>
      <c r="AE10" s="2814"/>
      <c r="AF10" s="473"/>
      <c r="AG10" s="2815" t="str">
        <f>IF(BW3=0,"","最大GL+")</f>
        <v>最大GL+</v>
      </c>
      <c r="AH10" s="2816"/>
      <c r="AI10" s="2816"/>
      <c r="AJ10" s="2816"/>
      <c r="AK10" s="2817"/>
      <c r="AL10" s="2780">
        <f>IF(B2=0,"",BY4+BO20)</f>
        <v>54.75</v>
      </c>
      <c r="AM10" s="2781"/>
      <c r="AN10" s="2781"/>
      <c r="AO10" s="2781"/>
      <c r="AP10" s="2441" t="str">
        <f>IF(AL10="","","m")</f>
        <v>m</v>
      </c>
      <c r="AQ10" s="2782"/>
      <c r="AR10" s="2803" t="str">
        <f>IF(BW3=0,"","PH突針部位置")</f>
        <v>PH突針部位置</v>
      </c>
      <c r="AS10" s="2804"/>
      <c r="AT10" s="2804"/>
      <c r="AU10" s="2804"/>
      <c r="AV10" s="2804"/>
      <c r="AW10" s="2804"/>
      <c r="AX10" s="2804"/>
      <c r="AY10" s="2805"/>
      <c r="AZ10" s="2811" t="str">
        <f>IF(AR10="","",IF(BC10&lt;&gt;"",BC10,"⑨"))</f>
        <v>⑨</v>
      </c>
      <c r="BA10" s="2812"/>
      <c r="BB10" s="104" t="s">
        <v>68</v>
      </c>
      <c r="BC10" s="2667"/>
      <c r="BD10" s="2669"/>
      <c r="BE10" s="452"/>
      <c r="BF10" s="35"/>
      <c r="BG10" s="472" t="str">
        <f>IF(B2=1,"■","")</f>
        <v>■</v>
      </c>
      <c r="BH10" s="471" t="s">
        <v>464</v>
      </c>
      <c r="BI10" s="461"/>
      <c r="BJ10" s="470" t="str">
        <f>IF(B2=1,"■","")</f>
        <v>■</v>
      </c>
      <c r="BK10" s="471" t="s">
        <v>463</v>
      </c>
      <c r="BL10" s="461"/>
      <c r="BM10" s="470" t="str">
        <f>IF(B2=1,"■","")</f>
        <v>■</v>
      </c>
      <c r="BN10" s="292" t="s">
        <v>462</v>
      </c>
      <c r="BO10" s="58"/>
      <c r="BP10" s="58"/>
      <c r="BQ10" s="58"/>
      <c r="BR10" s="58"/>
      <c r="BS10" s="58"/>
      <c r="BT10" s="291"/>
      <c r="BU10" s="19"/>
      <c r="BV10" s="94"/>
      <c r="BW10" s="94"/>
      <c r="BX10" s="469" t="str">
        <f>BY8</f>
        <v xml:space="preserve"> 12F</v>
      </c>
      <c r="BY10" s="2796" t="s">
        <v>471</v>
      </c>
      <c r="BZ10" s="2796" t="s">
        <v>470</v>
      </c>
      <c r="CA10" s="2796" t="s">
        <v>469</v>
      </c>
      <c r="CB10" s="2796" t="s">
        <v>468</v>
      </c>
      <c r="CC10" s="2796" t="s">
        <v>467</v>
      </c>
      <c r="CD10" s="2796" t="s">
        <v>466</v>
      </c>
      <c r="CE10" s="2796" t="s">
        <v>465</v>
      </c>
      <c r="CF10" s="2796" t="s">
        <v>464</v>
      </c>
      <c r="CG10" s="2796" t="s">
        <v>463</v>
      </c>
      <c r="CH10" s="2796" t="s">
        <v>462</v>
      </c>
      <c r="CI10" s="2796" t="s">
        <v>498</v>
      </c>
      <c r="CJ10" s="2796" t="s">
        <v>460</v>
      </c>
      <c r="CK10" s="8"/>
      <c r="CL10" s="11" t="s">
        <v>497</v>
      </c>
    </row>
    <row r="11" spans="2:90" ht="2.25" customHeight="1">
      <c r="B11" s="23"/>
      <c r="C11" s="446"/>
      <c r="D11" s="215"/>
      <c r="E11" s="215"/>
      <c r="F11" s="215"/>
      <c r="G11" s="215"/>
      <c r="H11" s="215"/>
      <c r="I11" s="215"/>
      <c r="J11" s="215"/>
      <c r="K11" s="215"/>
      <c r="L11" s="215"/>
      <c r="M11" s="215"/>
      <c r="N11" s="467"/>
      <c r="O11" s="465"/>
      <c r="P11" s="465"/>
      <c r="Q11" s="465"/>
      <c r="R11" s="465"/>
      <c r="S11" s="465"/>
      <c r="T11" s="465"/>
      <c r="U11" s="465"/>
      <c r="V11" s="465"/>
      <c r="W11" s="465"/>
      <c r="X11" s="465"/>
      <c r="Y11" s="462"/>
      <c r="Z11" s="462"/>
      <c r="AA11" s="462"/>
      <c r="AB11" s="462"/>
      <c r="AC11" s="466"/>
      <c r="AD11" s="462"/>
      <c r="AE11" s="462"/>
      <c r="AF11" s="462"/>
      <c r="AG11" s="462"/>
      <c r="AH11" s="215"/>
      <c r="AI11" s="465"/>
      <c r="AJ11" s="465"/>
      <c r="AK11" s="464"/>
      <c r="AL11" s="462"/>
      <c r="AM11" s="462"/>
      <c r="AN11" s="462"/>
      <c r="AO11" s="463"/>
      <c r="AP11" s="463"/>
      <c r="AQ11" s="463"/>
      <c r="AR11" s="48"/>
      <c r="AS11" s="48"/>
      <c r="AT11" s="48"/>
      <c r="AU11" s="48"/>
      <c r="AV11" s="468"/>
      <c r="AW11" s="468"/>
      <c r="AX11" s="468"/>
      <c r="AY11" s="468"/>
      <c r="AZ11" s="468"/>
      <c r="BA11" s="468"/>
      <c r="BB11" s="468"/>
      <c r="BC11" s="468"/>
      <c r="BD11" s="468"/>
      <c r="BE11" s="452"/>
      <c r="BF11" s="35"/>
      <c r="BG11" s="2798" t="str">
        <f>IF(B2=1,"■","")</f>
        <v>■</v>
      </c>
      <c r="BH11" s="2799" t="s">
        <v>467</v>
      </c>
      <c r="BI11" s="461"/>
      <c r="BJ11" s="2800" t="str">
        <f>IF(B2=1,"■","")</f>
        <v>■</v>
      </c>
      <c r="BK11" s="2799" t="s">
        <v>466</v>
      </c>
      <c r="BL11" s="461"/>
      <c r="BM11" s="2800" t="str">
        <f>IF(B2=1,"■","")</f>
        <v>■</v>
      </c>
      <c r="BN11" s="2801" t="s">
        <v>465</v>
      </c>
      <c r="BO11" s="58"/>
      <c r="BP11" s="58"/>
      <c r="BQ11" s="58"/>
      <c r="BR11" s="58"/>
      <c r="BS11" s="58"/>
      <c r="BT11" s="291"/>
      <c r="BU11" s="19"/>
      <c r="BV11" s="94"/>
      <c r="BW11" s="94"/>
      <c r="BX11" s="8"/>
      <c r="BY11" s="2796"/>
      <c r="BZ11" s="2797"/>
      <c r="CA11" s="2797"/>
      <c r="CB11" s="2797"/>
      <c r="CC11" s="2797"/>
      <c r="CD11" s="2797"/>
      <c r="CE11" s="2797"/>
      <c r="CF11" s="2797"/>
      <c r="CG11" s="2797"/>
      <c r="CH11" s="2797"/>
      <c r="CI11" s="2796"/>
      <c r="CJ11" s="2797"/>
      <c r="CK11" s="8"/>
      <c r="CL11" s="11" t="s">
        <v>496</v>
      </c>
    </row>
    <row r="12" spans="2:90" ht="12" customHeight="1">
      <c r="B12" s="23"/>
      <c r="C12" s="446"/>
      <c r="D12" s="215"/>
      <c r="E12" s="215"/>
      <c r="F12" s="215"/>
      <c r="G12" s="215"/>
      <c r="H12" s="215"/>
      <c r="I12" s="215"/>
      <c r="J12" s="2736" t="str">
        <f>IF(BW3=0,"","突針高さ [m]")</f>
        <v>突針高さ [m]</v>
      </c>
      <c r="K12" s="2737"/>
      <c r="L12" s="2737"/>
      <c r="M12" s="2737"/>
      <c r="N12" s="2737"/>
      <c r="O12" s="2737"/>
      <c r="P12" s="2737"/>
      <c r="Q12" s="2738"/>
      <c r="R12" s="2739" t="str">
        <f>IF(OR(B2=0,P6="むね上げ導体",BX8="不要"),"","RF")</f>
        <v>RF</v>
      </c>
      <c r="S12" s="2740"/>
      <c r="T12" s="2741"/>
      <c r="U12" s="2742">
        <f>IF(OR(B2=0,BO20=0,BX3="不要",P6="むね上げ導体"),"",IF(VLOOKUP(CI2,雷2,CI3+3,FALSE)&lt;12+CF4+0.5,VLOOKUP(CI2,雷2,CI3+3,FALSE),12))</f>
        <v>12</v>
      </c>
      <c r="V12" s="2743"/>
      <c r="W12" s="2743"/>
      <c r="X12" s="2744"/>
      <c r="Y12" s="2739" t="str">
        <f>IF(OR(B2=0,BX3="不要",BO20=0),"",TV!BX10)</f>
        <v xml:space="preserve"> 12F</v>
      </c>
      <c r="Z12" s="2740"/>
      <c r="AA12" s="2741"/>
      <c r="AB12" s="2865">
        <f>IF(OR(B2=0,AB10="",BO20=0),"",VLOOKUP(CJ2+20,雷1,CJ3+3,FALSE))</f>
        <v>31.734083999999999</v>
      </c>
      <c r="AC12" s="2743"/>
      <c r="AD12" s="2743"/>
      <c r="AE12" s="2744"/>
      <c r="AF12" s="2736" t="str">
        <f>IF(BW3=0,"","突針")</f>
        <v>突針</v>
      </c>
      <c r="AG12" s="2737"/>
      <c r="AH12" s="2738"/>
      <c r="AI12" s="2410" t="str">
        <f>IF(AF12="","",IF(AN12&lt;&gt;"",AN12,"JIS 大"))</f>
        <v>JIS 大</v>
      </c>
      <c r="AJ12" s="2411"/>
      <c r="AK12" s="2411"/>
      <c r="AL12" s="2412"/>
      <c r="AM12" s="104" t="s">
        <v>68</v>
      </c>
      <c r="AN12" s="2667"/>
      <c r="AO12" s="2668"/>
      <c r="AP12" s="2668"/>
      <c r="AQ12" s="2669"/>
      <c r="AR12" s="2803" t="str">
        <f>IF(BW3=0,"","PH  Ant.位置")</f>
        <v>PH  Ant.位置</v>
      </c>
      <c r="AS12" s="2804"/>
      <c r="AT12" s="2804"/>
      <c r="AU12" s="2804"/>
      <c r="AV12" s="2804"/>
      <c r="AW12" s="2804"/>
      <c r="AX12" s="2804"/>
      <c r="AY12" s="2805"/>
      <c r="AZ12" s="2811" t="str">
        <f>IF(AR12="","",IF(AND(TV!AD19="外壁取付",OR(BC12="⑤",BC12="⑥",BC12="⑧",BC12="⑨")),"③",IF(BC12&lt;&gt;"",BC12,TV!AN11)))</f>
        <v>⑦</v>
      </c>
      <c r="BA12" s="2812"/>
      <c r="BB12" s="104" t="s">
        <v>68</v>
      </c>
      <c r="BC12" s="2667"/>
      <c r="BD12" s="2669"/>
      <c r="BE12" s="452"/>
      <c r="BF12" s="35"/>
      <c r="BG12" s="2798"/>
      <c r="BH12" s="2799"/>
      <c r="BI12" s="461"/>
      <c r="BJ12" s="2800"/>
      <c r="BK12" s="2799"/>
      <c r="BL12" s="461"/>
      <c r="BM12" s="2800"/>
      <c r="BN12" s="2801"/>
      <c r="BO12" s="58"/>
      <c r="BP12" s="58"/>
      <c r="BQ12" s="58"/>
      <c r="BR12" s="58"/>
      <c r="BS12" s="58"/>
      <c r="BT12" s="291"/>
      <c r="BU12" s="19"/>
      <c r="BV12" s="94"/>
      <c r="BW12" s="94">
        <v>1</v>
      </c>
      <c r="BX12" s="8"/>
      <c r="BY12" s="46" t="s">
        <v>459</v>
      </c>
      <c r="BZ12" s="109">
        <f>CH4+CF8</f>
        <v>6</v>
      </c>
      <c r="CA12" s="436">
        <f>CH4+CF6*CD6+CF8</f>
        <v>18.867041999999998</v>
      </c>
      <c r="CB12" s="109">
        <f>CH4+CF6*2*CD6+CF8</f>
        <v>31.734083999999999</v>
      </c>
      <c r="CC12" s="109">
        <f>CH4+CF6*CD8+CF8</f>
        <v>31.734083999999999</v>
      </c>
      <c r="CD12" s="109">
        <f>CH4+CF6*SQRT(CD6^2+CD8^2)+CF8</f>
        <v>34.77158058134485</v>
      </c>
      <c r="CE12" s="109">
        <f>CH4+CF6*SQRT((2*CD6)^2+CD8^2)+CF8</f>
        <v>42.393490608048467</v>
      </c>
      <c r="CF12" s="109">
        <f>CH4+CF6*CD8*2+CF8</f>
        <v>57.468167999999999</v>
      </c>
      <c r="CG12" s="109">
        <f>CH4+CF6*SQRT(CD6^2+(2*CD8)^2)+CF8</f>
        <v>59.052173255258708</v>
      </c>
      <c r="CH12" s="109">
        <f>CH4+CF6*SQRT((2*CD6)^2+(2*CD8)^2)+CF8</f>
        <v>63.543161162689699</v>
      </c>
      <c r="CI12" s="202">
        <f>MAX(BZ12:CH12)</f>
        <v>63.543161162689699</v>
      </c>
      <c r="CJ12" s="109">
        <f>$CF$6*SQRT(BZ8^2+CA8^2)+CF8</f>
        <v>58.543161162689699</v>
      </c>
      <c r="CK12" s="10" t="s">
        <v>458</v>
      </c>
      <c r="CL12" s="11" t="s">
        <v>495</v>
      </c>
    </row>
    <row r="13" spans="2:90" ht="2.25" customHeight="1">
      <c r="B13" s="23"/>
      <c r="C13" s="446"/>
      <c r="D13" s="215"/>
      <c r="E13" s="215"/>
      <c r="F13" s="215"/>
      <c r="G13" s="215"/>
      <c r="H13" s="215"/>
      <c r="I13" s="215"/>
      <c r="J13" s="215"/>
      <c r="K13" s="215"/>
      <c r="L13" s="215"/>
      <c r="M13" s="215"/>
      <c r="N13" s="467"/>
      <c r="O13" s="465"/>
      <c r="P13" s="465"/>
      <c r="Q13" s="465"/>
      <c r="R13" s="465"/>
      <c r="S13" s="465"/>
      <c r="T13" s="465"/>
      <c r="U13" s="465"/>
      <c r="V13" s="465"/>
      <c r="W13" s="465"/>
      <c r="X13" s="465"/>
      <c r="Y13" s="462"/>
      <c r="Z13" s="462"/>
      <c r="AA13" s="462"/>
      <c r="AB13" s="462"/>
      <c r="AC13" s="466"/>
      <c r="AD13" s="462"/>
      <c r="AE13" s="462"/>
      <c r="AF13" s="462"/>
      <c r="AG13" s="462"/>
      <c r="AH13" s="215"/>
      <c r="AI13" s="465"/>
      <c r="AJ13" s="465"/>
      <c r="AK13" s="464"/>
      <c r="AL13" s="462"/>
      <c r="AM13" s="462"/>
      <c r="AN13" s="462"/>
      <c r="AO13" s="463"/>
      <c r="AP13" s="463"/>
      <c r="AQ13" s="463"/>
      <c r="AR13" s="462"/>
      <c r="AS13" s="462"/>
      <c r="AT13" s="462"/>
      <c r="AU13" s="462"/>
      <c r="AV13" s="215"/>
      <c r="AW13" s="462"/>
      <c r="AX13" s="462"/>
      <c r="AY13" s="462"/>
      <c r="AZ13" s="462"/>
      <c r="BA13" s="462"/>
      <c r="BB13" s="462"/>
      <c r="BC13" s="462"/>
      <c r="BD13" s="462"/>
      <c r="BE13" s="452"/>
      <c r="BF13" s="35"/>
      <c r="BG13" s="2798"/>
      <c r="BH13" s="2799"/>
      <c r="BI13" s="461"/>
      <c r="BJ13" s="2800"/>
      <c r="BK13" s="2799"/>
      <c r="BL13" s="461"/>
      <c r="BM13" s="2800"/>
      <c r="BN13" s="2801"/>
      <c r="BO13" s="58"/>
      <c r="BP13" s="58"/>
      <c r="BQ13" s="58"/>
      <c r="BR13" s="58"/>
      <c r="BS13" s="58"/>
      <c r="BT13" s="291"/>
      <c r="BU13" s="19"/>
      <c r="BV13" s="94"/>
      <c r="BW13" s="94"/>
      <c r="BX13" s="8"/>
      <c r="BY13" s="108"/>
      <c r="BZ13" s="82"/>
      <c r="CA13" s="82"/>
      <c r="CB13" s="82"/>
      <c r="CC13" s="82"/>
      <c r="CD13" s="82"/>
      <c r="CE13" s="82"/>
      <c r="CF13" s="82"/>
      <c r="CG13" s="82"/>
      <c r="CH13" s="82"/>
      <c r="CI13" s="67"/>
      <c r="CJ13" s="8"/>
      <c r="CK13" s="8"/>
      <c r="CL13" s="11" t="s">
        <v>494</v>
      </c>
    </row>
    <row r="14" spans="2:90" ht="12" customHeight="1">
      <c r="B14" s="23"/>
      <c r="C14" s="446"/>
      <c r="D14" s="2719" t="str">
        <f>IF(B2=0,"","受")</f>
        <v>受</v>
      </c>
      <c r="E14" s="2720"/>
      <c r="F14" s="2721" t="str">
        <f>IF(B2=0,"","雷 部")</f>
        <v>雷 部</v>
      </c>
      <c r="G14" s="2721"/>
      <c r="H14" s="2722"/>
      <c r="I14" s="215"/>
      <c r="J14" s="2735" t="str">
        <f>IF(BW3=0,"","建物[m]")</f>
        <v>建物[m]</v>
      </c>
      <c r="K14" s="2735"/>
      <c r="L14" s="2735"/>
      <c r="M14" s="2735"/>
      <c r="N14" s="2735"/>
      <c r="O14" s="2726" t="str">
        <f>IF(BW3=0,"",BY6)</f>
        <v xml:space="preserve">  1F</v>
      </c>
      <c r="P14" s="2727"/>
      <c r="Q14" s="2727"/>
      <c r="R14" s="2727"/>
      <c r="S14" s="2732" t="str">
        <f>IF(BW3=0,"","Lx:")</f>
        <v>Lx:</v>
      </c>
      <c r="T14" s="2733"/>
      <c r="U14" s="2728">
        <f>IF(BW3=0,"",BZ6*2)</f>
        <v>60</v>
      </c>
      <c r="V14" s="2728"/>
      <c r="W14" s="2734"/>
      <c r="X14" s="2732" t="str">
        <f>IF(BW3=0,"","Ly:")</f>
        <v>Ly:</v>
      </c>
      <c r="Y14" s="2733"/>
      <c r="Z14" s="2728">
        <f>IF(BW3=0,"",CA6*2)</f>
        <v>63.6</v>
      </c>
      <c r="AA14" s="2728"/>
      <c r="AB14" s="2729"/>
      <c r="AC14" s="2726" t="str">
        <f>IF(BW3=0,"",BY8)</f>
        <v xml:space="preserve"> 12F</v>
      </c>
      <c r="AD14" s="2727"/>
      <c r="AE14" s="2727"/>
      <c r="AF14" s="2727"/>
      <c r="AG14" s="2732" t="str">
        <f>S14</f>
        <v>Lx:</v>
      </c>
      <c r="AH14" s="2733"/>
      <c r="AI14" s="2728">
        <f>IF(BW3=0,"",BZ8*2)</f>
        <v>24</v>
      </c>
      <c r="AJ14" s="2728"/>
      <c r="AK14" s="2734"/>
      <c r="AL14" s="2844" t="str">
        <f>X14</f>
        <v>Ly:</v>
      </c>
      <c r="AM14" s="2845"/>
      <c r="AN14" s="2730">
        <f>IF(BW3=0,"",CA8*2)</f>
        <v>48</v>
      </c>
      <c r="AO14" s="2730"/>
      <c r="AP14" s="2731"/>
      <c r="AQ14" s="2726" t="str">
        <f>IF(BW3=0,"",BY3)</f>
        <v xml:space="preserve"> 12F</v>
      </c>
      <c r="AR14" s="2727"/>
      <c r="AS14" s="2727"/>
      <c r="AT14" s="2727"/>
      <c r="AU14" s="2727" t="str">
        <f>S14</f>
        <v>Lx:</v>
      </c>
      <c r="AV14" s="2844"/>
      <c r="AW14" s="2846">
        <f>IF(OR(B2=0,BX3="不要"),"",BZ3*2)</f>
        <v>24</v>
      </c>
      <c r="AX14" s="2846"/>
      <c r="AY14" s="2847"/>
      <c r="AZ14" s="2844" t="str">
        <f>X14</f>
        <v>Ly:</v>
      </c>
      <c r="BA14" s="2845"/>
      <c r="BB14" s="2730">
        <f>IF(OR(B2=0,BX3="不要"),"",CA3*2)</f>
        <v>48</v>
      </c>
      <c r="BC14" s="2730"/>
      <c r="BD14" s="2731"/>
      <c r="BE14" s="452"/>
      <c r="BF14" s="451"/>
      <c r="BG14" s="460" t="str">
        <f>IF(B2=1,"■","")</f>
        <v>■</v>
      </c>
      <c r="BH14" s="459" t="s">
        <v>470</v>
      </c>
      <c r="BI14" s="458"/>
      <c r="BJ14" s="457" t="str">
        <f>IF(B2=1,"■","")</f>
        <v>■</v>
      </c>
      <c r="BK14" s="459" t="s">
        <v>469</v>
      </c>
      <c r="BL14" s="458"/>
      <c r="BM14" s="457" t="str">
        <f>IF(B2=1,"■","")</f>
        <v>■</v>
      </c>
      <c r="BN14" s="286" t="s">
        <v>468</v>
      </c>
      <c r="BO14" s="285"/>
      <c r="BP14" s="285"/>
      <c r="BQ14" s="285"/>
      <c r="BR14" s="285"/>
      <c r="BS14" s="285"/>
      <c r="BT14" s="284"/>
      <c r="BU14" s="19"/>
      <c r="BV14" s="94"/>
      <c r="BW14" s="94">
        <v>2</v>
      </c>
      <c r="BX14" s="8"/>
      <c r="BY14" s="46" t="s">
        <v>457</v>
      </c>
      <c r="BZ14" s="109">
        <f>CH4+CF6*CD6+CF8</f>
        <v>18.867041999999998</v>
      </c>
      <c r="CA14" s="109">
        <f>CH4+CF8</f>
        <v>6</v>
      </c>
      <c r="CB14" s="109">
        <f>BZ14</f>
        <v>18.867041999999998</v>
      </c>
      <c r="CC14" s="109">
        <f>CH4+CF6*SQRT(CD6^2+CD8^2)+CF8</f>
        <v>34.77158058134485</v>
      </c>
      <c r="CD14" s="436">
        <f>CH4+CF6*CD8+CF8</f>
        <v>31.734083999999999</v>
      </c>
      <c r="CE14" s="109">
        <f>CC14</f>
        <v>34.77158058134485</v>
      </c>
      <c r="CF14" s="109">
        <f>CH4+CF6*SQRT(CD6^2+(CD8*2)^2)+CF8</f>
        <v>59.052173255258708</v>
      </c>
      <c r="CG14" s="109">
        <f>CH4+CF6*2*CD8+CF8</f>
        <v>57.468167999999999</v>
      </c>
      <c r="CH14" s="109">
        <f>CF14</f>
        <v>59.052173255258708</v>
      </c>
      <c r="CI14" s="202">
        <f>MAX(BZ14:CH14)</f>
        <v>59.052173255258708</v>
      </c>
      <c r="CJ14" s="109">
        <f>$CF$6*SQRT((CD6*3)^2+CA8^2)+CF8</f>
        <v>65.335210000000004</v>
      </c>
      <c r="CK14" s="8"/>
      <c r="CL14" s="11" t="s">
        <v>493</v>
      </c>
    </row>
    <row r="15" spans="2:90" ht="2.25" customHeight="1">
      <c r="B15" s="23"/>
      <c r="C15" s="2791"/>
      <c r="D15" s="2792"/>
      <c r="E15" s="2792"/>
      <c r="F15" s="2792"/>
      <c r="G15" s="2792"/>
      <c r="H15" s="2792"/>
      <c r="I15" s="2792"/>
      <c r="J15" s="2792"/>
      <c r="K15" s="2792"/>
      <c r="L15" s="2792"/>
      <c r="M15" s="2792"/>
      <c r="N15" s="2792"/>
      <c r="O15" s="2792"/>
      <c r="P15" s="2792"/>
      <c r="Q15" s="2792"/>
      <c r="R15" s="2792"/>
      <c r="S15" s="2792"/>
      <c r="T15" s="2792"/>
      <c r="U15" s="2792"/>
      <c r="V15" s="2792"/>
      <c r="W15" s="2792"/>
      <c r="X15" s="2792"/>
      <c r="Y15" s="2792"/>
      <c r="Z15" s="2792"/>
      <c r="AA15" s="2792"/>
      <c r="AB15" s="2792"/>
      <c r="AC15" s="2792"/>
      <c r="AD15" s="2792"/>
      <c r="AE15" s="2792"/>
      <c r="AF15" s="2792"/>
      <c r="AG15" s="2792"/>
      <c r="AH15" s="2792"/>
      <c r="AI15" s="2792"/>
      <c r="AJ15" s="2792"/>
      <c r="AK15" s="2792"/>
      <c r="AL15" s="2792"/>
      <c r="AM15" s="2792"/>
      <c r="AN15" s="2792"/>
      <c r="AO15" s="2792"/>
      <c r="AP15" s="2792"/>
      <c r="AQ15" s="2792"/>
      <c r="AR15" s="2792"/>
      <c r="AS15" s="2792"/>
      <c r="AT15" s="2792"/>
      <c r="AU15" s="2792"/>
      <c r="AV15" s="2792"/>
      <c r="AW15" s="2792"/>
      <c r="AX15" s="2792"/>
      <c r="AY15" s="2792"/>
      <c r="AZ15" s="2792"/>
      <c r="BA15" s="2792"/>
      <c r="BB15" s="2792"/>
      <c r="BC15" s="2792"/>
      <c r="BD15" s="2792"/>
      <c r="BE15" s="2793"/>
      <c r="BF15" s="451"/>
      <c r="BG15" s="35"/>
      <c r="BH15" s="35"/>
      <c r="BI15" s="35"/>
      <c r="BJ15" s="456"/>
      <c r="BK15" s="456"/>
      <c r="BL15" s="456"/>
      <c r="BM15" s="456"/>
      <c r="BN15" s="456"/>
      <c r="BO15" s="456"/>
      <c r="BP15" s="456"/>
      <c r="BQ15" s="35"/>
      <c r="BR15" s="35"/>
      <c r="BS15" s="35"/>
      <c r="BT15" s="35"/>
      <c r="BU15" s="19"/>
      <c r="BV15" s="94"/>
      <c r="BW15" s="94"/>
      <c r="BX15" s="8"/>
      <c r="BY15" s="8"/>
      <c r="BZ15" s="82"/>
      <c r="CA15" s="82"/>
      <c r="CB15" s="82"/>
      <c r="CC15" s="82"/>
      <c r="CD15" s="82"/>
      <c r="CE15" s="82"/>
      <c r="CF15" s="82"/>
      <c r="CG15" s="82"/>
      <c r="CH15" s="82"/>
      <c r="CI15" s="202"/>
      <c r="CJ15" s="8"/>
      <c r="CK15" s="8"/>
      <c r="CL15" s="11" t="s">
        <v>492</v>
      </c>
    </row>
    <row r="16" spans="2:90" ht="12" customHeight="1">
      <c r="B16" s="23"/>
      <c r="C16" s="446"/>
      <c r="D16" s="215"/>
      <c r="E16" s="215"/>
      <c r="F16" s="215"/>
      <c r="G16" s="215"/>
      <c r="H16" s="215"/>
      <c r="I16" s="215"/>
      <c r="J16" s="2736" t="str">
        <f>IF(BW3=0,"",IF(P16="","簡 略 法",P16))</f>
        <v>簡 略 法</v>
      </c>
      <c r="K16" s="2737"/>
      <c r="L16" s="2737"/>
      <c r="M16" s="2737"/>
      <c r="N16" s="2738"/>
      <c r="O16" s="104" t="s">
        <v>68</v>
      </c>
      <c r="P16" s="2667"/>
      <c r="Q16" s="2668"/>
      <c r="R16" s="2668"/>
      <c r="S16" s="2668"/>
      <c r="T16" s="2669"/>
      <c r="U16" s="215"/>
      <c r="V16" s="2736" t="str">
        <f>IF(BW3=0,"","屋上部分")</f>
        <v>屋上部分</v>
      </c>
      <c r="W16" s="2737"/>
      <c r="X16" s="2737"/>
      <c r="Y16" s="2737"/>
      <c r="Z16" s="2738"/>
      <c r="AA16" s="2780">
        <f>IF(V16="","",CB47+CB48)</f>
        <v>616</v>
      </c>
      <c r="AB16" s="2781"/>
      <c r="AC16" s="2781"/>
      <c r="AD16" s="2781"/>
      <c r="AE16" s="2441" t="str">
        <f>IF(OR(B2=0,AA16="不要"),"","m")</f>
        <v>m</v>
      </c>
      <c r="AF16" s="2782"/>
      <c r="AG16" s="215"/>
      <c r="AH16" s="2736" t="str">
        <f>IF(BW3=0,"","引下部分")</f>
        <v>引下部分</v>
      </c>
      <c r="AI16" s="2737"/>
      <c r="AJ16" s="2737"/>
      <c r="AK16" s="2737"/>
      <c r="AL16" s="2738"/>
      <c r="AM16" s="2780">
        <f>IF(B2=0,"",IF(J16="簡 略 法",CB49-CA49,CB49))</f>
        <v>6.4499999999999993</v>
      </c>
      <c r="AN16" s="2781"/>
      <c r="AO16" s="2781"/>
      <c r="AP16" s="2781"/>
      <c r="AQ16" s="2441" t="str">
        <f>IF(AM16="","","m")</f>
        <v>m</v>
      </c>
      <c r="AR16" s="2782"/>
      <c r="AS16" s="455"/>
      <c r="AT16" s="2736" t="str">
        <f>IF(BW3=0,"","接地極部")</f>
        <v>接地極部</v>
      </c>
      <c r="AU16" s="2737"/>
      <c r="AV16" s="2737"/>
      <c r="AW16" s="2737"/>
      <c r="AX16" s="2738"/>
      <c r="AY16" s="2780">
        <f>IF(B2=0,"",CB50)</f>
        <v>269.2</v>
      </c>
      <c r="AZ16" s="2781"/>
      <c r="BA16" s="2781"/>
      <c r="BB16" s="2781"/>
      <c r="BC16" s="2441" t="str">
        <f>IF(AY16="","","m")</f>
        <v>m</v>
      </c>
      <c r="BD16" s="2782"/>
      <c r="BE16" s="454"/>
      <c r="BF16" s="451"/>
      <c r="BG16" s="2736" t="str">
        <f>IF(B2=0,"","突針保護角[Degree]")</f>
        <v>突針保護角[Degree]</v>
      </c>
      <c r="BH16" s="2737"/>
      <c r="BI16" s="2737"/>
      <c r="BJ16" s="2737"/>
      <c r="BK16" s="2737"/>
      <c r="BL16" s="2737"/>
      <c r="BM16" s="2737"/>
      <c r="BN16" s="2737"/>
      <c r="BO16" s="2737"/>
      <c r="BP16" s="2737"/>
      <c r="BQ16" s="2738"/>
      <c r="BR16" s="2837" t="str">
        <f>IF(B2=0,"",IF(P8="Ⅰ","55゜",IF(P8="Ⅱ","45゜",IF(P8="Ⅲ","35゜","25゜"))))</f>
        <v>25゜</v>
      </c>
      <c r="BS16" s="2838"/>
      <c r="BT16" s="2839"/>
      <c r="BU16" s="19"/>
      <c r="BV16" s="94"/>
      <c r="BW16" s="94">
        <v>3</v>
      </c>
      <c r="BX16" s="8"/>
      <c r="BY16" s="46" t="s">
        <v>456</v>
      </c>
      <c r="BZ16" s="109">
        <f>CH4+CF6*CD6*2+CF8</f>
        <v>31.734083999999999</v>
      </c>
      <c r="CA16" s="109">
        <f>CH4+CF6*CD6+CF8</f>
        <v>18.867041999999998</v>
      </c>
      <c r="CB16" s="109">
        <f>CH4+CF8</f>
        <v>6</v>
      </c>
      <c r="CC16" s="109">
        <f>CH4+CF6*SQRT((CD6*2)^2+CD8^2)+CF8</f>
        <v>42.393490608048467</v>
      </c>
      <c r="CD16" s="109">
        <f>CH4+CF6*SQRT(CD6^2+CD8^2)+CF8</f>
        <v>34.77158058134485</v>
      </c>
      <c r="CE16" s="109">
        <f>CH4+CF6*CD8+CF8</f>
        <v>31.734083999999999</v>
      </c>
      <c r="CF16" s="109">
        <f>CH4+CF6*SQRT((CD6*2)^2+(CD8*2)^2)+CF8</f>
        <v>63.543161162689699</v>
      </c>
      <c r="CG16" s="109">
        <f>CH4+CF6*SQRT(CD6^2+(CD8*2)^2)+CF8</f>
        <v>59.052173255258708</v>
      </c>
      <c r="CH16" s="109">
        <f>CH4+CF6*CD8*2+CF8</f>
        <v>57.468167999999999</v>
      </c>
      <c r="CI16" s="202">
        <f>MAX(BZ16:CH16)</f>
        <v>63.543161162689699</v>
      </c>
      <c r="CJ16" s="109">
        <f>$CF$6*SQRT((CD6*2)^2+CA8^2)+CF8</f>
        <v>58.543161162689699</v>
      </c>
      <c r="CK16" s="8"/>
      <c r="CL16" s="11" t="s">
        <v>491</v>
      </c>
    </row>
    <row r="17" spans="2:90" ht="2.25" customHeight="1">
      <c r="B17" s="23"/>
      <c r="C17" s="453"/>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52"/>
      <c r="BF17" s="451"/>
      <c r="BG17" s="42"/>
      <c r="BH17" s="42"/>
      <c r="BI17" s="450"/>
      <c r="BJ17" s="450"/>
      <c r="BK17" s="450"/>
      <c r="BL17" s="450"/>
      <c r="BM17" s="450"/>
      <c r="BN17" s="450"/>
      <c r="BO17" s="450"/>
      <c r="BP17" s="42"/>
      <c r="BQ17" s="42"/>
      <c r="BR17" s="42"/>
      <c r="BS17" s="42"/>
      <c r="BT17" s="20"/>
      <c r="BU17" s="19"/>
      <c r="BV17" s="94"/>
      <c r="BW17" s="94"/>
      <c r="BX17" s="8"/>
      <c r="BY17" s="8"/>
      <c r="BZ17" s="82"/>
      <c r="CA17" s="82"/>
      <c r="CB17" s="82"/>
      <c r="CC17" s="82"/>
      <c r="CD17" s="82"/>
      <c r="CE17" s="82"/>
      <c r="CF17" s="82"/>
      <c r="CG17" s="82"/>
      <c r="CH17" s="82"/>
      <c r="CI17" s="202"/>
      <c r="CJ17" s="8"/>
      <c r="CK17" s="8"/>
      <c r="CL17" s="11" t="s">
        <v>490</v>
      </c>
    </row>
    <row r="18" spans="2:90" ht="12" customHeight="1">
      <c r="B18" s="23"/>
      <c r="C18" s="446"/>
      <c r="D18" s="2748" t="str">
        <f>IF(B2=0,"","避雷導線")</f>
        <v>避雷導線</v>
      </c>
      <c r="E18" s="2721"/>
      <c r="F18" s="2721"/>
      <c r="G18" s="2721"/>
      <c r="H18" s="2722"/>
      <c r="I18" s="215"/>
      <c r="J18" s="2736" t="str">
        <f>IF(BW3=0,"","施工法")</f>
        <v>施工法</v>
      </c>
      <c r="K18" s="2737"/>
      <c r="L18" s="2737"/>
      <c r="M18" s="2738"/>
      <c r="N18" s="2748" t="str">
        <f>IF(R18&lt;&gt;"",R18,IF(BW3=0,"","導線"))</f>
        <v>導線</v>
      </c>
      <c r="O18" s="2721"/>
      <c r="P18" s="2722"/>
      <c r="Q18" s="104" t="s">
        <v>68</v>
      </c>
      <c r="R18" s="2853"/>
      <c r="S18" s="2854"/>
      <c r="T18" s="2855"/>
      <c r="U18" s="215"/>
      <c r="V18" s="2736" t="str">
        <f>IF(BW3=0,"","サイズ")</f>
        <v>サイズ</v>
      </c>
      <c r="W18" s="2737"/>
      <c r="X18" s="2738"/>
      <c r="Y18" s="2736" t="str">
        <f>IF(V18="","",IF(AF18&lt;&gt;"",AF18,"13/2.0mm"))</f>
        <v>13/2.0mm</v>
      </c>
      <c r="Z18" s="2737"/>
      <c r="AA18" s="2737"/>
      <c r="AB18" s="2737"/>
      <c r="AC18" s="2737"/>
      <c r="AD18" s="2738"/>
      <c r="AE18" s="104" t="s">
        <v>68</v>
      </c>
      <c r="AF18" s="2856"/>
      <c r="AG18" s="2857"/>
      <c r="AH18" s="2857"/>
      <c r="AI18" s="2857"/>
      <c r="AJ18" s="2858"/>
      <c r="AK18" s="215"/>
      <c r="AL18" s="2736" t="str">
        <f>IF(BW3=0,"","取付金物")</f>
        <v>取付金物</v>
      </c>
      <c r="AM18" s="2737"/>
      <c r="AN18" s="2737"/>
      <c r="AO18" s="2737"/>
      <c r="AP18" s="2738"/>
      <c r="AQ18" s="2736" t="str">
        <f>IF(BW3=0,"",IF(AV18&lt;&gt;"",AV18,IF(Y18="13/2.0mm","40mmsq","60mmsq")))</f>
        <v>40mmsq</v>
      </c>
      <c r="AR18" s="2737"/>
      <c r="AS18" s="2737"/>
      <c r="AT18" s="2738"/>
      <c r="AU18" s="104" t="s">
        <v>68</v>
      </c>
      <c r="AV18" s="2667"/>
      <c r="AW18" s="2668"/>
      <c r="AX18" s="2668"/>
      <c r="AY18" s="2669"/>
      <c r="AZ18" s="2526">
        <f>IF(BW3=0,"",CE53)</f>
        <v>1039</v>
      </c>
      <c r="BA18" s="2251"/>
      <c r="BB18" s="2251"/>
      <c r="BC18" s="2441" t="str">
        <f>IF(AZ18="","","個")</f>
        <v>個</v>
      </c>
      <c r="BD18" s="2782"/>
      <c r="BE18" s="445"/>
      <c r="BF18" s="35"/>
      <c r="BG18" s="2840" t="str">
        <f>IF(B2=0,"","突針余裕度[m]")</f>
        <v>突針余裕度[m]</v>
      </c>
      <c r="BH18" s="2841"/>
      <c r="BI18" s="2841"/>
      <c r="BJ18" s="2841"/>
      <c r="BK18" s="2841"/>
      <c r="BL18" s="2841"/>
      <c r="BM18" s="2841"/>
      <c r="BN18" s="2842"/>
      <c r="BO18" s="2783">
        <f>IF(B2=0,"",IF(BS18="",1,BS18))</f>
        <v>1</v>
      </c>
      <c r="BP18" s="2784"/>
      <c r="BQ18" s="2785"/>
      <c r="BR18" s="104" t="s">
        <v>68</v>
      </c>
      <c r="BS18" s="2786"/>
      <c r="BT18" s="2787"/>
      <c r="BU18" s="19"/>
      <c r="BV18" s="94"/>
      <c r="BW18" s="94">
        <v>4</v>
      </c>
      <c r="BX18" s="8"/>
      <c r="BY18" s="46" t="s">
        <v>455</v>
      </c>
      <c r="BZ18" s="109">
        <f>CH4+CF6*CD8+CF8</f>
        <v>31.734083999999999</v>
      </c>
      <c r="CA18" s="109">
        <f>CH4+CF6*SQRT(CD6^2+CD8^2)+CF8</f>
        <v>34.77158058134485</v>
      </c>
      <c r="CB18" s="109">
        <f>CH4+CF6*SQRT((CD6*2)^2+CD8^2)+CF8</f>
        <v>42.393490608048467</v>
      </c>
      <c r="CC18" s="109">
        <f>CH4+CF8</f>
        <v>6</v>
      </c>
      <c r="CD18" s="109">
        <f>CH4+CF6*CD6+CF8</f>
        <v>18.867041999999998</v>
      </c>
      <c r="CE18" s="109">
        <f>CH4+CF6*CD6*2+CF8</f>
        <v>31.734083999999999</v>
      </c>
      <c r="CF18" s="109">
        <f>BZ18</f>
        <v>31.734083999999999</v>
      </c>
      <c r="CG18" s="109">
        <f>CA18</f>
        <v>34.77158058134485</v>
      </c>
      <c r="CH18" s="109">
        <f>CB18</f>
        <v>42.393490608048467</v>
      </c>
      <c r="CI18" s="202">
        <f>MAX(BZ18:CH18)</f>
        <v>42.393490608048467</v>
      </c>
      <c r="CJ18" s="109">
        <f>$CF$6*SQRT(BZ8^2+(CD8*3)^2)+CF8</f>
        <v>82.378318938096527</v>
      </c>
      <c r="CK18" s="8"/>
      <c r="CL18" s="11" t="s">
        <v>489</v>
      </c>
    </row>
    <row r="19" spans="2:90" ht="2.25" customHeight="1">
      <c r="B19" s="23"/>
      <c r="C19" s="2791"/>
      <c r="D19" s="2792"/>
      <c r="E19" s="2792"/>
      <c r="F19" s="2792"/>
      <c r="G19" s="2792"/>
      <c r="H19" s="2792"/>
      <c r="I19" s="2792"/>
      <c r="J19" s="2792"/>
      <c r="K19" s="2792"/>
      <c r="L19" s="2792"/>
      <c r="M19" s="2792"/>
      <c r="N19" s="2792"/>
      <c r="O19" s="2792"/>
      <c r="P19" s="2792"/>
      <c r="Q19" s="2792"/>
      <c r="R19" s="2792"/>
      <c r="S19" s="2792"/>
      <c r="T19" s="2792"/>
      <c r="U19" s="2792"/>
      <c r="V19" s="2792"/>
      <c r="W19" s="2792"/>
      <c r="X19" s="2792"/>
      <c r="Y19" s="2792"/>
      <c r="Z19" s="2792"/>
      <c r="AA19" s="2792"/>
      <c r="AB19" s="2792"/>
      <c r="AC19" s="2792"/>
      <c r="AD19" s="2792"/>
      <c r="AE19" s="2792"/>
      <c r="AF19" s="2792"/>
      <c r="AG19" s="2792"/>
      <c r="AH19" s="2792"/>
      <c r="AI19" s="2792"/>
      <c r="AJ19" s="2792"/>
      <c r="AK19" s="2792"/>
      <c r="AL19" s="2792"/>
      <c r="AM19" s="2792"/>
      <c r="AN19" s="2792"/>
      <c r="AO19" s="2792"/>
      <c r="AP19" s="2792"/>
      <c r="AQ19" s="2792"/>
      <c r="AR19" s="2792"/>
      <c r="AS19" s="2792"/>
      <c r="AT19" s="2792"/>
      <c r="AU19" s="2792"/>
      <c r="AV19" s="2792"/>
      <c r="AW19" s="2792"/>
      <c r="AX19" s="2792"/>
      <c r="AY19" s="2792"/>
      <c r="AZ19" s="2792"/>
      <c r="BA19" s="2792"/>
      <c r="BB19" s="2792"/>
      <c r="BC19" s="2792"/>
      <c r="BD19" s="2792"/>
      <c r="BE19" s="2793"/>
      <c r="BF19" s="35"/>
      <c r="BG19" s="20"/>
      <c r="BH19" s="20"/>
      <c r="BI19" s="20"/>
      <c r="BJ19" s="20"/>
      <c r="BK19" s="20"/>
      <c r="BL19" s="20"/>
      <c r="BM19" s="20"/>
      <c r="BN19" s="20"/>
      <c r="BO19" s="20"/>
      <c r="BP19" s="20"/>
      <c r="BQ19" s="20"/>
      <c r="BR19" s="20"/>
      <c r="BS19" s="20"/>
      <c r="BT19" s="20"/>
      <c r="BU19" s="19"/>
      <c r="BV19" s="94"/>
      <c r="BW19" s="94"/>
      <c r="BX19" s="8"/>
      <c r="BY19" s="46"/>
      <c r="BZ19" s="441"/>
      <c r="CA19" s="441"/>
      <c r="CB19" s="441"/>
      <c r="CC19" s="441"/>
      <c r="CD19" s="441"/>
      <c r="CE19" s="441"/>
      <c r="CF19" s="441"/>
      <c r="CG19" s="441"/>
      <c r="CH19" s="441"/>
      <c r="CI19" s="213"/>
      <c r="CJ19" s="441"/>
      <c r="CK19" s="8"/>
      <c r="CL19" s="11" t="s">
        <v>488</v>
      </c>
    </row>
    <row r="20" spans="2:90" ht="12" customHeight="1">
      <c r="B20" s="23"/>
      <c r="C20" s="446"/>
      <c r="D20" s="215"/>
      <c r="E20" s="215"/>
      <c r="F20" s="215"/>
      <c r="G20" s="215"/>
      <c r="H20" s="215"/>
      <c r="I20" s="215"/>
      <c r="J20" s="2736" t="str">
        <f>IF(BW3=0,"","建物外周")</f>
        <v>建物外周</v>
      </c>
      <c r="K20" s="2737"/>
      <c r="L20" s="2737"/>
      <c r="M20" s="2737"/>
      <c r="N20" s="2738"/>
      <c r="O20" s="2794">
        <f>IF(B2=0,"",4*(BZ6+CA6)+4)</f>
        <v>251.2</v>
      </c>
      <c r="P20" s="2795"/>
      <c r="Q20" s="2795"/>
      <c r="R20" s="2795"/>
      <c r="S20" s="2441" t="str">
        <f>IF(OR(B2=0,O20="不要"),"","m")</f>
        <v>m</v>
      </c>
      <c r="T20" s="2782"/>
      <c r="U20" s="449"/>
      <c r="V20" s="2803" t="str">
        <f>IF(BW3=0,"","接地極個所")</f>
        <v>接地極個所</v>
      </c>
      <c r="W20" s="2804"/>
      <c r="X20" s="2804"/>
      <c r="Y20" s="2804"/>
      <c r="Z20" s="2804"/>
      <c r="AA20" s="2805"/>
      <c r="AB20" s="2830">
        <f>IF(B2=0,"",IF(AE20&lt;&gt;"",AE20,INT(4*(BZ8+CA8)/(5*(CG6+1)))+1))</f>
        <v>6</v>
      </c>
      <c r="AC20" s="2831"/>
      <c r="AD20" s="104" t="s">
        <v>68</v>
      </c>
      <c r="AE20" s="2832"/>
      <c r="AF20" s="2833"/>
      <c r="AG20" s="449"/>
      <c r="AH20" s="2848" t="str">
        <f>IF(BW3=0,"","接地用端子箱")</f>
        <v>接地用端子箱</v>
      </c>
      <c r="AI20" s="2849"/>
      <c r="AJ20" s="2849"/>
      <c r="AK20" s="2849"/>
      <c r="AL20" s="2849"/>
      <c r="AM20" s="2849"/>
      <c r="AN20" s="2850"/>
      <c r="AO20" s="2851">
        <f>IF(AH20="","",AB20)</f>
        <v>6</v>
      </c>
      <c r="AP20" s="2852"/>
      <c r="AQ20" s="2441" t="str">
        <f>IF(AH20="","","面")</f>
        <v>面</v>
      </c>
      <c r="AR20" s="2782"/>
      <c r="AS20" s="2788" t="str">
        <f>IF(BW3=0,"",IF(AZ20&lt;&gt;"",AZ20,"TB-SG2A"))</f>
        <v>TB-SG2A</v>
      </c>
      <c r="AT20" s="2789"/>
      <c r="AU20" s="2789"/>
      <c r="AV20" s="2789"/>
      <c r="AW20" s="2789"/>
      <c r="AX20" s="2790"/>
      <c r="AY20" s="104" t="s">
        <v>68</v>
      </c>
      <c r="AZ20" s="2853"/>
      <c r="BA20" s="2854"/>
      <c r="BB20" s="2854"/>
      <c r="BC20" s="2854"/>
      <c r="BD20" s="2855"/>
      <c r="BE20" s="445"/>
      <c r="BF20" s="35"/>
      <c r="BG20" s="2736" t="str">
        <f>IF(BW3=0,"",IF(TV!H17="共聴アンテナ","TV.Ant.ポール高さ","ＣＡＴＶ受信"))</f>
        <v>TV.Ant.ポール高さ</v>
      </c>
      <c r="BH20" s="2737"/>
      <c r="BI20" s="2737"/>
      <c r="BJ20" s="2737"/>
      <c r="BK20" s="2737"/>
      <c r="BL20" s="2737"/>
      <c r="BM20" s="2737"/>
      <c r="BN20" s="2738"/>
      <c r="BO20" s="2834">
        <f>IF(BW3=0,"",IF(BG20="",0,CH4))</f>
        <v>5</v>
      </c>
      <c r="BP20" s="2835"/>
      <c r="BQ20" s="2835"/>
      <c r="BR20" s="2836"/>
      <c r="BS20" s="2441" t="str">
        <f>IF(BO20="","","m")</f>
        <v>m</v>
      </c>
      <c r="BT20" s="2782"/>
      <c r="BU20" s="19"/>
      <c r="BV20" s="94"/>
      <c r="BW20" s="94">
        <v>5</v>
      </c>
      <c r="BX20" s="8"/>
      <c r="BY20" s="46" t="s">
        <v>454</v>
      </c>
      <c r="BZ20" s="109">
        <f>CH4+CF6*SQRT(CD6^2+CD8^2)+CF8</f>
        <v>34.77158058134485</v>
      </c>
      <c r="CA20" s="109">
        <f>CH4+CF6*CD8+CF8</f>
        <v>31.734083999999999</v>
      </c>
      <c r="CB20" s="109">
        <f>BZ20</f>
        <v>34.77158058134485</v>
      </c>
      <c r="CC20" s="109">
        <f>CH4+CF6*CD6+CF8</f>
        <v>18.867041999999998</v>
      </c>
      <c r="CD20" s="109">
        <f>CH4+CF8</f>
        <v>6</v>
      </c>
      <c r="CE20" s="109">
        <f>CC20</f>
        <v>18.867041999999998</v>
      </c>
      <c r="CF20" s="109">
        <f>BZ20</f>
        <v>34.77158058134485</v>
      </c>
      <c r="CG20" s="109">
        <f>CA20</f>
        <v>31.734083999999999</v>
      </c>
      <c r="CH20" s="109">
        <f>CF20</f>
        <v>34.77158058134485</v>
      </c>
      <c r="CI20" s="202">
        <f>MAX(BZ20:CH20)</f>
        <v>34.77158058134485</v>
      </c>
      <c r="CJ20" s="109">
        <f>$CF$6*SQRT((CD6*3)^2+(CD8*3)^2)+CF8</f>
        <v>87.314741744034549</v>
      </c>
      <c r="CK20" s="8"/>
      <c r="CL20" s="11" t="s">
        <v>487</v>
      </c>
    </row>
    <row r="21" spans="2:90" ht="2.25" customHeight="1">
      <c r="B21" s="23"/>
      <c r="C21" s="446"/>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445"/>
      <c r="BF21" s="35"/>
      <c r="BG21" s="448"/>
      <c r="BH21" s="448"/>
      <c r="BI21" s="448"/>
      <c r="BJ21" s="448"/>
      <c r="BK21" s="448"/>
      <c r="BL21" s="448"/>
      <c r="BM21" s="448"/>
      <c r="BN21" s="447"/>
      <c r="BO21" s="447"/>
      <c r="BP21" s="447"/>
      <c r="BQ21" s="447"/>
      <c r="BR21" s="447"/>
      <c r="BS21" s="20"/>
      <c r="BT21" s="20"/>
      <c r="BU21" s="19"/>
      <c r="BV21" s="94"/>
      <c r="BW21" s="94"/>
      <c r="BX21" s="8"/>
      <c r="BY21" s="46"/>
      <c r="BZ21" s="441"/>
      <c r="CA21" s="441"/>
      <c r="CB21" s="441"/>
      <c r="CC21" s="441"/>
      <c r="CD21" s="441"/>
      <c r="CE21" s="441"/>
      <c r="CF21" s="441"/>
      <c r="CG21" s="441"/>
      <c r="CH21" s="441"/>
      <c r="CI21" s="213"/>
      <c r="CJ21" s="441"/>
      <c r="CK21" s="8"/>
      <c r="CL21" s="11" t="s">
        <v>486</v>
      </c>
    </row>
    <row r="22" spans="2:90" ht="12" customHeight="1">
      <c r="B22" s="23"/>
      <c r="C22" s="446"/>
      <c r="D22" s="2748" t="str">
        <f>IF(B2=0,"","接 地 極")</f>
        <v>接 地 極</v>
      </c>
      <c r="E22" s="2721"/>
      <c r="F22" s="2721"/>
      <c r="G22" s="2721"/>
      <c r="H22" s="2722"/>
      <c r="I22" s="215"/>
      <c r="J22" s="2736" t="str">
        <f>IF(BW3=0,"","端子")</f>
        <v>端子</v>
      </c>
      <c r="K22" s="2737"/>
      <c r="L22" s="2738"/>
      <c r="M22" s="2736" t="str">
        <f>IF(J22="","","鉄骨引出用")</f>
        <v>鉄骨引出用</v>
      </c>
      <c r="N22" s="2737"/>
      <c r="O22" s="2737"/>
      <c r="P22" s="2737"/>
      <c r="Q22" s="2737"/>
      <c r="R22" s="2749"/>
      <c r="S22" s="2750">
        <f>IF(OR(M22="",CB54=0),"",CB54)</f>
        <v>24</v>
      </c>
      <c r="T22" s="2751"/>
      <c r="U22" s="2752" t="str">
        <f>IF(J22="","","直線型")</f>
        <v>直線型</v>
      </c>
      <c r="V22" s="2753"/>
      <c r="W22" s="2753"/>
      <c r="X22" s="2753"/>
      <c r="Y22" s="2750"/>
      <c r="Z22" s="2751"/>
      <c r="AA22" s="2752" t="str">
        <f>IF(J22="","","Ｔ型")</f>
        <v>Ｔ型</v>
      </c>
      <c r="AB22" s="2753"/>
      <c r="AC22" s="2753"/>
      <c r="AD22" s="2753"/>
      <c r="AE22" s="2750">
        <f>IF(B2=0,"",IF(CB56=0,"",CB56))</f>
        <v>11</v>
      </c>
      <c r="AF22" s="2751"/>
      <c r="AG22" s="2752" t="str">
        <f>IF(J22="","","十字型")</f>
        <v>十字型</v>
      </c>
      <c r="AH22" s="2753"/>
      <c r="AI22" s="2753"/>
      <c r="AJ22" s="2753"/>
      <c r="AK22" s="2750" t="str">
        <f>IF(OR(J22="",CB57=0),"",CB57)</f>
        <v/>
      </c>
      <c r="AL22" s="2751"/>
      <c r="AM22" s="2752" t="str">
        <f>IF(J22="","","伸縮型")</f>
        <v>伸縮型</v>
      </c>
      <c r="AN22" s="2753"/>
      <c r="AO22" s="2753"/>
      <c r="AP22" s="2753"/>
      <c r="AQ22" s="2750"/>
      <c r="AR22" s="2751"/>
      <c r="AS22" s="2752" t="str">
        <f>IF(J22="","","水切-1")</f>
        <v>水切-1</v>
      </c>
      <c r="AT22" s="2753"/>
      <c r="AU22" s="2753"/>
      <c r="AV22" s="2753"/>
      <c r="AW22" s="2750" t="str">
        <f>IF(OR(J22="",CB59=0),"",CB59)</f>
        <v/>
      </c>
      <c r="AX22" s="2751"/>
      <c r="AY22" s="2752" t="str">
        <f>IF(J22="","","水切-2")</f>
        <v>水切-2</v>
      </c>
      <c r="AZ22" s="2753"/>
      <c r="BA22" s="2753"/>
      <c r="BB22" s="2753"/>
      <c r="BC22" s="2750">
        <f>IF(OR(J22="",CB60=0),"",CB60)</f>
        <v>6</v>
      </c>
      <c r="BD22" s="2751"/>
      <c r="BE22" s="445"/>
      <c r="BF22" s="35"/>
      <c r="BG22" s="2736" t="str">
        <f>IF(B2=0,"",IF(BG20="ＣＡＴＶ受信","","TV.Ant.取付方法"))</f>
        <v>TV.Ant.取付方法</v>
      </c>
      <c r="BH22" s="2737"/>
      <c r="BI22" s="2737"/>
      <c r="BJ22" s="2737"/>
      <c r="BK22" s="2737"/>
      <c r="BL22" s="2737"/>
      <c r="BM22" s="2737"/>
      <c r="BN22" s="2738"/>
      <c r="BO22" s="2872" t="str">
        <f>IF(B2=0,"",TV!AD19)</f>
        <v>自立型</v>
      </c>
      <c r="BP22" s="2873"/>
      <c r="BQ22" s="2873"/>
      <c r="BR22" s="2873"/>
      <c r="BS22" s="2873"/>
      <c r="BT22" s="2874"/>
      <c r="BU22" s="19"/>
      <c r="BV22" s="94"/>
      <c r="BW22" s="94">
        <v>6</v>
      </c>
      <c r="BX22" s="8"/>
      <c r="BY22" s="46" t="s">
        <v>453</v>
      </c>
      <c r="BZ22" s="109">
        <f>CH4+CF6*SQRT((CD6*2)^2+CD8^2)+CF8</f>
        <v>42.393490608048467</v>
      </c>
      <c r="CA22" s="109">
        <f>CH4+CF6*SQRT(CD6^2+CD8^2)+CF8</f>
        <v>34.77158058134485</v>
      </c>
      <c r="CB22" s="109">
        <f>CH4+CF6*CD8+CF8</f>
        <v>31.734083999999999</v>
      </c>
      <c r="CC22" s="109">
        <f>CH4+CF6*CD6*2+CF8</f>
        <v>31.734083999999999</v>
      </c>
      <c r="CD22" s="109">
        <f>CH4+CF6*CD6+CF8</f>
        <v>18.867041999999998</v>
      </c>
      <c r="CE22" s="109">
        <f>CH4+CF8</f>
        <v>6</v>
      </c>
      <c r="CF22" s="109">
        <f>BZ22</f>
        <v>42.393490608048467</v>
      </c>
      <c r="CG22" s="109">
        <f>CA22</f>
        <v>34.77158058134485</v>
      </c>
      <c r="CH22" s="109">
        <f>CB22</f>
        <v>31.734083999999999</v>
      </c>
      <c r="CI22" s="202">
        <f>MAX(BZ22:CH22)</f>
        <v>42.393490608048467</v>
      </c>
      <c r="CJ22" s="109">
        <f>$CF$6*SQRT((CD6*2)^2+(CD8*3)^2)+CF8</f>
        <v>82.378318938096527</v>
      </c>
      <c r="CK22" s="8"/>
      <c r="CL22" s="8"/>
    </row>
    <row r="23" spans="2:90" ht="3.75" customHeight="1" thickBot="1">
      <c r="B23" s="23"/>
      <c r="C23" s="444"/>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c r="AT23" s="443"/>
      <c r="AU23" s="443"/>
      <c r="AV23" s="443"/>
      <c r="AW23" s="443"/>
      <c r="AX23" s="443"/>
      <c r="AY23" s="443"/>
      <c r="AZ23" s="443"/>
      <c r="BA23" s="443"/>
      <c r="BB23" s="443"/>
      <c r="BC23" s="443"/>
      <c r="BD23" s="443"/>
      <c r="BE23" s="442"/>
      <c r="BF23" s="35"/>
      <c r="BG23" s="35"/>
      <c r="BH23" s="35"/>
      <c r="BI23" s="35"/>
      <c r="BJ23" s="35"/>
      <c r="BK23" s="35"/>
      <c r="BL23" s="35"/>
      <c r="BM23" s="35"/>
      <c r="BN23" s="35"/>
      <c r="BO23" s="35"/>
      <c r="BP23" s="35"/>
      <c r="BQ23" s="35"/>
      <c r="BR23" s="35"/>
      <c r="BS23" s="35"/>
      <c r="BT23" s="35"/>
      <c r="BU23" s="19"/>
      <c r="BV23" s="94"/>
      <c r="BW23" s="94"/>
      <c r="BX23" s="8"/>
      <c r="BY23" s="46"/>
      <c r="BZ23" s="441"/>
      <c r="CA23" s="441"/>
      <c r="CB23" s="441"/>
      <c r="CC23" s="441"/>
      <c r="CD23" s="441"/>
      <c r="CE23" s="441"/>
      <c r="CF23" s="441"/>
      <c r="CG23" s="441"/>
      <c r="CH23" s="441"/>
      <c r="CI23" s="213"/>
      <c r="CJ23" s="441"/>
      <c r="CK23" s="8"/>
      <c r="CL23" s="8"/>
    </row>
    <row r="24" spans="2:90" ht="12" customHeight="1">
      <c r="B24" s="2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19"/>
      <c r="BV24" s="94"/>
      <c r="BW24" s="94">
        <v>7</v>
      </c>
      <c r="BX24" s="8"/>
      <c r="BY24" s="46" t="s">
        <v>452</v>
      </c>
      <c r="BZ24" s="109">
        <f>CH4+CF6*CD8*2+CF8</f>
        <v>57.468167999999999</v>
      </c>
      <c r="CA24" s="109">
        <f>CH4+CF6*SQRT(CD6^2+(CD8*2)^2)+CF8</f>
        <v>59.052173255258708</v>
      </c>
      <c r="CB24" s="109">
        <f>CH4+CF6*SQRT((CD6*2)^2+(CD8*2)^2)+CF8</f>
        <v>63.543161162689699</v>
      </c>
      <c r="CC24" s="109">
        <f>CH4+CF6*CD8+CF8</f>
        <v>31.734083999999999</v>
      </c>
      <c r="CD24" s="109">
        <f>CH4+CF6*SQRT(CD6^2+CD8^2)+CF8</f>
        <v>34.77158058134485</v>
      </c>
      <c r="CE24" s="109">
        <f>CH4+CF6*SQRT((CD6*2)^2+CD8^2)+CF8</f>
        <v>42.393490608048467</v>
      </c>
      <c r="CF24" s="109">
        <f>CH4+CF8</f>
        <v>6</v>
      </c>
      <c r="CG24" s="109">
        <f>CH4+CF6*CD6+CF8</f>
        <v>18.867041999999998</v>
      </c>
      <c r="CH24" s="109">
        <f>CH4+CF6*CD6*2+CF8</f>
        <v>31.734083999999999</v>
      </c>
      <c r="CI24" s="202">
        <f>MAX(BZ24:CH24)</f>
        <v>63.543161162689699</v>
      </c>
      <c r="CJ24" s="109">
        <f>$CF$6*SQRT(BZ8^2+(CD8*2)^2)+CF8</f>
        <v>58.543161162689699</v>
      </c>
      <c r="CK24" s="8"/>
      <c r="CL24" s="8"/>
    </row>
    <row r="25" spans="2:90" ht="12" customHeight="1">
      <c r="B25" s="23"/>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19"/>
      <c r="BV25" s="94"/>
      <c r="BW25" s="94">
        <v>8</v>
      </c>
      <c r="BX25" s="8"/>
      <c r="BY25" s="46" t="s">
        <v>451</v>
      </c>
      <c r="BZ25" s="109">
        <f>CH4+CF6*SQRT(CD6^2+(CD8*2)^2)+CF8</f>
        <v>59.052173255258708</v>
      </c>
      <c r="CA25" s="109">
        <f>CH4+CF6*CD8*2+CF8</f>
        <v>57.468167999999999</v>
      </c>
      <c r="CB25" s="109">
        <f>BZ25</f>
        <v>59.052173255258708</v>
      </c>
      <c r="CC25" s="109">
        <f>CH4+CF6*SQRT(CD6^2+CD8^2)+CF8</f>
        <v>34.77158058134485</v>
      </c>
      <c r="CD25" s="109">
        <f>CH4+CF6*CD8+CF8</f>
        <v>31.734083999999999</v>
      </c>
      <c r="CE25" s="109">
        <f>CC25</f>
        <v>34.77158058134485</v>
      </c>
      <c r="CF25" s="109">
        <f>CH4+CF6*CD6+CF8</f>
        <v>18.867041999999998</v>
      </c>
      <c r="CG25" s="109">
        <f>CH4+CF8</f>
        <v>6</v>
      </c>
      <c r="CH25" s="109">
        <f>CF25</f>
        <v>18.867041999999998</v>
      </c>
      <c r="CI25" s="202">
        <f>MAX(BZ25:CH25)</f>
        <v>59.052173255258708</v>
      </c>
      <c r="CJ25" s="109">
        <f>$CF$6*SQRT((CD6*3)^2+(CD8*2)^2)+CF8</f>
        <v>65.335210000000004</v>
      </c>
      <c r="CK25" s="8"/>
      <c r="CL25" s="8"/>
    </row>
    <row r="26" spans="2:90" ht="12" customHeight="1">
      <c r="B26" s="23"/>
      <c r="C26" s="2871" t="s">
        <v>91</v>
      </c>
      <c r="D26" s="2871"/>
      <c r="E26" s="2871"/>
      <c r="F26" s="2871"/>
      <c r="G26" s="2871"/>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19"/>
      <c r="BV26" s="94"/>
      <c r="BW26" s="94">
        <v>9</v>
      </c>
      <c r="BX26" s="8"/>
      <c r="BY26" s="46" t="s">
        <v>450</v>
      </c>
      <c r="BZ26" s="109">
        <f>CH4+CF6*SQRT((CD6*2)^2+(CD8*2)^2)+CF8</f>
        <v>63.543161162689699</v>
      </c>
      <c r="CA26" s="109">
        <f>CH4+CF6*SQRT(CD6*2^2+(CD8*2)^2)+CF8</f>
        <v>58.529478998267244</v>
      </c>
      <c r="CB26" s="109">
        <f>CH4+CF6*CD8*2+CF8</f>
        <v>57.468167999999999</v>
      </c>
      <c r="CC26" s="109">
        <f>CH4+CF6*SQRT((CD6*2)^2+CD8^2)+CF8</f>
        <v>42.393490608048467</v>
      </c>
      <c r="CD26" s="109">
        <f>CH4+CF6*SQRT(CD6^2+CD8^2)+CF8</f>
        <v>34.77158058134485</v>
      </c>
      <c r="CE26" s="109">
        <f>CH4+CF6*CD8+CF8</f>
        <v>31.734083999999999</v>
      </c>
      <c r="CF26" s="109">
        <f>CH4+CF6*CD6*2+CF8</f>
        <v>31.734083999999999</v>
      </c>
      <c r="CG26" s="109">
        <f>CH4+CF6*CD6+CF8</f>
        <v>18.867041999999998</v>
      </c>
      <c r="CH26" s="109">
        <f>CH4+CF8</f>
        <v>6</v>
      </c>
      <c r="CI26" s="202">
        <f>MAX(BZ26:CH26)</f>
        <v>63.543161162689699</v>
      </c>
      <c r="CJ26" s="109">
        <f>$CF$6*SQRT((CD6*2)^2+(CD8*2)^2)+CF8</f>
        <v>58.543161162689699</v>
      </c>
      <c r="CK26" s="8"/>
      <c r="CL26" s="8"/>
    </row>
    <row r="27" spans="2:90" ht="4.5" customHeight="1">
      <c r="B27" s="23"/>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19"/>
      <c r="BV27" s="94"/>
      <c r="BW27" s="94"/>
      <c r="BX27" s="232"/>
      <c r="BY27" s="90"/>
      <c r="BZ27" s="82"/>
      <c r="CA27" s="82"/>
      <c r="CB27" s="82"/>
      <c r="CC27" s="82"/>
      <c r="CD27" s="82"/>
      <c r="CE27" s="82"/>
      <c r="CF27" s="82"/>
      <c r="CG27" s="82"/>
      <c r="CH27" s="82"/>
      <c r="CI27" s="202"/>
      <c r="CJ27" s="8"/>
      <c r="CK27" s="8"/>
      <c r="CL27" s="8"/>
    </row>
    <row r="28" spans="2:90" ht="12" customHeight="1">
      <c r="B28" s="23"/>
      <c r="C28" s="2327" t="s">
        <v>485</v>
      </c>
      <c r="D28" s="2328"/>
      <c r="E28" s="2328"/>
      <c r="F28" s="2328"/>
      <c r="G28" s="2328"/>
      <c r="H28" s="2328"/>
      <c r="I28" s="2328"/>
      <c r="J28" s="2328"/>
      <c r="K28" s="2328"/>
      <c r="L28" s="2328"/>
      <c r="M28" s="2328"/>
      <c r="N28" s="2328"/>
      <c r="O28" s="2328"/>
      <c r="P28" s="2328"/>
      <c r="Q28" s="2328"/>
      <c r="R28" s="2328"/>
      <c r="S28" s="2328"/>
      <c r="T28" s="2328"/>
      <c r="U28" s="2328"/>
      <c r="V28" s="2328"/>
      <c r="W28" s="2328"/>
      <c r="X28" s="2329"/>
      <c r="Y28" s="2327" t="s">
        <v>92</v>
      </c>
      <c r="Z28" s="2328"/>
      <c r="AA28" s="2328"/>
      <c r="AB28" s="2328"/>
      <c r="AC28" s="2328"/>
      <c r="AD28" s="2329"/>
      <c r="AE28" s="34" t="s">
        <v>68</v>
      </c>
      <c r="AF28" s="2327" t="s">
        <v>484</v>
      </c>
      <c r="AG28" s="2328"/>
      <c r="AH28" s="2328"/>
      <c r="AI28" s="2328"/>
      <c r="AJ28" s="2328"/>
      <c r="AK28" s="2329"/>
      <c r="AL28" s="2327" t="s">
        <v>483</v>
      </c>
      <c r="AM28" s="2328"/>
      <c r="AN28" s="2328"/>
      <c r="AO28" s="2329"/>
      <c r="AP28" s="2327" t="s">
        <v>482</v>
      </c>
      <c r="AQ28" s="2328"/>
      <c r="AR28" s="2328"/>
      <c r="AS28" s="2328"/>
      <c r="AT28" s="2328"/>
      <c r="AU28" s="2328"/>
      <c r="AV28" s="2329"/>
      <c r="AW28" s="2327" t="s">
        <v>481</v>
      </c>
      <c r="AX28" s="2328"/>
      <c r="AY28" s="2328"/>
      <c r="AZ28" s="2328"/>
      <c r="BA28" s="2328"/>
      <c r="BB28" s="2328"/>
      <c r="BC28" s="2328"/>
      <c r="BD28" s="2328"/>
      <c r="BE28" s="2328"/>
      <c r="BF28" s="2329"/>
      <c r="BG28" s="21">
        <f>IF(BF66="北海道",4,IF(BF66="東北",6,IF(BF66="関東",8,IF(BF66="中部",10,IF(BF66="近畿",12,IF(BF66="北陸",14,IF(BF66="中国",16,IF(BF66="四国",18,IF(BF66="九州",20,IF(BF66="沖縄",22,RIGHT(AQ66,1)+21))))))))))</f>
        <v>12</v>
      </c>
      <c r="BH28" s="2327" t="s">
        <v>44</v>
      </c>
      <c r="BI28" s="2328"/>
      <c r="BJ28" s="2328"/>
      <c r="BK28" s="2328"/>
      <c r="BL28" s="2328"/>
      <c r="BM28" s="2329"/>
      <c r="BN28" s="2327" t="s">
        <v>480</v>
      </c>
      <c r="BO28" s="2328"/>
      <c r="BP28" s="2328"/>
      <c r="BQ28" s="2328"/>
      <c r="BR28" s="2328"/>
      <c r="BS28" s="2328"/>
      <c r="BT28" s="2329"/>
      <c r="BU28" s="19"/>
      <c r="BV28" s="94"/>
      <c r="BW28" s="94">
        <v>11</v>
      </c>
      <c r="BX28" s="440" t="str">
        <f>BY8</f>
        <v xml:space="preserve"> 12F</v>
      </c>
      <c r="BY28" s="46" t="s">
        <v>479</v>
      </c>
      <c r="BZ28" s="109">
        <f>CH4+CF6*SQRT(CD6^2+(CD8*2)^2)+CF8</f>
        <v>59.052173255258708</v>
      </c>
      <c r="CA28" s="109">
        <f>CH4+CF6*CD8*2+CF8</f>
        <v>57.468167999999999</v>
      </c>
      <c r="CB28" s="109">
        <f>BZ28</f>
        <v>59.052173255258708</v>
      </c>
      <c r="CC28" s="109">
        <f>CH4+CF6*SQRT(CD6^2+CD8^2)+CF8</f>
        <v>34.77158058134485</v>
      </c>
      <c r="CD28" s="109">
        <f>CH4+CF6*CD8+CF8</f>
        <v>31.734083999999999</v>
      </c>
      <c r="CE28" s="109">
        <f>CC28</f>
        <v>34.77158058134485</v>
      </c>
      <c r="CF28" s="109">
        <f>CH4+CF6*CD6+CF8</f>
        <v>18.867041999999998</v>
      </c>
      <c r="CG28" s="109">
        <f>CH4+CF8</f>
        <v>6</v>
      </c>
      <c r="CH28" s="109">
        <f>CF28</f>
        <v>18.867041999999998</v>
      </c>
      <c r="CI28" s="202">
        <f>MAX(BZ28:CH28)</f>
        <v>59.052173255258708</v>
      </c>
      <c r="CJ28" s="109">
        <f>$CF$6*SQRT(BZ24^2+CA24^2)</f>
        <v>176.70724015848464</v>
      </c>
      <c r="CK28" s="10" t="s">
        <v>478</v>
      </c>
      <c r="CL28" s="8"/>
    </row>
    <row r="29" spans="2:90" ht="12" customHeight="1">
      <c r="B29" s="23"/>
      <c r="C29" s="2745" t="str">
        <f>IF(OR(BW3=0,Y29=""),"",VLOOKUP(BV29,雷集_1,3,FALSE))</f>
        <v>避雷導線 13/2.0</v>
      </c>
      <c r="D29" s="2746"/>
      <c r="E29" s="2746"/>
      <c r="F29" s="2746"/>
      <c r="G29" s="2746"/>
      <c r="H29" s="2746"/>
      <c r="I29" s="2746"/>
      <c r="J29" s="2746"/>
      <c r="K29" s="2746"/>
      <c r="L29" s="2746"/>
      <c r="M29" s="2746"/>
      <c r="N29" s="2746"/>
      <c r="O29" s="2746"/>
      <c r="P29" s="2746"/>
      <c r="Q29" s="2746"/>
      <c r="R29" s="2746"/>
      <c r="S29" s="2746"/>
      <c r="T29" s="2746"/>
      <c r="U29" s="2746"/>
      <c r="V29" s="2746"/>
      <c r="W29" s="2746"/>
      <c r="X29" s="2747"/>
      <c r="Y29" s="2779">
        <f>IF(AF29&lt;&gt;"",AF29,IF(BW3=0,"",VLOOKUP(BV29,雷集_1,9,FALSE)))</f>
        <v>891</v>
      </c>
      <c r="Z29" s="2756"/>
      <c r="AA29" s="2756"/>
      <c r="AB29" s="2756"/>
      <c r="AC29" s="2756"/>
      <c r="AD29" s="2757"/>
      <c r="AE29" s="104" t="s">
        <v>68</v>
      </c>
      <c r="AF29" s="2758"/>
      <c r="AG29" s="2759"/>
      <c r="AH29" s="2759"/>
      <c r="AI29" s="2759"/>
      <c r="AJ29" s="2759"/>
      <c r="AK29" s="2760"/>
      <c r="AL29" s="2761" t="str">
        <f>IF(Y29="","",VLOOKUP(C29,[7]建物1802!$E$5:$AL$3275,2,FALSE))</f>
        <v>ｍ</v>
      </c>
      <c r="AM29" s="2721"/>
      <c r="AN29" s="2721"/>
      <c r="AO29" s="2722"/>
      <c r="AP29" s="2755">
        <f>IF(Y29="","",VLOOKUP(C29,[7]建物1802!$E$5:$AL$3275,$BG$28,FALSE))</f>
        <v>430</v>
      </c>
      <c r="AQ29" s="2756"/>
      <c r="AR29" s="2756"/>
      <c r="AS29" s="2756"/>
      <c r="AT29" s="2756"/>
      <c r="AU29" s="2756"/>
      <c r="AV29" s="2757"/>
      <c r="AW29" s="2762">
        <f t="shared" ref="AW29:AW43" si="0">IF(Y29="","",INT(Y29*AP29))</f>
        <v>383130</v>
      </c>
      <c r="AX29" s="2763"/>
      <c r="AY29" s="2763"/>
      <c r="AZ29" s="2763"/>
      <c r="BA29" s="2763"/>
      <c r="BB29" s="2763"/>
      <c r="BC29" s="2763"/>
      <c r="BD29" s="2763"/>
      <c r="BE29" s="2763"/>
      <c r="BF29" s="2764"/>
      <c r="BG29" s="21">
        <f>RIGHT(AQ67,1)+25</f>
        <v>26</v>
      </c>
      <c r="BH29" s="2765">
        <f>IF(Y29="","",VLOOKUP(C29,[7]建物1802!$E$5:$AL$3275,$BG$29,FALSE))</f>
        <v>0.122</v>
      </c>
      <c r="BI29" s="2766"/>
      <c r="BJ29" s="2766"/>
      <c r="BK29" s="2766"/>
      <c r="BL29" s="2766"/>
      <c r="BM29" s="2767"/>
      <c r="BN29" s="2768">
        <f t="shared" ref="BN29:BN43" si="1">IF(Y29="","",Y29*BH29)</f>
        <v>108.702</v>
      </c>
      <c r="BO29" s="2769"/>
      <c r="BP29" s="2769"/>
      <c r="BQ29" s="2769"/>
      <c r="BR29" s="2769"/>
      <c r="BS29" s="2769"/>
      <c r="BT29" s="2770"/>
      <c r="BU29" s="19"/>
      <c r="BV29" s="94">
        <v>1</v>
      </c>
      <c r="BW29" s="94">
        <v>12</v>
      </c>
      <c r="BX29" s="8"/>
      <c r="BY29" s="46" t="s">
        <v>477</v>
      </c>
      <c r="BZ29" s="109">
        <f>CH4+CF6*SQRT(CD6^2+CD8^2)+CF8</f>
        <v>34.77158058134485</v>
      </c>
      <c r="CA29" s="109">
        <f>CH4+CF6*CD8+CF8</f>
        <v>31.734083999999999</v>
      </c>
      <c r="CB29" s="109">
        <f>BZ29</f>
        <v>34.77158058134485</v>
      </c>
      <c r="CC29" s="109">
        <f>CH4+CF6*CD6+CF8</f>
        <v>18.867041999999998</v>
      </c>
      <c r="CD29" s="109">
        <f>CH4+CF8</f>
        <v>6</v>
      </c>
      <c r="CE29" s="109">
        <f>CC29</f>
        <v>18.867041999999998</v>
      </c>
      <c r="CF29" s="109">
        <f>BZ29</f>
        <v>34.77158058134485</v>
      </c>
      <c r="CG29" s="109">
        <f>CA29</f>
        <v>31.734083999999999</v>
      </c>
      <c r="CH29" s="109">
        <f>CF29</f>
        <v>34.77158058134485</v>
      </c>
      <c r="CI29" s="202">
        <f>MAX(BZ29:CH29)</f>
        <v>34.77158058134485</v>
      </c>
      <c r="CJ29" s="109">
        <f>$CF$6*SQRT(BZ26^2+CA26^2)</f>
        <v>185.26645624744694</v>
      </c>
      <c r="CK29" s="10" t="s">
        <v>476</v>
      </c>
      <c r="CL29" s="8"/>
    </row>
    <row r="30" spans="2:90" ht="12" customHeight="1">
      <c r="B30" s="23"/>
      <c r="C30" s="2745" t="str">
        <f t="shared" ref="C30:C43" si="2">IF(OR($B$2=0,Y30=""),"",VLOOKUP(BV30,雷集_1,3,FALSE))</f>
        <v>IV-5.5sq</v>
      </c>
      <c r="D30" s="2746"/>
      <c r="E30" s="2746"/>
      <c r="F30" s="2746"/>
      <c r="G30" s="2746"/>
      <c r="H30" s="2746"/>
      <c r="I30" s="2746"/>
      <c r="J30" s="2746"/>
      <c r="K30" s="2746"/>
      <c r="L30" s="2746"/>
      <c r="M30" s="2746"/>
      <c r="N30" s="2746"/>
      <c r="O30" s="2746"/>
      <c r="P30" s="2746"/>
      <c r="Q30" s="2746"/>
      <c r="R30" s="2746"/>
      <c r="S30" s="2746"/>
      <c r="T30" s="2746"/>
      <c r="U30" s="2746"/>
      <c r="V30" s="2746"/>
      <c r="W30" s="2746"/>
      <c r="X30" s="2747"/>
      <c r="Y30" s="2779">
        <f t="shared" ref="Y30:Y43" si="3">IF(AF30&lt;&gt;"",AF30,IF(ISNA(VLOOKUP(BV30,雷集_1,9,FALSE)),"",VLOOKUP(BV30,雷集_1,9,FALSE)))</f>
        <v>180</v>
      </c>
      <c r="Z30" s="2756"/>
      <c r="AA30" s="2756"/>
      <c r="AB30" s="2756"/>
      <c r="AC30" s="2756"/>
      <c r="AD30" s="2757"/>
      <c r="AE30" s="104" t="s">
        <v>68</v>
      </c>
      <c r="AF30" s="2758"/>
      <c r="AG30" s="2759"/>
      <c r="AH30" s="2759"/>
      <c r="AI30" s="2759"/>
      <c r="AJ30" s="2759"/>
      <c r="AK30" s="2760"/>
      <c r="AL30" s="2761" t="str">
        <f>IF(Y30="","",VLOOKUP(C30,[7]建物1802!$E$5:$AL$3275,2,FALSE))</f>
        <v>ｍ</v>
      </c>
      <c r="AM30" s="2721"/>
      <c r="AN30" s="2721"/>
      <c r="AO30" s="2722"/>
      <c r="AP30" s="2755">
        <f>IF(Y30="","",VLOOKUP(C30,[7]建物1802!$E$5:$AL$3275,$BG$28,FALSE))</f>
        <v>68.8</v>
      </c>
      <c r="AQ30" s="2756"/>
      <c r="AR30" s="2756"/>
      <c r="AS30" s="2756"/>
      <c r="AT30" s="2756"/>
      <c r="AU30" s="2756"/>
      <c r="AV30" s="2757"/>
      <c r="AW30" s="2762">
        <f t="shared" si="0"/>
        <v>12384</v>
      </c>
      <c r="AX30" s="2763"/>
      <c r="AY30" s="2763"/>
      <c r="AZ30" s="2763"/>
      <c r="BA30" s="2763"/>
      <c r="BB30" s="2763"/>
      <c r="BC30" s="2763"/>
      <c r="BD30" s="2763"/>
      <c r="BE30" s="2763"/>
      <c r="BF30" s="2764"/>
      <c r="BG30" s="21"/>
      <c r="BH30" s="2765">
        <f>IF(Y30="","",VLOOKUP(C30,[7]建物1802!$E$5:$AL$3275,$BG$29,FALSE))</f>
        <v>1.4E-2</v>
      </c>
      <c r="BI30" s="2766"/>
      <c r="BJ30" s="2766"/>
      <c r="BK30" s="2766"/>
      <c r="BL30" s="2766"/>
      <c r="BM30" s="2767"/>
      <c r="BN30" s="2768">
        <f t="shared" si="1"/>
        <v>2.52</v>
      </c>
      <c r="BO30" s="2769"/>
      <c r="BP30" s="2769"/>
      <c r="BQ30" s="2769"/>
      <c r="BR30" s="2769"/>
      <c r="BS30" s="2769"/>
      <c r="BT30" s="2770"/>
      <c r="BU30" s="19"/>
      <c r="BV30" s="94">
        <v>2</v>
      </c>
      <c r="BW30" s="94">
        <v>13</v>
      </c>
      <c r="BX30" s="8"/>
      <c r="BY30" s="46" t="s">
        <v>475</v>
      </c>
      <c r="BZ30" s="109">
        <f>CH4+CF6*CD8*2+CF8</f>
        <v>57.468167999999999</v>
      </c>
      <c r="CA30" s="109">
        <f>CH4+CF6*SQRT(CD6^2+(CD8*2)^2)+CF8</f>
        <v>59.052173255258708</v>
      </c>
      <c r="CB30" s="109">
        <f>BZ30</f>
        <v>57.468167999999999</v>
      </c>
      <c r="CC30" s="109">
        <f>CH4+CF6*CD8+CF8</f>
        <v>31.734083999999999</v>
      </c>
      <c r="CD30" s="109">
        <f>CH4+CF6*SQRT(CD6^2+CD8^2)+CF8</f>
        <v>34.77158058134485</v>
      </c>
      <c r="CE30" s="109">
        <f>CC30</f>
        <v>31.734083999999999</v>
      </c>
      <c r="CF30" s="109">
        <f>CH4+CF8</f>
        <v>6</v>
      </c>
      <c r="CG30" s="109">
        <f>CH4+CF6*CD6+CF8</f>
        <v>18.867041999999998</v>
      </c>
      <c r="CH30" s="109">
        <f>CH4+CF8</f>
        <v>6</v>
      </c>
      <c r="CI30" s="202">
        <f>MAX(BZ30:CH30)</f>
        <v>59.052173255258708</v>
      </c>
      <c r="CJ30" s="109">
        <f>$CF$6*SQRT(CD6^2+(CD8*2)^2)</f>
        <v>53.052173255258708</v>
      </c>
      <c r="CK30" s="10" t="s">
        <v>474</v>
      </c>
      <c r="CL30" s="8"/>
    </row>
    <row r="31" spans="2:90" ht="12" customHeight="1">
      <c r="B31" s="23"/>
      <c r="C31" s="2745" t="str">
        <f t="shared" si="2"/>
        <v>導体取付金物 露出 40mmsq</v>
      </c>
      <c r="D31" s="2746"/>
      <c r="E31" s="2746"/>
      <c r="F31" s="2746"/>
      <c r="G31" s="2746"/>
      <c r="H31" s="2746"/>
      <c r="I31" s="2746"/>
      <c r="J31" s="2746"/>
      <c r="K31" s="2746"/>
      <c r="L31" s="2746"/>
      <c r="M31" s="2746"/>
      <c r="N31" s="2746"/>
      <c r="O31" s="2746"/>
      <c r="P31" s="2746"/>
      <c r="Q31" s="2746"/>
      <c r="R31" s="2746"/>
      <c r="S31" s="2746"/>
      <c r="T31" s="2746"/>
      <c r="U31" s="2746"/>
      <c r="V31" s="2746"/>
      <c r="W31" s="2746"/>
      <c r="X31" s="2747"/>
      <c r="Y31" s="2779">
        <f t="shared" si="3"/>
        <v>1039</v>
      </c>
      <c r="Z31" s="2756"/>
      <c r="AA31" s="2756"/>
      <c r="AB31" s="2756"/>
      <c r="AC31" s="2756"/>
      <c r="AD31" s="2757"/>
      <c r="AE31" s="104" t="s">
        <v>68</v>
      </c>
      <c r="AF31" s="2758"/>
      <c r="AG31" s="2759"/>
      <c r="AH31" s="2759"/>
      <c r="AI31" s="2759"/>
      <c r="AJ31" s="2759"/>
      <c r="AK31" s="2760"/>
      <c r="AL31" s="2761" t="str">
        <f>IF(Y31="","",VLOOKUP(C31,[7]建物1802!$E$5:$AL$3275,2,FALSE))</f>
        <v>個</v>
      </c>
      <c r="AM31" s="2721"/>
      <c r="AN31" s="2721"/>
      <c r="AO31" s="2722"/>
      <c r="AP31" s="2755">
        <f>IF(Y31="","",VLOOKUP(C31,[7]建物1802!$E$5:$AL$3275,$BG$28,FALSE))</f>
        <v>600</v>
      </c>
      <c r="AQ31" s="2756"/>
      <c r="AR31" s="2756"/>
      <c r="AS31" s="2756"/>
      <c r="AT31" s="2756"/>
      <c r="AU31" s="2756"/>
      <c r="AV31" s="2757"/>
      <c r="AW31" s="2762">
        <f t="shared" si="0"/>
        <v>623400</v>
      </c>
      <c r="AX31" s="2763"/>
      <c r="AY31" s="2763"/>
      <c r="AZ31" s="2763"/>
      <c r="BA31" s="2763"/>
      <c r="BB31" s="2763"/>
      <c r="BC31" s="2763"/>
      <c r="BD31" s="2763"/>
      <c r="BE31" s="2763"/>
      <c r="BF31" s="2764"/>
      <c r="BG31" s="21"/>
      <c r="BH31" s="2765">
        <f>IF(Y31="","",VLOOKUP(C31,[7]建物1802!$E$5:$AL$3275,$BG$29,FALSE))</f>
        <v>0.01</v>
      </c>
      <c r="BI31" s="2766"/>
      <c r="BJ31" s="2766"/>
      <c r="BK31" s="2766"/>
      <c r="BL31" s="2766"/>
      <c r="BM31" s="2767"/>
      <c r="BN31" s="2768">
        <f t="shared" si="1"/>
        <v>10.39</v>
      </c>
      <c r="BO31" s="2769"/>
      <c r="BP31" s="2769"/>
      <c r="BQ31" s="2769"/>
      <c r="BR31" s="2769"/>
      <c r="BS31" s="2769"/>
      <c r="BT31" s="2770"/>
      <c r="BU31" s="19"/>
      <c r="BV31" s="94">
        <v>3</v>
      </c>
      <c r="BW31" s="94">
        <v>14</v>
      </c>
      <c r="BX31" s="8"/>
      <c r="BY31" s="46" t="s">
        <v>473</v>
      </c>
      <c r="BZ31" s="109">
        <f>CH4+CF6*CD8+CF8</f>
        <v>31.734083999999999</v>
      </c>
      <c r="CA31" s="109">
        <f>CH4+CF6*SQRT(CD6^2+CD8^2)+CF8</f>
        <v>34.77158058134485</v>
      </c>
      <c r="CB31" s="109">
        <f>BZ31</f>
        <v>31.734083999999999</v>
      </c>
      <c r="CC31" s="109">
        <f>CH4+CF8</f>
        <v>6</v>
      </c>
      <c r="CD31" s="109">
        <f>CH4+CF6*CD6+CF8</f>
        <v>18.867041999999998</v>
      </c>
      <c r="CE31" s="109">
        <f>CC31</f>
        <v>6</v>
      </c>
      <c r="CF31" s="109">
        <f>BZ31</f>
        <v>31.734083999999999</v>
      </c>
      <c r="CG31" s="109">
        <f>CA31</f>
        <v>34.77158058134485</v>
      </c>
      <c r="CH31" s="109">
        <f>CF31</f>
        <v>31.734083999999999</v>
      </c>
      <c r="CI31" s="202">
        <f>MAX(BZ31:CH31)</f>
        <v>34.77158058134485</v>
      </c>
      <c r="CJ31" s="109">
        <f>$CF$6*SQRT(CD6^2+CD8^2)</f>
        <v>28.77158058134485</v>
      </c>
      <c r="CK31" s="10" t="s">
        <v>472</v>
      </c>
      <c r="CL31" s="8"/>
    </row>
    <row r="32" spans="2:90" ht="12" customHeight="1">
      <c r="B32" s="23"/>
      <c r="C32" s="2745" t="str">
        <f t="shared" si="2"/>
        <v>導線引出金物 鉄骨用 黄銅製端子</v>
      </c>
      <c r="D32" s="2746"/>
      <c r="E32" s="2746"/>
      <c r="F32" s="2746"/>
      <c r="G32" s="2746"/>
      <c r="H32" s="2746"/>
      <c r="I32" s="2746"/>
      <c r="J32" s="2746"/>
      <c r="K32" s="2746"/>
      <c r="L32" s="2746"/>
      <c r="M32" s="2746"/>
      <c r="N32" s="2746"/>
      <c r="O32" s="2746"/>
      <c r="P32" s="2746"/>
      <c r="Q32" s="2746"/>
      <c r="R32" s="2746"/>
      <c r="S32" s="2746"/>
      <c r="T32" s="2746"/>
      <c r="U32" s="2746"/>
      <c r="V32" s="2746"/>
      <c r="W32" s="2746"/>
      <c r="X32" s="2747"/>
      <c r="Y32" s="2779">
        <f t="shared" si="3"/>
        <v>24</v>
      </c>
      <c r="Z32" s="2756"/>
      <c r="AA32" s="2756"/>
      <c r="AB32" s="2756"/>
      <c r="AC32" s="2756"/>
      <c r="AD32" s="2757"/>
      <c r="AE32" s="104" t="s">
        <v>68</v>
      </c>
      <c r="AF32" s="2758"/>
      <c r="AG32" s="2759"/>
      <c r="AH32" s="2759"/>
      <c r="AI32" s="2759"/>
      <c r="AJ32" s="2759"/>
      <c r="AK32" s="2760"/>
      <c r="AL32" s="2761" t="str">
        <f>IF(Y32="","",VLOOKUP(C32,[7]建物1802!$E$5:$AL$3275,2,FALSE))</f>
        <v>個</v>
      </c>
      <c r="AM32" s="2721"/>
      <c r="AN32" s="2721"/>
      <c r="AO32" s="2722"/>
      <c r="AP32" s="2755">
        <f>IF(Y32="","",VLOOKUP(C32,[7]建物1802!$E$5:$AL$3275,$BG$28,FALSE))</f>
        <v>2880</v>
      </c>
      <c r="AQ32" s="2756"/>
      <c r="AR32" s="2756"/>
      <c r="AS32" s="2756"/>
      <c r="AT32" s="2756"/>
      <c r="AU32" s="2756"/>
      <c r="AV32" s="2757"/>
      <c r="AW32" s="2762">
        <f t="shared" si="0"/>
        <v>69120</v>
      </c>
      <c r="AX32" s="2763"/>
      <c r="AY32" s="2763"/>
      <c r="AZ32" s="2763"/>
      <c r="BA32" s="2763"/>
      <c r="BB32" s="2763"/>
      <c r="BC32" s="2763"/>
      <c r="BD32" s="2763"/>
      <c r="BE32" s="2763"/>
      <c r="BF32" s="2764"/>
      <c r="BG32" s="21"/>
      <c r="BH32" s="2765">
        <f>IF(Y32="","",VLOOKUP(C32,[7]建物1802!$E$5:$AL$3275,$BG$29,FALSE))</f>
        <v>0.05</v>
      </c>
      <c r="BI32" s="2766"/>
      <c r="BJ32" s="2766"/>
      <c r="BK32" s="2766"/>
      <c r="BL32" s="2766"/>
      <c r="BM32" s="2767"/>
      <c r="BN32" s="2768">
        <f t="shared" si="1"/>
        <v>1.2000000000000002</v>
      </c>
      <c r="BO32" s="2769"/>
      <c r="BP32" s="2769"/>
      <c r="BQ32" s="2769"/>
      <c r="BR32" s="2769"/>
      <c r="BS32" s="2769"/>
      <c r="BT32" s="2770"/>
      <c r="BU32" s="19"/>
      <c r="BV32" s="94">
        <v>4</v>
      </c>
      <c r="BW32" s="94"/>
      <c r="BX32" s="440" t="str">
        <f>BY3</f>
        <v xml:space="preserve"> 12F</v>
      </c>
      <c r="BY32" s="439" t="s">
        <v>471</v>
      </c>
      <c r="BZ32" s="437" t="s">
        <v>470</v>
      </c>
      <c r="CA32" s="437" t="s">
        <v>469</v>
      </c>
      <c r="CB32" s="437" t="s">
        <v>468</v>
      </c>
      <c r="CC32" s="437" t="s">
        <v>467</v>
      </c>
      <c r="CD32" s="437" t="s">
        <v>466</v>
      </c>
      <c r="CE32" s="437" t="s">
        <v>465</v>
      </c>
      <c r="CF32" s="437" t="s">
        <v>464</v>
      </c>
      <c r="CG32" s="437" t="s">
        <v>463</v>
      </c>
      <c r="CH32" s="437" t="s">
        <v>462</v>
      </c>
      <c r="CI32" s="438" t="s">
        <v>461</v>
      </c>
      <c r="CJ32" s="437" t="s">
        <v>460</v>
      </c>
      <c r="CK32" s="8"/>
      <c r="CL32" s="8"/>
    </row>
    <row r="33" spans="2:104" ht="12" customHeight="1">
      <c r="B33" s="23"/>
      <c r="C33" s="2745" t="str">
        <f t="shared" si="2"/>
        <v>接続端子 Ｔ型</v>
      </c>
      <c r="D33" s="2746"/>
      <c r="E33" s="2746"/>
      <c r="F33" s="2746"/>
      <c r="G33" s="2746"/>
      <c r="H33" s="2746"/>
      <c r="I33" s="2746"/>
      <c r="J33" s="2746"/>
      <c r="K33" s="2746"/>
      <c r="L33" s="2746"/>
      <c r="M33" s="2746"/>
      <c r="N33" s="2746"/>
      <c r="O33" s="2746"/>
      <c r="P33" s="2746"/>
      <c r="Q33" s="2746"/>
      <c r="R33" s="2746"/>
      <c r="S33" s="2746"/>
      <c r="T33" s="2746"/>
      <c r="U33" s="2746"/>
      <c r="V33" s="2746"/>
      <c r="W33" s="2746"/>
      <c r="X33" s="2747"/>
      <c r="Y33" s="2779">
        <f t="shared" si="3"/>
        <v>11</v>
      </c>
      <c r="Z33" s="2756"/>
      <c r="AA33" s="2756"/>
      <c r="AB33" s="2756"/>
      <c r="AC33" s="2756"/>
      <c r="AD33" s="2757"/>
      <c r="AE33" s="104" t="s">
        <v>68</v>
      </c>
      <c r="AF33" s="2758"/>
      <c r="AG33" s="2759"/>
      <c r="AH33" s="2759"/>
      <c r="AI33" s="2759"/>
      <c r="AJ33" s="2759"/>
      <c r="AK33" s="2760"/>
      <c r="AL33" s="2761" t="str">
        <f>IF(Y33="","",VLOOKUP(C33,[7]建物1802!$E$5:$AL$3275,2,FALSE))</f>
        <v>個</v>
      </c>
      <c r="AM33" s="2721"/>
      <c r="AN33" s="2721"/>
      <c r="AO33" s="2722"/>
      <c r="AP33" s="2755">
        <f>IF(Y33="","",VLOOKUP(C33,[7]建物1802!$E$5:$AL$3275,$BG$28,FALSE))</f>
        <v>5390</v>
      </c>
      <c r="AQ33" s="2756"/>
      <c r="AR33" s="2756"/>
      <c r="AS33" s="2756"/>
      <c r="AT33" s="2756"/>
      <c r="AU33" s="2756"/>
      <c r="AV33" s="2757"/>
      <c r="AW33" s="2762">
        <f t="shared" si="0"/>
        <v>59290</v>
      </c>
      <c r="AX33" s="2763"/>
      <c r="AY33" s="2763"/>
      <c r="AZ33" s="2763"/>
      <c r="BA33" s="2763"/>
      <c r="BB33" s="2763"/>
      <c r="BC33" s="2763"/>
      <c r="BD33" s="2763"/>
      <c r="BE33" s="2763"/>
      <c r="BF33" s="2764"/>
      <c r="BG33" s="21"/>
      <c r="BH33" s="2765">
        <f>IF(Y33="","",VLOOKUP(C33,[7]建物1802!$E$5:$AL$3275,$BG$29,FALSE))</f>
        <v>0.05</v>
      </c>
      <c r="BI33" s="2766"/>
      <c r="BJ33" s="2766"/>
      <c r="BK33" s="2766"/>
      <c r="BL33" s="2766"/>
      <c r="BM33" s="2767"/>
      <c r="BN33" s="2768">
        <f t="shared" si="1"/>
        <v>0.55000000000000004</v>
      </c>
      <c r="BO33" s="2769"/>
      <c r="BP33" s="2769"/>
      <c r="BQ33" s="2769"/>
      <c r="BR33" s="2769"/>
      <c r="BS33" s="2769"/>
      <c r="BT33" s="2770"/>
      <c r="BU33" s="19"/>
      <c r="BV33" s="94">
        <v>5</v>
      </c>
      <c r="BW33" s="94">
        <v>21</v>
      </c>
      <c r="BX33" s="8"/>
      <c r="BY33" s="46" t="s">
        <v>459</v>
      </c>
      <c r="BZ33" s="109">
        <f>CH4+CF8</f>
        <v>6</v>
      </c>
      <c r="CA33" s="436">
        <f>CH4+CF6*CD3+CF8</f>
        <v>18.867041999999998</v>
      </c>
      <c r="CB33" s="109">
        <f>CH4+CF6*2*CD3+CF8</f>
        <v>31.734083999999999</v>
      </c>
      <c r="CC33" s="109">
        <f>CH4+CF6*CD4+CF8</f>
        <v>31.734083999999999</v>
      </c>
      <c r="CD33" s="109">
        <f>CH4+CF6*SQRT(CD3^2+CD4^2)+CF8</f>
        <v>34.77158058134485</v>
      </c>
      <c r="CE33" s="109">
        <f>CH4+CF6*SQRT((2*CD3)^2+CD4^2)+CF8</f>
        <v>42.393490608048467</v>
      </c>
      <c r="CF33" s="109">
        <f>CH4+CF6*CD4*2+CF8</f>
        <v>57.468167999999999</v>
      </c>
      <c r="CG33" s="109">
        <f>CH4+CF6*SQRT(CD3^2+(2*CD4)^2)+CF8</f>
        <v>59.052173255258708</v>
      </c>
      <c r="CH33" s="109">
        <f>CH4+CF6*SQRT((2*CD3)^2+(2*CD4)^2)+CF8</f>
        <v>63.543161162689699</v>
      </c>
      <c r="CI33" s="202">
        <f t="shared" ref="CI33:CI41" si="4">MAX(BZ33:CH33)</f>
        <v>63.543161162689699</v>
      </c>
      <c r="CJ33" s="109">
        <f>$CF$6*SQRT(BZ3^2+CA3^2)+CF8</f>
        <v>58.543161162689699</v>
      </c>
      <c r="CK33" s="10" t="s">
        <v>458</v>
      </c>
      <c r="CL33" s="8"/>
    </row>
    <row r="34" spans="2:104" ht="12" customHeight="1">
      <c r="B34" s="23"/>
      <c r="C34" s="2745" t="str">
        <f t="shared" si="2"/>
        <v>接続端子 水切型 ツバ付</v>
      </c>
      <c r="D34" s="2746"/>
      <c r="E34" s="2746"/>
      <c r="F34" s="2746"/>
      <c r="G34" s="2746"/>
      <c r="H34" s="2746"/>
      <c r="I34" s="2746"/>
      <c r="J34" s="2746"/>
      <c r="K34" s="2746"/>
      <c r="L34" s="2746"/>
      <c r="M34" s="2746"/>
      <c r="N34" s="2746"/>
      <c r="O34" s="2746"/>
      <c r="P34" s="2746"/>
      <c r="Q34" s="2746"/>
      <c r="R34" s="2746"/>
      <c r="S34" s="2746"/>
      <c r="T34" s="2746"/>
      <c r="U34" s="2746"/>
      <c r="V34" s="2746"/>
      <c r="W34" s="2746"/>
      <c r="X34" s="2747"/>
      <c r="Y34" s="2779">
        <f t="shared" si="3"/>
        <v>6</v>
      </c>
      <c r="Z34" s="2756"/>
      <c r="AA34" s="2756"/>
      <c r="AB34" s="2756"/>
      <c r="AC34" s="2756"/>
      <c r="AD34" s="2757"/>
      <c r="AE34" s="104" t="s">
        <v>68</v>
      </c>
      <c r="AF34" s="2758"/>
      <c r="AG34" s="2759"/>
      <c r="AH34" s="2759"/>
      <c r="AI34" s="2759"/>
      <c r="AJ34" s="2759"/>
      <c r="AK34" s="2760"/>
      <c r="AL34" s="2761" t="str">
        <f>IF(Y34="","",VLOOKUP(C34,[7]建物1802!$E$5:$AL$3275,2,FALSE))</f>
        <v>個</v>
      </c>
      <c r="AM34" s="2721"/>
      <c r="AN34" s="2721"/>
      <c r="AO34" s="2722"/>
      <c r="AP34" s="2755">
        <f>IF(Y34="","",VLOOKUP(C34,[7]建物1802!$E$5:$AL$3275,$BG$28,FALSE))</f>
        <v>1570</v>
      </c>
      <c r="AQ34" s="2756"/>
      <c r="AR34" s="2756"/>
      <c r="AS34" s="2756"/>
      <c r="AT34" s="2756"/>
      <c r="AU34" s="2756"/>
      <c r="AV34" s="2757"/>
      <c r="AW34" s="2762">
        <f t="shared" si="0"/>
        <v>9420</v>
      </c>
      <c r="AX34" s="2763"/>
      <c r="AY34" s="2763"/>
      <c r="AZ34" s="2763"/>
      <c r="BA34" s="2763"/>
      <c r="BB34" s="2763"/>
      <c r="BC34" s="2763"/>
      <c r="BD34" s="2763"/>
      <c r="BE34" s="2763"/>
      <c r="BF34" s="2764"/>
      <c r="BG34" s="21"/>
      <c r="BH34" s="2765">
        <f>IF(Y34="","",VLOOKUP(C34,[7]建物1802!$E$5:$AL$3275,$BG$29,FALSE))</f>
        <v>0.05</v>
      </c>
      <c r="BI34" s="2766"/>
      <c r="BJ34" s="2766"/>
      <c r="BK34" s="2766"/>
      <c r="BL34" s="2766"/>
      <c r="BM34" s="2767"/>
      <c r="BN34" s="2768">
        <f t="shared" si="1"/>
        <v>0.30000000000000004</v>
      </c>
      <c r="BO34" s="2769"/>
      <c r="BP34" s="2769"/>
      <c r="BQ34" s="2769"/>
      <c r="BR34" s="2769"/>
      <c r="BS34" s="2769"/>
      <c r="BT34" s="2770"/>
      <c r="BU34" s="19"/>
      <c r="BV34" s="94">
        <v>6</v>
      </c>
      <c r="BW34" s="94">
        <v>22</v>
      </c>
      <c r="BX34" s="8"/>
      <c r="BY34" s="46" t="s">
        <v>457</v>
      </c>
      <c r="BZ34" s="109">
        <f>CH4+CF6*CD3+CF8</f>
        <v>18.867041999999998</v>
      </c>
      <c r="CA34" s="436">
        <f>CH4+CF8</f>
        <v>6</v>
      </c>
      <c r="CB34" s="109">
        <f>BZ34</f>
        <v>18.867041999999998</v>
      </c>
      <c r="CC34" s="109">
        <f>CH4+CF6*SQRT(CD3^2+CD4^2)+CF8</f>
        <v>34.77158058134485</v>
      </c>
      <c r="CD34" s="109">
        <f>CH4+CF6*CD4+CF8</f>
        <v>31.734083999999999</v>
      </c>
      <c r="CE34" s="109">
        <f>CC34</f>
        <v>34.77158058134485</v>
      </c>
      <c r="CF34" s="109">
        <f>CH4+CF6*SQRT(CD3^2+(CD4*2)^2)+CF8</f>
        <v>59.052173255258708</v>
      </c>
      <c r="CG34" s="109">
        <f>CH4+CF6*2*CD4+CF8</f>
        <v>57.468167999999999</v>
      </c>
      <c r="CH34" s="109">
        <f>CF34</f>
        <v>59.052173255258708</v>
      </c>
      <c r="CI34" s="202">
        <f t="shared" si="4"/>
        <v>59.052173255258708</v>
      </c>
      <c r="CJ34" s="109">
        <f>$CF$6*SQRT(CD3^2+(CD4*2)^2)+CF8</f>
        <v>54.052173255258708</v>
      </c>
      <c r="CK34" s="8"/>
      <c r="CL34" s="8"/>
    </row>
    <row r="35" spans="2:104" ht="12" customHeight="1">
      <c r="B35" s="23"/>
      <c r="C35" s="2745" t="str">
        <f t="shared" si="2"/>
        <v/>
      </c>
      <c r="D35" s="2746"/>
      <c r="E35" s="2746"/>
      <c r="F35" s="2746"/>
      <c r="G35" s="2746"/>
      <c r="H35" s="2746"/>
      <c r="I35" s="2746"/>
      <c r="J35" s="2746"/>
      <c r="K35" s="2746"/>
      <c r="L35" s="2746"/>
      <c r="M35" s="2746"/>
      <c r="N35" s="2746"/>
      <c r="O35" s="2746"/>
      <c r="P35" s="2746"/>
      <c r="Q35" s="2746"/>
      <c r="R35" s="2746"/>
      <c r="S35" s="2746"/>
      <c r="T35" s="2746"/>
      <c r="U35" s="2746"/>
      <c r="V35" s="2746"/>
      <c r="W35" s="2746"/>
      <c r="X35" s="2747"/>
      <c r="Y35" s="2779" t="str">
        <f t="shared" si="3"/>
        <v/>
      </c>
      <c r="Z35" s="2756"/>
      <c r="AA35" s="2756"/>
      <c r="AB35" s="2756"/>
      <c r="AC35" s="2756"/>
      <c r="AD35" s="2757"/>
      <c r="AE35" s="104" t="s">
        <v>68</v>
      </c>
      <c r="AF35" s="2758"/>
      <c r="AG35" s="2759"/>
      <c r="AH35" s="2759"/>
      <c r="AI35" s="2759"/>
      <c r="AJ35" s="2759"/>
      <c r="AK35" s="2760"/>
      <c r="AL35" s="2761" t="str">
        <f>IF(Y35="","",VLOOKUP(C35,[7]建物1802!$E$5:$AL$3275,2,FALSE))</f>
        <v/>
      </c>
      <c r="AM35" s="2721"/>
      <c r="AN35" s="2721"/>
      <c r="AO35" s="2722"/>
      <c r="AP35" s="2755" t="str">
        <f>IF(Y35="","",VLOOKUP(C35,[7]建物1802!$E$5:$AL$3275,$BG$28,FALSE))</f>
        <v/>
      </c>
      <c r="AQ35" s="2756"/>
      <c r="AR35" s="2756"/>
      <c r="AS35" s="2756"/>
      <c r="AT35" s="2756"/>
      <c r="AU35" s="2756"/>
      <c r="AV35" s="2757"/>
      <c r="AW35" s="2762" t="str">
        <f t="shared" si="0"/>
        <v/>
      </c>
      <c r="AX35" s="2763"/>
      <c r="AY35" s="2763"/>
      <c r="AZ35" s="2763"/>
      <c r="BA35" s="2763"/>
      <c r="BB35" s="2763"/>
      <c r="BC35" s="2763"/>
      <c r="BD35" s="2763"/>
      <c r="BE35" s="2763"/>
      <c r="BF35" s="2764"/>
      <c r="BG35" s="21"/>
      <c r="BH35" s="2765" t="str">
        <f>IF(Y35="","",VLOOKUP(C35,[7]建物1802!$E$5:$AL$3275,$BG$29,FALSE))</f>
        <v/>
      </c>
      <c r="BI35" s="2766"/>
      <c r="BJ35" s="2766"/>
      <c r="BK35" s="2766"/>
      <c r="BL35" s="2766"/>
      <c r="BM35" s="2767"/>
      <c r="BN35" s="2768" t="str">
        <f t="shared" si="1"/>
        <v/>
      </c>
      <c r="BO35" s="2769"/>
      <c r="BP35" s="2769"/>
      <c r="BQ35" s="2769"/>
      <c r="BR35" s="2769"/>
      <c r="BS35" s="2769"/>
      <c r="BT35" s="2770"/>
      <c r="BU35" s="19"/>
      <c r="BV35" s="94">
        <v>7</v>
      </c>
      <c r="BW35" s="94">
        <v>23</v>
      </c>
      <c r="BX35" s="8"/>
      <c r="BY35" s="46" t="s">
        <v>456</v>
      </c>
      <c r="BZ35" s="109">
        <f>CH4+CF6*CD3*2+CF8</f>
        <v>31.734083999999999</v>
      </c>
      <c r="CA35" s="109">
        <f>CH4+CF6*CD3+CF8</f>
        <v>18.867041999999998</v>
      </c>
      <c r="CB35" s="109">
        <f>CH4+CF8</f>
        <v>6</v>
      </c>
      <c r="CC35" s="109">
        <f>CH4+CF6*SQRT((CD3*2)^2+CD4^2)+CF8</f>
        <v>42.393490608048467</v>
      </c>
      <c r="CD35" s="109">
        <f>CH4+CF6*SQRT(CD3^2+CD4^2)+CF8</f>
        <v>34.77158058134485</v>
      </c>
      <c r="CE35" s="109">
        <f>CH4+CF6*CD4+CF8</f>
        <v>31.734083999999999</v>
      </c>
      <c r="CF35" s="109">
        <f>CH4+CF6*SQRT((CD3*2)^2+(CD4*2)^2)+CF8</f>
        <v>63.543161162689699</v>
      </c>
      <c r="CG35" s="109">
        <f>CH4+CF6*SQRT(CD3^2+(CD4*2)^2)+CF8</f>
        <v>59.052173255258708</v>
      </c>
      <c r="CH35" s="109">
        <f>CH4+CF6*CD4*2+CF8</f>
        <v>57.468167999999999</v>
      </c>
      <c r="CI35" s="202">
        <f t="shared" si="4"/>
        <v>63.543161162689699</v>
      </c>
      <c r="CJ35" s="109">
        <f>$CF$6*SQRT((CD3*2)^2+CA3^2)+CF8</f>
        <v>58.543161162689699</v>
      </c>
      <c r="CK35" s="8"/>
      <c r="CL35" s="8"/>
    </row>
    <row r="36" spans="2:104" ht="12" customHeight="1">
      <c r="B36" s="23"/>
      <c r="C36" s="2745" t="str">
        <f t="shared" si="2"/>
        <v/>
      </c>
      <c r="D36" s="2746"/>
      <c r="E36" s="2746"/>
      <c r="F36" s="2746"/>
      <c r="G36" s="2746"/>
      <c r="H36" s="2746"/>
      <c r="I36" s="2746"/>
      <c r="J36" s="2746"/>
      <c r="K36" s="2746"/>
      <c r="L36" s="2746"/>
      <c r="M36" s="2746"/>
      <c r="N36" s="2746"/>
      <c r="O36" s="2746"/>
      <c r="P36" s="2746"/>
      <c r="Q36" s="2746"/>
      <c r="R36" s="2746"/>
      <c r="S36" s="2746"/>
      <c r="T36" s="2746"/>
      <c r="U36" s="2746"/>
      <c r="V36" s="2746"/>
      <c r="W36" s="2746"/>
      <c r="X36" s="2747"/>
      <c r="Y36" s="2779" t="str">
        <f t="shared" si="3"/>
        <v/>
      </c>
      <c r="Z36" s="2756"/>
      <c r="AA36" s="2756"/>
      <c r="AB36" s="2756"/>
      <c r="AC36" s="2756"/>
      <c r="AD36" s="2757"/>
      <c r="AE36" s="104" t="s">
        <v>68</v>
      </c>
      <c r="AF36" s="2758"/>
      <c r="AG36" s="2759"/>
      <c r="AH36" s="2759"/>
      <c r="AI36" s="2759"/>
      <c r="AJ36" s="2759"/>
      <c r="AK36" s="2760"/>
      <c r="AL36" s="2761" t="str">
        <f>IF(Y36="","",VLOOKUP(C36,[7]建物1802!$E$5:$AL$3275,2,FALSE))</f>
        <v/>
      </c>
      <c r="AM36" s="2721"/>
      <c r="AN36" s="2721"/>
      <c r="AO36" s="2722"/>
      <c r="AP36" s="2755" t="str">
        <f>IF(Y36="","",VLOOKUP(C36,[7]建物1802!$E$5:$AL$3275,$BG$28,FALSE))</f>
        <v/>
      </c>
      <c r="AQ36" s="2756"/>
      <c r="AR36" s="2756"/>
      <c r="AS36" s="2756"/>
      <c r="AT36" s="2756"/>
      <c r="AU36" s="2756"/>
      <c r="AV36" s="2757"/>
      <c r="AW36" s="2762" t="str">
        <f t="shared" si="0"/>
        <v/>
      </c>
      <c r="AX36" s="2763"/>
      <c r="AY36" s="2763"/>
      <c r="AZ36" s="2763"/>
      <c r="BA36" s="2763"/>
      <c r="BB36" s="2763"/>
      <c r="BC36" s="2763"/>
      <c r="BD36" s="2763"/>
      <c r="BE36" s="2763"/>
      <c r="BF36" s="2764"/>
      <c r="BG36" s="21"/>
      <c r="BH36" s="2765" t="str">
        <f>IF(Y36="","",VLOOKUP(C36,[7]建物1802!$E$5:$AL$3275,$BG$29,FALSE))</f>
        <v/>
      </c>
      <c r="BI36" s="2766"/>
      <c r="BJ36" s="2766"/>
      <c r="BK36" s="2766"/>
      <c r="BL36" s="2766"/>
      <c r="BM36" s="2767"/>
      <c r="BN36" s="2768" t="str">
        <f t="shared" si="1"/>
        <v/>
      </c>
      <c r="BO36" s="2769"/>
      <c r="BP36" s="2769"/>
      <c r="BQ36" s="2769"/>
      <c r="BR36" s="2769"/>
      <c r="BS36" s="2769"/>
      <c r="BT36" s="2770"/>
      <c r="BU36" s="19"/>
      <c r="BV36" s="94">
        <v>8</v>
      </c>
      <c r="BW36" s="94">
        <v>24</v>
      </c>
      <c r="BX36" s="8"/>
      <c r="BY36" s="46" t="s">
        <v>455</v>
      </c>
      <c r="BZ36" s="109">
        <f>CH4+CF6*CD4+CF8</f>
        <v>31.734083999999999</v>
      </c>
      <c r="CA36" s="109">
        <f>CH4+CF6*SQRT(CD3^2+CD4^2)+CF8</f>
        <v>34.77158058134485</v>
      </c>
      <c r="CB36" s="109">
        <f>CH4+CF6*SQRT((CD3*2)^2+CD4^2)+CF8</f>
        <v>42.393490608048467</v>
      </c>
      <c r="CC36" s="109">
        <f>CH4+CF8</f>
        <v>6</v>
      </c>
      <c r="CD36" s="109">
        <f>CH4+CF6*CD3+CF8</f>
        <v>18.867041999999998</v>
      </c>
      <c r="CE36" s="109">
        <f>CH4+CF6*CD3*2+CF8</f>
        <v>31.734083999999999</v>
      </c>
      <c r="CF36" s="109">
        <f>BZ36</f>
        <v>31.734083999999999</v>
      </c>
      <c r="CG36" s="109">
        <f>CA36</f>
        <v>34.77158058134485</v>
      </c>
      <c r="CH36" s="109">
        <f>CB36</f>
        <v>42.393490608048467</v>
      </c>
      <c r="CI36" s="202">
        <f t="shared" si="4"/>
        <v>42.393490608048467</v>
      </c>
      <c r="CJ36" s="109">
        <f>$CF$6*SQRT(BZ3^2+(CD4*3)^2)+CF8</f>
        <v>82.378318938096527</v>
      </c>
      <c r="CK36" s="8"/>
      <c r="CL36" s="8"/>
    </row>
    <row r="37" spans="2:104" ht="12" customHeight="1">
      <c r="B37" s="23"/>
      <c r="C37" s="2745" t="str">
        <f t="shared" si="2"/>
        <v/>
      </c>
      <c r="D37" s="2746"/>
      <c r="E37" s="2746"/>
      <c r="F37" s="2746"/>
      <c r="G37" s="2746"/>
      <c r="H37" s="2746"/>
      <c r="I37" s="2746"/>
      <c r="J37" s="2746"/>
      <c r="K37" s="2746"/>
      <c r="L37" s="2746"/>
      <c r="M37" s="2746"/>
      <c r="N37" s="2746"/>
      <c r="O37" s="2746"/>
      <c r="P37" s="2746"/>
      <c r="Q37" s="2746"/>
      <c r="R37" s="2746"/>
      <c r="S37" s="2746"/>
      <c r="T37" s="2746"/>
      <c r="U37" s="2746"/>
      <c r="V37" s="2746"/>
      <c r="W37" s="2746"/>
      <c r="X37" s="2747"/>
      <c r="Y37" s="2779" t="str">
        <f t="shared" si="3"/>
        <v/>
      </c>
      <c r="Z37" s="2756"/>
      <c r="AA37" s="2756"/>
      <c r="AB37" s="2756"/>
      <c r="AC37" s="2756"/>
      <c r="AD37" s="2757"/>
      <c r="AE37" s="104" t="s">
        <v>68</v>
      </c>
      <c r="AF37" s="2758"/>
      <c r="AG37" s="2759"/>
      <c r="AH37" s="2759"/>
      <c r="AI37" s="2759"/>
      <c r="AJ37" s="2759"/>
      <c r="AK37" s="2760"/>
      <c r="AL37" s="2761" t="str">
        <f>IF(Y37="","",VLOOKUP(C37,[7]建物1802!$E$5:$AL$3275,2,FALSE))</f>
        <v/>
      </c>
      <c r="AM37" s="2721"/>
      <c r="AN37" s="2721"/>
      <c r="AO37" s="2722"/>
      <c r="AP37" s="2755" t="str">
        <f>IF(Y37="","",VLOOKUP(C37,[7]建物1802!$E$5:$AL$3275,$BG$28,FALSE))</f>
        <v/>
      </c>
      <c r="AQ37" s="2756"/>
      <c r="AR37" s="2756"/>
      <c r="AS37" s="2756"/>
      <c r="AT37" s="2756"/>
      <c r="AU37" s="2756"/>
      <c r="AV37" s="2757"/>
      <c r="AW37" s="2762" t="str">
        <f t="shared" si="0"/>
        <v/>
      </c>
      <c r="AX37" s="2763"/>
      <c r="AY37" s="2763"/>
      <c r="AZ37" s="2763"/>
      <c r="BA37" s="2763"/>
      <c r="BB37" s="2763"/>
      <c r="BC37" s="2763"/>
      <c r="BD37" s="2763"/>
      <c r="BE37" s="2763"/>
      <c r="BF37" s="2764"/>
      <c r="BG37" s="21"/>
      <c r="BH37" s="2765" t="str">
        <f>IF(Y37="","",VLOOKUP(C37,[7]建物1802!$E$5:$AL$3275,$BG$29,FALSE))</f>
        <v/>
      </c>
      <c r="BI37" s="2766"/>
      <c r="BJ37" s="2766"/>
      <c r="BK37" s="2766"/>
      <c r="BL37" s="2766"/>
      <c r="BM37" s="2767"/>
      <c r="BN37" s="2768" t="str">
        <f t="shared" si="1"/>
        <v/>
      </c>
      <c r="BO37" s="2769"/>
      <c r="BP37" s="2769"/>
      <c r="BQ37" s="2769"/>
      <c r="BR37" s="2769"/>
      <c r="BS37" s="2769"/>
      <c r="BT37" s="2770"/>
      <c r="BU37" s="19"/>
      <c r="BV37" s="94">
        <v>9</v>
      </c>
      <c r="BW37" s="94">
        <v>25</v>
      </c>
      <c r="BX37" s="8"/>
      <c r="BY37" s="46" t="s">
        <v>454</v>
      </c>
      <c r="BZ37" s="109">
        <f>CH4+CF6*SQRT(CD6^2+CD8^2)+CF8</f>
        <v>34.77158058134485</v>
      </c>
      <c r="CA37" s="109">
        <f>CH4+CF6*CD8+CF8</f>
        <v>31.734083999999999</v>
      </c>
      <c r="CB37" s="109">
        <f>BZ37</f>
        <v>34.77158058134485</v>
      </c>
      <c r="CC37" s="109">
        <f>CH4+CF6*CD6+CF8</f>
        <v>18.867041999999998</v>
      </c>
      <c r="CD37" s="109">
        <f>CH4+CF8</f>
        <v>6</v>
      </c>
      <c r="CE37" s="109">
        <f>CC37</f>
        <v>18.867041999999998</v>
      </c>
      <c r="CF37" s="109">
        <f>BZ37</f>
        <v>34.77158058134485</v>
      </c>
      <c r="CG37" s="109">
        <f>CA37</f>
        <v>31.734083999999999</v>
      </c>
      <c r="CH37" s="109">
        <f>CF37</f>
        <v>34.77158058134485</v>
      </c>
      <c r="CI37" s="202">
        <f t="shared" si="4"/>
        <v>34.77158058134485</v>
      </c>
      <c r="CJ37" s="109">
        <f>$CF$6*SQRT((CD3*3)^2+(CD4*3)^2)+CF23</f>
        <v>86.314741744034549</v>
      </c>
      <c r="CK37" s="8"/>
      <c r="CL37" s="8"/>
    </row>
    <row r="38" spans="2:104" ht="12" customHeight="1">
      <c r="B38" s="23"/>
      <c r="C38" s="2745" t="str">
        <f t="shared" si="2"/>
        <v/>
      </c>
      <c r="D38" s="2746"/>
      <c r="E38" s="2746"/>
      <c r="F38" s="2746"/>
      <c r="G38" s="2746"/>
      <c r="H38" s="2746"/>
      <c r="I38" s="2746"/>
      <c r="J38" s="2746"/>
      <c r="K38" s="2746"/>
      <c r="L38" s="2746"/>
      <c r="M38" s="2746"/>
      <c r="N38" s="2746"/>
      <c r="O38" s="2746"/>
      <c r="P38" s="2746"/>
      <c r="Q38" s="2746"/>
      <c r="R38" s="2746"/>
      <c r="S38" s="2746"/>
      <c r="T38" s="2746"/>
      <c r="U38" s="2746"/>
      <c r="V38" s="2746"/>
      <c r="W38" s="2746"/>
      <c r="X38" s="2747"/>
      <c r="Y38" s="2779" t="str">
        <f t="shared" si="3"/>
        <v/>
      </c>
      <c r="Z38" s="2756"/>
      <c r="AA38" s="2756"/>
      <c r="AB38" s="2756"/>
      <c r="AC38" s="2756"/>
      <c r="AD38" s="2757"/>
      <c r="AE38" s="104" t="s">
        <v>68</v>
      </c>
      <c r="AF38" s="2758"/>
      <c r="AG38" s="2759"/>
      <c r="AH38" s="2759"/>
      <c r="AI38" s="2759"/>
      <c r="AJ38" s="2759"/>
      <c r="AK38" s="2760"/>
      <c r="AL38" s="2761" t="str">
        <f>IF(Y38="","",VLOOKUP(C38,[7]建物1802!$E$5:$AL$3275,2,FALSE))</f>
        <v/>
      </c>
      <c r="AM38" s="2721"/>
      <c r="AN38" s="2721"/>
      <c r="AO38" s="2722"/>
      <c r="AP38" s="2755" t="str">
        <f>IF(Y38="","",VLOOKUP(C38,[7]建物1802!$E$5:$AL$3275,$BG$28,FALSE))</f>
        <v/>
      </c>
      <c r="AQ38" s="2756"/>
      <c r="AR38" s="2756"/>
      <c r="AS38" s="2756"/>
      <c r="AT38" s="2756"/>
      <c r="AU38" s="2756"/>
      <c r="AV38" s="2757"/>
      <c r="AW38" s="2762" t="str">
        <f t="shared" si="0"/>
        <v/>
      </c>
      <c r="AX38" s="2763"/>
      <c r="AY38" s="2763"/>
      <c r="AZ38" s="2763"/>
      <c r="BA38" s="2763"/>
      <c r="BB38" s="2763"/>
      <c r="BC38" s="2763"/>
      <c r="BD38" s="2763"/>
      <c r="BE38" s="2763"/>
      <c r="BF38" s="2764"/>
      <c r="BG38" s="21"/>
      <c r="BH38" s="2765" t="str">
        <f>IF(Y38="","",VLOOKUP(C38,[7]建物1802!$E$5:$AL$3275,$BG$29,FALSE))</f>
        <v/>
      </c>
      <c r="BI38" s="2766"/>
      <c r="BJ38" s="2766"/>
      <c r="BK38" s="2766"/>
      <c r="BL38" s="2766"/>
      <c r="BM38" s="2767"/>
      <c r="BN38" s="2768" t="str">
        <f t="shared" si="1"/>
        <v/>
      </c>
      <c r="BO38" s="2769"/>
      <c r="BP38" s="2769"/>
      <c r="BQ38" s="2769"/>
      <c r="BR38" s="2769"/>
      <c r="BS38" s="2769"/>
      <c r="BT38" s="2770"/>
      <c r="BU38" s="19"/>
      <c r="BV38" s="94">
        <v>10</v>
      </c>
      <c r="BW38" s="94">
        <v>26</v>
      </c>
      <c r="BX38" s="8"/>
      <c r="BY38" s="46" t="s">
        <v>453</v>
      </c>
      <c r="BZ38" s="109">
        <f>CH4+CF6*SQRT((CD3*2)^2+CD4^2)+CF8</f>
        <v>42.393490608048467</v>
      </c>
      <c r="CA38" s="109">
        <f>CH4+CF6*SQRT(CD3^2+CD4^2)+CF8</f>
        <v>34.77158058134485</v>
      </c>
      <c r="CB38" s="109">
        <f>CH4+CF6*CD4+CF8</f>
        <v>31.734083999999999</v>
      </c>
      <c r="CC38" s="109">
        <f>CH4+CF6*CD3*2+CF8</f>
        <v>31.734083999999999</v>
      </c>
      <c r="CD38" s="109">
        <f>CH4+CF6*CD3+CF8</f>
        <v>18.867041999999998</v>
      </c>
      <c r="CE38" s="109">
        <f>CH4+CF8</f>
        <v>6</v>
      </c>
      <c r="CF38" s="109">
        <f>BZ38</f>
        <v>42.393490608048467</v>
      </c>
      <c r="CG38" s="109">
        <f>CA38</f>
        <v>34.77158058134485</v>
      </c>
      <c r="CH38" s="109">
        <f>CB38</f>
        <v>31.734083999999999</v>
      </c>
      <c r="CI38" s="202">
        <f t="shared" si="4"/>
        <v>42.393490608048467</v>
      </c>
      <c r="CJ38" s="109">
        <f>$CF$6*SQRT((CD3*2)^2+(CD4*3)^2)+CF8</f>
        <v>82.378318938096527</v>
      </c>
      <c r="CK38" s="8"/>
      <c r="CL38" s="8"/>
    </row>
    <row r="39" spans="2:104" ht="12" customHeight="1">
      <c r="B39" s="23"/>
      <c r="C39" s="2745" t="str">
        <f t="shared" si="2"/>
        <v/>
      </c>
      <c r="D39" s="2746"/>
      <c r="E39" s="2746"/>
      <c r="F39" s="2746"/>
      <c r="G39" s="2746"/>
      <c r="H39" s="2746"/>
      <c r="I39" s="2746"/>
      <c r="J39" s="2746"/>
      <c r="K39" s="2746"/>
      <c r="L39" s="2746"/>
      <c r="M39" s="2746"/>
      <c r="N39" s="2746"/>
      <c r="O39" s="2746"/>
      <c r="P39" s="2746"/>
      <c r="Q39" s="2746"/>
      <c r="R39" s="2746"/>
      <c r="S39" s="2746"/>
      <c r="T39" s="2746"/>
      <c r="U39" s="2746"/>
      <c r="V39" s="2746"/>
      <c r="W39" s="2746"/>
      <c r="X39" s="2747"/>
      <c r="Y39" s="2779" t="str">
        <f t="shared" si="3"/>
        <v/>
      </c>
      <c r="Z39" s="2756"/>
      <c r="AA39" s="2756"/>
      <c r="AB39" s="2756"/>
      <c r="AC39" s="2756"/>
      <c r="AD39" s="2757"/>
      <c r="AE39" s="104" t="s">
        <v>68</v>
      </c>
      <c r="AF39" s="2758"/>
      <c r="AG39" s="2759"/>
      <c r="AH39" s="2759"/>
      <c r="AI39" s="2759"/>
      <c r="AJ39" s="2759"/>
      <c r="AK39" s="2760"/>
      <c r="AL39" s="2761" t="str">
        <f>IF(Y39="","",VLOOKUP(C39,[7]建物1802!$E$5:$AL$3275,2,FALSE))</f>
        <v/>
      </c>
      <c r="AM39" s="2721"/>
      <c r="AN39" s="2721"/>
      <c r="AO39" s="2722"/>
      <c r="AP39" s="2755" t="str">
        <f>IF(Y39="","",VLOOKUP(C39,[7]建物1802!$E$5:$AL$3275,$BG$28,FALSE))</f>
        <v/>
      </c>
      <c r="AQ39" s="2756"/>
      <c r="AR39" s="2756"/>
      <c r="AS39" s="2756"/>
      <c r="AT39" s="2756"/>
      <c r="AU39" s="2756"/>
      <c r="AV39" s="2757"/>
      <c r="AW39" s="2762" t="str">
        <f t="shared" si="0"/>
        <v/>
      </c>
      <c r="AX39" s="2763"/>
      <c r="AY39" s="2763"/>
      <c r="AZ39" s="2763"/>
      <c r="BA39" s="2763"/>
      <c r="BB39" s="2763"/>
      <c r="BC39" s="2763"/>
      <c r="BD39" s="2763"/>
      <c r="BE39" s="2763"/>
      <c r="BF39" s="2764"/>
      <c r="BG39" s="21"/>
      <c r="BH39" s="2765" t="str">
        <f>IF(Y39="","",VLOOKUP(C39,[7]建物1802!$E$5:$AL$3275,$BG$29,FALSE))</f>
        <v/>
      </c>
      <c r="BI39" s="2766"/>
      <c r="BJ39" s="2766"/>
      <c r="BK39" s="2766"/>
      <c r="BL39" s="2766"/>
      <c r="BM39" s="2767"/>
      <c r="BN39" s="2768" t="str">
        <f t="shared" si="1"/>
        <v/>
      </c>
      <c r="BO39" s="2769"/>
      <c r="BP39" s="2769"/>
      <c r="BQ39" s="2769"/>
      <c r="BR39" s="2769"/>
      <c r="BS39" s="2769"/>
      <c r="BT39" s="2770"/>
      <c r="BU39" s="19"/>
      <c r="BV39" s="94">
        <v>11</v>
      </c>
      <c r="BW39" s="94">
        <v>27</v>
      </c>
      <c r="BX39" s="8"/>
      <c r="BY39" s="46" t="s">
        <v>452</v>
      </c>
      <c r="BZ39" s="109">
        <f>CH4+CF6*CD4*2+CF8</f>
        <v>57.468167999999999</v>
      </c>
      <c r="CA39" s="109">
        <f>CH4+CF6*SQRT(CD3^2+(CD4*2)^2)+CF8</f>
        <v>59.052173255258708</v>
      </c>
      <c r="CB39" s="109">
        <f>CH4+CF6*SQRT((CD3*2)^2+(CD4*2)^2)+CF8</f>
        <v>63.543161162689699</v>
      </c>
      <c r="CC39" s="109">
        <f>CH4+CF6*CD4+CF8</f>
        <v>31.734083999999999</v>
      </c>
      <c r="CD39" s="109">
        <f>CH4+CF6*SQRT(CD3^2+CD4^2)+CF8</f>
        <v>34.77158058134485</v>
      </c>
      <c r="CE39" s="109">
        <f>CH4+CF6*SQRT((CD3*2)^2+CD4^2)+CF8</f>
        <v>42.393490608048467</v>
      </c>
      <c r="CF39" s="109">
        <f>CH4+CF8</f>
        <v>6</v>
      </c>
      <c r="CG39" s="109">
        <f>CH4+CF6*CD3+CF8</f>
        <v>18.867041999999998</v>
      </c>
      <c r="CH39" s="109">
        <f>CH4+CF6*CD3*2+CF8</f>
        <v>31.734083999999999</v>
      </c>
      <c r="CI39" s="202">
        <f t="shared" si="4"/>
        <v>63.543161162689699</v>
      </c>
      <c r="CJ39" s="109">
        <f>$CF$6*SQRT(BZ3^2+(CD4*2)^2)+CF8</f>
        <v>58.543161162689699</v>
      </c>
      <c r="CK39" s="8"/>
      <c r="CL39" s="8"/>
    </row>
    <row r="40" spans="2:104" ht="12" customHeight="1">
      <c r="B40" s="23"/>
      <c r="C40" s="2745" t="str">
        <f t="shared" si="2"/>
        <v/>
      </c>
      <c r="D40" s="2746"/>
      <c r="E40" s="2746"/>
      <c r="F40" s="2746"/>
      <c r="G40" s="2746"/>
      <c r="H40" s="2746"/>
      <c r="I40" s="2746"/>
      <c r="J40" s="2746"/>
      <c r="K40" s="2746"/>
      <c r="L40" s="2746"/>
      <c r="M40" s="2746"/>
      <c r="N40" s="2746"/>
      <c r="O40" s="2746"/>
      <c r="P40" s="2746"/>
      <c r="Q40" s="2746"/>
      <c r="R40" s="2746"/>
      <c r="S40" s="2746"/>
      <c r="T40" s="2746"/>
      <c r="U40" s="2746"/>
      <c r="V40" s="2746"/>
      <c r="W40" s="2746"/>
      <c r="X40" s="2747"/>
      <c r="Y40" s="2779" t="str">
        <f t="shared" si="3"/>
        <v/>
      </c>
      <c r="Z40" s="2756"/>
      <c r="AA40" s="2756"/>
      <c r="AB40" s="2756"/>
      <c r="AC40" s="2756"/>
      <c r="AD40" s="2757"/>
      <c r="AE40" s="104" t="s">
        <v>68</v>
      </c>
      <c r="AF40" s="2758"/>
      <c r="AG40" s="2759"/>
      <c r="AH40" s="2759"/>
      <c r="AI40" s="2759"/>
      <c r="AJ40" s="2759"/>
      <c r="AK40" s="2760"/>
      <c r="AL40" s="2761" t="str">
        <f>IF(Y40="","",VLOOKUP(C40,[7]建物1802!$E$5:$AL$3275,2,FALSE))</f>
        <v/>
      </c>
      <c r="AM40" s="2721"/>
      <c r="AN40" s="2721"/>
      <c r="AO40" s="2722"/>
      <c r="AP40" s="2755" t="str">
        <f>IF(Y40="","",VLOOKUP(C40,[7]建物1802!$E$5:$AL$3275,$BG$28,FALSE))</f>
        <v/>
      </c>
      <c r="AQ40" s="2756"/>
      <c r="AR40" s="2756"/>
      <c r="AS40" s="2756"/>
      <c r="AT40" s="2756"/>
      <c r="AU40" s="2756"/>
      <c r="AV40" s="2757"/>
      <c r="AW40" s="2762" t="str">
        <f t="shared" si="0"/>
        <v/>
      </c>
      <c r="AX40" s="2763"/>
      <c r="AY40" s="2763"/>
      <c r="AZ40" s="2763"/>
      <c r="BA40" s="2763"/>
      <c r="BB40" s="2763"/>
      <c r="BC40" s="2763"/>
      <c r="BD40" s="2763"/>
      <c r="BE40" s="2763"/>
      <c r="BF40" s="2764"/>
      <c r="BG40" s="21"/>
      <c r="BH40" s="2765" t="str">
        <f>IF(Y40="","",VLOOKUP(C40,[7]建物1802!$E$5:$AL$3275,$BG$29,FALSE))</f>
        <v/>
      </c>
      <c r="BI40" s="2766"/>
      <c r="BJ40" s="2766"/>
      <c r="BK40" s="2766"/>
      <c r="BL40" s="2766"/>
      <c r="BM40" s="2767"/>
      <c r="BN40" s="2768" t="str">
        <f t="shared" si="1"/>
        <v/>
      </c>
      <c r="BO40" s="2769"/>
      <c r="BP40" s="2769"/>
      <c r="BQ40" s="2769"/>
      <c r="BR40" s="2769"/>
      <c r="BS40" s="2769"/>
      <c r="BT40" s="2770"/>
      <c r="BU40" s="19"/>
      <c r="BV40" s="94">
        <v>12</v>
      </c>
      <c r="BW40" s="94">
        <v>28</v>
      </c>
      <c r="BX40" s="8"/>
      <c r="BY40" s="46" t="s">
        <v>451</v>
      </c>
      <c r="BZ40" s="109">
        <f>CH4+CF6*SQRT(CD6^2+(CD8*2)^2)+CF8</f>
        <v>59.052173255258708</v>
      </c>
      <c r="CA40" s="109">
        <f>CH4+CF6*CD8*2+CF8</f>
        <v>57.468167999999999</v>
      </c>
      <c r="CB40" s="109">
        <f>BZ40</f>
        <v>59.052173255258708</v>
      </c>
      <c r="CC40" s="109">
        <f>CH4+CF6*SQRT(CD6^2+CD8^2)+CF8</f>
        <v>34.77158058134485</v>
      </c>
      <c r="CD40" s="109">
        <f>CH4+CF6*CD4+CF8</f>
        <v>31.734083999999999</v>
      </c>
      <c r="CE40" s="109">
        <f>CC40</f>
        <v>34.77158058134485</v>
      </c>
      <c r="CF40" s="109">
        <f>CH4+CF6*CD6+CF8</f>
        <v>18.867041999999998</v>
      </c>
      <c r="CG40" s="109">
        <f>CH4+CF8</f>
        <v>6</v>
      </c>
      <c r="CH40" s="109">
        <f>CF40</f>
        <v>18.867041999999998</v>
      </c>
      <c r="CI40" s="202">
        <f t="shared" si="4"/>
        <v>59.052173255258708</v>
      </c>
      <c r="CJ40" s="109">
        <f>$CF$6*SQRT((CD3*3)^2+(CD4*2)^2)+CF8</f>
        <v>65.335210000000004</v>
      </c>
      <c r="CK40" s="8"/>
      <c r="CL40" s="8"/>
    </row>
    <row r="41" spans="2:104" ht="12" customHeight="1">
      <c r="B41" s="23"/>
      <c r="C41" s="2745" t="str">
        <f t="shared" si="2"/>
        <v/>
      </c>
      <c r="D41" s="2746"/>
      <c r="E41" s="2746"/>
      <c r="F41" s="2746"/>
      <c r="G41" s="2746"/>
      <c r="H41" s="2746"/>
      <c r="I41" s="2746"/>
      <c r="J41" s="2746"/>
      <c r="K41" s="2746"/>
      <c r="L41" s="2746"/>
      <c r="M41" s="2746"/>
      <c r="N41" s="2746"/>
      <c r="O41" s="2746"/>
      <c r="P41" s="2746"/>
      <c r="Q41" s="2746"/>
      <c r="R41" s="2746"/>
      <c r="S41" s="2746"/>
      <c r="T41" s="2746"/>
      <c r="U41" s="2746"/>
      <c r="V41" s="2746"/>
      <c r="W41" s="2746"/>
      <c r="X41" s="2747"/>
      <c r="Y41" s="2779" t="str">
        <f t="shared" si="3"/>
        <v/>
      </c>
      <c r="Z41" s="2756"/>
      <c r="AA41" s="2756"/>
      <c r="AB41" s="2756"/>
      <c r="AC41" s="2756"/>
      <c r="AD41" s="2757"/>
      <c r="AE41" s="104" t="s">
        <v>68</v>
      </c>
      <c r="AF41" s="2758"/>
      <c r="AG41" s="2759"/>
      <c r="AH41" s="2759"/>
      <c r="AI41" s="2759"/>
      <c r="AJ41" s="2759"/>
      <c r="AK41" s="2760"/>
      <c r="AL41" s="2761" t="str">
        <f>IF(Y41="","",VLOOKUP(C41,[7]建物1802!$E$5:$AL$3275,2,FALSE))</f>
        <v/>
      </c>
      <c r="AM41" s="2721"/>
      <c r="AN41" s="2721"/>
      <c r="AO41" s="2722"/>
      <c r="AP41" s="2755" t="str">
        <f>IF(Y41="","",VLOOKUP(C41,[7]建物1802!$E$5:$AL$3275,$BG$28,FALSE))</f>
        <v/>
      </c>
      <c r="AQ41" s="2756"/>
      <c r="AR41" s="2756"/>
      <c r="AS41" s="2756"/>
      <c r="AT41" s="2756"/>
      <c r="AU41" s="2756"/>
      <c r="AV41" s="2757"/>
      <c r="AW41" s="2762" t="str">
        <f t="shared" si="0"/>
        <v/>
      </c>
      <c r="AX41" s="2763"/>
      <c r="AY41" s="2763"/>
      <c r="AZ41" s="2763"/>
      <c r="BA41" s="2763"/>
      <c r="BB41" s="2763"/>
      <c r="BC41" s="2763"/>
      <c r="BD41" s="2763"/>
      <c r="BE41" s="2763"/>
      <c r="BF41" s="2764"/>
      <c r="BG41" s="21"/>
      <c r="BH41" s="2765" t="str">
        <f>IF(Y41="","",VLOOKUP(C41,[7]建物1802!$E$5:$AL$3275,$BG$29,FALSE))</f>
        <v/>
      </c>
      <c r="BI41" s="2766"/>
      <c r="BJ41" s="2766"/>
      <c r="BK41" s="2766"/>
      <c r="BL41" s="2766"/>
      <c r="BM41" s="2767"/>
      <c r="BN41" s="2768" t="str">
        <f t="shared" si="1"/>
        <v/>
      </c>
      <c r="BO41" s="2769"/>
      <c r="BP41" s="2769"/>
      <c r="BQ41" s="2769"/>
      <c r="BR41" s="2769"/>
      <c r="BS41" s="2769"/>
      <c r="BT41" s="2770"/>
      <c r="BU41" s="19"/>
      <c r="BV41" s="94">
        <v>13</v>
      </c>
      <c r="BW41" s="94">
        <v>29</v>
      </c>
      <c r="BX41" s="8"/>
      <c r="BY41" s="46" t="s">
        <v>450</v>
      </c>
      <c r="BZ41" s="109">
        <f>CH4+CF6*SQRT((CD3*2)^2+(CD4*2)^2)+CF8</f>
        <v>63.543161162689699</v>
      </c>
      <c r="CA41" s="109">
        <f>CH4+CF6*SQRT(CD3*2^2+(CD4*2)^2)+CF8</f>
        <v>58.529478998267244</v>
      </c>
      <c r="CB41" s="109">
        <f>CH4+CF6*CD4*2+CF8</f>
        <v>57.468167999999999</v>
      </c>
      <c r="CC41" s="109">
        <f>CH4+CF6*SQRT((CD3*2)^2+CD4^2)+CF8</f>
        <v>42.393490608048467</v>
      </c>
      <c r="CD41" s="109">
        <f>CH4+CF6*SQRT(CD3^2+CD4^2)+CF8</f>
        <v>34.77158058134485</v>
      </c>
      <c r="CE41" s="109">
        <f>CH4+CF6*CD4+CF8</f>
        <v>31.734083999999999</v>
      </c>
      <c r="CF41" s="109">
        <f>CH4+CF6*CD3*2+CF8</f>
        <v>31.734083999999999</v>
      </c>
      <c r="CG41" s="109">
        <f>CH4+CF6*CD3+CF8</f>
        <v>18.867041999999998</v>
      </c>
      <c r="CH41" s="109">
        <f>CH4+CF8</f>
        <v>6</v>
      </c>
      <c r="CI41" s="202">
        <f t="shared" si="4"/>
        <v>63.543161162689699</v>
      </c>
      <c r="CJ41" s="109">
        <f>$CF$6*SQRT((CD3*2)^2+(CD4*2)^2)+CF8</f>
        <v>58.543161162689699</v>
      </c>
      <c r="CK41" s="8"/>
      <c r="CL41" s="8"/>
    </row>
    <row r="42" spans="2:104" ht="12" customHeight="1">
      <c r="B42" s="23"/>
      <c r="C42" s="2745" t="str">
        <f t="shared" si="2"/>
        <v/>
      </c>
      <c r="D42" s="2746"/>
      <c r="E42" s="2746"/>
      <c r="F42" s="2746"/>
      <c r="G42" s="2746"/>
      <c r="H42" s="2746"/>
      <c r="I42" s="2746"/>
      <c r="J42" s="2746"/>
      <c r="K42" s="2746"/>
      <c r="L42" s="2746"/>
      <c r="M42" s="2746"/>
      <c r="N42" s="2746"/>
      <c r="O42" s="2746"/>
      <c r="P42" s="2746"/>
      <c r="Q42" s="2746"/>
      <c r="R42" s="2746"/>
      <c r="S42" s="2746"/>
      <c r="T42" s="2746"/>
      <c r="U42" s="2746"/>
      <c r="V42" s="2746"/>
      <c r="W42" s="2746"/>
      <c r="X42" s="2747"/>
      <c r="Y42" s="2779" t="str">
        <f t="shared" si="3"/>
        <v/>
      </c>
      <c r="Z42" s="2756"/>
      <c r="AA42" s="2756"/>
      <c r="AB42" s="2756"/>
      <c r="AC42" s="2756"/>
      <c r="AD42" s="2757"/>
      <c r="AE42" s="104" t="s">
        <v>68</v>
      </c>
      <c r="AF42" s="2758"/>
      <c r="AG42" s="2759"/>
      <c r="AH42" s="2759"/>
      <c r="AI42" s="2759"/>
      <c r="AJ42" s="2759"/>
      <c r="AK42" s="2760"/>
      <c r="AL42" s="2761" t="str">
        <f>IF(Y42="","",VLOOKUP(C42,[7]建物1802!$E$5:$AL$3275,2,FALSE))</f>
        <v/>
      </c>
      <c r="AM42" s="2721"/>
      <c r="AN42" s="2721"/>
      <c r="AO42" s="2722"/>
      <c r="AP42" s="2755" t="str">
        <f>IF(Y42="","",VLOOKUP(C42,[7]建物1802!$E$5:$AL$3275,$BG$28,FALSE))</f>
        <v/>
      </c>
      <c r="AQ42" s="2756"/>
      <c r="AR42" s="2756"/>
      <c r="AS42" s="2756"/>
      <c r="AT42" s="2756"/>
      <c r="AU42" s="2756"/>
      <c r="AV42" s="2757"/>
      <c r="AW42" s="2762" t="str">
        <f t="shared" si="0"/>
        <v/>
      </c>
      <c r="AX42" s="2763"/>
      <c r="AY42" s="2763"/>
      <c r="AZ42" s="2763"/>
      <c r="BA42" s="2763"/>
      <c r="BB42" s="2763"/>
      <c r="BC42" s="2763"/>
      <c r="BD42" s="2763"/>
      <c r="BE42" s="2763"/>
      <c r="BF42" s="2764"/>
      <c r="BG42" s="21"/>
      <c r="BH42" s="2765" t="str">
        <f>IF(Y42="","",VLOOKUP(C42,[7]建物1802!$E$5:$AL$3275,$BG$29,FALSE))</f>
        <v/>
      </c>
      <c r="BI42" s="2766"/>
      <c r="BJ42" s="2766"/>
      <c r="BK42" s="2766"/>
      <c r="BL42" s="2766"/>
      <c r="BM42" s="2767"/>
      <c r="BN42" s="2768" t="str">
        <f t="shared" si="1"/>
        <v/>
      </c>
      <c r="BO42" s="2769"/>
      <c r="BP42" s="2769"/>
      <c r="BQ42" s="2769"/>
      <c r="BR42" s="2769"/>
      <c r="BS42" s="2769"/>
      <c r="BT42" s="2770"/>
      <c r="BU42" s="19"/>
      <c r="BV42" s="94">
        <v>14</v>
      </c>
      <c r="BW42" s="94"/>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row>
    <row r="43" spans="2:104" ht="12" customHeight="1">
      <c r="B43" s="23"/>
      <c r="C43" s="2745" t="str">
        <f t="shared" si="2"/>
        <v/>
      </c>
      <c r="D43" s="2746"/>
      <c r="E43" s="2746"/>
      <c r="F43" s="2746"/>
      <c r="G43" s="2746"/>
      <c r="H43" s="2746"/>
      <c r="I43" s="2746"/>
      <c r="J43" s="2746"/>
      <c r="K43" s="2746"/>
      <c r="L43" s="2746"/>
      <c r="M43" s="2746"/>
      <c r="N43" s="2746"/>
      <c r="O43" s="2746"/>
      <c r="P43" s="2746"/>
      <c r="Q43" s="2746"/>
      <c r="R43" s="2746"/>
      <c r="S43" s="2746"/>
      <c r="T43" s="2746"/>
      <c r="U43" s="2746"/>
      <c r="V43" s="2746"/>
      <c r="W43" s="2746"/>
      <c r="X43" s="2747"/>
      <c r="Y43" s="2779" t="str">
        <f t="shared" si="3"/>
        <v/>
      </c>
      <c r="Z43" s="2756"/>
      <c r="AA43" s="2756"/>
      <c r="AB43" s="2756"/>
      <c r="AC43" s="2756"/>
      <c r="AD43" s="2757"/>
      <c r="AE43" s="104" t="s">
        <v>134</v>
      </c>
      <c r="AF43" s="2758"/>
      <c r="AG43" s="2759"/>
      <c r="AH43" s="2759"/>
      <c r="AI43" s="2759"/>
      <c r="AJ43" s="2759"/>
      <c r="AK43" s="2760"/>
      <c r="AL43" s="2761" t="str">
        <f>IF(Y43="","",VLOOKUP(C43,[7]建物1802!$E$5:$AL$3275,2,FALSE))</f>
        <v/>
      </c>
      <c r="AM43" s="2721"/>
      <c r="AN43" s="2721"/>
      <c r="AO43" s="2722"/>
      <c r="AP43" s="2755" t="str">
        <f>IF(Y43="","",VLOOKUP(C43,[7]建物1802!$E$5:$AL$3275,$BG$28,FALSE))</f>
        <v/>
      </c>
      <c r="AQ43" s="2756"/>
      <c r="AR43" s="2756"/>
      <c r="AS43" s="2756"/>
      <c r="AT43" s="2756"/>
      <c r="AU43" s="2756"/>
      <c r="AV43" s="2757"/>
      <c r="AW43" s="2762" t="str">
        <f t="shared" si="0"/>
        <v/>
      </c>
      <c r="AX43" s="2763"/>
      <c r="AY43" s="2763"/>
      <c r="AZ43" s="2763"/>
      <c r="BA43" s="2763"/>
      <c r="BB43" s="2763"/>
      <c r="BC43" s="2763"/>
      <c r="BD43" s="2763"/>
      <c r="BE43" s="2763"/>
      <c r="BF43" s="2764"/>
      <c r="BG43" s="21"/>
      <c r="BH43" s="2765" t="str">
        <f>IF(Y43="","",VLOOKUP(C43,[7]建物1802!$E$5:$AL$3275,$BG$29,FALSE))</f>
        <v/>
      </c>
      <c r="BI43" s="2766"/>
      <c r="BJ43" s="2766"/>
      <c r="BK43" s="2766"/>
      <c r="BL43" s="2766"/>
      <c r="BM43" s="2767"/>
      <c r="BN43" s="2768" t="str">
        <f t="shared" si="1"/>
        <v/>
      </c>
      <c r="BO43" s="2769"/>
      <c r="BP43" s="2769"/>
      <c r="BQ43" s="2769"/>
      <c r="BR43" s="2769"/>
      <c r="BS43" s="2769"/>
      <c r="BT43" s="2770"/>
      <c r="BU43" s="19"/>
      <c r="BV43" s="94">
        <v>15</v>
      </c>
      <c r="BW43" s="94"/>
      <c r="BX43" s="8"/>
      <c r="BY43" s="8"/>
      <c r="BZ43" s="8"/>
      <c r="CA43" s="8"/>
      <c r="CB43" s="90" t="s">
        <v>14</v>
      </c>
      <c r="CC43" s="8"/>
      <c r="CD43" s="8"/>
      <c r="CE43" s="8"/>
      <c r="CF43" s="8"/>
      <c r="CG43" s="8"/>
      <c r="CH43" s="154"/>
      <c r="CI43" s="55" t="s">
        <v>449</v>
      </c>
      <c r="CJ43" s="45"/>
      <c r="CK43" s="45"/>
      <c r="CL43" s="45"/>
      <c r="CM43" s="45"/>
      <c r="CN43" s="45" t="s">
        <v>448</v>
      </c>
      <c r="CO43" s="45"/>
      <c r="CP43" s="191" t="s">
        <v>447</v>
      </c>
      <c r="CQ43" s="8"/>
      <c r="CR43" s="154"/>
      <c r="CS43" s="55" t="s">
        <v>446</v>
      </c>
      <c r="CT43" s="45"/>
      <c r="CU43" s="45"/>
      <c r="CV43" s="45"/>
      <c r="CW43" s="45"/>
      <c r="CX43" s="45" t="s">
        <v>70</v>
      </c>
      <c r="CY43" s="45"/>
      <c r="CZ43" s="191" t="s">
        <v>69</v>
      </c>
    </row>
    <row r="44" spans="2:104" ht="12" customHeight="1">
      <c r="B44" s="23"/>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771">
        <f>IF(SUM(AW29:BF43)=0,"",SUM(AW29:BF43))</f>
        <v>1156744</v>
      </c>
      <c r="AX44" s="2772"/>
      <c r="AY44" s="2772"/>
      <c r="AZ44" s="2772"/>
      <c r="BA44" s="2772"/>
      <c r="BB44" s="2772"/>
      <c r="BC44" s="2772"/>
      <c r="BD44" s="2772"/>
      <c r="BE44" s="2772"/>
      <c r="BF44" s="2773"/>
      <c r="BG44" s="20"/>
      <c r="BH44" s="20" t="e">
        <v>#REF!</v>
      </c>
      <c r="BI44" s="20"/>
      <c r="BJ44" s="20"/>
      <c r="BK44" s="20"/>
      <c r="BL44" s="20"/>
      <c r="BM44" s="20"/>
      <c r="BN44" s="2774">
        <f>IF(SUM(BN29:BT43)=0,"",SUM(BN29:BT43))</f>
        <v>123.66199999999999</v>
      </c>
      <c r="BO44" s="2775"/>
      <c r="BP44" s="2775"/>
      <c r="BQ44" s="2775"/>
      <c r="BR44" s="2775"/>
      <c r="BS44" s="2775"/>
      <c r="BT44" s="2776"/>
      <c r="BU44" s="19"/>
      <c r="BV44" s="94"/>
      <c r="BW44" s="94"/>
      <c r="BX44" s="435" t="str">
        <f>IF(B2=0,"",IF(AI12="JIS 大","突針 JIS 大型","突針 JIS 中型"))</f>
        <v>突針 JIS 大型</v>
      </c>
      <c r="BY44" s="8"/>
      <c r="BZ44" s="434">
        <f>IF(U10="",0,U10)</f>
        <v>6</v>
      </c>
      <c r="CA44" s="8">
        <f>IF(AB10="",0,AB10)</f>
        <v>1</v>
      </c>
      <c r="CB44" s="88">
        <f>BZ44+CA44</f>
        <v>7</v>
      </c>
      <c r="CC44" s="8"/>
      <c r="CD44" s="280"/>
      <c r="CE44" s="280"/>
      <c r="CF44" s="8"/>
      <c r="CG44" s="8"/>
      <c r="CH44" s="197">
        <f t="shared" ref="CH44:CH63" si="5">IF(CN44&lt;&gt;"",CH43+1,CH43)</f>
        <v>0</v>
      </c>
      <c r="CI44" s="197" t="str">
        <f t="shared" ref="CI44:CI63" si="6">IF(AND(CH44&lt;&gt;"",CN44&lt;&gt;""),CH44,"")</f>
        <v/>
      </c>
      <c r="CJ44" s="201"/>
      <c r="CK44" s="8"/>
      <c r="CL44" s="8"/>
      <c r="CM44" s="8"/>
      <c r="CN44" s="8"/>
      <c r="CO44" s="252"/>
      <c r="CP44" s="32">
        <f t="shared" ref="CP44:CP60" si="7">SUMIF($CJ$44:$CJ$78,CN44,$CO$44:$CO$78)</f>
        <v>0</v>
      </c>
      <c r="CQ44" s="8"/>
      <c r="CR44" s="197">
        <f t="shared" ref="CR44:CR78" si="8">IF(CX44&lt;&gt;"",CR43+1,CR43)</f>
        <v>1</v>
      </c>
      <c r="CS44" s="197">
        <f t="shared" ref="CS44:CS78" si="9">IF(AND(CR44&lt;&gt;"",CX44&lt;&gt;""),CR44,"")</f>
        <v>1</v>
      </c>
      <c r="CT44" s="201" t="str">
        <f>BX44</f>
        <v>突針 JIS 大型</v>
      </c>
      <c r="CU44" s="8"/>
      <c r="CV44" s="8"/>
      <c r="CW44" s="8"/>
      <c r="CX44" s="8" t="str">
        <f>IF(COUNTIF($CT$42:CT43,CT44)&gt;0,"",CT44)</f>
        <v>突針 JIS 大型</v>
      </c>
      <c r="CY44" s="8">
        <f>CB44</f>
        <v>7</v>
      </c>
      <c r="CZ44" s="32">
        <f t="shared" ref="CZ44:CZ78" si="10">SUMIF($CT$44:$CT$78,CX44,$CY$44:$CY$78)</f>
        <v>7</v>
      </c>
    </row>
    <row r="45" spans="2:104" ht="12" customHeight="1">
      <c r="B45" s="23"/>
      <c r="C45" s="2745" t="str">
        <f>IF(OR(BW3=0,Y45=""),"",VLOOKUP(BV45,雷集_2,3,FALSE))</f>
        <v>突針 JIS 大型</v>
      </c>
      <c r="D45" s="2746"/>
      <c r="E45" s="2746"/>
      <c r="F45" s="2746"/>
      <c r="G45" s="2746"/>
      <c r="H45" s="2746"/>
      <c r="I45" s="2746"/>
      <c r="J45" s="2746"/>
      <c r="K45" s="2746"/>
      <c r="L45" s="2746"/>
      <c r="M45" s="2746"/>
      <c r="N45" s="2746"/>
      <c r="O45" s="2746"/>
      <c r="P45" s="2746"/>
      <c r="Q45" s="2746"/>
      <c r="R45" s="2746"/>
      <c r="S45" s="2746"/>
      <c r="T45" s="2746"/>
      <c r="U45" s="2746"/>
      <c r="V45" s="2746"/>
      <c r="W45" s="2746"/>
      <c r="X45" s="2747"/>
      <c r="Y45" s="2755">
        <f>IF(AF45&lt;&gt;"",AF45,IF(BW3=0,"",VLOOKUP(BV45,雷集_2,9,FALSE)))</f>
        <v>7</v>
      </c>
      <c r="Z45" s="2756"/>
      <c r="AA45" s="2756"/>
      <c r="AB45" s="2756"/>
      <c r="AC45" s="2756"/>
      <c r="AD45" s="2757"/>
      <c r="AE45" s="104" t="s">
        <v>68</v>
      </c>
      <c r="AF45" s="2758"/>
      <c r="AG45" s="2759"/>
      <c r="AH45" s="2759"/>
      <c r="AI45" s="2759"/>
      <c r="AJ45" s="2759"/>
      <c r="AK45" s="2760"/>
      <c r="AL45" s="2761" t="str">
        <f>IF(Y45="","",VLOOKUP(C45,[7]建物1802!$E$5:$AL$3275,2,FALSE))</f>
        <v>基</v>
      </c>
      <c r="AM45" s="2721"/>
      <c r="AN45" s="2721"/>
      <c r="AO45" s="2722"/>
      <c r="AP45" s="2755">
        <f>IF(Y45="","",VLOOKUP(C45,[7]建物1802!$E$5:$AL$3275,$BG$28,FALSE))</f>
        <v>12400</v>
      </c>
      <c r="AQ45" s="2756"/>
      <c r="AR45" s="2756"/>
      <c r="AS45" s="2756"/>
      <c r="AT45" s="2756"/>
      <c r="AU45" s="2756"/>
      <c r="AV45" s="2757"/>
      <c r="AW45" s="2762">
        <f t="shared" ref="AW45:AW59" si="11">IF(Y45="","",INT(Y45*AP45))</f>
        <v>86800</v>
      </c>
      <c r="AX45" s="2763"/>
      <c r="AY45" s="2763"/>
      <c r="AZ45" s="2763"/>
      <c r="BA45" s="2763"/>
      <c r="BB45" s="2763"/>
      <c r="BC45" s="2763"/>
      <c r="BD45" s="2763"/>
      <c r="BE45" s="2763"/>
      <c r="BF45" s="2764"/>
      <c r="BG45" s="21"/>
      <c r="BH45" s="2765">
        <f>IF(Y45="","",VLOOKUP(C45,[7]建物1802!$E$5:$AL$3275,$BG$29,FALSE))</f>
        <v>2.7</v>
      </c>
      <c r="BI45" s="2766"/>
      <c r="BJ45" s="2766"/>
      <c r="BK45" s="2766"/>
      <c r="BL45" s="2766"/>
      <c r="BM45" s="2767"/>
      <c r="BN45" s="2768">
        <f t="shared" ref="BN45:BN59" si="12">IF(Y45="","",Y45*BH45)</f>
        <v>18.900000000000002</v>
      </c>
      <c r="BO45" s="2769"/>
      <c r="BP45" s="2769"/>
      <c r="BQ45" s="2769"/>
      <c r="BR45" s="2769"/>
      <c r="BS45" s="2769"/>
      <c r="BT45" s="2770"/>
      <c r="BU45" s="19"/>
      <c r="BV45" s="94">
        <v>1</v>
      </c>
      <c r="BW45" s="94"/>
      <c r="BX45" s="425" t="str">
        <f>IF(OR(CB45="",CB45=0),"",IF(CA45&lt;=4,"支持管 自立型 φ60.5 4m STK",IF(CA45&lt;=5,"支持管 自立型 φ60.5 5m STK",IF(CA45&lt;=6,"支持管 自立型 φ48.6～76.3 6m STK",IF(CA45&lt;=7,"支持管 自立型 φ60.5～89.1 7m STK",IF(CA45&lt;=8,"支持管 自立型 φ76.3～101.6 8m STK",IF(CA45&lt;=10,"支持管 自立型 アルミテーパーポール 10m",IF(CA45&lt;=12,"支持管 自立型 アルミテーパーポール 12m",""))))))))</f>
        <v>支持管 自立型 アルミテーパーポール 12m</v>
      </c>
      <c r="BY45" s="8"/>
      <c r="BZ45" s="8">
        <f>IF(U10="",0,U10)</f>
        <v>6</v>
      </c>
      <c r="CA45" s="433">
        <f>IF(U12="","",U12-CF4-0.5)</f>
        <v>11.04</v>
      </c>
      <c r="CB45" s="88">
        <f>BZ45</f>
        <v>6</v>
      </c>
      <c r="CC45" s="8"/>
      <c r="CD45" s="8"/>
      <c r="CE45" s="8"/>
      <c r="CF45" s="8"/>
      <c r="CG45" s="8"/>
      <c r="CH45" s="197">
        <f t="shared" si="5"/>
        <v>0</v>
      </c>
      <c r="CI45" s="197" t="str">
        <f t="shared" si="6"/>
        <v/>
      </c>
      <c r="CJ45" s="201"/>
      <c r="CK45" s="8"/>
      <c r="CL45" s="8"/>
      <c r="CM45" s="8"/>
      <c r="CN45" s="8"/>
      <c r="CO45" s="252"/>
      <c r="CP45" s="32">
        <f t="shared" si="7"/>
        <v>0</v>
      </c>
      <c r="CQ45" s="8"/>
      <c r="CR45" s="197">
        <f t="shared" si="8"/>
        <v>2</v>
      </c>
      <c r="CS45" s="197">
        <f t="shared" si="9"/>
        <v>2</v>
      </c>
      <c r="CT45" s="201" t="str">
        <f>BX45</f>
        <v>支持管 自立型 アルミテーパーポール 12m</v>
      </c>
      <c r="CU45" s="8"/>
      <c r="CV45" s="8"/>
      <c r="CW45" s="8"/>
      <c r="CX45" s="8" t="str">
        <f>IF(COUNTIF($CT$42:CT44,CT45)&gt;0,"",CT45)</f>
        <v>支持管 自立型 アルミテーパーポール 12m</v>
      </c>
      <c r="CY45" s="8">
        <f>CB45</f>
        <v>6</v>
      </c>
      <c r="CZ45" s="32">
        <f>SUMIF($CT$44:$CT$78,CX45,$CY$44:$CY$78)</f>
        <v>6</v>
      </c>
    </row>
    <row r="46" spans="2:104" ht="12" customHeight="1">
      <c r="B46" s="23"/>
      <c r="C46" s="2745" t="str">
        <f t="shared" ref="C46:C59" si="13">IF(OR($B$2=0,Y46=""),"",VLOOKUP(BV46,雷集_2,3,FALSE))</f>
        <v>支持管 自立型 アルミテーパーポール 12m</v>
      </c>
      <c r="D46" s="2746"/>
      <c r="E46" s="2746"/>
      <c r="F46" s="2746"/>
      <c r="G46" s="2746"/>
      <c r="H46" s="2746"/>
      <c r="I46" s="2746"/>
      <c r="J46" s="2746"/>
      <c r="K46" s="2746"/>
      <c r="L46" s="2746"/>
      <c r="M46" s="2746"/>
      <c r="N46" s="2746"/>
      <c r="O46" s="2746"/>
      <c r="P46" s="2746"/>
      <c r="Q46" s="2746"/>
      <c r="R46" s="2746"/>
      <c r="S46" s="2746"/>
      <c r="T46" s="2746"/>
      <c r="U46" s="2746"/>
      <c r="V46" s="2746"/>
      <c r="W46" s="2746"/>
      <c r="X46" s="2747"/>
      <c r="Y46" s="2755">
        <f t="shared" ref="Y46:Y59" si="14">IF(AF46&lt;&gt;"",AF46,IF(ISNA(VLOOKUP(BV46,雷集_2,9,FALSE)),"",VLOOKUP(BV46,雷集_2,9,FALSE)))</f>
        <v>6</v>
      </c>
      <c r="Z46" s="2756"/>
      <c r="AA46" s="2756"/>
      <c r="AB46" s="2756"/>
      <c r="AC46" s="2756"/>
      <c r="AD46" s="2757"/>
      <c r="AE46" s="104" t="s">
        <v>68</v>
      </c>
      <c r="AF46" s="2758"/>
      <c r="AG46" s="2759"/>
      <c r="AH46" s="2759"/>
      <c r="AI46" s="2759"/>
      <c r="AJ46" s="2759"/>
      <c r="AK46" s="2760"/>
      <c r="AL46" s="2761" t="str">
        <f>IF(Y46="","",VLOOKUP(C46,[7]建物1802!$E$5:$AL$3275,2,FALSE))</f>
        <v>本</v>
      </c>
      <c r="AM46" s="2721"/>
      <c r="AN46" s="2721"/>
      <c r="AO46" s="2722"/>
      <c r="AP46" s="2755">
        <f>IF(Y46="","",VLOOKUP(C46,[7]建物1802!$E$5:$AL$3275,$BG$28,FALSE))</f>
        <v>361000</v>
      </c>
      <c r="AQ46" s="2756"/>
      <c r="AR46" s="2756"/>
      <c r="AS46" s="2756"/>
      <c r="AT46" s="2756"/>
      <c r="AU46" s="2756"/>
      <c r="AV46" s="2757"/>
      <c r="AW46" s="2762">
        <f t="shared" si="11"/>
        <v>2166000</v>
      </c>
      <c r="AX46" s="2763"/>
      <c r="AY46" s="2763"/>
      <c r="AZ46" s="2763"/>
      <c r="BA46" s="2763"/>
      <c r="BB46" s="2763"/>
      <c r="BC46" s="2763"/>
      <c r="BD46" s="2763"/>
      <c r="BE46" s="2763"/>
      <c r="BF46" s="2764"/>
      <c r="BG46" s="21"/>
      <c r="BH46" s="2765">
        <f>IF(Y46="","",VLOOKUP(C46,[7]建物1802!$E$5:$AL$3275,$BG$29,FALSE))</f>
        <v>1.5</v>
      </c>
      <c r="BI46" s="2766"/>
      <c r="BJ46" s="2766"/>
      <c r="BK46" s="2766"/>
      <c r="BL46" s="2766"/>
      <c r="BM46" s="2767"/>
      <c r="BN46" s="2768">
        <f t="shared" si="12"/>
        <v>9</v>
      </c>
      <c r="BO46" s="2769"/>
      <c r="BP46" s="2769"/>
      <c r="BQ46" s="2769"/>
      <c r="BR46" s="2769"/>
      <c r="BS46" s="2769"/>
      <c r="BT46" s="2770"/>
      <c r="BU46" s="19"/>
      <c r="BV46" s="94">
        <v>2</v>
      </c>
      <c r="BW46" s="94"/>
      <c r="BX46" s="425" t="str">
        <f>IF(OR(CB46="",CB46=0),"",IF(CA46&lt;=4,"支持管 自立型 φ60.5 4m STK",IF(CA46&lt;=5,"支持管 自立型 φ60.5 5m STK",IF(CA46&lt;=6,"支持管 自立型 φ48.6～76.3 6m STK",IF(CA46&lt;=7,"支持管 自立型 φ60.5～89.1 7m STK",IF(CA46&lt;=8,"支持管 自立型 φ76.3～101.6 8m STK",IF(CA46&lt;=10,"支持管 自立型 アルミテーパーポール 10m",IF(CA46&lt;=12,"支持管 自立型 アルミテーパーポール 12m",""))))))))</f>
        <v/>
      </c>
      <c r="BY46" s="8"/>
      <c r="BZ46" s="8">
        <f>IF(AB10="","",AB10)</f>
        <v>1</v>
      </c>
      <c r="CA46" s="433">
        <f>IF(AB12="",0,AB12-CF4-0.5)</f>
        <v>30.774083999999998</v>
      </c>
      <c r="CB46" s="88">
        <f>BZ46</f>
        <v>1</v>
      </c>
      <c r="CC46" s="432" t="s">
        <v>445</v>
      </c>
      <c r="CD46" s="55" t="s">
        <v>444</v>
      </c>
      <c r="CE46" s="55" t="s">
        <v>443</v>
      </c>
      <c r="CF46" s="8"/>
      <c r="CG46" s="8"/>
      <c r="CH46" s="197">
        <f t="shared" si="5"/>
        <v>0</v>
      </c>
      <c r="CI46" s="197" t="str">
        <f t="shared" si="6"/>
        <v/>
      </c>
      <c r="CJ46" s="201"/>
      <c r="CK46" s="8"/>
      <c r="CL46" s="8"/>
      <c r="CM46" s="8"/>
      <c r="CN46" s="8"/>
      <c r="CO46" s="252"/>
      <c r="CP46" s="32">
        <f t="shared" si="7"/>
        <v>0</v>
      </c>
      <c r="CQ46" s="8"/>
      <c r="CR46" s="197">
        <f t="shared" si="8"/>
        <v>2</v>
      </c>
      <c r="CS46" s="197" t="str">
        <f t="shared" si="9"/>
        <v/>
      </c>
      <c r="CT46" s="201" t="str">
        <f>BX46</f>
        <v/>
      </c>
      <c r="CU46" s="8"/>
      <c r="CV46" s="8"/>
      <c r="CW46" s="8"/>
      <c r="CX46" s="8" t="str">
        <f>IF(COUNTIF($CT$42:CT45,CT46)&gt;0,"",CT46)</f>
        <v/>
      </c>
      <c r="CY46" s="8">
        <f>CB46</f>
        <v>1</v>
      </c>
      <c r="CZ46" s="32">
        <f>SUMIF($CT$44:$CT$78,CX46,$CY$44:$CY$78)</f>
        <v>13</v>
      </c>
    </row>
    <row r="47" spans="2:104" ht="12" customHeight="1">
      <c r="B47" s="23"/>
      <c r="C47" s="2745" t="str">
        <f t="shared" si="13"/>
        <v>避雷接地用端子箱 TB-SG2A 埋込形</v>
      </c>
      <c r="D47" s="2746"/>
      <c r="E47" s="2746"/>
      <c r="F47" s="2746"/>
      <c r="G47" s="2746"/>
      <c r="H47" s="2746"/>
      <c r="I47" s="2746"/>
      <c r="J47" s="2746"/>
      <c r="K47" s="2746"/>
      <c r="L47" s="2746"/>
      <c r="M47" s="2746"/>
      <c r="N47" s="2746"/>
      <c r="O47" s="2746"/>
      <c r="P47" s="2746"/>
      <c r="Q47" s="2746"/>
      <c r="R47" s="2746"/>
      <c r="S47" s="2746"/>
      <c r="T47" s="2746"/>
      <c r="U47" s="2746"/>
      <c r="V47" s="2746"/>
      <c r="W47" s="2746"/>
      <c r="X47" s="2747"/>
      <c r="Y47" s="2755">
        <f t="shared" si="14"/>
        <v>6</v>
      </c>
      <c r="Z47" s="2756"/>
      <c r="AA47" s="2756"/>
      <c r="AB47" s="2756"/>
      <c r="AC47" s="2756"/>
      <c r="AD47" s="2757"/>
      <c r="AE47" s="104" t="s">
        <v>68</v>
      </c>
      <c r="AF47" s="2758"/>
      <c r="AG47" s="2759"/>
      <c r="AH47" s="2759"/>
      <c r="AI47" s="2759"/>
      <c r="AJ47" s="2759"/>
      <c r="AK47" s="2760"/>
      <c r="AL47" s="2761" t="str">
        <f>IF(Y47="","",VLOOKUP(C47,[7]建物1802!$E$5:$AL$3275,2,FALSE))</f>
        <v>面</v>
      </c>
      <c r="AM47" s="2721"/>
      <c r="AN47" s="2721"/>
      <c r="AO47" s="2722"/>
      <c r="AP47" s="2755">
        <f>IF(Y47="","",VLOOKUP(C47,[7]建物1802!$E$5:$AL$3275,$BG$28,FALSE))</f>
        <v>53200</v>
      </c>
      <c r="AQ47" s="2756"/>
      <c r="AR47" s="2756"/>
      <c r="AS47" s="2756"/>
      <c r="AT47" s="2756"/>
      <c r="AU47" s="2756"/>
      <c r="AV47" s="2757"/>
      <c r="AW47" s="2762">
        <f t="shared" si="11"/>
        <v>319200</v>
      </c>
      <c r="AX47" s="2763"/>
      <c r="AY47" s="2763"/>
      <c r="AZ47" s="2763"/>
      <c r="BA47" s="2763"/>
      <c r="BB47" s="2763"/>
      <c r="BC47" s="2763"/>
      <c r="BD47" s="2763"/>
      <c r="BE47" s="2763"/>
      <c r="BF47" s="2764"/>
      <c r="BG47" s="21"/>
      <c r="BH47" s="2765">
        <f>IF(Y47="","",VLOOKUP(C47,[7]建物1802!$E$5:$AL$3275,$BG$29,FALSE))</f>
        <v>0.6</v>
      </c>
      <c r="BI47" s="2766"/>
      <c r="BJ47" s="2766"/>
      <c r="BK47" s="2766"/>
      <c r="BL47" s="2766"/>
      <c r="BM47" s="2767"/>
      <c r="BN47" s="2768">
        <f t="shared" si="12"/>
        <v>3.5999999999999996</v>
      </c>
      <c r="BO47" s="2769"/>
      <c r="BP47" s="2769"/>
      <c r="BQ47" s="2769"/>
      <c r="BR47" s="2769"/>
      <c r="BS47" s="2769"/>
      <c r="BT47" s="2770"/>
      <c r="BU47" s="19"/>
      <c r="BV47" s="94">
        <v>3</v>
      </c>
      <c r="BW47" s="94"/>
      <c r="BX47" s="10" t="s">
        <v>442</v>
      </c>
      <c r="BY47" s="8"/>
      <c r="BZ47" s="166">
        <f>IF(B2=0,"",IF(N18="笠木",0,2*BZ3*(CC47+1)+2*CA3*(CD47+1)))</f>
        <v>192</v>
      </c>
      <c r="CA47" s="67">
        <f>IF(OR(B2=0,BX3="不要"),0,2*(BZ3+CA3)+(AL8-AA8)*2)</f>
        <v>88</v>
      </c>
      <c r="CB47" s="189">
        <f>IFERROR(BZ47+CA47,"")</f>
        <v>280</v>
      </c>
      <c r="CC47" s="88">
        <f>IFERROR(INT(BZ3/(5*CG6))+1,"")</f>
        <v>1</v>
      </c>
      <c r="CD47" s="88">
        <f>IFERROR(INT(CA3/(5*CG6))+1,"")</f>
        <v>2</v>
      </c>
      <c r="CE47" s="431">
        <f>IFERROR(INT((BZ47+CA47)/0.6)+1,"")</f>
        <v>467</v>
      </c>
      <c r="CF47" s="8"/>
      <c r="CG47" s="8"/>
      <c r="CH47" s="197">
        <f t="shared" si="5"/>
        <v>0</v>
      </c>
      <c r="CI47" s="197" t="str">
        <f t="shared" si="6"/>
        <v/>
      </c>
      <c r="CJ47" s="8"/>
      <c r="CK47" s="8"/>
      <c r="CL47" s="8"/>
      <c r="CM47" s="8"/>
      <c r="CN47" s="8"/>
      <c r="CO47" s="8"/>
      <c r="CP47" s="32">
        <f t="shared" si="7"/>
        <v>0</v>
      </c>
      <c r="CQ47" s="8"/>
      <c r="CR47" s="197">
        <f t="shared" si="8"/>
        <v>2</v>
      </c>
      <c r="CS47" s="197" t="str">
        <f t="shared" si="9"/>
        <v/>
      </c>
      <c r="CT47" s="201"/>
      <c r="CU47" s="8"/>
      <c r="CV47" s="8"/>
      <c r="CW47" s="8"/>
      <c r="CX47" s="8"/>
      <c r="CY47" s="8"/>
      <c r="CZ47" s="32">
        <f t="shared" si="10"/>
        <v>0</v>
      </c>
    </row>
    <row r="48" spans="2:104" ht="12" customHeight="1">
      <c r="B48" s="23"/>
      <c r="C48" s="2745" t="str">
        <f t="shared" si="13"/>
        <v>接地工事 EA-LA</v>
      </c>
      <c r="D48" s="2746"/>
      <c r="E48" s="2746"/>
      <c r="F48" s="2746"/>
      <c r="G48" s="2746"/>
      <c r="H48" s="2746"/>
      <c r="I48" s="2746"/>
      <c r="J48" s="2746"/>
      <c r="K48" s="2746"/>
      <c r="L48" s="2746"/>
      <c r="M48" s="2746"/>
      <c r="N48" s="2746"/>
      <c r="O48" s="2746"/>
      <c r="P48" s="2746"/>
      <c r="Q48" s="2746"/>
      <c r="R48" s="2746"/>
      <c r="S48" s="2746"/>
      <c r="T48" s="2746"/>
      <c r="U48" s="2746"/>
      <c r="V48" s="2746"/>
      <c r="W48" s="2746"/>
      <c r="X48" s="2747"/>
      <c r="Y48" s="2755">
        <f t="shared" si="14"/>
        <v>6</v>
      </c>
      <c r="Z48" s="2756"/>
      <c r="AA48" s="2756"/>
      <c r="AB48" s="2756"/>
      <c r="AC48" s="2756"/>
      <c r="AD48" s="2757"/>
      <c r="AE48" s="104" t="s">
        <v>68</v>
      </c>
      <c r="AF48" s="2758"/>
      <c r="AG48" s="2759"/>
      <c r="AH48" s="2759"/>
      <c r="AI48" s="2759"/>
      <c r="AJ48" s="2759"/>
      <c r="AK48" s="2760"/>
      <c r="AL48" s="2761" t="str">
        <f>IF(Y48="","",VLOOKUP(C48,[7]建物1802!$E$5:$AL$3275,2,FALSE))</f>
        <v>箇所</v>
      </c>
      <c r="AM48" s="2721"/>
      <c r="AN48" s="2721"/>
      <c r="AO48" s="2722"/>
      <c r="AP48" s="2755">
        <f>IF(Y48="","",VLOOKUP(C48,[7]建物1802!$E$5:$AL$3275,$BG$28,FALSE))</f>
        <v>19000</v>
      </c>
      <c r="AQ48" s="2756"/>
      <c r="AR48" s="2756"/>
      <c r="AS48" s="2756"/>
      <c r="AT48" s="2756"/>
      <c r="AU48" s="2756"/>
      <c r="AV48" s="2757"/>
      <c r="AW48" s="2762">
        <f t="shared" si="11"/>
        <v>114000</v>
      </c>
      <c r="AX48" s="2763"/>
      <c r="AY48" s="2763"/>
      <c r="AZ48" s="2763"/>
      <c r="BA48" s="2763"/>
      <c r="BB48" s="2763"/>
      <c r="BC48" s="2763"/>
      <c r="BD48" s="2763"/>
      <c r="BE48" s="2763"/>
      <c r="BF48" s="2764"/>
      <c r="BG48" s="21"/>
      <c r="BH48" s="2765">
        <f>IF(Y48="","",VLOOKUP(C48,[7]建物1802!$E$5:$AL$3275,$BG$29,FALSE))</f>
        <v>3.7330000000000001</v>
      </c>
      <c r="BI48" s="2766"/>
      <c r="BJ48" s="2766"/>
      <c r="BK48" s="2766"/>
      <c r="BL48" s="2766"/>
      <c r="BM48" s="2767"/>
      <c r="BN48" s="2768">
        <f t="shared" si="12"/>
        <v>22.398</v>
      </c>
      <c r="BO48" s="2769"/>
      <c r="BP48" s="2769"/>
      <c r="BQ48" s="2769"/>
      <c r="BR48" s="2769"/>
      <c r="BS48" s="2769"/>
      <c r="BT48" s="2770"/>
      <c r="BU48" s="19"/>
      <c r="BV48" s="94">
        <v>4</v>
      </c>
      <c r="BW48" s="94"/>
      <c r="BX48" s="10" t="s">
        <v>441</v>
      </c>
      <c r="BY48" s="8"/>
      <c r="BZ48" s="67">
        <f>IF(B2=0,"",IF(N18="笠木",0,2*BZ8*(CC48+1)+2*CA8*(CD48+1)))</f>
        <v>192</v>
      </c>
      <c r="CA48" s="67">
        <f>IFERROR((BZ8+CA8)*4,"")</f>
        <v>144</v>
      </c>
      <c r="CB48" s="189">
        <f>IFERROR(BZ48+CA48,"")</f>
        <v>336</v>
      </c>
      <c r="CC48" s="88">
        <f>IFERROR(INT(BZ8/(5*CG6))+1,"")</f>
        <v>1</v>
      </c>
      <c r="CD48" s="88">
        <f>IFERROR(INT(CA8/(5*CG6))+1,"")</f>
        <v>2</v>
      </c>
      <c r="CE48" s="431">
        <f>IFERROR(INT((BZ48+CA48)/0.6)+1,"")</f>
        <v>561</v>
      </c>
      <c r="CF48" s="8"/>
      <c r="CG48" s="8"/>
      <c r="CH48" s="197">
        <f t="shared" si="5"/>
        <v>0</v>
      </c>
      <c r="CI48" s="197" t="str">
        <f t="shared" si="6"/>
        <v/>
      </c>
      <c r="CJ48" s="8"/>
      <c r="CK48" s="8"/>
      <c r="CL48" s="8"/>
      <c r="CM48" s="8"/>
      <c r="CN48" s="8"/>
      <c r="CO48" s="8"/>
      <c r="CP48" s="32">
        <f t="shared" si="7"/>
        <v>0</v>
      </c>
      <c r="CQ48" s="8"/>
      <c r="CR48" s="197">
        <f t="shared" si="8"/>
        <v>2</v>
      </c>
      <c r="CS48" s="197" t="str">
        <f t="shared" si="9"/>
        <v/>
      </c>
      <c r="CT48" s="201"/>
      <c r="CU48" s="8"/>
      <c r="CV48" s="8"/>
      <c r="CW48" s="8"/>
      <c r="CX48" s="8"/>
      <c r="CY48" s="8"/>
      <c r="CZ48" s="32">
        <f t="shared" si="10"/>
        <v>0</v>
      </c>
    </row>
    <row r="49" spans="2:104" ht="12" customHeight="1">
      <c r="B49" s="23"/>
      <c r="C49" s="2745" t="str">
        <f t="shared" si="13"/>
        <v>接地工事 Ep,Ec</v>
      </c>
      <c r="D49" s="2746"/>
      <c r="E49" s="2746"/>
      <c r="F49" s="2746"/>
      <c r="G49" s="2746"/>
      <c r="H49" s="2746"/>
      <c r="I49" s="2746"/>
      <c r="J49" s="2746"/>
      <c r="K49" s="2746"/>
      <c r="L49" s="2746"/>
      <c r="M49" s="2746"/>
      <c r="N49" s="2746"/>
      <c r="O49" s="2746"/>
      <c r="P49" s="2746"/>
      <c r="Q49" s="2746"/>
      <c r="R49" s="2746"/>
      <c r="S49" s="2746"/>
      <c r="T49" s="2746"/>
      <c r="U49" s="2746"/>
      <c r="V49" s="2746"/>
      <c r="W49" s="2746"/>
      <c r="X49" s="2747"/>
      <c r="Y49" s="2755">
        <f t="shared" si="14"/>
        <v>12</v>
      </c>
      <c r="Z49" s="2756"/>
      <c r="AA49" s="2756"/>
      <c r="AB49" s="2756"/>
      <c r="AC49" s="2756"/>
      <c r="AD49" s="2757"/>
      <c r="AE49" s="104" t="s">
        <v>68</v>
      </c>
      <c r="AF49" s="2758"/>
      <c r="AG49" s="2759"/>
      <c r="AH49" s="2759"/>
      <c r="AI49" s="2759"/>
      <c r="AJ49" s="2759"/>
      <c r="AK49" s="2760"/>
      <c r="AL49" s="2761" t="str">
        <f>IF(Y49="","",VLOOKUP(C49,[7]建物1802!$E$5:$AL$3275,2,FALSE))</f>
        <v>箇所</v>
      </c>
      <c r="AM49" s="2721"/>
      <c r="AN49" s="2721"/>
      <c r="AO49" s="2722"/>
      <c r="AP49" s="2755">
        <f>IF(Y49="","",VLOOKUP(C49,[7]建物1802!$E$5:$AL$3275,$BG$28,FALSE))</f>
        <v>720</v>
      </c>
      <c r="AQ49" s="2756"/>
      <c r="AR49" s="2756"/>
      <c r="AS49" s="2756"/>
      <c r="AT49" s="2756"/>
      <c r="AU49" s="2756"/>
      <c r="AV49" s="2757"/>
      <c r="AW49" s="2762">
        <f t="shared" si="11"/>
        <v>8640</v>
      </c>
      <c r="AX49" s="2763"/>
      <c r="AY49" s="2763"/>
      <c r="AZ49" s="2763"/>
      <c r="BA49" s="2763"/>
      <c r="BB49" s="2763"/>
      <c r="BC49" s="2763"/>
      <c r="BD49" s="2763"/>
      <c r="BE49" s="2763"/>
      <c r="BF49" s="2764"/>
      <c r="BG49" s="21"/>
      <c r="BH49" s="2765">
        <f>IF(Y49="","",VLOOKUP(C49,[7]建物1802!$E$5:$AL$3275,$BG$29,FALSE))</f>
        <v>0.183</v>
      </c>
      <c r="BI49" s="2766"/>
      <c r="BJ49" s="2766"/>
      <c r="BK49" s="2766"/>
      <c r="BL49" s="2766"/>
      <c r="BM49" s="2767"/>
      <c r="BN49" s="2768">
        <f t="shared" si="12"/>
        <v>2.1959999999999997</v>
      </c>
      <c r="BO49" s="2769"/>
      <c r="BP49" s="2769"/>
      <c r="BQ49" s="2769"/>
      <c r="BR49" s="2769"/>
      <c r="BS49" s="2769"/>
      <c r="BT49" s="2770"/>
      <c r="BU49" s="19"/>
      <c r="BV49" s="94">
        <v>5</v>
      </c>
      <c r="BW49" s="94"/>
      <c r="BX49" s="10" t="s">
        <v>440</v>
      </c>
      <c r="BY49" s="8"/>
      <c r="BZ49" s="24">
        <f>AB20</f>
        <v>6</v>
      </c>
      <c r="CA49" s="67">
        <f>IF(OR(B3="",J16="簡 略 法"),0,AA8*BZ49)</f>
        <v>0</v>
      </c>
      <c r="CB49" s="189">
        <f>IFERROR(CA49+(BZ6+CA6-BZ3-CA3)/4,"")</f>
        <v>6.4499999999999993</v>
      </c>
      <c r="CC49" s="8"/>
      <c r="CD49" s="8"/>
      <c r="CE49" s="431">
        <f>IF(B3="",0,INT((BZ49+CA49)/0.6)+1)</f>
        <v>11</v>
      </c>
      <c r="CF49" s="8"/>
      <c r="CG49" s="8"/>
      <c r="CH49" s="197">
        <f t="shared" si="5"/>
        <v>0</v>
      </c>
      <c r="CI49" s="197" t="str">
        <f t="shared" si="6"/>
        <v/>
      </c>
      <c r="CJ49" s="8"/>
      <c r="CK49" s="8"/>
      <c r="CL49" s="8"/>
      <c r="CM49" s="8"/>
      <c r="CN49" s="8"/>
      <c r="CO49" s="8"/>
      <c r="CP49" s="32">
        <f t="shared" si="7"/>
        <v>0</v>
      </c>
      <c r="CQ49" s="8"/>
      <c r="CR49" s="197">
        <f t="shared" si="8"/>
        <v>2</v>
      </c>
      <c r="CS49" s="197" t="str">
        <f t="shared" si="9"/>
        <v/>
      </c>
      <c r="CT49" s="201"/>
      <c r="CU49" s="8"/>
      <c r="CV49" s="8"/>
      <c r="CW49" s="8"/>
      <c r="CX49" s="8"/>
      <c r="CY49" s="8"/>
      <c r="CZ49" s="32">
        <f t="shared" si="10"/>
        <v>0</v>
      </c>
    </row>
    <row r="50" spans="2:104" ht="12" customHeight="1">
      <c r="B50" s="23"/>
      <c r="C50" s="2745" t="str">
        <f t="shared" si="13"/>
        <v/>
      </c>
      <c r="D50" s="2746"/>
      <c r="E50" s="2746"/>
      <c r="F50" s="2746"/>
      <c r="G50" s="2746"/>
      <c r="H50" s="2746"/>
      <c r="I50" s="2746"/>
      <c r="J50" s="2746"/>
      <c r="K50" s="2746"/>
      <c r="L50" s="2746"/>
      <c r="M50" s="2746"/>
      <c r="N50" s="2746"/>
      <c r="O50" s="2746"/>
      <c r="P50" s="2746"/>
      <c r="Q50" s="2746"/>
      <c r="R50" s="2746"/>
      <c r="S50" s="2746"/>
      <c r="T50" s="2746"/>
      <c r="U50" s="2746"/>
      <c r="V50" s="2746"/>
      <c r="W50" s="2746"/>
      <c r="X50" s="2747"/>
      <c r="Y50" s="2755" t="str">
        <f t="shared" si="14"/>
        <v/>
      </c>
      <c r="Z50" s="2756"/>
      <c r="AA50" s="2756"/>
      <c r="AB50" s="2756"/>
      <c r="AC50" s="2756"/>
      <c r="AD50" s="2757"/>
      <c r="AE50" s="104" t="s">
        <v>68</v>
      </c>
      <c r="AF50" s="2758"/>
      <c r="AG50" s="2759"/>
      <c r="AH50" s="2759"/>
      <c r="AI50" s="2759"/>
      <c r="AJ50" s="2759"/>
      <c r="AK50" s="2760"/>
      <c r="AL50" s="2761" t="str">
        <f>IF(Y50="","",VLOOKUP(C50,[7]建物1802!$E$5:$AL$3275,2,FALSE))</f>
        <v/>
      </c>
      <c r="AM50" s="2721"/>
      <c r="AN50" s="2721"/>
      <c r="AO50" s="2722"/>
      <c r="AP50" s="2755" t="str">
        <f>IF(Y50="","",VLOOKUP(C50,[7]建物1802!$E$5:$AL$3275,$BG$28,FALSE))</f>
        <v/>
      </c>
      <c r="AQ50" s="2756"/>
      <c r="AR50" s="2756"/>
      <c r="AS50" s="2756"/>
      <c r="AT50" s="2756"/>
      <c r="AU50" s="2756"/>
      <c r="AV50" s="2757"/>
      <c r="AW50" s="2762" t="str">
        <f t="shared" si="11"/>
        <v/>
      </c>
      <c r="AX50" s="2763"/>
      <c r="AY50" s="2763"/>
      <c r="AZ50" s="2763"/>
      <c r="BA50" s="2763"/>
      <c r="BB50" s="2763"/>
      <c r="BC50" s="2763"/>
      <c r="BD50" s="2763"/>
      <c r="BE50" s="2763"/>
      <c r="BF50" s="2764"/>
      <c r="BG50" s="21"/>
      <c r="BH50" s="2765" t="str">
        <f>IF(Y50="","",VLOOKUP(C50,[7]建物1802!$E$5:$AL$3275,$BG$29,FALSE))</f>
        <v/>
      </c>
      <c r="BI50" s="2766"/>
      <c r="BJ50" s="2766"/>
      <c r="BK50" s="2766"/>
      <c r="BL50" s="2766"/>
      <c r="BM50" s="2767"/>
      <c r="BN50" s="2768" t="str">
        <f t="shared" si="12"/>
        <v/>
      </c>
      <c r="BO50" s="2769"/>
      <c r="BP50" s="2769"/>
      <c r="BQ50" s="2769"/>
      <c r="BR50" s="2769"/>
      <c r="BS50" s="2769"/>
      <c r="BT50" s="2770"/>
      <c r="BU50" s="19"/>
      <c r="BV50" s="94">
        <v>6</v>
      </c>
      <c r="BW50" s="94"/>
      <c r="BX50" s="10" t="s">
        <v>439</v>
      </c>
      <c r="BY50" s="8"/>
      <c r="BZ50" s="67"/>
      <c r="CA50" s="67"/>
      <c r="CB50" s="189">
        <f>IFERROR(O20+3*AB20,"")</f>
        <v>269.2</v>
      </c>
      <c r="CC50" s="8"/>
      <c r="CD50" s="218"/>
      <c r="CE50" s="229"/>
      <c r="CF50" s="8"/>
      <c r="CG50" s="8"/>
      <c r="CH50" s="197">
        <f t="shared" si="5"/>
        <v>0</v>
      </c>
      <c r="CI50" s="197" t="str">
        <f t="shared" si="6"/>
        <v/>
      </c>
      <c r="CJ50" s="8"/>
      <c r="CK50" s="8"/>
      <c r="CL50" s="8"/>
      <c r="CM50" s="8"/>
      <c r="CN50" s="8"/>
      <c r="CO50" s="8"/>
      <c r="CP50" s="32">
        <f t="shared" si="7"/>
        <v>0</v>
      </c>
      <c r="CQ50" s="8"/>
      <c r="CR50" s="197">
        <f t="shared" si="8"/>
        <v>2</v>
      </c>
      <c r="CS50" s="197" t="str">
        <f t="shared" si="9"/>
        <v/>
      </c>
      <c r="CT50" s="201"/>
      <c r="CU50" s="8"/>
      <c r="CV50" s="8"/>
      <c r="CW50" s="8"/>
      <c r="CX50" s="8"/>
      <c r="CY50" s="8"/>
      <c r="CZ50" s="32">
        <f t="shared" si="10"/>
        <v>0</v>
      </c>
    </row>
    <row r="51" spans="2:104" ht="12" customHeight="1">
      <c r="B51" s="23"/>
      <c r="C51" s="2745" t="str">
        <f t="shared" si="13"/>
        <v/>
      </c>
      <c r="D51" s="2746"/>
      <c r="E51" s="2746"/>
      <c r="F51" s="2746"/>
      <c r="G51" s="2746"/>
      <c r="H51" s="2746"/>
      <c r="I51" s="2746"/>
      <c r="J51" s="2746"/>
      <c r="K51" s="2746"/>
      <c r="L51" s="2746"/>
      <c r="M51" s="2746"/>
      <c r="N51" s="2746"/>
      <c r="O51" s="2746"/>
      <c r="P51" s="2746"/>
      <c r="Q51" s="2746"/>
      <c r="R51" s="2746"/>
      <c r="S51" s="2746"/>
      <c r="T51" s="2746"/>
      <c r="U51" s="2746"/>
      <c r="V51" s="2746"/>
      <c r="W51" s="2746"/>
      <c r="X51" s="2747"/>
      <c r="Y51" s="2755" t="str">
        <f t="shared" si="14"/>
        <v/>
      </c>
      <c r="Z51" s="2756"/>
      <c r="AA51" s="2756"/>
      <c r="AB51" s="2756"/>
      <c r="AC51" s="2756"/>
      <c r="AD51" s="2757"/>
      <c r="AE51" s="104" t="s">
        <v>68</v>
      </c>
      <c r="AF51" s="2758"/>
      <c r="AG51" s="2759"/>
      <c r="AH51" s="2759"/>
      <c r="AI51" s="2759"/>
      <c r="AJ51" s="2759"/>
      <c r="AK51" s="2760"/>
      <c r="AL51" s="2761" t="str">
        <f>IF(Y51="","",VLOOKUP(C51,[7]建物1802!$E$5:$AL$3275,2,FALSE))</f>
        <v/>
      </c>
      <c r="AM51" s="2721"/>
      <c r="AN51" s="2721"/>
      <c r="AO51" s="2722"/>
      <c r="AP51" s="2755" t="str">
        <f>IF(Y51="","",VLOOKUP(C51,[7]建物1802!$E$5:$AL$3275,$BG$28,FALSE))</f>
        <v/>
      </c>
      <c r="AQ51" s="2756"/>
      <c r="AR51" s="2756"/>
      <c r="AS51" s="2756"/>
      <c r="AT51" s="2756"/>
      <c r="AU51" s="2756"/>
      <c r="AV51" s="2757"/>
      <c r="AW51" s="2762" t="str">
        <f t="shared" si="11"/>
        <v/>
      </c>
      <c r="AX51" s="2763"/>
      <c r="AY51" s="2763"/>
      <c r="AZ51" s="2763"/>
      <c r="BA51" s="2763"/>
      <c r="BB51" s="2763"/>
      <c r="BC51" s="2763"/>
      <c r="BD51" s="2763"/>
      <c r="BE51" s="2763"/>
      <c r="BF51" s="2764"/>
      <c r="BG51" s="21"/>
      <c r="BH51" s="2765" t="str">
        <f>IF(Y51="","",VLOOKUP(C51,[7]建物1802!$E$5:$AL$3275,$BG$29,FALSE))</f>
        <v/>
      </c>
      <c r="BI51" s="2766"/>
      <c r="BJ51" s="2766"/>
      <c r="BK51" s="2766"/>
      <c r="BL51" s="2766"/>
      <c r="BM51" s="2767"/>
      <c r="BN51" s="2768" t="str">
        <f t="shared" si="12"/>
        <v/>
      </c>
      <c r="BO51" s="2769"/>
      <c r="BP51" s="2769"/>
      <c r="BQ51" s="2769"/>
      <c r="BR51" s="2769"/>
      <c r="BS51" s="2769"/>
      <c r="BT51" s="2770"/>
      <c r="BU51" s="19"/>
      <c r="BV51" s="94">
        <v>7</v>
      </c>
      <c r="BW51" s="94"/>
      <c r="BX51" s="10" t="str">
        <f>IF(B2=0,"",IF(Y18="13/2.0mm","避雷導線 13/2.0",IF(Y18="19/2.0mm","避雷導線 19/2.0")))</f>
        <v>避雷導線 13/2.0</v>
      </c>
      <c r="BY51" s="8"/>
      <c r="BZ51" s="67"/>
      <c r="CA51" s="218" t="s">
        <v>438</v>
      </c>
      <c r="CB51" s="189">
        <f>INT(SUM(CB47:CB50))</f>
        <v>891</v>
      </c>
      <c r="CC51" s="90"/>
      <c r="CD51" s="218"/>
      <c r="CE51" s="101"/>
      <c r="CF51" s="8"/>
      <c r="CG51" s="8"/>
      <c r="CH51" s="197">
        <f t="shared" si="5"/>
        <v>1</v>
      </c>
      <c r="CI51" s="197">
        <f t="shared" si="6"/>
        <v>1</v>
      </c>
      <c r="CJ51" s="201" t="str">
        <f t="shared" ref="CJ51:CJ60" si="15">BX51</f>
        <v>避雷導線 13/2.0</v>
      </c>
      <c r="CK51" s="8"/>
      <c r="CL51" s="8"/>
      <c r="CM51" s="8"/>
      <c r="CN51" s="8" t="str">
        <f>IF(COUNTIF(CJ$42:$CJ50,CJ51)&gt;0,"",CJ51)</f>
        <v>避雷導線 13/2.0</v>
      </c>
      <c r="CO51" s="26">
        <f t="shared" ref="CO51:CO60" si="16">CB51</f>
        <v>891</v>
      </c>
      <c r="CP51" s="32">
        <f t="shared" si="7"/>
        <v>891</v>
      </c>
      <c r="CQ51" s="8"/>
      <c r="CR51" s="197">
        <f t="shared" si="8"/>
        <v>2</v>
      </c>
      <c r="CS51" s="197" t="str">
        <f t="shared" si="9"/>
        <v/>
      </c>
      <c r="CT51" s="201"/>
      <c r="CU51" s="8"/>
      <c r="CV51" s="8"/>
      <c r="CW51" s="8"/>
      <c r="CX51" s="8"/>
      <c r="CY51" s="8"/>
      <c r="CZ51" s="32">
        <f t="shared" si="10"/>
        <v>0</v>
      </c>
    </row>
    <row r="52" spans="2:104" ht="12" customHeight="1">
      <c r="B52" s="23"/>
      <c r="C52" s="2745" t="str">
        <f t="shared" si="13"/>
        <v/>
      </c>
      <c r="D52" s="2746"/>
      <c r="E52" s="2746"/>
      <c r="F52" s="2746"/>
      <c r="G52" s="2746"/>
      <c r="H52" s="2746"/>
      <c r="I52" s="2746"/>
      <c r="J52" s="2746"/>
      <c r="K52" s="2746"/>
      <c r="L52" s="2746"/>
      <c r="M52" s="2746"/>
      <c r="N52" s="2746"/>
      <c r="O52" s="2746"/>
      <c r="P52" s="2746"/>
      <c r="Q52" s="2746"/>
      <c r="R52" s="2746"/>
      <c r="S52" s="2746"/>
      <c r="T52" s="2746"/>
      <c r="U52" s="2746"/>
      <c r="V52" s="2746"/>
      <c r="W52" s="2746"/>
      <c r="X52" s="2747"/>
      <c r="Y52" s="2755" t="str">
        <f t="shared" si="14"/>
        <v/>
      </c>
      <c r="Z52" s="2756"/>
      <c r="AA52" s="2756"/>
      <c r="AB52" s="2756"/>
      <c r="AC52" s="2756"/>
      <c r="AD52" s="2757"/>
      <c r="AE52" s="104" t="s">
        <v>68</v>
      </c>
      <c r="AF52" s="2758"/>
      <c r="AG52" s="2759"/>
      <c r="AH52" s="2759"/>
      <c r="AI52" s="2759"/>
      <c r="AJ52" s="2759"/>
      <c r="AK52" s="2760"/>
      <c r="AL52" s="2761" t="str">
        <f>IF(Y52="","",VLOOKUP(C52,[7]建物1802!$E$5:$AL$3275,2,FALSE))</f>
        <v/>
      </c>
      <c r="AM52" s="2721"/>
      <c r="AN52" s="2721"/>
      <c r="AO52" s="2722"/>
      <c r="AP52" s="2755" t="str">
        <f>IF(Y52="","",VLOOKUP(C52,[7]建物1802!$E$5:$AL$3275,$BG$28,FALSE))</f>
        <v/>
      </c>
      <c r="AQ52" s="2756"/>
      <c r="AR52" s="2756"/>
      <c r="AS52" s="2756"/>
      <c r="AT52" s="2756"/>
      <c r="AU52" s="2756"/>
      <c r="AV52" s="2757"/>
      <c r="AW52" s="2762" t="str">
        <f t="shared" si="11"/>
        <v/>
      </c>
      <c r="AX52" s="2763"/>
      <c r="AY52" s="2763"/>
      <c r="AZ52" s="2763"/>
      <c r="BA52" s="2763"/>
      <c r="BB52" s="2763"/>
      <c r="BC52" s="2763"/>
      <c r="BD52" s="2763"/>
      <c r="BE52" s="2763"/>
      <c r="BF52" s="2764"/>
      <c r="BG52" s="21"/>
      <c r="BH52" s="2765" t="str">
        <f>IF(Y52="","",VLOOKUP(C52,[7]建物1802!$E$5:$AL$3275,$BG$29,FALSE))</f>
        <v/>
      </c>
      <c r="BI52" s="2766"/>
      <c r="BJ52" s="2766"/>
      <c r="BK52" s="2766"/>
      <c r="BL52" s="2766"/>
      <c r="BM52" s="2767"/>
      <c r="BN52" s="2768" t="str">
        <f t="shared" si="12"/>
        <v/>
      </c>
      <c r="BO52" s="2769"/>
      <c r="BP52" s="2769"/>
      <c r="BQ52" s="2769"/>
      <c r="BR52" s="2769"/>
      <c r="BS52" s="2769"/>
      <c r="BT52" s="2770"/>
      <c r="BU52" s="19"/>
      <c r="BV52" s="94">
        <v>8</v>
      </c>
      <c r="BW52" s="94"/>
      <c r="BX52" s="10" t="str">
        <f>IF(B2=0,"",IF(OR(CB52="",CB52=0),"","IV-5.5sq"))</f>
        <v>IV-5.5sq</v>
      </c>
      <c r="BY52" s="8"/>
      <c r="BZ52" s="67"/>
      <c r="CA52" s="218"/>
      <c r="CB52" s="189">
        <f>IFERROR(CB62*30,"")</f>
        <v>180</v>
      </c>
      <c r="CC52" s="90"/>
      <c r="CD52" s="218"/>
      <c r="CE52" s="209"/>
      <c r="CF52" s="8"/>
      <c r="CG52" s="8"/>
      <c r="CH52" s="197">
        <f t="shared" si="5"/>
        <v>2</v>
      </c>
      <c r="CI52" s="197">
        <f t="shared" si="6"/>
        <v>2</v>
      </c>
      <c r="CJ52" s="201" t="str">
        <f t="shared" si="15"/>
        <v>IV-5.5sq</v>
      </c>
      <c r="CK52" s="8"/>
      <c r="CL52" s="8"/>
      <c r="CM52" s="8"/>
      <c r="CN52" s="8" t="str">
        <f>IF(COUNTIF(CJ$42:$CJ51,CJ52)&gt;0,"",CJ52)</f>
        <v>IV-5.5sq</v>
      </c>
      <c r="CO52" s="252">
        <f t="shared" si="16"/>
        <v>180</v>
      </c>
      <c r="CP52" s="32">
        <f t="shared" si="7"/>
        <v>180</v>
      </c>
      <c r="CQ52" s="8"/>
      <c r="CR52" s="197">
        <f t="shared" si="8"/>
        <v>2</v>
      </c>
      <c r="CS52" s="197" t="str">
        <f t="shared" si="9"/>
        <v/>
      </c>
      <c r="CT52" s="201"/>
      <c r="CU52" s="8"/>
      <c r="CV52" s="8"/>
      <c r="CW52" s="8"/>
      <c r="CX52" s="8"/>
      <c r="CY52" s="8"/>
      <c r="CZ52" s="32">
        <f t="shared" si="10"/>
        <v>0</v>
      </c>
    </row>
    <row r="53" spans="2:104" ht="12" customHeight="1">
      <c r="B53" s="23"/>
      <c r="C53" s="2745" t="str">
        <f t="shared" si="13"/>
        <v/>
      </c>
      <c r="D53" s="2746"/>
      <c r="E53" s="2746"/>
      <c r="F53" s="2746"/>
      <c r="G53" s="2746"/>
      <c r="H53" s="2746"/>
      <c r="I53" s="2746"/>
      <c r="J53" s="2746"/>
      <c r="K53" s="2746"/>
      <c r="L53" s="2746"/>
      <c r="M53" s="2746"/>
      <c r="N53" s="2746"/>
      <c r="O53" s="2746"/>
      <c r="P53" s="2746"/>
      <c r="Q53" s="2746"/>
      <c r="R53" s="2746"/>
      <c r="S53" s="2746"/>
      <c r="T53" s="2746"/>
      <c r="U53" s="2746"/>
      <c r="V53" s="2746"/>
      <c r="W53" s="2746"/>
      <c r="X53" s="2747"/>
      <c r="Y53" s="2755" t="str">
        <f t="shared" si="14"/>
        <v/>
      </c>
      <c r="Z53" s="2756"/>
      <c r="AA53" s="2756"/>
      <c r="AB53" s="2756"/>
      <c r="AC53" s="2756"/>
      <c r="AD53" s="2757"/>
      <c r="AE53" s="104" t="s">
        <v>68</v>
      </c>
      <c r="AF53" s="2758"/>
      <c r="AG53" s="2759"/>
      <c r="AH53" s="2759"/>
      <c r="AI53" s="2759"/>
      <c r="AJ53" s="2759"/>
      <c r="AK53" s="2760"/>
      <c r="AL53" s="2761" t="str">
        <f>IF(Y53="","",VLOOKUP(C53,[7]建物1802!$E$5:$AL$3275,2,FALSE))</f>
        <v/>
      </c>
      <c r="AM53" s="2721"/>
      <c r="AN53" s="2721"/>
      <c r="AO53" s="2722"/>
      <c r="AP53" s="2755" t="str">
        <f>IF(Y53="","",VLOOKUP(C53,[7]建物1802!$E$5:$AL$3275,$BG$28,FALSE))</f>
        <v/>
      </c>
      <c r="AQ53" s="2756"/>
      <c r="AR53" s="2756"/>
      <c r="AS53" s="2756"/>
      <c r="AT53" s="2756"/>
      <c r="AU53" s="2756"/>
      <c r="AV53" s="2757"/>
      <c r="AW53" s="2762" t="str">
        <f t="shared" si="11"/>
        <v/>
      </c>
      <c r="AX53" s="2763"/>
      <c r="AY53" s="2763"/>
      <c r="AZ53" s="2763"/>
      <c r="BA53" s="2763"/>
      <c r="BB53" s="2763"/>
      <c r="BC53" s="2763"/>
      <c r="BD53" s="2763"/>
      <c r="BE53" s="2763"/>
      <c r="BF53" s="2764"/>
      <c r="BG53" s="21"/>
      <c r="BH53" s="2765" t="str">
        <f>IF(Y53="","",VLOOKUP(C53,[7]建物1802!$E$5:$AL$3275,$BG$29,FALSE))</f>
        <v/>
      </c>
      <c r="BI53" s="2766"/>
      <c r="BJ53" s="2766"/>
      <c r="BK53" s="2766"/>
      <c r="BL53" s="2766"/>
      <c r="BM53" s="2767"/>
      <c r="BN53" s="2768" t="str">
        <f t="shared" si="12"/>
        <v/>
      </c>
      <c r="BO53" s="2769"/>
      <c r="BP53" s="2769"/>
      <c r="BQ53" s="2769"/>
      <c r="BR53" s="2769"/>
      <c r="BS53" s="2769"/>
      <c r="BT53" s="2770"/>
      <c r="BU53" s="19"/>
      <c r="BV53" s="94">
        <v>9</v>
      </c>
      <c r="BW53" s="94"/>
      <c r="BX53" s="10" t="str">
        <f>IF(OR(CB53="",CB53=0),"",IF(AQ18="40mmsq","導体取付金物 露出 40mmsq",IF(AQ18="60mmsq","導体取付金物 露出 60mmsq","")))</f>
        <v>導体取付金物 露出 40mmsq</v>
      </c>
      <c r="BY53" s="8"/>
      <c r="BZ53" s="67"/>
      <c r="CA53" s="218"/>
      <c r="CB53" s="189">
        <f>CE53</f>
        <v>1039</v>
      </c>
      <c r="CC53" s="90" t="s">
        <v>437</v>
      </c>
      <c r="CD53" s="90" t="s">
        <v>436</v>
      </c>
      <c r="CE53" s="184">
        <f>SUM(CE47:CE49)</f>
        <v>1039</v>
      </c>
      <c r="CF53" s="430" t="s">
        <v>435</v>
      </c>
      <c r="CG53" s="8"/>
      <c r="CH53" s="197">
        <f t="shared" si="5"/>
        <v>3</v>
      </c>
      <c r="CI53" s="197">
        <f t="shared" si="6"/>
        <v>3</v>
      </c>
      <c r="CJ53" s="201" t="str">
        <f t="shared" si="15"/>
        <v>導体取付金物 露出 40mmsq</v>
      </c>
      <c r="CK53" s="8"/>
      <c r="CL53" s="8"/>
      <c r="CM53" s="8"/>
      <c r="CN53" s="8" t="str">
        <f>IF(COUNTIF(CJ$42:$CJ51,CJ53)&gt;0,"",CJ53)</f>
        <v>導体取付金物 露出 40mmsq</v>
      </c>
      <c r="CO53" s="26">
        <f t="shared" si="16"/>
        <v>1039</v>
      </c>
      <c r="CP53" s="32">
        <f t="shared" si="7"/>
        <v>1039</v>
      </c>
      <c r="CQ53" s="8"/>
      <c r="CR53" s="197">
        <f t="shared" si="8"/>
        <v>2</v>
      </c>
      <c r="CS53" s="197" t="str">
        <f t="shared" si="9"/>
        <v/>
      </c>
      <c r="CT53" s="201"/>
      <c r="CU53" s="8"/>
      <c r="CV53" s="8"/>
      <c r="CW53" s="8"/>
      <c r="CX53" s="8"/>
      <c r="CY53" s="8"/>
      <c r="CZ53" s="32">
        <f t="shared" si="10"/>
        <v>0</v>
      </c>
    </row>
    <row r="54" spans="2:104" ht="12" customHeight="1">
      <c r="B54" s="23"/>
      <c r="C54" s="2745" t="str">
        <f t="shared" si="13"/>
        <v/>
      </c>
      <c r="D54" s="2746"/>
      <c r="E54" s="2746"/>
      <c r="F54" s="2746"/>
      <c r="G54" s="2746"/>
      <c r="H54" s="2746"/>
      <c r="I54" s="2746"/>
      <c r="J54" s="2746"/>
      <c r="K54" s="2746"/>
      <c r="L54" s="2746"/>
      <c r="M54" s="2746"/>
      <c r="N54" s="2746"/>
      <c r="O54" s="2746"/>
      <c r="P54" s="2746"/>
      <c r="Q54" s="2746"/>
      <c r="R54" s="2746"/>
      <c r="S54" s="2746"/>
      <c r="T54" s="2746"/>
      <c r="U54" s="2746"/>
      <c r="V54" s="2746"/>
      <c r="W54" s="2746"/>
      <c r="X54" s="2747"/>
      <c r="Y54" s="2755" t="str">
        <f t="shared" si="14"/>
        <v/>
      </c>
      <c r="Z54" s="2756"/>
      <c r="AA54" s="2756"/>
      <c r="AB54" s="2756"/>
      <c r="AC54" s="2756"/>
      <c r="AD54" s="2757"/>
      <c r="AE54" s="104" t="s">
        <v>68</v>
      </c>
      <c r="AF54" s="2758"/>
      <c r="AG54" s="2759"/>
      <c r="AH54" s="2759"/>
      <c r="AI54" s="2759"/>
      <c r="AJ54" s="2759"/>
      <c r="AK54" s="2760"/>
      <c r="AL54" s="2761" t="str">
        <f>IF(Y54="","",VLOOKUP(C54,[7]建物1802!$E$5:$AL$3275,2,FALSE))</f>
        <v/>
      </c>
      <c r="AM54" s="2721"/>
      <c r="AN54" s="2721"/>
      <c r="AO54" s="2722"/>
      <c r="AP54" s="2755" t="str">
        <f>IF(Y54="","",VLOOKUP(C54,[7]建物1802!$E$5:$AL$3275,$BG$28,FALSE))</f>
        <v/>
      </c>
      <c r="AQ54" s="2756"/>
      <c r="AR54" s="2756"/>
      <c r="AS54" s="2756"/>
      <c r="AT54" s="2756"/>
      <c r="AU54" s="2756"/>
      <c r="AV54" s="2757"/>
      <c r="AW54" s="2762" t="str">
        <f t="shared" si="11"/>
        <v/>
      </c>
      <c r="AX54" s="2763"/>
      <c r="AY54" s="2763"/>
      <c r="AZ54" s="2763"/>
      <c r="BA54" s="2763"/>
      <c r="BB54" s="2763"/>
      <c r="BC54" s="2763"/>
      <c r="BD54" s="2763"/>
      <c r="BE54" s="2763"/>
      <c r="BF54" s="2764"/>
      <c r="BG54" s="21"/>
      <c r="BH54" s="2765" t="str">
        <f>IF(Y54="","",VLOOKUP(C54,[7]建物1802!$E$5:$AL$3275,$BG$29,FALSE))</f>
        <v/>
      </c>
      <c r="BI54" s="2766"/>
      <c r="BJ54" s="2766"/>
      <c r="BK54" s="2766"/>
      <c r="BL54" s="2766"/>
      <c r="BM54" s="2767"/>
      <c r="BN54" s="2768" t="str">
        <f t="shared" si="12"/>
        <v/>
      </c>
      <c r="BO54" s="2769"/>
      <c r="BP54" s="2769"/>
      <c r="BQ54" s="2769"/>
      <c r="BR54" s="2769"/>
      <c r="BS54" s="2769"/>
      <c r="BT54" s="2770"/>
      <c r="BU54" s="19"/>
      <c r="BV54" s="94">
        <v>10</v>
      </c>
      <c r="BW54" s="94"/>
      <c r="BX54" s="10" t="str">
        <f>IF(OR(CB54="",CB54=0),"","導線引出金物 鉄骨用 黄銅製端子")</f>
        <v>導線引出金物 鉄骨用 黄銅製端子</v>
      </c>
      <c r="BY54" s="8"/>
      <c r="BZ54" s="8"/>
      <c r="CA54" s="8"/>
      <c r="CB54" s="88">
        <f>IF(J16="簡 略 法",CD54,CC54)</f>
        <v>24</v>
      </c>
      <c r="CC54" s="88">
        <f>0</f>
        <v>0</v>
      </c>
      <c r="CD54" s="88">
        <f>IF(CB6=CB8,BZ49*2,BZ49*4)</f>
        <v>24</v>
      </c>
      <c r="CE54" s="8"/>
      <c r="CF54" s="8"/>
      <c r="CG54" s="8"/>
      <c r="CH54" s="197">
        <f t="shared" si="5"/>
        <v>4</v>
      </c>
      <c r="CI54" s="197">
        <f t="shared" si="6"/>
        <v>4</v>
      </c>
      <c r="CJ54" s="201" t="str">
        <f t="shared" si="15"/>
        <v>導線引出金物 鉄骨用 黄銅製端子</v>
      </c>
      <c r="CK54" s="8"/>
      <c r="CL54" s="8"/>
      <c r="CM54" s="8"/>
      <c r="CN54" s="8" t="str">
        <f>IF(COUNTIF(CJ$42:$CJ53,CJ54)&gt;0,"",CJ54)</f>
        <v>導線引出金物 鉄骨用 黄銅製端子</v>
      </c>
      <c r="CO54" s="252">
        <f t="shared" si="16"/>
        <v>24</v>
      </c>
      <c r="CP54" s="32">
        <f t="shared" si="7"/>
        <v>24</v>
      </c>
      <c r="CQ54" s="8"/>
      <c r="CR54" s="197">
        <f t="shared" si="8"/>
        <v>2</v>
      </c>
      <c r="CS54" s="197" t="str">
        <f t="shared" si="9"/>
        <v/>
      </c>
      <c r="CT54" s="201"/>
      <c r="CU54" s="8"/>
      <c r="CV54" s="8"/>
      <c r="CW54" s="8"/>
      <c r="CX54" s="8"/>
      <c r="CY54" s="8"/>
      <c r="CZ54" s="32">
        <f t="shared" si="10"/>
        <v>0</v>
      </c>
    </row>
    <row r="55" spans="2:104" ht="12" customHeight="1">
      <c r="B55" s="23"/>
      <c r="C55" s="2745" t="str">
        <f t="shared" si="13"/>
        <v/>
      </c>
      <c r="D55" s="2746"/>
      <c r="E55" s="2746"/>
      <c r="F55" s="2746"/>
      <c r="G55" s="2746"/>
      <c r="H55" s="2746"/>
      <c r="I55" s="2746"/>
      <c r="J55" s="2746"/>
      <c r="K55" s="2746"/>
      <c r="L55" s="2746"/>
      <c r="M55" s="2746"/>
      <c r="N55" s="2746"/>
      <c r="O55" s="2746"/>
      <c r="P55" s="2746"/>
      <c r="Q55" s="2746"/>
      <c r="R55" s="2746"/>
      <c r="S55" s="2746"/>
      <c r="T55" s="2746"/>
      <c r="U55" s="2746"/>
      <c r="V55" s="2746"/>
      <c r="W55" s="2746"/>
      <c r="X55" s="2747"/>
      <c r="Y55" s="2755" t="str">
        <f t="shared" si="14"/>
        <v/>
      </c>
      <c r="Z55" s="2756"/>
      <c r="AA55" s="2756"/>
      <c r="AB55" s="2756"/>
      <c r="AC55" s="2756"/>
      <c r="AD55" s="2757"/>
      <c r="AE55" s="104" t="s">
        <v>2</v>
      </c>
      <c r="AF55" s="2758"/>
      <c r="AG55" s="2759"/>
      <c r="AH55" s="2759"/>
      <c r="AI55" s="2759"/>
      <c r="AJ55" s="2759"/>
      <c r="AK55" s="2760"/>
      <c r="AL55" s="2761" t="str">
        <f>IF(Y55="","",VLOOKUP(C55,[7]建物1802!$E$5:$AL$3275,2,FALSE))</f>
        <v/>
      </c>
      <c r="AM55" s="2721"/>
      <c r="AN55" s="2721"/>
      <c r="AO55" s="2722"/>
      <c r="AP55" s="2755" t="str">
        <f>IF(Y55="","",VLOOKUP(C55,[7]建物1802!$E$5:$AL$3275,$BG$28,FALSE))</f>
        <v/>
      </c>
      <c r="AQ55" s="2756"/>
      <c r="AR55" s="2756"/>
      <c r="AS55" s="2756"/>
      <c r="AT55" s="2756"/>
      <c r="AU55" s="2756"/>
      <c r="AV55" s="2757"/>
      <c r="AW55" s="2762" t="str">
        <f t="shared" si="11"/>
        <v/>
      </c>
      <c r="AX55" s="2763"/>
      <c r="AY55" s="2763"/>
      <c r="AZ55" s="2763"/>
      <c r="BA55" s="2763"/>
      <c r="BB55" s="2763"/>
      <c r="BC55" s="2763"/>
      <c r="BD55" s="2763"/>
      <c r="BE55" s="2763"/>
      <c r="BF55" s="2764"/>
      <c r="BG55" s="21"/>
      <c r="BH55" s="2765" t="str">
        <f>IF(Y55="","",VLOOKUP(C55,[7]建物1802!$E$5:$AL$3275,$BG$29,FALSE))</f>
        <v/>
      </c>
      <c r="BI55" s="2766"/>
      <c r="BJ55" s="2766"/>
      <c r="BK55" s="2766"/>
      <c r="BL55" s="2766"/>
      <c r="BM55" s="2767"/>
      <c r="BN55" s="2768" t="str">
        <f t="shared" si="12"/>
        <v/>
      </c>
      <c r="BO55" s="2769"/>
      <c r="BP55" s="2769"/>
      <c r="BQ55" s="2769"/>
      <c r="BR55" s="2769"/>
      <c r="BS55" s="2769"/>
      <c r="BT55" s="2770"/>
      <c r="BU55" s="19"/>
      <c r="BV55" s="94">
        <v>11</v>
      </c>
      <c r="BW55" s="94"/>
      <c r="BX55" s="10" t="str">
        <f>IF(OR(CB55="",CB55=0),"","接続端子 直線型")</f>
        <v/>
      </c>
      <c r="BY55" s="8"/>
      <c r="BZ55" s="8"/>
      <c r="CA55" s="8"/>
      <c r="CB55" s="88"/>
      <c r="CC55" s="88"/>
      <c r="CD55" s="88"/>
      <c r="CE55" s="8"/>
      <c r="CF55" s="8"/>
      <c r="CG55" s="8"/>
      <c r="CH55" s="197">
        <f t="shared" si="5"/>
        <v>4</v>
      </c>
      <c r="CI55" s="197" t="str">
        <f t="shared" si="6"/>
        <v/>
      </c>
      <c r="CJ55" s="201" t="str">
        <f t="shared" si="15"/>
        <v/>
      </c>
      <c r="CK55" s="8"/>
      <c r="CL55" s="8"/>
      <c r="CM55" s="8"/>
      <c r="CN55" s="8" t="str">
        <f>IF(COUNTIF(CJ$42:$CJ54,CJ55)&gt;0,"",CJ55)</f>
        <v/>
      </c>
      <c r="CO55" s="252">
        <f t="shared" si="16"/>
        <v>0</v>
      </c>
      <c r="CP55" s="32">
        <f t="shared" si="7"/>
        <v>0</v>
      </c>
      <c r="CQ55" s="8"/>
      <c r="CR55" s="197">
        <f t="shared" si="8"/>
        <v>2</v>
      </c>
      <c r="CS55" s="197" t="str">
        <f t="shared" si="9"/>
        <v/>
      </c>
      <c r="CT55" s="201"/>
      <c r="CU55" s="8"/>
      <c r="CV55" s="8"/>
      <c r="CW55" s="8"/>
      <c r="CX55" s="8"/>
      <c r="CY55" s="8"/>
      <c r="CZ55" s="32">
        <f t="shared" si="10"/>
        <v>0</v>
      </c>
    </row>
    <row r="56" spans="2:104" ht="12" customHeight="1">
      <c r="B56" s="23"/>
      <c r="C56" s="2745" t="str">
        <f t="shared" si="13"/>
        <v/>
      </c>
      <c r="D56" s="2746"/>
      <c r="E56" s="2746"/>
      <c r="F56" s="2746"/>
      <c r="G56" s="2746"/>
      <c r="H56" s="2746"/>
      <c r="I56" s="2746"/>
      <c r="J56" s="2746"/>
      <c r="K56" s="2746"/>
      <c r="L56" s="2746"/>
      <c r="M56" s="2746"/>
      <c r="N56" s="2746"/>
      <c r="O56" s="2746"/>
      <c r="P56" s="2746"/>
      <c r="Q56" s="2746"/>
      <c r="R56" s="2746"/>
      <c r="S56" s="2746"/>
      <c r="T56" s="2746"/>
      <c r="U56" s="2746"/>
      <c r="V56" s="2746"/>
      <c r="W56" s="2746"/>
      <c r="X56" s="2747"/>
      <c r="Y56" s="2755" t="str">
        <f t="shared" si="14"/>
        <v/>
      </c>
      <c r="Z56" s="2756"/>
      <c r="AA56" s="2756"/>
      <c r="AB56" s="2756"/>
      <c r="AC56" s="2756"/>
      <c r="AD56" s="2757"/>
      <c r="AE56" s="104" t="s">
        <v>2</v>
      </c>
      <c r="AF56" s="2758"/>
      <c r="AG56" s="2759"/>
      <c r="AH56" s="2759"/>
      <c r="AI56" s="2759"/>
      <c r="AJ56" s="2759"/>
      <c r="AK56" s="2760"/>
      <c r="AL56" s="2761" t="str">
        <f>IF(Y56="","",VLOOKUP(C56,[7]建物1802!$E$5:$AL$3275,2,FALSE))</f>
        <v/>
      </c>
      <c r="AM56" s="2721"/>
      <c r="AN56" s="2721"/>
      <c r="AO56" s="2722"/>
      <c r="AP56" s="2755" t="str">
        <f>IF(Y56="","",VLOOKUP(C56,[7]建物1802!$E$5:$AL$3275,$BG$28,FALSE))</f>
        <v/>
      </c>
      <c r="AQ56" s="2756"/>
      <c r="AR56" s="2756"/>
      <c r="AS56" s="2756"/>
      <c r="AT56" s="2756"/>
      <c r="AU56" s="2756"/>
      <c r="AV56" s="2757"/>
      <c r="AW56" s="2762" t="str">
        <f t="shared" si="11"/>
        <v/>
      </c>
      <c r="AX56" s="2763"/>
      <c r="AY56" s="2763"/>
      <c r="AZ56" s="2763"/>
      <c r="BA56" s="2763"/>
      <c r="BB56" s="2763"/>
      <c r="BC56" s="2763"/>
      <c r="BD56" s="2763"/>
      <c r="BE56" s="2763"/>
      <c r="BF56" s="2764"/>
      <c r="BG56" s="21"/>
      <c r="BH56" s="2765" t="str">
        <f>IF(Y56="","",VLOOKUP(C56,[7]建物1802!$E$5:$AL$3275,$BG$29,FALSE))</f>
        <v/>
      </c>
      <c r="BI56" s="2766"/>
      <c r="BJ56" s="2766"/>
      <c r="BK56" s="2766"/>
      <c r="BL56" s="2766"/>
      <c r="BM56" s="2767"/>
      <c r="BN56" s="2768" t="str">
        <f t="shared" si="12"/>
        <v/>
      </c>
      <c r="BO56" s="2769"/>
      <c r="BP56" s="2769"/>
      <c r="BQ56" s="2769"/>
      <c r="BR56" s="2769"/>
      <c r="BS56" s="2769"/>
      <c r="BT56" s="2770"/>
      <c r="BU56" s="19"/>
      <c r="BV56" s="94">
        <v>12</v>
      </c>
      <c r="BW56" s="94"/>
      <c r="BX56" s="10" t="str">
        <f>IF(OR(B2=0,CB56="",CB56=0),"","接続端子 Ｔ型")</f>
        <v>接続端子 Ｔ型</v>
      </c>
      <c r="BY56" s="8"/>
      <c r="BZ56" s="8"/>
      <c r="CA56" s="8"/>
      <c r="CB56" s="88">
        <f>IFERROR(2*(CC47-1+CD47-1+CC48-1+CD48-1)+CB44,"")</f>
        <v>11</v>
      </c>
      <c r="CC56" s="429"/>
      <c r="CD56" s="428"/>
      <c r="CE56" s="8"/>
      <c r="CF56" s="8"/>
      <c r="CG56" s="8"/>
      <c r="CH56" s="197">
        <f t="shared" si="5"/>
        <v>5</v>
      </c>
      <c r="CI56" s="197">
        <f t="shared" si="6"/>
        <v>5</v>
      </c>
      <c r="CJ56" s="201" t="str">
        <f t="shared" si="15"/>
        <v>接続端子 Ｔ型</v>
      </c>
      <c r="CK56" s="8"/>
      <c r="CL56" s="8"/>
      <c r="CM56" s="8"/>
      <c r="CN56" s="8" t="str">
        <f>IF(COUNTIF(CJ$42:$CJ55,CJ56)&gt;0,"",CJ56)</f>
        <v>接続端子 Ｔ型</v>
      </c>
      <c r="CO56" s="252">
        <f t="shared" si="16"/>
        <v>11</v>
      </c>
      <c r="CP56" s="32">
        <f t="shared" si="7"/>
        <v>11</v>
      </c>
      <c r="CQ56" s="8"/>
      <c r="CR56" s="197">
        <f t="shared" si="8"/>
        <v>2</v>
      </c>
      <c r="CS56" s="197" t="str">
        <f t="shared" si="9"/>
        <v/>
      </c>
      <c r="CT56" s="201"/>
      <c r="CU56" s="8"/>
      <c r="CV56" s="8"/>
      <c r="CW56" s="8"/>
      <c r="CX56" s="8"/>
      <c r="CY56" s="8"/>
      <c r="CZ56" s="32">
        <f t="shared" si="10"/>
        <v>0</v>
      </c>
    </row>
    <row r="57" spans="2:104" ht="12" customHeight="1">
      <c r="B57" s="23"/>
      <c r="C57" s="2745" t="str">
        <f t="shared" si="13"/>
        <v/>
      </c>
      <c r="D57" s="2746"/>
      <c r="E57" s="2746"/>
      <c r="F57" s="2746"/>
      <c r="G57" s="2746"/>
      <c r="H57" s="2746"/>
      <c r="I57" s="2746"/>
      <c r="J57" s="2746"/>
      <c r="K57" s="2746"/>
      <c r="L57" s="2746"/>
      <c r="M57" s="2746"/>
      <c r="N57" s="2746"/>
      <c r="O57" s="2746"/>
      <c r="P57" s="2746"/>
      <c r="Q57" s="2746"/>
      <c r="R57" s="2746"/>
      <c r="S57" s="2746"/>
      <c r="T57" s="2746"/>
      <c r="U57" s="2746"/>
      <c r="V57" s="2746"/>
      <c r="W57" s="2746"/>
      <c r="X57" s="2747"/>
      <c r="Y57" s="2755" t="str">
        <f t="shared" si="14"/>
        <v/>
      </c>
      <c r="Z57" s="2756"/>
      <c r="AA57" s="2756"/>
      <c r="AB57" s="2756"/>
      <c r="AC57" s="2756"/>
      <c r="AD57" s="2757"/>
      <c r="AE57" s="104" t="s">
        <v>86</v>
      </c>
      <c r="AF57" s="2758"/>
      <c r="AG57" s="2759"/>
      <c r="AH57" s="2759"/>
      <c r="AI57" s="2759"/>
      <c r="AJ57" s="2759"/>
      <c r="AK57" s="2760"/>
      <c r="AL57" s="2761" t="str">
        <f>IF(Y57="","",VLOOKUP(C57,[7]建物1802!$E$5:$AL$3275,2,FALSE))</f>
        <v/>
      </c>
      <c r="AM57" s="2721"/>
      <c r="AN57" s="2721"/>
      <c r="AO57" s="2722"/>
      <c r="AP57" s="2755" t="str">
        <f>IF(Y57="","",VLOOKUP(C57,[7]建物1802!$E$5:$AL$3275,$BG$28,FALSE))</f>
        <v/>
      </c>
      <c r="AQ57" s="2756"/>
      <c r="AR57" s="2756"/>
      <c r="AS57" s="2756"/>
      <c r="AT57" s="2756"/>
      <c r="AU57" s="2756"/>
      <c r="AV57" s="2757"/>
      <c r="AW57" s="2762" t="str">
        <f t="shared" si="11"/>
        <v/>
      </c>
      <c r="AX57" s="2763"/>
      <c r="AY57" s="2763"/>
      <c r="AZ57" s="2763"/>
      <c r="BA57" s="2763"/>
      <c r="BB57" s="2763"/>
      <c r="BC57" s="2763"/>
      <c r="BD57" s="2763"/>
      <c r="BE57" s="2763"/>
      <c r="BF57" s="2764"/>
      <c r="BG57" s="21"/>
      <c r="BH57" s="2765" t="str">
        <f>IF(Y57="","",VLOOKUP(C57,[7]建物1802!$E$5:$AL$3275,$BG$29,FALSE))</f>
        <v/>
      </c>
      <c r="BI57" s="2766"/>
      <c r="BJ57" s="2766"/>
      <c r="BK57" s="2766"/>
      <c r="BL57" s="2766"/>
      <c r="BM57" s="2767"/>
      <c r="BN57" s="2768" t="str">
        <f t="shared" si="12"/>
        <v/>
      </c>
      <c r="BO57" s="2769"/>
      <c r="BP57" s="2769"/>
      <c r="BQ57" s="2769"/>
      <c r="BR57" s="2769"/>
      <c r="BS57" s="2769"/>
      <c r="BT57" s="2770"/>
      <c r="BU57" s="19"/>
      <c r="BV57" s="94">
        <v>13</v>
      </c>
      <c r="BW57" s="94"/>
      <c r="BX57" s="10" t="str">
        <f>IF(OR(CB57="",CB57=0),"","接続端子 十字型")</f>
        <v/>
      </c>
      <c r="BY57" s="8"/>
      <c r="BZ57" s="8"/>
      <c r="CA57" s="8"/>
      <c r="CB57" s="88">
        <f>IFERROR(CC57+CD57,"")</f>
        <v>0</v>
      </c>
      <c r="CC57" s="88">
        <f>(CC47-1)*(CD47-1)</f>
        <v>0</v>
      </c>
      <c r="CD57" s="88">
        <f>(CC48-1)*(CD48-1)</f>
        <v>0</v>
      </c>
      <c r="CE57" s="8"/>
      <c r="CF57" s="8"/>
      <c r="CG57" s="8"/>
      <c r="CH57" s="197">
        <f t="shared" si="5"/>
        <v>5</v>
      </c>
      <c r="CI57" s="197" t="str">
        <f t="shared" si="6"/>
        <v/>
      </c>
      <c r="CJ57" s="201" t="str">
        <f t="shared" si="15"/>
        <v/>
      </c>
      <c r="CK57" s="8"/>
      <c r="CL57" s="8"/>
      <c r="CM57" s="8"/>
      <c r="CN57" s="8" t="str">
        <f>IF(COUNTIF(CJ$42:$CJ56,CJ57)&gt;0,"",CJ57)</f>
        <v/>
      </c>
      <c r="CO57" s="252">
        <f t="shared" si="16"/>
        <v>0</v>
      </c>
      <c r="CP57" s="32">
        <f t="shared" si="7"/>
        <v>0</v>
      </c>
      <c r="CQ57" s="8"/>
      <c r="CR57" s="197">
        <f t="shared" si="8"/>
        <v>2</v>
      </c>
      <c r="CS57" s="197" t="str">
        <f t="shared" si="9"/>
        <v/>
      </c>
      <c r="CT57" s="201"/>
      <c r="CU57" s="8"/>
      <c r="CV57" s="8"/>
      <c r="CW57" s="8"/>
      <c r="CX57" s="8"/>
      <c r="CY57" s="8"/>
      <c r="CZ57" s="32">
        <f t="shared" si="10"/>
        <v>0</v>
      </c>
    </row>
    <row r="58" spans="2:104" ht="12" customHeight="1">
      <c r="B58" s="23"/>
      <c r="C58" s="2745" t="str">
        <f t="shared" si="13"/>
        <v/>
      </c>
      <c r="D58" s="2746"/>
      <c r="E58" s="2746"/>
      <c r="F58" s="2746"/>
      <c r="G58" s="2746"/>
      <c r="H58" s="2746"/>
      <c r="I58" s="2746"/>
      <c r="J58" s="2746"/>
      <c r="K58" s="2746"/>
      <c r="L58" s="2746"/>
      <c r="M58" s="2746"/>
      <c r="N58" s="2746"/>
      <c r="O58" s="2746"/>
      <c r="P58" s="2746"/>
      <c r="Q58" s="2746"/>
      <c r="R58" s="2746"/>
      <c r="S58" s="2746"/>
      <c r="T58" s="2746"/>
      <c r="U58" s="2746"/>
      <c r="V58" s="2746"/>
      <c r="W58" s="2746"/>
      <c r="X58" s="2747"/>
      <c r="Y58" s="2755" t="str">
        <f t="shared" si="14"/>
        <v/>
      </c>
      <c r="Z58" s="2756"/>
      <c r="AA58" s="2756"/>
      <c r="AB58" s="2756"/>
      <c r="AC58" s="2756"/>
      <c r="AD58" s="2757"/>
      <c r="AE58" s="104" t="s">
        <v>86</v>
      </c>
      <c r="AF58" s="2758"/>
      <c r="AG58" s="2759"/>
      <c r="AH58" s="2759"/>
      <c r="AI58" s="2759"/>
      <c r="AJ58" s="2759"/>
      <c r="AK58" s="2760"/>
      <c r="AL58" s="2761" t="str">
        <f>IF(Y58="","",VLOOKUP(C58,[7]建物1802!$E$5:$AL$3275,2,FALSE))</f>
        <v/>
      </c>
      <c r="AM58" s="2721"/>
      <c r="AN58" s="2721"/>
      <c r="AO58" s="2722"/>
      <c r="AP58" s="2755" t="str">
        <f>IF(Y58="","",VLOOKUP(C58,[7]建物1802!$E$5:$AL$3275,$BG$28,FALSE))</f>
        <v/>
      </c>
      <c r="AQ58" s="2756"/>
      <c r="AR58" s="2756"/>
      <c r="AS58" s="2756"/>
      <c r="AT58" s="2756"/>
      <c r="AU58" s="2756"/>
      <c r="AV58" s="2757"/>
      <c r="AW58" s="2762" t="str">
        <f t="shared" si="11"/>
        <v/>
      </c>
      <c r="AX58" s="2763"/>
      <c r="AY58" s="2763"/>
      <c r="AZ58" s="2763"/>
      <c r="BA58" s="2763"/>
      <c r="BB58" s="2763"/>
      <c r="BC58" s="2763"/>
      <c r="BD58" s="2763"/>
      <c r="BE58" s="2763"/>
      <c r="BF58" s="2764"/>
      <c r="BG58" s="21"/>
      <c r="BH58" s="2765" t="str">
        <f>IF(Y58="","",VLOOKUP(C58,[7]建物1802!$E$5:$AL$3275,$BG$29,FALSE))</f>
        <v/>
      </c>
      <c r="BI58" s="2766"/>
      <c r="BJ58" s="2766"/>
      <c r="BK58" s="2766"/>
      <c r="BL58" s="2766"/>
      <c r="BM58" s="2767"/>
      <c r="BN58" s="2768" t="str">
        <f t="shared" si="12"/>
        <v/>
      </c>
      <c r="BO58" s="2769"/>
      <c r="BP58" s="2769"/>
      <c r="BQ58" s="2769"/>
      <c r="BR58" s="2769"/>
      <c r="BS58" s="2769"/>
      <c r="BT58" s="2770"/>
      <c r="BU58" s="19"/>
      <c r="BV58" s="94">
        <v>14</v>
      </c>
      <c r="BW58" s="94"/>
      <c r="BX58" s="10" t="str">
        <f>IF(OR(CB58="",CB58=0),"","接続端子 伸縮型")</f>
        <v/>
      </c>
      <c r="BY58" s="8"/>
      <c r="BZ58" s="8"/>
      <c r="CA58" s="8"/>
      <c r="CB58" s="88"/>
      <c r="CC58" s="88"/>
      <c r="CD58" s="88"/>
      <c r="CE58" s="8"/>
      <c r="CF58" s="8"/>
      <c r="CG58" s="8"/>
      <c r="CH58" s="197">
        <f t="shared" si="5"/>
        <v>5</v>
      </c>
      <c r="CI58" s="197" t="str">
        <f t="shared" si="6"/>
        <v/>
      </c>
      <c r="CJ58" s="201" t="str">
        <f t="shared" si="15"/>
        <v/>
      </c>
      <c r="CK58" s="8"/>
      <c r="CL58" s="8"/>
      <c r="CM58" s="8"/>
      <c r="CN58" s="8" t="str">
        <f>IF(COUNTIF(CJ$42:$CJ57,CJ58)&gt;0,"",CJ58)</f>
        <v/>
      </c>
      <c r="CO58" s="252">
        <f t="shared" si="16"/>
        <v>0</v>
      </c>
      <c r="CP58" s="32">
        <f t="shared" si="7"/>
        <v>0</v>
      </c>
      <c r="CQ58" s="8"/>
      <c r="CR58" s="197">
        <f t="shared" si="8"/>
        <v>2</v>
      </c>
      <c r="CS58" s="197" t="str">
        <f t="shared" si="9"/>
        <v/>
      </c>
      <c r="CT58" s="201"/>
      <c r="CU58" s="8"/>
      <c r="CV58" s="8"/>
      <c r="CW58" s="8"/>
      <c r="CX58" s="8"/>
      <c r="CY58" s="8"/>
      <c r="CZ58" s="32">
        <f t="shared" si="10"/>
        <v>0</v>
      </c>
    </row>
    <row r="59" spans="2:104" ht="12" customHeight="1">
      <c r="B59" s="23"/>
      <c r="C59" s="2745" t="str">
        <f t="shared" si="13"/>
        <v/>
      </c>
      <c r="D59" s="2746"/>
      <c r="E59" s="2746"/>
      <c r="F59" s="2746"/>
      <c r="G59" s="2746"/>
      <c r="H59" s="2746"/>
      <c r="I59" s="2746"/>
      <c r="J59" s="2746"/>
      <c r="K59" s="2746"/>
      <c r="L59" s="2746"/>
      <c r="M59" s="2746"/>
      <c r="N59" s="2746"/>
      <c r="O59" s="2746"/>
      <c r="P59" s="2746"/>
      <c r="Q59" s="2746"/>
      <c r="R59" s="2746"/>
      <c r="S59" s="2746"/>
      <c r="T59" s="2746"/>
      <c r="U59" s="2746"/>
      <c r="V59" s="2746"/>
      <c r="W59" s="2746"/>
      <c r="X59" s="2747"/>
      <c r="Y59" s="2755" t="str">
        <f t="shared" si="14"/>
        <v/>
      </c>
      <c r="Z59" s="2756"/>
      <c r="AA59" s="2756"/>
      <c r="AB59" s="2756"/>
      <c r="AC59" s="2756"/>
      <c r="AD59" s="2757"/>
      <c r="AE59" s="104" t="s">
        <v>86</v>
      </c>
      <c r="AF59" s="2758"/>
      <c r="AG59" s="2759"/>
      <c r="AH59" s="2759"/>
      <c r="AI59" s="2759"/>
      <c r="AJ59" s="2759"/>
      <c r="AK59" s="2760"/>
      <c r="AL59" s="2761" t="str">
        <f>IF(Y59="","",VLOOKUP(C59,[7]建物1802!$E$5:$AL$3275,2,FALSE))</f>
        <v/>
      </c>
      <c r="AM59" s="2721"/>
      <c r="AN59" s="2721"/>
      <c r="AO59" s="2722"/>
      <c r="AP59" s="2755" t="str">
        <f>IF(Y59="","",VLOOKUP(C59,[7]建物1802!$E$5:$AL$3275,$BG$28,FALSE))</f>
        <v/>
      </c>
      <c r="AQ59" s="2756"/>
      <c r="AR59" s="2756"/>
      <c r="AS59" s="2756"/>
      <c r="AT59" s="2756"/>
      <c r="AU59" s="2756"/>
      <c r="AV59" s="2757"/>
      <c r="AW59" s="2762" t="str">
        <f t="shared" si="11"/>
        <v/>
      </c>
      <c r="AX59" s="2763"/>
      <c r="AY59" s="2763"/>
      <c r="AZ59" s="2763"/>
      <c r="BA59" s="2763"/>
      <c r="BB59" s="2763"/>
      <c r="BC59" s="2763"/>
      <c r="BD59" s="2763"/>
      <c r="BE59" s="2763"/>
      <c r="BF59" s="2764"/>
      <c r="BG59" s="21"/>
      <c r="BH59" s="2765" t="str">
        <f>IF(Y59="","",VLOOKUP(C59,[7]建物1802!$E$5:$AL$3275,$BG$29,FALSE))</f>
        <v/>
      </c>
      <c r="BI59" s="2766"/>
      <c r="BJ59" s="2766"/>
      <c r="BK59" s="2766"/>
      <c r="BL59" s="2766"/>
      <c r="BM59" s="2767"/>
      <c r="BN59" s="2768" t="str">
        <f t="shared" si="12"/>
        <v/>
      </c>
      <c r="BO59" s="2769"/>
      <c r="BP59" s="2769"/>
      <c r="BQ59" s="2769"/>
      <c r="BR59" s="2769"/>
      <c r="BS59" s="2769"/>
      <c r="BT59" s="2770"/>
      <c r="BU59" s="19"/>
      <c r="BV59" s="94">
        <v>15</v>
      </c>
      <c r="BW59" s="94"/>
      <c r="BX59" s="10" t="str">
        <f>IF(OR(CB59="",CB59=0),"","接続端子 水切型 パラペット")</f>
        <v/>
      </c>
      <c r="BY59" s="8"/>
      <c r="BZ59" s="8"/>
      <c r="CA59" s="8"/>
      <c r="CB59" s="88">
        <f>IF(J16="簡 略 法",0,AB20)</f>
        <v>0</v>
      </c>
      <c r="CC59" s="427"/>
      <c r="CD59" s="426"/>
      <c r="CE59" s="8"/>
      <c r="CF59" s="8"/>
      <c r="CG59" s="8"/>
      <c r="CH59" s="197">
        <f t="shared" si="5"/>
        <v>5</v>
      </c>
      <c r="CI59" s="197" t="str">
        <f t="shared" si="6"/>
        <v/>
      </c>
      <c r="CJ59" s="201" t="str">
        <f t="shared" si="15"/>
        <v/>
      </c>
      <c r="CK59" s="8"/>
      <c r="CL59" s="8"/>
      <c r="CM59" s="8"/>
      <c r="CN59" s="8" t="str">
        <f>IF(COUNTIF(CJ$42:$CJ58,CJ59)&gt;0,"",CJ59)</f>
        <v/>
      </c>
      <c r="CO59" s="252">
        <f t="shared" si="16"/>
        <v>0</v>
      </c>
      <c r="CP59" s="32">
        <f t="shared" si="7"/>
        <v>0</v>
      </c>
      <c r="CQ59" s="8"/>
      <c r="CR59" s="197">
        <f t="shared" si="8"/>
        <v>2</v>
      </c>
      <c r="CS59" s="197" t="str">
        <f t="shared" si="9"/>
        <v/>
      </c>
      <c r="CT59" s="201"/>
      <c r="CU59" s="8"/>
      <c r="CV59" s="8"/>
      <c r="CW59" s="8"/>
      <c r="CX59" s="8"/>
      <c r="CY59" s="8"/>
      <c r="CZ59" s="32">
        <f t="shared" si="10"/>
        <v>0</v>
      </c>
    </row>
    <row r="60" spans="2:104" ht="12" customHeight="1">
      <c r="B60" s="23"/>
      <c r="C60" s="85"/>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771">
        <f>IF(SUM(AW45:BF59)=0,"",SUM(AW45:BF59))</f>
        <v>2694640</v>
      </c>
      <c r="AX60" s="2772"/>
      <c r="AY60" s="2772"/>
      <c r="AZ60" s="2772"/>
      <c r="BA60" s="2772"/>
      <c r="BB60" s="2772"/>
      <c r="BC60" s="2772"/>
      <c r="BD60" s="2772"/>
      <c r="BE60" s="2772"/>
      <c r="BF60" s="2773"/>
      <c r="BG60" s="20"/>
      <c r="BH60" s="20"/>
      <c r="BI60" s="20"/>
      <c r="BJ60" s="20"/>
      <c r="BK60" s="20"/>
      <c r="BL60" s="20"/>
      <c r="BM60" s="20"/>
      <c r="BN60" s="2774">
        <f>IF(SUM(BN45:BT59)=0,"",SUM(BN45:BT59))</f>
        <v>56.093999999999994</v>
      </c>
      <c r="BO60" s="2775"/>
      <c r="BP60" s="2775"/>
      <c r="BQ60" s="2775"/>
      <c r="BR60" s="2775"/>
      <c r="BS60" s="2775"/>
      <c r="BT60" s="2776"/>
      <c r="BU60" s="19"/>
      <c r="BV60" s="94"/>
      <c r="BW60" s="94"/>
      <c r="BX60" s="10" t="str">
        <f>IF(OR(CB60="",CB60=0),"","接続端子 水切型 ツバ付")</f>
        <v>接続端子 水切型 ツバ付</v>
      </c>
      <c r="BY60" s="8"/>
      <c r="BZ60" s="8"/>
      <c r="CA60" s="8"/>
      <c r="CB60" s="88">
        <f>AB20</f>
        <v>6</v>
      </c>
      <c r="CC60" s="141"/>
      <c r="CD60" s="9"/>
      <c r="CE60" s="8"/>
      <c r="CF60" s="8"/>
      <c r="CG60" s="8"/>
      <c r="CH60" s="197">
        <f t="shared" si="5"/>
        <v>6</v>
      </c>
      <c r="CI60" s="197">
        <f t="shared" si="6"/>
        <v>6</v>
      </c>
      <c r="CJ60" s="201" t="str">
        <f t="shared" si="15"/>
        <v>接続端子 水切型 ツバ付</v>
      </c>
      <c r="CK60" s="8"/>
      <c r="CL60" s="8"/>
      <c r="CM60" s="8"/>
      <c r="CN60" s="8" t="str">
        <f>IF(COUNTIF(CJ$42:$CJ59,CJ60)&gt;0,"",CJ60)</f>
        <v>接続端子 水切型 ツバ付</v>
      </c>
      <c r="CO60" s="252">
        <f t="shared" si="16"/>
        <v>6</v>
      </c>
      <c r="CP60" s="32">
        <f t="shared" si="7"/>
        <v>6</v>
      </c>
      <c r="CQ60" s="8"/>
      <c r="CR60" s="197">
        <f t="shared" si="8"/>
        <v>2</v>
      </c>
      <c r="CS60" s="197" t="str">
        <f t="shared" si="9"/>
        <v/>
      </c>
      <c r="CT60" s="201"/>
      <c r="CU60" s="8"/>
      <c r="CV60" s="8"/>
      <c r="CW60" s="8"/>
      <c r="CX60" s="8"/>
      <c r="CY60" s="8"/>
      <c r="CZ60" s="32">
        <f t="shared" si="10"/>
        <v>0</v>
      </c>
    </row>
    <row r="61" spans="2:104" ht="12" customHeight="1">
      <c r="B61" s="23"/>
      <c r="C61" s="85"/>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19"/>
      <c r="BV61" s="94"/>
      <c r="BW61" s="94"/>
      <c r="BX61" s="425" t="str">
        <f>IF(OR(CB61="",CB61=0),"",IF(CB61="","",IF(AS20="TB-AF1","避雷接地用端子箱 TB-AF1 埋込形",IF(AS20="TB-AF1A","避雷接地用端子箱 TB-AF1A 埋込形",IF(AS20="TB-AFY","避雷接地用端子箱 TB-AFY 埋込形",IF(AS20="TB-AF2","避雷接地用端子箱 TB-AF2 埋込形",IF(AS20="TB-AF2A","避雷接地用端子箱 TB-AF2A 埋込形",IF(AS20="TB-AS1","避雷接地用端子箱 TB-AS1 露出形",IF(AS20="TB-AS1A","避雷接地用端子箱 TB-AS1A 露出形",IF(AS20="TB-ASY","避雷接地用端子箱 TB-ASY 露出形",IF(AS20="TB-AS2","避雷接地用端子箱 TB-AS2 露出形",IF(AS20="TB-AS2A","避雷接地用端子箱 TB-AS2A 露出形",IF(AS20="TB-SG1","避雷接地用端子箱 TB-SG1 埋込形",IF(AS20="TB-SG1A","避雷接地用端子箱 TB-SG1A 埋込形",IF(AS20="TB-SGY","避雷接地用端子箱 TB-SGY 埋込形",IF(AS20="TB-SG2","避雷接地用端子箱 TB-SG2 埋込形",IF(AS20="TB-SG2A","避雷接地用端子箱 TB-SG2A 埋込形",IF(AS20="TB-ST1","避雷接地用端子箱 TB-ST1 露出形",IF(AS20="TB-ST1A","避雷接地用端子箱 TB-ST1A 露出形",IF(AS20="TB-STY","避雷接地用端子箱 TB-STY 露出形",IF(AS20="TB-ST2","避雷接地用端子箱 TB-ST2 露出形",IF(AS20="TB-ST2A","避雷接地用端子箱 TB-ST2A 露出形",""))))))))))))))))))))))</f>
        <v>避雷接地用端子箱 TB-SG2A 埋込形</v>
      </c>
      <c r="BY61" s="8"/>
      <c r="BZ61" s="8"/>
      <c r="CA61" s="8"/>
      <c r="CB61" s="88">
        <f>AO20</f>
        <v>6</v>
      </c>
      <c r="CC61" s="8"/>
      <c r="CD61" s="8"/>
      <c r="CE61" s="8"/>
      <c r="CF61" s="8"/>
      <c r="CG61" s="8"/>
      <c r="CH61" s="197">
        <f t="shared" si="5"/>
        <v>6</v>
      </c>
      <c r="CI61" s="197" t="str">
        <f t="shared" si="6"/>
        <v/>
      </c>
      <c r="CJ61" s="201"/>
      <c r="CK61" s="8"/>
      <c r="CL61" s="8"/>
      <c r="CM61" s="8"/>
      <c r="CN61" s="8"/>
      <c r="CO61" s="252"/>
      <c r="CP61" s="32"/>
      <c r="CQ61" s="8"/>
      <c r="CR61" s="197">
        <f t="shared" si="8"/>
        <v>3</v>
      </c>
      <c r="CS61" s="197">
        <f t="shared" si="9"/>
        <v>3</v>
      </c>
      <c r="CT61" s="201" t="str">
        <f>BX61</f>
        <v>避雷接地用端子箱 TB-SG2A 埋込形</v>
      </c>
      <c r="CU61" s="8"/>
      <c r="CV61" s="8"/>
      <c r="CW61" s="8"/>
      <c r="CX61" s="8" t="str">
        <f>IF(COUNTIF($CT$42:CT60,CT61)&gt;0,"",CT61)</f>
        <v>避雷接地用端子箱 TB-SG2A 埋込形</v>
      </c>
      <c r="CY61" s="8">
        <f>CB61</f>
        <v>6</v>
      </c>
      <c r="CZ61" s="32">
        <f t="shared" si="10"/>
        <v>6</v>
      </c>
    </row>
    <row r="62" spans="2:104" ht="12" customHeight="1">
      <c r="B62" s="23"/>
      <c r="C62" s="85"/>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19"/>
      <c r="BV62" s="94"/>
      <c r="BW62" s="94"/>
      <c r="BX62" s="10" t="str">
        <f>IF(OR(CB62="",CB62=0),"","接地工事 EA-LA")</f>
        <v>接地工事 EA-LA</v>
      </c>
      <c r="BY62" s="8"/>
      <c r="BZ62" s="8"/>
      <c r="CA62" s="8"/>
      <c r="CB62" s="88">
        <f>AB20</f>
        <v>6</v>
      </c>
      <c r="CC62" s="8"/>
      <c r="CD62" s="8"/>
      <c r="CE62" s="8"/>
      <c r="CF62" s="8"/>
      <c r="CG62" s="8"/>
      <c r="CH62" s="197">
        <f t="shared" si="5"/>
        <v>6</v>
      </c>
      <c r="CI62" s="197" t="str">
        <f t="shared" si="6"/>
        <v/>
      </c>
      <c r="CJ62" s="201"/>
      <c r="CK62" s="8"/>
      <c r="CL62" s="8"/>
      <c r="CM62" s="8"/>
      <c r="CN62" s="8"/>
      <c r="CO62" s="252"/>
      <c r="CP62" s="32">
        <f t="shared" ref="CP62:CP78" si="17">SUMIF($CJ$44:$CJ$78,CN62,$CO$44:$CO$78)</f>
        <v>0</v>
      </c>
      <c r="CQ62" s="8"/>
      <c r="CR62" s="197">
        <f t="shared" si="8"/>
        <v>4</v>
      </c>
      <c r="CS62" s="197">
        <f t="shared" si="9"/>
        <v>4</v>
      </c>
      <c r="CT62" s="201" t="str">
        <f>BX62</f>
        <v>接地工事 EA-LA</v>
      </c>
      <c r="CU62" s="8"/>
      <c r="CV62" s="8"/>
      <c r="CW62" s="8"/>
      <c r="CX62" s="8" t="str">
        <f>IF(COUNTIF($CT$42:CT61,CT62)&gt;0,"",CT62)</f>
        <v>接地工事 EA-LA</v>
      </c>
      <c r="CY62" s="8">
        <f>CB62</f>
        <v>6</v>
      </c>
      <c r="CZ62" s="32">
        <f t="shared" si="10"/>
        <v>6</v>
      </c>
    </row>
    <row r="63" spans="2:104" ht="12" customHeight="1">
      <c r="B63" s="23"/>
      <c r="C63" s="2261">
        <f>B3</f>
        <v>10</v>
      </c>
      <c r="D63" s="2261"/>
      <c r="E63" s="2261"/>
      <c r="F63" s="2274" t="str">
        <f>E3</f>
        <v xml:space="preserve"> 雷保護設備工事</v>
      </c>
      <c r="G63" s="2274"/>
      <c r="H63" s="2274"/>
      <c r="I63" s="2274"/>
      <c r="J63" s="2274"/>
      <c r="K63" s="2274"/>
      <c r="L63" s="2274"/>
      <c r="M63" s="2274"/>
      <c r="N63" s="2274"/>
      <c r="O63" s="2274"/>
      <c r="P63" s="2274"/>
      <c r="Q63" s="2274"/>
      <c r="R63" s="2274"/>
      <c r="S63" s="2262" t="str">
        <f>IF(B2=0,"","掛率 ％")</f>
        <v>掛率 ％</v>
      </c>
      <c r="T63" s="2262"/>
      <c r="U63" s="2262"/>
      <c r="V63" s="2262"/>
      <c r="W63" s="2262"/>
      <c r="X63" s="2262"/>
      <c r="Y63" s="2262"/>
      <c r="Z63" s="42"/>
      <c r="AA63" s="42"/>
      <c r="AB63" s="42"/>
      <c r="AC63" s="42"/>
      <c r="AD63" s="20"/>
      <c r="AE63" s="20"/>
      <c r="AF63" s="2777"/>
      <c r="AG63" s="2777"/>
      <c r="AH63" s="2777"/>
      <c r="AI63" s="2777"/>
      <c r="AJ63" s="2777"/>
      <c r="AK63" s="2778"/>
      <c r="AL63" s="2778"/>
      <c r="AM63" s="2778"/>
      <c r="AN63" s="2778"/>
      <c r="AO63" s="2778"/>
      <c r="AP63" s="423"/>
      <c r="AQ63" s="2777"/>
      <c r="AR63" s="2777"/>
      <c r="AS63" s="2777"/>
      <c r="AT63" s="2777"/>
      <c r="AU63" s="2777"/>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19"/>
      <c r="BV63" s="94"/>
      <c r="BW63" s="94"/>
      <c r="BX63" s="10" t="str">
        <f>IF(OR(CB63="",CB63=0),"","接地工事 Ep,Ec")</f>
        <v>接地工事 Ep,Ec</v>
      </c>
      <c r="BY63" s="8"/>
      <c r="BZ63" s="8"/>
      <c r="CA63" s="8"/>
      <c r="CB63" s="88">
        <f>IFERROR(CB62*2,"")</f>
        <v>12</v>
      </c>
      <c r="CC63" s="8"/>
      <c r="CD63" s="8"/>
      <c r="CE63" s="8"/>
      <c r="CF63" s="8"/>
      <c r="CG63" s="8"/>
      <c r="CH63" s="197">
        <f t="shared" si="5"/>
        <v>6</v>
      </c>
      <c r="CI63" s="197" t="str">
        <f t="shared" si="6"/>
        <v/>
      </c>
      <c r="CJ63" s="201"/>
      <c r="CK63" s="8"/>
      <c r="CL63" s="8"/>
      <c r="CM63" s="8"/>
      <c r="CN63" s="8"/>
      <c r="CO63" s="252"/>
      <c r="CP63" s="32">
        <f t="shared" si="17"/>
        <v>0</v>
      </c>
      <c r="CQ63" s="8"/>
      <c r="CR63" s="197">
        <f t="shared" si="8"/>
        <v>5</v>
      </c>
      <c r="CS63" s="197">
        <f t="shared" si="9"/>
        <v>5</v>
      </c>
      <c r="CT63" s="201" t="str">
        <f>BX63</f>
        <v>接地工事 Ep,Ec</v>
      </c>
      <c r="CU63" s="8"/>
      <c r="CV63" s="8"/>
      <c r="CW63" s="8"/>
      <c r="CX63" s="8" t="str">
        <f>IF(COUNTIF($CT$42:CT62,CT63)&gt;0,"",CT63)</f>
        <v>接地工事 Ep,Ec</v>
      </c>
      <c r="CY63" s="8">
        <f>CB63</f>
        <v>12</v>
      </c>
      <c r="CZ63" s="32">
        <f t="shared" si="10"/>
        <v>12</v>
      </c>
    </row>
    <row r="64" spans="2:104" ht="12" customHeight="1">
      <c r="B64" s="23"/>
      <c r="C64" s="2542" t="str">
        <f>IF(B2=0,"","配管配線材料")</f>
        <v>配管配線材料</v>
      </c>
      <c r="D64" s="2542"/>
      <c r="E64" s="2542"/>
      <c r="F64" s="2542"/>
      <c r="G64" s="2542"/>
      <c r="H64" s="2542"/>
      <c r="I64" s="2542"/>
      <c r="J64" s="2542"/>
      <c r="K64" s="2260">
        <f>IF(BW3=0,"",IF(S64&lt;&gt;"",1000*INT((1+S64/100)*1.2*AW44/1000),1000*INT(1.2*AW44/1000)))</f>
        <v>1388000</v>
      </c>
      <c r="L64" s="2260"/>
      <c r="M64" s="2260"/>
      <c r="N64" s="2260"/>
      <c r="O64" s="2260"/>
      <c r="P64" s="2260"/>
      <c r="Q64" s="2260"/>
      <c r="R64" s="2260"/>
      <c r="S64" s="2410" t="str">
        <f>IF(W64&lt;&gt;"",W64,"")</f>
        <v/>
      </c>
      <c r="T64" s="2411"/>
      <c r="U64" s="2412"/>
      <c r="V64" s="31" t="s">
        <v>86</v>
      </c>
      <c r="W64" s="2754"/>
      <c r="X64" s="2754"/>
      <c r="Y64" s="2754"/>
      <c r="Z64" s="2547" t="str">
        <f>IF(W64="","",1000*INT(1.2*AW44/1000))</f>
        <v/>
      </c>
      <c r="AA64" s="2547"/>
      <c r="AB64" s="2547"/>
      <c r="AC64" s="2547"/>
      <c r="AD64" s="2547"/>
      <c r="AE64" s="2547"/>
      <c r="AF64" s="2547"/>
      <c r="AG64" s="2547"/>
      <c r="AH64" s="424" t="str">
        <f>IF(Z64="","","元値")</f>
        <v/>
      </c>
      <c r="AI64" s="20"/>
      <c r="AJ64" s="20"/>
      <c r="AK64" s="2262" t="str">
        <f>IF(B2=0,"","電工単価")</f>
        <v>電工単価</v>
      </c>
      <c r="AL64" s="2262"/>
      <c r="AM64" s="2262"/>
      <c r="AN64" s="2262"/>
      <c r="AO64" s="2262"/>
      <c r="AP64" s="2209">
        <f>IF(BW3=0,"",IF(AV64="",[6]原価!$AD$44,AV64))</f>
        <v>6000</v>
      </c>
      <c r="AQ64" s="2210"/>
      <c r="AR64" s="2210"/>
      <c r="AS64" s="2210"/>
      <c r="AT64" s="2210"/>
      <c r="AU64" s="31" t="s">
        <v>86</v>
      </c>
      <c r="AV64" s="2545"/>
      <c r="AW64" s="2545"/>
      <c r="AX64" s="2545"/>
      <c r="AY64" s="2545"/>
      <c r="AZ64" s="2545"/>
      <c r="BA64" s="20"/>
      <c r="BB64" s="20"/>
      <c r="BC64" s="20"/>
      <c r="BD64" s="20"/>
      <c r="BE64" s="20"/>
      <c r="BF64" s="20"/>
      <c r="BG64" s="20"/>
      <c r="BH64" s="20"/>
      <c r="BI64" s="20"/>
      <c r="BJ64" s="20"/>
      <c r="BK64" s="20"/>
      <c r="BL64" s="20"/>
      <c r="BM64" s="20"/>
      <c r="BN64" s="20"/>
      <c r="BO64" s="20"/>
      <c r="BP64" s="20"/>
      <c r="BQ64" s="20"/>
      <c r="BR64" s="20"/>
      <c r="BS64" s="20"/>
      <c r="BT64" s="20"/>
      <c r="BU64" s="19"/>
      <c r="BV64" s="94"/>
      <c r="BW64" s="94"/>
      <c r="BX64" s="8"/>
      <c r="BY64" s="8"/>
      <c r="BZ64" s="8"/>
      <c r="CA64" s="8"/>
      <c r="CB64" s="8"/>
      <c r="CC64" s="8"/>
      <c r="CD64" s="8"/>
      <c r="CE64" s="8"/>
      <c r="CF64" s="8"/>
      <c r="CG64" s="8"/>
      <c r="CH64" s="8"/>
      <c r="CI64" s="8"/>
      <c r="CJ64" s="8"/>
      <c r="CK64" s="8"/>
      <c r="CL64" s="8"/>
      <c r="CM64" s="8"/>
      <c r="CN64" s="8"/>
      <c r="CO64" s="8"/>
      <c r="CP64" s="32">
        <f t="shared" si="17"/>
        <v>0</v>
      </c>
      <c r="CQ64" s="8"/>
      <c r="CR64" s="197">
        <f t="shared" si="8"/>
        <v>5</v>
      </c>
      <c r="CS64" s="197" t="str">
        <f t="shared" si="9"/>
        <v/>
      </c>
      <c r="CT64" s="201"/>
      <c r="CU64" s="8"/>
      <c r="CV64" s="8"/>
      <c r="CW64" s="8"/>
      <c r="CX64" s="8"/>
      <c r="CY64" s="8">
        <f t="shared" ref="CY64:CY78" si="18">CB63</f>
        <v>12</v>
      </c>
      <c r="CZ64" s="32">
        <f t="shared" si="10"/>
        <v>0</v>
      </c>
    </row>
    <row r="65" spans="2:104" ht="12" customHeight="1" thickBot="1">
      <c r="B65" s="23"/>
      <c r="C65" s="2542" t="str">
        <f>IF(B2=0,"","機　　器　　類")</f>
        <v>機　　器　　類</v>
      </c>
      <c r="D65" s="2542"/>
      <c r="E65" s="2542"/>
      <c r="F65" s="2542"/>
      <c r="G65" s="2542"/>
      <c r="H65" s="2542"/>
      <c r="I65" s="2542"/>
      <c r="J65" s="2542"/>
      <c r="K65" s="2260">
        <f>IF(BW3=0,"",IF(S65&lt;&gt;"",1000*INT((1+S65/100)*1.1*AW60/1000),1000*INT(1.1*AW60/1000)))</f>
        <v>2964000</v>
      </c>
      <c r="L65" s="2260"/>
      <c r="M65" s="2260"/>
      <c r="N65" s="2260"/>
      <c r="O65" s="2260"/>
      <c r="P65" s="2260"/>
      <c r="Q65" s="2260"/>
      <c r="R65" s="2260"/>
      <c r="S65" s="2410" t="str">
        <f>IF(W65&lt;&gt;"",W65,"")</f>
        <v/>
      </c>
      <c r="T65" s="2411"/>
      <c r="U65" s="2412"/>
      <c r="V65" s="31" t="s">
        <v>86</v>
      </c>
      <c r="W65" s="2754"/>
      <c r="X65" s="2754"/>
      <c r="Y65" s="2754"/>
      <c r="Z65" s="2209" t="str">
        <f>IF(W65="","",1000*INT(1.1*AW60/1000))</f>
        <v/>
      </c>
      <c r="AA65" s="2210"/>
      <c r="AB65" s="2210"/>
      <c r="AC65" s="2210"/>
      <c r="AD65" s="2210"/>
      <c r="AE65" s="2210"/>
      <c r="AF65" s="2210"/>
      <c r="AG65" s="2211"/>
      <c r="AH65" s="424" t="str">
        <f>IF(Z65="","","元値")</f>
        <v/>
      </c>
      <c r="AI65" s="29"/>
      <c r="AJ65" s="29"/>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19"/>
      <c r="BV65" s="94"/>
      <c r="BW65" s="94"/>
      <c r="BX65" s="8"/>
      <c r="BY65" s="8"/>
      <c r="BZ65" s="8"/>
      <c r="CA65" s="8"/>
      <c r="CB65" s="8"/>
      <c r="CC65" s="8"/>
      <c r="CD65" s="8"/>
      <c r="CE65" s="8"/>
      <c r="CF65" s="8"/>
      <c r="CG65" s="8"/>
      <c r="CH65" s="8"/>
      <c r="CI65" s="8"/>
      <c r="CJ65" s="8"/>
      <c r="CK65" s="8"/>
      <c r="CL65" s="8"/>
      <c r="CM65" s="8"/>
      <c r="CN65" s="8"/>
      <c r="CO65" s="8"/>
      <c r="CP65" s="32">
        <f t="shared" si="17"/>
        <v>0</v>
      </c>
      <c r="CQ65" s="8"/>
      <c r="CR65" s="197">
        <f t="shared" si="8"/>
        <v>5</v>
      </c>
      <c r="CS65" s="197" t="str">
        <f t="shared" si="9"/>
        <v/>
      </c>
      <c r="CT65" s="201"/>
      <c r="CU65" s="8"/>
      <c r="CV65" s="8"/>
      <c r="CW65" s="8"/>
      <c r="CX65" s="8"/>
      <c r="CY65" s="8">
        <f t="shared" si="18"/>
        <v>0</v>
      </c>
      <c r="CZ65" s="32">
        <f t="shared" si="10"/>
        <v>0</v>
      </c>
    </row>
    <row r="66" spans="2:104" ht="12" customHeight="1" thickTop="1" thickBot="1">
      <c r="B66" s="23"/>
      <c r="C66" s="2542" t="str">
        <f>IF(B2=0,"","電　　工　　費")</f>
        <v>電　　工　　費</v>
      </c>
      <c r="D66" s="2542"/>
      <c r="E66" s="2542"/>
      <c r="F66" s="2542"/>
      <c r="G66" s="2542"/>
      <c r="H66" s="2542"/>
      <c r="I66" s="2542"/>
      <c r="J66" s="2542"/>
      <c r="K66" s="2260">
        <f>IF(BW3=0,"",AP64*1000*1.15*INT(BN44+BN60)/1000)</f>
        <v>1235099.9999999998</v>
      </c>
      <c r="L66" s="2260"/>
      <c r="M66" s="2260"/>
      <c r="N66" s="2260"/>
      <c r="O66" s="2260"/>
      <c r="P66" s="2260"/>
      <c r="Q66" s="2260"/>
      <c r="R66" s="2260"/>
      <c r="S66" s="20"/>
      <c r="T66" s="20"/>
      <c r="U66" s="20"/>
      <c r="V66" s="20"/>
      <c r="W66" s="20"/>
      <c r="X66" s="20"/>
      <c r="Y66" s="20"/>
      <c r="Z66" s="20"/>
      <c r="AA66" s="20"/>
      <c r="AB66" s="20"/>
      <c r="AC66" s="20"/>
      <c r="AD66" s="20"/>
      <c r="AE66" s="20"/>
      <c r="AF66" s="29"/>
      <c r="AG66" s="29"/>
      <c r="AH66" s="29"/>
      <c r="AI66" s="29"/>
      <c r="AJ66" s="29"/>
      <c r="AK66" s="2253" t="str">
        <f>IF(B2=0,"","単価設定")</f>
        <v>単価設定</v>
      </c>
      <c r="AL66" s="2254"/>
      <c r="AM66" s="2254"/>
      <c r="AN66" s="2254"/>
      <c r="AO66" s="2254"/>
      <c r="AP66" s="2254"/>
      <c r="AQ66" s="2255" t="str">
        <f>IF(BW3=0,"",IF(AS65="",[6]原価!$AD$42,AS65))</f>
        <v>単価-1</v>
      </c>
      <c r="AR66" s="2255"/>
      <c r="AS66" s="2255"/>
      <c r="AT66" s="2255"/>
      <c r="AU66" s="2255"/>
      <c r="AV66" s="2255"/>
      <c r="AW66" s="27" t="s">
        <v>86</v>
      </c>
      <c r="AX66" s="2256"/>
      <c r="AY66" s="2256"/>
      <c r="AZ66" s="2256"/>
      <c r="BA66" s="2256"/>
      <c r="BB66" s="2256"/>
      <c r="BC66" s="2256"/>
      <c r="BD66" s="20"/>
      <c r="BE66" s="20"/>
      <c r="BF66" s="2233" t="str">
        <f>IF(BW3=0,"",IF(AND(AQ66="単価-1",AQ67="歩掛-1"),[6]Top!$BH$15,"User"))</f>
        <v>近畿</v>
      </c>
      <c r="BG66" s="2233"/>
      <c r="BH66" s="2233"/>
      <c r="BI66" s="2233"/>
      <c r="BJ66" s="20"/>
      <c r="BK66" s="20"/>
      <c r="BL66" s="20"/>
      <c r="BM66" s="20"/>
      <c r="BN66" s="20"/>
      <c r="BO66" s="20"/>
      <c r="BP66" s="20"/>
      <c r="BQ66" s="20"/>
      <c r="BR66" s="20"/>
      <c r="BS66" s="20"/>
      <c r="BT66" s="20"/>
      <c r="BU66" s="19"/>
      <c r="BV66" s="94"/>
      <c r="BW66" s="94"/>
      <c r="BX66" s="8"/>
      <c r="BY66" s="8"/>
      <c r="BZ66" s="8"/>
      <c r="CA66" s="8"/>
      <c r="CB66" s="8"/>
      <c r="CC66" s="8"/>
      <c r="CD66" s="8"/>
      <c r="CE66" s="8"/>
      <c r="CF66" s="8"/>
      <c r="CG66" s="8"/>
      <c r="CH66" s="8"/>
      <c r="CI66" s="8"/>
      <c r="CJ66" s="8"/>
      <c r="CK66" s="8"/>
      <c r="CL66" s="8"/>
      <c r="CM66" s="8"/>
      <c r="CN66" s="8"/>
      <c r="CO66" s="8"/>
      <c r="CP66" s="32">
        <f t="shared" si="17"/>
        <v>0</v>
      </c>
      <c r="CQ66" s="8"/>
      <c r="CR66" s="197">
        <f t="shared" si="8"/>
        <v>5</v>
      </c>
      <c r="CS66" s="197" t="str">
        <f t="shared" si="9"/>
        <v/>
      </c>
      <c r="CT66" s="201"/>
      <c r="CU66" s="8"/>
      <c r="CV66" s="8"/>
      <c r="CW66" s="8"/>
      <c r="CX66" s="8"/>
      <c r="CY66" s="8">
        <f t="shared" si="18"/>
        <v>0</v>
      </c>
      <c r="CZ66" s="32">
        <f t="shared" si="10"/>
        <v>0</v>
      </c>
    </row>
    <row r="67" spans="2:104" ht="12" customHeight="1" thickTop="1" thickBot="1">
      <c r="B67" s="23"/>
      <c r="C67" s="2542">
        <f>C63</f>
        <v>10</v>
      </c>
      <c r="D67" s="2542"/>
      <c r="E67" s="2542"/>
      <c r="F67" s="2543" t="str">
        <f>IF(C67="","","　の 計")</f>
        <v>　の 計</v>
      </c>
      <c r="G67" s="2543"/>
      <c r="H67" s="2543"/>
      <c r="I67" s="2543"/>
      <c r="J67" s="2543"/>
      <c r="K67" s="2260">
        <f>IF(BW3=0,"",SUM(K64:R66))</f>
        <v>5587100</v>
      </c>
      <c r="L67" s="2260"/>
      <c r="M67" s="2260"/>
      <c r="N67" s="2260"/>
      <c r="O67" s="2260"/>
      <c r="P67" s="2260"/>
      <c r="Q67" s="2260"/>
      <c r="R67" s="2260"/>
      <c r="S67" s="20"/>
      <c r="T67" s="20"/>
      <c r="U67" s="20"/>
      <c r="V67" s="20"/>
      <c r="W67" s="20"/>
      <c r="X67" s="20"/>
      <c r="Y67" s="20"/>
      <c r="Z67" s="20"/>
      <c r="AA67" s="20"/>
      <c r="AB67" s="20"/>
      <c r="AC67" s="20"/>
      <c r="AD67" s="20"/>
      <c r="AE67" s="20"/>
      <c r="AF67" s="20"/>
      <c r="AG67" s="20"/>
      <c r="AH67" s="20"/>
      <c r="AI67" s="20"/>
      <c r="AJ67" s="20"/>
      <c r="AK67" s="2253" t="str">
        <f>IF(B2=0,"","歩掛設定")</f>
        <v>歩掛設定</v>
      </c>
      <c r="AL67" s="2254"/>
      <c r="AM67" s="2254"/>
      <c r="AN67" s="2254"/>
      <c r="AO67" s="2254"/>
      <c r="AP67" s="2254"/>
      <c r="AQ67" s="2255" t="str">
        <f>IF(BW3=0,"",IF(AS66="",[6]原価!$AD$43,AS66))</f>
        <v>歩掛-1</v>
      </c>
      <c r="AR67" s="2255"/>
      <c r="AS67" s="2255"/>
      <c r="AT67" s="2255"/>
      <c r="AU67" s="2255"/>
      <c r="AV67" s="2255"/>
      <c r="AW67" s="27" t="s">
        <v>86</v>
      </c>
      <c r="AX67" s="2256"/>
      <c r="AY67" s="2256"/>
      <c r="AZ67" s="2256"/>
      <c r="BA67" s="2256"/>
      <c r="BB67" s="2256"/>
      <c r="BC67" s="2256"/>
      <c r="BD67" s="20"/>
      <c r="BE67" s="2232" t="str">
        <f>IF(BW3=0,"","建設物価")</f>
        <v>建設物価</v>
      </c>
      <c r="BF67" s="2232"/>
      <c r="BG67" s="2232"/>
      <c r="BH67" s="2232"/>
      <c r="BI67" s="2232"/>
      <c r="BJ67" s="2232"/>
      <c r="BK67" s="20"/>
      <c r="BL67" s="20"/>
      <c r="BM67" s="20"/>
      <c r="BN67" s="20"/>
      <c r="BO67" s="20"/>
      <c r="BP67" s="20"/>
      <c r="BQ67" s="20"/>
      <c r="BR67" s="20"/>
      <c r="BS67" s="20"/>
      <c r="BT67" s="20"/>
      <c r="BU67" s="19"/>
      <c r="BV67" s="94"/>
      <c r="BW67" s="94"/>
      <c r="BX67" s="8"/>
      <c r="BY67" s="8"/>
      <c r="BZ67" s="8"/>
      <c r="CA67" s="8"/>
      <c r="CB67" s="8"/>
      <c r="CC67" s="8"/>
      <c r="CD67" s="8"/>
      <c r="CE67" s="8"/>
      <c r="CF67" s="8"/>
      <c r="CG67" s="8"/>
      <c r="CH67" s="8"/>
      <c r="CI67" s="8"/>
      <c r="CJ67" s="8"/>
      <c r="CK67" s="8"/>
      <c r="CL67" s="8"/>
      <c r="CM67" s="8"/>
      <c r="CN67" s="8"/>
      <c r="CO67" s="8"/>
      <c r="CP67" s="32">
        <f t="shared" si="17"/>
        <v>0</v>
      </c>
      <c r="CQ67" s="8"/>
      <c r="CR67" s="197">
        <f t="shared" si="8"/>
        <v>5</v>
      </c>
      <c r="CS67" s="197" t="str">
        <f t="shared" si="9"/>
        <v/>
      </c>
      <c r="CT67" s="201"/>
      <c r="CU67" s="8"/>
      <c r="CV67" s="8"/>
      <c r="CW67" s="8"/>
      <c r="CX67" s="8"/>
      <c r="CY67" s="8">
        <f t="shared" si="18"/>
        <v>0</v>
      </c>
      <c r="CZ67" s="32">
        <f t="shared" si="10"/>
        <v>0</v>
      </c>
    </row>
    <row r="68" spans="2:104" ht="12" customHeight="1" thickTop="1">
      <c r="B68" s="23"/>
      <c r="C68" s="85"/>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19"/>
      <c r="BV68" s="94"/>
      <c r="BW68" s="94"/>
      <c r="BX68" s="8"/>
      <c r="BY68" s="8"/>
      <c r="BZ68" s="8"/>
      <c r="CA68" s="8"/>
      <c r="CB68" s="8"/>
      <c r="CC68" s="8"/>
      <c r="CD68" s="8"/>
      <c r="CE68" s="8"/>
      <c r="CF68" s="8"/>
      <c r="CG68" s="8"/>
      <c r="CH68" s="8"/>
      <c r="CI68" s="8"/>
      <c r="CJ68" s="8"/>
      <c r="CK68" s="8"/>
      <c r="CL68" s="8"/>
      <c r="CM68" s="8"/>
      <c r="CN68" s="8"/>
      <c r="CO68" s="8"/>
      <c r="CP68" s="32">
        <f t="shared" si="17"/>
        <v>0</v>
      </c>
      <c r="CQ68" s="8"/>
      <c r="CR68" s="197">
        <f t="shared" si="8"/>
        <v>5</v>
      </c>
      <c r="CS68" s="197" t="str">
        <f t="shared" si="9"/>
        <v/>
      </c>
      <c r="CT68" s="201"/>
      <c r="CU68" s="8"/>
      <c r="CV68" s="8"/>
      <c r="CW68" s="8"/>
      <c r="CX68" s="8"/>
      <c r="CY68" s="8">
        <f t="shared" si="18"/>
        <v>0</v>
      </c>
      <c r="CZ68" s="32">
        <f t="shared" si="10"/>
        <v>0</v>
      </c>
    </row>
    <row r="69" spans="2:104" ht="12" customHeight="1">
      <c r="B69" s="23"/>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29"/>
      <c r="AG69" s="29"/>
      <c r="AH69" s="29"/>
      <c r="AI69" s="29"/>
      <c r="AJ69" s="29"/>
      <c r="AK69" s="29"/>
      <c r="AL69" s="29"/>
      <c r="AM69" s="29"/>
      <c r="AN69" s="29"/>
      <c r="AO69" s="29"/>
      <c r="AP69" s="423"/>
      <c r="AQ69" s="29"/>
      <c r="AR69" s="29"/>
      <c r="AS69" s="29"/>
      <c r="AT69" s="29"/>
      <c r="AU69" s="29"/>
      <c r="AV69" s="20"/>
      <c r="AW69" s="20"/>
      <c r="AX69" s="20"/>
      <c r="AY69" s="20"/>
      <c r="AZ69" s="20"/>
      <c r="BA69" s="20"/>
      <c r="BB69" s="20"/>
      <c r="BC69" s="20"/>
      <c r="BD69" s="20"/>
      <c r="BE69" s="20"/>
      <c r="BF69" s="35"/>
      <c r="BG69" s="35"/>
      <c r="BH69" s="35"/>
      <c r="BI69" s="35"/>
      <c r="BJ69" s="35"/>
      <c r="BK69" s="35"/>
      <c r="BL69" s="35"/>
      <c r="BM69" s="35"/>
      <c r="BN69" s="35"/>
      <c r="BO69" s="35"/>
      <c r="BP69" s="35"/>
      <c r="BQ69" s="35"/>
      <c r="BR69" s="35"/>
      <c r="BS69" s="35"/>
      <c r="BT69" s="35"/>
      <c r="BU69" s="19"/>
      <c r="BV69" s="94"/>
      <c r="BW69" s="94"/>
      <c r="BX69" s="8"/>
      <c r="BY69" s="8"/>
      <c r="BZ69" s="8"/>
      <c r="CA69" s="8"/>
      <c r="CB69" s="8"/>
      <c r="CC69" s="8"/>
      <c r="CD69" s="8"/>
      <c r="CE69" s="8"/>
      <c r="CF69" s="8"/>
      <c r="CG69" s="8"/>
      <c r="CH69" s="8"/>
      <c r="CI69" s="8"/>
      <c r="CJ69" s="8"/>
      <c r="CK69" s="8"/>
      <c r="CL69" s="8"/>
      <c r="CM69" s="8"/>
      <c r="CN69" s="8"/>
      <c r="CO69" s="8"/>
      <c r="CP69" s="32">
        <f t="shared" si="17"/>
        <v>0</v>
      </c>
      <c r="CQ69" s="8"/>
      <c r="CR69" s="197">
        <f t="shared" si="8"/>
        <v>5</v>
      </c>
      <c r="CS69" s="197" t="str">
        <f t="shared" si="9"/>
        <v/>
      </c>
      <c r="CT69" s="201"/>
      <c r="CU69" s="8"/>
      <c r="CV69" s="8"/>
      <c r="CW69" s="8"/>
      <c r="CX69" s="8"/>
      <c r="CY69" s="8">
        <f t="shared" si="18"/>
        <v>0</v>
      </c>
      <c r="CZ69" s="32">
        <f t="shared" si="10"/>
        <v>0</v>
      </c>
    </row>
    <row r="70" spans="2:104" ht="12" customHeight="1">
      <c r="B70" s="23"/>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35"/>
      <c r="BG70" s="35"/>
      <c r="BH70" s="35"/>
      <c r="BI70" s="35"/>
      <c r="BJ70" s="35"/>
      <c r="BK70" s="35"/>
      <c r="BL70" s="35"/>
      <c r="BM70" s="35"/>
      <c r="BN70" s="35"/>
      <c r="BO70" s="35"/>
      <c r="BP70" s="35"/>
      <c r="BQ70" s="35"/>
      <c r="BR70" s="35"/>
      <c r="BS70" s="35"/>
      <c r="BT70" s="35"/>
      <c r="BU70" s="19"/>
      <c r="BV70" s="94"/>
      <c r="BW70" s="94"/>
      <c r="BX70" s="8"/>
      <c r="BY70" s="8"/>
      <c r="BZ70" s="8"/>
      <c r="CA70" s="8"/>
      <c r="CB70" s="8"/>
      <c r="CC70" s="8"/>
      <c r="CD70" s="8"/>
      <c r="CE70" s="8"/>
      <c r="CF70" s="8"/>
      <c r="CG70" s="8"/>
      <c r="CH70" s="8"/>
      <c r="CI70" s="8"/>
      <c r="CJ70" s="8"/>
      <c r="CK70" s="8"/>
      <c r="CL70" s="8"/>
      <c r="CM70" s="8"/>
      <c r="CN70" s="8"/>
      <c r="CO70" s="8"/>
      <c r="CP70" s="32">
        <f t="shared" si="17"/>
        <v>0</v>
      </c>
      <c r="CQ70" s="8"/>
      <c r="CR70" s="197">
        <f t="shared" si="8"/>
        <v>5</v>
      </c>
      <c r="CS70" s="197" t="str">
        <f t="shared" si="9"/>
        <v/>
      </c>
      <c r="CT70" s="201"/>
      <c r="CU70" s="8"/>
      <c r="CV70" s="8"/>
      <c r="CW70" s="8"/>
      <c r="CX70" s="8"/>
      <c r="CY70" s="8">
        <f t="shared" si="18"/>
        <v>0</v>
      </c>
      <c r="CZ70" s="32">
        <f t="shared" si="10"/>
        <v>0</v>
      </c>
    </row>
    <row r="71" spans="2:104" ht="12" customHeight="1">
      <c r="B71" s="23"/>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29"/>
      <c r="AG71" s="29"/>
      <c r="AH71" s="29"/>
      <c r="AI71" s="29"/>
      <c r="AJ71" s="29"/>
      <c r="AK71" s="29"/>
      <c r="AL71" s="29"/>
      <c r="AM71" s="29"/>
      <c r="AN71" s="29"/>
      <c r="AO71" s="29"/>
      <c r="AP71" s="29"/>
      <c r="AQ71" s="29"/>
      <c r="AR71" s="423"/>
      <c r="AS71" s="29"/>
      <c r="AT71" s="29"/>
      <c r="AU71" s="29"/>
      <c r="AV71" s="29"/>
      <c r="AW71" s="29"/>
      <c r="AX71" s="29"/>
      <c r="AY71" s="20"/>
      <c r="AZ71" s="20"/>
      <c r="BA71" s="41"/>
      <c r="BB71" s="41"/>
      <c r="BC71" s="41"/>
      <c r="BD71" s="41"/>
      <c r="BE71" s="20"/>
      <c r="BF71" s="35"/>
      <c r="BG71" s="35"/>
      <c r="BH71" s="35"/>
      <c r="BI71" s="35"/>
      <c r="BJ71" s="35"/>
      <c r="BK71" s="35"/>
      <c r="BL71" s="35"/>
      <c r="BM71" s="35"/>
      <c r="BN71" s="35"/>
      <c r="BO71" s="35"/>
      <c r="BP71" s="35"/>
      <c r="BQ71" s="35"/>
      <c r="BR71" s="35"/>
      <c r="BS71" s="35"/>
      <c r="BT71" s="35"/>
      <c r="BU71" s="19"/>
      <c r="BV71" s="94"/>
      <c r="BW71" s="94"/>
      <c r="BX71" s="8"/>
      <c r="BY71" s="8"/>
      <c r="BZ71" s="8"/>
      <c r="CA71" s="8"/>
      <c r="CB71" s="8"/>
      <c r="CC71" s="8"/>
      <c r="CD71" s="8"/>
      <c r="CE71" s="8"/>
      <c r="CF71" s="8"/>
      <c r="CG71" s="8"/>
      <c r="CH71" s="8"/>
      <c r="CI71" s="8"/>
      <c r="CJ71" s="8"/>
      <c r="CK71" s="8"/>
      <c r="CL71" s="8"/>
      <c r="CM71" s="8"/>
      <c r="CN71" s="8"/>
      <c r="CO71" s="8"/>
      <c r="CP71" s="32">
        <f t="shared" si="17"/>
        <v>0</v>
      </c>
      <c r="CQ71" s="8"/>
      <c r="CR71" s="197">
        <f t="shared" si="8"/>
        <v>5</v>
      </c>
      <c r="CS71" s="197" t="str">
        <f t="shared" si="9"/>
        <v/>
      </c>
      <c r="CT71" s="201"/>
      <c r="CU71" s="8"/>
      <c r="CV71" s="8"/>
      <c r="CW71" s="8"/>
      <c r="CX71" s="8"/>
      <c r="CY71" s="8">
        <f t="shared" si="18"/>
        <v>0</v>
      </c>
      <c r="CZ71" s="32">
        <f t="shared" si="10"/>
        <v>0</v>
      </c>
    </row>
    <row r="72" spans="2:104" ht="12" customHeight="1">
      <c r="B72" s="23"/>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29"/>
      <c r="AG72" s="29"/>
      <c r="AH72" s="29"/>
      <c r="AI72" s="29"/>
      <c r="AJ72" s="29"/>
      <c r="AK72" s="29"/>
      <c r="AL72" s="29"/>
      <c r="AM72" s="29"/>
      <c r="AN72" s="29"/>
      <c r="AO72" s="29"/>
      <c r="AP72" s="29"/>
      <c r="AQ72" s="29"/>
      <c r="AR72" s="423"/>
      <c r="AS72" s="29"/>
      <c r="AT72" s="29"/>
      <c r="AU72" s="29"/>
      <c r="AV72" s="29"/>
      <c r="AW72" s="29"/>
      <c r="AX72" s="29"/>
      <c r="AY72" s="20"/>
      <c r="AZ72" s="41"/>
      <c r="BA72" s="41"/>
      <c r="BB72" s="41"/>
      <c r="BC72" s="41"/>
      <c r="BD72" s="41"/>
      <c r="BE72" s="41"/>
      <c r="BF72" s="35"/>
      <c r="BG72" s="35"/>
      <c r="BH72" s="35"/>
      <c r="BI72" s="35"/>
      <c r="BJ72" s="35"/>
      <c r="BK72" s="35"/>
      <c r="BL72" s="35"/>
      <c r="BM72" s="35"/>
      <c r="BN72" s="35"/>
      <c r="BO72" s="35"/>
      <c r="BP72" s="35"/>
      <c r="BQ72" s="35"/>
      <c r="BR72" s="35"/>
      <c r="BS72" s="35"/>
      <c r="BT72" s="35"/>
      <c r="BU72" s="19"/>
      <c r="BV72" s="94"/>
      <c r="BW72" s="94"/>
      <c r="BX72" s="8"/>
      <c r="BY72" s="8"/>
      <c r="BZ72" s="8"/>
      <c r="CA72" s="8"/>
      <c r="CB72" s="8"/>
      <c r="CC72" s="8"/>
      <c r="CD72" s="8"/>
      <c r="CE72" s="8"/>
      <c r="CF72" s="8"/>
      <c r="CG72" s="8"/>
      <c r="CH72" s="8"/>
      <c r="CI72" s="8"/>
      <c r="CJ72" s="8"/>
      <c r="CK72" s="8"/>
      <c r="CL72" s="8"/>
      <c r="CM72" s="8"/>
      <c r="CN72" s="8"/>
      <c r="CO72" s="8"/>
      <c r="CP72" s="32">
        <f t="shared" si="17"/>
        <v>0</v>
      </c>
      <c r="CQ72" s="8"/>
      <c r="CR72" s="197">
        <f t="shared" si="8"/>
        <v>5</v>
      </c>
      <c r="CS72" s="197" t="str">
        <f t="shared" si="9"/>
        <v/>
      </c>
      <c r="CT72" s="201"/>
      <c r="CU72" s="8"/>
      <c r="CV72" s="8"/>
      <c r="CW72" s="8"/>
      <c r="CX72" s="8"/>
      <c r="CY72" s="8">
        <f t="shared" si="18"/>
        <v>0</v>
      </c>
      <c r="CZ72" s="32">
        <f t="shared" si="10"/>
        <v>0</v>
      </c>
    </row>
    <row r="73" spans="2:104" ht="12" customHeight="1">
      <c r="B73" s="23"/>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19"/>
      <c r="BV73" s="94"/>
      <c r="BW73" s="94"/>
      <c r="BX73" s="8"/>
      <c r="BY73" s="8"/>
      <c r="BZ73" s="8"/>
      <c r="CA73" s="8"/>
      <c r="CB73" s="8"/>
      <c r="CC73" s="8"/>
      <c r="CD73" s="8"/>
      <c r="CE73" s="8"/>
      <c r="CF73" s="8"/>
      <c r="CG73" s="8"/>
      <c r="CH73" s="8"/>
      <c r="CI73" s="8"/>
      <c r="CJ73" s="8"/>
      <c r="CK73" s="8"/>
      <c r="CL73" s="8"/>
      <c r="CM73" s="8"/>
      <c r="CN73" s="8"/>
      <c r="CO73" s="8"/>
      <c r="CP73" s="32">
        <f t="shared" si="17"/>
        <v>0</v>
      </c>
      <c r="CQ73" s="8"/>
      <c r="CR73" s="197">
        <f t="shared" si="8"/>
        <v>5</v>
      </c>
      <c r="CS73" s="197" t="str">
        <f t="shared" si="9"/>
        <v/>
      </c>
      <c r="CT73" s="201"/>
      <c r="CU73" s="8"/>
      <c r="CV73" s="8"/>
      <c r="CW73" s="8"/>
      <c r="CX73" s="8"/>
      <c r="CY73" s="8">
        <f t="shared" si="18"/>
        <v>0</v>
      </c>
      <c r="CZ73" s="32">
        <f t="shared" si="10"/>
        <v>0</v>
      </c>
    </row>
    <row r="74" spans="2:104" ht="12" customHeight="1">
      <c r="B74" s="23"/>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19"/>
      <c r="BV74" s="94"/>
      <c r="BW74" s="94"/>
      <c r="BX74" s="8"/>
      <c r="BY74" s="8"/>
      <c r="BZ74" s="8"/>
      <c r="CA74" s="8"/>
      <c r="CB74" s="8"/>
      <c r="CC74" s="8"/>
      <c r="CD74" s="8"/>
      <c r="CE74" s="8"/>
      <c r="CF74" s="8"/>
      <c r="CG74" s="8"/>
      <c r="CH74" s="8"/>
      <c r="CI74" s="8"/>
      <c r="CJ74" s="8"/>
      <c r="CK74" s="8"/>
      <c r="CL74" s="8"/>
      <c r="CM74" s="8"/>
      <c r="CN74" s="8"/>
      <c r="CO74" s="8"/>
      <c r="CP74" s="32">
        <f t="shared" si="17"/>
        <v>0</v>
      </c>
      <c r="CQ74" s="8"/>
      <c r="CR74" s="197">
        <f t="shared" si="8"/>
        <v>5</v>
      </c>
      <c r="CS74" s="197" t="str">
        <f t="shared" si="9"/>
        <v/>
      </c>
      <c r="CT74" s="201"/>
      <c r="CU74" s="8"/>
      <c r="CV74" s="8"/>
      <c r="CW74" s="8"/>
      <c r="CX74" s="8"/>
      <c r="CY74" s="8">
        <f t="shared" si="18"/>
        <v>0</v>
      </c>
      <c r="CZ74" s="32">
        <f t="shared" si="10"/>
        <v>0</v>
      </c>
    </row>
    <row r="75" spans="2:104" ht="12" customHeight="1">
      <c r="B75" s="23"/>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19"/>
      <c r="BV75" s="94"/>
      <c r="BW75" s="94"/>
      <c r="BX75" s="8"/>
      <c r="BY75" s="8"/>
      <c r="BZ75" s="8"/>
      <c r="CA75" s="8"/>
      <c r="CB75" s="8"/>
      <c r="CC75" s="8"/>
      <c r="CD75" s="8"/>
      <c r="CE75" s="8"/>
      <c r="CF75" s="8"/>
      <c r="CG75" s="8"/>
      <c r="CH75" s="8"/>
      <c r="CI75" s="8"/>
      <c r="CJ75" s="8"/>
      <c r="CK75" s="8"/>
      <c r="CL75" s="8"/>
      <c r="CM75" s="8"/>
      <c r="CN75" s="8"/>
      <c r="CO75" s="8"/>
      <c r="CP75" s="32">
        <f t="shared" si="17"/>
        <v>0</v>
      </c>
      <c r="CQ75" s="8"/>
      <c r="CR75" s="197">
        <f t="shared" si="8"/>
        <v>5</v>
      </c>
      <c r="CS75" s="197" t="str">
        <f t="shared" si="9"/>
        <v/>
      </c>
      <c r="CT75" s="201"/>
      <c r="CU75" s="8"/>
      <c r="CV75" s="8"/>
      <c r="CW75" s="8"/>
      <c r="CX75" s="8"/>
      <c r="CY75" s="8">
        <f t="shared" si="18"/>
        <v>0</v>
      </c>
      <c r="CZ75" s="32">
        <f t="shared" si="10"/>
        <v>0</v>
      </c>
    </row>
    <row r="76" spans="2:104" ht="12" customHeight="1">
      <c r="B76" s="23"/>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19"/>
      <c r="BV76" s="94"/>
      <c r="BW76" s="94"/>
      <c r="BX76" s="8"/>
      <c r="BY76" s="8"/>
      <c r="BZ76" s="8"/>
      <c r="CA76" s="8"/>
      <c r="CB76" s="8"/>
      <c r="CC76" s="8"/>
      <c r="CD76" s="8"/>
      <c r="CE76" s="8"/>
      <c r="CF76" s="8"/>
      <c r="CG76" s="8"/>
      <c r="CH76" s="8"/>
      <c r="CI76" s="8"/>
      <c r="CJ76" s="8"/>
      <c r="CK76" s="8"/>
      <c r="CL76" s="8"/>
      <c r="CM76" s="8"/>
      <c r="CN76" s="8"/>
      <c r="CO76" s="8"/>
      <c r="CP76" s="32">
        <f t="shared" si="17"/>
        <v>0</v>
      </c>
      <c r="CQ76" s="8"/>
      <c r="CR76" s="197">
        <f t="shared" si="8"/>
        <v>5</v>
      </c>
      <c r="CS76" s="197" t="str">
        <f t="shared" si="9"/>
        <v/>
      </c>
      <c r="CT76" s="201"/>
      <c r="CU76" s="8"/>
      <c r="CV76" s="8"/>
      <c r="CW76" s="8"/>
      <c r="CX76" s="8"/>
      <c r="CY76" s="8">
        <f t="shared" si="18"/>
        <v>0</v>
      </c>
      <c r="CZ76" s="32">
        <f t="shared" si="10"/>
        <v>0</v>
      </c>
    </row>
    <row r="77" spans="2:104" ht="12" customHeight="1">
      <c r="B77" s="23"/>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19"/>
      <c r="BV77" s="94"/>
      <c r="BW77" s="94"/>
      <c r="BX77" s="8"/>
      <c r="BY77" s="8"/>
      <c r="BZ77" s="8"/>
      <c r="CA77" s="8"/>
      <c r="CB77" s="8"/>
      <c r="CC77" s="8"/>
      <c r="CD77" s="8"/>
      <c r="CE77" s="8"/>
      <c r="CF77" s="8"/>
      <c r="CG77" s="8"/>
      <c r="CH77" s="8"/>
      <c r="CI77" s="8"/>
      <c r="CJ77" s="8"/>
      <c r="CK77" s="8"/>
      <c r="CL77" s="8"/>
      <c r="CM77" s="8"/>
      <c r="CN77" s="8"/>
      <c r="CO77" s="8"/>
      <c r="CP77" s="32">
        <f t="shared" si="17"/>
        <v>0</v>
      </c>
      <c r="CQ77" s="8"/>
      <c r="CR77" s="197">
        <f t="shared" si="8"/>
        <v>5</v>
      </c>
      <c r="CS77" s="197" t="str">
        <f t="shared" si="9"/>
        <v/>
      </c>
      <c r="CT77" s="201"/>
      <c r="CU77" s="8"/>
      <c r="CV77" s="8"/>
      <c r="CW77" s="8"/>
      <c r="CX77" s="8"/>
      <c r="CY77" s="8">
        <f t="shared" si="18"/>
        <v>0</v>
      </c>
      <c r="CZ77" s="32">
        <f t="shared" si="10"/>
        <v>0</v>
      </c>
    </row>
    <row r="78" spans="2:104" ht="12" customHeight="1">
      <c r="B78" s="23"/>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19"/>
      <c r="BV78" s="94"/>
      <c r="BW78" s="94"/>
      <c r="BX78" s="8"/>
      <c r="BY78" s="8"/>
      <c r="BZ78" s="8"/>
      <c r="CA78" s="8"/>
      <c r="CB78" s="8"/>
      <c r="CC78" s="8"/>
      <c r="CD78" s="8"/>
      <c r="CE78" s="8"/>
      <c r="CF78" s="8"/>
      <c r="CG78" s="8"/>
      <c r="CH78" s="8"/>
      <c r="CI78" s="8"/>
      <c r="CJ78" s="8"/>
      <c r="CK78" s="8"/>
      <c r="CL78" s="8"/>
      <c r="CM78" s="8"/>
      <c r="CN78" s="8"/>
      <c r="CO78" s="8"/>
      <c r="CP78" s="32">
        <f t="shared" si="17"/>
        <v>0</v>
      </c>
      <c r="CQ78" s="8"/>
      <c r="CR78" s="197">
        <f t="shared" si="8"/>
        <v>5</v>
      </c>
      <c r="CS78" s="197" t="str">
        <f t="shared" si="9"/>
        <v/>
      </c>
      <c r="CT78" s="201"/>
      <c r="CU78" s="8"/>
      <c r="CV78" s="8"/>
      <c r="CW78" s="8"/>
      <c r="CX78" s="8"/>
      <c r="CY78" s="8">
        <f t="shared" si="18"/>
        <v>0</v>
      </c>
      <c r="CZ78" s="32">
        <f t="shared" si="10"/>
        <v>0</v>
      </c>
    </row>
    <row r="79" spans="2:104" ht="12" customHeight="1">
      <c r="B79" s="23"/>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19"/>
      <c r="BV79" s="35"/>
      <c r="BW79" s="35"/>
    </row>
    <row r="80" spans="2:104" ht="12" customHeight="1">
      <c r="B80" s="18"/>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16"/>
      <c r="BV80" s="35"/>
      <c r="BW80" s="35"/>
    </row>
  </sheetData>
  <sheetProtection password="8220" sheet="1" objects="1" scenarios="1"/>
  <mergeCells count="445">
    <mergeCell ref="AQ66:AV66"/>
    <mergeCell ref="AX66:BC66"/>
    <mergeCell ref="C26:G26"/>
    <mergeCell ref="AM22:AP22"/>
    <mergeCell ref="AQ22:AR22"/>
    <mergeCell ref="AS22:AV22"/>
    <mergeCell ref="BO22:BT22"/>
    <mergeCell ref="AQ67:AV67"/>
    <mergeCell ref="AX67:BC67"/>
    <mergeCell ref="BE67:BJ67"/>
    <mergeCell ref="C28:X28"/>
    <mergeCell ref="Y28:AD28"/>
    <mergeCell ref="AF28:AK28"/>
    <mergeCell ref="K67:R67"/>
    <mergeCell ref="C67:E67"/>
    <mergeCell ref="F67:J67"/>
    <mergeCell ref="BG22:BN22"/>
    <mergeCell ref="BH28:BM28"/>
    <mergeCell ref="BN28:BT28"/>
    <mergeCell ref="C29:X29"/>
    <mergeCell ref="Y29:AD29"/>
    <mergeCell ref="AF29:AK29"/>
    <mergeCell ref="AL29:AO29"/>
    <mergeCell ref="C66:J66"/>
    <mergeCell ref="K66:R66"/>
    <mergeCell ref="BF66:BI66"/>
    <mergeCell ref="AK66:AP66"/>
    <mergeCell ref="S20:T20"/>
    <mergeCell ref="Y22:Z22"/>
    <mergeCell ref="AA22:AD22"/>
    <mergeCell ref="D18:H18"/>
    <mergeCell ref="J18:M18"/>
    <mergeCell ref="N18:P18"/>
    <mergeCell ref="R18:T18"/>
    <mergeCell ref="V18:X18"/>
    <mergeCell ref="Y18:AD18"/>
    <mergeCell ref="AP29:AV29"/>
    <mergeCell ref="AW29:BF29"/>
    <mergeCell ref="BH29:BM29"/>
    <mergeCell ref="C32:X32"/>
    <mergeCell ref="Y32:AD32"/>
    <mergeCell ref="AF32:AK32"/>
    <mergeCell ref="AL32:AO32"/>
    <mergeCell ref="AP32:AV32"/>
    <mergeCell ref="AW32:BF32"/>
    <mergeCell ref="BH32:BM32"/>
    <mergeCell ref="C34:X34"/>
    <mergeCell ref="Y34:AD34"/>
    <mergeCell ref="BZ1:CA1"/>
    <mergeCell ref="C6:I8"/>
    <mergeCell ref="AG6:AI6"/>
    <mergeCell ref="X6:AF6"/>
    <mergeCell ref="AJ6:AQ6"/>
    <mergeCell ref="AB12:AE12"/>
    <mergeCell ref="BL3:BS3"/>
    <mergeCell ref="BZ4:BZ5"/>
    <mergeCell ref="CA4:CA5"/>
    <mergeCell ref="BA3:BE3"/>
    <mergeCell ref="BI8:BR8"/>
    <mergeCell ref="AL8:AO8"/>
    <mergeCell ref="B3:D3"/>
    <mergeCell ref="E3:W3"/>
    <mergeCell ref="Y3:AC3"/>
    <mergeCell ref="J10:Q10"/>
    <mergeCell ref="R10:T10"/>
    <mergeCell ref="J6:M6"/>
    <mergeCell ref="N6:O6"/>
    <mergeCell ref="AI12:AL12"/>
    <mergeCell ref="AN12:AQ12"/>
    <mergeCell ref="U10:V10"/>
    <mergeCell ref="AZ10:BA10"/>
    <mergeCell ref="AD10:AE10"/>
    <mergeCell ref="AK67:AP67"/>
    <mergeCell ref="BB14:BD14"/>
    <mergeCell ref="AG14:AH14"/>
    <mergeCell ref="AR12:AY12"/>
    <mergeCell ref="AZ12:BA12"/>
    <mergeCell ref="BC12:BD12"/>
    <mergeCell ref="AZ14:BA14"/>
    <mergeCell ref="AW14:AY14"/>
    <mergeCell ref="AU14:AV14"/>
    <mergeCell ref="AQ14:AT14"/>
    <mergeCell ref="AL14:AM14"/>
    <mergeCell ref="AI14:AK14"/>
    <mergeCell ref="AF12:AH12"/>
    <mergeCell ref="AH20:AN20"/>
    <mergeCell ref="AO20:AP20"/>
    <mergeCell ref="AZ20:BD20"/>
    <mergeCell ref="AF18:AJ18"/>
    <mergeCell ref="AL18:AP18"/>
    <mergeCell ref="AQ18:AT18"/>
    <mergeCell ref="BC18:BD18"/>
    <mergeCell ref="BC22:BD22"/>
    <mergeCell ref="AL28:AO28"/>
    <mergeCell ref="AP28:AV28"/>
    <mergeCell ref="AW28:BF28"/>
    <mergeCell ref="CB4:CB5"/>
    <mergeCell ref="CG4:CG5"/>
    <mergeCell ref="BG5:BM7"/>
    <mergeCell ref="BN5:BT7"/>
    <mergeCell ref="AB10:AC10"/>
    <mergeCell ref="V20:AA20"/>
    <mergeCell ref="AB20:AC20"/>
    <mergeCell ref="AE20:AF20"/>
    <mergeCell ref="AY16:BB16"/>
    <mergeCell ref="BG20:BN20"/>
    <mergeCell ref="AA16:AD16"/>
    <mergeCell ref="AE16:AF16"/>
    <mergeCell ref="AV18:AY18"/>
    <mergeCell ref="BC16:BD16"/>
    <mergeCell ref="BO20:BR20"/>
    <mergeCell ref="BG16:BQ16"/>
    <mergeCell ref="BR16:BT16"/>
    <mergeCell ref="BG18:BN18"/>
    <mergeCell ref="AQ20:AR20"/>
    <mergeCell ref="P6:V6"/>
    <mergeCell ref="BC6:BD6"/>
    <mergeCell ref="AR6:AY6"/>
    <mergeCell ref="AZ6:BA6"/>
    <mergeCell ref="C15:BE15"/>
    <mergeCell ref="CH6:CH7"/>
    <mergeCell ref="BC10:BD10"/>
    <mergeCell ref="CI6:CI7"/>
    <mergeCell ref="J8:O8"/>
    <mergeCell ref="P8:Q8"/>
    <mergeCell ref="S8:T8"/>
    <mergeCell ref="V8:Z8"/>
    <mergeCell ref="AA8:AD8"/>
    <mergeCell ref="AE8:AF8"/>
    <mergeCell ref="AG8:AK8"/>
    <mergeCell ref="CG10:CG11"/>
    <mergeCell ref="CH10:CH11"/>
    <mergeCell ref="CI10:CI11"/>
    <mergeCell ref="AR8:AY8"/>
    <mergeCell ref="AZ8:BA8"/>
    <mergeCell ref="BC8:BD8"/>
    <mergeCell ref="W10:X10"/>
    <mergeCell ref="Y10:AA10"/>
    <mergeCell ref="AG10:AK10"/>
    <mergeCell ref="AL10:AO10"/>
    <mergeCell ref="AP10:AQ10"/>
    <mergeCell ref="AR10:AY10"/>
    <mergeCell ref="AP8:AQ8"/>
    <mergeCell ref="CJ10:CJ11"/>
    <mergeCell ref="BG11:BG13"/>
    <mergeCell ref="BH11:BH13"/>
    <mergeCell ref="BJ11:BJ13"/>
    <mergeCell ref="BK11:BK13"/>
    <mergeCell ref="BM11:BM13"/>
    <mergeCell ref="BN11:BN13"/>
    <mergeCell ref="BY10:BY11"/>
    <mergeCell ref="BZ10:BZ11"/>
    <mergeCell ref="CA10:CA11"/>
    <mergeCell ref="CB10:CB11"/>
    <mergeCell ref="CC10:CC11"/>
    <mergeCell ref="CD10:CD11"/>
    <mergeCell ref="CE10:CE11"/>
    <mergeCell ref="CF10:CF11"/>
    <mergeCell ref="BN29:BT29"/>
    <mergeCell ref="J16:N16"/>
    <mergeCell ref="P16:T16"/>
    <mergeCell ref="V16:Z16"/>
    <mergeCell ref="AH16:AL16"/>
    <mergeCell ref="AM16:AP16"/>
    <mergeCell ref="AQ16:AR16"/>
    <mergeCell ref="AT16:AX16"/>
    <mergeCell ref="BO18:BQ18"/>
    <mergeCell ref="AZ18:BB18"/>
    <mergeCell ref="AE22:AF22"/>
    <mergeCell ref="AG22:AJ22"/>
    <mergeCell ref="AK22:AL22"/>
    <mergeCell ref="AW22:AX22"/>
    <mergeCell ref="AY22:BB22"/>
    <mergeCell ref="BS18:BT18"/>
    <mergeCell ref="AS20:AX20"/>
    <mergeCell ref="BS20:BT20"/>
    <mergeCell ref="C19:BE19"/>
    <mergeCell ref="J20:N20"/>
    <mergeCell ref="O20:R20"/>
    <mergeCell ref="BN31:BT31"/>
    <mergeCell ref="C30:X30"/>
    <mergeCell ref="Y30:AD30"/>
    <mergeCell ref="AF30:AK30"/>
    <mergeCell ref="AL30:AO30"/>
    <mergeCell ref="AP30:AV30"/>
    <mergeCell ref="AW30:BF30"/>
    <mergeCell ref="Y31:AD31"/>
    <mergeCell ref="AF31:AK31"/>
    <mergeCell ref="AL31:AO31"/>
    <mergeCell ref="AP31:AV31"/>
    <mergeCell ref="AW31:BF31"/>
    <mergeCell ref="BH31:BM31"/>
    <mergeCell ref="BH30:BM30"/>
    <mergeCell ref="BN30:BT30"/>
    <mergeCell ref="BN32:BT32"/>
    <mergeCell ref="C33:X33"/>
    <mergeCell ref="Y33:AD33"/>
    <mergeCell ref="AF33:AK33"/>
    <mergeCell ref="AL33:AO33"/>
    <mergeCell ref="AP33:AV33"/>
    <mergeCell ref="AW33:BF33"/>
    <mergeCell ref="BH33:BM33"/>
    <mergeCell ref="BN33:BT33"/>
    <mergeCell ref="AF34:AK34"/>
    <mergeCell ref="AL34:AO34"/>
    <mergeCell ref="AP34:AV34"/>
    <mergeCell ref="AW34:BF34"/>
    <mergeCell ref="BH34:BM34"/>
    <mergeCell ref="BN34:BT34"/>
    <mergeCell ref="C35:X35"/>
    <mergeCell ref="Y35:AD35"/>
    <mergeCell ref="AF35:AK35"/>
    <mergeCell ref="AL35:AO35"/>
    <mergeCell ref="AP35:AV35"/>
    <mergeCell ref="AW35:BF35"/>
    <mergeCell ref="BH35:BM35"/>
    <mergeCell ref="BN35:BT35"/>
    <mergeCell ref="C36:X36"/>
    <mergeCell ref="Y36:AD36"/>
    <mergeCell ref="AF36:AK36"/>
    <mergeCell ref="AL36:AO36"/>
    <mergeCell ref="AP36:AV36"/>
    <mergeCell ref="AW36:BF36"/>
    <mergeCell ref="BH36:BM36"/>
    <mergeCell ref="BN36:BT36"/>
    <mergeCell ref="C37:X37"/>
    <mergeCell ref="Y37:AD37"/>
    <mergeCell ref="AF37:AK37"/>
    <mergeCell ref="AL37:AO37"/>
    <mergeCell ref="AP37:AV37"/>
    <mergeCell ref="AW37:BF37"/>
    <mergeCell ref="BH37:BM37"/>
    <mergeCell ref="BN37:BT37"/>
    <mergeCell ref="C38:X38"/>
    <mergeCell ref="Y38:AD38"/>
    <mergeCell ref="AF38:AK38"/>
    <mergeCell ref="AL38:AO38"/>
    <mergeCell ref="AP38:AV38"/>
    <mergeCell ref="AW38:BF38"/>
    <mergeCell ref="BH38:BM38"/>
    <mergeCell ref="BN38:BT38"/>
    <mergeCell ref="C39:X39"/>
    <mergeCell ref="Y39:AD39"/>
    <mergeCell ref="AF39:AK39"/>
    <mergeCell ref="AL39:AO39"/>
    <mergeCell ref="AP39:AV39"/>
    <mergeCell ref="AW39:BF39"/>
    <mergeCell ref="BH39:BM39"/>
    <mergeCell ref="BN39:BT39"/>
    <mergeCell ref="C40:X40"/>
    <mergeCell ref="Y40:AD40"/>
    <mergeCell ref="AF40:AK40"/>
    <mergeCell ref="AL40:AO40"/>
    <mergeCell ref="AP40:AV40"/>
    <mergeCell ref="AW40:BF40"/>
    <mergeCell ref="BH40:BM40"/>
    <mergeCell ref="BN40:BT40"/>
    <mergeCell ref="C41:X41"/>
    <mergeCell ref="Y41:AD41"/>
    <mergeCell ref="AF41:AK41"/>
    <mergeCell ref="AL41:AO41"/>
    <mergeCell ref="AP41:AV41"/>
    <mergeCell ref="AW41:BF41"/>
    <mergeCell ref="BH41:BM41"/>
    <mergeCell ref="BN41:BT41"/>
    <mergeCell ref="C42:X42"/>
    <mergeCell ref="Y42:AD42"/>
    <mergeCell ref="AF42:AK42"/>
    <mergeCell ref="AL42:AO42"/>
    <mergeCell ref="AP42:AV42"/>
    <mergeCell ref="AW42:BF42"/>
    <mergeCell ref="BH42:BM42"/>
    <mergeCell ref="BN42:BT42"/>
    <mergeCell ref="C43:X43"/>
    <mergeCell ref="Y43:AD43"/>
    <mergeCell ref="AF43:AK43"/>
    <mergeCell ref="AL43:AO43"/>
    <mergeCell ref="AP43:AV43"/>
    <mergeCell ref="AW43:BF43"/>
    <mergeCell ref="BH43:BM43"/>
    <mergeCell ref="BN43:BT43"/>
    <mergeCell ref="AW44:BF44"/>
    <mergeCell ref="BN44:BT44"/>
    <mergeCell ref="C45:X45"/>
    <mergeCell ref="Y45:AD45"/>
    <mergeCell ref="AF45:AK45"/>
    <mergeCell ref="AL45:AO45"/>
    <mergeCell ref="AP45:AV45"/>
    <mergeCell ref="AW45:BF45"/>
    <mergeCell ref="BH45:BM45"/>
    <mergeCell ref="BN45:BT45"/>
    <mergeCell ref="Y48:AD48"/>
    <mergeCell ref="AF48:AK48"/>
    <mergeCell ref="AL48:AO48"/>
    <mergeCell ref="AP48:AV48"/>
    <mergeCell ref="AW48:BF48"/>
    <mergeCell ref="BH48:BM48"/>
    <mergeCell ref="BN48:BT48"/>
    <mergeCell ref="Y46:AD46"/>
    <mergeCell ref="AF46:AK46"/>
    <mergeCell ref="AL46:AO46"/>
    <mergeCell ref="AP46:AV46"/>
    <mergeCell ref="AW46:BF46"/>
    <mergeCell ref="BH46:BM46"/>
    <mergeCell ref="C47:X47"/>
    <mergeCell ref="Y47:AD47"/>
    <mergeCell ref="AF47:AK47"/>
    <mergeCell ref="AL47:AO47"/>
    <mergeCell ref="AP47:AV47"/>
    <mergeCell ref="AW47:BF47"/>
    <mergeCell ref="BN46:BT46"/>
    <mergeCell ref="BH47:BM47"/>
    <mergeCell ref="BN47:BT47"/>
    <mergeCell ref="C49:X49"/>
    <mergeCell ref="Y49:AD49"/>
    <mergeCell ref="AF49:AK49"/>
    <mergeCell ref="AL49:AO49"/>
    <mergeCell ref="AP49:AV49"/>
    <mergeCell ref="AW49:BF49"/>
    <mergeCell ref="BH49:BM49"/>
    <mergeCell ref="BN49:BT49"/>
    <mergeCell ref="C50:X50"/>
    <mergeCell ref="Y50:AD50"/>
    <mergeCell ref="AF50:AK50"/>
    <mergeCell ref="AL50:AO50"/>
    <mergeCell ref="AP50:AV50"/>
    <mergeCell ref="AW50:BF50"/>
    <mergeCell ref="BH50:BM50"/>
    <mergeCell ref="BN50:BT50"/>
    <mergeCell ref="C51:X51"/>
    <mergeCell ref="Y51:AD51"/>
    <mergeCell ref="AF51:AK51"/>
    <mergeCell ref="AL51:AO51"/>
    <mergeCell ref="AP51:AV51"/>
    <mergeCell ref="AW51:BF51"/>
    <mergeCell ref="BH51:BM51"/>
    <mergeCell ref="BN51:BT51"/>
    <mergeCell ref="C52:X52"/>
    <mergeCell ref="Y52:AD52"/>
    <mergeCell ref="AF52:AK52"/>
    <mergeCell ref="AL52:AO52"/>
    <mergeCell ref="AP52:AV52"/>
    <mergeCell ref="AW52:BF52"/>
    <mergeCell ref="BH52:BM52"/>
    <mergeCell ref="BN52:BT52"/>
    <mergeCell ref="AL53:AO53"/>
    <mergeCell ref="AP53:AV53"/>
    <mergeCell ref="AW53:BF53"/>
    <mergeCell ref="BH53:BM53"/>
    <mergeCell ref="BN53:BT53"/>
    <mergeCell ref="C54:X54"/>
    <mergeCell ref="Y54:AD54"/>
    <mergeCell ref="AF54:AK54"/>
    <mergeCell ref="AL54:AO54"/>
    <mergeCell ref="AP54:AV54"/>
    <mergeCell ref="AW54:BF54"/>
    <mergeCell ref="BH54:BM54"/>
    <mergeCell ref="BN54:BT54"/>
    <mergeCell ref="AL55:AO55"/>
    <mergeCell ref="AP55:AV55"/>
    <mergeCell ref="AW55:BF55"/>
    <mergeCell ref="BH55:BM55"/>
    <mergeCell ref="BN55:BT55"/>
    <mergeCell ref="C56:X56"/>
    <mergeCell ref="Y56:AD56"/>
    <mergeCell ref="AF56:AK56"/>
    <mergeCell ref="AL56:AO56"/>
    <mergeCell ref="AP56:AV56"/>
    <mergeCell ref="AW56:BF56"/>
    <mergeCell ref="BH56:BM56"/>
    <mergeCell ref="BN56:BT56"/>
    <mergeCell ref="AL57:AO57"/>
    <mergeCell ref="AP57:AV57"/>
    <mergeCell ref="AW57:BF57"/>
    <mergeCell ref="BH57:BM57"/>
    <mergeCell ref="BN57:BT57"/>
    <mergeCell ref="C58:X58"/>
    <mergeCell ref="Y58:AD58"/>
    <mergeCell ref="AF58:AK58"/>
    <mergeCell ref="AL58:AO58"/>
    <mergeCell ref="AP58:AV58"/>
    <mergeCell ref="AW58:BF58"/>
    <mergeCell ref="BH58:BM58"/>
    <mergeCell ref="BN58:BT58"/>
    <mergeCell ref="BH59:BM59"/>
    <mergeCell ref="BN59:BT59"/>
    <mergeCell ref="AW60:BF60"/>
    <mergeCell ref="BN60:BT60"/>
    <mergeCell ref="C63:E63"/>
    <mergeCell ref="F63:R63"/>
    <mergeCell ref="AF63:AJ63"/>
    <mergeCell ref="AK63:AO63"/>
    <mergeCell ref="AQ63:AU63"/>
    <mergeCell ref="C59:X59"/>
    <mergeCell ref="Y59:AD59"/>
    <mergeCell ref="AK64:AO64"/>
    <mergeCell ref="AP64:AT64"/>
    <mergeCell ref="AV64:AZ64"/>
    <mergeCell ref="Z64:AG64"/>
    <mergeCell ref="W64:Y64"/>
    <mergeCell ref="S64:U64"/>
    <mergeCell ref="AF59:AK59"/>
    <mergeCell ref="AL59:AO59"/>
    <mergeCell ref="AP59:AV59"/>
    <mergeCell ref="AW59:BF59"/>
    <mergeCell ref="S63:Y63"/>
    <mergeCell ref="C48:X48"/>
    <mergeCell ref="C46:X46"/>
    <mergeCell ref="C31:X31"/>
    <mergeCell ref="D22:H22"/>
    <mergeCell ref="J22:L22"/>
    <mergeCell ref="M22:R22"/>
    <mergeCell ref="S22:T22"/>
    <mergeCell ref="U22:X22"/>
    <mergeCell ref="Z65:AG65"/>
    <mergeCell ref="S65:U65"/>
    <mergeCell ref="W65:Y65"/>
    <mergeCell ref="C64:J64"/>
    <mergeCell ref="K64:R64"/>
    <mergeCell ref="C65:J65"/>
    <mergeCell ref="K65:R65"/>
    <mergeCell ref="C57:X57"/>
    <mergeCell ref="Y57:AD57"/>
    <mergeCell ref="AF57:AK57"/>
    <mergeCell ref="C55:X55"/>
    <mergeCell ref="Y55:AD55"/>
    <mergeCell ref="AF55:AK55"/>
    <mergeCell ref="C53:X53"/>
    <mergeCell ref="Y53:AD53"/>
    <mergeCell ref="AF53:AK53"/>
    <mergeCell ref="D14:E14"/>
    <mergeCell ref="F14:H14"/>
    <mergeCell ref="D10:H10"/>
    <mergeCell ref="O14:R14"/>
    <mergeCell ref="Z14:AB14"/>
    <mergeCell ref="AN14:AP14"/>
    <mergeCell ref="AC14:AF14"/>
    <mergeCell ref="X14:Y14"/>
    <mergeCell ref="U14:W14"/>
    <mergeCell ref="S14:T14"/>
    <mergeCell ref="J14:N14"/>
    <mergeCell ref="J12:Q12"/>
    <mergeCell ref="R12:T12"/>
    <mergeCell ref="U12:X12"/>
    <mergeCell ref="Y12:AA12"/>
  </mergeCells>
  <phoneticPr fontId="1"/>
  <dataValidations count="12">
    <dataValidation type="list" allowBlank="1" showInputMessage="1" showErrorMessage="1" sqref="X6">
      <formula1>"避雷突針,むね上げ導体"</formula1>
    </dataValidation>
    <dataValidation type="list" allowBlank="1" showInputMessage="1" showErrorMessage="1" sqref="BC8 BC6 BC12 BC10">
      <formula1>"　,①,②,③,④,⑤,⑥,⑦,⑧,⑨"</formula1>
    </dataValidation>
    <dataValidation type="list" allowBlank="1" showInputMessage="1" showErrorMessage="1" sqref="AN12:AQ12">
      <formula1>"JIS 大,JIS 中,国交省,都市機構,NTT"</formula1>
    </dataValidation>
    <dataValidation type="list" allowBlank="1" showInputMessage="1" showErrorMessage="1" sqref="AZ20">
      <formula1>$CL$2:$CL$21</formula1>
    </dataValidation>
    <dataValidation type="list" allowBlank="1" showInputMessage="1" showErrorMessage="1" sqref="P16:T16">
      <formula1>"引下導線,簡 略 法"</formula1>
    </dataValidation>
    <dataValidation type="list" allowBlank="1" showInputMessage="1" showErrorMessage="1" sqref="S8:T8">
      <formula1>"Ⅰ,Ⅱ,Ⅲ,Ⅳ"</formula1>
    </dataValidation>
    <dataValidation type="list" allowBlank="1" showInputMessage="1" showErrorMessage="1" sqref="AV18">
      <formula1>"40mmsq,60mmsq"</formula1>
    </dataValidation>
    <dataValidation type="list" allowBlank="1" showInputMessage="1" showErrorMessage="1" sqref="R18">
      <formula1>"導線,笠木"</formula1>
    </dataValidation>
    <dataValidation type="list" allowBlank="1" showInputMessage="1" showErrorMessage="1" sqref="AF18:AJ18">
      <formula1>"13/2.0mm,19/2.0mm"</formula1>
    </dataValidation>
    <dataValidation type="list" allowBlank="1" showInputMessage="1" showErrorMessage="1" sqref="AE20:AF20">
      <formula1>"1,2,3,4,5,6,7,8,9,10,11,12,13,14,15,16,17,18,19,20"</formula1>
    </dataValidation>
    <dataValidation type="list" allowBlank="1" showInputMessage="1" showErrorMessage="1" sqref="AS71:AX71 AX66:BC66">
      <formula1>"単価-1,単価-2,単価-3,単価-4"</formula1>
    </dataValidation>
    <dataValidation type="list" allowBlank="1" showInputMessage="1" showErrorMessage="1" sqref="AS72:AX72 AX67:BC67">
      <formula1>"歩掛-1,歩掛-2,歩掛-3"</formula1>
    </dataValidation>
  </dataValidations>
  <hyperlinks>
    <hyperlink ref="BL3:BS3" location="TV!A1" display="テレビ共聴設備"/>
    <hyperlink ref="BA3:BE3" r:id="rId1" location="Help!A1293" display="Help"/>
    <hyperlink ref="Y3:AC3" r:id="rId2" location="Top!A43" display="TopPage"/>
  </hyperlinks>
  <pageMargins left="0.78740157480314965" right="0.59055118110236227" top="0.59055118110236227" bottom="0.39370078740157483" header="0.31496062992125984" footer="0.31496062992125984"/>
  <pageSetup paperSize="9" scale="95" orientation="portrait" r:id="rId3"/>
  <colBreaks count="1" manualBreakCount="1">
    <brk id="73" min="1" max="80" man="1"/>
  </colBreak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T326"/>
  <sheetViews>
    <sheetView view="pageBreakPreview" zoomScale="140" zoomScaleSheetLayoutView="140" workbookViewId="0"/>
  </sheetViews>
  <sheetFormatPr defaultRowHeight="14.25"/>
  <cols>
    <col min="1" max="1" width="2" style="4" customWidth="1"/>
    <col min="2" max="72" width="1.42578125" style="4" customWidth="1"/>
    <col min="73" max="73" width="3.7109375" style="4" customWidth="1"/>
    <col min="74" max="124" width="3.7109375" style="4" hidden="1" customWidth="1"/>
    <col min="125" max="125" width="3.7109375" style="4" customWidth="1"/>
    <col min="126" max="16384" width="9.140625" style="4"/>
  </cols>
  <sheetData>
    <row r="1" spans="2:115" ht="12" customHeight="1"/>
    <row r="2" spans="2:115" ht="5.25" customHeight="1" thickBot="1">
      <c r="B2" s="93">
        <v>1</v>
      </c>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652"/>
      <c r="AL2" s="653"/>
      <c r="AM2" s="653"/>
      <c r="AN2" s="653"/>
      <c r="AO2" s="653"/>
      <c r="AP2" s="653"/>
      <c r="AQ2" s="653"/>
      <c r="AR2" s="653"/>
      <c r="AS2" s="653"/>
      <c r="AT2" s="653"/>
      <c r="AU2" s="79"/>
      <c r="AV2" s="79"/>
      <c r="AW2" s="79"/>
      <c r="AX2" s="79"/>
      <c r="AY2" s="79"/>
      <c r="AZ2" s="79"/>
      <c r="BA2" s="79"/>
      <c r="BB2" s="79"/>
      <c r="BC2" s="79"/>
      <c r="BD2" s="79"/>
      <c r="BE2" s="79"/>
      <c r="BF2" s="79"/>
      <c r="BG2" s="79"/>
      <c r="BH2" s="652"/>
      <c r="BI2" s="652"/>
      <c r="BJ2" s="652"/>
      <c r="BK2" s="652"/>
      <c r="BL2" s="652"/>
      <c r="BM2" s="652"/>
      <c r="BN2" s="652"/>
      <c r="BO2" s="652"/>
      <c r="BP2" s="652"/>
      <c r="BQ2" s="652"/>
      <c r="BR2" s="652"/>
      <c r="BS2" s="79"/>
      <c r="BT2" s="79"/>
      <c r="BU2" s="78"/>
    </row>
    <row r="3" spans="2:115" ht="12" customHeight="1" thickBot="1">
      <c r="B3" s="3088">
        <f>[3]Top!$AV$86</f>
        <v>11</v>
      </c>
      <c r="C3" s="3088"/>
      <c r="D3" s="3088"/>
      <c r="E3" s="3089" t="str">
        <f>IF(B2=0,"",[3]Top!$BA$86)</f>
        <v xml:space="preserve"> 構内電話設備工事</v>
      </c>
      <c r="F3" s="3090"/>
      <c r="G3" s="3090"/>
      <c r="H3" s="3090"/>
      <c r="I3" s="3090"/>
      <c r="J3" s="3090"/>
      <c r="K3" s="3090"/>
      <c r="L3" s="3090"/>
      <c r="M3" s="3090"/>
      <c r="N3" s="3090"/>
      <c r="O3" s="3090"/>
      <c r="P3" s="3090"/>
      <c r="Q3" s="3090"/>
      <c r="R3" s="3090"/>
      <c r="S3" s="3090"/>
      <c r="T3" s="3090"/>
      <c r="U3" s="3090"/>
      <c r="V3" s="3090"/>
      <c r="W3" s="3090"/>
      <c r="X3" s="73"/>
      <c r="Y3" s="2432" t="s">
        <v>800</v>
      </c>
      <c r="Z3" s="2433"/>
      <c r="AA3" s="2433"/>
      <c r="AB3" s="2433"/>
      <c r="AC3" s="2434"/>
      <c r="AD3" s="35"/>
      <c r="AE3" s="3091" t="s">
        <v>597</v>
      </c>
      <c r="AF3" s="3092"/>
      <c r="AG3" s="3092"/>
      <c r="AH3" s="3092"/>
      <c r="AI3" s="3093"/>
      <c r="AJ3" s="35"/>
      <c r="AK3" s="3091" t="s">
        <v>710</v>
      </c>
      <c r="AL3" s="3092"/>
      <c r="AM3" s="3092"/>
      <c r="AN3" s="3092"/>
      <c r="AO3" s="3093"/>
      <c r="AP3" s="123"/>
      <c r="AQ3" s="123"/>
      <c r="AR3" s="123"/>
      <c r="AS3" s="123"/>
      <c r="AT3" s="123"/>
      <c r="AU3" s="2432" t="s">
        <v>799</v>
      </c>
      <c r="AV3" s="2433"/>
      <c r="AW3" s="2433"/>
      <c r="AX3" s="2433"/>
      <c r="AY3" s="2434"/>
      <c r="AZ3" s="35"/>
      <c r="BA3" s="35"/>
      <c r="BB3" s="35"/>
      <c r="BC3" s="3072" t="s">
        <v>798</v>
      </c>
      <c r="BD3" s="3072"/>
      <c r="BE3" s="3072"/>
      <c r="BF3" s="3072"/>
      <c r="BG3" s="3072"/>
      <c r="BH3" s="651"/>
      <c r="BI3" s="651"/>
      <c r="BJ3" s="651"/>
      <c r="BK3" s="651"/>
      <c r="BL3" s="651"/>
      <c r="BM3" s="651"/>
      <c r="BN3" s="651"/>
      <c r="BO3" s="651"/>
      <c r="BP3" s="651"/>
      <c r="BQ3" s="651"/>
      <c r="BR3" s="651"/>
      <c r="BS3" s="35"/>
      <c r="BT3" s="35"/>
      <c r="BU3" s="19"/>
      <c r="BX3" s="4">
        <f>B2</f>
        <v>1</v>
      </c>
    </row>
    <row r="4" spans="2:115" ht="6" customHeight="1" thickBot="1">
      <c r="B4" s="23"/>
      <c r="C4" s="35"/>
      <c r="D4" s="35"/>
      <c r="E4" s="35"/>
      <c r="F4" s="35"/>
      <c r="G4" s="35"/>
      <c r="H4" s="35"/>
      <c r="I4" s="35"/>
      <c r="J4" s="35"/>
      <c r="K4" s="557"/>
      <c r="L4" s="35"/>
      <c r="M4" s="35"/>
      <c r="N4" s="35"/>
      <c r="O4" s="35"/>
      <c r="P4" s="35"/>
      <c r="Q4" s="35"/>
      <c r="R4" s="35"/>
      <c r="S4" s="35"/>
      <c r="T4" s="35"/>
      <c r="U4" s="35"/>
      <c r="V4" s="35"/>
      <c r="W4" s="35"/>
      <c r="X4" s="35"/>
      <c r="Y4" s="35"/>
      <c r="Z4" s="35"/>
      <c r="AA4" s="35"/>
      <c r="AB4" s="35"/>
      <c r="AC4" s="35"/>
      <c r="AD4" s="35"/>
      <c r="AE4" s="35"/>
      <c r="AF4" s="35"/>
      <c r="AG4" s="35"/>
      <c r="AH4" s="35"/>
      <c r="AI4" s="35"/>
      <c r="AJ4" s="35"/>
      <c r="AK4" s="650"/>
      <c r="AL4" s="650"/>
      <c r="AM4" s="650"/>
      <c r="AN4" s="650"/>
      <c r="AO4" s="650"/>
      <c r="AP4" s="650"/>
      <c r="AQ4" s="650"/>
      <c r="AR4" s="650"/>
      <c r="AS4" s="650"/>
      <c r="AT4" s="650"/>
      <c r="AU4" s="35"/>
      <c r="AV4" s="35"/>
      <c r="AW4" s="35"/>
      <c r="AX4" s="35"/>
      <c r="AY4" s="35"/>
      <c r="AZ4" s="35"/>
      <c r="BA4" s="35"/>
      <c r="BB4" s="35"/>
      <c r="BC4" s="35"/>
      <c r="BD4" s="35"/>
      <c r="BE4" s="35"/>
      <c r="BF4" s="35"/>
      <c r="BG4" s="35"/>
      <c r="BH4" s="649"/>
      <c r="BI4" s="649"/>
      <c r="BJ4" s="649"/>
      <c r="BK4" s="649"/>
      <c r="BL4" s="649"/>
      <c r="BM4" s="649"/>
      <c r="BN4" s="649"/>
      <c r="BO4" s="649"/>
      <c r="BP4" s="649"/>
      <c r="BQ4" s="649"/>
      <c r="BR4" s="649"/>
      <c r="BS4" s="35"/>
      <c r="BT4" s="35"/>
      <c r="BU4" s="19"/>
    </row>
    <row r="5" spans="2:115" ht="6" customHeight="1" thickBot="1">
      <c r="B5" s="23"/>
      <c r="C5" s="648"/>
      <c r="D5" s="648"/>
      <c r="E5" s="648"/>
      <c r="F5" s="648"/>
      <c r="G5" s="648"/>
      <c r="H5" s="648"/>
      <c r="I5" s="648"/>
      <c r="J5" s="648"/>
      <c r="K5" s="648"/>
      <c r="L5" s="648"/>
      <c r="M5" s="648"/>
      <c r="N5" s="648"/>
      <c r="O5" s="647"/>
      <c r="P5" s="646"/>
      <c r="Q5" s="646"/>
      <c r="R5" s="646"/>
      <c r="S5" s="646"/>
      <c r="T5" s="646"/>
      <c r="U5" s="646"/>
      <c r="V5" s="644"/>
      <c r="W5" s="641"/>
      <c r="X5" s="641"/>
      <c r="Y5" s="641"/>
      <c r="Z5" s="641"/>
      <c r="AA5" s="641"/>
      <c r="AB5" s="641"/>
      <c r="AC5" s="640"/>
      <c r="AD5" s="645"/>
      <c r="AE5" s="645"/>
      <c r="AF5" s="645"/>
      <c r="AG5" s="645"/>
      <c r="AH5" s="645"/>
      <c r="AI5" s="645"/>
      <c r="AJ5" s="645"/>
      <c r="AK5" s="645"/>
      <c r="AL5" s="644"/>
      <c r="AM5" s="643"/>
      <c r="AN5" s="643"/>
      <c r="AO5" s="643"/>
      <c r="AP5" s="643"/>
      <c r="AQ5" s="643"/>
      <c r="AR5" s="642"/>
      <c r="AS5" s="642"/>
      <c r="AT5" s="642"/>
      <c r="AU5" s="642"/>
      <c r="AV5" s="642"/>
      <c r="AW5" s="642"/>
      <c r="AX5" s="642"/>
      <c r="AY5" s="642"/>
      <c r="AZ5" s="567"/>
      <c r="BA5" s="35"/>
      <c r="BB5" s="35"/>
      <c r="BC5" s="3121" t="s">
        <v>370</v>
      </c>
      <c r="BD5" s="77"/>
      <c r="BE5" s="77"/>
      <c r="BF5" s="77"/>
      <c r="BG5" s="77"/>
      <c r="BH5" s="77"/>
      <c r="BI5" s="77"/>
      <c r="BJ5" s="3096" t="s">
        <v>797</v>
      </c>
      <c r="BK5" s="76"/>
      <c r="BL5" s="75"/>
      <c r="BM5" s="75"/>
      <c r="BN5" s="75"/>
      <c r="BO5" s="75"/>
      <c r="BP5" s="75"/>
      <c r="BQ5" s="75"/>
      <c r="BR5" s="75"/>
      <c r="BS5" s="3096" t="s">
        <v>380</v>
      </c>
      <c r="BT5" s="74" t="s">
        <v>796</v>
      </c>
      <c r="BU5" s="19"/>
    </row>
    <row r="6" spans="2:115" ht="6" customHeight="1">
      <c r="B6" s="23"/>
      <c r="C6" s="3073" t="s">
        <v>239</v>
      </c>
      <c r="D6" s="3074"/>
      <c r="E6" s="3074"/>
      <c r="F6" s="3074"/>
      <c r="G6" s="3074"/>
      <c r="H6" s="3074"/>
      <c r="I6" s="3074"/>
      <c r="J6" s="3074"/>
      <c r="K6" s="635"/>
      <c r="L6" s="628"/>
      <c r="M6" s="3075" t="s">
        <v>795</v>
      </c>
      <c r="N6" s="3075"/>
      <c r="O6" s="3075"/>
      <c r="P6" s="3075"/>
      <c r="Q6" s="3075"/>
      <c r="R6" s="3075"/>
      <c r="S6" s="3075"/>
      <c r="T6" s="3075"/>
      <c r="U6" s="3075"/>
      <c r="V6" s="3075"/>
      <c r="W6" s="3076" t="s">
        <v>793</v>
      </c>
      <c r="X6" s="3076"/>
      <c r="Y6" s="3076"/>
      <c r="Z6" s="3076"/>
      <c r="AA6" s="641"/>
      <c r="AB6" s="641"/>
      <c r="AC6" s="640"/>
      <c r="AD6" s="3075" t="s">
        <v>794</v>
      </c>
      <c r="AE6" s="3075"/>
      <c r="AF6" s="3075"/>
      <c r="AG6" s="3075"/>
      <c r="AH6" s="3075"/>
      <c r="AI6" s="3075"/>
      <c r="AJ6" s="3075"/>
      <c r="AK6" s="3075"/>
      <c r="AL6" s="3097" t="s">
        <v>793</v>
      </c>
      <c r="AM6" s="3097"/>
      <c r="AN6" s="3097"/>
      <c r="AO6" s="3097"/>
      <c r="AP6" s="638"/>
      <c r="AQ6" s="3098" t="s">
        <v>792</v>
      </c>
      <c r="AR6" s="3098"/>
      <c r="AS6" s="3098"/>
      <c r="AT6" s="3098"/>
      <c r="AU6" s="3098"/>
      <c r="AV6" s="3098"/>
      <c r="AW6" s="3098"/>
      <c r="AX6" s="3098"/>
      <c r="AY6" s="3098"/>
      <c r="AZ6" s="567"/>
      <c r="BA6" s="35"/>
      <c r="BB6" s="35"/>
      <c r="BC6" s="3122"/>
      <c r="BD6" s="3100" t="str">
        <f>[11]引込!$BD$5</f>
        <v>X=3m</v>
      </c>
      <c r="BE6" s="3101"/>
      <c r="BF6" s="3101"/>
      <c r="BG6" s="3101"/>
      <c r="BH6" s="3101"/>
      <c r="BI6" s="65"/>
      <c r="BJ6" s="2229"/>
      <c r="BK6" s="72"/>
      <c r="BL6" s="58"/>
      <c r="BM6" s="58"/>
      <c r="BN6" s="58"/>
      <c r="BO6" s="58"/>
      <c r="BP6" s="58"/>
      <c r="BQ6" s="622"/>
      <c r="BR6" s="622"/>
      <c r="BS6" s="2229"/>
      <c r="BT6" s="611"/>
      <c r="BU6" s="19"/>
      <c r="BW6" s="636"/>
    </row>
    <row r="7" spans="2:115" ht="7.5" customHeight="1">
      <c r="B7" s="23"/>
      <c r="C7" s="3073"/>
      <c r="D7" s="3074"/>
      <c r="E7" s="3074"/>
      <c r="F7" s="3074"/>
      <c r="G7" s="3074"/>
      <c r="H7" s="3074"/>
      <c r="I7" s="3074"/>
      <c r="J7" s="3074"/>
      <c r="K7" s="635"/>
      <c r="L7" s="628"/>
      <c r="M7" s="3075"/>
      <c r="N7" s="3075"/>
      <c r="O7" s="3075"/>
      <c r="P7" s="3075"/>
      <c r="Q7" s="3075"/>
      <c r="R7" s="3075"/>
      <c r="S7" s="3075"/>
      <c r="T7" s="3075"/>
      <c r="U7" s="3075"/>
      <c r="V7" s="3075"/>
      <c r="W7" s="3077"/>
      <c r="X7" s="3077"/>
      <c r="Y7" s="3077"/>
      <c r="Z7" s="3077"/>
      <c r="AA7" s="638"/>
      <c r="AB7" s="638"/>
      <c r="AC7" s="639"/>
      <c r="AD7" s="3075"/>
      <c r="AE7" s="3075"/>
      <c r="AF7" s="3075"/>
      <c r="AG7" s="3075"/>
      <c r="AH7" s="3075"/>
      <c r="AI7" s="3075"/>
      <c r="AJ7" s="3075"/>
      <c r="AK7" s="3075"/>
      <c r="AL7" s="3077"/>
      <c r="AM7" s="3077"/>
      <c r="AN7" s="3077"/>
      <c r="AO7" s="3077"/>
      <c r="AP7" s="638"/>
      <c r="AQ7" s="3099"/>
      <c r="AR7" s="3099"/>
      <c r="AS7" s="3099"/>
      <c r="AT7" s="3099"/>
      <c r="AU7" s="3099"/>
      <c r="AV7" s="3099"/>
      <c r="AW7" s="3099"/>
      <c r="AX7" s="3099"/>
      <c r="AY7" s="3099"/>
      <c r="AZ7" s="567"/>
      <c r="BA7" s="35"/>
      <c r="BB7" s="35"/>
      <c r="BC7" s="3123"/>
      <c r="BD7" s="3100"/>
      <c r="BE7" s="3101"/>
      <c r="BF7" s="3101"/>
      <c r="BG7" s="3101"/>
      <c r="BH7" s="3101"/>
      <c r="BI7" s="58"/>
      <c r="BJ7" s="637"/>
      <c r="BK7" s="72"/>
      <c r="BL7" s="58"/>
      <c r="BM7" s="58"/>
      <c r="BN7" s="58"/>
      <c r="BO7" s="58"/>
      <c r="BP7" s="58"/>
      <c r="BQ7" s="3115" t="s">
        <v>82</v>
      </c>
      <c r="BR7" s="3115"/>
      <c r="BS7" s="3115"/>
      <c r="BT7" s="3116"/>
      <c r="BU7" s="19"/>
      <c r="BW7" s="636"/>
    </row>
    <row r="8" spans="2:115" ht="12" customHeight="1">
      <c r="B8" s="23"/>
      <c r="C8" s="3073"/>
      <c r="D8" s="3074"/>
      <c r="E8" s="3074"/>
      <c r="F8" s="3074"/>
      <c r="G8" s="3074"/>
      <c r="H8" s="3074"/>
      <c r="I8" s="3074"/>
      <c r="J8" s="3074"/>
      <c r="K8" s="635"/>
      <c r="L8" s="630"/>
      <c r="M8" s="630"/>
      <c r="N8" s="630"/>
      <c r="O8" s="630"/>
      <c r="P8" s="630"/>
      <c r="Q8" s="589" t="s">
        <v>791</v>
      </c>
      <c r="R8" s="3078">
        <f>IF(B2=0,"",IF(W8="",1000,W8))</f>
        <v>1000</v>
      </c>
      <c r="S8" s="3079"/>
      <c r="T8" s="3079"/>
      <c r="U8" s="3079"/>
      <c r="V8" s="634" t="s">
        <v>68</v>
      </c>
      <c r="W8" s="3080"/>
      <c r="X8" s="3081"/>
      <c r="Y8" s="3081"/>
      <c r="Z8" s="3082"/>
      <c r="AA8" s="626"/>
      <c r="AB8" s="626"/>
      <c r="AC8" s="626"/>
      <c r="AD8" s="626"/>
      <c r="AE8" s="626"/>
      <c r="AF8" s="627" t="s">
        <v>790</v>
      </c>
      <c r="AG8" s="3078">
        <f>IF(B2=0,"",IF(AL8="",500,AL8))</f>
        <v>500</v>
      </c>
      <c r="AH8" s="3079"/>
      <c r="AI8" s="3079"/>
      <c r="AJ8" s="3079"/>
      <c r="AK8" s="552" t="s">
        <v>68</v>
      </c>
      <c r="AL8" s="3080"/>
      <c r="AM8" s="3081"/>
      <c r="AN8" s="3081"/>
      <c r="AO8" s="3082"/>
      <c r="AP8" s="626"/>
      <c r="AQ8" s="3078">
        <f>IF(B2=0,"",IF(AV8="",700,AV8))</f>
        <v>700</v>
      </c>
      <c r="AR8" s="3079"/>
      <c r="AS8" s="3079"/>
      <c r="AT8" s="3117"/>
      <c r="AU8" s="588" t="s">
        <v>68</v>
      </c>
      <c r="AV8" s="3118"/>
      <c r="AW8" s="3081"/>
      <c r="AX8" s="3081"/>
      <c r="AY8" s="3081"/>
      <c r="AZ8" s="567"/>
      <c r="BA8" s="35"/>
      <c r="BB8" s="35"/>
      <c r="BC8" s="633"/>
      <c r="BD8" s="3119" t="str">
        <f>[11]引込!$BD$7</f>
        <v>Y=3m</v>
      </c>
      <c r="BE8" s="3120"/>
      <c r="BF8" s="3120"/>
      <c r="BG8" s="3120"/>
      <c r="BH8" s="3120"/>
      <c r="BI8" s="65"/>
      <c r="BJ8" s="72"/>
      <c r="BK8" s="72"/>
      <c r="BL8" s="58"/>
      <c r="BM8" s="58"/>
      <c r="BN8" s="58"/>
      <c r="BO8" s="58"/>
      <c r="BP8" s="58"/>
      <c r="BQ8" s="3115"/>
      <c r="BR8" s="3115"/>
      <c r="BS8" s="3115"/>
      <c r="BT8" s="3116"/>
      <c r="BU8" s="19"/>
      <c r="BW8" s="621"/>
      <c r="BX8" s="156"/>
      <c r="BY8" s="632"/>
      <c r="BZ8" s="102"/>
      <c r="CA8" s="102"/>
      <c r="CB8" s="102"/>
      <c r="CC8" s="580" t="s">
        <v>116</v>
      </c>
      <c r="CF8" s="621" t="s">
        <v>775</v>
      </c>
    </row>
    <row r="9" spans="2:115" ht="11.25" customHeight="1">
      <c r="B9" s="23"/>
      <c r="C9" s="630"/>
      <c r="D9" s="3094" t="str">
        <f>IF(B2=0,"",IF(H9="","設置",H9))</f>
        <v>設置</v>
      </c>
      <c r="E9" s="3094"/>
      <c r="F9" s="3094"/>
      <c r="G9" s="588" t="s">
        <v>68</v>
      </c>
      <c r="H9" s="3095"/>
      <c r="I9" s="3095"/>
      <c r="J9" s="3095"/>
      <c r="K9" s="592"/>
      <c r="L9" s="630"/>
      <c r="M9" s="630"/>
      <c r="N9" s="630"/>
      <c r="O9" s="630"/>
      <c r="P9" s="630"/>
      <c r="Q9" s="589" t="s">
        <v>789</v>
      </c>
      <c r="R9" s="3078">
        <f>IF(B2=0,"",IF(W9="",300,W9))</f>
        <v>300</v>
      </c>
      <c r="S9" s="3079"/>
      <c r="T9" s="3079"/>
      <c r="U9" s="3079"/>
      <c r="V9" s="629" t="s">
        <v>68</v>
      </c>
      <c r="W9" s="3080"/>
      <c r="X9" s="3081"/>
      <c r="Y9" s="3081"/>
      <c r="Z9" s="3082"/>
      <c r="AA9" s="626"/>
      <c r="AB9" s="628"/>
      <c r="AC9" s="628"/>
      <c r="AD9" s="628"/>
      <c r="AE9" s="628"/>
      <c r="AF9" s="627" t="s">
        <v>788</v>
      </c>
      <c r="AG9" s="3078">
        <f>IF(B2=0,"",IF(AL9="",1500,AL9))</f>
        <v>1500</v>
      </c>
      <c r="AH9" s="3079"/>
      <c r="AI9" s="3079"/>
      <c r="AJ9" s="3083"/>
      <c r="AK9" s="552" t="s">
        <v>68</v>
      </c>
      <c r="AL9" s="3080"/>
      <c r="AM9" s="3081"/>
      <c r="AN9" s="3081"/>
      <c r="AO9" s="3082"/>
      <c r="AP9" s="626"/>
      <c r="AQ9" s="3078">
        <f>IF(B2=0,"",IF(AV9="",6000,AV9))</f>
        <v>6000</v>
      </c>
      <c r="AR9" s="3079"/>
      <c r="AS9" s="3079"/>
      <c r="AT9" s="3079"/>
      <c r="AU9" s="588" t="s">
        <v>68</v>
      </c>
      <c r="AV9" s="3124"/>
      <c r="AW9" s="3125"/>
      <c r="AX9" s="3125"/>
      <c r="AY9" s="3125"/>
      <c r="AZ9" s="567"/>
      <c r="BA9" s="35"/>
      <c r="BB9" s="35"/>
      <c r="BC9" s="631"/>
      <c r="BD9" s="58"/>
      <c r="BE9" s="58"/>
      <c r="BF9" s="58"/>
      <c r="BG9" s="58"/>
      <c r="BH9" s="58"/>
      <c r="BI9" s="65"/>
      <c r="BJ9" s="623"/>
      <c r="BK9" s="3084" t="str">
        <f>IF(B2=0,"","敷地形状")</f>
        <v>敷地形状</v>
      </c>
      <c r="BL9" s="3085"/>
      <c r="BM9" s="3085"/>
      <c r="BN9" s="3085"/>
      <c r="BO9" s="3085"/>
      <c r="BP9" s="3086">
        <f>[6]Top!$AB$18</f>
        <v>1.4</v>
      </c>
      <c r="BQ9" s="3086"/>
      <c r="BR9" s="3087"/>
      <c r="BS9" s="622"/>
      <c r="BT9" s="611"/>
      <c r="BU9" s="19"/>
      <c r="BW9" s="621"/>
      <c r="BX9" s="156"/>
      <c r="BY9" s="135"/>
      <c r="BZ9" s="102"/>
      <c r="CA9" s="102"/>
      <c r="CB9" s="102"/>
      <c r="CC9" s="580" t="s">
        <v>434</v>
      </c>
      <c r="CF9" s="621" t="s">
        <v>787</v>
      </c>
    </row>
    <row r="10" spans="2:115" ht="11.25" customHeight="1" thickBot="1">
      <c r="B10" s="23"/>
      <c r="C10" s="630"/>
      <c r="D10" s="630"/>
      <c r="E10" s="630"/>
      <c r="F10" s="630"/>
      <c r="G10" s="630"/>
      <c r="H10" s="630"/>
      <c r="I10" s="630"/>
      <c r="J10" s="589"/>
      <c r="K10" s="630"/>
      <c r="L10" s="630"/>
      <c r="M10" s="630"/>
      <c r="N10" s="630"/>
      <c r="O10" s="592"/>
      <c r="P10" s="592"/>
      <c r="Q10" s="589" t="s">
        <v>786</v>
      </c>
      <c r="R10" s="3078">
        <f>IF(B2=0,"",IF(W10="",150,W10))</f>
        <v>150</v>
      </c>
      <c r="S10" s="3079"/>
      <c r="T10" s="3079"/>
      <c r="U10" s="3079"/>
      <c r="V10" s="629" t="s">
        <v>68</v>
      </c>
      <c r="W10" s="3080"/>
      <c r="X10" s="3081"/>
      <c r="Y10" s="3081"/>
      <c r="Z10" s="3082"/>
      <c r="AA10" s="626"/>
      <c r="AB10" s="628"/>
      <c r="AC10" s="628"/>
      <c r="AD10" s="628"/>
      <c r="AE10" s="628"/>
      <c r="AF10" s="627" t="s">
        <v>785</v>
      </c>
      <c r="AG10" s="3078">
        <f>IF(B2=0,"",IF(AL10="",2000,AL10))</f>
        <v>2000</v>
      </c>
      <c r="AH10" s="3079"/>
      <c r="AI10" s="3079"/>
      <c r="AJ10" s="3083"/>
      <c r="AK10" s="552" t="s">
        <v>68</v>
      </c>
      <c r="AL10" s="3080"/>
      <c r="AM10" s="3081"/>
      <c r="AN10" s="3081"/>
      <c r="AO10" s="3082"/>
      <c r="AP10" s="626"/>
      <c r="AQ10" s="618"/>
      <c r="AR10" s="618"/>
      <c r="AS10" s="618"/>
      <c r="AT10" s="618"/>
      <c r="AU10" s="618"/>
      <c r="AV10" s="618"/>
      <c r="AW10" s="618"/>
      <c r="AX10" s="618"/>
      <c r="AY10" s="618"/>
      <c r="AZ10" s="567"/>
      <c r="BA10" s="35"/>
      <c r="BB10" s="35"/>
      <c r="BC10" s="63"/>
      <c r="BD10" s="58"/>
      <c r="BE10" s="58"/>
      <c r="BF10" s="58"/>
      <c r="BG10" s="58"/>
      <c r="BH10" s="625"/>
      <c r="BI10" s="624"/>
      <c r="BJ10" s="623" t="s">
        <v>76</v>
      </c>
      <c r="BK10" s="70"/>
      <c r="BL10" s="58"/>
      <c r="BM10" s="58"/>
      <c r="BN10" s="58"/>
      <c r="BO10" s="58"/>
      <c r="BP10" s="58"/>
      <c r="BQ10" s="622"/>
      <c r="BR10" s="622"/>
      <c r="BS10" s="622"/>
      <c r="BT10" s="611"/>
      <c r="BU10" s="19"/>
      <c r="BW10" s="621"/>
      <c r="BX10" s="156"/>
      <c r="BY10" s="135"/>
      <c r="BZ10" s="102"/>
      <c r="CA10" s="102"/>
      <c r="CB10" s="102"/>
      <c r="CC10" s="580" t="s">
        <v>756</v>
      </c>
      <c r="CF10" s="621" t="s">
        <v>784</v>
      </c>
      <c r="DD10" s="88">
        <v>0</v>
      </c>
      <c r="DE10" s="45"/>
      <c r="DF10" s="45"/>
      <c r="DG10" s="45"/>
      <c r="DH10" s="45"/>
      <c r="DI10" s="45" t="s">
        <v>70</v>
      </c>
      <c r="DJ10" s="45"/>
      <c r="DK10" s="45" t="s">
        <v>69</v>
      </c>
    </row>
    <row r="11" spans="2:115" ht="11.25" customHeight="1">
      <c r="B11" s="23"/>
      <c r="C11" s="410"/>
      <c r="D11" s="410"/>
      <c r="E11" s="410"/>
      <c r="F11" s="410"/>
      <c r="G11" s="410"/>
      <c r="H11" s="410"/>
      <c r="I11" s="410"/>
      <c r="J11" s="410"/>
      <c r="K11" s="410"/>
      <c r="L11" s="410"/>
      <c r="M11" s="410"/>
      <c r="N11" s="410"/>
      <c r="O11" s="103"/>
      <c r="P11" s="103"/>
      <c r="Q11" s="103"/>
      <c r="R11" s="103"/>
      <c r="S11" s="103"/>
      <c r="T11" s="103"/>
      <c r="U11" s="103"/>
      <c r="V11" s="103"/>
      <c r="W11" s="103"/>
      <c r="X11" s="103"/>
      <c r="Y11" s="103"/>
      <c r="Z11" s="103"/>
      <c r="AA11" s="620"/>
      <c r="AB11" s="620"/>
      <c r="AC11" s="57"/>
      <c r="AD11" s="103"/>
      <c r="AE11" s="592"/>
      <c r="AF11" s="592"/>
      <c r="AG11" s="592"/>
      <c r="AH11" s="592"/>
      <c r="AI11" s="592"/>
      <c r="AJ11" s="619"/>
      <c r="AK11" s="619"/>
      <c r="AL11" s="619"/>
      <c r="AM11" s="619"/>
      <c r="AN11" s="618"/>
      <c r="AO11" s="618"/>
      <c r="AP11" s="618"/>
      <c r="AQ11" s="618"/>
      <c r="AR11" s="103"/>
      <c r="AS11" s="103"/>
      <c r="AT11" s="103"/>
      <c r="AU11" s="103"/>
      <c r="AV11" s="103"/>
      <c r="AW11" s="103"/>
      <c r="AX11" s="103"/>
      <c r="AY11" s="103"/>
      <c r="AZ11" s="567"/>
      <c r="BA11" s="3126" t="s">
        <v>464</v>
      </c>
      <c r="BB11" s="3126"/>
      <c r="BC11" s="3102"/>
      <c r="BD11" s="617" t="s">
        <v>75</v>
      </c>
      <c r="BE11" s="613" t="s">
        <v>75</v>
      </c>
      <c r="BF11" s="613" t="s">
        <v>75</v>
      </c>
      <c r="BG11" s="613" t="s">
        <v>75</v>
      </c>
      <c r="BH11" s="616" t="s">
        <v>75</v>
      </c>
      <c r="BI11" s="615" t="s">
        <v>75</v>
      </c>
      <c r="BJ11" s="614" t="s">
        <v>75</v>
      </c>
      <c r="BK11" s="613" t="s">
        <v>75</v>
      </c>
      <c r="BL11" s="613" t="s">
        <v>75</v>
      </c>
      <c r="BM11" s="612" t="s">
        <v>75</v>
      </c>
      <c r="BN11" s="3104"/>
      <c r="BO11" s="58"/>
      <c r="BP11" s="3106" t="s">
        <v>783</v>
      </c>
      <c r="BQ11" s="3107"/>
      <c r="BR11" s="3107"/>
      <c r="BS11" s="3108"/>
      <c r="BT11" s="611"/>
      <c r="BU11" s="19"/>
      <c r="BW11" s="3242"/>
      <c r="BX11" s="3242"/>
      <c r="BY11" s="3242"/>
      <c r="BZ11" s="102"/>
      <c r="CA11" s="102"/>
      <c r="CB11" s="102"/>
      <c r="CC11" s="580" t="s">
        <v>782</v>
      </c>
      <c r="DE11" s="197">
        <f>IF(DI11&lt;&gt;"",DE10+1,DE10)</f>
        <v>1</v>
      </c>
      <c r="DF11" s="197">
        <f t="shared" ref="DF11:DF30" si="0">IF(AND(DE11&lt;&gt;"",DI11&lt;&gt;""),DE11,"")</f>
        <v>1</v>
      </c>
      <c r="DG11" s="610" t="str">
        <f>X12</f>
        <v>KK 750×750×900</v>
      </c>
      <c r="DI11" s="249" t="str">
        <f>IF(COUNTIF(DG$9:$DG10,DG11)&gt;0,"",DG11)</f>
        <v>KK 750×750×900</v>
      </c>
      <c r="DJ11" s="195">
        <f>VALUE(LEFT(AS12,2))</f>
        <v>3</v>
      </c>
      <c r="DK11" s="514">
        <f t="shared" ref="DK11:DK18" si="1">SUMIF($DG$11:$DG$182,DI11,$DJ$11:$DJ$182)</f>
        <v>3</v>
      </c>
    </row>
    <row r="12" spans="2:115" ht="12" customHeight="1" thickBot="1">
      <c r="B12" s="23"/>
      <c r="C12" s="410"/>
      <c r="D12" s="410"/>
      <c r="E12" s="410"/>
      <c r="F12" s="410"/>
      <c r="G12" s="410"/>
      <c r="H12" s="410"/>
      <c r="I12" s="589" t="s">
        <v>781</v>
      </c>
      <c r="J12" s="2908" t="str">
        <f>IF(B2=0,"",IF(P12="","架空引込",P12))</f>
        <v>架空引込</v>
      </c>
      <c r="K12" s="2909"/>
      <c r="L12" s="2909"/>
      <c r="M12" s="2909"/>
      <c r="N12" s="2909"/>
      <c r="O12" s="588" t="s">
        <v>68</v>
      </c>
      <c r="P12" s="3059"/>
      <c r="Q12" s="3060"/>
      <c r="R12" s="3060"/>
      <c r="S12" s="3060"/>
      <c r="T12" s="3061"/>
      <c r="U12" s="609"/>
      <c r="V12" s="3062" t="str">
        <f>IF(B2=0,"",IF(AS12&lt;&gt;"","HH",""))</f>
        <v>HH</v>
      </c>
      <c r="W12" s="3063"/>
      <c r="X12" s="3064" t="str">
        <f>IF(B2=0,"",IF(AND(J12="架空引込",J13="架空配線"),"",IF(AI12="","KK 750×750×900",AI12)))</f>
        <v>KK 750×750×900</v>
      </c>
      <c r="Y12" s="3065"/>
      <c r="Z12" s="3065"/>
      <c r="AA12" s="3065"/>
      <c r="AB12" s="3065"/>
      <c r="AC12" s="3065"/>
      <c r="AD12" s="3065"/>
      <c r="AE12" s="3065"/>
      <c r="AF12" s="3065"/>
      <c r="AG12" s="3066"/>
      <c r="AH12" s="588" t="s">
        <v>68</v>
      </c>
      <c r="AI12" s="3067"/>
      <c r="AJ12" s="3068"/>
      <c r="AK12" s="3068"/>
      <c r="AL12" s="3068"/>
      <c r="AM12" s="3068"/>
      <c r="AN12" s="3068"/>
      <c r="AO12" s="3068"/>
      <c r="AP12" s="3068"/>
      <c r="AQ12" s="3068"/>
      <c r="AR12" s="3069"/>
      <c r="AS12" s="3070" t="str">
        <f>IF(B2=0,"",IF(AW12&lt;&gt;"",AW12&amp;" 基",IF(J13="架空配線","1 基",IF(J13="地中管路","3 基",""))))</f>
        <v>3 基</v>
      </c>
      <c r="AT12" s="3071"/>
      <c r="AU12" s="3071"/>
      <c r="AV12" s="588" t="s">
        <v>68</v>
      </c>
      <c r="AW12" s="3112"/>
      <c r="AX12" s="3113"/>
      <c r="AY12" s="3114"/>
      <c r="AZ12" s="567"/>
      <c r="BA12" s="3126"/>
      <c r="BB12" s="3126"/>
      <c r="BC12" s="3103"/>
      <c r="BD12" s="608" t="s">
        <v>75</v>
      </c>
      <c r="BE12" s="607" t="s">
        <v>75</v>
      </c>
      <c r="BF12" s="607" t="s">
        <v>75</v>
      </c>
      <c r="BG12" s="607" t="s">
        <v>75</v>
      </c>
      <c r="BH12" s="606" t="s">
        <v>75</v>
      </c>
      <c r="BI12" s="605" t="s">
        <v>74</v>
      </c>
      <c r="BJ12" s="604" t="s">
        <v>74</v>
      </c>
      <c r="BK12" s="603" t="s">
        <v>773</v>
      </c>
      <c r="BL12" s="603" t="s">
        <v>773</v>
      </c>
      <c r="BM12" s="602" t="s">
        <v>773</v>
      </c>
      <c r="BN12" s="3105"/>
      <c r="BO12" s="58"/>
      <c r="BP12" s="3109"/>
      <c r="BQ12" s="3110"/>
      <c r="BR12" s="3110"/>
      <c r="BS12" s="3111"/>
      <c r="BT12" s="56"/>
      <c r="BU12" s="19"/>
      <c r="BW12" s="102"/>
      <c r="BX12" s="135"/>
      <c r="BY12" s="135"/>
      <c r="BZ12" s="102"/>
      <c r="CA12" s="102"/>
      <c r="CB12" s="102"/>
      <c r="CC12" s="580" t="s">
        <v>780</v>
      </c>
      <c r="DE12" s="197">
        <f>IF(DI12&lt;&gt;"",DE11+1,DE11)</f>
        <v>2</v>
      </c>
      <c r="DF12" s="197">
        <f t="shared" si="0"/>
        <v>2</v>
      </c>
      <c r="DG12" s="10" t="str">
        <f>IF(DJ12="","","AHB-1  650×250")</f>
        <v>AHB-1  650×250</v>
      </c>
      <c r="DI12" s="249" t="str">
        <f>IF(COUNTIF(DG$9:$DG11,DG12)&gt;0,"",DG12)</f>
        <v>AHB-1  650×250</v>
      </c>
      <c r="DJ12" s="593">
        <f>DJ11</f>
        <v>3</v>
      </c>
      <c r="DK12" s="514">
        <f t="shared" si="1"/>
        <v>3</v>
      </c>
    </row>
    <row r="13" spans="2:115" ht="12" customHeight="1">
      <c r="B13" s="23"/>
      <c r="C13" s="601"/>
      <c r="D13" s="601"/>
      <c r="E13" s="601"/>
      <c r="F13" s="601"/>
      <c r="G13" s="601"/>
      <c r="H13" s="601"/>
      <c r="I13" s="589" t="s">
        <v>779</v>
      </c>
      <c r="J13" s="2908" t="str">
        <f>IF(B2=0,"",IF(P13="","地中管路",P13))</f>
        <v>地中管路</v>
      </c>
      <c r="K13" s="2909"/>
      <c r="L13" s="2909"/>
      <c r="M13" s="2909"/>
      <c r="N13" s="2909"/>
      <c r="O13" s="588" t="s">
        <v>86</v>
      </c>
      <c r="P13" s="3059"/>
      <c r="Q13" s="3060"/>
      <c r="R13" s="3060"/>
      <c r="S13" s="3060"/>
      <c r="T13" s="3060"/>
      <c r="U13" s="600"/>
      <c r="V13" s="3147" t="str">
        <f>IF(B2=0,"","平面距離[m] A～B")</f>
        <v>平面距離[m] A～B</v>
      </c>
      <c r="W13" s="3148"/>
      <c r="X13" s="3148"/>
      <c r="Y13" s="3148"/>
      <c r="Z13" s="3148"/>
      <c r="AA13" s="3148"/>
      <c r="AB13" s="3148"/>
      <c r="AC13" s="3148"/>
      <c r="AD13" s="3148"/>
      <c r="AE13" s="3149"/>
      <c r="AF13" s="3150">
        <f>[11]引込!$AJ$7</f>
        <v>65</v>
      </c>
      <c r="AG13" s="3151"/>
      <c r="AH13" s="3151"/>
      <c r="AI13" s="3151"/>
      <c r="AJ13" s="3152" t="str">
        <f>IF(B2=0,"","B～C")</f>
        <v>B～C</v>
      </c>
      <c r="AK13" s="3153"/>
      <c r="AL13" s="3153"/>
      <c r="AM13" s="3154"/>
      <c r="AN13" s="3150">
        <f>[11]引込!$AP$7</f>
        <v>4</v>
      </c>
      <c r="AO13" s="3151"/>
      <c r="AP13" s="3151"/>
      <c r="AQ13" s="3151"/>
      <c r="AR13" s="3152" t="str">
        <f>IF(B2=0,"","C～D")</f>
        <v>C～D</v>
      </c>
      <c r="AS13" s="3153"/>
      <c r="AT13" s="3153"/>
      <c r="AU13" s="3154"/>
      <c r="AV13" s="3150">
        <f>[11]引込!$AV$7</f>
        <v>64.8</v>
      </c>
      <c r="AW13" s="3151"/>
      <c r="AX13" s="3151"/>
      <c r="AY13" s="3151"/>
      <c r="AZ13" s="567"/>
      <c r="BA13" s="3131" t="s">
        <v>778</v>
      </c>
      <c r="BB13" s="3132"/>
      <c r="BC13" s="3135"/>
      <c r="BD13" s="599" t="s">
        <v>773</v>
      </c>
      <c r="BE13" s="598" t="s">
        <v>773</v>
      </c>
      <c r="BF13" s="598" t="s">
        <v>773</v>
      </c>
      <c r="BG13" s="598" t="s">
        <v>773</v>
      </c>
      <c r="BH13" s="597" t="s">
        <v>773</v>
      </c>
      <c r="BI13" s="596" t="s">
        <v>773</v>
      </c>
      <c r="BJ13" s="595" t="s">
        <v>773</v>
      </c>
      <c r="BK13" s="595" t="s">
        <v>773</v>
      </c>
      <c r="BL13" s="595" t="s">
        <v>773</v>
      </c>
      <c r="BM13" s="594" t="s">
        <v>773</v>
      </c>
      <c r="BN13" s="3105"/>
      <c r="BO13" s="58"/>
      <c r="BP13" s="3138" t="s">
        <v>86</v>
      </c>
      <c r="BQ13" s="3138"/>
      <c r="BR13" s="3138"/>
      <c r="BS13" s="58"/>
      <c r="BT13" s="56"/>
      <c r="BU13" s="19"/>
      <c r="CC13" s="580" t="s">
        <v>777</v>
      </c>
      <c r="DE13" s="197">
        <f>IF(DI13&lt;&gt;"",DE12+1,DE12)</f>
        <v>3</v>
      </c>
      <c r="DF13" s="197">
        <f t="shared" si="0"/>
        <v>3</v>
      </c>
      <c r="DG13" s="10" t="str">
        <f>IF(DJ12="","","土工費(掘削)")</f>
        <v>土工費(掘削)</v>
      </c>
      <c r="DI13" s="249" t="str">
        <f>IF(COUNTIF(DG$9:$DG12,DG13)&gt;0,"",DG13)</f>
        <v>土工費(掘削)</v>
      </c>
      <c r="DJ13" s="593">
        <f>INT(AM15)</f>
        <v>133</v>
      </c>
      <c r="DK13" s="514">
        <f t="shared" si="1"/>
        <v>133</v>
      </c>
    </row>
    <row r="14" spans="2:115" ht="11.25" customHeight="1" thickBot="1">
      <c r="B14" s="23"/>
      <c r="C14" s="282"/>
      <c r="D14" s="282"/>
      <c r="E14" s="282"/>
      <c r="F14" s="282"/>
      <c r="G14" s="282"/>
      <c r="H14" s="282"/>
      <c r="I14" s="589" t="s">
        <v>776</v>
      </c>
      <c r="J14" s="3139" t="str">
        <f>IF(B2=0,"",IF(V14="空 配 管 工 事","C",IF(L14="配管配線 工事","B","A")))</f>
        <v>A</v>
      </c>
      <c r="K14" s="3140"/>
      <c r="L14" s="3141" t="str">
        <f>V14</f>
        <v>配管配線機器取付</v>
      </c>
      <c r="M14" s="3142"/>
      <c r="N14" s="3142"/>
      <c r="O14" s="3142"/>
      <c r="P14" s="3142"/>
      <c r="Q14" s="3142"/>
      <c r="R14" s="3142"/>
      <c r="S14" s="3142"/>
      <c r="T14" s="3143"/>
      <c r="U14" s="588" t="s">
        <v>86</v>
      </c>
      <c r="V14" s="3067" t="s">
        <v>775</v>
      </c>
      <c r="W14" s="3068"/>
      <c r="X14" s="3068"/>
      <c r="Y14" s="3068"/>
      <c r="Z14" s="3068"/>
      <c r="AA14" s="3068"/>
      <c r="AB14" s="3068"/>
      <c r="AC14" s="3068"/>
      <c r="AD14" s="3068"/>
      <c r="AE14" s="3069"/>
      <c r="AF14" s="592"/>
      <c r="AG14" s="591"/>
      <c r="AH14" s="590"/>
      <c r="AI14" s="590"/>
      <c r="AJ14" s="590"/>
      <c r="AK14" s="590"/>
      <c r="AL14" s="589" t="s">
        <v>774</v>
      </c>
      <c r="AM14" s="3144" t="str">
        <f>IF(B2=0,"",IF(AT14="","FEP-50mm",AT14))</f>
        <v>FEP-50mm</v>
      </c>
      <c r="AN14" s="3145"/>
      <c r="AO14" s="3145"/>
      <c r="AP14" s="3145"/>
      <c r="AQ14" s="3145"/>
      <c r="AR14" s="3145"/>
      <c r="AS14" s="588" t="s">
        <v>86</v>
      </c>
      <c r="AT14" s="2941"/>
      <c r="AU14" s="2942"/>
      <c r="AV14" s="2942"/>
      <c r="AW14" s="2942"/>
      <c r="AX14" s="2942"/>
      <c r="AY14" s="3146"/>
      <c r="AZ14" s="567"/>
      <c r="BA14" s="3133"/>
      <c r="BB14" s="3134"/>
      <c r="BC14" s="3136"/>
      <c r="BD14" s="587" t="s">
        <v>773</v>
      </c>
      <c r="BE14" s="586" t="s">
        <v>773</v>
      </c>
      <c r="BF14" s="586" t="s">
        <v>773</v>
      </c>
      <c r="BG14" s="586" t="s">
        <v>773</v>
      </c>
      <c r="BH14" s="585" t="s">
        <v>773</v>
      </c>
      <c r="BI14" s="584" t="s">
        <v>773</v>
      </c>
      <c r="BJ14" s="583" t="s">
        <v>773</v>
      </c>
      <c r="BK14" s="583" t="s">
        <v>773</v>
      </c>
      <c r="BL14" s="583" t="s">
        <v>773</v>
      </c>
      <c r="BM14" s="582" t="s">
        <v>773</v>
      </c>
      <c r="BN14" s="3137"/>
      <c r="BO14" s="3127" t="str">
        <f>IF(BR14="",[6]引込!$BO$14,BR14)</f>
        <v>Ⓖ</v>
      </c>
      <c r="BP14" s="3128"/>
      <c r="BQ14" s="581" t="s">
        <v>772</v>
      </c>
      <c r="BR14" s="3129"/>
      <c r="BS14" s="3130"/>
      <c r="BT14" s="56"/>
      <c r="BU14" s="19"/>
      <c r="BW14" s="88" t="str">
        <f>IF(LEFT(J15,2)=" B",-MID(J15,3,1),IF(OR(J15&lt;&gt;"  RF",LEFT(J15,2)&lt;&gt;"PH"),LEFT(J15,3),""))</f>
        <v xml:space="preserve">  1</v>
      </c>
      <c r="BX14" s="11" t="s">
        <v>771</v>
      </c>
      <c r="CC14" s="580" t="s">
        <v>770</v>
      </c>
      <c r="DE14" s="197">
        <f>IF(DJ14&lt;&gt;"",DE13+1,DE13)</f>
        <v>4</v>
      </c>
      <c r="DF14" s="197">
        <f t="shared" si="0"/>
        <v>4</v>
      </c>
      <c r="DG14" s="10" t="str">
        <f>IF(DJ12="","","導入線 1.6mmφ")</f>
        <v>導入線 1.6mmφ</v>
      </c>
      <c r="DI14" s="249" t="str">
        <f>IF(COUNTIF(DG$9:$DG13,DG14)&gt;0,"",DG14)</f>
        <v>導入線 1.6mmφ</v>
      </c>
      <c r="DJ14" s="200">
        <f>INT(DJ13*1.1)</f>
        <v>146</v>
      </c>
      <c r="DK14" s="514">
        <f t="shared" si="1"/>
        <v>146</v>
      </c>
    </row>
    <row r="15" spans="2:115" ht="7.5" customHeight="1" thickTop="1" thickBot="1">
      <c r="B15" s="23"/>
      <c r="C15" s="3187" t="s">
        <v>769</v>
      </c>
      <c r="D15" s="3188"/>
      <c r="E15" s="3188"/>
      <c r="F15" s="3188"/>
      <c r="G15" s="3188"/>
      <c r="H15" s="3188"/>
      <c r="I15" s="3188"/>
      <c r="J15" s="3190" t="str">
        <f>IF(O15&lt;&gt;"",O15,"  1F")</f>
        <v xml:space="preserve">  1F</v>
      </c>
      <c r="K15" s="3191"/>
      <c r="L15" s="3191"/>
      <c r="M15" s="3192"/>
      <c r="N15" s="3167" t="s">
        <v>2</v>
      </c>
      <c r="O15" s="3169"/>
      <c r="P15" s="3170"/>
      <c r="Q15" s="3170"/>
      <c r="R15" s="3171"/>
      <c r="S15" s="103"/>
      <c r="T15" s="3155" t="s">
        <v>768</v>
      </c>
      <c r="U15" s="3156"/>
      <c r="V15" s="3156"/>
      <c r="W15" s="3156"/>
      <c r="X15" s="3156"/>
      <c r="Y15" s="3156"/>
      <c r="Z15" s="3156"/>
      <c r="AA15" s="3159" t="str">
        <f>IF(AD15&lt;&gt;"",AD15,BO14)</f>
        <v>Ⓖ</v>
      </c>
      <c r="AB15" s="3159"/>
      <c r="AC15" s="3161" t="s">
        <v>2</v>
      </c>
      <c r="AD15" s="3163"/>
      <c r="AE15" s="3164"/>
      <c r="AF15" s="3157" t="s">
        <v>767</v>
      </c>
      <c r="AG15" s="3158"/>
      <c r="AH15" s="3158"/>
      <c r="AI15" s="3158"/>
      <c r="AJ15" s="3158"/>
      <c r="AK15" s="3158"/>
      <c r="AL15" s="3158"/>
      <c r="AM15" s="3177">
        <f>IF(B2=0,"",IF(AT15&lt;&gt;"",AT15,IF(J13="架空配線",0.1*INT(AV13*10),0.1*INT(AF13+AN13+AV13)*10)))</f>
        <v>133</v>
      </c>
      <c r="AN15" s="3178"/>
      <c r="AO15" s="3178"/>
      <c r="AP15" s="3178"/>
      <c r="AQ15" s="3181" t="str">
        <f>IF(AM15="","","m")</f>
        <v>m</v>
      </c>
      <c r="AR15" s="3181"/>
      <c r="AS15" s="3167" t="s">
        <v>2</v>
      </c>
      <c r="AT15" s="3183"/>
      <c r="AU15" s="3184"/>
      <c r="AV15" s="3184"/>
      <c r="AW15" s="3184"/>
      <c r="AX15" s="3184"/>
      <c r="AY15" s="3184"/>
      <c r="AZ15" s="567"/>
      <c r="BA15" s="53" t="s">
        <v>369</v>
      </c>
      <c r="BB15" s="52"/>
      <c r="BC15" s="579"/>
      <c r="BD15" s="576"/>
      <c r="BE15" s="576"/>
      <c r="BF15" s="576"/>
      <c r="BG15" s="576"/>
      <c r="BH15" s="578"/>
      <c r="BI15" s="577"/>
      <c r="BJ15" s="576"/>
      <c r="BK15" s="576"/>
      <c r="BL15" s="576"/>
      <c r="BM15" s="576"/>
      <c r="BN15" s="51"/>
      <c r="BO15" s="574"/>
      <c r="BP15" s="574"/>
      <c r="BQ15" s="575"/>
      <c r="BR15" s="574"/>
      <c r="BS15" s="574"/>
      <c r="BT15" s="50"/>
      <c r="BU15" s="19"/>
      <c r="DE15" s="197">
        <f t="shared" ref="DE15:DE22" si="2">IF(DI15&lt;&gt;"",DE14+1,DE14)</f>
        <v>4</v>
      </c>
      <c r="DF15" s="197" t="str">
        <f t="shared" si="0"/>
        <v/>
      </c>
      <c r="DG15" s="8"/>
      <c r="DI15" s="249"/>
      <c r="DJ15" s="8"/>
      <c r="DK15" s="514">
        <f t="shared" si="1"/>
        <v>0</v>
      </c>
    </row>
    <row r="16" spans="2:115" ht="4.5" customHeight="1">
      <c r="B16" s="23"/>
      <c r="C16" s="3189"/>
      <c r="D16" s="3158"/>
      <c r="E16" s="3158"/>
      <c r="F16" s="3158"/>
      <c r="G16" s="3158"/>
      <c r="H16" s="3158"/>
      <c r="I16" s="3158"/>
      <c r="J16" s="3193"/>
      <c r="K16" s="3194"/>
      <c r="L16" s="3194"/>
      <c r="M16" s="3195"/>
      <c r="N16" s="3168"/>
      <c r="O16" s="3172"/>
      <c r="P16" s="3173"/>
      <c r="Q16" s="3173"/>
      <c r="R16" s="3174"/>
      <c r="S16" s="103"/>
      <c r="T16" s="3157"/>
      <c r="U16" s="3158"/>
      <c r="V16" s="3158"/>
      <c r="W16" s="3158"/>
      <c r="X16" s="3158"/>
      <c r="Y16" s="3158"/>
      <c r="Z16" s="3158"/>
      <c r="AA16" s="3160"/>
      <c r="AB16" s="3160"/>
      <c r="AC16" s="3162"/>
      <c r="AD16" s="3165"/>
      <c r="AE16" s="3166"/>
      <c r="AF16" s="3157"/>
      <c r="AG16" s="3158"/>
      <c r="AH16" s="3158"/>
      <c r="AI16" s="3158"/>
      <c r="AJ16" s="3158"/>
      <c r="AK16" s="3158"/>
      <c r="AL16" s="3158"/>
      <c r="AM16" s="3179"/>
      <c r="AN16" s="3180"/>
      <c r="AO16" s="3180"/>
      <c r="AP16" s="3180"/>
      <c r="AQ16" s="3182"/>
      <c r="AR16" s="3182"/>
      <c r="AS16" s="3168"/>
      <c r="AT16" s="3185"/>
      <c r="AU16" s="3186"/>
      <c r="AV16" s="3186"/>
      <c r="AW16" s="3186"/>
      <c r="AX16" s="3186"/>
      <c r="AY16" s="3186"/>
      <c r="AZ16" s="567"/>
      <c r="BA16" s="35"/>
      <c r="BB16" s="35"/>
      <c r="BC16" s="35"/>
      <c r="BD16" s="573"/>
      <c r="BE16" s="573"/>
      <c r="BF16" s="573"/>
      <c r="BG16" s="573"/>
      <c r="BH16" s="572"/>
      <c r="BI16" s="571"/>
      <c r="BJ16" s="570"/>
      <c r="BK16" s="570"/>
      <c r="BL16" s="570"/>
      <c r="BM16" s="570"/>
      <c r="BN16" s="570"/>
      <c r="BO16" s="569"/>
      <c r="BP16" s="569"/>
      <c r="BQ16" s="569"/>
      <c r="BR16" s="568"/>
      <c r="BS16" s="568"/>
      <c r="BT16" s="568"/>
      <c r="BU16" s="19"/>
      <c r="DE16" s="197">
        <f t="shared" si="2"/>
        <v>4</v>
      </c>
      <c r="DF16" s="197" t="str">
        <f t="shared" si="0"/>
        <v/>
      </c>
      <c r="DG16" s="8"/>
      <c r="DI16" s="249"/>
      <c r="DJ16" s="8"/>
      <c r="DK16" s="514">
        <f t="shared" si="1"/>
        <v>0</v>
      </c>
    </row>
    <row r="17" spans="1:124" ht="4.5" customHeight="1" thickBot="1">
      <c r="B17" s="23"/>
      <c r="C17" s="282"/>
      <c r="D17" s="282"/>
      <c r="E17" s="282"/>
      <c r="F17" s="282"/>
      <c r="G17" s="282"/>
      <c r="H17" s="282"/>
      <c r="I17" s="282"/>
      <c r="J17" s="282"/>
      <c r="K17" s="282"/>
      <c r="L17" s="282"/>
      <c r="M17" s="282"/>
      <c r="N17" s="282"/>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567"/>
      <c r="BA17" s="35"/>
      <c r="BB17" s="35"/>
      <c r="BC17" s="35"/>
      <c r="BD17" s="566"/>
      <c r="BE17" s="566"/>
      <c r="BF17" s="566"/>
      <c r="BG17" s="566"/>
      <c r="BH17" s="565"/>
      <c r="BI17" s="564"/>
      <c r="BJ17" s="563"/>
      <c r="BK17" s="563"/>
      <c r="BL17" s="563"/>
      <c r="BM17" s="563"/>
      <c r="BN17" s="563"/>
      <c r="BO17" s="559"/>
      <c r="BP17" s="559"/>
      <c r="BQ17" s="559"/>
      <c r="BR17" s="562"/>
      <c r="BS17" s="562"/>
      <c r="BT17" s="562"/>
      <c r="BU17" s="19"/>
      <c r="CA17" s="561"/>
      <c r="CB17" s="561"/>
      <c r="CC17" s="561"/>
      <c r="CE17" s="561"/>
      <c r="CF17" s="561"/>
      <c r="CG17" s="561"/>
      <c r="DE17" s="197">
        <f t="shared" si="2"/>
        <v>4</v>
      </c>
      <c r="DF17" s="197" t="str">
        <f t="shared" si="0"/>
        <v/>
      </c>
      <c r="DG17" s="8"/>
      <c r="DI17" s="249"/>
      <c r="DJ17" s="8"/>
      <c r="DK17" s="514">
        <f t="shared" si="1"/>
        <v>0</v>
      </c>
    </row>
    <row r="18" spans="1:124" ht="10.5" customHeight="1" thickTop="1">
      <c r="B18" s="23"/>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560"/>
      <c r="BK18" s="560"/>
      <c r="BL18" s="560"/>
      <c r="BM18" s="560"/>
      <c r="BN18" s="560"/>
      <c r="BO18" s="559"/>
      <c r="BP18" s="559"/>
      <c r="BQ18" s="559"/>
      <c r="BR18" s="35"/>
      <c r="BS18" s="35"/>
      <c r="BT18" s="35"/>
      <c r="BU18" s="19"/>
      <c r="BZ18" s="114" t="str">
        <f>"="</f>
        <v>=</v>
      </c>
      <c r="CA18" s="114" t="str">
        <f>"－"</f>
        <v>－</v>
      </c>
      <c r="CB18" s="114" t="str">
        <f>"+"</f>
        <v>+</v>
      </c>
      <c r="CC18" s="137"/>
      <c r="CE18" s="137"/>
      <c r="CF18" s="137"/>
      <c r="CG18" s="551" t="s">
        <v>744</v>
      </c>
      <c r="CH18" s="551" t="s">
        <v>743</v>
      </c>
      <c r="CI18" s="551" t="s">
        <v>744</v>
      </c>
      <c r="CJ18" s="551" t="s">
        <v>743</v>
      </c>
      <c r="CK18" s="551"/>
      <c r="CL18" s="551"/>
      <c r="DE18" s="197">
        <f t="shared" si="2"/>
        <v>4</v>
      </c>
      <c r="DF18" s="197" t="str">
        <f t="shared" si="0"/>
        <v/>
      </c>
      <c r="DG18" s="8"/>
      <c r="DI18" s="249"/>
      <c r="DJ18" s="8"/>
      <c r="DK18" s="514">
        <f t="shared" si="1"/>
        <v>0</v>
      </c>
    </row>
    <row r="19" spans="1:124" ht="11.25" customHeight="1" thickBot="1">
      <c r="A19" s="46"/>
      <c r="B19" s="23"/>
      <c r="C19" s="3032" t="s">
        <v>112</v>
      </c>
      <c r="D19" s="3032"/>
      <c r="E19" s="3032"/>
      <c r="F19" s="3032"/>
      <c r="G19" s="3032"/>
      <c r="H19" s="3032"/>
      <c r="I19" s="3175" t="str">
        <f>非誘!J16</f>
        <v>( 15)</v>
      </c>
      <c r="J19" s="3175"/>
      <c r="K19" s="3175"/>
      <c r="L19" s="3176"/>
      <c r="M19" s="3035" t="str">
        <f>非誘!M16</f>
        <v>前各項以外</v>
      </c>
      <c r="N19" s="2961"/>
      <c r="O19" s="2961"/>
      <c r="P19" s="2961"/>
      <c r="Q19" s="2961"/>
      <c r="R19" s="2961"/>
      <c r="S19" s="2961"/>
      <c r="T19" s="2961"/>
      <c r="U19" s="2961"/>
      <c r="V19" s="2961"/>
      <c r="W19" s="3036"/>
      <c r="X19" s="3037" t="s">
        <v>232</v>
      </c>
      <c r="Y19" s="3037"/>
      <c r="Z19" s="3037"/>
      <c r="AA19" s="3037"/>
      <c r="AB19" s="3038"/>
      <c r="AC19" s="2977" t="str">
        <f>非誘!AA16</f>
        <v>A</v>
      </c>
      <c r="AD19" s="2978"/>
      <c r="AE19" s="2917" t="s">
        <v>760</v>
      </c>
      <c r="AF19" s="2918"/>
      <c r="AG19" s="2918"/>
      <c r="AH19" s="2918"/>
      <c r="AI19" s="2919"/>
      <c r="AJ19" s="2979">
        <f>非誘!J17</f>
        <v>0.72727272727272729</v>
      </c>
      <c r="AK19" s="2980"/>
      <c r="AL19" s="2981"/>
      <c r="AM19" s="2917" t="s">
        <v>759</v>
      </c>
      <c r="AN19" s="2918"/>
      <c r="AO19" s="2919"/>
      <c r="AP19" s="2920" t="str">
        <f>IF(OR($B$2=0,AS19=""),$BO$14,AS19)</f>
        <v>Ⓖ</v>
      </c>
      <c r="AQ19" s="2920"/>
      <c r="AR19" s="554" t="s">
        <v>103</v>
      </c>
      <c r="AS19" s="2921"/>
      <c r="AT19" s="2922"/>
      <c r="AU19" s="2875" t="s">
        <v>757</v>
      </c>
      <c r="AV19" s="2875"/>
      <c r="AW19" s="2875"/>
      <c r="AX19" s="2875"/>
      <c r="AY19" s="2875"/>
      <c r="AZ19" s="2875"/>
      <c r="BA19" s="2876"/>
      <c r="BB19" s="553">
        <f>IF(BC19="天井ケーブル",1,IF(BC19="天井(PF管)",2,IF(BC19="天井(C管)",3,IF(BC19="天井(G管)",4,IF(BC19="床(CD管)",5,IF(BC19="床(C管)",6,IF(BC19="床(G管)",7,"")))))))</f>
        <v>3</v>
      </c>
      <c r="BC19" s="2961" t="str">
        <f>IF($B$2=0,"",IF(BK19&lt;&gt;"",BK19,IF(I22="直天","天井(C管)","床(CD管)")))</f>
        <v>天井(C管)</v>
      </c>
      <c r="BD19" s="2962"/>
      <c r="BE19" s="2962"/>
      <c r="BF19" s="2962"/>
      <c r="BG19" s="2962"/>
      <c r="BH19" s="2962"/>
      <c r="BI19" s="2963"/>
      <c r="BJ19" s="552" t="s">
        <v>103</v>
      </c>
      <c r="BK19" s="2905"/>
      <c r="BL19" s="2906"/>
      <c r="BM19" s="2906"/>
      <c r="BN19" s="2906"/>
      <c r="BO19" s="2906"/>
      <c r="BP19" s="2907"/>
      <c r="BQ19" s="2982" t="s">
        <v>755</v>
      </c>
      <c r="BR19" s="2983"/>
      <c r="BS19" s="2983"/>
      <c r="BT19" s="2984"/>
      <c r="BU19" s="19"/>
      <c r="BV19" s="8">
        <v>1</v>
      </c>
      <c r="BX19" s="55" t="s">
        <v>229</v>
      </c>
      <c r="BY19" s="55" t="s">
        <v>228</v>
      </c>
      <c r="BZ19" s="534">
        <f>BY22</f>
        <v>141</v>
      </c>
      <c r="CA19" s="534">
        <f>CA20</f>
        <v>141</v>
      </c>
      <c r="CB19" s="38">
        <f>CA20</f>
        <v>141</v>
      </c>
      <c r="CC19" s="69"/>
      <c r="CD19" s="534"/>
      <c r="CE19" s="534"/>
      <c r="CF19" s="143" t="s">
        <v>754</v>
      </c>
      <c r="CG19" s="143" t="s">
        <v>753</v>
      </c>
      <c r="CH19" s="143" t="s">
        <v>753</v>
      </c>
      <c r="CI19" s="551" t="s">
        <v>752</v>
      </c>
      <c r="CJ19" s="551" t="s">
        <v>752</v>
      </c>
      <c r="CK19" s="550" t="s">
        <v>734</v>
      </c>
      <c r="CL19" s="550" t="s">
        <v>732</v>
      </c>
      <c r="CM19" s="46"/>
      <c r="CO19" s="46" t="str">
        <f>Q23</f>
        <v>FCPEV 0.65-150Pr</v>
      </c>
      <c r="CP19" s="520">
        <f>AK23</f>
        <v>7</v>
      </c>
      <c r="CR19" s="519" t="str">
        <f>IF(CS19="","",IF($J$14="A","多機能内線電話機",""))</f>
        <v>多機能内線電話機</v>
      </c>
      <c r="CS19" s="189">
        <f>BB22</f>
        <v>126</v>
      </c>
      <c r="CU19" s="88">
        <v>1</v>
      </c>
      <c r="CV19" s="45"/>
      <c r="CW19" s="45"/>
      <c r="CX19" s="45"/>
      <c r="CY19" s="45"/>
      <c r="CZ19" s="45" t="s">
        <v>109</v>
      </c>
      <c r="DA19" s="45"/>
      <c r="DB19" s="45" t="s">
        <v>108</v>
      </c>
      <c r="DD19" s="88">
        <v>1</v>
      </c>
      <c r="DE19" s="204">
        <f t="shared" si="2"/>
        <v>4</v>
      </c>
      <c r="DF19" s="155" t="str">
        <f t="shared" si="0"/>
        <v/>
      </c>
      <c r="DG19" s="45"/>
      <c r="DH19" s="45"/>
      <c r="DI19" s="45"/>
      <c r="DJ19" s="45"/>
      <c r="DK19" s="548"/>
      <c r="DM19" s="88">
        <v>1</v>
      </c>
      <c r="DN19" s="45"/>
      <c r="DO19" s="45"/>
      <c r="DP19" s="45"/>
      <c r="DQ19" s="45"/>
      <c r="DR19" s="45" t="s">
        <v>109</v>
      </c>
      <c r="DS19" s="45"/>
      <c r="DT19" s="45" t="s">
        <v>108</v>
      </c>
    </row>
    <row r="20" spans="1:124" ht="11.25" customHeight="1" thickBot="1">
      <c r="B20" s="23"/>
      <c r="C20" s="3008" t="s">
        <v>4</v>
      </c>
      <c r="D20" s="3009"/>
      <c r="E20" s="3010"/>
      <c r="F20" s="3014" t="s">
        <v>22</v>
      </c>
      <c r="G20" s="2983"/>
      <c r="H20" s="3015"/>
      <c r="I20" s="2982" t="s">
        <v>132</v>
      </c>
      <c r="J20" s="2983"/>
      <c r="K20" s="3015"/>
      <c r="L20" s="2982" t="s">
        <v>6</v>
      </c>
      <c r="M20" s="2983"/>
      <c r="N20" s="2983"/>
      <c r="O20" s="2984"/>
      <c r="P20" s="3014" t="s">
        <v>7</v>
      </c>
      <c r="Q20" s="2983"/>
      <c r="R20" s="2983"/>
      <c r="S20" s="2984"/>
      <c r="T20" s="3014" t="s">
        <v>8</v>
      </c>
      <c r="U20" s="2983"/>
      <c r="V20" s="2983"/>
      <c r="W20" s="2984"/>
      <c r="X20" s="3014" t="s">
        <v>9</v>
      </c>
      <c r="Y20" s="2983"/>
      <c r="Z20" s="3015"/>
      <c r="AA20" s="2982" t="s">
        <v>9</v>
      </c>
      <c r="AB20" s="2983"/>
      <c r="AC20" s="2984"/>
      <c r="AD20" s="2974" t="s">
        <v>708</v>
      </c>
      <c r="AE20" s="2975"/>
      <c r="AF20" s="2975"/>
      <c r="AG20" s="2975"/>
      <c r="AH20" s="2975"/>
      <c r="AI20" s="2975"/>
      <c r="AJ20" s="2975"/>
      <c r="AK20" s="2975"/>
      <c r="AL20" s="2930" t="str">
        <f>IF(BX24=1,"T-"&amp;LEFT(C22,3)&amp;"-1","T-"&amp;LEFT(C22,3)&amp;"-1～"&amp;BX24)</f>
        <v>T- B2-1～6</v>
      </c>
      <c r="AM20" s="2930"/>
      <c r="AN20" s="2930"/>
      <c r="AO20" s="2930"/>
      <c r="AP20" s="2930"/>
      <c r="AQ20" s="2932"/>
      <c r="AR20" s="2925" t="s">
        <v>751</v>
      </c>
      <c r="AS20" s="2926"/>
      <c r="AT20" s="2926"/>
      <c r="AU20" s="2926"/>
      <c r="AV20" s="2926"/>
      <c r="AW20" s="2926"/>
      <c r="AX20" s="2926"/>
      <c r="AY20" s="2926"/>
      <c r="AZ20" s="2926"/>
      <c r="BA20" s="2927"/>
      <c r="BB20" s="2886" t="s">
        <v>750</v>
      </c>
      <c r="BC20" s="2887"/>
      <c r="BD20" s="2887"/>
      <c r="BE20" s="2887"/>
      <c r="BF20" s="2887"/>
      <c r="BG20" s="2887"/>
      <c r="BH20" s="2887"/>
      <c r="BI20" s="2887"/>
      <c r="BJ20" s="2888"/>
      <c r="BK20" s="2888"/>
      <c r="BL20" s="2888"/>
      <c r="BM20" s="2888"/>
      <c r="BN20" s="2888"/>
      <c r="BO20" s="2888"/>
      <c r="BP20" s="2889"/>
      <c r="BQ20" s="2939" t="str">
        <f>IF(AND($B$2=1,$J$14="A",C22=$J$15),"設置","")</f>
        <v/>
      </c>
      <c r="BR20" s="2845"/>
      <c r="BS20" s="2845"/>
      <c r="BT20" s="2940"/>
      <c r="BU20" s="19"/>
      <c r="BV20" s="15">
        <v>16</v>
      </c>
      <c r="BX20" s="98">
        <f>非誘!BW18</f>
        <v>24</v>
      </c>
      <c r="BY20" s="98">
        <f>非誘!BX18</f>
        <v>33</v>
      </c>
      <c r="BZ20" s="547">
        <f>IF(CA20&lt;10,10,IF(CA20&lt;15,15,IF(CA20&lt;20,20,IF(CA20&lt;25,25,IF(CA20&lt;30,30,IF(CA20&lt;50,50,IF(CA20&lt;70,70,IF(CA20&lt;100,100,IF(CA20&lt;150,150,IF(CA20&lt;20,200,200))))))))))</f>
        <v>150</v>
      </c>
      <c r="CA20" s="546">
        <f>SUM(CC23:CC25)</f>
        <v>141</v>
      </c>
      <c r="CB20" s="107" t="str">
        <f>IF(CA20&lt;10," 10",IF(CA20&lt;15," 15",IF(CA20&lt;20," 20",IF(CA20&lt;25," 25",IF(CA20&lt;30," 30",IF(CA20&lt;50," 50",IF(CA20&lt;70," 70",IF(CA20&lt;100,"100",IF(CA20&lt;150,"150",IF(CA20&lt;200,"200",""))))))))))</f>
        <v>150</v>
      </c>
      <c r="CC20" s="545">
        <f>1+INT(BY22/200)</f>
        <v>1</v>
      </c>
      <c r="CD20" s="534"/>
      <c r="CE20" s="156" t="s">
        <v>749</v>
      </c>
      <c r="CF20" s="189">
        <f>2*INT($AG$9/1000)</f>
        <v>2</v>
      </c>
      <c r="CG20" s="189">
        <f>CG23+(1+INT($AG$9+$AG$8)/1000)*(1+INT(AR22/10))+CG22</f>
        <v>245.28</v>
      </c>
      <c r="CH20" s="98">
        <f>IF(AW22="",0,AW22*8)</f>
        <v>1008</v>
      </c>
      <c r="CI20" s="98">
        <f>AR22*8</f>
        <v>120</v>
      </c>
      <c r="CJ20" s="544">
        <f>IF(AW22="",0,AW22*8)</f>
        <v>1008</v>
      </c>
      <c r="CK20" s="223">
        <f>IF(E24="不","",(CG20+CG21+CI20+CI21)*MAX(P22:W22)/L22)</f>
        <v>405.22399999999999</v>
      </c>
      <c r="CL20" s="223">
        <f>IF(E24="不","",SUM(CG23:CH23)+SUM(CG24:CH24)*MAX(P22:W22)/L22)</f>
        <v>762.3</v>
      </c>
      <c r="CM20" s="527" t="s">
        <v>7</v>
      </c>
      <c r="CN20" s="15"/>
      <c r="CO20" s="46" t="str">
        <f>Q24</f>
        <v>電子釦 0.4- 4Pr</v>
      </c>
      <c r="CP20" s="520">
        <f>AK24</f>
        <v>506.53</v>
      </c>
      <c r="CR20" s="519" t="str">
        <f>IF(CS20="","",IF($J$14="A","内線電話機"))</f>
        <v>内線電話機</v>
      </c>
      <c r="CS20" s="189">
        <f>BG22</f>
        <v>15</v>
      </c>
      <c r="CU20" s="8"/>
      <c r="CV20" s="197">
        <f t="shared" ref="CV20:CV51" si="3">IF(CZ20&lt;&gt;"",CV19+1,CV19)</f>
        <v>1</v>
      </c>
      <c r="CW20" s="197">
        <f t="shared" ref="CW20:CW51" si="4">IF(AND(CV20&lt;&gt;"",CZ20&lt;&gt;""),CV20,"")</f>
        <v>1</v>
      </c>
      <c r="CX20" s="543" t="str">
        <f>CO19</f>
        <v>FCPEV 0.65-150Pr</v>
      </c>
      <c r="CY20" s="8"/>
      <c r="CZ20" s="249" t="str">
        <f>IF(COUNTIF($CX$17:$CX19,CX20)&gt;0,"",CX20)</f>
        <v>FCPEV 0.65-150Pr</v>
      </c>
      <c r="DA20" s="515">
        <f>CP19</f>
        <v>7</v>
      </c>
      <c r="DB20" s="514">
        <f>SUMIF($CX$20:$CX$182,CZ20,$DA$20:$DA$182)</f>
        <v>13</v>
      </c>
      <c r="DC20" s="8"/>
      <c r="DD20" s="8"/>
      <c r="DE20" s="197">
        <f t="shared" si="2"/>
        <v>5</v>
      </c>
      <c r="DF20" s="197">
        <f t="shared" si="0"/>
        <v>5</v>
      </c>
      <c r="DG20" s="207" t="str">
        <f>CO23</f>
        <v>C-51mm</v>
      </c>
      <c r="DH20" s="8"/>
      <c r="DI20" s="249" t="str">
        <f>IF(COUNTIF(DG$9:$DG19,DG20)&gt;0,"",DG20)</f>
        <v>C-51mm</v>
      </c>
      <c r="DJ20" s="515">
        <f>CP23</f>
        <v>5</v>
      </c>
      <c r="DK20" s="514">
        <f t="shared" ref="DK20:DK27" si="5">SUMIF($DG$11:$DG$182,DI20,$DJ$11:$DJ$182)</f>
        <v>5</v>
      </c>
      <c r="DL20" s="8"/>
      <c r="DM20" s="8"/>
      <c r="DN20" s="197">
        <f>IF(DR20&lt;&gt;"",DN19+1,DN19)</f>
        <v>1</v>
      </c>
      <c r="DO20" s="197">
        <f t="shared" ref="DO20:DO25" si="6">IF(AND(DN20&lt;&gt;"",DS20&lt;&gt;""),DN20,"")</f>
        <v>1</v>
      </c>
      <c r="DP20" s="10" t="str">
        <f>CR19</f>
        <v>多機能内線電話機</v>
      </c>
      <c r="DQ20" s="8"/>
      <c r="DR20" s="249" t="str">
        <f>IF(COUNTIF(DP$18:$DP19,DP20)&gt;0,"",DP20)</f>
        <v>多機能内線電話機</v>
      </c>
      <c r="DS20" s="198">
        <f>CS19</f>
        <v>126</v>
      </c>
      <c r="DT20" s="514">
        <f t="shared" ref="DT20:DT25" si="7">SUMIF($DP$20:$DP$182,DR20,$DS$20:$DS$182)</f>
        <v>712</v>
      </c>
    </row>
    <row r="21" spans="1:124" ht="11.25" customHeight="1" thickBot="1">
      <c r="B21" s="23"/>
      <c r="C21" s="3011"/>
      <c r="D21" s="3012"/>
      <c r="E21" s="3013"/>
      <c r="F21" s="3039" t="s">
        <v>235</v>
      </c>
      <c r="G21" s="3040"/>
      <c r="H21" s="3041"/>
      <c r="I21" s="3039" t="s">
        <v>235</v>
      </c>
      <c r="J21" s="3040"/>
      <c r="K21" s="3041"/>
      <c r="L21" s="3039" t="s">
        <v>748</v>
      </c>
      <c r="M21" s="3040"/>
      <c r="N21" s="3040"/>
      <c r="O21" s="3042"/>
      <c r="P21" s="3043" t="s">
        <v>748</v>
      </c>
      <c r="Q21" s="3040"/>
      <c r="R21" s="3040"/>
      <c r="S21" s="3042"/>
      <c r="T21" s="3043" t="s">
        <v>748</v>
      </c>
      <c r="U21" s="3040"/>
      <c r="V21" s="3040"/>
      <c r="W21" s="3044"/>
      <c r="X21" s="3045" t="s">
        <v>111</v>
      </c>
      <c r="Y21" s="3046"/>
      <c r="Z21" s="3047"/>
      <c r="AA21" s="3001" t="s">
        <v>110</v>
      </c>
      <c r="AB21" s="3002"/>
      <c r="AC21" s="3003"/>
      <c r="AD21" s="3004" t="s">
        <v>695</v>
      </c>
      <c r="AE21" s="3005"/>
      <c r="AF21" s="3005"/>
      <c r="AG21" s="3006" t="s">
        <v>699</v>
      </c>
      <c r="AH21" s="3005"/>
      <c r="AI21" s="3007"/>
      <c r="AJ21" s="2928" t="s">
        <v>747</v>
      </c>
      <c r="AK21" s="2918"/>
      <c r="AL21" s="2918"/>
      <c r="AM21" s="2928" t="s">
        <v>746</v>
      </c>
      <c r="AN21" s="2918"/>
      <c r="AO21" s="2929"/>
      <c r="AP21" s="2956" t="s">
        <v>745</v>
      </c>
      <c r="AQ21" s="2957"/>
      <c r="AR21" s="2917" t="s">
        <v>744</v>
      </c>
      <c r="AS21" s="2918"/>
      <c r="AT21" s="2958" t="s">
        <v>3</v>
      </c>
      <c r="AU21" s="2959"/>
      <c r="AV21" s="2959"/>
      <c r="AW21" s="2959" t="s">
        <v>743</v>
      </c>
      <c r="AX21" s="2960"/>
      <c r="AY21" s="2928" t="s">
        <v>3</v>
      </c>
      <c r="AZ21" s="2918"/>
      <c r="BA21" s="2919"/>
      <c r="BB21" s="542" t="str">
        <f>IF(CA23="","","●")</f>
        <v>●</v>
      </c>
      <c r="BC21" s="2930" t="s">
        <v>742</v>
      </c>
      <c r="BD21" s="2930"/>
      <c r="BE21" s="2930"/>
      <c r="BF21" s="2931"/>
      <c r="BG21" s="542" t="str">
        <f>IF(CA24="","","●")</f>
        <v>●</v>
      </c>
      <c r="BH21" s="2930" t="s">
        <v>741</v>
      </c>
      <c r="BI21" s="2930"/>
      <c r="BJ21" s="2930"/>
      <c r="BK21" s="2931"/>
      <c r="BL21" s="542" t="str">
        <f>IF(CA25="","","●")</f>
        <v/>
      </c>
      <c r="BM21" s="2930" t="s">
        <v>764</v>
      </c>
      <c r="BN21" s="2930"/>
      <c r="BO21" s="2930"/>
      <c r="BP21" s="2932"/>
      <c r="BQ21" s="2974" t="s">
        <v>740</v>
      </c>
      <c r="BR21" s="2975"/>
      <c r="BS21" s="2975"/>
      <c r="BT21" s="2976"/>
      <c r="BU21" s="19"/>
      <c r="BX21" s="97">
        <f>IF(LEFT(C22,2)=" B",-MID(C22,3,1),IF(C22="  RF","",LEFT(C22,3)))</f>
        <v>-2</v>
      </c>
      <c r="BY21" s="541" t="str">
        <f>IF(OR(C22="",C22="  RF"),"",IF(LEFT(C22,1)="P","+",IF($BW$14&gt;BX21,"-",IF($BW$14=BX21,"=","+"))))</f>
        <v>-</v>
      </c>
      <c r="BZ21" s="2985" t="str">
        <f>"FCPEV 0.65-"&amp;CB20&amp;"Pr"</f>
        <v>FCPEV 0.65-150Pr</v>
      </c>
      <c r="CA21" s="2986"/>
      <c r="CB21" s="2986"/>
      <c r="CC21" s="2986"/>
      <c r="CD21" s="62"/>
      <c r="CE21" s="156" t="s">
        <v>763</v>
      </c>
      <c r="CF21" s="540">
        <f>F22</f>
        <v>5</v>
      </c>
      <c r="CG21" s="540">
        <f>CG24+(1+INT(AR22/10))*($AG$9+$AG$8)/1000</f>
        <v>136.75</v>
      </c>
      <c r="CH21" s="539"/>
      <c r="CI21" s="189">
        <f>CH24</f>
        <v>4.5</v>
      </c>
      <c r="CJ21" s="260"/>
      <c r="CK21" s="528">
        <f>IF(E25="不","",(CG20+CG21+CI20+CI21)*T22/L22)</f>
        <v>101.30599999999998</v>
      </c>
      <c r="CL21" s="528">
        <f>IF(E25="不","",SUM(CG23:CH23)+SUM(CG24:CH24)*T22/L22)</f>
        <v>679.95</v>
      </c>
      <c r="CM21" s="527" t="s">
        <v>8</v>
      </c>
      <c r="CN21" s="15"/>
      <c r="CO21" s="46" t="str">
        <f>Q25</f>
        <v>TIVF 0.8-2C</v>
      </c>
      <c r="CP21" s="520">
        <f>AK25</f>
        <v>2016</v>
      </c>
      <c r="CR21" s="519" t="str">
        <f>IF(CS21="","",IF($J$14="A","PHSアンテナ"))</f>
        <v/>
      </c>
      <c r="CS21" s="189" t="str">
        <f>BL22</f>
        <v/>
      </c>
      <c r="CU21" s="8"/>
      <c r="CV21" s="197">
        <f t="shared" si="3"/>
        <v>2</v>
      </c>
      <c r="CW21" s="197">
        <f t="shared" si="4"/>
        <v>2</v>
      </c>
      <c r="CX21" s="10" t="str">
        <f>CO20</f>
        <v>電子釦 0.4- 4Pr</v>
      </c>
      <c r="CY21" s="8"/>
      <c r="CZ21" s="249" t="str">
        <f>IF(COUNTIF($CZ$10:$CZ20,CX21)&gt;0,"",CX21)</f>
        <v>電子釦 0.4- 4Pr</v>
      </c>
      <c r="DA21" s="515">
        <f>CP20</f>
        <v>506.53</v>
      </c>
      <c r="DB21" s="514">
        <f>SUMIF($CX$20:$CX$182,CZ21,$DA$20:$DA$182)</f>
        <v>7829.5779999999995</v>
      </c>
      <c r="DC21" s="8"/>
      <c r="DD21" s="8"/>
      <c r="DE21" s="197">
        <f t="shared" si="2"/>
        <v>6</v>
      </c>
      <c r="DF21" s="197">
        <f t="shared" si="0"/>
        <v>6</v>
      </c>
      <c r="DG21" s="207" t="str">
        <f>CO24</f>
        <v>C-25mm</v>
      </c>
      <c r="DH21" s="8"/>
      <c r="DI21" s="249" t="str">
        <f>IF(COUNTIF(DG$9:$DG20,DG21)&gt;0,"",DG21)</f>
        <v>C-25mm</v>
      </c>
      <c r="DJ21" s="515">
        <f>CP24</f>
        <v>1442.25</v>
      </c>
      <c r="DK21" s="514">
        <f t="shared" si="5"/>
        <v>1638.25</v>
      </c>
      <c r="DL21" s="8"/>
      <c r="DM21" s="8"/>
      <c r="DN21" s="197">
        <f>IF(DR21&lt;&gt;"",DN20+1,DN20)</f>
        <v>2</v>
      </c>
      <c r="DO21" s="197">
        <f t="shared" si="6"/>
        <v>2</v>
      </c>
      <c r="DP21" s="207" t="str">
        <f>CR20</f>
        <v>内線電話機</v>
      </c>
      <c r="DQ21" s="8"/>
      <c r="DR21" s="249" t="str">
        <f>IF(COUNTIF(DP$18:$DP20,DP21)&gt;0,"",DP21)</f>
        <v>内線電話機</v>
      </c>
      <c r="DS21" s="198">
        <f>CS20</f>
        <v>15</v>
      </c>
      <c r="DT21" s="514">
        <f t="shared" si="7"/>
        <v>487</v>
      </c>
    </row>
    <row r="22" spans="1:124" ht="10.5" customHeight="1" thickBot="1">
      <c r="B22" s="23"/>
      <c r="C22" s="2987" t="str">
        <f>IF($B$2=0,"",非誘!C18)</f>
        <v xml:space="preserve"> B2F</v>
      </c>
      <c r="D22" s="2988"/>
      <c r="E22" s="2988"/>
      <c r="F22" s="2989">
        <f>IF($B$2=0,"",非誘!F18)</f>
        <v>5</v>
      </c>
      <c r="G22" s="2989"/>
      <c r="H22" s="2989"/>
      <c r="I22" s="2989" t="str">
        <f>IF($B$2=0,"",非誘!J18)</f>
        <v>直天</v>
      </c>
      <c r="J22" s="3196"/>
      <c r="K22" s="3196"/>
      <c r="L22" s="3197">
        <f>IF($B$2=0,"",非誘!N18)</f>
        <v>3168</v>
      </c>
      <c r="M22" s="3197"/>
      <c r="N22" s="2990"/>
      <c r="O22" s="2990"/>
      <c r="P22" s="2991">
        <f>IF($B$2=0,"",非誘!S18)</f>
        <v>2534.4</v>
      </c>
      <c r="Q22" s="2992"/>
      <c r="R22" s="2992"/>
      <c r="S22" s="2992"/>
      <c r="T22" s="2992">
        <f>IF($B$2=0,"",非誘!W18)</f>
        <v>633.59999999999991</v>
      </c>
      <c r="U22" s="2992"/>
      <c r="V22" s="2992"/>
      <c r="W22" s="2992"/>
      <c r="X22" s="2993">
        <f>IF($B$2=0,"",非誘!AA18)</f>
        <v>34</v>
      </c>
      <c r="Y22" s="2993"/>
      <c r="Z22" s="2993"/>
      <c r="AA22" s="2993">
        <f>IF($B$2=0,"",非誘!AD18)</f>
        <v>32</v>
      </c>
      <c r="AB22" s="2993"/>
      <c r="AC22" s="2994"/>
      <c r="AD22" s="2966">
        <f>IF($B$2=0,"",CB20*CC20)</f>
        <v>150</v>
      </c>
      <c r="AE22" s="2967"/>
      <c r="AF22" s="2968"/>
      <c r="AG22" s="2969">
        <f>IF($B$2=0,"",放送!CB17)</f>
        <v>30</v>
      </c>
      <c r="AH22" s="2967"/>
      <c r="AI22" s="2968"/>
      <c r="AJ22" s="2970" t="str">
        <f>IF($B$2=0,"",IF(TV!M23="設置","Space","---"))</f>
        <v>Space</v>
      </c>
      <c r="AK22" s="2971"/>
      <c r="AL22" s="2971"/>
      <c r="AM22" s="2969"/>
      <c r="AN22" s="2967"/>
      <c r="AO22" s="2968"/>
      <c r="AP22" s="2972"/>
      <c r="AQ22" s="2973"/>
      <c r="AR22" s="2923">
        <f>IF($B$2=0,"",IF(AZ22="",CB24,AZ22))</f>
        <v>15</v>
      </c>
      <c r="AS22" s="2924"/>
      <c r="AT22" s="538" t="s">
        <v>106</v>
      </c>
      <c r="AU22" s="2946"/>
      <c r="AV22" s="2947"/>
      <c r="AW22" s="2923">
        <f>IF($B$2=0,"",IF(CA23="",0,IF(AZ22="",CB23,AZ22)))</f>
        <v>126</v>
      </c>
      <c r="AX22" s="2924"/>
      <c r="AY22" s="538" t="s">
        <v>106</v>
      </c>
      <c r="AZ22" s="2999"/>
      <c r="BA22" s="3000"/>
      <c r="BB22" s="2951">
        <f>IF(OR($J$14&lt;&gt;"A",CA23=""),"",IF(BE22&lt;&gt;"",BE22,CB23))</f>
        <v>126</v>
      </c>
      <c r="BC22" s="2952"/>
      <c r="BD22" s="537" t="s">
        <v>106</v>
      </c>
      <c r="BE22" s="2938"/>
      <c r="BF22" s="2938"/>
      <c r="BG22" s="2951">
        <f>IF(C22="","",IF(OR($J$14&lt;&gt;"A",CA24=""),"",IF(BJ22&lt;&gt;"",BE22,CB24)))</f>
        <v>15</v>
      </c>
      <c r="BH22" s="2952"/>
      <c r="BI22" s="537" t="s">
        <v>106</v>
      </c>
      <c r="BJ22" s="2938"/>
      <c r="BK22" s="2938"/>
      <c r="BL22" s="2951" t="str">
        <f>IF(OR($J$14&lt;&gt;"A",CA25=""),"",IF(BO22&lt;&gt;"",BO22,CB25))</f>
        <v/>
      </c>
      <c r="BM22" s="2952"/>
      <c r="BN22" s="537" t="s">
        <v>106</v>
      </c>
      <c r="BO22" s="2964"/>
      <c r="BP22" s="2965"/>
      <c r="BQ22" s="2939" t="str">
        <f>IF(BQ20="設置","Ｅt","")</f>
        <v/>
      </c>
      <c r="BR22" s="2845"/>
      <c r="BS22" s="2845"/>
      <c r="BT22" s="2940"/>
      <c r="BU22" s="19"/>
      <c r="BW22" s="89" t="str">
        <f>AP19</f>
        <v>Ⓖ</v>
      </c>
      <c r="BX22" s="263">
        <f>IF(C22="","",IF(BW22="Ⓐ",BX20+BY20+3,IF(BW22="Ⓑ",BX20*5/8+BY20+3,IF(BW22="Ⓒ",BX20/2+BY20+3,IF(BW22="Ⓓ",BX20+BY20*5/8+3,IF(BW22="Ⓔ",(BX20+BY20)*5/8+3,IF(BW22="Ⓕ",BX20/2+BY20*5/8+3,IF(BW22="Ⓖ",BX20+BY20/2+3,IF(BW22="Ⓗ",BX20*5/8+BY20/2+3,IF(BW22="Ⓘ",(BX20+BY20)/2+3))))))))))</f>
        <v>43.5</v>
      </c>
      <c r="BY22" s="86">
        <f>IF(C22="",0,IF(BY21="=",BZ19,IF(BY21="-",CA19,CB19)))</f>
        <v>141</v>
      </c>
      <c r="BZ22" s="156"/>
      <c r="CA22" s="536" t="str">
        <f>IF(CA20&lt;=30,"25",IF(CA20&lt;=50,"31",IF(CA20&lt;=100,"39",IF(CA20&lt;=200,"51",""))))</f>
        <v>51</v>
      </c>
      <c r="CB22" s="535" t="str">
        <f>IF(CA20&lt;=30,"22",IF(CA20&lt;=50,"28",IF(CA20&lt;=100,"36",IF(CA20&lt;=200,"42",""))))</f>
        <v>42</v>
      </c>
      <c r="CC22" s="122"/>
      <c r="CD22" s="534"/>
      <c r="CE22" s="156" t="s">
        <v>738</v>
      </c>
      <c r="CF22" s="533"/>
      <c r="CG22" s="189">
        <f>IF($B$2="","",IF($AQ$8=0,0,0.02*($AQ$8/1000-0.15-0.1)*(INT(1000*BX20/$AQ$9)+1)*(INT(1000*BY20/$AQ$9)+1)*4*(AR22+AW22)))</f>
        <v>152.28</v>
      </c>
      <c r="CH22" s="532"/>
      <c r="CI22" s="531"/>
      <c r="CJ22" s="15"/>
      <c r="CK22" s="528">
        <f>IF(E24="不","",SUM(CH20+CJ20)*MAX(P22:W22)/L22)</f>
        <v>1612.8000000000002</v>
      </c>
      <c r="CL22" s="528">
        <f>IF(E24="不","",CJ23)</f>
        <v>757.98640757288854</v>
      </c>
      <c r="CM22" s="527" t="s">
        <v>7</v>
      </c>
      <c r="CN22" s="15"/>
      <c r="CO22" s="252" t="str">
        <f>IF(CP22="","","導入線 1.2mmφ")</f>
        <v>導入線 1.2mmφ</v>
      </c>
      <c r="CP22" s="184">
        <f>1.1*INT(SUM(CP23:CP25))</f>
        <v>2425.5</v>
      </c>
      <c r="CR22" s="519" t="str">
        <f>IF(CS22="","",IF($J$14="A","PHS電話機"))</f>
        <v/>
      </c>
      <c r="CS22" s="189" t="str">
        <f>IF(CS21="","",INT(CS21*1.5))</f>
        <v/>
      </c>
      <c r="CU22" s="8"/>
      <c r="CV22" s="197">
        <f t="shared" si="3"/>
        <v>3</v>
      </c>
      <c r="CW22" s="197">
        <f t="shared" si="4"/>
        <v>3</v>
      </c>
      <c r="CX22" s="10" t="str">
        <f>CO21</f>
        <v>TIVF 0.8-2C</v>
      </c>
      <c r="CY22" s="8"/>
      <c r="CZ22" s="249" t="str">
        <f>IF(COUNTIF($CZ$10:$CZ21,CX22)&gt;0,"",CX22)</f>
        <v>TIVF 0.8-2C</v>
      </c>
      <c r="DA22" s="515">
        <f>CP21</f>
        <v>2016</v>
      </c>
      <c r="DB22" s="514">
        <f>SUMIF($CX$20:$CX$182,CZ22,$DA$20:$DA$182)</f>
        <v>11392</v>
      </c>
      <c r="DC22" s="8"/>
      <c r="DD22" s="8"/>
      <c r="DE22" s="197">
        <f t="shared" si="2"/>
        <v>7</v>
      </c>
      <c r="DF22" s="197">
        <f t="shared" si="0"/>
        <v>7</v>
      </c>
      <c r="DG22" s="207" t="str">
        <f>CO25</f>
        <v>フロアダクト FC-6</v>
      </c>
      <c r="DH22" s="8"/>
      <c r="DI22" s="249" t="str">
        <f>IF(COUNTIF(DG$9:$DG21,DG22)&gt;0,"",DG22)</f>
        <v>フロアダクト FC-6</v>
      </c>
      <c r="DJ22" s="515">
        <f>CP25</f>
        <v>757.98640757288854</v>
      </c>
      <c r="DK22" s="514">
        <f t="shared" si="5"/>
        <v>3969.1010556830861</v>
      </c>
      <c r="DL22" s="8"/>
      <c r="DM22" s="8"/>
      <c r="DN22" s="197">
        <f>IF(DR22&lt;&gt;"",DN21+1,DN21)</f>
        <v>2</v>
      </c>
      <c r="DO22" s="197" t="str">
        <f t="shared" si="6"/>
        <v/>
      </c>
      <c r="DP22" s="10" t="str">
        <f>CR21</f>
        <v/>
      </c>
      <c r="DQ22" s="8"/>
      <c r="DR22" s="249" t="str">
        <f>IF(COUNTIF(DP$18:$DP21,DP22)&gt;0,"",DP22)</f>
        <v/>
      </c>
      <c r="DS22" s="198" t="str">
        <f>CS21</f>
        <v/>
      </c>
      <c r="DT22" s="514">
        <f t="shared" si="7"/>
        <v>0</v>
      </c>
    </row>
    <row r="23" spans="1:124" ht="10.5" customHeight="1" thickBot="1">
      <c r="B23" s="23"/>
      <c r="C23" s="3048" t="s">
        <v>737</v>
      </c>
      <c r="D23" s="3049"/>
      <c r="E23" s="3049"/>
      <c r="F23" s="3049"/>
      <c r="G23" s="3049"/>
      <c r="H23" s="3049"/>
      <c r="I23" s="3049"/>
      <c r="J23" s="3050" t="s">
        <v>736</v>
      </c>
      <c r="K23" s="3051"/>
      <c r="L23" s="3051"/>
      <c r="M23" s="3051"/>
      <c r="N23" s="3052" t="s">
        <v>735</v>
      </c>
      <c r="O23" s="2891"/>
      <c r="P23" s="2892"/>
      <c r="Q23" s="3057" t="str">
        <f>IF(OR($B$2=0,$J$14="C"),"",IF(Z23="",BZ21,Z23))</f>
        <v>FCPEV 0.65-150Pr</v>
      </c>
      <c r="R23" s="3057"/>
      <c r="S23" s="3057"/>
      <c r="T23" s="3057"/>
      <c r="U23" s="3057"/>
      <c r="V23" s="3057"/>
      <c r="W23" s="3057"/>
      <c r="X23" s="3057"/>
      <c r="Y23" s="524" t="s">
        <v>106</v>
      </c>
      <c r="Z23" s="2902"/>
      <c r="AA23" s="2903"/>
      <c r="AB23" s="2903"/>
      <c r="AC23" s="2903"/>
      <c r="AD23" s="2903"/>
      <c r="AE23" s="2903"/>
      <c r="AF23" s="2903"/>
      <c r="AG23" s="2904"/>
      <c r="AH23" s="2877" t="s">
        <v>734</v>
      </c>
      <c r="AI23" s="2878"/>
      <c r="AJ23" s="2879"/>
      <c r="AK23" s="3058">
        <f>IF($B$2=0,"",IF(AP23&lt;&gt;"",AP23,IF($J$14="C","",SUM(CF20:CF21)*CC20)))</f>
        <v>7</v>
      </c>
      <c r="AL23" s="3058"/>
      <c r="AM23" s="3058"/>
      <c r="AN23" s="3058"/>
      <c r="AO23" s="524" t="s">
        <v>106</v>
      </c>
      <c r="AP23" s="2911"/>
      <c r="AQ23" s="2912"/>
      <c r="AR23" s="2912"/>
      <c r="AS23" s="2913"/>
      <c r="AT23" s="2890" t="s">
        <v>733</v>
      </c>
      <c r="AU23" s="2891"/>
      <c r="AV23" s="2892"/>
      <c r="AW23" s="2899" t="str">
        <f>IF($B$2=0,"",IF(BE23&lt;&gt;"",BE23,IF(BB19=2,"PF-"&amp;CB22&amp;"mm",IF(OR(BB19=3,BB19=6),"C-"&amp;CA22&amp;"mm",IF(OR(BB19=4,BB19=7),"G-"&amp;CB22&amp;"mm",IF(OR(BB19=1,BB19=5),"CD-"&amp;CB22&amp;"mm",""))))))</f>
        <v>C-51mm</v>
      </c>
      <c r="AX23" s="2900"/>
      <c r="AY23" s="2900"/>
      <c r="AZ23" s="2900"/>
      <c r="BA23" s="2900"/>
      <c r="BB23" s="2900"/>
      <c r="BC23" s="2901"/>
      <c r="BD23" s="524" t="s">
        <v>106</v>
      </c>
      <c r="BE23" s="2902"/>
      <c r="BF23" s="2903"/>
      <c r="BG23" s="2903"/>
      <c r="BH23" s="2903"/>
      <c r="BI23" s="2903"/>
      <c r="BJ23" s="2904"/>
      <c r="BK23" s="2877" t="s">
        <v>732</v>
      </c>
      <c r="BL23" s="2878"/>
      <c r="BM23" s="2879"/>
      <c r="BN23" s="2914">
        <f>IF($B$2=0,"",IF(BR23="",CF24*CC20,BR23))</f>
        <v>5</v>
      </c>
      <c r="BO23" s="2915"/>
      <c r="BP23" s="2916"/>
      <c r="BQ23" s="524" t="s">
        <v>106</v>
      </c>
      <c r="BR23" s="3202"/>
      <c r="BS23" s="3203"/>
      <c r="BT23" s="3204"/>
      <c r="BU23" s="19"/>
      <c r="BX23" s="530"/>
      <c r="BY23" s="46"/>
      <c r="BZ23" s="106" t="s">
        <v>731</v>
      </c>
      <c r="CA23" s="529" t="str">
        <f>IF(P22="","",IF(OR(I19="(1) ロ",I19="( 4 )",I19="(5) イ",I19="(6) イ",I19="(6) ロ",I19="(6) ハ",I19="( 7 )",I19="( 8 )",I19="( 15)"),"1",""))</f>
        <v>1</v>
      </c>
      <c r="CB23" s="151">
        <f>IF(P22="",0,INT(P22/20))</f>
        <v>126</v>
      </c>
      <c r="CC23" s="122">
        <f>IF(CB23="",0,CB23)</f>
        <v>126</v>
      </c>
      <c r="CD23" s="6"/>
      <c r="CE23" s="156" t="s">
        <v>730</v>
      </c>
      <c r="CF23" s="189"/>
      <c r="CG23" s="189">
        <f>BX22*(1+INT(AR22/10))+CG25</f>
        <v>87</v>
      </c>
      <c r="CH23" s="189">
        <f>IF(AW22="",0,BX22*(1+INT(AW22/10)))</f>
        <v>565.5</v>
      </c>
      <c r="CI23" s="82" t="s">
        <v>729</v>
      </c>
      <c r="CJ23" s="98">
        <f>7.32*(AW22-2*SQRT(AW22))</f>
        <v>757.98640757288854</v>
      </c>
      <c r="CK23" s="528">
        <f>IF(E25="不","",SUM(CH20+CJ20)*T22/L22)</f>
        <v>403.19999999999993</v>
      </c>
      <c r="CL23" s="528">
        <f>CJ23</f>
        <v>757.98640757288854</v>
      </c>
      <c r="CM23" s="527" t="s">
        <v>8</v>
      </c>
      <c r="CN23" s="69"/>
      <c r="CO23" s="252" t="str">
        <f>AW23</f>
        <v>C-51mm</v>
      </c>
      <c r="CP23" s="520">
        <f>BN23</f>
        <v>5</v>
      </c>
      <c r="CR23" s="519" t="str">
        <f>IF(CS23=0,"","C-OBox4角中深")</f>
        <v>C-OBox4角中深</v>
      </c>
      <c r="CS23" s="189">
        <f>IF($J$14="A",SUM(CS20:CS21),AR22)</f>
        <v>15</v>
      </c>
      <c r="CU23" s="8"/>
      <c r="CV23" s="197">
        <f t="shared" si="3"/>
        <v>3</v>
      </c>
      <c r="CW23" s="197" t="str">
        <f t="shared" si="4"/>
        <v/>
      </c>
      <c r="CX23" s="207" t="str">
        <f>IF(BQ22="","","IV-14sq")</f>
        <v/>
      </c>
      <c r="CY23" s="8"/>
      <c r="CZ23" s="249" t="str">
        <f>IF(COUNTIF($CZ$10:$CZ22,CX23)&gt;0,"",CX23)</f>
        <v/>
      </c>
      <c r="DA23" s="515" t="str">
        <f>IF(BQ22="","",BX22+BY20+15)</f>
        <v/>
      </c>
      <c r="DB23" s="514">
        <f>SUMIF($CX$20:$CX$182,CZ23,$DA$20:$DA$182)</f>
        <v>0</v>
      </c>
      <c r="DD23" s="8"/>
      <c r="DE23" s="197">
        <f>IF(DJ23&lt;&gt;"",DE22+1,DE22)</f>
        <v>7</v>
      </c>
      <c r="DF23" s="197">
        <f t="shared" si="0"/>
        <v>7</v>
      </c>
      <c r="DG23" s="207"/>
      <c r="DH23" s="8"/>
      <c r="DI23" s="249">
        <f>IF(COUNTIF(DG$9:$DG22,DG23)&gt;0,"",DG23)</f>
        <v>0</v>
      </c>
      <c r="DJ23" s="515"/>
      <c r="DK23" s="514">
        <f t="shared" si="5"/>
        <v>0</v>
      </c>
      <c r="DM23" s="8"/>
      <c r="DN23" s="197">
        <f>IF(DR23&lt;&gt;"",DN22+1,DN22)</f>
        <v>2</v>
      </c>
      <c r="DO23" s="197" t="str">
        <f t="shared" si="6"/>
        <v/>
      </c>
      <c r="DP23" s="10" t="str">
        <f>CR22</f>
        <v/>
      </c>
      <c r="DQ23" s="8"/>
      <c r="DR23" s="249" t="str">
        <f>IF(COUNTIF(DP$18:$DP22,DP23)&gt;0,"",DP23)</f>
        <v/>
      </c>
      <c r="DS23" s="198" t="str">
        <f>CS22</f>
        <v/>
      </c>
      <c r="DT23" s="514">
        <f t="shared" si="7"/>
        <v>0</v>
      </c>
    </row>
    <row r="24" spans="1:124" ht="10.5" customHeight="1">
      <c r="B24" s="23"/>
      <c r="C24" s="3205" t="s">
        <v>728</v>
      </c>
      <c r="D24" s="3205"/>
      <c r="E24" s="3016" t="str">
        <f>IF($D$9="不要","不",IF(H24="","要",H24))</f>
        <v>要</v>
      </c>
      <c r="F24" s="3016"/>
      <c r="G24" s="523" t="s">
        <v>724</v>
      </c>
      <c r="H24" s="3017"/>
      <c r="I24" s="3018"/>
      <c r="J24" s="3019" t="s">
        <v>727</v>
      </c>
      <c r="K24" s="3020"/>
      <c r="L24" s="3020"/>
      <c r="M24" s="3021"/>
      <c r="N24" s="3053"/>
      <c r="O24" s="2894"/>
      <c r="P24" s="2895"/>
      <c r="Q24" s="3025" t="str">
        <f>IF(OR($B$2=0,$J$14="C"),"",IF(Z24&lt;&gt;"",Z24,"電子釦 0.4- 4Pr"))</f>
        <v>電子釦 0.4- 4Pr</v>
      </c>
      <c r="R24" s="2933"/>
      <c r="S24" s="2933"/>
      <c r="T24" s="2933"/>
      <c r="U24" s="2933"/>
      <c r="V24" s="2933"/>
      <c r="W24" s="2933"/>
      <c r="X24" s="2934"/>
      <c r="Y24" s="526" t="s">
        <v>724</v>
      </c>
      <c r="Z24" s="3026"/>
      <c r="AA24" s="3027"/>
      <c r="AB24" s="3027"/>
      <c r="AC24" s="3027"/>
      <c r="AD24" s="3027"/>
      <c r="AE24" s="3027"/>
      <c r="AF24" s="3027"/>
      <c r="AG24" s="3028"/>
      <c r="AH24" s="2880" t="s">
        <v>725</v>
      </c>
      <c r="AI24" s="2881"/>
      <c r="AJ24" s="2882"/>
      <c r="AK24" s="2995">
        <f>IF($B$2=0,"",IF(AP24&lt;&gt;"",AP24,IF($J$14="C","",SUM(CK20:CK21))))</f>
        <v>506.53</v>
      </c>
      <c r="AL24" s="2995"/>
      <c r="AM24" s="2995"/>
      <c r="AN24" s="2995"/>
      <c r="AO24" s="526" t="s">
        <v>724</v>
      </c>
      <c r="AP24" s="2996"/>
      <c r="AQ24" s="2997"/>
      <c r="AR24" s="2997"/>
      <c r="AS24" s="2998"/>
      <c r="AT24" s="2893"/>
      <c r="AU24" s="2894"/>
      <c r="AV24" s="2895"/>
      <c r="AW24" s="2933" t="str">
        <f>IF($B$2=0,"",IF(BE24&lt;&gt;"",BE24,IF(BB19=2,"PF-22mm",IF(OR(BB19=3,BB19=6),"C-25mm",IF(OR(BB19=4,BB19=7),"G-22mm",IF(OR(BB19=1,BB19=5),"CD-22mm",""))))))</f>
        <v>C-25mm</v>
      </c>
      <c r="AX24" s="2933"/>
      <c r="AY24" s="2933"/>
      <c r="AZ24" s="2933"/>
      <c r="BA24" s="2933"/>
      <c r="BB24" s="2933"/>
      <c r="BC24" s="2934"/>
      <c r="BD24" s="526" t="s">
        <v>724</v>
      </c>
      <c r="BE24" s="2935"/>
      <c r="BF24" s="2936"/>
      <c r="BG24" s="2936"/>
      <c r="BH24" s="2936"/>
      <c r="BI24" s="2936"/>
      <c r="BJ24" s="2937"/>
      <c r="BK24" s="2880" t="s">
        <v>725</v>
      </c>
      <c r="BL24" s="2881"/>
      <c r="BM24" s="2882"/>
      <c r="BN24" s="2948">
        <f>IF($B$2=0,"",IF(BR24="",SUM(CL20:CL21),BR24))</f>
        <v>1442.25</v>
      </c>
      <c r="BO24" s="2949"/>
      <c r="BP24" s="2950"/>
      <c r="BQ24" s="525" t="s">
        <v>724</v>
      </c>
      <c r="BR24" s="3029"/>
      <c r="BS24" s="3030"/>
      <c r="BT24" s="3031"/>
      <c r="BU24" s="19"/>
      <c r="BX24" s="49">
        <f>1+INT(L22/600)</f>
        <v>6</v>
      </c>
      <c r="BY24" s="46"/>
      <c r="BZ24" s="106" t="s">
        <v>723</v>
      </c>
      <c r="CA24" s="522" t="str">
        <f>"1"</f>
        <v>1</v>
      </c>
      <c r="CB24" s="151">
        <f>IF(T22="","",IF(CA23="",INT(T22/40)+CB23,INT(T22/40)))</f>
        <v>15</v>
      </c>
      <c r="CC24" s="122">
        <f>IF(CB24="",0,CB24)</f>
        <v>15</v>
      </c>
      <c r="CD24" s="6"/>
      <c r="CE24" s="156" t="s">
        <v>722</v>
      </c>
      <c r="CF24" s="189">
        <f>F22</f>
        <v>5</v>
      </c>
      <c r="CG24" s="189">
        <f>IF(BB19&lt;=4,(2*F22-(R8+R10)/1000)*AR22,((R9+R10)/1000)*AR22)</f>
        <v>132.75</v>
      </c>
      <c r="CH24" s="189">
        <f>2*(R10/1000)*AR22</f>
        <v>4.5</v>
      </c>
      <c r="CI24" s="82" t="s">
        <v>721</v>
      </c>
      <c r="CJ24" s="86">
        <f>AW22</f>
        <v>126</v>
      </c>
      <c r="CK24" s="38"/>
      <c r="CL24" s="38"/>
      <c r="CM24" s="38"/>
      <c r="CN24" s="38"/>
      <c r="CO24" s="252" t="str">
        <f>AW24</f>
        <v>C-25mm</v>
      </c>
      <c r="CP24" s="520">
        <f>BN24</f>
        <v>1442.25</v>
      </c>
      <c r="CR24" s="519" t="str">
        <f>IF(CS24="","",IF(LEFT(AW25,1)="フ","ジャンクションボックス 2Duct","C-OBox4角大深"))</f>
        <v>ジャンクションボックス 2Duct</v>
      </c>
      <c r="CS24" s="189">
        <f>IF(AW22=0,"",AW22)</f>
        <v>126</v>
      </c>
      <c r="CU24" s="8"/>
      <c r="CV24" s="197">
        <f t="shared" si="3"/>
        <v>3</v>
      </c>
      <c r="CW24" s="197" t="str">
        <f t="shared" si="4"/>
        <v/>
      </c>
      <c r="CX24" s="207" t="str">
        <f>IF(BQ22="","","VE-22mm")</f>
        <v/>
      </c>
      <c r="CY24" s="8"/>
      <c r="CZ24" s="249" t="str">
        <f>IF(COUNTIF($CZ$10:$CZ23,CX24)&gt;0,"",CX24)</f>
        <v/>
      </c>
      <c r="DA24" s="515" t="str">
        <f>IF(BQ22="","",DA23-10)</f>
        <v/>
      </c>
      <c r="DB24" s="514">
        <f>SUMIF($CX$20:$CX$182,CZ24,$DA$20:$DA$182)</f>
        <v>0</v>
      </c>
      <c r="DD24" s="8"/>
      <c r="DE24" s="197">
        <f t="shared" ref="DE24:DE30" si="8">IF(DI24&lt;&gt;"",DE23+1,DE23)</f>
        <v>8</v>
      </c>
      <c r="DF24" s="197">
        <f t="shared" si="0"/>
        <v>8</v>
      </c>
      <c r="DG24" s="207" t="str">
        <f>CR23</f>
        <v>C-OBox4角中深</v>
      </c>
      <c r="DH24" s="8"/>
      <c r="DI24" s="249" t="str">
        <f>IF(COUNTIF(DG$9:$DG23,DG24)&gt;0,"",DG24)</f>
        <v>C-OBox4角中深</v>
      </c>
      <c r="DJ24" s="515">
        <f>CS23</f>
        <v>15</v>
      </c>
      <c r="DK24" s="514">
        <f t="shared" si="5"/>
        <v>487</v>
      </c>
      <c r="DM24" s="8"/>
      <c r="DN24" s="197">
        <f>IF(DS24&lt;&gt;"",DN23+1,DN23)</f>
        <v>2</v>
      </c>
      <c r="DO24" s="197" t="str">
        <f t="shared" si="6"/>
        <v/>
      </c>
      <c r="DP24" s="10" t="str">
        <f>IF(BQ20="","","電話交換機")</f>
        <v/>
      </c>
      <c r="DQ24" s="8"/>
      <c r="DR24" s="249" t="str">
        <f>IF(COUNTIF(DP$18:$DP23,DP24)&gt;0,"",DP24)</f>
        <v/>
      </c>
      <c r="DS24" s="198" t="str">
        <f>IF(DP24&lt;&gt;"",1,"")</f>
        <v/>
      </c>
      <c r="DT24" s="514">
        <f t="shared" si="7"/>
        <v>0</v>
      </c>
    </row>
    <row r="25" spans="1:124" ht="10.5" customHeight="1">
      <c r="B25" s="23"/>
      <c r="C25" s="2959" t="s">
        <v>720</v>
      </c>
      <c r="D25" s="2959"/>
      <c r="E25" s="3016" t="str">
        <f>IF($D$9="不要","不",IF(H25="","要",H25))</f>
        <v>要</v>
      </c>
      <c r="F25" s="3016"/>
      <c r="G25" s="525" t="s">
        <v>103</v>
      </c>
      <c r="H25" s="3017"/>
      <c r="I25" s="3018"/>
      <c r="J25" s="3022"/>
      <c r="K25" s="3023"/>
      <c r="L25" s="3023"/>
      <c r="M25" s="3024"/>
      <c r="N25" s="3054"/>
      <c r="O25" s="3055"/>
      <c r="P25" s="3056"/>
      <c r="Q25" s="3201" t="str">
        <f>IF($B$2=0,"",IF(Z25&lt;&gt;"",Z25,"TIVF 0.8-2C"))</f>
        <v>TIVF 0.8-2C</v>
      </c>
      <c r="R25" s="3201"/>
      <c r="S25" s="3201"/>
      <c r="T25" s="3201"/>
      <c r="U25" s="3201"/>
      <c r="V25" s="3201"/>
      <c r="W25" s="3201"/>
      <c r="X25" s="3201"/>
      <c r="Y25" s="524" t="s">
        <v>103</v>
      </c>
      <c r="Z25" s="2941"/>
      <c r="AA25" s="2942"/>
      <c r="AB25" s="2942"/>
      <c r="AC25" s="2942"/>
      <c r="AD25" s="2942"/>
      <c r="AE25" s="2942"/>
      <c r="AF25" s="2942"/>
      <c r="AG25" s="3199"/>
      <c r="AH25" s="2883" t="s">
        <v>235</v>
      </c>
      <c r="AI25" s="2884"/>
      <c r="AJ25" s="2885"/>
      <c r="AK25" s="3198">
        <f>IF($B$2=0,"",IF(AP25&lt;&gt;"",AP25,IF($J$14="C","",SUM(CK22:CK23))))</f>
        <v>2016</v>
      </c>
      <c r="AL25" s="2954"/>
      <c r="AM25" s="2954"/>
      <c r="AN25" s="2955"/>
      <c r="AO25" s="524" t="s">
        <v>103</v>
      </c>
      <c r="AP25" s="2911"/>
      <c r="AQ25" s="2912"/>
      <c r="AR25" s="2912"/>
      <c r="AS25" s="2913"/>
      <c r="AT25" s="2896"/>
      <c r="AU25" s="2897"/>
      <c r="AV25" s="2898"/>
      <c r="AW25" s="2939" t="str">
        <f>IF($B$2=0,"",IF(BN25="","",IF(BE25="","フロアダクト FC-6",BE25)))</f>
        <v>フロアダクト FC-6</v>
      </c>
      <c r="AX25" s="2845"/>
      <c r="AY25" s="2845"/>
      <c r="AZ25" s="2845"/>
      <c r="BA25" s="2845"/>
      <c r="BB25" s="2845"/>
      <c r="BC25" s="2940"/>
      <c r="BD25" s="524" t="s">
        <v>103</v>
      </c>
      <c r="BE25" s="2941"/>
      <c r="BF25" s="2942"/>
      <c r="BG25" s="2942"/>
      <c r="BH25" s="2942"/>
      <c r="BI25" s="2942"/>
      <c r="BJ25" s="2942"/>
      <c r="BK25" s="2883" t="s">
        <v>235</v>
      </c>
      <c r="BL25" s="2884"/>
      <c r="BM25" s="2885"/>
      <c r="BN25" s="2943">
        <f>IF($B$2=0,"",IF(BR25="",MAX(CL22:CL23),BR25))</f>
        <v>757.98640757288854</v>
      </c>
      <c r="BO25" s="2944"/>
      <c r="BP25" s="2945"/>
      <c r="BQ25" s="523" t="s">
        <v>103</v>
      </c>
      <c r="BR25" s="3200"/>
      <c r="BS25" s="3200"/>
      <c r="BT25" s="3200"/>
      <c r="BU25" s="19"/>
      <c r="BX25" s="47"/>
      <c r="BZ25" s="106" t="s">
        <v>766</v>
      </c>
      <c r="CA25" s="522" t="str">
        <f>IF(OR(I19="( 10)",I19="(12)イ"),"1","")</f>
        <v/>
      </c>
      <c r="CB25" s="151" t="str">
        <f>IF(CA25="","",INT(P22/200))</f>
        <v/>
      </c>
      <c r="CC25" s="122">
        <f>IF(CB25="",0,CB25)</f>
        <v>0</v>
      </c>
      <c r="CE25" s="156" t="s">
        <v>716</v>
      </c>
      <c r="CF25" s="521"/>
      <c r="CG25" s="189">
        <f>IF($AQ$8=0,1.5*2*(1+INT(2*BX20/($AQ$9/1000)))*(1+INT(2*BY20/($AQ$9/1000))),0)</f>
        <v>0</v>
      </c>
      <c r="CH25" s="82"/>
      <c r="CI25" s="82" t="s">
        <v>765</v>
      </c>
      <c r="CJ25" s="107">
        <f>AR22</f>
        <v>15</v>
      </c>
      <c r="CK25" s="12"/>
      <c r="CL25" s="12"/>
      <c r="CM25" s="12"/>
      <c r="CN25" s="12"/>
      <c r="CO25" s="252" t="str">
        <f>AW25</f>
        <v>フロアダクト FC-6</v>
      </c>
      <c r="CP25" s="520">
        <f>BN25</f>
        <v>757.98640757288854</v>
      </c>
      <c r="CR25" s="519" t="str">
        <f>IF(CS25="","","ローテンションアウトレット")</f>
        <v>ローテンションアウトレット</v>
      </c>
      <c r="CS25" s="189">
        <f>CS19</f>
        <v>126</v>
      </c>
      <c r="CV25" s="197">
        <f t="shared" si="3"/>
        <v>3</v>
      </c>
      <c r="CW25" s="197" t="str">
        <f t="shared" si="4"/>
        <v/>
      </c>
      <c r="CX25" s="207"/>
      <c r="CY25" s="24"/>
      <c r="DA25" s="515"/>
      <c r="DB25" s="516"/>
      <c r="DE25" s="197">
        <f t="shared" si="8"/>
        <v>9</v>
      </c>
      <c r="DF25" s="197">
        <f t="shared" si="0"/>
        <v>9</v>
      </c>
      <c r="DG25" s="207" t="str">
        <f>CR24</f>
        <v>ジャンクションボックス 2Duct</v>
      </c>
      <c r="DH25" s="24"/>
      <c r="DI25" s="249" t="str">
        <f>IF(COUNTIF(DG$9:$DG24,DG25)&gt;0,"",DG25)</f>
        <v>ジャンクションボックス 2Duct</v>
      </c>
      <c r="DJ25" s="515">
        <f>CS24</f>
        <v>126</v>
      </c>
      <c r="DK25" s="514">
        <f t="shared" si="5"/>
        <v>712</v>
      </c>
      <c r="DN25" s="197">
        <f>IF(DS25&lt;&gt;"",DN24+1,DN24)</f>
        <v>2</v>
      </c>
      <c r="DO25" s="197" t="str">
        <f t="shared" si="6"/>
        <v/>
      </c>
      <c r="DP25" s="10" t="str">
        <f>IF(BQ22="","","接地工事 Et")</f>
        <v/>
      </c>
      <c r="DQ25" s="24"/>
      <c r="DR25" s="249" t="str">
        <f>IF(COUNTIF(DP$18:$DP24,DP25)&gt;0,"",DP25)</f>
        <v/>
      </c>
      <c r="DS25" s="198" t="str">
        <f>IF(DP25&lt;&gt;"",1,"")</f>
        <v/>
      </c>
      <c r="DT25" s="514">
        <f t="shared" si="7"/>
        <v>0</v>
      </c>
    </row>
    <row r="26" spans="1:124" ht="7.5" customHeight="1">
      <c r="B26" s="2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19"/>
      <c r="BZ26" s="114" t="str">
        <f>"="</f>
        <v>=</v>
      </c>
      <c r="CA26" s="114" t="str">
        <f>"－"</f>
        <v>－</v>
      </c>
      <c r="CB26" s="114" t="str">
        <f>"+"</f>
        <v>+</v>
      </c>
      <c r="CP26" s="555"/>
      <c r="CR26" s="555"/>
      <c r="CV26" s="197">
        <f t="shared" si="3"/>
        <v>3</v>
      </c>
      <c r="CW26" s="197" t="str">
        <f t="shared" si="4"/>
        <v/>
      </c>
      <c r="CY26" s="24"/>
      <c r="DA26" s="516"/>
      <c r="DB26" s="516"/>
      <c r="DE26" s="197">
        <f t="shared" si="8"/>
        <v>10</v>
      </c>
      <c r="DF26" s="197">
        <f t="shared" si="0"/>
        <v>10</v>
      </c>
      <c r="DG26" s="207" t="str">
        <f>CR25</f>
        <v>ローテンションアウトレット</v>
      </c>
      <c r="DH26" s="24"/>
      <c r="DI26" s="249" t="str">
        <f>IF(COUNTIF(DG$9:$DG25,DG26)&gt;0,"",DG26)</f>
        <v>ローテンションアウトレット</v>
      </c>
      <c r="DJ26" s="515">
        <f>CS25</f>
        <v>126</v>
      </c>
      <c r="DK26" s="514">
        <f t="shared" si="5"/>
        <v>672</v>
      </c>
      <c r="DN26" s="197">
        <f>IF(DS26&lt;&gt;"",DN25+1,DN25)</f>
        <v>2</v>
      </c>
      <c r="DO26" s="197" t="str">
        <f>IF(AND(DN26&lt;&gt;"",DR26&lt;&gt;""),DN26,"")</f>
        <v/>
      </c>
      <c r="DP26" s="201"/>
      <c r="DQ26" s="24"/>
      <c r="DR26" s="249"/>
      <c r="DS26" s="198"/>
      <c r="DT26" s="514"/>
    </row>
    <row r="27" spans="1:124" ht="11.25" customHeight="1" thickBot="1">
      <c r="A27" s="46"/>
      <c r="B27" s="23"/>
      <c r="C27" s="3032" t="s">
        <v>112</v>
      </c>
      <c r="D27" s="3032"/>
      <c r="E27" s="3032"/>
      <c r="F27" s="3032"/>
      <c r="G27" s="3032"/>
      <c r="H27" s="3032"/>
      <c r="I27" s="3175" t="str">
        <f>非誘!J22</f>
        <v>(13)イ</v>
      </c>
      <c r="J27" s="3175"/>
      <c r="K27" s="3175"/>
      <c r="L27" s="3176"/>
      <c r="M27" s="3035" t="str">
        <f>非誘!M22</f>
        <v>車庫等</v>
      </c>
      <c r="N27" s="2961"/>
      <c r="O27" s="2961"/>
      <c r="P27" s="2961"/>
      <c r="Q27" s="2961"/>
      <c r="R27" s="2961"/>
      <c r="S27" s="2961"/>
      <c r="T27" s="2961"/>
      <c r="U27" s="2961"/>
      <c r="V27" s="2961"/>
      <c r="W27" s="3036"/>
      <c r="X27" s="3037" t="s">
        <v>232</v>
      </c>
      <c r="Y27" s="3037"/>
      <c r="Z27" s="3037"/>
      <c r="AA27" s="3037"/>
      <c r="AB27" s="3038"/>
      <c r="AC27" s="2977" t="str">
        <f>非誘!AA22</f>
        <v>A</v>
      </c>
      <c r="AD27" s="2978"/>
      <c r="AE27" s="2917" t="s">
        <v>760</v>
      </c>
      <c r="AF27" s="2918"/>
      <c r="AG27" s="2918"/>
      <c r="AH27" s="2918"/>
      <c r="AI27" s="2919"/>
      <c r="AJ27" s="2979">
        <f>非誘!J23</f>
        <v>0.72727272727272729</v>
      </c>
      <c r="AK27" s="2980"/>
      <c r="AL27" s="2981"/>
      <c r="AM27" s="2917" t="s">
        <v>759</v>
      </c>
      <c r="AN27" s="2918"/>
      <c r="AO27" s="2919"/>
      <c r="AP27" s="2920" t="str">
        <f>IF(OR($B$2=0,AS27=""),$BO$14,AS27)</f>
        <v>Ⓖ</v>
      </c>
      <c r="AQ27" s="2920"/>
      <c r="AR27" s="554" t="s">
        <v>103</v>
      </c>
      <c r="AS27" s="2921"/>
      <c r="AT27" s="2922"/>
      <c r="AU27" s="2875" t="s">
        <v>757</v>
      </c>
      <c r="AV27" s="2875"/>
      <c r="AW27" s="2875"/>
      <c r="AX27" s="2875"/>
      <c r="AY27" s="2875"/>
      <c r="AZ27" s="2875"/>
      <c r="BA27" s="2876"/>
      <c r="BB27" s="553">
        <f>IF(BC27="天井ケーブル",1,IF(BC27="天井(PF管)",2,IF(BC27="天井(C管)",3,IF(BC27="天井(G管)",4,IF(BC27="床(CD管)",5,IF(BC27="床(C管)",6,IF(BC27="床(G管)",7,"")))))))</f>
        <v>5</v>
      </c>
      <c r="BC27" s="2961" t="str">
        <f>IF($B$2=0,"",IF(BK27&lt;&gt;"",BK27,IF(I30="直天","天井(C管)","床(CD管)")))</f>
        <v>床(CD管)</v>
      </c>
      <c r="BD27" s="2962"/>
      <c r="BE27" s="2962"/>
      <c r="BF27" s="2962"/>
      <c r="BG27" s="2962"/>
      <c r="BH27" s="2962"/>
      <c r="BI27" s="2963"/>
      <c r="BJ27" s="552" t="s">
        <v>103</v>
      </c>
      <c r="BK27" s="2905"/>
      <c r="BL27" s="2906"/>
      <c r="BM27" s="2906"/>
      <c r="BN27" s="2906"/>
      <c r="BO27" s="2906"/>
      <c r="BP27" s="2907"/>
      <c r="BQ27" s="2982" t="s">
        <v>755</v>
      </c>
      <c r="BR27" s="2983"/>
      <c r="BS27" s="2983"/>
      <c r="BT27" s="2984"/>
      <c r="BU27" s="19"/>
      <c r="BV27" s="8">
        <v>2</v>
      </c>
      <c r="BX27" s="55" t="s">
        <v>229</v>
      </c>
      <c r="BY27" s="55" t="s">
        <v>228</v>
      </c>
      <c r="BZ27" s="534">
        <f>BY22+BY38+CA28</f>
        <v>1489</v>
      </c>
      <c r="CA27" s="534">
        <f>CA28+BY22</f>
        <v>290</v>
      </c>
      <c r="CB27" s="38">
        <f>BY38+CA28</f>
        <v>1348</v>
      </c>
      <c r="CC27" s="69"/>
      <c r="CD27" s="534"/>
      <c r="CE27" s="534"/>
      <c r="CF27" s="143" t="s">
        <v>754</v>
      </c>
      <c r="CG27" s="143" t="s">
        <v>753</v>
      </c>
      <c r="CH27" s="143" t="s">
        <v>753</v>
      </c>
      <c r="CI27" s="551" t="s">
        <v>752</v>
      </c>
      <c r="CJ27" s="551" t="s">
        <v>752</v>
      </c>
      <c r="CK27" s="550" t="s">
        <v>734</v>
      </c>
      <c r="CL27" s="550" t="s">
        <v>732</v>
      </c>
      <c r="CM27" s="46"/>
      <c r="CO27" s="46" t="str">
        <f>Q31</f>
        <v>FCPEV 0.65-200Pr</v>
      </c>
      <c r="CP27" s="520">
        <f>AK31</f>
        <v>14</v>
      </c>
      <c r="CR27" s="519" t="str">
        <f>IF(CS27="","",IF($J$14="A","多機能内線電話機",""))</f>
        <v/>
      </c>
      <c r="CS27" s="189" t="str">
        <f>BB30</f>
        <v/>
      </c>
      <c r="CU27" s="88">
        <v>2</v>
      </c>
      <c r="CV27" s="204">
        <f t="shared" si="3"/>
        <v>3</v>
      </c>
      <c r="CW27" s="155" t="str">
        <f t="shared" si="4"/>
        <v/>
      </c>
      <c r="CX27" s="45"/>
      <c r="CY27" s="45"/>
      <c r="CZ27" s="45"/>
      <c r="DA27" s="45"/>
      <c r="DB27" s="45"/>
      <c r="DD27" s="88">
        <v>2</v>
      </c>
      <c r="DE27" s="204">
        <f t="shared" si="8"/>
        <v>11</v>
      </c>
      <c r="DF27" s="155">
        <f t="shared" si="0"/>
        <v>11</v>
      </c>
      <c r="DG27" s="549" t="str">
        <f>CO22</f>
        <v>導入線 1.2mmφ</v>
      </c>
      <c r="DH27" s="45"/>
      <c r="DI27" s="153" t="str">
        <f>IF(COUNTIF(DG$9:$DG26,DG27)&gt;0,"",DG27)</f>
        <v>導入線 1.2mmφ</v>
      </c>
      <c r="DJ27" s="155">
        <f>CP22</f>
        <v>2425.5</v>
      </c>
      <c r="DK27" s="548">
        <f t="shared" si="5"/>
        <v>16536.3</v>
      </c>
      <c r="DM27" s="88">
        <v>2</v>
      </c>
      <c r="DN27" s="204">
        <f>IF(DS27&lt;&gt;"",DN26+1,DN26)</f>
        <v>2</v>
      </c>
      <c r="DO27" s="155" t="str">
        <f>IF(AND(DN27&lt;&gt;"",DR27&lt;&gt;""),DN27,"")</f>
        <v/>
      </c>
      <c r="DP27" s="45"/>
      <c r="DQ27" s="45"/>
      <c r="DR27" s="45"/>
      <c r="DS27" s="45"/>
      <c r="DT27" s="45"/>
    </row>
    <row r="28" spans="1:124" ht="11.25" customHeight="1" thickBot="1">
      <c r="B28" s="23"/>
      <c r="C28" s="3008" t="s">
        <v>4</v>
      </c>
      <c r="D28" s="3009"/>
      <c r="E28" s="3010"/>
      <c r="F28" s="3014" t="s">
        <v>22</v>
      </c>
      <c r="G28" s="2983"/>
      <c r="H28" s="3015"/>
      <c r="I28" s="2982" t="s">
        <v>132</v>
      </c>
      <c r="J28" s="2983"/>
      <c r="K28" s="3015"/>
      <c r="L28" s="2982" t="s">
        <v>6</v>
      </c>
      <c r="M28" s="2983"/>
      <c r="N28" s="2983"/>
      <c r="O28" s="2984"/>
      <c r="P28" s="3014" t="s">
        <v>7</v>
      </c>
      <c r="Q28" s="2983"/>
      <c r="R28" s="2983"/>
      <c r="S28" s="2984"/>
      <c r="T28" s="3014" t="s">
        <v>8</v>
      </c>
      <c r="U28" s="2983"/>
      <c r="V28" s="2983"/>
      <c r="W28" s="2984"/>
      <c r="X28" s="3014" t="s">
        <v>9</v>
      </c>
      <c r="Y28" s="2983"/>
      <c r="Z28" s="3015"/>
      <c r="AA28" s="2982" t="s">
        <v>9</v>
      </c>
      <c r="AB28" s="2983"/>
      <c r="AC28" s="2984"/>
      <c r="AD28" s="2974" t="s">
        <v>708</v>
      </c>
      <c r="AE28" s="2975"/>
      <c r="AF28" s="2975"/>
      <c r="AG28" s="2975"/>
      <c r="AH28" s="2975"/>
      <c r="AI28" s="2975"/>
      <c r="AJ28" s="2975"/>
      <c r="AK28" s="2975"/>
      <c r="AL28" s="2930" t="str">
        <f>IF(BX32=1,"T-"&amp;LEFT(C30,3)&amp;"-1","T-"&amp;LEFT(C30,3)&amp;"-1～"&amp;BX32)</f>
        <v>T- B1-1～6</v>
      </c>
      <c r="AM28" s="2930"/>
      <c r="AN28" s="2930"/>
      <c r="AO28" s="2930"/>
      <c r="AP28" s="2930"/>
      <c r="AQ28" s="2932"/>
      <c r="AR28" s="2925" t="s">
        <v>751</v>
      </c>
      <c r="AS28" s="2926"/>
      <c r="AT28" s="2926"/>
      <c r="AU28" s="2926"/>
      <c r="AV28" s="2926"/>
      <c r="AW28" s="2926"/>
      <c r="AX28" s="2926"/>
      <c r="AY28" s="2926"/>
      <c r="AZ28" s="2926"/>
      <c r="BA28" s="2927"/>
      <c r="BB28" s="2886" t="s">
        <v>750</v>
      </c>
      <c r="BC28" s="2887"/>
      <c r="BD28" s="2887"/>
      <c r="BE28" s="2887"/>
      <c r="BF28" s="2887"/>
      <c r="BG28" s="2887"/>
      <c r="BH28" s="2887"/>
      <c r="BI28" s="2887"/>
      <c r="BJ28" s="2888"/>
      <c r="BK28" s="2888"/>
      <c r="BL28" s="2888"/>
      <c r="BM28" s="2888"/>
      <c r="BN28" s="2888"/>
      <c r="BO28" s="2888"/>
      <c r="BP28" s="2889"/>
      <c r="BQ28" s="2939" t="str">
        <f>IF(AND($B$2=1,$J$14="A",C30=$J$15),"設置","")</f>
        <v/>
      </c>
      <c r="BR28" s="2845"/>
      <c r="BS28" s="2845"/>
      <c r="BT28" s="2940"/>
      <c r="BU28" s="19"/>
      <c r="BV28" s="15">
        <v>22</v>
      </c>
      <c r="BX28" s="98">
        <f>非誘!BW24</f>
        <v>24</v>
      </c>
      <c r="BY28" s="98">
        <f>非誘!BX24</f>
        <v>33</v>
      </c>
      <c r="BZ28" s="547">
        <f>IF(CA28&lt;10,10,IF(CA28&lt;15,15,IF(CA28&lt;20,20,IF(CA28&lt;25,25,IF(CA28&lt;30,30,IF(CA28&lt;50,50,IF(CA28&lt;70,70,IF(CA28&lt;100,100,IF(CA28&lt;150,150,IF(CA28&lt;20,200,200))))))))))</f>
        <v>150</v>
      </c>
      <c r="CA28" s="546">
        <f>SUM(CC31:CC33)</f>
        <v>149</v>
      </c>
      <c r="CB28" s="107" t="str">
        <f>IF(BY30&lt;10," 10",IF(BY30&lt;15," 15",IF(BY30&lt;20," 20",IF(BY30&lt;25," 25",IF(BY30&lt;30," 30",IF(BY30&lt;50," 50",IF(BY30&lt;70," 70",IF(BY30&lt;100,"100",IF(BY30&lt;150,"150",IF(BY30&lt;200,"200","200"))))))))))</f>
        <v>200</v>
      </c>
      <c r="CC28" s="545">
        <f>1+INT(BY30/200)</f>
        <v>2</v>
      </c>
      <c r="CD28" s="534"/>
      <c r="CE28" s="156" t="s">
        <v>749</v>
      </c>
      <c r="CF28" s="189">
        <f>2*INT($AG$9/1000)</f>
        <v>2</v>
      </c>
      <c r="CG28" s="189">
        <f>CG31+(1+INT($AG$9+$AG$8)/1000)*(1+INT(AR30/10))+CG30</f>
        <v>858.42000000000007</v>
      </c>
      <c r="CH28" s="98">
        <f>IF(AW30="",0,AW30*8)</f>
        <v>0</v>
      </c>
      <c r="CI28" s="98">
        <f>AR30*8</f>
        <v>1192</v>
      </c>
      <c r="CJ28" s="544">
        <f>IF(AW30="",0,AW30*8)</f>
        <v>0</v>
      </c>
      <c r="CK28" s="223">
        <f>IF(E32="不","",(CG28+CG29+CI28+CI29)*MAX(P30:W30)/L30)</f>
        <v>1872.3779999999999</v>
      </c>
      <c r="CL28" s="223">
        <f>IF(E32="不","",SUM(CG31:CH31)+SUM(CG32:CH32)*MAX(P30:W30)/L30)</f>
        <v>696</v>
      </c>
      <c r="CM28" s="527" t="s">
        <v>7</v>
      </c>
      <c r="CN28" s="15"/>
      <c r="CO28" s="46" t="str">
        <f>Q32</f>
        <v>電子釦 0.4- 4Pr</v>
      </c>
      <c r="CP28" s="520">
        <f>AK32</f>
        <v>2080.42</v>
      </c>
      <c r="CR28" s="519" t="str">
        <f>IF(CS28="","",IF($J$14="A","内線電話機"))</f>
        <v>内線電話機</v>
      </c>
      <c r="CS28" s="189">
        <f>BG30</f>
        <v>149</v>
      </c>
      <c r="CU28" s="8"/>
      <c r="CV28" s="197">
        <f t="shared" si="3"/>
        <v>4</v>
      </c>
      <c r="CW28" s="197">
        <f t="shared" si="4"/>
        <v>4</v>
      </c>
      <c r="CX28" s="543" t="str">
        <f>CO27</f>
        <v>FCPEV 0.65-200Pr</v>
      </c>
      <c r="CY28" s="8"/>
      <c r="CZ28" s="249" t="str">
        <f>IF(COUNTIF($CX$17:$CX27,CX28)&gt;0,"",CX28)</f>
        <v>FCPEV 0.65-200Pr</v>
      </c>
      <c r="DA28" s="515">
        <f>CP27</f>
        <v>14</v>
      </c>
      <c r="DB28" s="514">
        <f>SUMIF($CX$20:$CX$182,CZ28,$DA$20:$DA$182)</f>
        <v>170</v>
      </c>
      <c r="DC28" s="8"/>
      <c r="DD28" s="8"/>
      <c r="DE28" s="197">
        <f t="shared" si="8"/>
        <v>12</v>
      </c>
      <c r="DF28" s="197">
        <f t="shared" si="0"/>
        <v>12</v>
      </c>
      <c r="DG28" s="207" t="str">
        <f>CO31</f>
        <v>CD-42mm</v>
      </c>
      <c r="DH28" s="8"/>
      <c r="DI28" s="249" t="str">
        <f>IF(COUNTIF(DG$17:$DG27,DG28)&gt;0,"",DG28)</f>
        <v>CD-42mm</v>
      </c>
      <c r="DJ28" s="515">
        <f>CP31</f>
        <v>10</v>
      </c>
      <c r="DK28" s="514">
        <f t="shared" ref="DK28:DK34" si="9">SUMIF($DG$20:$DG$182,DI28,$DJ$20:$DJ$182)</f>
        <v>68</v>
      </c>
      <c r="DL28" s="8"/>
      <c r="DM28" s="8"/>
      <c r="DN28" s="197">
        <f>IF(DR28&lt;&gt;"",DN27+1,DN27)</f>
        <v>2</v>
      </c>
      <c r="DO28" s="197" t="str">
        <f t="shared" ref="DO28:DO33" si="10">IF(AND(DN28&lt;&gt;"",DS28&lt;&gt;""),DN28,"")</f>
        <v/>
      </c>
      <c r="DP28" s="10" t="str">
        <f>CR27</f>
        <v/>
      </c>
      <c r="DQ28" s="8"/>
      <c r="DR28" s="249" t="str">
        <f>IF(COUNTIF(DP$18:$DP27,DP28)&gt;0,"",DP28)</f>
        <v/>
      </c>
      <c r="DS28" s="198" t="str">
        <f>CS27</f>
        <v/>
      </c>
      <c r="DT28" s="514">
        <f t="shared" ref="DT28:DT33" si="11">SUMIF($DP$20:$DP$182,DR28,$DS$20:$DS$182)</f>
        <v>0</v>
      </c>
    </row>
    <row r="29" spans="1:124" ht="11.25" customHeight="1" thickBot="1">
      <c r="B29" s="23"/>
      <c r="C29" s="3011"/>
      <c r="D29" s="3012"/>
      <c r="E29" s="3013"/>
      <c r="F29" s="3039" t="s">
        <v>235</v>
      </c>
      <c r="G29" s="3040"/>
      <c r="H29" s="3041"/>
      <c r="I29" s="3039" t="s">
        <v>235</v>
      </c>
      <c r="J29" s="3040"/>
      <c r="K29" s="3041"/>
      <c r="L29" s="3039" t="s">
        <v>748</v>
      </c>
      <c r="M29" s="3040"/>
      <c r="N29" s="3040"/>
      <c r="O29" s="3042"/>
      <c r="P29" s="3043" t="s">
        <v>748</v>
      </c>
      <c r="Q29" s="3040"/>
      <c r="R29" s="3040"/>
      <c r="S29" s="3042"/>
      <c r="T29" s="3043" t="s">
        <v>748</v>
      </c>
      <c r="U29" s="3040"/>
      <c r="V29" s="3040"/>
      <c r="W29" s="3044"/>
      <c r="X29" s="3045" t="s">
        <v>111</v>
      </c>
      <c r="Y29" s="3046"/>
      <c r="Z29" s="3047"/>
      <c r="AA29" s="3001" t="s">
        <v>110</v>
      </c>
      <c r="AB29" s="3002"/>
      <c r="AC29" s="3003"/>
      <c r="AD29" s="3004" t="s">
        <v>695</v>
      </c>
      <c r="AE29" s="3005"/>
      <c r="AF29" s="3005"/>
      <c r="AG29" s="3006" t="s">
        <v>699</v>
      </c>
      <c r="AH29" s="3005"/>
      <c r="AI29" s="3007"/>
      <c r="AJ29" s="2928" t="s">
        <v>747</v>
      </c>
      <c r="AK29" s="2918"/>
      <c r="AL29" s="2918"/>
      <c r="AM29" s="2928" t="s">
        <v>746</v>
      </c>
      <c r="AN29" s="2918"/>
      <c r="AO29" s="2929"/>
      <c r="AP29" s="2956" t="s">
        <v>745</v>
      </c>
      <c r="AQ29" s="2957"/>
      <c r="AR29" s="2917" t="s">
        <v>744</v>
      </c>
      <c r="AS29" s="2918"/>
      <c r="AT29" s="2958" t="s">
        <v>3</v>
      </c>
      <c r="AU29" s="2959"/>
      <c r="AV29" s="2959"/>
      <c r="AW29" s="2959" t="s">
        <v>743</v>
      </c>
      <c r="AX29" s="2960"/>
      <c r="AY29" s="2928" t="s">
        <v>3</v>
      </c>
      <c r="AZ29" s="2918"/>
      <c r="BA29" s="2919"/>
      <c r="BB29" s="542" t="str">
        <f>IF(CA31="","","●")</f>
        <v/>
      </c>
      <c r="BC29" s="2930" t="s">
        <v>742</v>
      </c>
      <c r="BD29" s="2930"/>
      <c r="BE29" s="2930"/>
      <c r="BF29" s="2931"/>
      <c r="BG29" s="542" t="str">
        <f>IF(CA32="","","●")</f>
        <v>●</v>
      </c>
      <c r="BH29" s="2930" t="s">
        <v>741</v>
      </c>
      <c r="BI29" s="2930"/>
      <c r="BJ29" s="2930"/>
      <c r="BK29" s="2931"/>
      <c r="BL29" s="542" t="str">
        <f>IF(CA33="","","●")</f>
        <v/>
      </c>
      <c r="BM29" s="2930" t="s">
        <v>764</v>
      </c>
      <c r="BN29" s="2930"/>
      <c r="BO29" s="2930"/>
      <c r="BP29" s="2932"/>
      <c r="BQ29" s="2974" t="s">
        <v>740</v>
      </c>
      <c r="BR29" s="2975"/>
      <c r="BS29" s="2975"/>
      <c r="BT29" s="2976"/>
      <c r="BU29" s="19"/>
      <c r="BX29" s="97">
        <f>IF(LEFT(C30,2)=" B",-MID(C30,3,1),IF(C30="  RF","",LEFT(C30,3)))</f>
        <v>-1</v>
      </c>
      <c r="BY29" s="541" t="str">
        <f>IF(OR(C30="",C30="  RF"),"",IF(LEFT(C30,1)="P","+",IF($BW$14&gt;BX29,"-",IF($BW$14=BX29,"=","+"))))</f>
        <v>-</v>
      </c>
      <c r="BZ29" s="2985" t="str">
        <f>"FCPEV 0.65-"&amp;CB28&amp;"Pr"</f>
        <v>FCPEV 0.65-200Pr</v>
      </c>
      <c r="CA29" s="2986"/>
      <c r="CB29" s="2986"/>
      <c r="CC29" s="2986"/>
      <c r="CD29" s="62"/>
      <c r="CE29" s="156" t="s">
        <v>763</v>
      </c>
      <c r="CF29" s="540">
        <f>F30</f>
        <v>5</v>
      </c>
      <c r="CG29" s="540">
        <f>CG32+(1+INT(AR30/10))*($AG$9+$AG$8)/1000</f>
        <v>30</v>
      </c>
      <c r="CH29" s="539"/>
      <c r="CI29" s="189">
        <f>CH32</f>
        <v>0</v>
      </c>
      <c r="CJ29" s="260"/>
      <c r="CK29" s="528">
        <f>IF(E33="不","",(CG28+CG29+CI28+CI29)*T30/L30)</f>
        <v>208.04200000000014</v>
      </c>
      <c r="CL29" s="528">
        <f>IF(E33="不","",SUM(CG31:CH31)+SUM(CG32:CH32)*T30/L30)</f>
        <v>696</v>
      </c>
      <c r="CM29" s="527" t="s">
        <v>8</v>
      </c>
      <c r="CN29" s="15"/>
      <c r="CO29" s="46" t="str">
        <f>Q33</f>
        <v>TIVF 0.8-2C</v>
      </c>
      <c r="CP29" s="520">
        <f>AK33</f>
        <v>0</v>
      </c>
      <c r="CR29" s="519" t="str">
        <f>IF(CS29="","",IF($J$14="A","PHSアンテナ"))</f>
        <v/>
      </c>
      <c r="CS29" s="189" t="str">
        <f>BL30</f>
        <v/>
      </c>
      <c r="CU29" s="8"/>
      <c r="CV29" s="197">
        <f t="shared" si="3"/>
        <v>4</v>
      </c>
      <c r="CW29" s="197" t="str">
        <f t="shared" si="4"/>
        <v/>
      </c>
      <c r="CX29" s="10" t="str">
        <f>CO28</f>
        <v>電子釦 0.4- 4Pr</v>
      </c>
      <c r="CY29" s="8"/>
      <c r="CZ29" s="249" t="str">
        <f>IF(COUNTIF($CZ$10:$CZ28,CX29)&gt;0,"",CX29)</f>
        <v/>
      </c>
      <c r="DA29" s="515">
        <f>CP28</f>
        <v>2080.42</v>
      </c>
      <c r="DB29" s="514">
        <f>SUMIF($CX$20:$CX$182,CZ29,$DA$20:$DA$182)</f>
        <v>0</v>
      </c>
      <c r="DC29" s="8"/>
      <c r="DD29" s="8"/>
      <c r="DE29" s="197">
        <f t="shared" si="8"/>
        <v>13</v>
      </c>
      <c r="DF29" s="197">
        <f t="shared" si="0"/>
        <v>13</v>
      </c>
      <c r="DG29" s="207" t="str">
        <f>CO32</f>
        <v>CD-22mm</v>
      </c>
      <c r="DH29" s="8"/>
      <c r="DI29" s="249" t="str">
        <f>IF(COUNTIF(DG$18:$DG28,DG29)&gt;0,"",DG29)</f>
        <v>CD-22mm</v>
      </c>
      <c r="DJ29" s="515">
        <f>CP32</f>
        <v>1392</v>
      </c>
      <c r="DK29" s="514">
        <f t="shared" si="9"/>
        <v>9295.7999999999993</v>
      </c>
      <c r="DL29" s="8"/>
      <c r="DM29" s="8"/>
      <c r="DN29" s="197">
        <f>IF(DR29&lt;&gt;"",DN28+1,DN28)</f>
        <v>2</v>
      </c>
      <c r="DO29" s="197">
        <f t="shared" si="10"/>
        <v>2</v>
      </c>
      <c r="DP29" s="207" t="str">
        <f>CR28</f>
        <v>内線電話機</v>
      </c>
      <c r="DQ29" s="8"/>
      <c r="DR29" s="249" t="str">
        <f>IF(COUNTIF(DP$18:$DP28,DP29)&gt;0,"",DP29)</f>
        <v/>
      </c>
      <c r="DS29" s="198">
        <f>CS28</f>
        <v>149</v>
      </c>
      <c r="DT29" s="514">
        <f t="shared" si="11"/>
        <v>0</v>
      </c>
    </row>
    <row r="30" spans="1:124" ht="10.5" customHeight="1" thickBot="1">
      <c r="B30" s="23"/>
      <c r="C30" s="2987" t="str">
        <f>IF($B$2=0,"",非誘!C24)</f>
        <v xml:space="preserve"> B1F</v>
      </c>
      <c r="D30" s="2988"/>
      <c r="E30" s="2988"/>
      <c r="F30" s="2989">
        <f>IF($B$2=0,"",非誘!F24)</f>
        <v>5</v>
      </c>
      <c r="G30" s="2989"/>
      <c r="H30" s="2989"/>
      <c r="I30" s="2989">
        <f>IF($B$2=0,"",非誘!J24)</f>
        <v>3</v>
      </c>
      <c r="J30" s="2989"/>
      <c r="K30" s="2989"/>
      <c r="L30" s="2990">
        <f>IF($B$2=0,"",非誘!N24)</f>
        <v>3168</v>
      </c>
      <c r="M30" s="2990"/>
      <c r="N30" s="2990"/>
      <c r="O30" s="2990"/>
      <c r="P30" s="2991">
        <f>IF($B$2=0,"",非誘!S24)</f>
        <v>2851.2</v>
      </c>
      <c r="Q30" s="2991"/>
      <c r="R30" s="2991"/>
      <c r="S30" s="2991"/>
      <c r="T30" s="2991">
        <f>IF($B$2=0,"",非誘!W24)</f>
        <v>316.80000000000018</v>
      </c>
      <c r="U30" s="2992"/>
      <c r="V30" s="2992"/>
      <c r="W30" s="2992"/>
      <c r="X30" s="2993">
        <f>IF($B$2=0,"",非誘!AA24)</f>
        <v>6</v>
      </c>
      <c r="Y30" s="2993"/>
      <c r="Z30" s="2993"/>
      <c r="AA30" s="2993">
        <f>IF($B$2=0,"",非誘!AD24)</f>
        <v>16</v>
      </c>
      <c r="AB30" s="2993"/>
      <c r="AC30" s="2994"/>
      <c r="AD30" s="2966">
        <f>IF($B$2=0,"",CB28*CC28)</f>
        <v>400</v>
      </c>
      <c r="AE30" s="2967"/>
      <c r="AF30" s="2968"/>
      <c r="AG30" s="2969">
        <f>IF($B$2=0,"",放送!CB26)</f>
        <v>30</v>
      </c>
      <c r="AH30" s="2967"/>
      <c r="AI30" s="2968"/>
      <c r="AJ30" s="2970" t="str">
        <f>IF($B$2=0,"",IF(TV!P23="設置","Space","---"))</f>
        <v>Space</v>
      </c>
      <c r="AK30" s="2971"/>
      <c r="AL30" s="2971"/>
      <c r="AM30" s="2969"/>
      <c r="AN30" s="2967"/>
      <c r="AO30" s="2968"/>
      <c r="AP30" s="2972"/>
      <c r="AQ30" s="2973"/>
      <c r="AR30" s="2923">
        <f>IF($B$2=0,"",IF(AZ30="",CB32,AZ30))</f>
        <v>149</v>
      </c>
      <c r="AS30" s="2924"/>
      <c r="AT30" s="538" t="s">
        <v>106</v>
      </c>
      <c r="AU30" s="2946"/>
      <c r="AV30" s="2947"/>
      <c r="AW30" s="2923">
        <f>IF($B$2=0,"",IF(CA31="",0,IF(AZ30="",CB31,AZ30)))</f>
        <v>0</v>
      </c>
      <c r="AX30" s="2924"/>
      <c r="AY30" s="538" t="s">
        <v>106</v>
      </c>
      <c r="AZ30" s="2999"/>
      <c r="BA30" s="3000"/>
      <c r="BB30" s="2951" t="str">
        <f>IF(OR($J$14&lt;&gt;"A",CA31=""),"",IF(BE30&lt;&gt;"",BE30,CB31))</f>
        <v/>
      </c>
      <c r="BC30" s="2952"/>
      <c r="BD30" s="537" t="s">
        <v>106</v>
      </c>
      <c r="BE30" s="2938"/>
      <c r="BF30" s="2938"/>
      <c r="BG30" s="2951">
        <f>IF(C30="","",IF(OR($J$14&lt;&gt;"A",CA32=""),"",IF(BJ30&lt;&gt;"",BE30,CB32)))</f>
        <v>149</v>
      </c>
      <c r="BH30" s="2952"/>
      <c r="BI30" s="537" t="s">
        <v>106</v>
      </c>
      <c r="BJ30" s="2938"/>
      <c r="BK30" s="2938"/>
      <c r="BL30" s="2951" t="str">
        <f>IF(OR($J$14&lt;&gt;"A",CA33=""),"",IF(BO30&lt;&gt;"",BO30,CB33))</f>
        <v/>
      </c>
      <c r="BM30" s="2952"/>
      <c r="BN30" s="537" t="s">
        <v>106</v>
      </c>
      <c r="BO30" s="2964"/>
      <c r="BP30" s="2965"/>
      <c r="BQ30" s="2939" t="str">
        <f>IF(BQ28="設置","Ｅt","")</f>
        <v/>
      </c>
      <c r="BR30" s="2845"/>
      <c r="BS30" s="2845"/>
      <c r="BT30" s="2940"/>
      <c r="BU30" s="19"/>
      <c r="BW30" s="89" t="str">
        <f>AP27</f>
        <v>Ⓖ</v>
      </c>
      <c r="BX30" s="263">
        <f>IF(C30="","",IF(BW30="Ⓐ",BX28+BY28+3,IF(BW30="Ⓑ",BX28*5/8+BY28+3,IF(BW30="Ⓒ",BX28/2+BY28+3,IF(BW30="Ⓓ",BX28+BY28*5/8+3,IF(BW30="Ⓔ",(BX28+BY28)*5/8+3,IF(BW30="Ⓕ",BX28/2+BY28*5/8+3,IF(BW30="Ⓖ",BX28+BY28/2+3,IF(BW30="Ⓗ",BX28*5/8+BY28/2+3,IF(BW30="Ⓘ",(BX28+BY28)/2+3))))))))))</f>
        <v>43.5</v>
      </c>
      <c r="BY30" s="86">
        <f>IF(C30="",0,IF(BY29="=",BZ27,IF(BY29="-",CA27,CB27)))</f>
        <v>290</v>
      </c>
      <c r="BZ30" s="156"/>
      <c r="CA30" s="536" t="str">
        <f>IF(CA28&lt;=30,"25",IF(CA28&lt;=50,"31",IF(CA28&lt;=100,"39",IF(CA28&lt;=200,"51",""))))</f>
        <v>51</v>
      </c>
      <c r="CB30" s="535" t="str">
        <f>IF(CA28&lt;=30,"22",IF(CA28&lt;=50,"28",IF(CA28&lt;=100,"36",IF(CA28&lt;=200,"42",""))))</f>
        <v>42</v>
      </c>
      <c r="CC30" s="122"/>
      <c r="CD30" s="534"/>
      <c r="CE30" s="156" t="s">
        <v>738</v>
      </c>
      <c r="CF30" s="533"/>
      <c r="CG30" s="189">
        <f>IF($B$2="","",IF($AQ$8=0,0,0.02*($AQ$8/1000-0.15-0.1)*(INT(1000*BX28/$AQ$9)+1)*(INT(1000*BY28/$AQ$9)+1)*4*(AR30+AW30)))</f>
        <v>160.92000000000002</v>
      </c>
      <c r="CH30" s="532"/>
      <c r="CI30" s="531"/>
      <c r="CJ30" s="15"/>
      <c r="CK30" s="528">
        <f>IF(E32="不","",SUM(CH28+CJ28)*MAX(P30:W30)/L30)</f>
        <v>0</v>
      </c>
      <c r="CL30" s="528">
        <f>IF(E32="不","",CJ31)</f>
        <v>0</v>
      </c>
      <c r="CM30" s="527" t="s">
        <v>7</v>
      </c>
      <c r="CN30" s="15"/>
      <c r="CO30" s="252" t="str">
        <f>IF(CP30="","","導入線 1.2mmφ")</f>
        <v>導入線 1.2mmφ</v>
      </c>
      <c r="CP30" s="184">
        <f>1.1*INT(SUM(CP31:CP33))</f>
        <v>1542.2</v>
      </c>
      <c r="CR30" s="519" t="str">
        <f>IF(CS30="","",IF($J$14="A","PHS電話機"))</f>
        <v/>
      </c>
      <c r="CS30" s="189" t="str">
        <f>IF(CS29="","",INT(CS29*1.5))</f>
        <v/>
      </c>
      <c r="CU30" s="8"/>
      <c r="CV30" s="197">
        <f t="shared" si="3"/>
        <v>4</v>
      </c>
      <c r="CW30" s="197" t="str">
        <f t="shared" si="4"/>
        <v/>
      </c>
      <c r="CX30" s="10" t="str">
        <f>CO29</f>
        <v>TIVF 0.8-2C</v>
      </c>
      <c r="CY30" s="8"/>
      <c r="CZ30" s="249" t="str">
        <f>IF(COUNTIF($CZ$10:$CZ29,CX30)&gt;0,"",CX30)</f>
        <v/>
      </c>
      <c r="DA30" s="515">
        <f>CP29</f>
        <v>0</v>
      </c>
      <c r="DB30" s="514">
        <f>SUMIF($CX$20:$CX$182,CZ30,$DA$20:$DA$182)</f>
        <v>0</v>
      </c>
      <c r="DC30" s="8"/>
      <c r="DD30" s="8"/>
      <c r="DE30" s="197">
        <f t="shared" si="8"/>
        <v>13</v>
      </c>
      <c r="DF30" s="197" t="str">
        <f t="shared" si="0"/>
        <v/>
      </c>
      <c r="DG30" s="207" t="str">
        <f>CO33</f>
        <v>フロアダクト FC-6</v>
      </c>
      <c r="DH30" s="8"/>
      <c r="DI30" s="249" t="str">
        <f>IF(COUNTIF(DG$18:$DG29,DG30)&gt;0,"",DG30)</f>
        <v/>
      </c>
      <c r="DJ30" s="515">
        <f>CP33</f>
        <v>0</v>
      </c>
      <c r="DK30" s="514">
        <f t="shared" si="9"/>
        <v>0</v>
      </c>
      <c r="DL30" s="8"/>
      <c r="DM30" s="8"/>
      <c r="DN30" s="197">
        <f>IF(DR30&lt;&gt;"",DN29+1,DN29)</f>
        <v>2</v>
      </c>
      <c r="DO30" s="197" t="str">
        <f t="shared" si="10"/>
        <v/>
      </c>
      <c r="DP30" s="10" t="str">
        <f>CR29</f>
        <v/>
      </c>
      <c r="DQ30" s="8"/>
      <c r="DR30" s="249" t="str">
        <f>IF(COUNTIF(DP$18:$DP29,DP30)&gt;0,"",DP30)</f>
        <v/>
      </c>
      <c r="DS30" s="198" t="str">
        <f>CS29</f>
        <v/>
      </c>
      <c r="DT30" s="514">
        <f t="shared" si="11"/>
        <v>0</v>
      </c>
    </row>
    <row r="31" spans="1:124" ht="10.5" customHeight="1" thickBot="1">
      <c r="B31" s="23"/>
      <c r="C31" s="3048" t="s">
        <v>737</v>
      </c>
      <c r="D31" s="3049"/>
      <c r="E31" s="3049"/>
      <c r="F31" s="3049"/>
      <c r="G31" s="3049"/>
      <c r="H31" s="3049"/>
      <c r="I31" s="3049"/>
      <c r="J31" s="3050" t="s">
        <v>736</v>
      </c>
      <c r="K31" s="3051"/>
      <c r="L31" s="3051"/>
      <c r="M31" s="3051"/>
      <c r="N31" s="3052" t="s">
        <v>735</v>
      </c>
      <c r="O31" s="2891"/>
      <c r="P31" s="2892"/>
      <c r="Q31" s="3057" t="str">
        <f>IF(OR($B$2=0,$J$14="C"),"",IF(Z31="",BZ29,Z31))</f>
        <v>FCPEV 0.65-200Pr</v>
      </c>
      <c r="R31" s="3057"/>
      <c r="S31" s="3057"/>
      <c r="T31" s="3057"/>
      <c r="U31" s="3057"/>
      <c r="V31" s="3057"/>
      <c r="W31" s="3057"/>
      <c r="X31" s="3057"/>
      <c r="Y31" s="524" t="s">
        <v>106</v>
      </c>
      <c r="Z31" s="2902"/>
      <c r="AA31" s="2903"/>
      <c r="AB31" s="2903"/>
      <c r="AC31" s="2903"/>
      <c r="AD31" s="2903"/>
      <c r="AE31" s="2903"/>
      <c r="AF31" s="2903"/>
      <c r="AG31" s="2904"/>
      <c r="AH31" s="2877" t="s">
        <v>734</v>
      </c>
      <c r="AI31" s="2878"/>
      <c r="AJ31" s="2879"/>
      <c r="AK31" s="3058">
        <f>IF($B$2=0,"",IF(AP31&lt;&gt;"",AP31,IF($J$14="C","",SUM(CF28:CF29)*CC28)))</f>
        <v>14</v>
      </c>
      <c r="AL31" s="3058"/>
      <c r="AM31" s="3058"/>
      <c r="AN31" s="3058"/>
      <c r="AO31" s="524" t="s">
        <v>106</v>
      </c>
      <c r="AP31" s="2911"/>
      <c r="AQ31" s="2912"/>
      <c r="AR31" s="2912"/>
      <c r="AS31" s="2913"/>
      <c r="AT31" s="2890" t="s">
        <v>733</v>
      </c>
      <c r="AU31" s="2891"/>
      <c r="AV31" s="2892"/>
      <c r="AW31" s="2899" t="str">
        <f>IF($B$2=0,"",IF(BE31&lt;&gt;"",BE31,IF(BB27=2,"PF-"&amp;CB30&amp;"mm",IF(OR(BB27=3,BB27=6),"C-"&amp;CA30&amp;"mm",IF(OR(BB27=4,BB27=7),"G-"&amp;CB30&amp;"mm",IF(OR(BB27=1,BB27=5),"CD-"&amp;CB30&amp;"mm",""))))))</f>
        <v>CD-42mm</v>
      </c>
      <c r="AX31" s="2900"/>
      <c r="AY31" s="2900"/>
      <c r="AZ31" s="2900"/>
      <c r="BA31" s="2900"/>
      <c r="BB31" s="2900"/>
      <c r="BC31" s="2901"/>
      <c r="BD31" s="524" t="s">
        <v>106</v>
      </c>
      <c r="BE31" s="2902"/>
      <c r="BF31" s="2903"/>
      <c r="BG31" s="2903"/>
      <c r="BH31" s="2903"/>
      <c r="BI31" s="2903"/>
      <c r="BJ31" s="2904"/>
      <c r="BK31" s="2877" t="s">
        <v>732</v>
      </c>
      <c r="BL31" s="2878"/>
      <c r="BM31" s="2879"/>
      <c r="BN31" s="2914">
        <f>IF($B$2=0,"",IF(BR31="",CF32*CC28,BR31))</f>
        <v>10</v>
      </c>
      <c r="BO31" s="2915"/>
      <c r="BP31" s="2916"/>
      <c r="BQ31" s="524" t="s">
        <v>106</v>
      </c>
      <c r="BR31" s="3202"/>
      <c r="BS31" s="3203"/>
      <c r="BT31" s="3204"/>
      <c r="BU31" s="19"/>
      <c r="BX31" s="530"/>
      <c r="BY31" s="46"/>
      <c r="BZ31" s="106" t="s">
        <v>731</v>
      </c>
      <c r="CA31" s="529" t="str">
        <f>IF(P30="","",IF(OR(I27="(1) ロ",I27="( 4 )",I27="(5) イ",I27="(6) イ",I27="(6) ロ",I27="(6) ハ",I27="( 7 )",I27="( 8 )",I27="( 15)"),"1",""))</f>
        <v/>
      </c>
      <c r="CB31" s="151">
        <f>IF(P30="",0,INT(P30/20))</f>
        <v>142</v>
      </c>
      <c r="CC31" s="122">
        <f>IF(CA31="",0,CB31)</f>
        <v>0</v>
      </c>
      <c r="CD31" s="6"/>
      <c r="CE31" s="156" t="s">
        <v>730</v>
      </c>
      <c r="CF31" s="189"/>
      <c r="CG31" s="189">
        <f>BX30*(1+INT(AR30/10))+CG33</f>
        <v>652.5</v>
      </c>
      <c r="CH31" s="189">
        <f>IF(AW30="",0,BX30*(1+INT(AW30/10)))</f>
        <v>43.5</v>
      </c>
      <c r="CI31" s="82" t="s">
        <v>729</v>
      </c>
      <c r="CJ31" s="98">
        <f>7.32*(AW30-2*SQRT(AW30))</f>
        <v>0</v>
      </c>
      <c r="CK31" s="528">
        <f>IF(E33="不","",SUM(CH28+CJ28)*T30/L30)</f>
        <v>0</v>
      </c>
      <c r="CL31" s="528">
        <f>CJ31</f>
        <v>0</v>
      </c>
      <c r="CM31" s="527" t="s">
        <v>8</v>
      </c>
      <c r="CN31" s="69"/>
      <c r="CO31" s="252" t="str">
        <f>AW31</f>
        <v>CD-42mm</v>
      </c>
      <c r="CP31" s="520">
        <f>BN31</f>
        <v>10</v>
      </c>
      <c r="CR31" s="519" t="str">
        <f>IF(CS31=0,"","C-OBox4角中深")</f>
        <v>C-OBox4角中深</v>
      </c>
      <c r="CS31" s="189">
        <f>IF($J$14="A",SUM(CS28:CS29),AR30)</f>
        <v>149</v>
      </c>
      <c r="CU31" s="8"/>
      <c r="CV31" s="197">
        <f t="shared" si="3"/>
        <v>4</v>
      </c>
      <c r="CW31" s="197" t="str">
        <f t="shared" si="4"/>
        <v/>
      </c>
      <c r="CX31" s="207" t="str">
        <f>IF(BQ30="","","IV-14sq")</f>
        <v/>
      </c>
      <c r="CY31" s="8"/>
      <c r="CZ31" s="249" t="str">
        <f>IF(COUNTIF($CZ$10:$CZ30,CX31)&gt;0,"",CX31)</f>
        <v/>
      </c>
      <c r="DA31" s="515" t="str">
        <f>IF(BQ30="","",BX30+BY28+15)</f>
        <v/>
      </c>
      <c r="DB31" s="514">
        <f>SUMIF($CX$20:$CX$182,CZ31,$DA$20:$DA$182)</f>
        <v>0</v>
      </c>
      <c r="DD31" s="8"/>
      <c r="DE31" s="197">
        <f>IF(DJ31&lt;&gt;"",DE30+1,DE30)</f>
        <v>13</v>
      </c>
      <c r="DF31" s="197" t="str">
        <f>IF(AND(DE31&lt;&gt;"",DJ31&lt;&gt;""),DE31,"")</f>
        <v/>
      </c>
      <c r="DG31" s="207"/>
      <c r="DH31" s="8"/>
      <c r="DI31" s="249"/>
      <c r="DJ31" s="515"/>
      <c r="DK31" s="514">
        <f t="shared" si="9"/>
        <v>0</v>
      </c>
      <c r="DM31" s="8"/>
      <c r="DN31" s="197">
        <f>IF(DR31&lt;&gt;"",DN30+1,DN30)</f>
        <v>2</v>
      </c>
      <c r="DO31" s="197" t="str">
        <f t="shared" si="10"/>
        <v/>
      </c>
      <c r="DP31" s="10" t="str">
        <f>CR30</f>
        <v/>
      </c>
      <c r="DQ31" s="8"/>
      <c r="DR31" s="249" t="str">
        <f>IF(COUNTIF(DP$18:$DP30,DP31)&gt;0,"",DP31)</f>
        <v/>
      </c>
      <c r="DS31" s="198" t="str">
        <f>CS30</f>
        <v/>
      </c>
      <c r="DT31" s="514">
        <f t="shared" si="11"/>
        <v>0</v>
      </c>
    </row>
    <row r="32" spans="1:124" ht="10.5" customHeight="1">
      <c r="B32" s="23"/>
      <c r="C32" s="3205" t="s">
        <v>728</v>
      </c>
      <c r="D32" s="3205"/>
      <c r="E32" s="3016" t="str">
        <f>IF($D$9="不要","不",IF(H32="","要",H32))</f>
        <v>要</v>
      </c>
      <c r="F32" s="3016"/>
      <c r="G32" s="523" t="s">
        <v>724</v>
      </c>
      <c r="H32" s="3017"/>
      <c r="I32" s="3018"/>
      <c r="J32" s="3019" t="s">
        <v>727</v>
      </c>
      <c r="K32" s="3020"/>
      <c r="L32" s="3020"/>
      <c r="M32" s="3021"/>
      <c r="N32" s="3053"/>
      <c r="O32" s="2894"/>
      <c r="P32" s="2895"/>
      <c r="Q32" s="3025" t="str">
        <f>IF(OR($B$2=0,$J$14="C"),"",IF(Z32&lt;&gt;"",Z32,"電子釦 0.4- 4Pr"))</f>
        <v>電子釦 0.4- 4Pr</v>
      </c>
      <c r="R32" s="2933"/>
      <c r="S32" s="2933"/>
      <c r="T32" s="2933"/>
      <c r="U32" s="2933"/>
      <c r="V32" s="2933"/>
      <c r="W32" s="2933"/>
      <c r="X32" s="2934"/>
      <c r="Y32" s="526" t="s">
        <v>724</v>
      </c>
      <c r="Z32" s="3026"/>
      <c r="AA32" s="3027"/>
      <c r="AB32" s="3027"/>
      <c r="AC32" s="3027"/>
      <c r="AD32" s="3027"/>
      <c r="AE32" s="3027"/>
      <c r="AF32" s="3027"/>
      <c r="AG32" s="3028"/>
      <c r="AH32" s="2880" t="s">
        <v>725</v>
      </c>
      <c r="AI32" s="2881"/>
      <c r="AJ32" s="2882"/>
      <c r="AK32" s="2995">
        <f>IF($B$2=0,"",IF(AP32&lt;&gt;"",AP32,IF($J$14="C","",SUM(CK28:CK29))))</f>
        <v>2080.42</v>
      </c>
      <c r="AL32" s="2995"/>
      <c r="AM32" s="2995"/>
      <c r="AN32" s="2995"/>
      <c r="AO32" s="526" t="s">
        <v>724</v>
      </c>
      <c r="AP32" s="2996"/>
      <c r="AQ32" s="2997"/>
      <c r="AR32" s="2997"/>
      <c r="AS32" s="2998"/>
      <c r="AT32" s="2893"/>
      <c r="AU32" s="2894"/>
      <c r="AV32" s="2895"/>
      <c r="AW32" s="2933" t="str">
        <f>IF($B$2=0,"",IF(BE32&lt;&gt;"",BE32,IF(BB27=2,"PF-22mm",IF(OR(BB27=3,BB27=6),"C-25mm",IF(OR(BB27=4,BB27=7),"G-22mm",IF(OR(BB27=1,BB27=5),"CD-22mm",""))))))</f>
        <v>CD-22mm</v>
      </c>
      <c r="AX32" s="2933"/>
      <c r="AY32" s="2933"/>
      <c r="AZ32" s="2933"/>
      <c r="BA32" s="2933"/>
      <c r="BB32" s="2933"/>
      <c r="BC32" s="2934"/>
      <c r="BD32" s="526" t="s">
        <v>724</v>
      </c>
      <c r="BE32" s="2935"/>
      <c r="BF32" s="2936"/>
      <c r="BG32" s="2936"/>
      <c r="BH32" s="2936"/>
      <c r="BI32" s="2936"/>
      <c r="BJ32" s="2937"/>
      <c r="BK32" s="2880" t="s">
        <v>725</v>
      </c>
      <c r="BL32" s="2881"/>
      <c r="BM32" s="2882"/>
      <c r="BN32" s="2948">
        <f>IF($B$2=0,"",IF(BR32="",SUM(CL28:CL29),BR32))</f>
        <v>1392</v>
      </c>
      <c r="BO32" s="2949"/>
      <c r="BP32" s="2950"/>
      <c r="BQ32" s="525" t="s">
        <v>724</v>
      </c>
      <c r="BR32" s="3029"/>
      <c r="BS32" s="3030"/>
      <c r="BT32" s="3031"/>
      <c r="BU32" s="19"/>
      <c r="BX32" s="49">
        <f>1+INT(L30/600)</f>
        <v>6</v>
      </c>
      <c r="BY32" s="46"/>
      <c r="BZ32" s="106" t="s">
        <v>723</v>
      </c>
      <c r="CA32" s="522" t="str">
        <f>"1"</f>
        <v>1</v>
      </c>
      <c r="CB32" s="151">
        <f>IF(CA31="",INT(T30/40)+CB31,INT(T30/40))</f>
        <v>149</v>
      </c>
      <c r="CC32" s="122">
        <f>IF(CB32="",0,CB32)</f>
        <v>149</v>
      </c>
      <c r="CD32" s="6"/>
      <c r="CE32" s="156" t="s">
        <v>722</v>
      </c>
      <c r="CF32" s="189">
        <f>F30</f>
        <v>5</v>
      </c>
      <c r="CG32" s="189">
        <f>IF(BB27&lt;=4,(2*F30-(R16+R18)/1000)*AR30,((R17+R18)/1000)*AR30)</f>
        <v>0</v>
      </c>
      <c r="CH32" s="189">
        <f>2*(R18/1000)*AR30</f>
        <v>0</v>
      </c>
      <c r="CI32" s="82" t="s">
        <v>721</v>
      </c>
      <c r="CJ32" s="86">
        <f>AW30</f>
        <v>0</v>
      </c>
      <c r="CK32" s="38"/>
      <c r="CL32" s="38"/>
      <c r="CM32" s="38"/>
      <c r="CN32" s="38"/>
      <c r="CO32" s="252" t="str">
        <f>AW32</f>
        <v>CD-22mm</v>
      </c>
      <c r="CP32" s="520">
        <f>BN32</f>
        <v>1392</v>
      </c>
      <c r="CR32" s="519" t="str">
        <f>IF(CS32="","",IF(LEFT(AW33,1)="フ","ジャンクションボックス 2Duct","C-OBox4角大深"))</f>
        <v/>
      </c>
      <c r="CS32" s="189" t="str">
        <f>IF(AW30=0,"",AW30)</f>
        <v/>
      </c>
      <c r="CU32" s="8"/>
      <c r="CV32" s="197">
        <f t="shared" si="3"/>
        <v>4</v>
      </c>
      <c r="CW32" s="197" t="str">
        <f t="shared" si="4"/>
        <v/>
      </c>
      <c r="CX32" s="207" t="str">
        <f>IF(BQ30="","","VE-22mm")</f>
        <v/>
      </c>
      <c r="CY32" s="8"/>
      <c r="CZ32" s="249" t="str">
        <f>IF(COUNTIF($CZ$10:$CZ31,CX32)&gt;0,"",CX32)</f>
        <v/>
      </c>
      <c r="DA32" s="515" t="str">
        <f>IF(BQ30="","",DA31-10)</f>
        <v/>
      </c>
      <c r="DB32" s="514">
        <f>SUMIF($CX$20:$CX$182,CZ32,$DA$20:$DA$182)</f>
        <v>0</v>
      </c>
      <c r="DD32" s="8"/>
      <c r="DE32" s="197">
        <f t="shared" ref="DE32:DE38" si="12">IF(DI32&lt;&gt;"",DE31+1,DE31)</f>
        <v>13</v>
      </c>
      <c r="DF32" s="197" t="str">
        <f t="shared" ref="DF32:DF38" si="13">IF(AND(DE32&lt;&gt;"",DI32&lt;&gt;""),DE32,"")</f>
        <v/>
      </c>
      <c r="DG32" s="207" t="str">
        <f>CR31</f>
        <v>C-OBox4角中深</v>
      </c>
      <c r="DH32" s="8"/>
      <c r="DI32" s="249" t="str">
        <f>IF(COUNTIF(DG$18:$DG31,DG32)&gt;0,"",DG32)</f>
        <v/>
      </c>
      <c r="DJ32" s="515">
        <f>CS31</f>
        <v>149</v>
      </c>
      <c r="DK32" s="514">
        <f t="shared" si="9"/>
        <v>0</v>
      </c>
      <c r="DM32" s="8"/>
      <c r="DN32" s="197">
        <f>IF(DS32&lt;&gt;"",DN31+1,DN31)</f>
        <v>2</v>
      </c>
      <c r="DO32" s="197" t="str">
        <f t="shared" si="10"/>
        <v/>
      </c>
      <c r="DP32" s="10" t="str">
        <f>IF(BQ28="","","電話交換機")</f>
        <v/>
      </c>
      <c r="DQ32" s="8"/>
      <c r="DR32" s="249" t="str">
        <f>IF(COUNTIF(DP$18:$DP31,DP32)&gt;0,"",DP32)</f>
        <v/>
      </c>
      <c r="DS32" s="198" t="str">
        <f>IF(DP32&lt;&gt;"",1,"")</f>
        <v/>
      </c>
      <c r="DT32" s="514">
        <f t="shared" si="11"/>
        <v>0</v>
      </c>
    </row>
    <row r="33" spans="1:124" ht="10.5" customHeight="1">
      <c r="B33" s="23"/>
      <c r="C33" s="2959" t="s">
        <v>720</v>
      </c>
      <c r="D33" s="2959"/>
      <c r="E33" s="3016" t="str">
        <f>IF($D$9="不要","不",IF(H33="","要",H33))</f>
        <v>要</v>
      </c>
      <c r="F33" s="3016"/>
      <c r="G33" s="525" t="s">
        <v>103</v>
      </c>
      <c r="H33" s="3017"/>
      <c r="I33" s="3018"/>
      <c r="J33" s="3022"/>
      <c r="K33" s="3023"/>
      <c r="L33" s="3023"/>
      <c r="M33" s="3024"/>
      <c r="N33" s="3054"/>
      <c r="O33" s="3055"/>
      <c r="P33" s="3056"/>
      <c r="Q33" s="3201" t="str">
        <f>IF($B$2=0,"",IF(Z33&lt;&gt;"",Z33,"TIVF 0.8-2C"))</f>
        <v>TIVF 0.8-2C</v>
      </c>
      <c r="R33" s="3201"/>
      <c r="S33" s="3201"/>
      <c r="T33" s="3201"/>
      <c r="U33" s="3201"/>
      <c r="V33" s="3201"/>
      <c r="W33" s="3201"/>
      <c r="X33" s="3201"/>
      <c r="Y33" s="524" t="s">
        <v>103</v>
      </c>
      <c r="Z33" s="2941"/>
      <c r="AA33" s="2942"/>
      <c r="AB33" s="2942"/>
      <c r="AC33" s="2942"/>
      <c r="AD33" s="2942"/>
      <c r="AE33" s="2942"/>
      <c r="AF33" s="2942"/>
      <c r="AG33" s="3199"/>
      <c r="AH33" s="2883" t="s">
        <v>235</v>
      </c>
      <c r="AI33" s="2884"/>
      <c r="AJ33" s="2885"/>
      <c r="AK33" s="2953">
        <f>IF($B$2=0,"",IF(AP33&lt;&gt;"",AP33,IF($J$14="C","",SUM(CK30:CK31))))</f>
        <v>0</v>
      </c>
      <c r="AL33" s="2954"/>
      <c r="AM33" s="2954"/>
      <c r="AN33" s="2955"/>
      <c r="AO33" s="524" t="s">
        <v>103</v>
      </c>
      <c r="AP33" s="2911"/>
      <c r="AQ33" s="2912"/>
      <c r="AR33" s="2912"/>
      <c r="AS33" s="2913"/>
      <c r="AT33" s="2896"/>
      <c r="AU33" s="2897"/>
      <c r="AV33" s="2898"/>
      <c r="AW33" s="2939" t="str">
        <f>IF($B$2=0,"",IF(BN33="","",IF(BE33="","フロアダクト FC-6",BE33)))</f>
        <v>フロアダクト FC-6</v>
      </c>
      <c r="AX33" s="2845"/>
      <c r="AY33" s="2845"/>
      <c r="AZ33" s="2845"/>
      <c r="BA33" s="2845"/>
      <c r="BB33" s="2845"/>
      <c r="BC33" s="2940"/>
      <c r="BD33" s="524" t="s">
        <v>103</v>
      </c>
      <c r="BE33" s="2941"/>
      <c r="BF33" s="2942"/>
      <c r="BG33" s="2942"/>
      <c r="BH33" s="2942"/>
      <c r="BI33" s="2942"/>
      <c r="BJ33" s="2942"/>
      <c r="BK33" s="2883" t="s">
        <v>235</v>
      </c>
      <c r="BL33" s="2884"/>
      <c r="BM33" s="2885"/>
      <c r="BN33" s="2943">
        <f>IF($B$2=0,"",IF(BR33="",MAX(CL30:CL31),BR33))</f>
        <v>0</v>
      </c>
      <c r="BO33" s="2944"/>
      <c r="BP33" s="2945"/>
      <c r="BQ33" s="523" t="s">
        <v>103</v>
      </c>
      <c r="BR33" s="3200"/>
      <c r="BS33" s="3200"/>
      <c r="BT33" s="3200"/>
      <c r="BU33" s="19"/>
      <c r="BX33" s="47"/>
      <c r="BZ33" s="106" t="s">
        <v>766</v>
      </c>
      <c r="CA33" s="522" t="str">
        <f>IF(OR(I27="( 10)",I27="(12)イ"),"1","")</f>
        <v/>
      </c>
      <c r="CB33" s="151" t="str">
        <f>IF(CA33="","",INT(P30/200))</f>
        <v/>
      </c>
      <c r="CC33" s="122">
        <f>IF(CB33="",0,CB33)</f>
        <v>0</v>
      </c>
      <c r="CE33" s="156" t="s">
        <v>716</v>
      </c>
      <c r="CF33" s="521"/>
      <c r="CG33" s="189">
        <f>IF($AQ$8=0,1.5*2*(1+INT(2*BX28/($AQ$9/1000)))*(1+INT(2*BY28/($AQ$9/1000))),0)</f>
        <v>0</v>
      </c>
      <c r="CH33" s="82"/>
      <c r="CI33" s="82" t="s">
        <v>765</v>
      </c>
      <c r="CJ33" s="107">
        <f>AR30</f>
        <v>149</v>
      </c>
      <c r="CK33" s="12"/>
      <c r="CL33" s="12"/>
      <c r="CM33" s="12"/>
      <c r="CN33" s="12"/>
      <c r="CO33" s="252" t="str">
        <f>AW33</f>
        <v>フロアダクト FC-6</v>
      </c>
      <c r="CP33" s="520">
        <f>BN33</f>
        <v>0</v>
      </c>
      <c r="CR33" s="519" t="str">
        <f>IF(CS33="","","ローテンションアウトレット")</f>
        <v/>
      </c>
      <c r="CS33" s="189" t="str">
        <f>CS27</f>
        <v/>
      </c>
      <c r="CV33" s="197">
        <f t="shared" si="3"/>
        <v>4</v>
      </c>
      <c r="CW33" s="197" t="str">
        <f t="shared" si="4"/>
        <v/>
      </c>
      <c r="CX33" s="207"/>
      <c r="CY33" s="24"/>
      <c r="DA33" s="515"/>
      <c r="DB33" s="516"/>
      <c r="DE33" s="197">
        <f t="shared" si="12"/>
        <v>13</v>
      </c>
      <c r="DF33" s="197" t="str">
        <f t="shared" si="13"/>
        <v/>
      </c>
      <c r="DG33" s="207" t="str">
        <f>CR32</f>
        <v/>
      </c>
      <c r="DH33" s="24"/>
      <c r="DI33" s="249" t="str">
        <f>IF(COUNTIF(DG$18:$DG32,DG33)&gt;0,"",DG33)</f>
        <v/>
      </c>
      <c r="DJ33" s="515" t="str">
        <f>CS32</f>
        <v/>
      </c>
      <c r="DK33" s="514">
        <f t="shared" si="9"/>
        <v>0</v>
      </c>
      <c r="DN33" s="197">
        <f>IF(DS33&lt;&gt;"",DN32+1,DN32)</f>
        <v>2</v>
      </c>
      <c r="DO33" s="197" t="str">
        <f t="shared" si="10"/>
        <v/>
      </c>
      <c r="DP33" s="10" t="str">
        <f>IF(BQ30="","","接地工事 Et")</f>
        <v/>
      </c>
      <c r="DQ33" s="24"/>
      <c r="DR33" s="249" t="str">
        <f>IF(COUNTIF(DP$18:$DP32,DP33)&gt;0,"",DP33)</f>
        <v/>
      </c>
      <c r="DS33" s="198" t="str">
        <f>IF(DP33&lt;&gt;"",1,"")</f>
        <v/>
      </c>
      <c r="DT33" s="514">
        <f t="shared" si="11"/>
        <v>0</v>
      </c>
    </row>
    <row r="34" spans="1:124" ht="7.5" customHeight="1">
      <c r="B34" s="23"/>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19"/>
      <c r="BZ34" s="114" t="str">
        <f>"="</f>
        <v>=</v>
      </c>
      <c r="CA34" s="114" t="str">
        <f>"－"</f>
        <v>－</v>
      </c>
      <c r="CB34" s="114" t="str">
        <f>"+"</f>
        <v>+</v>
      </c>
      <c r="CV34" s="197">
        <f t="shared" si="3"/>
        <v>4</v>
      </c>
      <c r="CW34" s="197" t="str">
        <f t="shared" si="4"/>
        <v/>
      </c>
      <c r="CY34" s="24"/>
      <c r="DA34" s="516"/>
      <c r="DB34" s="516"/>
      <c r="DE34" s="197">
        <f t="shared" si="12"/>
        <v>13</v>
      </c>
      <c r="DF34" s="197" t="str">
        <f t="shared" si="13"/>
        <v/>
      </c>
      <c r="DG34" s="207" t="str">
        <f>CR33</f>
        <v/>
      </c>
      <c r="DH34" s="24"/>
      <c r="DI34" s="249" t="str">
        <f>IF(COUNTIF(DG$18:$DG33,DG34)&gt;0,"",DG34)</f>
        <v/>
      </c>
      <c r="DJ34" s="515" t="str">
        <f>CS33</f>
        <v/>
      </c>
      <c r="DK34" s="514">
        <f t="shared" si="9"/>
        <v>0</v>
      </c>
      <c r="DN34" s="197">
        <f>IF(DS34&lt;&gt;"",DN33+1,DN33)</f>
        <v>2</v>
      </c>
      <c r="DO34" s="197" t="str">
        <f>IF(AND(DN34&lt;&gt;"",DR34&lt;&gt;""),DN34,"")</f>
        <v/>
      </c>
      <c r="DP34" s="201"/>
      <c r="DQ34" s="24"/>
      <c r="DR34" s="249"/>
      <c r="DS34" s="198"/>
      <c r="DT34" s="514"/>
    </row>
    <row r="35" spans="1:124" ht="11.25" customHeight="1" thickBot="1">
      <c r="A35" s="46"/>
      <c r="B35" s="23"/>
      <c r="C35" s="3032" t="s">
        <v>112</v>
      </c>
      <c r="D35" s="3032"/>
      <c r="E35" s="3032"/>
      <c r="F35" s="3032"/>
      <c r="G35" s="3032"/>
      <c r="H35" s="3032"/>
      <c r="I35" s="3033" t="str">
        <f>非誘!J28</f>
        <v>( 4 )</v>
      </c>
      <c r="J35" s="3033"/>
      <c r="K35" s="3033"/>
      <c r="L35" s="3034"/>
      <c r="M35" s="3035" t="str">
        <f>非誘!M28</f>
        <v>百貨店等</v>
      </c>
      <c r="N35" s="2961"/>
      <c r="O35" s="2961"/>
      <c r="P35" s="2961"/>
      <c r="Q35" s="2961"/>
      <c r="R35" s="2961"/>
      <c r="S35" s="2961"/>
      <c r="T35" s="2961"/>
      <c r="U35" s="2961"/>
      <c r="V35" s="2961"/>
      <c r="W35" s="3036"/>
      <c r="X35" s="3037" t="s">
        <v>232</v>
      </c>
      <c r="Y35" s="3037"/>
      <c r="Z35" s="3037"/>
      <c r="AA35" s="3037"/>
      <c r="AB35" s="3038"/>
      <c r="AC35" s="2977" t="str">
        <f>非誘!AA28</f>
        <v>B1</v>
      </c>
      <c r="AD35" s="2978"/>
      <c r="AE35" s="2917" t="s">
        <v>760</v>
      </c>
      <c r="AF35" s="2918"/>
      <c r="AG35" s="2918"/>
      <c r="AH35" s="2918"/>
      <c r="AI35" s="2919"/>
      <c r="AJ35" s="2979">
        <f>非誘!J29</f>
        <v>0.94339622641509435</v>
      </c>
      <c r="AK35" s="2980"/>
      <c r="AL35" s="2981"/>
      <c r="AM35" s="2917" t="s">
        <v>759</v>
      </c>
      <c r="AN35" s="2918"/>
      <c r="AO35" s="2919"/>
      <c r="AP35" s="2920" t="str">
        <f>IF(OR($B$2=0,AS35=""),$BO$14,AS35)</f>
        <v>Ⓖ</v>
      </c>
      <c r="AQ35" s="2920"/>
      <c r="AR35" s="554" t="s">
        <v>103</v>
      </c>
      <c r="AS35" s="2921"/>
      <c r="AT35" s="2922"/>
      <c r="AU35" s="2875" t="s">
        <v>757</v>
      </c>
      <c r="AV35" s="2875"/>
      <c r="AW35" s="2875"/>
      <c r="AX35" s="2875"/>
      <c r="AY35" s="2875"/>
      <c r="AZ35" s="2875"/>
      <c r="BA35" s="2876"/>
      <c r="BB35" s="553">
        <f>IF(BC35="天井ケーブル",1,IF(BC35="天井(PF管)",2,IF(BC35="天井(C管)",3,IF(BC35="天井(G管)",4,IF(BC35="床(CD管)",5,IF(BC35="床(C管)",6,IF(BC35="床(G管)",7,"")))))))</f>
        <v>5</v>
      </c>
      <c r="BC35" s="2961" t="str">
        <f>IF($B$2=0,"",IF(BK35&lt;&gt;"",BK35,IF(I38="直天","天井(C管)","床(CD管)")))</f>
        <v>床(CD管)</v>
      </c>
      <c r="BD35" s="2962"/>
      <c r="BE35" s="2962"/>
      <c r="BF35" s="2962"/>
      <c r="BG35" s="2962"/>
      <c r="BH35" s="2962"/>
      <c r="BI35" s="2963"/>
      <c r="BJ35" s="552" t="s">
        <v>103</v>
      </c>
      <c r="BK35" s="2905"/>
      <c r="BL35" s="2906"/>
      <c r="BM35" s="2906"/>
      <c r="BN35" s="2906"/>
      <c r="BO35" s="2906"/>
      <c r="BP35" s="2907"/>
      <c r="BQ35" s="2982" t="s">
        <v>755</v>
      </c>
      <c r="BR35" s="2983"/>
      <c r="BS35" s="2983"/>
      <c r="BT35" s="2984"/>
      <c r="BU35" s="19"/>
      <c r="BV35" s="8">
        <v>3</v>
      </c>
      <c r="BX35" s="55" t="s">
        <v>229</v>
      </c>
      <c r="BY35" s="55" t="s">
        <v>228</v>
      </c>
      <c r="BZ35" s="534">
        <f>BY30+BY46+CA36</f>
        <v>1199</v>
      </c>
      <c r="CA35" s="534">
        <f>CA36+BY30</f>
        <v>451</v>
      </c>
      <c r="CB35" s="38">
        <f>BY46+CA36</f>
        <v>909</v>
      </c>
      <c r="CC35" s="69"/>
      <c r="CD35" s="534"/>
      <c r="CE35" s="534"/>
      <c r="CF35" s="143" t="s">
        <v>754</v>
      </c>
      <c r="CG35" s="143" t="s">
        <v>753</v>
      </c>
      <c r="CH35" s="143" t="s">
        <v>753</v>
      </c>
      <c r="CI35" s="551" t="s">
        <v>752</v>
      </c>
      <c r="CJ35" s="551" t="s">
        <v>752</v>
      </c>
      <c r="CK35" s="550" t="s">
        <v>734</v>
      </c>
      <c r="CL35" s="550" t="s">
        <v>732</v>
      </c>
      <c r="CM35" s="46"/>
      <c r="CO35" s="46" t="str">
        <f>Q39</f>
        <v>FCPEV 0.65-200Pr</v>
      </c>
      <c r="CP35" s="520">
        <f>AK39</f>
        <v>42</v>
      </c>
      <c r="CR35" s="519" t="str">
        <f>IF(CS35="","",IF($J$14="A","多機能内線電話機",""))</f>
        <v>多機能内線電話機</v>
      </c>
      <c r="CS35" s="189">
        <f>BB38</f>
        <v>133</v>
      </c>
      <c r="CU35" s="88">
        <v>3</v>
      </c>
      <c r="CV35" s="204">
        <f t="shared" si="3"/>
        <v>4</v>
      </c>
      <c r="CW35" s="155" t="str">
        <f t="shared" si="4"/>
        <v/>
      </c>
      <c r="CX35" s="45"/>
      <c r="CY35" s="45"/>
      <c r="CZ35" s="45"/>
      <c r="DA35" s="45"/>
      <c r="DB35" s="45"/>
      <c r="DD35" s="88">
        <v>3</v>
      </c>
      <c r="DE35" s="204">
        <f t="shared" si="12"/>
        <v>13</v>
      </c>
      <c r="DF35" s="155" t="str">
        <f t="shared" si="13"/>
        <v/>
      </c>
      <c r="DG35" s="549" t="str">
        <f>CO30</f>
        <v>導入線 1.2mmφ</v>
      </c>
      <c r="DH35" s="45"/>
      <c r="DI35" s="153" t="str">
        <f>IF(COUNTIF(DG$9:$DG34,DG35)&gt;0,"",DG35)</f>
        <v/>
      </c>
      <c r="DJ35" s="155">
        <f>CP30</f>
        <v>1542.2</v>
      </c>
      <c r="DK35" s="548">
        <f>SUMIF($DG$11:$DG$182,DI35,$DJ$11:$DJ$182)</f>
        <v>0</v>
      </c>
      <c r="DM35" s="88">
        <v>3</v>
      </c>
      <c r="DN35" s="204">
        <f>IF(DS35&lt;&gt;"",DN34+1,DN34)</f>
        <v>2</v>
      </c>
      <c r="DO35" s="155" t="str">
        <f>IF(AND(DN35&lt;&gt;"",DR35&lt;&gt;""),DN35,"")</f>
        <v/>
      </c>
      <c r="DP35" s="45"/>
      <c r="DQ35" s="45"/>
      <c r="DR35" s="45"/>
      <c r="DS35" s="45"/>
      <c r="DT35" s="45"/>
    </row>
    <row r="36" spans="1:124" ht="11.25" customHeight="1" thickBot="1">
      <c r="B36" s="23"/>
      <c r="C36" s="3008" t="s">
        <v>4</v>
      </c>
      <c r="D36" s="3009"/>
      <c r="E36" s="3010"/>
      <c r="F36" s="3014" t="s">
        <v>22</v>
      </c>
      <c r="G36" s="2983"/>
      <c r="H36" s="3015"/>
      <c r="I36" s="2982" t="s">
        <v>132</v>
      </c>
      <c r="J36" s="2983"/>
      <c r="K36" s="3015"/>
      <c r="L36" s="2982" t="s">
        <v>6</v>
      </c>
      <c r="M36" s="2983"/>
      <c r="N36" s="2983"/>
      <c r="O36" s="2984"/>
      <c r="P36" s="3014" t="s">
        <v>7</v>
      </c>
      <c r="Q36" s="2983"/>
      <c r="R36" s="2983"/>
      <c r="S36" s="2984"/>
      <c r="T36" s="3014" t="s">
        <v>8</v>
      </c>
      <c r="U36" s="2983"/>
      <c r="V36" s="2983"/>
      <c r="W36" s="2984"/>
      <c r="X36" s="3014" t="s">
        <v>9</v>
      </c>
      <c r="Y36" s="2983"/>
      <c r="Z36" s="3015"/>
      <c r="AA36" s="2982" t="s">
        <v>9</v>
      </c>
      <c r="AB36" s="2983"/>
      <c r="AC36" s="2984"/>
      <c r="AD36" s="2974" t="s">
        <v>708</v>
      </c>
      <c r="AE36" s="2975"/>
      <c r="AF36" s="2975"/>
      <c r="AG36" s="2975"/>
      <c r="AH36" s="2975"/>
      <c r="AI36" s="2975"/>
      <c r="AJ36" s="2975"/>
      <c r="AK36" s="2975"/>
      <c r="AL36" s="2930" t="str">
        <f>IF(BX40=1,"T-"&amp;LEFT(C38,3)&amp;"-1","T-"&amp;LEFT(C38,3)&amp;"-1～"&amp;BX40)</f>
        <v>T-  1-1～7</v>
      </c>
      <c r="AM36" s="2930"/>
      <c r="AN36" s="2930"/>
      <c r="AO36" s="2930"/>
      <c r="AP36" s="2930"/>
      <c r="AQ36" s="2932"/>
      <c r="AR36" s="2925" t="s">
        <v>751</v>
      </c>
      <c r="AS36" s="2926"/>
      <c r="AT36" s="2926"/>
      <c r="AU36" s="2926"/>
      <c r="AV36" s="2926"/>
      <c r="AW36" s="2926"/>
      <c r="AX36" s="2926"/>
      <c r="AY36" s="2926"/>
      <c r="AZ36" s="2926"/>
      <c r="BA36" s="2927"/>
      <c r="BB36" s="2886" t="s">
        <v>750</v>
      </c>
      <c r="BC36" s="2887"/>
      <c r="BD36" s="2887"/>
      <c r="BE36" s="2887"/>
      <c r="BF36" s="2887"/>
      <c r="BG36" s="2887"/>
      <c r="BH36" s="2887"/>
      <c r="BI36" s="2887"/>
      <c r="BJ36" s="2888"/>
      <c r="BK36" s="2888"/>
      <c r="BL36" s="2888"/>
      <c r="BM36" s="2888"/>
      <c r="BN36" s="2888"/>
      <c r="BO36" s="2888"/>
      <c r="BP36" s="2889"/>
      <c r="BQ36" s="2939" t="str">
        <f>IF(AND($B$2=1,$J$14="A",C38=$J$15),"設置","")</f>
        <v>設置</v>
      </c>
      <c r="BR36" s="2845"/>
      <c r="BS36" s="2845"/>
      <c r="BT36" s="2940"/>
      <c r="BU36" s="19"/>
      <c r="BV36" s="15">
        <v>28</v>
      </c>
      <c r="BX36" s="98">
        <f>非誘!BW30</f>
        <v>30</v>
      </c>
      <c r="BY36" s="98">
        <f>非誘!BX30</f>
        <v>31.8</v>
      </c>
      <c r="BZ36" s="547">
        <f>IF(CA36&lt;10,10,IF(CA36&lt;15,15,IF(CA36&lt;20,20,IF(CA36&lt;25,25,IF(CA36&lt;30,30,IF(CA36&lt;50,50,IF(CA36&lt;70,70,IF(CA36&lt;100,100,IF(CA36&lt;150,150,IF(CA36&lt;20,200,200))))))))))</f>
        <v>200</v>
      </c>
      <c r="CA36" s="546">
        <f>SUM(CC39:CC41)</f>
        <v>161</v>
      </c>
      <c r="CB36" s="107" t="str">
        <f>IF(BY38&lt;10," 10",IF(BY38&lt;15," 15",IF(BY38&lt;20," 20",IF(BY38&lt;25," 25",IF(BY38&lt;30," 30",IF(BY38&lt;50," 50",IF(BY38&lt;70," 70",IF(BY38&lt;100,"100",IF(BY38&lt;150,"150",IF(BY38&lt;200,"200","200"))))))))))</f>
        <v>200</v>
      </c>
      <c r="CC36" s="545">
        <f>1+INT(BY38/200)</f>
        <v>6</v>
      </c>
      <c r="CD36" s="534"/>
      <c r="CE36" s="156" t="s">
        <v>749</v>
      </c>
      <c r="CF36" s="189">
        <f>2*INT($AG$9/1000)</f>
        <v>2</v>
      </c>
      <c r="CG36" s="189">
        <f>CG39+(1+INT($AG$9+$AG$8)/1000)*(1+INT(AR38/10))+CG38</f>
        <v>364.35599999999999</v>
      </c>
      <c r="CH36" s="98">
        <f>IF(AW38="",0,AW38*8)</f>
        <v>1064</v>
      </c>
      <c r="CI36" s="98">
        <f>AR38*8</f>
        <v>224</v>
      </c>
      <c r="CJ36" s="544">
        <f>IF(AW38="",0,AW38*8)</f>
        <v>1064</v>
      </c>
      <c r="CK36" s="223">
        <f>IF(E40="不","",(CG36+CG37+CI36+CI37)*MAX(P38:W38)/L38)</f>
        <v>416.04919999999998</v>
      </c>
      <c r="CL36" s="223">
        <f>IF(E40="不","",SUM(CG39:CH39)+SUM(CG40:CH40)*MAX(P38:W38)/L38)</f>
        <v>831.3</v>
      </c>
      <c r="CM36" s="527" t="s">
        <v>7</v>
      </c>
      <c r="CN36" s="15"/>
      <c r="CO36" s="46" t="str">
        <f>Q40</f>
        <v>電子釦 0.4- 4Pr</v>
      </c>
      <c r="CP36" s="520">
        <f>AK40</f>
        <v>594.35599999999999</v>
      </c>
      <c r="CR36" s="519" t="str">
        <f>IF(CS36="","",IF($J$14="A","内線電話機"))</f>
        <v>内線電話機</v>
      </c>
      <c r="CS36" s="189">
        <f>BG38</f>
        <v>28</v>
      </c>
      <c r="CU36" s="8"/>
      <c r="CV36" s="197">
        <f t="shared" si="3"/>
        <v>4</v>
      </c>
      <c r="CW36" s="197" t="str">
        <f t="shared" si="4"/>
        <v/>
      </c>
      <c r="CX36" s="543" t="str">
        <f>CO35</f>
        <v>FCPEV 0.65-200Pr</v>
      </c>
      <c r="CY36" s="8"/>
      <c r="CZ36" s="249" t="str">
        <f>IF(COUNTIF($CX$17:$CX35,CX36)&gt;0,"",CX36)</f>
        <v/>
      </c>
      <c r="DA36" s="515">
        <f>CP35</f>
        <v>42</v>
      </c>
      <c r="DB36" s="514">
        <f>SUMIF($CX$20:$CX$182,CZ36,$DA$20:$DA$182)</f>
        <v>0</v>
      </c>
      <c r="DC36" s="8"/>
      <c r="DD36" s="8"/>
      <c r="DE36" s="197">
        <f t="shared" si="12"/>
        <v>13</v>
      </c>
      <c r="DF36" s="197" t="str">
        <f t="shared" si="13"/>
        <v/>
      </c>
      <c r="DG36" s="207" t="str">
        <f>CO39</f>
        <v>CD-42mm</v>
      </c>
      <c r="DH36" s="8"/>
      <c r="DI36" s="249" t="str">
        <f>IF(COUNTIF(DG$17:$DG35,DG36)&gt;0,"",DG36)</f>
        <v/>
      </c>
      <c r="DJ36" s="515">
        <f>CP39</f>
        <v>30</v>
      </c>
      <c r="DK36" s="514">
        <f t="shared" ref="DK36:DK42" si="14">SUMIF($DG$20:$DG$182,DI36,$DJ$20:$DJ$182)</f>
        <v>0</v>
      </c>
      <c r="DL36" s="8"/>
      <c r="DM36" s="8"/>
      <c r="DN36" s="197">
        <f>IF(DR36&lt;&gt;"",DN35+1,DN35)</f>
        <v>2</v>
      </c>
      <c r="DO36" s="197">
        <f t="shared" ref="DO36:DO41" si="15">IF(AND(DN36&lt;&gt;"",DS36&lt;&gt;""),DN36,"")</f>
        <v>2</v>
      </c>
      <c r="DP36" s="10" t="str">
        <f>CR35</f>
        <v>多機能内線電話機</v>
      </c>
      <c r="DQ36" s="8"/>
      <c r="DR36" s="249" t="str">
        <f>IF(COUNTIF(DP$18:$DP35,DP36)&gt;0,"",DP36)</f>
        <v/>
      </c>
      <c r="DS36" s="198">
        <f>CS35</f>
        <v>133</v>
      </c>
      <c r="DT36" s="514">
        <f t="shared" ref="DT36:DT41" si="16">SUMIF($DP$20:$DP$182,DR36,$DS$20:$DS$182)</f>
        <v>0</v>
      </c>
    </row>
    <row r="37" spans="1:124" ht="11.25" customHeight="1" thickBot="1">
      <c r="B37" s="23"/>
      <c r="C37" s="3011"/>
      <c r="D37" s="3012"/>
      <c r="E37" s="3013"/>
      <c r="F37" s="3039" t="s">
        <v>235</v>
      </c>
      <c r="G37" s="3040"/>
      <c r="H37" s="3041"/>
      <c r="I37" s="3039" t="s">
        <v>235</v>
      </c>
      <c r="J37" s="3040"/>
      <c r="K37" s="3041"/>
      <c r="L37" s="3039" t="s">
        <v>748</v>
      </c>
      <c r="M37" s="3040"/>
      <c r="N37" s="3040"/>
      <c r="O37" s="3042"/>
      <c r="P37" s="3043" t="s">
        <v>748</v>
      </c>
      <c r="Q37" s="3040"/>
      <c r="R37" s="3040"/>
      <c r="S37" s="3042"/>
      <c r="T37" s="3043" t="s">
        <v>748</v>
      </c>
      <c r="U37" s="3040"/>
      <c r="V37" s="3040"/>
      <c r="W37" s="3044"/>
      <c r="X37" s="3045" t="s">
        <v>111</v>
      </c>
      <c r="Y37" s="3046"/>
      <c r="Z37" s="3047"/>
      <c r="AA37" s="3001" t="s">
        <v>110</v>
      </c>
      <c r="AB37" s="3002"/>
      <c r="AC37" s="3003"/>
      <c r="AD37" s="3004" t="s">
        <v>695</v>
      </c>
      <c r="AE37" s="3005"/>
      <c r="AF37" s="3005"/>
      <c r="AG37" s="3006" t="s">
        <v>699</v>
      </c>
      <c r="AH37" s="3005"/>
      <c r="AI37" s="3007"/>
      <c r="AJ37" s="2928" t="s">
        <v>747</v>
      </c>
      <c r="AK37" s="2918"/>
      <c r="AL37" s="2918"/>
      <c r="AM37" s="2928" t="s">
        <v>746</v>
      </c>
      <c r="AN37" s="2918"/>
      <c r="AO37" s="2929"/>
      <c r="AP37" s="2956" t="s">
        <v>745</v>
      </c>
      <c r="AQ37" s="2957"/>
      <c r="AR37" s="2917" t="s">
        <v>744</v>
      </c>
      <c r="AS37" s="2918"/>
      <c r="AT37" s="2958" t="s">
        <v>3</v>
      </c>
      <c r="AU37" s="2959"/>
      <c r="AV37" s="2959"/>
      <c r="AW37" s="2959" t="s">
        <v>743</v>
      </c>
      <c r="AX37" s="2960"/>
      <c r="AY37" s="2928" t="s">
        <v>3</v>
      </c>
      <c r="AZ37" s="2918"/>
      <c r="BA37" s="2919"/>
      <c r="BB37" s="542" t="str">
        <f>IF(CA39="","","●")</f>
        <v>●</v>
      </c>
      <c r="BC37" s="2930" t="s">
        <v>742</v>
      </c>
      <c r="BD37" s="2930"/>
      <c r="BE37" s="2930"/>
      <c r="BF37" s="2931"/>
      <c r="BG37" s="542" t="str">
        <f>IF(CA40="","","●")</f>
        <v>●</v>
      </c>
      <c r="BH37" s="2930" t="s">
        <v>741</v>
      </c>
      <c r="BI37" s="2930"/>
      <c r="BJ37" s="2930"/>
      <c r="BK37" s="2931"/>
      <c r="BL37" s="542" t="str">
        <f>IF(CA41="","","●")</f>
        <v/>
      </c>
      <c r="BM37" s="2930" t="s">
        <v>764</v>
      </c>
      <c r="BN37" s="2930"/>
      <c r="BO37" s="2930"/>
      <c r="BP37" s="2932"/>
      <c r="BQ37" s="2974" t="s">
        <v>740</v>
      </c>
      <c r="BR37" s="2975"/>
      <c r="BS37" s="2975"/>
      <c r="BT37" s="2976"/>
      <c r="BU37" s="19"/>
      <c r="BX37" s="97" t="str">
        <f>IF(LEFT(C38,2)=" B",-MID(C38,3,1),IF(C38="  RF","",LEFT(C38,3)))</f>
        <v xml:space="preserve">  1</v>
      </c>
      <c r="BY37" s="541" t="str">
        <f>IF(OR(C38="",C38="  RF"),"",IF(LEFT(C38,1)="P","+",IF($BW$14&gt;BX37,"-",IF($BW$14=BX37,"=","+"))))</f>
        <v>=</v>
      </c>
      <c r="BZ37" s="2985" t="str">
        <f>"FCPEV 0.65-"&amp;CB36&amp;"Pr"</f>
        <v>FCPEV 0.65-200Pr</v>
      </c>
      <c r="CA37" s="2986"/>
      <c r="CB37" s="2986"/>
      <c r="CC37" s="2986"/>
      <c r="CD37" s="62"/>
      <c r="CE37" s="156" t="s">
        <v>763</v>
      </c>
      <c r="CF37" s="540">
        <f>F38</f>
        <v>5</v>
      </c>
      <c r="CG37" s="540">
        <f>CG40+(1+INT(AR38/10))*($AG$9+$AG$8)/1000</f>
        <v>6</v>
      </c>
      <c r="CH37" s="539"/>
      <c r="CI37" s="189">
        <f>CH40</f>
        <v>0</v>
      </c>
      <c r="CJ37" s="260"/>
      <c r="CK37" s="528">
        <f>IF(E41="不","",(CG36+CG37+CI36+CI37)*T38/L38)</f>
        <v>178.30680000000001</v>
      </c>
      <c r="CL37" s="528">
        <f>IF(E41="不","",SUM(CG39:CH39)+SUM(CG40:CH40)*T38/L38)</f>
        <v>831.3</v>
      </c>
      <c r="CM37" s="527" t="s">
        <v>8</v>
      </c>
      <c r="CN37" s="15"/>
      <c r="CO37" s="46" t="str">
        <f>Q41</f>
        <v>TIVF 0.8-2C</v>
      </c>
      <c r="CP37" s="520">
        <f>AK41</f>
        <v>2128</v>
      </c>
      <c r="CR37" s="519" t="str">
        <f>IF(CS37="","",IF($J$14="A","PHSアンテナ"))</f>
        <v/>
      </c>
      <c r="CS37" s="189" t="str">
        <f>BL38</f>
        <v/>
      </c>
      <c r="CU37" s="8"/>
      <c r="CV37" s="197">
        <f t="shared" si="3"/>
        <v>4</v>
      </c>
      <c r="CW37" s="197" t="str">
        <f t="shared" si="4"/>
        <v/>
      </c>
      <c r="CX37" s="10" t="str">
        <f>CO36</f>
        <v>電子釦 0.4- 4Pr</v>
      </c>
      <c r="CY37" s="8"/>
      <c r="CZ37" s="249" t="str">
        <f>IF(COUNTIF($CZ$10:$CZ36,CX37)&gt;0,"",CX37)</f>
        <v/>
      </c>
      <c r="DA37" s="515">
        <f>CP36</f>
        <v>594.35599999999999</v>
      </c>
      <c r="DB37" s="514">
        <f>SUMIF($CX$20:$CX$182,CZ37,$DA$20:$DA$182)</f>
        <v>0</v>
      </c>
      <c r="DC37" s="8"/>
      <c r="DD37" s="8"/>
      <c r="DE37" s="197">
        <f t="shared" si="12"/>
        <v>13</v>
      </c>
      <c r="DF37" s="197" t="str">
        <f t="shared" si="13"/>
        <v/>
      </c>
      <c r="DG37" s="207" t="str">
        <f>CO40</f>
        <v>CD-22mm</v>
      </c>
      <c r="DH37" s="8"/>
      <c r="DI37" s="249" t="str">
        <f>IF(COUNTIF(DG$18:$DG36,DG37)&gt;0,"",DG37)</f>
        <v/>
      </c>
      <c r="DJ37" s="515">
        <f>CP40</f>
        <v>1662.6</v>
      </c>
      <c r="DK37" s="514">
        <f t="shared" si="14"/>
        <v>0</v>
      </c>
      <c r="DL37" s="8"/>
      <c r="DM37" s="8"/>
      <c r="DN37" s="197">
        <f>IF(DR37&lt;&gt;"",DN36+1,DN36)</f>
        <v>2</v>
      </c>
      <c r="DO37" s="197">
        <f t="shared" si="15"/>
        <v>2</v>
      </c>
      <c r="DP37" s="207" t="str">
        <f>CR36</f>
        <v>内線電話機</v>
      </c>
      <c r="DQ37" s="8"/>
      <c r="DR37" s="249" t="str">
        <f>IF(COUNTIF(DP$18:$DP36,DP37)&gt;0,"",DP37)</f>
        <v/>
      </c>
      <c r="DS37" s="198">
        <f>CS36</f>
        <v>28</v>
      </c>
      <c r="DT37" s="514">
        <f t="shared" si="16"/>
        <v>0</v>
      </c>
    </row>
    <row r="38" spans="1:124" ht="10.5" customHeight="1" thickBot="1">
      <c r="B38" s="23"/>
      <c r="C38" s="2987" t="str">
        <f>IF($B$2=0,"",非誘!C30)</f>
        <v xml:space="preserve">  1F</v>
      </c>
      <c r="D38" s="2988"/>
      <c r="E38" s="2988"/>
      <c r="F38" s="2989">
        <f>IF($B$2=0,"",非誘!F30)</f>
        <v>5</v>
      </c>
      <c r="G38" s="2989"/>
      <c r="H38" s="2989"/>
      <c r="I38" s="2989">
        <f>IF($B$2=0,"",非誘!J30)</f>
        <v>3</v>
      </c>
      <c r="J38" s="2989"/>
      <c r="K38" s="2989"/>
      <c r="L38" s="2990">
        <f>IF($B$2=0,"",非誘!N30)</f>
        <v>3816</v>
      </c>
      <c r="M38" s="2990"/>
      <c r="N38" s="2990"/>
      <c r="O38" s="2990"/>
      <c r="P38" s="2991">
        <f>IF($B$2=0,"",非誘!S30)</f>
        <v>2671.2</v>
      </c>
      <c r="Q38" s="2991"/>
      <c r="R38" s="2991"/>
      <c r="S38" s="2991"/>
      <c r="T38" s="2991">
        <f>IF($B$2=0,"",非誘!W30)</f>
        <v>1144.8000000000002</v>
      </c>
      <c r="U38" s="2992"/>
      <c r="V38" s="2992"/>
      <c r="W38" s="2992"/>
      <c r="X38" s="2993">
        <f>IF($B$2=0,"",非誘!AA30)</f>
        <v>9</v>
      </c>
      <c r="Y38" s="2993"/>
      <c r="Z38" s="2993"/>
      <c r="AA38" s="2993">
        <f>IF($B$2=0,"",非誘!AD30)</f>
        <v>29</v>
      </c>
      <c r="AB38" s="2993"/>
      <c r="AC38" s="2994"/>
      <c r="AD38" s="2966">
        <f>IF($B$2=0,"",CB36*CC36)</f>
        <v>1200</v>
      </c>
      <c r="AE38" s="2967"/>
      <c r="AF38" s="2968"/>
      <c r="AG38" s="2969" t="str">
        <f>IF($B$2=0,"",放送!CB35)</f>
        <v>200</v>
      </c>
      <c r="AH38" s="2967"/>
      <c r="AI38" s="2968"/>
      <c r="AJ38" s="2970" t="str">
        <f>IF($B$2=0,"",IF(TV!S23="設置","Space","---"))</f>
        <v>Space</v>
      </c>
      <c r="AK38" s="2971"/>
      <c r="AL38" s="2971"/>
      <c r="AM38" s="2969"/>
      <c r="AN38" s="2967"/>
      <c r="AO38" s="2968"/>
      <c r="AP38" s="2972"/>
      <c r="AQ38" s="2973"/>
      <c r="AR38" s="2923">
        <f>IF($B$2=0,"",IF(AZ38="",CB40,AZ38))</f>
        <v>28</v>
      </c>
      <c r="AS38" s="2924"/>
      <c r="AT38" s="538" t="s">
        <v>106</v>
      </c>
      <c r="AU38" s="2946"/>
      <c r="AV38" s="2947"/>
      <c r="AW38" s="2923">
        <f>IF($B$2=0,"",IF(CA39="",0,IF(AZ38="",CB39,AZ38)))</f>
        <v>133</v>
      </c>
      <c r="AX38" s="2924"/>
      <c r="AY38" s="538" t="s">
        <v>106</v>
      </c>
      <c r="AZ38" s="2999"/>
      <c r="BA38" s="3000"/>
      <c r="BB38" s="2951">
        <f>IF(OR($J$14&lt;&gt;"A",CA39=""),"",IF(BE38&lt;&gt;"",BE38,CB39))</f>
        <v>133</v>
      </c>
      <c r="BC38" s="2952"/>
      <c r="BD38" s="537" t="s">
        <v>106</v>
      </c>
      <c r="BE38" s="2938"/>
      <c r="BF38" s="2938"/>
      <c r="BG38" s="2951">
        <f>IF(C38="","",IF(OR($J$14&lt;&gt;"A",CA40=""),"",IF(BJ38&lt;&gt;"",BE38,CB40)))</f>
        <v>28</v>
      </c>
      <c r="BH38" s="2952"/>
      <c r="BI38" s="537" t="s">
        <v>106</v>
      </c>
      <c r="BJ38" s="2938"/>
      <c r="BK38" s="2938"/>
      <c r="BL38" s="2951" t="str">
        <f>IF(OR($J$14&lt;&gt;"A",CA41=""),"",IF(BO38&lt;&gt;"",BO38,CB41))</f>
        <v/>
      </c>
      <c r="BM38" s="2952"/>
      <c r="BN38" s="537" t="s">
        <v>106</v>
      </c>
      <c r="BO38" s="2964"/>
      <c r="BP38" s="2965"/>
      <c r="BQ38" s="2939" t="str">
        <f>IF(BQ36="設置","Ｅt","")</f>
        <v>Ｅt</v>
      </c>
      <c r="BR38" s="2845"/>
      <c r="BS38" s="2845"/>
      <c r="BT38" s="2940"/>
      <c r="BU38" s="19"/>
      <c r="BW38" s="89" t="str">
        <f>AP35</f>
        <v>Ⓖ</v>
      </c>
      <c r="BX38" s="263">
        <f>IF(C38="","",IF(BW38="Ⓐ",BX36+BY36+3,IF(BW38="Ⓑ",BX36*5/8+BY36+3,IF(BW38="Ⓒ",BX36/2+BY36+3,IF(BW38="Ⓓ",BX36+BY36*5/8+3,IF(BW38="Ⓔ",(BX36+BY36)*5/8+3,IF(BW38="Ⓕ",BX36/2+BY36*5/8+3,IF(BW38="Ⓖ",BX36+BY36/2+3,IF(BW38="Ⓗ",BX36*5/8+BY36/2+3,IF(BW38="Ⓘ",(BX36+BY36)/2+3))))))))))</f>
        <v>48.9</v>
      </c>
      <c r="BY38" s="86">
        <f>IF(C38="",0,IF(BY37="=",BZ35,IF(BY37="-",CA35,CB35)))</f>
        <v>1199</v>
      </c>
      <c r="BZ38" s="156"/>
      <c r="CA38" s="536" t="str">
        <f>IF(CA36&lt;=30,"25",IF(CA36&lt;=50,"31",IF(CA36&lt;=100,"39",IF(CA36&lt;=200,"51",""))))</f>
        <v>51</v>
      </c>
      <c r="CB38" s="535" t="str">
        <f>IF(CA36&lt;=30,"22",IF(CA36&lt;=50,"28",IF(CA36&lt;=100,"36",IF(CA36&lt;=200,"42",""))))</f>
        <v>42</v>
      </c>
      <c r="CC38" s="122"/>
      <c r="CD38" s="534"/>
      <c r="CE38" s="156" t="s">
        <v>738</v>
      </c>
      <c r="CF38" s="533"/>
      <c r="CG38" s="189">
        <f>IF($B$2="","",IF($AQ$8=0,0,0.02*($AQ$8/1000-0.15-0.1)*(INT(1000*BX36/$AQ$9)+1)*(INT(1000*BY36/$AQ$9)+1)*4*(AR38+AW38)))</f>
        <v>208.65599999999998</v>
      </c>
      <c r="CH38" s="532"/>
      <c r="CI38" s="531"/>
      <c r="CJ38" s="15"/>
      <c r="CK38" s="528">
        <f>IF(E40="不","",SUM(CH36+CJ36)*MAX(P38:W38)/L38)</f>
        <v>1489.6</v>
      </c>
      <c r="CL38" s="528">
        <f>IF(E40="不","",CJ39)</f>
        <v>804.72328361401958</v>
      </c>
      <c r="CM38" s="527" t="s">
        <v>7</v>
      </c>
      <c r="CN38" s="15"/>
      <c r="CO38" s="252" t="str">
        <f>IF(CP38="","","導入線 1.2mmφ")</f>
        <v>導入線 1.2mmφ</v>
      </c>
      <c r="CP38" s="184">
        <f>1.1*INT(SUM(CP39:CP41))</f>
        <v>2746.7000000000003</v>
      </c>
      <c r="CR38" s="519" t="str">
        <f>IF(CS38="","",IF($J$14="A","PHS電話機"))</f>
        <v/>
      </c>
      <c r="CS38" s="189" t="str">
        <f>IF(CS37="","",INT(CS37*1.5))</f>
        <v/>
      </c>
      <c r="CU38" s="8"/>
      <c r="CV38" s="197">
        <f t="shared" si="3"/>
        <v>4</v>
      </c>
      <c r="CW38" s="197" t="str">
        <f t="shared" si="4"/>
        <v/>
      </c>
      <c r="CX38" s="10" t="str">
        <f>CO37</f>
        <v>TIVF 0.8-2C</v>
      </c>
      <c r="CY38" s="8"/>
      <c r="CZ38" s="249" t="str">
        <f>IF(COUNTIF($CZ$10:$CZ37,CX38)&gt;0,"",CX38)</f>
        <v/>
      </c>
      <c r="DA38" s="515">
        <f>CP37</f>
        <v>2128</v>
      </c>
      <c r="DB38" s="514">
        <f>SUMIF($CX$20:$CX$182,CZ38,$DA$20:$DA$182)</f>
        <v>0</v>
      </c>
      <c r="DC38" s="8"/>
      <c r="DD38" s="8"/>
      <c r="DE38" s="197">
        <f t="shared" si="12"/>
        <v>13</v>
      </c>
      <c r="DF38" s="197" t="str">
        <f t="shared" si="13"/>
        <v/>
      </c>
      <c r="DG38" s="207" t="str">
        <f>CO41</f>
        <v>フロアダクト FC-6</v>
      </c>
      <c r="DH38" s="8"/>
      <c r="DI38" s="249" t="str">
        <f>IF(COUNTIF(DG$18:$DG37,DG38)&gt;0,"",DG38)</f>
        <v/>
      </c>
      <c r="DJ38" s="515">
        <f>CP41</f>
        <v>804.72328361401958</v>
      </c>
      <c r="DK38" s="514">
        <f t="shared" si="14"/>
        <v>0</v>
      </c>
      <c r="DL38" s="8"/>
      <c r="DM38" s="8"/>
      <c r="DN38" s="197">
        <f>IF(DR38&lt;&gt;"",DN37+1,DN37)</f>
        <v>2</v>
      </c>
      <c r="DO38" s="197" t="str">
        <f t="shared" si="15"/>
        <v/>
      </c>
      <c r="DP38" s="10" t="str">
        <f>CR37</f>
        <v/>
      </c>
      <c r="DQ38" s="8"/>
      <c r="DR38" s="249" t="str">
        <f>IF(COUNTIF(DP$18:$DP37,DP38)&gt;0,"",DP38)</f>
        <v/>
      </c>
      <c r="DS38" s="198" t="str">
        <f>CS37</f>
        <v/>
      </c>
      <c r="DT38" s="514">
        <f t="shared" si="16"/>
        <v>0</v>
      </c>
    </row>
    <row r="39" spans="1:124" ht="10.5" customHeight="1" thickBot="1">
      <c r="B39" s="23"/>
      <c r="C39" s="3048" t="s">
        <v>737</v>
      </c>
      <c r="D39" s="3049"/>
      <c r="E39" s="3049"/>
      <c r="F39" s="3049"/>
      <c r="G39" s="3049"/>
      <c r="H39" s="3049"/>
      <c r="I39" s="3049"/>
      <c r="J39" s="3050" t="s">
        <v>736</v>
      </c>
      <c r="K39" s="3051"/>
      <c r="L39" s="3051"/>
      <c r="M39" s="3051"/>
      <c r="N39" s="3052" t="s">
        <v>735</v>
      </c>
      <c r="O39" s="2891"/>
      <c r="P39" s="2892"/>
      <c r="Q39" s="3057" t="str">
        <f>IF(OR($B$2=0,$J$14="C"),"",IF(Z39="",BZ37,Z39))</f>
        <v>FCPEV 0.65-200Pr</v>
      </c>
      <c r="R39" s="3057"/>
      <c r="S39" s="3057"/>
      <c r="T39" s="3057"/>
      <c r="U39" s="3057"/>
      <c r="V39" s="3057"/>
      <c r="W39" s="3057"/>
      <c r="X39" s="3057"/>
      <c r="Y39" s="524" t="s">
        <v>106</v>
      </c>
      <c r="Z39" s="2902"/>
      <c r="AA39" s="2903"/>
      <c r="AB39" s="2903"/>
      <c r="AC39" s="2903"/>
      <c r="AD39" s="2903"/>
      <c r="AE39" s="2903"/>
      <c r="AF39" s="2903"/>
      <c r="AG39" s="2904"/>
      <c r="AH39" s="2877" t="s">
        <v>734</v>
      </c>
      <c r="AI39" s="2878"/>
      <c r="AJ39" s="2879"/>
      <c r="AK39" s="3058">
        <f>IF($B$2=0,"",IF(AP39&lt;&gt;"",AP39,IF($J$14="C","",SUM(CF36:CF37)*CC36)))</f>
        <v>42</v>
      </c>
      <c r="AL39" s="3058"/>
      <c r="AM39" s="3058"/>
      <c r="AN39" s="3058"/>
      <c r="AO39" s="524" t="s">
        <v>106</v>
      </c>
      <c r="AP39" s="2911"/>
      <c r="AQ39" s="2912"/>
      <c r="AR39" s="2912"/>
      <c r="AS39" s="2913"/>
      <c r="AT39" s="2890" t="s">
        <v>733</v>
      </c>
      <c r="AU39" s="2891"/>
      <c r="AV39" s="2892"/>
      <c r="AW39" s="2899" t="str">
        <f>IF($B$2=0,"",IF(BE39&lt;&gt;"",BE39,IF(BB35=2,"PF-"&amp;CB38&amp;"mm",IF(OR(BB35=3,BB35=6),"C-"&amp;CA38&amp;"mm",IF(OR(BB35=4,BB35=7),"G-"&amp;CB38&amp;"mm",IF(OR(BB35=1,BB35=5),"CD-"&amp;CB38&amp;"mm",""))))))</f>
        <v>CD-42mm</v>
      </c>
      <c r="AX39" s="2900"/>
      <c r="AY39" s="2900"/>
      <c r="AZ39" s="2900"/>
      <c r="BA39" s="2900"/>
      <c r="BB39" s="2900"/>
      <c r="BC39" s="2901"/>
      <c r="BD39" s="524" t="s">
        <v>106</v>
      </c>
      <c r="BE39" s="2902"/>
      <c r="BF39" s="2903"/>
      <c r="BG39" s="2903"/>
      <c r="BH39" s="2903"/>
      <c r="BI39" s="2903"/>
      <c r="BJ39" s="2904"/>
      <c r="BK39" s="2877" t="s">
        <v>732</v>
      </c>
      <c r="BL39" s="2878"/>
      <c r="BM39" s="2879"/>
      <c r="BN39" s="2914">
        <f>IF($B$2=0,"",IF(BR39="",CF40*CC36,BR39))</f>
        <v>30</v>
      </c>
      <c r="BO39" s="2915"/>
      <c r="BP39" s="2916"/>
      <c r="BQ39" s="524" t="s">
        <v>106</v>
      </c>
      <c r="BR39" s="3202"/>
      <c r="BS39" s="3203"/>
      <c r="BT39" s="3204"/>
      <c r="BU39" s="19"/>
      <c r="BX39" s="530"/>
      <c r="BY39" s="46"/>
      <c r="BZ39" s="106" t="s">
        <v>731</v>
      </c>
      <c r="CA39" s="529" t="str">
        <f>IF(P38="","",IF(OR(I35="(1) ロ",I35="( 4 )",I35="(5) イ",I35="(6) イ",I35="(6) ロ",I35="(6) ハ",I35="( 7 )",I35="( 8 )",I35="( 15)"),"1",""))</f>
        <v>1</v>
      </c>
      <c r="CB39" s="151">
        <f>IF(P38="",0,INT(P38/20))</f>
        <v>133</v>
      </c>
      <c r="CC39" s="122">
        <f>IF(CA39="",0,CB39)</f>
        <v>133</v>
      </c>
      <c r="CD39" s="6"/>
      <c r="CE39" s="156" t="s">
        <v>730</v>
      </c>
      <c r="CF39" s="189"/>
      <c r="CG39" s="189">
        <f>BX38*(1+INT(AR38/10))+CG41</f>
        <v>146.69999999999999</v>
      </c>
      <c r="CH39" s="189">
        <f>IF(AW38="",0,BX38*(1+INT(AW38/10)))</f>
        <v>684.6</v>
      </c>
      <c r="CI39" s="82" t="s">
        <v>729</v>
      </c>
      <c r="CJ39" s="98">
        <f>7.32*(AW38-2*SQRT(AW38))</f>
        <v>804.72328361401958</v>
      </c>
      <c r="CK39" s="528">
        <f>IF(E41="不","",SUM(CH36+CJ36)*T38/L38)</f>
        <v>638.40000000000009</v>
      </c>
      <c r="CL39" s="528">
        <f>CJ39</f>
        <v>804.72328361401958</v>
      </c>
      <c r="CM39" s="527" t="s">
        <v>8</v>
      </c>
      <c r="CN39" s="69"/>
      <c r="CO39" s="252" t="str">
        <f>AW39</f>
        <v>CD-42mm</v>
      </c>
      <c r="CP39" s="520">
        <f>BN39</f>
        <v>30</v>
      </c>
      <c r="CR39" s="519" t="str">
        <f>IF(CS39=0,"","C-OBox4角中深")</f>
        <v>C-OBox4角中深</v>
      </c>
      <c r="CS39" s="189">
        <f>IF($J$14="A",SUM(CS36:CS37),AR38)</f>
        <v>28</v>
      </c>
      <c r="CU39" s="8"/>
      <c r="CV39" s="197">
        <f t="shared" si="3"/>
        <v>5</v>
      </c>
      <c r="CW39" s="197">
        <f t="shared" si="4"/>
        <v>5</v>
      </c>
      <c r="CX39" s="207" t="str">
        <f>IF(BQ38="","","IV-14sq")</f>
        <v>IV-14sq</v>
      </c>
      <c r="CY39" s="8"/>
      <c r="CZ39" s="249" t="str">
        <f>IF(COUNTIF($CZ$10:$CZ38,CX39)&gt;0,"",CX39)</f>
        <v>IV-14sq</v>
      </c>
      <c r="DA39" s="515">
        <f>IF(BQ38="","",BX38+BY36+15)</f>
        <v>95.7</v>
      </c>
      <c r="DB39" s="514">
        <f>SUMIF($CX$20:$CX$182,CZ39,$DA$20:$DA$182)</f>
        <v>95.7</v>
      </c>
      <c r="DD39" s="8"/>
      <c r="DE39" s="197">
        <f>IF(DJ39&lt;&gt;"",DE38+1,DE38)</f>
        <v>13</v>
      </c>
      <c r="DF39" s="197" t="str">
        <f>IF(AND(DE39&lt;&gt;"",DJ39&lt;&gt;""),DE39,"")</f>
        <v/>
      </c>
      <c r="DG39" s="207"/>
      <c r="DH39" s="8"/>
      <c r="DI39" s="249"/>
      <c r="DJ39" s="515"/>
      <c r="DK39" s="514">
        <f t="shared" si="14"/>
        <v>0</v>
      </c>
      <c r="DM39" s="8"/>
      <c r="DN39" s="197">
        <f>IF(DR39&lt;&gt;"",DN38+1,DN38)</f>
        <v>2</v>
      </c>
      <c r="DO39" s="197" t="str">
        <f t="shared" si="15"/>
        <v/>
      </c>
      <c r="DP39" s="10" t="str">
        <f>CR38</f>
        <v/>
      </c>
      <c r="DQ39" s="8"/>
      <c r="DR39" s="249" t="str">
        <f>IF(COUNTIF(DP$18:$DP38,DP39)&gt;0,"",DP39)</f>
        <v/>
      </c>
      <c r="DS39" s="198" t="str">
        <f>CS38</f>
        <v/>
      </c>
      <c r="DT39" s="514">
        <f t="shared" si="16"/>
        <v>0</v>
      </c>
    </row>
    <row r="40" spans="1:124" ht="10.5" customHeight="1">
      <c r="B40" s="23"/>
      <c r="C40" s="3205" t="s">
        <v>728</v>
      </c>
      <c r="D40" s="3205"/>
      <c r="E40" s="3016" t="str">
        <f>IF($D$9="不要","不",IF(H40="","要",H40))</f>
        <v>要</v>
      </c>
      <c r="F40" s="3016"/>
      <c r="G40" s="523" t="s">
        <v>724</v>
      </c>
      <c r="H40" s="3017"/>
      <c r="I40" s="3018"/>
      <c r="J40" s="3019" t="s">
        <v>727</v>
      </c>
      <c r="K40" s="3020"/>
      <c r="L40" s="3020"/>
      <c r="M40" s="3021"/>
      <c r="N40" s="3053"/>
      <c r="O40" s="2894"/>
      <c r="P40" s="2895"/>
      <c r="Q40" s="3025" t="str">
        <f>IF(OR($B$2=0,$J$14="C"),"",IF(Z40&lt;&gt;"",Z40,"電子釦 0.4- 4Pr"))</f>
        <v>電子釦 0.4- 4Pr</v>
      </c>
      <c r="R40" s="2933"/>
      <c r="S40" s="2933"/>
      <c r="T40" s="2933"/>
      <c r="U40" s="2933"/>
      <c r="V40" s="2933"/>
      <c r="W40" s="2933"/>
      <c r="X40" s="2934"/>
      <c r="Y40" s="526" t="s">
        <v>724</v>
      </c>
      <c r="Z40" s="3026"/>
      <c r="AA40" s="3027"/>
      <c r="AB40" s="3027"/>
      <c r="AC40" s="3027"/>
      <c r="AD40" s="3027"/>
      <c r="AE40" s="3027"/>
      <c r="AF40" s="3027"/>
      <c r="AG40" s="3028"/>
      <c r="AH40" s="2880" t="s">
        <v>725</v>
      </c>
      <c r="AI40" s="2881"/>
      <c r="AJ40" s="2882"/>
      <c r="AK40" s="2995">
        <f>IF($B$2=0,"",IF(AP40&lt;&gt;"",AP40,IF($J$14="C","",SUM(CK36:CK37))))</f>
        <v>594.35599999999999</v>
      </c>
      <c r="AL40" s="2995"/>
      <c r="AM40" s="2995"/>
      <c r="AN40" s="2995"/>
      <c r="AO40" s="526" t="s">
        <v>724</v>
      </c>
      <c r="AP40" s="2996"/>
      <c r="AQ40" s="2997"/>
      <c r="AR40" s="2997"/>
      <c r="AS40" s="2998"/>
      <c r="AT40" s="2893"/>
      <c r="AU40" s="2894"/>
      <c r="AV40" s="2895"/>
      <c r="AW40" s="2933" t="str">
        <f>IF($B$2=0,"",IF(BE40&lt;&gt;"",BE40,IF(BB35=2,"PF-22mm",IF(OR(BB35=3,BB35=6),"C-25mm",IF(OR(BB35=4,BB35=7),"G-22mm",IF(OR(BB35=1,BB35=5),"CD-22mm",""))))))</f>
        <v>CD-22mm</v>
      </c>
      <c r="AX40" s="2933"/>
      <c r="AY40" s="2933"/>
      <c r="AZ40" s="2933"/>
      <c r="BA40" s="2933"/>
      <c r="BB40" s="2933"/>
      <c r="BC40" s="2934"/>
      <c r="BD40" s="526" t="s">
        <v>724</v>
      </c>
      <c r="BE40" s="2935"/>
      <c r="BF40" s="2936"/>
      <c r="BG40" s="2936"/>
      <c r="BH40" s="2936"/>
      <c r="BI40" s="2936"/>
      <c r="BJ40" s="2937"/>
      <c r="BK40" s="2880" t="s">
        <v>725</v>
      </c>
      <c r="BL40" s="2881"/>
      <c r="BM40" s="2882"/>
      <c r="BN40" s="2948">
        <f>IF($B$2=0,"",IF(BR40="",SUM(CL36:CL37),BR40))</f>
        <v>1662.6</v>
      </c>
      <c r="BO40" s="2949"/>
      <c r="BP40" s="2950"/>
      <c r="BQ40" s="525" t="s">
        <v>724</v>
      </c>
      <c r="BR40" s="3029"/>
      <c r="BS40" s="3030"/>
      <c r="BT40" s="3031"/>
      <c r="BU40" s="19"/>
      <c r="BX40" s="49">
        <f>1+INT(L38/600)</f>
        <v>7</v>
      </c>
      <c r="BY40" s="46"/>
      <c r="BZ40" s="106" t="s">
        <v>723</v>
      </c>
      <c r="CA40" s="522" t="str">
        <f>"1"</f>
        <v>1</v>
      </c>
      <c r="CB40" s="151">
        <f>IF(CA39="",INT(T38/40)+CB39,INT(T38/40))</f>
        <v>28</v>
      </c>
      <c r="CC40" s="122">
        <f>IF(CB40="",0,CB40)</f>
        <v>28</v>
      </c>
      <c r="CD40" s="6"/>
      <c r="CE40" s="156" t="s">
        <v>722</v>
      </c>
      <c r="CF40" s="189">
        <f>F38</f>
        <v>5</v>
      </c>
      <c r="CG40" s="189">
        <f>IF(BB35&lt;=4,(2*F38-(R24+R26)/1000)*AR38,((R25+R26)/1000)*AR38)</f>
        <v>0</v>
      </c>
      <c r="CH40" s="189">
        <f>2*(R26/1000)*AR38</f>
        <v>0</v>
      </c>
      <c r="CI40" s="82" t="s">
        <v>721</v>
      </c>
      <c r="CJ40" s="86">
        <f>AW38</f>
        <v>133</v>
      </c>
      <c r="CK40" s="38"/>
      <c r="CL40" s="38"/>
      <c r="CM40" s="38"/>
      <c r="CN40" s="38"/>
      <c r="CO40" s="252" t="str">
        <f>AW40</f>
        <v>CD-22mm</v>
      </c>
      <c r="CP40" s="520">
        <f>BN40</f>
        <v>1662.6</v>
      </c>
      <c r="CR40" s="519" t="str">
        <f>IF(CS40="","",IF(LEFT(AW41,1)="フ","ジャンクションボックス 2Duct","C-OBox4角大深"))</f>
        <v>ジャンクションボックス 2Duct</v>
      </c>
      <c r="CS40" s="189">
        <f>IF(AW38=0,"",AW38)</f>
        <v>133</v>
      </c>
      <c r="CU40" s="8"/>
      <c r="CV40" s="197">
        <f t="shared" si="3"/>
        <v>6</v>
      </c>
      <c r="CW40" s="197">
        <f t="shared" si="4"/>
        <v>6</v>
      </c>
      <c r="CX40" s="207" t="str">
        <f>IF(BQ38="","","VE-22mm")</f>
        <v>VE-22mm</v>
      </c>
      <c r="CY40" s="8"/>
      <c r="CZ40" s="249" t="str">
        <f>IF(COUNTIF($CZ$10:$CZ39,CX40)&gt;0,"",CX40)</f>
        <v>VE-22mm</v>
      </c>
      <c r="DA40" s="515">
        <f>IF(BQ38="","",DA39-10)</f>
        <v>85.7</v>
      </c>
      <c r="DB40" s="514">
        <f>SUMIF($CX$20:$CX$182,CZ40,$DA$20:$DA$182)</f>
        <v>85.7</v>
      </c>
      <c r="DD40" s="8"/>
      <c r="DE40" s="197">
        <f t="shared" ref="DE40:DE46" si="17">IF(DI40&lt;&gt;"",DE39+1,DE39)</f>
        <v>13</v>
      </c>
      <c r="DF40" s="197" t="str">
        <f t="shared" ref="DF40:DF46" si="18">IF(AND(DE40&lt;&gt;"",DI40&lt;&gt;""),DE40,"")</f>
        <v/>
      </c>
      <c r="DG40" s="207" t="str">
        <f>CR39</f>
        <v>C-OBox4角中深</v>
      </c>
      <c r="DH40" s="8"/>
      <c r="DI40" s="249" t="str">
        <f>IF(COUNTIF(DG$18:$DG39,DG40)&gt;0,"",DG40)</f>
        <v/>
      </c>
      <c r="DJ40" s="515">
        <f>CS39</f>
        <v>28</v>
      </c>
      <c r="DK40" s="514">
        <f t="shared" si="14"/>
        <v>0</v>
      </c>
      <c r="DM40" s="8"/>
      <c r="DN40" s="197">
        <f>IF(DS40&lt;&gt;"",DN39+1,DN39)</f>
        <v>3</v>
      </c>
      <c r="DO40" s="197">
        <f t="shared" si="15"/>
        <v>3</v>
      </c>
      <c r="DP40" s="10" t="str">
        <f>IF(BQ36="","","電話交換機")</f>
        <v>電話交換機</v>
      </c>
      <c r="DQ40" s="8"/>
      <c r="DR40" s="249" t="str">
        <f>IF(COUNTIF(DP$18:$DP39,DP40)&gt;0,"",DP40)</f>
        <v>電話交換機</v>
      </c>
      <c r="DS40" s="198">
        <f>IF(DP40&lt;&gt;"",1,"")</f>
        <v>1</v>
      </c>
      <c r="DT40" s="514">
        <f t="shared" si="16"/>
        <v>1</v>
      </c>
    </row>
    <row r="41" spans="1:124" ht="10.5" customHeight="1">
      <c r="B41" s="23"/>
      <c r="C41" s="2959" t="s">
        <v>720</v>
      </c>
      <c r="D41" s="2959"/>
      <c r="E41" s="3016" t="str">
        <f>IF($D$9="不要","不",IF(H41="","要",H41))</f>
        <v>要</v>
      </c>
      <c r="F41" s="3016"/>
      <c r="G41" s="525" t="s">
        <v>103</v>
      </c>
      <c r="H41" s="3017"/>
      <c r="I41" s="3018"/>
      <c r="J41" s="3022"/>
      <c r="K41" s="3023"/>
      <c r="L41" s="3023"/>
      <c r="M41" s="3024"/>
      <c r="N41" s="3054"/>
      <c r="O41" s="3055"/>
      <c r="P41" s="3056"/>
      <c r="Q41" s="3201" t="str">
        <f>IF($B$2=0,"",IF(Z41&lt;&gt;"",Z41,"TIVF 0.8-2C"))</f>
        <v>TIVF 0.8-2C</v>
      </c>
      <c r="R41" s="3201"/>
      <c r="S41" s="3201"/>
      <c r="T41" s="3201"/>
      <c r="U41" s="3201"/>
      <c r="V41" s="3201"/>
      <c r="W41" s="3201"/>
      <c r="X41" s="3201"/>
      <c r="Y41" s="524" t="s">
        <v>103</v>
      </c>
      <c r="Z41" s="2941"/>
      <c r="AA41" s="2942"/>
      <c r="AB41" s="2942"/>
      <c r="AC41" s="2942"/>
      <c r="AD41" s="2942"/>
      <c r="AE41" s="2942"/>
      <c r="AF41" s="2942"/>
      <c r="AG41" s="3199"/>
      <c r="AH41" s="2883" t="s">
        <v>235</v>
      </c>
      <c r="AI41" s="2884"/>
      <c r="AJ41" s="2885"/>
      <c r="AK41" s="2953">
        <f>IF($B$2=0,"",IF(AP41&lt;&gt;"",AP41,IF($J$14="C","",SUM(CK38:CK39))))</f>
        <v>2128</v>
      </c>
      <c r="AL41" s="2954"/>
      <c r="AM41" s="2954"/>
      <c r="AN41" s="2955"/>
      <c r="AO41" s="524" t="s">
        <v>103</v>
      </c>
      <c r="AP41" s="2911"/>
      <c r="AQ41" s="2912"/>
      <c r="AR41" s="2912"/>
      <c r="AS41" s="2913"/>
      <c r="AT41" s="2896"/>
      <c r="AU41" s="2897"/>
      <c r="AV41" s="2898"/>
      <c r="AW41" s="2939" t="str">
        <f>IF($B$2=0,"",IF(BN41="","",IF(BE41="","フロアダクト FC-6",BE41)))</f>
        <v>フロアダクト FC-6</v>
      </c>
      <c r="AX41" s="2845"/>
      <c r="AY41" s="2845"/>
      <c r="AZ41" s="2845"/>
      <c r="BA41" s="2845"/>
      <c r="BB41" s="2845"/>
      <c r="BC41" s="2940"/>
      <c r="BD41" s="524" t="s">
        <v>103</v>
      </c>
      <c r="BE41" s="2941"/>
      <c r="BF41" s="2942"/>
      <c r="BG41" s="2942"/>
      <c r="BH41" s="2942"/>
      <c r="BI41" s="2942"/>
      <c r="BJ41" s="2942"/>
      <c r="BK41" s="2883" t="s">
        <v>235</v>
      </c>
      <c r="BL41" s="2884"/>
      <c r="BM41" s="2885"/>
      <c r="BN41" s="2943">
        <f>IF($B$2=0,"",IF(BR41="",MAX(CL38:CL39),BR41))</f>
        <v>804.72328361401958</v>
      </c>
      <c r="BO41" s="2944"/>
      <c r="BP41" s="2945"/>
      <c r="BQ41" s="523" t="s">
        <v>103</v>
      </c>
      <c r="BR41" s="3200"/>
      <c r="BS41" s="3200"/>
      <c r="BT41" s="3200"/>
      <c r="BU41" s="19"/>
      <c r="BX41" s="47"/>
      <c r="BZ41" s="106" t="s">
        <v>766</v>
      </c>
      <c r="CA41" s="522" t="str">
        <f>IF(OR(I35="( 10)",I35="(12)イ"),"1","")</f>
        <v/>
      </c>
      <c r="CB41" s="151" t="str">
        <f>IF(CA41="","",INT(P38/200))</f>
        <v/>
      </c>
      <c r="CC41" s="122">
        <f>IF(CB41="",0,CB41)</f>
        <v>0</v>
      </c>
      <c r="CE41" s="156" t="s">
        <v>716</v>
      </c>
      <c r="CF41" s="521"/>
      <c r="CG41" s="189">
        <f>IF($AQ$8=0,1.5*2*(1+INT(2*BX36/($AQ$9/1000)))*(1+INT(2*BY36/($AQ$9/1000))),0)</f>
        <v>0</v>
      </c>
      <c r="CH41" s="82"/>
      <c r="CI41" s="82" t="s">
        <v>765</v>
      </c>
      <c r="CJ41" s="107">
        <f>AR38</f>
        <v>28</v>
      </c>
      <c r="CK41" s="12"/>
      <c r="CL41" s="12"/>
      <c r="CM41" s="12"/>
      <c r="CN41" s="12"/>
      <c r="CO41" s="252" t="str">
        <f>AW41</f>
        <v>フロアダクト FC-6</v>
      </c>
      <c r="CP41" s="520">
        <f>BN41</f>
        <v>804.72328361401958</v>
      </c>
      <c r="CR41" s="519" t="str">
        <f>IF(CS41="","","ローテンションアウトレット")</f>
        <v>ローテンションアウトレット</v>
      </c>
      <c r="CS41" s="189">
        <f>CS35</f>
        <v>133</v>
      </c>
      <c r="CV41" s="197">
        <f t="shared" si="3"/>
        <v>6</v>
      </c>
      <c r="CW41" s="197" t="str">
        <f t="shared" si="4"/>
        <v/>
      </c>
      <c r="CX41" s="207"/>
      <c r="CY41" s="24"/>
      <c r="DA41" s="515"/>
      <c r="DB41" s="516"/>
      <c r="DE41" s="197">
        <f t="shared" si="17"/>
        <v>13</v>
      </c>
      <c r="DF41" s="197" t="str">
        <f t="shared" si="18"/>
        <v/>
      </c>
      <c r="DG41" s="207" t="str">
        <f>CR40</f>
        <v>ジャンクションボックス 2Duct</v>
      </c>
      <c r="DH41" s="24"/>
      <c r="DI41" s="249" t="str">
        <f>IF(COUNTIF(DG$18:$DG40,DG41)&gt;0,"",DG41)</f>
        <v/>
      </c>
      <c r="DJ41" s="515">
        <f>CS40</f>
        <v>133</v>
      </c>
      <c r="DK41" s="514">
        <f t="shared" si="14"/>
        <v>0</v>
      </c>
      <c r="DN41" s="197">
        <f>IF(DS41&lt;&gt;"",DN40+1,DN40)</f>
        <v>4</v>
      </c>
      <c r="DO41" s="197">
        <f t="shared" si="15"/>
        <v>4</v>
      </c>
      <c r="DP41" s="10" t="str">
        <f>IF(BQ38="","","接地工事 Et")</f>
        <v>接地工事 Et</v>
      </c>
      <c r="DQ41" s="24"/>
      <c r="DR41" s="249" t="str">
        <f>IF(COUNTIF(DP$18:$DP40,DP41)&gt;0,"",DP41)</f>
        <v>接地工事 Et</v>
      </c>
      <c r="DS41" s="198">
        <f>IF(DP41&lt;&gt;"",1,"")</f>
        <v>1</v>
      </c>
      <c r="DT41" s="514">
        <f t="shared" si="16"/>
        <v>1</v>
      </c>
    </row>
    <row r="42" spans="1:124" ht="7.5" customHeight="1">
      <c r="B42" s="23"/>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19"/>
      <c r="BZ42" s="114" t="str">
        <f>"="</f>
        <v>=</v>
      </c>
      <c r="CA42" s="114" t="str">
        <f>"－"</f>
        <v>－</v>
      </c>
      <c r="CB42" s="114" t="str">
        <f>"+"</f>
        <v>+</v>
      </c>
      <c r="CP42" s="555"/>
      <c r="CV42" s="197">
        <f t="shared" si="3"/>
        <v>6</v>
      </c>
      <c r="CW42" s="197" t="str">
        <f t="shared" si="4"/>
        <v/>
      </c>
      <c r="CY42" s="24"/>
      <c r="DA42" s="516"/>
      <c r="DB42" s="516"/>
      <c r="DE42" s="197">
        <f t="shared" si="17"/>
        <v>13</v>
      </c>
      <c r="DF42" s="197" t="str">
        <f t="shared" si="18"/>
        <v/>
      </c>
      <c r="DG42" s="207" t="str">
        <f>CR41</f>
        <v>ローテンションアウトレット</v>
      </c>
      <c r="DH42" s="24"/>
      <c r="DI42" s="249" t="str">
        <f>IF(COUNTIF(DG$18:$DG41,DG42)&gt;0,"",DG42)</f>
        <v/>
      </c>
      <c r="DJ42" s="515">
        <f>CS41</f>
        <v>133</v>
      </c>
      <c r="DK42" s="514">
        <f t="shared" si="14"/>
        <v>0</v>
      </c>
      <c r="DN42" s="197">
        <f>IF(DS42&lt;&gt;"",DN41+1,DN41)</f>
        <v>4</v>
      </c>
      <c r="DO42" s="197" t="str">
        <f>IF(AND(DN42&lt;&gt;"",DR42&lt;&gt;""),DN42,"")</f>
        <v/>
      </c>
      <c r="DP42" s="201"/>
      <c r="DQ42" s="24"/>
      <c r="DR42" s="249"/>
      <c r="DS42" s="198"/>
      <c r="DT42" s="514"/>
    </row>
    <row r="43" spans="1:124" ht="11.25" customHeight="1" thickBot="1">
      <c r="A43" s="46"/>
      <c r="B43" s="23"/>
      <c r="C43" s="3032" t="s">
        <v>112</v>
      </c>
      <c r="D43" s="3032"/>
      <c r="E43" s="3032"/>
      <c r="F43" s="3032"/>
      <c r="G43" s="3032"/>
      <c r="H43" s="3032"/>
      <c r="I43" s="3033" t="str">
        <f>非誘!J34</f>
        <v>(3) イ</v>
      </c>
      <c r="J43" s="3033"/>
      <c r="K43" s="3033"/>
      <c r="L43" s="3034"/>
      <c r="M43" s="3035" t="str">
        <f>非誘!M34</f>
        <v>料理店等</v>
      </c>
      <c r="N43" s="2961"/>
      <c r="O43" s="2961"/>
      <c r="P43" s="2961"/>
      <c r="Q43" s="2961"/>
      <c r="R43" s="2961"/>
      <c r="S43" s="2961"/>
      <c r="T43" s="2961"/>
      <c r="U43" s="2961"/>
      <c r="V43" s="2961"/>
      <c r="W43" s="3036"/>
      <c r="X43" s="3037" t="s">
        <v>232</v>
      </c>
      <c r="Y43" s="3037"/>
      <c r="Z43" s="3037"/>
      <c r="AA43" s="3037"/>
      <c r="AB43" s="3038"/>
      <c r="AC43" s="2977" t="str">
        <f>非誘!AA34</f>
        <v>B1</v>
      </c>
      <c r="AD43" s="2978"/>
      <c r="AE43" s="2917" t="s">
        <v>760</v>
      </c>
      <c r="AF43" s="2918"/>
      <c r="AG43" s="2918"/>
      <c r="AH43" s="2918"/>
      <c r="AI43" s="2919"/>
      <c r="AJ43" s="2979">
        <f>非誘!J35</f>
        <v>0.94339622641509435</v>
      </c>
      <c r="AK43" s="2980"/>
      <c r="AL43" s="2981"/>
      <c r="AM43" s="2917" t="s">
        <v>759</v>
      </c>
      <c r="AN43" s="2918"/>
      <c r="AO43" s="2919"/>
      <c r="AP43" s="2920" t="str">
        <f>IF(OR($B$2=0,AS43=""),$BO$14,AS43)</f>
        <v>Ⓖ</v>
      </c>
      <c r="AQ43" s="2920"/>
      <c r="AR43" s="554" t="s">
        <v>103</v>
      </c>
      <c r="AS43" s="2921"/>
      <c r="AT43" s="2922"/>
      <c r="AU43" s="2875" t="s">
        <v>757</v>
      </c>
      <c r="AV43" s="2875"/>
      <c r="AW43" s="2875"/>
      <c r="AX43" s="2875"/>
      <c r="AY43" s="2875"/>
      <c r="AZ43" s="2875"/>
      <c r="BA43" s="2876"/>
      <c r="BB43" s="553">
        <f>IF(BC43="天井ケーブル",1,IF(BC43="天井(PF管)",2,IF(BC43="天井(C管)",3,IF(BC43="天井(G管)",4,IF(BC43="床(CD管)",5,IF(BC43="床(C管)",6,IF(BC43="床(G管)",7,"")))))))</f>
        <v>5</v>
      </c>
      <c r="BC43" s="2961" t="str">
        <f>IF($B$2=0,"",IF(BK43&lt;&gt;"",BK43,IF(I46="直天","天井(C管)","床(CD管)")))</f>
        <v>床(CD管)</v>
      </c>
      <c r="BD43" s="2962"/>
      <c r="BE43" s="2962"/>
      <c r="BF43" s="2962"/>
      <c r="BG43" s="2962"/>
      <c r="BH43" s="2962"/>
      <c r="BI43" s="2963"/>
      <c r="BJ43" s="552" t="s">
        <v>103</v>
      </c>
      <c r="BK43" s="2905"/>
      <c r="BL43" s="2906"/>
      <c r="BM43" s="2906"/>
      <c r="BN43" s="2906"/>
      <c r="BO43" s="2906"/>
      <c r="BP43" s="2907"/>
      <c r="BQ43" s="2982" t="s">
        <v>755</v>
      </c>
      <c r="BR43" s="2983"/>
      <c r="BS43" s="2983"/>
      <c r="BT43" s="2984"/>
      <c r="BU43" s="19"/>
      <c r="BV43" s="8">
        <v>4</v>
      </c>
      <c r="BX43" s="55" t="s">
        <v>229</v>
      </c>
      <c r="BY43" s="55" t="s">
        <v>228</v>
      </c>
      <c r="BZ43" s="534">
        <f>BY38+BY54+CA44</f>
        <v>1947</v>
      </c>
      <c r="CA43" s="534">
        <f>CA44+BY38</f>
        <v>1351</v>
      </c>
      <c r="CB43" s="38">
        <f>BY54+CA44</f>
        <v>748</v>
      </c>
      <c r="CC43" s="69"/>
      <c r="CD43" s="534"/>
      <c r="CE43" s="534"/>
      <c r="CF43" s="143" t="s">
        <v>754</v>
      </c>
      <c r="CG43" s="143" t="s">
        <v>753</v>
      </c>
      <c r="CH43" s="143" t="s">
        <v>753</v>
      </c>
      <c r="CI43" s="551" t="s">
        <v>752</v>
      </c>
      <c r="CJ43" s="551" t="s">
        <v>752</v>
      </c>
      <c r="CK43" s="550" t="s">
        <v>734</v>
      </c>
      <c r="CL43" s="550" t="s">
        <v>732</v>
      </c>
      <c r="CM43" s="46"/>
      <c r="CO43" s="46" t="str">
        <f>Q47</f>
        <v>FCPEV 0.65-200Pr</v>
      </c>
      <c r="CP43" s="520">
        <f>AK47</f>
        <v>24</v>
      </c>
      <c r="CR43" s="519" t="str">
        <f>IF(CS43="","",IF($J$14="A","多機能内線電話機",""))</f>
        <v/>
      </c>
      <c r="CS43" s="189" t="str">
        <f>BB46</f>
        <v/>
      </c>
      <c r="CU43" s="88">
        <v>4</v>
      </c>
      <c r="CV43" s="204">
        <f t="shared" si="3"/>
        <v>6</v>
      </c>
      <c r="CW43" s="155" t="str">
        <f t="shared" si="4"/>
        <v/>
      </c>
      <c r="CX43" s="45"/>
      <c r="CY43" s="45"/>
      <c r="CZ43" s="45"/>
      <c r="DA43" s="45"/>
      <c r="DB43" s="45"/>
      <c r="DD43" s="88">
        <v>4</v>
      </c>
      <c r="DE43" s="204">
        <f t="shared" si="17"/>
        <v>13</v>
      </c>
      <c r="DF43" s="155" t="str">
        <f t="shared" si="18"/>
        <v/>
      </c>
      <c r="DG43" s="549" t="str">
        <f>CO38</f>
        <v>導入線 1.2mmφ</v>
      </c>
      <c r="DH43" s="45"/>
      <c r="DI43" s="153" t="str">
        <f>IF(COUNTIF(DG$9:$DG42,DG43)&gt;0,"",DG43)</f>
        <v/>
      </c>
      <c r="DJ43" s="155">
        <f>CP38</f>
        <v>2746.7000000000003</v>
      </c>
      <c r="DK43" s="548">
        <f>SUMIF($DG$11:$DG$182,DI43,$DJ$11:$DJ$182)</f>
        <v>0</v>
      </c>
      <c r="DM43" s="88">
        <v>4</v>
      </c>
      <c r="DN43" s="204">
        <f>IF(DS43&lt;&gt;"",DN42+1,DN42)</f>
        <v>4</v>
      </c>
      <c r="DO43" s="155" t="str">
        <f>IF(AND(DN43&lt;&gt;"",DR43&lt;&gt;""),DN43,"")</f>
        <v/>
      </c>
      <c r="DP43" s="45"/>
      <c r="DQ43" s="45"/>
      <c r="DR43" s="45"/>
      <c r="DS43" s="45"/>
      <c r="DT43" s="45"/>
    </row>
    <row r="44" spans="1:124" ht="11.25" customHeight="1" thickBot="1">
      <c r="B44" s="23"/>
      <c r="C44" s="3008" t="s">
        <v>4</v>
      </c>
      <c r="D44" s="3009"/>
      <c r="E44" s="3010"/>
      <c r="F44" s="3014" t="s">
        <v>22</v>
      </c>
      <c r="G44" s="2983"/>
      <c r="H44" s="3015"/>
      <c r="I44" s="2982" t="s">
        <v>132</v>
      </c>
      <c r="J44" s="2983"/>
      <c r="K44" s="3015"/>
      <c r="L44" s="2982" t="s">
        <v>6</v>
      </c>
      <c r="M44" s="2983"/>
      <c r="N44" s="2983"/>
      <c r="O44" s="2984"/>
      <c r="P44" s="3014" t="s">
        <v>7</v>
      </c>
      <c r="Q44" s="2983"/>
      <c r="R44" s="2983"/>
      <c r="S44" s="2984"/>
      <c r="T44" s="3014" t="s">
        <v>8</v>
      </c>
      <c r="U44" s="2983"/>
      <c r="V44" s="2983"/>
      <c r="W44" s="2984"/>
      <c r="X44" s="3014" t="s">
        <v>9</v>
      </c>
      <c r="Y44" s="2983"/>
      <c r="Z44" s="3015"/>
      <c r="AA44" s="2982" t="s">
        <v>9</v>
      </c>
      <c r="AB44" s="2983"/>
      <c r="AC44" s="2984"/>
      <c r="AD44" s="2974" t="s">
        <v>708</v>
      </c>
      <c r="AE44" s="2975"/>
      <c r="AF44" s="2975"/>
      <c r="AG44" s="2975"/>
      <c r="AH44" s="2975"/>
      <c r="AI44" s="2975"/>
      <c r="AJ44" s="2975"/>
      <c r="AK44" s="2975"/>
      <c r="AL44" s="2930" t="str">
        <f>IF(BX48=1,"T-"&amp;LEFT(C46,3)&amp;"-1","T-"&amp;LEFT(C46,3)&amp;"-1～"&amp;BX48)</f>
        <v>T-  2-1～7</v>
      </c>
      <c r="AM44" s="2930"/>
      <c r="AN44" s="2930"/>
      <c r="AO44" s="2930"/>
      <c r="AP44" s="2930"/>
      <c r="AQ44" s="2932"/>
      <c r="AR44" s="2925" t="s">
        <v>751</v>
      </c>
      <c r="AS44" s="2926"/>
      <c r="AT44" s="2926"/>
      <c r="AU44" s="2926"/>
      <c r="AV44" s="2926"/>
      <c r="AW44" s="2926"/>
      <c r="AX44" s="2926"/>
      <c r="AY44" s="2926"/>
      <c r="AZ44" s="2926"/>
      <c r="BA44" s="2927"/>
      <c r="BB44" s="2886" t="s">
        <v>750</v>
      </c>
      <c r="BC44" s="2887"/>
      <c r="BD44" s="2887"/>
      <c r="BE44" s="2887"/>
      <c r="BF44" s="2887"/>
      <c r="BG44" s="2887"/>
      <c r="BH44" s="2887"/>
      <c r="BI44" s="2887"/>
      <c r="BJ44" s="2888"/>
      <c r="BK44" s="2888"/>
      <c r="BL44" s="2888"/>
      <c r="BM44" s="2888"/>
      <c r="BN44" s="2888"/>
      <c r="BO44" s="2888"/>
      <c r="BP44" s="2889"/>
      <c r="BQ44" s="2939" t="str">
        <f>IF(AND($B$2=1,$J$14="A",C46=$J$15),"設置","")</f>
        <v/>
      </c>
      <c r="BR44" s="2845"/>
      <c r="BS44" s="2845"/>
      <c r="BT44" s="2940"/>
      <c r="BU44" s="19"/>
      <c r="BV44" s="15">
        <v>34</v>
      </c>
      <c r="BX44" s="98">
        <f>非誘!BW36</f>
        <v>30</v>
      </c>
      <c r="BY44" s="98">
        <f>非誘!BX36</f>
        <v>31.8</v>
      </c>
      <c r="BZ44" s="547">
        <f>IF(CA44&lt;10,10,IF(CA44&lt;15,15,IF(CA44&lt;20,20,IF(CA44&lt;25,25,IF(CA44&lt;30,30,IF(CA44&lt;50,50,IF(CA44&lt;70,70,IF(CA44&lt;100,100,IF(CA44&lt;150,150,IF(CA44&lt;20,200,200))))))))))</f>
        <v>200</v>
      </c>
      <c r="CA44" s="546">
        <f>SUM(CC47:CC49)</f>
        <v>152</v>
      </c>
      <c r="CB44" s="107" t="str">
        <f>IF(BY46&lt;10," 10",IF(BY46&lt;15," 15",IF(BY46&lt;20," 20",IF(BY46&lt;25," 25",IF(BY46&lt;30," 30",IF(BY46&lt;50," 50",IF(BY46&lt;70," 70",IF(BY46&lt;100,"100",IF(BY46&lt;150,"150",IF(BY46&lt;200,"200","200"))))))))))</f>
        <v>200</v>
      </c>
      <c r="CC44" s="545">
        <f>1+INT(BY46/200)</f>
        <v>4</v>
      </c>
      <c r="CD44" s="534"/>
      <c r="CE44" s="156" t="s">
        <v>749</v>
      </c>
      <c r="CF44" s="189">
        <f>2*INT($AG$9/1000)</f>
        <v>2</v>
      </c>
      <c r="CG44" s="189">
        <f>CG47+(1+INT($AG$9+$AG$8)/1000)*(1+INT(AR46/10))+CG46</f>
        <v>1027.3919999999998</v>
      </c>
      <c r="CH44" s="98">
        <f>IF(AW46="",0,AW46*8)</f>
        <v>0</v>
      </c>
      <c r="CI44" s="98">
        <f>AR46*8</f>
        <v>1216</v>
      </c>
      <c r="CJ44" s="544">
        <f>IF(AW46="",0,AW46*8)</f>
        <v>0</v>
      </c>
      <c r="CK44" s="223">
        <f>IF(E48="不","",(CG44+CG45+CI44+CI45)*MAX(P46:W46)/L46)</f>
        <v>1365.2351999999998</v>
      </c>
      <c r="CL44" s="223">
        <f>IF(E48="不","",SUM(CG47:CH47)+SUM(CG48:CH48)*MAX(P46:W46)/L46)</f>
        <v>831.3</v>
      </c>
      <c r="CM44" s="527" t="s">
        <v>7</v>
      </c>
      <c r="CN44" s="15"/>
      <c r="CO44" s="46" t="str">
        <f>Q48</f>
        <v>電子釦 0.4- 4Pr</v>
      </c>
      <c r="CP44" s="520">
        <f>AK48</f>
        <v>2275.3919999999998</v>
      </c>
      <c r="CR44" s="519" t="str">
        <f>IF(CS44="","",IF($J$14="A","内線電話機"))</f>
        <v>内線電話機</v>
      </c>
      <c r="CS44" s="189">
        <f>BG46</f>
        <v>152</v>
      </c>
      <c r="CU44" s="8"/>
      <c r="CV44" s="197">
        <f t="shared" si="3"/>
        <v>6</v>
      </c>
      <c r="CW44" s="197" t="str">
        <f t="shared" si="4"/>
        <v/>
      </c>
      <c r="CX44" s="543" t="str">
        <f>CO43</f>
        <v>FCPEV 0.65-200Pr</v>
      </c>
      <c r="CY44" s="8"/>
      <c r="CZ44" s="249" t="str">
        <f>IF(COUNTIF($CX$17:$CX43,CX44)&gt;0,"",CX44)</f>
        <v/>
      </c>
      <c r="DA44" s="515">
        <f>CP43</f>
        <v>24</v>
      </c>
      <c r="DB44" s="514">
        <f>SUMIF($CX$20:$CX$182,CZ44,$DA$20:$DA$182)</f>
        <v>0</v>
      </c>
      <c r="DC44" s="8"/>
      <c r="DD44" s="8"/>
      <c r="DE44" s="197">
        <f t="shared" si="17"/>
        <v>13</v>
      </c>
      <c r="DF44" s="197" t="str">
        <f t="shared" si="18"/>
        <v/>
      </c>
      <c r="DG44" s="207" t="str">
        <f>CO47</f>
        <v>CD-42mm</v>
      </c>
      <c r="DH44" s="8"/>
      <c r="DI44" s="249" t="str">
        <f>IF(COUNTIF(DG$17:$DG43,DG44)&gt;0,"",DG44)</f>
        <v/>
      </c>
      <c r="DJ44" s="515">
        <f>CP47</f>
        <v>16</v>
      </c>
      <c r="DK44" s="514">
        <f t="shared" ref="DK44:DK50" si="19">SUMIF($DG$20:$DG$182,DI44,$DJ$20:$DJ$182)</f>
        <v>0</v>
      </c>
      <c r="DL44" s="8"/>
      <c r="DM44" s="8"/>
      <c r="DN44" s="197">
        <f>IF(DR44&lt;&gt;"",DN43+1,DN43)</f>
        <v>4</v>
      </c>
      <c r="DO44" s="197" t="str">
        <f t="shared" ref="DO44:DO49" si="20">IF(AND(DN44&lt;&gt;"",DS44&lt;&gt;""),DN44,"")</f>
        <v/>
      </c>
      <c r="DP44" s="10" t="str">
        <f>CR43</f>
        <v/>
      </c>
      <c r="DQ44" s="8"/>
      <c r="DR44" s="249" t="str">
        <f>IF(COUNTIF(DP$18:$DP43,DP44)&gt;0,"",DP44)</f>
        <v/>
      </c>
      <c r="DS44" s="198" t="str">
        <f>CS43</f>
        <v/>
      </c>
      <c r="DT44" s="514">
        <f t="shared" ref="DT44:DT49" si="21">SUMIF($DP$20:$DP$182,DR44,$DS$20:$DS$182)</f>
        <v>0</v>
      </c>
    </row>
    <row r="45" spans="1:124" ht="11.25" customHeight="1" thickBot="1">
      <c r="B45" s="23"/>
      <c r="C45" s="3011"/>
      <c r="D45" s="3012"/>
      <c r="E45" s="3013"/>
      <c r="F45" s="3039" t="s">
        <v>235</v>
      </c>
      <c r="G45" s="3040"/>
      <c r="H45" s="3041"/>
      <c r="I45" s="3039" t="s">
        <v>235</v>
      </c>
      <c r="J45" s="3040"/>
      <c r="K45" s="3041"/>
      <c r="L45" s="3039" t="s">
        <v>748</v>
      </c>
      <c r="M45" s="3040"/>
      <c r="N45" s="3040"/>
      <c r="O45" s="3042"/>
      <c r="P45" s="3043" t="s">
        <v>748</v>
      </c>
      <c r="Q45" s="3040"/>
      <c r="R45" s="3040"/>
      <c r="S45" s="3042"/>
      <c r="T45" s="3043" t="s">
        <v>748</v>
      </c>
      <c r="U45" s="3040"/>
      <c r="V45" s="3040"/>
      <c r="W45" s="3044"/>
      <c r="X45" s="3045" t="s">
        <v>111</v>
      </c>
      <c r="Y45" s="3046"/>
      <c r="Z45" s="3047"/>
      <c r="AA45" s="3001" t="s">
        <v>110</v>
      </c>
      <c r="AB45" s="3002"/>
      <c r="AC45" s="3003"/>
      <c r="AD45" s="3004" t="s">
        <v>695</v>
      </c>
      <c r="AE45" s="3005"/>
      <c r="AF45" s="3005"/>
      <c r="AG45" s="3006" t="s">
        <v>699</v>
      </c>
      <c r="AH45" s="3005"/>
      <c r="AI45" s="3007"/>
      <c r="AJ45" s="2928" t="s">
        <v>747</v>
      </c>
      <c r="AK45" s="2918"/>
      <c r="AL45" s="2918"/>
      <c r="AM45" s="2928" t="s">
        <v>746</v>
      </c>
      <c r="AN45" s="2918"/>
      <c r="AO45" s="2929"/>
      <c r="AP45" s="2956" t="s">
        <v>745</v>
      </c>
      <c r="AQ45" s="2957"/>
      <c r="AR45" s="2917" t="s">
        <v>744</v>
      </c>
      <c r="AS45" s="2918"/>
      <c r="AT45" s="2958" t="s">
        <v>3</v>
      </c>
      <c r="AU45" s="2959"/>
      <c r="AV45" s="2959"/>
      <c r="AW45" s="2959" t="s">
        <v>743</v>
      </c>
      <c r="AX45" s="2960"/>
      <c r="AY45" s="2928" t="s">
        <v>3</v>
      </c>
      <c r="AZ45" s="2918"/>
      <c r="BA45" s="2919"/>
      <c r="BB45" s="542" t="str">
        <f>IF(CA47="","","●")</f>
        <v/>
      </c>
      <c r="BC45" s="2930" t="s">
        <v>742</v>
      </c>
      <c r="BD45" s="2930"/>
      <c r="BE45" s="2930"/>
      <c r="BF45" s="2931"/>
      <c r="BG45" s="542" t="str">
        <f>IF(CA48="","","●")</f>
        <v>●</v>
      </c>
      <c r="BH45" s="2930" t="s">
        <v>741</v>
      </c>
      <c r="BI45" s="2930"/>
      <c r="BJ45" s="2930"/>
      <c r="BK45" s="2931"/>
      <c r="BL45" s="542" t="str">
        <f>IF(CA49="","","●")</f>
        <v/>
      </c>
      <c r="BM45" s="2930" t="s">
        <v>764</v>
      </c>
      <c r="BN45" s="2930"/>
      <c r="BO45" s="2930"/>
      <c r="BP45" s="2932"/>
      <c r="BQ45" s="2974" t="s">
        <v>740</v>
      </c>
      <c r="BR45" s="2975"/>
      <c r="BS45" s="2975"/>
      <c r="BT45" s="2976"/>
      <c r="BU45" s="19"/>
      <c r="BX45" s="97" t="str">
        <f>IF(LEFT(C46,2)=" B",-MID(C46,3,1),IF(C46="  RF","",LEFT(C46,3)))</f>
        <v xml:space="preserve">  2</v>
      </c>
      <c r="BY45" s="541" t="str">
        <f>IF(OR(C46="",C46="  RF"),"",IF(LEFT(C46,1)="P","+",IF($BW$14&gt;BX45,"-",IF($BW$14=BX45,"=","+"))))</f>
        <v>+</v>
      </c>
      <c r="BZ45" s="2985" t="str">
        <f>"FCPEV 0.65-"&amp;CB44&amp;"Pr"</f>
        <v>FCPEV 0.65-200Pr</v>
      </c>
      <c r="CA45" s="2986"/>
      <c r="CB45" s="2986"/>
      <c r="CC45" s="2986"/>
      <c r="CD45" s="62"/>
      <c r="CE45" s="156" t="s">
        <v>763</v>
      </c>
      <c r="CF45" s="540">
        <f>F46</f>
        <v>4</v>
      </c>
      <c r="CG45" s="540">
        <f>CG48+(1+INT(AR46/10))*($AG$9+$AG$8)/1000</f>
        <v>32</v>
      </c>
      <c r="CH45" s="539"/>
      <c r="CI45" s="189">
        <f>CH48</f>
        <v>0</v>
      </c>
      <c r="CJ45" s="260"/>
      <c r="CK45" s="528">
        <f>IF(E49="不","",(CG44+CG45+CI44+CI45)*T46/L46)</f>
        <v>910.15679999999998</v>
      </c>
      <c r="CL45" s="528">
        <f>IF(E49="不","",SUM(CG47:CH47)+SUM(CG48:CH48)*T46/L46)</f>
        <v>831.3</v>
      </c>
      <c r="CM45" s="527" t="s">
        <v>8</v>
      </c>
      <c r="CN45" s="15"/>
      <c r="CO45" s="46" t="str">
        <f>Q49</f>
        <v>TIVF 0.8-2C</v>
      </c>
      <c r="CP45" s="520">
        <f>AK49</f>
        <v>0</v>
      </c>
      <c r="CR45" s="519" t="str">
        <f>IF(CS45="","",IF($J$14="A","PHSアンテナ"))</f>
        <v/>
      </c>
      <c r="CS45" s="189" t="str">
        <f>BL46</f>
        <v/>
      </c>
      <c r="CU45" s="8"/>
      <c r="CV45" s="197">
        <f t="shared" si="3"/>
        <v>6</v>
      </c>
      <c r="CW45" s="197" t="str">
        <f t="shared" si="4"/>
        <v/>
      </c>
      <c r="CX45" s="10" t="str">
        <f>CO44</f>
        <v>電子釦 0.4- 4Pr</v>
      </c>
      <c r="CY45" s="8"/>
      <c r="CZ45" s="249" t="str">
        <f>IF(COUNTIF($CZ$10:$CZ44,CX45)&gt;0,"",CX45)</f>
        <v/>
      </c>
      <c r="DA45" s="515">
        <f>CP44</f>
        <v>2275.3919999999998</v>
      </c>
      <c r="DB45" s="514">
        <f>SUMIF($CX$20:$CX$182,CZ45,$DA$20:$DA$182)</f>
        <v>0</v>
      </c>
      <c r="DC45" s="8"/>
      <c r="DD45" s="8"/>
      <c r="DE45" s="197">
        <f t="shared" si="17"/>
        <v>13</v>
      </c>
      <c r="DF45" s="197" t="str">
        <f t="shared" si="18"/>
        <v/>
      </c>
      <c r="DG45" s="207" t="str">
        <f>CO48</f>
        <v>CD-22mm</v>
      </c>
      <c r="DH45" s="8"/>
      <c r="DI45" s="249" t="str">
        <f>IF(COUNTIF(DG$18:$DG44,DG45)&gt;0,"",DG45)</f>
        <v/>
      </c>
      <c r="DJ45" s="515">
        <f>CP48</f>
        <v>1662.6</v>
      </c>
      <c r="DK45" s="514">
        <f t="shared" si="19"/>
        <v>0</v>
      </c>
      <c r="DL45" s="8"/>
      <c r="DM45" s="8"/>
      <c r="DN45" s="197">
        <f>IF(DR45&lt;&gt;"",DN44+1,DN44)</f>
        <v>4</v>
      </c>
      <c r="DO45" s="197">
        <f t="shared" si="20"/>
        <v>4</v>
      </c>
      <c r="DP45" s="207" t="str">
        <f>CR44</f>
        <v>内線電話機</v>
      </c>
      <c r="DQ45" s="8"/>
      <c r="DR45" s="249" t="str">
        <f>IF(COUNTIF(DP$18:$DP44,DP45)&gt;0,"",DP45)</f>
        <v/>
      </c>
      <c r="DS45" s="198">
        <f>CS44</f>
        <v>152</v>
      </c>
      <c r="DT45" s="514">
        <f t="shared" si="21"/>
        <v>0</v>
      </c>
    </row>
    <row r="46" spans="1:124" ht="10.5" customHeight="1" thickBot="1">
      <c r="B46" s="23"/>
      <c r="C46" s="2987" t="str">
        <f>IF($B$2=0,"",非誘!C36)</f>
        <v xml:space="preserve">  2F</v>
      </c>
      <c r="D46" s="2988"/>
      <c r="E46" s="2988"/>
      <c r="F46" s="2989">
        <f>IF($B$2=0,"",非誘!F36)</f>
        <v>4</v>
      </c>
      <c r="G46" s="2989"/>
      <c r="H46" s="2989"/>
      <c r="I46" s="2989">
        <f>IF($B$2=0,"",非誘!J36)</f>
        <v>3</v>
      </c>
      <c r="J46" s="2989"/>
      <c r="K46" s="2989"/>
      <c r="L46" s="2990">
        <f>IF($B$2=0,"",非誘!N36)</f>
        <v>3816</v>
      </c>
      <c r="M46" s="2990"/>
      <c r="N46" s="2990"/>
      <c r="O46" s="2990"/>
      <c r="P46" s="2991">
        <f>IF($B$2=0,"",非誘!S36)</f>
        <v>2289.6</v>
      </c>
      <c r="Q46" s="2991"/>
      <c r="R46" s="2991"/>
      <c r="S46" s="2991"/>
      <c r="T46" s="2991">
        <f>IF($B$2=0,"",非誘!W36)</f>
        <v>1526.4</v>
      </c>
      <c r="U46" s="2992"/>
      <c r="V46" s="2992"/>
      <c r="W46" s="2992"/>
      <c r="X46" s="2993">
        <f>IF($B$2=0,"",非誘!AA36)</f>
        <v>16</v>
      </c>
      <c r="Y46" s="2993"/>
      <c r="Z46" s="2993"/>
      <c r="AA46" s="2993">
        <f>IF($B$2=0,"",非誘!AD36)</f>
        <v>39</v>
      </c>
      <c r="AB46" s="2993"/>
      <c r="AC46" s="2994"/>
      <c r="AD46" s="2966">
        <f>IF($B$2=0,"",CB44*CC44)</f>
        <v>800</v>
      </c>
      <c r="AE46" s="2967"/>
      <c r="AF46" s="2968"/>
      <c r="AG46" s="2969">
        <f>IF($B$2=0,"",放送!CB41)</f>
        <v>0</v>
      </c>
      <c r="AH46" s="2967"/>
      <c r="AI46" s="2968"/>
      <c r="AJ46" s="2970" t="str">
        <f>IF($B$2=0,"",IF(TV!V23="設置","Space","---"))</f>
        <v>Space</v>
      </c>
      <c r="AK46" s="2971"/>
      <c r="AL46" s="2971"/>
      <c r="AM46" s="2969"/>
      <c r="AN46" s="2967"/>
      <c r="AO46" s="2968"/>
      <c r="AP46" s="2972"/>
      <c r="AQ46" s="2973"/>
      <c r="AR46" s="2923">
        <f>IF($B$2=0,"",IF(AZ46="",CB48,AZ46))</f>
        <v>152</v>
      </c>
      <c r="AS46" s="2924"/>
      <c r="AT46" s="538" t="s">
        <v>106</v>
      </c>
      <c r="AU46" s="2946"/>
      <c r="AV46" s="2947"/>
      <c r="AW46" s="2923">
        <f>IF($B$2=0,"",IF(CA47="",0,IF(AZ46="",CB47,AZ46)))</f>
        <v>0</v>
      </c>
      <c r="AX46" s="2924"/>
      <c r="AY46" s="538" t="s">
        <v>106</v>
      </c>
      <c r="AZ46" s="2999"/>
      <c r="BA46" s="3000"/>
      <c r="BB46" s="2951" t="str">
        <f>IF(OR($J$14&lt;&gt;"A",CA47=""),"",IF(BE46&lt;&gt;"",BE46,CB47))</f>
        <v/>
      </c>
      <c r="BC46" s="2952"/>
      <c r="BD46" s="537" t="s">
        <v>106</v>
      </c>
      <c r="BE46" s="2938"/>
      <c r="BF46" s="2938"/>
      <c r="BG46" s="2951">
        <f>IF(C46="","",IF(OR($J$14&lt;&gt;"A",CA48=""),"",IF(BJ46&lt;&gt;"",BE46,CB48)))</f>
        <v>152</v>
      </c>
      <c r="BH46" s="2952"/>
      <c r="BI46" s="537" t="s">
        <v>106</v>
      </c>
      <c r="BJ46" s="2938"/>
      <c r="BK46" s="2938"/>
      <c r="BL46" s="2951" t="str">
        <f>IF(OR($J$14&lt;&gt;"A",CA49=""),"",IF(BO46&lt;&gt;"",BO46,CB49))</f>
        <v/>
      </c>
      <c r="BM46" s="2952"/>
      <c r="BN46" s="537" t="s">
        <v>106</v>
      </c>
      <c r="BO46" s="2964"/>
      <c r="BP46" s="2965"/>
      <c r="BQ46" s="2939" t="str">
        <f>IF(BQ44="設置","Ｅt","")</f>
        <v/>
      </c>
      <c r="BR46" s="2845"/>
      <c r="BS46" s="2845"/>
      <c r="BT46" s="2940"/>
      <c r="BU46" s="19"/>
      <c r="BW46" s="89" t="str">
        <f>AP43</f>
        <v>Ⓖ</v>
      </c>
      <c r="BX46" s="263">
        <f>IF(C46="","",IF(BW46="Ⓐ",BX44+BY44+3,IF(BW46="Ⓑ",BX44*5/8+BY44+3,IF(BW46="Ⓒ",BX44/2+BY44+3,IF(BW46="Ⓓ",BX44+BY44*5/8+3,IF(BW46="Ⓔ",(BX44+BY44)*5/8+3,IF(BW46="Ⓕ",BX44/2+BY44*5/8+3,IF(BW46="Ⓖ",BX44+BY44/2+3,IF(BW46="Ⓗ",BX44*5/8+BY44/2+3,IF(BW46="Ⓘ",(BX44+BY44)/2+3))))))))))</f>
        <v>48.9</v>
      </c>
      <c r="BY46" s="86">
        <f>IF(C46="",0,IF(BY45="=",BZ43,IF(BY45="-",CA43,CB43)))</f>
        <v>748</v>
      </c>
      <c r="BZ46" s="156"/>
      <c r="CA46" s="536" t="str">
        <f>IF(CA44&lt;=30,"25",IF(CA44&lt;=50,"31",IF(CA44&lt;=100,"39",IF(CA44&lt;=200,"51",""))))</f>
        <v>51</v>
      </c>
      <c r="CB46" s="535" t="str">
        <f>IF(CA44&lt;=30,"22",IF(CA44&lt;=50,"28",IF(CA44&lt;=100,"36",IF(CA44&lt;=200,"42",""))))</f>
        <v>42</v>
      </c>
      <c r="CC46" s="122"/>
      <c r="CD46" s="534"/>
      <c r="CE46" s="156" t="s">
        <v>738</v>
      </c>
      <c r="CF46" s="533"/>
      <c r="CG46" s="189">
        <f>IF($B$2="","",IF($AQ$8=0,0,0.02*($AQ$8/1000-0.15-0.1)*(INT(1000*BX44/$AQ$9)+1)*(INT(1000*BY44/$AQ$9)+1)*4*(AR46+AW46)))</f>
        <v>196.99199999999996</v>
      </c>
      <c r="CH46" s="532"/>
      <c r="CI46" s="531"/>
      <c r="CJ46" s="15"/>
      <c r="CK46" s="528">
        <f>IF(E48="不","",SUM(CH44+CJ44)*MAX(P46:W46)/L46)</f>
        <v>0</v>
      </c>
      <c r="CL46" s="528">
        <f>IF(E48="不","",CJ47)</f>
        <v>0</v>
      </c>
      <c r="CM46" s="527" t="s">
        <v>7</v>
      </c>
      <c r="CN46" s="15"/>
      <c r="CO46" s="252" t="str">
        <f>IF(CP46="","","導入線 1.2mmφ")</f>
        <v>導入線 1.2mmφ</v>
      </c>
      <c r="CP46" s="184">
        <f>1.1*INT(SUM(CP47:CP49))</f>
        <v>1845.8000000000002</v>
      </c>
      <c r="CR46" s="519" t="str">
        <f>IF(CS46="","",IF($J$14="A","PHS電話機"))</f>
        <v/>
      </c>
      <c r="CS46" s="189" t="str">
        <f>IF(CS45="","",INT(CS45*1.5))</f>
        <v/>
      </c>
      <c r="CU46" s="8"/>
      <c r="CV46" s="197">
        <f t="shared" si="3"/>
        <v>6</v>
      </c>
      <c r="CW46" s="197" t="str">
        <f t="shared" si="4"/>
        <v/>
      </c>
      <c r="CX46" s="10" t="str">
        <f>CO45</f>
        <v>TIVF 0.8-2C</v>
      </c>
      <c r="CY46" s="8"/>
      <c r="CZ46" s="249" t="str">
        <f>IF(COUNTIF($CZ$10:$CZ45,CX46)&gt;0,"",CX46)</f>
        <v/>
      </c>
      <c r="DA46" s="515">
        <f>CP45</f>
        <v>0</v>
      </c>
      <c r="DB46" s="514">
        <f>SUMIF($CX$20:$CX$182,CZ46,$DA$20:$DA$182)</f>
        <v>0</v>
      </c>
      <c r="DC46" s="8"/>
      <c r="DD46" s="8"/>
      <c r="DE46" s="197">
        <f t="shared" si="17"/>
        <v>13</v>
      </c>
      <c r="DF46" s="197" t="str">
        <f t="shared" si="18"/>
        <v/>
      </c>
      <c r="DG46" s="207" t="str">
        <f>CO49</f>
        <v>フロアダクト FC-6</v>
      </c>
      <c r="DH46" s="8"/>
      <c r="DI46" s="249" t="str">
        <f>IF(COUNTIF(DG$18:$DG45,DG46)&gt;0,"",DG46)</f>
        <v/>
      </c>
      <c r="DJ46" s="515">
        <f>CP49</f>
        <v>0</v>
      </c>
      <c r="DK46" s="514">
        <f t="shared" si="19"/>
        <v>0</v>
      </c>
      <c r="DL46" s="8"/>
      <c r="DM46" s="8"/>
      <c r="DN46" s="197">
        <f>IF(DR46&lt;&gt;"",DN45+1,DN45)</f>
        <v>4</v>
      </c>
      <c r="DO46" s="197" t="str">
        <f t="shared" si="20"/>
        <v/>
      </c>
      <c r="DP46" s="10" t="str">
        <f>CR45</f>
        <v/>
      </c>
      <c r="DQ46" s="8"/>
      <c r="DR46" s="249" t="str">
        <f>IF(COUNTIF(DP$18:$DP45,DP46)&gt;0,"",DP46)</f>
        <v/>
      </c>
      <c r="DS46" s="198" t="str">
        <f>CS45</f>
        <v/>
      </c>
      <c r="DT46" s="514">
        <f t="shared" si="21"/>
        <v>0</v>
      </c>
    </row>
    <row r="47" spans="1:124" ht="10.5" customHeight="1" thickBot="1">
      <c r="B47" s="23"/>
      <c r="C47" s="3048" t="s">
        <v>737</v>
      </c>
      <c r="D47" s="3049"/>
      <c r="E47" s="3049"/>
      <c r="F47" s="3049"/>
      <c r="G47" s="3049"/>
      <c r="H47" s="3049"/>
      <c r="I47" s="3049"/>
      <c r="J47" s="3050" t="s">
        <v>736</v>
      </c>
      <c r="K47" s="3051"/>
      <c r="L47" s="3051"/>
      <c r="M47" s="3051"/>
      <c r="N47" s="3052" t="s">
        <v>735</v>
      </c>
      <c r="O47" s="2891"/>
      <c r="P47" s="2892"/>
      <c r="Q47" s="3057" t="str">
        <f>IF(OR($B$2=0,$J$14="C"),"",IF(Z47="",BZ45,Z47))</f>
        <v>FCPEV 0.65-200Pr</v>
      </c>
      <c r="R47" s="3057"/>
      <c r="S47" s="3057"/>
      <c r="T47" s="3057"/>
      <c r="U47" s="3057"/>
      <c r="V47" s="3057"/>
      <c r="W47" s="3057"/>
      <c r="X47" s="3057"/>
      <c r="Y47" s="524" t="s">
        <v>106</v>
      </c>
      <c r="Z47" s="2902"/>
      <c r="AA47" s="2903"/>
      <c r="AB47" s="2903"/>
      <c r="AC47" s="2903"/>
      <c r="AD47" s="2903"/>
      <c r="AE47" s="2903"/>
      <c r="AF47" s="2903"/>
      <c r="AG47" s="2904"/>
      <c r="AH47" s="2877" t="s">
        <v>734</v>
      </c>
      <c r="AI47" s="2878"/>
      <c r="AJ47" s="2879"/>
      <c r="AK47" s="3058">
        <f>IF($B$2=0,"",IF(AP47&lt;&gt;"",AP47,IF($J$14="C","",SUM(CF44:CF45)*CC44)))</f>
        <v>24</v>
      </c>
      <c r="AL47" s="3058"/>
      <c r="AM47" s="3058"/>
      <c r="AN47" s="3058"/>
      <c r="AO47" s="524" t="s">
        <v>106</v>
      </c>
      <c r="AP47" s="2911"/>
      <c r="AQ47" s="2912"/>
      <c r="AR47" s="2912"/>
      <c r="AS47" s="2913"/>
      <c r="AT47" s="2890" t="s">
        <v>733</v>
      </c>
      <c r="AU47" s="2891"/>
      <c r="AV47" s="2892"/>
      <c r="AW47" s="2899" t="str">
        <f>IF($B$2=0,"",IF(BE47&lt;&gt;"",BE47,IF(BB43=2,"PF-"&amp;CB46&amp;"mm",IF(OR(BB43=3,BB43=6),"C-"&amp;CA46&amp;"mm",IF(OR(BB43=4,BB43=7),"G-"&amp;CB46&amp;"mm",IF(OR(BB43=1,BB43=5),"CD-"&amp;CB46&amp;"mm",""))))))</f>
        <v>CD-42mm</v>
      </c>
      <c r="AX47" s="2900"/>
      <c r="AY47" s="2900"/>
      <c r="AZ47" s="2900"/>
      <c r="BA47" s="2900"/>
      <c r="BB47" s="2900"/>
      <c r="BC47" s="2901"/>
      <c r="BD47" s="524" t="s">
        <v>106</v>
      </c>
      <c r="BE47" s="2902"/>
      <c r="BF47" s="2903"/>
      <c r="BG47" s="2903"/>
      <c r="BH47" s="2903"/>
      <c r="BI47" s="2903"/>
      <c r="BJ47" s="2904"/>
      <c r="BK47" s="2877" t="s">
        <v>732</v>
      </c>
      <c r="BL47" s="2878"/>
      <c r="BM47" s="2879"/>
      <c r="BN47" s="2914">
        <f>IF($B$2=0,"",IF(BR47="",CF48*CC44,BR47))</f>
        <v>16</v>
      </c>
      <c r="BO47" s="2915"/>
      <c r="BP47" s="2916"/>
      <c r="BQ47" s="524" t="s">
        <v>106</v>
      </c>
      <c r="BR47" s="3202"/>
      <c r="BS47" s="3203"/>
      <c r="BT47" s="3204"/>
      <c r="BU47" s="19"/>
      <c r="BX47" s="530"/>
      <c r="BY47" s="46"/>
      <c r="BZ47" s="106" t="s">
        <v>731</v>
      </c>
      <c r="CA47" s="529" t="str">
        <f>IF(P46="","",IF(OR(I43="(1) ロ",I43="( 4 )",I43="(5) イ",I43="(6) イ",I43="(6) ロ",I43="(6) ハ",I43="( 7 )",I43="( 8 )",I43="( 15)"),"1",""))</f>
        <v/>
      </c>
      <c r="CB47" s="151">
        <f>IF(P46="",0,INT(P46/20))</f>
        <v>114</v>
      </c>
      <c r="CC47" s="122">
        <f>IF(CA47="",0,CB47)</f>
        <v>0</v>
      </c>
      <c r="CD47" s="6"/>
      <c r="CE47" s="156" t="s">
        <v>730</v>
      </c>
      <c r="CF47" s="189"/>
      <c r="CG47" s="189">
        <f>BX46*(1+INT(AR46/10))+CG49</f>
        <v>782.4</v>
      </c>
      <c r="CH47" s="189">
        <f>IF(AW46="",0,BX46*(1+INT(AW46/10)))</f>
        <v>48.9</v>
      </c>
      <c r="CI47" s="82" t="s">
        <v>729</v>
      </c>
      <c r="CJ47" s="98">
        <f>7.32*(AW46-2*SQRT(AW46))</f>
        <v>0</v>
      </c>
      <c r="CK47" s="528">
        <f>IF(E49="不","",SUM(CH44+CJ44)*T46/L46)</f>
        <v>0</v>
      </c>
      <c r="CL47" s="528">
        <f>CJ47</f>
        <v>0</v>
      </c>
      <c r="CM47" s="527" t="s">
        <v>8</v>
      </c>
      <c r="CN47" s="69"/>
      <c r="CO47" s="252" t="str">
        <f>AW47</f>
        <v>CD-42mm</v>
      </c>
      <c r="CP47" s="520">
        <f>BN47</f>
        <v>16</v>
      </c>
      <c r="CR47" s="519" t="str">
        <f>IF(CS47=0,"","C-OBox4角中深")</f>
        <v>C-OBox4角中深</v>
      </c>
      <c r="CS47" s="189">
        <f>IF($J$14="A",SUM(CS44:CS45),AR46)</f>
        <v>152</v>
      </c>
      <c r="CU47" s="8"/>
      <c r="CV47" s="197">
        <f t="shared" si="3"/>
        <v>6</v>
      </c>
      <c r="CW47" s="197" t="str">
        <f t="shared" si="4"/>
        <v/>
      </c>
      <c r="CX47" s="207" t="str">
        <f>IF(BQ46="","","IV-14sq")</f>
        <v/>
      </c>
      <c r="CY47" s="8"/>
      <c r="CZ47" s="249" t="str">
        <f>IF(COUNTIF($CZ$10:$CZ46,CX47)&gt;0,"",CX47)</f>
        <v/>
      </c>
      <c r="DA47" s="515" t="str">
        <f>IF(BQ46="","",BX46+BY44+15)</f>
        <v/>
      </c>
      <c r="DB47" s="514">
        <f>SUMIF($CX$20:$CX$182,CZ47,$DA$20:$DA$182)</f>
        <v>0</v>
      </c>
      <c r="DD47" s="8"/>
      <c r="DE47" s="197">
        <f>IF(DJ47&lt;&gt;"",DE46+1,DE46)</f>
        <v>13</v>
      </c>
      <c r="DF47" s="197" t="str">
        <f>IF(AND(DE47&lt;&gt;"",DJ47&lt;&gt;""),DE47,"")</f>
        <v/>
      </c>
      <c r="DG47" s="207"/>
      <c r="DH47" s="8"/>
      <c r="DI47" s="249"/>
      <c r="DJ47" s="515"/>
      <c r="DK47" s="514">
        <f t="shared" si="19"/>
        <v>0</v>
      </c>
      <c r="DM47" s="8"/>
      <c r="DN47" s="197">
        <f>IF(DR47&lt;&gt;"",DN46+1,DN46)</f>
        <v>4</v>
      </c>
      <c r="DO47" s="197" t="str">
        <f t="shared" si="20"/>
        <v/>
      </c>
      <c r="DP47" s="10" t="str">
        <f>CR46</f>
        <v/>
      </c>
      <c r="DQ47" s="8"/>
      <c r="DR47" s="249" t="str">
        <f>IF(COUNTIF(DP$18:$DP46,DP47)&gt;0,"",DP47)</f>
        <v/>
      </c>
      <c r="DS47" s="198" t="str">
        <f>CS46</f>
        <v/>
      </c>
      <c r="DT47" s="514">
        <f t="shared" si="21"/>
        <v>0</v>
      </c>
    </row>
    <row r="48" spans="1:124" ht="10.5" customHeight="1">
      <c r="B48" s="23"/>
      <c r="C48" s="3205" t="s">
        <v>728</v>
      </c>
      <c r="D48" s="3205"/>
      <c r="E48" s="3016" t="str">
        <f>IF($D$9="不要","不",IF(H48="","要",H48))</f>
        <v>要</v>
      </c>
      <c r="F48" s="3016"/>
      <c r="G48" s="523" t="s">
        <v>724</v>
      </c>
      <c r="H48" s="3017"/>
      <c r="I48" s="3018"/>
      <c r="J48" s="3019" t="s">
        <v>727</v>
      </c>
      <c r="K48" s="3020"/>
      <c r="L48" s="3020"/>
      <c r="M48" s="3021"/>
      <c r="N48" s="3053"/>
      <c r="O48" s="2894"/>
      <c r="P48" s="2895"/>
      <c r="Q48" s="3025" t="str">
        <f>IF(OR($B$2=0,$J$14="C"),"",IF(Z48&lt;&gt;"",Z48,"電子釦 0.4- 4Pr"))</f>
        <v>電子釦 0.4- 4Pr</v>
      </c>
      <c r="R48" s="2933"/>
      <c r="S48" s="2933"/>
      <c r="T48" s="2933"/>
      <c r="U48" s="2933"/>
      <c r="V48" s="2933"/>
      <c r="W48" s="2933"/>
      <c r="X48" s="2934"/>
      <c r="Y48" s="526" t="s">
        <v>724</v>
      </c>
      <c r="Z48" s="3026"/>
      <c r="AA48" s="3027"/>
      <c r="AB48" s="3027"/>
      <c r="AC48" s="3027"/>
      <c r="AD48" s="3027"/>
      <c r="AE48" s="3027"/>
      <c r="AF48" s="3027"/>
      <c r="AG48" s="3028"/>
      <c r="AH48" s="2880" t="s">
        <v>725</v>
      </c>
      <c r="AI48" s="2881"/>
      <c r="AJ48" s="2882"/>
      <c r="AK48" s="2995">
        <f>IF($B$2=0,"",IF(AP48&lt;&gt;"",AP48,IF($J$14="C","",SUM(CK44:CK45))))</f>
        <v>2275.3919999999998</v>
      </c>
      <c r="AL48" s="2995"/>
      <c r="AM48" s="2995"/>
      <c r="AN48" s="2995"/>
      <c r="AO48" s="526" t="s">
        <v>724</v>
      </c>
      <c r="AP48" s="2996"/>
      <c r="AQ48" s="2997"/>
      <c r="AR48" s="2997"/>
      <c r="AS48" s="2998"/>
      <c r="AT48" s="2893"/>
      <c r="AU48" s="2894"/>
      <c r="AV48" s="2895"/>
      <c r="AW48" s="2933" t="str">
        <f>IF($B$2=0,"",IF(BE48&lt;&gt;"",BE48,IF(BB43=2,"PF-22mm",IF(OR(BB43=3,BB43=6),"C-25mm",IF(OR(BB43=4,BB43=7),"G-22mm",IF(OR(BB43=1,BB43=5),"CD-22mm",""))))))</f>
        <v>CD-22mm</v>
      </c>
      <c r="AX48" s="2933"/>
      <c r="AY48" s="2933"/>
      <c r="AZ48" s="2933"/>
      <c r="BA48" s="2933"/>
      <c r="BB48" s="2933"/>
      <c r="BC48" s="2934"/>
      <c r="BD48" s="526" t="s">
        <v>724</v>
      </c>
      <c r="BE48" s="2935"/>
      <c r="BF48" s="2936"/>
      <c r="BG48" s="2936"/>
      <c r="BH48" s="2936"/>
      <c r="BI48" s="2936"/>
      <c r="BJ48" s="2937"/>
      <c r="BK48" s="2880" t="s">
        <v>725</v>
      </c>
      <c r="BL48" s="2881"/>
      <c r="BM48" s="2882"/>
      <c r="BN48" s="2948">
        <f>IF($B$2=0,"",IF(BR48="",SUM(CL44:CL45),BR48))</f>
        <v>1662.6</v>
      </c>
      <c r="BO48" s="2949"/>
      <c r="BP48" s="2950"/>
      <c r="BQ48" s="525" t="s">
        <v>724</v>
      </c>
      <c r="BR48" s="3029"/>
      <c r="BS48" s="3030"/>
      <c r="BT48" s="3031"/>
      <c r="BU48" s="19"/>
      <c r="BX48" s="49">
        <f>1+INT(L46/600)</f>
        <v>7</v>
      </c>
      <c r="BY48" s="46"/>
      <c r="BZ48" s="106" t="s">
        <v>723</v>
      </c>
      <c r="CA48" s="522" t="str">
        <f>"1"</f>
        <v>1</v>
      </c>
      <c r="CB48" s="151">
        <f>IF(CA47="",INT(T46/40)+CB47,INT(T46/40))</f>
        <v>152</v>
      </c>
      <c r="CC48" s="122">
        <f>IF(CB48="",0,CB48)</f>
        <v>152</v>
      </c>
      <c r="CD48" s="6"/>
      <c r="CE48" s="156" t="s">
        <v>722</v>
      </c>
      <c r="CF48" s="189">
        <f>F46</f>
        <v>4</v>
      </c>
      <c r="CG48" s="189">
        <f>IF(BB43&lt;=4,(2*F46-(R32+R34)/1000)*AR46,((R33+R34)/1000)*AR46)</f>
        <v>0</v>
      </c>
      <c r="CH48" s="189">
        <f>2*(R34/1000)*AR46</f>
        <v>0</v>
      </c>
      <c r="CI48" s="82" t="s">
        <v>721</v>
      </c>
      <c r="CJ48" s="86">
        <f>AW46</f>
        <v>0</v>
      </c>
      <c r="CK48" s="38"/>
      <c r="CL48" s="38"/>
      <c r="CM48" s="38"/>
      <c r="CN48" s="38"/>
      <c r="CO48" s="252" t="str">
        <f>AW48</f>
        <v>CD-22mm</v>
      </c>
      <c r="CP48" s="520">
        <f>BN48</f>
        <v>1662.6</v>
      </c>
      <c r="CR48" s="519" t="str">
        <f>IF(CS48="","",IF(LEFT(AW49,1)="フ","ジャンクションボックス 2Duct","C-OBox4角大深"))</f>
        <v/>
      </c>
      <c r="CS48" s="189" t="str">
        <f>IF(AW46=0,"",AW46)</f>
        <v/>
      </c>
      <c r="CU48" s="8"/>
      <c r="CV48" s="197">
        <f t="shared" si="3"/>
        <v>6</v>
      </c>
      <c r="CW48" s="197" t="str">
        <f t="shared" si="4"/>
        <v/>
      </c>
      <c r="CX48" s="207" t="str">
        <f>IF(BQ46="","","VE-22mm")</f>
        <v/>
      </c>
      <c r="CY48" s="8"/>
      <c r="CZ48" s="249" t="str">
        <f>IF(COUNTIF($CZ$10:$CZ47,CX48)&gt;0,"",CX48)</f>
        <v/>
      </c>
      <c r="DA48" s="515" t="str">
        <f>IF(BQ46="","",DA47-10)</f>
        <v/>
      </c>
      <c r="DB48" s="514">
        <f>SUMIF($CX$20:$CX$182,CZ48,$DA$20:$DA$182)</f>
        <v>0</v>
      </c>
      <c r="DD48" s="8"/>
      <c r="DE48" s="197">
        <f t="shared" ref="DE48:DE54" si="22">IF(DI48&lt;&gt;"",DE47+1,DE47)</f>
        <v>13</v>
      </c>
      <c r="DF48" s="197" t="str">
        <f t="shared" ref="DF48:DF54" si="23">IF(AND(DE48&lt;&gt;"",DI48&lt;&gt;""),DE48,"")</f>
        <v/>
      </c>
      <c r="DG48" s="207" t="str">
        <f>CR47</f>
        <v>C-OBox4角中深</v>
      </c>
      <c r="DH48" s="8"/>
      <c r="DI48" s="249" t="str">
        <f>IF(COUNTIF(DG$18:$DG47,DG48)&gt;0,"",DG48)</f>
        <v/>
      </c>
      <c r="DJ48" s="515">
        <f>CS47</f>
        <v>152</v>
      </c>
      <c r="DK48" s="514">
        <f t="shared" si="19"/>
        <v>0</v>
      </c>
      <c r="DM48" s="8"/>
      <c r="DN48" s="197">
        <f>IF(DS48&lt;&gt;"",DN47+1,DN47)</f>
        <v>4</v>
      </c>
      <c r="DO48" s="197" t="str">
        <f t="shared" si="20"/>
        <v/>
      </c>
      <c r="DP48" s="10" t="str">
        <f>IF(BQ44="","","電話交換機")</f>
        <v/>
      </c>
      <c r="DQ48" s="8"/>
      <c r="DR48" s="249" t="str">
        <f>IF(COUNTIF(DP$18:$DP47,DP48)&gt;0,"",DP48)</f>
        <v/>
      </c>
      <c r="DS48" s="198" t="str">
        <f>IF(DP48&lt;&gt;"",1,"")</f>
        <v/>
      </c>
      <c r="DT48" s="514">
        <f t="shared" si="21"/>
        <v>0</v>
      </c>
    </row>
    <row r="49" spans="1:124" ht="10.5" customHeight="1">
      <c r="B49" s="23"/>
      <c r="C49" s="2959" t="s">
        <v>720</v>
      </c>
      <c r="D49" s="2959"/>
      <c r="E49" s="3016" t="str">
        <f>IF($D$9="不要","不",IF(H49="","要",H49))</f>
        <v>要</v>
      </c>
      <c r="F49" s="3016"/>
      <c r="G49" s="525" t="s">
        <v>103</v>
      </c>
      <c r="H49" s="3017"/>
      <c r="I49" s="3018"/>
      <c r="J49" s="3022"/>
      <c r="K49" s="3023"/>
      <c r="L49" s="3023"/>
      <c r="M49" s="3024"/>
      <c r="N49" s="3054"/>
      <c r="O49" s="3055"/>
      <c r="P49" s="3056"/>
      <c r="Q49" s="3201" t="str">
        <f>IF($B$2=0,"",IF(Z49&lt;&gt;"",Z49,"TIVF 0.8-2C"))</f>
        <v>TIVF 0.8-2C</v>
      </c>
      <c r="R49" s="3201"/>
      <c r="S49" s="3201"/>
      <c r="T49" s="3201"/>
      <c r="U49" s="3201"/>
      <c r="V49" s="3201"/>
      <c r="W49" s="3201"/>
      <c r="X49" s="3201"/>
      <c r="Y49" s="524" t="s">
        <v>103</v>
      </c>
      <c r="Z49" s="2941"/>
      <c r="AA49" s="2942"/>
      <c r="AB49" s="2942"/>
      <c r="AC49" s="2942"/>
      <c r="AD49" s="2942"/>
      <c r="AE49" s="2942"/>
      <c r="AF49" s="2942"/>
      <c r="AG49" s="3199"/>
      <c r="AH49" s="2883" t="s">
        <v>235</v>
      </c>
      <c r="AI49" s="2884"/>
      <c r="AJ49" s="2885"/>
      <c r="AK49" s="2953">
        <f>IF($B$2=0,"",IF(AP49&lt;&gt;"",AP49,IF($J$14="C","",SUM(CK46:CK47))))</f>
        <v>0</v>
      </c>
      <c r="AL49" s="2954"/>
      <c r="AM49" s="2954"/>
      <c r="AN49" s="2955"/>
      <c r="AO49" s="524" t="s">
        <v>103</v>
      </c>
      <c r="AP49" s="2911"/>
      <c r="AQ49" s="2912"/>
      <c r="AR49" s="2912"/>
      <c r="AS49" s="2913"/>
      <c r="AT49" s="2896"/>
      <c r="AU49" s="2897"/>
      <c r="AV49" s="2898"/>
      <c r="AW49" s="2939" t="str">
        <f>IF($B$2=0,"",IF(BN49="","",IF(BE49="","フロアダクト FC-6",BE49)))</f>
        <v>フロアダクト FC-6</v>
      </c>
      <c r="AX49" s="2845"/>
      <c r="AY49" s="2845"/>
      <c r="AZ49" s="2845"/>
      <c r="BA49" s="2845"/>
      <c r="BB49" s="2845"/>
      <c r="BC49" s="2940"/>
      <c r="BD49" s="524" t="s">
        <v>103</v>
      </c>
      <c r="BE49" s="2941"/>
      <c r="BF49" s="2942"/>
      <c r="BG49" s="2942"/>
      <c r="BH49" s="2942"/>
      <c r="BI49" s="2942"/>
      <c r="BJ49" s="2942"/>
      <c r="BK49" s="2883" t="s">
        <v>235</v>
      </c>
      <c r="BL49" s="2884"/>
      <c r="BM49" s="2885"/>
      <c r="BN49" s="2943">
        <f>IF($B$2=0,"",IF(BR49="",MAX(CL46:CL47),BR49))</f>
        <v>0</v>
      </c>
      <c r="BO49" s="2944"/>
      <c r="BP49" s="2945"/>
      <c r="BQ49" s="523" t="s">
        <v>103</v>
      </c>
      <c r="BR49" s="3200"/>
      <c r="BS49" s="3200"/>
      <c r="BT49" s="3200"/>
      <c r="BU49" s="19"/>
      <c r="BX49" s="47"/>
      <c r="BZ49" s="106" t="s">
        <v>766</v>
      </c>
      <c r="CA49" s="522" t="str">
        <f>IF(OR(I43="( 10)",I43="(12)イ"),"1","")</f>
        <v/>
      </c>
      <c r="CB49" s="151" t="str">
        <f>IF(CA49="","",INT(P46/200))</f>
        <v/>
      </c>
      <c r="CC49" s="122">
        <f>IF(CB49="",0,CB49)</f>
        <v>0</v>
      </c>
      <c r="CE49" s="156" t="s">
        <v>716</v>
      </c>
      <c r="CF49" s="521"/>
      <c r="CG49" s="189">
        <f>IF($AQ$8=0,1.5*2*(1+INT(2*BX44/($AQ$9/1000)))*(1+INT(2*BY44/($AQ$9/1000))),0)</f>
        <v>0</v>
      </c>
      <c r="CH49" s="82"/>
      <c r="CI49" s="82" t="s">
        <v>765</v>
      </c>
      <c r="CJ49" s="107">
        <f>AR46</f>
        <v>152</v>
      </c>
      <c r="CK49" s="12"/>
      <c r="CL49" s="12"/>
      <c r="CM49" s="12"/>
      <c r="CN49" s="12"/>
      <c r="CO49" s="252" t="str">
        <f>AW49</f>
        <v>フロアダクト FC-6</v>
      </c>
      <c r="CP49" s="520">
        <f>BN49</f>
        <v>0</v>
      </c>
      <c r="CR49" s="519" t="str">
        <f>IF(CS49="","","ローテンションアウトレット")</f>
        <v/>
      </c>
      <c r="CS49" s="189" t="str">
        <f>CS43</f>
        <v/>
      </c>
      <c r="CV49" s="197">
        <f t="shared" si="3"/>
        <v>6</v>
      </c>
      <c r="CW49" s="197" t="str">
        <f t="shared" si="4"/>
        <v/>
      </c>
      <c r="CX49" s="207"/>
      <c r="CY49" s="24"/>
      <c r="DA49" s="515"/>
      <c r="DB49" s="516"/>
      <c r="DE49" s="197">
        <f t="shared" si="22"/>
        <v>13</v>
      </c>
      <c r="DF49" s="197" t="str">
        <f t="shared" si="23"/>
        <v/>
      </c>
      <c r="DG49" s="207" t="str">
        <f>CR48</f>
        <v/>
      </c>
      <c r="DH49" s="24"/>
      <c r="DI49" s="249" t="str">
        <f>IF(COUNTIF(DG$18:$DG48,DG49)&gt;0,"",DG49)</f>
        <v/>
      </c>
      <c r="DJ49" s="515" t="str">
        <f>CS48</f>
        <v/>
      </c>
      <c r="DK49" s="514">
        <f t="shared" si="19"/>
        <v>0</v>
      </c>
      <c r="DN49" s="197">
        <f>IF(DS49&lt;&gt;"",DN48+1,DN48)</f>
        <v>4</v>
      </c>
      <c r="DO49" s="197" t="str">
        <f t="shared" si="20"/>
        <v/>
      </c>
      <c r="DP49" s="10" t="str">
        <f>IF(BQ46="","","接地工事 Et")</f>
        <v/>
      </c>
      <c r="DQ49" s="24"/>
      <c r="DR49" s="249" t="str">
        <f>IF(COUNTIF(DP$18:$DP48,DP49)&gt;0,"",DP49)</f>
        <v/>
      </c>
      <c r="DS49" s="198" t="str">
        <f>IF(DP49&lt;&gt;"",1,"")</f>
        <v/>
      </c>
      <c r="DT49" s="514">
        <f t="shared" si="21"/>
        <v>0</v>
      </c>
    </row>
    <row r="50" spans="1:124" ht="7.5" customHeight="1">
      <c r="B50" s="23"/>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19"/>
      <c r="BZ50" s="114" t="str">
        <f>"="</f>
        <v>=</v>
      </c>
      <c r="CA50" s="114" t="str">
        <f>"－"</f>
        <v>－</v>
      </c>
      <c r="CB50" s="114" t="str">
        <f>"+"</f>
        <v>+</v>
      </c>
      <c r="CP50" s="555"/>
      <c r="CV50" s="197">
        <f t="shared" si="3"/>
        <v>6</v>
      </c>
      <c r="CW50" s="197" t="str">
        <f t="shared" si="4"/>
        <v/>
      </c>
      <c r="CY50" s="24"/>
      <c r="DA50" s="516"/>
      <c r="DB50" s="516"/>
      <c r="DE50" s="197">
        <f t="shared" si="22"/>
        <v>13</v>
      </c>
      <c r="DF50" s="197" t="str">
        <f t="shared" si="23"/>
        <v/>
      </c>
      <c r="DG50" s="207" t="str">
        <f>CR49</f>
        <v/>
      </c>
      <c r="DH50" s="24"/>
      <c r="DI50" s="249" t="str">
        <f>IF(COUNTIF(DG$18:$DG49,DG50)&gt;0,"",DG50)</f>
        <v/>
      </c>
      <c r="DJ50" s="515" t="str">
        <f>CS49</f>
        <v/>
      </c>
      <c r="DK50" s="514">
        <f t="shared" si="19"/>
        <v>0</v>
      </c>
      <c r="DN50" s="197">
        <f>IF(DS50&lt;&gt;"",DN49+1,DN49)</f>
        <v>4</v>
      </c>
      <c r="DO50" s="197" t="str">
        <f>IF(AND(DN50&lt;&gt;"",DR50&lt;&gt;""),DN50,"")</f>
        <v/>
      </c>
      <c r="DP50" s="201"/>
      <c r="DQ50" s="24"/>
      <c r="DR50" s="249"/>
      <c r="DS50" s="198"/>
      <c r="DT50" s="514"/>
    </row>
    <row r="51" spans="1:124" ht="11.25" customHeight="1" thickBot="1">
      <c r="A51" s="46"/>
      <c r="B51" s="23"/>
      <c r="C51" s="3032" t="s">
        <v>112</v>
      </c>
      <c r="D51" s="3032"/>
      <c r="E51" s="3032"/>
      <c r="F51" s="3032"/>
      <c r="G51" s="3032"/>
      <c r="H51" s="3032"/>
      <c r="I51" s="3033" t="str">
        <f>非誘!J40</f>
        <v>( 4 )</v>
      </c>
      <c r="J51" s="3033"/>
      <c r="K51" s="3033"/>
      <c r="L51" s="3034"/>
      <c r="M51" s="3035" t="str">
        <f>非誘!M40</f>
        <v>百貨店等</v>
      </c>
      <c r="N51" s="2961"/>
      <c r="O51" s="2961"/>
      <c r="P51" s="2961"/>
      <c r="Q51" s="2961"/>
      <c r="R51" s="2961"/>
      <c r="S51" s="2961"/>
      <c r="T51" s="2961"/>
      <c r="U51" s="2961"/>
      <c r="V51" s="2961"/>
      <c r="W51" s="3036"/>
      <c r="X51" s="3037" t="s">
        <v>232</v>
      </c>
      <c r="Y51" s="3037"/>
      <c r="Z51" s="3037"/>
      <c r="AA51" s="3037"/>
      <c r="AB51" s="3038"/>
      <c r="AC51" s="2977" t="str">
        <f>非誘!AA40</f>
        <v>B1</v>
      </c>
      <c r="AD51" s="2978"/>
      <c r="AE51" s="2917" t="s">
        <v>760</v>
      </c>
      <c r="AF51" s="2918"/>
      <c r="AG51" s="2918"/>
      <c r="AH51" s="2918"/>
      <c r="AI51" s="2919"/>
      <c r="AJ51" s="2979">
        <f>非誘!J41</f>
        <v>0.94339622641509435</v>
      </c>
      <c r="AK51" s="2980"/>
      <c r="AL51" s="2981"/>
      <c r="AM51" s="2917" t="s">
        <v>759</v>
      </c>
      <c r="AN51" s="2918"/>
      <c r="AO51" s="2919"/>
      <c r="AP51" s="2920" t="str">
        <f>IF(OR($B$2=0,AS51=""),$BO$14,AS51)</f>
        <v>Ⓖ</v>
      </c>
      <c r="AQ51" s="2920"/>
      <c r="AR51" s="554" t="s">
        <v>103</v>
      </c>
      <c r="AS51" s="2921"/>
      <c r="AT51" s="2922"/>
      <c r="AU51" s="2875" t="s">
        <v>757</v>
      </c>
      <c r="AV51" s="2875"/>
      <c r="AW51" s="2875"/>
      <c r="AX51" s="2875"/>
      <c r="AY51" s="2875"/>
      <c r="AZ51" s="2875"/>
      <c r="BA51" s="2876"/>
      <c r="BB51" s="553">
        <f>IF(BC51="天井ケーブル",1,IF(BC51="天井(PF管)",2,IF(BC51="天井(C管)",3,IF(BC51="天井(G管)",4,IF(BC51="床(CD管)",5,IF(BC51="床(C管)",6,IF(BC51="床(G管)",7,"")))))))</f>
        <v>5</v>
      </c>
      <c r="BC51" s="2961" t="str">
        <f>IF($B$2=0,"",IF(BK51&lt;&gt;"",BK51,IF(I54="直天","天井(C管)","床(CD管)")))</f>
        <v>床(CD管)</v>
      </c>
      <c r="BD51" s="2962"/>
      <c r="BE51" s="2962"/>
      <c r="BF51" s="2962"/>
      <c r="BG51" s="2962"/>
      <c r="BH51" s="2962"/>
      <c r="BI51" s="2963"/>
      <c r="BJ51" s="552" t="s">
        <v>103</v>
      </c>
      <c r="BK51" s="2905"/>
      <c r="BL51" s="2906"/>
      <c r="BM51" s="2906"/>
      <c r="BN51" s="2906"/>
      <c r="BO51" s="2906"/>
      <c r="BP51" s="2907"/>
      <c r="BQ51" s="2982" t="s">
        <v>755</v>
      </c>
      <c r="BR51" s="2983"/>
      <c r="BS51" s="2983"/>
      <c r="BT51" s="2984"/>
      <c r="BU51" s="19"/>
      <c r="BV51" s="8">
        <v>5</v>
      </c>
      <c r="BX51" s="55" t="s">
        <v>229</v>
      </c>
      <c r="BY51" s="55" t="s">
        <v>228</v>
      </c>
      <c r="BZ51" s="534">
        <f>BY46+BY62+CA52</f>
        <v>1344</v>
      </c>
      <c r="CA51" s="534">
        <f>CA52+BY46</f>
        <v>909</v>
      </c>
      <c r="CB51" s="38">
        <f>BY62+CA52</f>
        <v>596</v>
      </c>
      <c r="CC51" s="69"/>
      <c r="CD51" s="534"/>
      <c r="CE51" s="534"/>
      <c r="CF51" s="143" t="s">
        <v>754</v>
      </c>
      <c r="CG51" s="143" t="s">
        <v>753</v>
      </c>
      <c r="CH51" s="143" t="s">
        <v>753</v>
      </c>
      <c r="CI51" s="551" t="s">
        <v>752</v>
      </c>
      <c r="CJ51" s="551" t="s">
        <v>752</v>
      </c>
      <c r="CK51" s="550" t="s">
        <v>734</v>
      </c>
      <c r="CL51" s="550" t="s">
        <v>732</v>
      </c>
      <c r="CM51" s="46"/>
      <c r="CO51" s="46" t="str">
        <f>Q55</f>
        <v>FCPEV 0.65-200Pr</v>
      </c>
      <c r="CP51" s="520">
        <f>AK55</f>
        <v>18</v>
      </c>
      <c r="CR51" s="519" t="str">
        <f>IF(CS51="","",IF($J$14="A","多機能内線電話機",""))</f>
        <v>多機能内線電話機</v>
      </c>
      <c r="CS51" s="189">
        <f>BB54</f>
        <v>133</v>
      </c>
      <c r="CU51" s="88">
        <v>5</v>
      </c>
      <c r="CV51" s="204">
        <f t="shared" si="3"/>
        <v>6</v>
      </c>
      <c r="CW51" s="155" t="str">
        <f t="shared" si="4"/>
        <v/>
      </c>
      <c r="CX51" s="45"/>
      <c r="CY51" s="45"/>
      <c r="CZ51" s="45"/>
      <c r="DA51" s="45"/>
      <c r="DB51" s="45"/>
      <c r="DD51" s="88">
        <v>5</v>
      </c>
      <c r="DE51" s="204">
        <f t="shared" si="22"/>
        <v>13</v>
      </c>
      <c r="DF51" s="155" t="str">
        <f t="shared" si="23"/>
        <v/>
      </c>
      <c r="DG51" s="549" t="str">
        <f>CO46</f>
        <v>導入線 1.2mmφ</v>
      </c>
      <c r="DH51" s="45"/>
      <c r="DI51" s="153" t="str">
        <f>IF(COUNTIF(DG$9:$DG50,DG51)&gt;0,"",DG51)</f>
        <v/>
      </c>
      <c r="DJ51" s="155">
        <f>CP46</f>
        <v>1845.8000000000002</v>
      </c>
      <c r="DK51" s="548">
        <f>SUMIF($DG$11:$DG$182,DI51,$DJ$11:$DJ$182)</f>
        <v>0</v>
      </c>
      <c r="DM51" s="88">
        <v>5</v>
      </c>
      <c r="DN51" s="204">
        <f>IF(DS51&lt;&gt;"",DN50+1,DN50)</f>
        <v>4</v>
      </c>
      <c r="DO51" s="155" t="str">
        <f>IF(AND(DN51&lt;&gt;"",DR51&lt;&gt;""),DN51,"")</f>
        <v/>
      </c>
      <c r="DP51" s="45"/>
      <c r="DQ51" s="45"/>
      <c r="DR51" s="45"/>
      <c r="DS51" s="45"/>
      <c r="DT51" s="45"/>
    </row>
    <row r="52" spans="1:124" ht="11.25" customHeight="1" thickBot="1">
      <c r="B52" s="23"/>
      <c r="C52" s="3008" t="s">
        <v>4</v>
      </c>
      <c r="D52" s="3009"/>
      <c r="E52" s="3010"/>
      <c r="F52" s="3014" t="s">
        <v>22</v>
      </c>
      <c r="G52" s="2983"/>
      <c r="H52" s="3015"/>
      <c r="I52" s="2982" t="s">
        <v>132</v>
      </c>
      <c r="J52" s="2983"/>
      <c r="K52" s="3015"/>
      <c r="L52" s="2982" t="s">
        <v>6</v>
      </c>
      <c r="M52" s="2983"/>
      <c r="N52" s="2983"/>
      <c r="O52" s="2984"/>
      <c r="P52" s="3014" t="s">
        <v>7</v>
      </c>
      <c r="Q52" s="2983"/>
      <c r="R52" s="2983"/>
      <c r="S52" s="2984"/>
      <c r="T52" s="3014" t="s">
        <v>8</v>
      </c>
      <c r="U52" s="2983"/>
      <c r="V52" s="2983"/>
      <c r="W52" s="2984"/>
      <c r="X52" s="3014" t="s">
        <v>9</v>
      </c>
      <c r="Y52" s="2983"/>
      <c r="Z52" s="3015"/>
      <c r="AA52" s="2982" t="s">
        <v>9</v>
      </c>
      <c r="AB52" s="2983"/>
      <c r="AC52" s="2984"/>
      <c r="AD52" s="2974" t="s">
        <v>708</v>
      </c>
      <c r="AE52" s="2975"/>
      <c r="AF52" s="2975"/>
      <c r="AG52" s="2975"/>
      <c r="AH52" s="2975"/>
      <c r="AI52" s="2975"/>
      <c r="AJ52" s="2975"/>
      <c r="AK52" s="2975"/>
      <c r="AL52" s="2930" t="str">
        <f>IF(BX56=1,"T-"&amp;LEFT(C54,3)&amp;"-1","T-"&amp;LEFT(C54,3)&amp;"-1～"&amp;BX56)</f>
        <v>T-  3-1～7</v>
      </c>
      <c r="AM52" s="2930"/>
      <c r="AN52" s="2930"/>
      <c r="AO52" s="2930"/>
      <c r="AP52" s="2930"/>
      <c r="AQ52" s="2932"/>
      <c r="AR52" s="2925" t="s">
        <v>751</v>
      </c>
      <c r="AS52" s="2926"/>
      <c r="AT52" s="2926"/>
      <c r="AU52" s="2926"/>
      <c r="AV52" s="2926"/>
      <c r="AW52" s="2926"/>
      <c r="AX52" s="2926"/>
      <c r="AY52" s="2926"/>
      <c r="AZ52" s="2926"/>
      <c r="BA52" s="2927"/>
      <c r="BB52" s="2886" t="s">
        <v>750</v>
      </c>
      <c r="BC52" s="2887"/>
      <c r="BD52" s="2887"/>
      <c r="BE52" s="2887"/>
      <c r="BF52" s="2887"/>
      <c r="BG52" s="2887"/>
      <c r="BH52" s="2887"/>
      <c r="BI52" s="2887"/>
      <c r="BJ52" s="2888"/>
      <c r="BK52" s="2888"/>
      <c r="BL52" s="2888"/>
      <c r="BM52" s="2888"/>
      <c r="BN52" s="2888"/>
      <c r="BO52" s="2888"/>
      <c r="BP52" s="2889"/>
      <c r="BQ52" s="2939" t="str">
        <f>IF(AND($B$2=1,$J$14="A",C54=$J$15),"設置","")</f>
        <v/>
      </c>
      <c r="BR52" s="2845"/>
      <c r="BS52" s="2845"/>
      <c r="BT52" s="2940"/>
      <c r="BU52" s="19"/>
      <c r="BV52" s="15">
        <v>40</v>
      </c>
      <c r="BX52" s="98">
        <f>非誘!BW42</f>
        <v>30</v>
      </c>
      <c r="BY52" s="98">
        <f>非誘!BX42</f>
        <v>31.8</v>
      </c>
      <c r="BZ52" s="547">
        <f>IF(CA52&lt;10,10,IF(CA52&lt;15,15,IF(CA52&lt;20,20,IF(CA52&lt;25,25,IF(CA52&lt;30,30,IF(CA52&lt;50,50,IF(CA52&lt;70,70,IF(CA52&lt;100,100,IF(CA52&lt;150,150,IF(CA52&lt;20,200,200))))))))))</f>
        <v>200</v>
      </c>
      <c r="CA52" s="546">
        <f>SUM(CC55:CC57)</f>
        <v>161</v>
      </c>
      <c r="CB52" s="107" t="str">
        <f>IF(BY54&lt;10," 10",IF(BY54&lt;15," 15",IF(BY54&lt;20," 20",IF(BY54&lt;25," 25",IF(BY54&lt;30," 30",IF(BY54&lt;50," 50",IF(BY54&lt;70," 70",IF(BY54&lt;100,"100",IF(BY54&lt;150,"150",IF(BY54&lt;200,"200","200"))))))))))</f>
        <v>200</v>
      </c>
      <c r="CC52" s="545">
        <f>1+INT(BY54/200)</f>
        <v>3</v>
      </c>
      <c r="CD52" s="534"/>
      <c r="CE52" s="156" t="s">
        <v>749</v>
      </c>
      <c r="CF52" s="189">
        <f>2*INT($AG$9/1000)</f>
        <v>2</v>
      </c>
      <c r="CG52" s="189">
        <f>CG55+(1+INT($AG$9+$AG$8)/1000)*(1+INT(AR54/10))+CG54</f>
        <v>364.35599999999999</v>
      </c>
      <c r="CH52" s="98">
        <f>IF(AW54="",0,AW54*8)</f>
        <v>1064</v>
      </c>
      <c r="CI52" s="98">
        <f>AR54*8</f>
        <v>224</v>
      </c>
      <c r="CJ52" s="544">
        <f>IF(AW54="",0,AW54*8)</f>
        <v>1064</v>
      </c>
      <c r="CK52" s="223">
        <f>IF(E56="不","",(CG52+CG53+CI52+CI53)*MAX(P54:W54)/L54)</f>
        <v>416.04919999999998</v>
      </c>
      <c r="CL52" s="223">
        <f>IF(E56="不","",SUM(CG55:CH55)+SUM(CG56:CH56)*MAX(P54:W54)/L54)</f>
        <v>831.3</v>
      </c>
      <c r="CM52" s="527" t="s">
        <v>7</v>
      </c>
      <c r="CN52" s="15"/>
      <c r="CO52" s="46" t="str">
        <f>Q56</f>
        <v>電子釦 0.4- 4Pr</v>
      </c>
      <c r="CP52" s="520">
        <f>AK56</f>
        <v>594.35599999999999</v>
      </c>
      <c r="CR52" s="519" t="str">
        <f>IF(CS52="","",IF($J$14="A","内線電話機"))</f>
        <v>内線電話機</v>
      </c>
      <c r="CS52" s="189">
        <f>BG54</f>
        <v>28</v>
      </c>
      <c r="CU52" s="8"/>
      <c r="CV52" s="197">
        <f t="shared" ref="CV52:CV83" si="24">IF(CZ52&lt;&gt;"",CV51+1,CV51)</f>
        <v>6</v>
      </c>
      <c r="CW52" s="197" t="str">
        <f t="shared" ref="CW52:CW83" si="25">IF(AND(CV52&lt;&gt;"",CZ52&lt;&gt;""),CV52,"")</f>
        <v/>
      </c>
      <c r="CX52" s="543" t="str">
        <f>CO51</f>
        <v>FCPEV 0.65-200Pr</v>
      </c>
      <c r="CY52" s="8"/>
      <c r="CZ52" s="249" t="str">
        <f>IF(COUNTIF($CX$17:$CX51,CX52)&gt;0,"",CX52)</f>
        <v/>
      </c>
      <c r="DA52" s="515">
        <f>CP51</f>
        <v>18</v>
      </c>
      <c r="DB52" s="514">
        <f>SUMIF($CX$20:$CX$182,CZ52,$DA$20:$DA$182)</f>
        <v>0</v>
      </c>
      <c r="DC52" s="8"/>
      <c r="DD52" s="8"/>
      <c r="DE52" s="197">
        <f t="shared" si="22"/>
        <v>13</v>
      </c>
      <c r="DF52" s="197" t="str">
        <f t="shared" si="23"/>
        <v/>
      </c>
      <c r="DG52" s="207" t="str">
        <f>CO55</f>
        <v>CD-42mm</v>
      </c>
      <c r="DH52" s="8"/>
      <c r="DI52" s="249" t="str">
        <f>IF(COUNTIF(DG$17:$DG51,DG52)&gt;0,"",DG52)</f>
        <v/>
      </c>
      <c r="DJ52" s="515">
        <f>CP55</f>
        <v>12</v>
      </c>
      <c r="DK52" s="514">
        <f t="shared" ref="DK52:DK58" si="26">SUMIF($DG$20:$DG$182,DI52,$DJ$20:$DJ$182)</f>
        <v>0</v>
      </c>
      <c r="DL52" s="8"/>
      <c r="DM52" s="8"/>
      <c r="DN52" s="197">
        <f>IF(DR52&lt;&gt;"",DN51+1,DN51)</f>
        <v>4</v>
      </c>
      <c r="DO52" s="197">
        <f t="shared" ref="DO52:DO57" si="27">IF(AND(DN52&lt;&gt;"",DS52&lt;&gt;""),DN52,"")</f>
        <v>4</v>
      </c>
      <c r="DP52" s="10" t="str">
        <f>CR51</f>
        <v>多機能内線電話機</v>
      </c>
      <c r="DQ52" s="8"/>
      <c r="DR52" s="249" t="str">
        <f>IF(COUNTIF(DP$18:$DP51,DP52)&gt;0,"",DP52)</f>
        <v/>
      </c>
      <c r="DS52" s="198">
        <f>CS51</f>
        <v>133</v>
      </c>
      <c r="DT52" s="514">
        <f t="shared" ref="DT52:DT57" si="28">SUMIF($DP$20:$DP$182,DR52,$DS$20:$DS$182)</f>
        <v>0</v>
      </c>
    </row>
    <row r="53" spans="1:124" ht="11.25" customHeight="1" thickBot="1">
      <c r="B53" s="23"/>
      <c r="C53" s="3011"/>
      <c r="D53" s="3012"/>
      <c r="E53" s="3013"/>
      <c r="F53" s="3039" t="s">
        <v>235</v>
      </c>
      <c r="G53" s="3040"/>
      <c r="H53" s="3041"/>
      <c r="I53" s="3039" t="s">
        <v>235</v>
      </c>
      <c r="J53" s="3040"/>
      <c r="K53" s="3041"/>
      <c r="L53" s="3039" t="s">
        <v>748</v>
      </c>
      <c r="M53" s="3040"/>
      <c r="N53" s="3040"/>
      <c r="O53" s="3042"/>
      <c r="P53" s="3043" t="s">
        <v>748</v>
      </c>
      <c r="Q53" s="3040"/>
      <c r="R53" s="3040"/>
      <c r="S53" s="3042"/>
      <c r="T53" s="3043" t="s">
        <v>748</v>
      </c>
      <c r="U53" s="3040"/>
      <c r="V53" s="3040"/>
      <c r="W53" s="3044"/>
      <c r="X53" s="3045" t="s">
        <v>111</v>
      </c>
      <c r="Y53" s="3046"/>
      <c r="Z53" s="3047"/>
      <c r="AA53" s="3001" t="s">
        <v>110</v>
      </c>
      <c r="AB53" s="3002"/>
      <c r="AC53" s="3003"/>
      <c r="AD53" s="3004" t="s">
        <v>695</v>
      </c>
      <c r="AE53" s="3005"/>
      <c r="AF53" s="3005"/>
      <c r="AG53" s="3006" t="s">
        <v>699</v>
      </c>
      <c r="AH53" s="3005"/>
      <c r="AI53" s="3007"/>
      <c r="AJ53" s="2928" t="s">
        <v>747</v>
      </c>
      <c r="AK53" s="2918"/>
      <c r="AL53" s="2918"/>
      <c r="AM53" s="2928" t="s">
        <v>746</v>
      </c>
      <c r="AN53" s="2918"/>
      <c r="AO53" s="2929"/>
      <c r="AP53" s="2956" t="s">
        <v>745</v>
      </c>
      <c r="AQ53" s="2957"/>
      <c r="AR53" s="2917" t="s">
        <v>744</v>
      </c>
      <c r="AS53" s="2918"/>
      <c r="AT53" s="2958" t="s">
        <v>3</v>
      </c>
      <c r="AU53" s="2959"/>
      <c r="AV53" s="2959"/>
      <c r="AW53" s="2959" t="s">
        <v>743</v>
      </c>
      <c r="AX53" s="2960"/>
      <c r="AY53" s="2928" t="s">
        <v>3</v>
      </c>
      <c r="AZ53" s="2918"/>
      <c r="BA53" s="2919"/>
      <c r="BB53" s="542" t="str">
        <f>IF(CA55="","","●")</f>
        <v>●</v>
      </c>
      <c r="BC53" s="2930" t="s">
        <v>742</v>
      </c>
      <c r="BD53" s="2930"/>
      <c r="BE53" s="2930"/>
      <c r="BF53" s="2931"/>
      <c r="BG53" s="542" t="str">
        <f>IF(CA56="","","●")</f>
        <v>●</v>
      </c>
      <c r="BH53" s="2930" t="s">
        <v>741</v>
      </c>
      <c r="BI53" s="2930"/>
      <c r="BJ53" s="2930"/>
      <c r="BK53" s="2931"/>
      <c r="BL53" s="542" t="str">
        <f>IF(CA57="","","●")</f>
        <v/>
      </c>
      <c r="BM53" s="2930" t="s">
        <v>764</v>
      </c>
      <c r="BN53" s="2930"/>
      <c r="BO53" s="2930"/>
      <c r="BP53" s="2932"/>
      <c r="BQ53" s="2974" t="s">
        <v>740</v>
      </c>
      <c r="BR53" s="2975"/>
      <c r="BS53" s="2975"/>
      <c r="BT53" s="2976"/>
      <c r="BU53" s="19"/>
      <c r="BX53" s="97" t="str">
        <f>IF(LEFT(C54,2)=" B",-MID(C54,3,1),IF(C54="  RF","",LEFT(C54,3)))</f>
        <v xml:space="preserve">  3</v>
      </c>
      <c r="BY53" s="541" t="str">
        <f>IF(OR(C54="",C54="  RF"),"",IF(LEFT(C54,1)="P","+",IF($BW$14&gt;BX53,"-",IF($BW$14=BX53,"=","+"))))</f>
        <v>+</v>
      </c>
      <c r="BZ53" s="2985" t="str">
        <f>"FCPEV 0.65-"&amp;CB52&amp;"Pr"</f>
        <v>FCPEV 0.65-200Pr</v>
      </c>
      <c r="CA53" s="2986"/>
      <c r="CB53" s="2986"/>
      <c r="CC53" s="2986"/>
      <c r="CD53" s="62"/>
      <c r="CE53" s="156" t="s">
        <v>763</v>
      </c>
      <c r="CF53" s="540">
        <f>F54</f>
        <v>4</v>
      </c>
      <c r="CG53" s="540">
        <f>CG56+(1+INT(AR54/10))*($AG$9+$AG$8)/1000</f>
        <v>6</v>
      </c>
      <c r="CH53" s="539"/>
      <c r="CI53" s="189">
        <f>CH56</f>
        <v>0</v>
      </c>
      <c r="CJ53" s="260"/>
      <c r="CK53" s="528">
        <f>IF(E57="不","",(CG52+CG53+CI52+CI53)*T54/L54)</f>
        <v>178.30680000000001</v>
      </c>
      <c r="CL53" s="528">
        <f>IF(E57="不","",SUM(CG55:CH55)+SUM(CG56:CH56)*T54/L54)</f>
        <v>831.3</v>
      </c>
      <c r="CM53" s="527" t="s">
        <v>8</v>
      </c>
      <c r="CN53" s="15"/>
      <c r="CO53" s="46" t="str">
        <f>Q57</f>
        <v>TIVF 0.8-2C</v>
      </c>
      <c r="CP53" s="520">
        <f>AK57</f>
        <v>2128</v>
      </c>
      <c r="CR53" s="519" t="str">
        <f>IF(CS53="","",IF($J$14="A","PHSアンテナ"))</f>
        <v/>
      </c>
      <c r="CS53" s="189" t="str">
        <f>BL54</f>
        <v/>
      </c>
      <c r="CU53" s="8"/>
      <c r="CV53" s="197">
        <f t="shared" si="24"/>
        <v>6</v>
      </c>
      <c r="CW53" s="197" t="str">
        <f t="shared" si="25"/>
        <v/>
      </c>
      <c r="CX53" s="10" t="str">
        <f>CO52</f>
        <v>電子釦 0.4- 4Pr</v>
      </c>
      <c r="CY53" s="8"/>
      <c r="CZ53" s="249" t="str">
        <f>IF(COUNTIF($CZ$10:$CZ52,CX53)&gt;0,"",CX53)</f>
        <v/>
      </c>
      <c r="DA53" s="515">
        <f>CP52</f>
        <v>594.35599999999999</v>
      </c>
      <c r="DB53" s="514">
        <f>SUMIF($CX$20:$CX$182,CZ53,$DA$20:$DA$182)</f>
        <v>0</v>
      </c>
      <c r="DC53" s="8"/>
      <c r="DD53" s="8"/>
      <c r="DE53" s="197">
        <f t="shared" si="22"/>
        <v>13</v>
      </c>
      <c r="DF53" s="197" t="str">
        <f t="shared" si="23"/>
        <v/>
      </c>
      <c r="DG53" s="207" t="str">
        <f>CO56</f>
        <v>CD-22mm</v>
      </c>
      <c r="DH53" s="8"/>
      <c r="DI53" s="249" t="str">
        <f>IF(COUNTIF(DG$18:$DG52,DG53)&gt;0,"",DG53)</f>
        <v/>
      </c>
      <c r="DJ53" s="515">
        <f>CP56</f>
        <v>1662.6</v>
      </c>
      <c r="DK53" s="514">
        <f t="shared" si="26"/>
        <v>0</v>
      </c>
      <c r="DL53" s="8"/>
      <c r="DM53" s="8"/>
      <c r="DN53" s="197">
        <f>IF(DR53&lt;&gt;"",DN52+1,DN52)</f>
        <v>4</v>
      </c>
      <c r="DO53" s="197">
        <f t="shared" si="27"/>
        <v>4</v>
      </c>
      <c r="DP53" s="207" t="str">
        <f>CR52</f>
        <v>内線電話機</v>
      </c>
      <c r="DQ53" s="8"/>
      <c r="DR53" s="249" t="str">
        <f>IF(COUNTIF(DP$18:$DP52,DP53)&gt;0,"",DP53)</f>
        <v/>
      </c>
      <c r="DS53" s="198">
        <f>CS52</f>
        <v>28</v>
      </c>
      <c r="DT53" s="514">
        <f t="shared" si="28"/>
        <v>0</v>
      </c>
    </row>
    <row r="54" spans="1:124" ht="10.5" customHeight="1" thickBot="1">
      <c r="B54" s="23"/>
      <c r="C54" s="2987" t="str">
        <f>IF($B$2=0,"",非誘!C42)</f>
        <v xml:space="preserve">  3F</v>
      </c>
      <c r="D54" s="2988"/>
      <c r="E54" s="2988"/>
      <c r="F54" s="2989">
        <f>IF($B$2=0,"",非誘!F42)</f>
        <v>4</v>
      </c>
      <c r="G54" s="2989"/>
      <c r="H54" s="2989"/>
      <c r="I54" s="2989">
        <f>IF($B$2=0,"",非誘!J42)</f>
        <v>3</v>
      </c>
      <c r="J54" s="2989"/>
      <c r="K54" s="2989"/>
      <c r="L54" s="2990">
        <f>IF($B$2=0,"",非誘!N42)</f>
        <v>3816</v>
      </c>
      <c r="M54" s="2990"/>
      <c r="N54" s="2990"/>
      <c r="O54" s="2990"/>
      <c r="P54" s="2991">
        <f>IF($B$2=0,"",非誘!S42)</f>
        <v>2671.2</v>
      </c>
      <c r="Q54" s="2991"/>
      <c r="R54" s="2991"/>
      <c r="S54" s="2991"/>
      <c r="T54" s="2991">
        <f>IF($B$2=0,"",非誘!W42)</f>
        <v>1144.8000000000002</v>
      </c>
      <c r="U54" s="2992"/>
      <c r="V54" s="2992"/>
      <c r="W54" s="2992"/>
      <c r="X54" s="2993">
        <f>IF($B$2=0,"",非誘!AA42)</f>
        <v>9</v>
      </c>
      <c r="Y54" s="2993"/>
      <c r="Z54" s="2993"/>
      <c r="AA54" s="2993">
        <f>IF($B$2=0,"",非誘!AD42)</f>
        <v>29</v>
      </c>
      <c r="AB54" s="2993"/>
      <c r="AC54" s="2994"/>
      <c r="AD54" s="2966">
        <f>IF($B$2=0,"",CB52*CC52)</f>
        <v>600</v>
      </c>
      <c r="AE54" s="2967"/>
      <c r="AF54" s="2968"/>
      <c r="AG54" s="2969">
        <f>IF($B$2=0,"",放送!CB49)</f>
        <v>0</v>
      </c>
      <c r="AH54" s="2967"/>
      <c r="AI54" s="2968"/>
      <c r="AJ54" s="2970" t="str">
        <f>IF($B$2=0,"",IF(TV!Y23="設置","Space","---"))</f>
        <v>Space</v>
      </c>
      <c r="AK54" s="2971"/>
      <c r="AL54" s="2971"/>
      <c r="AM54" s="2969"/>
      <c r="AN54" s="2967"/>
      <c r="AO54" s="2968"/>
      <c r="AP54" s="2972"/>
      <c r="AQ54" s="2973"/>
      <c r="AR54" s="2923">
        <f>IF($B$2=0,"",IF(AZ54="",CB56,AZ54))</f>
        <v>28</v>
      </c>
      <c r="AS54" s="2924"/>
      <c r="AT54" s="538" t="s">
        <v>106</v>
      </c>
      <c r="AU54" s="2946"/>
      <c r="AV54" s="2947"/>
      <c r="AW54" s="2923">
        <f>IF($B$2=0,"",IF(CA55="",0,IF(AZ54="",CB55,AZ54)))</f>
        <v>133</v>
      </c>
      <c r="AX54" s="2924"/>
      <c r="AY54" s="538" t="s">
        <v>106</v>
      </c>
      <c r="AZ54" s="2999"/>
      <c r="BA54" s="3000"/>
      <c r="BB54" s="2951">
        <f>IF(OR($J$14&lt;&gt;"A",CA55=""),"",IF(BE54&lt;&gt;"",BE54,CB55))</f>
        <v>133</v>
      </c>
      <c r="BC54" s="2952"/>
      <c r="BD54" s="537" t="s">
        <v>106</v>
      </c>
      <c r="BE54" s="2938"/>
      <c r="BF54" s="2938"/>
      <c r="BG54" s="2951">
        <f>IF(C54="","",IF(OR($J$14&lt;&gt;"A",CA56=""),"",IF(BJ54&lt;&gt;"",BE54,CB56)))</f>
        <v>28</v>
      </c>
      <c r="BH54" s="2952"/>
      <c r="BI54" s="537" t="s">
        <v>106</v>
      </c>
      <c r="BJ54" s="2938"/>
      <c r="BK54" s="2938"/>
      <c r="BL54" s="2951" t="str">
        <f>IF(OR($J$14&lt;&gt;"A",CA57=""),"",IF(BO54&lt;&gt;"",BO54,CB57))</f>
        <v/>
      </c>
      <c r="BM54" s="2952"/>
      <c r="BN54" s="537" t="s">
        <v>106</v>
      </c>
      <c r="BO54" s="2964"/>
      <c r="BP54" s="2965"/>
      <c r="BQ54" s="2939" t="str">
        <f>IF(BQ52="設置","Ｅt","")</f>
        <v/>
      </c>
      <c r="BR54" s="2845"/>
      <c r="BS54" s="2845"/>
      <c r="BT54" s="2940"/>
      <c r="BU54" s="19"/>
      <c r="BW54" s="89" t="str">
        <f>AP51</f>
        <v>Ⓖ</v>
      </c>
      <c r="BX54" s="263">
        <f>IF(C54="","",IF(BW54="Ⓐ",BX52+BY52+3,IF(BW54="Ⓑ",BX52*5/8+BY52+3,IF(BW54="Ⓒ",BX52/2+BY52+3,IF(BW54="Ⓓ",BX52+BY52*5/8+3,IF(BW54="Ⓔ",(BX52+BY52)*5/8+3,IF(BW54="Ⓕ",BX52/2+BY52*5/8+3,IF(BW54="Ⓖ",BX52+BY52/2+3,IF(BW54="Ⓗ",BX52*5/8+BY52/2+3,IF(BW54="Ⓘ",(BX52+BY52)/2+3))))))))))</f>
        <v>48.9</v>
      </c>
      <c r="BY54" s="86">
        <f>IF(C54="",0,IF(BY53="=",BZ51,IF(BY53="-",CA51,CB51)))</f>
        <v>596</v>
      </c>
      <c r="BZ54" s="156"/>
      <c r="CA54" s="536" t="str">
        <f>IF(CA52&lt;=30,"25",IF(CA52&lt;=50,"31",IF(CA52&lt;=100,"39",IF(CA52&lt;=200,"51",""))))</f>
        <v>51</v>
      </c>
      <c r="CB54" s="535" t="str">
        <f>IF(CA52&lt;=30,"22",IF(CA52&lt;=50,"28",IF(CA52&lt;=100,"36",IF(CA52&lt;=200,"42",""))))</f>
        <v>42</v>
      </c>
      <c r="CC54" s="122"/>
      <c r="CD54" s="534"/>
      <c r="CE54" s="156" t="s">
        <v>738</v>
      </c>
      <c r="CF54" s="533"/>
      <c r="CG54" s="189">
        <f>IF($B$2="","",IF($AQ$8=0,0,0.02*($AQ$8/1000-0.15-0.1)*(INT(1000*BX52/$AQ$9)+1)*(INT(1000*BY52/$AQ$9)+1)*4*(AR54+AW54)))</f>
        <v>208.65599999999998</v>
      </c>
      <c r="CH54" s="532"/>
      <c r="CI54" s="531"/>
      <c r="CJ54" s="15"/>
      <c r="CK54" s="528">
        <f>IF(E56="不","",SUM(CH52+CJ52)*MAX(P54:W54)/L54)</f>
        <v>1489.6</v>
      </c>
      <c r="CL54" s="528">
        <f>IF(E56="不","",CJ55)</f>
        <v>804.72328361401958</v>
      </c>
      <c r="CM54" s="527" t="s">
        <v>7</v>
      </c>
      <c r="CN54" s="15"/>
      <c r="CO54" s="252" t="str">
        <f>IF(CP54="","","導入線 1.2mmφ")</f>
        <v>導入線 1.2mmφ</v>
      </c>
      <c r="CP54" s="184">
        <f>1.1*INT(SUM(CP55:CP57))</f>
        <v>2726.9</v>
      </c>
      <c r="CR54" s="519" t="str">
        <f>IF(CS54="","",IF($J$14="A","PHS電話機"))</f>
        <v/>
      </c>
      <c r="CS54" s="189" t="str">
        <f>IF(CS53="","",INT(CS53*1.5))</f>
        <v/>
      </c>
      <c r="CU54" s="8"/>
      <c r="CV54" s="197">
        <f t="shared" si="24"/>
        <v>6</v>
      </c>
      <c r="CW54" s="197" t="str">
        <f t="shared" si="25"/>
        <v/>
      </c>
      <c r="CX54" s="10" t="str">
        <f>CO53</f>
        <v>TIVF 0.8-2C</v>
      </c>
      <c r="CY54" s="8"/>
      <c r="CZ54" s="249" t="str">
        <f>IF(COUNTIF($CZ$10:$CZ53,CX54)&gt;0,"",CX54)</f>
        <v/>
      </c>
      <c r="DA54" s="515">
        <f>CP53</f>
        <v>2128</v>
      </c>
      <c r="DB54" s="514">
        <f>SUMIF($CX$20:$CX$182,CZ54,$DA$20:$DA$182)</f>
        <v>0</v>
      </c>
      <c r="DC54" s="8"/>
      <c r="DD54" s="8"/>
      <c r="DE54" s="197">
        <f t="shared" si="22"/>
        <v>13</v>
      </c>
      <c r="DF54" s="197" t="str">
        <f t="shared" si="23"/>
        <v/>
      </c>
      <c r="DG54" s="207" t="str">
        <f>CO57</f>
        <v>フロアダクト FC-6</v>
      </c>
      <c r="DH54" s="8"/>
      <c r="DI54" s="249" t="str">
        <f>IF(COUNTIF(DG$18:$DG53,DG54)&gt;0,"",DG54)</f>
        <v/>
      </c>
      <c r="DJ54" s="515">
        <f>CP57</f>
        <v>804.72328361401958</v>
      </c>
      <c r="DK54" s="514">
        <f t="shared" si="26"/>
        <v>0</v>
      </c>
      <c r="DL54" s="8"/>
      <c r="DM54" s="8"/>
      <c r="DN54" s="197">
        <f>IF(DR54&lt;&gt;"",DN53+1,DN53)</f>
        <v>4</v>
      </c>
      <c r="DO54" s="197" t="str">
        <f t="shared" si="27"/>
        <v/>
      </c>
      <c r="DP54" s="10" t="str">
        <f>CR53</f>
        <v/>
      </c>
      <c r="DQ54" s="8"/>
      <c r="DR54" s="249" t="str">
        <f>IF(COUNTIF(DP$18:$DP53,DP54)&gt;0,"",DP54)</f>
        <v/>
      </c>
      <c r="DS54" s="198" t="str">
        <f>CS53</f>
        <v/>
      </c>
      <c r="DT54" s="514">
        <f t="shared" si="28"/>
        <v>0</v>
      </c>
    </row>
    <row r="55" spans="1:124" ht="10.5" customHeight="1" thickBot="1">
      <c r="B55" s="23"/>
      <c r="C55" s="3048" t="s">
        <v>737</v>
      </c>
      <c r="D55" s="3049"/>
      <c r="E55" s="3049"/>
      <c r="F55" s="3049"/>
      <c r="G55" s="3049"/>
      <c r="H55" s="3049"/>
      <c r="I55" s="3049"/>
      <c r="J55" s="3050" t="s">
        <v>736</v>
      </c>
      <c r="K55" s="3051"/>
      <c r="L55" s="3051"/>
      <c r="M55" s="3051"/>
      <c r="N55" s="3052" t="s">
        <v>735</v>
      </c>
      <c r="O55" s="2891"/>
      <c r="P55" s="2892"/>
      <c r="Q55" s="3057" t="str">
        <f>IF(OR($B$2=0,$J$14="C"),"",IF(Z55="",BZ53,Z55))</f>
        <v>FCPEV 0.65-200Pr</v>
      </c>
      <c r="R55" s="3057"/>
      <c r="S55" s="3057"/>
      <c r="T55" s="3057"/>
      <c r="U55" s="3057"/>
      <c r="V55" s="3057"/>
      <c r="W55" s="3057"/>
      <c r="X55" s="3057"/>
      <c r="Y55" s="524" t="s">
        <v>106</v>
      </c>
      <c r="Z55" s="2902"/>
      <c r="AA55" s="2903"/>
      <c r="AB55" s="2903"/>
      <c r="AC55" s="2903"/>
      <c r="AD55" s="2903"/>
      <c r="AE55" s="2903"/>
      <c r="AF55" s="2903"/>
      <c r="AG55" s="2904"/>
      <c r="AH55" s="2877" t="s">
        <v>734</v>
      </c>
      <c r="AI55" s="2878"/>
      <c r="AJ55" s="2879"/>
      <c r="AK55" s="3058">
        <f>IF($B$2=0,"",IF(AP55&lt;&gt;"",AP55,IF($J$14="C","",SUM(CF52:CF53)*CC52)))</f>
        <v>18</v>
      </c>
      <c r="AL55" s="3058"/>
      <c r="AM55" s="3058"/>
      <c r="AN55" s="3058"/>
      <c r="AO55" s="524" t="s">
        <v>106</v>
      </c>
      <c r="AP55" s="2911"/>
      <c r="AQ55" s="2912"/>
      <c r="AR55" s="2912"/>
      <c r="AS55" s="2913"/>
      <c r="AT55" s="2890" t="s">
        <v>733</v>
      </c>
      <c r="AU55" s="2891"/>
      <c r="AV55" s="2892"/>
      <c r="AW55" s="2899" t="str">
        <f>IF($B$2=0,"",IF(BE55&lt;&gt;"",BE55,IF(BB51=2,"PF-"&amp;CB54&amp;"mm",IF(OR(BB51=3,BB51=6),"C-"&amp;CA54&amp;"mm",IF(OR(BB51=4,BB51=7),"G-"&amp;CB54&amp;"mm",IF(OR(BB51=1,BB51=5),"CD-"&amp;CB54&amp;"mm",""))))))</f>
        <v>CD-42mm</v>
      </c>
      <c r="AX55" s="2900"/>
      <c r="AY55" s="2900"/>
      <c r="AZ55" s="2900"/>
      <c r="BA55" s="2900"/>
      <c r="BB55" s="2900"/>
      <c r="BC55" s="2901"/>
      <c r="BD55" s="524" t="s">
        <v>106</v>
      </c>
      <c r="BE55" s="2902"/>
      <c r="BF55" s="2903"/>
      <c r="BG55" s="2903"/>
      <c r="BH55" s="2903"/>
      <c r="BI55" s="2903"/>
      <c r="BJ55" s="2904"/>
      <c r="BK55" s="2877" t="s">
        <v>732</v>
      </c>
      <c r="BL55" s="2878"/>
      <c r="BM55" s="2879"/>
      <c r="BN55" s="2914">
        <f>IF($B$2=0,"",IF(BR55="",CF56*CC52,BR55))</f>
        <v>12</v>
      </c>
      <c r="BO55" s="2915"/>
      <c r="BP55" s="2916"/>
      <c r="BQ55" s="524" t="s">
        <v>106</v>
      </c>
      <c r="BR55" s="3202"/>
      <c r="BS55" s="3203"/>
      <c r="BT55" s="3204"/>
      <c r="BU55" s="19"/>
      <c r="BX55" s="530"/>
      <c r="BY55" s="46"/>
      <c r="BZ55" s="106" t="s">
        <v>731</v>
      </c>
      <c r="CA55" s="529" t="str">
        <f>IF(P54="","",IF(OR(I51="(1) ロ",I51="( 4 )",I51="(5) イ",I51="(6) イ",I51="(6) ロ",I51="(6) ハ",I51="( 7 )",I51="( 8 )",I51="( 15)"),"1",""))</f>
        <v>1</v>
      </c>
      <c r="CB55" s="151">
        <f>IF(P54="",0,INT(P54/20))</f>
        <v>133</v>
      </c>
      <c r="CC55" s="122">
        <f>IF(CA55="",0,CB55)</f>
        <v>133</v>
      </c>
      <c r="CD55" s="6"/>
      <c r="CE55" s="156" t="s">
        <v>730</v>
      </c>
      <c r="CF55" s="189"/>
      <c r="CG55" s="189">
        <f>BX54*(1+INT(AR54/10))+CG57</f>
        <v>146.69999999999999</v>
      </c>
      <c r="CH55" s="189">
        <f>IF(AW54="",0,BX54*(1+INT(AW54/10)))</f>
        <v>684.6</v>
      </c>
      <c r="CI55" s="82" t="s">
        <v>729</v>
      </c>
      <c r="CJ55" s="98">
        <f>7.32*(AW54-2*SQRT(AW54))</f>
        <v>804.72328361401958</v>
      </c>
      <c r="CK55" s="528">
        <f>IF(E57="不","",SUM(CH52+CJ52)*T54/L54)</f>
        <v>638.40000000000009</v>
      </c>
      <c r="CL55" s="528">
        <f>CJ55</f>
        <v>804.72328361401958</v>
      </c>
      <c r="CM55" s="527" t="s">
        <v>8</v>
      </c>
      <c r="CN55" s="69"/>
      <c r="CO55" s="252" t="str">
        <f>AW55</f>
        <v>CD-42mm</v>
      </c>
      <c r="CP55" s="520">
        <f>BN55</f>
        <v>12</v>
      </c>
      <c r="CR55" s="519" t="str">
        <f>IF(CS55=0,"","C-OBox4角中深")</f>
        <v>C-OBox4角中深</v>
      </c>
      <c r="CS55" s="189">
        <f>IF($J$14="A",SUM(CS52:CS53),AR54)</f>
        <v>28</v>
      </c>
      <c r="CU55" s="8"/>
      <c r="CV55" s="197">
        <f t="shared" si="24"/>
        <v>6</v>
      </c>
      <c r="CW55" s="197" t="str">
        <f t="shared" si="25"/>
        <v/>
      </c>
      <c r="CX55" s="207" t="str">
        <f>IF(BQ54="","","IV-14sq")</f>
        <v/>
      </c>
      <c r="CY55" s="8"/>
      <c r="CZ55" s="249" t="str">
        <f>IF(COUNTIF($CZ$10:$CZ54,CX55)&gt;0,"",CX55)</f>
        <v/>
      </c>
      <c r="DA55" s="515" t="str">
        <f>IF(BQ54="","",BX54+BY52+15)</f>
        <v/>
      </c>
      <c r="DB55" s="514">
        <f>SUMIF($CX$20:$CX$182,CZ55,$DA$20:$DA$182)</f>
        <v>0</v>
      </c>
      <c r="DD55" s="8"/>
      <c r="DE55" s="197">
        <f>IF(DJ55&lt;&gt;"",DE54+1,DE54)</f>
        <v>13</v>
      </c>
      <c r="DF55" s="197" t="str">
        <f>IF(AND(DE55&lt;&gt;"",DJ55&lt;&gt;""),DE55,"")</f>
        <v/>
      </c>
      <c r="DG55" s="207"/>
      <c r="DH55" s="8"/>
      <c r="DI55" s="249"/>
      <c r="DJ55" s="515"/>
      <c r="DK55" s="514">
        <f t="shared" si="26"/>
        <v>0</v>
      </c>
      <c r="DM55" s="8"/>
      <c r="DN55" s="197">
        <f>IF(DR55&lt;&gt;"",DN54+1,DN54)</f>
        <v>4</v>
      </c>
      <c r="DO55" s="197" t="str">
        <f t="shared" si="27"/>
        <v/>
      </c>
      <c r="DP55" s="10" t="str">
        <f>CR54</f>
        <v/>
      </c>
      <c r="DQ55" s="8"/>
      <c r="DR55" s="249" t="str">
        <f>IF(COUNTIF(DP$18:$DP54,DP55)&gt;0,"",DP55)</f>
        <v/>
      </c>
      <c r="DS55" s="198" t="str">
        <f>CS54</f>
        <v/>
      </c>
      <c r="DT55" s="514">
        <f t="shared" si="28"/>
        <v>0</v>
      </c>
    </row>
    <row r="56" spans="1:124" ht="10.5" customHeight="1">
      <c r="B56" s="23"/>
      <c r="C56" s="3205" t="s">
        <v>728</v>
      </c>
      <c r="D56" s="3205"/>
      <c r="E56" s="3016" t="str">
        <f>IF($D$9="不要","不",IF(H56="","要",H56))</f>
        <v>要</v>
      </c>
      <c r="F56" s="3016"/>
      <c r="G56" s="523" t="s">
        <v>724</v>
      </c>
      <c r="H56" s="3017"/>
      <c r="I56" s="3018"/>
      <c r="J56" s="3019" t="s">
        <v>727</v>
      </c>
      <c r="K56" s="3020"/>
      <c r="L56" s="3020"/>
      <c r="M56" s="3021"/>
      <c r="N56" s="3053"/>
      <c r="O56" s="2894"/>
      <c r="P56" s="2895"/>
      <c r="Q56" s="3025" t="str">
        <f>IF(OR($B$2=0,$J$14="C"),"",IF(Z56&lt;&gt;"",Z56,"電子釦 0.4- 4Pr"))</f>
        <v>電子釦 0.4- 4Pr</v>
      </c>
      <c r="R56" s="2933"/>
      <c r="S56" s="2933"/>
      <c r="T56" s="2933"/>
      <c r="U56" s="2933"/>
      <c r="V56" s="2933"/>
      <c r="W56" s="2933"/>
      <c r="X56" s="2934"/>
      <c r="Y56" s="526" t="s">
        <v>724</v>
      </c>
      <c r="Z56" s="3026"/>
      <c r="AA56" s="3027"/>
      <c r="AB56" s="3027"/>
      <c r="AC56" s="3027"/>
      <c r="AD56" s="3027"/>
      <c r="AE56" s="3027"/>
      <c r="AF56" s="3027"/>
      <c r="AG56" s="3028"/>
      <c r="AH56" s="2880" t="s">
        <v>725</v>
      </c>
      <c r="AI56" s="2881"/>
      <c r="AJ56" s="2882"/>
      <c r="AK56" s="2995">
        <f>IF($B$2=0,"",IF(AP56&lt;&gt;"",AP56,IF($J$14="C","",SUM(CK52:CK53))))</f>
        <v>594.35599999999999</v>
      </c>
      <c r="AL56" s="2995"/>
      <c r="AM56" s="2995"/>
      <c r="AN56" s="2995"/>
      <c r="AO56" s="526" t="s">
        <v>724</v>
      </c>
      <c r="AP56" s="2996"/>
      <c r="AQ56" s="2997"/>
      <c r="AR56" s="2997"/>
      <c r="AS56" s="2998"/>
      <c r="AT56" s="2893"/>
      <c r="AU56" s="2894"/>
      <c r="AV56" s="2895"/>
      <c r="AW56" s="2933" t="str">
        <f>IF($B$2=0,"",IF(BE56&lt;&gt;"",BE56,IF(BB51=2,"PF-22mm",IF(OR(BB51=3,BB51=6),"C-25mm",IF(OR(BB51=4,BB51=7),"G-22mm",IF(OR(BB51=1,BB51=5),"CD-22mm",""))))))</f>
        <v>CD-22mm</v>
      </c>
      <c r="AX56" s="2933"/>
      <c r="AY56" s="2933"/>
      <c r="AZ56" s="2933"/>
      <c r="BA56" s="2933"/>
      <c r="BB56" s="2933"/>
      <c r="BC56" s="2934"/>
      <c r="BD56" s="526" t="s">
        <v>724</v>
      </c>
      <c r="BE56" s="2935"/>
      <c r="BF56" s="2936"/>
      <c r="BG56" s="2936"/>
      <c r="BH56" s="2936"/>
      <c r="BI56" s="2936"/>
      <c r="BJ56" s="2937"/>
      <c r="BK56" s="2880" t="s">
        <v>725</v>
      </c>
      <c r="BL56" s="2881"/>
      <c r="BM56" s="2882"/>
      <c r="BN56" s="2948">
        <f>IF($B$2=0,"",IF(BR56="",SUM(CL52:CL53),BR56))</f>
        <v>1662.6</v>
      </c>
      <c r="BO56" s="2949"/>
      <c r="BP56" s="2950"/>
      <c r="BQ56" s="525" t="s">
        <v>724</v>
      </c>
      <c r="BR56" s="3029"/>
      <c r="BS56" s="3030"/>
      <c r="BT56" s="3031"/>
      <c r="BU56" s="19"/>
      <c r="BX56" s="49">
        <f>1+INT(L54/600)</f>
        <v>7</v>
      </c>
      <c r="BY56" s="46"/>
      <c r="BZ56" s="106" t="s">
        <v>723</v>
      </c>
      <c r="CA56" s="522" t="str">
        <f>"1"</f>
        <v>1</v>
      </c>
      <c r="CB56" s="151">
        <f>IF(CA55="",INT(T54/40)+CB55,INT(T54/40))</f>
        <v>28</v>
      </c>
      <c r="CC56" s="122">
        <f>IF(CB56="",0,CB56)</f>
        <v>28</v>
      </c>
      <c r="CD56" s="6"/>
      <c r="CE56" s="156" t="s">
        <v>722</v>
      </c>
      <c r="CF56" s="189">
        <f>F54</f>
        <v>4</v>
      </c>
      <c r="CG56" s="189">
        <f>IF(BB51&lt;=4,(2*F54-(R40+R42)/1000)*AR54,((R41+R42)/1000)*AR54)</f>
        <v>0</v>
      </c>
      <c r="CH56" s="189">
        <f>2*(R42/1000)*AR54</f>
        <v>0</v>
      </c>
      <c r="CI56" s="82" t="s">
        <v>721</v>
      </c>
      <c r="CJ56" s="86">
        <f>AW54</f>
        <v>133</v>
      </c>
      <c r="CK56" s="38"/>
      <c r="CL56" s="38"/>
      <c r="CM56" s="38"/>
      <c r="CN56" s="38"/>
      <c r="CO56" s="252" t="str">
        <f>AW56</f>
        <v>CD-22mm</v>
      </c>
      <c r="CP56" s="520">
        <f>BN56</f>
        <v>1662.6</v>
      </c>
      <c r="CR56" s="519" t="str">
        <f>IF(CS56="","",IF(LEFT(AW57,1)="フ","ジャンクションボックス 2Duct","C-OBox4角大深"))</f>
        <v>ジャンクションボックス 2Duct</v>
      </c>
      <c r="CS56" s="189">
        <f>AW54</f>
        <v>133</v>
      </c>
      <c r="CU56" s="8"/>
      <c r="CV56" s="197">
        <f t="shared" si="24"/>
        <v>6</v>
      </c>
      <c r="CW56" s="197" t="str">
        <f t="shared" si="25"/>
        <v/>
      </c>
      <c r="CX56" s="207" t="str">
        <f>IF(BQ54="","","VE-22mm")</f>
        <v/>
      </c>
      <c r="CY56" s="8"/>
      <c r="CZ56" s="249" t="str">
        <f>IF(COUNTIF($CZ$10:$CZ55,CX56)&gt;0,"",CX56)</f>
        <v/>
      </c>
      <c r="DA56" s="515" t="str">
        <f>IF(BQ54="","",DA55-10)</f>
        <v/>
      </c>
      <c r="DB56" s="514">
        <f>SUMIF($CX$20:$CX$182,CZ56,$DA$20:$DA$182)</f>
        <v>0</v>
      </c>
      <c r="DD56" s="8"/>
      <c r="DE56" s="197">
        <f t="shared" ref="DE56:DE62" si="29">IF(DI56&lt;&gt;"",DE55+1,DE55)</f>
        <v>13</v>
      </c>
      <c r="DF56" s="197" t="str">
        <f t="shared" ref="DF56:DF62" si="30">IF(AND(DE56&lt;&gt;"",DI56&lt;&gt;""),DE56,"")</f>
        <v/>
      </c>
      <c r="DG56" s="207" t="str">
        <f>CR55</f>
        <v>C-OBox4角中深</v>
      </c>
      <c r="DH56" s="8"/>
      <c r="DI56" s="249" t="str">
        <f>IF(COUNTIF(DG$18:$DG55,DG56)&gt;0,"",DG56)</f>
        <v/>
      </c>
      <c r="DJ56" s="515">
        <f>CS55</f>
        <v>28</v>
      </c>
      <c r="DK56" s="514">
        <f t="shared" si="26"/>
        <v>0</v>
      </c>
      <c r="DM56" s="8"/>
      <c r="DN56" s="197">
        <f>IF(DS56&lt;&gt;"",DN55+1,DN55)</f>
        <v>4</v>
      </c>
      <c r="DO56" s="197" t="str">
        <f t="shared" si="27"/>
        <v/>
      </c>
      <c r="DP56" s="10" t="str">
        <f>IF(BQ52="","","電話交換機")</f>
        <v/>
      </c>
      <c r="DQ56" s="8"/>
      <c r="DR56" s="249" t="str">
        <f>IF(COUNTIF(DP$18:$DP55,DP56)&gt;0,"",DP56)</f>
        <v/>
      </c>
      <c r="DS56" s="198" t="str">
        <f>IF(DP56&lt;&gt;"",1,"")</f>
        <v/>
      </c>
      <c r="DT56" s="514">
        <f t="shared" si="28"/>
        <v>0</v>
      </c>
    </row>
    <row r="57" spans="1:124" ht="10.5" customHeight="1">
      <c r="B57" s="23"/>
      <c r="C57" s="2959" t="s">
        <v>720</v>
      </c>
      <c r="D57" s="2959"/>
      <c r="E57" s="3016" t="str">
        <f>IF($D$9="不要","不",IF(H57="","要",H57))</f>
        <v>要</v>
      </c>
      <c r="F57" s="3016"/>
      <c r="G57" s="525" t="s">
        <v>103</v>
      </c>
      <c r="H57" s="3017"/>
      <c r="I57" s="3018"/>
      <c r="J57" s="3022"/>
      <c r="K57" s="3023"/>
      <c r="L57" s="3023"/>
      <c r="M57" s="3024"/>
      <c r="N57" s="3054"/>
      <c r="O57" s="3055"/>
      <c r="P57" s="3056"/>
      <c r="Q57" s="3201" t="str">
        <f>IF($B$2=0,"",IF(Z57&lt;&gt;"",Z57,"TIVF 0.8-2C"))</f>
        <v>TIVF 0.8-2C</v>
      </c>
      <c r="R57" s="3201"/>
      <c r="S57" s="3201"/>
      <c r="T57" s="3201"/>
      <c r="U57" s="3201"/>
      <c r="V57" s="3201"/>
      <c r="W57" s="3201"/>
      <c r="X57" s="3201"/>
      <c r="Y57" s="524" t="s">
        <v>103</v>
      </c>
      <c r="Z57" s="2941"/>
      <c r="AA57" s="2942"/>
      <c r="AB57" s="2942"/>
      <c r="AC57" s="2942"/>
      <c r="AD57" s="2942"/>
      <c r="AE57" s="2942"/>
      <c r="AF57" s="2942"/>
      <c r="AG57" s="3199"/>
      <c r="AH57" s="2883" t="s">
        <v>235</v>
      </c>
      <c r="AI57" s="2884"/>
      <c r="AJ57" s="2885"/>
      <c r="AK57" s="2953">
        <f>IF($B$2=0,"",IF(AP57&lt;&gt;"",AP57,IF($J$14="C","",SUM(CK54:CK55))))</f>
        <v>2128</v>
      </c>
      <c r="AL57" s="2954"/>
      <c r="AM57" s="2954"/>
      <c r="AN57" s="2955"/>
      <c r="AO57" s="524" t="s">
        <v>103</v>
      </c>
      <c r="AP57" s="2911"/>
      <c r="AQ57" s="2912"/>
      <c r="AR57" s="2912"/>
      <c r="AS57" s="2913"/>
      <c r="AT57" s="2896"/>
      <c r="AU57" s="2897"/>
      <c r="AV57" s="2898"/>
      <c r="AW57" s="2939" t="str">
        <f>IF($B$2=0,"",IF(BN57="","",IF(BE57="","フロアダクト FC-6",BE57)))</f>
        <v>フロアダクト FC-6</v>
      </c>
      <c r="AX57" s="2845"/>
      <c r="AY57" s="2845"/>
      <c r="AZ57" s="2845"/>
      <c r="BA57" s="2845"/>
      <c r="BB57" s="2845"/>
      <c r="BC57" s="2940"/>
      <c r="BD57" s="524" t="s">
        <v>103</v>
      </c>
      <c r="BE57" s="2941"/>
      <c r="BF57" s="2942"/>
      <c r="BG57" s="2942"/>
      <c r="BH57" s="2942"/>
      <c r="BI57" s="2942"/>
      <c r="BJ57" s="2942"/>
      <c r="BK57" s="2883" t="s">
        <v>235</v>
      </c>
      <c r="BL57" s="2884"/>
      <c r="BM57" s="2885"/>
      <c r="BN57" s="2943">
        <f>IF($B$2=0,"",IF(BR57="",MAX(CL54:CL55),BR57))</f>
        <v>804.72328361401958</v>
      </c>
      <c r="BO57" s="2944"/>
      <c r="BP57" s="2945"/>
      <c r="BQ57" s="523" t="s">
        <v>103</v>
      </c>
      <c r="BR57" s="3200"/>
      <c r="BS57" s="3200"/>
      <c r="BT57" s="3200"/>
      <c r="BU57" s="19"/>
      <c r="BX57" s="47"/>
      <c r="BZ57" s="106" t="s">
        <v>766</v>
      </c>
      <c r="CA57" s="522" t="str">
        <f>IF(OR(I51="( 10)",I51="(12)イ"),"1","")</f>
        <v/>
      </c>
      <c r="CB57" s="151" t="str">
        <f>IF(CA57="","",INT(P54/200))</f>
        <v/>
      </c>
      <c r="CC57" s="122">
        <f>IF(CB57="",0,CB57)</f>
        <v>0</v>
      </c>
      <c r="CE57" s="156" t="s">
        <v>716</v>
      </c>
      <c r="CF57" s="521"/>
      <c r="CG57" s="189">
        <f>IF($AQ$8=0,1.5*2*(1+INT(2*BX52/($AQ$9/1000)))*(1+INT(2*BY52/($AQ$9/1000))),0)</f>
        <v>0</v>
      </c>
      <c r="CH57" s="82"/>
      <c r="CI57" s="82" t="s">
        <v>765</v>
      </c>
      <c r="CJ57" s="107">
        <f>AR54</f>
        <v>28</v>
      </c>
      <c r="CK57" s="12"/>
      <c r="CL57" s="12"/>
      <c r="CM57" s="12"/>
      <c r="CN57" s="12"/>
      <c r="CO57" s="252" t="str">
        <f>AW57</f>
        <v>フロアダクト FC-6</v>
      </c>
      <c r="CP57" s="520">
        <f>BN57</f>
        <v>804.72328361401958</v>
      </c>
      <c r="CR57" s="519" t="str">
        <f>IF(CS57="","","ローテンションアウトレット")</f>
        <v>ローテンションアウトレット</v>
      </c>
      <c r="CS57" s="189">
        <f>CS51</f>
        <v>133</v>
      </c>
      <c r="CV57" s="197">
        <f t="shared" si="24"/>
        <v>6</v>
      </c>
      <c r="CW57" s="197" t="str">
        <f t="shared" si="25"/>
        <v/>
      </c>
      <c r="CX57" s="207"/>
      <c r="CY57" s="24"/>
      <c r="DA57" s="515"/>
      <c r="DB57" s="516"/>
      <c r="DE57" s="197">
        <f t="shared" si="29"/>
        <v>13</v>
      </c>
      <c r="DF57" s="197" t="str">
        <f t="shared" si="30"/>
        <v/>
      </c>
      <c r="DG57" s="207" t="str">
        <f>CR56</f>
        <v>ジャンクションボックス 2Duct</v>
      </c>
      <c r="DH57" s="24"/>
      <c r="DI57" s="249" t="str">
        <f>IF(COUNTIF(DG$18:$DG56,DG57)&gt;0,"",DG57)</f>
        <v/>
      </c>
      <c r="DJ57" s="515">
        <f>CS56</f>
        <v>133</v>
      </c>
      <c r="DK57" s="514">
        <f t="shared" si="26"/>
        <v>0</v>
      </c>
      <c r="DN57" s="197">
        <f>IF(DS57&lt;&gt;"",DN56+1,DN56)</f>
        <v>4</v>
      </c>
      <c r="DO57" s="197" t="str">
        <f t="shared" si="27"/>
        <v/>
      </c>
      <c r="DP57" s="10" t="str">
        <f>IF(BQ54="","","接地工事 Et")</f>
        <v/>
      </c>
      <c r="DQ57" s="24"/>
      <c r="DR57" s="249" t="str">
        <f>IF(COUNTIF(DP$18:$DP56,DP57)&gt;0,"",DP57)</f>
        <v/>
      </c>
      <c r="DS57" s="198" t="str">
        <f>IF(DP57&lt;&gt;"",1,"")</f>
        <v/>
      </c>
      <c r="DT57" s="514">
        <f t="shared" si="28"/>
        <v>0</v>
      </c>
    </row>
    <row r="58" spans="1:124" ht="7.5" customHeight="1">
      <c r="B58" s="23"/>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19"/>
      <c r="BZ58" s="114" t="str">
        <f>"="</f>
        <v>=</v>
      </c>
      <c r="CA58" s="114" t="str">
        <f>"－"</f>
        <v>－</v>
      </c>
      <c r="CB58" s="114" t="str">
        <f>"+"</f>
        <v>+</v>
      </c>
      <c r="CP58" s="555"/>
      <c r="CV58" s="197">
        <f t="shared" si="24"/>
        <v>6</v>
      </c>
      <c r="CW58" s="197" t="str">
        <f t="shared" si="25"/>
        <v/>
      </c>
      <c r="CY58" s="24"/>
      <c r="DA58" s="516"/>
      <c r="DB58" s="516"/>
      <c r="DE58" s="197">
        <f t="shared" si="29"/>
        <v>13</v>
      </c>
      <c r="DF58" s="197" t="str">
        <f t="shared" si="30"/>
        <v/>
      </c>
      <c r="DG58" s="207" t="str">
        <f>CR57</f>
        <v>ローテンションアウトレット</v>
      </c>
      <c r="DH58" s="24"/>
      <c r="DI58" s="249" t="str">
        <f>IF(COUNTIF(DG$18:$DG57,DG58)&gt;0,"",DG58)</f>
        <v/>
      </c>
      <c r="DJ58" s="515">
        <f>CS57</f>
        <v>133</v>
      </c>
      <c r="DK58" s="514">
        <f t="shared" si="26"/>
        <v>0</v>
      </c>
      <c r="DN58" s="197">
        <f>IF(DS58&lt;&gt;"",DN57+1,DN57)</f>
        <v>4</v>
      </c>
      <c r="DO58" s="197" t="str">
        <f>IF(AND(DN58&lt;&gt;"",DR58&lt;&gt;""),DN58,"")</f>
        <v/>
      </c>
      <c r="DP58" s="201"/>
      <c r="DQ58" s="24"/>
      <c r="DR58" s="249"/>
      <c r="DS58" s="198"/>
      <c r="DT58" s="514"/>
    </row>
    <row r="59" spans="1:124" ht="11.25" customHeight="1" thickBot="1">
      <c r="A59" s="46"/>
      <c r="B59" s="23"/>
      <c r="C59" s="3032" t="s">
        <v>112</v>
      </c>
      <c r="D59" s="3032"/>
      <c r="E59" s="3032"/>
      <c r="F59" s="3032"/>
      <c r="G59" s="3032"/>
      <c r="H59" s="3032"/>
      <c r="I59" s="3033" t="str">
        <f>非誘!J46</f>
        <v>( 4 )</v>
      </c>
      <c r="J59" s="3033"/>
      <c r="K59" s="3033"/>
      <c r="L59" s="3034"/>
      <c r="M59" s="3035" t="str">
        <f>非誘!M46</f>
        <v>百貨店等</v>
      </c>
      <c r="N59" s="2961"/>
      <c r="O59" s="2961"/>
      <c r="P59" s="2961"/>
      <c r="Q59" s="2961"/>
      <c r="R59" s="2961"/>
      <c r="S59" s="2961"/>
      <c r="T59" s="2961"/>
      <c r="U59" s="2961"/>
      <c r="V59" s="2961"/>
      <c r="W59" s="3036"/>
      <c r="X59" s="3037" t="s">
        <v>232</v>
      </c>
      <c r="Y59" s="3037"/>
      <c r="Z59" s="3037"/>
      <c r="AA59" s="3037"/>
      <c r="AB59" s="3038"/>
      <c r="AC59" s="2977" t="str">
        <f>非誘!AA46</f>
        <v>A</v>
      </c>
      <c r="AD59" s="2978"/>
      <c r="AE59" s="2917" t="s">
        <v>760</v>
      </c>
      <c r="AF59" s="2918"/>
      <c r="AG59" s="2918"/>
      <c r="AH59" s="2918"/>
      <c r="AI59" s="2919"/>
      <c r="AJ59" s="2979">
        <f>非誘!J47</f>
        <v>0.5</v>
      </c>
      <c r="AK59" s="2980"/>
      <c r="AL59" s="2981"/>
      <c r="AM59" s="2917" t="s">
        <v>759</v>
      </c>
      <c r="AN59" s="2918"/>
      <c r="AO59" s="2919"/>
      <c r="AP59" s="2920" t="str">
        <f>IF(OR($B$2=0,AS59=""),$BO$14,AS59)</f>
        <v>Ⓖ</v>
      </c>
      <c r="AQ59" s="2920"/>
      <c r="AR59" s="554" t="s">
        <v>103</v>
      </c>
      <c r="AS59" s="2921"/>
      <c r="AT59" s="2922"/>
      <c r="AU59" s="2875" t="s">
        <v>757</v>
      </c>
      <c r="AV59" s="2875"/>
      <c r="AW59" s="2875"/>
      <c r="AX59" s="2875"/>
      <c r="AY59" s="2875"/>
      <c r="AZ59" s="2875"/>
      <c r="BA59" s="2876"/>
      <c r="BB59" s="553">
        <f>IF(BC59="天井ケーブル",1,IF(BC59="天井(PF管)",2,IF(BC59="天井(C管)",3,IF(BC59="天井(G管)",4,IF(BC59="床(CD管)",5,IF(BC59="床(C管)",6,IF(BC59="床(G管)",7,"")))))))</f>
        <v>5</v>
      </c>
      <c r="BC59" s="2961" t="str">
        <f>IF($B$2=0,"",IF(BK59&lt;&gt;"",BK59,IF(I62="直天","天井(C管)","床(CD管)")))</f>
        <v>床(CD管)</v>
      </c>
      <c r="BD59" s="2962"/>
      <c r="BE59" s="2962"/>
      <c r="BF59" s="2962"/>
      <c r="BG59" s="2962"/>
      <c r="BH59" s="2962"/>
      <c r="BI59" s="2963"/>
      <c r="BJ59" s="552" t="s">
        <v>103</v>
      </c>
      <c r="BK59" s="2905"/>
      <c r="BL59" s="2906"/>
      <c r="BM59" s="2906"/>
      <c r="BN59" s="2906"/>
      <c r="BO59" s="2906"/>
      <c r="BP59" s="2907"/>
      <c r="BQ59" s="2982" t="s">
        <v>755</v>
      </c>
      <c r="BR59" s="2983"/>
      <c r="BS59" s="2983"/>
      <c r="BT59" s="2984"/>
      <c r="BU59" s="19"/>
      <c r="BV59" s="8">
        <v>6</v>
      </c>
      <c r="BX59" s="55" t="s">
        <v>229</v>
      </c>
      <c r="BY59" s="55" t="s">
        <v>228</v>
      </c>
      <c r="BZ59" s="534">
        <f>BY54+BY70+CA60</f>
        <v>1031</v>
      </c>
      <c r="CA59" s="534">
        <f>CA60+BY54</f>
        <v>644</v>
      </c>
      <c r="CB59" s="38">
        <f>BY70+CA60</f>
        <v>435</v>
      </c>
      <c r="CC59" s="69"/>
      <c r="CD59" s="534"/>
      <c r="CE59" s="534"/>
      <c r="CF59" s="143" t="s">
        <v>754</v>
      </c>
      <c r="CG59" s="143" t="s">
        <v>753</v>
      </c>
      <c r="CH59" s="143" t="s">
        <v>753</v>
      </c>
      <c r="CI59" s="551" t="s">
        <v>752</v>
      </c>
      <c r="CJ59" s="551" t="s">
        <v>752</v>
      </c>
      <c r="CK59" s="550" t="s">
        <v>734</v>
      </c>
      <c r="CL59" s="550" t="s">
        <v>732</v>
      </c>
      <c r="CM59" s="46"/>
      <c r="CO59" s="46" t="str">
        <f>Q63</f>
        <v>FCPEV 0.65-200Pr</v>
      </c>
      <c r="CP59" s="520">
        <f>AK63</f>
        <v>18</v>
      </c>
      <c r="CR59" s="519" t="str">
        <f>IF(CS59="","",IF($J$14="A","多機能内線電話機",""))</f>
        <v>多機能内線電話機</v>
      </c>
      <c r="CS59" s="189">
        <f>BB62</f>
        <v>40</v>
      </c>
      <c r="CU59" s="88">
        <v>6</v>
      </c>
      <c r="CV59" s="204">
        <f t="shared" si="24"/>
        <v>6</v>
      </c>
      <c r="CW59" s="155" t="str">
        <f t="shared" si="25"/>
        <v/>
      </c>
      <c r="CX59" s="45"/>
      <c r="CY59" s="45"/>
      <c r="CZ59" s="45"/>
      <c r="DA59" s="45"/>
      <c r="DB59" s="45"/>
      <c r="DD59" s="88">
        <v>6</v>
      </c>
      <c r="DE59" s="204">
        <f t="shared" si="29"/>
        <v>13</v>
      </c>
      <c r="DF59" s="155" t="str">
        <f t="shared" si="30"/>
        <v/>
      </c>
      <c r="DG59" s="549" t="str">
        <f>CO54</f>
        <v>導入線 1.2mmφ</v>
      </c>
      <c r="DH59" s="45"/>
      <c r="DI59" s="153" t="str">
        <f>IF(COUNTIF(DG$9:$DG58,DG59)&gt;0,"",DG59)</f>
        <v/>
      </c>
      <c r="DJ59" s="155">
        <f>CP54</f>
        <v>2726.9</v>
      </c>
      <c r="DK59" s="548">
        <f>SUMIF($DG$11:$DG$182,DI59,$DJ$11:$DJ$182)</f>
        <v>0</v>
      </c>
      <c r="DM59" s="88">
        <v>6</v>
      </c>
      <c r="DN59" s="204">
        <f>IF(DS59&lt;&gt;"",DN58+1,DN58)</f>
        <v>4</v>
      </c>
      <c r="DO59" s="155" t="str">
        <f>IF(AND(DN59&lt;&gt;"",DR59&lt;&gt;""),DN59,"")</f>
        <v/>
      </c>
      <c r="DP59" s="45"/>
      <c r="DQ59" s="45"/>
      <c r="DR59" s="45"/>
      <c r="DS59" s="45"/>
      <c r="DT59" s="45"/>
    </row>
    <row r="60" spans="1:124" ht="11.25" customHeight="1" thickBot="1">
      <c r="B60" s="23"/>
      <c r="C60" s="3008" t="s">
        <v>4</v>
      </c>
      <c r="D60" s="3009"/>
      <c r="E60" s="3010"/>
      <c r="F60" s="3014" t="s">
        <v>22</v>
      </c>
      <c r="G60" s="2983"/>
      <c r="H60" s="3015"/>
      <c r="I60" s="2982" t="s">
        <v>132</v>
      </c>
      <c r="J60" s="2983"/>
      <c r="K60" s="3015"/>
      <c r="L60" s="2982" t="s">
        <v>6</v>
      </c>
      <c r="M60" s="2983"/>
      <c r="N60" s="2983"/>
      <c r="O60" s="2984"/>
      <c r="P60" s="3014" t="s">
        <v>7</v>
      </c>
      <c r="Q60" s="2983"/>
      <c r="R60" s="2983"/>
      <c r="S60" s="2984"/>
      <c r="T60" s="3014" t="s">
        <v>8</v>
      </c>
      <c r="U60" s="2983"/>
      <c r="V60" s="2983"/>
      <c r="W60" s="2984"/>
      <c r="X60" s="3014" t="s">
        <v>9</v>
      </c>
      <c r="Y60" s="2983"/>
      <c r="Z60" s="3015"/>
      <c r="AA60" s="2982" t="s">
        <v>9</v>
      </c>
      <c r="AB60" s="2983"/>
      <c r="AC60" s="2984"/>
      <c r="AD60" s="2974" t="s">
        <v>708</v>
      </c>
      <c r="AE60" s="2975"/>
      <c r="AF60" s="2975"/>
      <c r="AG60" s="2975"/>
      <c r="AH60" s="2975"/>
      <c r="AI60" s="2975"/>
      <c r="AJ60" s="2975"/>
      <c r="AK60" s="2975"/>
      <c r="AL60" s="2930" t="str">
        <f>IF(BX64=1,"T-"&amp;LEFT(C62,3)&amp;"-1","T-"&amp;LEFT(C62,3)&amp;"-1～"&amp;BX64)</f>
        <v>T-  4-1～2</v>
      </c>
      <c r="AM60" s="2930"/>
      <c r="AN60" s="2930"/>
      <c r="AO60" s="2930"/>
      <c r="AP60" s="2930"/>
      <c r="AQ60" s="2932"/>
      <c r="AR60" s="2925" t="s">
        <v>751</v>
      </c>
      <c r="AS60" s="2926"/>
      <c r="AT60" s="2926"/>
      <c r="AU60" s="2926"/>
      <c r="AV60" s="2926"/>
      <c r="AW60" s="2926"/>
      <c r="AX60" s="2926"/>
      <c r="AY60" s="2926"/>
      <c r="AZ60" s="2926"/>
      <c r="BA60" s="2927"/>
      <c r="BB60" s="2886" t="s">
        <v>750</v>
      </c>
      <c r="BC60" s="2887"/>
      <c r="BD60" s="2887"/>
      <c r="BE60" s="2887"/>
      <c r="BF60" s="2887"/>
      <c r="BG60" s="2887"/>
      <c r="BH60" s="2887"/>
      <c r="BI60" s="2887"/>
      <c r="BJ60" s="2888"/>
      <c r="BK60" s="2888"/>
      <c r="BL60" s="2888"/>
      <c r="BM60" s="2888"/>
      <c r="BN60" s="2888"/>
      <c r="BO60" s="2888"/>
      <c r="BP60" s="2889"/>
      <c r="BQ60" s="2939" t="str">
        <f>IF(AND($B$2=1,$J$14="A",C62=$J$15),"設置","")</f>
        <v/>
      </c>
      <c r="BR60" s="2845"/>
      <c r="BS60" s="2845"/>
      <c r="BT60" s="2940"/>
      <c r="BU60" s="19"/>
      <c r="BV60" s="15">
        <v>46</v>
      </c>
      <c r="BX60" s="98">
        <f>非誘!BW48</f>
        <v>12</v>
      </c>
      <c r="BY60" s="98">
        <f>非誘!BX48</f>
        <v>24</v>
      </c>
      <c r="BZ60" s="547">
        <f>IF(CA60&lt;10,10,IF(CA60&lt;15,15,IF(CA60&lt;20,20,IF(CA60&lt;25,25,IF(CA60&lt;30,30,IF(CA60&lt;50,50,IF(CA60&lt;70,70,IF(CA60&lt;100,100,IF(CA60&lt;150,150,IF(CA60&lt;20,200,200))))))))))</f>
        <v>50</v>
      </c>
      <c r="CA60" s="546">
        <f>SUM(CC63:CC65)</f>
        <v>48</v>
      </c>
      <c r="CB60" s="107" t="str">
        <f>IF(BY62&lt;10," 10",IF(BY62&lt;15," 15",IF(BY62&lt;20," 20",IF(BY62&lt;25," 25",IF(BY62&lt;30," 30",IF(BY62&lt;50," 50",IF(BY62&lt;70," 70",IF(BY62&lt;100,"100",IF(BY62&lt;150,"150",IF(BY62&lt;200,"200","200"))))))))))</f>
        <v>200</v>
      </c>
      <c r="CC60" s="545">
        <f>1+INT(BY62/200)</f>
        <v>3</v>
      </c>
      <c r="CD60" s="534"/>
      <c r="CE60" s="156" t="s">
        <v>749</v>
      </c>
      <c r="CF60" s="189">
        <f>2*INT($AG$9/1000)</f>
        <v>2</v>
      </c>
      <c r="CG60" s="189">
        <f>CG63+(1+INT($AG$9+$AG$8)/1000)*(1+INT(AR62/10))+CG62</f>
        <v>55.919999999999995</v>
      </c>
      <c r="CH60" s="98">
        <f>IF(AW62="",0,AW62*8)</f>
        <v>320</v>
      </c>
      <c r="CI60" s="98">
        <f>AR62*8</f>
        <v>64</v>
      </c>
      <c r="CJ60" s="544">
        <f>IF(AW62="",0,AW62*8)</f>
        <v>320</v>
      </c>
      <c r="CK60" s="223">
        <f>IF(E64="不","",(CG60+CG61+CI60+CI61)*MAX(P62:W62)/L62)</f>
        <v>85.343999999999994</v>
      </c>
      <c r="CL60" s="223">
        <f>IF(E64="不","",SUM(CG63:CH63)+SUM(CG64:CH64)*MAX(P62:W62)/L62)</f>
        <v>162</v>
      </c>
      <c r="CM60" s="527" t="s">
        <v>7</v>
      </c>
      <c r="CN60" s="15"/>
      <c r="CO60" s="46" t="str">
        <f>Q64</f>
        <v>電子釦 0.4- 4Pr</v>
      </c>
      <c r="CP60" s="520">
        <f>AK64</f>
        <v>121.91999999999999</v>
      </c>
      <c r="CR60" s="519" t="str">
        <f>IF(CS60="","",IF($J$14="A","内線電話機"))</f>
        <v>内線電話機</v>
      </c>
      <c r="CS60" s="189">
        <f>BG62</f>
        <v>8</v>
      </c>
      <c r="CU60" s="8"/>
      <c r="CV60" s="197">
        <f t="shared" si="24"/>
        <v>6</v>
      </c>
      <c r="CW60" s="197" t="str">
        <f t="shared" si="25"/>
        <v/>
      </c>
      <c r="CX60" s="543" t="str">
        <f>CO59</f>
        <v>FCPEV 0.65-200Pr</v>
      </c>
      <c r="CY60" s="8"/>
      <c r="CZ60" s="249" t="str">
        <f>IF(COUNTIF($CX$17:$CX59,CX60)&gt;0,"",CX60)</f>
        <v/>
      </c>
      <c r="DA60" s="515">
        <f>CP59</f>
        <v>18</v>
      </c>
      <c r="DB60" s="514">
        <f>SUMIF($CX$20:$CX$182,CZ60,$DA$20:$DA$182)</f>
        <v>0</v>
      </c>
      <c r="DC60" s="8"/>
      <c r="DD60" s="8"/>
      <c r="DE60" s="197">
        <f t="shared" si="29"/>
        <v>14</v>
      </c>
      <c r="DF60" s="197">
        <f t="shared" si="30"/>
        <v>14</v>
      </c>
      <c r="DG60" s="207" t="str">
        <f>CO63</f>
        <v>CD-28mm</v>
      </c>
      <c r="DH60" s="8"/>
      <c r="DI60" s="249" t="str">
        <f>IF(COUNTIF(DG$17:$DG59,DG60)&gt;0,"",DG60)</f>
        <v>CD-28mm</v>
      </c>
      <c r="DJ60" s="515">
        <f>CP63</f>
        <v>12</v>
      </c>
      <c r="DK60" s="514">
        <f t="shared" ref="DK60:DK66" si="31">SUMIF($DG$20:$DG$182,DI60,$DJ$20:$DJ$182)</f>
        <v>60</v>
      </c>
      <c r="DL60" s="8"/>
      <c r="DM60" s="8"/>
      <c r="DN60" s="197">
        <f>IF(DR60&lt;&gt;"",DN59+1,DN59)</f>
        <v>4</v>
      </c>
      <c r="DO60" s="197">
        <f t="shared" ref="DO60:DO65" si="32">IF(AND(DN60&lt;&gt;"",DS60&lt;&gt;""),DN60,"")</f>
        <v>4</v>
      </c>
      <c r="DP60" s="10" t="str">
        <f>CR59</f>
        <v>多機能内線電話機</v>
      </c>
      <c r="DQ60" s="8"/>
      <c r="DR60" s="249" t="str">
        <f>IF(COUNTIF(DP$18:$DP59,DP60)&gt;0,"",DP60)</f>
        <v/>
      </c>
      <c r="DS60" s="198">
        <f>CS59</f>
        <v>40</v>
      </c>
      <c r="DT60" s="514">
        <f t="shared" ref="DT60:DT65" si="33">SUMIF($DP$20:$DP$182,DR60,$DS$20:$DS$182)</f>
        <v>0</v>
      </c>
    </row>
    <row r="61" spans="1:124" ht="11.25" customHeight="1" thickBot="1">
      <c r="B61" s="23"/>
      <c r="C61" s="3011"/>
      <c r="D61" s="3012"/>
      <c r="E61" s="3013"/>
      <c r="F61" s="3039" t="s">
        <v>235</v>
      </c>
      <c r="G61" s="3040"/>
      <c r="H61" s="3041"/>
      <c r="I61" s="3039" t="s">
        <v>235</v>
      </c>
      <c r="J61" s="3040"/>
      <c r="K61" s="3041"/>
      <c r="L61" s="3039" t="s">
        <v>748</v>
      </c>
      <c r="M61" s="3040"/>
      <c r="N61" s="3040"/>
      <c r="O61" s="3042"/>
      <c r="P61" s="3043" t="s">
        <v>748</v>
      </c>
      <c r="Q61" s="3040"/>
      <c r="R61" s="3040"/>
      <c r="S61" s="3042"/>
      <c r="T61" s="3043" t="s">
        <v>748</v>
      </c>
      <c r="U61" s="3040"/>
      <c r="V61" s="3040"/>
      <c r="W61" s="3044"/>
      <c r="X61" s="3045" t="s">
        <v>111</v>
      </c>
      <c r="Y61" s="3046"/>
      <c r="Z61" s="3047"/>
      <c r="AA61" s="3001" t="s">
        <v>110</v>
      </c>
      <c r="AB61" s="3002"/>
      <c r="AC61" s="3003"/>
      <c r="AD61" s="3004" t="s">
        <v>695</v>
      </c>
      <c r="AE61" s="3005"/>
      <c r="AF61" s="3005"/>
      <c r="AG61" s="3006" t="s">
        <v>699</v>
      </c>
      <c r="AH61" s="3005"/>
      <c r="AI61" s="3007"/>
      <c r="AJ61" s="2928" t="s">
        <v>747</v>
      </c>
      <c r="AK61" s="2918"/>
      <c r="AL61" s="2918"/>
      <c r="AM61" s="2928" t="s">
        <v>746</v>
      </c>
      <c r="AN61" s="2918"/>
      <c r="AO61" s="2929"/>
      <c r="AP61" s="2956" t="s">
        <v>745</v>
      </c>
      <c r="AQ61" s="2957"/>
      <c r="AR61" s="2917" t="s">
        <v>744</v>
      </c>
      <c r="AS61" s="2918"/>
      <c r="AT61" s="2958" t="s">
        <v>3</v>
      </c>
      <c r="AU61" s="2959"/>
      <c r="AV61" s="2959"/>
      <c r="AW61" s="2959" t="s">
        <v>743</v>
      </c>
      <c r="AX61" s="2960"/>
      <c r="AY61" s="2928" t="s">
        <v>3</v>
      </c>
      <c r="AZ61" s="2918"/>
      <c r="BA61" s="2919"/>
      <c r="BB61" s="542" t="str">
        <f>IF(CA63="","","●")</f>
        <v>●</v>
      </c>
      <c r="BC61" s="2930" t="s">
        <v>742</v>
      </c>
      <c r="BD61" s="2930"/>
      <c r="BE61" s="2930"/>
      <c r="BF61" s="2931"/>
      <c r="BG61" s="542" t="str">
        <f>IF(CA64="","","●")</f>
        <v>●</v>
      </c>
      <c r="BH61" s="2930" t="s">
        <v>741</v>
      </c>
      <c r="BI61" s="2930"/>
      <c r="BJ61" s="2930"/>
      <c r="BK61" s="2931"/>
      <c r="BL61" s="542" t="str">
        <f>IF(CA65="","","●")</f>
        <v/>
      </c>
      <c r="BM61" s="2930" t="s">
        <v>764</v>
      </c>
      <c r="BN61" s="2930"/>
      <c r="BO61" s="2930"/>
      <c r="BP61" s="2932"/>
      <c r="BQ61" s="2974" t="s">
        <v>740</v>
      </c>
      <c r="BR61" s="2975"/>
      <c r="BS61" s="2975"/>
      <c r="BT61" s="2976"/>
      <c r="BU61" s="19"/>
      <c r="BX61" s="97" t="str">
        <f>IF(LEFT(C62,2)=" B",-MID(C62,3,1),IF(C62="  RF","",LEFT(C62,3)))</f>
        <v xml:space="preserve">  4</v>
      </c>
      <c r="BY61" s="541" t="str">
        <f>IF(OR(C62="",C62="  RF"),"",IF(LEFT(C62,1)="P","+",IF($BW$14&gt;BX61,"-",IF($BW$14=BX61,"=","+"))))</f>
        <v>+</v>
      </c>
      <c r="BZ61" s="2985" t="str">
        <f>"FCPEV 0.65-"&amp;CB60&amp;"Pr"</f>
        <v>FCPEV 0.65-200Pr</v>
      </c>
      <c r="CA61" s="2986"/>
      <c r="CB61" s="2986"/>
      <c r="CC61" s="2986"/>
      <c r="CD61" s="62"/>
      <c r="CE61" s="156" t="s">
        <v>763</v>
      </c>
      <c r="CF61" s="540">
        <f>F62</f>
        <v>4</v>
      </c>
      <c r="CG61" s="540">
        <f>CG64+(1+INT(AR62/10))*($AG$9+$AG$8)/1000</f>
        <v>2</v>
      </c>
      <c r="CH61" s="539"/>
      <c r="CI61" s="189">
        <f>CH64</f>
        <v>0</v>
      </c>
      <c r="CJ61" s="260"/>
      <c r="CK61" s="528">
        <f>IF(E65="不","",(CG60+CG61+CI60+CI61)*T62/L62)</f>
        <v>36.575999999999993</v>
      </c>
      <c r="CL61" s="528">
        <f>IF(E65="不","",SUM(CG63:CH63)+SUM(CG64:CH64)*T62/L62)</f>
        <v>162</v>
      </c>
      <c r="CM61" s="527" t="s">
        <v>8</v>
      </c>
      <c r="CN61" s="15"/>
      <c r="CO61" s="46" t="str">
        <f>Q65</f>
        <v>TIVF 0.8-2C</v>
      </c>
      <c r="CP61" s="520">
        <f>AK65</f>
        <v>640</v>
      </c>
      <c r="CR61" s="519" t="str">
        <f>IF(CS61="","",IF($J$14="A","PHSアンテナ"))</f>
        <v/>
      </c>
      <c r="CS61" s="189" t="str">
        <f>BL62</f>
        <v/>
      </c>
      <c r="CU61" s="8"/>
      <c r="CV61" s="197">
        <f t="shared" si="24"/>
        <v>6</v>
      </c>
      <c r="CW61" s="197" t="str">
        <f t="shared" si="25"/>
        <v/>
      </c>
      <c r="CX61" s="10" t="str">
        <f>CO60</f>
        <v>電子釦 0.4- 4Pr</v>
      </c>
      <c r="CY61" s="8"/>
      <c r="CZ61" s="249" t="str">
        <f>IF(COUNTIF($CZ$10:$CZ60,CX61)&gt;0,"",CX61)</f>
        <v/>
      </c>
      <c r="DA61" s="515">
        <f>CP60</f>
        <v>121.91999999999999</v>
      </c>
      <c r="DB61" s="514">
        <f>SUMIF($CX$20:$CX$182,CZ61,$DA$20:$DA$182)</f>
        <v>0</v>
      </c>
      <c r="DC61" s="8"/>
      <c r="DD61" s="8"/>
      <c r="DE61" s="197">
        <f t="shared" si="29"/>
        <v>14</v>
      </c>
      <c r="DF61" s="197" t="str">
        <f t="shared" si="30"/>
        <v/>
      </c>
      <c r="DG61" s="207" t="str">
        <f>CO64</f>
        <v>CD-22mm</v>
      </c>
      <c r="DH61" s="8"/>
      <c r="DI61" s="249" t="str">
        <f>IF(COUNTIF(DG$18:$DG60,DG61)&gt;0,"",DG61)</f>
        <v/>
      </c>
      <c r="DJ61" s="515">
        <f>CP64</f>
        <v>324</v>
      </c>
      <c r="DK61" s="514">
        <f t="shared" si="31"/>
        <v>0</v>
      </c>
      <c r="DL61" s="8"/>
      <c r="DM61" s="8"/>
      <c r="DN61" s="197">
        <f>IF(DR61&lt;&gt;"",DN60+1,DN60)</f>
        <v>4</v>
      </c>
      <c r="DO61" s="197">
        <f t="shared" si="32"/>
        <v>4</v>
      </c>
      <c r="DP61" s="207" t="str">
        <f>CR60</f>
        <v>内線電話機</v>
      </c>
      <c r="DQ61" s="8"/>
      <c r="DR61" s="249" t="str">
        <f>IF(COUNTIF(DP$18:$DP60,DP61)&gt;0,"",DP61)</f>
        <v/>
      </c>
      <c r="DS61" s="198">
        <f>CS60</f>
        <v>8</v>
      </c>
      <c r="DT61" s="514">
        <f t="shared" si="33"/>
        <v>0</v>
      </c>
    </row>
    <row r="62" spans="1:124" ht="10.5" customHeight="1" thickBot="1">
      <c r="B62" s="23"/>
      <c r="C62" s="2987" t="str">
        <f>IF($B$2=0,"",非誘!C48)</f>
        <v xml:space="preserve">  4F</v>
      </c>
      <c r="D62" s="2988"/>
      <c r="E62" s="2988"/>
      <c r="F62" s="2989">
        <f>IF($B$2=0,"",非誘!F48)</f>
        <v>4</v>
      </c>
      <c r="G62" s="2989"/>
      <c r="H62" s="2989"/>
      <c r="I62" s="2989">
        <f>IF($B$2=0,"",非誘!J48)</f>
        <v>3</v>
      </c>
      <c r="J62" s="2989"/>
      <c r="K62" s="2989"/>
      <c r="L62" s="2990">
        <f>IF($B$2=0,"",非誘!N48)</f>
        <v>1152</v>
      </c>
      <c r="M62" s="2990"/>
      <c r="N62" s="2990"/>
      <c r="O62" s="2990"/>
      <c r="P62" s="2991">
        <f>IF($B$2=0,"",非誘!S48)</f>
        <v>806.4</v>
      </c>
      <c r="Q62" s="2991"/>
      <c r="R62" s="2991"/>
      <c r="S62" s="2991"/>
      <c r="T62" s="2991">
        <f>IF($B$2=0,"",非誘!W48)</f>
        <v>345.6</v>
      </c>
      <c r="U62" s="2992"/>
      <c r="V62" s="2992"/>
      <c r="W62" s="2992"/>
      <c r="X62" s="2993">
        <f>IF($B$2=0,"",非誘!AA48)</f>
        <v>3</v>
      </c>
      <c r="Y62" s="2993"/>
      <c r="Z62" s="2993"/>
      <c r="AA62" s="2993">
        <f>IF($B$2=0,"",非誘!AD48)</f>
        <v>9</v>
      </c>
      <c r="AB62" s="2993"/>
      <c r="AC62" s="2994"/>
      <c r="AD62" s="2966">
        <f>IF($B$2=0,"",CB60*CC60)</f>
        <v>600</v>
      </c>
      <c r="AE62" s="2967"/>
      <c r="AF62" s="2968"/>
      <c r="AG62" s="2969">
        <f>IF($B$2=0,"",放送!CB57)</f>
        <v>0</v>
      </c>
      <c r="AH62" s="2967"/>
      <c r="AI62" s="2968"/>
      <c r="AJ62" s="2970" t="str">
        <f>IF($B$2=0,"",IF(TV!AB23="設置","Space","---"))</f>
        <v>Space</v>
      </c>
      <c r="AK62" s="2971"/>
      <c r="AL62" s="2971"/>
      <c r="AM62" s="2969"/>
      <c r="AN62" s="2967"/>
      <c r="AO62" s="2968"/>
      <c r="AP62" s="2972"/>
      <c r="AQ62" s="2973"/>
      <c r="AR62" s="2923">
        <f>IF($B$2=0,"",IF(AZ62="",CB64,AZ62))</f>
        <v>8</v>
      </c>
      <c r="AS62" s="2924"/>
      <c r="AT62" s="538" t="s">
        <v>106</v>
      </c>
      <c r="AU62" s="2946"/>
      <c r="AV62" s="2947"/>
      <c r="AW62" s="2923">
        <f>IF($B$2=0,"",IF(CA63="",0,IF(AZ62="",CB63,AZ62)))</f>
        <v>40</v>
      </c>
      <c r="AX62" s="2924"/>
      <c r="AY62" s="538" t="s">
        <v>106</v>
      </c>
      <c r="AZ62" s="2999"/>
      <c r="BA62" s="3000"/>
      <c r="BB62" s="2951">
        <f>IF(OR($J$14&lt;&gt;"A",CA63=""),"",IF(BE62&lt;&gt;"",BE62,CB63))</f>
        <v>40</v>
      </c>
      <c r="BC62" s="2952"/>
      <c r="BD62" s="537" t="s">
        <v>106</v>
      </c>
      <c r="BE62" s="2938"/>
      <c r="BF62" s="2938"/>
      <c r="BG62" s="2951">
        <f>IF(C62="","",IF(OR($J$14&lt;&gt;"A",CA64=""),"",IF(BJ62&lt;&gt;"",BE62,CB64)))</f>
        <v>8</v>
      </c>
      <c r="BH62" s="2952"/>
      <c r="BI62" s="537" t="s">
        <v>106</v>
      </c>
      <c r="BJ62" s="2938"/>
      <c r="BK62" s="2938"/>
      <c r="BL62" s="2951" t="str">
        <f>IF(OR($J$14&lt;&gt;"A",CA65=""),"",IF(BO62&lt;&gt;"",BO62,CB65))</f>
        <v/>
      </c>
      <c r="BM62" s="2952"/>
      <c r="BN62" s="537" t="s">
        <v>106</v>
      </c>
      <c r="BO62" s="2964"/>
      <c r="BP62" s="2965"/>
      <c r="BQ62" s="2939" t="str">
        <f>IF(BQ60="設置","Ｅt","")</f>
        <v/>
      </c>
      <c r="BR62" s="2845"/>
      <c r="BS62" s="2845"/>
      <c r="BT62" s="2940"/>
      <c r="BU62" s="19"/>
      <c r="BW62" s="89" t="str">
        <f>AP59</f>
        <v>Ⓖ</v>
      </c>
      <c r="BX62" s="263">
        <f>IF(C62="","",IF(BW62="Ⓐ",BX60+BY60+3,IF(BW62="Ⓑ",BX60*5/8+BY60+3,IF(BW62="Ⓒ",BX60/2+BY60+3,IF(BW62="Ⓓ",BX60+BY60*5/8+3,IF(BW62="Ⓔ",(BX60+BY60)*5/8+3,IF(BW62="Ⓕ",BX60/2+BY60*5/8+3,IF(BW62="Ⓖ",BX60+BY60/2+3,IF(BW62="Ⓗ",BX60*5/8+BY60/2+3,IF(BW62="Ⓘ",(BX60+BY60)/2+3))))))))))</f>
        <v>27</v>
      </c>
      <c r="BY62" s="86">
        <f>IF(C62="",0,IF(BY61="=",BZ59,IF(BY61="-",CA59,CB59)))</f>
        <v>435</v>
      </c>
      <c r="BZ62" s="156"/>
      <c r="CA62" s="536" t="str">
        <f>IF(CA60&lt;=30,"25",IF(CA60&lt;=50,"31",IF(CA60&lt;=100,"39",IF(CA60&lt;=200,"51",""))))</f>
        <v>31</v>
      </c>
      <c r="CB62" s="535" t="str">
        <f>IF(CA60&lt;=30,"22",IF(CA60&lt;=50,"28",IF(CA60&lt;=100,"36",IF(CA60&lt;=200,"42",""))))</f>
        <v>28</v>
      </c>
      <c r="CC62" s="122"/>
      <c r="CD62" s="534"/>
      <c r="CE62" s="156" t="s">
        <v>738</v>
      </c>
      <c r="CF62" s="533"/>
      <c r="CG62" s="189">
        <f>IF($B$2="","",IF($AQ$8=0,0,0.02*($AQ$8/1000-0.15-0.1)*(INT(1000*BX60/$AQ$9)+1)*(INT(1000*BY60/$AQ$9)+1)*4*(AR62+AW62)))</f>
        <v>25.919999999999995</v>
      </c>
      <c r="CH62" s="532"/>
      <c r="CI62" s="531"/>
      <c r="CJ62" s="15"/>
      <c r="CK62" s="528">
        <f>IF(E64="不","",SUM(CH60+CJ60)*MAX(P62:W62)/L62)</f>
        <v>448</v>
      </c>
      <c r="CL62" s="528">
        <f>IF(E64="不","",CJ63)</f>
        <v>200.20851011026986</v>
      </c>
      <c r="CM62" s="527" t="s">
        <v>7</v>
      </c>
      <c r="CN62" s="15"/>
      <c r="CO62" s="252" t="str">
        <f>IF(CP62="","","導入線 1.2mmφ")</f>
        <v>導入線 1.2mmφ</v>
      </c>
      <c r="CP62" s="184">
        <f>1.1*INT(SUM(CP63:CP65))</f>
        <v>589.6</v>
      </c>
      <c r="CR62" s="519" t="str">
        <f>IF(CS62="","",IF($J$14="A","PHS電話機"))</f>
        <v/>
      </c>
      <c r="CS62" s="189" t="str">
        <f>IF(CS61="","",INT(CS61*1.5))</f>
        <v/>
      </c>
      <c r="CU62" s="8"/>
      <c r="CV62" s="197">
        <f t="shared" si="24"/>
        <v>6</v>
      </c>
      <c r="CW62" s="197" t="str">
        <f t="shared" si="25"/>
        <v/>
      </c>
      <c r="CX62" s="10" t="str">
        <f>CO61</f>
        <v>TIVF 0.8-2C</v>
      </c>
      <c r="CY62" s="8"/>
      <c r="CZ62" s="249" t="str">
        <f>IF(COUNTIF($CZ$10:$CZ61,CX62)&gt;0,"",CX62)</f>
        <v/>
      </c>
      <c r="DA62" s="515">
        <f>CP61</f>
        <v>640</v>
      </c>
      <c r="DB62" s="514">
        <f>SUMIF($CX$20:$CX$182,CZ62,$DA$20:$DA$182)</f>
        <v>0</v>
      </c>
      <c r="DC62" s="8"/>
      <c r="DD62" s="8"/>
      <c r="DE62" s="197">
        <f t="shared" si="29"/>
        <v>14</v>
      </c>
      <c r="DF62" s="197" t="str">
        <f t="shared" si="30"/>
        <v/>
      </c>
      <c r="DG62" s="207" t="str">
        <f>CO65</f>
        <v>フロアダクト FC-6</v>
      </c>
      <c r="DH62" s="8"/>
      <c r="DI62" s="249" t="str">
        <f>IF(COUNTIF(DG$18:$DG61,DG62)&gt;0,"",DG62)</f>
        <v/>
      </c>
      <c r="DJ62" s="515">
        <f>CP65</f>
        <v>200.20851011026986</v>
      </c>
      <c r="DK62" s="514">
        <f t="shared" si="31"/>
        <v>0</v>
      </c>
      <c r="DL62" s="8"/>
      <c r="DM62" s="8"/>
      <c r="DN62" s="197">
        <f>IF(DR62&lt;&gt;"",DN61+1,DN61)</f>
        <v>4</v>
      </c>
      <c r="DO62" s="197" t="str">
        <f t="shared" si="32"/>
        <v/>
      </c>
      <c r="DP62" s="10" t="str">
        <f>CR61</f>
        <v/>
      </c>
      <c r="DQ62" s="8"/>
      <c r="DR62" s="249" t="str">
        <f>IF(COUNTIF(DP$18:$DP61,DP62)&gt;0,"",DP62)</f>
        <v/>
      </c>
      <c r="DS62" s="198" t="str">
        <f>CS61</f>
        <v/>
      </c>
      <c r="DT62" s="514">
        <f t="shared" si="33"/>
        <v>0</v>
      </c>
    </row>
    <row r="63" spans="1:124" ht="10.5" customHeight="1" thickBot="1">
      <c r="B63" s="23"/>
      <c r="C63" s="3048" t="s">
        <v>737</v>
      </c>
      <c r="D63" s="3049"/>
      <c r="E63" s="3049"/>
      <c r="F63" s="3049"/>
      <c r="G63" s="3049"/>
      <c r="H63" s="3049"/>
      <c r="I63" s="3049"/>
      <c r="J63" s="3050" t="s">
        <v>736</v>
      </c>
      <c r="K63" s="3051"/>
      <c r="L63" s="3051"/>
      <c r="M63" s="3051"/>
      <c r="N63" s="3052" t="s">
        <v>735</v>
      </c>
      <c r="O63" s="2891"/>
      <c r="P63" s="2892"/>
      <c r="Q63" s="3057" t="str">
        <f>IF(OR($B$2=0,$J$14="C"),"",IF(Z63="",BZ61,Z63))</f>
        <v>FCPEV 0.65-200Pr</v>
      </c>
      <c r="R63" s="3057"/>
      <c r="S63" s="3057"/>
      <c r="T63" s="3057"/>
      <c r="U63" s="3057"/>
      <c r="V63" s="3057"/>
      <c r="W63" s="3057"/>
      <c r="X63" s="3057"/>
      <c r="Y63" s="524" t="s">
        <v>106</v>
      </c>
      <c r="Z63" s="2902"/>
      <c r="AA63" s="2903"/>
      <c r="AB63" s="2903"/>
      <c r="AC63" s="2903"/>
      <c r="AD63" s="2903"/>
      <c r="AE63" s="2903"/>
      <c r="AF63" s="2903"/>
      <c r="AG63" s="2904"/>
      <c r="AH63" s="2877" t="s">
        <v>734</v>
      </c>
      <c r="AI63" s="2878"/>
      <c r="AJ63" s="2879"/>
      <c r="AK63" s="3058">
        <f>IF($B$2=0,"",IF(AP63&lt;&gt;"",AP63,IF($J$14="C","",SUM(CF60:CF61)*CC60)))</f>
        <v>18</v>
      </c>
      <c r="AL63" s="3058"/>
      <c r="AM63" s="3058"/>
      <c r="AN63" s="3058"/>
      <c r="AO63" s="524" t="s">
        <v>106</v>
      </c>
      <c r="AP63" s="2911"/>
      <c r="AQ63" s="2912"/>
      <c r="AR63" s="2912"/>
      <c r="AS63" s="2913"/>
      <c r="AT63" s="2890" t="s">
        <v>733</v>
      </c>
      <c r="AU63" s="2891"/>
      <c r="AV63" s="2892"/>
      <c r="AW63" s="2899" t="str">
        <f>IF($B$2=0,"",IF(BE63&lt;&gt;"",BE63,IF(BB59=2,"PF-"&amp;CB62&amp;"mm",IF(OR(BB59=3,BB59=6),"C-"&amp;CA62&amp;"mm",IF(OR(BB59=4,BB59=7),"G-"&amp;CB62&amp;"mm",IF(OR(BB59=1,BB59=5),"CD-"&amp;CB62&amp;"mm",""))))))</f>
        <v>CD-28mm</v>
      </c>
      <c r="AX63" s="2900"/>
      <c r="AY63" s="2900"/>
      <c r="AZ63" s="2900"/>
      <c r="BA63" s="2900"/>
      <c r="BB63" s="2900"/>
      <c r="BC63" s="2901"/>
      <c r="BD63" s="524" t="s">
        <v>106</v>
      </c>
      <c r="BE63" s="2902"/>
      <c r="BF63" s="2903"/>
      <c r="BG63" s="2903"/>
      <c r="BH63" s="2903"/>
      <c r="BI63" s="2903"/>
      <c r="BJ63" s="2904"/>
      <c r="BK63" s="2877" t="s">
        <v>732</v>
      </c>
      <c r="BL63" s="2878"/>
      <c r="BM63" s="2879"/>
      <c r="BN63" s="2914">
        <f>IF($B$2=0,"",IF(BR63="",CF64*CC60,BR63))</f>
        <v>12</v>
      </c>
      <c r="BO63" s="2915"/>
      <c r="BP63" s="2916"/>
      <c r="BQ63" s="524" t="s">
        <v>106</v>
      </c>
      <c r="BR63" s="3202"/>
      <c r="BS63" s="3203"/>
      <c r="BT63" s="3204"/>
      <c r="BU63" s="19"/>
      <c r="BX63" s="530"/>
      <c r="BY63" s="46"/>
      <c r="BZ63" s="106" t="s">
        <v>731</v>
      </c>
      <c r="CA63" s="529" t="str">
        <f>IF(P62="","",IF(OR(I59="(1) ロ",I59="( 4 )",I59="(5) イ",I59="(6) イ",I59="(6) ロ",I59="(6) ハ",I59="( 7 )",I59="( 8 )",I59="( 15)"),"1",""))</f>
        <v>1</v>
      </c>
      <c r="CB63" s="151">
        <f>IF(P62="",0,INT(P62/20))</f>
        <v>40</v>
      </c>
      <c r="CC63" s="122">
        <f>IF(CA63="",0,CB63)</f>
        <v>40</v>
      </c>
      <c r="CD63" s="6"/>
      <c r="CE63" s="156" t="s">
        <v>730</v>
      </c>
      <c r="CF63" s="189"/>
      <c r="CG63" s="189">
        <f>BX62*(1+INT(AR62/10))+CG65</f>
        <v>27</v>
      </c>
      <c r="CH63" s="189">
        <f>IF(AW62="",0,BX62*(1+INT(AW62/10)))</f>
        <v>135</v>
      </c>
      <c r="CI63" s="82" t="s">
        <v>729</v>
      </c>
      <c r="CJ63" s="98">
        <f>7.32*(AW62-2*SQRT(AW62))</f>
        <v>200.20851011026986</v>
      </c>
      <c r="CK63" s="528">
        <f>IF(E65="不","",SUM(CH60+CJ60)*T62/L62)</f>
        <v>192</v>
      </c>
      <c r="CL63" s="528">
        <f>CJ63</f>
        <v>200.20851011026986</v>
      </c>
      <c r="CM63" s="527" t="s">
        <v>8</v>
      </c>
      <c r="CN63" s="69"/>
      <c r="CO63" s="252" t="str">
        <f>AW63</f>
        <v>CD-28mm</v>
      </c>
      <c r="CP63" s="520">
        <f>BN63</f>
        <v>12</v>
      </c>
      <c r="CR63" s="519" t="str">
        <f>IF(CS63=0,"","C-OBox4角中深")</f>
        <v>C-OBox4角中深</v>
      </c>
      <c r="CS63" s="189">
        <f>IF($J$14="A",SUM(CS60:CS61),AR62)</f>
        <v>8</v>
      </c>
      <c r="CU63" s="8"/>
      <c r="CV63" s="197">
        <f t="shared" si="24"/>
        <v>6</v>
      </c>
      <c r="CW63" s="197" t="str">
        <f t="shared" si="25"/>
        <v/>
      </c>
      <c r="CX63" s="207" t="str">
        <f>IF(BQ62="","","IV-14sq")</f>
        <v/>
      </c>
      <c r="CY63" s="8"/>
      <c r="CZ63" s="249" t="str">
        <f>IF(COUNTIF($CZ$10:$CZ62,CX63)&gt;0,"",CX63)</f>
        <v/>
      </c>
      <c r="DA63" s="515" t="str">
        <f>IF(BQ62="","",BX62+BY60+15)</f>
        <v/>
      </c>
      <c r="DB63" s="514">
        <f>SUMIF($CX$20:$CX$182,CZ63,$DA$20:$DA$182)</f>
        <v>0</v>
      </c>
      <c r="DD63" s="8"/>
      <c r="DE63" s="197">
        <f>IF(DJ63&lt;&gt;"",DE62+1,DE62)</f>
        <v>14</v>
      </c>
      <c r="DF63" s="197" t="str">
        <f>IF(AND(DE63&lt;&gt;"",DJ63&lt;&gt;""),DE63,"")</f>
        <v/>
      </c>
      <c r="DG63" s="207"/>
      <c r="DH63" s="8"/>
      <c r="DI63" s="249"/>
      <c r="DJ63" s="515"/>
      <c r="DK63" s="514">
        <f t="shared" si="31"/>
        <v>0</v>
      </c>
      <c r="DM63" s="8"/>
      <c r="DN63" s="197">
        <f>IF(DR63&lt;&gt;"",DN62+1,DN62)</f>
        <v>4</v>
      </c>
      <c r="DO63" s="197" t="str">
        <f t="shared" si="32"/>
        <v/>
      </c>
      <c r="DP63" s="10" t="str">
        <f>CR62</f>
        <v/>
      </c>
      <c r="DQ63" s="8"/>
      <c r="DR63" s="249" t="str">
        <f>IF(COUNTIF(DP$18:$DP62,DP63)&gt;0,"",DP63)</f>
        <v/>
      </c>
      <c r="DS63" s="198" t="str">
        <f>CS62</f>
        <v/>
      </c>
      <c r="DT63" s="514">
        <f t="shared" si="33"/>
        <v>0</v>
      </c>
    </row>
    <row r="64" spans="1:124" ht="10.5" customHeight="1">
      <c r="B64" s="23"/>
      <c r="C64" s="3205" t="s">
        <v>728</v>
      </c>
      <c r="D64" s="3205"/>
      <c r="E64" s="3016" t="str">
        <f>IF($D$9="不要","不",IF(H64="","要",H64))</f>
        <v>要</v>
      </c>
      <c r="F64" s="3016"/>
      <c r="G64" s="523" t="s">
        <v>724</v>
      </c>
      <c r="H64" s="3017"/>
      <c r="I64" s="3018"/>
      <c r="J64" s="3019" t="s">
        <v>727</v>
      </c>
      <c r="K64" s="3020"/>
      <c r="L64" s="3020"/>
      <c r="M64" s="3021"/>
      <c r="N64" s="3053"/>
      <c r="O64" s="2894"/>
      <c r="P64" s="2895"/>
      <c r="Q64" s="3025" t="str">
        <f>IF(OR($B$2=0,$J$14="C"),"",IF(Z64&lt;&gt;"",Z64,"電子釦 0.4- 4Pr"))</f>
        <v>電子釦 0.4- 4Pr</v>
      </c>
      <c r="R64" s="2933"/>
      <c r="S64" s="2933"/>
      <c r="T64" s="2933"/>
      <c r="U64" s="2933"/>
      <c r="V64" s="2933"/>
      <c r="W64" s="2933"/>
      <c r="X64" s="2934"/>
      <c r="Y64" s="526" t="s">
        <v>724</v>
      </c>
      <c r="Z64" s="3026"/>
      <c r="AA64" s="3027"/>
      <c r="AB64" s="3027"/>
      <c r="AC64" s="3027"/>
      <c r="AD64" s="3027"/>
      <c r="AE64" s="3027"/>
      <c r="AF64" s="3027"/>
      <c r="AG64" s="3028"/>
      <c r="AH64" s="2880" t="s">
        <v>725</v>
      </c>
      <c r="AI64" s="2881"/>
      <c r="AJ64" s="2882"/>
      <c r="AK64" s="2995">
        <f>IF($B$2=0,"",IF(AP64&lt;&gt;"",AP64,IF($J$14="C","",SUM(CK60:CK61))))</f>
        <v>121.91999999999999</v>
      </c>
      <c r="AL64" s="2995"/>
      <c r="AM64" s="2995"/>
      <c r="AN64" s="2995"/>
      <c r="AO64" s="526" t="s">
        <v>724</v>
      </c>
      <c r="AP64" s="2996"/>
      <c r="AQ64" s="2997"/>
      <c r="AR64" s="2997"/>
      <c r="AS64" s="2998"/>
      <c r="AT64" s="2893"/>
      <c r="AU64" s="2894"/>
      <c r="AV64" s="2895"/>
      <c r="AW64" s="2933" t="str">
        <f>IF($B$2=0,"",IF(BE64&lt;&gt;"",BE64,IF(BB59=2,"PF-22mm",IF(OR(BB59=3,BB59=6),"C-25mm",IF(OR(BB59=4,BB59=7),"G-22mm",IF(OR(BB59=1,BB59=5),"CD-22mm",""))))))</f>
        <v>CD-22mm</v>
      </c>
      <c r="AX64" s="2933"/>
      <c r="AY64" s="2933"/>
      <c r="AZ64" s="2933"/>
      <c r="BA64" s="2933"/>
      <c r="BB64" s="2933"/>
      <c r="BC64" s="2934"/>
      <c r="BD64" s="526" t="s">
        <v>724</v>
      </c>
      <c r="BE64" s="2935"/>
      <c r="BF64" s="2936"/>
      <c r="BG64" s="2936"/>
      <c r="BH64" s="2936"/>
      <c r="BI64" s="2936"/>
      <c r="BJ64" s="2937"/>
      <c r="BK64" s="2880" t="s">
        <v>725</v>
      </c>
      <c r="BL64" s="2881"/>
      <c r="BM64" s="2882"/>
      <c r="BN64" s="2948">
        <f>IF($B$2=0,"",IF(BR64="",SUM(CL60:CL61),BR64))</f>
        <v>324</v>
      </c>
      <c r="BO64" s="2949"/>
      <c r="BP64" s="2950"/>
      <c r="BQ64" s="525" t="s">
        <v>724</v>
      </c>
      <c r="BR64" s="3029"/>
      <c r="BS64" s="3030"/>
      <c r="BT64" s="3031"/>
      <c r="BU64" s="19"/>
      <c r="BX64" s="49">
        <f>1+INT(L62/600)</f>
        <v>2</v>
      </c>
      <c r="BY64" s="46"/>
      <c r="BZ64" s="106" t="s">
        <v>723</v>
      </c>
      <c r="CA64" s="522" t="str">
        <f>"1"</f>
        <v>1</v>
      </c>
      <c r="CB64" s="151">
        <f>IF(CA63="",INT(T62/40)+CB63,INT(T62/40))</f>
        <v>8</v>
      </c>
      <c r="CC64" s="122">
        <f>IF(CB64="",0,CB64)</f>
        <v>8</v>
      </c>
      <c r="CD64" s="6"/>
      <c r="CE64" s="156" t="s">
        <v>722</v>
      </c>
      <c r="CF64" s="189">
        <f>F62</f>
        <v>4</v>
      </c>
      <c r="CG64" s="189">
        <f>IF(BB59&lt;=4,(2*F62-(R48+R50)/1000)*AR62,((R49+R50)/1000)*AR62)</f>
        <v>0</v>
      </c>
      <c r="CH64" s="189">
        <f>2*(R50/1000)*AR62</f>
        <v>0</v>
      </c>
      <c r="CI64" s="82" t="s">
        <v>721</v>
      </c>
      <c r="CJ64" s="86">
        <f>AW62</f>
        <v>40</v>
      </c>
      <c r="CK64" s="38"/>
      <c r="CL64" s="38"/>
      <c r="CM64" s="38"/>
      <c r="CN64" s="38"/>
      <c r="CO64" s="252" t="str">
        <f>AW64</f>
        <v>CD-22mm</v>
      </c>
      <c r="CP64" s="520">
        <f>BN64</f>
        <v>324</v>
      </c>
      <c r="CR64" s="519" t="str">
        <f>IF(CS64="","",IF(LEFT(AW65,1)="フ","ジャンクションボックス 2Duct","C-OBox4角大深"))</f>
        <v>ジャンクションボックス 2Duct</v>
      </c>
      <c r="CS64" s="189">
        <f>IF(AW62=0,"",AW62)</f>
        <v>40</v>
      </c>
      <c r="CU64" s="8"/>
      <c r="CV64" s="197">
        <f t="shared" si="24"/>
        <v>6</v>
      </c>
      <c r="CW64" s="197" t="str">
        <f t="shared" si="25"/>
        <v/>
      </c>
      <c r="CX64" s="207" t="str">
        <f>IF(BQ62="","","VE-22mm")</f>
        <v/>
      </c>
      <c r="CY64" s="8"/>
      <c r="CZ64" s="249" t="str">
        <f>IF(COUNTIF($CZ$10:$CZ63,CX64)&gt;0,"",CX64)</f>
        <v/>
      </c>
      <c r="DA64" s="515" t="str">
        <f>IF(BQ62="","",DA63-10)</f>
        <v/>
      </c>
      <c r="DB64" s="514">
        <f>SUMIF($CX$20:$CX$182,CZ64,$DA$20:$DA$182)</f>
        <v>0</v>
      </c>
      <c r="DD64" s="8"/>
      <c r="DE64" s="197">
        <f t="shared" ref="DE64:DE70" si="34">IF(DI64&lt;&gt;"",DE63+1,DE63)</f>
        <v>14</v>
      </c>
      <c r="DF64" s="197" t="str">
        <f t="shared" ref="DF64:DF70" si="35">IF(AND(DE64&lt;&gt;"",DI64&lt;&gt;""),DE64,"")</f>
        <v/>
      </c>
      <c r="DG64" s="207" t="str">
        <f>CR63</f>
        <v>C-OBox4角中深</v>
      </c>
      <c r="DH64" s="8"/>
      <c r="DI64" s="249" t="str">
        <f>IF(COUNTIF(DG$18:$DG63,DG64)&gt;0,"",DG64)</f>
        <v/>
      </c>
      <c r="DJ64" s="515">
        <f>CS63</f>
        <v>8</v>
      </c>
      <c r="DK64" s="514">
        <f t="shared" si="31"/>
        <v>0</v>
      </c>
      <c r="DM64" s="8"/>
      <c r="DN64" s="197">
        <f>IF(DS64&lt;&gt;"",DN63+1,DN63)</f>
        <v>4</v>
      </c>
      <c r="DO64" s="197" t="str">
        <f t="shared" si="32"/>
        <v/>
      </c>
      <c r="DP64" s="10" t="str">
        <f>IF(BQ60="","","電話交換機")</f>
        <v/>
      </c>
      <c r="DQ64" s="8"/>
      <c r="DR64" s="249" t="str">
        <f>IF(COUNTIF(DP$18:$DP63,DP64)&gt;0,"",DP64)</f>
        <v/>
      </c>
      <c r="DS64" s="198" t="str">
        <f>IF(DP64&lt;&gt;"",1,"")</f>
        <v/>
      </c>
      <c r="DT64" s="514">
        <f t="shared" si="33"/>
        <v>0</v>
      </c>
    </row>
    <row r="65" spans="1:124" ht="10.5" customHeight="1">
      <c r="B65" s="23"/>
      <c r="C65" s="2959" t="s">
        <v>720</v>
      </c>
      <c r="D65" s="2959"/>
      <c r="E65" s="3016" t="str">
        <f>IF($D$9="不要","不",IF(H65="","要",H65))</f>
        <v>要</v>
      </c>
      <c r="F65" s="3016"/>
      <c r="G65" s="525" t="s">
        <v>103</v>
      </c>
      <c r="H65" s="3017"/>
      <c r="I65" s="3018"/>
      <c r="J65" s="3022"/>
      <c r="K65" s="3023"/>
      <c r="L65" s="3023"/>
      <c r="M65" s="3024"/>
      <c r="N65" s="3054"/>
      <c r="O65" s="3055"/>
      <c r="P65" s="3056"/>
      <c r="Q65" s="3201" t="str">
        <f>IF($B$2=0,"",IF(Z65&lt;&gt;"",Z65,"TIVF 0.8-2C"))</f>
        <v>TIVF 0.8-2C</v>
      </c>
      <c r="R65" s="3201"/>
      <c r="S65" s="3201"/>
      <c r="T65" s="3201"/>
      <c r="U65" s="3201"/>
      <c r="V65" s="3201"/>
      <c r="W65" s="3201"/>
      <c r="X65" s="3201"/>
      <c r="Y65" s="524" t="s">
        <v>103</v>
      </c>
      <c r="Z65" s="2941"/>
      <c r="AA65" s="2942"/>
      <c r="AB65" s="2942"/>
      <c r="AC65" s="2942"/>
      <c r="AD65" s="2942"/>
      <c r="AE65" s="2942"/>
      <c r="AF65" s="2942"/>
      <c r="AG65" s="3199"/>
      <c r="AH65" s="2883" t="s">
        <v>235</v>
      </c>
      <c r="AI65" s="2884"/>
      <c r="AJ65" s="2885"/>
      <c r="AK65" s="2953">
        <f>IF($B$2=0,"",IF(AP65&lt;&gt;"",AP65,IF($J$14="C","",SUM(CK62:CK63))))</f>
        <v>640</v>
      </c>
      <c r="AL65" s="2954"/>
      <c r="AM65" s="2954"/>
      <c r="AN65" s="2955"/>
      <c r="AO65" s="524" t="s">
        <v>103</v>
      </c>
      <c r="AP65" s="2911"/>
      <c r="AQ65" s="2912"/>
      <c r="AR65" s="2912"/>
      <c r="AS65" s="2913"/>
      <c r="AT65" s="2896"/>
      <c r="AU65" s="2897"/>
      <c r="AV65" s="2898"/>
      <c r="AW65" s="2939" t="str">
        <f>IF($B$2=0,"",IF(BN65="","",IF(BE65="","フロアダクト FC-6",BE65)))</f>
        <v>フロアダクト FC-6</v>
      </c>
      <c r="AX65" s="2845"/>
      <c r="AY65" s="2845"/>
      <c r="AZ65" s="2845"/>
      <c r="BA65" s="2845"/>
      <c r="BB65" s="2845"/>
      <c r="BC65" s="2940"/>
      <c r="BD65" s="524" t="s">
        <v>103</v>
      </c>
      <c r="BE65" s="2941"/>
      <c r="BF65" s="2942"/>
      <c r="BG65" s="2942"/>
      <c r="BH65" s="2942"/>
      <c r="BI65" s="2942"/>
      <c r="BJ65" s="2942"/>
      <c r="BK65" s="2883" t="s">
        <v>235</v>
      </c>
      <c r="BL65" s="2884"/>
      <c r="BM65" s="2885"/>
      <c r="BN65" s="2943">
        <f>IF($B$2=0,"",IF(BR65="",MAX(CL62:CL63),BR65))</f>
        <v>200.20851011026986</v>
      </c>
      <c r="BO65" s="2944"/>
      <c r="BP65" s="2945"/>
      <c r="BQ65" s="523" t="s">
        <v>103</v>
      </c>
      <c r="BR65" s="3200"/>
      <c r="BS65" s="3200"/>
      <c r="BT65" s="3200"/>
      <c r="BU65" s="19"/>
      <c r="BX65" s="47"/>
      <c r="BZ65" s="106" t="s">
        <v>766</v>
      </c>
      <c r="CA65" s="522" t="str">
        <f>IF(OR(I59="( 10)",I59="(12)イ"),"1","")</f>
        <v/>
      </c>
      <c r="CB65" s="151" t="str">
        <f>IF(CA65="","",INT(P62/200))</f>
        <v/>
      </c>
      <c r="CC65" s="122">
        <f>IF(CB65="",0,CB65)</f>
        <v>0</v>
      </c>
      <c r="CE65" s="156" t="s">
        <v>716</v>
      </c>
      <c r="CF65" s="521"/>
      <c r="CG65" s="189">
        <f>IF($AQ$8=0,1.5*2*(1+INT(2*BX60/($AQ$9/1000)))*(1+INT(2*BY60/($AQ$9/1000))),0)</f>
        <v>0</v>
      </c>
      <c r="CH65" s="82"/>
      <c r="CI65" s="82" t="s">
        <v>765</v>
      </c>
      <c r="CJ65" s="107">
        <f>AR62</f>
        <v>8</v>
      </c>
      <c r="CK65" s="12"/>
      <c r="CL65" s="12"/>
      <c r="CM65" s="12"/>
      <c r="CN65" s="12"/>
      <c r="CO65" s="252" t="str">
        <f>AW65</f>
        <v>フロアダクト FC-6</v>
      </c>
      <c r="CP65" s="520">
        <f>BN65</f>
        <v>200.20851011026986</v>
      </c>
      <c r="CR65" s="519" t="str">
        <f>IF(CS65="","","ローテンションアウトレット")</f>
        <v>ローテンションアウトレット</v>
      </c>
      <c r="CS65" s="189">
        <f>CS59</f>
        <v>40</v>
      </c>
      <c r="CV65" s="197">
        <f t="shared" si="24"/>
        <v>6</v>
      </c>
      <c r="CW65" s="197" t="str">
        <f t="shared" si="25"/>
        <v/>
      </c>
      <c r="CX65" s="207"/>
      <c r="CY65" s="24"/>
      <c r="DA65" s="515"/>
      <c r="DB65" s="516"/>
      <c r="DE65" s="197">
        <f t="shared" si="34"/>
        <v>14</v>
      </c>
      <c r="DF65" s="197" t="str">
        <f t="shared" si="35"/>
        <v/>
      </c>
      <c r="DG65" s="207" t="str">
        <f>CR64</f>
        <v>ジャンクションボックス 2Duct</v>
      </c>
      <c r="DH65" s="24"/>
      <c r="DI65" s="249" t="str">
        <f>IF(COUNTIF(DG$18:$DG64,DG65)&gt;0,"",DG65)</f>
        <v/>
      </c>
      <c r="DJ65" s="515">
        <f>CS64</f>
        <v>40</v>
      </c>
      <c r="DK65" s="514">
        <f t="shared" si="31"/>
        <v>0</v>
      </c>
      <c r="DN65" s="197">
        <f>IF(DS65&lt;&gt;"",DN64+1,DN64)</f>
        <v>4</v>
      </c>
      <c r="DO65" s="197" t="str">
        <f t="shared" si="32"/>
        <v/>
      </c>
      <c r="DP65" s="10" t="str">
        <f>IF(BQ62="","","接地工事 Et")</f>
        <v/>
      </c>
      <c r="DQ65" s="24"/>
      <c r="DR65" s="249" t="str">
        <f>IF(COUNTIF(DP$18:$DP64,DP65)&gt;0,"",DP65)</f>
        <v/>
      </c>
      <c r="DS65" s="198" t="str">
        <f>IF(DP65&lt;&gt;"",1,"")</f>
        <v/>
      </c>
      <c r="DT65" s="514">
        <f t="shared" si="33"/>
        <v>0</v>
      </c>
    </row>
    <row r="66" spans="1:124" ht="7.5" customHeight="1">
      <c r="B66" s="23"/>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19"/>
      <c r="BZ66" s="114" t="str">
        <f>"="</f>
        <v>=</v>
      </c>
      <c r="CA66" s="114" t="str">
        <f>"－"</f>
        <v>－</v>
      </c>
      <c r="CB66" s="114" t="str">
        <f>"+"</f>
        <v>+</v>
      </c>
      <c r="CP66" s="555"/>
      <c r="CV66" s="197">
        <f t="shared" si="24"/>
        <v>6</v>
      </c>
      <c r="CW66" s="197" t="str">
        <f t="shared" si="25"/>
        <v/>
      </c>
      <c r="CY66" s="24"/>
      <c r="DA66" s="516"/>
      <c r="DB66" s="516"/>
      <c r="DE66" s="197">
        <f t="shared" si="34"/>
        <v>14</v>
      </c>
      <c r="DF66" s="197" t="str">
        <f t="shared" si="35"/>
        <v/>
      </c>
      <c r="DG66" s="207" t="str">
        <f>CR65</f>
        <v>ローテンションアウトレット</v>
      </c>
      <c r="DH66" s="24"/>
      <c r="DI66" s="249" t="str">
        <f>IF(COUNTIF(DG$18:$DG65,DG66)&gt;0,"",DG66)</f>
        <v/>
      </c>
      <c r="DJ66" s="515">
        <f>CS65</f>
        <v>40</v>
      </c>
      <c r="DK66" s="514">
        <f t="shared" si="31"/>
        <v>0</v>
      </c>
      <c r="DN66" s="197">
        <f>IF(DS66&lt;&gt;"",DN65+1,DN65)</f>
        <v>4</v>
      </c>
      <c r="DO66" s="197" t="str">
        <f>IF(AND(DN66&lt;&gt;"",DR66&lt;&gt;""),DN66,"")</f>
        <v/>
      </c>
      <c r="DP66" s="201"/>
      <c r="DQ66" s="24"/>
      <c r="DR66" s="249"/>
      <c r="DS66" s="198"/>
      <c r="DT66" s="514"/>
    </row>
    <row r="67" spans="1:124" ht="11.25" customHeight="1" thickBot="1">
      <c r="A67" s="46"/>
      <c r="B67" s="23"/>
      <c r="C67" s="3032" t="s">
        <v>112</v>
      </c>
      <c r="D67" s="3032"/>
      <c r="E67" s="3032"/>
      <c r="F67" s="3032"/>
      <c r="G67" s="3032"/>
      <c r="H67" s="3032"/>
      <c r="I67" s="3033" t="str">
        <f>非誘!J52</f>
        <v>( 4 )</v>
      </c>
      <c r="J67" s="3033"/>
      <c r="K67" s="3033"/>
      <c r="L67" s="3034"/>
      <c r="M67" s="3035" t="str">
        <f>非誘!M52</f>
        <v>百貨店等</v>
      </c>
      <c r="N67" s="2961"/>
      <c r="O67" s="2961"/>
      <c r="P67" s="2961"/>
      <c r="Q67" s="2961"/>
      <c r="R67" s="2961"/>
      <c r="S67" s="2961"/>
      <c r="T67" s="2961"/>
      <c r="U67" s="2961"/>
      <c r="V67" s="2961"/>
      <c r="W67" s="3036"/>
      <c r="X67" s="3037" t="s">
        <v>232</v>
      </c>
      <c r="Y67" s="3037"/>
      <c r="Z67" s="3037"/>
      <c r="AA67" s="3037"/>
      <c r="AB67" s="3038"/>
      <c r="AC67" s="2977" t="str">
        <f>非誘!AA52</f>
        <v>A</v>
      </c>
      <c r="AD67" s="2978"/>
      <c r="AE67" s="2917" t="s">
        <v>760</v>
      </c>
      <c r="AF67" s="2918"/>
      <c r="AG67" s="2918"/>
      <c r="AH67" s="2918"/>
      <c r="AI67" s="2919"/>
      <c r="AJ67" s="2979">
        <f>非誘!J53</f>
        <v>0.5</v>
      </c>
      <c r="AK67" s="2980"/>
      <c r="AL67" s="2981"/>
      <c r="AM67" s="2917" t="s">
        <v>759</v>
      </c>
      <c r="AN67" s="2918"/>
      <c r="AO67" s="2919"/>
      <c r="AP67" s="2920" t="str">
        <f>IF(OR($B$2=0,AS67=""),$BO$14,AS67)</f>
        <v>Ⓖ</v>
      </c>
      <c r="AQ67" s="2920"/>
      <c r="AR67" s="554" t="s">
        <v>103</v>
      </c>
      <c r="AS67" s="2921"/>
      <c r="AT67" s="2922"/>
      <c r="AU67" s="2875" t="s">
        <v>757</v>
      </c>
      <c r="AV67" s="2875"/>
      <c r="AW67" s="2875"/>
      <c r="AX67" s="2875"/>
      <c r="AY67" s="2875"/>
      <c r="AZ67" s="2875"/>
      <c r="BA67" s="2876"/>
      <c r="BB67" s="553">
        <f>IF(BC67="天井ケーブル",1,IF(BC67="天井(PF管)",2,IF(BC67="天井(C管)",3,IF(BC67="天井(G管)",4,IF(BC67="床(CD管)",5,IF(BC67="床(C管)",6,IF(BC67="床(G管)",7,"")))))))</f>
        <v>5</v>
      </c>
      <c r="BC67" s="2961" t="str">
        <f>IF($B$2=0,"",IF(BK67&lt;&gt;"",BK67,IF(I70="直天","天井(C管)","床(CD管)")))</f>
        <v>床(CD管)</v>
      </c>
      <c r="BD67" s="2962"/>
      <c r="BE67" s="2962"/>
      <c r="BF67" s="2962"/>
      <c r="BG67" s="2962"/>
      <c r="BH67" s="2962"/>
      <c r="BI67" s="2963"/>
      <c r="BJ67" s="552" t="s">
        <v>103</v>
      </c>
      <c r="BK67" s="2905"/>
      <c r="BL67" s="2906"/>
      <c r="BM67" s="2906"/>
      <c r="BN67" s="2906"/>
      <c r="BO67" s="2906"/>
      <c r="BP67" s="2907"/>
      <c r="BQ67" s="2982" t="s">
        <v>755</v>
      </c>
      <c r="BR67" s="2983"/>
      <c r="BS67" s="2983"/>
      <c r="BT67" s="2984"/>
      <c r="BU67" s="19"/>
      <c r="BV67" s="8">
        <v>7</v>
      </c>
      <c r="BX67" s="55" t="s">
        <v>229</v>
      </c>
      <c r="BY67" s="55" t="s">
        <v>228</v>
      </c>
      <c r="BZ67" s="534">
        <f>BY62+BY78+CA68</f>
        <v>822</v>
      </c>
      <c r="CA67" s="534">
        <f>CA68+BY62</f>
        <v>483</v>
      </c>
      <c r="CB67" s="38">
        <f>BY78+CA68</f>
        <v>387</v>
      </c>
      <c r="CC67" s="69"/>
      <c r="CD67" s="534"/>
      <c r="CE67" s="534"/>
      <c r="CF67" s="143" t="s">
        <v>754</v>
      </c>
      <c r="CG67" s="143" t="s">
        <v>753</v>
      </c>
      <c r="CH67" s="143" t="s">
        <v>753</v>
      </c>
      <c r="CI67" s="551" t="s">
        <v>752</v>
      </c>
      <c r="CJ67" s="551" t="s">
        <v>752</v>
      </c>
      <c r="CK67" s="550" t="s">
        <v>734</v>
      </c>
      <c r="CL67" s="550" t="s">
        <v>732</v>
      </c>
      <c r="CM67" s="46"/>
      <c r="CO67" s="46" t="str">
        <f>Q71</f>
        <v>FCPEV 0.65-200Pr</v>
      </c>
      <c r="CP67" s="520">
        <f>AK71</f>
        <v>12</v>
      </c>
      <c r="CR67" s="519" t="str">
        <f>IF(CS67="","",IF($J$14="A","多機能内線電話機",""))</f>
        <v>多機能内線電話機</v>
      </c>
      <c r="CS67" s="189">
        <f>BB70</f>
        <v>40</v>
      </c>
      <c r="CU67" s="88">
        <v>7</v>
      </c>
      <c r="CV67" s="204">
        <f t="shared" si="24"/>
        <v>6</v>
      </c>
      <c r="CW67" s="155" t="str">
        <f t="shared" si="25"/>
        <v/>
      </c>
      <c r="CX67" s="45"/>
      <c r="CY67" s="45"/>
      <c r="CZ67" s="45"/>
      <c r="DA67" s="45"/>
      <c r="DB67" s="45"/>
      <c r="DD67" s="88">
        <v>7</v>
      </c>
      <c r="DE67" s="204">
        <f t="shared" si="34"/>
        <v>14</v>
      </c>
      <c r="DF67" s="155" t="str">
        <f t="shared" si="35"/>
        <v/>
      </c>
      <c r="DG67" s="549" t="str">
        <f>CO62</f>
        <v>導入線 1.2mmφ</v>
      </c>
      <c r="DH67" s="45"/>
      <c r="DI67" s="153" t="str">
        <f>IF(COUNTIF(DG$9:$DG66,DG67)&gt;0,"",DG67)</f>
        <v/>
      </c>
      <c r="DJ67" s="155">
        <f>CP62</f>
        <v>589.6</v>
      </c>
      <c r="DK67" s="548">
        <f>SUMIF($DG$11:$DG$182,DI67,$DJ$11:$DJ$182)</f>
        <v>0</v>
      </c>
      <c r="DM67" s="88">
        <v>7</v>
      </c>
      <c r="DN67" s="204">
        <f>IF(DS67&lt;&gt;"",DN66+1,DN66)</f>
        <v>4</v>
      </c>
      <c r="DO67" s="155" t="str">
        <f>IF(AND(DN67&lt;&gt;"",DR67&lt;&gt;""),DN67,"")</f>
        <v/>
      </c>
      <c r="DP67" s="45"/>
      <c r="DQ67" s="45"/>
      <c r="DR67" s="45"/>
      <c r="DS67" s="45"/>
      <c r="DT67" s="45"/>
    </row>
    <row r="68" spans="1:124" ht="11.25" customHeight="1" thickBot="1">
      <c r="B68" s="23"/>
      <c r="C68" s="3008" t="s">
        <v>4</v>
      </c>
      <c r="D68" s="3009"/>
      <c r="E68" s="3010"/>
      <c r="F68" s="3014" t="s">
        <v>22</v>
      </c>
      <c r="G68" s="2983"/>
      <c r="H68" s="3015"/>
      <c r="I68" s="2982" t="s">
        <v>132</v>
      </c>
      <c r="J68" s="2983"/>
      <c r="K68" s="3015"/>
      <c r="L68" s="2982" t="s">
        <v>6</v>
      </c>
      <c r="M68" s="2983"/>
      <c r="N68" s="2983"/>
      <c r="O68" s="2984"/>
      <c r="P68" s="3014" t="s">
        <v>7</v>
      </c>
      <c r="Q68" s="2983"/>
      <c r="R68" s="2983"/>
      <c r="S68" s="2984"/>
      <c r="T68" s="3014" t="s">
        <v>8</v>
      </c>
      <c r="U68" s="2983"/>
      <c r="V68" s="2983"/>
      <c r="W68" s="2984"/>
      <c r="X68" s="3014" t="s">
        <v>9</v>
      </c>
      <c r="Y68" s="2983"/>
      <c r="Z68" s="3015"/>
      <c r="AA68" s="2982" t="s">
        <v>9</v>
      </c>
      <c r="AB68" s="2983"/>
      <c r="AC68" s="2984"/>
      <c r="AD68" s="2974" t="s">
        <v>708</v>
      </c>
      <c r="AE68" s="2975"/>
      <c r="AF68" s="2975"/>
      <c r="AG68" s="2975"/>
      <c r="AH68" s="2975"/>
      <c r="AI68" s="2975"/>
      <c r="AJ68" s="2975"/>
      <c r="AK68" s="2975"/>
      <c r="AL68" s="2930" t="str">
        <f>IF(BX72=1,"T-"&amp;LEFT(C70,3)&amp;"-1","T-"&amp;LEFT(C70,3)&amp;"-1～"&amp;BX72)</f>
        <v>T-  5-1～2</v>
      </c>
      <c r="AM68" s="2930"/>
      <c r="AN68" s="2930"/>
      <c r="AO68" s="2930"/>
      <c r="AP68" s="2930"/>
      <c r="AQ68" s="2932"/>
      <c r="AR68" s="2925" t="s">
        <v>751</v>
      </c>
      <c r="AS68" s="2926"/>
      <c r="AT68" s="2926"/>
      <c r="AU68" s="2926"/>
      <c r="AV68" s="2926"/>
      <c r="AW68" s="2926"/>
      <c r="AX68" s="2926"/>
      <c r="AY68" s="2926"/>
      <c r="AZ68" s="2926"/>
      <c r="BA68" s="2927"/>
      <c r="BB68" s="2886" t="s">
        <v>750</v>
      </c>
      <c r="BC68" s="2887"/>
      <c r="BD68" s="2887"/>
      <c r="BE68" s="2887"/>
      <c r="BF68" s="2887"/>
      <c r="BG68" s="2887"/>
      <c r="BH68" s="2887"/>
      <c r="BI68" s="2887"/>
      <c r="BJ68" s="2888"/>
      <c r="BK68" s="2888"/>
      <c r="BL68" s="2888"/>
      <c r="BM68" s="2888"/>
      <c r="BN68" s="2888"/>
      <c r="BO68" s="2888"/>
      <c r="BP68" s="2889"/>
      <c r="BQ68" s="2939" t="str">
        <f>IF(AND($B$2=1,$J$14="A",C70=$J$15),"設置","")</f>
        <v/>
      </c>
      <c r="BR68" s="2845"/>
      <c r="BS68" s="2845"/>
      <c r="BT68" s="2940"/>
      <c r="BU68" s="19"/>
      <c r="BV68" s="15">
        <v>52</v>
      </c>
      <c r="BX68" s="98">
        <f>非誘!BW54</f>
        <v>12</v>
      </c>
      <c r="BY68" s="98">
        <f>非誘!BX54</f>
        <v>24</v>
      </c>
      <c r="BZ68" s="547">
        <f>IF(CA68&lt;10,10,IF(CA68&lt;15,15,IF(CA68&lt;20,20,IF(CA68&lt;25,25,IF(CA68&lt;30,30,IF(CA68&lt;50,50,IF(CA68&lt;70,70,IF(CA68&lt;100,100,IF(CA68&lt;150,150,IF(CA68&lt;20,200,200))))))))))</f>
        <v>50</v>
      </c>
      <c r="CA68" s="546">
        <f>SUM(CC71:CC73)</f>
        <v>48</v>
      </c>
      <c r="CB68" s="107" t="str">
        <f>IF(BY70&lt;10," 10",IF(BY70&lt;15," 15",IF(BY70&lt;20," 20",IF(BY70&lt;25," 25",IF(BY70&lt;30," 30",IF(BY70&lt;50," 50",IF(BY70&lt;70," 70",IF(BY70&lt;100,"100",IF(BY70&lt;150,"150",IF(BY70&lt;200,"200","200"))))))))))</f>
        <v>200</v>
      </c>
      <c r="CC68" s="545">
        <f>1+INT(BY70/200)</f>
        <v>2</v>
      </c>
      <c r="CD68" s="534"/>
      <c r="CE68" s="156" t="s">
        <v>749</v>
      </c>
      <c r="CF68" s="189">
        <f>2*INT($AG$9/1000)</f>
        <v>2</v>
      </c>
      <c r="CG68" s="189">
        <f>CG71+(1+INT($AG$9+$AG$8)/1000)*(1+INT(AR70/10))+CG70</f>
        <v>55.919999999999995</v>
      </c>
      <c r="CH68" s="98">
        <f>IF(AW70="",0,AW70*8)</f>
        <v>320</v>
      </c>
      <c r="CI68" s="98">
        <f>AR70*8</f>
        <v>64</v>
      </c>
      <c r="CJ68" s="544">
        <f>IF(AW70="",0,AW70*8)</f>
        <v>320</v>
      </c>
      <c r="CK68" s="223">
        <f>IF(E72="不","",(CG68+CG69+CI68+CI69)*MAX(P70:W70)/L70)</f>
        <v>85.343999999999994</v>
      </c>
      <c r="CL68" s="223">
        <f>IF(E72="不","",SUM(CG71:CH71)+SUM(CG72:CH72)*MAX(P70:W70)/L70)</f>
        <v>162</v>
      </c>
      <c r="CM68" s="527" t="s">
        <v>7</v>
      </c>
      <c r="CN68" s="15"/>
      <c r="CO68" s="46" t="str">
        <f>Q72</f>
        <v>電子釦 0.4- 4Pr</v>
      </c>
      <c r="CP68" s="520">
        <f>AK72</f>
        <v>121.91999999999999</v>
      </c>
      <c r="CR68" s="519" t="str">
        <f>IF(CS68="","",IF($J$14="A","内線電話機"))</f>
        <v>内線電話機</v>
      </c>
      <c r="CS68" s="189">
        <f>BG70</f>
        <v>8</v>
      </c>
      <c r="CU68" s="8"/>
      <c r="CV68" s="197">
        <f t="shared" si="24"/>
        <v>6</v>
      </c>
      <c r="CW68" s="197" t="str">
        <f t="shared" si="25"/>
        <v/>
      </c>
      <c r="CX68" s="543" t="str">
        <f>CO67</f>
        <v>FCPEV 0.65-200Pr</v>
      </c>
      <c r="CY68" s="8"/>
      <c r="CZ68" s="249" t="str">
        <f>IF(COUNTIF($CX$17:$CX67,CX68)&gt;0,"",CX68)</f>
        <v/>
      </c>
      <c r="DA68" s="515">
        <f>CP67</f>
        <v>12</v>
      </c>
      <c r="DB68" s="514">
        <f>SUMIF($CX$20:$CX$182,CZ68,$DA$20:$DA$182)</f>
        <v>0</v>
      </c>
      <c r="DC68" s="8"/>
      <c r="DD68" s="8"/>
      <c r="DE68" s="197">
        <f t="shared" si="34"/>
        <v>14</v>
      </c>
      <c r="DF68" s="197" t="str">
        <f t="shared" si="35"/>
        <v/>
      </c>
      <c r="DG68" s="207" t="str">
        <f>CO71</f>
        <v>CD-28mm</v>
      </c>
      <c r="DH68" s="8"/>
      <c r="DI68" s="249" t="str">
        <f>IF(COUNTIF(DG$17:$DG67,DG68)&gt;0,"",DG68)</f>
        <v/>
      </c>
      <c r="DJ68" s="515">
        <f>CP71</f>
        <v>8</v>
      </c>
      <c r="DK68" s="514">
        <f t="shared" ref="DK68:DK74" si="36">SUMIF($DG$20:$DG$182,DI68,$DJ$20:$DJ$182)</f>
        <v>0</v>
      </c>
      <c r="DL68" s="8"/>
      <c r="DM68" s="8"/>
      <c r="DN68" s="197">
        <f>IF(DR68&lt;&gt;"",DN67+1,DN67)</f>
        <v>4</v>
      </c>
      <c r="DO68" s="197">
        <f t="shared" ref="DO68:DO73" si="37">IF(AND(DN68&lt;&gt;"",DS68&lt;&gt;""),DN68,"")</f>
        <v>4</v>
      </c>
      <c r="DP68" s="10" t="str">
        <f>CR67</f>
        <v>多機能内線電話機</v>
      </c>
      <c r="DQ68" s="8"/>
      <c r="DR68" s="249" t="str">
        <f>IF(COUNTIF(DP$18:$DP67,DP68)&gt;0,"",DP68)</f>
        <v/>
      </c>
      <c r="DS68" s="198">
        <f>CS67</f>
        <v>40</v>
      </c>
      <c r="DT68" s="514">
        <f t="shared" ref="DT68:DT73" si="38">SUMIF($DP$20:$DP$182,DR68,$DS$20:$DS$182)</f>
        <v>0</v>
      </c>
    </row>
    <row r="69" spans="1:124" ht="11.25" customHeight="1" thickBot="1">
      <c r="B69" s="23"/>
      <c r="C69" s="3011"/>
      <c r="D69" s="3012"/>
      <c r="E69" s="3013"/>
      <c r="F69" s="3039" t="s">
        <v>235</v>
      </c>
      <c r="G69" s="3040"/>
      <c r="H69" s="3041"/>
      <c r="I69" s="3039" t="s">
        <v>235</v>
      </c>
      <c r="J69" s="3040"/>
      <c r="K69" s="3041"/>
      <c r="L69" s="3039" t="s">
        <v>748</v>
      </c>
      <c r="M69" s="3040"/>
      <c r="N69" s="3040"/>
      <c r="O69" s="3042"/>
      <c r="P69" s="3043" t="s">
        <v>748</v>
      </c>
      <c r="Q69" s="3040"/>
      <c r="R69" s="3040"/>
      <c r="S69" s="3042"/>
      <c r="T69" s="3043" t="s">
        <v>748</v>
      </c>
      <c r="U69" s="3040"/>
      <c r="V69" s="3040"/>
      <c r="W69" s="3044"/>
      <c r="X69" s="3045" t="s">
        <v>111</v>
      </c>
      <c r="Y69" s="3046"/>
      <c r="Z69" s="3047"/>
      <c r="AA69" s="3001" t="s">
        <v>110</v>
      </c>
      <c r="AB69" s="3002"/>
      <c r="AC69" s="3003"/>
      <c r="AD69" s="3004" t="s">
        <v>695</v>
      </c>
      <c r="AE69" s="3005"/>
      <c r="AF69" s="3005"/>
      <c r="AG69" s="3006" t="s">
        <v>699</v>
      </c>
      <c r="AH69" s="3005"/>
      <c r="AI69" s="3007"/>
      <c r="AJ69" s="2928" t="s">
        <v>747</v>
      </c>
      <c r="AK69" s="2918"/>
      <c r="AL69" s="2918"/>
      <c r="AM69" s="2928" t="s">
        <v>746</v>
      </c>
      <c r="AN69" s="2918"/>
      <c r="AO69" s="2929"/>
      <c r="AP69" s="2956" t="s">
        <v>745</v>
      </c>
      <c r="AQ69" s="2957"/>
      <c r="AR69" s="2917" t="s">
        <v>744</v>
      </c>
      <c r="AS69" s="2918"/>
      <c r="AT69" s="2958" t="s">
        <v>3</v>
      </c>
      <c r="AU69" s="2959"/>
      <c r="AV69" s="2959"/>
      <c r="AW69" s="2959" t="s">
        <v>743</v>
      </c>
      <c r="AX69" s="2960"/>
      <c r="AY69" s="2928" t="s">
        <v>3</v>
      </c>
      <c r="AZ69" s="2918"/>
      <c r="BA69" s="2919"/>
      <c r="BB69" s="542" t="str">
        <f>IF(CA71="","","●")</f>
        <v>●</v>
      </c>
      <c r="BC69" s="2930" t="s">
        <v>742</v>
      </c>
      <c r="BD69" s="2930"/>
      <c r="BE69" s="2930"/>
      <c r="BF69" s="2931"/>
      <c r="BG69" s="542" t="str">
        <f>IF(CA72="","","●")</f>
        <v>●</v>
      </c>
      <c r="BH69" s="2930" t="s">
        <v>741</v>
      </c>
      <c r="BI69" s="2930"/>
      <c r="BJ69" s="2930"/>
      <c r="BK69" s="2931"/>
      <c r="BL69" s="542" t="str">
        <f>IF(CA73="","","●")</f>
        <v/>
      </c>
      <c r="BM69" s="2930" t="s">
        <v>764</v>
      </c>
      <c r="BN69" s="2930"/>
      <c r="BO69" s="2930"/>
      <c r="BP69" s="2932"/>
      <c r="BQ69" s="2974" t="s">
        <v>740</v>
      </c>
      <c r="BR69" s="2975"/>
      <c r="BS69" s="2975"/>
      <c r="BT69" s="2976"/>
      <c r="BU69" s="19"/>
      <c r="BX69" s="97" t="str">
        <f>IF(LEFT(C70,2)=" B",-MID(C70,3,1),IF(C70="  RF","",LEFT(C70,3)))</f>
        <v xml:space="preserve">  5</v>
      </c>
      <c r="BY69" s="541" t="str">
        <f>IF(OR(C70="",C70="  RF"),"",IF(LEFT(C70,1)="P","+",IF($BW$14&gt;BX69,"-",IF($BW$14=BX69,"=","+"))))</f>
        <v>+</v>
      </c>
      <c r="BZ69" s="2985" t="str">
        <f>"FCPEV 0.65-"&amp;CB68&amp;"Pr"</f>
        <v>FCPEV 0.65-200Pr</v>
      </c>
      <c r="CA69" s="2986"/>
      <c r="CB69" s="2986"/>
      <c r="CC69" s="2986"/>
      <c r="CD69" s="62"/>
      <c r="CE69" s="156" t="s">
        <v>763</v>
      </c>
      <c r="CF69" s="540">
        <f>F70</f>
        <v>4</v>
      </c>
      <c r="CG69" s="540">
        <f>CG72+(1+INT(AR70/10))*($AG$9+$AG$8)/1000</f>
        <v>2</v>
      </c>
      <c r="CH69" s="539"/>
      <c r="CI69" s="189">
        <f>CH72</f>
        <v>0</v>
      </c>
      <c r="CJ69" s="260"/>
      <c r="CK69" s="528">
        <f>IF(E73="不","",(CG68+CG69+CI68+CI69)*T70/L70)</f>
        <v>36.575999999999993</v>
      </c>
      <c r="CL69" s="528">
        <f>IF(E73="不","",SUM(CG71:CH71)+SUM(CG72:CH72)*T70/L70)</f>
        <v>162</v>
      </c>
      <c r="CM69" s="527" t="s">
        <v>8</v>
      </c>
      <c r="CN69" s="15"/>
      <c r="CO69" s="46" t="str">
        <f>Q73</f>
        <v>TIVF 0.8-2C</v>
      </c>
      <c r="CP69" s="520">
        <f>AK73</f>
        <v>640</v>
      </c>
      <c r="CR69" s="519" t="str">
        <f>IF(CS69="","",IF($J$14="A","PHSアンテナ"))</f>
        <v/>
      </c>
      <c r="CS69" s="189" t="str">
        <f>BL70</f>
        <v/>
      </c>
      <c r="CU69" s="8"/>
      <c r="CV69" s="197">
        <f t="shared" si="24"/>
        <v>6</v>
      </c>
      <c r="CW69" s="197" t="str">
        <f t="shared" si="25"/>
        <v/>
      </c>
      <c r="CX69" s="10" t="str">
        <f>CO68</f>
        <v>電子釦 0.4- 4Pr</v>
      </c>
      <c r="CY69" s="8"/>
      <c r="CZ69" s="249" t="str">
        <f>IF(COUNTIF($CZ$10:$CZ68,CX69)&gt;0,"",CX69)</f>
        <v/>
      </c>
      <c r="DA69" s="515">
        <f>CP68</f>
        <v>121.91999999999999</v>
      </c>
      <c r="DB69" s="514">
        <f>SUMIF($CX$20:$CX$182,CZ69,$DA$20:$DA$182)</f>
        <v>0</v>
      </c>
      <c r="DC69" s="8"/>
      <c r="DD69" s="8"/>
      <c r="DE69" s="197">
        <f t="shared" si="34"/>
        <v>14</v>
      </c>
      <c r="DF69" s="197" t="str">
        <f t="shared" si="35"/>
        <v/>
      </c>
      <c r="DG69" s="207" t="str">
        <f>CO72</f>
        <v>CD-22mm</v>
      </c>
      <c r="DH69" s="8"/>
      <c r="DI69" s="249" t="str">
        <f>IF(COUNTIF(DG$18:$DG68,DG69)&gt;0,"",DG69)</f>
        <v/>
      </c>
      <c r="DJ69" s="515">
        <f>CP72</f>
        <v>324</v>
      </c>
      <c r="DK69" s="514">
        <f t="shared" si="36"/>
        <v>0</v>
      </c>
      <c r="DL69" s="8"/>
      <c r="DM69" s="8"/>
      <c r="DN69" s="197">
        <f>IF(DR69&lt;&gt;"",DN68+1,DN68)</f>
        <v>4</v>
      </c>
      <c r="DO69" s="197">
        <f t="shared" si="37"/>
        <v>4</v>
      </c>
      <c r="DP69" s="207" t="str">
        <f>CR68</f>
        <v>内線電話機</v>
      </c>
      <c r="DQ69" s="8"/>
      <c r="DR69" s="249" t="str">
        <f>IF(COUNTIF(DP$18:$DP68,DP69)&gt;0,"",DP69)</f>
        <v/>
      </c>
      <c r="DS69" s="198">
        <f>CS68</f>
        <v>8</v>
      </c>
      <c r="DT69" s="514">
        <f t="shared" si="38"/>
        <v>0</v>
      </c>
    </row>
    <row r="70" spans="1:124" ht="10.5" customHeight="1" thickBot="1">
      <c r="B70" s="23"/>
      <c r="C70" s="2987" t="str">
        <f>IF($B$2=0,"",非誘!C54)</f>
        <v xml:space="preserve">  5F</v>
      </c>
      <c r="D70" s="2988"/>
      <c r="E70" s="2988"/>
      <c r="F70" s="2989">
        <f>IF($B$2=0,"",非誘!F54)</f>
        <v>4</v>
      </c>
      <c r="G70" s="2989"/>
      <c r="H70" s="2989"/>
      <c r="I70" s="2989">
        <f>IF($B$2=0,"",非誘!J54)</f>
        <v>3</v>
      </c>
      <c r="J70" s="2989"/>
      <c r="K70" s="2989"/>
      <c r="L70" s="2990">
        <f>IF($B$2=0,"",非誘!N54)</f>
        <v>1152</v>
      </c>
      <c r="M70" s="2990"/>
      <c r="N70" s="2990"/>
      <c r="O70" s="2990"/>
      <c r="P70" s="2991">
        <f>IF($B$2=0,"",非誘!S54)</f>
        <v>806.4</v>
      </c>
      <c r="Q70" s="2991"/>
      <c r="R70" s="2991"/>
      <c r="S70" s="2991"/>
      <c r="T70" s="2991">
        <f>IF($B$2=0,"",非誘!W54)</f>
        <v>345.6</v>
      </c>
      <c r="U70" s="2992"/>
      <c r="V70" s="2992"/>
      <c r="W70" s="2992"/>
      <c r="X70" s="2993">
        <f>IF($B$2=0,"",非誘!AA54)</f>
        <v>3</v>
      </c>
      <c r="Y70" s="2993"/>
      <c r="Z70" s="2993"/>
      <c r="AA70" s="2993">
        <f>IF($B$2=0,"",非誘!AD54)</f>
        <v>9</v>
      </c>
      <c r="AB70" s="2993"/>
      <c r="AC70" s="2994"/>
      <c r="AD70" s="2966">
        <f>IF($B$2=0,"",CB68*CC68)</f>
        <v>400</v>
      </c>
      <c r="AE70" s="2967"/>
      <c r="AF70" s="2968"/>
      <c r="AG70" s="2969">
        <f>IF($B$2=0,"",放送!CB65)</f>
        <v>0</v>
      </c>
      <c r="AH70" s="2967"/>
      <c r="AI70" s="2968"/>
      <c r="AJ70" s="2970" t="str">
        <f>IF($B$2=0,"",IF(TV!AE23="設置","Space","---"))</f>
        <v>Space</v>
      </c>
      <c r="AK70" s="2971"/>
      <c r="AL70" s="2971"/>
      <c r="AM70" s="2969"/>
      <c r="AN70" s="2967"/>
      <c r="AO70" s="2968"/>
      <c r="AP70" s="2972"/>
      <c r="AQ70" s="2973"/>
      <c r="AR70" s="2923">
        <f>IF($B$2=0,"",IF(AZ70="",CB72,AZ70))</f>
        <v>8</v>
      </c>
      <c r="AS70" s="2924"/>
      <c r="AT70" s="538" t="s">
        <v>106</v>
      </c>
      <c r="AU70" s="2946"/>
      <c r="AV70" s="2947"/>
      <c r="AW70" s="2923">
        <f>IF($B$2=0,"",IF(CA71="",0,IF(AZ70="",CB71,AZ70)))</f>
        <v>40</v>
      </c>
      <c r="AX70" s="2924"/>
      <c r="AY70" s="538" t="s">
        <v>106</v>
      </c>
      <c r="AZ70" s="2999"/>
      <c r="BA70" s="3000"/>
      <c r="BB70" s="2951">
        <f>IF(OR($J$14&lt;&gt;"A",CA71=""),"",IF(BE70&lt;&gt;"",BE70,CB71))</f>
        <v>40</v>
      </c>
      <c r="BC70" s="2952"/>
      <c r="BD70" s="537" t="s">
        <v>106</v>
      </c>
      <c r="BE70" s="2938"/>
      <c r="BF70" s="2938"/>
      <c r="BG70" s="2951">
        <f>IF(C70="","",IF(OR($J$14&lt;&gt;"A",CA72=""),"",IF(BJ70&lt;&gt;"",BE70,CB72)))</f>
        <v>8</v>
      </c>
      <c r="BH70" s="2952"/>
      <c r="BI70" s="537" t="s">
        <v>106</v>
      </c>
      <c r="BJ70" s="2938"/>
      <c r="BK70" s="2938"/>
      <c r="BL70" s="2951" t="str">
        <f>IF(OR($J$14&lt;&gt;"A",CA73=""),"",IF(BO70&lt;&gt;"",BO70,CB73))</f>
        <v/>
      </c>
      <c r="BM70" s="2952"/>
      <c r="BN70" s="537" t="s">
        <v>106</v>
      </c>
      <c r="BO70" s="2964"/>
      <c r="BP70" s="2965"/>
      <c r="BQ70" s="2939" t="str">
        <f>IF(BQ68="設置","Ｅt","")</f>
        <v/>
      </c>
      <c r="BR70" s="2845"/>
      <c r="BS70" s="2845"/>
      <c r="BT70" s="2940"/>
      <c r="BU70" s="19"/>
      <c r="BW70" s="89" t="str">
        <f>AP67</f>
        <v>Ⓖ</v>
      </c>
      <c r="BX70" s="263">
        <f>IF(C70="","",IF(BW70="Ⓐ",BX68+BY68+3,IF(BW70="Ⓑ",BX68*5/8+BY68+3,IF(BW70="Ⓒ",BX68/2+BY68+3,IF(BW70="Ⓓ",BX68+BY68*5/8+3,IF(BW70="Ⓔ",(BX68+BY68)*5/8+3,IF(BW70="Ⓕ",BX68/2+BY68*5/8+3,IF(BW70="Ⓖ",BX68+BY68/2+3,IF(BW70="Ⓗ",BX68*5/8+BY68/2+3,IF(BW70="Ⓘ",(BX68+BY68)/2+3))))))))))</f>
        <v>27</v>
      </c>
      <c r="BY70" s="86">
        <f>IF(C70="",0,IF(BY69="=",BZ67,IF(BY69="-",CA67,CB67)))</f>
        <v>387</v>
      </c>
      <c r="BZ70" s="156"/>
      <c r="CA70" s="536" t="str">
        <f>IF(CA68&lt;=30,"25",IF(CA68&lt;=50,"31",IF(CA68&lt;=100,"39",IF(CA68&lt;=200,"51",""))))</f>
        <v>31</v>
      </c>
      <c r="CB70" s="535" t="str">
        <f>IF(CA68&lt;=30,"22",IF(CA68&lt;=50,"28",IF(CA68&lt;=100,"36",IF(CA68&lt;=200,"42",""))))</f>
        <v>28</v>
      </c>
      <c r="CC70" s="122"/>
      <c r="CD70" s="534"/>
      <c r="CE70" s="156" t="s">
        <v>738</v>
      </c>
      <c r="CF70" s="533"/>
      <c r="CG70" s="189">
        <f>IF($B$2="","",IF($AQ$8=0,0,0.02*($AQ$8/1000-0.15-0.1)*(INT(1000*BX68/$AQ$9)+1)*(INT(1000*BY68/$AQ$9)+1)*4*(AR70+AW70)))</f>
        <v>25.919999999999995</v>
      </c>
      <c r="CH70" s="532"/>
      <c r="CI70" s="531"/>
      <c r="CJ70" s="15"/>
      <c r="CK70" s="528">
        <f>IF(E72="不","",SUM(CH68+CJ68)*MAX(P70:W70)/L70)</f>
        <v>448</v>
      </c>
      <c r="CL70" s="528">
        <f>IF(E72="不","",CJ71)</f>
        <v>200.20851011026986</v>
      </c>
      <c r="CM70" s="527" t="s">
        <v>7</v>
      </c>
      <c r="CN70" s="15"/>
      <c r="CO70" s="252" t="str">
        <f>IF(CP70="","","導入線 1.2mmφ")</f>
        <v>導入線 1.2mmφ</v>
      </c>
      <c r="CP70" s="184">
        <f>1.1*INT(SUM(CP71:CP73))</f>
        <v>585.20000000000005</v>
      </c>
      <c r="CR70" s="519" t="str">
        <f>IF(CS70="","",IF($J$14="A","PHS電話機"))</f>
        <v/>
      </c>
      <c r="CS70" s="189" t="str">
        <f>IF(CS69="","",INT(CS69*1.5))</f>
        <v/>
      </c>
      <c r="CU70" s="8"/>
      <c r="CV70" s="197">
        <f t="shared" si="24"/>
        <v>6</v>
      </c>
      <c r="CW70" s="197" t="str">
        <f t="shared" si="25"/>
        <v/>
      </c>
      <c r="CX70" s="10" t="str">
        <f>CO69</f>
        <v>TIVF 0.8-2C</v>
      </c>
      <c r="CY70" s="8"/>
      <c r="CZ70" s="249" t="str">
        <f>IF(COUNTIF($CZ$10:$CZ69,CX70)&gt;0,"",CX70)</f>
        <v/>
      </c>
      <c r="DA70" s="515">
        <f>CP69</f>
        <v>640</v>
      </c>
      <c r="DB70" s="514">
        <f>SUMIF($CX$20:$CX$182,CZ70,$DA$20:$DA$182)</f>
        <v>0</v>
      </c>
      <c r="DC70" s="8"/>
      <c r="DD70" s="8"/>
      <c r="DE70" s="197">
        <f t="shared" si="34"/>
        <v>14</v>
      </c>
      <c r="DF70" s="197" t="str">
        <f t="shared" si="35"/>
        <v/>
      </c>
      <c r="DG70" s="207" t="str">
        <f>CO73</f>
        <v>フロアダクト FC-6</v>
      </c>
      <c r="DH70" s="8"/>
      <c r="DI70" s="249" t="str">
        <f>IF(COUNTIF(DG$18:$DG69,DG70)&gt;0,"",DG70)</f>
        <v/>
      </c>
      <c r="DJ70" s="515">
        <f>CP73</f>
        <v>200.20851011026986</v>
      </c>
      <c r="DK70" s="514">
        <f t="shared" si="36"/>
        <v>0</v>
      </c>
      <c r="DL70" s="8"/>
      <c r="DM70" s="8"/>
      <c r="DN70" s="197">
        <f>IF(DR70&lt;&gt;"",DN69+1,DN69)</f>
        <v>4</v>
      </c>
      <c r="DO70" s="197" t="str">
        <f t="shared" si="37"/>
        <v/>
      </c>
      <c r="DP70" s="10" t="str">
        <f>CR69</f>
        <v/>
      </c>
      <c r="DQ70" s="8"/>
      <c r="DR70" s="249" t="str">
        <f>IF(COUNTIF(DP$18:$DP69,DP70)&gt;0,"",DP70)</f>
        <v/>
      </c>
      <c r="DS70" s="198" t="str">
        <f>CS69</f>
        <v/>
      </c>
      <c r="DT70" s="514">
        <f t="shared" si="38"/>
        <v>0</v>
      </c>
    </row>
    <row r="71" spans="1:124" ht="10.5" customHeight="1" thickBot="1">
      <c r="B71" s="23"/>
      <c r="C71" s="3048" t="s">
        <v>737</v>
      </c>
      <c r="D71" s="3049"/>
      <c r="E71" s="3049"/>
      <c r="F71" s="3049"/>
      <c r="G71" s="3049"/>
      <c r="H71" s="3049"/>
      <c r="I71" s="3049"/>
      <c r="J71" s="3050" t="s">
        <v>736</v>
      </c>
      <c r="K71" s="3051"/>
      <c r="L71" s="3051"/>
      <c r="M71" s="3051"/>
      <c r="N71" s="3052" t="s">
        <v>735</v>
      </c>
      <c r="O71" s="2891"/>
      <c r="P71" s="2892"/>
      <c r="Q71" s="3057" t="str">
        <f>IF(OR($B$2=0,$J$14="C"),"",IF(Z71="",BZ69,Z71))</f>
        <v>FCPEV 0.65-200Pr</v>
      </c>
      <c r="R71" s="3057"/>
      <c r="S71" s="3057"/>
      <c r="T71" s="3057"/>
      <c r="U71" s="3057"/>
      <c r="V71" s="3057"/>
      <c r="W71" s="3057"/>
      <c r="X71" s="3057"/>
      <c r="Y71" s="524" t="s">
        <v>106</v>
      </c>
      <c r="Z71" s="2902"/>
      <c r="AA71" s="2903"/>
      <c r="AB71" s="2903"/>
      <c r="AC71" s="2903"/>
      <c r="AD71" s="2903"/>
      <c r="AE71" s="2903"/>
      <c r="AF71" s="2903"/>
      <c r="AG71" s="2904"/>
      <c r="AH71" s="2877" t="s">
        <v>734</v>
      </c>
      <c r="AI71" s="2878"/>
      <c r="AJ71" s="2879"/>
      <c r="AK71" s="3058">
        <f>IF($B$2=0,"",IF(AP71&lt;&gt;"",AP71,IF($J$14="C","",SUM(CF68:CF69)*CC68)))</f>
        <v>12</v>
      </c>
      <c r="AL71" s="3058"/>
      <c r="AM71" s="3058"/>
      <c r="AN71" s="3058"/>
      <c r="AO71" s="524" t="s">
        <v>106</v>
      </c>
      <c r="AP71" s="2911"/>
      <c r="AQ71" s="2912"/>
      <c r="AR71" s="2912"/>
      <c r="AS71" s="2913"/>
      <c r="AT71" s="2890" t="s">
        <v>733</v>
      </c>
      <c r="AU71" s="2891"/>
      <c r="AV71" s="2892"/>
      <c r="AW71" s="2899" t="str">
        <f>IF($B$2=0,"",IF(BE71&lt;&gt;"",BE71,IF(BB67=2,"PF-"&amp;CB70&amp;"mm",IF(OR(BB67=3,BB67=6),"C-"&amp;CA70&amp;"mm",IF(OR(BB67=4,BB67=7),"G-"&amp;CB70&amp;"mm",IF(OR(BB67=1,BB67=5),"CD-"&amp;CB70&amp;"mm",""))))))</f>
        <v>CD-28mm</v>
      </c>
      <c r="AX71" s="2900"/>
      <c r="AY71" s="2900"/>
      <c r="AZ71" s="2900"/>
      <c r="BA71" s="2900"/>
      <c r="BB71" s="2900"/>
      <c r="BC71" s="2901"/>
      <c r="BD71" s="524" t="s">
        <v>106</v>
      </c>
      <c r="BE71" s="2902"/>
      <c r="BF71" s="2903"/>
      <c r="BG71" s="2903"/>
      <c r="BH71" s="2903"/>
      <c r="BI71" s="2903"/>
      <c r="BJ71" s="2904"/>
      <c r="BK71" s="2877" t="s">
        <v>732</v>
      </c>
      <c r="BL71" s="2878"/>
      <c r="BM71" s="2879"/>
      <c r="BN71" s="2914">
        <f>IF($B$2=0,"",IF(BR71="",CF72*CC68,BR71))</f>
        <v>8</v>
      </c>
      <c r="BO71" s="2915"/>
      <c r="BP71" s="2916"/>
      <c r="BQ71" s="524" t="s">
        <v>106</v>
      </c>
      <c r="BR71" s="3202"/>
      <c r="BS71" s="3203"/>
      <c r="BT71" s="3204"/>
      <c r="BU71" s="19"/>
      <c r="BX71" s="530"/>
      <c r="BY71" s="46"/>
      <c r="BZ71" s="106" t="s">
        <v>731</v>
      </c>
      <c r="CA71" s="529" t="str">
        <f>IF(P70="","",IF(OR(I67="(1) ロ",I67="( 4 )",I67="(5) イ",I67="(6) イ",I67="(6) ロ",I67="(6) ハ",I67="( 7 )",I67="( 8 )",I67="( 15)"),"1",""))</f>
        <v>1</v>
      </c>
      <c r="CB71" s="151">
        <f>IF(P70="",0,INT(P70/20))</f>
        <v>40</v>
      </c>
      <c r="CC71" s="122">
        <f>IF(CA71="",0,CB71)</f>
        <v>40</v>
      </c>
      <c r="CD71" s="6"/>
      <c r="CE71" s="156" t="s">
        <v>730</v>
      </c>
      <c r="CF71" s="189"/>
      <c r="CG71" s="189">
        <f>BX70*(1+INT(AR70/10))+CG73</f>
        <v>27</v>
      </c>
      <c r="CH71" s="189">
        <f>IF(AW70="",0,BX70*(1+INT(AW70/10)))</f>
        <v>135</v>
      </c>
      <c r="CI71" s="82" t="s">
        <v>729</v>
      </c>
      <c r="CJ71" s="98">
        <f>7.32*(AW70-2*SQRT(AW70))</f>
        <v>200.20851011026986</v>
      </c>
      <c r="CK71" s="528">
        <f>IF(E73="不","",SUM(CH68+CJ68)*T70/L70)</f>
        <v>192</v>
      </c>
      <c r="CL71" s="528">
        <f>CJ71</f>
        <v>200.20851011026986</v>
      </c>
      <c r="CM71" s="527" t="s">
        <v>8</v>
      </c>
      <c r="CN71" s="69"/>
      <c r="CO71" s="252" t="str">
        <f>AW71</f>
        <v>CD-28mm</v>
      </c>
      <c r="CP71" s="520">
        <f>BN71</f>
        <v>8</v>
      </c>
      <c r="CR71" s="519" t="str">
        <f>IF(CS71=0,"","C-OBox4角中深")</f>
        <v>C-OBox4角中深</v>
      </c>
      <c r="CS71" s="189">
        <f>IF($J$14="A",SUM(CS68:CS69),AR70)</f>
        <v>8</v>
      </c>
      <c r="CU71" s="8"/>
      <c r="CV71" s="197">
        <f t="shared" si="24"/>
        <v>6</v>
      </c>
      <c r="CW71" s="197" t="str">
        <f t="shared" si="25"/>
        <v/>
      </c>
      <c r="CX71" s="207" t="str">
        <f>IF(BQ70="","","IV-14sq")</f>
        <v/>
      </c>
      <c r="CY71" s="8"/>
      <c r="CZ71" s="249" t="str">
        <f>IF(COUNTIF($CZ$10:$CZ70,CX71)&gt;0,"",CX71)</f>
        <v/>
      </c>
      <c r="DA71" s="515" t="str">
        <f>IF(BQ70="","",BX70+BY68+15)</f>
        <v/>
      </c>
      <c r="DB71" s="514">
        <f>SUMIF($CX$20:$CX$182,CZ71,$DA$20:$DA$182)</f>
        <v>0</v>
      </c>
      <c r="DD71" s="8"/>
      <c r="DE71" s="197">
        <f>IF(DJ71&lt;&gt;"",DE70+1,DE70)</f>
        <v>14</v>
      </c>
      <c r="DF71" s="197" t="str">
        <f>IF(AND(DE71&lt;&gt;"",DJ71&lt;&gt;""),DE71,"")</f>
        <v/>
      </c>
      <c r="DG71" s="207"/>
      <c r="DH71" s="8"/>
      <c r="DI71" s="249"/>
      <c r="DJ71" s="515"/>
      <c r="DK71" s="514">
        <f t="shared" si="36"/>
        <v>0</v>
      </c>
      <c r="DM71" s="8"/>
      <c r="DN71" s="197">
        <f>IF(DR71&lt;&gt;"",DN70+1,DN70)</f>
        <v>4</v>
      </c>
      <c r="DO71" s="197" t="str">
        <f t="shared" si="37"/>
        <v/>
      </c>
      <c r="DP71" s="10" t="str">
        <f>CR70</f>
        <v/>
      </c>
      <c r="DQ71" s="8"/>
      <c r="DR71" s="249" t="str">
        <f>IF(COUNTIF(DP$18:$DP70,DP71)&gt;0,"",DP71)</f>
        <v/>
      </c>
      <c r="DS71" s="198" t="str">
        <f>CS70</f>
        <v/>
      </c>
      <c r="DT71" s="514">
        <f t="shared" si="38"/>
        <v>0</v>
      </c>
    </row>
    <row r="72" spans="1:124" ht="10.5" customHeight="1">
      <c r="B72" s="23"/>
      <c r="C72" s="3205" t="s">
        <v>728</v>
      </c>
      <c r="D72" s="3205"/>
      <c r="E72" s="3016" t="str">
        <f>IF($D$9="不要","不",IF(H72="","要",H72))</f>
        <v>要</v>
      </c>
      <c r="F72" s="3016"/>
      <c r="G72" s="523" t="s">
        <v>724</v>
      </c>
      <c r="H72" s="3017"/>
      <c r="I72" s="3018"/>
      <c r="J72" s="3019" t="s">
        <v>727</v>
      </c>
      <c r="K72" s="3020"/>
      <c r="L72" s="3020"/>
      <c r="M72" s="3021"/>
      <c r="N72" s="3053"/>
      <c r="O72" s="2894"/>
      <c r="P72" s="2895"/>
      <c r="Q72" s="3025" t="str">
        <f>IF(OR($B$2=0,$J$14="C"),"",IF(Z72&lt;&gt;"",Z72,"電子釦 0.4- 4Pr"))</f>
        <v>電子釦 0.4- 4Pr</v>
      </c>
      <c r="R72" s="2933"/>
      <c r="S72" s="2933"/>
      <c r="T72" s="2933"/>
      <c r="U72" s="2933"/>
      <c r="V72" s="2933"/>
      <c r="W72" s="2933"/>
      <c r="X72" s="2934"/>
      <c r="Y72" s="526" t="s">
        <v>724</v>
      </c>
      <c r="Z72" s="3026"/>
      <c r="AA72" s="3027"/>
      <c r="AB72" s="3027"/>
      <c r="AC72" s="3027"/>
      <c r="AD72" s="3027"/>
      <c r="AE72" s="3027"/>
      <c r="AF72" s="3027"/>
      <c r="AG72" s="3028"/>
      <c r="AH72" s="2880" t="s">
        <v>725</v>
      </c>
      <c r="AI72" s="2881"/>
      <c r="AJ72" s="2882"/>
      <c r="AK72" s="2995">
        <f>IF($B$2=0,"",IF(AP72&lt;&gt;"",AP72,IF($J$14="C","",SUM(CK68:CK69))))</f>
        <v>121.91999999999999</v>
      </c>
      <c r="AL72" s="2995"/>
      <c r="AM72" s="2995"/>
      <c r="AN72" s="2995"/>
      <c r="AO72" s="526" t="s">
        <v>724</v>
      </c>
      <c r="AP72" s="2996"/>
      <c r="AQ72" s="2997"/>
      <c r="AR72" s="2997"/>
      <c r="AS72" s="2998"/>
      <c r="AT72" s="2893"/>
      <c r="AU72" s="2894"/>
      <c r="AV72" s="2895"/>
      <c r="AW72" s="2933" t="str">
        <f>IF($B$2=0,"",IF(BE72&lt;&gt;"",BE72,IF(BB67=2,"PF-22mm",IF(OR(BB67=3,BB67=6),"C-25mm",IF(OR(BB67=4,BB67=7),"G-22mm",IF(OR(BB67=1,BB67=5),"CD-22mm",""))))))</f>
        <v>CD-22mm</v>
      </c>
      <c r="AX72" s="2933"/>
      <c r="AY72" s="2933"/>
      <c r="AZ72" s="2933"/>
      <c r="BA72" s="2933"/>
      <c r="BB72" s="2933"/>
      <c r="BC72" s="2934"/>
      <c r="BD72" s="526" t="s">
        <v>724</v>
      </c>
      <c r="BE72" s="2935"/>
      <c r="BF72" s="2936"/>
      <c r="BG72" s="2936"/>
      <c r="BH72" s="2936"/>
      <c r="BI72" s="2936"/>
      <c r="BJ72" s="2937"/>
      <c r="BK72" s="2880" t="s">
        <v>725</v>
      </c>
      <c r="BL72" s="2881"/>
      <c r="BM72" s="2882"/>
      <c r="BN72" s="2948">
        <f>IF($B$2=0,"",IF(BR72="",SUM(CL68:CL69),BR72))</f>
        <v>324</v>
      </c>
      <c r="BO72" s="2949"/>
      <c r="BP72" s="2950"/>
      <c r="BQ72" s="525" t="s">
        <v>724</v>
      </c>
      <c r="BR72" s="3029"/>
      <c r="BS72" s="3030"/>
      <c r="BT72" s="3031"/>
      <c r="BU72" s="19"/>
      <c r="BX72" s="49">
        <f>1+INT(L70/600)</f>
        <v>2</v>
      </c>
      <c r="BY72" s="46"/>
      <c r="BZ72" s="106" t="s">
        <v>723</v>
      </c>
      <c r="CA72" s="522" t="str">
        <f>"1"</f>
        <v>1</v>
      </c>
      <c r="CB72" s="151">
        <f>IF(CA71="",INT(T70/40)+CB71,INT(T70/40))</f>
        <v>8</v>
      </c>
      <c r="CC72" s="122">
        <f>IF(CB72="",0,CB72)</f>
        <v>8</v>
      </c>
      <c r="CD72" s="6"/>
      <c r="CE72" s="156" t="s">
        <v>722</v>
      </c>
      <c r="CF72" s="189">
        <f>F70</f>
        <v>4</v>
      </c>
      <c r="CG72" s="189">
        <f>IF(BB67&lt;=4,(2*F70-(R56+R58)/1000)*AR70,((R57+R58)/1000)*AR70)</f>
        <v>0</v>
      </c>
      <c r="CH72" s="189">
        <f>2*(R58/1000)*AR70</f>
        <v>0</v>
      </c>
      <c r="CI72" s="82" t="s">
        <v>721</v>
      </c>
      <c r="CJ72" s="86">
        <f>AW70</f>
        <v>40</v>
      </c>
      <c r="CK72" s="38"/>
      <c r="CL72" s="38"/>
      <c r="CM72" s="38"/>
      <c r="CN72" s="38"/>
      <c r="CO72" s="252" t="str">
        <f>AW72</f>
        <v>CD-22mm</v>
      </c>
      <c r="CP72" s="520">
        <f>BN72</f>
        <v>324</v>
      </c>
      <c r="CR72" s="519" t="str">
        <f>IF(CS72="","",IF(LEFT(AW73,1)="フ","ジャンクションボックス 2Duct","C-OBox4角大深"))</f>
        <v>ジャンクションボックス 2Duct</v>
      </c>
      <c r="CS72" s="189">
        <f>IF(AW70=0,"",AW70)</f>
        <v>40</v>
      </c>
      <c r="CU72" s="8"/>
      <c r="CV72" s="197">
        <f t="shared" si="24"/>
        <v>6</v>
      </c>
      <c r="CW72" s="197" t="str">
        <f t="shared" si="25"/>
        <v/>
      </c>
      <c r="CX72" s="207" t="str">
        <f>IF(BQ70="","","VE-22mm")</f>
        <v/>
      </c>
      <c r="CY72" s="8"/>
      <c r="CZ72" s="249" t="str">
        <f>IF(COUNTIF($CZ$10:$CZ71,CX72)&gt;0,"",CX72)</f>
        <v/>
      </c>
      <c r="DA72" s="515" t="str">
        <f>IF(BQ70="","",DA71-10)</f>
        <v/>
      </c>
      <c r="DB72" s="514">
        <f>SUMIF($CX$20:$CX$182,CZ72,$DA$20:$DA$182)</f>
        <v>0</v>
      </c>
      <c r="DD72" s="8"/>
      <c r="DE72" s="197">
        <f t="shared" ref="DE72:DE78" si="39">IF(DI72&lt;&gt;"",DE71+1,DE71)</f>
        <v>14</v>
      </c>
      <c r="DF72" s="197" t="str">
        <f t="shared" ref="DF72:DF78" si="40">IF(AND(DE72&lt;&gt;"",DI72&lt;&gt;""),DE72,"")</f>
        <v/>
      </c>
      <c r="DG72" s="207" t="str">
        <f>CR71</f>
        <v>C-OBox4角中深</v>
      </c>
      <c r="DH72" s="8"/>
      <c r="DI72" s="249" t="str">
        <f>IF(COUNTIF(DG$18:$DG71,DG72)&gt;0,"",DG72)</f>
        <v/>
      </c>
      <c r="DJ72" s="515">
        <f>CS71</f>
        <v>8</v>
      </c>
      <c r="DK72" s="514">
        <f t="shared" si="36"/>
        <v>0</v>
      </c>
      <c r="DM72" s="8"/>
      <c r="DN72" s="197">
        <f>IF(DS72&lt;&gt;"",DN71+1,DN71)</f>
        <v>4</v>
      </c>
      <c r="DO72" s="197" t="str">
        <f t="shared" si="37"/>
        <v/>
      </c>
      <c r="DP72" s="10" t="str">
        <f>IF(BQ68="","","電話交換機")</f>
        <v/>
      </c>
      <c r="DQ72" s="8"/>
      <c r="DR72" s="249" t="str">
        <f>IF(COUNTIF(DP$18:$DP71,DP72)&gt;0,"",DP72)</f>
        <v/>
      </c>
      <c r="DS72" s="198" t="str">
        <f>IF(DP72&lt;&gt;"",1,"")</f>
        <v/>
      </c>
      <c r="DT72" s="514">
        <f t="shared" si="38"/>
        <v>0</v>
      </c>
    </row>
    <row r="73" spans="1:124" ht="10.5" customHeight="1">
      <c r="B73" s="23"/>
      <c r="C73" s="2959" t="s">
        <v>720</v>
      </c>
      <c r="D73" s="2959"/>
      <c r="E73" s="3016" t="str">
        <f>IF($D$9="不要","不",IF(H73="","要",H73))</f>
        <v>要</v>
      </c>
      <c r="F73" s="3016"/>
      <c r="G73" s="525" t="s">
        <v>103</v>
      </c>
      <c r="H73" s="3017"/>
      <c r="I73" s="3018"/>
      <c r="J73" s="3022"/>
      <c r="K73" s="3023"/>
      <c r="L73" s="3023"/>
      <c r="M73" s="3024"/>
      <c r="N73" s="3054"/>
      <c r="O73" s="3055"/>
      <c r="P73" s="3056"/>
      <c r="Q73" s="3201" t="str">
        <f>IF($B$2=0,"",IF(Z73&lt;&gt;"",Z73,"TIVF 0.8-2C"))</f>
        <v>TIVF 0.8-2C</v>
      </c>
      <c r="R73" s="3201"/>
      <c r="S73" s="3201"/>
      <c r="T73" s="3201"/>
      <c r="U73" s="3201"/>
      <c r="V73" s="3201"/>
      <c r="W73" s="3201"/>
      <c r="X73" s="3201"/>
      <c r="Y73" s="524" t="s">
        <v>103</v>
      </c>
      <c r="Z73" s="2941"/>
      <c r="AA73" s="2942"/>
      <c r="AB73" s="2942"/>
      <c r="AC73" s="2942"/>
      <c r="AD73" s="2942"/>
      <c r="AE73" s="2942"/>
      <c r="AF73" s="2942"/>
      <c r="AG73" s="3199"/>
      <c r="AH73" s="2883" t="s">
        <v>235</v>
      </c>
      <c r="AI73" s="2884"/>
      <c r="AJ73" s="2885"/>
      <c r="AK73" s="2953">
        <f>IF($B$2=0,"",IF(AP73&lt;&gt;"",AP73,IF($J$14="C","",SUM(CK70:CK71))))</f>
        <v>640</v>
      </c>
      <c r="AL73" s="2954"/>
      <c r="AM73" s="2954"/>
      <c r="AN73" s="2955"/>
      <c r="AO73" s="524" t="s">
        <v>103</v>
      </c>
      <c r="AP73" s="2911"/>
      <c r="AQ73" s="2912"/>
      <c r="AR73" s="2912"/>
      <c r="AS73" s="2913"/>
      <c r="AT73" s="2896"/>
      <c r="AU73" s="2897"/>
      <c r="AV73" s="2898"/>
      <c r="AW73" s="2939" t="str">
        <f>IF($B$2=0,"",IF(BN73="","",IF(BE73="","フロアダクト FC-6",BE73)))</f>
        <v>フロアダクト FC-6</v>
      </c>
      <c r="AX73" s="2845"/>
      <c r="AY73" s="2845"/>
      <c r="AZ73" s="2845"/>
      <c r="BA73" s="2845"/>
      <c r="BB73" s="2845"/>
      <c r="BC73" s="2940"/>
      <c r="BD73" s="524" t="s">
        <v>103</v>
      </c>
      <c r="BE73" s="2941"/>
      <c r="BF73" s="2942"/>
      <c r="BG73" s="2942"/>
      <c r="BH73" s="2942"/>
      <c r="BI73" s="2942"/>
      <c r="BJ73" s="2942"/>
      <c r="BK73" s="2883" t="s">
        <v>235</v>
      </c>
      <c r="BL73" s="2884"/>
      <c r="BM73" s="2885"/>
      <c r="BN73" s="2943">
        <f>IF($B$2=0,"",IF(BR73="",MAX(CL70:CL71),BR73))</f>
        <v>200.20851011026986</v>
      </c>
      <c r="BO73" s="2944"/>
      <c r="BP73" s="2945"/>
      <c r="BQ73" s="523" t="s">
        <v>103</v>
      </c>
      <c r="BR73" s="3200"/>
      <c r="BS73" s="3200"/>
      <c r="BT73" s="3200"/>
      <c r="BU73" s="19"/>
      <c r="BX73" s="47"/>
      <c r="BZ73" s="106" t="s">
        <v>766</v>
      </c>
      <c r="CA73" s="522" t="str">
        <f>IF(OR(I67="( 10)",I67="(12)イ"),"1","")</f>
        <v/>
      </c>
      <c r="CB73" s="151" t="str">
        <f>IF(CA73="","",INT(P70/200))</f>
        <v/>
      </c>
      <c r="CC73" s="122">
        <f>IF(CB73="",0,CB73)</f>
        <v>0</v>
      </c>
      <c r="CE73" s="156" t="s">
        <v>716</v>
      </c>
      <c r="CF73" s="521"/>
      <c r="CG73" s="189">
        <f>IF($AQ$8=0,1.5*2*(1+INT(2*BX68/($AQ$9/1000)))*(1+INT(2*BY68/($AQ$9/1000))),0)</f>
        <v>0</v>
      </c>
      <c r="CH73" s="82"/>
      <c r="CI73" s="82" t="s">
        <v>765</v>
      </c>
      <c r="CJ73" s="107">
        <f>AR70</f>
        <v>8</v>
      </c>
      <c r="CK73" s="12"/>
      <c r="CL73" s="12"/>
      <c r="CM73" s="12"/>
      <c r="CN73" s="12"/>
      <c r="CO73" s="252" t="str">
        <f>AW73</f>
        <v>フロアダクト FC-6</v>
      </c>
      <c r="CP73" s="520">
        <f>BN73</f>
        <v>200.20851011026986</v>
      </c>
      <c r="CR73" s="519" t="str">
        <f>IF(CS73="","","ローテンションアウトレット")</f>
        <v>ローテンションアウトレット</v>
      </c>
      <c r="CS73" s="189">
        <f>CS67</f>
        <v>40</v>
      </c>
      <c r="CV73" s="197">
        <f t="shared" si="24"/>
        <v>6</v>
      </c>
      <c r="CW73" s="197" t="str">
        <f t="shared" si="25"/>
        <v/>
      </c>
      <c r="CX73" s="207"/>
      <c r="CY73" s="24"/>
      <c r="DA73" s="515"/>
      <c r="DB73" s="516"/>
      <c r="DE73" s="197">
        <f t="shared" si="39"/>
        <v>14</v>
      </c>
      <c r="DF73" s="197" t="str">
        <f t="shared" si="40"/>
        <v/>
      </c>
      <c r="DG73" s="207" t="str">
        <f>CR72</f>
        <v>ジャンクションボックス 2Duct</v>
      </c>
      <c r="DH73" s="24"/>
      <c r="DI73" s="249" t="str">
        <f>IF(COUNTIF(DG$18:$DG72,DG73)&gt;0,"",DG73)</f>
        <v/>
      </c>
      <c r="DJ73" s="515">
        <f>CS72</f>
        <v>40</v>
      </c>
      <c r="DK73" s="514">
        <f t="shared" si="36"/>
        <v>0</v>
      </c>
      <c r="DN73" s="197">
        <f>IF(DS73&lt;&gt;"",DN72+1,DN72)</f>
        <v>4</v>
      </c>
      <c r="DO73" s="197" t="str">
        <f t="shared" si="37"/>
        <v/>
      </c>
      <c r="DP73" s="10" t="str">
        <f>IF(BQ70="","","接地工事 Et")</f>
        <v/>
      </c>
      <c r="DQ73" s="24"/>
      <c r="DR73" s="249" t="str">
        <f>IF(COUNTIF(DP$18:$DP72,DP73)&gt;0,"",DP73)</f>
        <v/>
      </c>
      <c r="DS73" s="198" t="str">
        <f>IF(DP73&lt;&gt;"",1,"")</f>
        <v/>
      </c>
      <c r="DT73" s="514">
        <f t="shared" si="38"/>
        <v>0</v>
      </c>
    </row>
    <row r="74" spans="1:124" ht="7.5" customHeight="1">
      <c r="B74" s="23"/>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19"/>
      <c r="BZ74" s="114" t="str">
        <f>"="</f>
        <v>=</v>
      </c>
      <c r="CA74" s="114" t="str">
        <f>"－"</f>
        <v>－</v>
      </c>
      <c r="CB74" s="114" t="str">
        <f>"+"</f>
        <v>+</v>
      </c>
      <c r="CP74" s="555"/>
      <c r="CV74" s="197">
        <f t="shared" si="24"/>
        <v>6</v>
      </c>
      <c r="CW74" s="197" t="str">
        <f t="shared" si="25"/>
        <v/>
      </c>
      <c r="CY74" s="24"/>
      <c r="DA74" s="516"/>
      <c r="DB74" s="516"/>
      <c r="DE74" s="197">
        <f t="shared" si="39"/>
        <v>14</v>
      </c>
      <c r="DF74" s="197" t="str">
        <f t="shared" si="40"/>
        <v/>
      </c>
      <c r="DG74" s="207" t="str">
        <f>CR73</f>
        <v>ローテンションアウトレット</v>
      </c>
      <c r="DH74" s="24"/>
      <c r="DI74" s="249" t="str">
        <f>IF(COUNTIF(DG$18:$DG73,DG74)&gt;0,"",DG74)</f>
        <v/>
      </c>
      <c r="DJ74" s="515">
        <f>CS73</f>
        <v>40</v>
      </c>
      <c r="DK74" s="514">
        <f t="shared" si="36"/>
        <v>0</v>
      </c>
      <c r="DN74" s="197">
        <f>IF(DS74&lt;&gt;"",DN73+1,DN73)</f>
        <v>4</v>
      </c>
      <c r="DO74" s="197" t="str">
        <f>IF(AND(DN74&lt;&gt;"",DR74&lt;&gt;""),DN74,"")</f>
        <v/>
      </c>
      <c r="DP74" s="201"/>
      <c r="DQ74" s="24"/>
      <c r="DR74" s="249"/>
      <c r="DS74" s="198"/>
      <c r="DT74" s="514"/>
    </row>
    <row r="75" spans="1:124" ht="11.25" customHeight="1" thickBot="1">
      <c r="A75" s="46"/>
      <c r="B75" s="23"/>
      <c r="C75" s="3032" t="s">
        <v>112</v>
      </c>
      <c r="D75" s="3032"/>
      <c r="E75" s="3032"/>
      <c r="F75" s="3032"/>
      <c r="G75" s="3032"/>
      <c r="H75" s="3032"/>
      <c r="I75" s="3033" t="str">
        <f>非誘!J58</f>
        <v>( 4 )</v>
      </c>
      <c r="J75" s="3033"/>
      <c r="K75" s="3033"/>
      <c r="L75" s="3034"/>
      <c r="M75" s="3035" t="str">
        <f>非誘!M58</f>
        <v>百貨店等</v>
      </c>
      <c r="N75" s="2961"/>
      <c r="O75" s="2961"/>
      <c r="P75" s="2961"/>
      <c r="Q75" s="2961"/>
      <c r="R75" s="2961"/>
      <c r="S75" s="2961"/>
      <c r="T75" s="2961"/>
      <c r="U75" s="2961"/>
      <c r="V75" s="2961"/>
      <c r="W75" s="3036"/>
      <c r="X75" s="3037" t="s">
        <v>232</v>
      </c>
      <c r="Y75" s="3037"/>
      <c r="Z75" s="3037"/>
      <c r="AA75" s="3037"/>
      <c r="AB75" s="3038"/>
      <c r="AC75" s="2977" t="str">
        <f>非誘!AA58</f>
        <v>A</v>
      </c>
      <c r="AD75" s="2978"/>
      <c r="AE75" s="2917" t="s">
        <v>760</v>
      </c>
      <c r="AF75" s="2918"/>
      <c r="AG75" s="2918"/>
      <c r="AH75" s="2918"/>
      <c r="AI75" s="2919"/>
      <c r="AJ75" s="2979">
        <f>非誘!J59</f>
        <v>0.5</v>
      </c>
      <c r="AK75" s="2980"/>
      <c r="AL75" s="2981"/>
      <c r="AM75" s="2917" t="s">
        <v>759</v>
      </c>
      <c r="AN75" s="2918"/>
      <c r="AO75" s="2919"/>
      <c r="AP75" s="2920" t="str">
        <f>IF(OR($B$2=0,AS75=""),$BO$14,AS75)</f>
        <v>Ⓖ</v>
      </c>
      <c r="AQ75" s="2920"/>
      <c r="AR75" s="554" t="s">
        <v>103</v>
      </c>
      <c r="AS75" s="2921"/>
      <c r="AT75" s="2922"/>
      <c r="AU75" s="2875" t="s">
        <v>757</v>
      </c>
      <c r="AV75" s="2875"/>
      <c r="AW75" s="2875"/>
      <c r="AX75" s="2875"/>
      <c r="AY75" s="2875"/>
      <c r="AZ75" s="2875"/>
      <c r="BA75" s="2876"/>
      <c r="BB75" s="553">
        <f>IF(BC75="天井ケーブル",1,IF(BC75="天井(PF管)",2,IF(BC75="天井(C管)",3,IF(BC75="天井(G管)",4,IF(BC75="床(CD管)",5,IF(BC75="床(C管)",6,IF(BC75="床(G管)",7,"")))))))</f>
        <v>5</v>
      </c>
      <c r="BC75" s="2961" t="str">
        <f>IF($B$2=0,"",IF(BK75&lt;&gt;"",BK75,IF(I78="直天","天井(C管)","床(CD管)")))</f>
        <v>床(CD管)</v>
      </c>
      <c r="BD75" s="2962"/>
      <c r="BE75" s="2962"/>
      <c r="BF75" s="2962"/>
      <c r="BG75" s="2962"/>
      <c r="BH75" s="2962"/>
      <c r="BI75" s="2963"/>
      <c r="BJ75" s="552" t="s">
        <v>103</v>
      </c>
      <c r="BK75" s="2905"/>
      <c r="BL75" s="2906"/>
      <c r="BM75" s="2906"/>
      <c r="BN75" s="2906"/>
      <c r="BO75" s="2906"/>
      <c r="BP75" s="2907"/>
      <c r="BQ75" s="2982" t="s">
        <v>755</v>
      </c>
      <c r="BR75" s="2983"/>
      <c r="BS75" s="2983"/>
      <c r="BT75" s="2984"/>
      <c r="BU75" s="19"/>
      <c r="BV75" s="8">
        <v>8</v>
      </c>
      <c r="BX75" s="55" t="s">
        <v>229</v>
      </c>
      <c r="BY75" s="55" t="s">
        <v>228</v>
      </c>
      <c r="BZ75" s="534">
        <f>BY70+BY87+CA76</f>
        <v>726</v>
      </c>
      <c r="CA75" s="534">
        <f>CA76+BY70</f>
        <v>435</v>
      </c>
      <c r="CB75" s="38">
        <f>BY87+CA76</f>
        <v>339</v>
      </c>
      <c r="CC75" s="69"/>
      <c r="CD75" s="534"/>
      <c r="CE75" s="534"/>
      <c r="CF75" s="143" t="s">
        <v>754</v>
      </c>
      <c r="CG75" s="143" t="s">
        <v>753</v>
      </c>
      <c r="CH75" s="143" t="s">
        <v>753</v>
      </c>
      <c r="CI75" s="551" t="s">
        <v>752</v>
      </c>
      <c r="CJ75" s="551" t="s">
        <v>752</v>
      </c>
      <c r="CK75" s="550" t="s">
        <v>734</v>
      </c>
      <c r="CL75" s="550" t="s">
        <v>732</v>
      </c>
      <c r="CM75" s="46"/>
      <c r="CO75" s="46" t="str">
        <f>Q79</f>
        <v>FCPEV 0.65-200Pr</v>
      </c>
      <c r="CP75" s="520">
        <f>AK79</f>
        <v>12</v>
      </c>
      <c r="CR75" s="519" t="str">
        <f>IF(CS75="","",IF($J$14="A","多機能内線電話機",""))</f>
        <v>多機能内線電話機</v>
      </c>
      <c r="CS75" s="189">
        <f>BB78</f>
        <v>40</v>
      </c>
      <c r="CU75" s="88">
        <v>8</v>
      </c>
      <c r="CV75" s="204">
        <f t="shared" si="24"/>
        <v>6</v>
      </c>
      <c r="CW75" s="155" t="str">
        <f t="shared" si="25"/>
        <v/>
      </c>
      <c r="CX75" s="45"/>
      <c r="CY75" s="45"/>
      <c r="CZ75" s="45"/>
      <c r="DA75" s="45"/>
      <c r="DB75" s="45"/>
      <c r="DD75" s="88">
        <v>8</v>
      </c>
      <c r="DE75" s="204">
        <f t="shared" si="39"/>
        <v>14</v>
      </c>
      <c r="DF75" s="155" t="str">
        <f t="shared" si="40"/>
        <v/>
      </c>
      <c r="DG75" s="549" t="str">
        <f>CO70</f>
        <v>導入線 1.2mmφ</v>
      </c>
      <c r="DH75" s="45"/>
      <c r="DI75" s="153" t="str">
        <f>IF(COUNTIF(DG$9:$DG74,DG75)&gt;0,"",DG75)</f>
        <v/>
      </c>
      <c r="DJ75" s="155">
        <f>CP70</f>
        <v>585.20000000000005</v>
      </c>
      <c r="DK75" s="548">
        <f>SUMIF($DG$11:$DG$182,DI75,$DJ$11:$DJ$182)</f>
        <v>0</v>
      </c>
      <c r="DM75" s="88">
        <v>8</v>
      </c>
      <c r="DN75" s="204">
        <f>IF(DS75&lt;&gt;"",DN74+1,DN74)</f>
        <v>4</v>
      </c>
      <c r="DO75" s="155" t="str">
        <f>IF(AND(DN75&lt;&gt;"",DR75&lt;&gt;""),DN75,"")</f>
        <v/>
      </c>
      <c r="DP75" s="45"/>
      <c r="DQ75" s="45"/>
      <c r="DR75" s="45"/>
      <c r="DS75" s="45"/>
      <c r="DT75" s="45"/>
    </row>
    <row r="76" spans="1:124" ht="11.25" customHeight="1" thickBot="1">
      <c r="B76" s="23"/>
      <c r="C76" s="3008" t="s">
        <v>4</v>
      </c>
      <c r="D76" s="3009"/>
      <c r="E76" s="3010"/>
      <c r="F76" s="3014" t="s">
        <v>22</v>
      </c>
      <c r="G76" s="2983"/>
      <c r="H76" s="3015"/>
      <c r="I76" s="2982" t="s">
        <v>132</v>
      </c>
      <c r="J76" s="2983"/>
      <c r="K76" s="3015"/>
      <c r="L76" s="2982" t="s">
        <v>6</v>
      </c>
      <c r="M76" s="2983"/>
      <c r="N76" s="2983"/>
      <c r="O76" s="2984"/>
      <c r="P76" s="3014" t="s">
        <v>7</v>
      </c>
      <c r="Q76" s="2983"/>
      <c r="R76" s="2983"/>
      <c r="S76" s="2984"/>
      <c r="T76" s="3014" t="s">
        <v>8</v>
      </c>
      <c r="U76" s="2983"/>
      <c r="V76" s="2983"/>
      <c r="W76" s="2984"/>
      <c r="X76" s="3014" t="s">
        <v>9</v>
      </c>
      <c r="Y76" s="2983"/>
      <c r="Z76" s="3015"/>
      <c r="AA76" s="2982" t="s">
        <v>9</v>
      </c>
      <c r="AB76" s="2983"/>
      <c r="AC76" s="2984"/>
      <c r="AD76" s="2974" t="s">
        <v>708</v>
      </c>
      <c r="AE76" s="2975"/>
      <c r="AF76" s="2975"/>
      <c r="AG76" s="2975"/>
      <c r="AH76" s="2975"/>
      <c r="AI76" s="2975"/>
      <c r="AJ76" s="2975"/>
      <c r="AK76" s="2975"/>
      <c r="AL76" s="2930" t="str">
        <f>IF(BX80=1,"T-"&amp;LEFT(C78,3)&amp;"-1","T-"&amp;LEFT(C78,3)&amp;"-1～"&amp;BX80)</f>
        <v>T-  6-1～2</v>
      </c>
      <c r="AM76" s="2930"/>
      <c r="AN76" s="2930"/>
      <c r="AO76" s="2930"/>
      <c r="AP76" s="2930"/>
      <c r="AQ76" s="2932"/>
      <c r="AR76" s="2925" t="s">
        <v>751</v>
      </c>
      <c r="AS76" s="2926"/>
      <c r="AT76" s="2926"/>
      <c r="AU76" s="2926"/>
      <c r="AV76" s="2926"/>
      <c r="AW76" s="2926"/>
      <c r="AX76" s="2926"/>
      <c r="AY76" s="2926"/>
      <c r="AZ76" s="2926"/>
      <c r="BA76" s="2927"/>
      <c r="BB76" s="2886" t="s">
        <v>750</v>
      </c>
      <c r="BC76" s="2887"/>
      <c r="BD76" s="2887"/>
      <c r="BE76" s="2887"/>
      <c r="BF76" s="2887"/>
      <c r="BG76" s="2887"/>
      <c r="BH76" s="2887"/>
      <c r="BI76" s="2887"/>
      <c r="BJ76" s="2888"/>
      <c r="BK76" s="2888"/>
      <c r="BL76" s="2888"/>
      <c r="BM76" s="2888"/>
      <c r="BN76" s="2888"/>
      <c r="BO76" s="2888"/>
      <c r="BP76" s="2889"/>
      <c r="BQ76" s="2939" t="str">
        <f>IF(AND($B$2=1,$J$14="A",C78=$J$15),"設置","")</f>
        <v/>
      </c>
      <c r="BR76" s="2845"/>
      <c r="BS76" s="2845"/>
      <c r="BT76" s="2940"/>
      <c r="BU76" s="19"/>
      <c r="BV76" s="15">
        <v>58</v>
      </c>
      <c r="BX76" s="98">
        <f>非誘!BW60</f>
        <v>12</v>
      </c>
      <c r="BY76" s="98">
        <f>非誘!BX60</f>
        <v>24</v>
      </c>
      <c r="BZ76" s="547">
        <f>IF(CA76&lt;10,10,IF(CA76&lt;15,15,IF(CA76&lt;20,20,IF(CA76&lt;25,25,IF(CA76&lt;30,30,IF(CA76&lt;50,50,IF(CA76&lt;70,70,IF(CA76&lt;100,100,IF(CA76&lt;150,150,IF(CA76&lt;20,200,200))))))))))</f>
        <v>50</v>
      </c>
      <c r="CA76" s="546">
        <f>SUM(CC79:CC81)</f>
        <v>48</v>
      </c>
      <c r="CB76" s="107" t="str">
        <f>IF(BY78&lt;10," 10",IF(BY78&lt;15," 15",IF(BY78&lt;20," 20",IF(BY78&lt;25," 25",IF(BY78&lt;30," 30",IF(BY78&lt;50," 50",IF(BY78&lt;70," 70",IF(BY78&lt;100,"100",IF(BY78&lt;150,"150",IF(BY78&lt;200,"200","200"))))))))))</f>
        <v>200</v>
      </c>
      <c r="CC76" s="545">
        <f>1+INT(BY78/200)</f>
        <v>2</v>
      </c>
      <c r="CD76" s="534"/>
      <c r="CE76" s="156" t="s">
        <v>749</v>
      </c>
      <c r="CF76" s="189">
        <f>2*INT($AG$9/1000)</f>
        <v>2</v>
      </c>
      <c r="CG76" s="189">
        <f>CG79+(1+INT($AG$9+$AG$8)/1000)*(1+INT(AR78/10))+CG78</f>
        <v>55.919999999999995</v>
      </c>
      <c r="CH76" s="98">
        <f>IF(AW78="",0,AW78*8)</f>
        <v>320</v>
      </c>
      <c r="CI76" s="98">
        <f>AR78*8</f>
        <v>64</v>
      </c>
      <c r="CJ76" s="544">
        <f>IF(AW78="",0,AW78*8)</f>
        <v>320</v>
      </c>
      <c r="CK76" s="223">
        <f>IF(E80="不","",(CG76+CG77+CI76+CI77)*MAX(P78:W78)/L78)</f>
        <v>85.343999999999994</v>
      </c>
      <c r="CL76" s="223">
        <f>IF(E80="不","",SUM(CG79:CH79)+SUM(CG80:CH80)*MAX(P78:W78)/L78)</f>
        <v>162</v>
      </c>
      <c r="CM76" s="527" t="s">
        <v>7</v>
      </c>
      <c r="CN76" s="15"/>
      <c r="CO76" s="46" t="str">
        <f>Q80</f>
        <v>電子釦 0.4- 4Pr</v>
      </c>
      <c r="CP76" s="520">
        <f>AK80</f>
        <v>121.91999999999999</v>
      </c>
      <c r="CR76" s="519" t="str">
        <f>IF(CS76="","",IF($J$14="A","内線電話機"))</f>
        <v>内線電話機</v>
      </c>
      <c r="CS76" s="189">
        <f>BG78</f>
        <v>8</v>
      </c>
      <c r="CU76" s="8"/>
      <c r="CV76" s="197">
        <f t="shared" si="24"/>
        <v>6</v>
      </c>
      <c r="CW76" s="197" t="str">
        <f t="shared" si="25"/>
        <v/>
      </c>
      <c r="CX76" s="543" t="str">
        <f>CO75</f>
        <v>FCPEV 0.65-200Pr</v>
      </c>
      <c r="CY76" s="8"/>
      <c r="CZ76" s="249" t="str">
        <f>IF(COUNTIF($CX$17:$CX75,CX76)&gt;0,"",CX76)</f>
        <v/>
      </c>
      <c r="DA76" s="515">
        <f>CP75</f>
        <v>12</v>
      </c>
      <c r="DB76" s="514">
        <f>SUMIF($CX$20:$CX$182,CZ76,$DA$20:$DA$182)</f>
        <v>0</v>
      </c>
      <c r="DC76" s="8"/>
      <c r="DD76" s="8"/>
      <c r="DE76" s="197">
        <f t="shared" si="39"/>
        <v>14</v>
      </c>
      <c r="DF76" s="197" t="str">
        <f t="shared" si="40"/>
        <v/>
      </c>
      <c r="DG76" s="207" t="str">
        <f>CO79</f>
        <v>CD-28mm</v>
      </c>
      <c r="DH76" s="8"/>
      <c r="DI76" s="249" t="str">
        <f>IF(COUNTIF(DG$17:$DG75,DG76)&gt;0,"",DG76)</f>
        <v/>
      </c>
      <c r="DJ76" s="515">
        <f>CP79</f>
        <v>8</v>
      </c>
      <c r="DK76" s="514">
        <f t="shared" ref="DK76:DK81" si="41">SUMIF($DG$20:$DG$182,DI76,$DJ$20:$DJ$182)</f>
        <v>0</v>
      </c>
      <c r="DL76" s="8"/>
      <c r="DM76" s="8"/>
      <c r="DN76" s="197">
        <f>IF(DR76&lt;&gt;"",DN75+1,DN75)</f>
        <v>4</v>
      </c>
      <c r="DO76" s="197">
        <f t="shared" ref="DO76:DO83" si="42">IF(AND(DN76&lt;&gt;"",DS76&lt;&gt;""),DN76,"")</f>
        <v>4</v>
      </c>
      <c r="DP76" s="10" t="str">
        <f>CR75</f>
        <v>多機能内線電話機</v>
      </c>
      <c r="DQ76" s="8"/>
      <c r="DR76" s="249" t="str">
        <f>IF(COUNTIF(DP$18:$DP75,DP76)&gt;0,"",DP76)</f>
        <v/>
      </c>
      <c r="DS76" s="198">
        <f>CS75</f>
        <v>40</v>
      </c>
      <c r="DT76" s="514">
        <f t="shared" ref="DT76:DT81" si="43">SUMIF($DP$20:$DP$182,DR76,$DS$20:$DS$182)</f>
        <v>0</v>
      </c>
    </row>
    <row r="77" spans="1:124" ht="11.25" customHeight="1" thickBot="1">
      <c r="B77" s="23"/>
      <c r="C77" s="3011"/>
      <c r="D77" s="3012"/>
      <c r="E77" s="3013"/>
      <c r="F77" s="3039" t="s">
        <v>235</v>
      </c>
      <c r="G77" s="3040"/>
      <c r="H77" s="3041"/>
      <c r="I77" s="3039" t="s">
        <v>235</v>
      </c>
      <c r="J77" s="3040"/>
      <c r="K77" s="3041"/>
      <c r="L77" s="3039" t="s">
        <v>748</v>
      </c>
      <c r="M77" s="3040"/>
      <c r="N77" s="3040"/>
      <c r="O77" s="3042"/>
      <c r="P77" s="3043" t="s">
        <v>748</v>
      </c>
      <c r="Q77" s="3040"/>
      <c r="R77" s="3040"/>
      <c r="S77" s="3042"/>
      <c r="T77" s="3043" t="s">
        <v>748</v>
      </c>
      <c r="U77" s="3040"/>
      <c r="V77" s="3040"/>
      <c r="W77" s="3044"/>
      <c r="X77" s="3045" t="s">
        <v>111</v>
      </c>
      <c r="Y77" s="3046"/>
      <c r="Z77" s="3047"/>
      <c r="AA77" s="3001" t="s">
        <v>110</v>
      </c>
      <c r="AB77" s="3002"/>
      <c r="AC77" s="3003"/>
      <c r="AD77" s="3004" t="s">
        <v>695</v>
      </c>
      <c r="AE77" s="3005"/>
      <c r="AF77" s="3005"/>
      <c r="AG77" s="3006" t="s">
        <v>699</v>
      </c>
      <c r="AH77" s="3005"/>
      <c r="AI77" s="3007"/>
      <c r="AJ77" s="2928" t="s">
        <v>747</v>
      </c>
      <c r="AK77" s="2918"/>
      <c r="AL77" s="2918"/>
      <c r="AM77" s="2928" t="s">
        <v>746</v>
      </c>
      <c r="AN77" s="2918"/>
      <c r="AO77" s="2929"/>
      <c r="AP77" s="2956" t="s">
        <v>745</v>
      </c>
      <c r="AQ77" s="2957"/>
      <c r="AR77" s="2917" t="s">
        <v>744</v>
      </c>
      <c r="AS77" s="2918"/>
      <c r="AT77" s="2958" t="s">
        <v>3</v>
      </c>
      <c r="AU77" s="2959"/>
      <c r="AV77" s="2959"/>
      <c r="AW77" s="2959" t="s">
        <v>743</v>
      </c>
      <c r="AX77" s="2960"/>
      <c r="AY77" s="2928" t="s">
        <v>3</v>
      </c>
      <c r="AZ77" s="2918"/>
      <c r="BA77" s="2919"/>
      <c r="BB77" s="542" t="str">
        <f>IF(CA79="","","●")</f>
        <v>●</v>
      </c>
      <c r="BC77" s="2930" t="s">
        <v>742</v>
      </c>
      <c r="BD77" s="2930"/>
      <c r="BE77" s="2930"/>
      <c r="BF77" s="2931"/>
      <c r="BG77" s="542" t="str">
        <f>IF(CA80="","","●")</f>
        <v>●</v>
      </c>
      <c r="BH77" s="2930" t="s">
        <v>741</v>
      </c>
      <c r="BI77" s="2930"/>
      <c r="BJ77" s="2930"/>
      <c r="BK77" s="2931"/>
      <c r="BL77" s="542" t="str">
        <f>IF(CA81="","","●")</f>
        <v/>
      </c>
      <c r="BM77" s="2930" t="s">
        <v>764</v>
      </c>
      <c r="BN77" s="2930"/>
      <c r="BO77" s="2930"/>
      <c r="BP77" s="2932"/>
      <c r="BQ77" s="2974" t="s">
        <v>740</v>
      </c>
      <c r="BR77" s="2975"/>
      <c r="BS77" s="2975"/>
      <c r="BT77" s="2976"/>
      <c r="BU77" s="19"/>
      <c r="BX77" s="97" t="str">
        <f>IF(LEFT(C78,2)=" B",-MID(C78,3,1),IF(C78="  RF","",LEFT(C78,3)))</f>
        <v xml:space="preserve">  6</v>
      </c>
      <c r="BY77" s="541" t="str">
        <f>IF(OR(C78="",C78="  RF"),"",IF(LEFT(C78,1)="P","+",IF($BW$14&gt;BX77,"-",IF($BW$14=BX77,"=","+"))))</f>
        <v>+</v>
      </c>
      <c r="BZ77" s="2985" t="str">
        <f>"FCPEV 0.65-"&amp;CB76&amp;"Pr"</f>
        <v>FCPEV 0.65-200Pr</v>
      </c>
      <c r="CA77" s="2986"/>
      <c r="CB77" s="2986"/>
      <c r="CC77" s="2986"/>
      <c r="CD77" s="62"/>
      <c r="CE77" s="156" t="s">
        <v>763</v>
      </c>
      <c r="CF77" s="540">
        <f>F78</f>
        <v>4</v>
      </c>
      <c r="CG77" s="540">
        <f>CG80+(1+INT(AR78/10))*($AG$9+$AG$8)/1000</f>
        <v>2</v>
      </c>
      <c r="CH77" s="539"/>
      <c r="CI77" s="189">
        <f>CH80</f>
        <v>0</v>
      </c>
      <c r="CJ77" s="260"/>
      <c r="CK77" s="528">
        <f>IF(E81="不","",(CG76+CG77+CI76+CI77)*T78/L78)</f>
        <v>36.575999999999993</v>
      </c>
      <c r="CL77" s="528">
        <f>IF(E81="不","",SUM(CG79:CH79)+SUM(CG80:CH80)*T78/L78)</f>
        <v>162</v>
      </c>
      <c r="CM77" s="527" t="s">
        <v>8</v>
      </c>
      <c r="CN77" s="15"/>
      <c r="CO77" s="46" t="str">
        <f>Q81</f>
        <v>TIVF 0.8-2C</v>
      </c>
      <c r="CP77" s="520">
        <f>AK81</f>
        <v>640</v>
      </c>
      <c r="CR77" s="519" t="str">
        <f>IF(CS77="","",IF($J$14="A","PHSアンテナ"))</f>
        <v/>
      </c>
      <c r="CS77" s="189" t="str">
        <f>BL78</f>
        <v/>
      </c>
      <c r="CU77" s="8"/>
      <c r="CV77" s="197">
        <f t="shared" si="24"/>
        <v>6</v>
      </c>
      <c r="CW77" s="197" t="str">
        <f t="shared" si="25"/>
        <v/>
      </c>
      <c r="CX77" s="10" t="str">
        <f>CO76</f>
        <v>電子釦 0.4- 4Pr</v>
      </c>
      <c r="CY77" s="8"/>
      <c r="CZ77" s="249" t="str">
        <f>IF(COUNTIF($CZ$10:$CZ76,CX77)&gt;0,"",CX77)</f>
        <v/>
      </c>
      <c r="DA77" s="515">
        <f>CP76</f>
        <v>121.91999999999999</v>
      </c>
      <c r="DB77" s="514">
        <f>SUMIF($CX$20:$CX$182,CZ77,$DA$20:$DA$182)</f>
        <v>0</v>
      </c>
      <c r="DC77" s="8"/>
      <c r="DD77" s="8"/>
      <c r="DE77" s="197">
        <f t="shared" si="39"/>
        <v>14</v>
      </c>
      <c r="DF77" s="197" t="str">
        <f t="shared" si="40"/>
        <v/>
      </c>
      <c r="DG77" s="207" t="str">
        <f>CO80</f>
        <v>CD-22mm</v>
      </c>
      <c r="DH77" s="8"/>
      <c r="DI77" s="249" t="str">
        <f>IF(COUNTIF(DG$18:$DG76,DG77)&gt;0,"",DG77)</f>
        <v/>
      </c>
      <c r="DJ77" s="515">
        <f>CP80</f>
        <v>324</v>
      </c>
      <c r="DK77" s="514">
        <f t="shared" si="41"/>
        <v>0</v>
      </c>
      <c r="DL77" s="8"/>
      <c r="DM77" s="8"/>
      <c r="DN77" s="197">
        <f>IF(DR77&lt;&gt;"",DN76+1,DN76)</f>
        <v>4</v>
      </c>
      <c r="DO77" s="197">
        <f t="shared" si="42"/>
        <v>4</v>
      </c>
      <c r="DP77" s="207" t="str">
        <f>CR76</f>
        <v>内線電話機</v>
      </c>
      <c r="DQ77" s="8"/>
      <c r="DR77" s="249" t="str">
        <f>IF(COUNTIF(DP$18:$DP76,DP77)&gt;0,"",DP77)</f>
        <v/>
      </c>
      <c r="DS77" s="198">
        <f>CS76</f>
        <v>8</v>
      </c>
      <c r="DT77" s="514">
        <f t="shared" si="43"/>
        <v>0</v>
      </c>
    </row>
    <row r="78" spans="1:124" ht="10.5" customHeight="1" thickBot="1">
      <c r="B78" s="23"/>
      <c r="C78" s="2987" t="str">
        <f>IF($B$2=0,"",非誘!C60)</f>
        <v xml:space="preserve">  6F</v>
      </c>
      <c r="D78" s="2988"/>
      <c r="E78" s="2988"/>
      <c r="F78" s="2989">
        <f>IF($B$2=0,"",非誘!F60)</f>
        <v>4</v>
      </c>
      <c r="G78" s="2989"/>
      <c r="H78" s="2989"/>
      <c r="I78" s="2989">
        <f>IF($B$2=0,"",非誘!J60)</f>
        <v>3</v>
      </c>
      <c r="J78" s="2989"/>
      <c r="K78" s="2989"/>
      <c r="L78" s="2990">
        <f>IF($B$2=0,"",非誘!N60)</f>
        <v>1152</v>
      </c>
      <c r="M78" s="2990"/>
      <c r="N78" s="2990"/>
      <c r="O78" s="2990"/>
      <c r="P78" s="2991">
        <f>IF($B$2=0,"",非誘!S60)</f>
        <v>806.4</v>
      </c>
      <c r="Q78" s="2991"/>
      <c r="R78" s="2991"/>
      <c r="S78" s="2991"/>
      <c r="T78" s="2991">
        <f>IF($B$2=0,"",非誘!W60)</f>
        <v>345.6</v>
      </c>
      <c r="U78" s="2992"/>
      <c r="V78" s="2992"/>
      <c r="W78" s="2992"/>
      <c r="X78" s="2993">
        <f>IF($B$2=0,"",非誘!AA60)</f>
        <v>3</v>
      </c>
      <c r="Y78" s="2993"/>
      <c r="Z78" s="2993"/>
      <c r="AA78" s="2993">
        <f>IF($B$2=0,"",非誘!AD60)</f>
        <v>9</v>
      </c>
      <c r="AB78" s="2993"/>
      <c r="AC78" s="2994"/>
      <c r="AD78" s="2966">
        <f>IF($B$2=0,"",CB76*CC76)</f>
        <v>400</v>
      </c>
      <c r="AE78" s="2967"/>
      <c r="AF78" s="2968"/>
      <c r="AG78" s="2969" t="str">
        <f>IF($B$2=0,"",放送!CB73)</f>
        <v>42</v>
      </c>
      <c r="AH78" s="2967"/>
      <c r="AI78" s="2968"/>
      <c r="AJ78" s="2970" t="str">
        <f>IF($B$2=0,"",IF(TV!AH23="設置","Space","---"))</f>
        <v>Space</v>
      </c>
      <c r="AK78" s="2971"/>
      <c r="AL78" s="2971"/>
      <c r="AM78" s="2969"/>
      <c r="AN78" s="2967"/>
      <c r="AO78" s="2968"/>
      <c r="AP78" s="2972"/>
      <c r="AQ78" s="2973"/>
      <c r="AR78" s="2923">
        <f>IF($B$2=0,"",IF(AZ78="",CB80,AZ78))</f>
        <v>8</v>
      </c>
      <c r="AS78" s="2924"/>
      <c r="AT78" s="538" t="s">
        <v>106</v>
      </c>
      <c r="AU78" s="2946"/>
      <c r="AV78" s="2947"/>
      <c r="AW78" s="2923">
        <f>IF($B$2=0,"",IF(CA79="",0,IF(AZ78="",CB79,AZ78)))</f>
        <v>40</v>
      </c>
      <c r="AX78" s="2924"/>
      <c r="AY78" s="538" t="s">
        <v>106</v>
      </c>
      <c r="AZ78" s="2999"/>
      <c r="BA78" s="3000"/>
      <c r="BB78" s="2951">
        <f>IF(OR($J$14&lt;&gt;"A",CA79=""),"",IF(BE78&lt;&gt;"",BE78,CB79))</f>
        <v>40</v>
      </c>
      <c r="BC78" s="2952"/>
      <c r="BD78" s="537" t="s">
        <v>106</v>
      </c>
      <c r="BE78" s="2938"/>
      <c r="BF78" s="2938"/>
      <c r="BG78" s="2951">
        <f>IF(C78="","",IF(OR($J$14&lt;&gt;"A",CA80=""),"",IF(BJ78&lt;&gt;"",BE78,CB80)))</f>
        <v>8</v>
      </c>
      <c r="BH78" s="2952"/>
      <c r="BI78" s="537" t="s">
        <v>106</v>
      </c>
      <c r="BJ78" s="2938"/>
      <c r="BK78" s="2938"/>
      <c r="BL78" s="2951" t="str">
        <f>IF(OR($J$14&lt;&gt;"A",CA81=""),"",IF(BO78&lt;&gt;"",BO78,CB81))</f>
        <v/>
      </c>
      <c r="BM78" s="2952"/>
      <c r="BN78" s="537" t="s">
        <v>106</v>
      </c>
      <c r="BO78" s="2964"/>
      <c r="BP78" s="2965"/>
      <c r="BQ78" s="2939" t="str">
        <f>IF(BQ76="設置","Ｅt","")</f>
        <v/>
      </c>
      <c r="BR78" s="2845"/>
      <c r="BS78" s="2845"/>
      <c r="BT78" s="2940"/>
      <c r="BU78" s="19"/>
      <c r="BW78" s="89" t="str">
        <f>AP75</f>
        <v>Ⓖ</v>
      </c>
      <c r="BX78" s="263">
        <f>IF(C78="","",IF(BW78="Ⓐ",BX76+BY76+3,IF(BW78="Ⓑ",BX76*5/8+BY76+3,IF(BW78="Ⓒ",BX76/2+BY76+3,IF(BW78="Ⓓ",BX76+BY76*5/8+3,IF(BW78="Ⓔ",(BX76+BY76)*5/8+3,IF(BW78="Ⓕ",BX76/2+BY76*5/8+3,IF(BW78="Ⓖ",BX76+BY76/2+3,IF(BW78="Ⓗ",BX76*5/8+BY76/2+3,IF(BW78="Ⓘ",(BX76+BY76)/2+3))))))))))</f>
        <v>27</v>
      </c>
      <c r="BY78" s="86">
        <f>IF(C78="",0,IF(BY77="=",BZ75,IF(BY77="-",CA75,CB75)))</f>
        <v>339</v>
      </c>
      <c r="BZ78" s="156"/>
      <c r="CA78" s="536" t="str">
        <f>IF(CA76&lt;=30,"25",IF(CA76&lt;=50,"31",IF(CA76&lt;=100,"39",IF(CA76&lt;=200,"51",""))))</f>
        <v>31</v>
      </c>
      <c r="CB78" s="535" t="str">
        <f>IF(CA76&lt;=30,"22",IF(CA76&lt;=50,"28",IF(CA76&lt;=100,"36",IF(CA76&lt;=200,"42",""))))</f>
        <v>28</v>
      </c>
      <c r="CC78" s="122"/>
      <c r="CD78" s="534"/>
      <c r="CE78" s="156" t="s">
        <v>738</v>
      </c>
      <c r="CF78" s="533"/>
      <c r="CG78" s="189">
        <f>IF($B$2="","",IF($AQ$8=0,0,0.02*($AQ$8/1000-0.15-0.1)*(INT(1000*BX76/$AQ$9)+1)*(INT(1000*BY76/$AQ$9)+1)*4*(AR78+AW78)))</f>
        <v>25.919999999999995</v>
      </c>
      <c r="CH78" s="532"/>
      <c r="CI78" s="531"/>
      <c r="CJ78" s="15"/>
      <c r="CK78" s="528">
        <f>IF(E80="不","",SUM(CH76+CJ76)*MAX(P78:W78)/L78)</f>
        <v>448</v>
      </c>
      <c r="CL78" s="528">
        <f>IF(E80="不","",CJ79)</f>
        <v>200.20851011026986</v>
      </c>
      <c r="CM78" s="527" t="s">
        <v>7</v>
      </c>
      <c r="CN78" s="15"/>
      <c r="CO78" s="252" t="str">
        <f>IF(CP78="","","導入線 1.2mmφ")</f>
        <v>導入線 1.2mmφ</v>
      </c>
      <c r="CP78" s="184">
        <f>1.1*INT(SUM(CP79:CP81))</f>
        <v>585.20000000000005</v>
      </c>
      <c r="CR78" s="519" t="str">
        <f>IF(CS78="","",IF($J$14="A","PHS電話機"))</f>
        <v/>
      </c>
      <c r="CS78" s="189" t="str">
        <f>IF(CS77="","",INT(CS77*1.5))</f>
        <v/>
      </c>
      <c r="CU78" s="8"/>
      <c r="CV78" s="197">
        <f t="shared" si="24"/>
        <v>6</v>
      </c>
      <c r="CW78" s="197" t="str">
        <f t="shared" si="25"/>
        <v/>
      </c>
      <c r="CX78" s="10" t="str">
        <f>CO77</f>
        <v>TIVF 0.8-2C</v>
      </c>
      <c r="CY78" s="8"/>
      <c r="CZ78" s="249" t="str">
        <f>IF(COUNTIF($CZ$10:$CZ77,CX78)&gt;0,"",CX78)</f>
        <v/>
      </c>
      <c r="DA78" s="515">
        <f>CP77</f>
        <v>640</v>
      </c>
      <c r="DB78" s="514">
        <f>SUMIF($CX$20:$CX$182,CZ78,$DA$20:$DA$182)</f>
        <v>0</v>
      </c>
      <c r="DC78" s="8"/>
      <c r="DD78" s="8"/>
      <c r="DE78" s="197">
        <f t="shared" si="39"/>
        <v>14</v>
      </c>
      <c r="DF78" s="197" t="str">
        <f t="shared" si="40"/>
        <v/>
      </c>
      <c r="DG78" s="207" t="str">
        <f>CO81</f>
        <v>フロアダクト FC-6</v>
      </c>
      <c r="DH78" s="8"/>
      <c r="DI78" s="249" t="str">
        <f>IF(COUNTIF(DG$18:$DG77,DG78)&gt;0,"",DG78)</f>
        <v/>
      </c>
      <c r="DJ78" s="515">
        <f>CP81</f>
        <v>200.20851011026986</v>
      </c>
      <c r="DK78" s="514">
        <f t="shared" si="41"/>
        <v>0</v>
      </c>
      <c r="DL78" s="8"/>
      <c r="DM78" s="8"/>
      <c r="DN78" s="197">
        <f>IF(DR78&lt;&gt;"",DN77+1,DN77)</f>
        <v>4</v>
      </c>
      <c r="DO78" s="197" t="str">
        <f t="shared" si="42"/>
        <v/>
      </c>
      <c r="DP78" s="10" t="str">
        <f>CR77</f>
        <v/>
      </c>
      <c r="DQ78" s="8"/>
      <c r="DR78" s="249" t="str">
        <f>IF(COUNTIF(DP$18:$DP77,DP78)&gt;0,"",DP78)</f>
        <v/>
      </c>
      <c r="DS78" s="198" t="str">
        <f>CS77</f>
        <v/>
      </c>
      <c r="DT78" s="514">
        <f t="shared" si="43"/>
        <v>0</v>
      </c>
    </row>
    <row r="79" spans="1:124" ht="10.5" customHeight="1" thickBot="1">
      <c r="B79" s="23"/>
      <c r="C79" s="3048" t="s">
        <v>737</v>
      </c>
      <c r="D79" s="3049"/>
      <c r="E79" s="3049"/>
      <c r="F79" s="3049"/>
      <c r="G79" s="3049"/>
      <c r="H79" s="3049"/>
      <c r="I79" s="3049"/>
      <c r="J79" s="3050" t="s">
        <v>736</v>
      </c>
      <c r="K79" s="3051"/>
      <c r="L79" s="3051"/>
      <c r="M79" s="3051"/>
      <c r="N79" s="3052" t="s">
        <v>735</v>
      </c>
      <c r="O79" s="2891"/>
      <c r="P79" s="2892"/>
      <c r="Q79" s="3057" t="str">
        <f>IF(OR($B$2=0,$J$14="C"),"",IF(Z79="",BZ77,Z79))</f>
        <v>FCPEV 0.65-200Pr</v>
      </c>
      <c r="R79" s="3057"/>
      <c r="S79" s="3057"/>
      <c r="T79" s="3057"/>
      <c r="U79" s="3057"/>
      <c r="V79" s="3057"/>
      <c r="W79" s="3057"/>
      <c r="X79" s="3057"/>
      <c r="Y79" s="524" t="s">
        <v>106</v>
      </c>
      <c r="Z79" s="2902"/>
      <c r="AA79" s="2903"/>
      <c r="AB79" s="2903"/>
      <c r="AC79" s="2903"/>
      <c r="AD79" s="2903"/>
      <c r="AE79" s="2903"/>
      <c r="AF79" s="2903"/>
      <c r="AG79" s="2904"/>
      <c r="AH79" s="2877" t="s">
        <v>734</v>
      </c>
      <c r="AI79" s="2878"/>
      <c r="AJ79" s="2879"/>
      <c r="AK79" s="3058">
        <f>IF($B$2=0,"",IF(AP79&lt;&gt;"",AP79,IF($J$14="C","",SUM(CF76:CF77)*CC76)))</f>
        <v>12</v>
      </c>
      <c r="AL79" s="3058"/>
      <c r="AM79" s="3058"/>
      <c r="AN79" s="3058"/>
      <c r="AO79" s="524" t="s">
        <v>106</v>
      </c>
      <c r="AP79" s="2911"/>
      <c r="AQ79" s="2912"/>
      <c r="AR79" s="2912"/>
      <c r="AS79" s="2913"/>
      <c r="AT79" s="2890" t="s">
        <v>733</v>
      </c>
      <c r="AU79" s="2891"/>
      <c r="AV79" s="2892"/>
      <c r="AW79" s="2899" t="str">
        <f>IF($B$2=0,"",IF(BE79&lt;&gt;"",BE79,IF(BB75=2,"PF-"&amp;CB78&amp;"mm",IF(OR(BB75=3,BB75=6),"C-"&amp;CA78&amp;"mm",IF(OR(BB75=4,BB75=7),"G-"&amp;CB78&amp;"mm",IF(OR(BB75=1,BB75=5),"CD-"&amp;CB78&amp;"mm",""))))))</f>
        <v>CD-28mm</v>
      </c>
      <c r="AX79" s="2900"/>
      <c r="AY79" s="2900"/>
      <c r="AZ79" s="2900"/>
      <c r="BA79" s="2900"/>
      <c r="BB79" s="2900"/>
      <c r="BC79" s="2901"/>
      <c r="BD79" s="524" t="s">
        <v>106</v>
      </c>
      <c r="BE79" s="2902"/>
      <c r="BF79" s="2903"/>
      <c r="BG79" s="2903"/>
      <c r="BH79" s="2903"/>
      <c r="BI79" s="2903"/>
      <c r="BJ79" s="2904"/>
      <c r="BK79" s="2877" t="s">
        <v>732</v>
      </c>
      <c r="BL79" s="2878"/>
      <c r="BM79" s="2879"/>
      <c r="BN79" s="2914">
        <f>IF($B$2=0,"",IF(BR79="",CF80*CC76,BR79))</f>
        <v>8</v>
      </c>
      <c r="BO79" s="2915"/>
      <c r="BP79" s="2916"/>
      <c r="BQ79" s="524" t="s">
        <v>106</v>
      </c>
      <c r="BR79" s="3202"/>
      <c r="BS79" s="3203"/>
      <c r="BT79" s="3204"/>
      <c r="BU79" s="19"/>
      <c r="BX79" s="530"/>
      <c r="BY79" s="46"/>
      <c r="BZ79" s="106" t="s">
        <v>731</v>
      </c>
      <c r="CA79" s="529" t="str">
        <f>IF(P78="","",IF(OR(I75="(1) ロ",I75="( 4 )",I75="(5) イ",I75="(6) イ",I75="(6) ロ",I75="(6) ハ",I75="( 7 )",I75="( 8 )",I75="( 15)"),"1",""))</f>
        <v>1</v>
      </c>
      <c r="CB79" s="151">
        <f>IF(P78="",0,INT(P78/20))</f>
        <v>40</v>
      </c>
      <c r="CC79" s="122">
        <f>IF(CA79="",0,CB79)</f>
        <v>40</v>
      </c>
      <c r="CD79" s="6"/>
      <c r="CE79" s="156" t="s">
        <v>730</v>
      </c>
      <c r="CF79" s="189"/>
      <c r="CG79" s="189">
        <f>BX78*(1+INT(AR78/10))+CG81</f>
        <v>27</v>
      </c>
      <c r="CH79" s="189">
        <f>IF(AW78="",0,BX78*(1+INT(AW78/10)))</f>
        <v>135</v>
      </c>
      <c r="CI79" s="82" t="s">
        <v>729</v>
      </c>
      <c r="CJ79" s="98">
        <f>7.32*(AW78-2*SQRT(AW78))</f>
        <v>200.20851011026986</v>
      </c>
      <c r="CK79" s="528">
        <f>IF(E81="不","",SUM(CH76+CJ76)*T78/L78)</f>
        <v>192</v>
      </c>
      <c r="CL79" s="528">
        <f>CJ79</f>
        <v>200.20851011026986</v>
      </c>
      <c r="CM79" s="527" t="s">
        <v>8</v>
      </c>
      <c r="CN79" s="69"/>
      <c r="CO79" s="252" t="str">
        <f>AW79</f>
        <v>CD-28mm</v>
      </c>
      <c r="CP79" s="520">
        <f>BN79</f>
        <v>8</v>
      </c>
      <c r="CR79" s="519" t="str">
        <f>IF(CS79=0,"","C-OBox4角中深")</f>
        <v>C-OBox4角中深</v>
      </c>
      <c r="CS79" s="189">
        <f>IF($J$14="A",SUM(CS76:CS77),AR78)</f>
        <v>8</v>
      </c>
      <c r="CU79" s="8"/>
      <c r="CV79" s="197">
        <f t="shared" si="24"/>
        <v>6</v>
      </c>
      <c r="CW79" s="197" t="str">
        <f t="shared" si="25"/>
        <v/>
      </c>
      <c r="CX79" s="207" t="str">
        <f>IF(BQ78="","","IV-14sq")</f>
        <v/>
      </c>
      <c r="CY79" s="8"/>
      <c r="CZ79" s="249" t="str">
        <f>IF(COUNTIF($CZ$10:$CZ78,CX79)&gt;0,"",CX79)</f>
        <v/>
      </c>
      <c r="DA79" s="515" t="str">
        <f>IF(BQ78="","",BX78+BY76+15)</f>
        <v/>
      </c>
      <c r="DB79" s="514">
        <f>SUMIF($CX$20:$CX$182,CZ79,$DA$20:$DA$182)</f>
        <v>0</v>
      </c>
      <c r="DD79" s="8"/>
      <c r="DE79" s="197">
        <f>IF(DJ79&lt;&gt;"",DE78+1,DE78)</f>
        <v>14</v>
      </c>
      <c r="DF79" s="197" t="str">
        <f>IF(AND(DE79&lt;&gt;"",DJ79&lt;&gt;""),DE79,"")</f>
        <v/>
      </c>
      <c r="DG79" s="207"/>
      <c r="DH79" s="8"/>
      <c r="DI79" s="249"/>
      <c r="DJ79" s="515"/>
      <c r="DK79" s="514">
        <f t="shared" si="41"/>
        <v>0</v>
      </c>
      <c r="DM79" s="8"/>
      <c r="DN79" s="197">
        <f>IF(DR79&lt;&gt;"",DN78+1,DN78)</f>
        <v>4</v>
      </c>
      <c r="DO79" s="197" t="str">
        <f t="shared" si="42"/>
        <v/>
      </c>
      <c r="DP79" s="10" t="str">
        <f>CR78</f>
        <v/>
      </c>
      <c r="DQ79" s="8"/>
      <c r="DR79" s="249" t="str">
        <f>IF(COUNTIF(DP$18:$DP78,DP79)&gt;0,"",DP79)</f>
        <v/>
      </c>
      <c r="DS79" s="198" t="str">
        <f>CS78</f>
        <v/>
      </c>
      <c r="DT79" s="514">
        <f t="shared" si="43"/>
        <v>0</v>
      </c>
    </row>
    <row r="80" spans="1:124" ht="10.5" customHeight="1">
      <c r="B80" s="23"/>
      <c r="C80" s="3205" t="s">
        <v>728</v>
      </c>
      <c r="D80" s="3205"/>
      <c r="E80" s="3016" t="str">
        <f>IF($D$9="不要","不",IF(H80="","要",H80))</f>
        <v>要</v>
      </c>
      <c r="F80" s="3016"/>
      <c r="G80" s="523" t="s">
        <v>724</v>
      </c>
      <c r="H80" s="3017"/>
      <c r="I80" s="3018"/>
      <c r="J80" s="3019" t="s">
        <v>727</v>
      </c>
      <c r="K80" s="3020"/>
      <c r="L80" s="3020"/>
      <c r="M80" s="3021"/>
      <c r="N80" s="3053"/>
      <c r="O80" s="2894"/>
      <c r="P80" s="2895"/>
      <c r="Q80" s="3025" t="str">
        <f>IF(OR($B$2=0,$J$14="C"),"",IF(Z80&lt;&gt;"",Z80,"電子釦 0.4- 4Pr"))</f>
        <v>電子釦 0.4- 4Pr</v>
      </c>
      <c r="R80" s="2933"/>
      <c r="S80" s="2933"/>
      <c r="T80" s="2933"/>
      <c r="U80" s="2933"/>
      <c r="V80" s="2933"/>
      <c r="W80" s="2933"/>
      <c r="X80" s="2934"/>
      <c r="Y80" s="526" t="s">
        <v>724</v>
      </c>
      <c r="Z80" s="3026"/>
      <c r="AA80" s="3027"/>
      <c r="AB80" s="3027"/>
      <c r="AC80" s="3027"/>
      <c r="AD80" s="3027"/>
      <c r="AE80" s="3027"/>
      <c r="AF80" s="3027"/>
      <c r="AG80" s="3028"/>
      <c r="AH80" s="2880" t="s">
        <v>725</v>
      </c>
      <c r="AI80" s="2881"/>
      <c r="AJ80" s="2882"/>
      <c r="AK80" s="2995">
        <f>IF($B$2=0,"",IF(AP80&lt;&gt;"",AP80,IF($J$14="C","",SUM(CK76:CK77))))</f>
        <v>121.91999999999999</v>
      </c>
      <c r="AL80" s="2995"/>
      <c r="AM80" s="2995"/>
      <c r="AN80" s="2995"/>
      <c r="AO80" s="526" t="s">
        <v>724</v>
      </c>
      <c r="AP80" s="2996"/>
      <c r="AQ80" s="2997"/>
      <c r="AR80" s="2997"/>
      <c r="AS80" s="2998"/>
      <c r="AT80" s="2893"/>
      <c r="AU80" s="2894"/>
      <c r="AV80" s="2895"/>
      <c r="AW80" s="2933" t="str">
        <f>IF($B$2=0,"",IF(BE80&lt;&gt;"",BE80,IF(BB75=2,"PF-22mm",IF(OR(BB75=3,BB75=6),"C-25mm",IF(OR(BB75=4,BB75=7),"G-22mm",IF(OR(BB75=1,BB75=5),"CD-22mm",""))))))</f>
        <v>CD-22mm</v>
      </c>
      <c r="AX80" s="2933"/>
      <c r="AY80" s="2933"/>
      <c r="AZ80" s="2933"/>
      <c r="BA80" s="2933"/>
      <c r="BB80" s="2933"/>
      <c r="BC80" s="2934"/>
      <c r="BD80" s="526" t="s">
        <v>724</v>
      </c>
      <c r="BE80" s="2935"/>
      <c r="BF80" s="2936"/>
      <c r="BG80" s="2936"/>
      <c r="BH80" s="2936"/>
      <c r="BI80" s="2936"/>
      <c r="BJ80" s="2937"/>
      <c r="BK80" s="2880" t="s">
        <v>725</v>
      </c>
      <c r="BL80" s="2881"/>
      <c r="BM80" s="2882"/>
      <c r="BN80" s="2948">
        <f>IF($B$2=0,"",IF(BR80="",SUM(CL76:CL77),BR80))</f>
        <v>324</v>
      </c>
      <c r="BO80" s="2949"/>
      <c r="BP80" s="2950"/>
      <c r="BQ80" s="525" t="s">
        <v>724</v>
      </c>
      <c r="BR80" s="3029"/>
      <c r="BS80" s="3030"/>
      <c r="BT80" s="3031"/>
      <c r="BU80" s="19"/>
      <c r="BX80" s="49">
        <f>1+INT(L78/600)</f>
        <v>2</v>
      </c>
      <c r="BY80" s="46"/>
      <c r="BZ80" s="106" t="s">
        <v>723</v>
      </c>
      <c r="CA80" s="522" t="str">
        <f>"1"</f>
        <v>1</v>
      </c>
      <c r="CB80" s="151">
        <f>IF(CA79="",INT(T78/40)+CB79,INT(T78/40))</f>
        <v>8</v>
      </c>
      <c r="CC80" s="122">
        <f>IF(CB80="",0,CB80)</f>
        <v>8</v>
      </c>
      <c r="CD80" s="6"/>
      <c r="CE80" s="156" t="s">
        <v>722</v>
      </c>
      <c r="CF80" s="189">
        <f>F78</f>
        <v>4</v>
      </c>
      <c r="CG80" s="189">
        <f>IF(BB75&lt;=4,(2*F78-(R64+R66)/1000)*AR78,((R65+R66)/1000)*AR78)</f>
        <v>0</v>
      </c>
      <c r="CH80" s="189">
        <f>2*(R66/1000)*AR78</f>
        <v>0</v>
      </c>
      <c r="CI80" s="82" t="s">
        <v>721</v>
      </c>
      <c r="CJ80" s="86">
        <f>AW78</f>
        <v>40</v>
      </c>
      <c r="CK80" s="38"/>
      <c r="CL80" s="38"/>
      <c r="CM80" s="38"/>
      <c r="CN80" s="38"/>
      <c r="CO80" s="252" t="str">
        <f>AW80</f>
        <v>CD-22mm</v>
      </c>
      <c r="CP80" s="520">
        <f>BN80</f>
        <v>324</v>
      </c>
      <c r="CR80" s="519" t="str">
        <f>IF(CS80="","",IF(LEFT(AW81,1)="フ","ジャンクションボックス 2Duct","C-OBox4角大深"))</f>
        <v>ジャンクションボックス 2Duct</v>
      </c>
      <c r="CS80" s="189">
        <f>IF(AW78=0,"",AW78)</f>
        <v>40</v>
      </c>
      <c r="CU80" s="8"/>
      <c r="CV80" s="197">
        <f t="shared" si="24"/>
        <v>6</v>
      </c>
      <c r="CW80" s="197" t="str">
        <f t="shared" si="25"/>
        <v/>
      </c>
      <c r="CX80" s="207" t="str">
        <f>IF(BQ78="","","VE-22mm")</f>
        <v/>
      </c>
      <c r="CY80" s="8"/>
      <c r="CZ80" s="249" t="str">
        <f>IF(COUNTIF($CZ$10:$CZ79,CX80)&gt;0,"",CX80)</f>
        <v/>
      </c>
      <c r="DA80" s="515" t="str">
        <f>IF(BQ78="","",DA79-10)</f>
        <v/>
      </c>
      <c r="DB80" s="514">
        <f>SUMIF($CX$20:$CX$182,CZ80,$DA$20:$DA$182)</f>
        <v>0</v>
      </c>
      <c r="DD80" s="8"/>
      <c r="DE80" s="197">
        <f>IF(DI80&lt;&gt;"",DE79+1,DE79)</f>
        <v>14</v>
      </c>
      <c r="DF80" s="197" t="str">
        <f t="shared" ref="DF80:DF87" si="44">IF(AND(DE80&lt;&gt;"",DI80&lt;&gt;""),DE80,"")</f>
        <v/>
      </c>
      <c r="DG80" s="207" t="str">
        <f>CR79</f>
        <v>C-OBox4角中深</v>
      </c>
      <c r="DH80" s="8"/>
      <c r="DI80" s="249" t="str">
        <f>IF(COUNTIF(DG$18:$DG79,DG80)&gt;0,"",DG80)</f>
        <v/>
      </c>
      <c r="DJ80" s="515">
        <f>CS79</f>
        <v>8</v>
      </c>
      <c r="DK80" s="514">
        <f t="shared" si="41"/>
        <v>0</v>
      </c>
      <c r="DM80" s="8"/>
      <c r="DN80" s="197">
        <f>IF(DS80&lt;&gt;"",DN79+1,DN79)</f>
        <v>4</v>
      </c>
      <c r="DO80" s="197" t="str">
        <f t="shared" si="42"/>
        <v/>
      </c>
      <c r="DP80" s="10" t="str">
        <f>IF(BQ76="","","電話交換機")</f>
        <v/>
      </c>
      <c r="DQ80" s="8"/>
      <c r="DR80" s="249" t="str">
        <f>IF(COUNTIF(DP$18:$DP79,DP80)&gt;0,"",DP80)</f>
        <v/>
      </c>
      <c r="DS80" s="198" t="str">
        <f>IF(DP80&lt;&gt;"",1,"")</f>
        <v/>
      </c>
      <c r="DT80" s="514">
        <f t="shared" si="43"/>
        <v>0</v>
      </c>
    </row>
    <row r="81" spans="1:124" ht="10.5" customHeight="1">
      <c r="B81" s="23"/>
      <c r="C81" s="2959" t="s">
        <v>720</v>
      </c>
      <c r="D81" s="2959"/>
      <c r="E81" s="3016" t="str">
        <f>IF($D$9="不要","不",IF(H81="","要",H81))</f>
        <v>要</v>
      </c>
      <c r="F81" s="3016"/>
      <c r="G81" s="525" t="s">
        <v>103</v>
      </c>
      <c r="H81" s="3017"/>
      <c r="I81" s="3018"/>
      <c r="J81" s="3022"/>
      <c r="K81" s="3023"/>
      <c r="L81" s="3023"/>
      <c r="M81" s="3024"/>
      <c r="N81" s="3054"/>
      <c r="O81" s="3055"/>
      <c r="P81" s="3056"/>
      <c r="Q81" s="3201" t="str">
        <f>IF($B$2=0,"",IF(Z81&lt;&gt;"",Z81,"TIVF 0.8-2C"))</f>
        <v>TIVF 0.8-2C</v>
      </c>
      <c r="R81" s="3201"/>
      <c r="S81" s="3201"/>
      <c r="T81" s="3201"/>
      <c r="U81" s="3201"/>
      <c r="V81" s="3201"/>
      <c r="W81" s="3201"/>
      <c r="X81" s="3201"/>
      <c r="Y81" s="524" t="s">
        <v>103</v>
      </c>
      <c r="Z81" s="2941"/>
      <c r="AA81" s="2942"/>
      <c r="AB81" s="2942"/>
      <c r="AC81" s="2942"/>
      <c r="AD81" s="2942"/>
      <c r="AE81" s="2942"/>
      <c r="AF81" s="2942"/>
      <c r="AG81" s="3199"/>
      <c r="AH81" s="2883" t="s">
        <v>235</v>
      </c>
      <c r="AI81" s="2884"/>
      <c r="AJ81" s="2885"/>
      <c r="AK81" s="2953">
        <f>IF($B$2=0,"",IF(AP81&lt;&gt;"",AP81,IF($J$14="C","",SUM(CK78:CK79))))</f>
        <v>640</v>
      </c>
      <c r="AL81" s="2954"/>
      <c r="AM81" s="2954"/>
      <c r="AN81" s="2955"/>
      <c r="AO81" s="524" t="s">
        <v>103</v>
      </c>
      <c r="AP81" s="2911"/>
      <c r="AQ81" s="2912"/>
      <c r="AR81" s="2912"/>
      <c r="AS81" s="2913"/>
      <c r="AT81" s="2896"/>
      <c r="AU81" s="2897"/>
      <c r="AV81" s="2898"/>
      <c r="AW81" s="2939" t="str">
        <f>IF($B$2=0,"",IF(BN81="","",IF(BE81="","フロアダクト FC-6",BE81)))</f>
        <v>フロアダクト FC-6</v>
      </c>
      <c r="AX81" s="2845"/>
      <c r="AY81" s="2845"/>
      <c r="AZ81" s="2845"/>
      <c r="BA81" s="2845"/>
      <c r="BB81" s="2845"/>
      <c r="BC81" s="2940"/>
      <c r="BD81" s="524" t="s">
        <v>103</v>
      </c>
      <c r="BE81" s="2941"/>
      <c r="BF81" s="2942"/>
      <c r="BG81" s="2942"/>
      <c r="BH81" s="2942"/>
      <c r="BI81" s="2942"/>
      <c r="BJ81" s="2942"/>
      <c r="BK81" s="2883" t="s">
        <v>235</v>
      </c>
      <c r="BL81" s="2884"/>
      <c r="BM81" s="2885"/>
      <c r="BN81" s="2943">
        <f>IF($B$2=0,"",IF(BR81="",MAX(CL78:CL79),BR81))</f>
        <v>200.20851011026986</v>
      </c>
      <c r="BO81" s="2944"/>
      <c r="BP81" s="2945"/>
      <c r="BQ81" s="523" t="s">
        <v>103</v>
      </c>
      <c r="BR81" s="3200"/>
      <c r="BS81" s="3200"/>
      <c r="BT81" s="3200"/>
      <c r="BU81" s="19"/>
      <c r="BX81" s="47"/>
      <c r="BZ81" s="106" t="s">
        <v>766</v>
      </c>
      <c r="CA81" s="522" t="str">
        <f>IF(OR(I75="( 10)",I75="(12)イ"),"1","")</f>
        <v/>
      </c>
      <c r="CB81" s="151" t="str">
        <f>IF(CA81="","",INT(P78/200))</f>
        <v/>
      </c>
      <c r="CC81" s="122">
        <f>IF(CB81="",0,CB81)</f>
        <v>0</v>
      </c>
      <c r="CE81" s="156" t="s">
        <v>716</v>
      </c>
      <c r="CF81" s="521"/>
      <c r="CG81" s="189">
        <f>IF($AQ$8=0,1.5*2*(1+INT(2*BX76/($AQ$9/1000)))*(1+INT(2*BY76/($AQ$9/1000))),0)</f>
        <v>0</v>
      </c>
      <c r="CH81" s="82"/>
      <c r="CI81" s="82" t="s">
        <v>765</v>
      </c>
      <c r="CJ81" s="107">
        <f>AR78</f>
        <v>8</v>
      </c>
      <c r="CK81" s="12"/>
      <c r="CL81" s="12"/>
      <c r="CM81" s="12"/>
      <c r="CN81" s="12"/>
      <c r="CO81" s="252" t="str">
        <f>AW81</f>
        <v>フロアダクト FC-6</v>
      </c>
      <c r="CP81" s="520">
        <f>BN81</f>
        <v>200.20851011026986</v>
      </c>
      <c r="CR81" s="519" t="str">
        <f>IF(CS81="","","ローテンションアウトレット")</f>
        <v>ローテンションアウトレット</v>
      </c>
      <c r="CS81" s="189">
        <f>CS75</f>
        <v>40</v>
      </c>
      <c r="CV81" s="197">
        <f t="shared" si="24"/>
        <v>6</v>
      </c>
      <c r="CW81" s="197" t="str">
        <f t="shared" si="25"/>
        <v/>
      </c>
      <c r="CX81" s="207"/>
      <c r="CY81" s="24"/>
      <c r="DA81" s="515"/>
      <c r="DB81" s="516"/>
      <c r="DE81" s="197">
        <f>IF(DI81&lt;&gt;"",DE80+1,DE80)</f>
        <v>14</v>
      </c>
      <c r="DF81" s="197" t="str">
        <f t="shared" si="44"/>
        <v/>
      </c>
      <c r="DG81" s="207" t="str">
        <f>CR80</f>
        <v>ジャンクションボックス 2Duct</v>
      </c>
      <c r="DH81" s="24"/>
      <c r="DI81" s="249" t="str">
        <f>IF(COUNTIF(DG$18:$DG80,DG81)&gt;0,"",DG81)</f>
        <v/>
      </c>
      <c r="DJ81" s="515">
        <f>CS80</f>
        <v>40</v>
      </c>
      <c r="DK81" s="514">
        <f t="shared" si="41"/>
        <v>0</v>
      </c>
      <c r="DN81" s="197">
        <f>IF(DS81&lt;&gt;"",DN80+1,DN80)</f>
        <v>4</v>
      </c>
      <c r="DO81" s="197" t="str">
        <f t="shared" si="42"/>
        <v/>
      </c>
      <c r="DP81" s="10" t="str">
        <f>IF(BQ78="","","接地工事 Et")</f>
        <v/>
      </c>
      <c r="DQ81" s="24"/>
      <c r="DR81" s="249" t="str">
        <f>IF(COUNTIF(DP$18:$DP80,DP81)&gt;0,"",DP81)</f>
        <v/>
      </c>
      <c r="DS81" s="198" t="str">
        <f>IF(DP81&lt;&gt;"",1,"")</f>
        <v/>
      </c>
      <c r="DT81" s="514">
        <f t="shared" si="43"/>
        <v>0</v>
      </c>
    </row>
    <row r="82" spans="1:124" ht="9" customHeight="1">
      <c r="B82" s="558"/>
      <c r="C82" s="557"/>
      <c r="D82" s="557"/>
      <c r="E82" s="557"/>
      <c r="F82" s="557"/>
      <c r="G82" s="557"/>
      <c r="H82" s="557"/>
      <c r="I82" s="557"/>
      <c r="J82" s="557"/>
      <c r="K82" s="557"/>
      <c r="L82" s="557"/>
      <c r="M82" s="557"/>
      <c r="N82" s="557"/>
      <c r="O82" s="557"/>
      <c r="P82" s="557"/>
      <c r="Q82" s="557"/>
      <c r="R82" s="557"/>
      <c r="S82" s="557"/>
      <c r="T82" s="557"/>
      <c r="U82" s="557"/>
      <c r="V82" s="557"/>
      <c r="W82" s="557"/>
      <c r="X82" s="557"/>
      <c r="Y82" s="557"/>
      <c r="Z82" s="557"/>
      <c r="AA82" s="557"/>
      <c r="AB82" s="557"/>
      <c r="AC82" s="557"/>
      <c r="AD82" s="557"/>
      <c r="AE82" s="557"/>
      <c r="AF82" s="557"/>
      <c r="AG82" s="557"/>
      <c r="AH82" s="557"/>
      <c r="AI82" s="557"/>
      <c r="AJ82" s="557"/>
      <c r="AK82" s="557"/>
      <c r="AL82" s="557"/>
      <c r="AM82" s="557"/>
      <c r="AN82" s="557"/>
      <c r="AO82" s="557"/>
      <c r="AP82" s="557"/>
      <c r="AQ82" s="557"/>
      <c r="AR82" s="557"/>
      <c r="AS82" s="557"/>
      <c r="AT82" s="557"/>
      <c r="AU82" s="557"/>
      <c r="AV82" s="557"/>
      <c r="AW82" s="557"/>
      <c r="AX82" s="557"/>
      <c r="AY82" s="557"/>
      <c r="AZ82" s="557"/>
      <c r="BA82" s="557"/>
      <c r="BB82" s="557"/>
      <c r="BC82" s="557"/>
      <c r="BD82" s="557"/>
      <c r="BE82" s="557"/>
      <c r="BF82" s="557"/>
      <c r="BG82" s="557"/>
      <c r="BH82" s="557"/>
      <c r="BI82" s="557"/>
      <c r="BJ82" s="557"/>
      <c r="BK82" s="557"/>
      <c r="BL82" s="557"/>
      <c r="BM82" s="557"/>
      <c r="BN82" s="557"/>
      <c r="BO82" s="557"/>
      <c r="BP82" s="557"/>
      <c r="BQ82" s="557"/>
      <c r="BR82" s="557"/>
      <c r="BS82" s="557"/>
      <c r="BT82" s="557"/>
      <c r="BU82" s="556"/>
      <c r="BZ82" s="114" t="str">
        <f>"="</f>
        <v>=</v>
      </c>
      <c r="CA82" s="114" t="str">
        <f>"－"</f>
        <v>－</v>
      </c>
      <c r="CB82" s="114" t="str">
        <f>"+"</f>
        <v>+</v>
      </c>
      <c r="CP82" s="555"/>
      <c r="CU82" s="9"/>
      <c r="CV82" s="197">
        <f t="shared" si="24"/>
        <v>6</v>
      </c>
      <c r="CW82" s="197" t="str">
        <f t="shared" si="25"/>
        <v/>
      </c>
      <c r="CX82" s="9"/>
      <c r="CY82" s="9"/>
      <c r="CZ82" s="9"/>
      <c r="DA82" s="9"/>
      <c r="DB82" s="9"/>
      <c r="DC82" s="6"/>
      <c r="DD82" s="9"/>
      <c r="DE82" s="197">
        <f>IF(DI82&lt;&gt;"",DE81+1,DE81)</f>
        <v>14</v>
      </c>
      <c r="DF82" s="197" t="str">
        <f t="shared" si="44"/>
        <v/>
      </c>
      <c r="DG82" s="9"/>
      <c r="DH82" s="9"/>
      <c r="DI82" s="9"/>
      <c r="DJ82" s="9"/>
      <c r="DK82" s="9"/>
      <c r="DL82" s="6"/>
      <c r="DM82" s="9"/>
      <c r="DN82" s="197">
        <f>IF(DS82&lt;&gt;"",DN81+1,DN81)</f>
        <v>4</v>
      </c>
      <c r="DO82" s="197" t="str">
        <f t="shared" si="42"/>
        <v/>
      </c>
      <c r="DP82" s="9"/>
      <c r="DQ82" s="9"/>
      <c r="DR82" s="9"/>
      <c r="DS82" s="9"/>
      <c r="DT82" s="9"/>
    </row>
    <row r="83" spans="1:124" ht="9" customHeight="1">
      <c r="B83" s="23"/>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19"/>
      <c r="BZ83" s="114"/>
      <c r="CA83" s="114"/>
      <c r="CB83" s="114"/>
      <c r="CP83" s="555"/>
      <c r="CU83" s="9"/>
      <c r="CV83" s="197">
        <f t="shared" si="24"/>
        <v>6</v>
      </c>
      <c r="CW83" s="197" t="str">
        <f t="shared" si="25"/>
        <v/>
      </c>
      <c r="CX83" s="9"/>
      <c r="CY83" s="9"/>
      <c r="CZ83" s="9"/>
      <c r="DA83" s="9"/>
      <c r="DB83" s="9"/>
      <c r="DC83" s="6"/>
      <c r="DD83" s="9"/>
      <c r="DE83" s="197">
        <f>IF(DI83&lt;&gt;"",DE82+1,DE82)</f>
        <v>14</v>
      </c>
      <c r="DF83" s="197" t="str">
        <f t="shared" si="44"/>
        <v/>
      </c>
      <c r="DG83" s="9"/>
      <c r="DH83" s="9"/>
      <c r="DI83" s="9"/>
      <c r="DJ83" s="9"/>
      <c r="DK83" s="9"/>
      <c r="DL83" s="6"/>
      <c r="DM83" s="9"/>
      <c r="DN83" s="197">
        <f>IF(DS83&lt;&gt;"",DN82+1,DN82)</f>
        <v>4</v>
      </c>
      <c r="DO83" s="197" t="str">
        <f t="shared" si="42"/>
        <v/>
      </c>
      <c r="DP83" s="9"/>
      <c r="DQ83" s="9"/>
      <c r="DR83" s="9"/>
      <c r="DS83" s="9"/>
      <c r="DT83" s="9"/>
    </row>
    <row r="84" spans="1:124" ht="11.25" customHeight="1" thickBot="1">
      <c r="A84" s="46"/>
      <c r="B84" s="23"/>
      <c r="C84" s="3032" t="s">
        <v>112</v>
      </c>
      <c r="D84" s="3032"/>
      <c r="E84" s="3032"/>
      <c r="F84" s="3032"/>
      <c r="G84" s="3032"/>
      <c r="H84" s="3032"/>
      <c r="I84" s="3033" t="str">
        <f>非誘!J64</f>
        <v>( 4 )</v>
      </c>
      <c r="J84" s="3033"/>
      <c r="K84" s="3033"/>
      <c r="L84" s="3034"/>
      <c r="M84" s="3035" t="str">
        <f>非誘!M64</f>
        <v>百貨店等</v>
      </c>
      <c r="N84" s="2961"/>
      <c r="O84" s="2961"/>
      <c r="P84" s="2961"/>
      <c r="Q84" s="2961"/>
      <c r="R84" s="2961"/>
      <c r="S84" s="2961"/>
      <c r="T84" s="2961"/>
      <c r="U84" s="2961"/>
      <c r="V84" s="2961"/>
      <c r="W84" s="3036"/>
      <c r="X84" s="3037" t="s">
        <v>232</v>
      </c>
      <c r="Y84" s="3037"/>
      <c r="Z84" s="3037"/>
      <c r="AA84" s="3037"/>
      <c r="AB84" s="3038"/>
      <c r="AC84" s="2977" t="str">
        <f>非誘!AA64</f>
        <v>A</v>
      </c>
      <c r="AD84" s="2978"/>
      <c r="AE84" s="2917" t="s">
        <v>760</v>
      </c>
      <c r="AF84" s="2918"/>
      <c r="AG84" s="2918"/>
      <c r="AH84" s="2918"/>
      <c r="AI84" s="2919"/>
      <c r="AJ84" s="2979">
        <f>非誘!J65</f>
        <v>0.5</v>
      </c>
      <c r="AK84" s="2980"/>
      <c r="AL84" s="2981"/>
      <c r="AM84" s="2917" t="s">
        <v>759</v>
      </c>
      <c r="AN84" s="2918"/>
      <c r="AO84" s="2919"/>
      <c r="AP84" s="2920" t="str">
        <f>IF(OR($B$2=0,AS84=""),$BO$14,AS84)</f>
        <v>Ⓖ</v>
      </c>
      <c r="AQ84" s="2920"/>
      <c r="AR84" s="554" t="s">
        <v>103</v>
      </c>
      <c r="AS84" s="2921"/>
      <c r="AT84" s="2922"/>
      <c r="AU84" s="2875" t="s">
        <v>757</v>
      </c>
      <c r="AV84" s="2875"/>
      <c r="AW84" s="2875"/>
      <c r="AX84" s="2875"/>
      <c r="AY84" s="2875"/>
      <c r="AZ84" s="2875"/>
      <c r="BA84" s="2876"/>
      <c r="BB84" s="553">
        <f>IF(BC84="天井ケーブル",1,IF(BC84="天井(PF管)",2,IF(BC84="天井(C管)",3,IF(BC84="天井(G管)",4,IF(BC84="床(CD管)",5,IF(BC84="床(C管)",6,IF(BC84="床(G管)",7,"")))))))</f>
        <v>5</v>
      </c>
      <c r="BC84" s="2961" t="str">
        <f>IF($B$2=0,"",IF(BK84&lt;&gt;"",BK84,IF(I87="直天","天井(C管)","床(CD管)")))</f>
        <v>床(CD管)</v>
      </c>
      <c r="BD84" s="2962"/>
      <c r="BE84" s="2962"/>
      <c r="BF84" s="2962"/>
      <c r="BG84" s="2962"/>
      <c r="BH84" s="2962"/>
      <c r="BI84" s="2963"/>
      <c r="BJ84" s="552" t="s">
        <v>103</v>
      </c>
      <c r="BK84" s="2905"/>
      <c r="BL84" s="2906"/>
      <c r="BM84" s="2906"/>
      <c r="BN84" s="2906"/>
      <c r="BO84" s="2906"/>
      <c r="BP84" s="2907"/>
      <c r="BQ84" s="2982" t="s">
        <v>755</v>
      </c>
      <c r="BR84" s="2983"/>
      <c r="BS84" s="2983"/>
      <c r="BT84" s="2984"/>
      <c r="BU84" s="19"/>
      <c r="BV84" s="8">
        <v>9</v>
      </c>
      <c r="BX84" s="55" t="s">
        <v>229</v>
      </c>
      <c r="BY84" s="55" t="s">
        <v>228</v>
      </c>
      <c r="BZ84" s="534">
        <f>BY78+BY95+CA85</f>
        <v>630</v>
      </c>
      <c r="CA84" s="534">
        <f>CA85+BY78</f>
        <v>387</v>
      </c>
      <c r="CB84" s="38">
        <f>BY95+CA85</f>
        <v>291</v>
      </c>
      <c r="CC84" s="69"/>
      <c r="CD84" s="534"/>
      <c r="CE84" s="534"/>
      <c r="CF84" s="143" t="s">
        <v>754</v>
      </c>
      <c r="CG84" s="143" t="s">
        <v>753</v>
      </c>
      <c r="CH84" s="143" t="s">
        <v>753</v>
      </c>
      <c r="CI84" s="551" t="s">
        <v>752</v>
      </c>
      <c r="CJ84" s="551" t="s">
        <v>752</v>
      </c>
      <c r="CK84" s="550" t="s">
        <v>734</v>
      </c>
      <c r="CL84" s="550" t="s">
        <v>732</v>
      </c>
      <c r="CM84" s="46"/>
      <c r="CO84" s="46" t="str">
        <f>Q88</f>
        <v>FCPEV 0.65-200Pr</v>
      </c>
      <c r="CP84" s="520">
        <f>AK88</f>
        <v>12</v>
      </c>
      <c r="CR84" s="519" t="str">
        <f>IF(CS84="","",IF($J$14="A","多機能内線電話機",""))</f>
        <v>多機能内線電話機</v>
      </c>
      <c r="CS84" s="189">
        <f>BB87</f>
        <v>40</v>
      </c>
      <c r="CU84" s="88">
        <v>9</v>
      </c>
      <c r="CV84" s="204">
        <f>IF(CZ84&lt;&gt;"",CV82+1,CV82)</f>
        <v>6</v>
      </c>
      <c r="CW84" s="155" t="str">
        <f t="shared" ref="CW84:CW115" si="45">IF(AND(CV84&lt;&gt;"",CZ84&lt;&gt;""),CV84,"")</f>
        <v/>
      </c>
      <c r="CX84" s="45"/>
      <c r="CY84" s="45"/>
      <c r="CZ84" s="45"/>
      <c r="DA84" s="45"/>
      <c r="DB84" s="45"/>
      <c r="DD84" s="88">
        <v>9</v>
      </c>
      <c r="DE84" s="204">
        <f>IF(DI84&lt;&gt;"",DE82+1,DE82)</f>
        <v>14</v>
      </c>
      <c r="DF84" s="155" t="str">
        <f t="shared" si="44"/>
        <v/>
      </c>
      <c r="DG84" s="549" t="str">
        <f>CO78</f>
        <v>導入線 1.2mmφ</v>
      </c>
      <c r="DH84" s="45"/>
      <c r="DI84" s="153" t="str">
        <f>IF(COUNTIF(DG$9:$DG82,DG84)&gt;0,"",DG84)</f>
        <v/>
      </c>
      <c r="DJ84" s="155">
        <f>CP78</f>
        <v>585.20000000000005</v>
      </c>
      <c r="DK84" s="548">
        <f>SUMIF($DG$11:$DG$182,DI84,$DJ$11:$DJ$182)</f>
        <v>0</v>
      </c>
      <c r="DM84" s="88">
        <v>9</v>
      </c>
      <c r="DN84" s="204">
        <f>IF(DS84&lt;&gt;"",DN82+1,DN82)</f>
        <v>4</v>
      </c>
      <c r="DO84" s="155" t="str">
        <f>IF(AND(DN84&lt;&gt;"",DR84&lt;&gt;""),DN84,"")</f>
        <v/>
      </c>
      <c r="DP84" s="45"/>
      <c r="DQ84" s="45"/>
      <c r="DR84" s="45"/>
      <c r="DS84" s="45"/>
      <c r="DT84" s="45"/>
    </row>
    <row r="85" spans="1:124" ht="11.25" customHeight="1" thickBot="1">
      <c r="B85" s="23"/>
      <c r="C85" s="3008" t="s">
        <v>4</v>
      </c>
      <c r="D85" s="3009"/>
      <c r="E85" s="3010"/>
      <c r="F85" s="3014" t="s">
        <v>22</v>
      </c>
      <c r="G85" s="2983"/>
      <c r="H85" s="3015"/>
      <c r="I85" s="2982" t="s">
        <v>132</v>
      </c>
      <c r="J85" s="2983"/>
      <c r="K85" s="3015"/>
      <c r="L85" s="2982" t="s">
        <v>6</v>
      </c>
      <c r="M85" s="2983"/>
      <c r="N85" s="2983"/>
      <c r="O85" s="2984"/>
      <c r="P85" s="3014" t="s">
        <v>7</v>
      </c>
      <c r="Q85" s="2983"/>
      <c r="R85" s="2983"/>
      <c r="S85" s="2984"/>
      <c r="T85" s="3014" t="s">
        <v>8</v>
      </c>
      <c r="U85" s="2983"/>
      <c r="V85" s="2983"/>
      <c r="W85" s="2984"/>
      <c r="X85" s="3014" t="s">
        <v>9</v>
      </c>
      <c r="Y85" s="2983"/>
      <c r="Z85" s="3015"/>
      <c r="AA85" s="2982" t="s">
        <v>9</v>
      </c>
      <c r="AB85" s="2983"/>
      <c r="AC85" s="2984"/>
      <c r="AD85" s="2974" t="s">
        <v>708</v>
      </c>
      <c r="AE85" s="2975"/>
      <c r="AF85" s="2975"/>
      <c r="AG85" s="2975"/>
      <c r="AH85" s="2975"/>
      <c r="AI85" s="2975"/>
      <c r="AJ85" s="2975"/>
      <c r="AK85" s="2975"/>
      <c r="AL85" s="2930" t="str">
        <f>IF(BX89=1,"T-"&amp;LEFT(C87,3)&amp;"-1","T-"&amp;LEFT(C87,3)&amp;"-1～"&amp;BX89)</f>
        <v>T-  7-1～2</v>
      </c>
      <c r="AM85" s="2930"/>
      <c r="AN85" s="2930"/>
      <c r="AO85" s="2930"/>
      <c r="AP85" s="2930"/>
      <c r="AQ85" s="2932"/>
      <c r="AR85" s="2925" t="s">
        <v>751</v>
      </c>
      <c r="AS85" s="2926"/>
      <c r="AT85" s="2926"/>
      <c r="AU85" s="2926"/>
      <c r="AV85" s="2926"/>
      <c r="AW85" s="2926"/>
      <c r="AX85" s="2926"/>
      <c r="AY85" s="2926"/>
      <c r="AZ85" s="2926"/>
      <c r="BA85" s="2927"/>
      <c r="BB85" s="2886" t="s">
        <v>750</v>
      </c>
      <c r="BC85" s="2887"/>
      <c r="BD85" s="2887"/>
      <c r="BE85" s="2887"/>
      <c r="BF85" s="2887"/>
      <c r="BG85" s="2887"/>
      <c r="BH85" s="2887"/>
      <c r="BI85" s="2887"/>
      <c r="BJ85" s="2888"/>
      <c r="BK85" s="2888"/>
      <c r="BL85" s="2888"/>
      <c r="BM85" s="2888"/>
      <c r="BN85" s="2888"/>
      <c r="BO85" s="2888"/>
      <c r="BP85" s="2889"/>
      <c r="BQ85" s="2939" t="str">
        <f>IF(AND($B$2=1,$J$14="A",C87=$J$15),"設置","")</f>
        <v/>
      </c>
      <c r="BR85" s="2845"/>
      <c r="BS85" s="2845"/>
      <c r="BT85" s="2940"/>
      <c r="BU85" s="19"/>
      <c r="BV85" s="15">
        <v>64</v>
      </c>
      <c r="BX85" s="98">
        <f>非誘!BW66</f>
        <v>12</v>
      </c>
      <c r="BY85" s="98">
        <f>非誘!BX66</f>
        <v>24</v>
      </c>
      <c r="BZ85" s="547">
        <f>IF(CA85&lt;10,10,IF(CA85&lt;15,15,IF(CA85&lt;20,20,IF(CA85&lt;25,25,IF(CA85&lt;30,30,IF(CA85&lt;50,50,IF(CA85&lt;70,70,IF(CA85&lt;100,100,IF(CA85&lt;150,150,IF(CA85&lt;20,200,200))))))))))</f>
        <v>50</v>
      </c>
      <c r="CA85" s="546">
        <f>SUM(CC88:CC90)</f>
        <v>48</v>
      </c>
      <c r="CB85" s="107" t="str">
        <f>IF(BY87&lt;10," 10",IF(BY87&lt;15," 15",IF(BY87&lt;20," 20",IF(BY87&lt;25," 25",IF(BY87&lt;30," 30",IF(BY87&lt;50," 50",IF(BY87&lt;70," 70",IF(BY87&lt;100,"100",IF(BY87&lt;150,"150",IF(BY87&lt;200,"200","200"))))))))))</f>
        <v>200</v>
      </c>
      <c r="CC85" s="545">
        <f>1+INT(BY87/200)</f>
        <v>2</v>
      </c>
      <c r="CD85" s="534"/>
      <c r="CE85" s="156" t="s">
        <v>749</v>
      </c>
      <c r="CF85" s="189">
        <f>2*INT($AG$9/1000)</f>
        <v>2</v>
      </c>
      <c r="CG85" s="189">
        <f>CG88+(1+INT($AG$9+$AG$8)/1000)*(1+INT(AR87/10))+CG87</f>
        <v>55.919999999999995</v>
      </c>
      <c r="CH85" s="98">
        <f>IF(AW87="",0,AW87*8)</f>
        <v>320</v>
      </c>
      <c r="CI85" s="98">
        <f>AR87*8</f>
        <v>64</v>
      </c>
      <c r="CJ85" s="544">
        <f>IF(AW87="",0,AW87*8)</f>
        <v>320</v>
      </c>
      <c r="CK85" s="223">
        <f>IF(E89="不","",(CG85+CG86+CI85+CI86)*MAX(P87:W87)/L87)</f>
        <v>85.343999999999994</v>
      </c>
      <c r="CL85" s="223">
        <f>IF(E89="不","",SUM(CG88:CH88)+SUM(CG89:CH89)*MAX(P87:W87)/L87)</f>
        <v>162</v>
      </c>
      <c r="CM85" s="527" t="s">
        <v>7</v>
      </c>
      <c r="CN85" s="15"/>
      <c r="CO85" s="46" t="str">
        <f>Q89</f>
        <v>電子釦 0.4- 4Pr</v>
      </c>
      <c r="CP85" s="520">
        <f>AK89</f>
        <v>121.91999999999999</v>
      </c>
      <c r="CR85" s="519" t="str">
        <f>IF(CS85="","",IF($J$14="A","内線電話機"))</f>
        <v>内線電話機</v>
      </c>
      <c r="CS85" s="189">
        <f>BG87</f>
        <v>8</v>
      </c>
      <c r="CU85" s="8"/>
      <c r="CV85" s="197">
        <f t="shared" ref="CV85:CV116" si="46">IF(CZ85&lt;&gt;"",CV84+1,CV84)</f>
        <v>6</v>
      </c>
      <c r="CW85" s="197" t="str">
        <f t="shared" si="45"/>
        <v/>
      </c>
      <c r="CX85" s="543" t="str">
        <f>CO84</f>
        <v>FCPEV 0.65-200Pr</v>
      </c>
      <c r="CY85" s="8"/>
      <c r="CZ85" s="249" t="str">
        <f>IF(COUNTIF($CX$17:$CX84,CX85)&gt;0,"",CX85)</f>
        <v/>
      </c>
      <c r="DA85" s="515">
        <f>CP84</f>
        <v>12</v>
      </c>
      <c r="DB85" s="514">
        <f>SUMIF($CX$20:$CX$182,CZ85,$DA$20:$DA$182)</f>
        <v>0</v>
      </c>
      <c r="DC85" s="8"/>
      <c r="DD85" s="8"/>
      <c r="DE85" s="197">
        <f>IF(DI85&lt;&gt;"",DE84+1,DE84)</f>
        <v>14</v>
      </c>
      <c r="DF85" s="197" t="str">
        <f t="shared" si="44"/>
        <v/>
      </c>
      <c r="DG85" s="207" t="str">
        <f>CO88</f>
        <v>CD-28mm</v>
      </c>
      <c r="DH85" s="8"/>
      <c r="DI85" s="249" t="str">
        <f>IF(COUNTIF(DG$17:$DG84,DG85)&gt;0,"",DG85)</f>
        <v/>
      </c>
      <c r="DJ85" s="515">
        <f>CP88</f>
        <v>8</v>
      </c>
      <c r="DK85" s="514">
        <f t="shared" ref="DK85:DK91" si="47">SUMIF($DG$20:$DG$182,DI85,$DJ$20:$DJ$182)</f>
        <v>0</v>
      </c>
      <c r="DL85" s="8"/>
      <c r="DM85" s="8"/>
      <c r="DN85" s="197">
        <f>IF(DR85&lt;&gt;"",DN84+1,DN84)</f>
        <v>4</v>
      </c>
      <c r="DO85" s="197">
        <f t="shared" ref="DO85:DO90" si="48">IF(AND(DN85&lt;&gt;"",DS85&lt;&gt;""),DN85,"")</f>
        <v>4</v>
      </c>
      <c r="DP85" s="10" t="str">
        <f>CR84</f>
        <v>多機能内線電話機</v>
      </c>
      <c r="DQ85" s="8"/>
      <c r="DR85" s="249" t="str">
        <f>IF(COUNTIF(DP$18:$DP84,DP85)&gt;0,"",DP85)</f>
        <v/>
      </c>
      <c r="DS85" s="198">
        <f>CS84</f>
        <v>40</v>
      </c>
      <c r="DT85" s="514">
        <f t="shared" ref="DT85:DT90" si="49">SUMIF($DP$20:$DP$182,DR85,$DS$20:$DS$182)</f>
        <v>0</v>
      </c>
    </row>
    <row r="86" spans="1:124" ht="11.25" customHeight="1" thickBot="1">
      <c r="B86" s="23"/>
      <c r="C86" s="3011"/>
      <c r="D86" s="3012"/>
      <c r="E86" s="3013"/>
      <c r="F86" s="3039" t="s">
        <v>235</v>
      </c>
      <c r="G86" s="3040"/>
      <c r="H86" s="3041"/>
      <c r="I86" s="3039" t="s">
        <v>235</v>
      </c>
      <c r="J86" s="3040"/>
      <c r="K86" s="3041"/>
      <c r="L86" s="3039" t="s">
        <v>748</v>
      </c>
      <c r="M86" s="3040"/>
      <c r="N86" s="3040"/>
      <c r="O86" s="3042"/>
      <c r="P86" s="3043" t="s">
        <v>748</v>
      </c>
      <c r="Q86" s="3040"/>
      <c r="R86" s="3040"/>
      <c r="S86" s="3042"/>
      <c r="T86" s="3043" t="s">
        <v>748</v>
      </c>
      <c r="U86" s="3040"/>
      <c r="V86" s="3040"/>
      <c r="W86" s="3044"/>
      <c r="X86" s="3045" t="s">
        <v>111</v>
      </c>
      <c r="Y86" s="3046"/>
      <c r="Z86" s="3047"/>
      <c r="AA86" s="3001" t="s">
        <v>110</v>
      </c>
      <c r="AB86" s="3002"/>
      <c r="AC86" s="3003"/>
      <c r="AD86" s="3004" t="s">
        <v>695</v>
      </c>
      <c r="AE86" s="3005"/>
      <c r="AF86" s="3005"/>
      <c r="AG86" s="3006" t="s">
        <v>699</v>
      </c>
      <c r="AH86" s="3005"/>
      <c r="AI86" s="3007"/>
      <c r="AJ86" s="2928" t="s">
        <v>747</v>
      </c>
      <c r="AK86" s="2918"/>
      <c r="AL86" s="2918"/>
      <c r="AM86" s="2928" t="s">
        <v>746</v>
      </c>
      <c r="AN86" s="2918"/>
      <c r="AO86" s="2929"/>
      <c r="AP86" s="2956" t="s">
        <v>745</v>
      </c>
      <c r="AQ86" s="2957"/>
      <c r="AR86" s="2917" t="s">
        <v>744</v>
      </c>
      <c r="AS86" s="2918"/>
      <c r="AT86" s="2958" t="s">
        <v>3</v>
      </c>
      <c r="AU86" s="2959"/>
      <c r="AV86" s="2959"/>
      <c r="AW86" s="2959" t="s">
        <v>743</v>
      </c>
      <c r="AX86" s="2960"/>
      <c r="AY86" s="2928" t="s">
        <v>3</v>
      </c>
      <c r="AZ86" s="2918"/>
      <c r="BA86" s="2919"/>
      <c r="BB86" s="542" t="str">
        <f>IF(CA88="","","●")</f>
        <v>●</v>
      </c>
      <c r="BC86" s="2930" t="s">
        <v>742</v>
      </c>
      <c r="BD86" s="2930"/>
      <c r="BE86" s="2930"/>
      <c r="BF86" s="2931"/>
      <c r="BG86" s="542" t="str">
        <f>IF(CA89="","","●")</f>
        <v>●</v>
      </c>
      <c r="BH86" s="2930" t="s">
        <v>741</v>
      </c>
      <c r="BI86" s="2930"/>
      <c r="BJ86" s="2930"/>
      <c r="BK86" s="2931"/>
      <c r="BL86" s="542" t="str">
        <f>IF(CA90="","","●")</f>
        <v/>
      </c>
      <c r="BM86" s="2930" t="s">
        <v>764</v>
      </c>
      <c r="BN86" s="2930"/>
      <c r="BO86" s="2930"/>
      <c r="BP86" s="2932"/>
      <c r="BQ86" s="2974" t="s">
        <v>740</v>
      </c>
      <c r="BR86" s="2975"/>
      <c r="BS86" s="2975"/>
      <c r="BT86" s="2976"/>
      <c r="BU86" s="19"/>
      <c r="BX86" s="97" t="str">
        <f>IF(LEFT(C87,2)=" B",-MID(C87,3,1),IF(C87="  RF","",LEFT(C87,3)))</f>
        <v xml:space="preserve">  7</v>
      </c>
      <c r="BY86" s="541" t="str">
        <f>IF(OR(C87="",C87="  RF"),"",IF(LEFT(C87,1)="P","+",IF($BW$14&gt;BX86,"-",IF($BW$14=BX86,"=","+"))))</f>
        <v>+</v>
      </c>
      <c r="BZ86" s="2985" t="str">
        <f>"FCPEV 0.65-"&amp;CB85&amp;"Pr"</f>
        <v>FCPEV 0.65-200Pr</v>
      </c>
      <c r="CA86" s="2986"/>
      <c r="CB86" s="2986"/>
      <c r="CC86" s="2986"/>
      <c r="CD86" s="62"/>
      <c r="CE86" s="156" t="s">
        <v>763</v>
      </c>
      <c r="CF86" s="540">
        <f>F87</f>
        <v>4</v>
      </c>
      <c r="CG86" s="540">
        <f>CG89+(1+INT(AR87/10))*($AG$9+$AG$8)/1000</f>
        <v>2</v>
      </c>
      <c r="CH86" s="539"/>
      <c r="CI86" s="189">
        <f>CH89</f>
        <v>0</v>
      </c>
      <c r="CJ86" s="260"/>
      <c r="CK86" s="528">
        <f>IF(E90="不","",(CG85+CG86+CI85+CI86)*T87/L87)</f>
        <v>36.575999999999993</v>
      </c>
      <c r="CL86" s="528">
        <f>IF(E90="不","",SUM(CG88:CH88)+SUM(CG89:CH89)*T87/L87)</f>
        <v>162</v>
      </c>
      <c r="CM86" s="527" t="s">
        <v>8</v>
      </c>
      <c r="CN86" s="15"/>
      <c r="CO86" s="46" t="str">
        <f>Q90</f>
        <v>TIVF 0.8-2C</v>
      </c>
      <c r="CP86" s="520">
        <f>AK90</f>
        <v>640</v>
      </c>
      <c r="CR86" s="519" t="str">
        <f>IF(CS86="","",IF($J$14="A","PHSアンテナ"))</f>
        <v/>
      </c>
      <c r="CS86" s="189" t="str">
        <f>BL87</f>
        <v/>
      </c>
      <c r="CU86" s="8"/>
      <c r="CV86" s="197">
        <f t="shared" si="46"/>
        <v>6</v>
      </c>
      <c r="CW86" s="197" t="str">
        <f t="shared" si="45"/>
        <v/>
      </c>
      <c r="CX86" s="10" t="str">
        <f>CO85</f>
        <v>電子釦 0.4- 4Pr</v>
      </c>
      <c r="CY86" s="8"/>
      <c r="CZ86" s="249" t="str">
        <f>IF(COUNTIF($CZ$10:$CZ85,CX86)&gt;0,"",CX86)</f>
        <v/>
      </c>
      <c r="DA86" s="515">
        <f>CP85</f>
        <v>121.91999999999999</v>
      </c>
      <c r="DB86" s="514">
        <f>SUMIF($CX$20:$CX$182,CZ86,$DA$20:$DA$182)</f>
        <v>0</v>
      </c>
      <c r="DC86" s="8"/>
      <c r="DD86" s="8"/>
      <c r="DE86" s="197">
        <f>IF(DI86&lt;&gt;"",DE85+1,DE85)</f>
        <v>14</v>
      </c>
      <c r="DF86" s="197" t="str">
        <f t="shared" si="44"/>
        <v/>
      </c>
      <c r="DG86" s="207" t="str">
        <f>CO89</f>
        <v>CD-22mm</v>
      </c>
      <c r="DH86" s="8"/>
      <c r="DI86" s="249" t="str">
        <f>IF(COUNTIF(DG$18:$DG85,DG86)&gt;0,"",DG86)</f>
        <v/>
      </c>
      <c r="DJ86" s="515">
        <f>CP89</f>
        <v>324</v>
      </c>
      <c r="DK86" s="514">
        <f t="shared" si="47"/>
        <v>0</v>
      </c>
      <c r="DL86" s="8"/>
      <c r="DM86" s="8"/>
      <c r="DN86" s="197">
        <f>IF(DR86&lt;&gt;"",DN85+1,DN85)</f>
        <v>4</v>
      </c>
      <c r="DO86" s="197">
        <f t="shared" si="48"/>
        <v>4</v>
      </c>
      <c r="DP86" s="207" t="str">
        <f>CR85</f>
        <v>内線電話機</v>
      </c>
      <c r="DQ86" s="8"/>
      <c r="DR86" s="249" t="str">
        <f>IF(COUNTIF(DP$18:$DP85,DP86)&gt;0,"",DP86)</f>
        <v/>
      </c>
      <c r="DS86" s="198">
        <f>CS85</f>
        <v>8</v>
      </c>
      <c r="DT86" s="514">
        <f t="shared" si="49"/>
        <v>0</v>
      </c>
    </row>
    <row r="87" spans="1:124" ht="10.5" customHeight="1" thickBot="1">
      <c r="B87" s="23"/>
      <c r="C87" s="2987" t="str">
        <f>IF($B$2=0,"",非誘!C66)</f>
        <v xml:space="preserve">  7F</v>
      </c>
      <c r="D87" s="2988"/>
      <c r="E87" s="2988"/>
      <c r="F87" s="2989">
        <f>IF($B$2=0,"",非誘!F66)</f>
        <v>4</v>
      </c>
      <c r="G87" s="2989"/>
      <c r="H87" s="2989"/>
      <c r="I87" s="2989">
        <f>IF($B$2=0,"",非誘!J66)</f>
        <v>3</v>
      </c>
      <c r="J87" s="2989"/>
      <c r="K87" s="2989"/>
      <c r="L87" s="2990">
        <f>IF($B$2=0,"",非誘!N66)</f>
        <v>1152</v>
      </c>
      <c r="M87" s="2990"/>
      <c r="N87" s="2990"/>
      <c r="O87" s="2990"/>
      <c r="P87" s="2991">
        <f>IF($B$2=0,"",非誘!S66)</f>
        <v>806.4</v>
      </c>
      <c r="Q87" s="2991"/>
      <c r="R87" s="2991"/>
      <c r="S87" s="2991"/>
      <c r="T87" s="2991">
        <f>IF($B$2=0,"",非誘!W66)</f>
        <v>345.6</v>
      </c>
      <c r="U87" s="2992"/>
      <c r="V87" s="2992"/>
      <c r="W87" s="2992"/>
      <c r="X87" s="2993">
        <f>IF($B$2=0,"",非誘!AA66)</f>
        <v>3</v>
      </c>
      <c r="Y87" s="2993"/>
      <c r="Z87" s="2993"/>
      <c r="AA87" s="2993">
        <f>IF($B$2=0,"",非誘!AD66)</f>
        <v>9</v>
      </c>
      <c r="AB87" s="2993"/>
      <c r="AC87" s="2994"/>
      <c r="AD87" s="2966">
        <f>IF($B$2=0,"",CB85*CC85)</f>
        <v>400</v>
      </c>
      <c r="AE87" s="2967"/>
      <c r="AF87" s="2968"/>
      <c r="AG87" s="2969">
        <f>IF($B$2=0,"",放送!CB81)</f>
        <v>0</v>
      </c>
      <c r="AH87" s="2967"/>
      <c r="AI87" s="2968"/>
      <c r="AJ87" s="2970" t="str">
        <f>IF($B$2=0,"",IF(TV!AK23="設置","Space","---"))</f>
        <v>Space</v>
      </c>
      <c r="AK87" s="2971"/>
      <c r="AL87" s="2971"/>
      <c r="AM87" s="2969"/>
      <c r="AN87" s="2967"/>
      <c r="AO87" s="2968"/>
      <c r="AP87" s="2972"/>
      <c r="AQ87" s="2973"/>
      <c r="AR87" s="2923">
        <f>IF($B$2=0,"",IF(AZ87="",CB89,AZ87))</f>
        <v>8</v>
      </c>
      <c r="AS87" s="2924"/>
      <c r="AT87" s="538" t="s">
        <v>106</v>
      </c>
      <c r="AU87" s="2946"/>
      <c r="AV87" s="2947"/>
      <c r="AW87" s="2923">
        <f>IF($B$2=0,"",IF(CA88="",0,IF(AZ87="",CB88,AZ87)))</f>
        <v>40</v>
      </c>
      <c r="AX87" s="2924"/>
      <c r="AY87" s="538" t="s">
        <v>106</v>
      </c>
      <c r="AZ87" s="2999"/>
      <c r="BA87" s="3000"/>
      <c r="BB87" s="2951">
        <f>IF(OR($J$14&lt;&gt;"A",CA88=""),"",IF(BE87&lt;&gt;"",BE87,CB88))</f>
        <v>40</v>
      </c>
      <c r="BC87" s="2952"/>
      <c r="BD87" s="537" t="s">
        <v>106</v>
      </c>
      <c r="BE87" s="2938"/>
      <c r="BF87" s="2938"/>
      <c r="BG87" s="2951">
        <f>IF(C87="","",IF(OR($J$14&lt;&gt;"A",CA89=""),"",IF(BJ87&lt;&gt;"",BE87,CB89)))</f>
        <v>8</v>
      </c>
      <c r="BH87" s="2952"/>
      <c r="BI87" s="537" t="s">
        <v>106</v>
      </c>
      <c r="BJ87" s="2938"/>
      <c r="BK87" s="2938"/>
      <c r="BL87" s="2951" t="str">
        <f>IF(OR($J$14&lt;&gt;"A",CA90=""),"",IF(BO87&lt;&gt;"",BO87,CB90))</f>
        <v/>
      </c>
      <c r="BM87" s="2952"/>
      <c r="BN87" s="537" t="s">
        <v>106</v>
      </c>
      <c r="BO87" s="2964"/>
      <c r="BP87" s="2965"/>
      <c r="BQ87" s="2939" t="str">
        <f>IF(BQ85="設置","Ｅt","")</f>
        <v/>
      </c>
      <c r="BR87" s="2845"/>
      <c r="BS87" s="2845"/>
      <c r="BT87" s="2940"/>
      <c r="BU87" s="19"/>
      <c r="BW87" s="89" t="str">
        <f>AP84</f>
        <v>Ⓖ</v>
      </c>
      <c r="BX87" s="263">
        <f>IF(C87="","",IF(BW87="Ⓐ",BX85+BY85+3,IF(BW87="Ⓑ",BX85*5/8+BY85+3,IF(BW87="Ⓒ",BX85/2+BY85+3,IF(BW87="Ⓓ",BX85+BY85*5/8+3,IF(BW87="Ⓔ",(BX85+BY85)*5/8+3,IF(BW87="Ⓕ",BX85/2+BY85*5/8+3,IF(BW87="Ⓖ",BX85+BY85/2+3,IF(BW87="Ⓗ",BX85*5/8+BY85/2+3,IF(BW87="Ⓘ",(BX85+BY85)/2+3))))))))))</f>
        <v>27</v>
      </c>
      <c r="BY87" s="86">
        <f>IF(C87="",0,IF(BY86="=",BZ84,IF(BY86="-",CA84,CB84)))</f>
        <v>291</v>
      </c>
      <c r="BZ87" s="156"/>
      <c r="CA87" s="536" t="str">
        <f>IF(CA85&lt;=30,"25",IF(CA85&lt;=50,"31",IF(CA85&lt;=100,"39",IF(CA85&lt;=200,"51",""))))</f>
        <v>31</v>
      </c>
      <c r="CB87" s="535" t="str">
        <f>IF(CA85&lt;=30,"22",IF(CA85&lt;=50,"28",IF(CA85&lt;=100,"36",IF(CA85&lt;=200,"42",""))))</f>
        <v>28</v>
      </c>
      <c r="CC87" s="122"/>
      <c r="CD87" s="534"/>
      <c r="CE87" s="156" t="s">
        <v>738</v>
      </c>
      <c r="CF87" s="533"/>
      <c r="CG87" s="189">
        <f>IF($B$2="","",IF($AQ$8=0,0,0.02*($AQ$8/1000-0.15-0.1)*(INT(1000*BX85/$AQ$9)+1)*(INT(1000*BY85/$AQ$9)+1)*4*(AR87+AW87)))</f>
        <v>25.919999999999995</v>
      </c>
      <c r="CH87" s="532"/>
      <c r="CI87" s="531"/>
      <c r="CJ87" s="15"/>
      <c r="CK87" s="528">
        <f>IF(E89="不","",SUM(CH85+CJ85)*MAX(P87:W87)/L87)</f>
        <v>448</v>
      </c>
      <c r="CL87" s="528">
        <f>IF(E89="不","",CJ88)</f>
        <v>200.20851011026986</v>
      </c>
      <c r="CM87" s="527" t="s">
        <v>7</v>
      </c>
      <c r="CN87" s="15"/>
      <c r="CO87" s="252" t="str">
        <f>IF(CP87="","","導入線 1.2mmφ")</f>
        <v>導入線 1.2mmφ</v>
      </c>
      <c r="CP87" s="184">
        <f>1.1*INT(SUM(CP88:CP90))</f>
        <v>585.20000000000005</v>
      </c>
      <c r="CR87" s="519" t="str">
        <f>IF(CS87="","",IF($J$14="A","PHS電話機"))</f>
        <v/>
      </c>
      <c r="CS87" s="189" t="str">
        <f>IF(CS86="","",INT(CS86*1.5))</f>
        <v/>
      </c>
      <c r="CU87" s="8"/>
      <c r="CV87" s="197">
        <f t="shared" si="46"/>
        <v>6</v>
      </c>
      <c r="CW87" s="197" t="str">
        <f t="shared" si="45"/>
        <v/>
      </c>
      <c r="CX87" s="10" t="str">
        <f>CO86</f>
        <v>TIVF 0.8-2C</v>
      </c>
      <c r="CY87" s="8"/>
      <c r="CZ87" s="249" t="str">
        <f>IF(COUNTIF($CZ$10:$CZ86,CX87)&gt;0,"",CX87)</f>
        <v/>
      </c>
      <c r="DA87" s="515">
        <f>CP86</f>
        <v>640</v>
      </c>
      <c r="DB87" s="514">
        <f>SUMIF($CX$20:$CX$182,CZ87,$DA$20:$DA$182)</f>
        <v>0</v>
      </c>
      <c r="DC87" s="8"/>
      <c r="DD87" s="8"/>
      <c r="DE87" s="197">
        <f>IF(DI87&lt;&gt;"",DE86+1,DE86)</f>
        <v>14</v>
      </c>
      <c r="DF87" s="197" t="str">
        <f t="shared" si="44"/>
        <v/>
      </c>
      <c r="DG87" s="207" t="str">
        <f>CO90</f>
        <v>フロアダクト FC-6</v>
      </c>
      <c r="DH87" s="8"/>
      <c r="DI87" s="249" t="str">
        <f>IF(COUNTIF(DG$18:$DG86,DG87)&gt;0,"",DG87)</f>
        <v/>
      </c>
      <c r="DJ87" s="515">
        <f>CP90</f>
        <v>200.20851011026986</v>
      </c>
      <c r="DK87" s="514">
        <f t="shared" si="47"/>
        <v>0</v>
      </c>
      <c r="DL87" s="8"/>
      <c r="DM87" s="8"/>
      <c r="DN87" s="197">
        <f>IF(DR87&lt;&gt;"",DN86+1,DN86)</f>
        <v>4</v>
      </c>
      <c r="DO87" s="197" t="str">
        <f t="shared" si="48"/>
        <v/>
      </c>
      <c r="DP87" s="10" t="str">
        <f>CR86</f>
        <v/>
      </c>
      <c r="DQ87" s="8"/>
      <c r="DR87" s="249" t="str">
        <f>IF(COUNTIF(DP$18:$DP86,DP87)&gt;0,"",DP87)</f>
        <v/>
      </c>
      <c r="DS87" s="198" t="str">
        <f>CS86</f>
        <v/>
      </c>
      <c r="DT87" s="514">
        <f t="shared" si="49"/>
        <v>0</v>
      </c>
    </row>
    <row r="88" spans="1:124" ht="10.5" customHeight="1" thickBot="1">
      <c r="B88" s="23"/>
      <c r="C88" s="3048" t="s">
        <v>737</v>
      </c>
      <c r="D88" s="3049"/>
      <c r="E88" s="3049"/>
      <c r="F88" s="3049"/>
      <c r="G88" s="3049"/>
      <c r="H88" s="3049"/>
      <c r="I88" s="3049"/>
      <c r="J88" s="3050" t="s">
        <v>736</v>
      </c>
      <c r="K88" s="3051"/>
      <c r="L88" s="3051"/>
      <c r="M88" s="3051"/>
      <c r="N88" s="3052" t="s">
        <v>735</v>
      </c>
      <c r="O88" s="2891"/>
      <c r="P88" s="2892"/>
      <c r="Q88" s="3057" t="str">
        <f>IF(OR($B$2=0,$J$14="C"),"",IF(Z88="",BZ86,Z88))</f>
        <v>FCPEV 0.65-200Pr</v>
      </c>
      <c r="R88" s="3057"/>
      <c r="S88" s="3057"/>
      <c r="T88" s="3057"/>
      <c r="U88" s="3057"/>
      <c r="V88" s="3057"/>
      <c r="W88" s="3057"/>
      <c r="X88" s="3057"/>
      <c r="Y88" s="524" t="s">
        <v>106</v>
      </c>
      <c r="Z88" s="2902"/>
      <c r="AA88" s="2903"/>
      <c r="AB88" s="2903"/>
      <c r="AC88" s="2903"/>
      <c r="AD88" s="2903"/>
      <c r="AE88" s="2903"/>
      <c r="AF88" s="2903"/>
      <c r="AG88" s="2904"/>
      <c r="AH88" s="2877" t="s">
        <v>734</v>
      </c>
      <c r="AI88" s="2878"/>
      <c r="AJ88" s="2879"/>
      <c r="AK88" s="3058">
        <f>IF($B$2=0,"",IF(AP88&lt;&gt;"",AP88,IF($J$14="C","",SUM(CF85:CF86)*CC85)))</f>
        <v>12</v>
      </c>
      <c r="AL88" s="3058"/>
      <c r="AM88" s="3058"/>
      <c r="AN88" s="3058"/>
      <c r="AO88" s="524" t="s">
        <v>106</v>
      </c>
      <c r="AP88" s="2911"/>
      <c r="AQ88" s="2912"/>
      <c r="AR88" s="2912"/>
      <c r="AS88" s="2913"/>
      <c r="AT88" s="2890" t="s">
        <v>733</v>
      </c>
      <c r="AU88" s="2891"/>
      <c r="AV88" s="2892"/>
      <c r="AW88" s="2899" t="str">
        <f>IF($B$2=0,"",IF(BE88&lt;&gt;"",BE88,IF(BB84=2,"PF-"&amp;CB87&amp;"mm",IF(OR(BB84=3,BB84=6),"C-"&amp;CA87&amp;"mm",IF(OR(BB84=4,BB84=7),"G-"&amp;CB87&amp;"mm",IF(OR(BB84=1,BB84=5),"CD-"&amp;CB87&amp;"mm",""))))))</f>
        <v>CD-28mm</v>
      </c>
      <c r="AX88" s="2900"/>
      <c r="AY88" s="2900"/>
      <c r="AZ88" s="2900"/>
      <c r="BA88" s="2900"/>
      <c r="BB88" s="2900"/>
      <c r="BC88" s="2901"/>
      <c r="BD88" s="524" t="s">
        <v>106</v>
      </c>
      <c r="BE88" s="2902"/>
      <c r="BF88" s="2903"/>
      <c r="BG88" s="2903"/>
      <c r="BH88" s="2903"/>
      <c r="BI88" s="2903"/>
      <c r="BJ88" s="2904"/>
      <c r="BK88" s="2877" t="s">
        <v>732</v>
      </c>
      <c r="BL88" s="2878"/>
      <c r="BM88" s="2879"/>
      <c r="BN88" s="2914">
        <f>IF($B$2=0,"",IF(BR88="",CF89*CC85,BR88))</f>
        <v>8</v>
      </c>
      <c r="BO88" s="2915"/>
      <c r="BP88" s="2916"/>
      <c r="BQ88" s="524" t="s">
        <v>106</v>
      </c>
      <c r="BR88" s="3202"/>
      <c r="BS88" s="3203"/>
      <c r="BT88" s="3204"/>
      <c r="BU88" s="19"/>
      <c r="BX88" s="530"/>
      <c r="BY88" s="46"/>
      <c r="BZ88" s="106" t="s">
        <v>731</v>
      </c>
      <c r="CA88" s="529" t="str">
        <f>IF(P87="","",IF(OR(I84="(1) ロ",I84="( 4 )",I84="(5) イ",I84="(6) イ",I84="(6) ロ",I84="(6) ハ",I84="( 7 )",I84="( 8 )",I84="( 15)"),"1",""))</f>
        <v>1</v>
      </c>
      <c r="CB88" s="151">
        <f>IF(P87="",0,INT(P87/20))</f>
        <v>40</v>
      </c>
      <c r="CC88" s="122">
        <f>IF(CA88="",0,CB88)</f>
        <v>40</v>
      </c>
      <c r="CD88" s="6"/>
      <c r="CE88" s="156" t="s">
        <v>730</v>
      </c>
      <c r="CF88" s="189"/>
      <c r="CG88" s="189">
        <f>BX87*(1+INT(AR87/10))+CG90</f>
        <v>27</v>
      </c>
      <c r="CH88" s="189">
        <f>IF(AW87="",0,BX87*(1+INT(AW87/10)))</f>
        <v>135</v>
      </c>
      <c r="CI88" s="82" t="s">
        <v>729</v>
      </c>
      <c r="CJ88" s="98">
        <f>7.32*(AW87-2*SQRT(AW87))</f>
        <v>200.20851011026986</v>
      </c>
      <c r="CK88" s="528">
        <f>IF(E90="不","",SUM(CH85+CJ85)*T87/L87)</f>
        <v>192</v>
      </c>
      <c r="CL88" s="528">
        <f>CJ88</f>
        <v>200.20851011026986</v>
      </c>
      <c r="CM88" s="527" t="s">
        <v>8</v>
      </c>
      <c r="CN88" s="69"/>
      <c r="CO88" s="252" t="str">
        <f>AW88</f>
        <v>CD-28mm</v>
      </c>
      <c r="CP88" s="520">
        <f>BN88</f>
        <v>8</v>
      </c>
      <c r="CR88" s="519" t="str">
        <f>IF(CS88=0,"","C-OBox4角中深")</f>
        <v>C-OBox4角中深</v>
      </c>
      <c r="CS88" s="189">
        <f>IF($J$14="A",SUM(CS85:CS86),AR87)</f>
        <v>8</v>
      </c>
      <c r="CU88" s="8"/>
      <c r="CV88" s="197">
        <f t="shared" si="46"/>
        <v>6</v>
      </c>
      <c r="CW88" s="197" t="str">
        <f t="shared" si="45"/>
        <v/>
      </c>
      <c r="CX88" s="207" t="str">
        <f>IF(BQ87="","","IV-14sq")</f>
        <v/>
      </c>
      <c r="CY88" s="8"/>
      <c r="CZ88" s="249" t="str">
        <f>IF(COUNTIF($CZ$10:$CZ87,CX88)&gt;0,"",CX88)</f>
        <v/>
      </c>
      <c r="DA88" s="515" t="str">
        <f>IF(BQ87="","",BX87+BY85+15)</f>
        <v/>
      </c>
      <c r="DB88" s="514">
        <f>SUMIF($CX$20:$CX$182,CZ88,$DA$20:$DA$182)</f>
        <v>0</v>
      </c>
      <c r="DD88" s="8"/>
      <c r="DE88" s="197">
        <f>IF(DJ88&lt;&gt;"",DE87+1,DE87)</f>
        <v>14</v>
      </c>
      <c r="DF88" s="197" t="str">
        <f>IF(AND(DE88&lt;&gt;"",DJ88&lt;&gt;""),DE88,"")</f>
        <v/>
      </c>
      <c r="DG88" s="207"/>
      <c r="DH88" s="8"/>
      <c r="DI88" s="249"/>
      <c r="DJ88" s="515"/>
      <c r="DK88" s="514">
        <f t="shared" si="47"/>
        <v>0</v>
      </c>
      <c r="DM88" s="8"/>
      <c r="DN88" s="197">
        <f>IF(DR88&lt;&gt;"",DN87+1,DN87)</f>
        <v>4</v>
      </c>
      <c r="DO88" s="197" t="str">
        <f t="shared" si="48"/>
        <v/>
      </c>
      <c r="DP88" s="10" t="str">
        <f>CR87</f>
        <v/>
      </c>
      <c r="DQ88" s="8"/>
      <c r="DR88" s="249" t="str">
        <f>IF(COUNTIF(DP$18:$DP87,DP88)&gt;0,"",DP88)</f>
        <v/>
      </c>
      <c r="DS88" s="198" t="str">
        <f>CS87</f>
        <v/>
      </c>
      <c r="DT88" s="514">
        <f t="shared" si="49"/>
        <v>0</v>
      </c>
    </row>
    <row r="89" spans="1:124" ht="10.5" customHeight="1">
      <c r="B89" s="23"/>
      <c r="C89" s="3205" t="s">
        <v>728</v>
      </c>
      <c r="D89" s="3205"/>
      <c r="E89" s="3016" t="str">
        <f>IF($D$9="不要","不",IF(H89="","要",H89))</f>
        <v>要</v>
      </c>
      <c r="F89" s="3016"/>
      <c r="G89" s="523" t="s">
        <v>724</v>
      </c>
      <c r="H89" s="3017"/>
      <c r="I89" s="3018"/>
      <c r="J89" s="3019" t="s">
        <v>727</v>
      </c>
      <c r="K89" s="3020"/>
      <c r="L89" s="3020"/>
      <c r="M89" s="3021"/>
      <c r="N89" s="3053"/>
      <c r="O89" s="2894"/>
      <c r="P89" s="2895"/>
      <c r="Q89" s="3025" t="str">
        <f>IF(OR($B$2=0,$J$14="C"),"",IF(Z89&lt;&gt;"",Z89,"電子釦 0.4- 4Pr"))</f>
        <v>電子釦 0.4- 4Pr</v>
      </c>
      <c r="R89" s="2933"/>
      <c r="S89" s="2933"/>
      <c r="T89" s="2933"/>
      <c r="U89" s="2933"/>
      <c r="V89" s="2933"/>
      <c r="W89" s="2933"/>
      <c r="X89" s="2934"/>
      <c r="Y89" s="526" t="s">
        <v>724</v>
      </c>
      <c r="Z89" s="3026"/>
      <c r="AA89" s="3027"/>
      <c r="AB89" s="3027"/>
      <c r="AC89" s="3027"/>
      <c r="AD89" s="3027"/>
      <c r="AE89" s="3027"/>
      <c r="AF89" s="3027"/>
      <c r="AG89" s="3028"/>
      <c r="AH89" s="2880" t="s">
        <v>725</v>
      </c>
      <c r="AI89" s="2881"/>
      <c r="AJ89" s="2882"/>
      <c r="AK89" s="2995">
        <f>IF($B$2=0,"",IF(AP89&lt;&gt;"",AP89,IF($J$14="C","",SUM(CK85:CK86))))</f>
        <v>121.91999999999999</v>
      </c>
      <c r="AL89" s="2995"/>
      <c r="AM89" s="2995"/>
      <c r="AN89" s="2995"/>
      <c r="AO89" s="526" t="s">
        <v>724</v>
      </c>
      <c r="AP89" s="2996"/>
      <c r="AQ89" s="2997"/>
      <c r="AR89" s="2997"/>
      <c r="AS89" s="2998"/>
      <c r="AT89" s="2893"/>
      <c r="AU89" s="2894"/>
      <c r="AV89" s="2895"/>
      <c r="AW89" s="2933" t="str">
        <f>IF($B$2=0,"",IF(BE89&lt;&gt;"",BE89,IF(BB84=2,"PF-22mm",IF(OR(BB84=3,BB84=6),"C-25mm",IF(OR(BB84=4,BB84=7),"G-22mm",IF(OR(BB84=1,BB84=5),"CD-22mm",""))))))</f>
        <v>CD-22mm</v>
      </c>
      <c r="AX89" s="2933"/>
      <c r="AY89" s="2933"/>
      <c r="AZ89" s="2933"/>
      <c r="BA89" s="2933"/>
      <c r="BB89" s="2933"/>
      <c r="BC89" s="2934"/>
      <c r="BD89" s="526" t="s">
        <v>724</v>
      </c>
      <c r="BE89" s="2935"/>
      <c r="BF89" s="2936"/>
      <c r="BG89" s="2936"/>
      <c r="BH89" s="2936"/>
      <c r="BI89" s="2936"/>
      <c r="BJ89" s="2937"/>
      <c r="BK89" s="2880" t="s">
        <v>725</v>
      </c>
      <c r="BL89" s="2881"/>
      <c r="BM89" s="2882"/>
      <c r="BN89" s="2948">
        <f>IF($B$2=0,"",IF(BR89="",SUM(CL85:CL86),BR89))</f>
        <v>324</v>
      </c>
      <c r="BO89" s="2949"/>
      <c r="BP89" s="2950"/>
      <c r="BQ89" s="525" t="s">
        <v>724</v>
      </c>
      <c r="BR89" s="3029"/>
      <c r="BS89" s="3030"/>
      <c r="BT89" s="3031"/>
      <c r="BU89" s="19"/>
      <c r="BX89" s="49">
        <f>1+INT(L87/600)</f>
        <v>2</v>
      </c>
      <c r="BY89" s="46"/>
      <c r="BZ89" s="106" t="s">
        <v>723</v>
      </c>
      <c r="CA89" s="522" t="str">
        <f>"1"</f>
        <v>1</v>
      </c>
      <c r="CB89" s="151">
        <f>IF(CA88="",INT(T87/40)+CB88,INT(T87/40))</f>
        <v>8</v>
      </c>
      <c r="CC89" s="122">
        <f>IF(CB89="",0,CB89)</f>
        <v>8</v>
      </c>
      <c r="CD89" s="6"/>
      <c r="CE89" s="156" t="s">
        <v>722</v>
      </c>
      <c r="CF89" s="189">
        <f>F87</f>
        <v>4</v>
      </c>
      <c r="CG89" s="189">
        <f>IF(BB84&lt;=4,(2*F87-(R73+R75)/1000)*AR87,((R74+R75)/1000)*AR87)</f>
        <v>0</v>
      </c>
      <c r="CH89" s="189">
        <f>2*(R75/1000)*AR87</f>
        <v>0</v>
      </c>
      <c r="CI89" s="82" t="s">
        <v>721</v>
      </c>
      <c r="CJ89" s="86">
        <f>AW87</f>
        <v>40</v>
      </c>
      <c r="CK89" s="38"/>
      <c r="CL89" s="38"/>
      <c r="CM89" s="38"/>
      <c r="CN89" s="38"/>
      <c r="CO89" s="252" t="str">
        <f>AW89</f>
        <v>CD-22mm</v>
      </c>
      <c r="CP89" s="520">
        <f>BN89</f>
        <v>324</v>
      </c>
      <c r="CR89" s="519" t="str">
        <f>IF(CS89="","",IF(LEFT(AW90,1)="フ","ジャンクションボックス 2Duct","C-OBox4角大深"))</f>
        <v>ジャンクションボックス 2Duct</v>
      </c>
      <c r="CS89" s="189">
        <f>IF(AW87=0,"",AW87)</f>
        <v>40</v>
      </c>
      <c r="CU89" s="8"/>
      <c r="CV89" s="197">
        <f t="shared" si="46"/>
        <v>6</v>
      </c>
      <c r="CW89" s="197" t="str">
        <f t="shared" si="45"/>
        <v/>
      </c>
      <c r="CX89" s="207" t="str">
        <f>IF(BQ87="","","VE-22mm")</f>
        <v/>
      </c>
      <c r="CY89" s="8"/>
      <c r="CZ89" s="249" t="str">
        <f>IF(COUNTIF($CZ$10:$CZ88,CX89)&gt;0,"",CX89)</f>
        <v/>
      </c>
      <c r="DA89" s="515" t="str">
        <f>IF(BQ87="","",DA88-10)</f>
        <v/>
      </c>
      <c r="DB89" s="514">
        <f>SUMIF($CX$20:$CX$182,CZ89,$DA$20:$DA$182)</f>
        <v>0</v>
      </c>
      <c r="DD89" s="8"/>
      <c r="DE89" s="197">
        <f t="shared" ref="DE89:DE95" si="50">IF(DI89&lt;&gt;"",DE88+1,DE88)</f>
        <v>14</v>
      </c>
      <c r="DF89" s="197" t="str">
        <f t="shared" ref="DF89:DF95" si="51">IF(AND(DE89&lt;&gt;"",DI89&lt;&gt;""),DE89,"")</f>
        <v/>
      </c>
      <c r="DG89" s="207" t="str">
        <f>CR88</f>
        <v>C-OBox4角中深</v>
      </c>
      <c r="DH89" s="8"/>
      <c r="DI89" s="249" t="str">
        <f>IF(COUNTIF(DG$18:$DG88,DG89)&gt;0,"",DG89)</f>
        <v/>
      </c>
      <c r="DJ89" s="515">
        <f>CS88</f>
        <v>8</v>
      </c>
      <c r="DK89" s="514">
        <f t="shared" si="47"/>
        <v>0</v>
      </c>
      <c r="DM89" s="8"/>
      <c r="DN89" s="197">
        <f>IF(DS89&lt;&gt;"",DN88+1,DN88)</f>
        <v>4</v>
      </c>
      <c r="DO89" s="197" t="str">
        <f t="shared" si="48"/>
        <v/>
      </c>
      <c r="DP89" s="10" t="str">
        <f>IF(BQ85="","","電話交換機")</f>
        <v/>
      </c>
      <c r="DQ89" s="8"/>
      <c r="DR89" s="249" t="str">
        <f>IF(COUNTIF(DP$18:$DP88,DP89)&gt;0,"",DP89)</f>
        <v/>
      </c>
      <c r="DS89" s="198" t="str">
        <f>IF(DP89&lt;&gt;"",1,"")</f>
        <v/>
      </c>
      <c r="DT89" s="514">
        <f t="shared" si="49"/>
        <v>0</v>
      </c>
    </row>
    <row r="90" spans="1:124" ht="10.5" customHeight="1">
      <c r="B90" s="23"/>
      <c r="C90" s="2959" t="s">
        <v>720</v>
      </c>
      <c r="D90" s="2959"/>
      <c r="E90" s="3016" t="str">
        <f>IF($D$9="不要","不",IF(H90="","要",H90))</f>
        <v>要</v>
      </c>
      <c r="F90" s="3016"/>
      <c r="G90" s="525" t="s">
        <v>103</v>
      </c>
      <c r="H90" s="3017"/>
      <c r="I90" s="3018"/>
      <c r="J90" s="3022"/>
      <c r="K90" s="3023"/>
      <c r="L90" s="3023"/>
      <c r="M90" s="3024"/>
      <c r="N90" s="3054"/>
      <c r="O90" s="3055"/>
      <c r="P90" s="3056"/>
      <c r="Q90" s="3201" t="str">
        <f>IF($B$2=0,"",IF(Z90&lt;&gt;"",Z90,"TIVF 0.8-2C"))</f>
        <v>TIVF 0.8-2C</v>
      </c>
      <c r="R90" s="3201"/>
      <c r="S90" s="3201"/>
      <c r="T90" s="3201"/>
      <c r="U90" s="3201"/>
      <c r="V90" s="3201"/>
      <c r="W90" s="3201"/>
      <c r="X90" s="3201"/>
      <c r="Y90" s="524" t="s">
        <v>103</v>
      </c>
      <c r="Z90" s="2941"/>
      <c r="AA90" s="2942"/>
      <c r="AB90" s="2942"/>
      <c r="AC90" s="2942"/>
      <c r="AD90" s="2942"/>
      <c r="AE90" s="2942"/>
      <c r="AF90" s="2942"/>
      <c r="AG90" s="3199"/>
      <c r="AH90" s="2883" t="s">
        <v>235</v>
      </c>
      <c r="AI90" s="2884"/>
      <c r="AJ90" s="2885"/>
      <c r="AK90" s="2953">
        <f>IF($B$2=0,"",IF(AP90&lt;&gt;"",AP90,IF($J$14="C","",SUM(CK87:CK88))))</f>
        <v>640</v>
      </c>
      <c r="AL90" s="2954"/>
      <c r="AM90" s="2954"/>
      <c r="AN90" s="2955"/>
      <c r="AO90" s="524" t="s">
        <v>103</v>
      </c>
      <c r="AP90" s="2911"/>
      <c r="AQ90" s="2912"/>
      <c r="AR90" s="2912"/>
      <c r="AS90" s="2913"/>
      <c r="AT90" s="2896"/>
      <c r="AU90" s="2897"/>
      <c r="AV90" s="2898"/>
      <c r="AW90" s="2939" t="str">
        <f>IF($B$2=0,"",IF(BN90="","",IF(BE90="","フロアダクト FC-6",BE90)))</f>
        <v>フロアダクト FC-6</v>
      </c>
      <c r="AX90" s="2845"/>
      <c r="AY90" s="2845"/>
      <c r="AZ90" s="2845"/>
      <c r="BA90" s="2845"/>
      <c r="BB90" s="2845"/>
      <c r="BC90" s="2940"/>
      <c r="BD90" s="524" t="s">
        <v>103</v>
      </c>
      <c r="BE90" s="2941"/>
      <c r="BF90" s="2942"/>
      <c r="BG90" s="2942"/>
      <c r="BH90" s="2942"/>
      <c r="BI90" s="2942"/>
      <c r="BJ90" s="2942"/>
      <c r="BK90" s="2883" t="s">
        <v>235</v>
      </c>
      <c r="BL90" s="2884"/>
      <c r="BM90" s="2885"/>
      <c r="BN90" s="2943">
        <f>IF($B$2=0,"",IF(BR90="",MAX(CL87:CL88),BR90))</f>
        <v>200.20851011026986</v>
      </c>
      <c r="BO90" s="2944"/>
      <c r="BP90" s="2945"/>
      <c r="BQ90" s="523" t="s">
        <v>103</v>
      </c>
      <c r="BR90" s="3200"/>
      <c r="BS90" s="3200"/>
      <c r="BT90" s="3200"/>
      <c r="BU90" s="19"/>
      <c r="BX90" s="47"/>
      <c r="BZ90" s="106" t="s">
        <v>766</v>
      </c>
      <c r="CA90" s="522" t="str">
        <f>IF(OR(I84="( 10)",I84="(12)イ"),"1","")</f>
        <v/>
      </c>
      <c r="CB90" s="151" t="str">
        <f>IF(CA90="","",INT(P87/200))</f>
        <v/>
      </c>
      <c r="CC90" s="122">
        <f>IF(CB90="",0,CB90)</f>
        <v>0</v>
      </c>
      <c r="CE90" s="156" t="s">
        <v>716</v>
      </c>
      <c r="CF90" s="521"/>
      <c r="CG90" s="189">
        <f>IF($AQ$8=0,1.5*2*(1+INT(2*BX85/($AQ$9/1000)))*(1+INT(2*BY85/($AQ$9/1000))),0)</f>
        <v>0</v>
      </c>
      <c r="CH90" s="82"/>
      <c r="CI90" s="82" t="s">
        <v>765</v>
      </c>
      <c r="CJ90" s="107">
        <f>AR87</f>
        <v>8</v>
      </c>
      <c r="CK90" s="12"/>
      <c r="CL90" s="12"/>
      <c r="CM90" s="12"/>
      <c r="CN90" s="12"/>
      <c r="CO90" s="252" t="str">
        <f>AW90</f>
        <v>フロアダクト FC-6</v>
      </c>
      <c r="CP90" s="520">
        <f>BN90</f>
        <v>200.20851011026986</v>
      </c>
      <c r="CR90" s="519" t="str">
        <f>IF(CS90="","","ローテンションアウトレット")</f>
        <v>ローテンションアウトレット</v>
      </c>
      <c r="CS90" s="189">
        <f>CS84</f>
        <v>40</v>
      </c>
      <c r="CV90" s="197">
        <f t="shared" si="46"/>
        <v>6</v>
      </c>
      <c r="CW90" s="197" t="str">
        <f t="shared" si="45"/>
        <v/>
      </c>
      <c r="CX90" s="207"/>
      <c r="CY90" s="24"/>
      <c r="DA90" s="515"/>
      <c r="DB90" s="516"/>
      <c r="DE90" s="197">
        <f t="shared" si="50"/>
        <v>14</v>
      </c>
      <c r="DF90" s="197" t="str">
        <f t="shared" si="51"/>
        <v/>
      </c>
      <c r="DG90" s="207" t="str">
        <f>CR89</f>
        <v>ジャンクションボックス 2Duct</v>
      </c>
      <c r="DH90" s="24"/>
      <c r="DI90" s="249" t="str">
        <f>IF(COUNTIF(DG$18:$DG89,DG90)&gt;0,"",DG90)</f>
        <v/>
      </c>
      <c r="DJ90" s="515">
        <f>CS89</f>
        <v>40</v>
      </c>
      <c r="DK90" s="514">
        <f t="shared" si="47"/>
        <v>0</v>
      </c>
      <c r="DN90" s="197">
        <f>IF(DS90&lt;&gt;"",DN89+1,DN89)</f>
        <v>4</v>
      </c>
      <c r="DO90" s="197" t="str">
        <f t="shared" si="48"/>
        <v/>
      </c>
      <c r="DP90" s="10" t="str">
        <f>IF(BQ87="","","接地工事 Et")</f>
        <v/>
      </c>
      <c r="DQ90" s="24"/>
      <c r="DR90" s="249" t="str">
        <f>IF(COUNTIF(DP$18:$DP89,DP90)&gt;0,"",DP90)</f>
        <v/>
      </c>
      <c r="DS90" s="198" t="str">
        <f>IF(DP90&lt;&gt;"",1,"")</f>
        <v/>
      </c>
      <c r="DT90" s="514">
        <f t="shared" si="49"/>
        <v>0</v>
      </c>
    </row>
    <row r="91" spans="1:124" ht="10.5" customHeight="1">
      <c r="B91" s="23"/>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19"/>
      <c r="BZ91" s="114" t="str">
        <f>"="</f>
        <v>=</v>
      </c>
      <c r="CA91" s="114" t="str">
        <f>"－"</f>
        <v>－</v>
      </c>
      <c r="CB91" s="114" t="str">
        <f>"+"</f>
        <v>+</v>
      </c>
      <c r="CP91" s="555"/>
      <c r="CV91" s="197">
        <f t="shared" si="46"/>
        <v>6</v>
      </c>
      <c r="CW91" s="197" t="str">
        <f t="shared" si="45"/>
        <v/>
      </c>
      <c r="CY91" s="24"/>
      <c r="DA91" s="516"/>
      <c r="DB91" s="516"/>
      <c r="DE91" s="197">
        <f t="shared" si="50"/>
        <v>14</v>
      </c>
      <c r="DF91" s="197" t="str">
        <f t="shared" si="51"/>
        <v/>
      </c>
      <c r="DG91" s="207" t="str">
        <f>CR90</f>
        <v>ローテンションアウトレット</v>
      </c>
      <c r="DH91" s="24"/>
      <c r="DI91" s="249" t="str">
        <f>IF(COUNTIF(DG$18:$DG90,DG91)&gt;0,"",DG91)</f>
        <v/>
      </c>
      <c r="DJ91" s="515">
        <f>CS90</f>
        <v>40</v>
      </c>
      <c r="DK91" s="514">
        <f t="shared" si="47"/>
        <v>0</v>
      </c>
      <c r="DN91" s="197">
        <f>IF(DS91&lt;&gt;"",DN90+1,DN90)</f>
        <v>4</v>
      </c>
      <c r="DO91" s="197" t="str">
        <f>IF(AND(DN91&lt;&gt;"",DR91&lt;&gt;""),DN91,"")</f>
        <v/>
      </c>
      <c r="DP91" s="201"/>
      <c r="DQ91" s="24"/>
      <c r="DR91" s="249"/>
      <c r="DS91" s="198"/>
      <c r="DT91" s="514"/>
    </row>
    <row r="92" spans="1:124" ht="11.25" customHeight="1" thickBot="1">
      <c r="A92" s="46"/>
      <c r="B92" s="23"/>
      <c r="C92" s="3032" t="s">
        <v>112</v>
      </c>
      <c r="D92" s="3032"/>
      <c r="E92" s="3032"/>
      <c r="F92" s="3032"/>
      <c r="G92" s="3032"/>
      <c r="H92" s="3032"/>
      <c r="I92" s="3033" t="str">
        <f>非誘!J70</f>
        <v>( 4 )</v>
      </c>
      <c r="J92" s="3033"/>
      <c r="K92" s="3033"/>
      <c r="L92" s="3034"/>
      <c r="M92" s="3035" t="str">
        <f>非誘!M70</f>
        <v>百貨店等</v>
      </c>
      <c r="N92" s="2961"/>
      <c r="O92" s="2961"/>
      <c r="P92" s="2961"/>
      <c r="Q92" s="2961"/>
      <c r="R92" s="2961"/>
      <c r="S92" s="2961"/>
      <c r="T92" s="2961"/>
      <c r="U92" s="2961"/>
      <c r="V92" s="2961"/>
      <c r="W92" s="3036"/>
      <c r="X92" s="3037" t="s">
        <v>232</v>
      </c>
      <c r="Y92" s="3037"/>
      <c r="Z92" s="3037"/>
      <c r="AA92" s="3037"/>
      <c r="AB92" s="3038"/>
      <c r="AC92" s="2977" t="str">
        <f>非誘!AA70</f>
        <v>A</v>
      </c>
      <c r="AD92" s="2978"/>
      <c r="AE92" s="2917" t="s">
        <v>760</v>
      </c>
      <c r="AF92" s="2918"/>
      <c r="AG92" s="2918"/>
      <c r="AH92" s="2918"/>
      <c r="AI92" s="2919"/>
      <c r="AJ92" s="2979">
        <f>非誘!J71</f>
        <v>0.5</v>
      </c>
      <c r="AK92" s="2980"/>
      <c r="AL92" s="2981"/>
      <c r="AM92" s="2917" t="s">
        <v>759</v>
      </c>
      <c r="AN92" s="2918"/>
      <c r="AO92" s="2919"/>
      <c r="AP92" s="2920" t="str">
        <f>IF(OR($B$2=0,AS92=""),$BO$14,AS92)</f>
        <v>Ⓖ</v>
      </c>
      <c r="AQ92" s="2920"/>
      <c r="AR92" s="554" t="s">
        <v>103</v>
      </c>
      <c r="AS92" s="2921"/>
      <c r="AT92" s="2922"/>
      <c r="AU92" s="2875" t="s">
        <v>757</v>
      </c>
      <c r="AV92" s="2875"/>
      <c r="AW92" s="2875"/>
      <c r="AX92" s="2875"/>
      <c r="AY92" s="2875"/>
      <c r="AZ92" s="2875"/>
      <c r="BA92" s="2876"/>
      <c r="BB92" s="553">
        <f>IF(BC92="天井ケーブル",1,IF(BC92="天井(PF管)",2,IF(BC92="天井(C管)",3,IF(BC92="天井(G管)",4,IF(BC92="床(CD管)",5,IF(BC92="床(C管)",6,IF(BC92="床(G管)",7,"")))))))</f>
        <v>5</v>
      </c>
      <c r="BC92" s="2961" t="str">
        <f>IF($B$2=0,"",IF(BK92&lt;&gt;"",BK92,IF(I95="直天","天井(C管)","床(CD管)")))</f>
        <v>床(CD管)</v>
      </c>
      <c r="BD92" s="2962"/>
      <c r="BE92" s="2962"/>
      <c r="BF92" s="2962"/>
      <c r="BG92" s="2962"/>
      <c r="BH92" s="2962"/>
      <c r="BI92" s="2963"/>
      <c r="BJ92" s="552" t="s">
        <v>103</v>
      </c>
      <c r="BK92" s="2905"/>
      <c r="BL92" s="2906"/>
      <c r="BM92" s="2906"/>
      <c r="BN92" s="2906"/>
      <c r="BO92" s="2906"/>
      <c r="BP92" s="2907"/>
      <c r="BQ92" s="2982" t="s">
        <v>755</v>
      </c>
      <c r="BR92" s="2983"/>
      <c r="BS92" s="2983"/>
      <c r="BT92" s="2984"/>
      <c r="BU92" s="19"/>
      <c r="BV92" s="8">
        <v>10</v>
      </c>
      <c r="BX92" s="55" t="s">
        <v>229</v>
      </c>
      <c r="BY92" s="55" t="s">
        <v>228</v>
      </c>
      <c r="BZ92" s="534">
        <f>BY87+BY103+CA93</f>
        <v>534</v>
      </c>
      <c r="CA92" s="534">
        <f>CA93+BY87</f>
        <v>339</v>
      </c>
      <c r="CB92" s="38">
        <f>BY103+CA93</f>
        <v>243</v>
      </c>
      <c r="CC92" s="69"/>
      <c r="CD92" s="534"/>
      <c r="CE92" s="534"/>
      <c r="CF92" s="143" t="s">
        <v>754</v>
      </c>
      <c r="CG92" s="143" t="s">
        <v>753</v>
      </c>
      <c r="CH92" s="143" t="s">
        <v>753</v>
      </c>
      <c r="CI92" s="551" t="s">
        <v>752</v>
      </c>
      <c r="CJ92" s="551" t="s">
        <v>752</v>
      </c>
      <c r="CK92" s="550" t="s">
        <v>734</v>
      </c>
      <c r="CL92" s="550" t="s">
        <v>732</v>
      </c>
      <c r="CM92" s="46"/>
      <c r="CO92" s="46" t="str">
        <f>Q96</f>
        <v>FCPEV 0.65-200Pr</v>
      </c>
      <c r="CP92" s="520">
        <f>AK96</f>
        <v>12</v>
      </c>
      <c r="CR92" s="519" t="str">
        <f>IF(CS92="","",IF($J$14="A","多機能内線電話機",""))</f>
        <v>多機能内線電話機</v>
      </c>
      <c r="CS92" s="189">
        <f>BB95</f>
        <v>40</v>
      </c>
      <c r="CU92" s="88">
        <v>10</v>
      </c>
      <c r="CV92" s="204">
        <f t="shared" si="46"/>
        <v>6</v>
      </c>
      <c r="CW92" s="155" t="str">
        <f t="shared" si="45"/>
        <v/>
      </c>
      <c r="CX92" s="45"/>
      <c r="CY92" s="45"/>
      <c r="CZ92" s="45"/>
      <c r="DA92" s="45"/>
      <c r="DB92" s="45"/>
      <c r="DD92" s="88">
        <v>10</v>
      </c>
      <c r="DE92" s="204">
        <f t="shared" si="50"/>
        <v>14</v>
      </c>
      <c r="DF92" s="155" t="str">
        <f t="shared" si="51"/>
        <v/>
      </c>
      <c r="DG92" s="549" t="str">
        <f>CO87</f>
        <v>導入線 1.2mmφ</v>
      </c>
      <c r="DH92" s="45"/>
      <c r="DI92" s="153" t="str">
        <f>IF(COUNTIF(DG$9:$DG91,DG92)&gt;0,"",DG92)</f>
        <v/>
      </c>
      <c r="DJ92" s="155">
        <f>CP87</f>
        <v>585.20000000000005</v>
      </c>
      <c r="DK92" s="548">
        <f>SUMIF($DG$11:$DG$182,DI92,$DJ$11:$DJ$182)</f>
        <v>0</v>
      </c>
      <c r="DM92" s="88">
        <v>10</v>
      </c>
      <c r="DN92" s="204">
        <f>IF(DS92&lt;&gt;"",DN91+1,DN91)</f>
        <v>4</v>
      </c>
      <c r="DO92" s="155" t="str">
        <f>IF(AND(DN92&lt;&gt;"",DR92&lt;&gt;""),DN92,"")</f>
        <v/>
      </c>
      <c r="DP92" s="45"/>
      <c r="DQ92" s="45"/>
      <c r="DR92" s="45"/>
      <c r="DS92" s="45"/>
      <c r="DT92" s="45"/>
    </row>
    <row r="93" spans="1:124" ht="11.25" customHeight="1" thickBot="1">
      <c r="B93" s="23"/>
      <c r="C93" s="3008" t="s">
        <v>4</v>
      </c>
      <c r="D93" s="3009"/>
      <c r="E93" s="3010"/>
      <c r="F93" s="3014" t="s">
        <v>22</v>
      </c>
      <c r="G93" s="2983"/>
      <c r="H93" s="3015"/>
      <c r="I93" s="2982" t="s">
        <v>132</v>
      </c>
      <c r="J93" s="2983"/>
      <c r="K93" s="3015"/>
      <c r="L93" s="2982" t="s">
        <v>6</v>
      </c>
      <c r="M93" s="2983"/>
      <c r="N93" s="2983"/>
      <c r="O93" s="2984"/>
      <c r="P93" s="3014" t="s">
        <v>7</v>
      </c>
      <c r="Q93" s="2983"/>
      <c r="R93" s="2983"/>
      <c r="S93" s="2984"/>
      <c r="T93" s="3014" t="s">
        <v>8</v>
      </c>
      <c r="U93" s="2983"/>
      <c r="V93" s="2983"/>
      <c r="W93" s="2984"/>
      <c r="X93" s="3014" t="s">
        <v>9</v>
      </c>
      <c r="Y93" s="2983"/>
      <c r="Z93" s="3015"/>
      <c r="AA93" s="2982" t="s">
        <v>9</v>
      </c>
      <c r="AB93" s="2983"/>
      <c r="AC93" s="2984"/>
      <c r="AD93" s="2974" t="s">
        <v>708</v>
      </c>
      <c r="AE93" s="2975"/>
      <c r="AF93" s="2975"/>
      <c r="AG93" s="2975"/>
      <c r="AH93" s="2975"/>
      <c r="AI93" s="2975"/>
      <c r="AJ93" s="2975"/>
      <c r="AK93" s="2975"/>
      <c r="AL93" s="2930" t="str">
        <f>IF(BX97=1,"T-"&amp;LEFT(C95,3)&amp;"-1","T-"&amp;LEFT(C95,3)&amp;"-1～"&amp;BX97)</f>
        <v>T-  8-1～2</v>
      </c>
      <c r="AM93" s="2930"/>
      <c r="AN93" s="2930"/>
      <c r="AO93" s="2930"/>
      <c r="AP93" s="2930"/>
      <c r="AQ93" s="2932"/>
      <c r="AR93" s="2925" t="s">
        <v>751</v>
      </c>
      <c r="AS93" s="2926"/>
      <c r="AT93" s="2926"/>
      <c r="AU93" s="2926"/>
      <c r="AV93" s="2926"/>
      <c r="AW93" s="2926"/>
      <c r="AX93" s="2926"/>
      <c r="AY93" s="2926"/>
      <c r="AZ93" s="2926"/>
      <c r="BA93" s="2927"/>
      <c r="BB93" s="2886" t="s">
        <v>750</v>
      </c>
      <c r="BC93" s="2887"/>
      <c r="BD93" s="2887"/>
      <c r="BE93" s="2887"/>
      <c r="BF93" s="2887"/>
      <c r="BG93" s="2887"/>
      <c r="BH93" s="2887"/>
      <c r="BI93" s="2887"/>
      <c r="BJ93" s="2888"/>
      <c r="BK93" s="2888"/>
      <c r="BL93" s="2888"/>
      <c r="BM93" s="2888"/>
      <c r="BN93" s="2888"/>
      <c r="BO93" s="2888"/>
      <c r="BP93" s="2889"/>
      <c r="BQ93" s="2939" t="str">
        <f>IF(AND($B$2=1,$J$14="A",C95=$J$15),"設置","")</f>
        <v/>
      </c>
      <c r="BR93" s="2845"/>
      <c r="BS93" s="2845"/>
      <c r="BT93" s="2940"/>
      <c r="BU93" s="19"/>
      <c r="BV93" s="15">
        <v>70</v>
      </c>
      <c r="BX93" s="98">
        <f>非誘!BW72</f>
        <v>12</v>
      </c>
      <c r="BY93" s="98">
        <f>非誘!BX72</f>
        <v>24</v>
      </c>
      <c r="BZ93" s="547">
        <f>IF(CA93&lt;10,10,IF(CA93&lt;15,15,IF(CA93&lt;20,20,IF(CA93&lt;25,25,IF(CA93&lt;30,30,IF(CA93&lt;50,50,IF(CA93&lt;70,70,IF(CA93&lt;100,100,IF(CA93&lt;150,150,IF(CA93&lt;20,200,200))))))))))</f>
        <v>50</v>
      </c>
      <c r="CA93" s="546">
        <f>SUM(CC96:CC98)</f>
        <v>48</v>
      </c>
      <c r="CB93" s="107" t="str">
        <f>IF(BY95&lt;10," 10",IF(BY95&lt;15," 15",IF(BY95&lt;20," 20",IF(BY95&lt;25," 25",IF(BY95&lt;30," 30",IF(BY95&lt;50," 50",IF(BY95&lt;70," 70",IF(BY95&lt;100,"100",IF(BY95&lt;150,"150",IF(BY95&lt;200,"200","200"))))))))))</f>
        <v>200</v>
      </c>
      <c r="CC93" s="545">
        <f>1+INT(BY95/200)</f>
        <v>2</v>
      </c>
      <c r="CD93" s="534"/>
      <c r="CE93" s="156" t="s">
        <v>749</v>
      </c>
      <c r="CF93" s="189">
        <f>2*INT($AG$9/1000)</f>
        <v>2</v>
      </c>
      <c r="CG93" s="189">
        <f>CG96+(1+INT($AG$9+$AG$8)/1000)*(1+INT(AR95/10))+CG95</f>
        <v>55.919999999999995</v>
      </c>
      <c r="CH93" s="98">
        <f>IF(AW95="",0,AW95*8)</f>
        <v>320</v>
      </c>
      <c r="CI93" s="98">
        <f>AR95*8</f>
        <v>64</v>
      </c>
      <c r="CJ93" s="544">
        <f>IF(AW95="",0,AW95*8)</f>
        <v>320</v>
      </c>
      <c r="CK93" s="223">
        <f>IF(E97="不","",(CG93+CG94+CI93+CI94)*MAX(P95:W95)/L95)</f>
        <v>85.343999999999994</v>
      </c>
      <c r="CL93" s="223">
        <f>IF(E97="不","",SUM(CG96:CH96)+SUM(CG97:CH97)*MAX(P95:W95)/L95)</f>
        <v>162</v>
      </c>
      <c r="CM93" s="527" t="s">
        <v>7</v>
      </c>
      <c r="CN93" s="15"/>
      <c r="CO93" s="46" t="str">
        <f>Q97</f>
        <v>電子釦 0.4- 4Pr</v>
      </c>
      <c r="CP93" s="520">
        <f>AK97</f>
        <v>121.91999999999999</v>
      </c>
      <c r="CR93" s="519" t="str">
        <f>IF(CS93="","",IF($J$14="A","内線電話機"))</f>
        <v>内線電話機</v>
      </c>
      <c r="CS93" s="189">
        <f>BG95</f>
        <v>8</v>
      </c>
      <c r="CU93" s="8"/>
      <c r="CV93" s="197">
        <f t="shared" si="46"/>
        <v>6</v>
      </c>
      <c r="CW93" s="197" t="str">
        <f t="shared" si="45"/>
        <v/>
      </c>
      <c r="CX93" s="543" t="str">
        <f>CO92</f>
        <v>FCPEV 0.65-200Pr</v>
      </c>
      <c r="CY93" s="8"/>
      <c r="CZ93" s="249" t="str">
        <f>IF(COUNTIF($CX$17:$CX92,CX93)&gt;0,"",CX93)</f>
        <v/>
      </c>
      <c r="DA93" s="515">
        <f>CP92</f>
        <v>12</v>
      </c>
      <c r="DB93" s="514">
        <f>SUMIF($CX$20:$CX$182,CZ93,$DA$20:$DA$182)</f>
        <v>0</v>
      </c>
      <c r="DC93" s="8"/>
      <c r="DD93" s="8"/>
      <c r="DE93" s="197">
        <f t="shared" si="50"/>
        <v>14</v>
      </c>
      <c r="DF93" s="197" t="str">
        <f t="shared" si="51"/>
        <v/>
      </c>
      <c r="DG93" s="207" t="str">
        <f>CO96</f>
        <v>CD-28mm</v>
      </c>
      <c r="DH93" s="8"/>
      <c r="DI93" s="249" t="str">
        <f>IF(COUNTIF(DG$17:$DG92,DG93)&gt;0,"",DG93)</f>
        <v/>
      </c>
      <c r="DJ93" s="515">
        <f>CP96</f>
        <v>8</v>
      </c>
      <c r="DK93" s="514">
        <f t="shared" ref="DK93:DK99" si="52">SUMIF($DG$20:$DG$182,DI93,$DJ$20:$DJ$182)</f>
        <v>0</v>
      </c>
      <c r="DL93" s="8"/>
      <c r="DM93" s="8"/>
      <c r="DN93" s="197">
        <f>IF(DR93&lt;&gt;"",DN92+1,DN92)</f>
        <v>4</v>
      </c>
      <c r="DO93" s="197">
        <f t="shared" ref="DO93:DO98" si="53">IF(AND(DN93&lt;&gt;"",DS93&lt;&gt;""),DN93,"")</f>
        <v>4</v>
      </c>
      <c r="DP93" s="10" t="str">
        <f>CR92</f>
        <v>多機能内線電話機</v>
      </c>
      <c r="DQ93" s="8"/>
      <c r="DR93" s="249" t="str">
        <f>IF(COUNTIF(DP$18:$DP92,DP93)&gt;0,"",DP93)</f>
        <v/>
      </c>
      <c r="DS93" s="198">
        <f>CS92</f>
        <v>40</v>
      </c>
      <c r="DT93" s="514">
        <f t="shared" ref="DT93:DT98" si="54">SUMIF($DP$20:$DP$182,DR93,$DS$20:$DS$182)</f>
        <v>0</v>
      </c>
    </row>
    <row r="94" spans="1:124" ht="11.25" customHeight="1" thickBot="1">
      <c r="B94" s="23"/>
      <c r="C94" s="3011"/>
      <c r="D94" s="3012"/>
      <c r="E94" s="3013"/>
      <c r="F94" s="3039" t="s">
        <v>235</v>
      </c>
      <c r="G94" s="3040"/>
      <c r="H94" s="3041"/>
      <c r="I94" s="3039" t="s">
        <v>235</v>
      </c>
      <c r="J94" s="3040"/>
      <c r="K94" s="3041"/>
      <c r="L94" s="3039" t="s">
        <v>748</v>
      </c>
      <c r="M94" s="3040"/>
      <c r="N94" s="3040"/>
      <c r="O94" s="3042"/>
      <c r="P94" s="3043" t="s">
        <v>748</v>
      </c>
      <c r="Q94" s="3040"/>
      <c r="R94" s="3040"/>
      <c r="S94" s="3042"/>
      <c r="T94" s="3043" t="s">
        <v>748</v>
      </c>
      <c r="U94" s="3040"/>
      <c r="V94" s="3040"/>
      <c r="W94" s="3044"/>
      <c r="X94" s="3045" t="s">
        <v>111</v>
      </c>
      <c r="Y94" s="3046"/>
      <c r="Z94" s="3047"/>
      <c r="AA94" s="3001" t="s">
        <v>110</v>
      </c>
      <c r="AB94" s="3002"/>
      <c r="AC94" s="3003"/>
      <c r="AD94" s="3004" t="s">
        <v>695</v>
      </c>
      <c r="AE94" s="3005"/>
      <c r="AF94" s="3005"/>
      <c r="AG94" s="3006" t="s">
        <v>699</v>
      </c>
      <c r="AH94" s="3005"/>
      <c r="AI94" s="3007"/>
      <c r="AJ94" s="2928" t="s">
        <v>747</v>
      </c>
      <c r="AK94" s="2918"/>
      <c r="AL94" s="2918"/>
      <c r="AM94" s="2928" t="s">
        <v>746</v>
      </c>
      <c r="AN94" s="2918"/>
      <c r="AO94" s="2929"/>
      <c r="AP94" s="2956" t="s">
        <v>745</v>
      </c>
      <c r="AQ94" s="2957"/>
      <c r="AR94" s="2917" t="s">
        <v>744</v>
      </c>
      <c r="AS94" s="2918"/>
      <c r="AT94" s="2958" t="s">
        <v>3</v>
      </c>
      <c r="AU94" s="2959"/>
      <c r="AV94" s="2959"/>
      <c r="AW94" s="2959" t="s">
        <v>743</v>
      </c>
      <c r="AX94" s="2960"/>
      <c r="AY94" s="2928" t="s">
        <v>3</v>
      </c>
      <c r="AZ94" s="2918"/>
      <c r="BA94" s="2919"/>
      <c r="BB94" s="542" t="str">
        <f>IF(CA96="","","●")</f>
        <v>●</v>
      </c>
      <c r="BC94" s="2930" t="s">
        <v>742</v>
      </c>
      <c r="BD94" s="2930"/>
      <c r="BE94" s="2930"/>
      <c r="BF94" s="2931"/>
      <c r="BG94" s="542" t="str">
        <f>IF(CA97="","","●")</f>
        <v>●</v>
      </c>
      <c r="BH94" s="2930" t="s">
        <v>741</v>
      </c>
      <c r="BI94" s="2930"/>
      <c r="BJ94" s="2930"/>
      <c r="BK94" s="2931"/>
      <c r="BL94" s="542" t="str">
        <f>IF(CA98="","","●")</f>
        <v/>
      </c>
      <c r="BM94" s="2930" t="s">
        <v>764</v>
      </c>
      <c r="BN94" s="2930"/>
      <c r="BO94" s="2930"/>
      <c r="BP94" s="2932"/>
      <c r="BQ94" s="2974" t="s">
        <v>740</v>
      </c>
      <c r="BR94" s="2975"/>
      <c r="BS94" s="2975"/>
      <c r="BT94" s="2976"/>
      <c r="BU94" s="19"/>
      <c r="BX94" s="97" t="str">
        <f>IF(LEFT(C95,2)=" B",-MID(C95,3,1),IF(C95="  RF","",LEFT(C95,3)))</f>
        <v xml:space="preserve">  8</v>
      </c>
      <c r="BY94" s="541" t="str">
        <f>IF(OR(C95="",C95="  RF"),"",IF(LEFT(C95,1)="P","+",IF($BW$14&gt;BX94,"-",IF($BW$14=BX94,"=","+"))))</f>
        <v>+</v>
      </c>
      <c r="BZ94" s="2985" t="str">
        <f>"FCPEV 0.65-"&amp;CB93&amp;"Pr"</f>
        <v>FCPEV 0.65-200Pr</v>
      </c>
      <c r="CA94" s="2986"/>
      <c r="CB94" s="2986"/>
      <c r="CC94" s="2986"/>
      <c r="CD94" s="62"/>
      <c r="CE94" s="156" t="s">
        <v>763</v>
      </c>
      <c r="CF94" s="540">
        <f>F95</f>
        <v>4</v>
      </c>
      <c r="CG94" s="540">
        <f>CG97+(1+INT(AR95/10))*($AG$9+$AG$8)/1000</f>
        <v>2</v>
      </c>
      <c r="CH94" s="539"/>
      <c r="CI94" s="189">
        <f>CH97</f>
        <v>0</v>
      </c>
      <c r="CJ94" s="260"/>
      <c r="CK94" s="528">
        <f>IF(E98="不","",(CG93+CG94+CI93+CI94)*T95/L95)</f>
        <v>36.575999999999993</v>
      </c>
      <c r="CL94" s="528">
        <f>IF(E98="不","",SUM(CG96:CH96)+SUM(CG97:CH97)*T95/L95)</f>
        <v>162</v>
      </c>
      <c r="CM94" s="527" t="s">
        <v>8</v>
      </c>
      <c r="CN94" s="15"/>
      <c r="CO94" s="46" t="str">
        <f>Q98</f>
        <v>TIVF 0.8-2C</v>
      </c>
      <c r="CP94" s="520">
        <f>AK98</f>
        <v>640</v>
      </c>
      <c r="CR94" s="519" t="str">
        <f>IF(CS94="","",IF($J$14="A","PHSアンテナ"))</f>
        <v/>
      </c>
      <c r="CS94" s="189" t="str">
        <f>BL95</f>
        <v/>
      </c>
      <c r="CU94" s="8"/>
      <c r="CV94" s="197">
        <f t="shared" si="46"/>
        <v>6</v>
      </c>
      <c r="CW94" s="197" t="str">
        <f t="shared" si="45"/>
        <v/>
      </c>
      <c r="CX94" s="10" t="str">
        <f>CO93</f>
        <v>電子釦 0.4- 4Pr</v>
      </c>
      <c r="CY94" s="8"/>
      <c r="CZ94" s="249" t="str">
        <f>IF(COUNTIF($CZ$10:$CZ93,CX94)&gt;0,"",CX94)</f>
        <v/>
      </c>
      <c r="DA94" s="515">
        <f>CP93</f>
        <v>121.91999999999999</v>
      </c>
      <c r="DB94" s="514">
        <f>SUMIF($CX$20:$CX$182,CZ94,$DA$20:$DA$182)</f>
        <v>0</v>
      </c>
      <c r="DC94" s="8"/>
      <c r="DD94" s="8"/>
      <c r="DE94" s="197">
        <f t="shared" si="50"/>
        <v>14</v>
      </c>
      <c r="DF94" s="197" t="str">
        <f t="shared" si="51"/>
        <v/>
      </c>
      <c r="DG94" s="207" t="str">
        <f>CO97</f>
        <v>CD-22mm</v>
      </c>
      <c r="DH94" s="8"/>
      <c r="DI94" s="249" t="str">
        <f>IF(COUNTIF(DG$18:$DG93,DG94)&gt;0,"",DG94)</f>
        <v/>
      </c>
      <c r="DJ94" s="515">
        <f>CP97</f>
        <v>324</v>
      </c>
      <c r="DK94" s="514">
        <f t="shared" si="52"/>
        <v>0</v>
      </c>
      <c r="DL94" s="8"/>
      <c r="DM94" s="8"/>
      <c r="DN94" s="197">
        <f>IF(DR94&lt;&gt;"",DN93+1,DN93)</f>
        <v>4</v>
      </c>
      <c r="DO94" s="197">
        <f t="shared" si="53"/>
        <v>4</v>
      </c>
      <c r="DP94" s="207" t="str">
        <f>CR93</f>
        <v>内線電話機</v>
      </c>
      <c r="DQ94" s="8"/>
      <c r="DR94" s="249" t="str">
        <f>IF(COUNTIF(DP$18:$DP93,DP94)&gt;0,"",DP94)</f>
        <v/>
      </c>
      <c r="DS94" s="198">
        <f>CS93</f>
        <v>8</v>
      </c>
      <c r="DT94" s="514">
        <f t="shared" si="54"/>
        <v>0</v>
      </c>
    </row>
    <row r="95" spans="1:124" ht="10.5" customHeight="1" thickBot="1">
      <c r="B95" s="23"/>
      <c r="C95" s="2987" t="str">
        <f>IF($B$2=0,"",非誘!C72)</f>
        <v xml:space="preserve">  8F</v>
      </c>
      <c r="D95" s="2988"/>
      <c r="E95" s="2988"/>
      <c r="F95" s="2989">
        <f>IF($B$2=0,"",非誘!F72)</f>
        <v>4</v>
      </c>
      <c r="G95" s="2989"/>
      <c r="H95" s="2989"/>
      <c r="I95" s="2989">
        <f>IF($B$2=0,"",非誘!J72)</f>
        <v>3</v>
      </c>
      <c r="J95" s="2989"/>
      <c r="K95" s="2989"/>
      <c r="L95" s="2990">
        <f>IF($B$2=0,"",非誘!N72)</f>
        <v>1152</v>
      </c>
      <c r="M95" s="2990"/>
      <c r="N95" s="2990"/>
      <c r="O95" s="2990"/>
      <c r="P95" s="2991">
        <f>IF($B$2=0,"",非誘!S72)</f>
        <v>806.4</v>
      </c>
      <c r="Q95" s="2991"/>
      <c r="R95" s="2991"/>
      <c r="S95" s="2991"/>
      <c r="T95" s="2991">
        <f>IF($B$2=0,"",非誘!W72)</f>
        <v>345.6</v>
      </c>
      <c r="U95" s="2992"/>
      <c r="V95" s="2992"/>
      <c r="W95" s="2992"/>
      <c r="X95" s="2993">
        <f>IF($B$2=0,"",非誘!AA72)</f>
        <v>3</v>
      </c>
      <c r="Y95" s="2993"/>
      <c r="Z95" s="2993"/>
      <c r="AA95" s="2993">
        <f>IF($B$2=0,"",非誘!AD72)</f>
        <v>9</v>
      </c>
      <c r="AB95" s="2993"/>
      <c r="AC95" s="2994"/>
      <c r="AD95" s="2966">
        <f>IF($B$2=0,"",CB93*CC93)</f>
        <v>400</v>
      </c>
      <c r="AE95" s="2967"/>
      <c r="AF95" s="2968"/>
      <c r="AG95" s="2969">
        <f>IF($B$2=0,"",放送!CB89)</f>
        <v>0</v>
      </c>
      <c r="AH95" s="2967"/>
      <c r="AI95" s="2968"/>
      <c r="AJ95" s="2970" t="str">
        <f>IF($B$2=0,"",IF(TV!AN23="設置","Space","---"))</f>
        <v>Space</v>
      </c>
      <c r="AK95" s="2971"/>
      <c r="AL95" s="2971"/>
      <c r="AM95" s="2969"/>
      <c r="AN95" s="2967"/>
      <c r="AO95" s="2968"/>
      <c r="AP95" s="2972"/>
      <c r="AQ95" s="2973"/>
      <c r="AR95" s="2923">
        <f>IF($B$2=0,"",IF(AZ95="",CB97,AZ95))</f>
        <v>8</v>
      </c>
      <c r="AS95" s="2924"/>
      <c r="AT95" s="538" t="s">
        <v>106</v>
      </c>
      <c r="AU95" s="2946"/>
      <c r="AV95" s="2947"/>
      <c r="AW95" s="2923">
        <f>IF($B$2=0,"",IF(CA96="",0,IF(AZ95="",CB96,AZ95)))</f>
        <v>40</v>
      </c>
      <c r="AX95" s="2924"/>
      <c r="AY95" s="538" t="s">
        <v>106</v>
      </c>
      <c r="AZ95" s="2999"/>
      <c r="BA95" s="3000"/>
      <c r="BB95" s="2951">
        <f>IF(OR($J$14&lt;&gt;"A",CA96=""),"",IF(BE95&lt;&gt;"",BE95,CB96))</f>
        <v>40</v>
      </c>
      <c r="BC95" s="2952"/>
      <c r="BD95" s="537" t="s">
        <v>106</v>
      </c>
      <c r="BE95" s="2938"/>
      <c r="BF95" s="2938"/>
      <c r="BG95" s="2951">
        <f>IF(C95="","",IF(OR($J$14&lt;&gt;"A",CA97=""),"",IF(BJ95&lt;&gt;"",BE95,CB97)))</f>
        <v>8</v>
      </c>
      <c r="BH95" s="2952"/>
      <c r="BI95" s="537" t="s">
        <v>106</v>
      </c>
      <c r="BJ95" s="2938"/>
      <c r="BK95" s="2938"/>
      <c r="BL95" s="2951" t="str">
        <f>IF(OR($J$14&lt;&gt;"A",CA98=""),"",IF(BO95&lt;&gt;"",BO95,CB98))</f>
        <v/>
      </c>
      <c r="BM95" s="2952"/>
      <c r="BN95" s="537" t="s">
        <v>106</v>
      </c>
      <c r="BO95" s="2964"/>
      <c r="BP95" s="2965"/>
      <c r="BQ95" s="2939" t="str">
        <f>IF(BQ93="設置","Ｅt","")</f>
        <v/>
      </c>
      <c r="BR95" s="2845"/>
      <c r="BS95" s="2845"/>
      <c r="BT95" s="2940"/>
      <c r="BU95" s="19"/>
      <c r="BW95" s="89" t="str">
        <f>AP92</f>
        <v>Ⓖ</v>
      </c>
      <c r="BX95" s="263">
        <f>IF(C95="","",IF(BW95="Ⓐ",BX93+BY93+3,IF(BW95="Ⓑ",BX93*5/8+BY93+3,IF(BW95="Ⓒ",BX93/2+BY93+3,IF(BW95="Ⓓ",BX93+BY93*5/8+3,IF(BW95="Ⓔ",(BX93+BY93)*5/8+3,IF(BW95="Ⓕ",BX93/2+BY93*5/8+3,IF(BW95="Ⓖ",BX93+BY93/2+3,IF(BW95="Ⓗ",BX93*5/8+BY93/2+3,IF(BW95="Ⓘ",(BX93+BY93)/2+3))))))))))</f>
        <v>27</v>
      </c>
      <c r="BY95" s="86">
        <f>IF(C95="",0,IF(BY94="=",BZ92,IF(BY94="-",CA92,CB92)))</f>
        <v>243</v>
      </c>
      <c r="BZ95" s="156"/>
      <c r="CA95" s="536" t="str">
        <f>IF(CA93&lt;=30,"25",IF(CA93&lt;=50,"31",IF(CA93&lt;=100,"39",IF(CA93&lt;=200,"51",""))))</f>
        <v>31</v>
      </c>
      <c r="CB95" s="535" t="str">
        <f>IF(CA93&lt;=30,"22",IF(CA93&lt;=50,"28",IF(CA93&lt;=100,"36",IF(CA93&lt;=200,"42",""))))</f>
        <v>28</v>
      </c>
      <c r="CC95" s="122"/>
      <c r="CD95" s="534"/>
      <c r="CE95" s="156" t="s">
        <v>738</v>
      </c>
      <c r="CF95" s="533"/>
      <c r="CG95" s="189">
        <f>IF($B$2="","",IF($AQ$8=0,0,0.02*($AQ$8/1000-0.15-0.1)*(INT(1000*BX93/$AQ$9)+1)*(INT(1000*BY93/$AQ$9)+1)*4*(AR95+AW95)))</f>
        <v>25.919999999999995</v>
      </c>
      <c r="CH95" s="532"/>
      <c r="CI95" s="531"/>
      <c r="CJ95" s="15"/>
      <c r="CK95" s="528">
        <f>IF(E97="不","",SUM(CH93+CJ93)*MAX(P95:W95)/L95)</f>
        <v>448</v>
      </c>
      <c r="CL95" s="528">
        <f>IF(E97="不","",CJ96)</f>
        <v>200.20851011026986</v>
      </c>
      <c r="CM95" s="527" t="s">
        <v>7</v>
      </c>
      <c r="CN95" s="15"/>
      <c r="CO95" s="252" t="str">
        <f>IF(CP95="","","導入線 1.2mmφ")</f>
        <v>導入線 1.2mmφ</v>
      </c>
      <c r="CP95" s="184">
        <f>1.1*INT(SUM(CP96:CP98))</f>
        <v>585.20000000000005</v>
      </c>
      <c r="CR95" s="519" t="str">
        <f>IF(CS95="","",IF($J$14="A","PHS電話機"))</f>
        <v/>
      </c>
      <c r="CS95" s="189" t="str">
        <f>IF(CS94="","",INT(CS94*1.5))</f>
        <v/>
      </c>
      <c r="CU95" s="8"/>
      <c r="CV95" s="197">
        <f t="shared" si="46"/>
        <v>6</v>
      </c>
      <c r="CW95" s="197" t="str">
        <f t="shared" si="45"/>
        <v/>
      </c>
      <c r="CX95" s="10" t="str">
        <f>CO94</f>
        <v>TIVF 0.8-2C</v>
      </c>
      <c r="CY95" s="8"/>
      <c r="CZ95" s="249" t="str">
        <f>IF(COUNTIF($CZ$10:$CZ94,CX95)&gt;0,"",CX95)</f>
        <v/>
      </c>
      <c r="DA95" s="515">
        <f>CP94</f>
        <v>640</v>
      </c>
      <c r="DB95" s="514">
        <f>SUMIF($CX$20:$CX$182,CZ95,$DA$20:$DA$182)</f>
        <v>0</v>
      </c>
      <c r="DC95" s="8"/>
      <c r="DD95" s="8"/>
      <c r="DE95" s="197">
        <f t="shared" si="50"/>
        <v>14</v>
      </c>
      <c r="DF95" s="197" t="str">
        <f t="shared" si="51"/>
        <v/>
      </c>
      <c r="DG95" s="207" t="str">
        <f>CO98</f>
        <v>フロアダクト FC-6</v>
      </c>
      <c r="DH95" s="8"/>
      <c r="DI95" s="249" t="str">
        <f>IF(COUNTIF(DG$18:$DG94,DG95)&gt;0,"",DG95)</f>
        <v/>
      </c>
      <c r="DJ95" s="515">
        <f>CP98</f>
        <v>200.20851011026986</v>
      </c>
      <c r="DK95" s="514">
        <f t="shared" si="52"/>
        <v>0</v>
      </c>
      <c r="DL95" s="8"/>
      <c r="DM95" s="8"/>
      <c r="DN95" s="197">
        <f>IF(DR95&lt;&gt;"",DN94+1,DN94)</f>
        <v>4</v>
      </c>
      <c r="DO95" s="197" t="str">
        <f t="shared" si="53"/>
        <v/>
      </c>
      <c r="DP95" s="10" t="str">
        <f>CR94</f>
        <v/>
      </c>
      <c r="DQ95" s="8"/>
      <c r="DR95" s="249" t="str">
        <f>IF(COUNTIF(DP$18:$DP94,DP95)&gt;0,"",DP95)</f>
        <v/>
      </c>
      <c r="DS95" s="198" t="str">
        <f>CS94</f>
        <v/>
      </c>
      <c r="DT95" s="514">
        <f t="shared" si="54"/>
        <v>0</v>
      </c>
    </row>
    <row r="96" spans="1:124" ht="10.5" customHeight="1" thickBot="1">
      <c r="B96" s="23"/>
      <c r="C96" s="3048" t="s">
        <v>737</v>
      </c>
      <c r="D96" s="3049"/>
      <c r="E96" s="3049"/>
      <c r="F96" s="3049"/>
      <c r="G96" s="3049"/>
      <c r="H96" s="3049"/>
      <c r="I96" s="3049"/>
      <c r="J96" s="3050" t="s">
        <v>736</v>
      </c>
      <c r="K96" s="3051"/>
      <c r="L96" s="3051"/>
      <c r="M96" s="3051"/>
      <c r="N96" s="3052" t="s">
        <v>735</v>
      </c>
      <c r="O96" s="2891"/>
      <c r="P96" s="2892"/>
      <c r="Q96" s="3057" t="str">
        <f>IF(OR($B$2=0,$J$14="C"),"",IF(Z96="",BZ94,Z96))</f>
        <v>FCPEV 0.65-200Pr</v>
      </c>
      <c r="R96" s="3057"/>
      <c r="S96" s="3057"/>
      <c r="T96" s="3057"/>
      <c r="U96" s="3057"/>
      <c r="V96" s="3057"/>
      <c r="W96" s="3057"/>
      <c r="X96" s="3057"/>
      <c r="Y96" s="524" t="s">
        <v>106</v>
      </c>
      <c r="Z96" s="2902"/>
      <c r="AA96" s="2903"/>
      <c r="AB96" s="2903"/>
      <c r="AC96" s="2903"/>
      <c r="AD96" s="2903"/>
      <c r="AE96" s="2903"/>
      <c r="AF96" s="2903"/>
      <c r="AG96" s="2904"/>
      <c r="AH96" s="2877" t="s">
        <v>734</v>
      </c>
      <c r="AI96" s="2878"/>
      <c r="AJ96" s="2879"/>
      <c r="AK96" s="3058">
        <f>IF($B$2=0,"",IF(AP96&lt;&gt;"",AP96,IF($J$14="C","",SUM(CF93:CF94)*CC93)))</f>
        <v>12</v>
      </c>
      <c r="AL96" s="3058"/>
      <c r="AM96" s="3058"/>
      <c r="AN96" s="3058"/>
      <c r="AO96" s="524" t="s">
        <v>106</v>
      </c>
      <c r="AP96" s="2911"/>
      <c r="AQ96" s="2912"/>
      <c r="AR96" s="2912"/>
      <c r="AS96" s="2913"/>
      <c r="AT96" s="2890" t="s">
        <v>733</v>
      </c>
      <c r="AU96" s="2891"/>
      <c r="AV96" s="2892"/>
      <c r="AW96" s="2899" t="str">
        <f>IF($B$2=0,"",IF(BE96&lt;&gt;"",BE96,IF(BB92=2,"PF-"&amp;CB95&amp;"mm",IF(OR(BB92=3,BB92=6),"C-"&amp;CA95&amp;"mm",IF(OR(BB92=4,BB92=7),"G-"&amp;CB95&amp;"mm",IF(OR(BB92=1,BB92=5),"CD-"&amp;CB95&amp;"mm",""))))))</f>
        <v>CD-28mm</v>
      </c>
      <c r="AX96" s="2900"/>
      <c r="AY96" s="2900"/>
      <c r="AZ96" s="2900"/>
      <c r="BA96" s="2900"/>
      <c r="BB96" s="2900"/>
      <c r="BC96" s="2901"/>
      <c r="BD96" s="524" t="s">
        <v>106</v>
      </c>
      <c r="BE96" s="2902"/>
      <c r="BF96" s="2903"/>
      <c r="BG96" s="2903"/>
      <c r="BH96" s="2903"/>
      <c r="BI96" s="2903"/>
      <c r="BJ96" s="2904"/>
      <c r="BK96" s="2877" t="s">
        <v>732</v>
      </c>
      <c r="BL96" s="2878"/>
      <c r="BM96" s="2879"/>
      <c r="BN96" s="2914">
        <f>IF($B$2=0,"",IF(BR96="",CF97*CC93,BR96))</f>
        <v>8</v>
      </c>
      <c r="BO96" s="2915"/>
      <c r="BP96" s="2916"/>
      <c r="BQ96" s="524" t="s">
        <v>106</v>
      </c>
      <c r="BR96" s="3202"/>
      <c r="BS96" s="3203"/>
      <c r="BT96" s="3204"/>
      <c r="BU96" s="19"/>
      <c r="BX96" s="530"/>
      <c r="BY96" s="46"/>
      <c r="BZ96" s="106" t="s">
        <v>731</v>
      </c>
      <c r="CA96" s="529" t="str">
        <f>IF(P95="","",IF(OR(I92="(1) ロ",I92="( 4 )",I92="(5) イ",I92="(6) イ",I92="(6) ロ",I92="(6) ハ",I92="( 7 )",I92="( 8 )",I92="( 15)"),"1",""))</f>
        <v>1</v>
      </c>
      <c r="CB96" s="151">
        <f>IF(P95="",0,INT(P95/20))</f>
        <v>40</v>
      </c>
      <c r="CC96" s="122">
        <f>IF(CA96="",0,CB96)</f>
        <v>40</v>
      </c>
      <c r="CD96" s="6"/>
      <c r="CE96" s="156" t="s">
        <v>730</v>
      </c>
      <c r="CF96" s="189"/>
      <c r="CG96" s="189">
        <f>BX95*(1+INT(AR95/10))+CG98</f>
        <v>27</v>
      </c>
      <c r="CH96" s="189">
        <f>IF(AW95="",0,BX95*(1+INT(AW95/10)))</f>
        <v>135</v>
      </c>
      <c r="CI96" s="82" t="s">
        <v>729</v>
      </c>
      <c r="CJ96" s="98">
        <f>7.32*(AW95-2*SQRT(AW95))</f>
        <v>200.20851011026986</v>
      </c>
      <c r="CK96" s="528">
        <f>IF(E98="不","",SUM(CH93+CJ93)*T95/L95)</f>
        <v>192</v>
      </c>
      <c r="CL96" s="528">
        <f>CJ96</f>
        <v>200.20851011026986</v>
      </c>
      <c r="CM96" s="527" t="s">
        <v>8</v>
      </c>
      <c r="CN96" s="69"/>
      <c r="CO96" s="252" t="str">
        <f>AW96</f>
        <v>CD-28mm</v>
      </c>
      <c r="CP96" s="520">
        <f>BN96</f>
        <v>8</v>
      </c>
      <c r="CR96" s="519" t="str">
        <f>IF(CS96=0,"","C-OBox4角中深")</f>
        <v>C-OBox4角中深</v>
      </c>
      <c r="CS96" s="189">
        <f>IF($J$14="A",SUM(CS93:CS94),AR95)</f>
        <v>8</v>
      </c>
      <c r="CU96" s="8"/>
      <c r="CV96" s="197">
        <f t="shared" si="46"/>
        <v>6</v>
      </c>
      <c r="CW96" s="197" t="str">
        <f t="shared" si="45"/>
        <v/>
      </c>
      <c r="CX96" s="207" t="str">
        <f>IF(BQ95="","","IV-14sq")</f>
        <v/>
      </c>
      <c r="CY96" s="8"/>
      <c r="CZ96" s="249" t="str">
        <f>IF(COUNTIF($CZ$10:$CZ95,CX96)&gt;0,"",CX96)</f>
        <v/>
      </c>
      <c r="DA96" s="515" t="str">
        <f>IF(BQ95="","",BX95+BY93+15)</f>
        <v/>
      </c>
      <c r="DB96" s="514">
        <f>SUMIF($CX$20:$CX$182,CZ96,$DA$20:$DA$182)</f>
        <v>0</v>
      </c>
      <c r="DD96" s="8"/>
      <c r="DE96" s="197">
        <f>IF(DJ96&lt;&gt;"",DE95+1,DE95)</f>
        <v>14</v>
      </c>
      <c r="DF96" s="197" t="str">
        <f>IF(AND(DE96&lt;&gt;"",DJ96&lt;&gt;""),DE96,"")</f>
        <v/>
      </c>
      <c r="DG96" s="207"/>
      <c r="DH96" s="8"/>
      <c r="DI96" s="249"/>
      <c r="DJ96" s="515"/>
      <c r="DK96" s="514">
        <f t="shared" si="52"/>
        <v>0</v>
      </c>
      <c r="DM96" s="8"/>
      <c r="DN96" s="197">
        <f>IF(DR96&lt;&gt;"",DN95+1,DN95)</f>
        <v>4</v>
      </c>
      <c r="DO96" s="197" t="str">
        <f t="shared" si="53"/>
        <v/>
      </c>
      <c r="DP96" s="10" t="str">
        <f>CR95</f>
        <v/>
      </c>
      <c r="DQ96" s="8"/>
      <c r="DR96" s="249" t="str">
        <f>IF(COUNTIF(DP$18:$DP95,DP96)&gt;0,"",DP96)</f>
        <v/>
      </c>
      <c r="DS96" s="198" t="str">
        <f>CS95</f>
        <v/>
      </c>
      <c r="DT96" s="514">
        <f t="shared" si="54"/>
        <v>0</v>
      </c>
    </row>
    <row r="97" spans="1:124" ht="10.5" customHeight="1">
      <c r="B97" s="23"/>
      <c r="C97" s="3205" t="s">
        <v>728</v>
      </c>
      <c r="D97" s="3205"/>
      <c r="E97" s="3016" t="str">
        <f>IF($D$9="不要","不",IF(H97="","要",H97))</f>
        <v>要</v>
      </c>
      <c r="F97" s="3016"/>
      <c r="G97" s="523" t="s">
        <v>724</v>
      </c>
      <c r="H97" s="3017"/>
      <c r="I97" s="3018"/>
      <c r="J97" s="3019" t="s">
        <v>727</v>
      </c>
      <c r="K97" s="3020"/>
      <c r="L97" s="3020"/>
      <c r="M97" s="3021"/>
      <c r="N97" s="3053"/>
      <c r="O97" s="2894"/>
      <c r="P97" s="2895"/>
      <c r="Q97" s="3025" t="str">
        <f>IF(OR($B$2=0,$J$14="C"),"",IF(Z97&lt;&gt;"",Z97,"電子釦 0.4- 4Pr"))</f>
        <v>電子釦 0.4- 4Pr</v>
      </c>
      <c r="R97" s="2933"/>
      <c r="S97" s="2933"/>
      <c r="T97" s="2933"/>
      <c r="U97" s="2933"/>
      <c r="V97" s="2933"/>
      <c r="W97" s="2933"/>
      <c r="X97" s="2934"/>
      <c r="Y97" s="526" t="s">
        <v>724</v>
      </c>
      <c r="Z97" s="3026"/>
      <c r="AA97" s="3027"/>
      <c r="AB97" s="3027"/>
      <c r="AC97" s="3027"/>
      <c r="AD97" s="3027"/>
      <c r="AE97" s="3027"/>
      <c r="AF97" s="3027"/>
      <c r="AG97" s="3028"/>
      <c r="AH97" s="2880" t="s">
        <v>725</v>
      </c>
      <c r="AI97" s="2881"/>
      <c r="AJ97" s="2882"/>
      <c r="AK97" s="2995">
        <f>IF($B$2=0,"",IF(AP97&lt;&gt;"",AP97,IF($J$14="C","",SUM(CK93:CK94))))</f>
        <v>121.91999999999999</v>
      </c>
      <c r="AL97" s="2995"/>
      <c r="AM97" s="2995"/>
      <c r="AN97" s="2995"/>
      <c r="AO97" s="526" t="s">
        <v>724</v>
      </c>
      <c r="AP97" s="2996"/>
      <c r="AQ97" s="2997"/>
      <c r="AR97" s="2997"/>
      <c r="AS97" s="2998"/>
      <c r="AT97" s="2893"/>
      <c r="AU97" s="2894"/>
      <c r="AV97" s="2895"/>
      <c r="AW97" s="2933" t="str">
        <f>IF($B$2=0,"",IF(BE97&lt;&gt;"",BE97,IF(BB92=2,"PF-22mm",IF(OR(BB92=3,BB92=6),"C-25mm",IF(OR(BB92=4,BB92=7),"G-22mm",IF(OR(BB92=1,BB92=5),"CD-22mm",""))))))</f>
        <v>CD-22mm</v>
      </c>
      <c r="AX97" s="2933"/>
      <c r="AY97" s="2933"/>
      <c r="AZ97" s="2933"/>
      <c r="BA97" s="2933"/>
      <c r="BB97" s="2933"/>
      <c r="BC97" s="2934"/>
      <c r="BD97" s="526" t="s">
        <v>724</v>
      </c>
      <c r="BE97" s="2935"/>
      <c r="BF97" s="2936"/>
      <c r="BG97" s="2936"/>
      <c r="BH97" s="2936"/>
      <c r="BI97" s="2936"/>
      <c r="BJ97" s="2937"/>
      <c r="BK97" s="2880" t="s">
        <v>725</v>
      </c>
      <c r="BL97" s="2881"/>
      <c r="BM97" s="2882"/>
      <c r="BN97" s="2948">
        <f>IF($B$2=0,"",IF(BR97="",SUM(CL93:CL94),BR97))</f>
        <v>324</v>
      </c>
      <c r="BO97" s="2949"/>
      <c r="BP97" s="2950"/>
      <c r="BQ97" s="525" t="s">
        <v>724</v>
      </c>
      <c r="BR97" s="3029"/>
      <c r="BS97" s="3030"/>
      <c r="BT97" s="3031"/>
      <c r="BU97" s="19"/>
      <c r="BX97" s="49">
        <f>1+INT(L95/600)</f>
        <v>2</v>
      </c>
      <c r="BY97" s="46"/>
      <c r="BZ97" s="106" t="s">
        <v>723</v>
      </c>
      <c r="CA97" s="522" t="str">
        <f>"1"</f>
        <v>1</v>
      </c>
      <c r="CB97" s="151">
        <f>IF(CA96="",INT(T95/40)+CB96,INT(T95/40))</f>
        <v>8</v>
      </c>
      <c r="CC97" s="122">
        <f>IF(CB97="",0,CB97)</f>
        <v>8</v>
      </c>
      <c r="CD97" s="6"/>
      <c r="CE97" s="156" t="s">
        <v>722</v>
      </c>
      <c r="CF97" s="189">
        <f>F95</f>
        <v>4</v>
      </c>
      <c r="CG97" s="189">
        <f>IF(BB92&lt;=4,(2*F95-(R81+R84)/1000)*AR95,((R82+R84)/1000)*AR95)</f>
        <v>0</v>
      </c>
      <c r="CH97" s="189">
        <f>2*(R82/1000)*AR95</f>
        <v>0</v>
      </c>
      <c r="CI97" s="82" t="s">
        <v>721</v>
      </c>
      <c r="CJ97" s="86">
        <f>AW95</f>
        <v>40</v>
      </c>
      <c r="CK97" s="38"/>
      <c r="CL97" s="38"/>
      <c r="CM97" s="38"/>
      <c r="CN97" s="38"/>
      <c r="CO97" s="252" t="str">
        <f>AW97</f>
        <v>CD-22mm</v>
      </c>
      <c r="CP97" s="520">
        <f>BN97</f>
        <v>324</v>
      </c>
      <c r="CR97" s="519" t="str">
        <f>IF(CS97="","",IF(LEFT(AW98,1)="フ","ジャンクションボックス 2Duct","C-OBox4角大深"))</f>
        <v>ジャンクションボックス 2Duct</v>
      </c>
      <c r="CS97" s="189">
        <f>IF(AW95=0,"",AW95)</f>
        <v>40</v>
      </c>
      <c r="CU97" s="8"/>
      <c r="CV97" s="197">
        <f t="shared" si="46"/>
        <v>6</v>
      </c>
      <c r="CW97" s="197" t="str">
        <f t="shared" si="45"/>
        <v/>
      </c>
      <c r="CX97" s="207" t="str">
        <f>IF(BQ95="","","VE-22mm")</f>
        <v/>
      </c>
      <c r="CY97" s="8"/>
      <c r="CZ97" s="249" t="str">
        <f>IF(COUNTIF($CZ$10:$CZ96,CX97)&gt;0,"",CX97)</f>
        <v/>
      </c>
      <c r="DA97" s="515" t="str">
        <f>IF(BQ95="","",DA96-10)</f>
        <v/>
      </c>
      <c r="DB97" s="514">
        <f>SUMIF($CX$20:$CX$182,CZ97,$DA$20:$DA$182)</f>
        <v>0</v>
      </c>
      <c r="DD97" s="8"/>
      <c r="DE97" s="197">
        <f t="shared" ref="DE97:DE103" si="55">IF(DI97&lt;&gt;"",DE96+1,DE96)</f>
        <v>14</v>
      </c>
      <c r="DF97" s="197" t="str">
        <f t="shared" ref="DF97:DF103" si="56">IF(AND(DE97&lt;&gt;"",DI97&lt;&gt;""),DE97,"")</f>
        <v/>
      </c>
      <c r="DG97" s="207" t="str">
        <f>CR96</f>
        <v>C-OBox4角中深</v>
      </c>
      <c r="DH97" s="8"/>
      <c r="DI97" s="249" t="str">
        <f>IF(COUNTIF(DG$18:$DG96,DG97)&gt;0,"",DG97)</f>
        <v/>
      </c>
      <c r="DJ97" s="515">
        <f>CS96</f>
        <v>8</v>
      </c>
      <c r="DK97" s="514">
        <f t="shared" si="52"/>
        <v>0</v>
      </c>
      <c r="DM97" s="8"/>
      <c r="DN97" s="197">
        <f>IF(DS97&lt;&gt;"",DN96+1,DN96)</f>
        <v>4</v>
      </c>
      <c r="DO97" s="197" t="str">
        <f t="shared" si="53"/>
        <v/>
      </c>
      <c r="DP97" s="10" t="str">
        <f>IF(BQ93="","","電話交換機")</f>
        <v/>
      </c>
      <c r="DQ97" s="8"/>
      <c r="DR97" s="249" t="str">
        <f>IF(COUNTIF(DP$18:$DP96,DP97)&gt;0,"",DP97)</f>
        <v/>
      </c>
      <c r="DS97" s="198" t="str">
        <f>IF(DP97&lt;&gt;"",1,"")</f>
        <v/>
      </c>
      <c r="DT97" s="514">
        <f t="shared" si="54"/>
        <v>0</v>
      </c>
    </row>
    <row r="98" spans="1:124" ht="10.5" customHeight="1">
      <c r="B98" s="23"/>
      <c r="C98" s="2959" t="s">
        <v>720</v>
      </c>
      <c r="D98" s="2959"/>
      <c r="E98" s="3016" t="str">
        <f>IF($D$9="不要","不",IF(H98="","要",H98))</f>
        <v>要</v>
      </c>
      <c r="F98" s="3016"/>
      <c r="G98" s="525" t="s">
        <v>103</v>
      </c>
      <c r="H98" s="3017"/>
      <c r="I98" s="3018"/>
      <c r="J98" s="3022"/>
      <c r="K98" s="3023"/>
      <c r="L98" s="3023"/>
      <c r="M98" s="3024"/>
      <c r="N98" s="3054"/>
      <c r="O98" s="3055"/>
      <c r="P98" s="3056"/>
      <c r="Q98" s="3201" t="str">
        <f>IF($B$2=0,"",IF(Z98&lt;&gt;"",Z98,"TIVF 0.8-2C"))</f>
        <v>TIVF 0.8-2C</v>
      </c>
      <c r="R98" s="3201"/>
      <c r="S98" s="3201"/>
      <c r="T98" s="3201"/>
      <c r="U98" s="3201"/>
      <c r="V98" s="3201"/>
      <c r="W98" s="3201"/>
      <c r="X98" s="3201"/>
      <c r="Y98" s="524" t="s">
        <v>103</v>
      </c>
      <c r="Z98" s="2941"/>
      <c r="AA98" s="2942"/>
      <c r="AB98" s="2942"/>
      <c r="AC98" s="2942"/>
      <c r="AD98" s="2942"/>
      <c r="AE98" s="2942"/>
      <c r="AF98" s="2942"/>
      <c r="AG98" s="3199"/>
      <c r="AH98" s="2883" t="s">
        <v>235</v>
      </c>
      <c r="AI98" s="2884"/>
      <c r="AJ98" s="2885"/>
      <c r="AK98" s="2953">
        <f>IF($B$2=0,"",IF(AP98&lt;&gt;"",AP98,IF($J$14="C","",SUM(CK95:CK96))))</f>
        <v>640</v>
      </c>
      <c r="AL98" s="2954"/>
      <c r="AM98" s="2954"/>
      <c r="AN98" s="2955"/>
      <c r="AO98" s="524" t="s">
        <v>103</v>
      </c>
      <c r="AP98" s="2911"/>
      <c r="AQ98" s="2912"/>
      <c r="AR98" s="2912"/>
      <c r="AS98" s="2913"/>
      <c r="AT98" s="2896"/>
      <c r="AU98" s="2897"/>
      <c r="AV98" s="2898"/>
      <c r="AW98" s="2939" t="str">
        <f>IF($B$2=0,"",IF(BN98="","",IF(BE98="","フロアダクト FC-6",BE98)))</f>
        <v>フロアダクト FC-6</v>
      </c>
      <c r="AX98" s="2845"/>
      <c r="AY98" s="2845"/>
      <c r="AZ98" s="2845"/>
      <c r="BA98" s="2845"/>
      <c r="BB98" s="2845"/>
      <c r="BC98" s="2940"/>
      <c r="BD98" s="524" t="s">
        <v>103</v>
      </c>
      <c r="BE98" s="2941"/>
      <c r="BF98" s="2942"/>
      <c r="BG98" s="2942"/>
      <c r="BH98" s="2942"/>
      <c r="BI98" s="2942"/>
      <c r="BJ98" s="2942"/>
      <c r="BK98" s="2883" t="s">
        <v>235</v>
      </c>
      <c r="BL98" s="2884"/>
      <c r="BM98" s="2885"/>
      <c r="BN98" s="2943">
        <f>IF($B$2=0,"",IF(BR98="",MAX(CL95:CL96),BR98))</f>
        <v>200.20851011026986</v>
      </c>
      <c r="BO98" s="2944"/>
      <c r="BP98" s="2945"/>
      <c r="BQ98" s="523" t="s">
        <v>103</v>
      </c>
      <c r="BR98" s="3200"/>
      <c r="BS98" s="3200"/>
      <c r="BT98" s="3200"/>
      <c r="BU98" s="19"/>
      <c r="BX98" s="47"/>
      <c r="BZ98" s="106" t="s">
        <v>766</v>
      </c>
      <c r="CA98" s="522" t="str">
        <f>IF(OR(I92="( 10)",I92="(12)イ"),"1","")</f>
        <v/>
      </c>
      <c r="CB98" s="151" t="str">
        <f>IF(CA98="","",INT(P95/200))</f>
        <v/>
      </c>
      <c r="CC98" s="122">
        <f>IF(CB98="",0,CB98)</f>
        <v>0</v>
      </c>
      <c r="CE98" s="156" t="s">
        <v>716</v>
      </c>
      <c r="CF98" s="521"/>
      <c r="CG98" s="189">
        <f>IF($AQ$8=0,1.5*2*(1+INT(2*BX93/($AQ$9/1000)))*(1+INT(2*BY93/($AQ$9/1000))),0)</f>
        <v>0</v>
      </c>
      <c r="CH98" s="82"/>
      <c r="CI98" s="82" t="s">
        <v>765</v>
      </c>
      <c r="CJ98" s="107">
        <f>AR95</f>
        <v>8</v>
      </c>
      <c r="CK98" s="12"/>
      <c r="CL98" s="12"/>
      <c r="CM98" s="12"/>
      <c r="CN98" s="12"/>
      <c r="CO98" s="252" t="str">
        <f>AW98</f>
        <v>フロアダクト FC-6</v>
      </c>
      <c r="CP98" s="520">
        <f>BN98</f>
        <v>200.20851011026986</v>
      </c>
      <c r="CR98" s="519" t="str">
        <f>IF(CS98="","","ローテンションアウトレット")</f>
        <v>ローテンションアウトレット</v>
      </c>
      <c r="CS98" s="189">
        <f>CS92</f>
        <v>40</v>
      </c>
      <c r="CV98" s="197">
        <f t="shared" si="46"/>
        <v>6</v>
      </c>
      <c r="CW98" s="197" t="str">
        <f t="shared" si="45"/>
        <v/>
      </c>
      <c r="CX98" s="207"/>
      <c r="CY98" s="24"/>
      <c r="DA98" s="515"/>
      <c r="DB98" s="516"/>
      <c r="DE98" s="197">
        <f t="shared" si="55"/>
        <v>14</v>
      </c>
      <c r="DF98" s="197" t="str">
        <f t="shared" si="56"/>
        <v/>
      </c>
      <c r="DG98" s="207" t="str">
        <f>CR97</f>
        <v>ジャンクションボックス 2Duct</v>
      </c>
      <c r="DH98" s="24"/>
      <c r="DI98" s="249" t="str">
        <f>IF(COUNTIF(DG$18:$DG97,DG98)&gt;0,"",DG98)</f>
        <v/>
      </c>
      <c r="DJ98" s="515">
        <f>CS97</f>
        <v>40</v>
      </c>
      <c r="DK98" s="514">
        <f t="shared" si="52"/>
        <v>0</v>
      </c>
      <c r="DN98" s="197">
        <f>IF(DS98&lt;&gt;"",DN97+1,DN97)</f>
        <v>4</v>
      </c>
      <c r="DO98" s="197" t="str">
        <f t="shared" si="53"/>
        <v/>
      </c>
      <c r="DP98" s="10" t="str">
        <f>IF(BQ95="","","接地工事 Et")</f>
        <v/>
      </c>
      <c r="DQ98" s="24"/>
      <c r="DR98" s="249" t="str">
        <f>IF(COUNTIF(DP$18:$DP97,DP98)&gt;0,"",DP98)</f>
        <v/>
      </c>
      <c r="DS98" s="198" t="str">
        <f>IF(DP98&lt;&gt;"",1,"")</f>
        <v/>
      </c>
      <c r="DT98" s="514">
        <f t="shared" si="54"/>
        <v>0</v>
      </c>
    </row>
    <row r="99" spans="1:124" ht="10.5" customHeight="1">
      <c r="B99" s="23"/>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19"/>
      <c r="BZ99" s="114" t="str">
        <f>"="</f>
        <v>=</v>
      </c>
      <c r="CA99" s="114" t="str">
        <f>"－"</f>
        <v>－</v>
      </c>
      <c r="CB99" s="114" t="str">
        <f>"+"</f>
        <v>+</v>
      </c>
      <c r="CP99" s="555"/>
      <c r="CV99" s="197">
        <f t="shared" si="46"/>
        <v>6</v>
      </c>
      <c r="CW99" s="197" t="str">
        <f t="shared" si="45"/>
        <v/>
      </c>
      <c r="CY99" s="24"/>
      <c r="DA99" s="516"/>
      <c r="DB99" s="516"/>
      <c r="DE99" s="197">
        <f t="shared" si="55"/>
        <v>14</v>
      </c>
      <c r="DF99" s="197" t="str">
        <f t="shared" si="56"/>
        <v/>
      </c>
      <c r="DG99" s="207" t="str">
        <f>CR98</f>
        <v>ローテンションアウトレット</v>
      </c>
      <c r="DH99" s="24"/>
      <c r="DI99" s="249" t="str">
        <f>IF(COUNTIF(DG$18:$DG98,DG99)&gt;0,"",DG99)</f>
        <v/>
      </c>
      <c r="DJ99" s="515">
        <f>CS98</f>
        <v>40</v>
      </c>
      <c r="DK99" s="514">
        <f t="shared" si="52"/>
        <v>0</v>
      </c>
      <c r="DN99" s="197">
        <f>IF(DS99&lt;&gt;"",DN98+1,DN98)</f>
        <v>4</v>
      </c>
      <c r="DO99" s="197" t="str">
        <f>IF(AND(DN99&lt;&gt;"",DR99&lt;&gt;""),DN99,"")</f>
        <v/>
      </c>
      <c r="DP99" s="201"/>
      <c r="DQ99" s="24"/>
      <c r="DR99" s="249"/>
      <c r="DS99" s="198"/>
      <c r="DT99" s="514"/>
    </row>
    <row r="100" spans="1:124" ht="11.25" customHeight="1" thickBot="1">
      <c r="A100" s="46"/>
      <c r="B100" s="23"/>
      <c r="C100" s="3032" t="s">
        <v>112</v>
      </c>
      <c r="D100" s="3032"/>
      <c r="E100" s="3032"/>
      <c r="F100" s="3032"/>
      <c r="G100" s="3032"/>
      <c r="H100" s="3032"/>
      <c r="I100" s="3033" t="str">
        <f>非誘!J76</f>
        <v>( 4 )</v>
      </c>
      <c r="J100" s="3033"/>
      <c r="K100" s="3033"/>
      <c r="L100" s="3034"/>
      <c r="M100" s="3035" t="str">
        <f>非誘!M76</f>
        <v>百貨店等</v>
      </c>
      <c r="N100" s="2961"/>
      <c r="O100" s="2961"/>
      <c r="P100" s="2961"/>
      <c r="Q100" s="2961"/>
      <c r="R100" s="2961"/>
      <c r="S100" s="2961"/>
      <c r="T100" s="2961"/>
      <c r="U100" s="2961"/>
      <c r="V100" s="2961"/>
      <c r="W100" s="3036"/>
      <c r="X100" s="3037" t="s">
        <v>232</v>
      </c>
      <c r="Y100" s="3037"/>
      <c r="Z100" s="3037"/>
      <c r="AA100" s="3037"/>
      <c r="AB100" s="3038"/>
      <c r="AC100" s="2977" t="str">
        <f>非誘!AA76</f>
        <v>A</v>
      </c>
      <c r="AD100" s="2978"/>
      <c r="AE100" s="2917" t="s">
        <v>760</v>
      </c>
      <c r="AF100" s="2918"/>
      <c r="AG100" s="2918"/>
      <c r="AH100" s="2918"/>
      <c r="AI100" s="2919"/>
      <c r="AJ100" s="2979">
        <f>非誘!J77</f>
        <v>0.5</v>
      </c>
      <c r="AK100" s="2980"/>
      <c r="AL100" s="2981"/>
      <c r="AM100" s="2917" t="s">
        <v>759</v>
      </c>
      <c r="AN100" s="2918"/>
      <c r="AO100" s="2919"/>
      <c r="AP100" s="2920" t="str">
        <f>IF(OR($B$2=0,AS100=""),$BO$14,AS100)</f>
        <v>Ⓖ</v>
      </c>
      <c r="AQ100" s="2920"/>
      <c r="AR100" s="554" t="s">
        <v>103</v>
      </c>
      <c r="AS100" s="2921"/>
      <c r="AT100" s="2922"/>
      <c r="AU100" s="2875" t="s">
        <v>757</v>
      </c>
      <c r="AV100" s="2875"/>
      <c r="AW100" s="2875"/>
      <c r="AX100" s="2875"/>
      <c r="AY100" s="2875"/>
      <c r="AZ100" s="2875"/>
      <c r="BA100" s="2876"/>
      <c r="BB100" s="553">
        <f>IF(BC100="天井ケーブル",1,IF(BC100="天井(PF管)",2,IF(BC100="天井(C管)",3,IF(BC100="天井(G管)",4,IF(BC100="床(CD管)",5,IF(BC100="床(C管)",6,IF(BC100="床(G管)",7,"")))))))</f>
        <v>5</v>
      </c>
      <c r="BC100" s="2961" t="str">
        <f>IF($B$2=0,"",IF(BK100&lt;&gt;"",BK100,IF(I103="直天","天井(C管)","床(CD管)")))</f>
        <v>床(CD管)</v>
      </c>
      <c r="BD100" s="2962"/>
      <c r="BE100" s="2962"/>
      <c r="BF100" s="2962"/>
      <c r="BG100" s="2962"/>
      <c r="BH100" s="2962"/>
      <c r="BI100" s="2963"/>
      <c r="BJ100" s="552" t="s">
        <v>103</v>
      </c>
      <c r="BK100" s="2905"/>
      <c r="BL100" s="2906"/>
      <c r="BM100" s="2906"/>
      <c r="BN100" s="2906"/>
      <c r="BO100" s="2906"/>
      <c r="BP100" s="2907"/>
      <c r="BQ100" s="2982" t="s">
        <v>755</v>
      </c>
      <c r="BR100" s="2983"/>
      <c r="BS100" s="2983"/>
      <c r="BT100" s="2984"/>
      <c r="BU100" s="19"/>
      <c r="BV100" s="8">
        <v>11</v>
      </c>
      <c r="BX100" s="55" t="s">
        <v>229</v>
      </c>
      <c r="BY100" s="55" t="s">
        <v>228</v>
      </c>
      <c r="BZ100" s="534">
        <f>BY95+BY111+CA101</f>
        <v>438</v>
      </c>
      <c r="CA100" s="534">
        <f>CA101+BY95</f>
        <v>291</v>
      </c>
      <c r="CB100" s="38">
        <f>BY111+CA101</f>
        <v>195</v>
      </c>
      <c r="CC100" s="69"/>
      <c r="CD100" s="534"/>
      <c r="CE100" s="534"/>
      <c r="CF100" s="143" t="s">
        <v>754</v>
      </c>
      <c r="CG100" s="143" t="s">
        <v>753</v>
      </c>
      <c r="CH100" s="143" t="s">
        <v>753</v>
      </c>
      <c r="CI100" s="551" t="s">
        <v>752</v>
      </c>
      <c r="CJ100" s="551" t="s">
        <v>752</v>
      </c>
      <c r="CK100" s="550" t="s">
        <v>734</v>
      </c>
      <c r="CL100" s="550" t="s">
        <v>732</v>
      </c>
      <c r="CM100" s="46"/>
      <c r="CO100" s="46" t="str">
        <f>Q104</f>
        <v>FCPEV 0.65-200Pr</v>
      </c>
      <c r="CP100" s="520">
        <f>AK104</f>
        <v>6</v>
      </c>
      <c r="CR100" s="519" t="str">
        <f>IF(CS100="","",IF($J$14="A","多機能内線電話機",""))</f>
        <v>多機能内線電話機</v>
      </c>
      <c r="CS100" s="189">
        <f>BB103</f>
        <v>40</v>
      </c>
      <c r="CU100" s="88">
        <v>11</v>
      </c>
      <c r="CV100" s="204">
        <f t="shared" si="46"/>
        <v>6</v>
      </c>
      <c r="CW100" s="155" t="str">
        <f t="shared" si="45"/>
        <v/>
      </c>
      <c r="CX100" s="45"/>
      <c r="CY100" s="45"/>
      <c r="CZ100" s="45"/>
      <c r="DA100" s="45"/>
      <c r="DB100" s="45"/>
      <c r="DD100" s="88">
        <v>11</v>
      </c>
      <c r="DE100" s="204">
        <f t="shared" si="55"/>
        <v>14</v>
      </c>
      <c r="DF100" s="155" t="str">
        <f t="shared" si="56"/>
        <v/>
      </c>
      <c r="DG100" s="549" t="str">
        <f>CO95</f>
        <v>導入線 1.2mmφ</v>
      </c>
      <c r="DH100" s="45"/>
      <c r="DI100" s="153" t="str">
        <f>IF(COUNTIF(DG$9:$DG99,DG100)&gt;0,"",DG100)</f>
        <v/>
      </c>
      <c r="DJ100" s="155">
        <f>CP95</f>
        <v>585.20000000000005</v>
      </c>
      <c r="DK100" s="548">
        <f>SUMIF($DG$11:$DG$182,DI100,$DJ$11:$DJ$182)</f>
        <v>0</v>
      </c>
      <c r="DM100" s="88">
        <v>11</v>
      </c>
      <c r="DN100" s="204">
        <f>IF(DS100&lt;&gt;"",DN99+1,DN99)</f>
        <v>4</v>
      </c>
      <c r="DO100" s="155" t="str">
        <f>IF(AND(DN100&lt;&gt;"",DR100&lt;&gt;""),DN100,"")</f>
        <v/>
      </c>
      <c r="DP100" s="45"/>
      <c r="DQ100" s="45"/>
      <c r="DR100" s="45"/>
      <c r="DS100" s="45"/>
      <c r="DT100" s="45"/>
    </row>
    <row r="101" spans="1:124" ht="11.25" customHeight="1" thickBot="1">
      <c r="B101" s="23"/>
      <c r="C101" s="3008" t="s">
        <v>4</v>
      </c>
      <c r="D101" s="3009"/>
      <c r="E101" s="3010"/>
      <c r="F101" s="3014" t="s">
        <v>22</v>
      </c>
      <c r="G101" s="2983"/>
      <c r="H101" s="3015"/>
      <c r="I101" s="2982" t="s">
        <v>132</v>
      </c>
      <c r="J101" s="2983"/>
      <c r="K101" s="3015"/>
      <c r="L101" s="2982" t="s">
        <v>6</v>
      </c>
      <c r="M101" s="2983"/>
      <c r="N101" s="2983"/>
      <c r="O101" s="2984"/>
      <c r="P101" s="3014" t="s">
        <v>7</v>
      </c>
      <c r="Q101" s="2983"/>
      <c r="R101" s="2983"/>
      <c r="S101" s="2984"/>
      <c r="T101" s="3014" t="s">
        <v>8</v>
      </c>
      <c r="U101" s="2983"/>
      <c r="V101" s="2983"/>
      <c r="W101" s="2984"/>
      <c r="X101" s="3014" t="s">
        <v>9</v>
      </c>
      <c r="Y101" s="2983"/>
      <c r="Z101" s="3015"/>
      <c r="AA101" s="2982" t="s">
        <v>9</v>
      </c>
      <c r="AB101" s="2983"/>
      <c r="AC101" s="2984"/>
      <c r="AD101" s="2974" t="s">
        <v>708</v>
      </c>
      <c r="AE101" s="2975"/>
      <c r="AF101" s="2975"/>
      <c r="AG101" s="2975"/>
      <c r="AH101" s="2975"/>
      <c r="AI101" s="2975"/>
      <c r="AJ101" s="2975"/>
      <c r="AK101" s="2975"/>
      <c r="AL101" s="2930" t="str">
        <f>IF(BX105=1,"T-"&amp;LEFT(C103,3)&amp;"-1","T-"&amp;LEFT(C103,3)&amp;"-1～"&amp;BX105)</f>
        <v>T-  9-1～2</v>
      </c>
      <c r="AM101" s="2930"/>
      <c r="AN101" s="2930"/>
      <c r="AO101" s="2930"/>
      <c r="AP101" s="2930"/>
      <c r="AQ101" s="2932"/>
      <c r="AR101" s="2925" t="s">
        <v>751</v>
      </c>
      <c r="AS101" s="2926"/>
      <c r="AT101" s="2926"/>
      <c r="AU101" s="2926"/>
      <c r="AV101" s="2926"/>
      <c r="AW101" s="2926"/>
      <c r="AX101" s="2926"/>
      <c r="AY101" s="2926"/>
      <c r="AZ101" s="2926"/>
      <c r="BA101" s="2927"/>
      <c r="BB101" s="2886" t="s">
        <v>750</v>
      </c>
      <c r="BC101" s="2887"/>
      <c r="BD101" s="2887"/>
      <c r="BE101" s="2887"/>
      <c r="BF101" s="2887"/>
      <c r="BG101" s="2887"/>
      <c r="BH101" s="2887"/>
      <c r="BI101" s="2887"/>
      <c r="BJ101" s="2888"/>
      <c r="BK101" s="2888"/>
      <c r="BL101" s="2888"/>
      <c r="BM101" s="2888"/>
      <c r="BN101" s="2888"/>
      <c r="BO101" s="2888"/>
      <c r="BP101" s="2889"/>
      <c r="BQ101" s="2939" t="str">
        <f>IF(AND($B$2=1,$J$14="A",C103=$J$15),"設置","")</f>
        <v/>
      </c>
      <c r="BR101" s="2845"/>
      <c r="BS101" s="2845"/>
      <c r="BT101" s="2940"/>
      <c r="BU101" s="19"/>
      <c r="BV101" s="15">
        <v>76</v>
      </c>
      <c r="BX101" s="98">
        <f>非誘!BW78</f>
        <v>12</v>
      </c>
      <c r="BY101" s="98">
        <f>非誘!BX78</f>
        <v>24</v>
      </c>
      <c r="BZ101" s="547">
        <f>IF(CA101&lt;10,10,IF(CA101&lt;15,15,IF(CA101&lt;20,20,IF(CA101&lt;25,25,IF(CA101&lt;30,30,IF(CA101&lt;50,50,IF(CA101&lt;70,70,IF(CA101&lt;100,100,IF(CA101&lt;150,150,IF(CA101&lt;20,200,200))))))))))</f>
        <v>50</v>
      </c>
      <c r="CA101" s="546">
        <f>SUM(CC104:CC106)</f>
        <v>48</v>
      </c>
      <c r="CB101" s="107" t="str">
        <f>IF(BY103&lt;10," 10",IF(BY103&lt;15," 15",IF(BY103&lt;20," 20",IF(BY103&lt;25," 25",IF(BY103&lt;30," 30",IF(BY103&lt;50," 50",IF(BY103&lt;70," 70",IF(BY103&lt;100,"100",IF(BY103&lt;150,"150",IF(BY103&lt;200,"200","200"))))))))))</f>
        <v>200</v>
      </c>
      <c r="CC101" s="545">
        <f>1+INT(BY103/200)</f>
        <v>1</v>
      </c>
      <c r="CD101" s="534"/>
      <c r="CE101" s="156" t="s">
        <v>749</v>
      </c>
      <c r="CF101" s="189">
        <f>2*INT($AG$9/1000)</f>
        <v>2</v>
      </c>
      <c r="CG101" s="189">
        <f>CG104+(1+INT($AG$9+$AG$8)/1000)*(1+INT(AR103/10))+CG103</f>
        <v>55.919999999999995</v>
      </c>
      <c r="CH101" s="98">
        <f>IF(AW103="",0,AW103*8)</f>
        <v>320</v>
      </c>
      <c r="CI101" s="98">
        <f>AR103*8</f>
        <v>64</v>
      </c>
      <c r="CJ101" s="544">
        <f>IF(AW103="",0,AW103*8)</f>
        <v>320</v>
      </c>
      <c r="CK101" s="223">
        <f>IF(E105="不","",(CG101+CG102+CI101+CI102)*MAX(P103:W103)/L103)</f>
        <v>85.343999999999994</v>
      </c>
      <c r="CL101" s="223">
        <f>IF(E105="不","",SUM(CG104:CH104)+SUM(CG105:CH105)*MAX(P103:W103)/L103)</f>
        <v>162</v>
      </c>
      <c r="CM101" s="527" t="s">
        <v>7</v>
      </c>
      <c r="CN101" s="15"/>
      <c r="CO101" s="46" t="str">
        <f>Q105</f>
        <v>電子釦 0.4- 4Pr</v>
      </c>
      <c r="CP101" s="520">
        <f>AK105</f>
        <v>121.91999999999999</v>
      </c>
      <c r="CR101" s="519" t="str">
        <f>IF(CS101="","",IF($J$14="A","内線電話機"))</f>
        <v>内線電話機</v>
      </c>
      <c r="CS101" s="189">
        <f>BG103</f>
        <v>8</v>
      </c>
      <c r="CU101" s="8"/>
      <c r="CV101" s="197">
        <f t="shared" si="46"/>
        <v>6</v>
      </c>
      <c r="CW101" s="197" t="str">
        <f t="shared" si="45"/>
        <v/>
      </c>
      <c r="CX101" s="543" t="str">
        <f>CO100</f>
        <v>FCPEV 0.65-200Pr</v>
      </c>
      <c r="CY101" s="8"/>
      <c r="CZ101" s="249" t="str">
        <f>IF(COUNTIF($CX$17:$CX100,CX101)&gt;0,"",CX101)</f>
        <v/>
      </c>
      <c r="DA101" s="515">
        <f>CP100</f>
        <v>6</v>
      </c>
      <c r="DB101" s="514">
        <f>SUMIF($CX$20:$CX$182,CZ101,$DA$20:$DA$182)</f>
        <v>0</v>
      </c>
      <c r="DC101" s="8"/>
      <c r="DD101" s="8"/>
      <c r="DE101" s="197">
        <f t="shared" si="55"/>
        <v>14</v>
      </c>
      <c r="DF101" s="197" t="str">
        <f t="shared" si="56"/>
        <v/>
      </c>
      <c r="DG101" s="207" t="str">
        <f>CO104</f>
        <v>CD-28mm</v>
      </c>
      <c r="DH101" s="8"/>
      <c r="DI101" s="249" t="str">
        <f>IF(COUNTIF(DG$17:$DG100,DG101)&gt;0,"",DG101)</f>
        <v/>
      </c>
      <c r="DJ101" s="515">
        <f>CP104</f>
        <v>4</v>
      </c>
      <c r="DK101" s="514">
        <f t="shared" ref="DK101:DK107" si="57">SUMIF($DG$20:$DG$182,DI101,$DJ$20:$DJ$182)</f>
        <v>0</v>
      </c>
      <c r="DL101" s="8"/>
      <c r="DM101" s="8"/>
      <c r="DN101" s="197">
        <f>IF(DR101&lt;&gt;"",DN100+1,DN100)</f>
        <v>4</v>
      </c>
      <c r="DO101" s="197">
        <f t="shared" ref="DO101:DO106" si="58">IF(AND(DN101&lt;&gt;"",DS101&lt;&gt;""),DN101,"")</f>
        <v>4</v>
      </c>
      <c r="DP101" s="10" t="str">
        <f>CR100</f>
        <v>多機能内線電話機</v>
      </c>
      <c r="DQ101" s="8"/>
      <c r="DR101" s="249" t="str">
        <f>IF(COUNTIF(DP$18:$DP100,DP101)&gt;0,"",DP101)</f>
        <v/>
      </c>
      <c r="DS101" s="198">
        <f>CS100</f>
        <v>40</v>
      </c>
      <c r="DT101" s="514">
        <f t="shared" ref="DT101:DT106" si="59">SUMIF($DP$20:$DP$182,DR101,$DS$20:$DS$182)</f>
        <v>0</v>
      </c>
    </row>
    <row r="102" spans="1:124" ht="11.25" customHeight="1" thickBot="1">
      <c r="B102" s="23"/>
      <c r="C102" s="3011"/>
      <c r="D102" s="3012"/>
      <c r="E102" s="3013"/>
      <c r="F102" s="3039" t="s">
        <v>235</v>
      </c>
      <c r="G102" s="3040"/>
      <c r="H102" s="3041"/>
      <c r="I102" s="3039" t="s">
        <v>235</v>
      </c>
      <c r="J102" s="3040"/>
      <c r="K102" s="3041"/>
      <c r="L102" s="3039" t="s">
        <v>748</v>
      </c>
      <c r="M102" s="3040"/>
      <c r="N102" s="3040"/>
      <c r="O102" s="3042"/>
      <c r="P102" s="3043" t="s">
        <v>748</v>
      </c>
      <c r="Q102" s="3040"/>
      <c r="R102" s="3040"/>
      <c r="S102" s="3042"/>
      <c r="T102" s="3043" t="s">
        <v>748</v>
      </c>
      <c r="U102" s="3040"/>
      <c r="V102" s="3040"/>
      <c r="W102" s="3044"/>
      <c r="X102" s="3045" t="s">
        <v>111</v>
      </c>
      <c r="Y102" s="3046"/>
      <c r="Z102" s="3047"/>
      <c r="AA102" s="3001" t="s">
        <v>110</v>
      </c>
      <c r="AB102" s="3002"/>
      <c r="AC102" s="3003"/>
      <c r="AD102" s="3004" t="s">
        <v>695</v>
      </c>
      <c r="AE102" s="3005"/>
      <c r="AF102" s="3005"/>
      <c r="AG102" s="3006" t="s">
        <v>699</v>
      </c>
      <c r="AH102" s="3005"/>
      <c r="AI102" s="3007"/>
      <c r="AJ102" s="2928" t="s">
        <v>747</v>
      </c>
      <c r="AK102" s="2918"/>
      <c r="AL102" s="2918"/>
      <c r="AM102" s="2928" t="s">
        <v>746</v>
      </c>
      <c r="AN102" s="2918"/>
      <c r="AO102" s="2929"/>
      <c r="AP102" s="2956" t="s">
        <v>745</v>
      </c>
      <c r="AQ102" s="2957"/>
      <c r="AR102" s="2917" t="s">
        <v>744</v>
      </c>
      <c r="AS102" s="2918"/>
      <c r="AT102" s="2958" t="s">
        <v>3</v>
      </c>
      <c r="AU102" s="2959"/>
      <c r="AV102" s="2959"/>
      <c r="AW102" s="2959" t="s">
        <v>743</v>
      </c>
      <c r="AX102" s="2960"/>
      <c r="AY102" s="2928" t="s">
        <v>3</v>
      </c>
      <c r="AZ102" s="2918"/>
      <c r="BA102" s="2919"/>
      <c r="BB102" s="542" t="str">
        <f>IF(CA104="","","●")</f>
        <v>●</v>
      </c>
      <c r="BC102" s="2930" t="s">
        <v>742</v>
      </c>
      <c r="BD102" s="2930"/>
      <c r="BE102" s="2930"/>
      <c r="BF102" s="2931"/>
      <c r="BG102" s="542" t="str">
        <f>IF(CA105="","","●")</f>
        <v>●</v>
      </c>
      <c r="BH102" s="2930" t="s">
        <v>741</v>
      </c>
      <c r="BI102" s="2930"/>
      <c r="BJ102" s="2930"/>
      <c r="BK102" s="2931"/>
      <c r="BL102" s="542" t="str">
        <f>IF(CA106="","","●")</f>
        <v/>
      </c>
      <c r="BM102" s="2930" t="s">
        <v>764</v>
      </c>
      <c r="BN102" s="2930"/>
      <c r="BO102" s="2930"/>
      <c r="BP102" s="2932"/>
      <c r="BQ102" s="2974" t="s">
        <v>740</v>
      </c>
      <c r="BR102" s="2975"/>
      <c r="BS102" s="2975"/>
      <c r="BT102" s="2976"/>
      <c r="BU102" s="19"/>
      <c r="BX102" s="97" t="str">
        <f>IF(LEFT(C103,2)=" B",-MID(C103,3,1),IF(C103="  RF","",LEFT(C103,3)))</f>
        <v xml:space="preserve">  9</v>
      </c>
      <c r="BY102" s="541" t="str">
        <f>IF(OR(C103="",C103="  RF"),"",IF(LEFT(C103,1)="P","+",IF($BW$14&gt;BX102,"-",IF($BW$14=BX102,"=","+"))))</f>
        <v>+</v>
      </c>
      <c r="BZ102" s="2985" t="str">
        <f>"FCPEV 0.65-"&amp;CB101&amp;"Pr"</f>
        <v>FCPEV 0.65-200Pr</v>
      </c>
      <c r="CA102" s="2986"/>
      <c r="CB102" s="2986"/>
      <c r="CC102" s="2986"/>
      <c r="CD102" s="62"/>
      <c r="CE102" s="156" t="s">
        <v>763</v>
      </c>
      <c r="CF102" s="540">
        <f>F103</f>
        <v>4</v>
      </c>
      <c r="CG102" s="540">
        <f>CG105+(1+INT(AR103/10))*($AG$9+$AG$8)/1000</f>
        <v>2</v>
      </c>
      <c r="CH102" s="539"/>
      <c r="CI102" s="189">
        <f>CH105</f>
        <v>0</v>
      </c>
      <c r="CJ102" s="260"/>
      <c r="CK102" s="528">
        <f>IF(E106="不","",(CG101+CG102+CI101+CI102)*T103/L103)</f>
        <v>36.575999999999993</v>
      </c>
      <c r="CL102" s="528">
        <f>IF(E106="不","",SUM(CG104:CH104)+SUM(CG105:CH105)*T103/L103)</f>
        <v>162</v>
      </c>
      <c r="CM102" s="527" t="s">
        <v>8</v>
      </c>
      <c r="CN102" s="15"/>
      <c r="CO102" s="46" t="str">
        <f>Q106</f>
        <v>TIVF 0.8-2C</v>
      </c>
      <c r="CP102" s="520">
        <f>AK106</f>
        <v>640</v>
      </c>
      <c r="CR102" s="519" t="str">
        <f>IF(CS102="","",IF($J$14="A","PHSアンテナ"))</f>
        <v/>
      </c>
      <c r="CS102" s="189" t="str">
        <f>BL103</f>
        <v/>
      </c>
      <c r="CU102" s="8"/>
      <c r="CV102" s="197">
        <f t="shared" si="46"/>
        <v>6</v>
      </c>
      <c r="CW102" s="197" t="str">
        <f t="shared" si="45"/>
        <v/>
      </c>
      <c r="CX102" s="10" t="str">
        <f>CO101</f>
        <v>電子釦 0.4- 4Pr</v>
      </c>
      <c r="CY102" s="8"/>
      <c r="CZ102" s="249" t="str">
        <f>IF(COUNTIF($CZ$10:$CZ101,CX102)&gt;0,"",CX102)</f>
        <v/>
      </c>
      <c r="DA102" s="515">
        <f>CP101</f>
        <v>121.91999999999999</v>
      </c>
      <c r="DB102" s="514">
        <f>SUMIF($CX$20:$CX$182,CZ102,$DA$20:$DA$182)</f>
        <v>0</v>
      </c>
      <c r="DC102" s="8"/>
      <c r="DD102" s="8"/>
      <c r="DE102" s="197">
        <f t="shared" si="55"/>
        <v>14</v>
      </c>
      <c r="DF102" s="197" t="str">
        <f t="shared" si="56"/>
        <v/>
      </c>
      <c r="DG102" s="207" t="str">
        <f>CO105</f>
        <v>CD-22mm</v>
      </c>
      <c r="DH102" s="8"/>
      <c r="DI102" s="249" t="str">
        <f>IF(COUNTIF(DG$18:$DG101,DG102)&gt;0,"",DG102)</f>
        <v/>
      </c>
      <c r="DJ102" s="515">
        <f>CP105</f>
        <v>324</v>
      </c>
      <c r="DK102" s="514">
        <f t="shared" si="57"/>
        <v>0</v>
      </c>
      <c r="DL102" s="8"/>
      <c r="DM102" s="8"/>
      <c r="DN102" s="197">
        <f>IF(DR102&lt;&gt;"",DN101+1,DN101)</f>
        <v>4</v>
      </c>
      <c r="DO102" s="197">
        <f t="shared" si="58"/>
        <v>4</v>
      </c>
      <c r="DP102" s="207" t="str">
        <f>CR101</f>
        <v>内線電話機</v>
      </c>
      <c r="DQ102" s="8"/>
      <c r="DR102" s="249" t="str">
        <f>IF(COUNTIF(DP$18:$DP101,DP102)&gt;0,"",DP102)</f>
        <v/>
      </c>
      <c r="DS102" s="198">
        <f>CS101</f>
        <v>8</v>
      </c>
      <c r="DT102" s="514">
        <f t="shared" si="59"/>
        <v>0</v>
      </c>
    </row>
    <row r="103" spans="1:124" ht="10.5" customHeight="1" thickBot="1">
      <c r="B103" s="23"/>
      <c r="C103" s="2987" t="str">
        <f>IF($B$2=0,"",非誘!C78)</f>
        <v xml:space="preserve">  9F</v>
      </c>
      <c r="D103" s="2988"/>
      <c r="E103" s="2988"/>
      <c r="F103" s="2989">
        <f>IF($B$2=0,"",非誘!F78)</f>
        <v>4</v>
      </c>
      <c r="G103" s="2989"/>
      <c r="H103" s="2989"/>
      <c r="I103" s="2989">
        <f>IF($B$2=0,"",非誘!J78)</f>
        <v>3</v>
      </c>
      <c r="J103" s="2989"/>
      <c r="K103" s="2989"/>
      <c r="L103" s="2990">
        <f>IF($B$2=0,"",非誘!N78)</f>
        <v>1152</v>
      </c>
      <c r="M103" s="2990"/>
      <c r="N103" s="2990"/>
      <c r="O103" s="2990"/>
      <c r="P103" s="2991">
        <f>IF($B$2=0,"",非誘!S78)</f>
        <v>806.4</v>
      </c>
      <c r="Q103" s="2991"/>
      <c r="R103" s="2991"/>
      <c r="S103" s="2991"/>
      <c r="T103" s="2991">
        <f>IF($B$2=0,"",非誘!W78)</f>
        <v>345.6</v>
      </c>
      <c r="U103" s="2992"/>
      <c r="V103" s="2992"/>
      <c r="W103" s="2992"/>
      <c r="X103" s="2993">
        <f>IF($B$2=0,"",非誘!AA78)</f>
        <v>3</v>
      </c>
      <c r="Y103" s="2993"/>
      <c r="Z103" s="2993"/>
      <c r="AA103" s="2993">
        <f>IF($B$2=0,"",非誘!AD78)</f>
        <v>9</v>
      </c>
      <c r="AB103" s="2993"/>
      <c r="AC103" s="2994"/>
      <c r="AD103" s="2966">
        <f>IF($B$2=0,"",CB101*CC101)</f>
        <v>200</v>
      </c>
      <c r="AE103" s="2967"/>
      <c r="AF103" s="2968"/>
      <c r="AG103" s="2969">
        <f>IF($B$2=0,"",放送!CB97)</f>
        <v>0</v>
      </c>
      <c r="AH103" s="2967"/>
      <c r="AI103" s="2968"/>
      <c r="AJ103" s="2970" t="str">
        <f>IF($B$2=0,"",IF(TV!AQ23="設置","Space","---"))</f>
        <v>Space</v>
      </c>
      <c r="AK103" s="2971"/>
      <c r="AL103" s="2971"/>
      <c r="AM103" s="2969"/>
      <c r="AN103" s="2967"/>
      <c r="AO103" s="2968"/>
      <c r="AP103" s="2972"/>
      <c r="AQ103" s="2973"/>
      <c r="AR103" s="2923">
        <f>IF($B$2=0,"",IF(AZ103="",CB105,AZ103))</f>
        <v>8</v>
      </c>
      <c r="AS103" s="2924"/>
      <c r="AT103" s="538" t="s">
        <v>106</v>
      </c>
      <c r="AU103" s="2946"/>
      <c r="AV103" s="2947"/>
      <c r="AW103" s="2923">
        <f>IF($B$2=0,"",IF(CA104="",0,IF(AZ103="",CB104,AZ103)))</f>
        <v>40</v>
      </c>
      <c r="AX103" s="2924"/>
      <c r="AY103" s="538" t="s">
        <v>106</v>
      </c>
      <c r="AZ103" s="2999"/>
      <c r="BA103" s="3000"/>
      <c r="BB103" s="2951">
        <f>IF(OR($J$14&lt;&gt;"A",CA104=""),"",IF(BE103&lt;&gt;"",BE103,CB104))</f>
        <v>40</v>
      </c>
      <c r="BC103" s="2952"/>
      <c r="BD103" s="537" t="s">
        <v>106</v>
      </c>
      <c r="BE103" s="2938"/>
      <c r="BF103" s="2938"/>
      <c r="BG103" s="2951">
        <f>IF(C103="","",IF(OR($J$14&lt;&gt;"A",CA105=""),"",IF(BJ103&lt;&gt;"",BE103,CB105)))</f>
        <v>8</v>
      </c>
      <c r="BH103" s="2952"/>
      <c r="BI103" s="537" t="s">
        <v>106</v>
      </c>
      <c r="BJ103" s="2938"/>
      <c r="BK103" s="2938"/>
      <c r="BL103" s="2951" t="str">
        <f>IF(OR($J$14&lt;&gt;"A",CA106=""),"",IF(BO103&lt;&gt;"",BO103,CB106))</f>
        <v/>
      </c>
      <c r="BM103" s="2952"/>
      <c r="BN103" s="537" t="s">
        <v>106</v>
      </c>
      <c r="BO103" s="2964"/>
      <c r="BP103" s="2965"/>
      <c r="BQ103" s="2939" t="str">
        <f>IF(BQ101="設置","Ｅt","")</f>
        <v/>
      </c>
      <c r="BR103" s="2845"/>
      <c r="BS103" s="2845"/>
      <c r="BT103" s="2940"/>
      <c r="BU103" s="19"/>
      <c r="BW103" s="89" t="str">
        <f>AP100</f>
        <v>Ⓖ</v>
      </c>
      <c r="BX103" s="263">
        <f>IF(C103="","",IF(BW103="Ⓐ",BX101+BY101+3,IF(BW103="Ⓑ",BX101*5/8+BY101+3,IF(BW103="Ⓒ",BX101/2+BY101+3,IF(BW103="Ⓓ",BX101+BY101*5/8+3,IF(BW103="Ⓔ",(BX101+BY101)*5/8+3,IF(BW103="Ⓕ",BX101/2+BY101*5/8+3,IF(BW103="Ⓖ",BX101+BY101/2+3,IF(BW103="Ⓗ",BX101*5/8+BY101/2+3,IF(BW103="Ⓘ",(BX101+BY101)/2+3))))))))))</f>
        <v>27</v>
      </c>
      <c r="BY103" s="86">
        <f>IF(C103="",0,IF(BY102="=",BZ100,IF(BY102="-",CA100,CB100)))</f>
        <v>195</v>
      </c>
      <c r="BZ103" s="156"/>
      <c r="CA103" s="536" t="str">
        <f>IF(CA101&lt;=30,"25",IF(CA101&lt;=50,"31",IF(CA101&lt;=100,"39",IF(CA101&lt;=200,"51",""))))</f>
        <v>31</v>
      </c>
      <c r="CB103" s="535" t="str">
        <f>IF(CA101&lt;=30,"22",IF(CA101&lt;=50,"28",IF(CA101&lt;=100,"36",IF(CA101&lt;=200,"42",""))))</f>
        <v>28</v>
      </c>
      <c r="CC103" s="122"/>
      <c r="CD103" s="534"/>
      <c r="CE103" s="156" t="s">
        <v>738</v>
      </c>
      <c r="CF103" s="533"/>
      <c r="CG103" s="189">
        <f>IF($B$2="","",IF($AQ$8=0,0,0.02*($AQ$8/1000-0.15-0.1)*(INT(1000*BX101/$AQ$9)+1)*(INT(1000*BY101/$AQ$9)+1)*4*(AR103+AW103)))</f>
        <v>25.919999999999995</v>
      </c>
      <c r="CH103" s="532"/>
      <c r="CI103" s="531"/>
      <c r="CJ103" s="15"/>
      <c r="CK103" s="528">
        <f>IF(E105="不","",SUM(CH101+CJ101)*MAX(P103:W103)/L103)</f>
        <v>448</v>
      </c>
      <c r="CL103" s="528">
        <f>IF(E105="不","",CJ104)</f>
        <v>200.20851011026986</v>
      </c>
      <c r="CM103" s="527" t="s">
        <v>7</v>
      </c>
      <c r="CN103" s="15"/>
      <c r="CO103" s="252" t="str">
        <f>IF(CP103="","","導入線 1.2mmφ")</f>
        <v>導入線 1.2mmφ</v>
      </c>
      <c r="CP103" s="184">
        <f>1.1*INT(SUM(CP104:CP106))</f>
        <v>580.80000000000007</v>
      </c>
      <c r="CR103" s="519" t="str">
        <f>IF(CS103="","",IF($J$14="A","PHS電話機"))</f>
        <v/>
      </c>
      <c r="CS103" s="189" t="str">
        <f>IF(CS102="","",INT(CS102*1.5))</f>
        <v/>
      </c>
      <c r="CU103" s="8"/>
      <c r="CV103" s="197">
        <f t="shared" si="46"/>
        <v>6</v>
      </c>
      <c r="CW103" s="197" t="str">
        <f t="shared" si="45"/>
        <v/>
      </c>
      <c r="CX103" s="10" t="str">
        <f>CO102</f>
        <v>TIVF 0.8-2C</v>
      </c>
      <c r="CY103" s="8"/>
      <c r="CZ103" s="249" t="str">
        <f>IF(COUNTIF($CZ$10:$CZ102,CX103)&gt;0,"",CX103)</f>
        <v/>
      </c>
      <c r="DA103" s="515">
        <f>CP102</f>
        <v>640</v>
      </c>
      <c r="DB103" s="514">
        <f>SUMIF($CX$20:$CX$182,CZ103,$DA$20:$DA$182)</f>
        <v>0</v>
      </c>
      <c r="DC103" s="8"/>
      <c r="DD103" s="8"/>
      <c r="DE103" s="197">
        <f t="shared" si="55"/>
        <v>14</v>
      </c>
      <c r="DF103" s="197" t="str">
        <f t="shared" si="56"/>
        <v/>
      </c>
      <c r="DG103" s="207" t="str">
        <f>CO106</f>
        <v>フロアダクト FC-6</v>
      </c>
      <c r="DH103" s="8"/>
      <c r="DI103" s="249" t="str">
        <f>IF(COUNTIF(DG$18:$DG102,DG103)&gt;0,"",DG103)</f>
        <v/>
      </c>
      <c r="DJ103" s="515">
        <f>CP106</f>
        <v>200.20851011026986</v>
      </c>
      <c r="DK103" s="514">
        <f t="shared" si="57"/>
        <v>0</v>
      </c>
      <c r="DL103" s="8"/>
      <c r="DM103" s="8"/>
      <c r="DN103" s="197">
        <f>IF(DR103&lt;&gt;"",DN102+1,DN102)</f>
        <v>4</v>
      </c>
      <c r="DO103" s="197" t="str">
        <f t="shared" si="58"/>
        <v/>
      </c>
      <c r="DP103" s="10" t="str">
        <f>CR102</f>
        <v/>
      </c>
      <c r="DQ103" s="8"/>
      <c r="DR103" s="249" t="str">
        <f>IF(COUNTIF(DP$18:$DP102,DP103)&gt;0,"",DP103)</f>
        <v/>
      </c>
      <c r="DS103" s="198" t="str">
        <f>CS102</f>
        <v/>
      </c>
      <c r="DT103" s="514">
        <f t="shared" si="59"/>
        <v>0</v>
      </c>
    </row>
    <row r="104" spans="1:124" ht="10.5" customHeight="1" thickBot="1">
      <c r="B104" s="23"/>
      <c r="C104" s="3048" t="s">
        <v>737</v>
      </c>
      <c r="D104" s="3049"/>
      <c r="E104" s="3049"/>
      <c r="F104" s="3049"/>
      <c r="G104" s="3049"/>
      <c r="H104" s="3049"/>
      <c r="I104" s="3049"/>
      <c r="J104" s="3050" t="s">
        <v>736</v>
      </c>
      <c r="K104" s="3051"/>
      <c r="L104" s="3051"/>
      <c r="M104" s="3051"/>
      <c r="N104" s="3052" t="s">
        <v>735</v>
      </c>
      <c r="O104" s="2891"/>
      <c r="P104" s="2892"/>
      <c r="Q104" s="3057" t="str">
        <f>IF(OR($B$2=0,$J$14="C"),"",IF(Z104="",BZ102,Z104))</f>
        <v>FCPEV 0.65-200Pr</v>
      </c>
      <c r="R104" s="3057"/>
      <c r="S104" s="3057"/>
      <c r="T104" s="3057"/>
      <c r="U104" s="3057"/>
      <c r="V104" s="3057"/>
      <c r="W104" s="3057"/>
      <c r="X104" s="3057"/>
      <c r="Y104" s="524" t="s">
        <v>106</v>
      </c>
      <c r="Z104" s="2902"/>
      <c r="AA104" s="2903"/>
      <c r="AB104" s="2903"/>
      <c r="AC104" s="2903"/>
      <c r="AD104" s="2903"/>
      <c r="AE104" s="2903"/>
      <c r="AF104" s="2903"/>
      <c r="AG104" s="2904"/>
      <c r="AH104" s="2877" t="s">
        <v>734</v>
      </c>
      <c r="AI104" s="2878"/>
      <c r="AJ104" s="2879"/>
      <c r="AK104" s="3058">
        <f>IF($B$2=0,"",IF(AP104&lt;&gt;"",AP104,IF($J$14="C","",SUM(CF101:CF102)*CC101)))</f>
        <v>6</v>
      </c>
      <c r="AL104" s="3058"/>
      <c r="AM104" s="3058"/>
      <c r="AN104" s="3058"/>
      <c r="AO104" s="524" t="s">
        <v>106</v>
      </c>
      <c r="AP104" s="2911"/>
      <c r="AQ104" s="2912"/>
      <c r="AR104" s="2912"/>
      <c r="AS104" s="2913"/>
      <c r="AT104" s="2890" t="s">
        <v>733</v>
      </c>
      <c r="AU104" s="2891"/>
      <c r="AV104" s="2892"/>
      <c r="AW104" s="2899" t="str">
        <f>IF($B$2=0,"",IF(BE104&lt;&gt;"",BE104,IF(BB100=2,"PF-"&amp;CB103&amp;"mm",IF(OR(BB100=3,BB100=6),"C-"&amp;CA103&amp;"mm",IF(OR(BB100=4,BB100=7),"G-"&amp;CB103&amp;"mm",IF(OR(BB100=1,BB100=5),"CD-"&amp;CB103&amp;"mm",""))))))</f>
        <v>CD-28mm</v>
      </c>
      <c r="AX104" s="2900"/>
      <c r="AY104" s="2900"/>
      <c r="AZ104" s="2900"/>
      <c r="BA104" s="2900"/>
      <c r="BB104" s="2900"/>
      <c r="BC104" s="2901"/>
      <c r="BD104" s="524" t="s">
        <v>106</v>
      </c>
      <c r="BE104" s="2902"/>
      <c r="BF104" s="2903"/>
      <c r="BG104" s="2903"/>
      <c r="BH104" s="2903"/>
      <c r="BI104" s="2903"/>
      <c r="BJ104" s="2904"/>
      <c r="BK104" s="2877" t="s">
        <v>732</v>
      </c>
      <c r="BL104" s="2878"/>
      <c r="BM104" s="2879"/>
      <c r="BN104" s="2914">
        <f>IF($B$2=0,"",IF(BR104="",CF105*CC101,BR104))</f>
        <v>4</v>
      </c>
      <c r="BO104" s="2915"/>
      <c r="BP104" s="2916"/>
      <c r="BQ104" s="524" t="s">
        <v>106</v>
      </c>
      <c r="BR104" s="3202"/>
      <c r="BS104" s="3203"/>
      <c r="BT104" s="3204"/>
      <c r="BU104" s="19"/>
      <c r="BX104" s="530"/>
      <c r="BY104" s="46"/>
      <c r="BZ104" s="106" t="s">
        <v>731</v>
      </c>
      <c r="CA104" s="529" t="str">
        <f>IF(P103="","",IF(OR(I100="(1) ロ",I100="( 4 )",I100="(5) イ",I100="(6) イ",I100="(6) ロ",I100="(6) ハ",I100="( 7 )",I100="( 8 )",I100="( 15)"),"1",""))</f>
        <v>1</v>
      </c>
      <c r="CB104" s="151">
        <f>IF(P103="",0,INT(P103/20))</f>
        <v>40</v>
      </c>
      <c r="CC104" s="122">
        <f>IF(CA104="",0,CB104)</f>
        <v>40</v>
      </c>
      <c r="CD104" s="6"/>
      <c r="CE104" s="156" t="s">
        <v>730</v>
      </c>
      <c r="CF104" s="189"/>
      <c r="CG104" s="189">
        <f>BX103*(1+INT(AR103/10))+CG106</f>
        <v>27</v>
      </c>
      <c r="CH104" s="189">
        <f>IF(AW103="",0,BX103*(1+INT(AW103/10)))</f>
        <v>135</v>
      </c>
      <c r="CI104" s="82" t="s">
        <v>729</v>
      </c>
      <c r="CJ104" s="98">
        <f>7.32*(AW103-2*SQRT(AW103))</f>
        <v>200.20851011026986</v>
      </c>
      <c r="CK104" s="528">
        <f>IF(E106="不","",SUM(CH101+CJ101)*T103/L103)</f>
        <v>192</v>
      </c>
      <c r="CL104" s="528">
        <f>CJ104</f>
        <v>200.20851011026986</v>
      </c>
      <c r="CM104" s="527" t="s">
        <v>8</v>
      </c>
      <c r="CN104" s="69"/>
      <c r="CO104" s="252" t="str">
        <f>AW104</f>
        <v>CD-28mm</v>
      </c>
      <c r="CP104" s="520">
        <f>BN104</f>
        <v>4</v>
      </c>
      <c r="CR104" s="519" t="str">
        <f>IF(CS104=0,"","C-OBox4角中深")</f>
        <v>C-OBox4角中深</v>
      </c>
      <c r="CS104" s="189">
        <f>IF($J$14="A",SUM(CS101:CS102),AR103)</f>
        <v>8</v>
      </c>
      <c r="CU104" s="8"/>
      <c r="CV104" s="197">
        <f t="shared" si="46"/>
        <v>6</v>
      </c>
      <c r="CW104" s="197" t="str">
        <f t="shared" si="45"/>
        <v/>
      </c>
      <c r="CX104" s="207" t="str">
        <f>IF(BQ103="","","IV-14sq")</f>
        <v/>
      </c>
      <c r="CY104" s="8"/>
      <c r="CZ104" s="249" t="str">
        <f>IF(COUNTIF($CZ$10:$CZ103,CX104)&gt;0,"",CX104)</f>
        <v/>
      </c>
      <c r="DA104" s="515" t="str">
        <f>IF(BQ103="","",BX103+BY101+15)</f>
        <v/>
      </c>
      <c r="DB104" s="514">
        <f>SUMIF($CX$20:$CX$182,CZ104,$DA$20:$DA$182)</f>
        <v>0</v>
      </c>
      <c r="DD104" s="8"/>
      <c r="DE104" s="197">
        <f>IF(DJ104&lt;&gt;"",DE103+1,DE103)</f>
        <v>14</v>
      </c>
      <c r="DF104" s="197" t="str">
        <f>IF(AND(DE104&lt;&gt;"",DJ104&lt;&gt;""),DE104,"")</f>
        <v/>
      </c>
      <c r="DG104" s="207"/>
      <c r="DH104" s="8"/>
      <c r="DI104" s="249"/>
      <c r="DJ104" s="515"/>
      <c r="DK104" s="514">
        <f t="shared" si="57"/>
        <v>0</v>
      </c>
      <c r="DM104" s="8"/>
      <c r="DN104" s="197">
        <f>IF(DR104&lt;&gt;"",DN103+1,DN103)</f>
        <v>4</v>
      </c>
      <c r="DO104" s="197" t="str">
        <f t="shared" si="58"/>
        <v/>
      </c>
      <c r="DP104" s="10" t="str">
        <f>CR103</f>
        <v/>
      </c>
      <c r="DQ104" s="8"/>
      <c r="DR104" s="249" t="str">
        <f>IF(COUNTIF(DP$18:$DP103,DP104)&gt;0,"",DP104)</f>
        <v/>
      </c>
      <c r="DS104" s="198" t="str">
        <f>CS103</f>
        <v/>
      </c>
      <c r="DT104" s="514">
        <f t="shared" si="59"/>
        <v>0</v>
      </c>
    </row>
    <row r="105" spans="1:124" ht="10.5" customHeight="1">
      <c r="B105" s="23"/>
      <c r="C105" s="3205" t="s">
        <v>728</v>
      </c>
      <c r="D105" s="3205"/>
      <c r="E105" s="3016" t="str">
        <f>IF($D$9="不要","不",IF(H105="","要",H105))</f>
        <v>要</v>
      </c>
      <c r="F105" s="3016"/>
      <c r="G105" s="523" t="s">
        <v>724</v>
      </c>
      <c r="H105" s="3017"/>
      <c r="I105" s="3018"/>
      <c r="J105" s="3019" t="s">
        <v>727</v>
      </c>
      <c r="K105" s="3020"/>
      <c r="L105" s="3020"/>
      <c r="M105" s="3021"/>
      <c r="N105" s="3053"/>
      <c r="O105" s="2894"/>
      <c r="P105" s="2895"/>
      <c r="Q105" s="3025" t="str">
        <f>IF(OR($B$2=0,$J$14="C"),"",IF(Z105&lt;&gt;"",Z105,"電子釦 0.4- 4Pr"))</f>
        <v>電子釦 0.4- 4Pr</v>
      </c>
      <c r="R105" s="2933"/>
      <c r="S105" s="2933"/>
      <c r="T105" s="2933"/>
      <c r="U105" s="2933"/>
      <c r="V105" s="2933"/>
      <c r="W105" s="2933"/>
      <c r="X105" s="2934"/>
      <c r="Y105" s="526" t="s">
        <v>724</v>
      </c>
      <c r="Z105" s="3026"/>
      <c r="AA105" s="3027"/>
      <c r="AB105" s="3027"/>
      <c r="AC105" s="3027"/>
      <c r="AD105" s="3027"/>
      <c r="AE105" s="3027"/>
      <c r="AF105" s="3027"/>
      <c r="AG105" s="3028"/>
      <c r="AH105" s="2880" t="s">
        <v>725</v>
      </c>
      <c r="AI105" s="2881"/>
      <c r="AJ105" s="2882"/>
      <c r="AK105" s="2995">
        <f>IF($B$2=0,"",IF(AP105&lt;&gt;"",AP105,IF($J$14="C","",SUM(CK101:CK102))))</f>
        <v>121.91999999999999</v>
      </c>
      <c r="AL105" s="2995"/>
      <c r="AM105" s="2995"/>
      <c r="AN105" s="2995"/>
      <c r="AO105" s="526" t="s">
        <v>724</v>
      </c>
      <c r="AP105" s="2996"/>
      <c r="AQ105" s="2997"/>
      <c r="AR105" s="2997"/>
      <c r="AS105" s="2998"/>
      <c r="AT105" s="2893"/>
      <c r="AU105" s="2894"/>
      <c r="AV105" s="2895"/>
      <c r="AW105" s="2933" t="str">
        <f>IF($B$2=0,"",IF(BE105&lt;&gt;"",BE105,IF(BB100=2,"PF-22mm",IF(OR(BB100=3,BB100=6),"C-25mm",IF(OR(BB100=4,BB100=7),"G-22mm",IF(OR(BB100=1,BB100=5),"CD-22mm",""))))))</f>
        <v>CD-22mm</v>
      </c>
      <c r="AX105" s="2933"/>
      <c r="AY105" s="2933"/>
      <c r="AZ105" s="2933"/>
      <c r="BA105" s="2933"/>
      <c r="BB105" s="2933"/>
      <c r="BC105" s="2934"/>
      <c r="BD105" s="526" t="s">
        <v>724</v>
      </c>
      <c r="BE105" s="2935"/>
      <c r="BF105" s="2936"/>
      <c r="BG105" s="2936"/>
      <c r="BH105" s="2936"/>
      <c r="BI105" s="2936"/>
      <c r="BJ105" s="2937"/>
      <c r="BK105" s="2880" t="s">
        <v>725</v>
      </c>
      <c r="BL105" s="2881"/>
      <c r="BM105" s="2882"/>
      <c r="BN105" s="2948">
        <f>IF($B$2=0,"",IF(BR105="",SUM(CL101:CL102),BR105))</f>
        <v>324</v>
      </c>
      <c r="BO105" s="2949"/>
      <c r="BP105" s="2950"/>
      <c r="BQ105" s="525" t="s">
        <v>724</v>
      </c>
      <c r="BR105" s="3029"/>
      <c r="BS105" s="3030"/>
      <c r="BT105" s="3031"/>
      <c r="BU105" s="19"/>
      <c r="BX105" s="49">
        <f>1+INT(L103/600)</f>
        <v>2</v>
      </c>
      <c r="BY105" s="46"/>
      <c r="BZ105" s="106" t="s">
        <v>723</v>
      </c>
      <c r="CA105" s="522" t="str">
        <f>"1"</f>
        <v>1</v>
      </c>
      <c r="CB105" s="151">
        <f>IF(CA104="",INT(T103/40)+CB104,INT(T103/40))</f>
        <v>8</v>
      </c>
      <c r="CC105" s="122">
        <f>IF(CB105="",0,CB105)</f>
        <v>8</v>
      </c>
      <c r="CD105" s="6"/>
      <c r="CE105" s="156" t="s">
        <v>722</v>
      </c>
      <c r="CF105" s="189">
        <f>F103</f>
        <v>4</v>
      </c>
      <c r="CG105" s="189">
        <f>IF(BB100&lt;=4,(2*F103-(R89+R91)/1000)*AR103,((R90+R91)/1000)*AR103)</f>
        <v>0</v>
      </c>
      <c r="CH105" s="189">
        <f>2*(R91/1000)*AR103</f>
        <v>0</v>
      </c>
      <c r="CI105" s="82" t="s">
        <v>721</v>
      </c>
      <c r="CJ105" s="86">
        <f>AW103</f>
        <v>40</v>
      </c>
      <c r="CK105" s="38"/>
      <c r="CL105" s="38"/>
      <c r="CM105" s="38"/>
      <c r="CN105" s="38"/>
      <c r="CO105" s="252" t="str">
        <f>AW105</f>
        <v>CD-22mm</v>
      </c>
      <c r="CP105" s="520">
        <f>BN105</f>
        <v>324</v>
      </c>
      <c r="CR105" s="519" t="str">
        <f>IF(CS105="","",IF(LEFT(AW106,1)="フ","ジャンクションボックス 2Duct","C-OBox4角大深"))</f>
        <v>ジャンクションボックス 2Duct</v>
      </c>
      <c r="CS105" s="189">
        <f>IF(AW103=0,"",AW103)</f>
        <v>40</v>
      </c>
      <c r="CU105" s="8"/>
      <c r="CV105" s="197">
        <f t="shared" si="46"/>
        <v>6</v>
      </c>
      <c r="CW105" s="197" t="str">
        <f t="shared" si="45"/>
        <v/>
      </c>
      <c r="CX105" s="207" t="str">
        <f>IF(BQ103="","","VE-22mm")</f>
        <v/>
      </c>
      <c r="CY105" s="8"/>
      <c r="CZ105" s="249" t="str">
        <f>IF(COUNTIF($CZ$10:$CZ104,CX105)&gt;0,"",CX105)</f>
        <v/>
      </c>
      <c r="DA105" s="515" t="str">
        <f>IF(BQ103="","",DA104-10)</f>
        <v/>
      </c>
      <c r="DB105" s="514">
        <f>SUMIF($CX$20:$CX$182,CZ105,$DA$20:$DA$182)</f>
        <v>0</v>
      </c>
      <c r="DD105" s="8"/>
      <c r="DE105" s="197">
        <f t="shared" ref="DE105:DE111" si="60">IF(DI105&lt;&gt;"",DE104+1,DE104)</f>
        <v>14</v>
      </c>
      <c r="DF105" s="197" t="str">
        <f t="shared" ref="DF105:DF111" si="61">IF(AND(DE105&lt;&gt;"",DI105&lt;&gt;""),DE105,"")</f>
        <v/>
      </c>
      <c r="DG105" s="207" t="str">
        <f>CR104</f>
        <v>C-OBox4角中深</v>
      </c>
      <c r="DH105" s="8"/>
      <c r="DI105" s="249" t="str">
        <f>IF(COUNTIF(DG$18:$DG104,DG105)&gt;0,"",DG105)</f>
        <v/>
      </c>
      <c r="DJ105" s="515">
        <f>CS104</f>
        <v>8</v>
      </c>
      <c r="DK105" s="514">
        <f t="shared" si="57"/>
        <v>0</v>
      </c>
      <c r="DM105" s="8"/>
      <c r="DN105" s="197">
        <f>IF(DS105&lt;&gt;"",DN104+1,DN104)</f>
        <v>4</v>
      </c>
      <c r="DO105" s="197" t="str">
        <f t="shared" si="58"/>
        <v/>
      </c>
      <c r="DP105" s="10" t="str">
        <f>IF(BQ101="","","電話交換機")</f>
        <v/>
      </c>
      <c r="DQ105" s="8"/>
      <c r="DR105" s="249" t="str">
        <f>IF(COUNTIF(DP$18:$DP104,DP105)&gt;0,"",DP105)</f>
        <v/>
      </c>
      <c r="DS105" s="198" t="str">
        <f>IF(DP105&lt;&gt;"",1,"")</f>
        <v/>
      </c>
      <c r="DT105" s="514">
        <f t="shared" si="59"/>
        <v>0</v>
      </c>
    </row>
    <row r="106" spans="1:124" ht="10.5" customHeight="1">
      <c r="B106" s="23"/>
      <c r="C106" s="2959" t="s">
        <v>720</v>
      </c>
      <c r="D106" s="2959"/>
      <c r="E106" s="3016" t="str">
        <f>IF($D$9="不要","不",IF(H106="","要",H106))</f>
        <v>要</v>
      </c>
      <c r="F106" s="3016"/>
      <c r="G106" s="525" t="s">
        <v>103</v>
      </c>
      <c r="H106" s="3017"/>
      <c r="I106" s="3018"/>
      <c r="J106" s="3022"/>
      <c r="K106" s="3023"/>
      <c r="L106" s="3023"/>
      <c r="M106" s="3024"/>
      <c r="N106" s="3054"/>
      <c r="O106" s="3055"/>
      <c r="P106" s="3056"/>
      <c r="Q106" s="3201" t="str">
        <f>IF($B$2=0,"",IF(Z106&lt;&gt;"",Z106,"TIVF 0.8-2C"))</f>
        <v>TIVF 0.8-2C</v>
      </c>
      <c r="R106" s="3201"/>
      <c r="S106" s="3201"/>
      <c r="T106" s="3201"/>
      <c r="U106" s="3201"/>
      <c r="V106" s="3201"/>
      <c r="W106" s="3201"/>
      <c r="X106" s="3201"/>
      <c r="Y106" s="524" t="s">
        <v>103</v>
      </c>
      <c r="Z106" s="2941"/>
      <c r="AA106" s="2942"/>
      <c r="AB106" s="2942"/>
      <c r="AC106" s="2942"/>
      <c r="AD106" s="2942"/>
      <c r="AE106" s="2942"/>
      <c r="AF106" s="2942"/>
      <c r="AG106" s="3199"/>
      <c r="AH106" s="2883" t="s">
        <v>235</v>
      </c>
      <c r="AI106" s="2884"/>
      <c r="AJ106" s="2885"/>
      <c r="AK106" s="2953">
        <f>IF($B$2=0,"",IF(AP106&lt;&gt;"",AP106,IF($J$14="C","",SUM(CK103:CK104))))</f>
        <v>640</v>
      </c>
      <c r="AL106" s="2954"/>
      <c r="AM106" s="2954"/>
      <c r="AN106" s="2955"/>
      <c r="AO106" s="524" t="s">
        <v>103</v>
      </c>
      <c r="AP106" s="2911"/>
      <c r="AQ106" s="2912"/>
      <c r="AR106" s="2912"/>
      <c r="AS106" s="2913"/>
      <c r="AT106" s="2896"/>
      <c r="AU106" s="2897"/>
      <c r="AV106" s="2898"/>
      <c r="AW106" s="2939" t="str">
        <f>IF($B$2=0,"",IF(BN106="","",IF(BE106="","フロアダクト FC-6",BE106)))</f>
        <v>フロアダクト FC-6</v>
      </c>
      <c r="AX106" s="2845"/>
      <c r="AY106" s="2845"/>
      <c r="AZ106" s="2845"/>
      <c r="BA106" s="2845"/>
      <c r="BB106" s="2845"/>
      <c r="BC106" s="2940"/>
      <c r="BD106" s="524" t="s">
        <v>103</v>
      </c>
      <c r="BE106" s="2941"/>
      <c r="BF106" s="2942"/>
      <c r="BG106" s="2942"/>
      <c r="BH106" s="2942"/>
      <c r="BI106" s="2942"/>
      <c r="BJ106" s="2942"/>
      <c r="BK106" s="2883" t="s">
        <v>235</v>
      </c>
      <c r="BL106" s="2884"/>
      <c r="BM106" s="2885"/>
      <c r="BN106" s="2943">
        <f>IF($B$2=0,"",IF(BR106="",MAX(CL103:CL104),BR106))</f>
        <v>200.20851011026986</v>
      </c>
      <c r="BO106" s="2944"/>
      <c r="BP106" s="2945"/>
      <c r="BQ106" s="523" t="s">
        <v>103</v>
      </c>
      <c r="BR106" s="3200"/>
      <c r="BS106" s="3200"/>
      <c r="BT106" s="3200"/>
      <c r="BU106" s="19"/>
      <c r="BX106" s="47"/>
      <c r="BZ106" s="106" t="s">
        <v>766</v>
      </c>
      <c r="CA106" s="522" t="str">
        <f>IF(OR(I100="( 10)",I100="(12)イ"),"1","")</f>
        <v/>
      </c>
      <c r="CB106" s="151" t="str">
        <f>IF(CA106="","",INT(P103/200))</f>
        <v/>
      </c>
      <c r="CC106" s="122">
        <f>IF(CB106="",0,CB106)</f>
        <v>0</v>
      </c>
      <c r="CE106" s="156" t="s">
        <v>716</v>
      </c>
      <c r="CF106" s="521"/>
      <c r="CG106" s="189">
        <f>IF($AQ$8=0,1.5*2*(1+INT(2*BX101/($AQ$9/1000)))*(1+INT(2*BY101/($AQ$9/1000))),0)</f>
        <v>0</v>
      </c>
      <c r="CH106" s="82"/>
      <c r="CI106" s="82" t="s">
        <v>765</v>
      </c>
      <c r="CJ106" s="107">
        <f>AR103</f>
        <v>8</v>
      </c>
      <c r="CK106" s="12"/>
      <c r="CL106" s="12"/>
      <c r="CM106" s="12"/>
      <c r="CN106" s="12"/>
      <c r="CO106" s="252" t="str">
        <f>AW106</f>
        <v>フロアダクト FC-6</v>
      </c>
      <c r="CP106" s="520">
        <f>BN106</f>
        <v>200.20851011026986</v>
      </c>
      <c r="CR106" s="519" t="str">
        <f>IF(CS106="","","ローテンションアウトレット")</f>
        <v>ローテンションアウトレット</v>
      </c>
      <c r="CS106" s="189">
        <f>CS100</f>
        <v>40</v>
      </c>
      <c r="CV106" s="197">
        <f t="shared" si="46"/>
        <v>6</v>
      </c>
      <c r="CW106" s="197" t="str">
        <f t="shared" si="45"/>
        <v/>
      </c>
      <c r="CX106" s="207"/>
      <c r="CY106" s="24"/>
      <c r="DA106" s="515"/>
      <c r="DB106" s="516"/>
      <c r="DE106" s="197">
        <f t="shared" si="60"/>
        <v>14</v>
      </c>
      <c r="DF106" s="197" t="str">
        <f t="shared" si="61"/>
        <v/>
      </c>
      <c r="DG106" s="207" t="str">
        <f>CR105</f>
        <v>ジャンクションボックス 2Duct</v>
      </c>
      <c r="DH106" s="24"/>
      <c r="DI106" s="249" t="str">
        <f>IF(COUNTIF(DG$18:$DG105,DG106)&gt;0,"",DG106)</f>
        <v/>
      </c>
      <c r="DJ106" s="515">
        <f>CS105</f>
        <v>40</v>
      </c>
      <c r="DK106" s="514">
        <f t="shared" si="57"/>
        <v>0</v>
      </c>
      <c r="DN106" s="197">
        <f>IF(DS106&lt;&gt;"",DN105+1,DN105)</f>
        <v>4</v>
      </c>
      <c r="DO106" s="197" t="str">
        <f t="shared" si="58"/>
        <v/>
      </c>
      <c r="DP106" s="10" t="str">
        <f>IF(BQ103="","","接地工事 Et")</f>
        <v/>
      </c>
      <c r="DQ106" s="24"/>
      <c r="DR106" s="249" t="str">
        <f>IF(COUNTIF(DP$18:$DP105,DP106)&gt;0,"",DP106)</f>
        <v/>
      </c>
      <c r="DS106" s="198" t="str">
        <f>IF(DP106&lt;&gt;"",1,"")</f>
        <v/>
      </c>
      <c r="DT106" s="514">
        <f t="shared" si="59"/>
        <v>0</v>
      </c>
    </row>
    <row r="107" spans="1:124" ht="10.5" customHeight="1">
      <c r="B107" s="23"/>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19"/>
      <c r="BZ107" s="114" t="str">
        <f>"="</f>
        <v>=</v>
      </c>
      <c r="CA107" s="114" t="str">
        <f>"－"</f>
        <v>－</v>
      </c>
      <c r="CB107" s="114" t="str">
        <f>"+"</f>
        <v>+</v>
      </c>
      <c r="CP107" s="555"/>
      <c r="CV107" s="197">
        <f t="shared" si="46"/>
        <v>6</v>
      </c>
      <c r="CW107" s="197" t="str">
        <f t="shared" si="45"/>
        <v/>
      </c>
      <c r="CY107" s="24"/>
      <c r="DA107" s="516"/>
      <c r="DB107" s="516"/>
      <c r="DE107" s="197">
        <f t="shared" si="60"/>
        <v>14</v>
      </c>
      <c r="DF107" s="197" t="str">
        <f t="shared" si="61"/>
        <v/>
      </c>
      <c r="DG107" s="207" t="str">
        <f>CR106</f>
        <v>ローテンションアウトレット</v>
      </c>
      <c r="DH107" s="24"/>
      <c r="DI107" s="249" t="str">
        <f>IF(COUNTIF(DG$18:$DG106,DG107)&gt;0,"",DG107)</f>
        <v/>
      </c>
      <c r="DJ107" s="515">
        <f>CS106</f>
        <v>40</v>
      </c>
      <c r="DK107" s="514">
        <f t="shared" si="57"/>
        <v>0</v>
      </c>
      <c r="DN107" s="197">
        <f>IF(DS107&lt;&gt;"",DN106+1,DN106)</f>
        <v>4</v>
      </c>
      <c r="DO107" s="197" t="str">
        <f>IF(AND(DN107&lt;&gt;"",DR107&lt;&gt;""),DN107,"")</f>
        <v/>
      </c>
      <c r="DP107" s="201"/>
      <c r="DQ107" s="24"/>
      <c r="DR107" s="249"/>
      <c r="DS107" s="198"/>
      <c r="DT107" s="514"/>
    </row>
    <row r="108" spans="1:124" ht="11.25" customHeight="1" thickBot="1">
      <c r="A108" s="46"/>
      <c r="B108" s="23"/>
      <c r="C108" s="3032" t="s">
        <v>112</v>
      </c>
      <c r="D108" s="3032"/>
      <c r="E108" s="3032"/>
      <c r="F108" s="3032"/>
      <c r="G108" s="3032"/>
      <c r="H108" s="3032"/>
      <c r="I108" s="3033" t="str">
        <f>非誘!J87</f>
        <v>( 4 )</v>
      </c>
      <c r="J108" s="3033"/>
      <c r="K108" s="3033"/>
      <c r="L108" s="3034"/>
      <c r="M108" s="3035" t="str">
        <f>非誘!M87</f>
        <v>百貨店等</v>
      </c>
      <c r="N108" s="2961"/>
      <c r="O108" s="2961"/>
      <c r="P108" s="2961"/>
      <c r="Q108" s="2961"/>
      <c r="R108" s="2961"/>
      <c r="S108" s="2961"/>
      <c r="T108" s="2961"/>
      <c r="U108" s="2961"/>
      <c r="V108" s="2961"/>
      <c r="W108" s="3036"/>
      <c r="X108" s="3037" t="s">
        <v>232</v>
      </c>
      <c r="Y108" s="3037"/>
      <c r="Z108" s="3037"/>
      <c r="AA108" s="3037"/>
      <c r="AB108" s="3038"/>
      <c r="AC108" s="2977" t="str">
        <f>非誘!AA87</f>
        <v>A</v>
      </c>
      <c r="AD108" s="2978"/>
      <c r="AE108" s="2917" t="s">
        <v>760</v>
      </c>
      <c r="AF108" s="2918"/>
      <c r="AG108" s="2918"/>
      <c r="AH108" s="2918"/>
      <c r="AI108" s="2919"/>
      <c r="AJ108" s="2979">
        <f>非誘!J88</f>
        <v>0.5</v>
      </c>
      <c r="AK108" s="2980"/>
      <c r="AL108" s="2981"/>
      <c r="AM108" s="2917" t="s">
        <v>759</v>
      </c>
      <c r="AN108" s="2918"/>
      <c r="AO108" s="2919"/>
      <c r="AP108" s="2920" t="str">
        <f>IF(OR($B$2=0,AS108=""),$BO$14,AS108)</f>
        <v>Ⓖ</v>
      </c>
      <c r="AQ108" s="2920"/>
      <c r="AR108" s="554" t="s">
        <v>103</v>
      </c>
      <c r="AS108" s="2921"/>
      <c r="AT108" s="2922"/>
      <c r="AU108" s="2875" t="s">
        <v>757</v>
      </c>
      <c r="AV108" s="2875"/>
      <c r="AW108" s="2875"/>
      <c r="AX108" s="2875"/>
      <c r="AY108" s="2875"/>
      <c r="AZ108" s="2875"/>
      <c r="BA108" s="2876"/>
      <c r="BB108" s="553">
        <f>IF(BC108="天井ケーブル",1,IF(BC108="天井(PF管)",2,IF(BC108="天井(C管)",3,IF(BC108="天井(G管)",4,IF(BC108="床(CD管)",5,IF(BC108="床(C管)",6,IF(BC108="床(G管)",7,"")))))))</f>
        <v>5</v>
      </c>
      <c r="BC108" s="2961" t="str">
        <f>IF($B$2=0,"",IF(BK108&lt;&gt;"",BK108,IF(I111="直天","天井(C管)","床(CD管)")))</f>
        <v>床(CD管)</v>
      </c>
      <c r="BD108" s="2962"/>
      <c r="BE108" s="2962"/>
      <c r="BF108" s="2962"/>
      <c r="BG108" s="2962"/>
      <c r="BH108" s="2962"/>
      <c r="BI108" s="2963"/>
      <c r="BJ108" s="552" t="s">
        <v>103</v>
      </c>
      <c r="BK108" s="2905"/>
      <c r="BL108" s="2906"/>
      <c r="BM108" s="2906"/>
      <c r="BN108" s="2906"/>
      <c r="BO108" s="2906"/>
      <c r="BP108" s="2907"/>
      <c r="BQ108" s="2982" t="s">
        <v>755</v>
      </c>
      <c r="BR108" s="2983"/>
      <c r="BS108" s="2983"/>
      <c r="BT108" s="2984"/>
      <c r="BU108" s="19"/>
      <c r="BV108" s="8">
        <v>12</v>
      </c>
      <c r="BX108" s="55" t="s">
        <v>229</v>
      </c>
      <c r="BY108" s="55" t="s">
        <v>228</v>
      </c>
      <c r="BZ108" s="534">
        <f>BY103+BY119+CA109</f>
        <v>342</v>
      </c>
      <c r="CA108" s="534">
        <f>CA109+BY103</f>
        <v>243</v>
      </c>
      <c r="CB108" s="38">
        <f>BY119+CA109</f>
        <v>147</v>
      </c>
      <c r="CC108" s="69"/>
      <c r="CD108" s="534"/>
      <c r="CE108" s="534"/>
      <c r="CF108" s="143" t="s">
        <v>754</v>
      </c>
      <c r="CG108" s="143" t="s">
        <v>753</v>
      </c>
      <c r="CH108" s="143" t="s">
        <v>753</v>
      </c>
      <c r="CI108" s="551" t="s">
        <v>752</v>
      </c>
      <c r="CJ108" s="551" t="s">
        <v>752</v>
      </c>
      <c r="CK108" s="550" t="s">
        <v>734</v>
      </c>
      <c r="CL108" s="550" t="s">
        <v>732</v>
      </c>
      <c r="CM108" s="46"/>
      <c r="CO108" s="46" t="str">
        <f>Q112</f>
        <v>FCPEV 0.65-150Pr</v>
      </c>
      <c r="CP108" s="520">
        <f>AK112</f>
        <v>6</v>
      </c>
      <c r="CR108" s="519" t="str">
        <f>IF(CS108="","",IF($J$14="A","多機能内線電話機",""))</f>
        <v>多機能内線電話機</v>
      </c>
      <c r="CS108" s="189">
        <f>BB111</f>
        <v>40</v>
      </c>
      <c r="CU108" s="88">
        <v>12</v>
      </c>
      <c r="CV108" s="204">
        <f t="shared" si="46"/>
        <v>6</v>
      </c>
      <c r="CW108" s="155" t="str">
        <f t="shared" si="45"/>
        <v/>
      </c>
      <c r="CX108" s="45"/>
      <c r="CY108" s="45"/>
      <c r="CZ108" s="45"/>
      <c r="DA108" s="45"/>
      <c r="DB108" s="45"/>
      <c r="DD108" s="88">
        <v>12</v>
      </c>
      <c r="DE108" s="204">
        <f t="shared" si="60"/>
        <v>14</v>
      </c>
      <c r="DF108" s="155" t="str">
        <f t="shared" si="61"/>
        <v/>
      </c>
      <c r="DG108" s="549" t="str">
        <f>CO103</f>
        <v>導入線 1.2mmφ</v>
      </c>
      <c r="DH108" s="45"/>
      <c r="DI108" s="153" t="str">
        <f>IF(COUNTIF(DG$9:$DG107,DG108)&gt;0,"",DG108)</f>
        <v/>
      </c>
      <c r="DJ108" s="155">
        <f>CP103</f>
        <v>580.80000000000007</v>
      </c>
      <c r="DK108" s="548">
        <f>SUMIF($DG$11:$DG$182,DI108,$DJ$11:$DJ$182)</f>
        <v>0</v>
      </c>
      <c r="DM108" s="88">
        <v>12</v>
      </c>
      <c r="DN108" s="204">
        <f>IF(DS108&lt;&gt;"",DN107+1,DN107)</f>
        <v>4</v>
      </c>
      <c r="DO108" s="155" t="str">
        <f>IF(AND(DN108&lt;&gt;"",DR108&lt;&gt;""),DN108,"")</f>
        <v/>
      </c>
      <c r="DP108" s="45"/>
      <c r="DQ108" s="45"/>
      <c r="DR108" s="45"/>
      <c r="DS108" s="45"/>
      <c r="DT108" s="45"/>
    </row>
    <row r="109" spans="1:124" ht="11.25" customHeight="1" thickBot="1">
      <c r="B109" s="23"/>
      <c r="C109" s="3008" t="s">
        <v>4</v>
      </c>
      <c r="D109" s="3009"/>
      <c r="E109" s="3010"/>
      <c r="F109" s="3014" t="s">
        <v>22</v>
      </c>
      <c r="G109" s="2983"/>
      <c r="H109" s="3015"/>
      <c r="I109" s="2982" t="s">
        <v>132</v>
      </c>
      <c r="J109" s="2983"/>
      <c r="K109" s="3015"/>
      <c r="L109" s="2982" t="s">
        <v>6</v>
      </c>
      <c r="M109" s="2983"/>
      <c r="N109" s="2983"/>
      <c r="O109" s="2984"/>
      <c r="P109" s="3014" t="s">
        <v>7</v>
      </c>
      <c r="Q109" s="2983"/>
      <c r="R109" s="2983"/>
      <c r="S109" s="2984"/>
      <c r="T109" s="3014" t="s">
        <v>8</v>
      </c>
      <c r="U109" s="2983"/>
      <c r="V109" s="2983"/>
      <c r="W109" s="2984"/>
      <c r="X109" s="3014" t="s">
        <v>9</v>
      </c>
      <c r="Y109" s="2983"/>
      <c r="Z109" s="3015"/>
      <c r="AA109" s="2982" t="s">
        <v>9</v>
      </c>
      <c r="AB109" s="2983"/>
      <c r="AC109" s="2984"/>
      <c r="AD109" s="2974" t="s">
        <v>708</v>
      </c>
      <c r="AE109" s="2975"/>
      <c r="AF109" s="2975"/>
      <c r="AG109" s="2975"/>
      <c r="AH109" s="2975"/>
      <c r="AI109" s="2975"/>
      <c r="AJ109" s="2975"/>
      <c r="AK109" s="2975"/>
      <c r="AL109" s="2930" t="str">
        <f>IF(BX113=1,"T-"&amp;LEFT(C111,3)&amp;"-1","T-"&amp;LEFT(C111,3)&amp;"-1～"&amp;BX113)</f>
        <v>T- 10-1～2</v>
      </c>
      <c r="AM109" s="2930"/>
      <c r="AN109" s="2930"/>
      <c r="AO109" s="2930"/>
      <c r="AP109" s="2930"/>
      <c r="AQ109" s="2932"/>
      <c r="AR109" s="2925" t="s">
        <v>751</v>
      </c>
      <c r="AS109" s="2926"/>
      <c r="AT109" s="2926"/>
      <c r="AU109" s="2926"/>
      <c r="AV109" s="2926"/>
      <c r="AW109" s="2926"/>
      <c r="AX109" s="2926"/>
      <c r="AY109" s="2926"/>
      <c r="AZ109" s="2926"/>
      <c r="BA109" s="2927"/>
      <c r="BB109" s="2886" t="s">
        <v>750</v>
      </c>
      <c r="BC109" s="2887"/>
      <c r="BD109" s="2887"/>
      <c r="BE109" s="2887"/>
      <c r="BF109" s="2887"/>
      <c r="BG109" s="2887"/>
      <c r="BH109" s="2887"/>
      <c r="BI109" s="2887"/>
      <c r="BJ109" s="2888"/>
      <c r="BK109" s="2888"/>
      <c r="BL109" s="2888"/>
      <c r="BM109" s="2888"/>
      <c r="BN109" s="2888"/>
      <c r="BO109" s="2888"/>
      <c r="BP109" s="2889"/>
      <c r="BQ109" s="2939" t="str">
        <f>IF(AND($B$2=1,$J$14="A",C111=$J$15),"設置","")</f>
        <v/>
      </c>
      <c r="BR109" s="2845"/>
      <c r="BS109" s="2845"/>
      <c r="BT109" s="2940"/>
      <c r="BU109" s="19"/>
      <c r="BV109" s="15">
        <v>87</v>
      </c>
      <c r="BX109" s="98">
        <f>非誘!BW89</f>
        <v>12</v>
      </c>
      <c r="BY109" s="98">
        <f>非誘!BX89</f>
        <v>24</v>
      </c>
      <c r="BZ109" s="547">
        <f>IF(CA109&lt;10,10,IF(CA109&lt;15,15,IF(CA109&lt;20,20,IF(CA109&lt;25,25,IF(CA109&lt;30,30,IF(CA109&lt;50,50,IF(CA109&lt;70,70,IF(CA109&lt;100,100,IF(CA109&lt;150,150,IF(CA109&lt;20,200,200))))))))))</f>
        <v>50</v>
      </c>
      <c r="CA109" s="546">
        <f>SUM(CC112:CC114)</f>
        <v>48</v>
      </c>
      <c r="CB109" s="107" t="str">
        <f>IF(BY111&lt;10," 10",IF(BY111&lt;15," 15",IF(BY111&lt;20," 20",IF(BY111&lt;25," 25",IF(BY111&lt;30," 30",IF(BY111&lt;50," 50",IF(BY111&lt;70," 70",IF(BY111&lt;100,"100",IF(BY111&lt;150,"150",IF(BY111&lt;200,"200","200"))))))))))</f>
        <v>150</v>
      </c>
      <c r="CC109" s="545">
        <f>1+INT(BY111/200)</f>
        <v>1</v>
      </c>
      <c r="CD109" s="534"/>
      <c r="CE109" s="156" t="s">
        <v>749</v>
      </c>
      <c r="CF109" s="189">
        <f>2*INT($AG$9/1000)</f>
        <v>2</v>
      </c>
      <c r="CG109" s="189">
        <f>CG112+(1+INT($AG$9+$AG$8)/1000)*(1+INT(AR111/10))+CG111</f>
        <v>55.919999999999995</v>
      </c>
      <c r="CH109" s="98">
        <f>IF(AW111="",0,AW111*8)</f>
        <v>320</v>
      </c>
      <c r="CI109" s="98">
        <f>AR111*8</f>
        <v>64</v>
      </c>
      <c r="CJ109" s="544">
        <f>IF(AW111="",0,AW111*8)</f>
        <v>320</v>
      </c>
      <c r="CK109" s="223">
        <f>IF(E113="不","",(CG109+CG110+CI109+CI110)*MAX(P111:W111)/L111)</f>
        <v>85.343999999999994</v>
      </c>
      <c r="CL109" s="223">
        <f>IF(E113="不","",SUM(CG112:CH112)+SUM(CG113:CH113)*MAX(P111:W111)/L111)</f>
        <v>162</v>
      </c>
      <c r="CM109" s="527" t="s">
        <v>7</v>
      </c>
      <c r="CN109" s="15"/>
      <c r="CO109" s="46" t="str">
        <f>Q113</f>
        <v>電子釦 0.4- 4Pr</v>
      </c>
      <c r="CP109" s="520">
        <f>AK113</f>
        <v>121.91999999999999</v>
      </c>
      <c r="CR109" s="519" t="str">
        <f>IF(CS109="","",IF($J$14="A","内線電話機"))</f>
        <v>内線電話機</v>
      </c>
      <c r="CS109" s="189">
        <f>BG111</f>
        <v>8</v>
      </c>
      <c r="CU109" s="8"/>
      <c r="CV109" s="197">
        <f t="shared" si="46"/>
        <v>6</v>
      </c>
      <c r="CW109" s="197" t="str">
        <f t="shared" si="45"/>
        <v/>
      </c>
      <c r="CX109" s="543" t="str">
        <f>CO108</f>
        <v>FCPEV 0.65-150Pr</v>
      </c>
      <c r="CY109" s="8"/>
      <c r="CZ109" s="249" t="str">
        <f>IF(COUNTIF($CX$17:$CX108,CX109)&gt;0,"",CX109)</f>
        <v/>
      </c>
      <c r="DA109" s="515">
        <f>CP108</f>
        <v>6</v>
      </c>
      <c r="DB109" s="514">
        <f>SUMIF($CX$20:$CX$182,CZ109,$DA$20:$DA$182)</f>
        <v>0</v>
      </c>
      <c r="DC109" s="8"/>
      <c r="DD109" s="8"/>
      <c r="DE109" s="197">
        <f t="shared" si="60"/>
        <v>14</v>
      </c>
      <c r="DF109" s="197" t="str">
        <f t="shared" si="61"/>
        <v/>
      </c>
      <c r="DG109" s="207" t="str">
        <f>CO112</f>
        <v>CD-28mm</v>
      </c>
      <c r="DH109" s="8"/>
      <c r="DI109" s="249" t="str">
        <f>IF(COUNTIF(DG$17:$DG108,DG109)&gt;0,"",DG109)</f>
        <v/>
      </c>
      <c r="DJ109" s="515">
        <f>CP112</f>
        <v>4</v>
      </c>
      <c r="DK109" s="514">
        <f t="shared" ref="DK109:DK115" si="62">SUMIF($DG$20:$DG$182,DI109,$DJ$20:$DJ$182)</f>
        <v>0</v>
      </c>
      <c r="DL109" s="8"/>
      <c r="DM109" s="8"/>
      <c r="DN109" s="197">
        <f>IF(DR109&lt;&gt;"",DN108+1,DN108)</f>
        <v>4</v>
      </c>
      <c r="DO109" s="197">
        <f t="shared" ref="DO109:DO114" si="63">IF(AND(DN109&lt;&gt;"",DS109&lt;&gt;""),DN109,"")</f>
        <v>4</v>
      </c>
      <c r="DP109" s="10" t="str">
        <f>CR108</f>
        <v>多機能内線電話機</v>
      </c>
      <c r="DQ109" s="8"/>
      <c r="DR109" s="249" t="str">
        <f>IF(COUNTIF(DP$18:$DP108,DP109)&gt;0,"",DP109)</f>
        <v/>
      </c>
      <c r="DS109" s="198">
        <f>CS108</f>
        <v>40</v>
      </c>
      <c r="DT109" s="514">
        <f t="shared" ref="DT109:DT114" si="64">SUMIF($DP$20:$DP$182,DR109,$DS$20:$DS$182)</f>
        <v>0</v>
      </c>
    </row>
    <row r="110" spans="1:124" ht="11.25" customHeight="1" thickBot="1">
      <c r="B110" s="23"/>
      <c r="C110" s="3011"/>
      <c r="D110" s="3012"/>
      <c r="E110" s="3013"/>
      <c r="F110" s="3039" t="s">
        <v>235</v>
      </c>
      <c r="G110" s="3040"/>
      <c r="H110" s="3041"/>
      <c r="I110" s="3039" t="s">
        <v>235</v>
      </c>
      <c r="J110" s="3040"/>
      <c r="K110" s="3041"/>
      <c r="L110" s="3039" t="s">
        <v>748</v>
      </c>
      <c r="M110" s="3040"/>
      <c r="N110" s="3040"/>
      <c r="O110" s="3042"/>
      <c r="P110" s="3043" t="s">
        <v>748</v>
      </c>
      <c r="Q110" s="3040"/>
      <c r="R110" s="3040"/>
      <c r="S110" s="3042"/>
      <c r="T110" s="3043" t="s">
        <v>748</v>
      </c>
      <c r="U110" s="3040"/>
      <c r="V110" s="3040"/>
      <c r="W110" s="3044"/>
      <c r="X110" s="3045" t="s">
        <v>111</v>
      </c>
      <c r="Y110" s="3046"/>
      <c r="Z110" s="3047"/>
      <c r="AA110" s="3001" t="s">
        <v>110</v>
      </c>
      <c r="AB110" s="3002"/>
      <c r="AC110" s="3003"/>
      <c r="AD110" s="3004" t="s">
        <v>695</v>
      </c>
      <c r="AE110" s="3005"/>
      <c r="AF110" s="3005"/>
      <c r="AG110" s="3006" t="s">
        <v>699</v>
      </c>
      <c r="AH110" s="3005"/>
      <c r="AI110" s="3007"/>
      <c r="AJ110" s="2928" t="s">
        <v>747</v>
      </c>
      <c r="AK110" s="2918"/>
      <c r="AL110" s="2918"/>
      <c r="AM110" s="2928" t="s">
        <v>746</v>
      </c>
      <c r="AN110" s="2918"/>
      <c r="AO110" s="2929"/>
      <c r="AP110" s="2956" t="s">
        <v>745</v>
      </c>
      <c r="AQ110" s="2957"/>
      <c r="AR110" s="2917" t="s">
        <v>744</v>
      </c>
      <c r="AS110" s="2918"/>
      <c r="AT110" s="2958" t="s">
        <v>3</v>
      </c>
      <c r="AU110" s="2959"/>
      <c r="AV110" s="2959"/>
      <c r="AW110" s="2959" t="s">
        <v>743</v>
      </c>
      <c r="AX110" s="2960"/>
      <c r="AY110" s="2928" t="s">
        <v>3</v>
      </c>
      <c r="AZ110" s="2918"/>
      <c r="BA110" s="2919"/>
      <c r="BB110" s="542" t="str">
        <f>IF(CA112="","","●")</f>
        <v>●</v>
      </c>
      <c r="BC110" s="2930" t="s">
        <v>742</v>
      </c>
      <c r="BD110" s="2930"/>
      <c r="BE110" s="2930"/>
      <c r="BF110" s="2931"/>
      <c r="BG110" s="542" t="str">
        <f>IF(CA113="","","●")</f>
        <v>●</v>
      </c>
      <c r="BH110" s="2930" t="s">
        <v>741</v>
      </c>
      <c r="BI110" s="2930"/>
      <c r="BJ110" s="2930"/>
      <c r="BK110" s="2931"/>
      <c r="BL110" s="542" t="str">
        <f>IF(CA114="","","●")</f>
        <v/>
      </c>
      <c r="BM110" s="2930" t="s">
        <v>764</v>
      </c>
      <c r="BN110" s="2930"/>
      <c r="BO110" s="2930"/>
      <c r="BP110" s="2932"/>
      <c r="BQ110" s="2974" t="s">
        <v>740</v>
      </c>
      <c r="BR110" s="2975"/>
      <c r="BS110" s="2975"/>
      <c r="BT110" s="2976"/>
      <c r="BU110" s="19"/>
      <c r="BX110" s="97" t="str">
        <f>IF(LEFT(C111,2)=" B",-MID(C111,3,1),IF(C111="  RF","",LEFT(C111,3)))</f>
        <v xml:space="preserve"> 10</v>
      </c>
      <c r="BY110" s="541" t="str">
        <f>IF(OR(C111="",C111="  RF"),"",IF(LEFT(C111,1)="P","+",IF($BW$14&gt;BX110,"-",IF($BW$14=BX110,"=","+"))))</f>
        <v>+</v>
      </c>
      <c r="BZ110" s="2985" t="str">
        <f>"FCPEV 0.65-"&amp;CB109&amp;"Pr"</f>
        <v>FCPEV 0.65-150Pr</v>
      </c>
      <c r="CA110" s="2986"/>
      <c r="CB110" s="2986"/>
      <c r="CC110" s="2986"/>
      <c r="CD110" s="62"/>
      <c r="CE110" s="156" t="s">
        <v>763</v>
      </c>
      <c r="CF110" s="540">
        <f>F111</f>
        <v>4</v>
      </c>
      <c r="CG110" s="540">
        <f>CG113+(1+INT(AR111/10))*($AG$9+$AG$8)/1000</f>
        <v>2</v>
      </c>
      <c r="CH110" s="539"/>
      <c r="CI110" s="189">
        <f>CH113</f>
        <v>0</v>
      </c>
      <c r="CJ110" s="260"/>
      <c r="CK110" s="528">
        <f>IF(E114="不","",(CG109+CG110+CI109+CI110)*T111/L111)</f>
        <v>36.575999999999993</v>
      </c>
      <c r="CL110" s="528">
        <f>IF(E114="不","",SUM(CG112:CH112)+SUM(CG113:CH113)*T111/L111)</f>
        <v>162</v>
      </c>
      <c r="CM110" s="527" t="s">
        <v>8</v>
      </c>
      <c r="CN110" s="15"/>
      <c r="CO110" s="46" t="str">
        <f>Q114</f>
        <v>TIVF 0.8-2C</v>
      </c>
      <c r="CP110" s="520">
        <f>AK114</f>
        <v>640</v>
      </c>
      <c r="CR110" s="519" t="str">
        <f>IF(CS110="","",IF($J$14="A","PHSアンテナ"))</f>
        <v/>
      </c>
      <c r="CS110" s="189" t="str">
        <f>BL111</f>
        <v/>
      </c>
      <c r="CU110" s="8"/>
      <c r="CV110" s="197">
        <f t="shared" si="46"/>
        <v>6</v>
      </c>
      <c r="CW110" s="197" t="str">
        <f t="shared" si="45"/>
        <v/>
      </c>
      <c r="CX110" s="10" t="str">
        <f>CO109</f>
        <v>電子釦 0.4- 4Pr</v>
      </c>
      <c r="CY110" s="8"/>
      <c r="CZ110" s="249" t="str">
        <f>IF(COUNTIF($CZ$10:$CZ109,CX110)&gt;0,"",CX110)</f>
        <v/>
      </c>
      <c r="DA110" s="515">
        <f>CP109</f>
        <v>121.91999999999999</v>
      </c>
      <c r="DB110" s="514">
        <f>SUMIF($CX$20:$CX$182,CZ110,$DA$20:$DA$182)</f>
        <v>0</v>
      </c>
      <c r="DC110" s="8"/>
      <c r="DD110" s="8"/>
      <c r="DE110" s="197">
        <f t="shared" si="60"/>
        <v>14</v>
      </c>
      <c r="DF110" s="197" t="str">
        <f t="shared" si="61"/>
        <v/>
      </c>
      <c r="DG110" s="207" t="str">
        <f>CO113</f>
        <v>CD-22mm</v>
      </c>
      <c r="DH110" s="8"/>
      <c r="DI110" s="249" t="str">
        <f>IF(COUNTIF(DG$18:$DG109,DG110)&gt;0,"",DG110)</f>
        <v/>
      </c>
      <c r="DJ110" s="515">
        <f>CP113</f>
        <v>324</v>
      </c>
      <c r="DK110" s="514">
        <f t="shared" si="62"/>
        <v>0</v>
      </c>
      <c r="DL110" s="8"/>
      <c r="DM110" s="8"/>
      <c r="DN110" s="197">
        <f>IF(DR110&lt;&gt;"",DN109+1,DN109)</f>
        <v>4</v>
      </c>
      <c r="DO110" s="197">
        <f t="shared" si="63"/>
        <v>4</v>
      </c>
      <c r="DP110" s="207" t="str">
        <f>CR109</f>
        <v>内線電話機</v>
      </c>
      <c r="DQ110" s="8"/>
      <c r="DR110" s="249" t="str">
        <f>IF(COUNTIF(DP$18:$DP109,DP110)&gt;0,"",DP110)</f>
        <v/>
      </c>
      <c r="DS110" s="198">
        <f>CS109</f>
        <v>8</v>
      </c>
      <c r="DT110" s="514">
        <f t="shared" si="64"/>
        <v>0</v>
      </c>
    </row>
    <row r="111" spans="1:124" ht="10.5" customHeight="1" thickBot="1">
      <c r="B111" s="23"/>
      <c r="C111" s="2987" t="str">
        <f>IF($B$2=0,"",非誘!C89)</f>
        <v xml:space="preserve"> 10F</v>
      </c>
      <c r="D111" s="2988"/>
      <c r="E111" s="2988"/>
      <c r="F111" s="2989">
        <f>IF($B$2=0,"",非誘!F89)</f>
        <v>4</v>
      </c>
      <c r="G111" s="2989"/>
      <c r="H111" s="2989"/>
      <c r="I111" s="2989">
        <f>IF($B$2=0,"",非誘!J89)</f>
        <v>3</v>
      </c>
      <c r="J111" s="2989"/>
      <c r="K111" s="2989"/>
      <c r="L111" s="2990">
        <f>IF($B$2=0,"",非誘!N89)</f>
        <v>1152</v>
      </c>
      <c r="M111" s="2990"/>
      <c r="N111" s="2990"/>
      <c r="O111" s="2990"/>
      <c r="P111" s="2991">
        <f>IF($B$2=0,"",非誘!S89)</f>
        <v>806.4</v>
      </c>
      <c r="Q111" s="2991"/>
      <c r="R111" s="2991"/>
      <c r="S111" s="2991"/>
      <c r="T111" s="2991">
        <f>IF($B$2=0,"",非誘!W89)</f>
        <v>345.6</v>
      </c>
      <c r="U111" s="2992"/>
      <c r="V111" s="2992"/>
      <c r="W111" s="2992"/>
      <c r="X111" s="2993">
        <f>IF($B$2=0,"",非誘!AA89)</f>
        <v>3</v>
      </c>
      <c r="Y111" s="2993"/>
      <c r="Z111" s="2993"/>
      <c r="AA111" s="2993">
        <f>IF($B$2=0,"",非誘!AD89)</f>
        <v>9</v>
      </c>
      <c r="AB111" s="2993"/>
      <c r="AC111" s="2994"/>
      <c r="AD111" s="2966">
        <f>IF($B$2=0,"",CB109*CC109)</f>
        <v>150</v>
      </c>
      <c r="AE111" s="2967"/>
      <c r="AF111" s="2968"/>
      <c r="AG111" s="2969">
        <f>IF($B$2=0,"",放送!CB105)</f>
        <v>0</v>
      </c>
      <c r="AH111" s="2967"/>
      <c r="AI111" s="2968"/>
      <c r="AJ111" s="2970" t="str">
        <f>IF($B$2=0,"",IF(TV!AT23="設置","Space","---"))</f>
        <v>Space</v>
      </c>
      <c r="AK111" s="2971"/>
      <c r="AL111" s="2971"/>
      <c r="AM111" s="2969"/>
      <c r="AN111" s="2967"/>
      <c r="AO111" s="2968"/>
      <c r="AP111" s="2972"/>
      <c r="AQ111" s="2973"/>
      <c r="AR111" s="2923">
        <f>IF($B$2=0,"",IF(AZ111="",CB113,AZ111))</f>
        <v>8</v>
      </c>
      <c r="AS111" s="2924"/>
      <c r="AT111" s="538" t="s">
        <v>106</v>
      </c>
      <c r="AU111" s="2946"/>
      <c r="AV111" s="2947"/>
      <c r="AW111" s="2923">
        <f>IF($B$2=0,"",IF(CA112="",0,IF(AZ111="",CB112,AZ111)))</f>
        <v>40</v>
      </c>
      <c r="AX111" s="2924"/>
      <c r="AY111" s="538" t="s">
        <v>106</v>
      </c>
      <c r="AZ111" s="2999"/>
      <c r="BA111" s="3000"/>
      <c r="BB111" s="2951">
        <f>IF(OR($J$14&lt;&gt;"A",CA112=""),"",IF(BE111&lt;&gt;"",BE111,CB112))</f>
        <v>40</v>
      </c>
      <c r="BC111" s="2952"/>
      <c r="BD111" s="537" t="s">
        <v>106</v>
      </c>
      <c r="BE111" s="2938"/>
      <c r="BF111" s="2938"/>
      <c r="BG111" s="2951">
        <f>IF(C111="","",IF(OR($J$14&lt;&gt;"A",CA113=""),"",IF(BJ111&lt;&gt;"",BE111,CB113)))</f>
        <v>8</v>
      </c>
      <c r="BH111" s="2952"/>
      <c r="BI111" s="537" t="s">
        <v>106</v>
      </c>
      <c r="BJ111" s="2938"/>
      <c r="BK111" s="2938"/>
      <c r="BL111" s="2951" t="str">
        <f>IF(OR($J$14&lt;&gt;"A",CA114=""),"",IF(BO111&lt;&gt;"",BO111,CB114))</f>
        <v/>
      </c>
      <c r="BM111" s="2952"/>
      <c r="BN111" s="537" t="s">
        <v>106</v>
      </c>
      <c r="BO111" s="2964"/>
      <c r="BP111" s="2965"/>
      <c r="BQ111" s="2939" t="str">
        <f>IF(BQ109="設置","Ｅt","")</f>
        <v/>
      </c>
      <c r="BR111" s="2845"/>
      <c r="BS111" s="2845"/>
      <c r="BT111" s="2940"/>
      <c r="BU111" s="19"/>
      <c r="BW111" s="89" t="str">
        <f>AP108</f>
        <v>Ⓖ</v>
      </c>
      <c r="BX111" s="263">
        <f>IF(C111="","",IF(BW111="Ⓐ",BX109+BY109+3,IF(BW111="Ⓑ",BX109*5/8+BY109+3,IF(BW111="Ⓒ",BX109/2+BY109+3,IF(BW111="Ⓓ",BX109+BY109*5/8+3,IF(BW111="Ⓔ",(BX109+BY109)*5/8+3,IF(BW111="Ⓕ",BX109/2+BY109*5/8+3,IF(BW111="Ⓖ",BX109+BY109/2+3,IF(BW111="Ⓗ",BX109*5/8+BY109/2+3,IF(BW111="Ⓘ",(BX109+BY109)/2+3))))))))))</f>
        <v>27</v>
      </c>
      <c r="BY111" s="86">
        <f>IF(C111="",0,IF(BY110="=",BZ108,IF(BY110="-",CA108,CB108)))</f>
        <v>147</v>
      </c>
      <c r="BZ111" s="156"/>
      <c r="CA111" s="536" t="str">
        <f>IF(CA109&lt;=30,"25",IF(CA109&lt;=50,"31",IF(CA109&lt;=100,"39",IF(CA109&lt;=200,"51",""))))</f>
        <v>31</v>
      </c>
      <c r="CB111" s="535" t="str">
        <f>IF(CA109&lt;=30,"22",IF(CA109&lt;=50,"28",IF(CA109&lt;=100,"36",IF(CA109&lt;=200,"42",""))))</f>
        <v>28</v>
      </c>
      <c r="CC111" s="122"/>
      <c r="CD111" s="534"/>
      <c r="CE111" s="156" t="s">
        <v>738</v>
      </c>
      <c r="CF111" s="533"/>
      <c r="CG111" s="189">
        <f>IF($B$2="","",IF($AQ$8=0,0,0.02*($AQ$8/1000-0.15-0.1)*(INT(1000*BX109/$AQ$9)+1)*(INT(1000*BY109/$AQ$9)+1)*4*(AR111+AW111)))</f>
        <v>25.919999999999995</v>
      </c>
      <c r="CH111" s="532"/>
      <c r="CI111" s="531"/>
      <c r="CJ111" s="15"/>
      <c r="CK111" s="528">
        <f>IF(E113="不","",SUM(CH109+CJ109)*MAX(P111:W111)/L111)</f>
        <v>448</v>
      </c>
      <c r="CL111" s="528">
        <f>IF(E113="不","",CJ112)</f>
        <v>200.20851011026986</v>
      </c>
      <c r="CM111" s="527" t="s">
        <v>7</v>
      </c>
      <c r="CN111" s="15"/>
      <c r="CO111" s="252" t="str">
        <f>IF(CP111="","","導入線 1.2mmφ")</f>
        <v>導入線 1.2mmφ</v>
      </c>
      <c r="CP111" s="184">
        <f>1.1*INT(SUM(CP112:CP114))</f>
        <v>580.80000000000007</v>
      </c>
      <c r="CR111" s="519" t="str">
        <f>IF(CS111="","",IF($J$14="A","PHS電話機"))</f>
        <v/>
      </c>
      <c r="CS111" s="189" t="str">
        <f>IF(CS110="","",INT(CS110*1.5))</f>
        <v/>
      </c>
      <c r="CU111" s="8"/>
      <c r="CV111" s="197">
        <f t="shared" si="46"/>
        <v>6</v>
      </c>
      <c r="CW111" s="197" t="str">
        <f t="shared" si="45"/>
        <v/>
      </c>
      <c r="CX111" s="10" t="str">
        <f>CO110</f>
        <v>TIVF 0.8-2C</v>
      </c>
      <c r="CY111" s="8"/>
      <c r="CZ111" s="249" t="str">
        <f>IF(COUNTIF($CZ$10:$CZ110,CX111)&gt;0,"",CX111)</f>
        <v/>
      </c>
      <c r="DA111" s="515">
        <f>CP110</f>
        <v>640</v>
      </c>
      <c r="DB111" s="514">
        <f>SUMIF($CX$20:$CX$182,CZ111,$DA$20:$DA$182)</f>
        <v>0</v>
      </c>
      <c r="DC111" s="8"/>
      <c r="DD111" s="8"/>
      <c r="DE111" s="197">
        <f t="shared" si="60"/>
        <v>14</v>
      </c>
      <c r="DF111" s="197" t="str">
        <f t="shared" si="61"/>
        <v/>
      </c>
      <c r="DG111" s="207" t="str">
        <f>CO114</f>
        <v>フロアダクト FC-6</v>
      </c>
      <c r="DH111" s="8"/>
      <c r="DI111" s="249" t="str">
        <f>IF(COUNTIF(DG$18:$DG110,DG111)&gt;0,"",DG111)</f>
        <v/>
      </c>
      <c r="DJ111" s="515">
        <f>CP114</f>
        <v>200.20851011026986</v>
      </c>
      <c r="DK111" s="514">
        <f t="shared" si="62"/>
        <v>0</v>
      </c>
      <c r="DL111" s="8"/>
      <c r="DM111" s="8"/>
      <c r="DN111" s="197">
        <f>IF(DR111&lt;&gt;"",DN110+1,DN110)</f>
        <v>4</v>
      </c>
      <c r="DO111" s="197" t="str">
        <f t="shared" si="63"/>
        <v/>
      </c>
      <c r="DP111" s="10" t="str">
        <f>CR110</f>
        <v/>
      </c>
      <c r="DQ111" s="8"/>
      <c r="DR111" s="249" t="str">
        <f>IF(COUNTIF(DP$18:$DP110,DP111)&gt;0,"",DP111)</f>
        <v/>
      </c>
      <c r="DS111" s="198" t="str">
        <f>CS110</f>
        <v/>
      </c>
      <c r="DT111" s="514">
        <f t="shared" si="64"/>
        <v>0</v>
      </c>
    </row>
    <row r="112" spans="1:124" ht="10.5" customHeight="1" thickBot="1">
      <c r="B112" s="23"/>
      <c r="C112" s="3048" t="s">
        <v>737</v>
      </c>
      <c r="D112" s="3049"/>
      <c r="E112" s="3049"/>
      <c r="F112" s="3049"/>
      <c r="G112" s="3049"/>
      <c r="H112" s="3049"/>
      <c r="I112" s="3049"/>
      <c r="J112" s="3050" t="s">
        <v>736</v>
      </c>
      <c r="K112" s="3051"/>
      <c r="L112" s="3051"/>
      <c r="M112" s="3051"/>
      <c r="N112" s="3052" t="s">
        <v>735</v>
      </c>
      <c r="O112" s="2891"/>
      <c r="P112" s="2892"/>
      <c r="Q112" s="3057" t="str">
        <f>IF(OR($B$2=0,$J$14="C"),"",IF(Z112="",BZ110,Z112))</f>
        <v>FCPEV 0.65-150Pr</v>
      </c>
      <c r="R112" s="3057"/>
      <c r="S112" s="3057"/>
      <c r="T112" s="3057"/>
      <c r="U112" s="3057"/>
      <c r="V112" s="3057"/>
      <c r="W112" s="3057"/>
      <c r="X112" s="3057"/>
      <c r="Y112" s="524" t="s">
        <v>106</v>
      </c>
      <c r="Z112" s="2902"/>
      <c r="AA112" s="2903"/>
      <c r="AB112" s="2903"/>
      <c r="AC112" s="2903"/>
      <c r="AD112" s="2903"/>
      <c r="AE112" s="2903"/>
      <c r="AF112" s="2903"/>
      <c r="AG112" s="2904"/>
      <c r="AH112" s="2877" t="s">
        <v>734</v>
      </c>
      <c r="AI112" s="2878"/>
      <c r="AJ112" s="2879"/>
      <c r="AK112" s="3058">
        <f>IF($B$2=0,"",IF(AP112&lt;&gt;"",AP112,IF($J$14="C","",SUM(CF109:CF110)*CC109)))</f>
        <v>6</v>
      </c>
      <c r="AL112" s="3058"/>
      <c r="AM112" s="3058"/>
      <c r="AN112" s="3058"/>
      <c r="AO112" s="524" t="s">
        <v>106</v>
      </c>
      <c r="AP112" s="2911"/>
      <c r="AQ112" s="2912"/>
      <c r="AR112" s="2912"/>
      <c r="AS112" s="2913"/>
      <c r="AT112" s="2890" t="s">
        <v>733</v>
      </c>
      <c r="AU112" s="2891"/>
      <c r="AV112" s="2892"/>
      <c r="AW112" s="2899" t="str">
        <f>IF($B$2=0,"",IF(BE112&lt;&gt;"",BE112,IF(BB108=2,"PF-"&amp;CB111&amp;"mm",IF(OR(BB108=3,BB108=6),"C-"&amp;CA111&amp;"mm",IF(OR(BB108=4,BB108=7),"G-"&amp;CB111&amp;"mm",IF(OR(BB108=1,BB108=5),"CD-"&amp;CB111&amp;"mm",""))))))</f>
        <v>CD-28mm</v>
      </c>
      <c r="AX112" s="2900"/>
      <c r="AY112" s="2900"/>
      <c r="AZ112" s="2900"/>
      <c r="BA112" s="2900"/>
      <c r="BB112" s="2900"/>
      <c r="BC112" s="2901"/>
      <c r="BD112" s="524" t="s">
        <v>106</v>
      </c>
      <c r="BE112" s="2902"/>
      <c r="BF112" s="2903"/>
      <c r="BG112" s="2903"/>
      <c r="BH112" s="2903"/>
      <c r="BI112" s="2903"/>
      <c r="BJ112" s="2904"/>
      <c r="BK112" s="2877" t="s">
        <v>732</v>
      </c>
      <c r="BL112" s="2878"/>
      <c r="BM112" s="2879"/>
      <c r="BN112" s="2914">
        <f>IF($B$2=0,"",IF(BR112="",CF113*CC109,BR112))</f>
        <v>4</v>
      </c>
      <c r="BO112" s="2915"/>
      <c r="BP112" s="2916"/>
      <c r="BQ112" s="524" t="s">
        <v>106</v>
      </c>
      <c r="BR112" s="3202"/>
      <c r="BS112" s="3203"/>
      <c r="BT112" s="3204"/>
      <c r="BU112" s="19"/>
      <c r="BX112" s="530"/>
      <c r="BY112" s="46"/>
      <c r="BZ112" s="106" t="s">
        <v>731</v>
      </c>
      <c r="CA112" s="529" t="str">
        <f>IF(P111="","",IF(OR(I108="(1) ロ",I108="( 4 )",I108="(5) イ",I108="(6) イ",I108="(6) ロ",I108="(6) ハ",I108="( 7 )",I108="( 8 )",I108="( 15)"),"1",""))</f>
        <v>1</v>
      </c>
      <c r="CB112" s="151">
        <f>IF(P111="",0,INT(P111/20))</f>
        <v>40</v>
      </c>
      <c r="CC112" s="122">
        <f>IF(CA112="",0,CB112)</f>
        <v>40</v>
      </c>
      <c r="CD112" s="6"/>
      <c r="CE112" s="156" t="s">
        <v>730</v>
      </c>
      <c r="CF112" s="189"/>
      <c r="CG112" s="189">
        <f>BX111*(1+INT(AR111/10))+CG114</f>
        <v>27</v>
      </c>
      <c r="CH112" s="189">
        <f>IF(AW111="",0,BX111*(1+INT(AW111/10)))</f>
        <v>135</v>
      </c>
      <c r="CI112" s="82" t="s">
        <v>729</v>
      </c>
      <c r="CJ112" s="98">
        <f>7.32*(AW111-2*SQRT(AW111))</f>
        <v>200.20851011026986</v>
      </c>
      <c r="CK112" s="528">
        <f>IF(E114="不","",SUM(CH109+CJ109)*T111/L111)</f>
        <v>192</v>
      </c>
      <c r="CL112" s="528">
        <f>CJ112</f>
        <v>200.20851011026986</v>
      </c>
      <c r="CM112" s="527" t="s">
        <v>8</v>
      </c>
      <c r="CN112" s="69"/>
      <c r="CO112" s="252" t="str">
        <f>AW112</f>
        <v>CD-28mm</v>
      </c>
      <c r="CP112" s="520">
        <f>BN112</f>
        <v>4</v>
      </c>
      <c r="CR112" s="519" t="str">
        <f>IF(CS112=0,"","C-OBox4角中深")</f>
        <v>C-OBox4角中深</v>
      </c>
      <c r="CS112" s="189">
        <f>IF($J$14="A",SUM(CS109:CS110),AR111)</f>
        <v>8</v>
      </c>
      <c r="CU112" s="8"/>
      <c r="CV112" s="197">
        <f t="shared" si="46"/>
        <v>6</v>
      </c>
      <c r="CW112" s="197" t="str">
        <f t="shared" si="45"/>
        <v/>
      </c>
      <c r="CX112" s="207" t="str">
        <f>IF(BQ111="","","IV-14sq")</f>
        <v/>
      </c>
      <c r="CY112" s="8"/>
      <c r="CZ112" s="249" t="str">
        <f>IF(COUNTIF($CZ$10:$CZ111,CX112)&gt;0,"",CX112)</f>
        <v/>
      </c>
      <c r="DA112" s="515" t="str">
        <f>IF(BQ111="","",BX111+BY109+15)</f>
        <v/>
      </c>
      <c r="DB112" s="514">
        <f>SUMIF($CX$20:$CX$182,CZ112,$DA$20:$DA$182)</f>
        <v>0</v>
      </c>
      <c r="DD112" s="8"/>
      <c r="DE112" s="197">
        <f>IF(DJ112&lt;&gt;"",DE111+1,DE111)</f>
        <v>14</v>
      </c>
      <c r="DF112" s="197" t="str">
        <f>IF(AND(DE112&lt;&gt;"",DJ112&lt;&gt;""),DE112,"")</f>
        <v/>
      </c>
      <c r="DG112" s="207"/>
      <c r="DH112" s="8"/>
      <c r="DI112" s="249"/>
      <c r="DJ112" s="515"/>
      <c r="DK112" s="514">
        <f t="shared" si="62"/>
        <v>0</v>
      </c>
      <c r="DM112" s="8"/>
      <c r="DN112" s="197">
        <f>IF(DR112&lt;&gt;"",DN111+1,DN111)</f>
        <v>4</v>
      </c>
      <c r="DO112" s="197" t="str">
        <f t="shared" si="63"/>
        <v/>
      </c>
      <c r="DP112" s="10" t="str">
        <f>CR111</f>
        <v/>
      </c>
      <c r="DQ112" s="8"/>
      <c r="DR112" s="249" t="str">
        <f>IF(COUNTIF(DP$18:$DP111,DP112)&gt;0,"",DP112)</f>
        <v/>
      </c>
      <c r="DS112" s="198" t="str">
        <f>CS111</f>
        <v/>
      </c>
      <c r="DT112" s="514">
        <f t="shared" si="64"/>
        <v>0</v>
      </c>
    </row>
    <row r="113" spans="1:124" ht="10.5" customHeight="1">
      <c r="B113" s="23"/>
      <c r="C113" s="3205" t="s">
        <v>728</v>
      </c>
      <c r="D113" s="3205"/>
      <c r="E113" s="3016" t="str">
        <f>IF($D$9="不要","不",IF(H113="","要",H113))</f>
        <v>要</v>
      </c>
      <c r="F113" s="3016"/>
      <c r="G113" s="523" t="s">
        <v>724</v>
      </c>
      <c r="H113" s="3017"/>
      <c r="I113" s="3018"/>
      <c r="J113" s="3019" t="s">
        <v>727</v>
      </c>
      <c r="K113" s="3020"/>
      <c r="L113" s="3020"/>
      <c r="M113" s="3021"/>
      <c r="N113" s="3053"/>
      <c r="O113" s="2894"/>
      <c r="P113" s="2895"/>
      <c r="Q113" s="3025" t="str">
        <f>IF(OR($B$2=0,$J$14="C"),"",IF(Z113&lt;&gt;"",Z113,"電子釦 0.4- 4Pr"))</f>
        <v>電子釦 0.4- 4Pr</v>
      </c>
      <c r="R113" s="2933"/>
      <c r="S113" s="2933"/>
      <c r="T113" s="2933"/>
      <c r="U113" s="2933"/>
      <c r="V113" s="2933"/>
      <c r="W113" s="2933"/>
      <c r="X113" s="2934"/>
      <c r="Y113" s="526" t="s">
        <v>724</v>
      </c>
      <c r="Z113" s="3026"/>
      <c r="AA113" s="3027"/>
      <c r="AB113" s="3027"/>
      <c r="AC113" s="3027"/>
      <c r="AD113" s="3027"/>
      <c r="AE113" s="3027"/>
      <c r="AF113" s="3027"/>
      <c r="AG113" s="3028"/>
      <c r="AH113" s="2880" t="s">
        <v>725</v>
      </c>
      <c r="AI113" s="2881"/>
      <c r="AJ113" s="2882"/>
      <c r="AK113" s="2995">
        <f>IF($B$2=0,"",IF(AP113&lt;&gt;"",AP113,IF($J$14="C","",SUM(CK109:CK110))))</f>
        <v>121.91999999999999</v>
      </c>
      <c r="AL113" s="2995"/>
      <c r="AM113" s="2995"/>
      <c r="AN113" s="2995"/>
      <c r="AO113" s="526" t="s">
        <v>724</v>
      </c>
      <c r="AP113" s="2996"/>
      <c r="AQ113" s="2997"/>
      <c r="AR113" s="2997"/>
      <c r="AS113" s="2998"/>
      <c r="AT113" s="2893"/>
      <c r="AU113" s="2894"/>
      <c r="AV113" s="2895"/>
      <c r="AW113" s="2933" t="str">
        <f>IF($B$2=0,"",IF(BE113&lt;&gt;"",BE113,IF(BB108=2,"PF-22mm",IF(OR(BB108=3,BB108=6),"C-25mm",IF(OR(BB108=4,BB108=7),"G-22mm",IF(OR(BB108=1,BB108=5),"CD-22mm",""))))))</f>
        <v>CD-22mm</v>
      </c>
      <c r="AX113" s="2933"/>
      <c r="AY113" s="2933"/>
      <c r="AZ113" s="2933"/>
      <c r="BA113" s="2933"/>
      <c r="BB113" s="2933"/>
      <c r="BC113" s="2934"/>
      <c r="BD113" s="526" t="s">
        <v>724</v>
      </c>
      <c r="BE113" s="2935"/>
      <c r="BF113" s="2936"/>
      <c r="BG113" s="2936"/>
      <c r="BH113" s="2936"/>
      <c r="BI113" s="2936"/>
      <c r="BJ113" s="2937"/>
      <c r="BK113" s="2880" t="s">
        <v>725</v>
      </c>
      <c r="BL113" s="2881"/>
      <c r="BM113" s="2882"/>
      <c r="BN113" s="2948">
        <f>IF($B$2=0,"",IF(BR113="",SUM(CL109:CL110),BR113))</f>
        <v>324</v>
      </c>
      <c r="BO113" s="2949"/>
      <c r="BP113" s="2950"/>
      <c r="BQ113" s="525" t="s">
        <v>724</v>
      </c>
      <c r="BR113" s="3029"/>
      <c r="BS113" s="3030"/>
      <c r="BT113" s="3031"/>
      <c r="BU113" s="19"/>
      <c r="BX113" s="49">
        <f>1+INT(L111/600)</f>
        <v>2</v>
      </c>
      <c r="BY113" s="46"/>
      <c r="BZ113" s="106" t="s">
        <v>723</v>
      </c>
      <c r="CA113" s="522" t="str">
        <f>"1"</f>
        <v>1</v>
      </c>
      <c r="CB113" s="151">
        <f>IF(CA112="",INT(T111/40)+CB112,INT(T111/40))</f>
        <v>8</v>
      </c>
      <c r="CC113" s="122">
        <f>IF(CB113="",0,CB113)</f>
        <v>8</v>
      </c>
      <c r="CD113" s="6"/>
      <c r="CE113" s="156" t="s">
        <v>722</v>
      </c>
      <c r="CF113" s="189">
        <f>F111</f>
        <v>4</v>
      </c>
      <c r="CG113" s="189">
        <f>IF(BB108&lt;=4,(2*F111-(R97+R99)/1000)*AR111,((R98+R99)/1000)*AR111)</f>
        <v>0</v>
      </c>
      <c r="CH113" s="189">
        <f>2*(R99/1000)*AR111</f>
        <v>0</v>
      </c>
      <c r="CI113" s="82" t="s">
        <v>721</v>
      </c>
      <c r="CJ113" s="86">
        <f>AW111</f>
        <v>40</v>
      </c>
      <c r="CK113" s="38"/>
      <c r="CL113" s="38"/>
      <c r="CM113" s="38"/>
      <c r="CN113" s="38"/>
      <c r="CO113" s="252" t="str">
        <f>AW113</f>
        <v>CD-22mm</v>
      </c>
      <c r="CP113" s="520">
        <f>BN113</f>
        <v>324</v>
      </c>
      <c r="CR113" s="519" t="str">
        <f>IF(CS113="","",IF(LEFT(AW114,1)="フ","ジャンクションボックス 2Duct","C-OBox4角大深"))</f>
        <v>ジャンクションボックス 2Duct</v>
      </c>
      <c r="CS113" s="189">
        <f>IF(AW111=0,"",AW111)</f>
        <v>40</v>
      </c>
      <c r="CU113" s="8"/>
      <c r="CV113" s="197">
        <f t="shared" si="46"/>
        <v>6</v>
      </c>
      <c r="CW113" s="197" t="str">
        <f t="shared" si="45"/>
        <v/>
      </c>
      <c r="CX113" s="207" t="str">
        <f>IF(BQ111="","","VE-22mm")</f>
        <v/>
      </c>
      <c r="CY113" s="8"/>
      <c r="CZ113" s="249" t="str">
        <f>IF(COUNTIF($CZ$10:$CZ112,CX113)&gt;0,"",CX113)</f>
        <v/>
      </c>
      <c r="DA113" s="515" t="str">
        <f>IF(BQ111="","",DA112-10)</f>
        <v/>
      </c>
      <c r="DB113" s="514">
        <f>SUMIF($CX$20:$CX$182,CZ113,$DA$20:$DA$182)</f>
        <v>0</v>
      </c>
      <c r="DD113" s="8"/>
      <c r="DE113" s="197">
        <f t="shared" ref="DE113:DE119" si="65">IF(DI113&lt;&gt;"",DE112+1,DE112)</f>
        <v>14</v>
      </c>
      <c r="DF113" s="197" t="str">
        <f t="shared" ref="DF113:DF119" si="66">IF(AND(DE113&lt;&gt;"",DI113&lt;&gt;""),DE113,"")</f>
        <v/>
      </c>
      <c r="DG113" s="207" t="str">
        <f>CR112</f>
        <v>C-OBox4角中深</v>
      </c>
      <c r="DH113" s="8"/>
      <c r="DI113" s="249" t="str">
        <f>IF(COUNTIF(DG$18:$DG112,DG113)&gt;0,"",DG113)</f>
        <v/>
      </c>
      <c r="DJ113" s="515">
        <f>CS112</f>
        <v>8</v>
      </c>
      <c r="DK113" s="514">
        <f t="shared" si="62"/>
        <v>0</v>
      </c>
      <c r="DM113" s="8"/>
      <c r="DN113" s="197">
        <f>IF(DS113&lt;&gt;"",DN112+1,DN112)</f>
        <v>4</v>
      </c>
      <c r="DO113" s="197" t="str">
        <f t="shared" si="63"/>
        <v/>
      </c>
      <c r="DP113" s="10" t="str">
        <f>IF(BQ109="","","電話交換機")</f>
        <v/>
      </c>
      <c r="DQ113" s="8"/>
      <c r="DR113" s="249" t="str">
        <f>IF(COUNTIF(DP$18:$DP112,DP113)&gt;0,"",DP113)</f>
        <v/>
      </c>
      <c r="DS113" s="198" t="str">
        <f>IF(DP113&lt;&gt;"",1,"")</f>
        <v/>
      </c>
      <c r="DT113" s="514">
        <f t="shared" si="64"/>
        <v>0</v>
      </c>
    </row>
    <row r="114" spans="1:124" ht="10.5" customHeight="1">
      <c r="B114" s="23"/>
      <c r="C114" s="2959" t="s">
        <v>720</v>
      </c>
      <c r="D114" s="2959"/>
      <c r="E114" s="3016" t="str">
        <f>IF($D$9="不要","不",IF(H114="","要",H114))</f>
        <v>要</v>
      </c>
      <c r="F114" s="3016"/>
      <c r="G114" s="525" t="s">
        <v>103</v>
      </c>
      <c r="H114" s="3017"/>
      <c r="I114" s="3018"/>
      <c r="J114" s="3022"/>
      <c r="K114" s="3023"/>
      <c r="L114" s="3023"/>
      <c r="M114" s="3024"/>
      <c r="N114" s="3054"/>
      <c r="O114" s="3055"/>
      <c r="P114" s="3056"/>
      <c r="Q114" s="3201" t="str">
        <f>IF($B$2=0,"",IF(Z114&lt;&gt;"",Z114,"TIVF 0.8-2C"))</f>
        <v>TIVF 0.8-2C</v>
      </c>
      <c r="R114" s="3201"/>
      <c r="S114" s="3201"/>
      <c r="T114" s="3201"/>
      <c r="U114" s="3201"/>
      <c r="V114" s="3201"/>
      <c r="W114" s="3201"/>
      <c r="X114" s="3201"/>
      <c r="Y114" s="524" t="s">
        <v>103</v>
      </c>
      <c r="Z114" s="2941"/>
      <c r="AA114" s="2942"/>
      <c r="AB114" s="2942"/>
      <c r="AC114" s="2942"/>
      <c r="AD114" s="2942"/>
      <c r="AE114" s="2942"/>
      <c r="AF114" s="2942"/>
      <c r="AG114" s="3199"/>
      <c r="AH114" s="2883" t="s">
        <v>235</v>
      </c>
      <c r="AI114" s="2884"/>
      <c r="AJ114" s="2885"/>
      <c r="AK114" s="2953">
        <f>IF($B$2=0,"",IF(AP114&lt;&gt;"",AP114,IF($J$14="C","",SUM(CK111:CK112))))</f>
        <v>640</v>
      </c>
      <c r="AL114" s="2954"/>
      <c r="AM114" s="2954"/>
      <c r="AN114" s="2955"/>
      <c r="AO114" s="524" t="s">
        <v>103</v>
      </c>
      <c r="AP114" s="2911"/>
      <c r="AQ114" s="2912"/>
      <c r="AR114" s="2912"/>
      <c r="AS114" s="2913"/>
      <c r="AT114" s="2896"/>
      <c r="AU114" s="2897"/>
      <c r="AV114" s="2898"/>
      <c r="AW114" s="2939" t="str">
        <f>IF($B$2=0,"",IF(BN114="","",IF(BE114="","フロアダクト FC-6",BE114)))</f>
        <v>フロアダクト FC-6</v>
      </c>
      <c r="AX114" s="2845"/>
      <c r="AY114" s="2845"/>
      <c r="AZ114" s="2845"/>
      <c r="BA114" s="2845"/>
      <c r="BB114" s="2845"/>
      <c r="BC114" s="2940"/>
      <c r="BD114" s="524" t="s">
        <v>103</v>
      </c>
      <c r="BE114" s="2941"/>
      <c r="BF114" s="2942"/>
      <c r="BG114" s="2942"/>
      <c r="BH114" s="2942"/>
      <c r="BI114" s="2942"/>
      <c r="BJ114" s="2942"/>
      <c r="BK114" s="2883" t="s">
        <v>235</v>
      </c>
      <c r="BL114" s="2884"/>
      <c r="BM114" s="2885"/>
      <c r="BN114" s="2943">
        <f>IF($B$2=0,"",IF(BR114="",MAX(CL111:CL112),BR114))</f>
        <v>200.20851011026986</v>
      </c>
      <c r="BO114" s="2944"/>
      <c r="BP114" s="2945"/>
      <c r="BQ114" s="523" t="s">
        <v>103</v>
      </c>
      <c r="BR114" s="3200"/>
      <c r="BS114" s="3200"/>
      <c r="BT114" s="3200"/>
      <c r="BU114" s="19"/>
      <c r="BX114" s="47"/>
      <c r="BZ114" s="106" t="s">
        <v>766</v>
      </c>
      <c r="CA114" s="522" t="str">
        <f>IF(OR(I108="( 10)",I108="(12)イ"),"1","")</f>
        <v/>
      </c>
      <c r="CB114" s="151" t="str">
        <f>IF(CA114="","",INT(P111/200))</f>
        <v/>
      </c>
      <c r="CC114" s="122">
        <f>IF(CB114="",0,CB114)</f>
        <v>0</v>
      </c>
      <c r="CE114" s="156" t="s">
        <v>716</v>
      </c>
      <c r="CF114" s="521"/>
      <c r="CG114" s="189">
        <f>IF($AQ$8=0,1.5*2*(1+INT(2*BX109/($AQ$9/1000)))*(1+INT(2*BY109/($AQ$9/1000))),0)</f>
        <v>0</v>
      </c>
      <c r="CH114" s="82"/>
      <c r="CI114" s="82" t="s">
        <v>765</v>
      </c>
      <c r="CJ114" s="107">
        <f>AR111</f>
        <v>8</v>
      </c>
      <c r="CK114" s="12"/>
      <c r="CL114" s="12"/>
      <c r="CM114" s="12"/>
      <c r="CN114" s="12"/>
      <c r="CO114" s="252" t="str">
        <f>AW114</f>
        <v>フロアダクト FC-6</v>
      </c>
      <c r="CP114" s="520">
        <f>BN114</f>
        <v>200.20851011026986</v>
      </c>
      <c r="CR114" s="519" t="str">
        <f>IF(CS114="","","ローテンションアウトレット")</f>
        <v>ローテンションアウトレット</v>
      </c>
      <c r="CS114" s="189">
        <f>CS108</f>
        <v>40</v>
      </c>
      <c r="CV114" s="197">
        <f t="shared" si="46"/>
        <v>6</v>
      </c>
      <c r="CW114" s="197" t="str">
        <f t="shared" si="45"/>
        <v/>
      </c>
      <c r="CX114" s="207"/>
      <c r="CY114" s="24"/>
      <c r="DA114" s="515"/>
      <c r="DB114" s="516"/>
      <c r="DE114" s="197">
        <f t="shared" si="65"/>
        <v>14</v>
      </c>
      <c r="DF114" s="197" t="str">
        <f t="shared" si="66"/>
        <v/>
      </c>
      <c r="DG114" s="207" t="str">
        <f>CR113</f>
        <v>ジャンクションボックス 2Duct</v>
      </c>
      <c r="DH114" s="24"/>
      <c r="DI114" s="249" t="str">
        <f>IF(COUNTIF(DG$18:$DG113,DG114)&gt;0,"",DG114)</f>
        <v/>
      </c>
      <c r="DJ114" s="515">
        <f>CS113</f>
        <v>40</v>
      </c>
      <c r="DK114" s="514">
        <f t="shared" si="62"/>
        <v>0</v>
      </c>
      <c r="DN114" s="197">
        <f>IF(DS114&lt;&gt;"",DN113+1,DN113)</f>
        <v>4</v>
      </c>
      <c r="DO114" s="197" t="str">
        <f t="shared" si="63"/>
        <v/>
      </c>
      <c r="DP114" s="10" t="str">
        <f>IF(BQ111="","","接地工事 Et")</f>
        <v/>
      </c>
      <c r="DQ114" s="24"/>
      <c r="DR114" s="249" t="str">
        <f>IF(COUNTIF(DP$18:$DP113,DP114)&gt;0,"",DP114)</f>
        <v/>
      </c>
      <c r="DS114" s="198" t="str">
        <f>IF(DP114&lt;&gt;"",1,"")</f>
        <v/>
      </c>
      <c r="DT114" s="514">
        <f t="shared" si="64"/>
        <v>0</v>
      </c>
    </row>
    <row r="115" spans="1:124" ht="10.5" customHeight="1">
      <c r="B115" s="23"/>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19"/>
      <c r="BZ115" s="114" t="str">
        <f>"="</f>
        <v>=</v>
      </c>
      <c r="CA115" s="114" t="str">
        <f>"－"</f>
        <v>－</v>
      </c>
      <c r="CB115" s="114" t="str">
        <f>"+"</f>
        <v>+</v>
      </c>
      <c r="CP115" s="555"/>
      <c r="CV115" s="197">
        <f t="shared" si="46"/>
        <v>6</v>
      </c>
      <c r="CW115" s="197" t="str">
        <f t="shared" si="45"/>
        <v/>
      </c>
      <c r="CY115" s="24"/>
      <c r="DA115" s="516"/>
      <c r="DB115" s="516"/>
      <c r="DE115" s="197">
        <f t="shared" si="65"/>
        <v>14</v>
      </c>
      <c r="DF115" s="197" t="str">
        <f t="shared" si="66"/>
        <v/>
      </c>
      <c r="DG115" s="207" t="str">
        <f>CR114</f>
        <v>ローテンションアウトレット</v>
      </c>
      <c r="DH115" s="24"/>
      <c r="DI115" s="249" t="str">
        <f>IF(COUNTIF(DG$18:$DG114,DG115)&gt;0,"",DG115)</f>
        <v/>
      </c>
      <c r="DJ115" s="515">
        <f>CS114</f>
        <v>40</v>
      </c>
      <c r="DK115" s="514">
        <f t="shared" si="62"/>
        <v>0</v>
      </c>
      <c r="DN115" s="197">
        <f>IF(DS115&lt;&gt;"",DN114+1,DN114)</f>
        <v>4</v>
      </c>
      <c r="DO115" s="197" t="str">
        <f>IF(AND(DN115&lt;&gt;"",DR115&lt;&gt;""),DN115,"")</f>
        <v/>
      </c>
      <c r="DP115" s="201"/>
      <c r="DQ115" s="24"/>
      <c r="DR115" s="249"/>
      <c r="DS115" s="198"/>
      <c r="DT115" s="514"/>
    </row>
    <row r="116" spans="1:124" ht="11.25" customHeight="1" thickBot="1">
      <c r="A116" s="46"/>
      <c r="B116" s="23"/>
      <c r="C116" s="3032" t="s">
        <v>112</v>
      </c>
      <c r="D116" s="3032"/>
      <c r="E116" s="3032"/>
      <c r="F116" s="3032"/>
      <c r="G116" s="3032"/>
      <c r="H116" s="3032"/>
      <c r="I116" s="3033" t="str">
        <f>非誘!J93</f>
        <v>( 4 )</v>
      </c>
      <c r="J116" s="3033"/>
      <c r="K116" s="3033"/>
      <c r="L116" s="3034"/>
      <c r="M116" s="3035" t="str">
        <f>非誘!M93</f>
        <v>百貨店等</v>
      </c>
      <c r="N116" s="2961"/>
      <c r="O116" s="2961"/>
      <c r="P116" s="2961"/>
      <c r="Q116" s="2961"/>
      <c r="R116" s="2961"/>
      <c r="S116" s="2961"/>
      <c r="T116" s="2961"/>
      <c r="U116" s="2961"/>
      <c r="V116" s="2961"/>
      <c r="W116" s="3036"/>
      <c r="X116" s="3037" t="s">
        <v>232</v>
      </c>
      <c r="Y116" s="3037"/>
      <c r="Z116" s="3037"/>
      <c r="AA116" s="3037"/>
      <c r="AB116" s="3038"/>
      <c r="AC116" s="2977" t="str">
        <f>非誘!AA93</f>
        <v>A</v>
      </c>
      <c r="AD116" s="2978"/>
      <c r="AE116" s="2917" t="s">
        <v>760</v>
      </c>
      <c r="AF116" s="2918"/>
      <c r="AG116" s="2918"/>
      <c r="AH116" s="2918"/>
      <c r="AI116" s="2919"/>
      <c r="AJ116" s="2979">
        <f>非誘!J94</f>
        <v>0.5</v>
      </c>
      <c r="AK116" s="2980"/>
      <c r="AL116" s="2981"/>
      <c r="AM116" s="2917" t="s">
        <v>759</v>
      </c>
      <c r="AN116" s="2918"/>
      <c r="AO116" s="2919"/>
      <c r="AP116" s="2920" t="str">
        <f>IF(OR($B$2=0,AS116=""),$BO$14,AS116)</f>
        <v>Ⓖ</v>
      </c>
      <c r="AQ116" s="2920"/>
      <c r="AR116" s="554" t="s">
        <v>103</v>
      </c>
      <c r="AS116" s="2921"/>
      <c r="AT116" s="2922"/>
      <c r="AU116" s="2875" t="s">
        <v>757</v>
      </c>
      <c r="AV116" s="2875"/>
      <c r="AW116" s="2875"/>
      <c r="AX116" s="2875"/>
      <c r="AY116" s="2875"/>
      <c r="AZ116" s="2875"/>
      <c r="BA116" s="2876"/>
      <c r="BB116" s="553">
        <f>IF(BC116="天井ケーブル",1,IF(BC116="天井(PF管)",2,IF(BC116="天井(C管)",3,IF(BC116="天井(G管)",4,IF(BC116="床(CD管)",5,IF(BC116="床(C管)",6,IF(BC116="床(G管)",7,"")))))))</f>
        <v>5</v>
      </c>
      <c r="BC116" s="2961" t="str">
        <f>IF($B$2=0,"",IF(BK116&lt;&gt;"",BK116,IF(I119="直天","天井(C管)","床(CD管)")))</f>
        <v>床(CD管)</v>
      </c>
      <c r="BD116" s="2962"/>
      <c r="BE116" s="2962"/>
      <c r="BF116" s="2962"/>
      <c r="BG116" s="2962"/>
      <c r="BH116" s="2962"/>
      <c r="BI116" s="2963"/>
      <c r="BJ116" s="552" t="s">
        <v>103</v>
      </c>
      <c r="BK116" s="2905"/>
      <c r="BL116" s="2906"/>
      <c r="BM116" s="2906"/>
      <c r="BN116" s="2906"/>
      <c r="BO116" s="2906"/>
      <c r="BP116" s="2907"/>
      <c r="BQ116" s="2982" t="s">
        <v>755</v>
      </c>
      <c r="BR116" s="2983"/>
      <c r="BS116" s="2983"/>
      <c r="BT116" s="2984"/>
      <c r="BU116" s="19"/>
      <c r="BV116" s="8">
        <v>13</v>
      </c>
      <c r="BX116" s="55" t="s">
        <v>229</v>
      </c>
      <c r="BY116" s="55" t="s">
        <v>228</v>
      </c>
      <c r="BZ116" s="534">
        <f>BY111+BY128+CA117</f>
        <v>195</v>
      </c>
      <c r="CA116" s="534">
        <f>CA117+BY111</f>
        <v>195</v>
      </c>
      <c r="CB116" s="38">
        <f>BY127+CA117</f>
        <v>99</v>
      </c>
      <c r="CC116" s="69"/>
      <c r="CD116" s="534"/>
      <c r="CE116" s="534"/>
      <c r="CF116" s="143" t="s">
        <v>754</v>
      </c>
      <c r="CG116" s="143" t="s">
        <v>753</v>
      </c>
      <c r="CH116" s="143" t="s">
        <v>753</v>
      </c>
      <c r="CI116" s="551" t="s">
        <v>752</v>
      </c>
      <c r="CJ116" s="551" t="s">
        <v>752</v>
      </c>
      <c r="CK116" s="550" t="s">
        <v>734</v>
      </c>
      <c r="CL116" s="550" t="s">
        <v>732</v>
      </c>
      <c r="CM116" s="46"/>
      <c r="CO116" s="46" t="str">
        <f>Q120</f>
        <v>FCPEV 0.65-100Pr</v>
      </c>
      <c r="CP116" s="520">
        <f>AK120</f>
        <v>6</v>
      </c>
      <c r="CR116" s="519" t="str">
        <f>IF(CS116="","",IF($J$14="A","多機能内線電話機",""))</f>
        <v>多機能内線電話機</v>
      </c>
      <c r="CS116" s="189">
        <f>BB119</f>
        <v>40</v>
      </c>
      <c r="CU116" s="88">
        <v>13</v>
      </c>
      <c r="CV116" s="204">
        <f t="shared" si="46"/>
        <v>6</v>
      </c>
      <c r="CW116" s="155" t="str">
        <f t="shared" ref="CW116:CW147" si="67">IF(AND(CV116&lt;&gt;"",CZ116&lt;&gt;""),CV116,"")</f>
        <v/>
      </c>
      <c r="CX116" s="45"/>
      <c r="CY116" s="45"/>
      <c r="CZ116" s="45"/>
      <c r="DA116" s="45"/>
      <c r="DB116" s="45"/>
      <c r="DD116" s="88">
        <v>13</v>
      </c>
      <c r="DE116" s="204">
        <f t="shared" si="65"/>
        <v>14</v>
      </c>
      <c r="DF116" s="155" t="str">
        <f t="shared" si="66"/>
        <v/>
      </c>
      <c r="DG116" s="549" t="str">
        <f>CO111</f>
        <v>導入線 1.2mmφ</v>
      </c>
      <c r="DH116" s="45"/>
      <c r="DI116" s="153" t="str">
        <f>IF(COUNTIF(DG$9:$DG115,DG116)&gt;0,"",DG116)</f>
        <v/>
      </c>
      <c r="DJ116" s="155">
        <f>CP111</f>
        <v>580.80000000000007</v>
      </c>
      <c r="DK116" s="548">
        <f>SUMIF($DG$11:$DG$182,DI116,$DJ$11:$DJ$182)</f>
        <v>0</v>
      </c>
      <c r="DM116" s="88">
        <v>13</v>
      </c>
      <c r="DN116" s="204">
        <f>IF(DS116&lt;&gt;"",DN115+1,DN115)</f>
        <v>4</v>
      </c>
      <c r="DO116" s="155" t="str">
        <f>IF(AND(DN116&lt;&gt;"",DR116&lt;&gt;""),DN116,"")</f>
        <v/>
      </c>
      <c r="DP116" s="45"/>
      <c r="DQ116" s="45"/>
      <c r="DR116" s="45"/>
      <c r="DS116" s="45"/>
      <c r="DT116" s="45"/>
    </row>
    <row r="117" spans="1:124" ht="11.25" customHeight="1" thickBot="1">
      <c r="B117" s="23"/>
      <c r="C117" s="3008" t="s">
        <v>4</v>
      </c>
      <c r="D117" s="3009"/>
      <c r="E117" s="3010"/>
      <c r="F117" s="3014" t="s">
        <v>22</v>
      </c>
      <c r="G117" s="2983"/>
      <c r="H117" s="3015"/>
      <c r="I117" s="2982" t="s">
        <v>132</v>
      </c>
      <c r="J117" s="2983"/>
      <c r="K117" s="3015"/>
      <c r="L117" s="2982" t="s">
        <v>6</v>
      </c>
      <c r="M117" s="2983"/>
      <c r="N117" s="2983"/>
      <c r="O117" s="2984"/>
      <c r="P117" s="3014" t="s">
        <v>7</v>
      </c>
      <c r="Q117" s="2983"/>
      <c r="R117" s="2983"/>
      <c r="S117" s="2984"/>
      <c r="T117" s="3014" t="s">
        <v>8</v>
      </c>
      <c r="U117" s="2983"/>
      <c r="V117" s="2983"/>
      <c r="W117" s="2984"/>
      <c r="X117" s="3014" t="s">
        <v>9</v>
      </c>
      <c r="Y117" s="2983"/>
      <c r="Z117" s="3015"/>
      <c r="AA117" s="2982" t="s">
        <v>9</v>
      </c>
      <c r="AB117" s="2983"/>
      <c r="AC117" s="2984"/>
      <c r="AD117" s="2974" t="s">
        <v>708</v>
      </c>
      <c r="AE117" s="2975"/>
      <c r="AF117" s="2975"/>
      <c r="AG117" s="2975"/>
      <c r="AH117" s="2975"/>
      <c r="AI117" s="2975"/>
      <c r="AJ117" s="2975"/>
      <c r="AK117" s="2975"/>
      <c r="AL117" s="2930" t="str">
        <f>IF(BX121=1,"T-"&amp;LEFT(C119,3)&amp;"-1","T-"&amp;LEFT(C119,3)&amp;"-1～"&amp;BX121)</f>
        <v>T- 11-1～2</v>
      </c>
      <c r="AM117" s="2930"/>
      <c r="AN117" s="2930"/>
      <c r="AO117" s="2930"/>
      <c r="AP117" s="2930"/>
      <c r="AQ117" s="2932"/>
      <c r="AR117" s="2925" t="s">
        <v>751</v>
      </c>
      <c r="AS117" s="2926"/>
      <c r="AT117" s="2926"/>
      <c r="AU117" s="2926"/>
      <c r="AV117" s="2926"/>
      <c r="AW117" s="2926"/>
      <c r="AX117" s="2926"/>
      <c r="AY117" s="2926"/>
      <c r="AZ117" s="2926"/>
      <c r="BA117" s="2927"/>
      <c r="BB117" s="2886" t="s">
        <v>750</v>
      </c>
      <c r="BC117" s="2887"/>
      <c r="BD117" s="2887"/>
      <c r="BE117" s="2887"/>
      <c r="BF117" s="2887"/>
      <c r="BG117" s="2887"/>
      <c r="BH117" s="2887"/>
      <c r="BI117" s="2887"/>
      <c r="BJ117" s="2888"/>
      <c r="BK117" s="2888"/>
      <c r="BL117" s="2888"/>
      <c r="BM117" s="2888"/>
      <c r="BN117" s="2888"/>
      <c r="BO117" s="2888"/>
      <c r="BP117" s="2889"/>
      <c r="BQ117" s="2939" t="str">
        <f>IF(AND($B$2=1,$J$14="A",C119=$J$15),"設置","")</f>
        <v/>
      </c>
      <c r="BR117" s="2845"/>
      <c r="BS117" s="2845"/>
      <c r="BT117" s="2940"/>
      <c r="BU117" s="19"/>
      <c r="BV117" s="15">
        <v>93</v>
      </c>
      <c r="BX117" s="98">
        <f>非誘!BW95</f>
        <v>12</v>
      </c>
      <c r="BY117" s="98">
        <f>非誘!BX95</f>
        <v>24</v>
      </c>
      <c r="BZ117" s="547">
        <f>IF(CA117&lt;10,10,IF(CA117&lt;15,15,IF(CA117&lt;20,20,IF(CA117&lt;25,25,IF(CA117&lt;30,30,IF(CA117&lt;50,50,IF(CA117&lt;70,70,IF(CA117&lt;100,100,IF(CA117&lt;150,150,IF(CA117&lt;20,200,200))))))))))</f>
        <v>50</v>
      </c>
      <c r="CA117" s="546">
        <f>SUM(CC120:CC122)</f>
        <v>48</v>
      </c>
      <c r="CB117" s="107" t="str">
        <f>IF(BY119&lt;10," 10",IF(BY119&lt;15," 15",IF(BY119&lt;20," 20",IF(BY119&lt;25," 25",IF(BY119&lt;30," 30",IF(BY119&lt;50," 50",IF(BY119&lt;70," 70",IF(BY119&lt;100,"100",IF(BY119&lt;150,"150",IF(BY119&lt;200,"200","200"))))))))))</f>
        <v>100</v>
      </c>
      <c r="CC117" s="545">
        <f>1+INT(BY119/200)</f>
        <v>1</v>
      </c>
      <c r="CD117" s="534"/>
      <c r="CE117" s="156" t="s">
        <v>749</v>
      </c>
      <c r="CF117" s="189">
        <f>2*INT($AG$9/1000)</f>
        <v>2</v>
      </c>
      <c r="CG117" s="189">
        <f>CG120+(1+INT($AG$9+$AG$8)/1000)*(1+INT(AR119/10))+CG119</f>
        <v>55.919999999999995</v>
      </c>
      <c r="CH117" s="98">
        <f>IF(AW119="",0,AW119*8)</f>
        <v>320</v>
      </c>
      <c r="CI117" s="98">
        <f>AR119*8</f>
        <v>64</v>
      </c>
      <c r="CJ117" s="544">
        <f>IF(AW119="",0,AW119*8)</f>
        <v>320</v>
      </c>
      <c r="CK117" s="223">
        <f>IF(E121="不","",(CG117+CG118+CI117+CI118)*MAX(P119:W119)/L119)</f>
        <v>85.343999999999994</v>
      </c>
      <c r="CL117" s="223">
        <f>IF(E121="不","",SUM(CG120:CH120)+SUM(CG121:CH121)*MAX(P119:W119)/L119)</f>
        <v>162</v>
      </c>
      <c r="CM117" s="527" t="s">
        <v>7</v>
      </c>
      <c r="CN117" s="15"/>
      <c r="CO117" s="46" t="str">
        <f>Q121</f>
        <v>電子釦 0.4- 4Pr</v>
      </c>
      <c r="CP117" s="520">
        <f>AK121</f>
        <v>121.91999999999999</v>
      </c>
      <c r="CR117" s="519" t="str">
        <f>IF(CS117="","",IF($J$14="A","内線電話機"))</f>
        <v>内線電話機</v>
      </c>
      <c r="CS117" s="189">
        <f>BG119</f>
        <v>8</v>
      </c>
      <c r="CU117" s="8"/>
      <c r="CV117" s="197">
        <f t="shared" ref="CV117:CV148" si="68">IF(CZ117&lt;&gt;"",CV116+1,CV116)</f>
        <v>7</v>
      </c>
      <c r="CW117" s="197">
        <f t="shared" si="67"/>
        <v>7</v>
      </c>
      <c r="CX117" s="543" t="str">
        <f>CO116</f>
        <v>FCPEV 0.65-100Pr</v>
      </c>
      <c r="CY117" s="8"/>
      <c r="CZ117" s="249" t="str">
        <f>IF(COUNTIF($CX$17:$CX116,CX117)&gt;0,"",CX117)</f>
        <v>FCPEV 0.65-100Pr</v>
      </c>
      <c r="DA117" s="515">
        <f>CP116</f>
        <v>6</v>
      </c>
      <c r="DB117" s="514">
        <f>SUMIF($CX$20:$CX$182,CZ117,$DA$20:$DA$182)</f>
        <v>6</v>
      </c>
      <c r="DC117" s="8"/>
      <c r="DD117" s="8"/>
      <c r="DE117" s="197">
        <f t="shared" si="65"/>
        <v>14</v>
      </c>
      <c r="DF117" s="197" t="str">
        <f t="shared" si="66"/>
        <v/>
      </c>
      <c r="DG117" s="207" t="str">
        <f>CO120</f>
        <v>CD-28mm</v>
      </c>
      <c r="DH117" s="8"/>
      <c r="DI117" s="249" t="str">
        <f>IF(COUNTIF(DG$17:$DG116,DG117)&gt;0,"",DG117)</f>
        <v/>
      </c>
      <c r="DJ117" s="515">
        <f>CP120</f>
        <v>4</v>
      </c>
      <c r="DK117" s="514">
        <f t="shared" ref="DK117:DK123" si="69">SUMIF($DG$20:$DG$182,DI117,$DJ$20:$DJ$182)</f>
        <v>0</v>
      </c>
      <c r="DL117" s="8"/>
      <c r="DM117" s="8"/>
      <c r="DN117" s="197">
        <f>IF(DR117&lt;&gt;"",DN116+1,DN116)</f>
        <v>4</v>
      </c>
      <c r="DO117" s="197">
        <f t="shared" ref="DO117:DO122" si="70">IF(AND(DN117&lt;&gt;"",DS117&lt;&gt;""),DN117,"")</f>
        <v>4</v>
      </c>
      <c r="DP117" s="10" t="str">
        <f>CR116</f>
        <v>多機能内線電話機</v>
      </c>
      <c r="DQ117" s="8"/>
      <c r="DR117" s="249" t="str">
        <f>IF(COUNTIF(DP$18:$DP116,DP117)&gt;0,"",DP117)</f>
        <v/>
      </c>
      <c r="DS117" s="198">
        <f>CS116</f>
        <v>40</v>
      </c>
      <c r="DT117" s="514">
        <f t="shared" ref="DT117:DT122" si="71">SUMIF($DP$20:$DP$182,DR117,$DS$20:$DS$182)</f>
        <v>0</v>
      </c>
    </row>
    <row r="118" spans="1:124" ht="11.25" customHeight="1" thickBot="1">
      <c r="B118" s="23"/>
      <c r="C118" s="3011"/>
      <c r="D118" s="3012"/>
      <c r="E118" s="3013"/>
      <c r="F118" s="3039" t="s">
        <v>235</v>
      </c>
      <c r="G118" s="3040"/>
      <c r="H118" s="3041"/>
      <c r="I118" s="3039" t="s">
        <v>235</v>
      </c>
      <c r="J118" s="3040"/>
      <c r="K118" s="3041"/>
      <c r="L118" s="3039" t="s">
        <v>748</v>
      </c>
      <c r="M118" s="3040"/>
      <c r="N118" s="3040"/>
      <c r="O118" s="3042"/>
      <c r="P118" s="3043" t="s">
        <v>748</v>
      </c>
      <c r="Q118" s="3040"/>
      <c r="R118" s="3040"/>
      <c r="S118" s="3042"/>
      <c r="T118" s="3043" t="s">
        <v>748</v>
      </c>
      <c r="U118" s="3040"/>
      <c r="V118" s="3040"/>
      <c r="W118" s="3044"/>
      <c r="X118" s="3045" t="s">
        <v>111</v>
      </c>
      <c r="Y118" s="3046"/>
      <c r="Z118" s="3047"/>
      <c r="AA118" s="3001" t="s">
        <v>110</v>
      </c>
      <c r="AB118" s="3002"/>
      <c r="AC118" s="3003"/>
      <c r="AD118" s="3004" t="s">
        <v>695</v>
      </c>
      <c r="AE118" s="3005"/>
      <c r="AF118" s="3005"/>
      <c r="AG118" s="3006" t="s">
        <v>699</v>
      </c>
      <c r="AH118" s="3005"/>
      <c r="AI118" s="3007"/>
      <c r="AJ118" s="2928" t="s">
        <v>747</v>
      </c>
      <c r="AK118" s="2918"/>
      <c r="AL118" s="2918"/>
      <c r="AM118" s="2928" t="s">
        <v>746</v>
      </c>
      <c r="AN118" s="2918"/>
      <c r="AO118" s="2929"/>
      <c r="AP118" s="2956" t="s">
        <v>745</v>
      </c>
      <c r="AQ118" s="2957"/>
      <c r="AR118" s="2917" t="s">
        <v>744</v>
      </c>
      <c r="AS118" s="2918"/>
      <c r="AT118" s="2958" t="s">
        <v>3</v>
      </c>
      <c r="AU118" s="2959"/>
      <c r="AV118" s="2959"/>
      <c r="AW118" s="2959" t="s">
        <v>743</v>
      </c>
      <c r="AX118" s="2960"/>
      <c r="AY118" s="2928" t="s">
        <v>3</v>
      </c>
      <c r="AZ118" s="2918"/>
      <c r="BA118" s="2919"/>
      <c r="BB118" s="542" t="str">
        <f>IF(CA120="","","●")</f>
        <v>●</v>
      </c>
      <c r="BC118" s="2930" t="s">
        <v>742</v>
      </c>
      <c r="BD118" s="2930"/>
      <c r="BE118" s="2930"/>
      <c r="BF118" s="2931"/>
      <c r="BG118" s="542" t="str">
        <f>IF(CA121="","","●")</f>
        <v>●</v>
      </c>
      <c r="BH118" s="2930" t="s">
        <v>741</v>
      </c>
      <c r="BI118" s="2930"/>
      <c r="BJ118" s="2930"/>
      <c r="BK118" s="2931"/>
      <c r="BL118" s="542" t="str">
        <f>IF(CA122="","","●")</f>
        <v/>
      </c>
      <c r="BM118" s="2930" t="s">
        <v>764</v>
      </c>
      <c r="BN118" s="2930"/>
      <c r="BO118" s="2930"/>
      <c r="BP118" s="2932"/>
      <c r="BQ118" s="2974" t="s">
        <v>740</v>
      </c>
      <c r="BR118" s="2975"/>
      <c r="BS118" s="2975"/>
      <c r="BT118" s="2976"/>
      <c r="BU118" s="19"/>
      <c r="BX118" s="97" t="str">
        <f>IF(LEFT(C119,2)=" B",-MID(C119,3,1),IF(C119="  RF","",LEFT(C119,3)))</f>
        <v xml:space="preserve"> 11</v>
      </c>
      <c r="BY118" s="541" t="str">
        <f>IF(OR(C119="",C119="  RF"),"",IF(LEFT(C119,1)="P","+",IF($BW$14&gt;BX118,"-",IF($BW$14=BX118,"=","+"))))</f>
        <v>+</v>
      </c>
      <c r="BZ118" s="2985" t="str">
        <f>"FCPEV 0.65-"&amp;CB117&amp;"Pr"</f>
        <v>FCPEV 0.65-100Pr</v>
      </c>
      <c r="CA118" s="2986"/>
      <c r="CB118" s="2986"/>
      <c r="CC118" s="2986"/>
      <c r="CD118" s="62"/>
      <c r="CE118" s="156" t="s">
        <v>763</v>
      </c>
      <c r="CF118" s="540">
        <f>F119</f>
        <v>4</v>
      </c>
      <c r="CG118" s="540">
        <f>CG121+(1+INT(AR119/10))*($AG$9+$AG$8)/1000</f>
        <v>2</v>
      </c>
      <c r="CH118" s="539"/>
      <c r="CI118" s="189">
        <f>CH121</f>
        <v>0</v>
      </c>
      <c r="CJ118" s="260"/>
      <c r="CK118" s="528">
        <f>IF(E122="不","",(CG117+CG118+CI117+CI118)*T119/L119)</f>
        <v>36.575999999999993</v>
      </c>
      <c r="CL118" s="528">
        <f>IF(E122="不","",SUM(CG120:CH120)+SUM(CG121:CH121)*T119/L119)</f>
        <v>162</v>
      </c>
      <c r="CM118" s="527" t="s">
        <v>8</v>
      </c>
      <c r="CN118" s="15"/>
      <c r="CO118" s="46" t="str">
        <f>Q122</f>
        <v>TIVF 0.8-2C</v>
      </c>
      <c r="CP118" s="520">
        <f>AK122</f>
        <v>640</v>
      </c>
      <c r="CR118" s="519" t="str">
        <f>IF(CS118="","",IF($J$14="A","PHSアンテナ"))</f>
        <v/>
      </c>
      <c r="CS118" s="189" t="str">
        <f>BL119</f>
        <v/>
      </c>
      <c r="CU118" s="8"/>
      <c r="CV118" s="197">
        <f t="shared" si="68"/>
        <v>7</v>
      </c>
      <c r="CW118" s="197" t="str">
        <f t="shared" si="67"/>
        <v/>
      </c>
      <c r="CX118" s="10" t="str">
        <f>CO117</f>
        <v>電子釦 0.4- 4Pr</v>
      </c>
      <c r="CY118" s="8"/>
      <c r="CZ118" s="249" t="str">
        <f>IF(COUNTIF($CZ$10:$CZ117,CX118)&gt;0,"",CX118)</f>
        <v/>
      </c>
      <c r="DA118" s="515">
        <f>CP117</f>
        <v>121.91999999999999</v>
      </c>
      <c r="DB118" s="514">
        <f>SUMIF($CX$20:$CX$182,CZ118,$DA$20:$DA$182)</f>
        <v>0</v>
      </c>
      <c r="DC118" s="8"/>
      <c r="DD118" s="8"/>
      <c r="DE118" s="197">
        <f t="shared" si="65"/>
        <v>14</v>
      </c>
      <c r="DF118" s="197" t="str">
        <f t="shared" si="66"/>
        <v/>
      </c>
      <c r="DG118" s="207" t="str">
        <f>CO121</f>
        <v>CD-22mm</v>
      </c>
      <c r="DH118" s="8"/>
      <c r="DI118" s="249" t="str">
        <f>IF(COUNTIF(DG$18:$DG117,DG118)&gt;0,"",DG118)</f>
        <v/>
      </c>
      <c r="DJ118" s="515">
        <f>CP121</f>
        <v>324</v>
      </c>
      <c r="DK118" s="514">
        <f t="shared" si="69"/>
        <v>0</v>
      </c>
      <c r="DL118" s="8"/>
      <c r="DM118" s="8"/>
      <c r="DN118" s="197">
        <f>IF(DR118&lt;&gt;"",DN117+1,DN117)</f>
        <v>4</v>
      </c>
      <c r="DO118" s="197">
        <f t="shared" si="70"/>
        <v>4</v>
      </c>
      <c r="DP118" s="207" t="str">
        <f>CR117</f>
        <v>内線電話機</v>
      </c>
      <c r="DQ118" s="8"/>
      <c r="DR118" s="249" t="str">
        <f>IF(COUNTIF(DP$18:$DP117,DP118)&gt;0,"",DP118)</f>
        <v/>
      </c>
      <c r="DS118" s="198">
        <f>CS117</f>
        <v>8</v>
      </c>
      <c r="DT118" s="514">
        <f t="shared" si="71"/>
        <v>0</v>
      </c>
    </row>
    <row r="119" spans="1:124" ht="10.5" customHeight="1" thickBot="1">
      <c r="B119" s="23"/>
      <c r="C119" s="2987" t="str">
        <f>IF($B$2=0,"",非誘!C95)</f>
        <v xml:space="preserve"> 11F</v>
      </c>
      <c r="D119" s="2988"/>
      <c r="E119" s="2988"/>
      <c r="F119" s="2989">
        <f>IF($B$2=0,"",非誘!F95)</f>
        <v>4</v>
      </c>
      <c r="G119" s="2989"/>
      <c r="H119" s="2989"/>
      <c r="I119" s="2989">
        <f>IF($B$2=0,"",非誘!J95)</f>
        <v>3</v>
      </c>
      <c r="J119" s="2989"/>
      <c r="K119" s="2989"/>
      <c r="L119" s="2990">
        <f>IF($B$2=0,"",非誘!N95)</f>
        <v>1152</v>
      </c>
      <c r="M119" s="2990"/>
      <c r="N119" s="2990"/>
      <c r="O119" s="2990"/>
      <c r="P119" s="2991">
        <f>IF($B$2=0,"",非誘!S95)</f>
        <v>806.4</v>
      </c>
      <c r="Q119" s="2991"/>
      <c r="R119" s="2991"/>
      <c r="S119" s="2991"/>
      <c r="T119" s="2991">
        <f>IF($B$2=0,"",非誘!W95)</f>
        <v>345.6</v>
      </c>
      <c r="U119" s="2992"/>
      <c r="V119" s="2992"/>
      <c r="W119" s="2992"/>
      <c r="X119" s="2993">
        <f>IF($B$2=0,"",非誘!AA95)</f>
        <v>3</v>
      </c>
      <c r="Y119" s="2993"/>
      <c r="Z119" s="2993"/>
      <c r="AA119" s="2993">
        <f>IF($B$2=0,"",非誘!AD95)</f>
        <v>9</v>
      </c>
      <c r="AB119" s="2993"/>
      <c r="AC119" s="2994"/>
      <c r="AD119" s="2966">
        <f>IF($B$2=0,"",CB117*CC117)</f>
        <v>100</v>
      </c>
      <c r="AE119" s="2967"/>
      <c r="AF119" s="2968"/>
      <c r="AG119" s="2969">
        <f>IF($B$2=0,"",放送!CB113)</f>
        <v>0</v>
      </c>
      <c r="AH119" s="2967"/>
      <c r="AI119" s="2968"/>
      <c r="AJ119" s="2970" t="str">
        <f>IF($B$2=0,"",IF(TV!AW23="設置","Space","---"))</f>
        <v>Space</v>
      </c>
      <c r="AK119" s="2971"/>
      <c r="AL119" s="2971"/>
      <c r="AM119" s="2969"/>
      <c r="AN119" s="2967"/>
      <c r="AO119" s="2968"/>
      <c r="AP119" s="2972"/>
      <c r="AQ119" s="2973"/>
      <c r="AR119" s="2923">
        <f>IF($B$2=0,"",IF(AZ119="",CB121,AZ119))</f>
        <v>8</v>
      </c>
      <c r="AS119" s="2924"/>
      <c r="AT119" s="538" t="s">
        <v>106</v>
      </c>
      <c r="AU119" s="2946"/>
      <c r="AV119" s="2947"/>
      <c r="AW119" s="2923">
        <f>IF($B$2=0,"",IF(CA120="",0,IF(AZ119="",CB120,AZ119)))</f>
        <v>40</v>
      </c>
      <c r="AX119" s="2924"/>
      <c r="AY119" s="538" t="s">
        <v>106</v>
      </c>
      <c r="AZ119" s="2999"/>
      <c r="BA119" s="3000"/>
      <c r="BB119" s="2951">
        <f>IF(OR($J$14&lt;&gt;"A",CA120=""),"",IF(BE119&lt;&gt;"",BE119,CB120))</f>
        <v>40</v>
      </c>
      <c r="BC119" s="2952"/>
      <c r="BD119" s="537" t="s">
        <v>106</v>
      </c>
      <c r="BE119" s="2938"/>
      <c r="BF119" s="2938"/>
      <c r="BG119" s="2951">
        <f>IF(C119="","",IF(OR($J$14&lt;&gt;"A",CA121=""),"",IF(BJ119&lt;&gt;"",BE119,CB121)))</f>
        <v>8</v>
      </c>
      <c r="BH119" s="2952"/>
      <c r="BI119" s="537" t="s">
        <v>106</v>
      </c>
      <c r="BJ119" s="2938"/>
      <c r="BK119" s="2938"/>
      <c r="BL119" s="2951" t="str">
        <f>IF(OR($J$14&lt;&gt;"A",CA122=""),"",IF(BO119&lt;&gt;"",BO119,CB122))</f>
        <v/>
      </c>
      <c r="BM119" s="2952"/>
      <c r="BN119" s="537" t="s">
        <v>106</v>
      </c>
      <c r="BO119" s="2964"/>
      <c r="BP119" s="2965"/>
      <c r="BQ119" s="2939" t="str">
        <f>IF(BQ117="設置","Ｅt","")</f>
        <v/>
      </c>
      <c r="BR119" s="2845"/>
      <c r="BS119" s="2845"/>
      <c r="BT119" s="2940"/>
      <c r="BU119" s="19"/>
      <c r="BW119" s="89" t="str">
        <f>AP116</f>
        <v>Ⓖ</v>
      </c>
      <c r="BX119" s="263">
        <f>IF(C119="","",IF(BW119="Ⓐ",BX117+BY117+3,IF(BW119="Ⓑ",BX117*5/8+BY117+3,IF(BW119="Ⓒ",BX117/2+BY117+3,IF(BW119="Ⓓ",BX117+BY117*5/8+3,IF(BW119="Ⓔ",(BX117+BY117)*5/8+3,IF(BW119="Ⓕ",BX117/2+BY117*5/8+3,IF(BW119="Ⓖ",BX117+BY117/2+3,IF(BW119="Ⓗ",BX117*5/8+BY117/2+3,IF(BW119="Ⓘ",(BX117+BY117)/2+3))))))))))</f>
        <v>27</v>
      </c>
      <c r="BY119" s="86">
        <f>IF(C119="",0,IF(BY118="=",BZ116,IF(BY118="-",CA116,CB116)))</f>
        <v>99</v>
      </c>
      <c r="BZ119" s="156"/>
      <c r="CA119" s="536" t="str">
        <f>IF(CA117&lt;=30,"25",IF(CA117&lt;=50,"31",IF(CA117&lt;=100,"39",IF(CA117&lt;=200,"51",""))))</f>
        <v>31</v>
      </c>
      <c r="CB119" s="535" t="str">
        <f>IF(CA117&lt;=30,"22",IF(CA117&lt;=50,"28",IF(CA117&lt;=100,"36",IF(CA117&lt;=200,"42",""))))</f>
        <v>28</v>
      </c>
      <c r="CC119" s="122"/>
      <c r="CD119" s="534"/>
      <c r="CE119" s="156" t="s">
        <v>738</v>
      </c>
      <c r="CF119" s="533"/>
      <c r="CG119" s="189">
        <f>IF($B$2="","",IF($AQ$8=0,0,0.02*($AQ$8/1000-0.15-0.1)*(INT(1000*BX117/$AQ$9)+1)*(INT(1000*BY117/$AQ$9)+1)*4*(AR119+AW119)))</f>
        <v>25.919999999999995</v>
      </c>
      <c r="CH119" s="532"/>
      <c r="CI119" s="531"/>
      <c r="CJ119" s="15"/>
      <c r="CK119" s="528">
        <f>IF(E121="不","",SUM(CH117+CJ117)*MAX(P119:W119)/L119)</f>
        <v>448</v>
      </c>
      <c r="CL119" s="528">
        <f>IF(E121="不","",CJ120)</f>
        <v>200.20851011026986</v>
      </c>
      <c r="CM119" s="527" t="s">
        <v>7</v>
      </c>
      <c r="CN119" s="15"/>
      <c r="CO119" s="252" t="str">
        <f>IF(CP119="","","導入線 1.2mmφ")</f>
        <v>導入線 1.2mmφ</v>
      </c>
      <c r="CP119" s="184">
        <f>1.1*INT(SUM(CP120:CP122))</f>
        <v>580.80000000000007</v>
      </c>
      <c r="CR119" s="519" t="str">
        <f>IF(CS119="","",IF($J$14="A","PHS電話機"))</f>
        <v/>
      </c>
      <c r="CS119" s="189" t="str">
        <f>IF(CS118="","",INT(CS118*1.5))</f>
        <v/>
      </c>
      <c r="CU119" s="8"/>
      <c r="CV119" s="197">
        <f t="shared" si="68"/>
        <v>7</v>
      </c>
      <c r="CW119" s="197" t="str">
        <f t="shared" si="67"/>
        <v/>
      </c>
      <c r="CX119" s="10" t="str">
        <f>CO118</f>
        <v>TIVF 0.8-2C</v>
      </c>
      <c r="CY119" s="8"/>
      <c r="CZ119" s="249" t="str">
        <f>IF(COUNTIF($CZ$10:$CZ118,CX119)&gt;0,"",CX119)</f>
        <v/>
      </c>
      <c r="DA119" s="515">
        <f>CP118</f>
        <v>640</v>
      </c>
      <c r="DB119" s="514">
        <f>SUMIF($CX$20:$CX$182,CZ119,$DA$20:$DA$182)</f>
        <v>0</v>
      </c>
      <c r="DC119" s="8"/>
      <c r="DD119" s="8"/>
      <c r="DE119" s="197">
        <f t="shared" si="65"/>
        <v>14</v>
      </c>
      <c r="DF119" s="197" t="str">
        <f t="shared" si="66"/>
        <v/>
      </c>
      <c r="DG119" s="207" t="str">
        <f>CO122</f>
        <v>フロアダクト FC-6</v>
      </c>
      <c r="DH119" s="8"/>
      <c r="DI119" s="249" t="str">
        <f>IF(COUNTIF(DG$18:$DG118,DG119)&gt;0,"",DG119)</f>
        <v/>
      </c>
      <c r="DJ119" s="515">
        <f>CP122</f>
        <v>200.20851011026986</v>
      </c>
      <c r="DK119" s="514">
        <f t="shared" si="69"/>
        <v>0</v>
      </c>
      <c r="DL119" s="8"/>
      <c r="DM119" s="8"/>
      <c r="DN119" s="197">
        <f>IF(DR119&lt;&gt;"",DN118+1,DN118)</f>
        <v>4</v>
      </c>
      <c r="DO119" s="197" t="str">
        <f t="shared" si="70"/>
        <v/>
      </c>
      <c r="DP119" s="10" t="str">
        <f>CR118</f>
        <v/>
      </c>
      <c r="DQ119" s="8"/>
      <c r="DR119" s="249" t="str">
        <f>IF(COUNTIF(DP$18:$DP118,DP119)&gt;0,"",DP119)</f>
        <v/>
      </c>
      <c r="DS119" s="198" t="str">
        <f>CS118</f>
        <v/>
      </c>
      <c r="DT119" s="514">
        <f t="shared" si="71"/>
        <v>0</v>
      </c>
    </row>
    <row r="120" spans="1:124" ht="10.5" customHeight="1" thickBot="1">
      <c r="B120" s="23"/>
      <c r="C120" s="3048" t="s">
        <v>737</v>
      </c>
      <c r="D120" s="3049"/>
      <c r="E120" s="3049"/>
      <c r="F120" s="3049"/>
      <c r="G120" s="3049"/>
      <c r="H120" s="3049"/>
      <c r="I120" s="3049"/>
      <c r="J120" s="3050" t="s">
        <v>736</v>
      </c>
      <c r="K120" s="3051"/>
      <c r="L120" s="3051"/>
      <c r="M120" s="3051"/>
      <c r="N120" s="3052" t="s">
        <v>735</v>
      </c>
      <c r="O120" s="2891"/>
      <c r="P120" s="2892"/>
      <c r="Q120" s="3057" t="str">
        <f>IF(OR($B$2=0,$J$14="C"),"",IF(Z120="",BZ118,Z120))</f>
        <v>FCPEV 0.65-100Pr</v>
      </c>
      <c r="R120" s="3057"/>
      <c r="S120" s="3057"/>
      <c r="T120" s="3057"/>
      <c r="U120" s="3057"/>
      <c r="V120" s="3057"/>
      <c r="W120" s="3057"/>
      <c r="X120" s="3057"/>
      <c r="Y120" s="524" t="s">
        <v>106</v>
      </c>
      <c r="Z120" s="2902"/>
      <c r="AA120" s="2903"/>
      <c r="AB120" s="2903"/>
      <c r="AC120" s="2903"/>
      <c r="AD120" s="2903"/>
      <c r="AE120" s="2903"/>
      <c r="AF120" s="2903"/>
      <c r="AG120" s="2904"/>
      <c r="AH120" s="2877" t="s">
        <v>734</v>
      </c>
      <c r="AI120" s="2878"/>
      <c r="AJ120" s="2879"/>
      <c r="AK120" s="3058">
        <f>IF($B$2=0,"",IF(AP120&lt;&gt;"",AP120,IF($J$14="C","",SUM(CF117:CF118)*CC117)))</f>
        <v>6</v>
      </c>
      <c r="AL120" s="3058"/>
      <c r="AM120" s="3058"/>
      <c r="AN120" s="3058"/>
      <c r="AO120" s="524" t="s">
        <v>106</v>
      </c>
      <c r="AP120" s="2911"/>
      <c r="AQ120" s="2912"/>
      <c r="AR120" s="2912"/>
      <c r="AS120" s="2913"/>
      <c r="AT120" s="2890" t="s">
        <v>733</v>
      </c>
      <c r="AU120" s="2891"/>
      <c r="AV120" s="2892"/>
      <c r="AW120" s="2899" t="str">
        <f>IF($B$2=0,"",IF(BE120&lt;&gt;"",BE120,IF(BB116=2,"PF-"&amp;CB119&amp;"mm",IF(OR(BB116=3,BB116=6),"C-"&amp;CA119&amp;"mm",IF(OR(BB116=4,BB116=7),"G-"&amp;CB119&amp;"mm",IF(OR(BB116=1,BB116=5),"CD-"&amp;CB119&amp;"mm",""))))))</f>
        <v>CD-28mm</v>
      </c>
      <c r="AX120" s="2900"/>
      <c r="AY120" s="2900"/>
      <c r="AZ120" s="2900"/>
      <c r="BA120" s="2900"/>
      <c r="BB120" s="2900"/>
      <c r="BC120" s="2901"/>
      <c r="BD120" s="524" t="s">
        <v>106</v>
      </c>
      <c r="BE120" s="2902"/>
      <c r="BF120" s="2903"/>
      <c r="BG120" s="2903"/>
      <c r="BH120" s="2903"/>
      <c r="BI120" s="2903"/>
      <c r="BJ120" s="2904"/>
      <c r="BK120" s="2877" t="s">
        <v>732</v>
      </c>
      <c r="BL120" s="2878"/>
      <c r="BM120" s="2879"/>
      <c r="BN120" s="2914">
        <f>IF($B$2=0,"",IF(BR120="",CF121*CC117,BR120))</f>
        <v>4</v>
      </c>
      <c r="BO120" s="2915"/>
      <c r="BP120" s="2916"/>
      <c r="BQ120" s="524" t="s">
        <v>106</v>
      </c>
      <c r="BR120" s="3202"/>
      <c r="BS120" s="3203"/>
      <c r="BT120" s="3204"/>
      <c r="BU120" s="19"/>
      <c r="BX120" s="530"/>
      <c r="BY120" s="46"/>
      <c r="BZ120" s="106" t="s">
        <v>731</v>
      </c>
      <c r="CA120" s="529" t="str">
        <f>IF(P119="","",IF(OR(I116="(1) ロ",I116="( 4 )",I116="(5) イ",I116="(6) イ",I116="(6) ロ",I116="(6) ハ",I116="( 7 )",I116="( 8 )",I116="( 15)"),"1",""))</f>
        <v>1</v>
      </c>
      <c r="CB120" s="151">
        <f>IF(P119="",0,INT(P119/20))</f>
        <v>40</v>
      </c>
      <c r="CC120" s="122">
        <f>IF(CA120="",0,CB120)</f>
        <v>40</v>
      </c>
      <c r="CD120" s="6"/>
      <c r="CE120" s="156" t="s">
        <v>730</v>
      </c>
      <c r="CF120" s="189"/>
      <c r="CG120" s="189">
        <f>BX119*(1+INT(AR119/10))+CG122</f>
        <v>27</v>
      </c>
      <c r="CH120" s="189">
        <f>IF(AW119="",0,BX119*(1+INT(AW119/10)))</f>
        <v>135</v>
      </c>
      <c r="CI120" s="82" t="s">
        <v>729</v>
      </c>
      <c r="CJ120" s="98">
        <f>7.32*(AW119-2*SQRT(AW119))</f>
        <v>200.20851011026986</v>
      </c>
      <c r="CK120" s="528">
        <f>IF(E122="不","",SUM(CH117+CJ117)*T119/L119)</f>
        <v>192</v>
      </c>
      <c r="CL120" s="528">
        <f>CJ120</f>
        <v>200.20851011026986</v>
      </c>
      <c r="CM120" s="527" t="s">
        <v>8</v>
      </c>
      <c r="CN120" s="69"/>
      <c r="CO120" s="252" t="str">
        <f>AW120</f>
        <v>CD-28mm</v>
      </c>
      <c r="CP120" s="520">
        <f>BN120</f>
        <v>4</v>
      </c>
      <c r="CR120" s="519" t="str">
        <f>IF(CS120=0,"","C-OBox4角中深")</f>
        <v>C-OBox4角中深</v>
      </c>
      <c r="CS120" s="189">
        <f>IF($J$14="A",SUM(CS117:CS118),AR119)</f>
        <v>8</v>
      </c>
      <c r="CU120" s="8"/>
      <c r="CV120" s="197">
        <f t="shared" si="68"/>
        <v>7</v>
      </c>
      <c r="CW120" s="197" t="str">
        <f t="shared" si="67"/>
        <v/>
      </c>
      <c r="CX120" s="207" t="str">
        <f>IF(BQ119="","","IV-14sq")</f>
        <v/>
      </c>
      <c r="CY120" s="8"/>
      <c r="CZ120" s="249" t="str">
        <f>IF(COUNTIF($CZ$10:$CZ119,CX120)&gt;0,"",CX120)</f>
        <v/>
      </c>
      <c r="DA120" s="515" t="str">
        <f>IF(BQ119="","",BX119+BY117+15)</f>
        <v/>
      </c>
      <c r="DB120" s="514">
        <f>SUMIF($CX$20:$CX$182,CZ120,$DA$20:$DA$182)</f>
        <v>0</v>
      </c>
      <c r="DD120" s="8"/>
      <c r="DE120" s="197">
        <f>IF(DJ120&lt;&gt;"",DE119+1,DE119)</f>
        <v>14</v>
      </c>
      <c r="DF120" s="197" t="str">
        <f>IF(AND(DE120&lt;&gt;"",DJ120&lt;&gt;""),DE120,"")</f>
        <v/>
      </c>
      <c r="DG120" s="207"/>
      <c r="DH120" s="8"/>
      <c r="DI120" s="249"/>
      <c r="DJ120" s="515"/>
      <c r="DK120" s="514">
        <f t="shared" si="69"/>
        <v>0</v>
      </c>
      <c r="DM120" s="8"/>
      <c r="DN120" s="197">
        <f>IF(DR120&lt;&gt;"",DN119+1,DN119)</f>
        <v>4</v>
      </c>
      <c r="DO120" s="197" t="str">
        <f t="shared" si="70"/>
        <v/>
      </c>
      <c r="DP120" s="10" t="str">
        <f>CR119</f>
        <v/>
      </c>
      <c r="DQ120" s="8"/>
      <c r="DR120" s="249" t="str">
        <f>IF(COUNTIF(DP$18:$DP119,DP120)&gt;0,"",DP120)</f>
        <v/>
      </c>
      <c r="DS120" s="198" t="str">
        <f>CS119</f>
        <v/>
      </c>
      <c r="DT120" s="514">
        <f t="shared" si="71"/>
        <v>0</v>
      </c>
    </row>
    <row r="121" spans="1:124" ht="10.5" customHeight="1">
      <c r="B121" s="23"/>
      <c r="C121" s="3205" t="s">
        <v>728</v>
      </c>
      <c r="D121" s="3205"/>
      <c r="E121" s="3016" t="str">
        <f>IF($D$9="不要","不",IF(H121="","要",H121))</f>
        <v>要</v>
      </c>
      <c r="F121" s="3016"/>
      <c r="G121" s="523" t="s">
        <v>724</v>
      </c>
      <c r="H121" s="3017"/>
      <c r="I121" s="3018"/>
      <c r="J121" s="3019" t="s">
        <v>727</v>
      </c>
      <c r="K121" s="3020"/>
      <c r="L121" s="3020"/>
      <c r="M121" s="3021"/>
      <c r="N121" s="3053"/>
      <c r="O121" s="2894"/>
      <c r="P121" s="2895"/>
      <c r="Q121" s="3025" t="str">
        <f>IF(OR($B$2=0,$J$14="C"),"",IF(Z121&lt;&gt;"",Z121,"電子釦 0.4- 4Pr"))</f>
        <v>電子釦 0.4- 4Pr</v>
      </c>
      <c r="R121" s="2933"/>
      <c r="S121" s="2933"/>
      <c r="T121" s="2933"/>
      <c r="U121" s="2933"/>
      <c r="V121" s="2933"/>
      <c r="W121" s="2933"/>
      <c r="X121" s="2934"/>
      <c r="Y121" s="526" t="s">
        <v>724</v>
      </c>
      <c r="Z121" s="3026"/>
      <c r="AA121" s="3027"/>
      <c r="AB121" s="3027"/>
      <c r="AC121" s="3027"/>
      <c r="AD121" s="3027"/>
      <c r="AE121" s="3027"/>
      <c r="AF121" s="3027"/>
      <c r="AG121" s="3028"/>
      <c r="AH121" s="2880" t="s">
        <v>725</v>
      </c>
      <c r="AI121" s="2881"/>
      <c r="AJ121" s="2882"/>
      <c r="AK121" s="2995">
        <f>IF($B$2=0,"",IF(AP121&lt;&gt;"",AP121,IF($J$14="C","",SUM(CK117:CK118))))</f>
        <v>121.91999999999999</v>
      </c>
      <c r="AL121" s="2995"/>
      <c r="AM121" s="2995"/>
      <c r="AN121" s="2995"/>
      <c r="AO121" s="526" t="s">
        <v>724</v>
      </c>
      <c r="AP121" s="2996"/>
      <c r="AQ121" s="2997"/>
      <c r="AR121" s="2997"/>
      <c r="AS121" s="2998"/>
      <c r="AT121" s="2893"/>
      <c r="AU121" s="2894"/>
      <c r="AV121" s="2895"/>
      <c r="AW121" s="2933" t="str">
        <f>IF($B$2=0,"",IF(BE121&lt;&gt;"",BE121,IF(BB116=2,"PF-22mm",IF(OR(BB116=3,BB116=6),"C-25mm",IF(OR(BB116=4,BB116=7),"G-22mm",IF(OR(BB116=1,BB116=5),"CD-22mm",""))))))</f>
        <v>CD-22mm</v>
      </c>
      <c r="AX121" s="2933"/>
      <c r="AY121" s="2933"/>
      <c r="AZ121" s="2933"/>
      <c r="BA121" s="2933"/>
      <c r="BB121" s="2933"/>
      <c r="BC121" s="2934"/>
      <c r="BD121" s="526" t="s">
        <v>724</v>
      </c>
      <c r="BE121" s="2935"/>
      <c r="BF121" s="2936"/>
      <c r="BG121" s="2936"/>
      <c r="BH121" s="2936"/>
      <c r="BI121" s="2936"/>
      <c r="BJ121" s="2937"/>
      <c r="BK121" s="2880" t="s">
        <v>725</v>
      </c>
      <c r="BL121" s="2881"/>
      <c r="BM121" s="2882"/>
      <c r="BN121" s="2948">
        <f>IF($B$2=0,"",IF(BR121="",SUM(CL117:CL118),BR121))</f>
        <v>324</v>
      </c>
      <c r="BO121" s="2949"/>
      <c r="BP121" s="2950"/>
      <c r="BQ121" s="525" t="s">
        <v>724</v>
      </c>
      <c r="BR121" s="3029"/>
      <c r="BS121" s="3030"/>
      <c r="BT121" s="3031"/>
      <c r="BU121" s="19"/>
      <c r="BX121" s="49">
        <f>1+INT(L119/600)</f>
        <v>2</v>
      </c>
      <c r="BY121" s="46"/>
      <c r="BZ121" s="106" t="s">
        <v>723</v>
      </c>
      <c r="CA121" s="522" t="str">
        <f>"1"</f>
        <v>1</v>
      </c>
      <c r="CB121" s="151">
        <f>IF(CA120="",INT(T119/40)+CB120,INT(T119/40))</f>
        <v>8</v>
      </c>
      <c r="CC121" s="122">
        <f>IF(CB121="",0,CB121)</f>
        <v>8</v>
      </c>
      <c r="CD121" s="6"/>
      <c r="CE121" s="156" t="s">
        <v>722</v>
      </c>
      <c r="CF121" s="189">
        <f>F119</f>
        <v>4</v>
      </c>
      <c r="CG121" s="189">
        <f>IF(BB116&lt;=4,(2*F119-(R105+R107)/1000)*AR119,((R106+R107)/1000)*AR119)</f>
        <v>0</v>
      </c>
      <c r="CH121" s="189">
        <f>2*(R107/1000)*AR119</f>
        <v>0</v>
      </c>
      <c r="CI121" s="82" t="s">
        <v>721</v>
      </c>
      <c r="CJ121" s="86">
        <f>AW119</f>
        <v>40</v>
      </c>
      <c r="CK121" s="38"/>
      <c r="CL121" s="38"/>
      <c r="CM121" s="38"/>
      <c r="CN121" s="38"/>
      <c r="CO121" s="252" t="str">
        <f>AW121</f>
        <v>CD-22mm</v>
      </c>
      <c r="CP121" s="520">
        <f>BN121</f>
        <v>324</v>
      </c>
      <c r="CR121" s="519" t="str">
        <f>IF(CS121="","",IF(LEFT(AW122,1)="フ","ジャンクションボックス 2Duct","C-OBox4角大深"))</f>
        <v>ジャンクションボックス 2Duct</v>
      </c>
      <c r="CS121" s="189">
        <f>IF(AW119=0,"",AW119)</f>
        <v>40</v>
      </c>
      <c r="CU121" s="8"/>
      <c r="CV121" s="197">
        <f t="shared" si="68"/>
        <v>7</v>
      </c>
      <c r="CW121" s="197" t="str">
        <f t="shared" si="67"/>
        <v/>
      </c>
      <c r="CX121" s="207" t="str">
        <f>IF(BQ119="","","VE-22mm")</f>
        <v/>
      </c>
      <c r="CY121" s="8"/>
      <c r="CZ121" s="249" t="str">
        <f>IF(COUNTIF($CZ$10:$CZ120,CX121)&gt;0,"",CX121)</f>
        <v/>
      </c>
      <c r="DA121" s="515" t="str">
        <f>IF(BQ119="","",DA120-10)</f>
        <v/>
      </c>
      <c r="DB121" s="514">
        <f>SUMIF($CX$20:$CX$182,CZ121,$DA$20:$DA$182)</f>
        <v>0</v>
      </c>
      <c r="DD121" s="8"/>
      <c r="DE121" s="197">
        <f t="shared" ref="DE121:DE127" si="72">IF(DI121&lt;&gt;"",DE120+1,DE120)</f>
        <v>14</v>
      </c>
      <c r="DF121" s="197" t="str">
        <f t="shared" ref="DF121:DF127" si="73">IF(AND(DE121&lt;&gt;"",DI121&lt;&gt;""),DE121,"")</f>
        <v/>
      </c>
      <c r="DG121" s="207" t="str">
        <f>CR120</f>
        <v>C-OBox4角中深</v>
      </c>
      <c r="DH121" s="8"/>
      <c r="DI121" s="249" t="str">
        <f>IF(COUNTIF(DG$18:$DG120,DG121)&gt;0,"",DG121)</f>
        <v/>
      </c>
      <c r="DJ121" s="515">
        <f>CS120</f>
        <v>8</v>
      </c>
      <c r="DK121" s="514">
        <f t="shared" si="69"/>
        <v>0</v>
      </c>
      <c r="DM121" s="8"/>
      <c r="DN121" s="197">
        <f>IF(DS121&lt;&gt;"",DN120+1,DN120)</f>
        <v>4</v>
      </c>
      <c r="DO121" s="197" t="str">
        <f t="shared" si="70"/>
        <v/>
      </c>
      <c r="DP121" s="10" t="str">
        <f>IF(BQ117="","","電話交換機")</f>
        <v/>
      </c>
      <c r="DQ121" s="8"/>
      <c r="DR121" s="249" t="str">
        <f>IF(COUNTIF(DP$18:$DP120,DP121)&gt;0,"",DP121)</f>
        <v/>
      </c>
      <c r="DS121" s="198" t="str">
        <f>IF(DP121&lt;&gt;"",1,"")</f>
        <v/>
      </c>
      <c r="DT121" s="514">
        <f t="shared" si="71"/>
        <v>0</v>
      </c>
    </row>
    <row r="122" spans="1:124" ht="10.5" customHeight="1">
      <c r="B122" s="23"/>
      <c r="C122" s="2959" t="s">
        <v>720</v>
      </c>
      <c r="D122" s="2959"/>
      <c r="E122" s="3016" t="str">
        <f>IF($D$9="不要","不",IF(H122="","要",H122))</f>
        <v>要</v>
      </c>
      <c r="F122" s="3016"/>
      <c r="G122" s="525" t="s">
        <v>103</v>
      </c>
      <c r="H122" s="3017"/>
      <c r="I122" s="3018"/>
      <c r="J122" s="3022"/>
      <c r="K122" s="3023"/>
      <c r="L122" s="3023"/>
      <c r="M122" s="3024"/>
      <c r="N122" s="3054"/>
      <c r="O122" s="3055"/>
      <c r="P122" s="3056"/>
      <c r="Q122" s="3201" t="str">
        <f>IF($B$2=0,"",IF(Z122&lt;&gt;"",Z122,"TIVF 0.8-2C"))</f>
        <v>TIVF 0.8-2C</v>
      </c>
      <c r="R122" s="3201"/>
      <c r="S122" s="3201"/>
      <c r="T122" s="3201"/>
      <c r="U122" s="3201"/>
      <c r="V122" s="3201"/>
      <c r="W122" s="3201"/>
      <c r="X122" s="3201"/>
      <c r="Y122" s="524" t="s">
        <v>103</v>
      </c>
      <c r="Z122" s="2941"/>
      <c r="AA122" s="2942"/>
      <c r="AB122" s="2942"/>
      <c r="AC122" s="2942"/>
      <c r="AD122" s="2942"/>
      <c r="AE122" s="2942"/>
      <c r="AF122" s="2942"/>
      <c r="AG122" s="3199"/>
      <c r="AH122" s="2883" t="s">
        <v>235</v>
      </c>
      <c r="AI122" s="2884"/>
      <c r="AJ122" s="2885"/>
      <c r="AK122" s="2953">
        <f>IF($B$2=0,"",IF(AP122&lt;&gt;"",AP122,IF($J$14="C","",SUM(CK119:CK120))))</f>
        <v>640</v>
      </c>
      <c r="AL122" s="2954"/>
      <c r="AM122" s="2954"/>
      <c r="AN122" s="2955"/>
      <c r="AO122" s="524" t="s">
        <v>103</v>
      </c>
      <c r="AP122" s="2911"/>
      <c r="AQ122" s="2912"/>
      <c r="AR122" s="2912"/>
      <c r="AS122" s="2913"/>
      <c r="AT122" s="2896"/>
      <c r="AU122" s="2897"/>
      <c r="AV122" s="2898"/>
      <c r="AW122" s="2939" t="str">
        <f>IF($B$2=0,"",IF(BN122="","",IF(BE122="","フロアダクト FC-6",BE122)))</f>
        <v>フロアダクト FC-6</v>
      </c>
      <c r="AX122" s="2845"/>
      <c r="AY122" s="2845"/>
      <c r="AZ122" s="2845"/>
      <c r="BA122" s="2845"/>
      <c r="BB122" s="2845"/>
      <c r="BC122" s="2940"/>
      <c r="BD122" s="524" t="s">
        <v>103</v>
      </c>
      <c r="BE122" s="2941"/>
      <c r="BF122" s="2942"/>
      <c r="BG122" s="2942"/>
      <c r="BH122" s="2942"/>
      <c r="BI122" s="2942"/>
      <c r="BJ122" s="2942"/>
      <c r="BK122" s="2883" t="s">
        <v>235</v>
      </c>
      <c r="BL122" s="2884"/>
      <c r="BM122" s="2885"/>
      <c r="BN122" s="2943">
        <f>IF($B$2=0,"",IF(BR122="",MAX(CL119:CL120),BR122))</f>
        <v>200.20851011026986</v>
      </c>
      <c r="BO122" s="2944"/>
      <c r="BP122" s="2945"/>
      <c r="BQ122" s="523" t="s">
        <v>103</v>
      </c>
      <c r="BR122" s="3200"/>
      <c r="BS122" s="3200"/>
      <c r="BT122" s="3200"/>
      <c r="BU122" s="19"/>
      <c r="BX122" s="47"/>
      <c r="BZ122" s="106" t="s">
        <v>766</v>
      </c>
      <c r="CA122" s="522" t="str">
        <f>IF(OR(I116="( 10)",I116="(12)イ"),"1","")</f>
        <v/>
      </c>
      <c r="CB122" s="151" t="str">
        <f>IF(CA122="","",INT(P119/200))</f>
        <v/>
      </c>
      <c r="CC122" s="122">
        <f>IF(CB122="",0,CB122)</f>
        <v>0</v>
      </c>
      <c r="CE122" s="156" t="s">
        <v>716</v>
      </c>
      <c r="CF122" s="521"/>
      <c r="CG122" s="189">
        <f>IF($AQ$8=0,1.5*2*(1+INT(2*BX117/($AQ$9/1000)))*(1+INT(2*BY117/($AQ$9/1000))),0)</f>
        <v>0</v>
      </c>
      <c r="CH122" s="82"/>
      <c r="CI122" s="82" t="s">
        <v>765</v>
      </c>
      <c r="CJ122" s="107">
        <f>AR119</f>
        <v>8</v>
      </c>
      <c r="CK122" s="12"/>
      <c r="CL122" s="12"/>
      <c r="CM122" s="12"/>
      <c r="CN122" s="12"/>
      <c r="CO122" s="252" t="str">
        <f>AW122</f>
        <v>フロアダクト FC-6</v>
      </c>
      <c r="CP122" s="520">
        <f>BN122</f>
        <v>200.20851011026986</v>
      </c>
      <c r="CR122" s="519" t="str">
        <f>IF(CS122="","","ローテンションアウトレット")</f>
        <v>ローテンションアウトレット</v>
      </c>
      <c r="CS122" s="189">
        <f>CS116</f>
        <v>40</v>
      </c>
      <c r="CV122" s="197">
        <f t="shared" si="68"/>
        <v>7</v>
      </c>
      <c r="CW122" s="197" t="str">
        <f t="shared" si="67"/>
        <v/>
      </c>
      <c r="CX122" s="207"/>
      <c r="CY122" s="24"/>
      <c r="DA122" s="515"/>
      <c r="DB122" s="516"/>
      <c r="DE122" s="197">
        <f t="shared" si="72"/>
        <v>14</v>
      </c>
      <c r="DF122" s="197" t="str">
        <f t="shared" si="73"/>
        <v/>
      </c>
      <c r="DG122" s="207" t="str">
        <f>CR121</f>
        <v>ジャンクションボックス 2Duct</v>
      </c>
      <c r="DH122" s="24"/>
      <c r="DI122" s="249" t="str">
        <f>IF(COUNTIF(DG$18:$DG121,DG122)&gt;0,"",DG122)</f>
        <v/>
      </c>
      <c r="DJ122" s="515">
        <f>CS121</f>
        <v>40</v>
      </c>
      <c r="DK122" s="514">
        <f t="shared" si="69"/>
        <v>0</v>
      </c>
      <c r="DN122" s="197">
        <f>IF(DS122&lt;&gt;"",DN121+1,DN121)</f>
        <v>4</v>
      </c>
      <c r="DO122" s="197" t="str">
        <f t="shared" si="70"/>
        <v/>
      </c>
      <c r="DP122" s="10" t="str">
        <f>IF(BQ119="","","接地工事 Et")</f>
        <v/>
      </c>
      <c r="DQ122" s="24"/>
      <c r="DR122" s="249" t="str">
        <f>IF(COUNTIF(DP$18:$DP121,DP122)&gt;0,"",DP122)</f>
        <v/>
      </c>
      <c r="DS122" s="198" t="str">
        <f>IF(DP122&lt;&gt;"",1,"")</f>
        <v/>
      </c>
      <c r="DT122" s="514">
        <f t="shared" si="71"/>
        <v>0</v>
      </c>
    </row>
    <row r="123" spans="1:124" ht="10.5" customHeight="1">
      <c r="B123" s="23"/>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19"/>
      <c r="BZ123" s="114" t="str">
        <f>"="</f>
        <v>=</v>
      </c>
      <c r="CA123" s="114" t="str">
        <f>"－"</f>
        <v>－</v>
      </c>
      <c r="CB123" s="114" t="str">
        <f>"+"</f>
        <v>+</v>
      </c>
      <c r="CP123" s="555"/>
      <c r="CV123" s="197">
        <f t="shared" si="68"/>
        <v>7</v>
      </c>
      <c r="CW123" s="197" t="str">
        <f t="shared" si="67"/>
        <v/>
      </c>
      <c r="CY123" s="24"/>
      <c r="DA123" s="516"/>
      <c r="DB123" s="516"/>
      <c r="DE123" s="197">
        <f t="shared" si="72"/>
        <v>14</v>
      </c>
      <c r="DF123" s="197" t="str">
        <f t="shared" si="73"/>
        <v/>
      </c>
      <c r="DG123" s="207" t="str">
        <f>CR122</f>
        <v>ローテンションアウトレット</v>
      </c>
      <c r="DH123" s="24"/>
      <c r="DI123" s="249" t="str">
        <f>IF(COUNTIF(DG$18:$DG122,DG123)&gt;0,"",DG123)</f>
        <v/>
      </c>
      <c r="DJ123" s="515">
        <f>CS122</f>
        <v>40</v>
      </c>
      <c r="DK123" s="514">
        <f t="shared" si="69"/>
        <v>0</v>
      </c>
      <c r="DN123" s="197">
        <f>IF(DS123&lt;&gt;"",DN122+1,DN122)</f>
        <v>4</v>
      </c>
      <c r="DO123" s="197" t="str">
        <f>IF(AND(DN123&lt;&gt;"",DR123&lt;&gt;""),DN123,"")</f>
        <v/>
      </c>
      <c r="DP123" s="201"/>
      <c r="DQ123" s="24"/>
      <c r="DR123" s="249"/>
      <c r="DS123" s="198"/>
      <c r="DT123" s="514"/>
    </row>
    <row r="124" spans="1:124" ht="11.25" customHeight="1" thickBot="1">
      <c r="A124" s="46"/>
      <c r="B124" s="23"/>
      <c r="C124" s="3032" t="s">
        <v>112</v>
      </c>
      <c r="D124" s="3032"/>
      <c r="E124" s="3032"/>
      <c r="F124" s="3032"/>
      <c r="G124" s="3032"/>
      <c r="H124" s="3032"/>
      <c r="I124" s="3033" t="str">
        <f>非誘!J99</f>
        <v>(3) イ</v>
      </c>
      <c r="J124" s="3033"/>
      <c r="K124" s="3033"/>
      <c r="L124" s="3034"/>
      <c r="M124" s="3035" t="str">
        <f>非誘!M99</f>
        <v>料理店等</v>
      </c>
      <c r="N124" s="2961"/>
      <c r="O124" s="2961"/>
      <c r="P124" s="2961"/>
      <c r="Q124" s="2961"/>
      <c r="R124" s="2961"/>
      <c r="S124" s="2961"/>
      <c r="T124" s="2961"/>
      <c r="U124" s="2961"/>
      <c r="V124" s="2961"/>
      <c r="W124" s="3036"/>
      <c r="X124" s="3037" t="s">
        <v>232</v>
      </c>
      <c r="Y124" s="3037"/>
      <c r="Z124" s="3037"/>
      <c r="AA124" s="3037"/>
      <c r="AB124" s="3038"/>
      <c r="AC124" s="2977" t="str">
        <f>非誘!AA99</f>
        <v>A</v>
      </c>
      <c r="AD124" s="2978"/>
      <c r="AE124" s="2917" t="s">
        <v>760</v>
      </c>
      <c r="AF124" s="2918"/>
      <c r="AG124" s="2918"/>
      <c r="AH124" s="2918"/>
      <c r="AI124" s="2919"/>
      <c r="AJ124" s="2979">
        <f>非誘!J100</f>
        <v>0.5</v>
      </c>
      <c r="AK124" s="2980"/>
      <c r="AL124" s="2981"/>
      <c r="AM124" s="2917" t="s">
        <v>759</v>
      </c>
      <c r="AN124" s="2918"/>
      <c r="AO124" s="2919"/>
      <c r="AP124" s="2920" t="str">
        <f>IF(OR($B$2=0,AS124=""),$BO$14,AS124)</f>
        <v>Ⓖ</v>
      </c>
      <c r="AQ124" s="2920"/>
      <c r="AR124" s="554" t="s">
        <v>103</v>
      </c>
      <c r="AS124" s="2921"/>
      <c r="AT124" s="2922"/>
      <c r="AU124" s="2875" t="s">
        <v>757</v>
      </c>
      <c r="AV124" s="2875"/>
      <c r="AW124" s="2875"/>
      <c r="AX124" s="2875"/>
      <c r="AY124" s="2875"/>
      <c r="AZ124" s="2875"/>
      <c r="BA124" s="2876"/>
      <c r="BB124" s="553">
        <f>IF(BC124="天井ケーブル",1,IF(BC124="天井(PF管)",2,IF(BC124="天井(C管)",3,IF(BC124="天井(G管)",4,IF(BC124="床(CD管)",5,IF(BC124="床(C管)",6,IF(BC124="床(G管)",7,"")))))))</f>
        <v>5</v>
      </c>
      <c r="BC124" s="2961" t="str">
        <f>IF($B$2=0,"",IF(BK124&lt;&gt;"",BK124,IF(I127="直天","天井(C管)","床(CD管)")))</f>
        <v>床(CD管)</v>
      </c>
      <c r="BD124" s="2962"/>
      <c r="BE124" s="2962"/>
      <c r="BF124" s="2962"/>
      <c r="BG124" s="2962"/>
      <c r="BH124" s="2962"/>
      <c r="BI124" s="2963"/>
      <c r="BJ124" s="552" t="s">
        <v>103</v>
      </c>
      <c r="BK124" s="2905"/>
      <c r="BL124" s="2906"/>
      <c r="BM124" s="2906"/>
      <c r="BN124" s="2906"/>
      <c r="BO124" s="2906"/>
      <c r="BP124" s="2907"/>
      <c r="BQ124" s="2982" t="s">
        <v>755</v>
      </c>
      <c r="BR124" s="2983"/>
      <c r="BS124" s="2983"/>
      <c r="BT124" s="2984"/>
      <c r="BU124" s="19"/>
      <c r="BV124" s="8">
        <v>14</v>
      </c>
      <c r="BX124" s="55" t="s">
        <v>229</v>
      </c>
      <c r="BY124" s="55" t="s">
        <v>228</v>
      </c>
      <c r="BZ124" s="534">
        <f>BY119+BY135+CA125</f>
        <v>150</v>
      </c>
      <c r="CA124" s="534">
        <f>CA125+BY119</f>
        <v>144</v>
      </c>
      <c r="CB124" s="38">
        <f>BY135+CA125</f>
        <v>51</v>
      </c>
      <c r="CC124" s="69"/>
      <c r="CD124" s="534"/>
      <c r="CE124" s="534"/>
      <c r="CF124" s="143" t="s">
        <v>754</v>
      </c>
      <c r="CG124" s="143" t="s">
        <v>753</v>
      </c>
      <c r="CH124" s="143" t="s">
        <v>753</v>
      </c>
      <c r="CI124" s="551" t="s">
        <v>752</v>
      </c>
      <c r="CJ124" s="551" t="s">
        <v>752</v>
      </c>
      <c r="CK124" s="550" t="s">
        <v>734</v>
      </c>
      <c r="CL124" s="550" t="s">
        <v>732</v>
      </c>
      <c r="CM124" s="46"/>
      <c r="CO124" s="46" t="str">
        <f>Q128</f>
        <v>FCPEV 0.65- 70Pr</v>
      </c>
      <c r="CP124" s="520">
        <f>AK128</f>
        <v>6</v>
      </c>
      <c r="CR124" s="519" t="str">
        <f>IF(CS124="","",IF($J$14="A","多機能内線電話機",""))</f>
        <v/>
      </c>
      <c r="CS124" s="189" t="str">
        <f>BB127</f>
        <v/>
      </c>
      <c r="CU124" s="88">
        <v>14</v>
      </c>
      <c r="CV124" s="204">
        <f t="shared" si="68"/>
        <v>7</v>
      </c>
      <c r="CW124" s="155" t="str">
        <f t="shared" si="67"/>
        <v/>
      </c>
      <c r="CX124" s="45"/>
      <c r="CY124" s="45"/>
      <c r="CZ124" s="45"/>
      <c r="DA124" s="45"/>
      <c r="DB124" s="45"/>
      <c r="DD124" s="88">
        <v>14</v>
      </c>
      <c r="DE124" s="204">
        <f t="shared" si="72"/>
        <v>14</v>
      </c>
      <c r="DF124" s="155" t="str">
        <f t="shared" si="73"/>
        <v/>
      </c>
      <c r="DG124" s="549" t="str">
        <f>CO119</f>
        <v>導入線 1.2mmφ</v>
      </c>
      <c r="DH124" s="45"/>
      <c r="DI124" s="153" t="str">
        <f>IF(COUNTIF(DG$9:$DG123,DG124)&gt;0,"",DG124)</f>
        <v/>
      </c>
      <c r="DJ124" s="155">
        <f>CP119</f>
        <v>580.80000000000007</v>
      </c>
      <c r="DK124" s="548">
        <f>SUMIF($DG$11:$DG$182,DI124,$DJ$11:$DJ$182)</f>
        <v>0</v>
      </c>
      <c r="DM124" s="88">
        <v>14</v>
      </c>
      <c r="DN124" s="204">
        <f>IF(DS124&lt;&gt;"",DN123+1,DN123)</f>
        <v>4</v>
      </c>
      <c r="DO124" s="155" t="str">
        <f>IF(AND(DN124&lt;&gt;"",DR124&lt;&gt;""),DN124,"")</f>
        <v/>
      </c>
      <c r="DP124" s="45"/>
      <c r="DQ124" s="45"/>
      <c r="DR124" s="45"/>
      <c r="DS124" s="45"/>
      <c r="DT124" s="45"/>
    </row>
    <row r="125" spans="1:124" ht="11.25" customHeight="1" thickBot="1">
      <c r="B125" s="23"/>
      <c r="C125" s="3008" t="s">
        <v>4</v>
      </c>
      <c r="D125" s="3009"/>
      <c r="E125" s="3010"/>
      <c r="F125" s="3014" t="s">
        <v>22</v>
      </c>
      <c r="G125" s="2983"/>
      <c r="H125" s="3015"/>
      <c r="I125" s="2982" t="s">
        <v>132</v>
      </c>
      <c r="J125" s="2983"/>
      <c r="K125" s="3015"/>
      <c r="L125" s="2982" t="s">
        <v>6</v>
      </c>
      <c r="M125" s="2983"/>
      <c r="N125" s="2983"/>
      <c r="O125" s="2984"/>
      <c r="P125" s="3014" t="s">
        <v>7</v>
      </c>
      <c r="Q125" s="2983"/>
      <c r="R125" s="2983"/>
      <c r="S125" s="2984"/>
      <c r="T125" s="3014" t="s">
        <v>8</v>
      </c>
      <c r="U125" s="2983"/>
      <c r="V125" s="2983"/>
      <c r="W125" s="2984"/>
      <c r="X125" s="3014" t="s">
        <v>9</v>
      </c>
      <c r="Y125" s="2983"/>
      <c r="Z125" s="3015"/>
      <c r="AA125" s="2982" t="s">
        <v>9</v>
      </c>
      <c r="AB125" s="2983"/>
      <c r="AC125" s="2984"/>
      <c r="AD125" s="2974" t="s">
        <v>708</v>
      </c>
      <c r="AE125" s="2975"/>
      <c r="AF125" s="2975"/>
      <c r="AG125" s="2975"/>
      <c r="AH125" s="2975"/>
      <c r="AI125" s="2975"/>
      <c r="AJ125" s="2975"/>
      <c r="AK125" s="2975"/>
      <c r="AL125" s="2930" t="str">
        <f>IF(BX129=1,"T-"&amp;LEFT(C127,3)&amp;"-1","T-"&amp;LEFT(C127,3)&amp;"-1～"&amp;BX129)</f>
        <v>T- 12-1～2</v>
      </c>
      <c r="AM125" s="2930"/>
      <c r="AN125" s="2930"/>
      <c r="AO125" s="2930"/>
      <c r="AP125" s="2930"/>
      <c r="AQ125" s="2932"/>
      <c r="AR125" s="2925" t="s">
        <v>751</v>
      </c>
      <c r="AS125" s="2926"/>
      <c r="AT125" s="2926"/>
      <c r="AU125" s="2926"/>
      <c r="AV125" s="2926"/>
      <c r="AW125" s="2926"/>
      <c r="AX125" s="2926"/>
      <c r="AY125" s="2926"/>
      <c r="AZ125" s="2926"/>
      <c r="BA125" s="2927"/>
      <c r="BB125" s="2886" t="s">
        <v>750</v>
      </c>
      <c r="BC125" s="2887"/>
      <c r="BD125" s="2887"/>
      <c r="BE125" s="2887"/>
      <c r="BF125" s="2887"/>
      <c r="BG125" s="2887"/>
      <c r="BH125" s="2887"/>
      <c r="BI125" s="2887"/>
      <c r="BJ125" s="2888"/>
      <c r="BK125" s="2888"/>
      <c r="BL125" s="2888"/>
      <c r="BM125" s="2888"/>
      <c r="BN125" s="2888"/>
      <c r="BO125" s="2888"/>
      <c r="BP125" s="2889"/>
      <c r="BQ125" s="2939" t="str">
        <f>IF(AND($B$2=1,$J$14="A",C127=$J$15),"設置","")</f>
        <v/>
      </c>
      <c r="BR125" s="2845"/>
      <c r="BS125" s="2845"/>
      <c r="BT125" s="2940"/>
      <c r="BU125" s="19"/>
      <c r="BV125" s="15">
        <v>99</v>
      </c>
      <c r="BX125" s="98">
        <f>非誘!BW101</f>
        <v>12</v>
      </c>
      <c r="BY125" s="98">
        <f>非誘!BX101</f>
        <v>24</v>
      </c>
      <c r="BZ125" s="547">
        <f>IF(CA125&lt;10,10,IF(CA125&lt;15,15,IF(CA125&lt;20,20,IF(CA125&lt;25,25,IF(CA125&lt;30,30,IF(CA125&lt;50,50,IF(CA125&lt;70,70,IF(CA125&lt;100,100,IF(CA125&lt;150,150,IF(CA125&lt;20,200,200))))))))))</f>
        <v>50</v>
      </c>
      <c r="CA125" s="546">
        <f>SUM(CC128:CC130)</f>
        <v>45</v>
      </c>
      <c r="CB125" s="107" t="str">
        <f>IF(BY127&lt;10," 10",IF(BY127&lt;15," 15",IF(BY127&lt;20," 20",IF(BY127&lt;25," 25",IF(BY127&lt;30," 30",IF(BY127&lt;50," 50",IF(BY127&lt;70," 70",IF(BY127&lt;100,"100",IF(BY127&lt;150,"150",IF(BY127&lt;200,"200","200"))))))))))</f>
        <v xml:space="preserve"> 70</v>
      </c>
      <c r="CC125" s="545">
        <f>1+INT(BY127/200)</f>
        <v>1</v>
      </c>
      <c r="CD125" s="534"/>
      <c r="CE125" s="156" t="s">
        <v>749</v>
      </c>
      <c r="CF125" s="189">
        <f>2*INT($AG$9/1000)</f>
        <v>2</v>
      </c>
      <c r="CG125" s="189">
        <f>CG128+(1+INT($AG$9+$AG$8)/1000)*(1+INT(AR127/10))+CG127</f>
        <v>174.3</v>
      </c>
      <c r="CH125" s="98">
        <f>IF(AW127="",0,AW127*8)</f>
        <v>0</v>
      </c>
      <c r="CI125" s="98">
        <f>AR127*8</f>
        <v>360</v>
      </c>
      <c r="CJ125" s="544">
        <f>IF(AW127="",0,AW127*8)</f>
        <v>0</v>
      </c>
      <c r="CK125" s="223">
        <f>IF(E129="不","",(CG125+CG126+CI125+CI126)*MAX(P127:W127)/L127)</f>
        <v>326.58</v>
      </c>
      <c r="CL125" s="223">
        <f>IF(E129="不","",SUM(CG128:CH128)+SUM(CG129:CH129)*MAX(P127:W127)/L127)</f>
        <v>162</v>
      </c>
      <c r="CM125" s="527" t="s">
        <v>7</v>
      </c>
      <c r="CN125" s="15"/>
      <c r="CO125" s="46" t="str">
        <f>Q129</f>
        <v>電子釦 0.4- 4Pr</v>
      </c>
      <c r="CP125" s="520">
        <f>AK129</f>
        <v>544.29999999999995</v>
      </c>
      <c r="CR125" s="519" t="str">
        <f>IF(CS125="","",IF($J$14="A","内線電話機"))</f>
        <v>内線電話機</v>
      </c>
      <c r="CS125" s="189">
        <f>BG127</f>
        <v>45</v>
      </c>
      <c r="CU125" s="8"/>
      <c r="CV125" s="197">
        <f t="shared" si="68"/>
        <v>8</v>
      </c>
      <c r="CW125" s="197">
        <f t="shared" si="67"/>
        <v>8</v>
      </c>
      <c r="CX125" s="543" t="str">
        <f>CO124</f>
        <v>FCPEV 0.65- 70Pr</v>
      </c>
      <c r="CY125" s="8"/>
      <c r="CZ125" s="249" t="str">
        <f>IF(COUNTIF($CX$17:$CX124,CX125)&gt;0,"",CX125)</f>
        <v>FCPEV 0.65- 70Pr</v>
      </c>
      <c r="DA125" s="515">
        <f>CP124</f>
        <v>6</v>
      </c>
      <c r="DB125" s="514">
        <f>SUMIF($CX$20:$CX$182,CZ125,$DA$20:$DA$182)</f>
        <v>6</v>
      </c>
      <c r="DC125" s="8"/>
      <c r="DD125" s="8"/>
      <c r="DE125" s="197">
        <f t="shared" si="72"/>
        <v>14</v>
      </c>
      <c r="DF125" s="197" t="str">
        <f t="shared" si="73"/>
        <v/>
      </c>
      <c r="DG125" s="207" t="str">
        <f>CO128</f>
        <v>CD-28mm</v>
      </c>
      <c r="DH125" s="8"/>
      <c r="DI125" s="249" t="str">
        <f>IF(COUNTIF(DG$17:$DG124,DG125)&gt;0,"",DG125)</f>
        <v/>
      </c>
      <c r="DJ125" s="515">
        <f>CP128</f>
        <v>4</v>
      </c>
      <c r="DK125" s="514">
        <f t="shared" ref="DK125:DK131" si="74">SUMIF($DG$20:$DG$182,DI125,$DJ$20:$DJ$182)</f>
        <v>0</v>
      </c>
      <c r="DL125" s="8"/>
      <c r="DM125" s="8"/>
      <c r="DN125" s="197">
        <f>IF(DR125&lt;&gt;"",DN124+1,DN124)</f>
        <v>4</v>
      </c>
      <c r="DO125" s="197" t="str">
        <f t="shared" ref="DO125:DO130" si="75">IF(AND(DN125&lt;&gt;"",DS125&lt;&gt;""),DN125,"")</f>
        <v/>
      </c>
      <c r="DP125" s="10" t="str">
        <f>CR124</f>
        <v/>
      </c>
      <c r="DQ125" s="8"/>
      <c r="DR125" s="249" t="str">
        <f>IF(COUNTIF(DP$18:$DP124,DP125)&gt;0,"",DP125)</f>
        <v/>
      </c>
      <c r="DS125" s="198" t="str">
        <f>CS124</f>
        <v/>
      </c>
      <c r="DT125" s="514">
        <f t="shared" ref="DT125:DT130" si="76">SUMIF($DP$20:$DP$182,DR125,$DS$20:$DS$182)</f>
        <v>0</v>
      </c>
    </row>
    <row r="126" spans="1:124" ht="11.25" customHeight="1" thickBot="1">
      <c r="B126" s="23"/>
      <c r="C126" s="3011"/>
      <c r="D126" s="3012"/>
      <c r="E126" s="3013"/>
      <c r="F126" s="3039" t="s">
        <v>235</v>
      </c>
      <c r="G126" s="3040"/>
      <c r="H126" s="3041"/>
      <c r="I126" s="3039" t="s">
        <v>235</v>
      </c>
      <c r="J126" s="3040"/>
      <c r="K126" s="3041"/>
      <c r="L126" s="3039" t="s">
        <v>748</v>
      </c>
      <c r="M126" s="3040"/>
      <c r="N126" s="3040"/>
      <c r="O126" s="3042"/>
      <c r="P126" s="3043" t="s">
        <v>748</v>
      </c>
      <c r="Q126" s="3040"/>
      <c r="R126" s="3040"/>
      <c r="S126" s="3042"/>
      <c r="T126" s="3043" t="s">
        <v>748</v>
      </c>
      <c r="U126" s="3040"/>
      <c r="V126" s="3040"/>
      <c r="W126" s="3044"/>
      <c r="X126" s="3045" t="s">
        <v>111</v>
      </c>
      <c r="Y126" s="3046"/>
      <c r="Z126" s="3047"/>
      <c r="AA126" s="3001" t="s">
        <v>110</v>
      </c>
      <c r="AB126" s="3002"/>
      <c r="AC126" s="3003"/>
      <c r="AD126" s="3004" t="s">
        <v>695</v>
      </c>
      <c r="AE126" s="3005"/>
      <c r="AF126" s="3005"/>
      <c r="AG126" s="3006" t="s">
        <v>699</v>
      </c>
      <c r="AH126" s="3005"/>
      <c r="AI126" s="3007"/>
      <c r="AJ126" s="2928" t="s">
        <v>747</v>
      </c>
      <c r="AK126" s="2918"/>
      <c r="AL126" s="2918"/>
      <c r="AM126" s="2928" t="s">
        <v>746</v>
      </c>
      <c r="AN126" s="2918"/>
      <c r="AO126" s="2929"/>
      <c r="AP126" s="2956" t="s">
        <v>745</v>
      </c>
      <c r="AQ126" s="2957"/>
      <c r="AR126" s="2917" t="s">
        <v>744</v>
      </c>
      <c r="AS126" s="2918"/>
      <c r="AT126" s="2958" t="s">
        <v>3</v>
      </c>
      <c r="AU126" s="2959"/>
      <c r="AV126" s="2959"/>
      <c r="AW126" s="2959" t="s">
        <v>743</v>
      </c>
      <c r="AX126" s="2960"/>
      <c r="AY126" s="2928" t="s">
        <v>3</v>
      </c>
      <c r="AZ126" s="2918"/>
      <c r="BA126" s="2919"/>
      <c r="BB126" s="542" t="str">
        <f>IF(CA128="","","●")</f>
        <v/>
      </c>
      <c r="BC126" s="2930" t="s">
        <v>742</v>
      </c>
      <c r="BD126" s="2930"/>
      <c r="BE126" s="2930"/>
      <c r="BF126" s="2931"/>
      <c r="BG126" s="542" t="str">
        <f>IF(CA129="","","●")</f>
        <v>●</v>
      </c>
      <c r="BH126" s="2930" t="s">
        <v>741</v>
      </c>
      <c r="BI126" s="2930"/>
      <c r="BJ126" s="2930"/>
      <c r="BK126" s="2931"/>
      <c r="BL126" s="542" t="str">
        <f>IF(CA130="","","●")</f>
        <v/>
      </c>
      <c r="BM126" s="2930" t="s">
        <v>764</v>
      </c>
      <c r="BN126" s="2930"/>
      <c r="BO126" s="2930"/>
      <c r="BP126" s="2932"/>
      <c r="BQ126" s="2974" t="s">
        <v>740</v>
      </c>
      <c r="BR126" s="2975"/>
      <c r="BS126" s="2975"/>
      <c r="BT126" s="2976"/>
      <c r="BU126" s="19"/>
      <c r="BX126" s="97" t="str">
        <f>IF(LEFT(C127,2)=" B",-MID(C127,3,1),IF(C127="  RF","",LEFT(C127,3)))</f>
        <v xml:space="preserve"> 12</v>
      </c>
      <c r="BY126" s="541" t="str">
        <f>IF(OR(C127="",C127="  RF"),"",IF(LEFT(C127,1)="P","+",IF($BW$14&gt;BX126,"-",IF($BW$14=BX126,"=","+"))))</f>
        <v>+</v>
      </c>
      <c r="BZ126" s="2985" t="str">
        <f>"FCPEV 0.65-"&amp;CB125&amp;"Pr"</f>
        <v>FCPEV 0.65- 70Pr</v>
      </c>
      <c r="CA126" s="2986"/>
      <c r="CB126" s="2986"/>
      <c r="CC126" s="2986"/>
      <c r="CD126" s="62"/>
      <c r="CE126" s="156" t="s">
        <v>763</v>
      </c>
      <c r="CF126" s="540">
        <f>F127</f>
        <v>4</v>
      </c>
      <c r="CG126" s="540">
        <f>CG129+(1+INT(AR127/10))*($AG$9+$AG$8)/1000</f>
        <v>10</v>
      </c>
      <c r="CH126" s="539"/>
      <c r="CI126" s="189">
        <f>CH129</f>
        <v>0</v>
      </c>
      <c r="CJ126" s="260"/>
      <c r="CK126" s="528">
        <f>IF(E130="不","",(CG125+CG126+CI125+CI126)*T127/L127)</f>
        <v>217.71999999999994</v>
      </c>
      <c r="CL126" s="528">
        <f>IF(E130="不","",SUM(CG128:CH128)+SUM(CG129:CH129)*T127/L127)</f>
        <v>162</v>
      </c>
      <c r="CM126" s="527" t="s">
        <v>8</v>
      </c>
      <c r="CN126" s="15"/>
      <c r="CO126" s="46" t="str">
        <f>Q130</f>
        <v>TIVF 0.8-2C</v>
      </c>
      <c r="CP126" s="520">
        <f>AK130</f>
        <v>0</v>
      </c>
      <c r="CR126" s="519" t="str">
        <f>IF(CS126="","",IF($J$14="A","PHSアンテナ"))</f>
        <v/>
      </c>
      <c r="CS126" s="189" t="str">
        <f>BL127</f>
        <v/>
      </c>
      <c r="CU126" s="8"/>
      <c r="CV126" s="197">
        <f t="shared" si="68"/>
        <v>8</v>
      </c>
      <c r="CW126" s="197" t="str">
        <f t="shared" si="67"/>
        <v/>
      </c>
      <c r="CX126" s="10" t="str">
        <f>CO125</f>
        <v>電子釦 0.4- 4Pr</v>
      </c>
      <c r="CY126" s="8"/>
      <c r="CZ126" s="249" t="str">
        <f>IF(COUNTIF($CZ$10:$CZ125,CX126)&gt;0,"",CX126)</f>
        <v/>
      </c>
      <c r="DA126" s="515">
        <f>CP125</f>
        <v>544.29999999999995</v>
      </c>
      <c r="DB126" s="514">
        <f>SUMIF($CX$20:$CX$182,CZ126,$DA$20:$DA$182)</f>
        <v>0</v>
      </c>
      <c r="DC126" s="8"/>
      <c r="DD126" s="8"/>
      <c r="DE126" s="197">
        <f t="shared" si="72"/>
        <v>14</v>
      </c>
      <c r="DF126" s="197" t="str">
        <f t="shared" si="73"/>
        <v/>
      </c>
      <c r="DG126" s="207" t="str">
        <f>CO129</f>
        <v>CD-22mm</v>
      </c>
      <c r="DH126" s="8"/>
      <c r="DI126" s="249" t="str">
        <f>IF(COUNTIF(DG$18:$DG125,DG126)&gt;0,"",DG126)</f>
        <v/>
      </c>
      <c r="DJ126" s="515">
        <f>CP129</f>
        <v>324</v>
      </c>
      <c r="DK126" s="514">
        <f t="shared" si="74"/>
        <v>0</v>
      </c>
      <c r="DL126" s="8"/>
      <c r="DM126" s="8"/>
      <c r="DN126" s="197">
        <f>IF(DR126&lt;&gt;"",DN125+1,DN125)</f>
        <v>4</v>
      </c>
      <c r="DO126" s="197">
        <f t="shared" si="75"/>
        <v>4</v>
      </c>
      <c r="DP126" s="207" t="str">
        <f>CR125</f>
        <v>内線電話機</v>
      </c>
      <c r="DQ126" s="8"/>
      <c r="DR126" s="249" t="str">
        <f>IF(COUNTIF(DP$18:$DP125,DP126)&gt;0,"",DP126)</f>
        <v/>
      </c>
      <c r="DS126" s="198">
        <f>CS125</f>
        <v>45</v>
      </c>
      <c r="DT126" s="514">
        <f t="shared" si="76"/>
        <v>0</v>
      </c>
    </row>
    <row r="127" spans="1:124" ht="10.5" customHeight="1" thickBot="1">
      <c r="B127" s="23"/>
      <c r="C127" s="2987" t="str">
        <f>IF($B$2=0,"",非誘!C101)</f>
        <v xml:space="preserve"> 12F</v>
      </c>
      <c r="D127" s="2988"/>
      <c r="E127" s="2988"/>
      <c r="F127" s="2989">
        <f>IF($B$2=0,"",非誘!F101)</f>
        <v>4</v>
      </c>
      <c r="G127" s="2989"/>
      <c r="H127" s="2989"/>
      <c r="I127" s="2989">
        <f>IF($B$2=0,"",非誘!J101)</f>
        <v>3</v>
      </c>
      <c r="J127" s="2989"/>
      <c r="K127" s="2989"/>
      <c r="L127" s="2990">
        <f>IF($B$2=0,"",非誘!N101)</f>
        <v>1152</v>
      </c>
      <c r="M127" s="2990"/>
      <c r="N127" s="2990"/>
      <c r="O127" s="2990"/>
      <c r="P127" s="2991">
        <f>IF($B$2=0,"",非誘!S101)</f>
        <v>691.2</v>
      </c>
      <c r="Q127" s="2991"/>
      <c r="R127" s="2991"/>
      <c r="S127" s="2991"/>
      <c r="T127" s="2991">
        <f>IF($B$2=0,"",非誘!W101)</f>
        <v>460.79999999999995</v>
      </c>
      <c r="U127" s="2992"/>
      <c r="V127" s="2992"/>
      <c r="W127" s="2992"/>
      <c r="X127" s="2993">
        <f>IF($B$2=0,"",非誘!AA101)</f>
        <v>5</v>
      </c>
      <c r="Y127" s="2993"/>
      <c r="Z127" s="2993"/>
      <c r="AA127" s="2993">
        <f>IF($B$2=0,"",非誘!AD101)</f>
        <v>12</v>
      </c>
      <c r="AB127" s="2993"/>
      <c r="AC127" s="2994"/>
      <c r="AD127" s="2966">
        <f>IF($B$2=0,"",CB125*CC125)</f>
        <v>70</v>
      </c>
      <c r="AE127" s="2967"/>
      <c r="AF127" s="2968"/>
      <c r="AG127" s="2969" t="str">
        <f>IF($B$2=0,"",放送!CB121)</f>
        <v>36</v>
      </c>
      <c r="AH127" s="2967"/>
      <c r="AI127" s="2968"/>
      <c r="AJ127" s="2970" t="str">
        <f>IF($B$2=0,"",IF(TV!AZ23="設置","Space","---"))</f>
        <v>Space</v>
      </c>
      <c r="AK127" s="2971"/>
      <c r="AL127" s="2971"/>
      <c r="AM127" s="2969"/>
      <c r="AN127" s="2967"/>
      <c r="AO127" s="2968"/>
      <c r="AP127" s="2972"/>
      <c r="AQ127" s="2973"/>
      <c r="AR127" s="2923">
        <f>IF($B$2=0,"",IF(AZ127="",CB129,AZ127))</f>
        <v>45</v>
      </c>
      <c r="AS127" s="2924"/>
      <c r="AT127" s="538" t="s">
        <v>106</v>
      </c>
      <c r="AU127" s="2946"/>
      <c r="AV127" s="2947"/>
      <c r="AW127" s="2923">
        <f>IF($B$2=0,"",IF(CA128="",0,IF(AZ127="",CB128,AZ127)))</f>
        <v>0</v>
      </c>
      <c r="AX127" s="2924"/>
      <c r="AY127" s="538" t="s">
        <v>106</v>
      </c>
      <c r="AZ127" s="2999"/>
      <c r="BA127" s="3000"/>
      <c r="BB127" s="2951" t="str">
        <f>IF(OR($J$14&lt;&gt;"A",CA128=""),"",IF(BE127&lt;&gt;"",BE127,CB128))</f>
        <v/>
      </c>
      <c r="BC127" s="2952"/>
      <c r="BD127" s="537" t="s">
        <v>106</v>
      </c>
      <c r="BE127" s="2938"/>
      <c r="BF127" s="2938"/>
      <c r="BG127" s="2951">
        <f>IF(C127="","",IF(OR($J$14&lt;&gt;"A",CA129=""),"",IF(BJ127&lt;&gt;"",BE127,CB129)))</f>
        <v>45</v>
      </c>
      <c r="BH127" s="2952"/>
      <c r="BI127" s="537" t="s">
        <v>106</v>
      </c>
      <c r="BJ127" s="2938"/>
      <c r="BK127" s="2938"/>
      <c r="BL127" s="2951" t="str">
        <f>IF(OR($J$14&lt;&gt;"A",CA130=""),"",IF(BO127&lt;&gt;"",BO127,CB130))</f>
        <v/>
      </c>
      <c r="BM127" s="2952"/>
      <c r="BN127" s="537" t="s">
        <v>106</v>
      </c>
      <c r="BO127" s="2964"/>
      <c r="BP127" s="2965"/>
      <c r="BQ127" s="2939" t="str">
        <f>IF(BQ125="設置","Ｅt","")</f>
        <v/>
      </c>
      <c r="BR127" s="2845"/>
      <c r="BS127" s="2845"/>
      <c r="BT127" s="2940"/>
      <c r="BU127" s="19"/>
      <c r="BW127" s="89" t="str">
        <f>AP124</f>
        <v>Ⓖ</v>
      </c>
      <c r="BX127" s="263">
        <f>IF(C127="","",IF(BW127="Ⓐ",BX125+BY125+3,IF(BW127="Ⓑ",BX125*5/8+BY125+3,IF(BW127="Ⓒ",BX125/2+BY125+3,IF(BW127="Ⓓ",BX125+BY125*5/8+3,IF(BW127="Ⓔ",(BX125+BY125)*5/8+3,IF(BW127="Ⓕ",BX125/2+BY125*5/8+3,IF(BW127="Ⓖ",BX125+BY125/2+3,IF(BW127="Ⓗ",BX125*5/8+BY125/2+3,IF(BW127="Ⓘ",(BX125+BY125)/2+3))))))))))</f>
        <v>27</v>
      </c>
      <c r="BY127" s="86">
        <f>IF(C127="",0,IF(BY126="=",BZ124,IF(BY126="-",CA124,CB124)))</f>
        <v>51</v>
      </c>
      <c r="BZ127" s="156"/>
      <c r="CA127" s="536" t="str">
        <f>IF(CA125&lt;=30,"25",IF(CA125&lt;=50,"31",IF(CA125&lt;=100,"39",IF(CA125&lt;=200,"51",""))))</f>
        <v>31</v>
      </c>
      <c r="CB127" s="535" t="str">
        <f>IF(CA125&lt;=30,"22",IF(CA125&lt;=50,"28",IF(CA125&lt;=100,"36",IF(CA125&lt;=200,"42",""))))</f>
        <v>28</v>
      </c>
      <c r="CC127" s="122"/>
      <c r="CD127" s="534"/>
      <c r="CE127" s="156" t="s">
        <v>738</v>
      </c>
      <c r="CF127" s="533"/>
      <c r="CG127" s="189">
        <f>IF($B$2="","",IF($AQ$8=0,0,0.02*($AQ$8/1000-0.15-0.1)*(INT(1000*BX125/$AQ$9)+1)*(INT(1000*BY125/$AQ$9)+1)*4*(AR127+AW127)))</f>
        <v>24.299999999999997</v>
      </c>
      <c r="CH127" s="532"/>
      <c r="CI127" s="531"/>
      <c r="CJ127" s="15"/>
      <c r="CK127" s="528">
        <f>IF(E129="不","",SUM(CH125+CJ125)*MAX(P127:W127)/L127)</f>
        <v>0</v>
      </c>
      <c r="CL127" s="528">
        <f>IF(E129="不","",CJ128)</f>
        <v>0</v>
      </c>
      <c r="CM127" s="527" t="s">
        <v>7</v>
      </c>
      <c r="CN127" s="15"/>
      <c r="CO127" s="252" t="str">
        <f>IF(CP127="","","導入線 1.2mmφ")</f>
        <v>導入線 1.2mmφ</v>
      </c>
      <c r="CP127" s="184">
        <f>1.1*INT(SUM(CP128:CP130))</f>
        <v>360.8</v>
      </c>
      <c r="CR127" s="519" t="str">
        <f>IF(CS127="","",IF($J$14="A","PHS電話機"))</f>
        <v/>
      </c>
      <c r="CS127" s="189" t="str">
        <f>IF(CS126="","",INT(CS126*1.5))</f>
        <v/>
      </c>
      <c r="CU127" s="8"/>
      <c r="CV127" s="197">
        <f t="shared" si="68"/>
        <v>8</v>
      </c>
      <c r="CW127" s="197" t="str">
        <f t="shared" si="67"/>
        <v/>
      </c>
      <c r="CX127" s="10" t="str">
        <f>CO126</f>
        <v>TIVF 0.8-2C</v>
      </c>
      <c r="CY127" s="8"/>
      <c r="CZ127" s="249" t="str">
        <f>IF(COUNTIF($CZ$10:$CZ126,CX127)&gt;0,"",CX127)</f>
        <v/>
      </c>
      <c r="DA127" s="515">
        <f>CP126</f>
        <v>0</v>
      </c>
      <c r="DB127" s="514">
        <f>SUMIF($CX$20:$CX$182,CZ127,$DA$20:$DA$182)</f>
        <v>0</v>
      </c>
      <c r="DC127" s="8"/>
      <c r="DD127" s="8"/>
      <c r="DE127" s="197">
        <f t="shared" si="72"/>
        <v>14</v>
      </c>
      <c r="DF127" s="197" t="str">
        <f t="shared" si="73"/>
        <v/>
      </c>
      <c r="DG127" s="207" t="str">
        <f>CO130</f>
        <v>フロアダクト FC-6</v>
      </c>
      <c r="DH127" s="8"/>
      <c r="DI127" s="249" t="str">
        <f>IF(COUNTIF(DG$18:$DG126,DG127)&gt;0,"",DG127)</f>
        <v/>
      </c>
      <c r="DJ127" s="515">
        <f>CP130</f>
        <v>0</v>
      </c>
      <c r="DK127" s="514">
        <f t="shared" si="74"/>
        <v>0</v>
      </c>
      <c r="DL127" s="8"/>
      <c r="DM127" s="8"/>
      <c r="DN127" s="197">
        <f>IF(DR127&lt;&gt;"",DN126+1,DN126)</f>
        <v>4</v>
      </c>
      <c r="DO127" s="197" t="str">
        <f t="shared" si="75"/>
        <v/>
      </c>
      <c r="DP127" s="10" t="str">
        <f>CR126</f>
        <v/>
      </c>
      <c r="DQ127" s="8"/>
      <c r="DR127" s="249" t="str">
        <f>IF(COUNTIF(DP$18:$DP126,DP127)&gt;0,"",DP127)</f>
        <v/>
      </c>
      <c r="DS127" s="198" t="str">
        <f>CS126</f>
        <v/>
      </c>
      <c r="DT127" s="514">
        <f t="shared" si="76"/>
        <v>0</v>
      </c>
    </row>
    <row r="128" spans="1:124" ht="10.5" customHeight="1" thickBot="1">
      <c r="B128" s="23"/>
      <c r="C128" s="3048" t="s">
        <v>737</v>
      </c>
      <c r="D128" s="3049"/>
      <c r="E128" s="3049"/>
      <c r="F128" s="3049"/>
      <c r="G128" s="3049"/>
      <c r="H128" s="3049"/>
      <c r="I128" s="3049"/>
      <c r="J128" s="3050" t="s">
        <v>736</v>
      </c>
      <c r="K128" s="3051"/>
      <c r="L128" s="3051"/>
      <c r="M128" s="3051"/>
      <c r="N128" s="3052" t="s">
        <v>735</v>
      </c>
      <c r="O128" s="2891"/>
      <c r="P128" s="2892"/>
      <c r="Q128" s="3057" t="str">
        <f>IF(OR($B$2=0,$J$14="C"),"",IF(Z128="",BZ126,Z128))</f>
        <v>FCPEV 0.65- 70Pr</v>
      </c>
      <c r="R128" s="3057"/>
      <c r="S128" s="3057"/>
      <c r="T128" s="3057"/>
      <c r="U128" s="3057"/>
      <c r="V128" s="3057"/>
      <c r="W128" s="3057"/>
      <c r="X128" s="3057"/>
      <c r="Y128" s="524" t="s">
        <v>106</v>
      </c>
      <c r="Z128" s="2902"/>
      <c r="AA128" s="2903"/>
      <c r="AB128" s="2903"/>
      <c r="AC128" s="2903"/>
      <c r="AD128" s="2903"/>
      <c r="AE128" s="2903"/>
      <c r="AF128" s="2903"/>
      <c r="AG128" s="2904"/>
      <c r="AH128" s="2877" t="s">
        <v>734</v>
      </c>
      <c r="AI128" s="2878"/>
      <c r="AJ128" s="2879"/>
      <c r="AK128" s="3058">
        <f>IF($B$2=0,"",IF(AP128&lt;&gt;"",AP128,IF($J$14="C","",SUM(CF125:CF126)*CC125)))</f>
        <v>6</v>
      </c>
      <c r="AL128" s="3058"/>
      <c r="AM128" s="3058"/>
      <c r="AN128" s="3058"/>
      <c r="AO128" s="524" t="s">
        <v>106</v>
      </c>
      <c r="AP128" s="2911"/>
      <c r="AQ128" s="2912"/>
      <c r="AR128" s="2912"/>
      <c r="AS128" s="2913"/>
      <c r="AT128" s="2890" t="s">
        <v>733</v>
      </c>
      <c r="AU128" s="2891"/>
      <c r="AV128" s="2892"/>
      <c r="AW128" s="2899" t="str">
        <f>IF($B$2=0,"",IF(BE128&lt;&gt;"",BE128,IF(BB124=2,"PF-"&amp;CB127&amp;"mm",IF(OR(BB124=3,BB124=6),"C-"&amp;CA127&amp;"mm",IF(OR(BB124=4,BB124=7),"G-"&amp;CB127&amp;"mm",IF(OR(BB124=1,BB124=5),"CD-"&amp;CB127&amp;"mm",""))))))</f>
        <v>CD-28mm</v>
      </c>
      <c r="AX128" s="2900"/>
      <c r="AY128" s="2900"/>
      <c r="AZ128" s="2900"/>
      <c r="BA128" s="2900"/>
      <c r="BB128" s="2900"/>
      <c r="BC128" s="2901"/>
      <c r="BD128" s="524" t="s">
        <v>106</v>
      </c>
      <c r="BE128" s="2902"/>
      <c r="BF128" s="2903"/>
      <c r="BG128" s="2903"/>
      <c r="BH128" s="2903"/>
      <c r="BI128" s="2903"/>
      <c r="BJ128" s="2904"/>
      <c r="BK128" s="2877" t="s">
        <v>732</v>
      </c>
      <c r="BL128" s="2878"/>
      <c r="BM128" s="2879"/>
      <c r="BN128" s="2914">
        <f>IF($B$2=0,"",IF(BR128="",CF129*CC125,BR128))</f>
        <v>4</v>
      </c>
      <c r="BO128" s="2915"/>
      <c r="BP128" s="2916"/>
      <c r="BQ128" s="524" t="s">
        <v>106</v>
      </c>
      <c r="BR128" s="3202"/>
      <c r="BS128" s="3203"/>
      <c r="BT128" s="3204"/>
      <c r="BU128" s="19"/>
      <c r="BX128" s="530"/>
      <c r="BY128" s="46"/>
      <c r="BZ128" s="106" t="s">
        <v>731</v>
      </c>
      <c r="CA128" s="529" t="str">
        <f>IF(P127="","",IF(OR(I124="(1) ロ",I124="( 4 )",I124="(5) イ",I124="(6) イ",I124="(6) ロ",I124="(6) ハ",I124="( 7 )",I124="( 8 )",I124="( 15)"),"1",""))</f>
        <v/>
      </c>
      <c r="CB128" s="151">
        <f>IF(P127="",0,INT(P127/20))</f>
        <v>34</v>
      </c>
      <c r="CC128" s="122">
        <f>IF(CA128="",0,CB128)</f>
        <v>0</v>
      </c>
      <c r="CD128" s="6"/>
      <c r="CE128" s="156" t="s">
        <v>730</v>
      </c>
      <c r="CF128" s="189"/>
      <c r="CG128" s="189">
        <f>BX127*(1+INT(AR127/10))+CG130</f>
        <v>135</v>
      </c>
      <c r="CH128" s="189">
        <f>IF(AW127="",0,BX127*(1+INT(AW127/10)))</f>
        <v>27</v>
      </c>
      <c r="CI128" s="82" t="s">
        <v>729</v>
      </c>
      <c r="CJ128" s="98">
        <f>7.32*(AW127-2*SQRT(AW127))</f>
        <v>0</v>
      </c>
      <c r="CK128" s="528">
        <f>IF(E130="不","",SUM(CH125+CJ125)*T127/L127)</f>
        <v>0</v>
      </c>
      <c r="CL128" s="528">
        <f>CJ128</f>
        <v>0</v>
      </c>
      <c r="CM128" s="527" t="s">
        <v>8</v>
      </c>
      <c r="CN128" s="69"/>
      <c r="CO128" s="252" t="str">
        <f>AW128</f>
        <v>CD-28mm</v>
      </c>
      <c r="CP128" s="520">
        <f>BN128</f>
        <v>4</v>
      </c>
      <c r="CR128" s="519" t="str">
        <f>IF(CS128=0,"","C-OBox4角中深")</f>
        <v>C-OBox4角中深</v>
      </c>
      <c r="CS128" s="189">
        <f>IF($J$14="A",SUM(CS125:CS126),AR127)</f>
        <v>45</v>
      </c>
      <c r="CU128" s="8"/>
      <c r="CV128" s="197">
        <f t="shared" si="68"/>
        <v>8</v>
      </c>
      <c r="CW128" s="197" t="str">
        <f t="shared" si="67"/>
        <v/>
      </c>
      <c r="CX128" s="207" t="str">
        <f>IF(BQ127="","","IV-14sq")</f>
        <v/>
      </c>
      <c r="CY128" s="8"/>
      <c r="CZ128" s="249" t="str">
        <f>IF(COUNTIF($CZ$10:$CZ127,CX128)&gt;0,"",CX128)</f>
        <v/>
      </c>
      <c r="DA128" s="515" t="str">
        <f>IF(BQ127="","",BX127+BY125+15)</f>
        <v/>
      </c>
      <c r="DB128" s="514">
        <f>SUMIF($CX$20:$CX$182,CZ128,$DA$20:$DA$182)</f>
        <v>0</v>
      </c>
      <c r="DD128" s="8"/>
      <c r="DE128" s="197">
        <f>IF(DJ128&lt;&gt;"",DE127+1,DE127)</f>
        <v>14</v>
      </c>
      <c r="DF128" s="197" t="str">
        <f>IF(AND(DE128&lt;&gt;"",DJ128&lt;&gt;""),DE128,"")</f>
        <v/>
      </c>
      <c r="DG128" s="207"/>
      <c r="DH128" s="8"/>
      <c r="DI128" s="249"/>
      <c r="DJ128" s="515"/>
      <c r="DK128" s="514">
        <f t="shared" si="74"/>
        <v>0</v>
      </c>
      <c r="DM128" s="8"/>
      <c r="DN128" s="197">
        <f>IF(DR128&lt;&gt;"",DN127+1,DN127)</f>
        <v>4</v>
      </c>
      <c r="DO128" s="197" t="str">
        <f t="shared" si="75"/>
        <v/>
      </c>
      <c r="DP128" s="10" t="str">
        <f>CR127</f>
        <v/>
      </c>
      <c r="DQ128" s="8"/>
      <c r="DR128" s="249" t="str">
        <f>IF(COUNTIF(DP$18:$DP127,DP128)&gt;0,"",DP128)</f>
        <v/>
      </c>
      <c r="DS128" s="198" t="str">
        <f>CS127</f>
        <v/>
      </c>
      <c r="DT128" s="514">
        <f t="shared" si="76"/>
        <v>0</v>
      </c>
    </row>
    <row r="129" spans="1:124" ht="10.5" customHeight="1">
      <c r="B129" s="23"/>
      <c r="C129" s="3205" t="s">
        <v>728</v>
      </c>
      <c r="D129" s="3205"/>
      <c r="E129" s="3016" t="str">
        <f>IF($D$9="不要","不",IF(H129="","要",H129))</f>
        <v>要</v>
      </c>
      <c r="F129" s="3016"/>
      <c r="G129" s="523" t="s">
        <v>724</v>
      </c>
      <c r="H129" s="3017"/>
      <c r="I129" s="3018"/>
      <c r="J129" s="3019" t="s">
        <v>727</v>
      </c>
      <c r="K129" s="3020"/>
      <c r="L129" s="3020"/>
      <c r="M129" s="3021"/>
      <c r="N129" s="3053"/>
      <c r="O129" s="2894"/>
      <c r="P129" s="2895"/>
      <c r="Q129" s="3025" t="str">
        <f>IF(OR($B$2=0,$J$14="C"),"",IF(Z129&lt;&gt;"",Z129,"電子釦 0.4- 4Pr"))</f>
        <v>電子釦 0.4- 4Pr</v>
      </c>
      <c r="R129" s="2933"/>
      <c r="S129" s="2933"/>
      <c r="T129" s="2933"/>
      <c r="U129" s="2933"/>
      <c r="V129" s="2933"/>
      <c r="W129" s="2933"/>
      <c r="X129" s="2934"/>
      <c r="Y129" s="526" t="s">
        <v>724</v>
      </c>
      <c r="Z129" s="3026"/>
      <c r="AA129" s="3027"/>
      <c r="AB129" s="3027"/>
      <c r="AC129" s="3027"/>
      <c r="AD129" s="3027"/>
      <c r="AE129" s="3027"/>
      <c r="AF129" s="3027"/>
      <c r="AG129" s="3028"/>
      <c r="AH129" s="2880" t="s">
        <v>725</v>
      </c>
      <c r="AI129" s="2881"/>
      <c r="AJ129" s="2882"/>
      <c r="AK129" s="2995">
        <f>IF($B$2=0,"",IF(AP129&lt;&gt;"",AP129,IF($J$14="C","",SUM(CK125:CK126))))</f>
        <v>544.29999999999995</v>
      </c>
      <c r="AL129" s="2995"/>
      <c r="AM129" s="2995"/>
      <c r="AN129" s="2995"/>
      <c r="AO129" s="526" t="s">
        <v>724</v>
      </c>
      <c r="AP129" s="2996"/>
      <c r="AQ129" s="2997"/>
      <c r="AR129" s="2997"/>
      <c r="AS129" s="2998"/>
      <c r="AT129" s="2893"/>
      <c r="AU129" s="2894"/>
      <c r="AV129" s="2895"/>
      <c r="AW129" s="2933" t="str">
        <f>IF($B$2=0,"",IF(BE129&lt;&gt;"",BE129,IF(BB124=2,"PF-22mm",IF(OR(BB124=3,BB124=6),"C-25mm",IF(OR(BB124=4,BB124=7),"G-22mm",IF(OR(BB124=1,BB124=5),"CD-22mm",""))))))</f>
        <v>CD-22mm</v>
      </c>
      <c r="AX129" s="2933"/>
      <c r="AY129" s="2933"/>
      <c r="AZ129" s="2933"/>
      <c r="BA129" s="2933"/>
      <c r="BB129" s="2933"/>
      <c r="BC129" s="2934"/>
      <c r="BD129" s="526" t="s">
        <v>724</v>
      </c>
      <c r="BE129" s="2935"/>
      <c r="BF129" s="2936"/>
      <c r="BG129" s="2936"/>
      <c r="BH129" s="2936"/>
      <c r="BI129" s="2936"/>
      <c r="BJ129" s="2937"/>
      <c r="BK129" s="2880" t="s">
        <v>725</v>
      </c>
      <c r="BL129" s="2881"/>
      <c r="BM129" s="2882"/>
      <c r="BN129" s="2948">
        <f>IF($B$2=0,"",IF(BR129="",SUM(CL125:CL126),BR129))</f>
        <v>324</v>
      </c>
      <c r="BO129" s="2949"/>
      <c r="BP129" s="2950"/>
      <c r="BQ129" s="525" t="s">
        <v>724</v>
      </c>
      <c r="BR129" s="3029"/>
      <c r="BS129" s="3030"/>
      <c r="BT129" s="3031"/>
      <c r="BU129" s="19"/>
      <c r="BX129" s="49">
        <f>1+INT(L127/600)</f>
        <v>2</v>
      </c>
      <c r="BY129" s="46"/>
      <c r="BZ129" s="106" t="s">
        <v>723</v>
      </c>
      <c r="CA129" s="522" t="str">
        <f>"1"</f>
        <v>1</v>
      </c>
      <c r="CB129" s="151">
        <f>IF(CA128="",INT(T127/40)+CB128,INT(T127/40))</f>
        <v>45</v>
      </c>
      <c r="CC129" s="122">
        <f>IF(CB129="",0,CB129)</f>
        <v>45</v>
      </c>
      <c r="CD129" s="6"/>
      <c r="CE129" s="156" t="s">
        <v>722</v>
      </c>
      <c r="CF129" s="189">
        <f>F127</f>
        <v>4</v>
      </c>
      <c r="CG129" s="189">
        <f>IF(BB124&lt;=4,(2*F127-(R113+R115)/1000)*AR127,((R114+R115)/1000)*AR127)</f>
        <v>0</v>
      </c>
      <c r="CH129" s="189">
        <f>2*(R115/1000)*AR127</f>
        <v>0</v>
      </c>
      <c r="CI129" s="82" t="s">
        <v>721</v>
      </c>
      <c r="CJ129" s="86">
        <f>AW127</f>
        <v>0</v>
      </c>
      <c r="CK129" s="38"/>
      <c r="CL129" s="38"/>
      <c r="CM129" s="38"/>
      <c r="CN129" s="38"/>
      <c r="CO129" s="252" t="str">
        <f>AW129</f>
        <v>CD-22mm</v>
      </c>
      <c r="CP129" s="520">
        <f>BN129</f>
        <v>324</v>
      </c>
      <c r="CR129" s="519" t="str">
        <f>IF(CS129="","",IF(LEFT(AW130,1)="フ","ジャンクションボックス 2Duct","C-OBox4角大深"))</f>
        <v/>
      </c>
      <c r="CS129" s="189" t="str">
        <f>IF(AW127=0,"",AW127)</f>
        <v/>
      </c>
      <c r="CU129" s="8"/>
      <c r="CV129" s="197">
        <f t="shared" si="68"/>
        <v>8</v>
      </c>
      <c r="CW129" s="197" t="str">
        <f t="shared" si="67"/>
        <v/>
      </c>
      <c r="CX129" s="207" t="str">
        <f>IF(BQ127="","","VE-22mm")</f>
        <v/>
      </c>
      <c r="CY129" s="8"/>
      <c r="CZ129" s="249" t="str">
        <f>IF(COUNTIF($CZ$10:$CZ128,CX129)&gt;0,"",CX129)</f>
        <v/>
      </c>
      <c r="DA129" s="515" t="str">
        <f>IF(BQ127="","",DA128-10)</f>
        <v/>
      </c>
      <c r="DB129" s="514">
        <f>SUMIF($CX$20:$CX$182,CZ129,$DA$20:$DA$182)</f>
        <v>0</v>
      </c>
      <c r="DD129" s="8"/>
      <c r="DE129" s="197">
        <f t="shared" ref="DE129:DE135" si="77">IF(DI129&lt;&gt;"",DE128+1,DE128)</f>
        <v>14</v>
      </c>
      <c r="DF129" s="197" t="str">
        <f t="shared" ref="DF129:DF135" si="78">IF(AND(DE129&lt;&gt;"",DI129&lt;&gt;""),DE129,"")</f>
        <v/>
      </c>
      <c r="DG129" s="207" t="str">
        <f>CR128</f>
        <v>C-OBox4角中深</v>
      </c>
      <c r="DH129" s="8"/>
      <c r="DI129" s="249" t="str">
        <f>IF(COUNTIF(DG$18:$DG128,DG129)&gt;0,"",DG129)</f>
        <v/>
      </c>
      <c r="DJ129" s="515">
        <f>CS128</f>
        <v>45</v>
      </c>
      <c r="DK129" s="514">
        <f t="shared" si="74"/>
        <v>0</v>
      </c>
      <c r="DM129" s="8"/>
      <c r="DN129" s="197">
        <f>IF(DS129&lt;&gt;"",DN128+1,DN128)</f>
        <v>4</v>
      </c>
      <c r="DO129" s="197" t="str">
        <f t="shared" si="75"/>
        <v/>
      </c>
      <c r="DP129" s="10" t="str">
        <f>IF(BQ125="","","電話交換機")</f>
        <v/>
      </c>
      <c r="DQ129" s="8"/>
      <c r="DR129" s="249" t="str">
        <f>IF(COUNTIF(DP$18:$DP128,DP129)&gt;0,"",DP129)</f>
        <v/>
      </c>
      <c r="DS129" s="198" t="str">
        <f>IF(DP129&lt;&gt;"",1,"")</f>
        <v/>
      </c>
      <c r="DT129" s="514">
        <f t="shared" si="76"/>
        <v>0</v>
      </c>
    </row>
    <row r="130" spans="1:124" ht="10.5" customHeight="1">
      <c r="B130" s="23"/>
      <c r="C130" s="2959" t="s">
        <v>720</v>
      </c>
      <c r="D130" s="2959"/>
      <c r="E130" s="3016" t="str">
        <f>IF($D$9="不要","不",IF(H130="","要",H130))</f>
        <v>要</v>
      </c>
      <c r="F130" s="3016"/>
      <c r="G130" s="525" t="s">
        <v>103</v>
      </c>
      <c r="H130" s="3017"/>
      <c r="I130" s="3018"/>
      <c r="J130" s="3022"/>
      <c r="K130" s="3023"/>
      <c r="L130" s="3023"/>
      <c r="M130" s="3024"/>
      <c r="N130" s="3054"/>
      <c r="O130" s="3055"/>
      <c r="P130" s="3056"/>
      <c r="Q130" s="3201" t="str">
        <f>IF($B$2=0,"",IF(Z130&lt;&gt;"",Z130,"TIVF 0.8-2C"))</f>
        <v>TIVF 0.8-2C</v>
      </c>
      <c r="R130" s="3201"/>
      <c r="S130" s="3201"/>
      <c r="T130" s="3201"/>
      <c r="U130" s="3201"/>
      <c r="V130" s="3201"/>
      <c r="W130" s="3201"/>
      <c r="X130" s="3201"/>
      <c r="Y130" s="524" t="s">
        <v>103</v>
      </c>
      <c r="Z130" s="2941"/>
      <c r="AA130" s="2942"/>
      <c r="AB130" s="2942"/>
      <c r="AC130" s="2942"/>
      <c r="AD130" s="2942"/>
      <c r="AE130" s="2942"/>
      <c r="AF130" s="2942"/>
      <c r="AG130" s="3199"/>
      <c r="AH130" s="2883" t="s">
        <v>235</v>
      </c>
      <c r="AI130" s="2884"/>
      <c r="AJ130" s="2885"/>
      <c r="AK130" s="2953">
        <f>IF($B$2=0,"",IF(AP130&lt;&gt;"",AP130,IF($J$14="C","",SUM(CK127:CK128))))</f>
        <v>0</v>
      </c>
      <c r="AL130" s="2954"/>
      <c r="AM130" s="2954"/>
      <c r="AN130" s="2955"/>
      <c r="AO130" s="524" t="s">
        <v>103</v>
      </c>
      <c r="AP130" s="2911"/>
      <c r="AQ130" s="2912"/>
      <c r="AR130" s="2912"/>
      <c r="AS130" s="2913"/>
      <c r="AT130" s="2896"/>
      <c r="AU130" s="2897"/>
      <c r="AV130" s="2898"/>
      <c r="AW130" s="2939" t="str">
        <f>IF($B$2=0,"",IF(BN130="","",IF(BE130="","フロアダクト FC-6",BE130)))</f>
        <v>フロアダクト FC-6</v>
      </c>
      <c r="AX130" s="2845"/>
      <c r="AY130" s="2845"/>
      <c r="AZ130" s="2845"/>
      <c r="BA130" s="2845"/>
      <c r="BB130" s="2845"/>
      <c r="BC130" s="2940"/>
      <c r="BD130" s="524" t="s">
        <v>103</v>
      </c>
      <c r="BE130" s="2941"/>
      <c r="BF130" s="2942"/>
      <c r="BG130" s="2942"/>
      <c r="BH130" s="2942"/>
      <c r="BI130" s="2942"/>
      <c r="BJ130" s="2942"/>
      <c r="BK130" s="2883" t="s">
        <v>235</v>
      </c>
      <c r="BL130" s="2884"/>
      <c r="BM130" s="2885"/>
      <c r="BN130" s="2943">
        <f>IF($B$2=0,"",IF(BR130="",MAX(CL127:CL128),BR130))</f>
        <v>0</v>
      </c>
      <c r="BO130" s="2944"/>
      <c r="BP130" s="2945"/>
      <c r="BQ130" s="523" t="s">
        <v>103</v>
      </c>
      <c r="BR130" s="3200"/>
      <c r="BS130" s="3200"/>
      <c r="BT130" s="3200"/>
      <c r="BU130" s="19"/>
      <c r="BX130" s="47"/>
      <c r="BZ130" s="106" t="s">
        <v>766</v>
      </c>
      <c r="CA130" s="522" t="str">
        <f>IF(OR(I124="( 10)",I124="(12)イ"),"1","")</f>
        <v/>
      </c>
      <c r="CB130" s="151" t="str">
        <f>IF(CA130="","",INT(P127/200))</f>
        <v/>
      </c>
      <c r="CC130" s="122">
        <f>IF(CB130="",0,CB130)</f>
        <v>0</v>
      </c>
      <c r="CE130" s="156" t="s">
        <v>716</v>
      </c>
      <c r="CF130" s="521"/>
      <c r="CG130" s="189">
        <f>IF($AQ$8=0,1.5*2*(1+INT(2*BX125/($AQ$9/1000)))*(1+INT(2*BY125/($AQ$9/1000))),0)</f>
        <v>0</v>
      </c>
      <c r="CH130" s="82"/>
      <c r="CI130" s="82" t="s">
        <v>765</v>
      </c>
      <c r="CJ130" s="107">
        <f>AR127</f>
        <v>45</v>
      </c>
      <c r="CK130" s="12"/>
      <c r="CL130" s="12"/>
      <c r="CM130" s="12"/>
      <c r="CN130" s="12"/>
      <c r="CO130" s="252" t="str">
        <f>AW130</f>
        <v>フロアダクト FC-6</v>
      </c>
      <c r="CP130" s="520">
        <f>BN130</f>
        <v>0</v>
      </c>
      <c r="CR130" s="519" t="str">
        <f>IF(CS130="","","ローテンションアウトレット")</f>
        <v/>
      </c>
      <c r="CS130" s="189" t="str">
        <f>CS124</f>
        <v/>
      </c>
      <c r="CV130" s="197">
        <f t="shared" si="68"/>
        <v>8</v>
      </c>
      <c r="CW130" s="197" t="str">
        <f t="shared" si="67"/>
        <v/>
      </c>
      <c r="CX130" s="207"/>
      <c r="CY130" s="24"/>
      <c r="DA130" s="515"/>
      <c r="DB130" s="516"/>
      <c r="DE130" s="197">
        <f t="shared" si="77"/>
        <v>14</v>
      </c>
      <c r="DF130" s="197" t="str">
        <f t="shared" si="78"/>
        <v/>
      </c>
      <c r="DG130" s="207" t="str">
        <f>CR129</f>
        <v/>
      </c>
      <c r="DH130" s="24"/>
      <c r="DI130" s="249" t="str">
        <f>IF(COUNTIF(DG$18:$DG129,DG130)&gt;0,"",DG130)</f>
        <v/>
      </c>
      <c r="DJ130" s="515" t="str">
        <f>CS129</f>
        <v/>
      </c>
      <c r="DK130" s="514">
        <f t="shared" si="74"/>
        <v>0</v>
      </c>
      <c r="DN130" s="197">
        <f>IF(DS130&lt;&gt;"",DN129+1,DN129)</f>
        <v>4</v>
      </c>
      <c r="DO130" s="197" t="str">
        <f t="shared" si="75"/>
        <v/>
      </c>
      <c r="DP130" s="10" t="str">
        <f>IF(BQ127="","","接地工事 Et")</f>
        <v/>
      </c>
      <c r="DQ130" s="24"/>
      <c r="DR130" s="249" t="str">
        <f>IF(COUNTIF(DP$18:$DP129,DP130)&gt;0,"",DP130)</f>
        <v/>
      </c>
      <c r="DS130" s="198" t="str">
        <f>IF(DP130&lt;&gt;"",1,"")</f>
        <v/>
      </c>
      <c r="DT130" s="514">
        <f t="shared" si="76"/>
        <v>0</v>
      </c>
    </row>
    <row r="131" spans="1:124" ht="10.5" customHeight="1">
      <c r="B131" s="23"/>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19"/>
      <c r="BZ131" s="114" t="str">
        <f>"="</f>
        <v>=</v>
      </c>
      <c r="CA131" s="114" t="str">
        <f>"－"</f>
        <v>－</v>
      </c>
      <c r="CB131" s="114" t="str">
        <f>"+"</f>
        <v>+</v>
      </c>
      <c r="CP131" s="555"/>
      <c r="CV131" s="197">
        <f t="shared" si="68"/>
        <v>8</v>
      </c>
      <c r="CW131" s="197" t="str">
        <f t="shared" si="67"/>
        <v/>
      </c>
      <c r="CY131" s="24"/>
      <c r="DA131" s="516"/>
      <c r="DB131" s="516"/>
      <c r="DE131" s="197">
        <f t="shared" si="77"/>
        <v>14</v>
      </c>
      <c r="DF131" s="197" t="str">
        <f t="shared" si="78"/>
        <v/>
      </c>
      <c r="DG131" s="207" t="str">
        <f>CR130</f>
        <v/>
      </c>
      <c r="DH131" s="24"/>
      <c r="DI131" s="249" t="str">
        <f>IF(COUNTIF(DG$18:$DG130,DG131)&gt;0,"",DG131)</f>
        <v/>
      </c>
      <c r="DJ131" s="515" t="str">
        <f>CS130</f>
        <v/>
      </c>
      <c r="DK131" s="514">
        <f t="shared" si="74"/>
        <v>0</v>
      </c>
      <c r="DN131" s="197">
        <f>IF(DS131&lt;&gt;"",DN130+1,DN130)</f>
        <v>4</v>
      </c>
      <c r="DO131" s="197" t="str">
        <f>IF(AND(DN131&lt;&gt;"",DR131&lt;&gt;""),DN131,"")</f>
        <v/>
      </c>
      <c r="DP131" s="201"/>
      <c r="DQ131" s="24"/>
      <c r="DR131" s="249"/>
      <c r="DS131" s="198"/>
      <c r="DT131" s="514"/>
    </row>
    <row r="132" spans="1:124" ht="11.25" customHeight="1" thickBot="1">
      <c r="A132" s="46"/>
      <c r="B132" s="23"/>
      <c r="C132" s="3032" t="s">
        <v>112</v>
      </c>
      <c r="D132" s="3032"/>
      <c r="E132" s="3032"/>
      <c r="F132" s="3032"/>
      <c r="G132" s="3032"/>
      <c r="H132" s="3032"/>
      <c r="I132" s="3033" t="str">
        <f>非誘!J105</f>
        <v>( 15)</v>
      </c>
      <c r="J132" s="3033"/>
      <c r="K132" s="3033"/>
      <c r="L132" s="3034"/>
      <c r="M132" s="3035" t="str">
        <f>非誘!M105</f>
        <v>前各項以外</v>
      </c>
      <c r="N132" s="2961"/>
      <c r="O132" s="2961"/>
      <c r="P132" s="2961"/>
      <c r="Q132" s="2961"/>
      <c r="R132" s="2961"/>
      <c r="S132" s="2961"/>
      <c r="T132" s="2961"/>
      <c r="U132" s="2961"/>
      <c r="V132" s="2961"/>
      <c r="W132" s="3036"/>
      <c r="X132" s="3037" t="s">
        <v>232</v>
      </c>
      <c r="Y132" s="3037"/>
      <c r="Z132" s="3037"/>
      <c r="AA132" s="3037"/>
      <c r="AB132" s="3038"/>
      <c r="AC132" s="2977" t="str">
        <f>非誘!AA105</f>
        <v>A</v>
      </c>
      <c r="AD132" s="2978"/>
      <c r="AE132" s="2917" t="s">
        <v>760</v>
      </c>
      <c r="AF132" s="2918"/>
      <c r="AG132" s="2918"/>
      <c r="AH132" s="2918"/>
      <c r="AI132" s="2919"/>
      <c r="AJ132" s="2979">
        <f>非誘!J106</f>
        <v>0.7142857142857143</v>
      </c>
      <c r="AK132" s="2980"/>
      <c r="AL132" s="2981"/>
      <c r="AM132" s="2917" t="s">
        <v>759</v>
      </c>
      <c r="AN132" s="2918"/>
      <c r="AO132" s="2919"/>
      <c r="AP132" s="2920" t="str">
        <f>IF(OR($B$2=0,AS132=""),$BO$14,AS132)</f>
        <v>Ⓖ</v>
      </c>
      <c r="AQ132" s="2920"/>
      <c r="AR132" s="554" t="s">
        <v>103</v>
      </c>
      <c r="AS132" s="2921"/>
      <c r="AT132" s="2922"/>
      <c r="AU132" s="2875" t="s">
        <v>757</v>
      </c>
      <c r="AV132" s="2875"/>
      <c r="AW132" s="2875"/>
      <c r="AX132" s="2875"/>
      <c r="AY132" s="2875"/>
      <c r="AZ132" s="2875"/>
      <c r="BA132" s="2876"/>
      <c r="BB132" s="553">
        <f>IF(BC132="天井ケーブル",1,IF(BC132="天井(PF管)",2,IF(BC132="天井(C管)",3,IF(BC132="天井(G管)",4,IF(BC132="床(CD管)",5,IF(BC132="床(C管)",6,IF(BC132="床(G管)",7,"")))))))</f>
        <v>3</v>
      </c>
      <c r="BC132" s="2961" t="str">
        <f>IF($B$2=0,"",IF(BK132&lt;&gt;"",BK132,IF(I135="直天","天井(C管)","床(CD管)")))</f>
        <v>天井(C管)</v>
      </c>
      <c r="BD132" s="2962"/>
      <c r="BE132" s="2962"/>
      <c r="BF132" s="2962"/>
      <c r="BG132" s="2962"/>
      <c r="BH132" s="2962"/>
      <c r="BI132" s="2963"/>
      <c r="BJ132" s="552" t="s">
        <v>103</v>
      </c>
      <c r="BK132" s="2905"/>
      <c r="BL132" s="2906"/>
      <c r="BM132" s="2906"/>
      <c r="BN132" s="2906"/>
      <c r="BO132" s="2906"/>
      <c r="BP132" s="2907"/>
      <c r="BQ132" s="2982" t="s">
        <v>755</v>
      </c>
      <c r="BR132" s="2983"/>
      <c r="BS132" s="2983"/>
      <c r="BT132" s="2984"/>
      <c r="BU132" s="19"/>
      <c r="BV132" s="8">
        <v>15</v>
      </c>
      <c r="BX132" s="55" t="s">
        <v>229</v>
      </c>
      <c r="BY132" s="55" t="s">
        <v>228</v>
      </c>
      <c r="BZ132" s="534">
        <f>BY127+BY143+CA133</f>
        <v>57</v>
      </c>
      <c r="CA132" s="534">
        <f>CA133+BY127</f>
        <v>54</v>
      </c>
      <c r="CB132" s="38">
        <f>BY143+CA133</f>
        <v>6</v>
      </c>
      <c r="CC132" s="69"/>
      <c r="CD132" s="534"/>
      <c r="CE132" s="534"/>
      <c r="CF132" s="143" t="s">
        <v>754</v>
      </c>
      <c r="CG132" s="143" t="s">
        <v>753</v>
      </c>
      <c r="CH132" s="143" t="s">
        <v>753</v>
      </c>
      <c r="CI132" s="551" t="s">
        <v>752</v>
      </c>
      <c r="CJ132" s="551" t="s">
        <v>752</v>
      </c>
      <c r="CK132" s="550" t="s">
        <v>734</v>
      </c>
      <c r="CL132" s="550" t="s">
        <v>732</v>
      </c>
      <c r="CM132" s="46"/>
      <c r="CO132" s="46" t="str">
        <f>Q136</f>
        <v>FCPEV 0.65- 10Pr</v>
      </c>
      <c r="CP132" s="520">
        <f>AK136</f>
        <v>6</v>
      </c>
      <c r="CR132" s="519" t="str">
        <f>IF(CS132="","",IF($J$14="A","多機能内線電話機",""))</f>
        <v/>
      </c>
      <c r="CS132" s="189" t="str">
        <f>BB135</f>
        <v/>
      </c>
      <c r="CU132" s="88">
        <v>15</v>
      </c>
      <c r="CV132" s="204">
        <f t="shared" si="68"/>
        <v>8</v>
      </c>
      <c r="CW132" s="155" t="str">
        <f t="shared" si="67"/>
        <v/>
      </c>
      <c r="CX132" s="45"/>
      <c r="CY132" s="45"/>
      <c r="CZ132" s="45"/>
      <c r="DA132" s="45"/>
      <c r="DB132" s="45"/>
      <c r="DD132" s="88">
        <v>15</v>
      </c>
      <c r="DE132" s="204">
        <f t="shared" si="77"/>
        <v>14</v>
      </c>
      <c r="DF132" s="155" t="str">
        <f t="shared" si="78"/>
        <v/>
      </c>
      <c r="DG132" s="549" t="str">
        <f>CO127</f>
        <v>導入線 1.2mmφ</v>
      </c>
      <c r="DH132" s="45"/>
      <c r="DI132" s="153" t="str">
        <f>IF(COUNTIF(DG$9:$DG131,DG132)&gt;0,"",DG132)</f>
        <v/>
      </c>
      <c r="DJ132" s="155">
        <f>CP127</f>
        <v>360.8</v>
      </c>
      <c r="DK132" s="548">
        <f>SUMIF($DG$11:$DG$182,DI132,$DJ$11:$DJ$182)</f>
        <v>0</v>
      </c>
      <c r="DM132" s="88">
        <v>15</v>
      </c>
      <c r="DN132" s="204">
        <f>IF(DS132&lt;&gt;"",DN131+1,DN131)</f>
        <v>4</v>
      </c>
      <c r="DO132" s="155" t="str">
        <f>IF(AND(DN132&lt;&gt;"",DR132&lt;&gt;""),DN132,"")</f>
        <v/>
      </c>
      <c r="DP132" s="45"/>
      <c r="DQ132" s="45"/>
      <c r="DR132" s="45"/>
      <c r="DS132" s="45"/>
      <c r="DT132" s="45"/>
    </row>
    <row r="133" spans="1:124" ht="11.25" customHeight="1" thickBot="1">
      <c r="B133" s="23"/>
      <c r="C133" s="3008" t="s">
        <v>4</v>
      </c>
      <c r="D133" s="3009"/>
      <c r="E133" s="3010"/>
      <c r="F133" s="3014" t="s">
        <v>22</v>
      </c>
      <c r="G133" s="2983"/>
      <c r="H133" s="3015"/>
      <c r="I133" s="2982" t="s">
        <v>132</v>
      </c>
      <c r="J133" s="2983"/>
      <c r="K133" s="3015"/>
      <c r="L133" s="2982" t="s">
        <v>6</v>
      </c>
      <c r="M133" s="2983"/>
      <c r="N133" s="2983"/>
      <c r="O133" s="2984"/>
      <c r="P133" s="3014" t="s">
        <v>7</v>
      </c>
      <c r="Q133" s="2983"/>
      <c r="R133" s="2983"/>
      <c r="S133" s="2984"/>
      <c r="T133" s="3014" t="s">
        <v>8</v>
      </c>
      <c r="U133" s="2983"/>
      <c r="V133" s="2983"/>
      <c r="W133" s="2984"/>
      <c r="X133" s="3014" t="s">
        <v>9</v>
      </c>
      <c r="Y133" s="2983"/>
      <c r="Z133" s="3015"/>
      <c r="AA133" s="2982" t="s">
        <v>9</v>
      </c>
      <c r="AB133" s="2983"/>
      <c r="AC133" s="2984"/>
      <c r="AD133" s="2974" t="s">
        <v>708</v>
      </c>
      <c r="AE133" s="2975"/>
      <c r="AF133" s="2975"/>
      <c r="AG133" s="2975"/>
      <c r="AH133" s="2975"/>
      <c r="AI133" s="2975"/>
      <c r="AJ133" s="2975"/>
      <c r="AK133" s="2975"/>
      <c r="AL133" s="2930" t="str">
        <f>IF(BX137=1,"T-"&amp;LEFT(C135,3)&amp;"-1","T-"&amp;LEFT(C135,3)&amp;"-1～"&amp;BX137)</f>
        <v>T-PH1-1</v>
      </c>
      <c r="AM133" s="2930"/>
      <c r="AN133" s="2930"/>
      <c r="AO133" s="2930"/>
      <c r="AP133" s="2930"/>
      <c r="AQ133" s="2932"/>
      <c r="AR133" s="2925" t="s">
        <v>751</v>
      </c>
      <c r="AS133" s="2926"/>
      <c r="AT133" s="2926"/>
      <c r="AU133" s="2926"/>
      <c r="AV133" s="2926"/>
      <c r="AW133" s="2926"/>
      <c r="AX133" s="2926"/>
      <c r="AY133" s="2926"/>
      <c r="AZ133" s="2926"/>
      <c r="BA133" s="2927"/>
      <c r="BB133" s="2886" t="s">
        <v>750</v>
      </c>
      <c r="BC133" s="2887"/>
      <c r="BD133" s="2887"/>
      <c r="BE133" s="2887"/>
      <c r="BF133" s="2887"/>
      <c r="BG133" s="2887"/>
      <c r="BH133" s="2887"/>
      <c r="BI133" s="2887"/>
      <c r="BJ133" s="2888"/>
      <c r="BK133" s="2888"/>
      <c r="BL133" s="2888"/>
      <c r="BM133" s="2888"/>
      <c r="BN133" s="2888"/>
      <c r="BO133" s="2888"/>
      <c r="BP133" s="2889"/>
      <c r="BQ133" s="2939" t="str">
        <f>IF(AND($B$2=1,$J$14="A",C135=$J$15),"設置","")</f>
        <v/>
      </c>
      <c r="BR133" s="2845"/>
      <c r="BS133" s="2845"/>
      <c r="BT133" s="2940"/>
      <c r="BU133" s="19"/>
      <c r="BV133" s="15">
        <v>105</v>
      </c>
      <c r="BX133" s="98">
        <f>非誘!BW107</f>
        <v>5</v>
      </c>
      <c r="BY133" s="98">
        <f>非誘!BX107</f>
        <v>7</v>
      </c>
      <c r="BZ133" s="547">
        <f>IF(CA133&lt;10,10,IF(CA133&lt;15,15,IF(CA133&lt;20,20,IF(CA133&lt;25,25,IF(CA133&lt;30,30,IF(CA133&lt;50,50,IF(CA133&lt;70,70,IF(CA133&lt;100,100,IF(CA133&lt;150,150,IF(CA133&lt;20,200,200))))))))))</f>
        <v>10</v>
      </c>
      <c r="CA133" s="546">
        <f>SUM(CC136:CC138)</f>
        <v>3</v>
      </c>
      <c r="CB133" s="107" t="str">
        <f>IF(BY135&lt;10," 10",IF(BY135&lt;15," 15",IF(BY135&lt;20," 20",IF(BY135&lt;25," 25",IF(BY135&lt;30," 30",IF(BY135&lt;50," 50",IF(BY135&lt;70," 70",IF(BY135&lt;100,"100",IF(BY135&lt;150,"150",IF(BY135&lt;200,"200","200"))))))))))</f>
        <v xml:space="preserve"> 10</v>
      </c>
      <c r="CC133" s="545">
        <f>1+INT(BY135/200)</f>
        <v>1</v>
      </c>
      <c r="CD133" s="534"/>
      <c r="CE133" s="156" t="s">
        <v>749</v>
      </c>
      <c r="CF133" s="189">
        <f>2*INT($AG$9/1000)</f>
        <v>2</v>
      </c>
      <c r="CG133" s="189">
        <f>CG136+(1+INT($AG$9+$AG$8)/1000)*(1+INT(AR135/10))+CG135</f>
        <v>14.715999999999999</v>
      </c>
      <c r="CH133" s="98">
        <f>IF(AW135="",0,AW135*8)</f>
        <v>0</v>
      </c>
      <c r="CI133" s="98">
        <f>AR135*8</f>
        <v>24</v>
      </c>
      <c r="CJ133" s="544">
        <f>IF(AW135="",0,AW135*8)</f>
        <v>0</v>
      </c>
      <c r="CK133" s="223">
        <f>IF(E137="不","",(CG133+CG134+CI133+CI134)*MAX(P135:W135)/L135)</f>
        <v>64.716000000000008</v>
      </c>
      <c r="CL133" s="223">
        <f>IF(E137="不","",SUM(CG136:CH136)+SUM(CG137:CH137)*MAX(P135:W135)/L135)</f>
        <v>47</v>
      </c>
      <c r="CM133" s="527" t="s">
        <v>7</v>
      </c>
      <c r="CN133" s="15"/>
      <c r="CO133" s="46" t="str">
        <f>Q137</f>
        <v>電子釦 0.4- 4Pr</v>
      </c>
      <c r="CP133" s="520">
        <f>AK137</f>
        <v>129.43200000000002</v>
      </c>
      <c r="CR133" s="519" t="str">
        <f>IF(CS133="","",IF($J$14="A","内線電話機"))</f>
        <v>内線電話機</v>
      </c>
      <c r="CS133" s="189">
        <f>BG135</f>
        <v>3</v>
      </c>
      <c r="CU133" s="8"/>
      <c r="CV133" s="197">
        <f t="shared" si="68"/>
        <v>9</v>
      </c>
      <c r="CW133" s="197">
        <f t="shared" si="67"/>
        <v>9</v>
      </c>
      <c r="CX133" s="543" t="str">
        <f>CO132</f>
        <v>FCPEV 0.65- 10Pr</v>
      </c>
      <c r="CY133" s="8"/>
      <c r="CZ133" s="249" t="str">
        <f>IF(COUNTIF($CX$17:$CX132,CX133)&gt;0,"",CX133)</f>
        <v>FCPEV 0.65- 10Pr</v>
      </c>
      <c r="DA133" s="515">
        <f>CP132</f>
        <v>6</v>
      </c>
      <c r="DB133" s="514">
        <f>SUMIF($CX$20:$CX$182,CZ133,$DA$20:$DA$182)</f>
        <v>12</v>
      </c>
      <c r="DC133" s="8"/>
      <c r="DD133" s="8"/>
      <c r="DE133" s="197">
        <f t="shared" si="77"/>
        <v>14</v>
      </c>
      <c r="DF133" s="197" t="str">
        <f t="shared" si="78"/>
        <v/>
      </c>
      <c r="DG133" s="207" t="str">
        <f>CO136</f>
        <v>C-25mm</v>
      </c>
      <c r="DH133" s="8"/>
      <c r="DI133" s="249" t="str">
        <f>IF(COUNTIF(DG$17:$DG132,DG133)&gt;0,"",DG133)</f>
        <v/>
      </c>
      <c r="DJ133" s="515">
        <f>CP136</f>
        <v>4</v>
      </c>
      <c r="DK133" s="514">
        <f t="shared" ref="DK133:DK139" si="79">SUMIF($DG$20:$DG$182,DI133,$DJ$20:$DJ$182)</f>
        <v>0</v>
      </c>
      <c r="DL133" s="8"/>
      <c r="DM133" s="8"/>
      <c r="DN133" s="197">
        <f>IF(DR133&lt;&gt;"",DN132+1,DN132)</f>
        <v>4</v>
      </c>
      <c r="DO133" s="197" t="str">
        <f t="shared" ref="DO133:DO138" si="80">IF(AND(DN133&lt;&gt;"",DS133&lt;&gt;""),DN133,"")</f>
        <v/>
      </c>
      <c r="DP133" s="10" t="str">
        <f>CR132</f>
        <v/>
      </c>
      <c r="DQ133" s="8"/>
      <c r="DR133" s="249" t="str">
        <f>IF(COUNTIF(DP$18:$DP132,DP133)&gt;0,"",DP133)</f>
        <v/>
      </c>
      <c r="DS133" s="198" t="str">
        <f>CS132</f>
        <v/>
      </c>
      <c r="DT133" s="514">
        <f t="shared" ref="DT133:DT138" si="81">SUMIF($DP$20:$DP$182,DR133,$DS$20:$DS$182)</f>
        <v>0</v>
      </c>
    </row>
    <row r="134" spans="1:124" ht="11.25" customHeight="1" thickBot="1">
      <c r="B134" s="23"/>
      <c r="C134" s="3011"/>
      <c r="D134" s="3012"/>
      <c r="E134" s="3013"/>
      <c r="F134" s="3039" t="s">
        <v>235</v>
      </c>
      <c r="G134" s="3040"/>
      <c r="H134" s="3041"/>
      <c r="I134" s="3039" t="s">
        <v>235</v>
      </c>
      <c r="J134" s="3040"/>
      <c r="K134" s="3041"/>
      <c r="L134" s="3039" t="s">
        <v>748</v>
      </c>
      <c r="M134" s="3040"/>
      <c r="N134" s="3040"/>
      <c r="O134" s="3042"/>
      <c r="P134" s="3043" t="s">
        <v>748</v>
      </c>
      <c r="Q134" s="3040"/>
      <c r="R134" s="3040"/>
      <c r="S134" s="3042"/>
      <c r="T134" s="3043" t="s">
        <v>748</v>
      </c>
      <c r="U134" s="3040"/>
      <c r="V134" s="3040"/>
      <c r="W134" s="3044"/>
      <c r="X134" s="3045" t="s">
        <v>111</v>
      </c>
      <c r="Y134" s="3046"/>
      <c r="Z134" s="3047"/>
      <c r="AA134" s="3001" t="s">
        <v>110</v>
      </c>
      <c r="AB134" s="3002"/>
      <c r="AC134" s="3003"/>
      <c r="AD134" s="3004" t="s">
        <v>695</v>
      </c>
      <c r="AE134" s="3005"/>
      <c r="AF134" s="3005"/>
      <c r="AG134" s="3006" t="s">
        <v>699</v>
      </c>
      <c r="AH134" s="3005"/>
      <c r="AI134" s="3007"/>
      <c r="AJ134" s="2928" t="s">
        <v>747</v>
      </c>
      <c r="AK134" s="2918"/>
      <c r="AL134" s="2918"/>
      <c r="AM134" s="2928" t="s">
        <v>746</v>
      </c>
      <c r="AN134" s="2918"/>
      <c r="AO134" s="2929"/>
      <c r="AP134" s="2956" t="s">
        <v>745</v>
      </c>
      <c r="AQ134" s="2957"/>
      <c r="AR134" s="2917" t="s">
        <v>744</v>
      </c>
      <c r="AS134" s="2918"/>
      <c r="AT134" s="2958" t="s">
        <v>3</v>
      </c>
      <c r="AU134" s="2959"/>
      <c r="AV134" s="2959"/>
      <c r="AW134" s="2959" t="s">
        <v>743</v>
      </c>
      <c r="AX134" s="2960"/>
      <c r="AY134" s="2928" t="s">
        <v>3</v>
      </c>
      <c r="AZ134" s="2918"/>
      <c r="BA134" s="2919"/>
      <c r="BB134" s="542" t="str">
        <f>IF(CA136="","","●")</f>
        <v/>
      </c>
      <c r="BC134" s="2930" t="s">
        <v>742</v>
      </c>
      <c r="BD134" s="2930"/>
      <c r="BE134" s="2930"/>
      <c r="BF134" s="2931"/>
      <c r="BG134" s="542" t="str">
        <f>IF(CA137="","","●")</f>
        <v>●</v>
      </c>
      <c r="BH134" s="2930" t="s">
        <v>741</v>
      </c>
      <c r="BI134" s="2930"/>
      <c r="BJ134" s="2930"/>
      <c r="BK134" s="2931"/>
      <c r="BL134" s="542" t="str">
        <f>IF(CA138="","","●")</f>
        <v/>
      </c>
      <c r="BM134" s="2930" t="s">
        <v>764</v>
      </c>
      <c r="BN134" s="2930"/>
      <c r="BO134" s="2930"/>
      <c r="BP134" s="2932"/>
      <c r="BQ134" s="2974" t="s">
        <v>740</v>
      </c>
      <c r="BR134" s="2975"/>
      <c r="BS134" s="2975"/>
      <c r="BT134" s="2976"/>
      <c r="BU134" s="19"/>
      <c r="BX134" s="97" t="str">
        <f>IF(LEFT(C135,2)=" B",-MID(C135,3,1),IF(C135="  RF","",LEFT(C135,3)))</f>
        <v>PH1</v>
      </c>
      <c r="BY134" s="541" t="str">
        <f>IF(OR(C135="",C135="  RF"),"",IF(LEFT(C135,1)="P","+",IF($BW$14&gt;BX134,"-",IF($BW$14=BX134,"=","+"))))</f>
        <v>+</v>
      </c>
      <c r="BZ134" s="2985" t="str">
        <f>"FCPEV 0.65-"&amp;CB133&amp;"Pr"</f>
        <v>FCPEV 0.65- 10Pr</v>
      </c>
      <c r="CA134" s="2986"/>
      <c r="CB134" s="2986"/>
      <c r="CC134" s="2986"/>
      <c r="CD134" s="62"/>
      <c r="CE134" s="156" t="s">
        <v>763</v>
      </c>
      <c r="CF134" s="540">
        <f>F135</f>
        <v>4</v>
      </c>
      <c r="CG134" s="540">
        <f>CG137+(1+INT(AR135/10))*($AG$9+$AG$8)/1000</f>
        <v>26</v>
      </c>
      <c r="CH134" s="539"/>
      <c r="CI134" s="189">
        <f>CH137</f>
        <v>0</v>
      </c>
      <c r="CJ134" s="260"/>
      <c r="CK134" s="528">
        <f>IF(E138="不","",(CG133+CG134+CI133+CI134)*T135/L135)</f>
        <v>64.716000000000008</v>
      </c>
      <c r="CL134" s="528">
        <f>IF(E138="不","",SUM(CG136:CH136)+SUM(CG137:CH137)*T135/L135)</f>
        <v>47</v>
      </c>
      <c r="CM134" s="527" t="s">
        <v>8</v>
      </c>
      <c r="CN134" s="15"/>
      <c r="CO134" s="46" t="str">
        <f>Q138</f>
        <v>TIVF 0.8-2C</v>
      </c>
      <c r="CP134" s="520">
        <f>AK138</f>
        <v>0</v>
      </c>
      <c r="CR134" s="519" t="str">
        <f>IF(CS134="","",IF($J$14="A","PHSアンテナ"))</f>
        <v/>
      </c>
      <c r="CS134" s="189" t="str">
        <f>BL135</f>
        <v/>
      </c>
      <c r="CU134" s="8"/>
      <c r="CV134" s="197">
        <f t="shared" si="68"/>
        <v>9</v>
      </c>
      <c r="CW134" s="197" t="str">
        <f t="shared" si="67"/>
        <v/>
      </c>
      <c r="CX134" s="10" t="str">
        <f>CO133</f>
        <v>電子釦 0.4- 4Pr</v>
      </c>
      <c r="CY134" s="8"/>
      <c r="CZ134" s="249" t="str">
        <f>IF(COUNTIF($CZ$10:$CZ133,CX134)&gt;0,"",CX134)</f>
        <v/>
      </c>
      <c r="DA134" s="515">
        <f>CP133</f>
        <v>129.43200000000002</v>
      </c>
      <c r="DB134" s="514">
        <f>SUMIF($CX$20:$CX$182,CZ134,$DA$20:$DA$182)</f>
        <v>0</v>
      </c>
      <c r="DC134" s="8"/>
      <c r="DD134" s="8"/>
      <c r="DE134" s="197">
        <f t="shared" si="77"/>
        <v>14</v>
      </c>
      <c r="DF134" s="197" t="str">
        <f t="shared" si="78"/>
        <v/>
      </c>
      <c r="DG134" s="207" t="str">
        <f>CO137</f>
        <v>C-25mm</v>
      </c>
      <c r="DH134" s="8"/>
      <c r="DI134" s="249" t="str">
        <f>IF(COUNTIF(DG$18:$DG133,DG134)&gt;0,"",DG134)</f>
        <v/>
      </c>
      <c r="DJ134" s="515">
        <f>CP137</f>
        <v>94</v>
      </c>
      <c r="DK134" s="514">
        <f t="shared" si="79"/>
        <v>0</v>
      </c>
      <c r="DL134" s="8"/>
      <c r="DM134" s="8"/>
      <c r="DN134" s="197">
        <f>IF(DR134&lt;&gt;"",DN133+1,DN133)</f>
        <v>4</v>
      </c>
      <c r="DO134" s="197">
        <f t="shared" si="80"/>
        <v>4</v>
      </c>
      <c r="DP134" s="207" t="str">
        <f>CR133</f>
        <v>内線電話機</v>
      </c>
      <c r="DQ134" s="8"/>
      <c r="DR134" s="249" t="str">
        <f>IF(COUNTIF(DP$18:$DP133,DP134)&gt;0,"",DP134)</f>
        <v/>
      </c>
      <c r="DS134" s="198">
        <f>CS133</f>
        <v>3</v>
      </c>
      <c r="DT134" s="514">
        <f t="shared" si="81"/>
        <v>0</v>
      </c>
    </row>
    <row r="135" spans="1:124" ht="10.5" customHeight="1" thickBot="1">
      <c r="B135" s="23"/>
      <c r="C135" s="2987" t="str">
        <f>IF($B$2=0,"",非誘!C107)</f>
        <v>PH1F</v>
      </c>
      <c r="D135" s="2988"/>
      <c r="E135" s="2988"/>
      <c r="F135" s="2989">
        <f>IF($B$2=0,"",非誘!F107)</f>
        <v>4</v>
      </c>
      <c r="G135" s="2989"/>
      <c r="H135" s="2989"/>
      <c r="I135" s="2989" t="str">
        <f>IF($B$2=0,"",非誘!J107)</f>
        <v>直天</v>
      </c>
      <c r="J135" s="2989"/>
      <c r="K135" s="2989"/>
      <c r="L135" s="2990">
        <f>IF($B$2=0,"",非誘!N107)</f>
        <v>140</v>
      </c>
      <c r="M135" s="2990"/>
      <c r="N135" s="2990"/>
      <c r="O135" s="2990"/>
      <c r="P135" s="2991" t="str">
        <f>IF($B$2=0,"",非誘!S107)</f>
        <v/>
      </c>
      <c r="Q135" s="2991"/>
      <c r="R135" s="2991"/>
      <c r="S135" s="2991"/>
      <c r="T135" s="2991">
        <f>IF($B$2=0,"",非誘!W107)</f>
        <v>140</v>
      </c>
      <c r="U135" s="2992"/>
      <c r="V135" s="2992"/>
      <c r="W135" s="2992"/>
      <c r="X135" s="2993" t="str">
        <f>IF($B$2=0,"",非誘!AA107)</f>
        <v/>
      </c>
      <c r="Y135" s="2993"/>
      <c r="Z135" s="2993"/>
      <c r="AA135" s="2993">
        <f>IF($B$2=0,"",非誘!AD107)</f>
        <v>8</v>
      </c>
      <c r="AB135" s="2993"/>
      <c r="AC135" s="2994"/>
      <c r="AD135" s="2966">
        <f>IF($B$2=0,"",CB133*CC133)</f>
        <v>10</v>
      </c>
      <c r="AE135" s="2967"/>
      <c r="AF135" s="2968"/>
      <c r="AG135" s="2969">
        <f>IF($B$2=0,"",放送!CB129)</f>
        <v>0</v>
      </c>
      <c r="AH135" s="2967"/>
      <c r="AI135" s="2968"/>
      <c r="AJ135" s="2970" t="str">
        <f>IF($B$2=0,"",IF(TV!BC23="設置","Space","---"))</f>
        <v>Space</v>
      </c>
      <c r="AK135" s="2971"/>
      <c r="AL135" s="2971"/>
      <c r="AM135" s="2969"/>
      <c r="AN135" s="2967"/>
      <c r="AO135" s="2968"/>
      <c r="AP135" s="2972"/>
      <c r="AQ135" s="2973"/>
      <c r="AR135" s="2923">
        <f>IF($B$2=0,"",IF(AZ135="",CB137,AZ135))</f>
        <v>3</v>
      </c>
      <c r="AS135" s="2924"/>
      <c r="AT135" s="538" t="s">
        <v>106</v>
      </c>
      <c r="AU135" s="2946"/>
      <c r="AV135" s="2947"/>
      <c r="AW135" s="2923">
        <f>IF($B$2=0,"",IF(CA136="",0,IF(AZ135="",CB136,AZ135)))</f>
        <v>0</v>
      </c>
      <c r="AX135" s="2924"/>
      <c r="AY135" s="538" t="s">
        <v>106</v>
      </c>
      <c r="AZ135" s="2999"/>
      <c r="BA135" s="3000"/>
      <c r="BB135" s="2951" t="str">
        <f>IF(OR($J$14&lt;&gt;"A",CA136=""),"",IF(BE135&lt;&gt;"",BE135,CB136))</f>
        <v/>
      </c>
      <c r="BC135" s="2952"/>
      <c r="BD135" s="537" t="s">
        <v>106</v>
      </c>
      <c r="BE135" s="2938"/>
      <c r="BF135" s="2938"/>
      <c r="BG135" s="2951">
        <f>IF(C135="","",IF(OR($J$14&lt;&gt;"A",CA137=""),"",IF(BJ135&lt;&gt;"",BE135,CB137)))</f>
        <v>3</v>
      </c>
      <c r="BH135" s="2952"/>
      <c r="BI135" s="537" t="s">
        <v>106</v>
      </c>
      <c r="BJ135" s="2938"/>
      <c r="BK135" s="2938"/>
      <c r="BL135" s="2951" t="str">
        <f>IF(OR($J$14&lt;&gt;"A",CA138=""),"",IF(BO135&lt;&gt;"",BO135,CB138))</f>
        <v/>
      </c>
      <c r="BM135" s="2952"/>
      <c r="BN135" s="537" t="s">
        <v>106</v>
      </c>
      <c r="BO135" s="2964"/>
      <c r="BP135" s="2965"/>
      <c r="BQ135" s="2939" t="str">
        <f>IF(BQ133="設置","Ｅt","")</f>
        <v/>
      </c>
      <c r="BR135" s="2845"/>
      <c r="BS135" s="2845"/>
      <c r="BT135" s="2940"/>
      <c r="BU135" s="19"/>
      <c r="BW135" s="89" t="str">
        <f>AP132</f>
        <v>Ⓖ</v>
      </c>
      <c r="BX135" s="263">
        <f>IF(C135="","",IF(BW135="Ⓐ",BX133+BY133+3,IF(BW135="Ⓑ",BX133*5/8+BY133+3,IF(BW135="Ⓒ",BX133/2+BY133+3,IF(BW135="Ⓓ",BX133+BY133*5/8+3,IF(BW135="Ⓔ",(BX133+BY133)*5/8+3,IF(BW135="Ⓕ",BX133/2+BY133*5/8+3,IF(BW135="Ⓖ",BX133+BY133/2+3,IF(BW135="Ⓗ",BX133*5/8+BY133/2+3,IF(BW135="Ⓘ",(BX133+BY133)/2+3))))))))))</f>
        <v>11.5</v>
      </c>
      <c r="BY135" s="86">
        <f>IF(C135="",0,IF(BY134="=",BZ132,IF(BY134="-",CA132,CB132)))</f>
        <v>6</v>
      </c>
      <c r="BZ135" s="156"/>
      <c r="CA135" s="536" t="str">
        <f>IF(CA133&lt;=30,"25",IF(CA133&lt;=50,"31",IF(CA133&lt;=100,"39",IF(CA133&lt;=200,"51",""))))</f>
        <v>25</v>
      </c>
      <c r="CB135" s="535" t="str">
        <f>IF(CA133&lt;=30,"22",IF(CA133&lt;=50,"28",IF(CA133&lt;=100,"36",IF(CA133&lt;=200,"42",""))))</f>
        <v>22</v>
      </c>
      <c r="CC135" s="122"/>
      <c r="CD135" s="534"/>
      <c r="CE135" s="156" t="s">
        <v>738</v>
      </c>
      <c r="CF135" s="533"/>
      <c r="CG135" s="189">
        <f>IF($B$2="","",IF($AQ$8=0,0,0.02*($AQ$8/1000-0.15-0.1)*(INT(1000*BX133/$AQ$9)+1)*(INT(1000*BY133/$AQ$9)+1)*4*(AR135+AW135)))</f>
        <v>0.21599999999999997</v>
      </c>
      <c r="CH135" s="532"/>
      <c r="CI135" s="531"/>
      <c r="CJ135" s="15"/>
      <c r="CK135" s="528">
        <f>IF(E137="不","",SUM(CH133+CJ133)*MAX(P135:W135)/L135)</f>
        <v>0</v>
      </c>
      <c r="CL135" s="528">
        <f>IF(E137="不","",CJ136)</f>
        <v>0</v>
      </c>
      <c r="CM135" s="527" t="s">
        <v>7</v>
      </c>
      <c r="CN135" s="15"/>
      <c r="CO135" s="252" t="str">
        <f>IF(CP135="","","導入線 1.2mmφ")</f>
        <v>導入線 1.2mmφ</v>
      </c>
      <c r="CP135" s="184">
        <f>1.1*INT(SUM(CP136:CP138))</f>
        <v>107.80000000000001</v>
      </c>
      <c r="CR135" s="519" t="str">
        <f>IF(CS135="","",IF($J$14="A","PHS電話機"))</f>
        <v/>
      </c>
      <c r="CS135" s="189" t="str">
        <f>IF(CS134="","",INT(CS134*1.5))</f>
        <v/>
      </c>
      <c r="CU135" s="8"/>
      <c r="CV135" s="197">
        <f t="shared" si="68"/>
        <v>9</v>
      </c>
      <c r="CW135" s="197" t="str">
        <f t="shared" si="67"/>
        <v/>
      </c>
      <c r="CX135" s="10" t="str">
        <f>CO134</f>
        <v>TIVF 0.8-2C</v>
      </c>
      <c r="CY135" s="8"/>
      <c r="CZ135" s="249" t="str">
        <f>IF(COUNTIF($CZ$10:$CZ134,CX135)&gt;0,"",CX135)</f>
        <v/>
      </c>
      <c r="DA135" s="515">
        <f>CP134</f>
        <v>0</v>
      </c>
      <c r="DB135" s="514">
        <f>SUMIF($CX$20:$CX$182,CZ135,$DA$20:$DA$182)</f>
        <v>0</v>
      </c>
      <c r="DC135" s="8"/>
      <c r="DD135" s="8"/>
      <c r="DE135" s="197">
        <f t="shared" si="77"/>
        <v>14</v>
      </c>
      <c r="DF135" s="197" t="str">
        <f t="shared" si="78"/>
        <v/>
      </c>
      <c r="DG135" s="207" t="str">
        <f>CO138</f>
        <v>フロアダクト FC-6</v>
      </c>
      <c r="DH135" s="8"/>
      <c r="DI135" s="249" t="str">
        <f>IF(COUNTIF(DG$18:$DG134,DG135)&gt;0,"",DG135)</f>
        <v/>
      </c>
      <c r="DJ135" s="515">
        <f>CP138</f>
        <v>0</v>
      </c>
      <c r="DK135" s="514">
        <f t="shared" si="79"/>
        <v>0</v>
      </c>
      <c r="DL135" s="8"/>
      <c r="DM135" s="8"/>
      <c r="DN135" s="197">
        <f>IF(DR135&lt;&gt;"",DN134+1,DN134)</f>
        <v>4</v>
      </c>
      <c r="DO135" s="197" t="str">
        <f t="shared" si="80"/>
        <v/>
      </c>
      <c r="DP135" s="10" t="str">
        <f>CR134</f>
        <v/>
      </c>
      <c r="DQ135" s="8"/>
      <c r="DR135" s="249" t="str">
        <f>IF(COUNTIF(DP$18:$DP134,DP135)&gt;0,"",DP135)</f>
        <v/>
      </c>
      <c r="DS135" s="198" t="str">
        <f>CS134</f>
        <v/>
      </c>
      <c r="DT135" s="514">
        <f t="shared" si="81"/>
        <v>0</v>
      </c>
    </row>
    <row r="136" spans="1:124" ht="10.5" customHeight="1" thickBot="1">
      <c r="B136" s="23"/>
      <c r="C136" s="3048" t="s">
        <v>737</v>
      </c>
      <c r="D136" s="3049"/>
      <c r="E136" s="3049"/>
      <c r="F136" s="3049"/>
      <c r="G136" s="3049"/>
      <c r="H136" s="3049"/>
      <c r="I136" s="3049"/>
      <c r="J136" s="3050" t="s">
        <v>736</v>
      </c>
      <c r="K136" s="3051"/>
      <c r="L136" s="3051"/>
      <c r="M136" s="3051"/>
      <c r="N136" s="3052" t="s">
        <v>735</v>
      </c>
      <c r="O136" s="2891"/>
      <c r="P136" s="2892"/>
      <c r="Q136" s="3057" t="str">
        <f>IF(OR($B$2=0,$J$14="C"),"",IF(Z136="",BZ134,Z136))</f>
        <v>FCPEV 0.65- 10Pr</v>
      </c>
      <c r="R136" s="3057"/>
      <c r="S136" s="3057"/>
      <c r="T136" s="3057"/>
      <c r="U136" s="3057"/>
      <c r="V136" s="3057"/>
      <c r="W136" s="3057"/>
      <c r="X136" s="3057"/>
      <c r="Y136" s="524" t="s">
        <v>106</v>
      </c>
      <c r="Z136" s="2902"/>
      <c r="AA136" s="2903"/>
      <c r="AB136" s="2903"/>
      <c r="AC136" s="2903"/>
      <c r="AD136" s="2903"/>
      <c r="AE136" s="2903"/>
      <c r="AF136" s="2903"/>
      <c r="AG136" s="2904"/>
      <c r="AH136" s="2877" t="s">
        <v>734</v>
      </c>
      <c r="AI136" s="2878"/>
      <c r="AJ136" s="2879"/>
      <c r="AK136" s="3058">
        <f>IF($B$2=0,"",IF(AP136&lt;&gt;"",AP136,IF($J$14="C","",SUM(CF133:CF134)*CC133)))</f>
        <v>6</v>
      </c>
      <c r="AL136" s="3058"/>
      <c r="AM136" s="3058"/>
      <c r="AN136" s="3058"/>
      <c r="AO136" s="524" t="s">
        <v>106</v>
      </c>
      <c r="AP136" s="2911"/>
      <c r="AQ136" s="2912"/>
      <c r="AR136" s="2912"/>
      <c r="AS136" s="2913"/>
      <c r="AT136" s="2890" t="s">
        <v>733</v>
      </c>
      <c r="AU136" s="2891"/>
      <c r="AV136" s="2892"/>
      <c r="AW136" s="2899" t="str">
        <f>IF($B$2=0,"",IF(BE136&lt;&gt;"",BE136,IF(BB132=2,"PF-"&amp;CB135&amp;"mm",IF(OR(BB132=3,BB132=6),"C-"&amp;CA135&amp;"mm",IF(OR(BB132=4,BB132=7),"G-"&amp;CB135&amp;"mm",IF(OR(BB132=1,BB132=5),"CD-"&amp;CB135&amp;"mm",""))))))</f>
        <v>C-25mm</v>
      </c>
      <c r="AX136" s="2900"/>
      <c r="AY136" s="2900"/>
      <c r="AZ136" s="2900"/>
      <c r="BA136" s="2900"/>
      <c r="BB136" s="2900"/>
      <c r="BC136" s="2901"/>
      <c r="BD136" s="524" t="s">
        <v>106</v>
      </c>
      <c r="BE136" s="2902"/>
      <c r="BF136" s="2903"/>
      <c r="BG136" s="2903"/>
      <c r="BH136" s="2903"/>
      <c r="BI136" s="2903"/>
      <c r="BJ136" s="2904"/>
      <c r="BK136" s="2877" t="s">
        <v>732</v>
      </c>
      <c r="BL136" s="2878"/>
      <c r="BM136" s="2879"/>
      <c r="BN136" s="2914">
        <f>IF($B$2=0,"",IF(BR136="",CF137*CC133,BR136))</f>
        <v>4</v>
      </c>
      <c r="BO136" s="2915"/>
      <c r="BP136" s="2916"/>
      <c r="BQ136" s="524" t="s">
        <v>106</v>
      </c>
      <c r="BR136" s="3202"/>
      <c r="BS136" s="3203"/>
      <c r="BT136" s="3204"/>
      <c r="BU136" s="19"/>
      <c r="BX136" s="530"/>
      <c r="BY136" s="46"/>
      <c r="BZ136" s="106" t="s">
        <v>731</v>
      </c>
      <c r="CA136" s="529" t="str">
        <f>IF(P135="","",IF(OR(I132="(1) ロ",I132="( 4 )",I132="(5) イ",I132="(6) イ",I132="(6) ロ",I132="(6) ハ",I132="( 7 )",I132="( 8 )",I132="( 15)"),"1",""))</f>
        <v/>
      </c>
      <c r="CB136" s="151">
        <f>IF(P135="",0,INT(P135/20))</f>
        <v>0</v>
      </c>
      <c r="CC136" s="122">
        <f>IF(CA136="",0,CB136)</f>
        <v>0</v>
      </c>
      <c r="CD136" s="6"/>
      <c r="CE136" s="156" t="s">
        <v>730</v>
      </c>
      <c r="CF136" s="189"/>
      <c r="CG136" s="189">
        <f>BX135*(1+INT(AR135/10))+CG138</f>
        <v>11.5</v>
      </c>
      <c r="CH136" s="189">
        <f>IF(AW135="",0,BX135*(1+INT(AW135/10)))</f>
        <v>11.5</v>
      </c>
      <c r="CI136" s="82" t="s">
        <v>729</v>
      </c>
      <c r="CJ136" s="98">
        <f>7.32*(AW135-2*SQRT(AW135))</f>
        <v>0</v>
      </c>
      <c r="CK136" s="528">
        <f>IF(E138="不","",SUM(CH133+CJ133)*T135/L135)</f>
        <v>0</v>
      </c>
      <c r="CL136" s="528">
        <f>CJ136</f>
        <v>0</v>
      </c>
      <c r="CM136" s="527" t="s">
        <v>8</v>
      </c>
      <c r="CN136" s="69"/>
      <c r="CO136" s="252" t="str">
        <f>AW136</f>
        <v>C-25mm</v>
      </c>
      <c r="CP136" s="520">
        <f>BN136</f>
        <v>4</v>
      </c>
      <c r="CR136" s="519" t="str">
        <f>IF(CS136=0,"","C-OBox4角中深")</f>
        <v>C-OBox4角中深</v>
      </c>
      <c r="CS136" s="189">
        <f>IF($J$14="A",SUM(CS133:CS134),AR135)</f>
        <v>3</v>
      </c>
      <c r="CU136" s="8"/>
      <c r="CV136" s="197">
        <f t="shared" si="68"/>
        <v>9</v>
      </c>
      <c r="CW136" s="197" t="str">
        <f t="shared" si="67"/>
        <v/>
      </c>
      <c r="CX136" s="207" t="str">
        <f>IF(BQ135="","","IV-14sq")</f>
        <v/>
      </c>
      <c r="CY136" s="8"/>
      <c r="CZ136" s="249" t="str">
        <f>IF(COUNTIF($CZ$10:$CZ135,CX136)&gt;0,"",CX136)</f>
        <v/>
      </c>
      <c r="DA136" s="515" t="str">
        <f>IF(BQ135="","",BX135+BY133+15)</f>
        <v/>
      </c>
      <c r="DB136" s="514">
        <f>SUMIF($CX$20:$CX$182,CZ136,$DA$20:$DA$182)</f>
        <v>0</v>
      </c>
      <c r="DD136" s="8"/>
      <c r="DE136" s="197">
        <f>IF(DJ136&lt;&gt;"",DE135+1,DE135)</f>
        <v>14</v>
      </c>
      <c r="DF136" s="197" t="str">
        <f>IF(AND(DE136&lt;&gt;"",DJ136&lt;&gt;""),DE136,"")</f>
        <v/>
      </c>
      <c r="DG136" s="207"/>
      <c r="DH136" s="8"/>
      <c r="DI136" s="249"/>
      <c r="DJ136" s="515"/>
      <c r="DK136" s="514">
        <f t="shared" si="79"/>
        <v>0</v>
      </c>
      <c r="DM136" s="8"/>
      <c r="DN136" s="197">
        <f>IF(DR136&lt;&gt;"",DN135+1,DN135)</f>
        <v>4</v>
      </c>
      <c r="DO136" s="197" t="str">
        <f t="shared" si="80"/>
        <v/>
      </c>
      <c r="DP136" s="10" t="str">
        <f>CR135</f>
        <v/>
      </c>
      <c r="DQ136" s="8"/>
      <c r="DR136" s="249" t="str">
        <f>IF(COUNTIF(DP$18:$DP135,DP136)&gt;0,"",DP136)</f>
        <v/>
      </c>
      <c r="DS136" s="198" t="str">
        <f>CS135</f>
        <v/>
      </c>
      <c r="DT136" s="514">
        <f t="shared" si="81"/>
        <v>0</v>
      </c>
    </row>
    <row r="137" spans="1:124" ht="10.5" customHeight="1">
      <c r="B137" s="23"/>
      <c r="C137" s="3205" t="s">
        <v>728</v>
      </c>
      <c r="D137" s="3205"/>
      <c r="E137" s="3016" t="str">
        <f>IF($D$9="不要","不",IF(H137="","要",H137))</f>
        <v>要</v>
      </c>
      <c r="F137" s="3016"/>
      <c r="G137" s="523" t="s">
        <v>724</v>
      </c>
      <c r="H137" s="3017"/>
      <c r="I137" s="3018"/>
      <c r="J137" s="3019" t="s">
        <v>727</v>
      </c>
      <c r="K137" s="3020"/>
      <c r="L137" s="3020"/>
      <c r="M137" s="3021"/>
      <c r="N137" s="3053"/>
      <c r="O137" s="2894"/>
      <c r="P137" s="2895"/>
      <c r="Q137" s="3025" t="str">
        <f>IF(OR($B$2=0,$J$14="C"),"",IF(Z137&lt;&gt;"",Z137,"電子釦 0.4- 4Pr"))</f>
        <v>電子釦 0.4- 4Pr</v>
      </c>
      <c r="R137" s="2933"/>
      <c r="S137" s="2933"/>
      <c r="T137" s="2933"/>
      <c r="U137" s="2933"/>
      <c r="V137" s="2933"/>
      <c r="W137" s="2933"/>
      <c r="X137" s="2934"/>
      <c r="Y137" s="526" t="s">
        <v>724</v>
      </c>
      <c r="Z137" s="3026"/>
      <c r="AA137" s="3027"/>
      <c r="AB137" s="3027"/>
      <c r="AC137" s="3027"/>
      <c r="AD137" s="3027"/>
      <c r="AE137" s="3027"/>
      <c r="AF137" s="3027"/>
      <c r="AG137" s="3028"/>
      <c r="AH137" s="2880" t="s">
        <v>725</v>
      </c>
      <c r="AI137" s="2881"/>
      <c r="AJ137" s="2882"/>
      <c r="AK137" s="2995">
        <f>IF($B$2=0,"",IF(AP137&lt;&gt;"",AP137,IF($J$14="C","",SUM(CK133:CK134))))</f>
        <v>129.43200000000002</v>
      </c>
      <c r="AL137" s="2995"/>
      <c r="AM137" s="2995"/>
      <c r="AN137" s="2995"/>
      <c r="AO137" s="526" t="s">
        <v>724</v>
      </c>
      <c r="AP137" s="2996"/>
      <c r="AQ137" s="2997"/>
      <c r="AR137" s="2997"/>
      <c r="AS137" s="2998"/>
      <c r="AT137" s="2893"/>
      <c r="AU137" s="2894"/>
      <c r="AV137" s="2895"/>
      <c r="AW137" s="2933" t="str">
        <f>IF($B$2=0,"",IF(BE137&lt;&gt;"",BE137,IF(BB132=2,"PF-22mm",IF(OR(BB132=3,BB132=6),"C-25mm",IF(OR(BB132=4,BB132=7),"G-22mm",IF(OR(BB132=1,BB132=5),"CD-22mm",""))))))</f>
        <v>C-25mm</v>
      </c>
      <c r="AX137" s="2933"/>
      <c r="AY137" s="2933"/>
      <c r="AZ137" s="2933"/>
      <c r="BA137" s="2933"/>
      <c r="BB137" s="2933"/>
      <c r="BC137" s="2934"/>
      <c r="BD137" s="526" t="s">
        <v>724</v>
      </c>
      <c r="BE137" s="2935"/>
      <c r="BF137" s="2936"/>
      <c r="BG137" s="2936"/>
      <c r="BH137" s="2936"/>
      <c r="BI137" s="2936"/>
      <c r="BJ137" s="2937"/>
      <c r="BK137" s="2880" t="s">
        <v>725</v>
      </c>
      <c r="BL137" s="2881"/>
      <c r="BM137" s="2882"/>
      <c r="BN137" s="2948">
        <f>IF($B$2=0,"",IF(BR137="",SUM(CL133:CL134),BR137))</f>
        <v>94</v>
      </c>
      <c r="BO137" s="2949"/>
      <c r="BP137" s="2950"/>
      <c r="BQ137" s="525" t="s">
        <v>724</v>
      </c>
      <c r="BR137" s="3029"/>
      <c r="BS137" s="3030"/>
      <c r="BT137" s="3031"/>
      <c r="BU137" s="19"/>
      <c r="BX137" s="49">
        <f>1+INT(L135/600)</f>
        <v>1</v>
      </c>
      <c r="BY137" s="46"/>
      <c r="BZ137" s="106" t="s">
        <v>723</v>
      </c>
      <c r="CA137" s="522" t="str">
        <f>"1"</f>
        <v>1</v>
      </c>
      <c r="CB137" s="151">
        <f>IF(CA136="",INT(T135/40)+CB136,INT(T135/40))</f>
        <v>3</v>
      </c>
      <c r="CC137" s="122">
        <f>IF(CB137="",0,CB137)</f>
        <v>3</v>
      </c>
      <c r="CD137" s="6"/>
      <c r="CE137" s="156" t="s">
        <v>722</v>
      </c>
      <c r="CF137" s="189">
        <f>F135</f>
        <v>4</v>
      </c>
      <c r="CG137" s="189">
        <f>IF(BB132&lt;=4,(2*F135-(R121+R123)/1000)*AR135,((R122+R123)/1000)*AR135)</f>
        <v>24</v>
      </c>
      <c r="CH137" s="189">
        <f>2*(R123/1000)*AR135</f>
        <v>0</v>
      </c>
      <c r="CI137" s="82" t="s">
        <v>721</v>
      </c>
      <c r="CJ137" s="86">
        <f>AW135</f>
        <v>0</v>
      </c>
      <c r="CK137" s="38"/>
      <c r="CL137" s="38"/>
      <c r="CM137" s="38"/>
      <c r="CN137" s="38"/>
      <c r="CO137" s="252" t="str">
        <f>AW137</f>
        <v>C-25mm</v>
      </c>
      <c r="CP137" s="520">
        <f>BN137</f>
        <v>94</v>
      </c>
      <c r="CR137" s="519" t="str">
        <f>IF(CS137="","",IF(LEFT(AW138,1)="フ","ジャンクションボックス 2Duct","C-OBox4角大深"))</f>
        <v/>
      </c>
      <c r="CS137" s="189" t="str">
        <f>IF(AW135=0,"",AW135)</f>
        <v/>
      </c>
      <c r="CU137" s="8"/>
      <c r="CV137" s="197">
        <f t="shared" si="68"/>
        <v>9</v>
      </c>
      <c r="CW137" s="197" t="str">
        <f t="shared" si="67"/>
        <v/>
      </c>
      <c r="CX137" s="207" t="str">
        <f>IF(BQ135="","","VE-22mm")</f>
        <v/>
      </c>
      <c r="CY137" s="8"/>
      <c r="CZ137" s="249" t="str">
        <f>IF(COUNTIF($CZ$10:$CZ136,CX137)&gt;0,"",CX137)</f>
        <v/>
      </c>
      <c r="DA137" s="515" t="str">
        <f>IF(BQ135="","",DA136-10)</f>
        <v/>
      </c>
      <c r="DB137" s="514">
        <f>SUMIF($CX$20:$CX$182,CZ137,$DA$20:$DA$182)</f>
        <v>0</v>
      </c>
      <c r="DD137" s="8"/>
      <c r="DE137" s="197">
        <f t="shared" ref="DE137:DE143" si="82">IF(DI137&lt;&gt;"",DE136+1,DE136)</f>
        <v>14</v>
      </c>
      <c r="DF137" s="197" t="str">
        <f t="shared" ref="DF137:DF143" si="83">IF(AND(DE137&lt;&gt;"",DI137&lt;&gt;""),DE137,"")</f>
        <v/>
      </c>
      <c r="DG137" s="207" t="str">
        <f>CR136</f>
        <v>C-OBox4角中深</v>
      </c>
      <c r="DH137" s="8"/>
      <c r="DI137" s="249" t="str">
        <f>IF(COUNTIF(DG$18:$DG136,DG137)&gt;0,"",DG137)</f>
        <v/>
      </c>
      <c r="DJ137" s="515">
        <f>CS136</f>
        <v>3</v>
      </c>
      <c r="DK137" s="514">
        <f t="shared" si="79"/>
        <v>0</v>
      </c>
      <c r="DM137" s="8"/>
      <c r="DN137" s="197">
        <f>IF(DS137&lt;&gt;"",DN136+1,DN136)</f>
        <v>4</v>
      </c>
      <c r="DO137" s="197" t="str">
        <f t="shared" si="80"/>
        <v/>
      </c>
      <c r="DP137" s="10" t="str">
        <f>IF(BQ133="","","電話交換機")</f>
        <v/>
      </c>
      <c r="DQ137" s="8"/>
      <c r="DR137" s="249" t="str">
        <f>IF(COUNTIF(DP$18:$DP136,DP137)&gt;0,"",DP137)</f>
        <v/>
      </c>
      <c r="DS137" s="198" t="str">
        <f>IF(DP137&lt;&gt;"",1,"")</f>
        <v/>
      </c>
      <c r="DT137" s="514">
        <f t="shared" si="81"/>
        <v>0</v>
      </c>
    </row>
    <row r="138" spans="1:124" ht="10.5" customHeight="1">
      <c r="B138" s="23"/>
      <c r="C138" s="2959" t="s">
        <v>720</v>
      </c>
      <c r="D138" s="2959"/>
      <c r="E138" s="3016" t="str">
        <f>IF($D$9="不要","不",IF(H138="","要",H138))</f>
        <v>要</v>
      </c>
      <c r="F138" s="3016"/>
      <c r="G138" s="525" t="s">
        <v>103</v>
      </c>
      <c r="H138" s="3017"/>
      <c r="I138" s="3018"/>
      <c r="J138" s="3022"/>
      <c r="K138" s="3023"/>
      <c r="L138" s="3023"/>
      <c r="M138" s="3024"/>
      <c r="N138" s="3054"/>
      <c r="O138" s="3055"/>
      <c r="P138" s="3056"/>
      <c r="Q138" s="3201" t="str">
        <f>IF($B$2=0,"",IF(Z138&lt;&gt;"",Z138,"TIVF 0.8-2C"))</f>
        <v>TIVF 0.8-2C</v>
      </c>
      <c r="R138" s="3201"/>
      <c r="S138" s="3201"/>
      <c r="T138" s="3201"/>
      <c r="U138" s="3201"/>
      <c r="V138" s="3201"/>
      <c r="W138" s="3201"/>
      <c r="X138" s="3201"/>
      <c r="Y138" s="524" t="s">
        <v>103</v>
      </c>
      <c r="Z138" s="2941"/>
      <c r="AA138" s="2942"/>
      <c r="AB138" s="2942"/>
      <c r="AC138" s="2942"/>
      <c r="AD138" s="2942"/>
      <c r="AE138" s="2942"/>
      <c r="AF138" s="2942"/>
      <c r="AG138" s="3199"/>
      <c r="AH138" s="2883" t="s">
        <v>235</v>
      </c>
      <c r="AI138" s="2884"/>
      <c r="AJ138" s="2885"/>
      <c r="AK138" s="2953">
        <f>IF($B$2=0,"",IF(AP138&lt;&gt;"",AP138,IF($J$14="C","",SUM(CK135:CK136))))</f>
        <v>0</v>
      </c>
      <c r="AL138" s="2954"/>
      <c r="AM138" s="2954"/>
      <c r="AN138" s="2955"/>
      <c r="AO138" s="524" t="s">
        <v>103</v>
      </c>
      <c r="AP138" s="2911"/>
      <c r="AQ138" s="2912"/>
      <c r="AR138" s="2912"/>
      <c r="AS138" s="2913"/>
      <c r="AT138" s="2896"/>
      <c r="AU138" s="2897"/>
      <c r="AV138" s="2898"/>
      <c r="AW138" s="2939" t="str">
        <f>IF($B$2=0,"",IF(BN138="","",IF(BE138="","フロアダクト FC-6",BE138)))</f>
        <v>フロアダクト FC-6</v>
      </c>
      <c r="AX138" s="2845"/>
      <c r="AY138" s="2845"/>
      <c r="AZ138" s="2845"/>
      <c r="BA138" s="2845"/>
      <c r="BB138" s="2845"/>
      <c r="BC138" s="2940"/>
      <c r="BD138" s="524" t="s">
        <v>103</v>
      </c>
      <c r="BE138" s="2941"/>
      <c r="BF138" s="2942"/>
      <c r="BG138" s="2942"/>
      <c r="BH138" s="2942"/>
      <c r="BI138" s="2942"/>
      <c r="BJ138" s="2942"/>
      <c r="BK138" s="2883" t="s">
        <v>235</v>
      </c>
      <c r="BL138" s="2884"/>
      <c r="BM138" s="2885"/>
      <c r="BN138" s="2943">
        <f>IF($B$2=0,"",IF(BR138="",MAX(CL135:CL136),BR138))</f>
        <v>0</v>
      </c>
      <c r="BO138" s="2944"/>
      <c r="BP138" s="2945"/>
      <c r="BQ138" s="523" t="s">
        <v>103</v>
      </c>
      <c r="BR138" s="3200"/>
      <c r="BS138" s="3200"/>
      <c r="BT138" s="3200"/>
      <c r="BU138" s="19"/>
      <c r="BX138" s="47"/>
      <c r="BZ138" s="106" t="s">
        <v>766</v>
      </c>
      <c r="CA138" s="522" t="str">
        <f>IF(OR(I132="( 10)",I132="(12)イ"),"1","")</f>
        <v/>
      </c>
      <c r="CB138" s="151" t="str">
        <f>IF(CA138="","",INT(P135/200))</f>
        <v/>
      </c>
      <c r="CC138" s="122">
        <f>IF(CB138="",0,CB138)</f>
        <v>0</v>
      </c>
      <c r="CE138" s="156" t="s">
        <v>716</v>
      </c>
      <c r="CF138" s="521"/>
      <c r="CG138" s="189">
        <f>IF($AQ$8=0,1.5*2*(1+INT(2*BX133/($AQ$9/1000)))*(1+INT(2*BY133/($AQ$9/1000))),0)</f>
        <v>0</v>
      </c>
      <c r="CH138" s="82"/>
      <c r="CI138" s="82" t="s">
        <v>765</v>
      </c>
      <c r="CJ138" s="107">
        <f>AR135</f>
        <v>3</v>
      </c>
      <c r="CK138" s="12"/>
      <c r="CL138" s="12"/>
      <c r="CM138" s="12"/>
      <c r="CN138" s="12"/>
      <c r="CO138" s="252" t="str">
        <f>AW138</f>
        <v>フロアダクト FC-6</v>
      </c>
      <c r="CP138" s="520">
        <f>BN138</f>
        <v>0</v>
      </c>
      <c r="CR138" s="519" t="str">
        <f>IF(CS138="","","ローテンションアウトレット")</f>
        <v/>
      </c>
      <c r="CS138" s="189" t="str">
        <f>CS132</f>
        <v/>
      </c>
      <c r="CV138" s="197">
        <f t="shared" si="68"/>
        <v>9</v>
      </c>
      <c r="CW138" s="197" t="str">
        <f t="shared" si="67"/>
        <v/>
      </c>
      <c r="CX138" s="207"/>
      <c r="CY138" s="24"/>
      <c r="DA138" s="515"/>
      <c r="DB138" s="516"/>
      <c r="DE138" s="197">
        <f t="shared" si="82"/>
        <v>14</v>
      </c>
      <c r="DF138" s="197" t="str">
        <f t="shared" si="83"/>
        <v/>
      </c>
      <c r="DG138" s="207" t="str">
        <f>CR137</f>
        <v/>
      </c>
      <c r="DH138" s="24"/>
      <c r="DI138" s="249" t="str">
        <f>IF(COUNTIF(DG$18:$DG137,DG138)&gt;0,"",DG138)</f>
        <v/>
      </c>
      <c r="DJ138" s="515" t="str">
        <f>CS137</f>
        <v/>
      </c>
      <c r="DK138" s="514">
        <f t="shared" si="79"/>
        <v>0</v>
      </c>
      <c r="DN138" s="197">
        <f>IF(DS138&lt;&gt;"",DN137+1,DN137)</f>
        <v>4</v>
      </c>
      <c r="DO138" s="197" t="str">
        <f t="shared" si="80"/>
        <v/>
      </c>
      <c r="DP138" s="10" t="str">
        <f>IF(BQ135="","","接地工事 Et")</f>
        <v/>
      </c>
      <c r="DQ138" s="24"/>
      <c r="DR138" s="249" t="str">
        <f>IF(COUNTIF(DP$18:$DP137,DP138)&gt;0,"",DP138)</f>
        <v/>
      </c>
      <c r="DS138" s="198" t="str">
        <f>IF(DP138&lt;&gt;"",1,"")</f>
        <v/>
      </c>
      <c r="DT138" s="514">
        <f t="shared" si="81"/>
        <v>0</v>
      </c>
    </row>
    <row r="139" spans="1:124" ht="10.5" customHeight="1">
      <c r="B139" s="23"/>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19"/>
      <c r="BZ139" s="114" t="str">
        <f>"="</f>
        <v>=</v>
      </c>
      <c r="CA139" s="114" t="str">
        <f>"－"</f>
        <v>－</v>
      </c>
      <c r="CB139" s="114" t="str">
        <f>"+"</f>
        <v>+</v>
      </c>
      <c r="CP139" s="555"/>
      <c r="CV139" s="197">
        <f t="shared" si="68"/>
        <v>9</v>
      </c>
      <c r="CW139" s="197" t="str">
        <f t="shared" si="67"/>
        <v/>
      </c>
      <c r="CY139" s="24"/>
      <c r="DA139" s="516"/>
      <c r="DB139" s="516"/>
      <c r="DE139" s="197">
        <f t="shared" si="82"/>
        <v>14</v>
      </c>
      <c r="DF139" s="197" t="str">
        <f t="shared" si="83"/>
        <v/>
      </c>
      <c r="DG139" s="207" t="str">
        <f>CR138</f>
        <v/>
      </c>
      <c r="DH139" s="24"/>
      <c r="DI139" s="249" t="str">
        <f>IF(COUNTIF(DG$18:$DG138,DG139)&gt;0,"",DG139)</f>
        <v/>
      </c>
      <c r="DJ139" s="515" t="str">
        <f>CS138</f>
        <v/>
      </c>
      <c r="DK139" s="514">
        <f t="shared" si="79"/>
        <v>0</v>
      </c>
      <c r="DN139" s="197">
        <f>IF(DS139&lt;&gt;"",DN138+1,DN138)</f>
        <v>4</v>
      </c>
      <c r="DO139" s="197" t="str">
        <f>IF(AND(DN139&lt;&gt;"",DR139&lt;&gt;""),DN139,"")</f>
        <v/>
      </c>
      <c r="DP139" s="201"/>
      <c r="DQ139" s="24"/>
      <c r="DR139" s="249"/>
      <c r="DS139" s="198"/>
      <c r="DT139" s="514"/>
    </row>
    <row r="140" spans="1:124" ht="11.25" customHeight="1" thickBot="1">
      <c r="A140" s="46"/>
      <c r="B140" s="23"/>
      <c r="C140" s="3032" t="s">
        <v>112</v>
      </c>
      <c r="D140" s="3032"/>
      <c r="E140" s="3032"/>
      <c r="F140" s="3032"/>
      <c r="G140" s="3032"/>
      <c r="H140" s="3032"/>
      <c r="I140" s="3033" t="str">
        <f>非誘!J111</f>
        <v>( 15)</v>
      </c>
      <c r="J140" s="3033"/>
      <c r="K140" s="3033"/>
      <c r="L140" s="3034"/>
      <c r="M140" s="3035" t="str">
        <f>非誘!M111</f>
        <v>前各項以外</v>
      </c>
      <c r="N140" s="2961"/>
      <c r="O140" s="2961"/>
      <c r="P140" s="2961"/>
      <c r="Q140" s="2961"/>
      <c r="R140" s="2961"/>
      <c r="S140" s="2961"/>
      <c r="T140" s="2961"/>
      <c r="U140" s="2961"/>
      <c r="V140" s="2961"/>
      <c r="W140" s="3036"/>
      <c r="X140" s="3037" t="s">
        <v>232</v>
      </c>
      <c r="Y140" s="3037"/>
      <c r="Z140" s="3037"/>
      <c r="AA140" s="3037"/>
      <c r="AB140" s="3038"/>
      <c r="AC140" s="2977" t="str">
        <f>非誘!AA111</f>
        <v>A</v>
      </c>
      <c r="AD140" s="2978"/>
      <c r="AE140" s="2917" t="s">
        <v>760</v>
      </c>
      <c r="AF140" s="2918"/>
      <c r="AG140" s="2918"/>
      <c r="AH140" s="2918"/>
      <c r="AI140" s="2919"/>
      <c r="AJ140" s="2979">
        <f>非誘!J112</f>
        <v>0.7142857142857143</v>
      </c>
      <c r="AK140" s="2980"/>
      <c r="AL140" s="2981"/>
      <c r="AM140" s="2917" t="s">
        <v>759</v>
      </c>
      <c r="AN140" s="2918"/>
      <c r="AO140" s="2919"/>
      <c r="AP140" s="2920" t="str">
        <f>IF(OR($B$2=0,AS140=""),$BO$14,AS140)</f>
        <v>Ⓖ</v>
      </c>
      <c r="AQ140" s="2920"/>
      <c r="AR140" s="554" t="s">
        <v>103</v>
      </c>
      <c r="AS140" s="2921"/>
      <c r="AT140" s="2922"/>
      <c r="AU140" s="2875" t="s">
        <v>757</v>
      </c>
      <c r="AV140" s="2875"/>
      <c r="AW140" s="2875"/>
      <c r="AX140" s="2875"/>
      <c r="AY140" s="2875"/>
      <c r="AZ140" s="2875"/>
      <c r="BA140" s="2876"/>
      <c r="BB140" s="553">
        <f>IF(BC140="天井ケーブル",1,IF(BC140="天井(PF管)",2,IF(BC140="天井(C管)",3,IF(BC140="天井(G管)",4,IF(BC140="床(CD管)",5,IF(BC140="床(C管)",6,IF(BC140="床(G管)",7,"")))))))</f>
        <v>3</v>
      </c>
      <c r="BC140" s="2961" t="str">
        <f>IF($B$2=0,"",IF(BK140&lt;&gt;"",BK140,IF(I143="直天","天井(C管)","床(CD管)")))</f>
        <v>天井(C管)</v>
      </c>
      <c r="BD140" s="2962"/>
      <c r="BE140" s="2962"/>
      <c r="BF140" s="2962"/>
      <c r="BG140" s="2962"/>
      <c r="BH140" s="2962"/>
      <c r="BI140" s="2963"/>
      <c r="BJ140" s="552" t="s">
        <v>103</v>
      </c>
      <c r="BK140" s="2905"/>
      <c r="BL140" s="2906"/>
      <c r="BM140" s="2906"/>
      <c r="BN140" s="2906"/>
      <c r="BO140" s="2906"/>
      <c r="BP140" s="2907"/>
      <c r="BQ140" s="2982" t="s">
        <v>755</v>
      </c>
      <c r="BR140" s="2983"/>
      <c r="BS140" s="2983"/>
      <c r="BT140" s="2984"/>
      <c r="BU140" s="19"/>
      <c r="BV140" s="8">
        <v>16</v>
      </c>
      <c r="BX140" s="55" t="s">
        <v>229</v>
      </c>
      <c r="BY140" s="55" t="s">
        <v>228</v>
      </c>
      <c r="BZ140" s="534">
        <f>BY135+BY151+CA141</f>
        <v>9</v>
      </c>
      <c r="CA140" s="534">
        <f>CA141+BY135</f>
        <v>9</v>
      </c>
      <c r="CB140" s="38">
        <f>BY151+CA141</f>
        <v>3</v>
      </c>
      <c r="CC140" s="69"/>
      <c r="CD140" s="534"/>
      <c r="CE140" s="534"/>
      <c r="CF140" s="143" t="s">
        <v>754</v>
      </c>
      <c r="CG140" s="143" t="s">
        <v>753</v>
      </c>
      <c r="CH140" s="143" t="s">
        <v>753</v>
      </c>
      <c r="CI140" s="551" t="s">
        <v>752</v>
      </c>
      <c r="CJ140" s="551" t="s">
        <v>752</v>
      </c>
      <c r="CK140" s="550" t="s">
        <v>734</v>
      </c>
      <c r="CL140" s="550" t="s">
        <v>732</v>
      </c>
      <c r="CM140" s="46"/>
      <c r="CO140" s="46" t="str">
        <f>Q144</f>
        <v>FCPEV 0.65- 10Pr</v>
      </c>
      <c r="CP140" s="520">
        <f>AK144</f>
        <v>6</v>
      </c>
      <c r="CR140" s="519" t="str">
        <f>IF(CS140="","",IF($J$14="A","多機能内線電話機",""))</f>
        <v/>
      </c>
      <c r="CS140" s="189" t="str">
        <f>BB143</f>
        <v/>
      </c>
      <c r="CU140" s="88">
        <v>16</v>
      </c>
      <c r="CV140" s="204">
        <f t="shared" si="68"/>
        <v>9</v>
      </c>
      <c r="CW140" s="155" t="str">
        <f t="shared" si="67"/>
        <v/>
      </c>
      <c r="CX140" s="45"/>
      <c r="CY140" s="45"/>
      <c r="CZ140" s="45"/>
      <c r="DA140" s="45"/>
      <c r="DB140" s="45"/>
      <c r="DD140" s="88">
        <v>16</v>
      </c>
      <c r="DE140" s="204">
        <f t="shared" si="82"/>
        <v>14</v>
      </c>
      <c r="DF140" s="155" t="str">
        <f t="shared" si="83"/>
        <v/>
      </c>
      <c r="DG140" s="549" t="str">
        <f>CO135</f>
        <v>導入線 1.2mmφ</v>
      </c>
      <c r="DH140" s="45"/>
      <c r="DI140" s="153" t="str">
        <f>IF(COUNTIF(DG$9:$DG139,DG140)&gt;0,"",DG140)</f>
        <v/>
      </c>
      <c r="DJ140" s="155">
        <f>CP135</f>
        <v>107.80000000000001</v>
      </c>
      <c r="DK140" s="548">
        <f>SUMIF($DG$11:$DG$182,DI140,$DJ$11:$DJ$182)</f>
        <v>0</v>
      </c>
      <c r="DM140" s="88">
        <v>16</v>
      </c>
      <c r="DN140" s="204">
        <f>IF(DS140&lt;&gt;"",DN139+1,DN139)</f>
        <v>4</v>
      </c>
      <c r="DO140" s="155" t="str">
        <f>IF(AND(DN140&lt;&gt;"",DR140&lt;&gt;""),DN140,"")</f>
        <v/>
      </c>
      <c r="DP140" s="45"/>
      <c r="DQ140" s="45"/>
      <c r="DR140" s="45"/>
      <c r="DS140" s="45"/>
      <c r="DT140" s="45"/>
    </row>
    <row r="141" spans="1:124" ht="11.25" customHeight="1" thickBot="1">
      <c r="B141" s="23"/>
      <c r="C141" s="3008" t="s">
        <v>4</v>
      </c>
      <c r="D141" s="3009"/>
      <c r="E141" s="3010"/>
      <c r="F141" s="3014" t="s">
        <v>22</v>
      </c>
      <c r="G141" s="2983"/>
      <c r="H141" s="3015"/>
      <c r="I141" s="2982" t="s">
        <v>132</v>
      </c>
      <c r="J141" s="2983"/>
      <c r="K141" s="3015"/>
      <c r="L141" s="2982" t="s">
        <v>6</v>
      </c>
      <c r="M141" s="2983"/>
      <c r="N141" s="2983"/>
      <c r="O141" s="2984"/>
      <c r="P141" s="3014" t="s">
        <v>7</v>
      </c>
      <c r="Q141" s="2983"/>
      <c r="R141" s="2983"/>
      <c r="S141" s="2984"/>
      <c r="T141" s="3014" t="s">
        <v>8</v>
      </c>
      <c r="U141" s="2983"/>
      <c r="V141" s="2983"/>
      <c r="W141" s="2984"/>
      <c r="X141" s="3014" t="s">
        <v>9</v>
      </c>
      <c r="Y141" s="2983"/>
      <c r="Z141" s="3015"/>
      <c r="AA141" s="2982" t="s">
        <v>9</v>
      </c>
      <c r="AB141" s="2983"/>
      <c r="AC141" s="2984"/>
      <c r="AD141" s="2974" t="s">
        <v>708</v>
      </c>
      <c r="AE141" s="2975"/>
      <c r="AF141" s="2975"/>
      <c r="AG141" s="2975"/>
      <c r="AH141" s="2975"/>
      <c r="AI141" s="2975"/>
      <c r="AJ141" s="2975"/>
      <c r="AK141" s="2975"/>
      <c r="AL141" s="2930" t="str">
        <f>IF(BX145=1,"T-"&amp;LEFT(C143,3)&amp;"-1","T-"&amp;LEFT(C143,3)&amp;"-1～"&amp;BX145)</f>
        <v>T-PH2-1</v>
      </c>
      <c r="AM141" s="2930"/>
      <c r="AN141" s="2930"/>
      <c r="AO141" s="2930"/>
      <c r="AP141" s="2930"/>
      <c r="AQ141" s="2932"/>
      <c r="AR141" s="2925" t="s">
        <v>751</v>
      </c>
      <c r="AS141" s="2926"/>
      <c r="AT141" s="2926"/>
      <c r="AU141" s="2926"/>
      <c r="AV141" s="2926"/>
      <c r="AW141" s="2926"/>
      <c r="AX141" s="2926"/>
      <c r="AY141" s="2926"/>
      <c r="AZ141" s="2926"/>
      <c r="BA141" s="2927"/>
      <c r="BB141" s="2886" t="s">
        <v>750</v>
      </c>
      <c r="BC141" s="2887"/>
      <c r="BD141" s="2887"/>
      <c r="BE141" s="2887"/>
      <c r="BF141" s="2887"/>
      <c r="BG141" s="2887"/>
      <c r="BH141" s="2887"/>
      <c r="BI141" s="2887"/>
      <c r="BJ141" s="2888"/>
      <c r="BK141" s="2888"/>
      <c r="BL141" s="2888"/>
      <c r="BM141" s="2888"/>
      <c r="BN141" s="2888"/>
      <c r="BO141" s="2888"/>
      <c r="BP141" s="2889"/>
      <c r="BQ141" s="2939" t="str">
        <f>IF(AND($B$2=1,$J$14="A",C143=$J$15),"設置","")</f>
        <v/>
      </c>
      <c r="BR141" s="2845"/>
      <c r="BS141" s="2845"/>
      <c r="BT141" s="2940"/>
      <c r="BU141" s="19"/>
      <c r="BV141" s="15">
        <v>111</v>
      </c>
      <c r="BX141" s="98">
        <f>非誘!BW113</f>
        <v>5</v>
      </c>
      <c r="BY141" s="98">
        <f>非誘!BX113</f>
        <v>7</v>
      </c>
      <c r="BZ141" s="547">
        <f>IF(CA141&lt;10,10,IF(CA141&lt;15,15,IF(CA141&lt;20,20,IF(CA141&lt;25,25,IF(CA141&lt;30,30,IF(CA141&lt;50,50,IF(CA141&lt;70,70,IF(CA141&lt;100,100,IF(CA141&lt;150,150,IF(CA141&lt;20,200,200))))))))))</f>
        <v>10</v>
      </c>
      <c r="CA141" s="546">
        <f>SUM(CC144:CC146)</f>
        <v>3</v>
      </c>
      <c r="CB141" s="107" t="str">
        <f>IF(BY143&lt;10," 10",IF(BY143&lt;15," 15",IF(BY143&lt;20," 20",IF(BY143&lt;25," 25",IF(BY143&lt;30," 30",IF(BY143&lt;50," 50",IF(BY143&lt;70," 70",IF(BY143&lt;100,"100",IF(BY143&lt;150,"150",IF(BY143&lt;200,"200","200"))))))))))</f>
        <v xml:space="preserve"> 10</v>
      </c>
      <c r="CC141" s="545">
        <f>1+INT(BY143/200)</f>
        <v>1</v>
      </c>
      <c r="CD141" s="534"/>
      <c r="CE141" s="156" t="s">
        <v>749</v>
      </c>
      <c r="CF141" s="189">
        <f>2*INT($AG$9/1000)</f>
        <v>2</v>
      </c>
      <c r="CG141" s="189">
        <f>CG144+(1+INT($AG$9+$AG$8)/1000)*(1+INT(AR143/10))+CG143</f>
        <v>14.715999999999999</v>
      </c>
      <c r="CH141" s="98">
        <f>IF(AW143="",0,AW143*8)</f>
        <v>0</v>
      </c>
      <c r="CI141" s="98">
        <f>AR143*8</f>
        <v>24</v>
      </c>
      <c r="CJ141" s="544">
        <f>IF(AW143="",0,AW143*8)</f>
        <v>0</v>
      </c>
      <c r="CK141" s="223">
        <f>IF(E145="不","",(CG141+CG142+CI141+CI142)*MAX(P143:W143)/L143)</f>
        <v>64.716000000000008</v>
      </c>
      <c r="CL141" s="223">
        <f>IF(E145="不","",SUM(CG144:CH144)+SUM(CG145:CH145)*MAX(P143:W143)/L143)</f>
        <v>47</v>
      </c>
      <c r="CM141" s="527" t="s">
        <v>7</v>
      </c>
      <c r="CN141" s="15"/>
      <c r="CO141" s="46" t="str">
        <f>Q145</f>
        <v>電子釦 0.4- 4Pr</v>
      </c>
      <c r="CP141" s="520">
        <f>AK145</f>
        <v>129.43200000000002</v>
      </c>
      <c r="CR141" s="519" t="str">
        <f>IF(CS141="","",IF($J$14="A","内線電話機"))</f>
        <v>内線電話機</v>
      </c>
      <c r="CS141" s="189">
        <f>BG143</f>
        <v>3</v>
      </c>
      <c r="CU141" s="8"/>
      <c r="CV141" s="197">
        <f t="shared" si="68"/>
        <v>9</v>
      </c>
      <c r="CW141" s="197" t="str">
        <f t="shared" si="67"/>
        <v/>
      </c>
      <c r="CX141" s="543" t="str">
        <f>CO140</f>
        <v>FCPEV 0.65- 10Pr</v>
      </c>
      <c r="CY141" s="8"/>
      <c r="CZ141" s="249" t="str">
        <f>IF(COUNTIF($CX$17:$CX140,CX141)&gt;0,"",CX141)</f>
        <v/>
      </c>
      <c r="DA141" s="515">
        <f>CP140</f>
        <v>6</v>
      </c>
      <c r="DB141" s="514">
        <f>SUMIF($CX$20:$CX$182,CZ141,$DA$20:$DA$182)</f>
        <v>0</v>
      </c>
      <c r="DC141" s="8"/>
      <c r="DD141" s="8"/>
      <c r="DE141" s="197">
        <f t="shared" si="82"/>
        <v>14</v>
      </c>
      <c r="DF141" s="197" t="str">
        <f t="shared" si="83"/>
        <v/>
      </c>
      <c r="DG141" s="207" t="str">
        <f>CO144</f>
        <v>C-25mm</v>
      </c>
      <c r="DH141" s="8"/>
      <c r="DI141" s="249" t="str">
        <f>IF(COUNTIF(DG$17:$DG140,DG141)&gt;0,"",DG141)</f>
        <v/>
      </c>
      <c r="DJ141" s="515">
        <f>CP144</f>
        <v>4</v>
      </c>
      <c r="DK141" s="514">
        <f t="shared" ref="DK141:DK147" si="84">SUMIF($DG$20:$DG$182,DI141,$DJ$20:$DJ$182)</f>
        <v>0</v>
      </c>
      <c r="DL141" s="8"/>
      <c r="DM141" s="8"/>
      <c r="DN141" s="197">
        <f>IF(DR141&lt;&gt;"",DN140+1,DN140)</f>
        <v>4</v>
      </c>
      <c r="DO141" s="197" t="str">
        <f t="shared" ref="DO141:DO146" si="85">IF(AND(DN141&lt;&gt;"",DS141&lt;&gt;""),DN141,"")</f>
        <v/>
      </c>
      <c r="DP141" s="10" t="str">
        <f>CR140</f>
        <v/>
      </c>
      <c r="DQ141" s="8"/>
      <c r="DR141" s="249" t="str">
        <f>IF(COUNTIF(DP$18:$DP140,DP141)&gt;0,"",DP141)</f>
        <v/>
      </c>
      <c r="DS141" s="198" t="str">
        <f>CS140</f>
        <v/>
      </c>
      <c r="DT141" s="514">
        <f t="shared" ref="DT141:DT146" si="86">SUMIF($DP$20:$DP$182,DR141,$DS$20:$DS$182)</f>
        <v>0</v>
      </c>
    </row>
    <row r="142" spans="1:124" ht="11.25" customHeight="1" thickBot="1">
      <c r="B142" s="23"/>
      <c r="C142" s="3011"/>
      <c r="D142" s="3012"/>
      <c r="E142" s="3013"/>
      <c r="F142" s="3039" t="s">
        <v>235</v>
      </c>
      <c r="G142" s="3040"/>
      <c r="H142" s="3041"/>
      <c r="I142" s="3039" t="s">
        <v>235</v>
      </c>
      <c r="J142" s="3040"/>
      <c r="K142" s="3041"/>
      <c r="L142" s="3039" t="s">
        <v>748</v>
      </c>
      <c r="M142" s="3040"/>
      <c r="N142" s="3040"/>
      <c r="O142" s="3042"/>
      <c r="P142" s="3043" t="s">
        <v>748</v>
      </c>
      <c r="Q142" s="3040"/>
      <c r="R142" s="3040"/>
      <c r="S142" s="3042"/>
      <c r="T142" s="3043" t="s">
        <v>748</v>
      </c>
      <c r="U142" s="3040"/>
      <c r="V142" s="3040"/>
      <c r="W142" s="3044"/>
      <c r="X142" s="3045" t="s">
        <v>111</v>
      </c>
      <c r="Y142" s="3046"/>
      <c r="Z142" s="3047"/>
      <c r="AA142" s="3001" t="s">
        <v>110</v>
      </c>
      <c r="AB142" s="3002"/>
      <c r="AC142" s="3003"/>
      <c r="AD142" s="3004" t="s">
        <v>695</v>
      </c>
      <c r="AE142" s="3005"/>
      <c r="AF142" s="3005"/>
      <c r="AG142" s="3006" t="s">
        <v>699</v>
      </c>
      <c r="AH142" s="3005"/>
      <c r="AI142" s="3007"/>
      <c r="AJ142" s="2928" t="s">
        <v>747</v>
      </c>
      <c r="AK142" s="2918"/>
      <c r="AL142" s="2918"/>
      <c r="AM142" s="2928" t="s">
        <v>746</v>
      </c>
      <c r="AN142" s="2918"/>
      <c r="AO142" s="2929"/>
      <c r="AP142" s="2956" t="s">
        <v>745</v>
      </c>
      <c r="AQ142" s="2957"/>
      <c r="AR142" s="2917" t="s">
        <v>744</v>
      </c>
      <c r="AS142" s="2918"/>
      <c r="AT142" s="2958" t="s">
        <v>3</v>
      </c>
      <c r="AU142" s="2959"/>
      <c r="AV142" s="2959"/>
      <c r="AW142" s="2959" t="s">
        <v>743</v>
      </c>
      <c r="AX142" s="2960"/>
      <c r="AY142" s="2928" t="s">
        <v>3</v>
      </c>
      <c r="AZ142" s="2918"/>
      <c r="BA142" s="2919"/>
      <c r="BB142" s="542" t="str">
        <f>IF(CA144="","","●")</f>
        <v/>
      </c>
      <c r="BC142" s="2930" t="s">
        <v>742</v>
      </c>
      <c r="BD142" s="2930"/>
      <c r="BE142" s="2930"/>
      <c r="BF142" s="2931"/>
      <c r="BG142" s="542" t="str">
        <f>IF(CA145="","","●")</f>
        <v>●</v>
      </c>
      <c r="BH142" s="2930" t="s">
        <v>741</v>
      </c>
      <c r="BI142" s="2930"/>
      <c r="BJ142" s="2930"/>
      <c r="BK142" s="2931"/>
      <c r="BL142" s="542" t="str">
        <f>IF(CA146="","","●")</f>
        <v/>
      </c>
      <c r="BM142" s="2930" t="s">
        <v>764</v>
      </c>
      <c r="BN142" s="2930"/>
      <c r="BO142" s="2930"/>
      <c r="BP142" s="2932"/>
      <c r="BQ142" s="2974" t="s">
        <v>740</v>
      </c>
      <c r="BR142" s="2975"/>
      <c r="BS142" s="2975"/>
      <c r="BT142" s="2976"/>
      <c r="BU142" s="19"/>
      <c r="BX142" s="97" t="str">
        <f>IF(LEFT(C143,2)=" B",-MID(C143,3,1),IF(C143="  RF","",LEFT(C143,3)))</f>
        <v>PH2</v>
      </c>
      <c r="BY142" s="541" t="str">
        <f>IF(OR(C143="",C143="  RF"),"",IF(LEFT(C143,1)="P","+",IF($BW$14&gt;BX142,"-",IF($BW$14=BX142,"=","+"))))</f>
        <v>+</v>
      </c>
      <c r="BZ142" s="2985" t="str">
        <f>"FCPEV 0.65-"&amp;CB141&amp;"Pr"</f>
        <v>FCPEV 0.65- 10Pr</v>
      </c>
      <c r="CA142" s="2986"/>
      <c r="CB142" s="2986"/>
      <c r="CC142" s="2986"/>
      <c r="CD142" s="62"/>
      <c r="CE142" s="156" t="s">
        <v>763</v>
      </c>
      <c r="CF142" s="540">
        <f>F143</f>
        <v>4</v>
      </c>
      <c r="CG142" s="540">
        <f>CG145+(1+INT(AR143/10))*($AG$9+$AG$8)/1000</f>
        <v>26</v>
      </c>
      <c r="CH142" s="539"/>
      <c r="CI142" s="189">
        <f>CH145</f>
        <v>0</v>
      </c>
      <c r="CJ142" s="260"/>
      <c r="CK142" s="528">
        <f>IF(E146="不","",(CG141+CG142+CI141+CI142)*T143/L143)</f>
        <v>64.716000000000008</v>
      </c>
      <c r="CL142" s="528">
        <f>IF(E146="不","",SUM(CG144:CH144)+SUM(CG145:CH145)*T143/L143)</f>
        <v>47</v>
      </c>
      <c r="CM142" s="527" t="s">
        <v>8</v>
      </c>
      <c r="CN142" s="15"/>
      <c r="CO142" s="46" t="str">
        <f>Q146</f>
        <v>TIVF 0.8-2C</v>
      </c>
      <c r="CP142" s="520">
        <f>AK146</f>
        <v>0</v>
      </c>
      <c r="CR142" s="519" t="str">
        <f>IF(CS142="","",IF($J$14="A","PHSアンテナ"))</f>
        <v/>
      </c>
      <c r="CS142" s="189" t="str">
        <f>BL143</f>
        <v/>
      </c>
      <c r="CU142" s="8"/>
      <c r="CV142" s="197">
        <f t="shared" si="68"/>
        <v>9</v>
      </c>
      <c r="CW142" s="197" t="str">
        <f t="shared" si="67"/>
        <v/>
      </c>
      <c r="CX142" s="10" t="str">
        <f>CO141</f>
        <v>電子釦 0.4- 4Pr</v>
      </c>
      <c r="CY142" s="8"/>
      <c r="CZ142" s="249" t="str">
        <f>IF(COUNTIF($CZ$10:$CZ141,CX142)&gt;0,"",CX142)</f>
        <v/>
      </c>
      <c r="DA142" s="515">
        <f>CP141</f>
        <v>129.43200000000002</v>
      </c>
      <c r="DB142" s="514">
        <f>SUMIF($CX$20:$CX$182,CZ142,$DA$20:$DA$182)</f>
        <v>0</v>
      </c>
      <c r="DC142" s="8"/>
      <c r="DD142" s="8"/>
      <c r="DE142" s="197">
        <f t="shared" si="82"/>
        <v>14</v>
      </c>
      <c r="DF142" s="197" t="str">
        <f t="shared" si="83"/>
        <v/>
      </c>
      <c r="DG142" s="207" t="str">
        <f>CO145</f>
        <v>C-25mm</v>
      </c>
      <c r="DH142" s="8"/>
      <c r="DI142" s="249" t="str">
        <f>IF(COUNTIF(DG$18:$DG141,DG142)&gt;0,"",DG142)</f>
        <v/>
      </c>
      <c r="DJ142" s="515">
        <f>CP145</f>
        <v>94</v>
      </c>
      <c r="DK142" s="514">
        <f t="shared" si="84"/>
        <v>0</v>
      </c>
      <c r="DL142" s="8"/>
      <c r="DM142" s="8"/>
      <c r="DN142" s="197">
        <f>IF(DR142&lt;&gt;"",DN141+1,DN141)</f>
        <v>4</v>
      </c>
      <c r="DO142" s="197">
        <f t="shared" si="85"/>
        <v>4</v>
      </c>
      <c r="DP142" s="207" t="str">
        <f>CR141</f>
        <v>内線電話機</v>
      </c>
      <c r="DQ142" s="8"/>
      <c r="DR142" s="249" t="str">
        <f>IF(COUNTIF(DP$18:$DP141,DP142)&gt;0,"",DP142)</f>
        <v/>
      </c>
      <c r="DS142" s="198">
        <f>CS141</f>
        <v>3</v>
      </c>
      <c r="DT142" s="514">
        <f t="shared" si="86"/>
        <v>0</v>
      </c>
    </row>
    <row r="143" spans="1:124" ht="10.5" customHeight="1" thickBot="1">
      <c r="B143" s="23"/>
      <c r="C143" s="2987" t="str">
        <f>IF($B$2=0,"",非誘!C113)</f>
        <v>PH2F</v>
      </c>
      <c r="D143" s="2988"/>
      <c r="E143" s="2988"/>
      <c r="F143" s="2989">
        <f>IF($B$2=0,"",非誘!F113)</f>
        <v>4</v>
      </c>
      <c r="G143" s="2989"/>
      <c r="H143" s="2989"/>
      <c r="I143" s="2989" t="str">
        <f>IF($B$2=0,"",非誘!J113)</f>
        <v>直天</v>
      </c>
      <c r="J143" s="2989"/>
      <c r="K143" s="2989"/>
      <c r="L143" s="2990">
        <f>IF($B$2=0,"",非誘!N113)</f>
        <v>140</v>
      </c>
      <c r="M143" s="2990"/>
      <c r="N143" s="2990"/>
      <c r="O143" s="2990"/>
      <c r="P143" s="2991" t="str">
        <f>IF($B$2=0,"",非誘!S113)</f>
        <v/>
      </c>
      <c r="Q143" s="2991"/>
      <c r="R143" s="2991"/>
      <c r="S143" s="2991"/>
      <c r="T143" s="2991">
        <f>IF($B$2=0,"",非誘!W113)</f>
        <v>140</v>
      </c>
      <c r="U143" s="2992"/>
      <c r="V143" s="2992"/>
      <c r="W143" s="2992"/>
      <c r="X143" s="2993" t="str">
        <f>IF($B$2=0,"",非誘!AA113)</f>
        <v/>
      </c>
      <c r="Y143" s="2993"/>
      <c r="Z143" s="2993"/>
      <c r="AA143" s="2993">
        <f>IF($B$2=0,"",非誘!AD113)</f>
        <v>8</v>
      </c>
      <c r="AB143" s="2993"/>
      <c r="AC143" s="2994"/>
      <c r="AD143" s="2966">
        <f>IF(C143="","",CB141*CC141)</f>
        <v>10</v>
      </c>
      <c r="AE143" s="2967"/>
      <c r="AF143" s="2968"/>
      <c r="AG143" s="2969">
        <f>IF(C143="","",放送!CB137)</f>
        <v>10</v>
      </c>
      <c r="AH143" s="2967"/>
      <c r="AI143" s="2968"/>
      <c r="AJ143" s="2970" t="str">
        <f>IF(C143="","",IF(TV!BL4="設置","Space","---"))</f>
        <v>---</v>
      </c>
      <c r="AK143" s="2971"/>
      <c r="AL143" s="2971"/>
      <c r="AM143" s="2969"/>
      <c r="AN143" s="2967"/>
      <c r="AO143" s="2968"/>
      <c r="AP143" s="2972"/>
      <c r="AQ143" s="2973"/>
      <c r="AR143" s="2923">
        <f>IF(C143="","",IF(AZ143="",CB145,AZ143))</f>
        <v>3</v>
      </c>
      <c r="AS143" s="2924"/>
      <c r="AT143" s="538" t="s">
        <v>106</v>
      </c>
      <c r="AU143" s="2946"/>
      <c r="AV143" s="2947"/>
      <c r="AW143" s="2923">
        <f>IF(C143="","",IF(CA144="",0,IF(AZ143="",CB144,AZ143)))</f>
        <v>0</v>
      </c>
      <c r="AX143" s="2924"/>
      <c r="AY143" s="538" t="s">
        <v>106</v>
      </c>
      <c r="AZ143" s="2999"/>
      <c r="BA143" s="3000"/>
      <c r="BB143" s="2951" t="str">
        <f>IF(OR($J$14&lt;&gt;"A",CA144=""),"",IF(BE143&lt;&gt;"",BE143,CB144))</f>
        <v/>
      </c>
      <c r="BC143" s="2952"/>
      <c r="BD143" s="537" t="s">
        <v>106</v>
      </c>
      <c r="BE143" s="2938"/>
      <c r="BF143" s="2938"/>
      <c r="BG143" s="2951">
        <f>IF(C143="","",IF(OR($J$14&lt;&gt;"A",CA145=""),"",IF(BJ143&lt;&gt;"",BE143,CB145)))</f>
        <v>3</v>
      </c>
      <c r="BH143" s="2952"/>
      <c r="BI143" s="537" t="s">
        <v>106</v>
      </c>
      <c r="BJ143" s="2938"/>
      <c r="BK143" s="2938"/>
      <c r="BL143" s="2951" t="str">
        <f>IF(OR($J$14&lt;&gt;"A",CA146=""),"",IF(BO143&lt;&gt;"",BO143,CB146))</f>
        <v/>
      </c>
      <c r="BM143" s="2952"/>
      <c r="BN143" s="537" t="s">
        <v>106</v>
      </c>
      <c r="BO143" s="2964"/>
      <c r="BP143" s="2965"/>
      <c r="BQ143" s="2939" t="str">
        <f>IF(BQ141="設置","Ｅt","")</f>
        <v/>
      </c>
      <c r="BR143" s="2845"/>
      <c r="BS143" s="2845"/>
      <c r="BT143" s="2940"/>
      <c r="BU143" s="19"/>
      <c r="BW143" s="89" t="str">
        <f>AP140</f>
        <v>Ⓖ</v>
      </c>
      <c r="BX143" s="263">
        <f>IF(C143="","",IF(BW143="Ⓐ",BX141+BY141+3,IF(BW143="Ⓑ",BX141*5/8+BY141+3,IF(BW143="Ⓒ",BX141/2+BY141+3,IF(BW143="Ⓓ",BX141+BY141*5/8+3,IF(BW143="Ⓔ",(BX141+BY141)*5/8+3,IF(BW143="Ⓕ",BX141/2+BY141*5/8+3,IF(BW143="Ⓖ",BX141+BY141/2+3,IF(BW143="Ⓗ",BX141*5/8+BY141/2+3,IF(BW143="Ⓘ",(BX141+BY141)/2+3))))))))))</f>
        <v>11.5</v>
      </c>
      <c r="BY143" s="86">
        <f>IF(C143="",0,IF(BY142="=",BZ140,IF(BY142="-",CA140,CB140)))</f>
        <v>3</v>
      </c>
      <c r="BZ143" s="156"/>
      <c r="CA143" s="536" t="str">
        <f>IF(CA141&lt;=30,"25",IF(CA141&lt;=50,"31",IF(CA141&lt;=100,"39",IF(CA141&lt;=200,"51",""))))</f>
        <v>25</v>
      </c>
      <c r="CB143" s="535" t="str">
        <f>IF(CA141&lt;=30,"22",IF(CA141&lt;=50,"28",IF(CA141&lt;=100,"36",IF(CA141&lt;=200,"42",""))))</f>
        <v>22</v>
      </c>
      <c r="CC143" s="122"/>
      <c r="CD143" s="534"/>
      <c r="CE143" s="156" t="s">
        <v>738</v>
      </c>
      <c r="CF143" s="533"/>
      <c r="CG143" s="189">
        <f>IF($B$2="","",IF($AQ$8=0,0,0.02*($AQ$8/1000-0.15-0.1)*(INT(1000*BX141/$AQ$9)+1)*(INT(1000*BY141/$AQ$9)+1)*4*(AR143+AW143)))</f>
        <v>0.21599999999999997</v>
      </c>
      <c r="CH143" s="532"/>
      <c r="CI143" s="531"/>
      <c r="CJ143" s="15"/>
      <c r="CK143" s="528">
        <f>IF(E145="不","",SUM(CH141+CJ141)*MAX(P143:W143)/L143)</f>
        <v>0</v>
      </c>
      <c r="CL143" s="528">
        <f>IF(E145="不","",CJ144)</f>
        <v>0</v>
      </c>
      <c r="CM143" s="527" t="s">
        <v>7</v>
      </c>
      <c r="CN143" s="15"/>
      <c r="CO143" s="252" t="str">
        <f>IF(CP143="","","導入線 1.2mmφ")</f>
        <v>導入線 1.2mmφ</v>
      </c>
      <c r="CP143" s="184">
        <f>1.1*INT(SUM(CP144:CP146))</f>
        <v>107.80000000000001</v>
      </c>
      <c r="CR143" s="519" t="str">
        <f>IF(CS143="","",IF($J$14="A","PHS電話機"))</f>
        <v/>
      </c>
      <c r="CS143" s="189" t="str">
        <f>IF(CS142="","",INT(CS142*1.5))</f>
        <v/>
      </c>
      <c r="CU143" s="8"/>
      <c r="CV143" s="197">
        <f t="shared" si="68"/>
        <v>9</v>
      </c>
      <c r="CW143" s="197" t="str">
        <f t="shared" si="67"/>
        <v/>
      </c>
      <c r="CX143" s="10" t="str">
        <f>CO142</f>
        <v>TIVF 0.8-2C</v>
      </c>
      <c r="CY143" s="8"/>
      <c r="CZ143" s="249" t="str">
        <f>IF(COUNTIF($CZ$10:$CZ142,CX143)&gt;0,"",CX143)</f>
        <v/>
      </c>
      <c r="DA143" s="515">
        <f>CP142</f>
        <v>0</v>
      </c>
      <c r="DB143" s="514">
        <f>SUMIF($CX$20:$CX$182,CZ143,$DA$20:$DA$182)</f>
        <v>0</v>
      </c>
      <c r="DC143" s="8"/>
      <c r="DD143" s="8"/>
      <c r="DE143" s="197">
        <f t="shared" si="82"/>
        <v>14</v>
      </c>
      <c r="DF143" s="197" t="str">
        <f t="shared" si="83"/>
        <v/>
      </c>
      <c r="DG143" s="207" t="str">
        <f>CO146</f>
        <v>フロアダクト FC-6</v>
      </c>
      <c r="DH143" s="8"/>
      <c r="DI143" s="249" t="str">
        <f>IF(COUNTIF(DG$18:$DG142,DG143)&gt;0,"",DG143)</f>
        <v/>
      </c>
      <c r="DJ143" s="515">
        <f>CP146</f>
        <v>0</v>
      </c>
      <c r="DK143" s="514">
        <f t="shared" si="84"/>
        <v>0</v>
      </c>
      <c r="DL143" s="8"/>
      <c r="DM143" s="8"/>
      <c r="DN143" s="197">
        <f>IF(DR143&lt;&gt;"",DN142+1,DN142)</f>
        <v>4</v>
      </c>
      <c r="DO143" s="197" t="str">
        <f t="shared" si="85"/>
        <v/>
      </c>
      <c r="DP143" s="10" t="str">
        <f>CR142</f>
        <v/>
      </c>
      <c r="DQ143" s="8"/>
      <c r="DR143" s="249" t="str">
        <f>IF(COUNTIF(DP$18:$DP142,DP143)&gt;0,"",DP143)</f>
        <v/>
      </c>
      <c r="DS143" s="198" t="str">
        <f>CS142</f>
        <v/>
      </c>
      <c r="DT143" s="514">
        <f t="shared" si="86"/>
        <v>0</v>
      </c>
    </row>
    <row r="144" spans="1:124" ht="10.5" customHeight="1" thickBot="1">
      <c r="B144" s="23"/>
      <c r="C144" s="3048" t="s">
        <v>737</v>
      </c>
      <c r="D144" s="3049"/>
      <c r="E144" s="3049"/>
      <c r="F144" s="3049"/>
      <c r="G144" s="3049"/>
      <c r="H144" s="3049"/>
      <c r="I144" s="3049"/>
      <c r="J144" s="3050" t="s">
        <v>736</v>
      </c>
      <c r="K144" s="3051"/>
      <c r="L144" s="3051"/>
      <c r="M144" s="3051"/>
      <c r="N144" s="3052" t="s">
        <v>735</v>
      </c>
      <c r="O144" s="2891"/>
      <c r="P144" s="2892"/>
      <c r="Q144" s="3057" t="str">
        <f>IF(OR(C143="",$J$14="C"),"",IF(Z144="",BZ142,Z144))</f>
        <v>FCPEV 0.65- 10Pr</v>
      </c>
      <c r="R144" s="3057"/>
      <c r="S144" s="3057"/>
      <c r="T144" s="3057"/>
      <c r="U144" s="3057"/>
      <c r="V144" s="3057"/>
      <c r="W144" s="3057"/>
      <c r="X144" s="3057"/>
      <c r="Y144" s="524" t="s">
        <v>106</v>
      </c>
      <c r="Z144" s="2902"/>
      <c r="AA144" s="2903"/>
      <c r="AB144" s="2903"/>
      <c r="AC144" s="2903"/>
      <c r="AD144" s="2903"/>
      <c r="AE144" s="2903"/>
      <c r="AF144" s="2903"/>
      <c r="AG144" s="2904"/>
      <c r="AH144" s="2877" t="s">
        <v>734</v>
      </c>
      <c r="AI144" s="2878"/>
      <c r="AJ144" s="2879"/>
      <c r="AK144" s="3058">
        <f>IF(C143="","",IF(AP144&lt;&gt;"",AP144,IF($J$14="C","",SUM(CF141:CF142)*CC141)))</f>
        <v>6</v>
      </c>
      <c r="AL144" s="3058"/>
      <c r="AM144" s="3058"/>
      <c r="AN144" s="3058"/>
      <c r="AO144" s="524" t="s">
        <v>106</v>
      </c>
      <c r="AP144" s="2911"/>
      <c r="AQ144" s="2912"/>
      <c r="AR144" s="2912"/>
      <c r="AS144" s="2913"/>
      <c r="AT144" s="2890" t="s">
        <v>733</v>
      </c>
      <c r="AU144" s="2891"/>
      <c r="AV144" s="2892"/>
      <c r="AW144" s="2899" t="str">
        <f>IF(C143="","",IF(BE144&lt;&gt;"",BE144,IF(BB140=2,"PF-"&amp;CB143&amp;"mm",IF(OR(BB140=3,BB140=6),"C-"&amp;CA143&amp;"mm",IF(OR(BB140=4,BB140=7),"G-"&amp;CB143&amp;"mm",IF(OR(BB140=1,BB140=5),"CD-"&amp;CB143&amp;"mm",""))))))</f>
        <v>C-25mm</v>
      </c>
      <c r="AX144" s="2900"/>
      <c r="AY144" s="2900"/>
      <c r="AZ144" s="2900"/>
      <c r="BA144" s="2900"/>
      <c r="BB144" s="2900"/>
      <c r="BC144" s="2901"/>
      <c r="BD144" s="524" t="s">
        <v>106</v>
      </c>
      <c r="BE144" s="2902"/>
      <c r="BF144" s="2903"/>
      <c r="BG144" s="2903"/>
      <c r="BH144" s="2903"/>
      <c r="BI144" s="2903"/>
      <c r="BJ144" s="2904"/>
      <c r="BK144" s="2877" t="s">
        <v>732</v>
      </c>
      <c r="BL144" s="2878"/>
      <c r="BM144" s="2879"/>
      <c r="BN144" s="2914">
        <f>IF(C143="","",IF(BR144="",CF145*CC141,BR144))</f>
        <v>4</v>
      </c>
      <c r="BO144" s="2915"/>
      <c r="BP144" s="2916"/>
      <c r="BQ144" s="524" t="s">
        <v>106</v>
      </c>
      <c r="BR144" s="3202"/>
      <c r="BS144" s="3203"/>
      <c r="BT144" s="3204"/>
      <c r="BU144" s="19"/>
      <c r="BX144" s="530"/>
      <c r="BY144" s="46"/>
      <c r="BZ144" s="106" t="s">
        <v>731</v>
      </c>
      <c r="CA144" s="529" t="str">
        <f>IF(P143="","",IF(OR(I140="(1) ロ",I140="( 4 )",I140="(5) イ",I140="(6) イ",I140="(6) ロ",I140="(6) ハ",I140="( 7 )",I140="( 8 )",I140="( 15)"),"1",""))</f>
        <v/>
      </c>
      <c r="CB144" s="151">
        <f>IF(P143="",0,INT(P143/20))</f>
        <v>0</v>
      </c>
      <c r="CC144" s="122">
        <f>IF(CA144="",0,CB144)</f>
        <v>0</v>
      </c>
      <c r="CD144" s="6"/>
      <c r="CE144" s="156" t="s">
        <v>730</v>
      </c>
      <c r="CF144" s="189"/>
      <c r="CG144" s="189">
        <f>BX143*(1+INT(AR143/10))+CG146</f>
        <v>11.5</v>
      </c>
      <c r="CH144" s="189">
        <f>IF(AW143="",0,BX143*(1+INT(AW143/10)))</f>
        <v>11.5</v>
      </c>
      <c r="CI144" s="82" t="s">
        <v>729</v>
      </c>
      <c r="CJ144" s="98">
        <f>7.32*(AW143-2*SQRT(AW143))</f>
        <v>0</v>
      </c>
      <c r="CK144" s="528">
        <f>IF(E146="不","",SUM(CH141+CJ141)*T143/L143)</f>
        <v>0</v>
      </c>
      <c r="CL144" s="528">
        <f>CJ144</f>
        <v>0</v>
      </c>
      <c r="CM144" s="527" t="s">
        <v>8</v>
      </c>
      <c r="CN144" s="69"/>
      <c r="CO144" s="252" t="str">
        <f>AW144</f>
        <v>C-25mm</v>
      </c>
      <c r="CP144" s="520">
        <f>BN144</f>
        <v>4</v>
      </c>
      <c r="CR144" s="519" t="str">
        <f>IF(CS144=0,"","C-OBox4角中深")</f>
        <v>C-OBox4角中深</v>
      </c>
      <c r="CS144" s="189">
        <f>IF($J$14="A",SUM(CS141:CS142),AR143)</f>
        <v>3</v>
      </c>
      <c r="CU144" s="8"/>
      <c r="CV144" s="197">
        <f t="shared" si="68"/>
        <v>9</v>
      </c>
      <c r="CW144" s="197" t="str">
        <f t="shared" si="67"/>
        <v/>
      </c>
      <c r="CX144" s="207" t="str">
        <f>IF(BQ143="","","IV-14sq")</f>
        <v/>
      </c>
      <c r="CY144" s="8"/>
      <c r="CZ144" s="249" t="str">
        <f>IF(COUNTIF($CZ$10:$CZ143,CX144)&gt;0,"",CX144)</f>
        <v/>
      </c>
      <c r="DA144" s="515" t="str">
        <f>IF(BQ143="","",BX143+BY141+15)</f>
        <v/>
      </c>
      <c r="DB144" s="514">
        <f>SUMIF($CX$20:$CX$182,CZ144,$DA$20:$DA$182)</f>
        <v>0</v>
      </c>
      <c r="DD144" s="8"/>
      <c r="DE144" s="197">
        <f>IF(DJ144&lt;&gt;"",DE143+1,DE143)</f>
        <v>14</v>
      </c>
      <c r="DF144" s="197" t="str">
        <f>IF(AND(DE144&lt;&gt;"",DJ144&lt;&gt;""),DE144,"")</f>
        <v/>
      </c>
      <c r="DG144" s="207"/>
      <c r="DH144" s="8"/>
      <c r="DI144" s="249"/>
      <c r="DJ144" s="515"/>
      <c r="DK144" s="514">
        <f t="shared" si="84"/>
        <v>0</v>
      </c>
      <c r="DM144" s="8"/>
      <c r="DN144" s="197">
        <f>IF(DR144&lt;&gt;"",DN143+1,DN143)</f>
        <v>4</v>
      </c>
      <c r="DO144" s="197" t="str">
        <f t="shared" si="85"/>
        <v/>
      </c>
      <c r="DP144" s="10" t="str">
        <f>CR143</f>
        <v/>
      </c>
      <c r="DQ144" s="8"/>
      <c r="DR144" s="249" t="str">
        <f>IF(COUNTIF(DP$18:$DP143,DP144)&gt;0,"",DP144)</f>
        <v/>
      </c>
      <c r="DS144" s="198" t="str">
        <f>CS143</f>
        <v/>
      </c>
      <c r="DT144" s="514">
        <f t="shared" si="86"/>
        <v>0</v>
      </c>
    </row>
    <row r="145" spans="1:124" ht="10.5" customHeight="1">
      <c r="B145" s="23"/>
      <c r="C145" s="3205" t="s">
        <v>728</v>
      </c>
      <c r="D145" s="3205"/>
      <c r="E145" s="3016" t="str">
        <f>IF($D$9="不要","不",IF(H145="","要",H145))</f>
        <v>要</v>
      </c>
      <c r="F145" s="3016"/>
      <c r="G145" s="523" t="s">
        <v>724</v>
      </c>
      <c r="H145" s="3017"/>
      <c r="I145" s="3018"/>
      <c r="J145" s="3019" t="s">
        <v>727</v>
      </c>
      <c r="K145" s="3020"/>
      <c r="L145" s="3020"/>
      <c r="M145" s="3021"/>
      <c r="N145" s="3053"/>
      <c r="O145" s="2894"/>
      <c r="P145" s="2895"/>
      <c r="Q145" s="3025" t="str">
        <f>IF(OR(C143="",$J$14="C"),"",IF(Z145&lt;&gt;"",Z145,"電子釦 0.4- 4Pr"))</f>
        <v>電子釦 0.4- 4Pr</v>
      </c>
      <c r="R145" s="2933"/>
      <c r="S145" s="2933"/>
      <c r="T145" s="2933"/>
      <c r="U145" s="2933"/>
      <c r="V145" s="2933"/>
      <c r="W145" s="2933"/>
      <c r="X145" s="2934"/>
      <c r="Y145" s="526" t="s">
        <v>724</v>
      </c>
      <c r="Z145" s="3026"/>
      <c r="AA145" s="3027"/>
      <c r="AB145" s="3027"/>
      <c r="AC145" s="3027"/>
      <c r="AD145" s="3027"/>
      <c r="AE145" s="3027"/>
      <c r="AF145" s="3027"/>
      <c r="AG145" s="3028"/>
      <c r="AH145" s="2880" t="s">
        <v>725</v>
      </c>
      <c r="AI145" s="2881"/>
      <c r="AJ145" s="2882"/>
      <c r="AK145" s="2995">
        <f>IF(C143="","",IF(AP145&lt;&gt;"",AP145,IF($J$14="C","",SUM(CK141:CK142))))</f>
        <v>129.43200000000002</v>
      </c>
      <c r="AL145" s="2995"/>
      <c r="AM145" s="2995"/>
      <c r="AN145" s="2995"/>
      <c r="AO145" s="526" t="s">
        <v>724</v>
      </c>
      <c r="AP145" s="2996"/>
      <c r="AQ145" s="2997"/>
      <c r="AR145" s="2997"/>
      <c r="AS145" s="2998"/>
      <c r="AT145" s="2893"/>
      <c r="AU145" s="2894"/>
      <c r="AV145" s="2895"/>
      <c r="AW145" s="2933" t="str">
        <f>IF(C143="","",IF(BE145&lt;&gt;"",BE145,IF(BB140=2,"PF-22mm",IF(OR(BB140=3,BB140=6),"C-25mm",IF(OR(BB140=4,BB140=7),"G-22mm",IF(OR(BB140=1,BB140=5),"CD-22mm",""))))))</f>
        <v>C-25mm</v>
      </c>
      <c r="AX145" s="2933"/>
      <c r="AY145" s="2933"/>
      <c r="AZ145" s="2933"/>
      <c r="BA145" s="2933"/>
      <c r="BB145" s="2933"/>
      <c r="BC145" s="2934"/>
      <c r="BD145" s="526" t="s">
        <v>724</v>
      </c>
      <c r="BE145" s="2935"/>
      <c r="BF145" s="2936"/>
      <c r="BG145" s="2936"/>
      <c r="BH145" s="2936"/>
      <c r="BI145" s="2936"/>
      <c r="BJ145" s="2937"/>
      <c r="BK145" s="2880" t="s">
        <v>725</v>
      </c>
      <c r="BL145" s="2881"/>
      <c r="BM145" s="2882"/>
      <c r="BN145" s="2948">
        <f>IF(C143="","",IF(BR145="",SUM(CL141:CL142),BR145))</f>
        <v>94</v>
      </c>
      <c r="BO145" s="2949"/>
      <c r="BP145" s="2950"/>
      <c r="BQ145" s="525" t="s">
        <v>724</v>
      </c>
      <c r="BR145" s="3029"/>
      <c r="BS145" s="3030"/>
      <c r="BT145" s="3031"/>
      <c r="BU145" s="19"/>
      <c r="BX145" s="49">
        <f>1+INT(L143/600)</f>
        <v>1</v>
      </c>
      <c r="BY145" s="46"/>
      <c r="BZ145" s="106" t="s">
        <v>723</v>
      </c>
      <c r="CA145" s="522" t="str">
        <f>"1"</f>
        <v>1</v>
      </c>
      <c r="CB145" s="151">
        <f>IF(CA144="",INT(T143/40)+CB144,INT(T143/40))</f>
        <v>3</v>
      </c>
      <c r="CC145" s="122">
        <f>IF(CB145="",0,CB145)</f>
        <v>3</v>
      </c>
      <c r="CD145" s="6"/>
      <c r="CE145" s="156" t="s">
        <v>722</v>
      </c>
      <c r="CF145" s="189">
        <f>F143</f>
        <v>4</v>
      </c>
      <c r="CG145" s="189">
        <f>IF(BB140&lt;=4,(2*F143-(R129+R131)/1000)*AR143,((R130+R131)/1000)*AR143)</f>
        <v>24</v>
      </c>
      <c r="CH145" s="189">
        <f>2*(R131/1000)*AR143</f>
        <v>0</v>
      </c>
      <c r="CI145" s="82" t="s">
        <v>721</v>
      </c>
      <c r="CJ145" s="86">
        <f>AW143</f>
        <v>0</v>
      </c>
      <c r="CK145" s="38"/>
      <c r="CL145" s="38"/>
      <c r="CM145" s="38"/>
      <c r="CN145" s="38"/>
      <c r="CO145" s="252" t="str">
        <f>AW145</f>
        <v>C-25mm</v>
      </c>
      <c r="CP145" s="520">
        <f>BN145</f>
        <v>94</v>
      </c>
      <c r="CR145" s="519" t="str">
        <f>IF(CS145="","",IF(LEFT(AW146,1)="フ","ジャンクションボックス 2Duct","C-OBox4角大深"))</f>
        <v/>
      </c>
      <c r="CS145" s="189" t="str">
        <f>IF(AW143=0,"",AW143)</f>
        <v/>
      </c>
      <c r="CU145" s="8"/>
      <c r="CV145" s="197">
        <f t="shared" si="68"/>
        <v>9</v>
      </c>
      <c r="CW145" s="197" t="str">
        <f t="shared" si="67"/>
        <v/>
      </c>
      <c r="CX145" s="207" t="str">
        <f>IF(BQ143="","","VE-22mm")</f>
        <v/>
      </c>
      <c r="CY145" s="8"/>
      <c r="CZ145" s="249" t="str">
        <f>IF(COUNTIF($CZ$10:$CZ144,CX145)&gt;0,"",CX145)</f>
        <v/>
      </c>
      <c r="DA145" s="515" t="str">
        <f>IF(BQ143="","",DA144-10)</f>
        <v/>
      </c>
      <c r="DB145" s="514">
        <f>SUMIF($CX$20:$CX$182,CZ145,$DA$20:$DA$182)</f>
        <v>0</v>
      </c>
      <c r="DD145" s="8"/>
      <c r="DE145" s="197">
        <f t="shared" ref="DE145:DE151" si="87">IF(DI145&lt;&gt;"",DE144+1,DE144)</f>
        <v>14</v>
      </c>
      <c r="DF145" s="197" t="str">
        <f t="shared" ref="DF145:DF151" si="88">IF(AND(DE145&lt;&gt;"",DI145&lt;&gt;""),DE145,"")</f>
        <v/>
      </c>
      <c r="DG145" s="207" t="str">
        <f>CR144</f>
        <v>C-OBox4角中深</v>
      </c>
      <c r="DH145" s="8"/>
      <c r="DI145" s="249" t="str">
        <f>IF(COUNTIF(DG$18:$DG144,DG145)&gt;0,"",DG145)</f>
        <v/>
      </c>
      <c r="DJ145" s="515">
        <f>CS144</f>
        <v>3</v>
      </c>
      <c r="DK145" s="514">
        <f t="shared" si="84"/>
        <v>0</v>
      </c>
      <c r="DM145" s="8"/>
      <c r="DN145" s="197">
        <f>IF(DS145&lt;&gt;"",DN144+1,DN144)</f>
        <v>4</v>
      </c>
      <c r="DO145" s="197" t="str">
        <f t="shared" si="85"/>
        <v/>
      </c>
      <c r="DP145" s="10" t="str">
        <f>IF(BQ141="","","電話交換機")</f>
        <v/>
      </c>
      <c r="DQ145" s="8"/>
      <c r="DR145" s="249" t="str">
        <f>IF(COUNTIF(DP$18:$DP144,DP145)&gt;0,"",DP145)</f>
        <v/>
      </c>
      <c r="DS145" s="198" t="str">
        <f>IF(DP145&lt;&gt;"",1,"")</f>
        <v/>
      </c>
      <c r="DT145" s="514">
        <f t="shared" si="86"/>
        <v>0</v>
      </c>
    </row>
    <row r="146" spans="1:124" ht="10.5" customHeight="1">
      <c r="B146" s="23"/>
      <c r="C146" s="2959" t="s">
        <v>720</v>
      </c>
      <c r="D146" s="2959"/>
      <c r="E146" s="3016" t="str">
        <f>IF($D$9="不要","不",IF(H146="","要",H146))</f>
        <v>要</v>
      </c>
      <c r="F146" s="3016"/>
      <c r="G146" s="525" t="s">
        <v>103</v>
      </c>
      <c r="H146" s="3017"/>
      <c r="I146" s="3018"/>
      <c r="J146" s="3022"/>
      <c r="K146" s="3023"/>
      <c r="L146" s="3023"/>
      <c r="M146" s="3024"/>
      <c r="N146" s="3054"/>
      <c r="O146" s="3055"/>
      <c r="P146" s="3056"/>
      <c r="Q146" s="3201" t="str">
        <f>IF(C143="","",IF(Z146&lt;&gt;"",Z146,"TIVF 0.8-2C"))</f>
        <v>TIVF 0.8-2C</v>
      </c>
      <c r="R146" s="3201"/>
      <c r="S146" s="3201"/>
      <c r="T146" s="3201"/>
      <c r="U146" s="3201"/>
      <c r="V146" s="3201"/>
      <c r="W146" s="3201"/>
      <c r="X146" s="3201"/>
      <c r="Y146" s="524" t="s">
        <v>103</v>
      </c>
      <c r="Z146" s="2941"/>
      <c r="AA146" s="2942"/>
      <c r="AB146" s="2942"/>
      <c r="AC146" s="2942"/>
      <c r="AD146" s="2942"/>
      <c r="AE146" s="2942"/>
      <c r="AF146" s="2942"/>
      <c r="AG146" s="3199"/>
      <c r="AH146" s="2883" t="s">
        <v>235</v>
      </c>
      <c r="AI146" s="2884"/>
      <c r="AJ146" s="2885"/>
      <c r="AK146" s="2953">
        <f>IF(C143="","",IF(AP146&lt;&gt;"",AP146,IF($J$14="C","",SUM(CK143:CK144))))</f>
        <v>0</v>
      </c>
      <c r="AL146" s="2954"/>
      <c r="AM146" s="2954"/>
      <c r="AN146" s="2955"/>
      <c r="AO146" s="524" t="s">
        <v>103</v>
      </c>
      <c r="AP146" s="2911"/>
      <c r="AQ146" s="2912"/>
      <c r="AR146" s="2912"/>
      <c r="AS146" s="2913"/>
      <c r="AT146" s="2896"/>
      <c r="AU146" s="2897"/>
      <c r="AV146" s="2898"/>
      <c r="AW146" s="2939" t="str">
        <f>IF(C143="","",IF(BN146="","",IF(BE146="","フロアダクト FC-6",BE146)))</f>
        <v>フロアダクト FC-6</v>
      </c>
      <c r="AX146" s="2845"/>
      <c r="AY146" s="2845"/>
      <c r="AZ146" s="2845"/>
      <c r="BA146" s="2845"/>
      <c r="BB146" s="2845"/>
      <c r="BC146" s="2940"/>
      <c r="BD146" s="524" t="s">
        <v>103</v>
      </c>
      <c r="BE146" s="2941"/>
      <c r="BF146" s="2942"/>
      <c r="BG146" s="2942"/>
      <c r="BH146" s="2942"/>
      <c r="BI146" s="2942"/>
      <c r="BJ146" s="2942"/>
      <c r="BK146" s="2883" t="s">
        <v>235</v>
      </c>
      <c r="BL146" s="2884"/>
      <c r="BM146" s="2885"/>
      <c r="BN146" s="2943">
        <f>IF(C143="","",IF(BR146="",MAX(CL143:CL144),BR146))</f>
        <v>0</v>
      </c>
      <c r="BO146" s="2944"/>
      <c r="BP146" s="2945"/>
      <c r="BQ146" s="523" t="s">
        <v>103</v>
      </c>
      <c r="BR146" s="3200"/>
      <c r="BS146" s="3200"/>
      <c r="BT146" s="3200"/>
      <c r="BU146" s="19"/>
      <c r="BX146" s="47"/>
      <c r="BZ146" s="106" t="s">
        <v>766</v>
      </c>
      <c r="CA146" s="522" t="str">
        <f>IF(OR(I140="( 10)",I140="(12)イ"),"1","")</f>
        <v/>
      </c>
      <c r="CB146" s="151" t="str">
        <f>IF(CA146="","",INT(P143/200))</f>
        <v/>
      </c>
      <c r="CC146" s="122">
        <f>IF(CB146="",0,CB146)</f>
        <v>0</v>
      </c>
      <c r="CE146" s="156" t="s">
        <v>716</v>
      </c>
      <c r="CF146" s="521"/>
      <c r="CG146" s="189">
        <f>IF($AQ$8=0,1.5*2*(1+INT(2*BX141/($AQ$9/1000)))*(1+INT(2*BY141/($AQ$9/1000))),0)</f>
        <v>0</v>
      </c>
      <c r="CH146" s="82"/>
      <c r="CI146" s="82" t="s">
        <v>765</v>
      </c>
      <c r="CJ146" s="107">
        <f>AR143</f>
        <v>3</v>
      </c>
      <c r="CK146" s="12"/>
      <c r="CL146" s="12"/>
      <c r="CM146" s="12"/>
      <c r="CN146" s="12"/>
      <c r="CO146" s="252" t="str">
        <f>AW146</f>
        <v>フロアダクト FC-6</v>
      </c>
      <c r="CP146" s="520">
        <f>BN146</f>
        <v>0</v>
      </c>
      <c r="CR146" s="519" t="str">
        <f>IF(CS146="","","ローテンションアウトレット")</f>
        <v/>
      </c>
      <c r="CS146" s="189" t="str">
        <f>CS140</f>
        <v/>
      </c>
      <c r="CV146" s="197">
        <f t="shared" si="68"/>
        <v>9</v>
      </c>
      <c r="CW146" s="197" t="str">
        <f t="shared" si="67"/>
        <v/>
      </c>
      <c r="CX146" s="207"/>
      <c r="CY146" s="24"/>
      <c r="DA146" s="515"/>
      <c r="DB146" s="516"/>
      <c r="DE146" s="197">
        <f t="shared" si="87"/>
        <v>14</v>
      </c>
      <c r="DF146" s="197" t="str">
        <f t="shared" si="88"/>
        <v/>
      </c>
      <c r="DG146" s="207" t="str">
        <f>CR145</f>
        <v/>
      </c>
      <c r="DH146" s="24"/>
      <c r="DI146" s="249" t="str">
        <f>IF(COUNTIF(DG$18:$DG145,DG146)&gt;0,"",DG146)</f>
        <v/>
      </c>
      <c r="DJ146" s="515" t="str">
        <f>CS145</f>
        <v/>
      </c>
      <c r="DK146" s="514">
        <f t="shared" si="84"/>
        <v>0</v>
      </c>
      <c r="DN146" s="197">
        <f>IF(DS146&lt;&gt;"",DN145+1,DN145)</f>
        <v>4</v>
      </c>
      <c r="DO146" s="197" t="str">
        <f t="shared" si="85"/>
        <v/>
      </c>
      <c r="DP146" s="10" t="str">
        <f>IF(BQ143="","","接地工事 Et")</f>
        <v/>
      </c>
      <c r="DQ146" s="24"/>
      <c r="DR146" s="249" t="str">
        <f>IF(COUNTIF(DP$18:$DP145,DP146)&gt;0,"",DP146)</f>
        <v/>
      </c>
      <c r="DS146" s="198" t="str">
        <f>IF(DP146&lt;&gt;"",1,"")</f>
        <v/>
      </c>
      <c r="DT146" s="514">
        <f t="shared" si="86"/>
        <v>0</v>
      </c>
    </row>
    <row r="147" spans="1:124" ht="10.5" customHeight="1">
      <c r="B147" s="23"/>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19"/>
      <c r="BZ147" s="114" t="str">
        <f>"="</f>
        <v>=</v>
      </c>
      <c r="CA147" s="114" t="str">
        <f>"－"</f>
        <v>－</v>
      </c>
      <c r="CB147" s="114" t="str">
        <f>"+"</f>
        <v>+</v>
      </c>
      <c r="CP147" s="555"/>
      <c r="CV147" s="197">
        <f t="shared" si="68"/>
        <v>9</v>
      </c>
      <c r="CW147" s="197" t="str">
        <f t="shared" si="67"/>
        <v/>
      </c>
      <c r="CY147" s="24"/>
      <c r="DA147" s="516"/>
      <c r="DB147" s="516"/>
      <c r="DE147" s="197">
        <f t="shared" si="87"/>
        <v>14</v>
      </c>
      <c r="DF147" s="197" t="str">
        <f t="shared" si="88"/>
        <v/>
      </c>
      <c r="DG147" s="207" t="str">
        <f>CR146</f>
        <v/>
      </c>
      <c r="DH147" s="24"/>
      <c r="DI147" s="249" t="str">
        <f>IF(COUNTIF(DG$18:$DG146,DG147)&gt;0,"",DG147)</f>
        <v/>
      </c>
      <c r="DJ147" s="515" t="str">
        <f>CS146</f>
        <v/>
      </c>
      <c r="DK147" s="514">
        <f t="shared" si="84"/>
        <v>0</v>
      </c>
      <c r="DN147" s="197">
        <f>IF(DS147&lt;&gt;"",DN146+1,DN146)</f>
        <v>4</v>
      </c>
      <c r="DO147" s="197" t="str">
        <f>IF(AND(DN147&lt;&gt;"",DR147&lt;&gt;""),DN147,"")</f>
        <v/>
      </c>
      <c r="DP147" s="201"/>
      <c r="DQ147" s="24"/>
      <c r="DR147" s="249"/>
      <c r="DS147" s="198"/>
      <c r="DT147" s="514"/>
    </row>
    <row r="148" spans="1:124" ht="11.25" customHeight="1" thickBot="1">
      <c r="A148" s="46"/>
      <c r="B148" s="23"/>
      <c r="C148" s="3032" t="s">
        <v>112</v>
      </c>
      <c r="D148" s="3032"/>
      <c r="E148" s="3032"/>
      <c r="F148" s="3032"/>
      <c r="G148" s="3032"/>
      <c r="H148" s="3032"/>
      <c r="I148" s="3033" t="str">
        <f>非誘!J117</f>
        <v/>
      </c>
      <c r="J148" s="3033"/>
      <c r="K148" s="3033"/>
      <c r="L148" s="3034"/>
      <c r="M148" s="3035" t="str">
        <f>非誘!M117</f>
        <v/>
      </c>
      <c r="N148" s="2961"/>
      <c r="O148" s="2961"/>
      <c r="P148" s="2961"/>
      <c r="Q148" s="2961"/>
      <c r="R148" s="2961"/>
      <c r="S148" s="2961"/>
      <c r="T148" s="2961"/>
      <c r="U148" s="2961"/>
      <c r="V148" s="2961"/>
      <c r="W148" s="3036"/>
      <c r="X148" s="3037" t="s">
        <v>232</v>
      </c>
      <c r="Y148" s="3037"/>
      <c r="Z148" s="3037"/>
      <c r="AA148" s="3037"/>
      <c r="AB148" s="3038"/>
      <c r="AC148" s="2977" t="str">
        <f>非誘!AA117</f>
        <v/>
      </c>
      <c r="AD148" s="2978"/>
      <c r="AE148" s="2917" t="s">
        <v>760</v>
      </c>
      <c r="AF148" s="2918"/>
      <c r="AG148" s="2918"/>
      <c r="AH148" s="2918"/>
      <c r="AI148" s="2919"/>
      <c r="AJ148" s="2979" t="str">
        <f>非誘!J118</f>
        <v/>
      </c>
      <c r="AK148" s="2980"/>
      <c r="AL148" s="2981"/>
      <c r="AM148" s="2917" t="s">
        <v>759</v>
      </c>
      <c r="AN148" s="2918"/>
      <c r="AO148" s="2919"/>
      <c r="AP148" s="2920" t="str">
        <f>IF(OR($B$2=0,AS148=""),$BO$14,AS148)</f>
        <v>Ⓖ</v>
      </c>
      <c r="AQ148" s="2920"/>
      <c r="AR148" s="554" t="s">
        <v>103</v>
      </c>
      <c r="AS148" s="2921"/>
      <c r="AT148" s="2922"/>
      <c r="AU148" s="2875" t="s">
        <v>757</v>
      </c>
      <c r="AV148" s="2875"/>
      <c r="AW148" s="2875"/>
      <c r="AX148" s="2875"/>
      <c r="AY148" s="2875"/>
      <c r="AZ148" s="2875"/>
      <c r="BA148" s="2876"/>
      <c r="BB148" s="553">
        <f>IF(BC148="天井ケーブル",1,IF(BC148="天井(PF管)",2,IF(BC148="天井(C管)",3,IF(BC148="天井(G管)",4,IF(BC148="床(CD管)",5,IF(BC148="床(C管)",6,IF(BC148="床(G管)",7,"")))))))</f>
        <v>5</v>
      </c>
      <c r="BC148" s="2961" t="str">
        <f>IF($B$2=0,"",IF(BK148&lt;&gt;"",BK148,IF(I151="直天","天井(C管)","床(CD管)")))</f>
        <v>床(CD管)</v>
      </c>
      <c r="BD148" s="2962"/>
      <c r="BE148" s="2962"/>
      <c r="BF148" s="2962"/>
      <c r="BG148" s="2962"/>
      <c r="BH148" s="2962"/>
      <c r="BI148" s="2963"/>
      <c r="BJ148" s="552" t="s">
        <v>103</v>
      </c>
      <c r="BK148" s="2905"/>
      <c r="BL148" s="2906"/>
      <c r="BM148" s="2906"/>
      <c r="BN148" s="2906"/>
      <c r="BO148" s="2906"/>
      <c r="BP148" s="2907"/>
      <c r="BQ148" s="2982" t="s">
        <v>755</v>
      </c>
      <c r="BR148" s="2983"/>
      <c r="BS148" s="2983"/>
      <c r="BT148" s="2984"/>
      <c r="BU148" s="19"/>
      <c r="BV148" s="8">
        <v>17</v>
      </c>
      <c r="BX148" s="55" t="s">
        <v>229</v>
      </c>
      <c r="BY148" s="55" t="s">
        <v>228</v>
      </c>
      <c r="BZ148" s="534" t="e">
        <f>BY143+BY162+CA149</f>
        <v>#VALUE!</v>
      </c>
      <c r="CA148" s="534" t="e">
        <f>CA149+BY143</f>
        <v>#VALUE!</v>
      </c>
      <c r="CB148" s="38" t="e">
        <f>BY162+CA149</f>
        <v>#VALUE!</v>
      </c>
      <c r="CC148" s="69"/>
      <c r="CD148" s="534"/>
      <c r="CE148" s="534"/>
      <c r="CF148" s="143" t="s">
        <v>754</v>
      </c>
      <c r="CG148" s="143" t="s">
        <v>753</v>
      </c>
      <c r="CH148" s="143" t="s">
        <v>753</v>
      </c>
      <c r="CI148" s="551" t="s">
        <v>752</v>
      </c>
      <c r="CJ148" s="551" t="s">
        <v>752</v>
      </c>
      <c r="CK148" s="550" t="s">
        <v>734</v>
      </c>
      <c r="CL148" s="550" t="s">
        <v>732</v>
      </c>
      <c r="CM148" s="46"/>
      <c r="CO148" s="46" t="str">
        <f>Q152</f>
        <v/>
      </c>
      <c r="CP148" s="520" t="str">
        <f>AK152</f>
        <v/>
      </c>
      <c r="CR148" s="519" t="str">
        <f>IF(CS148="","",IF($J$14="A","多機能内線電話機",""))</f>
        <v/>
      </c>
      <c r="CS148" s="189" t="str">
        <f>BB151</f>
        <v/>
      </c>
      <c r="CU148" s="88">
        <v>17</v>
      </c>
      <c r="CV148" s="204">
        <f t="shared" si="68"/>
        <v>9</v>
      </c>
      <c r="CW148" s="155" t="str">
        <f t="shared" ref="CW148:CW179" si="89">IF(AND(CV148&lt;&gt;"",CZ148&lt;&gt;""),CV148,"")</f>
        <v/>
      </c>
      <c r="CX148" s="45"/>
      <c r="CY148" s="45"/>
      <c r="CZ148" s="45"/>
      <c r="DA148" s="45"/>
      <c r="DB148" s="45"/>
      <c r="DD148" s="88">
        <v>17</v>
      </c>
      <c r="DE148" s="204">
        <f t="shared" si="87"/>
        <v>14</v>
      </c>
      <c r="DF148" s="155" t="str">
        <f t="shared" si="88"/>
        <v/>
      </c>
      <c r="DG148" s="549" t="str">
        <f>CO143</f>
        <v>導入線 1.2mmφ</v>
      </c>
      <c r="DH148" s="45"/>
      <c r="DI148" s="153" t="str">
        <f>IF(COUNTIF(DG$9:$DG147,DG148)&gt;0,"",DG148)</f>
        <v/>
      </c>
      <c r="DJ148" s="155">
        <f>CP143</f>
        <v>107.80000000000001</v>
      </c>
      <c r="DK148" s="548">
        <f>SUMIF($DG$11:$DG$182,DI148,$DJ$11:$DJ$182)</f>
        <v>0</v>
      </c>
      <c r="DM148" s="88">
        <v>17</v>
      </c>
      <c r="DN148" s="204">
        <f>IF(DS148&lt;&gt;"",DN147+1,DN147)</f>
        <v>4</v>
      </c>
      <c r="DO148" s="155" t="str">
        <f>IF(AND(DN148&lt;&gt;"",DR148&lt;&gt;""),DN148,"")</f>
        <v/>
      </c>
      <c r="DP148" s="45"/>
      <c r="DQ148" s="45"/>
      <c r="DR148" s="45"/>
      <c r="DS148" s="45"/>
      <c r="DT148" s="45"/>
    </row>
    <row r="149" spans="1:124" ht="11.25" customHeight="1" thickBot="1">
      <c r="B149" s="23"/>
      <c r="C149" s="3008" t="s">
        <v>4</v>
      </c>
      <c r="D149" s="3009"/>
      <c r="E149" s="3010"/>
      <c r="F149" s="3014" t="s">
        <v>22</v>
      </c>
      <c r="G149" s="2983"/>
      <c r="H149" s="3015"/>
      <c r="I149" s="2982" t="s">
        <v>132</v>
      </c>
      <c r="J149" s="2983"/>
      <c r="K149" s="3015"/>
      <c r="L149" s="2982" t="s">
        <v>6</v>
      </c>
      <c r="M149" s="2983"/>
      <c r="N149" s="2983"/>
      <c r="O149" s="2984"/>
      <c r="P149" s="3014" t="s">
        <v>7</v>
      </c>
      <c r="Q149" s="2983"/>
      <c r="R149" s="2983"/>
      <c r="S149" s="2984"/>
      <c r="T149" s="3014" t="s">
        <v>8</v>
      </c>
      <c r="U149" s="2983"/>
      <c r="V149" s="2983"/>
      <c r="W149" s="2984"/>
      <c r="X149" s="3014" t="s">
        <v>9</v>
      </c>
      <c r="Y149" s="2983"/>
      <c r="Z149" s="3015"/>
      <c r="AA149" s="2982" t="s">
        <v>9</v>
      </c>
      <c r="AB149" s="2983"/>
      <c r="AC149" s="2984"/>
      <c r="AD149" s="2974" t="s">
        <v>708</v>
      </c>
      <c r="AE149" s="2975"/>
      <c r="AF149" s="2975"/>
      <c r="AG149" s="2975"/>
      <c r="AH149" s="2975"/>
      <c r="AI149" s="2975"/>
      <c r="AJ149" s="2975"/>
      <c r="AK149" s="2975"/>
      <c r="AL149" s="2930" t="e">
        <f>IF(BX153=1,"T-"&amp;LEFT(C151,3)&amp;"-1","T-"&amp;LEFT(C151,3)&amp;"-1～"&amp;BX153)</f>
        <v>#VALUE!</v>
      </c>
      <c r="AM149" s="2930"/>
      <c r="AN149" s="2930"/>
      <c r="AO149" s="2930"/>
      <c r="AP149" s="2930"/>
      <c r="AQ149" s="2932"/>
      <c r="AR149" s="2925" t="s">
        <v>751</v>
      </c>
      <c r="AS149" s="2926"/>
      <c r="AT149" s="2926"/>
      <c r="AU149" s="2926"/>
      <c r="AV149" s="2926"/>
      <c r="AW149" s="2926"/>
      <c r="AX149" s="2926"/>
      <c r="AY149" s="2926"/>
      <c r="AZ149" s="2926"/>
      <c r="BA149" s="2927"/>
      <c r="BB149" s="2886" t="s">
        <v>750</v>
      </c>
      <c r="BC149" s="2887"/>
      <c r="BD149" s="2887"/>
      <c r="BE149" s="2887"/>
      <c r="BF149" s="2887"/>
      <c r="BG149" s="2887"/>
      <c r="BH149" s="2887"/>
      <c r="BI149" s="2887"/>
      <c r="BJ149" s="2888"/>
      <c r="BK149" s="2888"/>
      <c r="BL149" s="2888"/>
      <c r="BM149" s="2888"/>
      <c r="BN149" s="2888"/>
      <c r="BO149" s="2888"/>
      <c r="BP149" s="2889"/>
      <c r="BQ149" s="2939" t="str">
        <f>IF(AND($B$2=1,$J$14="A",C151=$J$15),"設置","")</f>
        <v/>
      </c>
      <c r="BR149" s="2845"/>
      <c r="BS149" s="2845"/>
      <c r="BT149" s="2940"/>
      <c r="BU149" s="19"/>
      <c r="BV149" s="15">
        <v>117</v>
      </c>
      <c r="BX149" s="98">
        <f>非誘!BW119</f>
        <v>0</v>
      </c>
      <c r="BY149" s="98">
        <f>非誘!BX119</f>
        <v>0</v>
      </c>
      <c r="BZ149" s="547" t="e">
        <f>IF(CA149&lt;10,10,IF(CA149&lt;15,15,IF(CA149&lt;20,20,IF(CA149&lt;25,25,IF(CA149&lt;30,30,IF(CA149&lt;50,50,IF(CA149&lt;70,70,IF(CA149&lt;100,100,IF(CA149&lt;150,150,IF(CA149&lt;20,200,200))))))))))</f>
        <v>#VALUE!</v>
      </c>
      <c r="CA149" s="546" t="e">
        <f>SUM(CC152:CC154)</f>
        <v>#VALUE!</v>
      </c>
      <c r="CB149" s="107" t="str">
        <f>IF(BY151&lt;10," 10",IF(BY151&lt;15," 15",IF(BY151&lt;20," 20",IF(BY151&lt;25," 25",IF(BY151&lt;30," 30",IF(BY151&lt;50," 50",IF(BY151&lt;70," 70",IF(BY151&lt;100,"100",IF(BY151&lt;150,"150",IF(BY151&lt;200,"200","200"))))))))))</f>
        <v xml:space="preserve"> 10</v>
      </c>
      <c r="CC149" s="545">
        <f>1+INT(BY151/200)</f>
        <v>1</v>
      </c>
      <c r="CD149" s="534"/>
      <c r="CE149" s="156" t="s">
        <v>749</v>
      </c>
      <c r="CF149" s="189">
        <f>2*INT($AG$9/1000)</f>
        <v>2</v>
      </c>
      <c r="CG149" s="189" t="e">
        <f>CG152+(1+INT($AG$9+$AG$8)/1000)*(1+INT(AR151/10))+CG151</f>
        <v>#VALUE!</v>
      </c>
      <c r="CH149" s="98">
        <f>IF(AW151="",0,AW151*8)</f>
        <v>0</v>
      </c>
      <c r="CI149" s="98" t="e">
        <f>AR151*8</f>
        <v>#VALUE!</v>
      </c>
      <c r="CJ149" s="544">
        <f>IF(AW151="",0,AW151*8)</f>
        <v>0</v>
      </c>
      <c r="CK149" s="223" t="e">
        <f>IF(E153="不","",(CG149+CG150+CI149+CI150)*MAX(P151:W151)/L151)</f>
        <v>#VALUE!</v>
      </c>
      <c r="CL149" s="223" t="e">
        <f>IF(E153="不","",SUM(CG152:CH152)+SUM(CG153:CH153)*MAX(P151:W151)/L151)</f>
        <v>#VALUE!</v>
      </c>
      <c r="CM149" s="527" t="s">
        <v>7</v>
      </c>
      <c r="CN149" s="15"/>
      <c r="CO149" s="46" t="str">
        <f>Q153</f>
        <v/>
      </c>
      <c r="CP149" s="520" t="str">
        <f>AK153</f>
        <v/>
      </c>
      <c r="CR149" s="519" t="str">
        <f>IF(CS149="","",IF($J$14="A","内線電話機"))</f>
        <v/>
      </c>
      <c r="CS149" s="189" t="str">
        <f>BG151</f>
        <v/>
      </c>
      <c r="CU149" s="8"/>
      <c r="CV149" s="197">
        <f t="shared" ref="CV149:CV182" si="90">IF(CZ149&lt;&gt;"",CV148+1,CV148)</f>
        <v>9</v>
      </c>
      <c r="CW149" s="197" t="str">
        <f t="shared" si="89"/>
        <v/>
      </c>
      <c r="CX149" s="543" t="str">
        <f>CO148</f>
        <v/>
      </c>
      <c r="CY149" s="8"/>
      <c r="CZ149" s="249" t="str">
        <f>IF(COUNTIF($CX$17:$CX148,CX149)&gt;0,"",CX149)</f>
        <v/>
      </c>
      <c r="DA149" s="515" t="str">
        <f>CP148</f>
        <v/>
      </c>
      <c r="DB149" s="514">
        <f>SUMIF($CX$20:$CX$182,CZ149,$DA$20:$DA$182)</f>
        <v>0</v>
      </c>
      <c r="DC149" s="8"/>
      <c r="DD149" s="8"/>
      <c r="DE149" s="197">
        <f t="shared" si="87"/>
        <v>14</v>
      </c>
      <c r="DF149" s="197" t="str">
        <f t="shared" si="88"/>
        <v/>
      </c>
      <c r="DG149" s="207" t="str">
        <f>CO152</f>
        <v/>
      </c>
      <c r="DH149" s="8"/>
      <c r="DI149" s="249" t="str">
        <f>IF(COUNTIF(DG$17:$DG148,DG149)&gt;0,"",DG149)</f>
        <v/>
      </c>
      <c r="DJ149" s="515" t="str">
        <f>CP152</f>
        <v/>
      </c>
      <c r="DK149" s="514">
        <f t="shared" ref="DK149:DK155" si="91">SUMIF($DG$20:$DG$182,DI149,$DJ$20:$DJ$182)</f>
        <v>0</v>
      </c>
      <c r="DL149" s="8"/>
      <c r="DM149" s="8"/>
      <c r="DN149" s="197">
        <f>IF(DR149&lt;&gt;"",DN148+1,DN148)</f>
        <v>4</v>
      </c>
      <c r="DO149" s="197" t="str">
        <f t="shared" ref="DO149:DO154" si="92">IF(AND(DN149&lt;&gt;"",DS149&lt;&gt;""),DN149,"")</f>
        <v/>
      </c>
      <c r="DP149" s="10" t="str">
        <f>CR148</f>
        <v/>
      </c>
      <c r="DQ149" s="8"/>
      <c r="DR149" s="249" t="str">
        <f>IF(COUNTIF(DP$18:$DP148,DP149)&gt;0,"",DP149)</f>
        <v/>
      </c>
      <c r="DS149" s="198" t="str">
        <f>CS148</f>
        <v/>
      </c>
      <c r="DT149" s="514">
        <f t="shared" ref="DT149:DT154" si="93">SUMIF($DP$20:$DP$182,DR149,$DS$20:$DS$182)</f>
        <v>0</v>
      </c>
    </row>
    <row r="150" spans="1:124" ht="11.25" customHeight="1" thickBot="1">
      <c r="B150" s="23"/>
      <c r="C150" s="3011"/>
      <c r="D150" s="3012"/>
      <c r="E150" s="3013"/>
      <c r="F150" s="3039" t="s">
        <v>235</v>
      </c>
      <c r="G150" s="3040"/>
      <c r="H150" s="3041"/>
      <c r="I150" s="3039" t="s">
        <v>235</v>
      </c>
      <c r="J150" s="3040"/>
      <c r="K150" s="3041"/>
      <c r="L150" s="3039" t="s">
        <v>748</v>
      </c>
      <c r="M150" s="3040"/>
      <c r="N150" s="3040"/>
      <c r="O150" s="3042"/>
      <c r="P150" s="3043" t="s">
        <v>748</v>
      </c>
      <c r="Q150" s="3040"/>
      <c r="R150" s="3040"/>
      <c r="S150" s="3042"/>
      <c r="T150" s="3043" t="s">
        <v>748</v>
      </c>
      <c r="U150" s="3040"/>
      <c r="V150" s="3040"/>
      <c r="W150" s="3044"/>
      <c r="X150" s="3045" t="s">
        <v>111</v>
      </c>
      <c r="Y150" s="3046"/>
      <c r="Z150" s="3047"/>
      <c r="AA150" s="3001" t="s">
        <v>110</v>
      </c>
      <c r="AB150" s="3002"/>
      <c r="AC150" s="3003"/>
      <c r="AD150" s="3004" t="s">
        <v>695</v>
      </c>
      <c r="AE150" s="3005"/>
      <c r="AF150" s="3005"/>
      <c r="AG150" s="3006" t="s">
        <v>699</v>
      </c>
      <c r="AH150" s="3005"/>
      <c r="AI150" s="3007"/>
      <c r="AJ150" s="2928" t="s">
        <v>747</v>
      </c>
      <c r="AK150" s="2918"/>
      <c r="AL150" s="2918"/>
      <c r="AM150" s="2928" t="s">
        <v>746</v>
      </c>
      <c r="AN150" s="2918"/>
      <c r="AO150" s="2929"/>
      <c r="AP150" s="2956" t="s">
        <v>745</v>
      </c>
      <c r="AQ150" s="2957"/>
      <c r="AR150" s="2917" t="s">
        <v>744</v>
      </c>
      <c r="AS150" s="2918"/>
      <c r="AT150" s="2958" t="s">
        <v>3</v>
      </c>
      <c r="AU150" s="2959"/>
      <c r="AV150" s="2959"/>
      <c r="AW150" s="2959" t="s">
        <v>743</v>
      </c>
      <c r="AX150" s="2960"/>
      <c r="AY150" s="2928" t="s">
        <v>3</v>
      </c>
      <c r="AZ150" s="2918"/>
      <c r="BA150" s="2919"/>
      <c r="BB150" s="542" t="str">
        <f>IF(CA152="","","●")</f>
        <v/>
      </c>
      <c r="BC150" s="2930" t="s">
        <v>742</v>
      </c>
      <c r="BD150" s="2930"/>
      <c r="BE150" s="2930"/>
      <c r="BF150" s="2931"/>
      <c r="BG150" s="542" t="str">
        <f>IF(CA153="","","●")</f>
        <v>●</v>
      </c>
      <c r="BH150" s="2930" t="s">
        <v>741</v>
      </c>
      <c r="BI150" s="2930"/>
      <c r="BJ150" s="2930"/>
      <c r="BK150" s="2931"/>
      <c r="BL150" s="542" t="str">
        <f>IF(CA154="","","●")</f>
        <v/>
      </c>
      <c r="BM150" s="2930" t="s">
        <v>764</v>
      </c>
      <c r="BN150" s="2930"/>
      <c r="BO150" s="2930"/>
      <c r="BP150" s="2932"/>
      <c r="BQ150" s="2974" t="s">
        <v>740</v>
      </c>
      <c r="BR150" s="2975"/>
      <c r="BS150" s="2975"/>
      <c r="BT150" s="2976"/>
      <c r="BU150" s="19"/>
      <c r="BX150" s="97" t="str">
        <f>IF(LEFT(C151,2)=" B",-MID(C151,3,1),IF(C151="  RF","",LEFT(C151,3)))</f>
        <v/>
      </c>
      <c r="BY150" s="541" t="str">
        <f>IF(OR(C151="",C151="  RF"),"",IF(LEFT(C151,1)="P","+",IF($BW$14&gt;BX150,"-",IF($BW$14=BX150,"=","+"))))</f>
        <v/>
      </c>
      <c r="BZ150" s="2985" t="str">
        <f>"FCPEV 0.65-"&amp;CB149&amp;"Pr"</f>
        <v>FCPEV 0.65- 10Pr</v>
      </c>
      <c r="CA150" s="2986"/>
      <c r="CB150" s="2986"/>
      <c r="CC150" s="2986"/>
      <c r="CD150" s="62"/>
      <c r="CE150" s="156" t="s">
        <v>763</v>
      </c>
      <c r="CF150" s="540" t="str">
        <f>F151</f>
        <v/>
      </c>
      <c r="CG150" s="540" t="e">
        <f>CG153+(1+INT(AR151/10))*($AG$9+$AG$8)/1000</f>
        <v>#VALUE!</v>
      </c>
      <c r="CH150" s="539"/>
      <c r="CI150" s="189" t="e">
        <f>CH153</f>
        <v>#VALUE!</v>
      </c>
      <c r="CJ150" s="260"/>
      <c r="CK150" s="528" t="e">
        <f>IF(E154="不","",(CG149+CG150+CI149+CI150)*T151/L151)</f>
        <v>#VALUE!</v>
      </c>
      <c r="CL150" s="528" t="e">
        <f>IF(E154="不","",SUM(CG152:CH152)+SUM(CG153:CH153)*T151/L151)</f>
        <v>#VALUE!</v>
      </c>
      <c r="CM150" s="527" t="s">
        <v>8</v>
      </c>
      <c r="CN150" s="15"/>
      <c r="CO150" s="46" t="str">
        <f>Q154</f>
        <v/>
      </c>
      <c r="CP150" s="520" t="str">
        <f>AK154</f>
        <v/>
      </c>
      <c r="CR150" s="519" t="str">
        <f>IF(CS150="","",IF($J$14="A","PHSアンテナ"))</f>
        <v/>
      </c>
      <c r="CS150" s="189" t="str">
        <f>BL151</f>
        <v/>
      </c>
      <c r="CU150" s="8"/>
      <c r="CV150" s="197">
        <f t="shared" si="90"/>
        <v>9</v>
      </c>
      <c r="CW150" s="197" t="str">
        <f t="shared" si="89"/>
        <v/>
      </c>
      <c r="CX150" s="10" t="str">
        <f>CO149</f>
        <v/>
      </c>
      <c r="CY150" s="8"/>
      <c r="CZ150" s="249" t="str">
        <f>IF(COUNTIF($CZ$10:$CZ149,CX150)&gt;0,"",CX150)</f>
        <v/>
      </c>
      <c r="DA150" s="515" t="str">
        <f>CP149</f>
        <v/>
      </c>
      <c r="DB150" s="514">
        <f>SUMIF($CX$20:$CX$182,CZ150,$DA$20:$DA$182)</f>
        <v>0</v>
      </c>
      <c r="DC150" s="8"/>
      <c r="DD150" s="8"/>
      <c r="DE150" s="197">
        <f t="shared" si="87"/>
        <v>14</v>
      </c>
      <c r="DF150" s="197" t="str">
        <f t="shared" si="88"/>
        <v/>
      </c>
      <c r="DG150" s="207" t="str">
        <f>CO153</f>
        <v/>
      </c>
      <c r="DH150" s="8"/>
      <c r="DI150" s="249" t="str">
        <f>IF(COUNTIF(DG$18:$DG149,DG150)&gt;0,"",DG150)</f>
        <v/>
      </c>
      <c r="DJ150" s="515" t="str">
        <f>CP153</f>
        <v/>
      </c>
      <c r="DK150" s="514">
        <f t="shared" si="91"/>
        <v>0</v>
      </c>
      <c r="DL150" s="8"/>
      <c r="DM150" s="8"/>
      <c r="DN150" s="197">
        <f>IF(DR150&lt;&gt;"",DN149+1,DN149)</f>
        <v>4</v>
      </c>
      <c r="DO150" s="197" t="str">
        <f t="shared" si="92"/>
        <v/>
      </c>
      <c r="DP150" s="207" t="str">
        <f>CR149</f>
        <v/>
      </c>
      <c r="DQ150" s="8"/>
      <c r="DR150" s="249" t="str">
        <f>IF(COUNTIF(DP$18:$DP149,DP150)&gt;0,"",DP150)</f>
        <v/>
      </c>
      <c r="DS150" s="198" t="str">
        <f>CS149</f>
        <v/>
      </c>
      <c r="DT150" s="514">
        <f t="shared" si="93"/>
        <v>0</v>
      </c>
    </row>
    <row r="151" spans="1:124" ht="10.5" customHeight="1" thickBot="1">
      <c r="B151" s="23"/>
      <c r="C151" s="2987" t="str">
        <f>IF($B$2=0,"",非誘!C119)</f>
        <v/>
      </c>
      <c r="D151" s="2988"/>
      <c r="E151" s="2988"/>
      <c r="F151" s="2989" t="str">
        <f>IF($B$2=0,"",非誘!F119)</f>
        <v/>
      </c>
      <c r="G151" s="2989"/>
      <c r="H151" s="2989"/>
      <c r="I151" s="2989" t="str">
        <f>IF($B$2=0,"",非誘!J119)</f>
        <v/>
      </c>
      <c r="J151" s="2989"/>
      <c r="K151" s="2989"/>
      <c r="L151" s="2990" t="str">
        <f>IF($B$2=0,"",非誘!N119)</f>
        <v/>
      </c>
      <c r="M151" s="2990"/>
      <c r="N151" s="2990"/>
      <c r="O151" s="2990"/>
      <c r="P151" s="2991" t="str">
        <f>IF($B$2=0,"",非誘!S119)</f>
        <v/>
      </c>
      <c r="Q151" s="2991"/>
      <c r="R151" s="2991"/>
      <c r="S151" s="2991"/>
      <c r="T151" s="2991" t="str">
        <f>IF($B$2=0,"",非誘!W119)</f>
        <v/>
      </c>
      <c r="U151" s="2992"/>
      <c r="V151" s="2992"/>
      <c r="W151" s="2992"/>
      <c r="X151" s="2993" t="str">
        <f>IF($B$2=0,"",非誘!AA119)</f>
        <v/>
      </c>
      <c r="Y151" s="2993"/>
      <c r="Z151" s="2993"/>
      <c r="AA151" s="2993" t="str">
        <f>IF($B$2=0,"",非誘!AD119)</f>
        <v/>
      </c>
      <c r="AB151" s="2993"/>
      <c r="AC151" s="2994"/>
      <c r="AD151" s="2966" t="str">
        <f>IF(C151="","",CB149*CC149)</f>
        <v/>
      </c>
      <c r="AE151" s="2967"/>
      <c r="AF151" s="2968"/>
      <c r="AG151" s="2969" t="str">
        <f>IF(C151="","",放送!CB145)</f>
        <v/>
      </c>
      <c r="AH151" s="2967"/>
      <c r="AI151" s="2968"/>
      <c r="AJ151" s="2970" t="str">
        <f>IF(C151="","",IF(TV!BL12="設置","Space","---"))</f>
        <v/>
      </c>
      <c r="AK151" s="2971"/>
      <c r="AL151" s="2971"/>
      <c r="AM151" s="2969"/>
      <c r="AN151" s="2967"/>
      <c r="AO151" s="2968"/>
      <c r="AP151" s="2972"/>
      <c r="AQ151" s="2973"/>
      <c r="AR151" s="2923" t="str">
        <f>IF(C151="","",IF(AZ151="",CB153,AZ151))</f>
        <v/>
      </c>
      <c r="AS151" s="2924"/>
      <c r="AT151" s="538" t="s">
        <v>106</v>
      </c>
      <c r="AU151" s="2946"/>
      <c r="AV151" s="2947"/>
      <c r="AW151" s="2923" t="str">
        <f>IF(C151="","",IF(CA152="",0,IF(AZ151="",CB152,AZ151)))</f>
        <v/>
      </c>
      <c r="AX151" s="2924"/>
      <c r="AY151" s="537" t="s">
        <v>106</v>
      </c>
      <c r="AZ151" s="2938"/>
      <c r="BA151" s="2938"/>
      <c r="BB151" s="2951" t="str">
        <f>IF(OR($J$14&lt;&gt;"A",CA152=""),"",IF(BE151&lt;&gt;"",BE151,CB152))</f>
        <v/>
      </c>
      <c r="BC151" s="2952"/>
      <c r="BD151" s="537" t="s">
        <v>106</v>
      </c>
      <c r="BE151" s="2938"/>
      <c r="BF151" s="2938"/>
      <c r="BG151" s="2951" t="str">
        <f>IF(C151="","",IF(OR($J$14&lt;&gt;"A",CA153=""),"",IF(BJ151&lt;&gt;"",BE151,CB153)))</f>
        <v/>
      </c>
      <c r="BH151" s="2952"/>
      <c r="BI151" s="537" t="s">
        <v>106</v>
      </c>
      <c r="BJ151" s="2938"/>
      <c r="BK151" s="2938"/>
      <c r="BL151" s="2951" t="str">
        <f>IF(OR($J$14&lt;&gt;"A",CA154=""),"",IF(BO151&lt;&gt;"",BO151,CB154))</f>
        <v/>
      </c>
      <c r="BM151" s="2952"/>
      <c r="BN151" s="537" t="s">
        <v>106</v>
      </c>
      <c r="BO151" s="2964"/>
      <c r="BP151" s="2965"/>
      <c r="BQ151" s="2939" t="str">
        <f>IF(BQ149="設置","Ｅt","")</f>
        <v/>
      </c>
      <c r="BR151" s="2845"/>
      <c r="BS151" s="2845"/>
      <c r="BT151" s="2940"/>
      <c r="BU151" s="19"/>
      <c r="BW151" s="89" t="str">
        <f>AP148</f>
        <v>Ⓖ</v>
      </c>
      <c r="BX151" s="263" t="str">
        <f>IF(C151="","",IF(BW151="Ⓐ",BX149+BY149+3,IF(BW151="Ⓑ",BX149*5/8+BY149+3,IF(BW151="Ⓒ",BX149/2+BY149+3,IF(BW151="Ⓓ",BX149+BY149*5/8+3,IF(BW151="Ⓔ",(BX149+BY149)*5/8+3,IF(BW151="Ⓕ",BX149/2+BY149*5/8+3,IF(BW151="Ⓖ",BX149+BY149/2+3,IF(BW151="Ⓗ",BX149*5/8+BY149/2+3,IF(BW151="Ⓘ",(BX149+BY149)/2+3))))))))))</f>
        <v/>
      </c>
      <c r="BY151" s="86">
        <f>IF(C151="",0,IF(BY150="=",BZ148,IF(BY150="-",CA148,CB148)))</f>
        <v>0</v>
      </c>
      <c r="BZ151" s="156"/>
      <c r="CA151" s="536" t="e">
        <f>IF(CA149&lt;=30,"25",IF(CA149&lt;=50,"31",IF(CA149&lt;=100,"39",IF(CA149&lt;=200,"51",""))))</f>
        <v>#VALUE!</v>
      </c>
      <c r="CB151" s="535" t="e">
        <f>IF(CA149&lt;=30,"22",IF(CA149&lt;=50,"28",IF(CA149&lt;=100,"36",IF(CA149&lt;=200,"42",""))))</f>
        <v>#VALUE!</v>
      </c>
      <c r="CC151" s="122"/>
      <c r="CD151" s="534"/>
      <c r="CE151" s="156" t="s">
        <v>738</v>
      </c>
      <c r="CF151" s="533"/>
      <c r="CG151" s="189" t="e">
        <f>IF($B$2="","",IF($AQ$8=0,0,0.02*($AQ$8/1000-0.15-0.1)*(INT(1000*BX149/$AQ$9)+1)*(INT(1000*BY149/$AQ$9)+1)*4*(AR151+AW151)))</f>
        <v>#VALUE!</v>
      </c>
      <c r="CH151" s="532"/>
      <c r="CI151" s="531"/>
      <c r="CJ151" s="15"/>
      <c r="CK151" s="528" t="e">
        <f>IF(E153="不","",SUM(CH149+CJ149)*MAX(P151:W151)/L151)</f>
        <v>#VALUE!</v>
      </c>
      <c r="CL151" s="528" t="e">
        <f>IF(E153="不","",CJ152)</f>
        <v>#VALUE!</v>
      </c>
      <c r="CM151" s="527" t="s">
        <v>7</v>
      </c>
      <c r="CN151" s="15"/>
      <c r="CO151" s="252" t="str">
        <f>IF(CP151="","","導入線 1.2mmφ")</f>
        <v>導入線 1.2mmφ</v>
      </c>
      <c r="CP151" s="184">
        <f>1.1*INT(SUM(CP152:CP154))</f>
        <v>0</v>
      </c>
      <c r="CR151" s="519" t="str">
        <f>IF(CS151="","",IF($J$14="A","PHS電話機"))</f>
        <v/>
      </c>
      <c r="CS151" s="189" t="str">
        <f>IF(CS150="","",INT(CS150*1.5))</f>
        <v/>
      </c>
      <c r="CU151" s="8"/>
      <c r="CV151" s="197">
        <f t="shared" si="90"/>
        <v>9</v>
      </c>
      <c r="CW151" s="197" t="str">
        <f t="shared" si="89"/>
        <v/>
      </c>
      <c r="CX151" s="10" t="str">
        <f>CO150</f>
        <v/>
      </c>
      <c r="CY151" s="8"/>
      <c r="CZ151" s="249" t="str">
        <f>IF(COUNTIF($CZ$10:$CZ150,CX151)&gt;0,"",CX151)</f>
        <v/>
      </c>
      <c r="DA151" s="515" t="str">
        <f>CP150</f>
        <v/>
      </c>
      <c r="DB151" s="514">
        <f>SUMIF($CX$20:$CX$182,CZ151,$DA$20:$DA$182)</f>
        <v>0</v>
      </c>
      <c r="DC151" s="8"/>
      <c r="DD151" s="8"/>
      <c r="DE151" s="197">
        <f t="shared" si="87"/>
        <v>14</v>
      </c>
      <c r="DF151" s="197" t="str">
        <f t="shared" si="88"/>
        <v/>
      </c>
      <c r="DG151" s="207" t="str">
        <f>CO154</f>
        <v/>
      </c>
      <c r="DH151" s="8"/>
      <c r="DI151" s="249" t="str">
        <f>IF(COUNTIF(DG$18:$DG150,DG151)&gt;0,"",DG151)</f>
        <v/>
      </c>
      <c r="DJ151" s="515" t="str">
        <f>CP154</f>
        <v/>
      </c>
      <c r="DK151" s="514">
        <f t="shared" si="91"/>
        <v>0</v>
      </c>
      <c r="DL151" s="8"/>
      <c r="DM151" s="8"/>
      <c r="DN151" s="197">
        <f>IF(DR151&lt;&gt;"",DN150+1,DN150)</f>
        <v>4</v>
      </c>
      <c r="DO151" s="197" t="str">
        <f t="shared" si="92"/>
        <v/>
      </c>
      <c r="DP151" s="10" t="str">
        <f>CR150</f>
        <v/>
      </c>
      <c r="DQ151" s="8"/>
      <c r="DR151" s="249" t="str">
        <f>IF(COUNTIF(DP$18:$DP150,DP151)&gt;0,"",DP151)</f>
        <v/>
      </c>
      <c r="DS151" s="198" t="str">
        <f>CS150</f>
        <v/>
      </c>
      <c r="DT151" s="514">
        <f t="shared" si="93"/>
        <v>0</v>
      </c>
    </row>
    <row r="152" spans="1:124" ht="10.5" customHeight="1" thickBot="1">
      <c r="B152" s="23"/>
      <c r="C152" s="3048" t="s">
        <v>737</v>
      </c>
      <c r="D152" s="3049"/>
      <c r="E152" s="3049"/>
      <c r="F152" s="3049"/>
      <c r="G152" s="3049"/>
      <c r="H152" s="3049"/>
      <c r="I152" s="3049"/>
      <c r="J152" s="3050" t="s">
        <v>736</v>
      </c>
      <c r="K152" s="3051"/>
      <c r="L152" s="3051"/>
      <c r="M152" s="3051"/>
      <c r="N152" s="3052" t="s">
        <v>735</v>
      </c>
      <c r="O152" s="2891"/>
      <c r="P152" s="2892"/>
      <c r="Q152" s="3057" t="str">
        <f>IF(OR(C151="",$J$14="C"),"",IF(Z152="",BZ150,Z152))</f>
        <v/>
      </c>
      <c r="R152" s="3057"/>
      <c r="S152" s="3057"/>
      <c r="T152" s="3057"/>
      <c r="U152" s="3057"/>
      <c r="V152" s="3057"/>
      <c r="W152" s="3057"/>
      <c r="X152" s="3057"/>
      <c r="Y152" s="524" t="s">
        <v>106</v>
      </c>
      <c r="Z152" s="2902"/>
      <c r="AA152" s="2903"/>
      <c r="AB152" s="2903"/>
      <c r="AC152" s="2903"/>
      <c r="AD152" s="2903"/>
      <c r="AE152" s="2903"/>
      <c r="AF152" s="2903"/>
      <c r="AG152" s="2904"/>
      <c r="AH152" s="2877" t="s">
        <v>734</v>
      </c>
      <c r="AI152" s="2878"/>
      <c r="AJ152" s="2879"/>
      <c r="AK152" s="3058" t="str">
        <f>IF(C151="","",IF(AP152&lt;&gt;"",AP152,IF($J$14="C","",SUM(CF149:CF150)*CC149)))</f>
        <v/>
      </c>
      <c r="AL152" s="3058"/>
      <c r="AM152" s="3058"/>
      <c r="AN152" s="3058"/>
      <c r="AO152" s="524" t="s">
        <v>106</v>
      </c>
      <c r="AP152" s="2911"/>
      <c r="AQ152" s="2912"/>
      <c r="AR152" s="2912"/>
      <c r="AS152" s="2913"/>
      <c r="AT152" s="2890" t="s">
        <v>733</v>
      </c>
      <c r="AU152" s="2891"/>
      <c r="AV152" s="2892"/>
      <c r="AW152" s="2899" t="str">
        <f>IF(C151="","",IF(BE152&lt;&gt;"",BE152,IF(BB148=2,"PF-"&amp;CB151&amp;"mm",IF(OR(BB148=3,BB148=6),"C-"&amp;CA151&amp;"mm",IF(OR(BB148=4,BB148=7),"G-"&amp;CB151&amp;"mm",IF(OR(BB148=1,BB148=5),"CD-"&amp;CB151&amp;"mm",""))))))</f>
        <v/>
      </c>
      <c r="AX152" s="2900"/>
      <c r="AY152" s="2900"/>
      <c r="AZ152" s="2900"/>
      <c r="BA152" s="2900"/>
      <c r="BB152" s="2900"/>
      <c r="BC152" s="2901"/>
      <c r="BD152" s="524" t="s">
        <v>106</v>
      </c>
      <c r="BE152" s="2902"/>
      <c r="BF152" s="2903"/>
      <c r="BG152" s="2903"/>
      <c r="BH152" s="2903"/>
      <c r="BI152" s="2903"/>
      <c r="BJ152" s="2904"/>
      <c r="BK152" s="2877" t="s">
        <v>732</v>
      </c>
      <c r="BL152" s="2878"/>
      <c r="BM152" s="2879"/>
      <c r="BN152" s="2914" t="str">
        <f>IF(C151="","",IF(BR152="",CF153*CC149,BR152))</f>
        <v/>
      </c>
      <c r="BO152" s="2915"/>
      <c r="BP152" s="2916"/>
      <c r="BQ152" s="524" t="s">
        <v>106</v>
      </c>
      <c r="BR152" s="3202"/>
      <c r="BS152" s="3203"/>
      <c r="BT152" s="3204"/>
      <c r="BU152" s="19"/>
      <c r="BX152" s="530"/>
      <c r="BY152" s="46"/>
      <c r="BZ152" s="106" t="s">
        <v>731</v>
      </c>
      <c r="CA152" s="529" t="str">
        <f>IF(P151="","",IF(OR(I148="(1) ロ",I148="( 4 )",I148="(5) イ",I148="(6) イ",I148="(6) ロ",I148="(6) ハ",I148="( 7 )",I148="( 8 )",I148="( 15)"),"1",""))</f>
        <v/>
      </c>
      <c r="CB152" s="151">
        <f>IF(P151="",0,INT(P151/20))</f>
        <v>0</v>
      </c>
      <c r="CC152" s="122">
        <f>IF(CA152="",0,CB152)</f>
        <v>0</v>
      </c>
      <c r="CD152" s="6"/>
      <c r="CE152" s="156" t="s">
        <v>730</v>
      </c>
      <c r="CF152" s="189"/>
      <c r="CG152" s="189" t="e">
        <f>BX151*(1+INT(AR151/10))+CG154</f>
        <v>#VALUE!</v>
      </c>
      <c r="CH152" s="189">
        <f>IF(AW151="",0,BX151*(1+INT(AW151/10)))</f>
        <v>0</v>
      </c>
      <c r="CI152" s="82" t="s">
        <v>729</v>
      </c>
      <c r="CJ152" s="98" t="e">
        <f>7.32*(AW151-2*SQRT(AW151))</f>
        <v>#VALUE!</v>
      </c>
      <c r="CK152" s="528" t="e">
        <f>IF(E154="不","",SUM(CH149+CJ149)*T151/L151)</f>
        <v>#VALUE!</v>
      </c>
      <c r="CL152" s="528" t="e">
        <f>CJ152</f>
        <v>#VALUE!</v>
      </c>
      <c r="CM152" s="527" t="s">
        <v>8</v>
      </c>
      <c r="CN152" s="69"/>
      <c r="CO152" s="252" t="str">
        <f>AW152</f>
        <v/>
      </c>
      <c r="CP152" s="520" t="str">
        <f>BN152</f>
        <v/>
      </c>
      <c r="CR152" s="519" t="str">
        <f>IF(CS152=0,"","C-OBox4角中深")</f>
        <v/>
      </c>
      <c r="CS152" s="189">
        <f>IF($J$14="A",SUM(CS149:CS150),AR151)</f>
        <v>0</v>
      </c>
      <c r="CU152" s="8"/>
      <c r="CV152" s="197">
        <f t="shared" si="90"/>
        <v>9</v>
      </c>
      <c r="CW152" s="197" t="str">
        <f t="shared" si="89"/>
        <v/>
      </c>
      <c r="CX152" s="207" t="str">
        <f>IF(BQ151="","","IV-14sq")</f>
        <v/>
      </c>
      <c r="CY152" s="8"/>
      <c r="CZ152" s="249" t="str">
        <f>IF(COUNTIF($CZ$10:$CZ151,CX152)&gt;0,"",CX152)</f>
        <v/>
      </c>
      <c r="DA152" s="515" t="str">
        <f>IF(BQ151="","",BX151+BY149+15)</f>
        <v/>
      </c>
      <c r="DB152" s="514">
        <f>SUMIF($CX$20:$CX$182,CZ152,$DA$20:$DA$182)</f>
        <v>0</v>
      </c>
      <c r="DD152" s="8"/>
      <c r="DE152" s="197">
        <f>IF(DJ152&lt;&gt;"",DE151+1,DE151)</f>
        <v>14</v>
      </c>
      <c r="DF152" s="197" t="str">
        <f>IF(AND(DE152&lt;&gt;"",DJ152&lt;&gt;""),DE152,"")</f>
        <v/>
      </c>
      <c r="DG152" s="207"/>
      <c r="DH152" s="8"/>
      <c r="DI152" s="249"/>
      <c r="DJ152" s="515"/>
      <c r="DK152" s="514">
        <f t="shared" si="91"/>
        <v>0</v>
      </c>
      <c r="DM152" s="8"/>
      <c r="DN152" s="197">
        <f>IF(DR152&lt;&gt;"",DN151+1,DN151)</f>
        <v>4</v>
      </c>
      <c r="DO152" s="197" t="str">
        <f t="shared" si="92"/>
        <v/>
      </c>
      <c r="DP152" s="10" t="str">
        <f>CR151</f>
        <v/>
      </c>
      <c r="DQ152" s="8"/>
      <c r="DR152" s="249" t="str">
        <f>IF(COUNTIF(DP$18:$DP151,DP152)&gt;0,"",DP152)</f>
        <v/>
      </c>
      <c r="DS152" s="198" t="str">
        <f>CS151</f>
        <v/>
      </c>
      <c r="DT152" s="514">
        <f t="shared" si="93"/>
        <v>0</v>
      </c>
    </row>
    <row r="153" spans="1:124" ht="10.5" customHeight="1">
      <c r="B153" s="23"/>
      <c r="C153" s="3205" t="s">
        <v>728</v>
      </c>
      <c r="D153" s="3205"/>
      <c r="E153" s="3016" t="str">
        <f>IF($D$9="不要","不",IF(H153="","要",H153))</f>
        <v>要</v>
      </c>
      <c r="F153" s="3016"/>
      <c r="G153" s="523" t="s">
        <v>724</v>
      </c>
      <c r="H153" s="3017"/>
      <c r="I153" s="3018"/>
      <c r="J153" s="3019" t="s">
        <v>727</v>
      </c>
      <c r="K153" s="3020"/>
      <c r="L153" s="3020"/>
      <c r="M153" s="3021"/>
      <c r="N153" s="3053"/>
      <c r="O153" s="2894"/>
      <c r="P153" s="2895"/>
      <c r="Q153" s="3025" t="str">
        <f>IF(OR(C151="",$J$14="C"),"",IF(Z153&lt;&gt;"",Z153,"電子釦 0.4- 4Pr"))</f>
        <v/>
      </c>
      <c r="R153" s="2933"/>
      <c r="S153" s="2933"/>
      <c r="T153" s="2933"/>
      <c r="U153" s="2933"/>
      <c r="V153" s="2933"/>
      <c r="W153" s="2933"/>
      <c r="X153" s="2934"/>
      <c r="Y153" s="526" t="s">
        <v>724</v>
      </c>
      <c r="Z153" s="3026"/>
      <c r="AA153" s="3027"/>
      <c r="AB153" s="3027"/>
      <c r="AC153" s="3027"/>
      <c r="AD153" s="3027"/>
      <c r="AE153" s="3027"/>
      <c r="AF153" s="3027"/>
      <c r="AG153" s="3028"/>
      <c r="AH153" s="2880" t="s">
        <v>725</v>
      </c>
      <c r="AI153" s="2881"/>
      <c r="AJ153" s="2882"/>
      <c r="AK153" s="2995" t="str">
        <f>IF(C151="","",IF(AP153&lt;&gt;"",AP153,IF($J$14="C","",SUM(CK149:CK150))))</f>
        <v/>
      </c>
      <c r="AL153" s="2995"/>
      <c r="AM153" s="2995"/>
      <c r="AN153" s="2995"/>
      <c r="AO153" s="526" t="s">
        <v>724</v>
      </c>
      <c r="AP153" s="2996"/>
      <c r="AQ153" s="2997"/>
      <c r="AR153" s="2997"/>
      <c r="AS153" s="2998"/>
      <c r="AT153" s="2893"/>
      <c r="AU153" s="2894"/>
      <c r="AV153" s="2895"/>
      <c r="AW153" s="2933" t="str">
        <f>IF(C151="","",IF(BE153&lt;&gt;"",BE153,IF(BB148=2,"PF-22mm",IF(OR(BB148=3,BB148=6),"C-25mm",IF(OR(BB148=4,BB148=7),"G-22mm",IF(OR(BB148=1,BB148=5),"CD-22mm",""))))))</f>
        <v/>
      </c>
      <c r="AX153" s="2933"/>
      <c r="AY153" s="2933"/>
      <c r="AZ153" s="2933"/>
      <c r="BA153" s="2933"/>
      <c r="BB153" s="2933"/>
      <c r="BC153" s="2934"/>
      <c r="BD153" s="526" t="s">
        <v>724</v>
      </c>
      <c r="BE153" s="2935"/>
      <c r="BF153" s="2936"/>
      <c r="BG153" s="2936"/>
      <c r="BH153" s="2936"/>
      <c r="BI153" s="2936"/>
      <c r="BJ153" s="2937"/>
      <c r="BK153" s="2880" t="s">
        <v>725</v>
      </c>
      <c r="BL153" s="2881"/>
      <c r="BM153" s="2882"/>
      <c r="BN153" s="2948" t="str">
        <f>IF(C151="","",IF(BR153="",SUM(CL149:CL150),BR153))</f>
        <v/>
      </c>
      <c r="BO153" s="2949"/>
      <c r="BP153" s="2950"/>
      <c r="BQ153" s="525" t="s">
        <v>724</v>
      </c>
      <c r="BR153" s="3029"/>
      <c r="BS153" s="3030"/>
      <c r="BT153" s="3031"/>
      <c r="BU153" s="19"/>
      <c r="BX153" s="49" t="e">
        <f>1+INT(L151/600)</f>
        <v>#VALUE!</v>
      </c>
      <c r="BY153" s="46"/>
      <c r="BZ153" s="106" t="s">
        <v>723</v>
      </c>
      <c r="CA153" s="522" t="str">
        <f>"1"</f>
        <v>1</v>
      </c>
      <c r="CB153" s="151" t="e">
        <f>IF(CA152="",INT(T151/40)+CB152,INT(T151/40))</f>
        <v>#VALUE!</v>
      </c>
      <c r="CC153" s="122" t="e">
        <f>IF(CB153="",0,CB153)</f>
        <v>#VALUE!</v>
      </c>
      <c r="CD153" s="6"/>
      <c r="CE153" s="156" t="s">
        <v>722</v>
      </c>
      <c r="CF153" s="189" t="str">
        <f>F151</f>
        <v/>
      </c>
      <c r="CG153" s="189" t="e">
        <f>IF(BB148&lt;=4,(2*F151-(R137+R139)/1000)*AR151,((R138+R139)/1000)*AR151)</f>
        <v>#VALUE!</v>
      </c>
      <c r="CH153" s="189" t="e">
        <f>2*(R139/1000)*AR151</f>
        <v>#VALUE!</v>
      </c>
      <c r="CI153" s="82" t="s">
        <v>721</v>
      </c>
      <c r="CJ153" s="86" t="str">
        <f>AW151</f>
        <v/>
      </c>
      <c r="CK153" s="38"/>
      <c r="CL153" s="38"/>
      <c r="CM153" s="38"/>
      <c r="CN153" s="38"/>
      <c r="CO153" s="252" t="str">
        <f>AW153</f>
        <v/>
      </c>
      <c r="CP153" s="520" t="str">
        <f>BN153</f>
        <v/>
      </c>
      <c r="CR153" s="519" t="str">
        <f>IF(CS153="","",IF(LEFT(AW154,1)="フ","ジャンクションボックス 2Duct","C-OBox4角大深"))</f>
        <v/>
      </c>
      <c r="CS153" s="189" t="str">
        <f>IF(AW151=0,"",AW151)</f>
        <v/>
      </c>
      <c r="CU153" s="8"/>
      <c r="CV153" s="197">
        <f t="shared" si="90"/>
        <v>9</v>
      </c>
      <c r="CW153" s="197" t="str">
        <f t="shared" si="89"/>
        <v/>
      </c>
      <c r="CX153" s="207" t="str">
        <f>IF(BQ151="","","VE-22mm")</f>
        <v/>
      </c>
      <c r="CY153" s="8"/>
      <c r="CZ153" s="249" t="str">
        <f>IF(COUNTIF($CZ$10:$CZ152,CX153)&gt;0,"",CX153)</f>
        <v/>
      </c>
      <c r="DA153" s="515" t="str">
        <f>IF(BQ151="","",DA152-10)</f>
        <v/>
      </c>
      <c r="DB153" s="514">
        <f>SUMIF($CX$20:$CX$182,CZ153,$DA$20:$DA$182)</f>
        <v>0</v>
      </c>
      <c r="DD153" s="8"/>
      <c r="DE153" s="197">
        <f t="shared" ref="DE153:DE162" si="94">IF(DI153&lt;&gt;"",DE152+1,DE152)</f>
        <v>14</v>
      </c>
      <c r="DF153" s="197" t="str">
        <f t="shared" ref="DF153:DF162" si="95">IF(AND(DE153&lt;&gt;"",DI153&lt;&gt;""),DE153,"")</f>
        <v/>
      </c>
      <c r="DG153" s="207" t="str">
        <f>CR152</f>
        <v/>
      </c>
      <c r="DH153" s="8"/>
      <c r="DI153" s="249" t="str">
        <f>IF(COUNTIF(DG$18:$DG152,DG153)&gt;0,"",DG153)</f>
        <v/>
      </c>
      <c r="DJ153" s="515">
        <f>CS152</f>
        <v>0</v>
      </c>
      <c r="DK153" s="514">
        <f t="shared" si="91"/>
        <v>0</v>
      </c>
      <c r="DM153" s="8"/>
      <c r="DN153" s="197">
        <f t="shared" ref="DN153:DN159" si="96">IF(DS153&lt;&gt;"",DN152+1,DN152)</f>
        <v>4</v>
      </c>
      <c r="DO153" s="197" t="str">
        <f t="shared" si="92"/>
        <v/>
      </c>
      <c r="DP153" s="10" t="str">
        <f>IF(BQ149="","","電話交換機")</f>
        <v/>
      </c>
      <c r="DQ153" s="8"/>
      <c r="DR153" s="249" t="str">
        <f>IF(COUNTIF(DP$18:$DP152,DP153)&gt;0,"",DP153)</f>
        <v/>
      </c>
      <c r="DS153" s="198" t="str">
        <f>IF(DP153&lt;&gt;"",1,"")</f>
        <v/>
      </c>
      <c r="DT153" s="514">
        <f t="shared" si="93"/>
        <v>0</v>
      </c>
    </row>
    <row r="154" spans="1:124" ht="10.5" customHeight="1">
      <c r="B154" s="23"/>
      <c r="C154" s="2959" t="s">
        <v>720</v>
      </c>
      <c r="D154" s="2959"/>
      <c r="E154" s="3016" t="str">
        <f>IF($D$9="不要","不",IF(H154="","要",H154))</f>
        <v>要</v>
      </c>
      <c r="F154" s="3016"/>
      <c r="G154" s="525" t="s">
        <v>103</v>
      </c>
      <c r="H154" s="3017"/>
      <c r="I154" s="3018"/>
      <c r="J154" s="3022"/>
      <c r="K154" s="3023"/>
      <c r="L154" s="3023"/>
      <c r="M154" s="3024"/>
      <c r="N154" s="3054"/>
      <c r="O154" s="3055"/>
      <c r="P154" s="3056"/>
      <c r="Q154" s="3201" t="str">
        <f>IF(C151="","",IF(Z154&lt;&gt;"",Z154,"TIVF 0.8-2C"))</f>
        <v/>
      </c>
      <c r="R154" s="3201"/>
      <c r="S154" s="3201"/>
      <c r="T154" s="3201"/>
      <c r="U154" s="3201"/>
      <c r="V154" s="3201"/>
      <c r="W154" s="3201"/>
      <c r="X154" s="3201"/>
      <c r="Y154" s="524" t="s">
        <v>103</v>
      </c>
      <c r="Z154" s="2941"/>
      <c r="AA154" s="2942"/>
      <c r="AB154" s="2942"/>
      <c r="AC154" s="2942"/>
      <c r="AD154" s="2942"/>
      <c r="AE154" s="2942"/>
      <c r="AF154" s="2942"/>
      <c r="AG154" s="3199"/>
      <c r="AH154" s="2883" t="s">
        <v>235</v>
      </c>
      <c r="AI154" s="2884"/>
      <c r="AJ154" s="2885"/>
      <c r="AK154" s="2953" t="str">
        <f>IF(C151="","",IF(AP154&lt;&gt;"",AP154,IF($J$14="C","",SUM(CK151:CK152))))</f>
        <v/>
      </c>
      <c r="AL154" s="2954"/>
      <c r="AM154" s="2954"/>
      <c r="AN154" s="2955"/>
      <c r="AO154" s="524" t="s">
        <v>103</v>
      </c>
      <c r="AP154" s="2911"/>
      <c r="AQ154" s="2912"/>
      <c r="AR154" s="2912"/>
      <c r="AS154" s="2913"/>
      <c r="AT154" s="2896"/>
      <c r="AU154" s="2897"/>
      <c r="AV154" s="2898"/>
      <c r="AW154" s="2939" t="str">
        <f>IF(C151="","",IF(BN154="","",IF(BE154="","フロアダクト FC-6",BE154)))</f>
        <v/>
      </c>
      <c r="AX154" s="2845"/>
      <c r="AY154" s="2845"/>
      <c r="AZ154" s="2845"/>
      <c r="BA154" s="2845"/>
      <c r="BB154" s="2845"/>
      <c r="BC154" s="2940"/>
      <c r="BD154" s="524" t="s">
        <v>103</v>
      </c>
      <c r="BE154" s="2941"/>
      <c r="BF154" s="2942"/>
      <c r="BG154" s="2942"/>
      <c r="BH154" s="2942"/>
      <c r="BI154" s="2942"/>
      <c r="BJ154" s="2942"/>
      <c r="BK154" s="2883" t="s">
        <v>235</v>
      </c>
      <c r="BL154" s="2884"/>
      <c r="BM154" s="2885"/>
      <c r="BN154" s="2943" t="str">
        <f>IF(C151="","",IF(BR154="",MAX(CL151:CL152),BR154))</f>
        <v/>
      </c>
      <c r="BO154" s="2944"/>
      <c r="BP154" s="2945"/>
      <c r="BQ154" s="523" t="s">
        <v>103</v>
      </c>
      <c r="BR154" s="3200"/>
      <c r="BS154" s="3200"/>
      <c r="BT154" s="3200"/>
      <c r="BU154" s="19"/>
      <c r="BX154" s="47"/>
      <c r="BZ154" s="106" t="s">
        <v>766</v>
      </c>
      <c r="CA154" s="522" t="str">
        <f>IF(OR(I148="( 10)",I148="(12)イ"),"1","")</f>
        <v/>
      </c>
      <c r="CB154" s="151" t="str">
        <f>IF(CA154="","",INT(P151/200))</f>
        <v/>
      </c>
      <c r="CC154" s="122">
        <f>IF(CB154="",0,CB154)</f>
        <v>0</v>
      </c>
      <c r="CE154" s="156" t="s">
        <v>716</v>
      </c>
      <c r="CF154" s="521"/>
      <c r="CG154" s="189">
        <f>IF($AQ$8=0,1.5*2*(1+INT(2*BX149/($AQ$9/1000)))*(1+INT(2*BY149/($AQ$9/1000))),0)</f>
        <v>0</v>
      </c>
      <c r="CH154" s="82"/>
      <c r="CI154" s="82" t="s">
        <v>765</v>
      </c>
      <c r="CJ154" s="107" t="str">
        <f>AR151</f>
        <v/>
      </c>
      <c r="CK154" s="12"/>
      <c r="CL154" s="12"/>
      <c r="CM154" s="12"/>
      <c r="CN154" s="12"/>
      <c r="CO154" s="252" t="str">
        <f>AW154</f>
        <v/>
      </c>
      <c r="CP154" s="520" t="str">
        <f>BN154</f>
        <v/>
      </c>
      <c r="CR154" s="519" t="str">
        <f>IF(CS154="","","ローテンションアウトレット")</f>
        <v/>
      </c>
      <c r="CS154" s="189" t="str">
        <f>CS148</f>
        <v/>
      </c>
      <c r="CV154" s="197">
        <f t="shared" si="90"/>
        <v>9</v>
      </c>
      <c r="CW154" s="197" t="str">
        <f t="shared" si="89"/>
        <v/>
      </c>
      <c r="CX154" s="207"/>
      <c r="CY154" s="24"/>
      <c r="DA154" s="515"/>
      <c r="DB154" s="516"/>
      <c r="DE154" s="197">
        <f t="shared" si="94"/>
        <v>14</v>
      </c>
      <c r="DF154" s="197" t="str">
        <f t="shared" si="95"/>
        <v/>
      </c>
      <c r="DG154" s="207" t="str">
        <f>CR153</f>
        <v/>
      </c>
      <c r="DH154" s="24"/>
      <c r="DI154" s="249" t="str">
        <f>IF(COUNTIF(DG$18:$DG153,DG154)&gt;0,"",DG154)</f>
        <v/>
      </c>
      <c r="DJ154" s="515" t="str">
        <f>CS153</f>
        <v/>
      </c>
      <c r="DK154" s="514">
        <f t="shared" si="91"/>
        <v>0</v>
      </c>
      <c r="DN154" s="197">
        <f t="shared" si="96"/>
        <v>4</v>
      </c>
      <c r="DO154" s="197" t="str">
        <f t="shared" si="92"/>
        <v/>
      </c>
      <c r="DP154" s="10" t="str">
        <f>IF(BQ151="","","接地工事 Et")</f>
        <v/>
      </c>
      <c r="DQ154" s="24"/>
      <c r="DR154" s="249" t="str">
        <f>IF(COUNTIF(DP$18:$DP153,DP154)&gt;0,"",DP154)</f>
        <v/>
      </c>
      <c r="DS154" s="198" t="str">
        <f>IF(DP154&lt;&gt;"",1,"")</f>
        <v/>
      </c>
      <c r="DT154" s="514">
        <f t="shared" si="93"/>
        <v>0</v>
      </c>
    </row>
    <row r="155" spans="1:124" ht="10.5" customHeight="1">
      <c r="B155" s="23"/>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19"/>
      <c r="CP155" s="555"/>
      <c r="CV155" s="197">
        <f t="shared" si="90"/>
        <v>9</v>
      </c>
      <c r="CW155" s="197" t="str">
        <f t="shared" si="89"/>
        <v/>
      </c>
      <c r="CY155" s="24"/>
      <c r="DA155" s="516"/>
      <c r="DB155" s="516"/>
      <c r="DE155" s="197">
        <f t="shared" si="94"/>
        <v>14</v>
      </c>
      <c r="DF155" s="197" t="str">
        <f t="shared" si="95"/>
        <v/>
      </c>
      <c r="DG155" s="207" t="str">
        <f>CR154</f>
        <v/>
      </c>
      <c r="DH155" s="24"/>
      <c r="DI155" s="249" t="str">
        <f>IF(COUNTIF(DG$18:$DG154,DG155)&gt;0,"",DG155)</f>
        <v/>
      </c>
      <c r="DJ155" s="515" t="str">
        <f>CS154</f>
        <v/>
      </c>
      <c r="DK155" s="514">
        <f t="shared" si="91"/>
        <v>0</v>
      </c>
      <c r="DN155" s="197">
        <f t="shared" si="96"/>
        <v>4</v>
      </c>
      <c r="DO155" s="197" t="str">
        <f>IF(AND(DN155&lt;&gt;"",DR155&lt;&gt;""),DN155,"")</f>
        <v/>
      </c>
      <c r="DP155" s="201"/>
      <c r="DQ155" s="24"/>
      <c r="DR155" s="249"/>
      <c r="DS155" s="198"/>
      <c r="DT155" s="514"/>
    </row>
    <row r="156" spans="1:124" ht="10.5" customHeight="1">
      <c r="B156" s="23"/>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19"/>
      <c r="CP156" s="555"/>
      <c r="CU156" s="9"/>
      <c r="CV156" s="197">
        <f t="shared" si="90"/>
        <v>9</v>
      </c>
      <c r="CW156" s="197" t="str">
        <f t="shared" si="89"/>
        <v/>
      </c>
      <c r="CY156" s="24"/>
      <c r="DA156" s="516"/>
      <c r="DB156" s="516"/>
      <c r="DE156" s="197">
        <f t="shared" si="94"/>
        <v>14</v>
      </c>
      <c r="DF156" s="197" t="str">
        <f t="shared" si="95"/>
        <v/>
      </c>
      <c r="DG156" s="518" t="str">
        <f>CO151</f>
        <v>導入線 1.2mmφ</v>
      </c>
      <c r="DH156" s="9"/>
      <c r="DI156" s="126" t="str">
        <f>IF(COUNTIF(DG$9:$DG155,DG156)&gt;0,"",DG156)</f>
        <v/>
      </c>
      <c r="DJ156" s="127">
        <f>CP151</f>
        <v>0</v>
      </c>
      <c r="DK156" s="517">
        <f>SUMIF($DG$11:$DG$182,DI156,$DJ$11:$DJ$182)</f>
        <v>0</v>
      </c>
      <c r="DN156" s="197">
        <f t="shared" si="96"/>
        <v>4</v>
      </c>
      <c r="DO156" s="127" t="str">
        <f>IF(AND(DN156&lt;&gt;"",DR156&lt;&gt;""),DN156,"")</f>
        <v/>
      </c>
      <c r="DP156" s="9"/>
      <c r="DQ156" s="9"/>
      <c r="DR156" s="9"/>
      <c r="DS156" s="9"/>
      <c r="DT156" s="9"/>
    </row>
    <row r="157" spans="1:124" ht="11.25" customHeight="1">
      <c r="B157" s="18"/>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16"/>
      <c r="CP157" s="555"/>
      <c r="CV157" s="197">
        <f t="shared" si="90"/>
        <v>9</v>
      </c>
      <c r="CW157" s="197" t="str">
        <f t="shared" si="89"/>
        <v/>
      </c>
      <c r="CY157" s="24"/>
      <c r="DA157" s="516"/>
      <c r="DB157" s="516"/>
      <c r="DE157" s="197">
        <f t="shared" si="94"/>
        <v>14</v>
      </c>
      <c r="DF157" s="197" t="str">
        <f t="shared" si="95"/>
        <v/>
      </c>
      <c r="DG157" s="207"/>
      <c r="DH157" s="24"/>
      <c r="DI157" s="249"/>
      <c r="DJ157" s="515"/>
      <c r="DK157" s="514">
        <f>SUMIF($DG$20:$DG$182,DI157,$DJ$20:$DJ$182)</f>
        <v>0</v>
      </c>
      <c r="DN157" s="197">
        <f t="shared" si="96"/>
        <v>4</v>
      </c>
      <c r="DO157" s="127" t="str">
        <f>IF(AND(DN157&lt;&gt;"",DR157&lt;&gt;""),DN157,"")</f>
        <v/>
      </c>
    </row>
    <row r="158" spans="1:124" ht="9" customHeight="1">
      <c r="B158" s="93"/>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8"/>
      <c r="BZ158" s="114" t="str">
        <f>"="</f>
        <v>=</v>
      </c>
      <c r="CA158" s="114" t="str">
        <f>"－"</f>
        <v>－</v>
      </c>
      <c r="CB158" s="114" t="str">
        <f>"+"</f>
        <v>+</v>
      </c>
      <c r="CP158" s="555"/>
      <c r="CV158" s="197">
        <f t="shared" si="90"/>
        <v>9</v>
      </c>
      <c r="CW158" s="197" t="str">
        <f t="shared" si="89"/>
        <v/>
      </c>
      <c r="CY158" s="24"/>
      <c r="DA158" s="516"/>
      <c r="DB158" s="516"/>
      <c r="DE158" s="197">
        <f t="shared" si="94"/>
        <v>14</v>
      </c>
      <c r="DF158" s="197" t="str">
        <f t="shared" si="95"/>
        <v/>
      </c>
      <c r="DG158" s="207"/>
      <c r="DH158" s="24"/>
      <c r="DI158" s="249"/>
      <c r="DJ158" s="515"/>
      <c r="DK158" s="514">
        <f>SUMIF($DG$20:$DG$182,DI158,$DJ$20:$DJ$182)</f>
        <v>0</v>
      </c>
      <c r="DN158" s="197">
        <f t="shared" si="96"/>
        <v>4</v>
      </c>
      <c r="DO158" s="127" t="str">
        <f>IF(AND(DN158&lt;&gt;"",DR158&lt;&gt;""),DN158,"")</f>
        <v/>
      </c>
    </row>
    <row r="159" spans="1:124" ht="11.25" customHeight="1" thickBot="1">
      <c r="A159" s="46"/>
      <c r="B159" s="23"/>
      <c r="C159" s="3032" t="s">
        <v>112</v>
      </c>
      <c r="D159" s="3032"/>
      <c r="E159" s="3032"/>
      <c r="F159" s="3032"/>
      <c r="G159" s="3032"/>
      <c r="H159" s="3032"/>
      <c r="I159" s="3033" t="str">
        <f>非誘!J123</f>
        <v/>
      </c>
      <c r="J159" s="3033"/>
      <c r="K159" s="3033"/>
      <c r="L159" s="3034"/>
      <c r="M159" s="3035" t="str">
        <f>非誘!M123</f>
        <v/>
      </c>
      <c r="N159" s="2961"/>
      <c r="O159" s="2961"/>
      <c r="P159" s="2961"/>
      <c r="Q159" s="2961"/>
      <c r="R159" s="2961"/>
      <c r="S159" s="2961"/>
      <c r="T159" s="2961"/>
      <c r="U159" s="2961"/>
      <c r="V159" s="2961"/>
      <c r="W159" s="3036"/>
      <c r="X159" s="3037" t="s">
        <v>232</v>
      </c>
      <c r="Y159" s="3037"/>
      <c r="Z159" s="3037"/>
      <c r="AA159" s="3037"/>
      <c r="AB159" s="3038"/>
      <c r="AC159" s="2977" t="str">
        <f>非誘!AA123</f>
        <v/>
      </c>
      <c r="AD159" s="2978"/>
      <c r="AE159" s="2917" t="s">
        <v>760</v>
      </c>
      <c r="AF159" s="2918"/>
      <c r="AG159" s="2918"/>
      <c r="AH159" s="2918"/>
      <c r="AI159" s="2919"/>
      <c r="AJ159" s="2979" t="str">
        <f>非誘!J124</f>
        <v/>
      </c>
      <c r="AK159" s="2980"/>
      <c r="AL159" s="2981"/>
      <c r="AM159" s="2917" t="s">
        <v>759</v>
      </c>
      <c r="AN159" s="2918"/>
      <c r="AO159" s="2919"/>
      <c r="AP159" s="2920" t="str">
        <f>IF(OR($B$2=0,AS159=""),$BO$14,AS159)</f>
        <v>Ⓖ</v>
      </c>
      <c r="AQ159" s="2920"/>
      <c r="AR159" s="554" t="s">
        <v>103</v>
      </c>
      <c r="AS159" s="2921"/>
      <c r="AT159" s="2922"/>
      <c r="AU159" s="2875" t="s">
        <v>757</v>
      </c>
      <c r="AV159" s="2875"/>
      <c r="AW159" s="2875"/>
      <c r="AX159" s="2875"/>
      <c r="AY159" s="2875"/>
      <c r="AZ159" s="2875"/>
      <c r="BA159" s="2876"/>
      <c r="BB159" s="553">
        <f>IF(BC159="天井ケーブル",1,IF(BC159="天井(PF管)",2,IF(BC159="天井(C管)",3,IF(BC159="天井(G管)",4,IF(BC159="床(CD管)",5,IF(BC159="床(C管)",6,IF(BC159="床(G管)",7,"")))))))</f>
        <v>5</v>
      </c>
      <c r="BC159" s="2961" t="str">
        <f>IF($B$2=0,"",IF(BK159&lt;&gt;"",BK159,IF(I162="直天","天井(C管)","床(CD管)")))</f>
        <v>床(CD管)</v>
      </c>
      <c r="BD159" s="2962"/>
      <c r="BE159" s="2962"/>
      <c r="BF159" s="2962"/>
      <c r="BG159" s="2962"/>
      <c r="BH159" s="2962"/>
      <c r="BI159" s="2963"/>
      <c r="BJ159" s="552" t="s">
        <v>103</v>
      </c>
      <c r="BK159" s="2905"/>
      <c r="BL159" s="2906"/>
      <c r="BM159" s="2906"/>
      <c r="BN159" s="2906"/>
      <c r="BO159" s="2906"/>
      <c r="BP159" s="2907"/>
      <c r="BQ159" s="2982" t="s">
        <v>755</v>
      </c>
      <c r="BR159" s="2983"/>
      <c r="BS159" s="2983"/>
      <c r="BT159" s="2984"/>
      <c r="BU159" s="19"/>
      <c r="BV159" s="8">
        <v>18</v>
      </c>
      <c r="BX159" s="55" t="s">
        <v>229</v>
      </c>
      <c r="BY159" s="55" t="s">
        <v>228</v>
      </c>
      <c r="BZ159" s="534" t="e">
        <f>BY151+BY170+CA160</f>
        <v>#VALUE!</v>
      </c>
      <c r="CA159" s="534" t="e">
        <f>CA160+BY151</f>
        <v>#VALUE!</v>
      </c>
      <c r="CB159" s="38" t="e">
        <f>BY170+CA160</f>
        <v>#VALUE!</v>
      </c>
      <c r="CC159" s="69"/>
      <c r="CD159" s="534"/>
      <c r="CE159" s="534"/>
      <c r="CF159" s="143" t="s">
        <v>754</v>
      </c>
      <c r="CG159" s="143" t="s">
        <v>753</v>
      </c>
      <c r="CH159" s="143" t="s">
        <v>753</v>
      </c>
      <c r="CI159" s="551" t="s">
        <v>752</v>
      </c>
      <c r="CJ159" s="551" t="s">
        <v>752</v>
      </c>
      <c r="CK159" s="550" t="s">
        <v>734</v>
      </c>
      <c r="CL159" s="550" t="s">
        <v>732</v>
      </c>
      <c r="CM159" s="46"/>
      <c r="CO159" s="46" t="str">
        <f>Q163</f>
        <v/>
      </c>
      <c r="CP159" s="520" t="str">
        <f>AK163</f>
        <v/>
      </c>
      <c r="CR159" s="519" t="str">
        <f>IF(CS159="","",IF($J$14="A","多機能内線電話機",""))</f>
        <v/>
      </c>
      <c r="CS159" s="189" t="str">
        <f>BB162</f>
        <v/>
      </c>
      <c r="CU159" s="88">
        <v>18</v>
      </c>
      <c r="CV159" s="204">
        <f t="shared" si="90"/>
        <v>9</v>
      </c>
      <c r="CW159" s="155" t="str">
        <f t="shared" si="89"/>
        <v/>
      </c>
      <c r="CX159" s="45"/>
      <c r="CY159" s="45"/>
      <c r="CZ159" s="45"/>
      <c r="DA159" s="45"/>
      <c r="DB159" s="45"/>
      <c r="DD159" s="88">
        <v>18</v>
      </c>
      <c r="DE159" s="204">
        <f t="shared" si="94"/>
        <v>14</v>
      </c>
      <c r="DF159" s="155" t="str">
        <f t="shared" si="95"/>
        <v/>
      </c>
      <c r="DG159" s="45"/>
      <c r="DH159" s="45"/>
      <c r="DI159" s="45"/>
      <c r="DJ159" s="45"/>
      <c r="DK159" s="45"/>
      <c r="DM159" s="88">
        <v>18</v>
      </c>
      <c r="DN159" s="204">
        <f t="shared" si="96"/>
        <v>4</v>
      </c>
      <c r="DO159" s="155" t="str">
        <f>IF(AND(DN159&lt;&gt;"",DR159&lt;&gt;""),DN159,"")</f>
        <v/>
      </c>
      <c r="DP159" s="45"/>
      <c r="DQ159" s="45"/>
      <c r="DR159" s="45"/>
      <c r="DS159" s="45"/>
      <c r="DT159" s="45"/>
    </row>
    <row r="160" spans="1:124" ht="11.25" customHeight="1" thickBot="1">
      <c r="B160" s="23"/>
      <c r="C160" s="3008" t="s">
        <v>4</v>
      </c>
      <c r="D160" s="3009"/>
      <c r="E160" s="3010"/>
      <c r="F160" s="3014" t="s">
        <v>22</v>
      </c>
      <c r="G160" s="2983"/>
      <c r="H160" s="3015"/>
      <c r="I160" s="2982" t="s">
        <v>132</v>
      </c>
      <c r="J160" s="2983"/>
      <c r="K160" s="3015"/>
      <c r="L160" s="2982" t="s">
        <v>6</v>
      </c>
      <c r="M160" s="2983"/>
      <c r="N160" s="2983"/>
      <c r="O160" s="2984"/>
      <c r="P160" s="3014" t="s">
        <v>7</v>
      </c>
      <c r="Q160" s="2983"/>
      <c r="R160" s="2983"/>
      <c r="S160" s="2984"/>
      <c r="T160" s="3014" t="s">
        <v>8</v>
      </c>
      <c r="U160" s="2983"/>
      <c r="V160" s="2983"/>
      <c r="W160" s="2984"/>
      <c r="X160" s="3014" t="s">
        <v>9</v>
      </c>
      <c r="Y160" s="2983"/>
      <c r="Z160" s="3015"/>
      <c r="AA160" s="2982" t="s">
        <v>9</v>
      </c>
      <c r="AB160" s="2983"/>
      <c r="AC160" s="2984"/>
      <c r="AD160" s="2974" t="s">
        <v>708</v>
      </c>
      <c r="AE160" s="2975"/>
      <c r="AF160" s="2975"/>
      <c r="AG160" s="2975"/>
      <c r="AH160" s="2975"/>
      <c r="AI160" s="2975"/>
      <c r="AJ160" s="2975"/>
      <c r="AK160" s="2975"/>
      <c r="AL160" s="2930" t="e">
        <f>IF(BX164=1,"T-"&amp;LEFT(C162,3)&amp;"-1","T-"&amp;LEFT(C162,3)&amp;"-1～"&amp;BX164)</f>
        <v>#VALUE!</v>
      </c>
      <c r="AM160" s="2930"/>
      <c r="AN160" s="2930"/>
      <c r="AO160" s="2930"/>
      <c r="AP160" s="2930"/>
      <c r="AQ160" s="2932"/>
      <c r="AR160" s="2925" t="s">
        <v>751</v>
      </c>
      <c r="AS160" s="2926"/>
      <c r="AT160" s="2926"/>
      <c r="AU160" s="2926"/>
      <c r="AV160" s="2926"/>
      <c r="AW160" s="2926"/>
      <c r="AX160" s="2926"/>
      <c r="AY160" s="2926"/>
      <c r="AZ160" s="2926"/>
      <c r="BA160" s="2927"/>
      <c r="BB160" s="2886" t="s">
        <v>750</v>
      </c>
      <c r="BC160" s="2887"/>
      <c r="BD160" s="2887"/>
      <c r="BE160" s="2887"/>
      <c r="BF160" s="2887"/>
      <c r="BG160" s="2887"/>
      <c r="BH160" s="2887"/>
      <c r="BI160" s="2887"/>
      <c r="BJ160" s="2888"/>
      <c r="BK160" s="2888"/>
      <c r="BL160" s="2888"/>
      <c r="BM160" s="2888"/>
      <c r="BN160" s="2888"/>
      <c r="BO160" s="2888"/>
      <c r="BP160" s="2889"/>
      <c r="BQ160" s="2939" t="str">
        <f>IF(AND($B$2=1,$J$14="A",C162=$J$15),"設置","")</f>
        <v/>
      </c>
      <c r="BR160" s="2845"/>
      <c r="BS160" s="2845"/>
      <c r="BT160" s="2940"/>
      <c r="BU160" s="19"/>
      <c r="BV160" s="15">
        <v>123</v>
      </c>
      <c r="BX160" s="98">
        <f>非誘!BW125</f>
        <v>0</v>
      </c>
      <c r="BY160" s="98">
        <f>非誘!BX125</f>
        <v>0</v>
      </c>
      <c r="BZ160" s="547" t="e">
        <f>IF(CA160&lt;10,10,IF(CA160&lt;15,15,IF(CA160&lt;20,20,IF(CA160&lt;25,25,IF(CA160&lt;30,30,IF(CA160&lt;50,50,IF(CA160&lt;70,70,IF(CA160&lt;100,100,IF(CA160&lt;150,150,IF(CA160&lt;20,200,200))))))))))</f>
        <v>#VALUE!</v>
      </c>
      <c r="CA160" s="546" t="e">
        <f>SUM(CC163:CC165)</f>
        <v>#VALUE!</v>
      </c>
      <c r="CB160" s="107" t="str">
        <f>IF(BY162&lt;10," 10",IF(BY162&lt;15," 15",IF(BY162&lt;20," 20",IF(BY162&lt;25," 25",IF(BY162&lt;30," 30",IF(BY162&lt;50," 50",IF(BY162&lt;70," 70",IF(BY162&lt;100,"100",IF(BY162&lt;150,"150",IF(BY162&lt;200,"200","200"))))))))))</f>
        <v xml:space="preserve"> 10</v>
      </c>
      <c r="CC160" s="545">
        <f>1+INT(BY162/200)</f>
        <v>1</v>
      </c>
      <c r="CD160" s="534"/>
      <c r="CE160" s="156" t="s">
        <v>749</v>
      </c>
      <c r="CF160" s="189">
        <f>2*INT($AG$9/1000)</f>
        <v>2</v>
      </c>
      <c r="CG160" s="189" t="e">
        <f>CG163+(1+INT($AG$9+$AG$8)/1000)*(1+INT(AR162/10))+CG162</f>
        <v>#VALUE!</v>
      </c>
      <c r="CH160" s="98">
        <f>IF(AW162="",0,AW162*8)</f>
        <v>0</v>
      </c>
      <c r="CI160" s="98" t="e">
        <f>AR162*8</f>
        <v>#VALUE!</v>
      </c>
      <c r="CJ160" s="544">
        <f>IF(AW162="",0,AW162*8)</f>
        <v>0</v>
      </c>
      <c r="CK160" s="223" t="e">
        <f>IF(E164="不","",(CG160+CG161+CI160+CI161)*MAX(P162:W162)/L162)</f>
        <v>#VALUE!</v>
      </c>
      <c r="CL160" s="223" t="e">
        <f>IF(E164="不","",SUM(CG163:CH163)+SUM(CG164:CH164)*MAX(P162:W162)/L162)</f>
        <v>#VALUE!</v>
      </c>
      <c r="CM160" s="527" t="s">
        <v>7</v>
      </c>
      <c r="CN160" s="15"/>
      <c r="CO160" s="46" t="str">
        <f>Q164</f>
        <v/>
      </c>
      <c r="CP160" s="520" t="str">
        <f>AK164</f>
        <v/>
      </c>
      <c r="CR160" s="519" t="str">
        <f>IF(CS160="","",IF($J$14="A","内線電話機"))</f>
        <v/>
      </c>
      <c r="CS160" s="189" t="str">
        <f>BG162</f>
        <v/>
      </c>
      <c r="CU160" s="8"/>
      <c r="CV160" s="197">
        <f t="shared" si="90"/>
        <v>9</v>
      </c>
      <c r="CW160" s="197" t="str">
        <f t="shared" si="89"/>
        <v/>
      </c>
      <c r="CX160" s="543" t="str">
        <f>CO159</f>
        <v/>
      </c>
      <c r="CY160" s="8"/>
      <c r="CZ160" s="249" t="str">
        <f>IF(COUNTIF($CX$17:$CX159,CX160)&gt;0,"",CX160)</f>
        <v/>
      </c>
      <c r="DA160" s="515" t="str">
        <f>CP159</f>
        <v/>
      </c>
      <c r="DB160" s="514">
        <f>SUMIF($CX$20:$CX$182,CZ160,$DA$20:$DA$182)</f>
        <v>0</v>
      </c>
      <c r="DC160" s="8"/>
      <c r="DD160" s="8"/>
      <c r="DE160" s="197">
        <f t="shared" si="94"/>
        <v>14</v>
      </c>
      <c r="DF160" s="197" t="str">
        <f t="shared" si="95"/>
        <v/>
      </c>
      <c r="DG160" s="207" t="str">
        <f>CO163</f>
        <v/>
      </c>
      <c r="DH160" s="8"/>
      <c r="DI160" s="249" t="str">
        <f>IF(COUNTIF(DG$17:$DG159,DG160)&gt;0,"",DG160)</f>
        <v/>
      </c>
      <c r="DJ160" s="515" t="str">
        <f>CP163</f>
        <v/>
      </c>
      <c r="DK160" s="514">
        <f t="shared" ref="DK160:DK166" si="97">SUMIF($DG$20:$DG$182,DI160,$DJ$20:$DJ$182)</f>
        <v>0</v>
      </c>
      <c r="DL160" s="8"/>
      <c r="DM160" s="8"/>
      <c r="DN160" s="197">
        <f>IF(DR160&lt;&gt;"",DN159+1,DN159)</f>
        <v>4</v>
      </c>
      <c r="DO160" s="197" t="str">
        <f t="shared" ref="DO160:DO165" si="98">IF(AND(DN160&lt;&gt;"",DS160&lt;&gt;""),DN160,"")</f>
        <v/>
      </c>
      <c r="DP160" s="10" t="str">
        <f>CR159</f>
        <v/>
      </c>
      <c r="DQ160" s="8"/>
      <c r="DR160" s="249" t="str">
        <f>IF(COUNTIF(DP$18:$DP159,DP160)&gt;0,"",DP160)</f>
        <v/>
      </c>
      <c r="DS160" s="198" t="str">
        <f>CS159</f>
        <v/>
      </c>
      <c r="DT160" s="514">
        <f t="shared" ref="DT160:DT165" si="99">SUMIF($DP$20:$DP$182,DR160,$DS$20:$DS$182)</f>
        <v>0</v>
      </c>
    </row>
    <row r="161" spans="1:124" ht="11.25" customHeight="1" thickBot="1">
      <c r="B161" s="23"/>
      <c r="C161" s="3011"/>
      <c r="D161" s="3012"/>
      <c r="E161" s="3013"/>
      <c r="F161" s="3039" t="s">
        <v>235</v>
      </c>
      <c r="G161" s="3040"/>
      <c r="H161" s="3041"/>
      <c r="I161" s="3039" t="s">
        <v>235</v>
      </c>
      <c r="J161" s="3040"/>
      <c r="K161" s="3041"/>
      <c r="L161" s="3039" t="s">
        <v>748</v>
      </c>
      <c r="M161" s="3040"/>
      <c r="N161" s="3040"/>
      <c r="O161" s="3042"/>
      <c r="P161" s="3043" t="s">
        <v>748</v>
      </c>
      <c r="Q161" s="3040"/>
      <c r="R161" s="3040"/>
      <c r="S161" s="3042"/>
      <c r="T161" s="3043" t="s">
        <v>748</v>
      </c>
      <c r="U161" s="3040"/>
      <c r="V161" s="3040"/>
      <c r="W161" s="3044"/>
      <c r="X161" s="3045" t="s">
        <v>111</v>
      </c>
      <c r="Y161" s="3046"/>
      <c r="Z161" s="3047"/>
      <c r="AA161" s="3001" t="s">
        <v>110</v>
      </c>
      <c r="AB161" s="3002"/>
      <c r="AC161" s="3003"/>
      <c r="AD161" s="3004" t="s">
        <v>695</v>
      </c>
      <c r="AE161" s="3005"/>
      <c r="AF161" s="3005"/>
      <c r="AG161" s="3006" t="s">
        <v>699</v>
      </c>
      <c r="AH161" s="3005"/>
      <c r="AI161" s="3007"/>
      <c r="AJ161" s="2928" t="s">
        <v>747</v>
      </c>
      <c r="AK161" s="2918"/>
      <c r="AL161" s="2918"/>
      <c r="AM161" s="2928" t="s">
        <v>746</v>
      </c>
      <c r="AN161" s="2918"/>
      <c r="AO161" s="2929"/>
      <c r="AP161" s="2956" t="s">
        <v>745</v>
      </c>
      <c r="AQ161" s="2957"/>
      <c r="AR161" s="2917" t="s">
        <v>744</v>
      </c>
      <c r="AS161" s="2918"/>
      <c r="AT161" s="2958" t="s">
        <v>3</v>
      </c>
      <c r="AU161" s="2959"/>
      <c r="AV161" s="2959"/>
      <c r="AW161" s="2959" t="s">
        <v>743</v>
      </c>
      <c r="AX161" s="2960"/>
      <c r="AY161" s="2928" t="s">
        <v>3</v>
      </c>
      <c r="AZ161" s="2918"/>
      <c r="BA161" s="2919"/>
      <c r="BB161" s="542" t="str">
        <f>IF(CA163="","","●")</f>
        <v/>
      </c>
      <c r="BC161" s="2930" t="s">
        <v>742</v>
      </c>
      <c r="BD161" s="2930"/>
      <c r="BE161" s="2930"/>
      <c r="BF161" s="2931"/>
      <c r="BG161" s="542" t="str">
        <f>IF(CA164="","","●")</f>
        <v>●</v>
      </c>
      <c r="BH161" s="2930" t="s">
        <v>741</v>
      </c>
      <c r="BI161" s="2930"/>
      <c r="BJ161" s="2930"/>
      <c r="BK161" s="2931"/>
      <c r="BL161" s="542" t="str">
        <f>IF(CA165="","","●")</f>
        <v/>
      </c>
      <c r="BM161" s="2930" t="s">
        <v>764</v>
      </c>
      <c r="BN161" s="2930"/>
      <c r="BO161" s="2930"/>
      <c r="BP161" s="2932"/>
      <c r="BQ161" s="2974" t="s">
        <v>740</v>
      </c>
      <c r="BR161" s="2975"/>
      <c r="BS161" s="2975"/>
      <c r="BT161" s="2976"/>
      <c r="BU161" s="19"/>
      <c r="BX161" s="97" t="str">
        <f>IF(LEFT(C162,2)=" B",-MID(C162,3,1),IF(C162="  RF","",LEFT(C162,3)))</f>
        <v/>
      </c>
      <c r="BY161" s="541" t="str">
        <f>IF(OR(C162="",C162="  RF"),"",IF(LEFT(C162,1)="P","+",IF($BW$14&gt;BX161,"-",IF($BW$14=BX161,"=","+"))))</f>
        <v/>
      </c>
      <c r="BZ161" s="2985" t="str">
        <f>"FCPEV 0.65-"&amp;CB160&amp;"Pr"</f>
        <v>FCPEV 0.65- 10Pr</v>
      </c>
      <c r="CA161" s="2986"/>
      <c r="CB161" s="2986"/>
      <c r="CC161" s="2986"/>
      <c r="CD161" s="62"/>
      <c r="CE161" s="156" t="s">
        <v>763</v>
      </c>
      <c r="CF161" s="540" t="str">
        <f>F162</f>
        <v/>
      </c>
      <c r="CG161" s="540" t="e">
        <f>CG164+(1+INT(AR162/10))*($AG$9+$AG$8)/1000</f>
        <v>#VALUE!</v>
      </c>
      <c r="CH161" s="539"/>
      <c r="CI161" s="189" t="e">
        <f>CH164</f>
        <v>#VALUE!</v>
      </c>
      <c r="CJ161" s="260"/>
      <c r="CK161" s="528" t="e">
        <f>IF(E165="不","",(CG160+CG161+CI160+CI161)*T162/L162)</f>
        <v>#VALUE!</v>
      </c>
      <c r="CL161" s="528" t="e">
        <f>IF(E165="不","",SUM(CG163:CH163)+SUM(CG164:CH164)*T162/L162)</f>
        <v>#VALUE!</v>
      </c>
      <c r="CM161" s="527" t="s">
        <v>8</v>
      </c>
      <c r="CN161" s="15"/>
      <c r="CO161" s="46" t="str">
        <f>Q165</f>
        <v/>
      </c>
      <c r="CP161" s="520" t="str">
        <f>AK165</f>
        <v/>
      </c>
      <c r="CR161" s="519" t="str">
        <f>IF(CS161="","",IF($J$14="A","PHSアンテナ"))</f>
        <v/>
      </c>
      <c r="CS161" s="189" t="str">
        <f>BL162</f>
        <v/>
      </c>
      <c r="CU161" s="8"/>
      <c r="CV161" s="197">
        <f t="shared" si="90"/>
        <v>9</v>
      </c>
      <c r="CW161" s="197" t="str">
        <f t="shared" si="89"/>
        <v/>
      </c>
      <c r="CX161" s="10" t="str">
        <f>CO160</f>
        <v/>
      </c>
      <c r="CY161" s="8"/>
      <c r="CZ161" s="249" t="str">
        <f>IF(COUNTIF($CZ$10:$CZ160,CX161)&gt;0,"",CX161)</f>
        <v/>
      </c>
      <c r="DA161" s="515" t="str">
        <f>CP160</f>
        <v/>
      </c>
      <c r="DB161" s="514">
        <f>SUMIF($CX$20:$CX$182,CZ161,$DA$20:$DA$182)</f>
        <v>0</v>
      </c>
      <c r="DC161" s="8"/>
      <c r="DD161" s="8"/>
      <c r="DE161" s="197">
        <f t="shared" si="94"/>
        <v>14</v>
      </c>
      <c r="DF161" s="197" t="str">
        <f t="shared" si="95"/>
        <v/>
      </c>
      <c r="DG161" s="207" t="str">
        <f>CO164</f>
        <v/>
      </c>
      <c r="DH161" s="8"/>
      <c r="DI161" s="249" t="str">
        <f>IF(COUNTIF(DG$18:$DG160,DG161)&gt;0,"",DG161)</f>
        <v/>
      </c>
      <c r="DJ161" s="515" t="str">
        <f>CP164</f>
        <v/>
      </c>
      <c r="DK161" s="514">
        <f t="shared" si="97"/>
        <v>0</v>
      </c>
      <c r="DL161" s="8"/>
      <c r="DM161" s="8"/>
      <c r="DN161" s="197">
        <f>IF(DR161&lt;&gt;"",DN160+1,DN160)</f>
        <v>4</v>
      </c>
      <c r="DO161" s="197" t="str">
        <f t="shared" si="98"/>
        <v/>
      </c>
      <c r="DP161" s="207" t="str">
        <f>CR160</f>
        <v/>
      </c>
      <c r="DQ161" s="8"/>
      <c r="DR161" s="249" t="str">
        <f>IF(COUNTIF(DP$18:$DP160,DP161)&gt;0,"",DP161)</f>
        <v/>
      </c>
      <c r="DS161" s="198" t="str">
        <f>CS160</f>
        <v/>
      </c>
      <c r="DT161" s="514">
        <f t="shared" si="99"/>
        <v>0</v>
      </c>
    </row>
    <row r="162" spans="1:124" ht="11.25" customHeight="1" thickBot="1">
      <c r="B162" s="23"/>
      <c r="C162" s="2987" t="str">
        <f>IF($B$2=0,"",非誘!C125)</f>
        <v/>
      </c>
      <c r="D162" s="2988"/>
      <c r="E162" s="2988"/>
      <c r="F162" s="2989" t="str">
        <f>IF($B$2=0,"",非誘!F125)</f>
        <v/>
      </c>
      <c r="G162" s="2989"/>
      <c r="H162" s="2989"/>
      <c r="I162" s="2989" t="str">
        <f>IF($B$2=0,"",非誘!J125)</f>
        <v/>
      </c>
      <c r="J162" s="2989"/>
      <c r="K162" s="2989"/>
      <c r="L162" s="2990" t="str">
        <f>IF($B$2=0,"",非誘!N125)</f>
        <v/>
      </c>
      <c r="M162" s="2990"/>
      <c r="N162" s="2990"/>
      <c r="O162" s="2990"/>
      <c r="P162" s="2991" t="str">
        <f>IF($B$2=0,"",非誘!S125)</f>
        <v/>
      </c>
      <c r="Q162" s="2991"/>
      <c r="R162" s="2991"/>
      <c r="S162" s="2991"/>
      <c r="T162" s="2991" t="str">
        <f>IF($B$2=0,"",非誘!W125)</f>
        <v/>
      </c>
      <c r="U162" s="2992"/>
      <c r="V162" s="2992"/>
      <c r="W162" s="2992"/>
      <c r="X162" s="2993" t="str">
        <f>IF($B$2=0,"",非誘!AA125)</f>
        <v/>
      </c>
      <c r="Y162" s="2993"/>
      <c r="Z162" s="2993"/>
      <c r="AA162" s="2993" t="str">
        <f>IF($B$2=0,"",非誘!AD125)</f>
        <v/>
      </c>
      <c r="AB162" s="2993"/>
      <c r="AC162" s="2994"/>
      <c r="AD162" s="2966" t="str">
        <f>IF(C162="","",CB160*CC160)</f>
        <v/>
      </c>
      <c r="AE162" s="2967"/>
      <c r="AF162" s="2968"/>
      <c r="AG162" s="2969" t="str">
        <f>IF(C162="","",放送!CB156)</f>
        <v/>
      </c>
      <c r="AH162" s="2967"/>
      <c r="AI162" s="2968"/>
      <c r="AJ162" s="2970" t="str">
        <f>IF(C162="","",IF(TV!BL23="設置","Space","---"))</f>
        <v/>
      </c>
      <c r="AK162" s="2971"/>
      <c r="AL162" s="2971"/>
      <c r="AM162" s="2969"/>
      <c r="AN162" s="2967"/>
      <c r="AO162" s="2968"/>
      <c r="AP162" s="2972"/>
      <c r="AQ162" s="2973"/>
      <c r="AR162" s="2923" t="str">
        <f>IF(C162="","",IF(AZ162="",CB164,AZ162))</f>
        <v/>
      </c>
      <c r="AS162" s="2924"/>
      <c r="AT162" s="538" t="s">
        <v>106</v>
      </c>
      <c r="AU162" s="2946"/>
      <c r="AV162" s="2947"/>
      <c r="AW162" s="2923" t="str">
        <f>IF(C162="","",IF(CA163="",0,IF(AZ162="",CB163,AZ162)))</f>
        <v/>
      </c>
      <c r="AX162" s="2924"/>
      <c r="AY162" s="538" t="s">
        <v>106</v>
      </c>
      <c r="AZ162" s="2999"/>
      <c r="BA162" s="3000"/>
      <c r="BB162" s="2951" t="str">
        <f>IF(OR($J$14&lt;&gt;"A",CA163=""),"",IF(BE162&lt;&gt;"",BE162,CB163))</f>
        <v/>
      </c>
      <c r="BC162" s="2952"/>
      <c r="BD162" s="537" t="s">
        <v>106</v>
      </c>
      <c r="BE162" s="2938"/>
      <c r="BF162" s="2938"/>
      <c r="BG162" s="2951" t="str">
        <f>IF(C162="","",IF(OR($J$14&lt;&gt;"A",CA164=""),"",IF(BJ162&lt;&gt;"",BE162,CB164)))</f>
        <v/>
      </c>
      <c r="BH162" s="2952"/>
      <c r="BI162" s="537" t="s">
        <v>106</v>
      </c>
      <c r="BJ162" s="2938"/>
      <c r="BK162" s="2938"/>
      <c r="BL162" s="2951" t="str">
        <f>IF(OR($J$14&lt;&gt;"A",CA165=""),"",IF(BO162&lt;&gt;"",BO162,CB165))</f>
        <v/>
      </c>
      <c r="BM162" s="2952"/>
      <c r="BN162" s="537" t="s">
        <v>106</v>
      </c>
      <c r="BO162" s="2964"/>
      <c r="BP162" s="2965"/>
      <c r="BQ162" s="2939" t="str">
        <f>IF(BQ160="設置","Ｅt","")</f>
        <v/>
      </c>
      <c r="BR162" s="2845"/>
      <c r="BS162" s="2845"/>
      <c r="BT162" s="2940"/>
      <c r="BU162" s="19"/>
      <c r="BW162" s="89" t="str">
        <f>AP159</f>
        <v>Ⓖ</v>
      </c>
      <c r="BX162" s="263" t="str">
        <f>IF(C162="","",IF(BW162="Ⓐ",BX160+BY160+3,IF(BW162="Ⓑ",BX160*5/8+BY160+3,IF(BW162="Ⓒ",BX160/2+BY160+3,IF(BW162="Ⓓ",BX160+BY160*5/8+3,IF(BW162="Ⓔ",(BX160+BY160)*5/8+3,IF(BW162="Ⓕ",BX160/2+BY160*5/8+3,IF(BW162="Ⓖ",BX160+BY160/2+3,IF(BW162="Ⓗ",BX160*5/8+BY160/2+3,IF(BW162="Ⓘ",(BX160+BY160)/2+3))))))))))</f>
        <v/>
      </c>
      <c r="BY162" s="86">
        <f>IF(C162="",0,IF(BY161="=",BZ159,IF(BY161="-",CA159,CB159)))</f>
        <v>0</v>
      </c>
      <c r="BZ162" s="156"/>
      <c r="CA162" s="536" t="e">
        <f>IF(CA160&lt;=30,"25",IF(CA160&lt;=50,"31",IF(CA160&lt;=100,"39",IF(CA160&lt;=200,"51",""))))</f>
        <v>#VALUE!</v>
      </c>
      <c r="CB162" s="535" t="e">
        <f>IF(CA160&lt;=30,"22",IF(CA160&lt;=50,"28",IF(CA160&lt;=100,"36",IF(CA160&lt;=200,"42",""))))</f>
        <v>#VALUE!</v>
      </c>
      <c r="CC162" s="122"/>
      <c r="CD162" s="534"/>
      <c r="CE162" s="156" t="s">
        <v>738</v>
      </c>
      <c r="CF162" s="533"/>
      <c r="CG162" s="189" t="e">
        <f>IF($B$2="","",IF($AQ$8=0,0,0.02*($AQ$8/1000-0.15-0.1)*(INT(1000*BX160/$AQ$9)+1)*(INT(1000*BY160/$AQ$9)+1)*4*(AR162+AW162)))</f>
        <v>#VALUE!</v>
      </c>
      <c r="CH162" s="532"/>
      <c r="CI162" s="531"/>
      <c r="CJ162" s="15"/>
      <c r="CK162" s="528" t="e">
        <f>IF(E164="不","",SUM(CH160+CJ160)*MAX(P162:W162)/L162)</f>
        <v>#VALUE!</v>
      </c>
      <c r="CL162" s="528" t="e">
        <f>IF(E164="不","",CJ163)</f>
        <v>#VALUE!</v>
      </c>
      <c r="CM162" s="527" t="s">
        <v>7</v>
      </c>
      <c r="CN162" s="15"/>
      <c r="CO162" s="252" t="str">
        <f>IF(CP162="","","導入線 1.2mmφ")</f>
        <v>導入線 1.2mmφ</v>
      </c>
      <c r="CP162" s="184">
        <f>1.1*INT(SUM(CP163:CP165))</f>
        <v>0</v>
      </c>
      <c r="CR162" s="519" t="str">
        <f>IF(CS162="","",IF($J$14="A","PHS電話機"))</f>
        <v/>
      </c>
      <c r="CS162" s="189" t="str">
        <f>IF(CS161="","",INT(CS161*1.5))</f>
        <v/>
      </c>
      <c r="CU162" s="8"/>
      <c r="CV162" s="197">
        <f t="shared" si="90"/>
        <v>9</v>
      </c>
      <c r="CW162" s="197" t="str">
        <f t="shared" si="89"/>
        <v/>
      </c>
      <c r="CX162" s="10" t="str">
        <f>CO161</f>
        <v/>
      </c>
      <c r="CY162" s="8"/>
      <c r="CZ162" s="249" t="str">
        <f>IF(COUNTIF($CZ$10:$CZ161,CX162)&gt;0,"",CX162)</f>
        <v/>
      </c>
      <c r="DA162" s="515" t="str">
        <f>CP161</f>
        <v/>
      </c>
      <c r="DB162" s="514">
        <f>SUMIF($CX$20:$CX$182,CZ162,$DA$20:$DA$182)</f>
        <v>0</v>
      </c>
      <c r="DC162" s="8"/>
      <c r="DD162" s="8"/>
      <c r="DE162" s="197">
        <f t="shared" si="94"/>
        <v>14</v>
      </c>
      <c r="DF162" s="197" t="str">
        <f t="shared" si="95"/>
        <v/>
      </c>
      <c r="DG162" s="207" t="str">
        <f>CO165</f>
        <v/>
      </c>
      <c r="DH162" s="8"/>
      <c r="DI162" s="249" t="str">
        <f>IF(COUNTIF(DG$18:$DG161,DG162)&gt;0,"",DG162)</f>
        <v/>
      </c>
      <c r="DJ162" s="515" t="str">
        <f>CP165</f>
        <v/>
      </c>
      <c r="DK162" s="514">
        <f t="shared" si="97"/>
        <v>0</v>
      </c>
      <c r="DL162" s="8"/>
      <c r="DM162" s="8"/>
      <c r="DN162" s="197">
        <f>IF(DR162&lt;&gt;"",DN161+1,DN161)</f>
        <v>4</v>
      </c>
      <c r="DO162" s="197" t="str">
        <f t="shared" si="98"/>
        <v/>
      </c>
      <c r="DP162" s="10" t="str">
        <f>CR161</f>
        <v/>
      </c>
      <c r="DQ162" s="8"/>
      <c r="DR162" s="249" t="str">
        <f>IF(COUNTIF(DP$18:$DP161,DP162)&gt;0,"",DP162)</f>
        <v/>
      </c>
      <c r="DS162" s="198" t="str">
        <f>CS161</f>
        <v/>
      </c>
      <c r="DT162" s="514">
        <f t="shared" si="99"/>
        <v>0</v>
      </c>
    </row>
    <row r="163" spans="1:124" ht="11.25" customHeight="1" thickBot="1">
      <c r="B163" s="23"/>
      <c r="C163" s="3048" t="s">
        <v>737</v>
      </c>
      <c r="D163" s="3049"/>
      <c r="E163" s="3049"/>
      <c r="F163" s="3049"/>
      <c r="G163" s="3049"/>
      <c r="H163" s="3049"/>
      <c r="I163" s="3049"/>
      <c r="J163" s="3050" t="s">
        <v>736</v>
      </c>
      <c r="K163" s="3051"/>
      <c r="L163" s="3051"/>
      <c r="M163" s="3051"/>
      <c r="N163" s="3052" t="s">
        <v>735</v>
      </c>
      <c r="O163" s="2891"/>
      <c r="P163" s="2892"/>
      <c r="Q163" s="3057" t="str">
        <f>IF(OR(C162="",$J$14="C"),"",IF(Z163="",BZ161,Z163))</f>
        <v/>
      </c>
      <c r="R163" s="3057"/>
      <c r="S163" s="3057"/>
      <c r="T163" s="3057"/>
      <c r="U163" s="3057"/>
      <c r="V163" s="3057"/>
      <c r="W163" s="3057"/>
      <c r="X163" s="3057"/>
      <c r="Y163" s="524" t="s">
        <v>106</v>
      </c>
      <c r="Z163" s="2902"/>
      <c r="AA163" s="2903"/>
      <c r="AB163" s="2903"/>
      <c r="AC163" s="2903"/>
      <c r="AD163" s="2903"/>
      <c r="AE163" s="2903"/>
      <c r="AF163" s="2903"/>
      <c r="AG163" s="2904"/>
      <c r="AH163" s="2877" t="s">
        <v>734</v>
      </c>
      <c r="AI163" s="2878"/>
      <c r="AJ163" s="2879"/>
      <c r="AK163" s="3058" t="str">
        <f>IF(C162="","",IF(AP163&lt;&gt;"",AP163,IF($J$14="C","",SUM(CF160:CF161)*CC160)))</f>
        <v/>
      </c>
      <c r="AL163" s="3058"/>
      <c r="AM163" s="3058"/>
      <c r="AN163" s="3058"/>
      <c r="AO163" s="524" t="s">
        <v>106</v>
      </c>
      <c r="AP163" s="2911"/>
      <c r="AQ163" s="2912"/>
      <c r="AR163" s="2912"/>
      <c r="AS163" s="2913"/>
      <c r="AT163" s="2890" t="s">
        <v>733</v>
      </c>
      <c r="AU163" s="2891"/>
      <c r="AV163" s="2892"/>
      <c r="AW163" s="2899" t="str">
        <f>IF(C162="","",IF(BE163&lt;&gt;"",BE163,IF(BB159=2,"PF-"&amp;CB162&amp;"mm",IF(OR(BB159=3,BB159=6),"C-"&amp;CA162&amp;"mm",IF(OR(BB159=4,BB159=7),"G-"&amp;CB162&amp;"mm",IF(OR(BB159=1,BB159=5),"CD-"&amp;CB162&amp;"mm",""))))))</f>
        <v/>
      </c>
      <c r="AX163" s="2900"/>
      <c r="AY163" s="2900"/>
      <c r="AZ163" s="2900"/>
      <c r="BA163" s="2900"/>
      <c r="BB163" s="2900"/>
      <c r="BC163" s="2901"/>
      <c r="BD163" s="524" t="s">
        <v>106</v>
      </c>
      <c r="BE163" s="2902"/>
      <c r="BF163" s="2903"/>
      <c r="BG163" s="2903"/>
      <c r="BH163" s="2903"/>
      <c r="BI163" s="2903"/>
      <c r="BJ163" s="2904"/>
      <c r="BK163" s="2877" t="s">
        <v>732</v>
      </c>
      <c r="BL163" s="2878"/>
      <c r="BM163" s="2879"/>
      <c r="BN163" s="2914" t="str">
        <f>IF(C162="","",IF(BR163="",CF164*CC160,BR163))</f>
        <v/>
      </c>
      <c r="BO163" s="2915"/>
      <c r="BP163" s="2916"/>
      <c r="BQ163" s="524" t="s">
        <v>106</v>
      </c>
      <c r="BR163" s="3202"/>
      <c r="BS163" s="3203"/>
      <c r="BT163" s="3204"/>
      <c r="BU163" s="19"/>
      <c r="BX163" s="530"/>
      <c r="BY163" s="46"/>
      <c r="BZ163" s="106" t="s">
        <v>731</v>
      </c>
      <c r="CA163" s="529" t="str">
        <f>IF(P162="","",IF(OR(I159="(1) ロ",I159="( 4 )",I159="(5) イ",I159="(6) イ",I159="(6) ロ",I159="(6) ハ",I159="( 7 )",I159="( 8 )",I159="( 15)"),"1",""))</f>
        <v/>
      </c>
      <c r="CB163" s="151">
        <f>IF(P162="",0,INT(P162/20))</f>
        <v>0</v>
      </c>
      <c r="CC163" s="122">
        <f>IF(CA163="",0,CB163)</f>
        <v>0</v>
      </c>
      <c r="CD163" s="6"/>
      <c r="CE163" s="156" t="s">
        <v>730</v>
      </c>
      <c r="CF163" s="189"/>
      <c r="CG163" s="189" t="e">
        <f>BX162*(1+INT(AR162/10))+CG165</f>
        <v>#VALUE!</v>
      </c>
      <c r="CH163" s="189">
        <f>IF(AW162="",0,BX162*(1+INT(AW162/10)))</f>
        <v>0</v>
      </c>
      <c r="CI163" s="82" t="s">
        <v>729</v>
      </c>
      <c r="CJ163" s="98" t="e">
        <f>7.32*(AW162-2*SQRT(AW162))</f>
        <v>#VALUE!</v>
      </c>
      <c r="CK163" s="528" t="e">
        <f>IF(E165="不","",SUM(CH160+CJ160)*T162/L162)</f>
        <v>#VALUE!</v>
      </c>
      <c r="CL163" s="528" t="e">
        <f>CJ163</f>
        <v>#VALUE!</v>
      </c>
      <c r="CM163" s="527" t="s">
        <v>8</v>
      </c>
      <c r="CN163" s="69"/>
      <c r="CO163" s="252" t="str">
        <f>AW163</f>
        <v/>
      </c>
      <c r="CP163" s="520" t="str">
        <f>BN163</f>
        <v/>
      </c>
      <c r="CR163" s="519" t="str">
        <f>IF(CS163=0,"","C-OBox4角中深")</f>
        <v/>
      </c>
      <c r="CS163" s="189">
        <f>IF($J$14="A",SUM(CS160:CS161),AR162)</f>
        <v>0</v>
      </c>
      <c r="CU163" s="8"/>
      <c r="CV163" s="197">
        <f t="shared" si="90"/>
        <v>9</v>
      </c>
      <c r="CW163" s="197" t="str">
        <f t="shared" si="89"/>
        <v/>
      </c>
      <c r="CX163" s="207" t="str">
        <f>IF(BQ162="","","IV-14sq")</f>
        <v/>
      </c>
      <c r="CY163" s="8"/>
      <c r="CZ163" s="249" t="str">
        <f>IF(COUNTIF($CZ$10:$CZ162,CX163)&gt;0,"",CX163)</f>
        <v/>
      </c>
      <c r="DA163" s="515" t="str">
        <f>IF(BQ162="","",BX162+BY160+15)</f>
        <v/>
      </c>
      <c r="DB163" s="514">
        <f>SUMIF($CX$20:$CX$182,CZ163,$DA$20:$DA$182)</f>
        <v>0</v>
      </c>
      <c r="DD163" s="8"/>
      <c r="DE163" s="197">
        <f>IF(DJ163&lt;&gt;"",DE162+1,DE162)</f>
        <v>14</v>
      </c>
      <c r="DF163" s="197" t="str">
        <f>IF(AND(DE163&lt;&gt;"",DJ163&lt;&gt;""),DE163,"")</f>
        <v/>
      </c>
      <c r="DG163" s="207"/>
      <c r="DH163" s="8"/>
      <c r="DI163" s="249"/>
      <c r="DJ163" s="515"/>
      <c r="DK163" s="514">
        <f t="shared" si="97"/>
        <v>0</v>
      </c>
      <c r="DM163" s="8"/>
      <c r="DN163" s="197">
        <f>IF(DR163&lt;&gt;"",DN162+1,DN162)</f>
        <v>4</v>
      </c>
      <c r="DO163" s="197" t="str">
        <f t="shared" si="98"/>
        <v/>
      </c>
      <c r="DP163" s="10" t="str">
        <f>CR162</f>
        <v/>
      </c>
      <c r="DQ163" s="8"/>
      <c r="DR163" s="249" t="str">
        <f>IF(COUNTIF(DP$18:$DP162,DP163)&gt;0,"",DP163)</f>
        <v/>
      </c>
      <c r="DS163" s="198" t="str">
        <f>CS162</f>
        <v/>
      </c>
      <c r="DT163" s="514">
        <f t="shared" si="99"/>
        <v>0</v>
      </c>
    </row>
    <row r="164" spans="1:124" ht="11.25" customHeight="1">
      <c r="B164" s="23"/>
      <c r="C164" s="3205" t="s">
        <v>728</v>
      </c>
      <c r="D164" s="3205"/>
      <c r="E164" s="3016" t="str">
        <f>IF($D$9="不要","不",IF(H164="","要",H164))</f>
        <v>要</v>
      </c>
      <c r="F164" s="3016"/>
      <c r="G164" s="523" t="s">
        <v>724</v>
      </c>
      <c r="H164" s="3017"/>
      <c r="I164" s="3018"/>
      <c r="J164" s="3019" t="s">
        <v>727</v>
      </c>
      <c r="K164" s="3020"/>
      <c r="L164" s="3020"/>
      <c r="M164" s="3021"/>
      <c r="N164" s="3053"/>
      <c r="O164" s="2894"/>
      <c r="P164" s="2895"/>
      <c r="Q164" s="3025" t="str">
        <f>IF(OR(C162="",$J$14="C"),"",IF(Z164&lt;&gt;"",Z164,"電子釦 0.4- 4Pr"))</f>
        <v/>
      </c>
      <c r="R164" s="2933"/>
      <c r="S164" s="2933"/>
      <c r="T164" s="2933"/>
      <c r="U164" s="2933"/>
      <c r="V164" s="2933"/>
      <c r="W164" s="2933"/>
      <c r="X164" s="2934"/>
      <c r="Y164" s="526" t="s">
        <v>724</v>
      </c>
      <c r="Z164" s="3026"/>
      <c r="AA164" s="3027"/>
      <c r="AB164" s="3027"/>
      <c r="AC164" s="3027"/>
      <c r="AD164" s="3027"/>
      <c r="AE164" s="3027"/>
      <c r="AF164" s="3027"/>
      <c r="AG164" s="3028"/>
      <c r="AH164" s="2880" t="s">
        <v>725</v>
      </c>
      <c r="AI164" s="2881"/>
      <c r="AJ164" s="2882"/>
      <c r="AK164" s="2995" t="str">
        <f>IF(C162="","",IF(AP164&lt;&gt;"",AP164,IF($J$14="C","",SUM(CK160:CK161))))</f>
        <v/>
      </c>
      <c r="AL164" s="2995"/>
      <c r="AM164" s="2995"/>
      <c r="AN164" s="2995"/>
      <c r="AO164" s="526" t="s">
        <v>724</v>
      </c>
      <c r="AP164" s="2996"/>
      <c r="AQ164" s="2997"/>
      <c r="AR164" s="2997"/>
      <c r="AS164" s="2998"/>
      <c r="AT164" s="2893"/>
      <c r="AU164" s="2894"/>
      <c r="AV164" s="2895"/>
      <c r="AW164" s="2933" t="str">
        <f>IF(C162="","",IF(BE164&lt;&gt;"",BE164,IF(BB159=2,"PF-22mm",IF(OR(BB159=3,BB159=6),"C-25mm",IF(OR(BB159=4,BB159=7),"G-22mm",IF(OR(BB159=1,BB159=5),"CD-22mm",""))))))</f>
        <v/>
      </c>
      <c r="AX164" s="2933"/>
      <c r="AY164" s="2933"/>
      <c r="AZ164" s="2933"/>
      <c r="BA164" s="2933"/>
      <c r="BB164" s="2933"/>
      <c r="BC164" s="2934"/>
      <c r="BD164" s="526" t="s">
        <v>724</v>
      </c>
      <c r="BE164" s="2935"/>
      <c r="BF164" s="2936"/>
      <c r="BG164" s="2936"/>
      <c r="BH164" s="2936"/>
      <c r="BI164" s="2936"/>
      <c r="BJ164" s="2937"/>
      <c r="BK164" s="2880" t="s">
        <v>725</v>
      </c>
      <c r="BL164" s="2881"/>
      <c r="BM164" s="2882"/>
      <c r="BN164" s="2948" t="str">
        <f>IF(C162="","",IF(BR164="",SUM(CL160:CL161),BR164))</f>
        <v/>
      </c>
      <c r="BO164" s="2949"/>
      <c r="BP164" s="2950"/>
      <c r="BQ164" s="525" t="s">
        <v>724</v>
      </c>
      <c r="BR164" s="3029"/>
      <c r="BS164" s="3030"/>
      <c r="BT164" s="3031"/>
      <c r="BU164" s="19"/>
      <c r="BX164" s="49" t="e">
        <f>1+INT(L162/600)</f>
        <v>#VALUE!</v>
      </c>
      <c r="BY164" s="46"/>
      <c r="BZ164" s="106" t="s">
        <v>723</v>
      </c>
      <c r="CA164" s="522" t="str">
        <f>"1"</f>
        <v>1</v>
      </c>
      <c r="CB164" s="151" t="e">
        <f>IF(CA163="",INT(T162/40)+CB163,INT(T162/40))</f>
        <v>#VALUE!</v>
      </c>
      <c r="CC164" s="122" t="e">
        <f>IF(CB164="",0,CB164)</f>
        <v>#VALUE!</v>
      </c>
      <c r="CD164" s="6"/>
      <c r="CE164" s="156" t="s">
        <v>722</v>
      </c>
      <c r="CF164" s="189" t="str">
        <f>F162</f>
        <v/>
      </c>
      <c r="CG164" s="189" t="e">
        <f>IF(BB159&lt;=4,(2*F162-(R151+R153)/1000)*AR162,((R152+R153)/1000)*AR162)</f>
        <v>#VALUE!</v>
      </c>
      <c r="CH164" s="189" t="e">
        <f>2*(R153/1000)*AR162</f>
        <v>#VALUE!</v>
      </c>
      <c r="CI164" s="82" t="s">
        <v>721</v>
      </c>
      <c r="CJ164" s="86" t="str">
        <f>AW162</f>
        <v/>
      </c>
      <c r="CK164" s="38"/>
      <c r="CL164" s="38"/>
      <c r="CM164" s="38"/>
      <c r="CN164" s="38"/>
      <c r="CO164" s="252" t="str">
        <f>AW164</f>
        <v/>
      </c>
      <c r="CP164" s="520" t="str">
        <f>BN164</f>
        <v/>
      </c>
      <c r="CR164" s="519" t="str">
        <f>IF(CS164="","",IF(LEFT(AW165,1)="フ","ジャンクションボックス 2Duct","C-OBox4角大深"))</f>
        <v/>
      </c>
      <c r="CS164" s="189" t="str">
        <f>IF(AW162=0,"",AW162)</f>
        <v/>
      </c>
      <c r="CU164" s="8"/>
      <c r="CV164" s="197">
        <f t="shared" si="90"/>
        <v>9</v>
      </c>
      <c r="CW164" s="197" t="str">
        <f t="shared" si="89"/>
        <v/>
      </c>
      <c r="CX164" s="207" t="str">
        <f>IF(BQ162="","","VE-22mm")</f>
        <v/>
      </c>
      <c r="CY164" s="8"/>
      <c r="CZ164" s="249" t="str">
        <f>IF(COUNTIF($CZ$10:$CZ163,CX164)&gt;0,"",CX164)</f>
        <v/>
      </c>
      <c r="DA164" s="515" t="str">
        <f>IF(BQ162="","",DA163-10)</f>
        <v/>
      </c>
      <c r="DB164" s="514">
        <f>SUMIF($CX$20:$CX$182,CZ164,$DA$20:$DA$182)</f>
        <v>0</v>
      </c>
      <c r="DD164" s="8"/>
      <c r="DE164" s="197">
        <f t="shared" ref="DE164:DE170" si="100">IF(DI164&lt;&gt;"",DE163+1,DE163)</f>
        <v>14</v>
      </c>
      <c r="DF164" s="197" t="str">
        <f t="shared" ref="DF164:DF170" si="101">IF(AND(DE164&lt;&gt;"",DI164&lt;&gt;""),DE164,"")</f>
        <v/>
      </c>
      <c r="DG164" s="207" t="str">
        <f>CR163</f>
        <v/>
      </c>
      <c r="DH164" s="8"/>
      <c r="DI164" s="249" t="str">
        <f>IF(COUNTIF(DG$18:$DG163,DG164)&gt;0,"",DG164)</f>
        <v/>
      </c>
      <c r="DJ164" s="515">
        <f>CS163</f>
        <v>0</v>
      </c>
      <c r="DK164" s="514">
        <f t="shared" si="97"/>
        <v>0</v>
      </c>
      <c r="DM164" s="8"/>
      <c r="DN164" s="197">
        <f>IF(DS164&lt;&gt;"",DN163+1,DN163)</f>
        <v>4</v>
      </c>
      <c r="DO164" s="197" t="str">
        <f t="shared" si="98"/>
        <v/>
      </c>
      <c r="DP164" s="10" t="str">
        <f>IF(BQ160="","","電話交換機")</f>
        <v/>
      </c>
      <c r="DQ164" s="8"/>
      <c r="DR164" s="249" t="str">
        <f>IF(COUNTIF(DP$18:$DP163,DP164)&gt;0,"",DP164)</f>
        <v/>
      </c>
      <c r="DS164" s="198" t="str">
        <f>IF(DP164&lt;&gt;"",1,"")</f>
        <v/>
      </c>
      <c r="DT164" s="514">
        <f t="shared" si="99"/>
        <v>0</v>
      </c>
    </row>
    <row r="165" spans="1:124" ht="11.25" customHeight="1">
      <c r="B165" s="23"/>
      <c r="C165" s="2959" t="s">
        <v>720</v>
      </c>
      <c r="D165" s="2959"/>
      <c r="E165" s="3016" t="str">
        <f>IF($D$9="不要","不",IF(H165="","要",H165))</f>
        <v>要</v>
      </c>
      <c r="F165" s="3016"/>
      <c r="G165" s="525" t="s">
        <v>103</v>
      </c>
      <c r="H165" s="3017"/>
      <c r="I165" s="3018"/>
      <c r="J165" s="3022"/>
      <c r="K165" s="3023"/>
      <c r="L165" s="3023"/>
      <c r="M165" s="3024"/>
      <c r="N165" s="3054"/>
      <c r="O165" s="3055"/>
      <c r="P165" s="3056"/>
      <c r="Q165" s="3201" t="str">
        <f>IF(C162="","",IF(Z165&lt;&gt;"",Z165,"TIVF 0.8-2C"))</f>
        <v/>
      </c>
      <c r="R165" s="3201"/>
      <c r="S165" s="3201"/>
      <c r="T165" s="3201"/>
      <c r="U165" s="3201"/>
      <c r="V165" s="3201"/>
      <c r="W165" s="3201"/>
      <c r="X165" s="3201"/>
      <c r="Y165" s="524" t="s">
        <v>103</v>
      </c>
      <c r="Z165" s="2941"/>
      <c r="AA165" s="2942"/>
      <c r="AB165" s="2942"/>
      <c r="AC165" s="2942"/>
      <c r="AD165" s="2942"/>
      <c r="AE165" s="2942"/>
      <c r="AF165" s="2942"/>
      <c r="AG165" s="3199"/>
      <c r="AH165" s="2883" t="s">
        <v>235</v>
      </c>
      <c r="AI165" s="2884"/>
      <c r="AJ165" s="2885"/>
      <c r="AK165" s="2953" t="str">
        <f>IF(C162="","",IF(AP165&lt;&gt;"",AP165,IF($J$14="C","",SUM(CK162:CK163))))</f>
        <v/>
      </c>
      <c r="AL165" s="2954"/>
      <c r="AM165" s="2954"/>
      <c r="AN165" s="2955"/>
      <c r="AO165" s="524" t="s">
        <v>103</v>
      </c>
      <c r="AP165" s="2911"/>
      <c r="AQ165" s="2912"/>
      <c r="AR165" s="2912"/>
      <c r="AS165" s="2913"/>
      <c r="AT165" s="2896"/>
      <c r="AU165" s="2897"/>
      <c r="AV165" s="2898"/>
      <c r="AW165" s="2939" t="str">
        <f>IF(C162="","",IF(BN165="","",IF(BE165="","フロアダクト FC-6",BE165)))</f>
        <v/>
      </c>
      <c r="AX165" s="2845"/>
      <c r="AY165" s="2845"/>
      <c r="AZ165" s="2845"/>
      <c r="BA165" s="2845"/>
      <c r="BB165" s="2845"/>
      <c r="BC165" s="2940"/>
      <c r="BD165" s="524" t="s">
        <v>103</v>
      </c>
      <c r="BE165" s="2941"/>
      <c r="BF165" s="2942"/>
      <c r="BG165" s="2942"/>
      <c r="BH165" s="2942"/>
      <c r="BI165" s="2942"/>
      <c r="BJ165" s="2942"/>
      <c r="BK165" s="2883" t="s">
        <v>235</v>
      </c>
      <c r="BL165" s="2884"/>
      <c r="BM165" s="2885"/>
      <c r="BN165" s="2943" t="str">
        <f>IF(C162="","",IF(BR165="",MAX(CL162:CL163),BR165))</f>
        <v/>
      </c>
      <c r="BO165" s="2944"/>
      <c r="BP165" s="2945"/>
      <c r="BQ165" s="523" t="s">
        <v>103</v>
      </c>
      <c r="BR165" s="3200"/>
      <c r="BS165" s="3200"/>
      <c r="BT165" s="3200"/>
      <c r="BU165" s="19"/>
      <c r="BX165" s="47"/>
      <c r="BZ165" s="106" t="s">
        <v>766</v>
      </c>
      <c r="CA165" s="522" t="str">
        <f>IF(OR(I159="( 10)",I159="(12)イ"),"1","")</f>
        <v/>
      </c>
      <c r="CB165" s="151" t="str">
        <f>IF(CA165="","",INT(P162/200))</f>
        <v/>
      </c>
      <c r="CC165" s="122">
        <f>IF(CB165="",0,CB165)</f>
        <v>0</v>
      </c>
      <c r="CE165" s="156" t="s">
        <v>716</v>
      </c>
      <c r="CF165" s="521"/>
      <c r="CG165" s="189">
        <f>IF($AQ$8=0,1.5*2*(1+INT(2*BX160/($AQ$9/1000)))*(1+INT(2*BY160/($AQ$9/1000))),0)</f>
        <v>0</v>
      </c>
      <c r="CH165" s="82"/>
      <c r="CI165" s="82" t="s">
        <v>765</v>
      </c>
      <c r="CJ165" s="107" t="str">
        <f>AR162</f>
        <v/>
      </c>
      <c r="CK165" s="12"/>
      <c r="CL165" s="12"/>
      <c r="CM165" s="12"/>
      <c r="CN165" s="12"/>
      <c r="CO165" s="252" t="str">
        <f>AW165</f>
        <v/>
      </c>
      <c r="CP165" s="520" t="str">
        <f>BN165</f>
        <v/>
      </c>
      <c r="CR165" s="519" t="str">
        <f>IF(CS165="","","ローテンションアウトレット")</f>
        <v/>
      </c>
      <c r="CS165" s="189" t="str">
        <f>CS159</f>
        <v/>
      </c>
      <c r="CV165" s="197">
        <f t="shared" si="90"/>
        <v>9</v>
      </c>
      <c r="CW165" s="197" t="str">
        <f t="shared" si="89"/>
        <v/>
      </c>
      <c r="CX165" s="207"/>
      <c r="CY165" s="24"/>
      <c r="DA165" s="515"/>
      <c r="DB165" s="516"/>
      <c r="DE165" s="197">
        <f t="shared" si="100"/>
        <v>14</v>
      </c>
      <c r="DF165" s="197" t="str">
        <f t="shared" si="101"/>
        <v/>
      </c>
      <c r="DG165" s="207" t="str">
        <f>CR164</f>
        <v/>
      </c>
      <c r="DH165" s="24"/>
      <c r="DI165" s="249" t="str">
        <f>IF(COUNTIF(DG$18:$DG164,DG165)&gt;0,"",DG165)</f>
        <v/>
      </c>
      <c r="DJ165" s="515" t="str">
        <f>CS164</f>
        <v/>
      </c>
      <c r="DK165" s="514">
        <f t="shared" si="97"/>
        <v>0</v>
      </c>
      <c r="DN165" s="197">
        <f>IF(DS165&lt;&gt;"",DN164+1,DN164)</f>
        <v>4</v>
      </c>
      <c r="DO165" s="197" t="str">
        <f t="shared" si="98"/>
        <v/>
      </c>
      <c r="DP165" s="10" t="str">
        <f>IF(BQ162="","","接地工事 Et")</f>
        <v/>
      </c>
      <c r="DQ165" s="24"/>
      <c r="DR165" s="249" t="str">
        <f>IF(COUNTIF(DP$18:$DP164,DP165)&gt;0,"",DP165)</f>
        <v/>
      </c>
      <c r="DS165" s="198" t="str">
        <f>IF(DP165&lt;&gt;"",1,"")</f>
        <v/>
      </c>
      <c r="DT165" s="514">
        <f t="shared" si="99"/>
        <v>0</v>
      </c>
    </row>
    <row r="166" spans="1:124" ht="9" customHeight="1">
      <c r="B166" s="23"/>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19"/>
      <c r="BZ166" s="114" t="str">
        <f>"="</f>
        <v>=</v>
      </c>
      <c r="CA166" s="114" t="str">
        <f>"－"</f>
        <v>－</v>
      </c>
      <c r="CB166" s="114" t="str">
        <f>"+"</f>
        <v>+</v>
      </c>
      <c r="CP166" s="555"/>
      <c r="CV166" s="197">
        <f t="shared" si="90"/>
        <v>9</v>
      </c>
      <c r="CW166" s="197" t="str">
        <f t="shared" si="89"/>
        <v/>
      </c>
      <c r="CY166" s="24"/>
      <c r="DA166" s="516"/>
      <c r="DB166" s="516"/>
      <c r="DE166" s="197">
        <f t="shared" si="100"/>
        <v>14</v>
      </c>
      <c r="DF166" s="197" t="str">
        <f t="shared" si="101"/>
        <v/>
      </c>
      <c r="DG166" s="207" t="str">
        <f>CR165</f>
        <v/>
      </c>
      <c r="DH166" s="24"/>
      <c r="DI166" s="249" t="str">
        <f>IF(COUNTIF(DG$18:$DG165,DG166)&gt;0,"",DG166)</f>
        <v/>
      </c>
      <c r="DJ166" s="515" t="str">
        <f>CS165</f>
        <v/>
      </c>
      <c r="DK166" s="514">
        <f t="shared" si="97"/>
        <v>0</v>
      </c>
      <c r="DN166" s="197">
        <f>IF(DS166&lt;&gt;"",DN165+1,DN165)</f>
        <v>4</v>
      </c>
      <c r="DO166" s="197" t="str">
        <f>IF(AND(DN166&lt;&gt;"",DR166&lt;&gt;""),DN166,"")</f>
        <v/>
      </c>
      <c r="DP166" s="201"/>
      <c r="DQ166" s="24"/>
      <c r="DR166" s="249"/>
      <c r="DS166" s="198"/>
      <c r="DT166" s="514"/>
    </row>
    <row r="167" spans="1:124" ht="11.25" customHeight="1" thickBot="1">
      <c r="A167" s="46"/>
      <c r="B167" s="23"/>
      <c r="C167" s="3032" t="s">
        <v>112</v>
      </c>
      <c r="D167" s="3032"/>
      <c r="E167" s="3032"/>
      <c r="F167" s="3032"/>
      <c r="G167" s="3032"/>
      <c r="H167" s="3032"/>
      <c r="I167" s="3033" t="str">
        <f>非誘!J129</f>
        <v/>
      </c>
      <c r="J167" s="3033"/>
      <c r="K167" s="3033"/>
      <c r="L167" s="3034"/>
      <c r="M167" s="3035" t="str">
        <f>非誘!M129</f>
        <v/>
      </c>
      <c r="N167" s="2961"/>
      <c r="O167" s="2961"/>
      <c r="P167" s="2961"/>
      <c r="Q167" s="2961"/>
      <c r="R167" s="2961"/>
      <c r="S167" s="2961"/>
      <c r="T167" s="2961"/>
      <c r="U167" s="2961"/>
      <c r="V167" s="2961"/>
      <c r="W167" s="3036"/>
      <c r="X167" s="3037" t="s">
        <v>232</v>
      </c>
      <c r="Y167" s="3037"/>
      <c r="Z167" s="3037"/>
      <c r="AA167" s="3037"/>
      <c r="AB167" s="3038"/>
      <c r="AC167" s="2977" t="str">
        <f>非誘!AA129</f>
        <v/>
      </c>
      <c r="AD167" s="2978"/>
      <c r="AE167" s="2917" t="s">
        <v>760</v>
      </c>
      <c r="AF167" s="2918"/>
      <c r="AG167" s="2918"/>
      <c r="AH167" s="2918"/>
      <c r="AI167" s="2919"/>
      <c r="AJ167" s="2979" t="str">
        <f>非誘!J130</f>
        <v/>
      </c>
      <c r="AK167" s="2980"/>
      <c r="AL167" s="2981"/>
      <c r="AM167" s="2917" t="s">
        <v>759</v>
      </c>
      <c r="AN167" s="2918"/>
      <c r="AO167" s="2919"/>
      <c r="AP167" s="2920" t="str">
        <f>IF(OR($B$2=0,AS167=""),$BO$14,AS167)</f>
        <v>Ⓖ</v>
      </c>
      <c r="AQ167" s="2920"/>
      <c r="AR167" s="554" t="s">
        <v>103</v>
      </c>
      <c r="AS167" s="2921"/>
      <c r="AT167" s="2922"/>
      <c r="AU167" s="2875" t="s">
        <v>757</v>
      </c>
      <c r="AV167" s="2875"/>
      <c r="AW167" s="2875"/>
      <c r="AX167" s="2875"/>
      <c r="AY167" s="2875"/>
      <c r="AZ167" s="2875"/>
      <c r="BA167" s="2876"/>
      <c r="BB167" s="553">
        <f>IF(BC167="天井ケーブル",1,IF(BC167="天井(PF管)",2,IF(BC167="天井(C管)",3,IF(BC167="天井(G管)",4,IF(BC167="床(CD管)",5,IF(BC167="床(C管)",6,IF(BC167="床(G管)",7,"")))))))</f>
        <v>5</v>
      </c>
      <c r="BC167" s="2961" t="str">
        <f>IF($B$2=0,"",IF(BK167&lt;&gt;"",BK167,IF(I170="直天","天井(C管)","床(CD管)")))</f>
        <v>床(CD管)</v>
      </c>
      <c r="BD167" s="2962"/>
      <c r="BE167" s="2962"/>
      <c r="BF167" s="2962"/>
      <c r="BG167" s="2962"/>
      <c r="BH167" s="2962"/>
      <c r="BI167" s="2963"/>
      <c r="BJ167" s="552" t="s">
        <v>103</v>
      </c>
      <c r="BK167" s="2905"/>
      <c r="BL167" s="2906"/>
      <c r="BM167" s="2906"/>
      <c r="BN167" s="2906"/>
      <c r="BO167" s="2906"/>
      <c r="BP167" s="2907"/>
      <c r="BQ167" s="2982" t="s">
        <v>755</v>
      </c>
      <c r="BR167" s="2983"/>
      <c r="BS167" s="2983"/>
      <c r="BT167" s="2984"/>
      <c r="BU167" s="19"/>
      <c r="BV167" s="8">
        <v>19</v>
      </c>
      <c r="BX167" s="55" t="s">
        <v>229</v>
      </c>
      <c r="BY167" s="55" t="s">
        <v>228</v>
      </c>
      <c r="BZ167" s="534" t="e">
        <f>BY162+BY178+CA168</f>
        <v>#VALUE!</v>
      </c>
      <c r="CA167" s="534" t="e">
        <f>CA168+BY162</f>
        <v>#VALUE!</v>
      </c>
      <c r="CB167" s="38" t="e">
        <f>BY178+CA168</f>
        <v>#VALUE!</v>
      </c>
      <c r="CC167" s="69"/>
      <c r="CD167" s="534"/>
      <c r="CE167" s="534"/>
      <c r="CF167" s="143" t="s">
        <v>754</v>
      </c>
      <c r="CG167" s="143" t="s">
        <v>753</v>
      </c>
      <c r="CH167" s="143" t="s">
        <v>753</v>
      </c>
      <c r="CI167" s="551" t="s">
        <v>752</v>
      </c>
      <c r="CJ167" s="551" t="s">
        <v>752</v>
      </c>
      <c r="CK167" s="550" t="s">
        <v>734</v>
      </c>
      <c r="CL167" s="550" t="s">
        <v>732</v>
      </c>
      <c r="CM167" s="46"/>
      <c r="CO167" s="46" t="str">
        <f>Q171</f>
        <v/>
      </c>
      <c r="CP167" s="520" t="str">
        <f>AK171</f>
        <v/>
      </c>
      <c r="CR167" s="519" t="str">
        <f>IF(CS167="","",IF($J$14="A","多機能内線電話機",""))</f>
        <v/>
      </c>
      <c r="CS167" s="189" t="str">
        <f>BB170</f>
        <v/>
      </c>
      <c r="CU167" s="88">
        <v>19</v>
      </c>
      <c r="CV167" s="204">
        <f t="shared" si="90"/>
        <v>9</v>
      </c>
      <c r="CW167" s="155" t="str">
        <f t="shared" si="89"/>
        <v/>
      </c>
      <c r="CX167" s="45"/>
      <c r="CY167" s="45"/>
      <c r="CZ167" s="45"/>
      <c r="DA167" s="45"/>
      <c r="DB167" s="45"/>
      <c r="DD167" s="88">
        <v>19</v>
      </c>
      <c r="DE167" s="204">
        <f t="shared" si="100"/>
        <v>14</v>
      </c>
      <c r="DF167" s="155" t="str">
        <f t="shared" si="101"/>
        <v/>
      </c>
      <c r="DG167" s="549" t="str">
        <f>CO162</f>
        <v>導入線 1.2mmφ</v>
      </c>
      <c r="DH167" s="45"/>
      <c r="DI167" s="153" t="str">
        <f>IF(COUNTIF(DG$9:$DG166,DG167)&gt;0,"",DG167)</f>
        <v/>
      </c>
      <c r="DJ167" s="155">
        <f>CP162</f>
        <v>0</v>
      </c>
      <c r="DK167" s="548">
        <f>SUMIF($DG$11:$DG$182,DI167,$DJ$11:$DJ$182)</f>
        <v>0</v>
      </c>
      <c r="DM167" s="88">
        <v>19</v>
      </c>
      <c r="DN167" s="204">
        <f>IF(DS167&lt;&gt;"",DN166+1,DN166)</f>
        <v>4</v>
      </c>
      <c r="DO167" s="155" t="str">
        <f>IF(AND(DN167&lt;&gt;"",DR167&lt;&gt;""),DN167,"")</f>
        <v/>
      </c>
      <c r="DP167" s="45"/>
      <c r="DQ167" s="45"/>
      <c r="DR167" s="45"/>
      <c r="DS167" s="45"/>
      <c r="DT167" s="45"/>
    </row>
    <row r="168" spans="1:124" ht="11.25" customHeight="1" thickBot="1">
      <c r="B168" s="23"/>
      <c r="C168" s="3008" t="s">
        <v>4</v>
      </c>
      <c r="D168" s="3009"/>
      <c r="E168" s="3010"/>
      <c r="F168" s="3014" t="s">
        <v>22</v>
      </c>
      <c r="G168" s="2983"/>
      <c r="H168" s="3015"/>
      <c r="I168" s="2982" t="s">
        <v>132</v>
      </c>
      <c r="J168" s="2983"/>
      <c r="K168" s="3015"/>
      <c r="L168" s="2982" t="s">
        <v>6</v>
      </c>
      <c r="M168" s="2983"/>
      <c r="N168" s="2983"/>
      <c r="O168" s="2984"/>
      <c r="P168" s="3014" t="s">
        <v>7</v>
      </c>
      <c r="Q168" s="2983"/>
      <c r="R168" s="2983"/>
      <c r="S168" s="2984"/>
      <c r="T168" s="3014" t="s">
        <v>8</v>
      </c>
      <c r="U168" s="2983"/>
      <c r="V168" s="2983"/>
      <c r="W168" s="2984"/>
      <c r="X168" s="3014" t="s">
        <v>9</v>
      </c>
      <c r="Y168" s="2983"/>
      <c r="Z168" s="3015"/>
      <c r="AA168" s="2982" t="s">
        <v>9</v>
      </c>
      <c r="AB168" s="2983"/>
      <c r="AC168" s="2984"/>
      <c r="AD168" s="2974" t="s">
        <v>708</v>
      </c>
      <c r="AE168" s="2975"/>
      <c r="AF168" s="2975"/>
      <c r="AG168" s="2975"/>
      <c r="AH168" s="2975"/>
      <c r="AI168" s="2975"/>
      <c r="AJ168" s="2975"/>
      <c r="AK168" s="2975"/>
      <c r="AL168" s="2930" t="e">
        <f>IF(BX172=1,"T-"&amp;LEFT(C170,3)&amp;"-1","T-"&amp;LEFT(C170,3)&amp;"-1～"&amp;BX172)</f>
        <v>#VALUE!</v>
      </c>
      <c r="AM168" s="2930"/>
      <c r="AN168" s="2930"/>
      <c r="AO168" s="2930"/>
      <c r="AP168" s="2930"/>
      <c r="AQ168" s="2932"/>
      <c r="AR168" s="2925" t="s">
        <v>751</v>
      </c>
      <c r="AS168" s="2926"/>
      <c r="AT168" s="2926"/>
      <c r="AU168" s="2926"/>
      <c r="AV168" s="2926"/>
      <c r="AW168" s="2926"/>
      <c r="AX168" s="2926"/>
      <c r="AY168" s="2926"/>
      <c r="AZ168" s="2926"/>
      <c r="BA168" s="2927"/>
      <c r="BB168" s="2886" t="s">
        <v>750</v>
      </c>
      <c r="BC168" s="2887"/>
      <c r="BD168" s="2887"/>
      <c r="BE168" s="2887"/>
      <c r="BF168" s="2887"/>
      <c r="BG168" s="2887"/>
      <c r="BH168" s="2887"/>
      <c r="BI168" s="2887"/>
      <c r="BJ168" s="2888"/>
      <c r="BK168" s="2888"/>
      <c r="BL168" s="2888"/>
      <c r="BM168" s="2888"/>
      <c r="BN168" s="2888"/>
      <c r="BO168" s="2888"/>
      <c r="BP168" s="2889"/>
      <c r="BQ168" s="2939" t="str">
        <f>IF(AND($B$2=1,$J$14="A",C170=$J$15),"設置","")</f>
        <v/>
      </c>
      <c r="BR168" s="2845"/>
      <c r="BS168" s="2845"/>
      <c r="BT168" s="2940"/>
      <c r="BU168" s="19"/>
      <c r="BV168" s="15">
        <v>129</v>
      </c>
      <c r="BX168" s="98">
        <f>非誘!BW131</f>
        <v>0</v>
      </c>
      <c r="BY168" s="98">
        <f>非誘!BX131</f>
        <v>0</v>
      </c>
      <c r="BZ168" s="547" t="e">
        <f>IF(CA168&lt;10,10,IF(CA168&lt;15,15,IF(CA168&lt;20,20,IF(CA168&lt;25,25,IF(CA168&lt;30,30,IF(CA168&lt;50,50,IF(CA168&lt;70,70,IF(CA168&lt;100,100,IF(CA168&lt;150,150,IF(CA168&lt;20,200,200))))))))))</f>
        <v>#VALUE!</v>
      </c>
      <c r="CA168" s="546" t="e">
        <f>SUM(CC171:CC173)</f>
        <v>#VALUE!</v>
      </c>
      <c r="CB168" s="107" t="str">
        <f>IF(BY170&lt;10," 10",IF(BY170&lt;15," 15",IF(BY170&lt;20," 20",IF(BY170&lt;25," 25",IF(BY170&lt;30," 30",IF(BY170&lt;50," 50",IF(BY170&lt;70," 70",IF(BY170&lt;100,"100",IF(BY170&lt;150,"150",IF(BY170&lt;200,"200","200"))))))))))</f>
        <v xml:space="preserve"> 10</v>
      </c>
      <c r="CC168" s="545">
        <f>1+INT(BY170/200)</f>
        <v>1</v>
      </c>
      <c r="CD168" s="534"/>
      <c r="CE168" s="156" t="s">
        <v>749</v>
      </c>
      <c r="CF168" s="189">
        <f>2*INT($AG$9/1000)</f>
        <v>2</v>
      </c>
      <c r="CG168" s="189" t="e">
        <f>CG171+(1+INT($AG$9+$AG$8)/1000)*(1+INT(AR170/10))+CG170</f>
        <v>#VALUE!</v>
      </c>
      <c r="CH168" s="98">
        <f>IF(AW170="",0,AW170*8)</f>
        <v>0</v>
      </c>
      <c r="CI168" s="98" t="e">
        <f>AR170*8</f>
        <v>#VALUE!</v>
      </c>
      <c r="CJ168" s="544">
        <f>IF(AW170="",0,AW170*8)</f>
        <v>0</v>
      </c>
      <c r="CK168" s="223" t="e">
        <f>IF(E172="不","",(CG168+CG169+CI168+CI169)*MAX(P170:W170)/L170)</f>
        <v>#VALUE!</v>
      </c>
      <c r="CL168" s="223" t="e">
        <f>IF(E172="不","",SUM(CG171:CH171)+SUM(CG172:CH172)*MAX(P170:W170)/L170)</f>
        <v>#VALUE!</v>
      </c>
      <c r="CM168" s="527" t="s">
        <v>7</v>
      </c>
      <c r="CN168" s="15"/>
      <c r="CO168" s="46" t="str">
        <f>Q172</f>
        <v/>
      </c>
      <c r="CP168" s="520" t="str">
        <f>AK172</f>
        <v/>
      </c>
      <c r="CR168" s="519" t="str">
        <f>IF(CS168="","",IF($J$14="A","内線電話機"))</f>
        <v/>
      </c>
      <c r="CS168" s="189" t="str">
        <f>BG170</f>
        <v/>
      </c>
      <c r="CU168" s="8"/>
      <c r="CV168" s="197">
        <f t="shared" si="90"/>
        <v>9</v>
      </c>
      <c r="CW168" s="197" t="str">
        <f t="shared" si="89"/>
        <v/>
      </c>
      <c r="CX168" s="543" t="str">
        <f>CO167</f>
        <v/>
      </c>
      <c r="CY168" s="8"/>
      <c r="CZ168" s="249" t="str">
        <f>IF(COUNTIF($CX$17:$CX167,CX168)&gt;0,"",CX168)</f>
        <v/>
      </c>
      <c r="DA168" s="515" t="str">
        <f>CP167</f>
        <v/>
      </c>
      <c r="DB168" s="514">
        <f>SUMIF($CX$20:$CX$182,CZ168,$DA$20:$DA$182)</f>
        <v>0</v>
      </c>
      <c r="DC168" s="8"/>
      <c r="DD168" s="8"/>
      <c r="DE168" s="197">
        <f t="shared" si="100"/>
        <v>14</v>
      </c>
      <c r="DF168" s="197" t="str">
        <f t="shared" si="101"/>
        <v/>
      </c>
      <c r="DG168" s="207" t="str">
        <f>CO171</f>
        <v/>
      </c>
      <c r="DH168" s="8"/>
      <c r="DI168" s="249" t="str">
        <f>IF(COUNTIF(DG$17:$DG167,DG168)&gt;0,"",DG168)</f>
        <v/>
      </c>
      <c r="DJ168" s="515" t="str">
        <f>CP171</f>
        <v/>
      </c>
      <c r="DK168" s="514">
        <f t="shared" ref="DK168:DK174" si="102">SUMIF($DG$20:$DG$182,DI168,$DJ$20:$DJ$182)</f>
        <v>0</v>
      </c>
      <c r="DL168" s="8"/>
      <c r="DM168" s="8"/>
      <c r="DN168" s="197">
        <f>IF(DR168&lt;&gt;"",DN167+1,DN167)</f>
        <v>4</v>
      </c>
      <c r="DO168" s="197" t="str">
        <f t="shared" ref="DO168:DO173" si="103">IF(AND(DN168&lt;&gt;"",DS168&lt;&gt;""),DN168,"")</f>
        <v/>
      </c>
      <c r="DP168" s="10" t="str">
        <f>CR167</f>
        <v/>
      </c>
      <c r="DQ168" s="8"/>
      <c r="DR168" s="249" t="str">
        <f>IF(COUNTIF(DP$18:$DP167,DP168)&gt;0,"",DP168)</f>
        <v/>
      </c>
      <c r="DS168" s="198" t="str">
        <f>CS167</f>
        <v/>
      </c>
      <c r="DT168" s="514">
        <f t="shared" ref="DT168:DT173" si="104">SUMIF($DP$20:$DP$182,DR168,$DS$20:$DS$182)</f>
        <v>0</v>
      </c>
    </row>
    <row r="169" spans="1:124" ht="11.25" customHeight="1" thickBot="1">
      <c r="B169" s="23"/>
      <c r="C169" s="3011"/>
      <c r="D169" s="3012"/>
      <c r="E169" s="3013"/>
      <c r="F169" s="3039" t="s">
        <v>235</v>
      </c>
      <c r="G169" s="3040"/>
      <c r="H169" s="3041"/>
      <c r="I169" s="3039" t="s">
        <v>235</v>
      </c>
      <c r="J169" s="3040"/>
      <c r="K169" s="3041"/>
      <c r="L169" s="3039" t="s">
        <v>748</v>
      </c>
      <c r="M169" s="3040"/>
      <c r="N169" s="3040"/>
      <c r="O169" s="3042"/>
      <c r="P169" s="3043" t="s">
        <v>748</v>
      </c>
      <c r="Q169" s="3040"/>
      <c r="R169" s="3040"/>
      <c r="S169" s="3042"/>
      <c r="T169" s="3043" t="s">
        <v>748</v>
      </c>
      <c r="U169" s="3040"/>
      <c r="V169" s="3040"/>
      <c r="W169" s="3044"/>
      <c r="X169" s="3045" t="s">
        <v>111</v>
      </c>
      <c r="Y169" s="3046"/>
      <c r="Z169" s="3047"/>
      <c r="AA169" s="3001" t="s">
        <v>110</v>
      </c>
      <c r="AB169" s="3002"/>
      <c r="AC169" s="3003"/>
      <c r="AD169" s="3004" t="s">
        <v>695</v>
      </c>
      <c r="AE169" s="3005"/>
      <c r="AF169" s="3005"/>
      <c r="AG169" s="3006" t="s">
        <v>699</v>
      </c>
      <c r="AH169" s="3005"/>
      <c r="AI169" s="3007"/>
      <c r="AJ169" s="2928" t="s">
        <v>747</v>
      </c>
      <c r="AK169" s="2918"/>
      <c r="AL169" s="2918"/>
      <c r="AM169" s="2928" t="s">
        <v>746</v>
      </c>
      <c r="AN169" s="2918"/>
      <c r="AO169" s="2929"/>
      <c r="AP169" s="2956" t="s">
        <v>745</v>
      </c>
      <c r="AQ169" s="2957"/>
      <c r="AR169" s="2917" t="s">
        <v>744</v>
      </c>
      <c r="AS169" s="2918"/>
      <c r="AT169" s="2958" t="s">
        <v>3</v>
      </c>
      <c r="AU169" s="2959"/>
      <c r="AV169" s="2959"/>
      <c r="AW169" s="2959" t="s">
        <v>743</v>
      </c>
      <c r="AX169" s="2960"/>
      <c r="AY169" s="2928" t="s">
        <v>3</v>
      </c>
      <c r="AZ169" s="2918"/>
      <c r="BA169" s="2919"/>
      <c r="BB169" s="542" t="str">
        <f>IF(CA171="","","●")</f>
        <v/>
      </c>
      <c r="BC169" s="2930" t="s">
        <v>742</v>
      </c>
      <c r="BD169" s="2930"/>
      <c r="BE169" s="2930"/>
      <c r="BF169" s="2931"/>
      <c r="BG169" s="542" t="str">
        <f>IF(CA172="","","●")</f>
        <v>●</v>
      </c>
      <c r="BH169" s="2930" t="s">
        <v>741</v>
      </c>
      <c r="BI169" s="2930"/>
      <c r="BJ169" s="2930"/>
      <c r="BK169" s="2931"/>
      <c r="BL169" s="542" t="str">
        <f>IF(CA173="","","●")</f>
        <v/>
      </c>
      <c r="BM169" s="2930" t="s">
        <v>764</v>
      </c>
      <c r="BN169" s="2930"/>
      <c r="BO169" s="2930"/>
      <c r="BP169" s="2932"/>
      <c r="BQ169" s="2974" t="s">
        <v>740</v>
      </c>
      <c r="BR169" s="2975"/>
      <c r="BS169" s="2975"/>
      <c r="BT169" s="2976"/>
      <c r="BU169" s="19"/>
      <c r="BX169" s="97" t="str">
        <f>IF(LEFT(C170,2)=" B",-MID(C170,3,1),IF(C170="  RF","",LEFT(C170,3)))</f>
        <v/>
      </c>
      <c r="BY169" s="541" t="str">
        <f>IF(OR(C170="",C170="  RF"),"",IF(LEFT(C170,1)="P","+",IF($BW$14&gt;BX169,"-",IF($BW$14=BX169,"=","+"))))</f>
        <v/>
      </c>
      <c r="BZ169" s="2985" t="str">
        <f>"FCPEV 0.65-"&amp;CB168&amp;"Pr"</f>
        <v>FCPEV 0.65- 10Pr</v>
      </c>
      <c r="CA169" s="2986"/>
      <c r="CB169" s="2986"/>
      <c r="CC169" s="2986"/>
      <c r="CD169" s="62"/>
      <c r="CE169" s="156" t="s">
        <v>763</v>
      </c>
      <c r="CF169" s="540" t="str">
        <f>F170</f>
        <v/>
      </c>
      <c r="CG169" s="540" t="e">
        <f>CG172+(1+INT(AR170/10))*($AG$9+$AG$8)/1000</f>
        <v>#VALUE!</v>
      </c>
      <c r="CH169" s="539"/>
      <c r="CI169" s="189" t="e">
        <f>CH172</f>
        <v>#VALUE!</v>
      </c>
      <c r="CJ169" s="260"/>
      <c r="CK169" s="528" t="e">
        <f>IF(E173="不","",(CG168+CG169+CI168+CI169)*T170/L170)</f>
        <v>#VALUE!</v>
      </c>
      <c r="CL169" s="528" t="e">
        <f>IF(E173="不","",SUM(CG171:CH171)+SUM(CG172:CH172)*T170/L170)</f>
        <v>#VALUE!</v>
      </c>
      <c r="CM169" s="527" t="s">
        <v>8</v>
      </c>
      <c r="CN169" s="15"/>
      <c r="CO169" s="46" t="str">
        <f>Q173</f>
        <v/>
      </c>
      <c r="CP169" s="520" t="str">
        <f>AK173</f>
        <v/>
      </c>
      <c r="CR169" s="519" t="str">
        <f>IF(CS169="","",IF($J$14="A","PHSアンテナ"))</f>
        <v/>
      </c>
      <c r="CS169" s="189" t="str">
        <f>BL170</f>
        <v/>
      </c>
      <c r="CU169" s="8"/>
      <c r="CV169" s="197">
        <f t="shared" si="90"/>
        <v>9</v>
      </c>
      <c r="CW169" s="197" t="str">
        <f t="shared" si="89"/>
        <v/>
      </c>
      <c r="CX169" s="10" t="str">
        <f>CO168</f>
        <v/>
      </c>
      <c r="CY169" s="8"/>
      <c r="CZ169" s="249" t="str">
        <f>IF(COUNTIF($CZ$10:$CZ168,CX169)&gt;0,"",CX169)</f>
        <v/>
      </c>
      <c r="DA169" s="515" t="str">
        <f>CP168</f>
        <v/>
      </c>
      <c r="DB169" s="514">
        <f>SUMIF($CX$20:$CX$182,CZ169,$DA$20:$DA$182)</f>
        <v>0</v>
      </c>
      <c r="DC169" s="8"/>
      <c r="DD169" s="8"/>
      <c r="DE169" s="197">
        <f t="shared" si="100"/>
        <v>14</v>
      </c>
      <c r="DF169" s="197" t="str">
        <f t="shared" si="101"/>
        <v/>
      </c>
      <c r="DG169" s="207" t="str">
        <f>CO172</f>
        <v/>
      </c>
      <c r="DH169" s="8"/>
      <c r="DI169" s="249" t="str">
        <f>IF(COUNTIF(DG$18:$DG168,DG169)&gt;0,"",DG169)</f>
        <v/>
      </c>
      <c r="DJ169" s="515" t="str">
        <f>CP172</f>
        <v/>
      </c>
      <c r="DK169" s="514">
        <f t="shared" si="102"/>
        <v>0</v>
      </c>
      <c r="DL169" s="8"/>
      <c r="DM169" s="8"/>
      <c r="DN169" s="197">
        <f>IF(DR169&lt;&gt;"",DN168+1,DN168)</f>
        <v>4</v>
      </c>
      <c r="DO169" s="197" t="str">
        <f t="shared" si="103"/>
        <v/>
      </c>
      <c r="DP169" s="207" t="str">
        <f>CR168</f>
        <v/>
      </c>
      <c r="DQ169" s="8"/>
      <c r="DR169" s="249" t="str">
        <f>IF(COUNTIF(DP$18:$DP168,DP169)&gt;0,"",DP169)</f>
        <v/>
      </c>
      <c r="DS169" s="198" t="str">
        <f>CS168</f>
        <v/>
      </c>
      <c r="DT169" s="514">
        <f t="shared" si="104"/>
        <v>0</v>
      </c>
    </row>
    <row r="170" spans="1:124" ht="11.25" customHeight="1" thickBot="1">
      <c r="B170" s="23"/>
      <c r="C170" s="2987" t="str">
        <f>IF($B$2=0,"",非誘!C131)</f>
        <v/>
      </c>
      <c r="D170" s="2988"/>
      <c r="E170" s="2988"/>
      <c r="F170" s="2989" t="str">
        <f>IF($B$2=0,"",非誘!F131)</f>
        <v/>
      </c>
      <c r="G170" s="2989"/>
      <c r="H170" s="2989"/>
      <c r="I170" s="2989" t="str">
        <f>IF($B$2=0,"",非誘!J131)</f>
        <v/>
      </c>
      <c r="J170" s="2989"/>
      <c r="K170" s="2989"/>
      <c r="L170" s="2990" t="str">
        <f>IF($B$2=0,"",非誘!N131)</f>
        <v/>
      </c>
      <c r="M170" s="2990"/>
      <c r="N170" s="2990"/>
      <c r="O170" s="2990"/>
      <c r="P170" s="2991" t="str">
        <f>IF($B$2=0,"",非誘!S131)</f>
        <v/>
      </c>
      <c r="Q170" s="2991"/>
      <c r="R170" s="2991"/>
      <c r="S170" s="2991"/>
      <c r="T170" s="2991" t="str">
        <f>IF($B$2=0,"",非誘!W131)</f>
        <v/>
      </c>
      <c r="U170" s="2992"/>
      <c r="V170" s="2992"/>
      <c r="W170" s="2992"/>
      <c r="X170" s="2993" t="str">
        <f>IF($B$2=0,"",非誘!AA131)</f>
        <v/>
      </c>
      <c r="Y170" s="2993"/>
      <c r="Z170" s="2993"/>
      <c r="AA170" s="2993" t="str">
        <f>IF($B$2=0,"",非誘!AD131)</f>
        <v/>
      </c>
      <c r="AB170" s="2993"/>
      <c r="AC170" s="2994"/>
      <c r="AD170" s="2966" t="str">
        <f>IF(C170="","",CB168*CC168)</f>
        <v/>
      </c>
      <c r="AE170" s="2967"/>
      <c r="AF170" s="2968"/>
      <c r="AG170" s="2969" t="str">
        <f>IF(C170="","",放送!CB164)</f>
        <v/>
      </c>
      <c r="AH170" s="2967"/>
      <c r="AI170" s="2968"/>
      <c r="AJ170" s="2970" t="str">
        <f>IF(C170="","",IF(TV!BL31="設置","Space","---"))</f>
        <v/>
      </c>
      <c r="AK170" s="2971"/>
      <c r="AL170" s="2971"/>
      <c r="AM170" s="2969"/>
      <c r="AN170" s="2967"/>
      <c r="AO170" s="2968"/>
      <c r="AP170" s="2972"/>
      <c r="AQ170" s="2973"/>
      <c r="AR170" s="2923" t="str">
        <f>IF(C170="","",IF(AZ170="",CB172,AZ170))</f>
        <v/>
      </c>
      <c r="AS170" s="2924"/>
      <c r="AT170" s="538" t="s">
        <v>106</v>
      </c>
      <c r="AU170" s="2946"/>
      <c r="AV170" s="2947"/>
      <c r="AW170" s="2923" t="str">
        <f>IF(C170="","",IF(CA171="",0,IF(AZ170="",CB171,AZ170)))</f>
        <v/>
      </c>
      <c r="AX170" s="2924"/>
      <c r="AY170" s="538" t="s">
        <v>106</v>
      </c>
      <c r="AZ170" s="2999"/>
      <c r="BA170" s="3000"/>
      <c r="BB170" s="2951" t="str">
        <f>IF(OR($J$14&lt;&gt;"A",CA171=""),"",IF(BE170&lt;&gt;"",BE170,CB171))</f>
        <v/>
      </c>
      <c r="BC170" s="2952"/>
      <c r="BD170" s="537" t="s">
        <v>106</v>
      </c>
      <c r="BE170" s="2938"/>
      <c r="BF170" s="2938"/>
      <c r="BG170" s="2951" t="str">
        <f>IF(C170="","",IF(OR($J$14&lt;&gt;"A",CA172=""),"",IF(BJ170&lt;&gt;"",BE170,CB172)))</f>
        <v/>
      </c>
      <c r="BH170" s="2952"/>
      <c r="BI170" s="537" t="s">
        <v>106</v>
      </c>
      <c r="BJ170" s="2938"/>
      <c r="BK170" s="2938"/>
      <c r="BL170" s="2951" t="str">
        <f>IF(OR($J$14&lt;&gt;"A",CA173=""),"",IF(BO170&lt;&gt;"",BO170,CB173))</f>
        <v/>
      </c>
      <c r="BM170" s="2952"/>
      <c r="BN170" s="537" t="s">
        <v>106</v>
      </c>
      <c r="BO170" s="2964"/>
      <c r="BP170" s="2965"/>
      <c r="BQ170" s="2939" t="str">
        <f>IF(BQ168="設置","Ｅt","")</f>
        <v/>
      </c>
      <c r="BR170" s="2845"/>
      <c r="BS170" s="2845"/>
      <c r="BT170" s="2940"/>
      <c r="BU170" s="19"/>
      <c r="BW170" s="89" t="str">
        <f>AP167</f>
        <v>Ⓖ</v>
      </c>
      <c r="BX170" s="263" t="str">
        <f>IF(C170="","",IF(BW170="Ⓐ",BX168+BY168+3,IF(BW170="Ⓑ",BX168*5/8+BY168+3,IF(BW170="Ⓒ",BX168/2+BY168+3,IF(BW170="Ⓓ",BX168+BY168*5/8+3,IF(BW170="Ⓔ",(BX168+BY168)*5/8+3,IF(BW170="Ⓕ",BX168/2+BY168*5/8+3,IF(BW170="Ⓖ",BX168+BY168/2+3,IF(BW170="Ⓗ",BX168*5/8+BY168/2+3,IF(BW170="Ⓘ",(BX168+BY168)/2+3))))))))))</f>
        <v/>
      </c>
      <c r="BY170" s="86">
        <f>IF(C170="",0,IF(BY169="=",BZ167,IF(BY169="-",CA167,CB167)))</f>
        <v>0</v>
      </c>
      <c r="BZ170" s="156"/>
      <c r="CA170" s="536" t="e">
        <f>IF(CA168&lt;=30,"25",IF(CA168&lt;=50,"31",IF(CA168&lt;=100,"39",IF(CA168&lt;=200,"51",""))))</f>
        <v>#VALUE!</v>
      </c>
      <c r="CB170" s="535" t="e">
        <f>IF(CA168&lt;=30,"22",IF(CA168&lt;=50,"28",IF(CA168&lt;=100,"36",IF(CA168&lt;=200,"42",""))))</f>
        <v>#VALUE!</v>
      </c>
      <c r="CC170" s="122"/>
      <c r="CD170" s="534"/>
      <c r="CE170" s="156" t="s">
        <v>738</v>
      </c>
      <c r="CF170" s="533"/>
      <c r="CG170" s="189" t="e">
        <f>IF($B$2="","",IF($AQ$8=0,0,0.02*($AQ$8/1000-0.15-0.1)*(INT(1000*BX168/$AQ$9)+1)*(INT(1000*BY168/$AQ$9)+1)*4*(AR170+AW170)))</f>
        <v>#VALUE!</v>
      </c>
      <c r="CH170" s="532"/>
      <c r="CI170" s="531"/>
      <c r="CJ170" s="15"/>
      <c r="CK170" s="528" t="e">
        <f>IF(E172="不","",SUM(CH168+CJ168)*MAX(P170:W170)/L170)</f>
        <v>#VALUE!</v>
      </c>
      <c r="CL170" s="528" t="e">
        <f>IF(E172="不","",CJ171)</f>
        <v>#VALUE!</v>
      </c>
      <c r="CM170" s="527" t="s">
        <v>7</v>
      </c>
      <c r="CN170" s="15"/>
      <c r="CO170" s="252" t="str">
        <f>IF(CP170="","","導入線 1.2mmφ")</f>
        <v>導入線 1.2mmφ</v>
      </c>
      <c r="CP170" s="184">
        <f>1.1*INT(SUM(CP171:CP173))</f>
        <v>0</v>
      </c>
      <c r="CR170" s="519" t="str">
        <f>IF(CS170="","",IF($J$14="A","PHS電話機"))</f>
        <v/>
      </c>
      <c r="CS170" s="189" t="str">
        <f>IF(CS169="","",INT(CS169*1.5))</f>
        <v/>
      </c>
      <c r="CU170" s="8"/>
      <c r="CV170" s="197">
        <f t="shared" si="90"/>
        <v>9</v>
      </c>
      <c r="CW170" s="197" t="str">
        <f t="shared" si="89"/>
        <v/>
      </c>
      <c r="CX170" s="10" t="str">
        <f>CO169</f>
        <v/>
      </c>
      <c r="CY170" s="8"/>
      <c r="CZ170" s="249" t="str">
        <f>IF(COUNTIF($CZ$10:$CZ169,CX170)&gt;0,"",CX170)</f>
        <v/>
      </c>
      <c r="DA170" s="515" t="str">
        <f>CP169</f>
        <v/>
      </c>
      <c r="DB170" s="514">
        <f>SUMIF($CX$20:$CX$182,CZ170,$DA$20:$DA$182)</f>
        <v>0</v>
      </c>
      <c r="DC170" s="8"/>
      <c r="DD170" s="8"/>
      <c r="DE170" s="197">
        <f t="shared" si="100"/>
        <v>14</v>
      </c>
      <c r="DF170" s="197" t="str">
        <f t="shared" si="101"/>
        <v/>
      </c>
      <c r="DG170" s="207" t="str">
        <f>CO173</f>
        <v/>
      </c>
      <c r="DH170" s="8"/>
      <c r="DI170" s="249" t="str">
        <f>IF(COUNTIF(DG$18:$DG169,DG170)&gt;0,"",DG170)</f>
        <v/>
      </c>
      <c r="DJ170" s="515" t="str">
        <f>CP173</f>
        <v/>
      </c>
      <c r="DK170" s="514">
        <f t="shared" si="102"/>
        <v>0</v>
      </c>
      <c r="DL170" s="8"/>
      <c r="DM170" s="8"/>
      <c r="DN170" s="197">
        <f>IF(DR170&lt;&gt;"",DN169+1,DN169)</f>
        <v>4</v>
      </c>
      <c r="DO170" s="197" t="str">
        <f t="shared" si="103"/>
        <v/>
      </c>
      <c r="DP170" s="10" t="str">
        <f>CR169</f>
        <v/>
      </c>
      <c r="DQ170" s="8"/>
      <c r="DR170" s="249" t="str">
        <f>IF(COUNTIF(DP$18:$DP169,DP170)&gt;0,"",DP170)</f>
        <v/>
      </c>
      <c r="DS170" s="198" t="str">
        <f>CS169</f>
        <v/>
      </c>
      <c r="DT170" s="514">
        <f t="shared" si="104"/>
        <v>0</v>
      </c>
    </row>
    <row r="171" spans="1:124" ht="11.25" customHeight="1" thickBot="1">
      <c r="B171" s="23"/>
      <c r="C171" s="3048" t="s">
        <v>737</v>
      </c>
      <c r="D171" s="3049"/>
      <c r="E171" s="3049"/>
      <c r="F171" s="3049"/>
      <c r="G171" s="3049"/>
      <c r="H171" s="3049"/>
      <c r="I171" s="3049"/>
      <c r="J171" s="3050" t="s">
        <v>736</v>
      </c>
      <c r="K171" s="3051"/>
      <c r="L171" s="3051"/>
      <c r="M171" s="3051"/>
      <c r="N171" s="3052" t="s">
        <v>735</v>
      </c>
      <c r="O171" s="2891"/>
      <c r="P171" s="2892"/>
      <c r="Q171" s="3057" t="str">
        <f>IF(OR(C170="",$J$14="C"),"",IF(Z171="",BZ169,Z171))</f>
        <v/>
      </c>
      <c r="R171" s="3057"/>
      <c r="S171" s="3057"/>
      <c r="T171" s="3057"/>
      <c r="U171" s="3057"/>
      <c r="V171" s="3057"/>
      <c r="W171" s="3057"/>
      <c r="X171" s="3057"/>
      <c r="Y171" s="524" t="s">
        <v>106</v>
      </c>
      <c r="Z171" s="2902"/>
      <c r="AA171" s="2903"/>
      <c r="AB171" s="2903"/>
      <c r="AC171" s="2903"/>
      <c r="AD171" s="2903"/>
      <c r="AE171" s="2903"/>
      <c r="AF171" s="2903"/>
      <c r="AG171" s="2904"/>
      <c r="AH171" s="2877" t="s">
        <v>734</v>
      </c>
      <c r="AI171" s="2878"/>
      <c r="AJ171" s="2879"/>
      <c r="AK171" s="3058" t="str">
        <f>IF(C170="","",IF(AP171&lt;&gt;"",AP171,IF($J$14="C","",SUM(CF168:CF169)*CC168)))</f>
        <v/>
      </c>
      <c r="AL171" s="3058"/>
      <c r="AM171" s="3058"/>
      <c r="AN171" s="3058"/>
      <c r="AO171" s="524" t="s">
        <v>106</v>
      </c>
      <c r="AP171" s="2911"/>
      <c r="AQ171" s="2912"/>
      <c r="AR171" s="2912"/>
      <c r="AS171" s="2913"/>
      <c r="AT171" s="2890" t="s">
        <v>733</v>
      </c>
      <c r="AU171" s="2891"/>
      <c r="AV171" s="2892"/>
      <c r="AW171" s="2899" t="str">
        <f>IF(C170="","",IF(BE171&lt;&gt;"",BE171,IF(BB167=2,"PF-"&amp;CB170&amp;"mm",IF(OR(BB167=3,BB167=6),"C-"&amp;CA170&amp;"mm",IF(OR(BB167=4,BB167=7),"G-"&amp;CB170&amp;"mm",IF(OR(BB167=1,BB167=5),"CD-"&amp;CB170&amp;"mm",""))))))</f>
        <v/>
      </c>
      <c r="AX171" s="2900"/>
      <c r="AY171" s="2900"/>
      <c r="AZ171" s="2900"/>
      <c r="BA171" s="2900"/>
      <c r="BB171" s="2900"/>
      <c r="BC171" s="2901"/>
      <c r="BD171" s="524" t="s">
        <v>106</v>
      </c>
      <c r="BE171" s="2902"/>
      <c r="BF171" s="2903"/>
      <c r="BG171" s="2903"/>
      <c r="BH171" s="2903"/>
      <c r="BI171" s="2903"/>
      <c r="BJ171" s="2904"/>
      <c r="BK171" s="2877" t="s">
        <v>732</v>
      </c>
      <c r="BL171" s="2878"/>
      <c r="BM171" s="2879"/>
      <c r="BN171" s="2914" t="str">
        <f>IF(C170="","",IF(BR171="",CF172*CC168,BR171))</f>
        <v/>
      </c>
      <c r="BO171" s="2915"/>
      <c r="BP171" s="2916"/>
      <c r="BQ171" s="524" t="s">
        <v>106</v>
      </c>
      <c r="BR171" s="3202"/>
      <c r="BS171" s="3203"/>
      <c r="BT171" s="3204"/>
      <c r="BU171" s="19"/>
      <c r="BX171" s="530"/>
      <c r="BY171" s="46"/>
      <c r="BZ171" s="106" t="s">
        <v>731</v>
      </c>
      <c r="CA171" s="529" t="str">
        <f>IF(P170="","",IF(OR(I167="(1) ロ",I167="( 4 )",I167="(5) イ",I167="(6) イ",I167="(6) ロ",I167="(6) ハ",I167="( 7 )",I167="( 8 )",I167="( 15)"),"1",""))</f>
        <v/>
      </c>
      <c r="CB171" s="151">
        <f>IF(P170="",0,INT(P170/20))</f>
        <v>0</v>
      </c>
      <c r="CC171" s="122">
        <f>IF(CA171="",0,CB171)</f>
        <v>0</v>
      </c>
      <c r="CD171" s="6"/>
      <c r="CE171" s="156" t="s">
        <v>730</v>
      </c>
      <c r="CF171" s="189"/>
      <c r="CG171" s="189" t="e">
        <f>BX170*(1+INT(AR170/10))+CG173</f>
        <v>#VALUE!</v>
      </c>
      <c r="CH171" s="189">
        <f>IF(AW170="",0,BX170*(1+INT(AW170/10)))</f>
        <v>0</v>
      </c>
      <c r="CI171" s="82" t="s">
        <v>729</v>
      </c>
      <c r="CJ171" s="98" t="e">
        <f>7.32*(AW170-2*SQRT(AW170))</f>
        <v>#VALUE!</v>
      </c>
      <c r="CK171" s="528" t="e">
        <f>IF(E173="不","",SUM(CH168+CJ168)*T170/L170)</f>
        <v>#VALUE!</v>
      </c>
      <c r="CL171" s="528" t="e">
        <f>CJ171</f>
        <v>#VALUE!</v>
      </c>
      <c r="CM171" s="527" t="s">
        <v>8</v>
      </c>
      <c r="CN171" s="69"/>
      <c r="CO171" s="252" t="str">
        <f>AW171</f>
        <v/>
      </c>
      <c r="CP171" s="520" t="str">
        <f>BN171</f>
        <v/>
      </c>
      <c r="CR171" s="519" t="str">
        <f>IF(CS171=0,"","C-OBox4角中深")</f>
        <v/>
      </c>
      <c r="CS171" s="189">
        <f>IF($J$14="A",SUM(CS168:CS169),AR170)</f>
        <v>0</v>
      </c>
      <c r="CU171" s="8"/>
      <c r="CV171" s="197">
        <f t="shared" si="90"/>
        <v>9</v>
      </c>
      <c r="CW171" s="197" t="str">
        <f t="shared" si="89"/>
        <v/>
      </c>
      <c r="CX171" s="207" t="str">
        <f>IF(BQ170="","","IV-14sq")</f>
        <v/>
      </c>
      <c r="CY171" s="8"/>
      <c r="CZ171" s="249" t="str">
        <f>IF(COUNTIF($CZ$10:$CZ170,CX171)&gt;0,"",CX171)</f>
        <v/>
      </c>
      <c r="DA171" s="515" t="str">
        <f>IF(BQ170="","",BX170+BY168+15)</f>
        <v/>
      </c>
      <c r="DB171" s="514">
        <f>SUMIF($CX$20:$CX$182,CZ171,$DA$20:$DA$182)</f>
        <v>0</v>
      </c>
      <c r="DD171" s="8"/>
      <c r="DE171" s="197">
        <f>IF(DJ171&lt;&gt;"",DE170+1,DE170)</f>
        <v>14</v>
      </c>
      <c r="DF171" s="197" t="str">
        <f>IF(AND(DE171&lt;&gt;"",DJ171&lt;&gt;""),DE171,"")</f>
        <v/>
      </c>
      <c r="DG171" s="207"/>
      <c r="DH171" s="8"/>
      <c r="DI171" s="249"/>
      <c r="DJ171" s="515"/>
      <c r="DK171" s="514">
        <f t="shared" si="102"/>
        <v>0</v>
      </c>
      <c r="DM171" s="8"/>
      <c r="DN171" s="197">
        <f>IF(DR171&lt;&gt;"",DN170+1,DN170)</f>
        <v>4</v>
      </c>
      <c r="DO171" s="197" t="str">
        <f t="shared" si="103"/>
        <v/>
      </c>
      <c r="DP171" s="10" t="str">
        <f>CR170</f>
        <v/>
      </c>
      <c r="DQ171" s="8"/>
      <c r="DR171" s="249" t="str">
        <f>IF(COUNTIF(DP$18:$DP170,DP171)&gt;0,"",DP171)</f>
        <v/>
      </c>
      <c r="DS171" s="198" t="str">
        <f>CS170</f>
        <v/>
      </c>
      <c r="DT171" s="514">
        <f t="shared" si="104"/>
        <v>0</v>
      </c>
    </row>
    <row r="172" spans="1:124" ht="11.25" customHeight="1">
      <c r="B172" s="23"/>
      <c r="C172" s="3205" t="s">
        <v>728</v>
      </c>
      <c r="D172" s="3205"/>
      <c r="E172" s="3016" t="str">
        <f>IF($D$9="不要","不",IF(H172="","要",H172))</f>
        <v>要</v>
      </c>
      <c r="F172" s="3016"/>
      <c r="G172" s="523" t="s">
        <v>724</v>
      </c>
      <c r="H172" s="3017"/>
      <c r="I172" s="3018"/>
      <c r="J172" s="3019" t="s">
        <v>727</v>
      </c>
      <c r="K172" s="3020"/>
      <c r="L172" s="3020"/>
      <c r="M172" s="3021"/>
      <c r="N172" s="3053"/>
      <c r="O172" s="2894"/>
      <c r="P172" s="2895"/>
      <c r="Q172" s="3025" t="str">
        <f>IF(OR(C170="",$J$14="C"),"",IF(Z172&lt;&gt;"",Z172,"電子釦 0.4- 4Pr"))</f>
        <v/>
      </c>
      <c r="R172" s="2933"/>
      <c r="S172" s="2933"/>
      <c r="T172" s="2933"/>
      <c r="U172" s="2933"/>
      <c r="V172" s="2933"/>
      <c r="W172" s="2933"/>
      <c r="X172" s="2934"/>
      <c r="Y172" s="526" t="s">
        <v>724</v>
      </c>
      <c r="Z172" s="3026"/>
      <c r="AA172" s="3027"/>
      <c r="AB172" s="3027"/>
      <c r="AC172" s="3027"/>
      <c r="AD172" s="3027"/>
      <c r="AE172" s="3027"/>
      <c r="AF172" s="3027"/>
      <c r="AG172" s="3028"/>
      <c r="AH172" s="2880" t="s">
        <v>725</v>
      </c>
      <c r="AI172" s="2881"/>
      <c r="AJ172" s="2882"/>
      <c r="AK172" s="2995" t="str">
        <f>IF(C170="","",IF(AP172&lt;&gt;"",AP172,IF($J$14="C","",SUM(CK168:CK169))))</f>
        <v/>
      </c>
      <c r="AL172" s="2995"/>
      <c r="AM172" s="2995"/>
      <c r="AN172" s="2995"/>
      <c r="AO172" s="526" t="s">
        <v>724</v>
      </c>
      <c r="AP172" s="2996"/>
      <c r="AQ172" s="2997"/>
      <c r="AR172" s="2997"/>
      <c r="AS172" s="2998"/>
      <c r="AT172" s="2893"/>
      <c r="AU172" s="2894"/>
      <c r="AV172" s="2895"/>
      <c r="AW172" s="2933" t="str">
        <f>IF(C170="","",IF(BE172&lt;&gt;"",BE172,IF(BB167=2,"PF-22mm",IF(OR(BB167=3,BB167=6),"C-25mm",IF(OR(BB167=4,BB167=7),"G-22mm",IF(OR(BB167=1,BB167=5),"CD-22mm",""))))))</f>
        <v/>
      </c>
      <c r="AX172" s="2933"/>
      <c r="AY172" s="2933"/>
      <c r="AZ172" s="2933"/>
      <c r="BA172" s="2933"/>
      <c r="BB172" s="2933"/>
      <c r="BC172" s="2934"/>
      <c r="BD172" s="526" t="s">
        <v>724</v>
      </c>
      <c r="BE172" s="2935"/>
      <c r="BF172" s="2936"/>
      <c r="BG172" s="2936"/>
      <c r="BH172" s="2936"/>
      <c r="BI172" s="2936"/>
      <c r="BJ172" s="2937"/>
      <c r="BK172" s="2880" t="s">
        <v>725</v>
      </c>
      <c r="BL172" s="2881"/>
      <c r="BM172" s="2882"/>
      <c r="BN172" s="2948" t="str">
        <f>IF(C170="","",IF(BR172="",SUM(CL168:CL169),BR172))</f>
        <v/>
      </c>
      <c r="BO172" s="2949"/>
      <c r="BP172" s="2950"/>
      <c r="BQ172" s="525" t="s">
        <v>724</v>
      </c>
      <c r="BR172" s="3029"/>
      <c r="BS172" s="3030"/>
      <c r="BT172" s="3031"/>
      <c r="BU172" s="19"/>
      <c r="BX172" s="49" t="e">
        <f>1+INT(L170/600)</f>
        <v>#VALUE!</v>
      </c>
      <c r="BY172" s="46"/>
      <c r="BZ172" s="106" t="s">
        <v>723</v>
      </c>
      <c r="CA172" s="522" t="str">
        <f>"1"</f>
        <v>1</v>
      </c>
      <c r="CB172" s="151" t="e">
        <f>IF(CA171="",INT(T170/40)+CB171,INT(T170/40))</f>
        <v>#VALUE!</v>
      </c>
      <c r="CC172" s="122" t="e">
        <f>IF(CB172="",0,CB172)</f>
        <v>#VALUE!</v>
      </c>
      <c r="CD172" s="6"/>
      <c r="CE172" s="156" t="s">
        <v>722</v>
      </c>
      <c r="CF172" s="189" t="str">
        <f>F170</f>
        <v/>
      </c>
      <c r="CG172" s="189" t="e">
        <f>IF(BB167&lt;=4,(2*F170-(R156+R158)/1000)*AR170,((R157+R158)/1000)*AR170)</f>
        <v>#VALUE!</v>
      </c>
      <c r="CH172" s="189" t="e">
        <f>2*(R158/1000)*AR170</f>
        <v>#VALUE!</v>
      </c>
      <c r="CI172" s="82" t="s">
        <v>721</v>
      </c>
      <c r="CJ172" s="86" t="str">
        <f>AW170</f>
        <v/>
      </c>
      <c r="CK172" s="38"/>
      <c r="CL172" s="38"/>
      <c r="CM172" s="38"/>
      <c r="CN172" s="38"/>
      <c r="CO172" s="252" t="str">
        <f>AW172</f>
        <v/>
      </c>
      <c r="CP172" s="520" t="str">
        <f>BN172</f>
        <v/>
      </c>
      <c r="CR172" s="519" t="str">
        <f>IF(CS172="","",IF(LEFT(AW173,1)="フ","ジャンクションボックス 2Duct","C-OBox4角大深"))</f>
        <v/>
      </c>
      <c r="CS172" s="189" t="str">
        <f>IF(AW170=0,"",AW170)</f>
        <v/>
      </c>
      <c r="CU172" s="8"/>
      <c r="CV172" s="197">
        <f t="shared" si="90"/>
        <v>9</v>
      </c>
      <c r="CW172" s="197" t="str">
        <f t="shared" si="89"/>
        <v/>
      </c>
      <c r="CX172" s="207" t="str">
        <f>IF(BQ170="","","VE-22mm")</f>
        <v/>
      </c>
      <c r="CY172" s="8"/>
      <c r="CZ172" s="249" t="str">
        <f>IF(COUNTIF($CZ$10:$CZ171,CX172)&gt;0,"",CX172)</f>
        <v/>
      </c>
      <c r="DA172" s="515" t="str">
        <f>IF(BQ170="","",DA171-10)</f>
        <v/>
      </c>
      <c r="DB172" s="514">
        <f>SUMIF($CX$20:$CX$182,CZ172,$DA$20:$DA$182)</f>
        <v>0</v>
      </c>
      <c r="DD172" s="8"/>
      <c r="DE172" s="197">
        <f t="shared" ref="DE172:DE178" si="105">IF(DI172&lt;&gt;"",DE171+1,DE171)</f>
        <v>14</v>
      </c>
      <c r="DF172" s="197" t="str">
        <f t="shared" ref="DF172:DF178" si="106">IF(AND(DE172&lt;&gt;"",DI172&lt;&gt;""),DE172,"")</f>
        <v/>
      </c>
      <c r="DG172" s="207" t="str">
        <f>CR171</f>
        <v/>
      </c>
      <c r="DH172" s="8"/>
      <c r="DI172" s="249" t="str">
        <f>IF(COUNTIF(DG$18:$DG171,DG172)&gt;0,"",DG172)</f>
        <v/>
      </c>
      <c r="DJ172" s="515">
        <f>CS171</f>
        <v>0</v>
      </c>
      <c r="DK172" s="514">
        <f t="shared" si="102"/>
        <v>0</v>
      </c>
      <c r="DM172" s="8"/>
      <c r="DN172" s="197">
        <f>IF(DS172&lt;&gt;"",DN171+1,DN171)</f>
        <v>4</v>
      </c>
      <c r="DO172" s="197" t="str">
        <f t="shared" si="103"/>
        <v/>
      </c>
      <c r="DP172" s="10" t="str">
        <f>IF(BQ168="","","電話交換機")</f>
        <v/>
      </c>
      <c r="DQ172" s="8"/>
      <c r="DR172" s="249" t="str">
        <f>IF(COUNTIF(DP$18:$DP171,DP172)&gt;0,"",DP172)</f>
        <v/>
      </c>
      <c r="DS172" s="198" t="str">
        <f>IF(DP172&lt;&gt;"",1,"")</f>
        <v/>
      </c>
      <c r="DT172" s="514">
        <f t="shared" si="104"/>
        <v>0</v>
      </c>
    </row>
    <row r="173" spans="1:124" ht="11.25" customHeight="1">
      <c r="B173" s="23"/>
      <c r="C173" s="2959" t="s">
        <v>720</v>
      </c>
      <c r="D173" s="2959"/>
      <c r="E173" s="3016" t="str">
        <f>IF($D$9="不要","不",IF(H173="","要",H173))</f>
        <v>要</v>
      </c>
      <c r="F173" s="3016"/>
      <c r="G173" s="525" t="s">
        <v>2</v>
      </c>
      <c r="H173" s="3017"/>
      <c r="I173" s="3018"/>
      <c r="J173" s="3022"/>
      <c r="K173" s="3023"/>
      <c r="L173" s="3023"/>
      <c r="M173" s="3024"/>
      <c r="N173" s="3054"/>
      <c r="O173" s="3055"/>
      <c r="P173" s="3056"/>
      <c r="Q173" s="3201" t="str">
        <f>IF(C170="","",IF(Z173&lt;&gt;"",Z173,"TIVF 0.8-2C"))</f>
        <v/>
      </c>
      <c r="R173" s="3201"/>
      <c r="S173" s="3201"/>
      <c r="T173" s="3201"/>
      <c r="U173" s="3201"/>
      <c r="V173" s="3201"/>
      <c r="W173" s="3201"/>
      <c r="X173" s="3201"/>
      <c r="Y173" s="524" t="s">
        <v>2</v>
      </c>
      <c r="Z173" s="2941"/>
      <c r="AA173" s="2942"/>
      <c r="AB173" s="2942"/>
      <c r="AC173" s="2942"/>
      <c r="AD173" s="2942"/>
      <c r="AE173" s="2942"/>
      <c r="AF173" s="2942"/>
      <c r="AG173" s="3199"/>
      <c r="AH173" s="2883" t="s">
        <v>17</v>
      </c>
      <c r="AI173" s="2884"/>
      <c r="AJ173" s="2885"/>
      <c r="AK173" s="2953" t="str">
        <f>IF(C170="","",IF(AP173&lt;&gt;"",AP173,IF($J$14="C","",SUM(CK170:CK171))))</f>
        <v/>
      </c>
      <c r="AL173" s="2954"/>
      <c r="AM173" s="2954"/>
      <c r="AN173" s="2955"/>
      <c r="AO173" s="524" t="s">
        <v>2</v>
      </c>
      <c r="AP173" s="2911"/>
      <c r="AQ173" s="2912"/>
      <c r="AR173" s="2912"/>
      <c r="AS173" s="2913"/>
      <c r="AT173" s="2896"/>
      <c r="AU173" s="2897"/>
      <c r="AV173" s="2898"/>
      <c r="AW173" s="2939" t="str">
        <f>IF(C170="","",IF(BN173="","",IF(BE173="","フロアダクト FC-6",BE173)))</f>
        <v/>
      </c>
      <c r="AX173" s="2845"/>
      <c r="AY173" s="2845"/>
      <c r="AZ173" s="2845"/>
      <c r="BA173" s="2845"/>
      <c r="BB173" s="2845"/>
      <c r="BC173" s="2940"/>
      <c r="BD173" s="524" t="s">
        <v>2</v>
      </c>
      <c r="BE173" s="2941"/>
      <c r="BF173" s="2942"/>
      <c r="BG173" s="2942"/>
      <c r="BH173" s="2942"/>
      <c r="BI173" s="2942"/>
      <c r="BJ173" s="2942"/>
      <c r="BK173" s="2883" t="s">
        <v>17</v>
      </c>
      <c r="BL173" s="2884"/>
      <c r="BM173" s="2885"/>
      <c r="BN173" s="2943" t="str">
        <f>IF(C170="","",IF(BR173="",MAX(CL170:CL171),BR173))</f>
        <v/>
      </c>
      <c r="BO173" s="2944"/>
      <c r="BP173" s="2945"/>
      <c r="BQ173" s="523" t="s">
        <v>2</v>
      </c>
      <c r="BR173" s="3200"/>
      <c r="BS173" s="3200"/>
      <c r="BT173" s="3200"/>
      <c r="BU173" s="19"/>
      <c r="BX173" s="47"/>
      <c r="BZ173" s="106" t="s">
        <v>762</v>
      </c>
      <c r="CA173" s="522" t="str">
        <f>IF(OR(I167="( 10)",I167="(12)イ"),"1","")</f>
        <v/>
      </c>
      <c r="CB173" s="151" t="str">
        <f>IF(CA173="","",INT(P170/200))</f>
        <v/>
      </c>
      <c r="CC173" s="122">
        <f>IF(CB173="",0,CB173)</f>
        <v>0</v>
      </c>
      <c r="CE173" s="156" t="s">
        <v>716</v>
      </c>
      <c r="CF173" s="521"/>
      <c r="CG173" s="189">
        <f>IF($AQ$8=0,1.5*2*(1+INT(2*BX168/($AQ$9/1000)))*(1+INT(2*BY168/($AQ$9/1000))),0)</f>
        <v>0</v>
      </c>
      <c r="CH173" s="82"/>
      <c r="CI173" s="82" t="s">
        <v>714</v>
      </c>
      <c r="CJ173" s="107" t="str">
        <f>AR170</f>
        <v/>
      </c>
      <c r="CK173" s="12"/>
      <c r="CL173" s="12"/>
      <c r="CM173" s="12"/>
      <c r="CN173" s="12"/>
      <c r="CO173" s="252" t="str">
        <f>AW173</f>
        <v/>
      </c>
      <c r="CP173" s="520" t="str">
        <f>BN173</f>
        <v/>
      </c>
      <c r="CR173" s="519" t="str">
        <f>IF(CS173="","","ローテンションアウトレット")</f>
        <v/>
      </c>
      <c r="CS173" s="189" t="str">
        <f>CS167</f>
        <v/>
      </c>
      <c r="CV173" s="197">
        <f t="shared" si="90"/>
        <v>9</v>
      </c>
      <c r="CW173" s="197" t="str">
        <f t="shared" si="89"/>
        <v/>
      </c>
      <c r="CX173" s="207"/>
      <c r="CY173" s="24"/>
      <c r="DA173" s="515"/>
      <c r="DB173" s="516"/>
      <c r="DE173" s="197">
        <f t="shared" si="105"/>
        <v>14</v>
      </c>
      <c r="DF173" s="197" t="str">
        <f t="shared" si="106"/>
        <v/>
      </c>
      <c r="DG173" s="207" t="str">
        <f>CR172</f>
        <v/>
      </c>
      <c r="DH173" s="24"/>
      <c r="DI173" s="249" t="str">
        <f>IF(COUNTIF(DG$18:$DG172,DG173)&gt;0,"",DG173)</f>
        <v/>
      </c>
      <c r="DJ173" s="515" t="str">
        <f>CS172</f>
        <v/>
      </c>
      <c r="DK173" s="514">
        <f t="shared" si="102"/>
        <v>0</v>
      </c>
      <c r="DN173" s="197">
        <f>IF(DS173&lt;&gt;"",DN172+1,DN172)</f>
        <v>4</v>
      </c>
      <c r="DO173" s="197" t="str">
        <f t="shared" si="103"/>
        <v/>
      </c>
      <c r="DP173" s="10" t="str">
        <f>IF(BQ170="","","接地工事 Et")</f>
        <v/>
      </c>
      <c r="DQ173" s="24"/>
      <c r="DR173" s="249" t="str">
        <f>IF(COUNTIF(DP$18:$DP172,DP173)&gt;0,"",DP173)</f>
        <v/>
      </c>
      <c r="DS173" s="198" t="str">
        <f>IF(DP173&lt;&gt;"",1,"")</f>
        <v/>
      </c>
      <c r="DT173" s="514">
        <f t="shared" si="104"/>
        <v>0</v>
      </c>
    </row>
    <row r="174" spans="1:124" ht="9" customHeight="1">
      <c r="B174" s="23"/>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19"/>
      <c r="BZ174" s="114" t="str">
        <f>"="</f>
        <v>=</v>
      </c>
      <c r="CA174" s="114" t="str">
        <f>"－"</f>
        <v>－</v>
      </c>
      <c r="CB174" s="114" t="str">
        <f>"+"</f>
        <v>+</v>
      </c>
      <c r="CP174" s="555"/>
      <c r="CV174" s="197">
        <f t="shared" si="90"/>
        <v>9</v>
      </c>
      <c r="CW174" s="197" t="str">
        <f t="shared" si="89"/>
        <v/>
      </c>
      <c r="CY174" s="24"/>
      <c r="DA174" s="516"/>
      <c r="DB174" s="516"/>
      <c r="DE174" s="197">
        <f t="shared" si="105"/>
        <v>14</v>
      </c>
      <c r="DF174" s="197" t="str">
        <f t="shared" si="106"/>
        <v/>
      </c>
      <c r="DG174" s="207" t="str">
        <f>CR173</f>
        <v/>
      </c>
      <c r="DH174" s="24"/>
      <c r="DI174" s="249" t="str">
        <f>IF(COUNTIF(DG$18:$DG173,DG174)&gt;0,"",DG174)</f>
        <v/>
      </c>
      <c r="DJ174" s="515" t="str">
        <f>CS173</f>
        <v/>
      </c>
      <c r="DK174" s="514">
        <f t="shared" si="102"/>
        <v>0</v>
      </c>
      <c r="DN174" s="197">
        <f>IF(DS174&lt;&gt;"",DN173+1,DN173)</f>
        <v>4</v>
      </c>
      <c r="DO174" s="197" t="str">
        <f>IF(AND(DN174&lt;&gt;"",DR174&lt;&gt;""),DN174,"")</f>
        <v/>
      </c>
      <c r="DP174" s="201"/>
      <c r="DQ174" s="24"/>
      <c r="DR174" s="249"/>
      <c r="DS174" s="198"/>
      <c r="DT174" s="514"/>
    </row>
    <row r="175" spans="1:124" ht="11.25" customHeight="1" thickBot="1">
      <c r="A175" s="46"/>
      <c r="B175" s="23"/>
      <c r="C175" s="3032" t="s">
        <v>112</v>
      </c>
      <c r="D175" s="3032"/>
      <c r="E175" s="3032"/>
      <c r="F175" s="3032"/>
      <c r="G175" s="3032"/>
      <c r="H175" s="3032"/>
      <c r="I175" s="3033" t="str">
        <f>非誘!J135</f>
        <v/>
      </c>
      <c r="J175" s="3033"/>
      <c r="K175" s="3033"/>
      <c r="L175" s="3034"/>
      <c r="M175" s="3035" t="str">
        <f>非誘!M135</f>
        <v/>
      </c>
      <c r="N175" s="2961"/>
      <c r="O175" s="2961"/>
      <c r="P175" s="2961"/>
      <c r="Q175" s="2961"/>
      <c r="R175" s="2961"/>
      <c r="S175" s="2961"/>
      <c r="T175" s="2961"/>
      <c r="U175" s="2961"/>
      <c r="V175" s="2961"/>
      <c r="W175" s="3036"/>
      <c r="X175" s="3037" t="s">
        <v>761</v>
      </c>
      <c r="Y175" s="3037"/>
      <c r="Z175" s="3037"/>
      <c r="AA175" s="3037"/>
      <c r="AB175" s="3038"/>
      <c r="AC175" s="2977" t="str">
        <f>非誘!AA135</f>
        <v/>
      </c>
      <c r="AD175" s="2978"/>
      <c r="AE175" s="2917" t="s">
        <v>760</v>
      </c>
      <c r="AF175" s="2918"/>
      <c r="AG175" s="2918"/>
      <c r="AH175" s="2918"/>
      <c r="AI175" s="2919"/>
      <c r="AJ175" s="2979" t="str">
        <f>非誘!J136</f>
        <v/>
      </c>
      <c r="AK175" s="2980"/>
      <c r="AL175" s="2981"/>
      <c r="AM175" s="2917" t="s">
        <v>759</v>
      </c>
      <c r="AN175" s="2918"/>
      <c r="AO175" s="2919"/>
      <c r="AP175" s="2920" t="str">
        <f>IF(OR($B$2=0,AS175=""),$BO$14,AS175)</f>
        <v>Ⓖ</v>
      </c>
      <c r="AQ175" s="2920"/>
      <c r="AR175" s="554" t="s">
        <v>758</v>
      </c>
      <c r="AS175" s="2921"/>
      <c r="AT175" s="2922"/>
      <c r="AU175" s="2875" t="s">
        <v>757</v>
      </c>
      <c r="AV175" s="2875"/>
      <c r="AW175" s="2875"/>
      <c r="AX175" s="2875"/>
      <c r="AY175" s="2875"/>
      <c r="AZ175" s="2875"/>
      <c r="BA175" s="2876"/>
      <c r="BB175" s="553">
        <f>IF(BC175="天井ケーブル",1,IF(BC175="天井(PF管)",2,IF(BC175="天井(C管)",3,IF(BC175="天井(G管)",4,IF(BC175="床(CD管)",5,IF(BC175="床(C管)",6,IF(BC175="床(G管)",7,"")))))))</f>
        <v>3</v>
      </c>
      <c r="BC175" s="2961" t="str">
        <f>IF($B$2=0,"",IF(BK175&lt;&gt;"",BK175,IF(I178="直天","天井(C管)","床(CD管)")))</f>
        <v>天井(C管)</v>
      </c>
      <c r="BD175" s="2962"/>
      <c r="BE175" s="2962"/>
      <c r="BF175" s="2962"/>
      <c r="BG175" s="2962"/>
      <c r="BH175" s="2962"/>
      <c r="BI175" s="2963"/>
      <c r="BJ175" s="552" t="s">
        <v>103</v>
      </c>
      <c r="BK175" s="2905" t="s">
        <v>756</v>
      </c>
      <c r="BL175" s="2906"/>
      <c r="BM175" s="2906"/>
      <c r="BN175" s="2906"/>
      <c r="BO175" s="2906"/>
      <c r="BP175" s="2907"/>
      <c r="BQ175" s="2982" t="s">
        <v>755</v>
      </c>
      <c r="BR175" s="2983"/>
      <c r="BS175" s="2983"/>
      <c r="BT175" s="2984"/>
      <c r="BU175" s="19"/>
      <c r="BV175" s="8">
        <v>20</v>
      </c>
      <c r="BX175" s="55" t="s">
        <v>229</v>
      </c>
      <c r="BY175" s="55" t="s">
        <v>228</v>
      </c>
      <c r="BZ175" s="534" t="e">
        <f>BY170+CA176</f>
        <v>#VALUE!</v>
      </c>
      <c r="CA175" s="534" t="e">
        <f>CA176+BY170</f>
        <v>#VALUE!</v>
      </c>
      <c r="CB175" s="38" t="e">
        <f>CA176</f>
        <v>#VALUE!</v>
      </c>
      <c r="CC175" s="69"/>
      <c r="CD175" s="534"/>
      <c r="CE175" s="534"/>
      <c r="CF175" s="143" t="s">
        <v>754</v>
      </c>
      <c r="CG175" s="143" t="s">
        <v>753</v>
      </c>
      <c r="CH175" s="143" t="s">
        <v>753</v>
      </c>
      <c r="CI175" s="551" t="s">
        <v>752</v>
      </c>
      <c r="CJ175" s="551" t="s">
        <v>752</v>
      </c>
      <c r="CK175" s="550" t="s">
        <v>734</v>
      </c>
      <c r="CL175" s="550" t="s">
        <v>732</v>
      </c>
      <c r="CM175" s="46"/>
      <c r="CO175" s="46" t="str">
        <f>Q179</f>
        <v/>
      </c>
      <c r="CP175" s="520" t="str">
        <f>AK179</f>
        <v/>
      </c>
      <c r="CR175" s="519" t="str">
        <f>IF(CS175="","",IF($J$14="A","多機能内線電話機",""))</f>
        <v/>
      </c>
      <c r="CS175" s="189" t="str">
        <f>BB178</f>
        <v/>
      </c>
      <c r="CU175" s="88">
        <v>20</v>
      </c>
      <c r="CV175" s="204">
        <f t="shared" si="90"/>
        <v>9</v>
      </c>
      <c r="CW175" s="155" t="str">
        <f t="shared" si="89"/>
        <v/>
      </c>
      <c r="CX175" s="45"/>
      <c r="CY175" s="45"/>
      <c r="CZ175" s="45"/>
      <c r="DA175" s="45"/>
      <c r="DB175" s="45"/>
      <c r="DD175" s="88">
        <v>20</v>
      </c>
      <c r="DE175" s="204">
        <f t="shared" si="105"/>
        <v>14</v>
      </c>
      <c r="DF175" s="155" t="str">
        <f t="shared" si="106"/>
        <v/>
      </c>
      <c r="DG175" s="549" t="str">
        <f>CO170</f>
        <v>導入線 1.2mmφ</v>
      </c>
      <c r="DH175" s="45"/>
      <c r="DI175" s="153" t="str">
        <f>IF(COUNTIF(DG$9:$DG174,DG175)&gt;0,"",DG175)</f>
        <v/>
      </c>
      <c r="DJ175" s="155">
        <f>CP170</f>
        <v>0</v>
      </c>
      <c r="DK175" s="548">
        <f>SUMIF($DG$11:$DG$182,DI175,$DJ$11:$DJ$182)</f>
        <v>0</v>
      </c>
      <c r="DM175" s="88">
        <v>20</v>
      </c>
      <c r="DN175" s="204">
        <f>IF(DS175&lt;&gt;"",DN174+1,DN174)</f>
        <v>4</v>
      </c>
      <c r="DO175" s="155" t="str">
        <f>IF(AND(DN175&lt;&gt;"",DR175&lt;&gt;""),DN175,"")</f>
        <v/>
      </c>
      <c r="DP175" s="45"/>
      <c r="DQ175" s="45"/>
      <c r="DR175" s="45"/>
      <c r="DS175" s="45"/>
      <c r="DT175" s="45"/>
    </row>
    <row r="176" spans="1:124" ht="11.25" customHeight="1" thickBot="1">
      <c r="B176" s="23"/>
      <c r="C176" s="3008" t="s">
        <v>4</v>
      </c>
      <c r="D176" s="3009"/>
      <c r="E176" s="3010"/>
      <c r="F176" s="3014" t="s">
        <v>22</v>
      </c>
      <c r="G176" s="2983"/>
      <c r="H176" s="3015"/>
      <c r="I176" s="2982" t="s">
        <v>132</v>
      </c>
      <c r="J176" s="2983"/>
      <c r="K176" s="3015"/>
      <c r="L176" s="2982" t="s">
        <v>6</v>
      </c>
      <c r="M176" s="2983"/>
      <c r="N176" s="2983"/>
      <c r="O176" s="2984"/>
      <c r="P176" s="3014" t="s">
        <v>7</v>
      </c>
      <c r="Q176" s="2983"/>
      <c r="R176" s="2983"/>
      <c r="S176" s="2984"/>
      <c r="T176" s="3014" t="s">
        <v>8</v>
      </c>
      <c r="U176" s="2983"/>
      <c r="V176" s="2983"/>
      <c r="W176" s="2984"/>
      <c r="X176" s="3014" t="s">
        <v>9</v>
      </c>
      <c r="Y176" s="2983"/>
      <c r="Z176" s="3015"/>
      <c r="AA176" s="2982" t="s">
        <v>9</v>
      </c>
      <c r="AB176" s="2983"/>
      <c r="AC176" s="2984"/>
      <c r="AD176" s="2974" t="s">
        <v>708</v>
      </c>
      <c r="AE176" s="2975"/>
      <c r="AF176" s="2975"/>
      <c r="AG176" s="2975"/>
      <c r="AH176" s="2975"/>
      <c r="AI176" s="2975"/>
      <c r="AJ176" s="2975"/>
      <c r="AK176" s="2975"/>
      <c r="AL176" s="2930" t="e">
        <f>IF(BX180=1,"T-"&amp;LEFT(C178,3)&amp;"-1","T-"&amp;LEFT(C178,3)&amp;"-1～"&amp;BX180)</f>
        <v>#VALUE!</v>
      </c>
      <c r="AM176" s="2930"/>
      <c r="AN176" s="2930"/>
      <c r="AO176" s="2930"/>
      <c r="AP176" s="2930"/>
      <c r="AQ176" s="2932"/>
      <c r="AR176" s="2925" t="s">
        <v>751</v>
      </c>
      <c r="AS176" s="2926"/>
      <c r="AT176" s="2926"/>
      <c r="AU176" s="2926"/>
      <c r="AV176" s="2926"/>
      <c r="AW176" s="2926"/>
      <c r="AX176" s="2926"/>
      <c r="AY176" s="2926"/>
      <c r="AZ176" s="2926"/>
      <c r="BA176" s="2927"/>
      <c r="BB176" s="2886" t="s">
        <v>750</v>
      </c>
      <c r="BC176" s="2887"/>
      <c r="BD176" s="2887"/>
      <c r="BE176" s="2887"/>
      <c r="BF176" s="2887"/>
      <c r="BG176" s="2887"/>
      <c r="BH176" s="2887"/>
      <c r="BI176" s="2887"/>
      <c r="BJ176" s="2888"/>
      <c r="BK176" s="2888"/>
      <c r="BL176" s="2888"/>
      <c r="BM176" s="2888"/>
      <c r="BN176" s="2888"/>
      <c r="BO176" s="2888"/>
      <c r="BP176" s="2889"/>
      <c r="BQ176" s="2939" t="str">
        <f>IF(AND($B$2=1,$J$14="A",C178=$J$15),"設置","")</f>
        <v/>
      </c>
      <c r="BR176" s="2845"/>
      <c r="BS176" s="2845"/>
      <c r="BT176" s="2940"/>
      <c r="BU176" s="19"/>
      <c r="BV176" s="15">
        <v>135</v>
      </c>
      <c r="BX176" s="98">
        <f>非誘!BW137</f>
        <v>0</v>
      </c>
      <c r="BY176" s="98">
        <f>非誘!BX137</f>
        <v>0</v>
      </c>
      <c r="BZ176" s="547" t="e">
        <f>IF(CA176&lt;10,10,IF(CA176&lt;15,15,IF(CA176&lt;20,20,IF(CA176&lt;25,25,IF(CA176&lt;30,30,IF(CA176&lt;50,50,IF(CA176&lt;70,70,IF(CA176&lt;100,100,IF(CA176&lt;150,150,IF(CA176&lt;20,200,200))))))))))</f>
        <v>#VALUE!</v>
      </c>
      <c r="CA176" s="546" t="e">
        <f>SUM(CC179:CC181)</f>
        <v>#VALUE!</v>
      </c>
      <c r="CB176" s="107" t="str">
        <f>IF(BY178&lt;10," 10",IF(BY178&lt;15," 15",IF(BY178&lt;20," 20",IF(BY178&lt;25," 25",IF(BY178&lt;30," 30",IF(BY178&lt;50," 50",IF(BY178&lt;70," 70",IF(BY178&lt;100,"100",IF(BY178&lt;150,"150",IF(BY178&lt;200,"200","200"))))))))))</f>
        <v xml:space="preserve"> 10</v>
      </c>
      <c r="CC176" s="545">
        <f>1+INT(BY178/200)</f>
        <v>1</v>
      </c>
      <c r="CD176" s="534"/>
      <c r="CE176" s="156" t="s">
        <v>749</v>
      </c>
      <c r="CF176" s="189">
        <f>2*INT($AG$9/1000)</f>
        <v>2</v>
      </c>
      <c r="CG176" s="189" t="e">
        <f>CG179+(1+INT($AG$9+$AG$8)/1000)*(1+INT(AR178/10))+CG178</f>
        <v>#VALUE!</v>
      </c>
      <c r="CH176" s="98">
        <f>IF(AW178="",0,AW178*8)</f>
        <v>0</v>
      </c>
      <c r="CI176" s="98" t="e">
        <f>AR178*8</f>
        <v>#VALUE!</v>
      </c>
      <c r="CJ176" s="544">
        <f>IF(AW178="",0,AW178*8)</f>
        <v>0</v>
      </c>
      <c r="CK176" s="223" t="e">
        <f>IF(E180="不","",(CG176+CG177+CI176+CI177)*MAX(P178:W178)/L178)</f>
        <v>#VALUE!</v>
      </c>
      <c r="CL176" s="223" t="e">
        <f>IF(E180="不","",SUM(CG179:CH179)+SUM(CG180:CH180)*MAX(P178:W178)/L178)</f>
        <v>#VALUE!</v>
      </c>
      <c r="CM176" s="527" t="s">
        <v>7</v>
      </c>
      <c r="CN176" s="15"/>
      <c r="CO176" s="46" t="str">
        <f>Q180</f>
        <v/>
      </c>
      <c r="CP176" s="520" t="str">
        <f>AK180</f>
        <v/>
      </c>
      <c r="CR176" s="519" t="str">
        <f>IF(CS176="","",IF($J$14="A","内線電話機"))</f>
        <v/>
      </c>
      <c r="CS176" s="189" t="str">
        <f>BG178</f>
        <v/>
      </c>
      <c r="CU176" s="8"/>
      <c r="CV176" s="197">
        <f t="shared" si="90"/>
        <v>9</v>
      </c>
      <c r="CW176" s="197" t="str">
        <f t="shared" si="89"/>
        <v/>
      </c>
      <c r="CX176" s="543" t="str">
        <f>CO175</f>
        <v/>
      </c>
      <c r="CY176" s="8"/>
      <c r="CZ176" s="249" t="str">
        <f>IF(COUNTIF($CX$17:$CX175,CX176)&gt;0,"",CX176)</f>
        <v/>
      </c>
      <c r="DA176" s="515" t="str">
        <f>CP175</f>
        <v/>
      </c>
      <c r="DB176" s="514">
        <f>SUMIF($CX$20:$CX$182,CZ176,$DA$20:$DA$182)</f>
        <v>0</v>
      </c>
      <c r="DC176" s="8"/>
      <c r="DD176" s="8"/>
      <c r="DE176" s="197">
        <f t="shared" si="105"/>
        <v>14</v>
      </c>
      <c r="DF176" s="197" t="str">
        <f t="shared" si="106"/>
        <v/>
      </c>
      <c r="DG176" s="207" t="str">
        <f>CO179</f>
        <v/>
      </c>
      <c r="DH176" s="8"/>
      <c r="DI176" s="249" t="str">
        <f>IF(COUNTIF(DG$17:$DG175,DG176)&gt;0,"",DG176)</f>
        <v/>
      </c>
      <c r="DJ176" s="515" t="str">
        <f>CP179</f>
        <v/>
      </c>
      <c r="DK176" s="514">
        <f t="shared" ref="DK176:DK182" si="107">SUMIF($DG$20:$DG$182,DI176,$DJ$20:$DJ$182)</f>
        <v>0</v>
      </c>
      <c r="DL176" s="8"/>
      <c r="DM176" s="8"/>
      <c r="DN176" s="197">
        <f>IF(DR176&lt;&gt;"",DN175+1,DN175)</f>
        <v>4</v>
      </c>
      <c r="DO176" s="197" t="str">
        <f t="shared" ref="DO176:DO181" si="108">IF(AND(DN176&lt;&gt;"",DS176&lt;&gt;""),DN176,"")</f>
        <v/>
      </c>
      <c r="DP176" s="10" t="str">
        <f>CR175</f>
        <v/>
      </c>
      <c r="DQ176" s="8"/>
      <c r="DR176" s="249" t="str">
        <f>IF(COUNTIF(DP$18:$DP175,DP176)&gt;0,"",DP176)</f>
        <v/>
      </c>
      <c r="DS176" s="198" t="str">
        <f>CS175</f>
        <v/>
      </c>
      <c r="DT176" s="514">
        <f t="shared" ref="DT176:DT181" si="109">SUMIF($DP$20:$DP$182,DR176,$DS$20:$DS$182)</f>
        <v>0</v>
      </c>
    </row>
    <row r="177" spans="2:124" ht="11.25" customHeight="1" thickBot="1">
      <c r="B177" s="23"/>
      <c r="C177" s="3011"/>
      <c r="D177" s="3012"/>
      <c r="E177" s="3013"/>
      <c r="F177" s="3039" t="s">
        <v>235</v>
      </c>
      <c r="G177" s="3040"/>
      <c r="H177" s="3041"/>
      <c r="I177" s="3039" t="s">
        <v>235</v>
      </c>
      <c r="J177" s="3040"/>
      <c r="K177" s="3041"/>
      <c r="L177" s="3039" t="s">
        <v>748</v>
      </c>
      <c r="M177" s="3040"/>
      <c r="N177" s="3040"/>
      <c r="O177" s="3042"/>
      <c r="P177" s="3043" t="s">
        <v>748</v>
      </c>
      <c r="Q177" s="3040"/>
      <c r="R177" s="3040"/>
      <c r="S177" s="3042"/>
      <c r="T177" s="3043" t="s">
        <v>748</v>
      </c>
      <c r="U177" s="3040"/>
      <c r="V177" s="3040"/>
      <c r="W177" s="3044"/>
      <c r="X177" s="3045" t="s">
        <v>111</v>
      </c>
      <c r="Y177" s="3046"/>
      <c r="Z177" s="3047"/>
      <c r="AA177" s="3001" t="s">
        <v>110</v>
      </c>
      <c r="AB177" s="3002"/>
      <c r="AC177" s="3003"/>
      <c r="AD177" s="3004" t="s">
        <v>695</v>
      </c>
      <c r="AE177" s="3005"/>
      <c r="AF177" s="3005"/>
      <c r="AG177" s="3006" t="s">
        <v>699</v>
      </c>
      <c r="AH177" s="3005"/>
      <c r="AI177" s="3007"/>
      <c r="AJ177" s="2928" t="s">
        <v>747</v>
      </c>
      <c r="AK177" s="2918"/>
      <c r="AL177" s="2918"/>
      <c r="AM177" s="2928" t="s">
        <v>746</v>
      </c>
      <c r="AN177" s="2918"/>
      <c r="AO177" s="2929"/>
      <c r="AP177" s="2956" t="s">
        <v>745</v>
      </c>
      <c r="AQ177" s="2957"/>
      <c r="AR177" s="2917" t="s">
        <v>744</v>
      </c>
      <c r="AS177" s="2918"/>
      <c r="AT177" s="2958" t="s">
        <v>3</v>
      </c>
      <c r="AU177" s="2959"/>
      <c r="AV177" s="2959"/>
      <c r="AW177" s="2959" t="s">
        <v>743</v>
      </c>
      <c r="AX177" s="2960"/>
      <c r="AY177" s="2928" t="s">
        <v>3</v>
      </c>
      <c r="AZ177" s="2918"/>
      <c r="BA177" s="2919"/>
      <c r="BB177" s="542" t="str">
        <f>IF(CA179="","","●")</f>
        <v/>
      </c>
      <c r="BC177" s="2930" t="s">
        <v>742</v>
      </c>
      <c r="BD177" s="2930"/>
      <c r="BE177" s="2930"/>
      <c r="BF177" s="2931"/>
      <c r="BG177" s="542" t="str">
        <f>IF(CA180="","","●")</f>
        <v>●</v>
      </c>
      <c r="BH177" s="2930" t="s">
        <v>741</v>
      </c>
      <c r="BI177" s="2930"/>
      <c r="BJ177" s="2930"/>
      <c r="BK177" s="2931"/>
      <c r="BL177" s="542" t="str">
        <f>IF(CA181="","","●")</f>
        <v/>
      </c>
      <c r="BM177" s="2930" t="s">
        <v>717</v>
      </c>
      <c r="BN177" s="2930"/>
      <c r="BO177" s="2930"/>
      <c r="BP177" s="2932"/>
      <c r="BQ177" s="2974" t="s">
        <v>740</v>
      </c>
      <c r="BR177" s="2975"/>
      <c r="BS177" s="2975"/>
      <c r="BT177" s="2976"/>
      <c r="BU177" s="19"/>
      <c r="BX177" s="97" t="str">
        <f>IF(LEFT(C178,2)=" B",-MID(C178,3,1),IF(C178="  RF","",LEFT(C178,3)))</f>
        <v/>
      </c>
      <c r="BY177" s="541" t="str">
        <f>IF(OR(C178="",C178="  RF"),"",IF(LEFT(C178,1)="P","+",IF($BW$14&gt;BX177,"-",IF($BW$14=BX177,"=","+"))))</f>
        <v/>
      </c>
      <c r="BZ177" s="2985" t="str">
        <f>"FCPEV 0.65-"&amp;CB176&amp;"Pr"</f>
        <v>FCPEV 0.65- 10Pr</v>
      </c>
      <c r="CA177" s="2986"/>
      <c r="CB177" s="2986"/>
      <c r="CC177" s="2986"/>
      <c r="CD177" s="62"/>
      <c r="CE177" s="156" t="s">
        <v>739</v>
      </c>
      <c r="CF177" s="540" t="str">
        <f>F178</f>
        <v/>
      </c>
      <c r="CG177" s="540" t="e">
        <f>CG180+(1+INT(AR178/10))*($AG$9+$AG$8)/1000</f>
        <v>#VALUE!</v>
      </c>
      <c r="CH177" s="539"/>
      <c r="CI177" s="189" t="e">
        <f>CH180</f>
        <v>#VALUE!</v>
      </c>
      <c r="CJ177" s="260"/>
      <c r="CK177" s="528" t="e">
        <f>IF(E181="不","",(CG176+CG177+CI176+CI177)*T178/L178)</f>
        <v>#VALUE!</v>
      </c>
      <c r="CL177" s="528" t="e">
        <f>IF(E181="不","",SUM(CG179:CH179)+SUM(CG180:CH180)*T178/L178)</f>
        <v>#VALUE!</v>
      </c>
      <c r="CM177" s="527" t="s">
        <v>8</v>
      </c>
      <c r="CN177" s="15"/>
      <c r="CO177" s="46" t="str">
        <f>Q181</f>
        <v/>
      </c>
      <c r="CP177" s="520" t="str">
        <f>AK181</f>
        <v/>
      </c>
      <c r="CR177" s="519" t="str">
        <f>IF(CS177="","",IF($J$14="A","PHSアンテナ"))</f>
        <v/>
      </c>
      <c r="CS177" s="189" t="str">
        <f>BL178</f>
        <v/>
      </c>
      <c r="CU177" s="8"/>
      <c r="CV177" s="197">
        <f t="shared" si="90"/>
        <v>9</v>
      </c>
      <c r="CW177" s="197" t="str">
        <f t="shared" si="89"/>
        <v/>
      </c>
      <c r="CX177" s="10" t="str">
        <f>CO176</f>
        <v/>
      </c>
      <c r="CY177" s="8"/>
      <c r="CZ177" s="249" t="str">
        <f>IF(COUNTIF($CZ$10:$CZ176,CX177)&gt;0,"",CX177)</f>
        <v/>
      </c>
      <c r="DA177" s="515" t="str">
        <f>CP176</f>
        <v/>
      </c>
      <c r="DB177" s="514">
        <f>SUMIF($CX$20:$CX$182,CZ177,$DA$20:$DA$182)</f>
        <v>0</v>
      </c>
      <c r="DC177" s="8"/>
      <c r="DD177" s="8"/>
      <c r="DE177" s="197">
        <f t="shared" si="105"/>
        <v>14</v>
      </c>
      <c r="DF177" s="197" t="str">
        <f t="shared" si="106"/>
        <v/>
      </c>
      <c r="DG177" s="207" t="str">
        <f>CO180</f>
        <v/>
      </c>
      <c r="DH177" s="8"/>
      <c r="DI177" s="249" t="str">
        <f>IF(COUNTIF(DG$18:$DG176,DG177)&gt;0,"",DG177)</f>
        <v/>
      </c>
      <c r="DJ177" s="515" t="str">
        <f>CP180</f>
        <v/>
      </c>
      <c r="DK177" s="514">
        <f t="shared" si="107"/>
        <v>0</v>
      </c>
      <c r="DL177" s="8"/>
      <c r="DM177" s="8"/>
      <c r="DN177" s="197">
        <f>IF(DR177&lt;&gt;"",DN176+1,DN176)</f>
        <v>4</v>
      </c>
      <c r="DO177" s="197" t="str">
        <f t="shared" si="108"/>
        <v/>
      </c>
      <c r="DP177" s="207" t="str">
        <f>CR176</f>
        <v/>
      </c>
      <c r="DQ177" s="8"/>
      <c r="DR177" s="249" t="str">
        <f>IF(COUNTIF(DP$18:$DP176,DP177)&gt;0,"",DP177)</f>
        <v/>
      </c>
      <c r="DS177" s="198" t="str">
        <f>CS176</f>
        <v/>
      </c>
      <c r="DT177" s="514">
        <f t="shared" si="109"/>
        <v>0</v>
      </c>
    </row>
    <row r="178" spans="2:124" ht="11.25" customHeight="1" thickBot="1">
      <c r="B178" s="23"/>
      <c r="C178" s="2987" t="str">
        <f>IF($B$2=0,"",非誘!C137)</f>
        <v/>
      </c>
      <c r="D178" s="2988"/>
      <c r="E178" s="2988"/>
      <c r="F178" s="2989" t="str">
        <f>IF($B$2=0,"",非誘!F137)</f>
        <v/>
      </c>
      <c r="G178" s="2989"/>
      <c r="H178" s="2989"/>
      <c r="I178" s="2989" t="str">
        <f>IF($B$2=0,"",非誘!J137)</f>
        <v/>
      </c>
      <c r="J178" s="2989"/>
      <c r="K178" s="2989"/>
      <c r="L178" s="2990" t="str">
        <f>IF($B$2=0,"",非誘!N137)</f>
        <v/>
      </c>
      <c r="M178" s="2990"/>
      <c r="N178" s="2990"/>
      <c r="O178" s="2990"/>
      <c r="P178" s="2991" t="str">
        <f>IF($B$2=0,"",非誘!S137)</f>
        <v/>
      </c>
      <c r="Q178" s="2991"/>
      <c r="R178" s="2991"/>
      <c r="S178" s="2991"/>
      <c r="T178" s="2991" t="str">
        <f>IF($B$2=0,"",非誘!W137)</f>
        <v/>
      </c>
      <c r="U178" s="2992"/>
      <c r="V178" s="2992"/>
      <c r="W178" s="2992"/>
      <c r="X178" s="2993" t="str">
        <f>IF($B$2=0,"",非誘!AA137)</f>
        <v/>
      </c>
      <c r="Y178" s="2993"/>
      <c r="Z178" s="2993"/>
      <c r="AA178" s="2993" t="str">
        <f>IF($B$2=0,"",非誘!AD137)</f>
        <v/>
      </c>
      <c r="AB178" s="2993"/>
      <c r="AC178" s="2994"/>
      <c r="AD178" s="2966" t="str">
        <f>IF(C178="","",CB176*CC176)</f>
        <v/>
      </c>
      <c r="AE178" s="2967"/>
      <c r="AF178" s="2968"/>
      <c r="AG178" s="2969" t="str">
        <f>IF(C178="","",放送!CB172)</f>
        <v/>
      </c>
      <c r="AH178" s="2967"/>
      <c r="AI178" s="2968"/>
      <c r="AJ178" s="2970" t="str">
        <f>IF(C178="","",IF(TV!BL39="設置","Space","---"))</f>
        <v/>
      </c>
      <c r="AK178" s="2971"/>
      <c r="AL178" s="2971"/>
      <c r="AM178" s="2969"/>
      <c r="AN178" s="2967"/>
      <c r="AO178" s="2968"/>
      <c r="AP178" s="2972"/>
      <c r="AQ178" s="2973"/>
      <c r="AR178" s="2923" t="str">
        <f>IF(C178="","",IF(AZ178="",CB180,AZ178))</f>
        <v/>
      </c>
      <c r="AS178" s="2924"/>
      <c r="AT178" s="538" t="s">
        <v>86</v>
      </c>
      <c r="AU178" s="2946"/>
      <c r="AV178" s="2947"/>
      <c r="AW178" s="2923" t="str">
        <f>IF(C178="","",IF(CA179="",0,IF(AZ178="",CB179,AZ178)))</f>
        <v/>
      </c>
      <c r="AX178" s="2924"/>
      <c r="AY178" s="538" t="s">
        <v>86</v>
      </c>
      <c r="AZ178" s="2999"/>
      <c r="BA178" s="3000"/>
      <c r="BB178" s="2951" t="str">
        <f>IF(OR($J$14&lt;&gt;"A",CA179=""),"",IF(BE178&lt;&gt;"",BE178,CB179))</f>
        <v/>
      </c>
      <c r="BC178" s="2952"/>
      <c r="BD178" s="537" t="s">
        <v>86</v>
      </c>
      <c r="BE178" s="2938"/>
      <c r="BF178" s="2938"/>
      <c r="BG178" s="2951" t="str">
        <f>IF(C178="","",IF(OR($J$14&lt;&gt;"A",CA180=""),"",IF(BJ178&lt;&gt;"",BE178,CB180)))</f>
        <v/>
      </c>
      <c r="BH178" s="2952"/>
      <c r="BI178" s="537" t="s">
        <v>86</v>
      </c>
      <c r="BJ178" s="2938"/>
      <c r="BK178" s="2938"/>
      <c r="BL178" s="2951" t="str">
        <f>IF(OR($J$14&lt;&gt;"A",CA181=""),"",IF(BO178&lt;&gt;"",BO178,CB181))</f>
        <v/>
      </c>
      <c r="BM178" s="2952"/>
      <c r="BN178" s="537" t="s">
        <v>86</v>
      </c>
      <c r="BO178" s="2964"/>
      <c r="BP178" s="2965"/>
      <c r="BQ178" s="2939" t="str">
        <f>IF(BQ176="設置","Ｅt","")</f>
        <v/>
      </c>
      <c r="BR178" s="2845"/>
      <c r="BS178" s="2845"/>
      <c r="BT178" s="2940"/>
      <c r="BU178" s="19"/>
      <c r="BW178" s="89" t="str">
        <f>AP175</f>
        <v>Ⓖ</v>
      </c>
      <c r="BX178" s="263" t="str">
        <f>IF(C178="","",IF(BW178="Ⓐ",BX176+BY176+3,IF(BW178="Ⓑ",BX176*5/8+BY176+3,IF(BW178="Ⓒ",BX176/2+BY176+3,IF(BW178="Ⓓ",BX176+BY176*5/8+3,IF(BW178="Ⓔ",(BX176+BY176)*5/8+3,IF(BW178="Ⓕ",BX176/2+BY176*5/8+3,IF(BW178="Ⓖ",BX176+BY176/2+3,IF(BW178="Ⓗ",BX176*5/8+BY176/2+3,IF(BW178="Ⓘ",(BX176+BY176)/2+3))))))))))</f>
        <v/>
      </c>
      <c r="BY178" s="86">
        <f>IF(C178="",0,IF(BY177="=",BZ175,IF(BY177="-",CA175,CB175)))</f>
        <v>0</v>
      </c>
      <c r="BZ178" s="156"/>
      <c r="CA178" s="536" t="e">
        <f>IF(CA176&lt;=30,"25",IF(CA176&lt;=50,"31",IF(CA176&lt;=100,"39",IF(CA176&lt;=200,"51",""))))</f>
        <v>#VALUE!</v>
      </c>
      <c r="CB178" s="535" t="e">
        <f>IF(CA176&lt;=30,"22",IF(CA176&lt;=50,"28",IF(CA176&lt;=100,"36",IF(CA176&lt;=200,"42",""))))</f>
        <v>#VALUE!</v>
      </c>
      <c r="CC178" s="122"/>
      <c r="CD178" s="534"/>
      <c r="CE178" s="156" t="s">
        <v>738</v>
      </c>
      <c r="CF178" s="533"/>
      <c r="CG178" s="189" t="e">
        <f>IF($B$2="","",IF($AQ$8=0,0,0.02*($AQ$8/1000-0.15-0.1)*(INT(1000*BX176/$AQ$9)+1)*(INT(1000*BY176/$AQ$9)+1)*4*(AR178+AW178)))</f>
        <v>#VALUE!</v>
      </c>
      <c r="CH178" s="532"/>
      <c r="CI178" s="531"/>
      <c r="CJ178" s="15"/>
      <c r="CK178" s="528" t="e">
        <f>IF(E180="不","",SUM(CH176+CJ176)*MAX(P178:W178)/L178)</f>
        <v>#VALUE!</v>
      </c>
      <c r="CL178" s="528" t="e">
        <f>IF(E180="不","",CJ179)</f>
        <v>#VALUE!</v>
      </c>
      <c r="CM178" s="527" t="s">
        <v>7</v>
      </c>
      <c r="CN178" s="15"/>
      <c r="CO178" s="252" t="str">
        <f>IF(CP178="","","導入線 1.2mmφ")</f>
        <v>導入線 1.2mmφ</v>
      </c>
      <c r="CP178" s="184">
        <f>1.1*INT(SUM(CP179:CP181))</f>
        <v>0</v>
      </c>
      <c r="CR178" s="519" t="str">
        <f>IF(CS178="","",IF($J$14="A","PHS電話機"))</f>
        <v/>
      </c>
      <c r="CS178" s="189" t="str">
        <f>IF(CS177="","",INT(CS177*1.5))</f>
        <v/>
      </c>
      <c r="CU178" s="8"/>
      <c r="CV178" s="197">
        <f t="shared" si="90"/>
        <v>9</v>
      </c>
      <c r="CW178" s="197" t="str">
        <f t="shared" si="89"/>
        <v/>
      </c>
      <c r="CX178" s="10" t="str">
        <f>CO177</f>
        <v/>
      </c>
      <c r="CY178" s="8"/>
      <c r="CZ178" s="249" t="str">
        <f>IF(COUNTIF($CZ$10:$CZ177,CX178)&gt;0,"",CX178)</f>
        <v/>
      </c>
      <c r="DA178" s="515" t="str">
        <f>CP177</f>
        <v/>
      </c>
      <c r="DB178" s="514">
        <f>SUMIF($CX$20:$CX$182,CZ178,$DA$20:$DA$182)</f>
        <v>0</v>
      </c>
      <c r="DC178" s="8"/>
      <c r="DD178" s="8"/>
      <c r="DE178" s="197">
        <f t="shared" si="105"/>
        <v>14</v>
      </c>
      <c r="DF178" s="197" t="str">
        <f t="shared" si="106"/>
        <v/>
      </c>
      <c r="DG178" s="207" t="str">
        <f>CO181</f>
        <v/>
      </c>
      <c r="DH178" s="8"/>
      <c r="DI178" s="249" t="str">
        <f>IF(COUNTIF(DG$18:$DG177,DG178)&gt;0,"",DG178)</f>
        <v/>
      </c>
      <c r="DJ178" s="515" t="str">
        <f>CP181</f>
        <v/>
      </c>
      <c r="DK178" s="514">
        <f t="shared" si="107"/>
        <v>0</v>
      </c>
      <c r="DL178" s="8"/>
      <c r="DM178" s="8"/>
      <c r="DN178" s="197">
        <f>IF(DR178&lt;&gt;"",DN177+1,DN177)</f>
        <v>4</v>
      </c>
      <c r="DO178" s="197" t="str">
        <f t="shared" si="108"/>
        <v/>
      </c>
      <c r="DP178" s="10" t="str">
        <f>CR177</f>
        <v/>
      </c>
      <c r="DQ178" s="8"/>
      <c r="DR178" s="249" t="str">
        <f>IF(COUNTIF(DP$18:$DP177,DP178)&gt;0,"",DP178)</f>
        <v/>
      </c>
      <c r="DS178" s="198" t="str">
        <f>CS177</f>
        <v/>
      </c>
      <c r="DT178" s="514">
        <f t="shared" si="109"/>
        <v>0</v>
      </c>
    </row>
    <row r="179" spans="2:124" ht="11.25" customHeight="1" thickBot="1">
      <c r="B179" s="23"/>
      <c r="C179" s="3048" t="s">
        <v>737</v>
      </c>
      <c r="D179" s="3049"/>
      <c r="E179" s="3049"/>
      <c r="F179" s="3049"/>
      <c r="G179" s="3049"/>
      <c r="H179" s="3049"/>
      <c r="I179" s="3049"/>
      <c r="J179" s="3050" t="s">
        <v>736</v>
      </c>
      <c r="K179" s="3051"/>
      <c r="L179" s="3051"/>
      <c r="M179" s="3051"/>
      <c r="N179" s="3052" t="s">
        <v>735</v>
      </c>
      <c r="O179" s="2891"/>
      <c r="P179" s="2892"/>
      <c r="Q179" s="3057" t="str">
        <f>IF(OR(C178="",$J$14="C"),"",IF(Z179="",BZ177,Z179))</f>
        <v/>
      </c>
      <c r="R179" s="3057"/>
      <c r="S179" s="3057"/>
      <c r="T179" s="3057"/>
      <c r="U179" s="3057"/>
      <c r="V179" s="3057"/>
      <c r="W179" s="3057"/>
      <c r="X179" s="3057"/>
      <c r="Y179" s="524" t="s">
        <v>106</v>
      </c>
      <c r="Z179" s="2902"/>
      <c r="AA179" s="2903"/>
      <c r="AB179" s="2903"/>
      <c r="AC179" s="2903"/>
      <c r="AD179" s="2903"/>
      <c r="AE179" s="2903"/>
      <c r="AF179" s="2903"/>
      <c r="AG179" s="2904"/>
      <c r="AH179" s="2877" t="s">
        <v>734</v>
      </c>
      <c r="AI179" s="2878"/>
      <c r="AJ179" s="2879"/>
      <c r="AK179" s="3058" t="str">
        <f>IF(C178="","",IF(AP179&lt;&gt;"",AP179,IF($J$14="C","",SUM(CF176:CF177)*CC176)))</f>
        <v/>
      </c>
      <c r="AL179" s="3058"/>
      <c r="AM179" s="3058"/>
      <c r="AN179" s="3058"/>
      <c r="AO179" s="524" t="s">
        <v>106</v>
      </c>
      <c r="AP179" s="2911"/>
      <c r="AQ179" s="2912"/>
      <c r="AR179" s="2912"/>
      <c r="AS179" s="2913"/>
      <c r="AT179" s="2890" t="s">
        <v>733</v>
      </c>
      <c r="AU179" s="2891"/>
      <c r="AV179" s="2892"/>
      <c r="AW179" s="2899" t="str">
        <f>IF(C178="","",IF(BE179&lt;&gt;"",BE179,IF(BB175=2,"PF-"&amp;CB178&amp;"mm",IF(OR(BB175=3,BB175=6),"C-"&amp;CA178&amp;"mm",IF(OR(BB175=4,BB175=7),"G-"&amp;CB178&amp;"mm",IF(OR(BB175=1,BB175=5),"CD-"&amp;CB178&amp;"mm",""))))))</f>
        <v/>
      </c>
      <c r="AX179" s="2900"/>
      <c r="AY179" s="2900"/>
      <c r="AZ179" s="2900"/>
      <c r="BA179" s="2900"/>
      <c r="BB179" s="2900"/>
      <c r="BC179" s="2901"/>
      <c r="BD179" s="524" t="s">
        <v>106</v>
      </c>
      <c r="BE179" s="2902"/>
      <c r="BF179" s="2903"/>
      <c r="BG179" s="2903"/>
      <c r="BH179" s="2903"/>
      <c r="BI179" s="2903"/>
      <c r="BJ179" s="2904"/>
      <c r="BK179" s="2877" t="s">
        <v>732</v>
      </c>
      <c r="BL179" s="2878"/>
      <c r="BM179" s="2879"/>
      <c r="BN179" s="2914" t="str">
        <f>IF(C178="","",IF(BR179="",CF180*CC176,BR179))</f>
        <v/>
      </c>
      <c r="BO179" s="2915"/>
      <c r="BP179" s="2916"/>
      <c r="BQ179" s="524" t="s">
        <v>106</v>
      </c>
      <c r="BR179" s="3202"/>
      <c r="BS179" s="3203"/>
      <c r="BT179" s="3204"/>
      <c r="BU179" s="19"/>
      <c r="BX179" s="530"/>
      <c r="BY179" s="46"/>
      <c r="BZ179" s="106" t="s">
        <v>731</v>
      </c>
      <c r="CA179" s="529" t="str">
        <f>IF(P178="","",IF(OR(I175="(1) ロ",I175="( 4 )",I175="(5) イ",I175="(6) イ",I175="(6) ロ",I175="(6) ハ",I175="( 7 )",I175="( 8 )",I175="( 15)"),"1",""))</f>
        <v/>
      </c>
      <c r="CB179" s="151">
        <f>IF(P178="",0,INT(P178/20))</f>
        <v>0</v>
      </c>
      <c r="CC179" s="122">
        <f>IF(CA179="",0,CB179)</f>
        <v>0</v>
      </c>
      <c r="CD179" s="6"/>
      <c r="CE179" s="156" t="s">
        <v>730</v>
      </c>
      <c r="CF179" s="189"/>
      <c r="CG179" s="189" t="e">
        <f>BX178*(1+INT(AR178/10))+CG181</f>
        <v>#VALUE!</v>
      </c>
      <c r="CH179" s="189">
        <f>IF(AW178="",0,BX178*(1+INT(AW178/10)))</f>
        <v>0</v>
      </c>
      <c r="CI179" s="82" t="s">
        <v>729</v>
      </c>
      <c r="CJ179" s="98" t="e">
        <f>7.32*(AW178-2*SQRT(AW178))</f>
        <v>#VALUE!</v>
      </c>
      <c r="CK179" s="528" t="e">
        <f>IF(E181="不","",SUM(CH176+CJ176)*T178/L178)</f>
        <v>#VALUE!</v>
      </c>
      <c r="CL179" s="528" t="e">
        <f>CJ179</f>
        <v>#VALUE!</v>
      </c>
      <c r="CM179" s="527" t="s">
        <v>8</v>
      </c>
      <c r="CN179" s="69"/>
      <c r="CO179" s="252" t="str">
        <f>AW179</f>
        <v/>
      </c>
      <c r="CP179" s="520" t="str">
        <f>BN179</f>
        <v/>
      </c>
      <c r="CR179" s="519" t="str">
        <f>IF(CS179=0,"","C-OBox4角中深")</f>
        <v/>
      </c>
      <c r="CS179" s="189">
        <f>IF($J$14="A",SUM(CS176:CS177),AR178)</f>
        <v>0</v>
      </c>
      <c r="CU179" s="8"/>
      <c r="CV179" s="197">
        <f t="shared" si="90"/>
        <v>9</v>
      </c>
      <c r="CW179" s="197" t="str">
        <f t="shared" si="89"/>
        <v/>
      </c>
      <c r="CX179" s="207" t="str">
        <f>IF(BQ178="","","IV-14sq")</f>
        <v/>
      </c>
      <c r="CY179" s="8"/>
      <c r="CZ179" s="249" t="str">
        <f>IF(COUNTIF($CZ$10:$CZ178,CX179)&gt;0,"",CX179)</f>
        <v/>
      </c>
      <c r="DA179" s="515" t="str">
        <f>IF(BQ178="","",BX178+BY176+15)</f>
        <v/>
      </c>
      <c r="DB179" s="514">
        <f>SUMIF($CX$20:$CX$182,CZ179,$DA$20:$DA$182)</f>
        <v>0</v>
      </c>
      <c r="DD179" s="8"/>
      <c r="DE179" s="197">
        <f>IF(DJ179&lt;&gt;"",DE178+1,DE178)</f>
        <v>14</v>
      </c>
      <c r="DF179" s="197" t="str">
        <f>IF(AND(DE179&lt;&gt;"",DJ179&lt;&gt;""),DE179,"")</f>
        <v/>
      </c>
      <c r="DG179" s="207"/>
      <c r="DH179" s="8"/>
      <c r="DI179" s="249"/>
      <c r="DJ179" s="515"/>
      <c r="DK179" s="514">
        <f t="shared" si="107"/>
        <v>0</v>
      </c>
      <c r="DM179" s="8"/>
      <c r="DN179" s="197">
        <f>IF(DR179&lt;&gt;"",DN178+1,DN178)</f>
        <v>4</v>
      </c>
      <c r="DO179" s="197" t="str">
        <f t="shared" si="108"/>
        <v/>
      </c>
      <c r="DP179" s="10" t="str">
        <f>CR178</f>
        <v/>
      </c>
      <c r="DQ179" s="8"/>
      <c r="DR179" s="249" t="str">
        <f>IF(COUNTIF(DP$18:$DP178,DP179)&gt;0,"",DP179)</f>
        <v/>
      </c>
      <c r="DS179" s="198" t="str">
        <f>CS178</f>
        <v/>
      </c>
      <c r="DT179" s="514">
        <f t="shared" si="109"/>
        <v>0</v>
      </c>
    </row>
    <row r="180" spans="2:124" ht="11.25" customHeight="1">
      <c r="B180" s="23"/>
      <c r="C180" s="3205" t="s">
        <v>728</v>
      </c>
      <c r="D180" s="3205"/>
      <c r="E180" s="3016" t="str">
        <f>IF($D$9="不要","不",IF(H180="","要",H180))</f>
        <v>要</v>
      </c>
      <c r="F180" s="3016"/>
      <c r="G180" s="523" t="s">
        <v>86</v>
      </c>
      <c r="H180" s="3017"/>
      <c r="I180" s="3018"/>
      <c r="J180" s="3019" t="s">
        <v>727</v>
      </c>
      <c r="K180" s="3020"/>
      <c r="L180" s="3020"/>
      <c r="M180" s="3021"/>
      <c r="N180" s="3053"/>
      <c r="O180" s="2894"/>
      <c r="P180" s="2895"/>
      <c r="Q180" s="3025" t="str">
        <f>IF(OR(C178="",$J$14="C"),"",IF(Z180&lt;&gt;"",Z180,"電子釦 0.4- 4Pr"))</f>
        <v/>
      </c>
      <c r="R180" s="2933"/>
      <c r="S180" s="2933"/>
      <c r="T180" s="2933"/>
      <c r="U180" s="2933"/>
      <c r="V180" s="2933"/>
      <c r="W180" s="2933"/>
      <c r="X180" s="2934"/>
      <c r="Y180" s="526" t="s">
        <v>86</v>
      </c>
      <c r="Z180" s="3026"/>
      <c r="AA180" s="3027"/>
      <c r="AB180" s="3027"/>
      <c r="AC180" s="3027"/>
      <c r="AD180" s="3027"/>
      <c r="AE180" s="3027"/>
      <c r="AF180" s="3027"/>
      <c r="AG180" s="3028"/>
      <c r="AH180" s="2880" t="s">
        <v>726</v>
      </c>
      <c r="AI180" s="2881"/>
      <c r="AJ180" s="2882"/>
      <c r="AK180" s="2995" t="str">
        <f>IF(C178="","",IF(AP180&lt;&gt;"",AP180,IF($J$14="C","",SUM(CK176:CK177))))</f>
        <v/>
      </c>
      <c r="AL180" s="2995"/>
      <c r="AM180" s="2995"/>
      <c r="AN180" s="2995"/>
      <c r="AO180" s="526" t="s">
        <v>86</v>
      </c>
      <c r="AP180" s="2996"/>
      <c r="AQ180" s="2997"/>
      <c r="AR180" s="2997"/>
      <c r="AS180" s="2998"/>
      <c r="AT180" s="2893"/>
      <c r="AU180" s="2894"/>
      <c r="AV180" s="2895"/>
      <c r="AW180" s="2933" t="str">
        <f>IF(C178="","",IF(BE180&lt;&gt;"",BE180,IF(BB175=2,"PF-22mm",IF(OR(BB175=3,BB175=6),"C-25mm",IF(OR(BB175=4,BB175=7),"G-22mm",IF(OR(BB175=1,BB175=5),"CD-22mm",""))))))</f>
        <v/>
      </c>
      <c r="AX180" s="2933"/>
      <c r="AY180" s="2933"/>
      <c r="AZ180" s="2933"/>
      <c r="BA180" s="2933"/>
      <c r="BB180" s="2933"/>
      <c r="BC180" s="2934"/>
      <c r="BD180" s="526" t="s">
        <v>86</v>
      </c>
      <c r="BE180" s="2935"/>
      <c r="BF180" s="2936"/>
      <c r="BG180" s="2936"/>
      <c r="BH180" s="2936"/>
      <c r="BI180" s="2936"/>
      <c r="BJ180" s="2937"/>
      <c r="BK180" s="2880" t="s">
        <v>725</v>
      </c>
      <c r="BL180" s="2881"/>
      <c r="BM180" s="2882"/>
      <c r="BN180" s="2948" t="str">
        <f>IF(C178="","",IF(BR180="",SUM(CL176:CL177),BR180))</f>
        <v/>
      </c>
      <c r="BO180" s="2949"/>
      <c r="BP180" s="2950"/>
      <c r="BQ180" s="525" t="s">
        <v>724</v>
      </c>
      <c r="BR180" s="3029"/>
      <c r="BS180" s="3030"/>
      <c r="BT180" s="3031"/>
      <c r="BU180" s="19"/>
      <c r="BX180" s="49" t="e">
        <f>1+INT(L178/600)</f>
        <v>#VALUE!</v>
      </c>
      <c r="BY180" s="46"/>
      <c r="BZ180" s="106" t="s">
        <v>723</v>
      </c>
      <c r="CA180" s="522" t="str">
        <f>"1"</f>
        <v>1</v>
      </c>
      <c r="CB180" s="151" t="e">
        <f>IF(CA179="",INT(T178/40)+CB179,INT(T178/40))</f>
        <v>#VALUE!</v>
      </c>
      <c r="CC180" s="122" t="e">
        <f>IF(CB180="",0,CB180)</f>
        <v>#VALUE!</v>
      </c>
      <c r="CD180" s="6"/>
      <c r="CE180" s="156" t="s">
        <v>722</v>
      </c>
      <c r="CF180" s="189" t="str">
        <f>F178</f>
        <v/>
      </c>
      <c r="CG180" s="189" t="e">
        <f>IF(BB175&lt;=4,(2*F178-(R164+R166)/1000)*AR178,((R165+R166)/1000)*AR178)</f>
        <v>#VALUE!</v>
      </c>
      <c r="CH180" s="189" t="e">
        <f>2*(R166/1000)*AR178</f>
        <v>#VALUE!</v>
      </c>
      <c r="CI180" s="82" t="s">
        <v>721</v>
      </c>
      <c r="CJ180" s="86" t="str">
        <f>AW178</f>
        <v/>
      </c>
      <c r="CK180" s="38"/>
      <c r="CL180" s="38"/>
      <c r="CM180" s="38"/>
      <c r="CN180" s="38"/>
      <c r="CO180" s="252" t="str">
        <f>AW180</f>
        <v/>
      </c>
      <c r="CP180" s="520" t="str">
        <f>BN180</f>
        <v/>
      </c>
      <c r="CR180" s="519" t="str">
        <f>IF(CS180="","",IF(LEFT(AW181,1)="フ","ジャンクションボックス 2Duct","C-OBox4角大深"))</f>
        <v/>
      </c>
      <c r="CS180" s="189" t="str">
        <f>IF(AW178=0,"",AW178)</f>
        <v/>
      </c>
      <c r="CU180" s="8"/>
      <c r="CV180" s="197">
        <f t="shared" si="90"/>
        <v>9</v>
      </c>
      <c r="CW180" s="197" t="str">
        <f>IF(AND(CV180&lt;&gt;"",CZ180&lt;&gt;""),CV180,"")</f>
        <v/>
      </c>
      <c r="CX180" s="207" t="str">
        <f>IF(BQ178="","","VE-22mm")</f>
        <v/>
      </c>
      <c r="CY180" s="8"/>
      <c r="CZ180" s="249" t="str">
        <f>IF(COUNTIF($CZ$10:$CZ179,CX180)&gt;0,"",CX180)</f>
        <v/>
      </c>
      <c r="DA180" s="515" t="str">
        <f>IF(BQ178="","",DA179-10)</f>
        <v/>
      </c>
      <c r="DB180" s="514">
        <f>SUMIF($CX$20:$CX$182,CZ180,$DA$20:$DA$182)</f>
        <v>0</v>
      </c>
      <c r="DD180" s="8"/>
      <c r="DE180" s="197">
        <f>IF(DI180&lt;&gt;"",DE179+1,DE179)</f>
        <v>14</v>
      </c>
      <c r="DF180" s="197" t="str">
        <f>IF(AND(DE180&lt;&gt;"",DI180&lt;&gt;""),DE180,"")</f>
        <v/>
      </c>
      <c r="DG180" s="207" t="str">
        <f>CR179</f>
        <v/>
      </c>
      <c r="DH180" s="8"/>
      <c r="DI180" s="249" t="str">
        <f>IF(COUNTIF(DG$18:$DG179,DG180)&gt;0,"",DG180)</f>
        <v/>
      </c>
      <c r="DJ180" s="515">
        <f>CS179</f>
        <v>0</v>
      </c>
      <c r="DK180" s="514">
        <f t="shared" si="107"/>
        <v>0</v>
      </c>
      <c r="DM180" s="8"/>
      <c r="DN180" s="197">
        <f>IF(DS180&lt;&gt;"",DN179+1,DN179)</f>
        <v>4</v>
      </c>
      <c r="DO180" s="197" t="str">
        <f t="shared" si="108"/>
        <v/>
      </c>
      <c r="DP180" s="10" t="str">
        <f>IF(BQ176="","","電話交換機")</f>
        <v/>
      </c>
      <c r="DQ180" s="8"/>
      <c r="DR180" s="249" t="str">
        <f>IF(COUNTIF(DP$18:$DP179,DP180)&gt;0,"",DP180)</f>
        <v/>
      </c>
      <c r="DS180" s="198" t="str">
        <f>IF(DP180&lt;&gt;"",1,"")</f>
        <v/>
      </c>
      <c r="DT180" s="514">
        <f t="shared" si="109"/>
        <v>0</v>
      </c>
    </row>
    <row r="181" spans="2:124" ht="11.25" customHeight="1">
      <c r="B181" s="23"/>
      <c r="C181" s="2959" t="s">
        <v>720</v>
      </c>
      <c r="D181" s="2959"/>
      <c r="E181" s="3016" t="str">
        <f>IF($D$9="不要","不",IF(H181="","要",H181))</f>
        <v>要</v>
      </c>
      <c r="F181" s="3016"/>
      <c r="G181" s="525" t="s">
        <v>86</v>
      </c>
      <c r="H181" s="3017"/>
      <c r="I181" s="3018"/>
      <c r="J181" s="3022"/>
      <c r="K181" s="3023"/>
      <c r="L181" s="3023"/>
      <c r="M181" s="3024"/>
      <c r="N181" s="3054"/>
      <c r="O181" s="3055"/>
      <c r="P181" s="3056"/>
      <c r="Q181" s="3201" t="str">
        <f>IF(C178="","",IF(Z181&lt;&gt;"",Z181,"TIVF 0.8-2C"))</f>
        <v/>
      </c>
      <c r="R181" s="3201"/>
      <c r="S181" s="3201"/>
      <c r="T181" s="3201"/>
      <c r="U181" s="3201"/>
      <c r="V181" s="3201"/>
      <c r="W181" s="3201"/>
      <c r="X181" s="3201"/>
      <c r="Y181" s="524" t="s">
        <v>34</v>
      </c>
      <c r="Z181" s="2941"/>
      <c r="AA181" s="2942"/>
      <c r="AB181" s="2942"/>
      <c r="AC181" s="2942"/>
      <c r="AD181" s="2942"/>
      <c r="AE181" s="2942"/>
      <c r="AF181" s="2942"/>
      <c r="AG181" s="3199"/>
      <c r="AH181" s="2883" t="s">
        <v>113</v>
      </c>
      <c r="AI181" s="2884"/>
      <c r="AJ181" s="2885"/>
      <c r="AK181" s="2953" t="str">
        <f>IF(C178="","",IF(AP181&lt;&gt;"",AP181,IF($J$14="C","",SUM(CK178:CK179))))</f>
        <v/>
      </c>
      <c r="AL181" s="2954"/>
      <c r="AM181" s="2954"/>
      <c r="AN181" s="2955"/>
      <c r="AO181" s="524" t="s">
        <v>34</v>
      </c>
      <c r="AP181" s="2911"/>
      <c r="AQ181" s="2912"/>
      <c r="AR181" s="2912"/>
      <c r="AS181" s="2913"/>
      <c r="AT181" s="2896"/>
      <c r="AU181" s="2897"/>
      <c r="AV181" s="2898"/>
      <c r="AW181" s="2939" t="str">
        <f>IF(C178="","",IF(BN181="","",IF(BE181="","フロアダクト FC-6",BE181)))</f>
        <v/>
      </c>
      <c r="AX181" s="2845"/>
      <c r="AY181" s="2845"/>
      <c r="AZ181" s="2845"/>
      <c r="BA181" s="2845"/>
      <c r="BB181" s="2845"/>
      <c r="BC181" s="2940"/>
      <c r="BD181" s="524" t="s">
        <v>102</v>
      </c>
      <c r="BE181" s="2941"/>
      <c r="BF181" s="2942"/>
      <c r="BG181" s="2942"/>
      <c r="BH181" s="2942"/>
      <c r="BI181" s="2942"/>
      <c r="BJ181" s="2942"/>
      <c r="BK181" s="2883" t="s">
        <v>719</v>
      </c>
      <c r="BL181" s="2884"/>
      <c r="BM181" s="2885"/>
      <c r="BN181" s="2943" t="str">
        <f>IF(C178="","",IF(BR181="",MAX(CL178:CL179),BR181))</f>
        <v/>
      </c>
      <c r="BO181" s="2944"/>
      <c r="BP181" s="2945"/>
      <c r="BQ181" s="523" t="s">
        <v>102</v>
      </c>
      <c r="BR181" s="3200"/>
      <c r="BS181" s="3200"/>
      <c r="BT181" s="3200"/>
      <c r="BU181" s="19"/>
      <c r="BX181" s="47"/>
      <c r="BZ181" s="106" t="s">
        <v>718</v>
      </c>
      <c r="CA181" s="522" t="str">
        <f>IF(OR(I175="( 10)",I175="(12)イ"),"1","")</f>
        <v/>
      </c>
      <c r="CB181" s="151" t="str">
        <f>IF(CA181="","",INT(P178/200))</f>
        <v/>
      </c>
      <c r="CC181" s="122">
        <f>IF(CB181="",0,CB181)</f>
        <v>0</v>
      </c>
      <c r="CE181" s="156" t="s">
        <v>716</v>
      </c>
      <c r="CF181" s="521"/>
      <c r="CG181" s="189">
        <f>IF($AQ$8=0,1.5*2*(1+INT(2*BX176/($AQ$9/1000)))*(1+INT(2*BY176/($AQ$9/1000))),0)</f>
        <v>0</v>
      </c>
      <c r="CH181" s="82"/>
      <c r="CI181" s="82" t="s">
        <v>715</v>
      </c>
      <c r="CJ181" s="107" t="str">
        <f>AR178</f>
        <v/>
      </c>
      <c r="CK181" s="12"/>
      <c r="CL181" s="12"/>
      <c r="CM181" s="12"/>
      <c r="CN181" s="12"/>
      <c r="CO181" s="252" t="str">
        <f>AW181</f>
        <v/>
      </c>
      <c r="CP181" s="520" t="str">
        <f>BN181</f>
        <v/>
      </c>
      <c r="CR181" s="519" t="str">
        <f>IF(CS181="","","ローテンションアウトレット")</f>
        <v/>
      </c>
      <c r="CS181" s="189" t="str">
        <f>CS175</f>
        <v/>
      </c>
      <c r="CV181" s="197">
        <f t="shared" si="90"/>
        <v>9</v>
      </c>
      <c r="CW181" s="197" t="str">
        <f>IF(AND(CV181&lt;&gt;"",CZ181&lt;&gt;""),CV181,"")</f>
        <v/>
      </c>
      <c r="CX181" s="207"/>
      <c r="CY181" s="24"/>
      <c r="DA181" s="515"/>
      <c r="DB181" s="516"/>
      <c r="DE181" s="197">
        <f>IF(DI181&lt;&gt;"",DE180+1,DE180)</f>
        <v>14</v>
      </c>
      <c r="DF181" s="197" t="str">
        <f>IF(AND(DE181&lt;&gt;"",DI181&lt;&gt;""),DE181,"")</f>
        <v/>
      </c>
      <c r="DG181" s="207" t="str">
        <f>CR180</f>
        <v/>
      </c>
      <c r="DH181" s="24"/>
      <c r="DI181" s="249" t="str">
        <f>IF(COUNTIF(DG$18:$DG180,DG181)&gt;0,"",DG181)</f>
        <v/>
      </c>
      <c r="DJ181" s="515" t="str">
        <f>CS180</f>
        <v/>
      </c>
      <c r="DK181" s="514">
        <f t="shared" si="107"/>
        <v>0</v>
      </c>
      <c r="DN181" s="197">
        <f>IF(DS181&lt;&gt;"",DN180+1,DN180)</f>
        <v>4</v>
      </c>
      <c r="DO181" s="197" t="str">
        <f t="shared" si="108"/>
        <v/>
      </c>
      <c r="DP181" s="10" t="str">
        <f>IF(BQ178="","","接地工事 Et")</f>
        <v/>
      </c>
      <c r="DQ181" s="24"/>
      <c r="DR181" s="249" t="str">
        <f>IF(COUNTIF(DP$18:$DP180,DP181)&gt;0,"",DP181)</f>
        <v/>
      </c>
      <c r="DS181" s="198" t="str">
        <f>IF(DP181&lt;&gt;"",1,"")</f>
        <v/>
      </c>
      <c r="DT181" s="514">
        <f t="shared" si="109"/>
        <v>0</v>
      </c>
    </row>
    <row r="182" spans="2:124" ht="11.25" customHeight="1">
      <c r="B182" s="23"/>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19"/>
      <c r="CV182" s="197">
        <f t="shared" si="90"/>
        <v>9</v>
      </c>
      <c r="CW182" s="197" t="str">
        <f>IF(AND(CV182&lt;&gt;"",CZ182&lt;&gt;""),CV182,"")</f>
        <v/>
      </c>
      <c r="CY182" s="24"/>
      <c r="DA182" s="516"/>
      <c r="DB182" s="516"/>
      <c r="DE182" s="197">
        <f>IF(DI182&lt;&gt;"",DE181+1,DE181)</f>
        <v>14</v>
      </c>
      <c r="DF182" s="197" t="str">
        <f>IF(AND(DE182&lt;&gt;"",DI182&lt;&gt;""),DE182,"")</f>
        <v/>
      </c>
      <c r="DG182" s="207" t="str">
        <f>CR181</f>
        <v/>
      </c>
      <c r="DH182" s="24"/>
      <c r="DI182" s="249" t="str">
        <f>IF(COUNTIF(DG$18:$DG181,DG182)&gt;0,"",DG182)</f>
        <v/>
      </c>
      <c r="DJ182" s="515" t="str">
        <f>CS181</f>
        <v/>
      </c>
      <c r="DK182" s="514">
        <f t="shared" si="107"/>
        <v>0</v>
      </c>
      <c r="DN182" s="197">
        <f>IF(DS182&lt;&gt;"",DN181+1,DN181)</f>
        <v>4</v>
      </c>
      <c r="DO182" s="197" t="str">
        <f>IF(AND(DN182&lt;&gt;"",DR182&lt;&gt;""),DN182,"")</f>
        <v/>
      </c>
      <c r="DP182" s="201"/>
      <c r="DQ182" s="24"/>
      <c r="DR182" s="249"/>
      <c r="DS182" s="198"/>
      <c r="DT182" s="514"/>
    </row>
    <row r="183" spans="2:124" ht="11.25" customHeight="1">
      <c r="B183" s="23"/>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19"/>
      <c r="CV183" s="197"/>
      <c r="CW183" s="197"/>
      <c r="CY183" s="24"/>
      <c r="DA183" s="516"/>
      <c r="DB183" s="516"/>
      <c r="DE183" s="197">
        <f>IF(DI183&lt;&gt;"",DE182+1,DE182)</f>
        <v>14</v>
      </c>
      <c r="DF183" s="197" t="str">
        <f>IF(AND(DE183&lt;&gt;"",DI183&lt;&gt;""),DE183,"")</f>
        <v/>
      </c>
      <c r="DG183" s="518" t="str">
        <f>CO178</f>
        <v>導入線 1.2mmφ</v>
      </c>
      <c r="DH183" s="9"/>
      <c r="DI183" s="126" t="str">
        <f>IF(COUNTIF(DG$9:$DG182,DG183)&gt;0,"",DG183)</f>
        <v/>
      </c>
      <c r="DJ183" s="127">
        <f>CP178</f>
        <v>0</v>
      </c>
      <c r="DK183" s="517">
        <f>SUMIF($DG$11:$DG$182,DI183,$DJ$11:$DJ$182)</f>
        <v>0</v>
      </c>
      <c r="DN183" s="197"/>
      <c r="DO183" s="127" t="str">
        <f>IF(AND(DN183&lt;&gt;"",DR183&lt;&gt;""),DN183,"")</f>
        <v/>
      </c>
      <c r="DP183" s="9"/>
      <c r="DQ183" s="9"/>
      <c r="DR183" s="9"/>
      <c r="DS183" s="9"/>
      <c r="DT183" s="9"/>
    </row>
    <row r="184" spans="2:124" ht="11.25" customHeight="1">
      <c r="B184" s="23"/>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19"/>
      <c r="CV184" s="197"/>
      <c r="CW184" s="197"/>
      <c r="CY184" s="24"/>
      <c r="DA184" s="516"/>
      <c r="DB184" s="516"/>
      <c r="DE184" s="197"/>
      <c r="DF184" s="197"/>
      <c r="DG184" s="207"/>
      <c r="DH184" s="24"/>
      <c r="DI184" s="249"/>
      <c r="DJ184" s="515"/>
      <c r="DK184" s="514"/>
      <c r="DN184" s="197"/>
      <c r="DO184" s="127"/>
      <c r="DP184" s="203"/>
      <c r="DQ184" s="12"/>
      <c r="DR184" s="126"/>
      <c r="DS184" s="124"/>
      <c r="DT184" s="517"/>
    </row>
    <row r="185" spans="2:124" ht="11.25" customHeight="1">
      <c r="B185" s="23"/>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19"/>
      <c r="CV185" s="197"/>
      <c r="CW185" s="197"/>
      <c r="CY185" s="24"/>
      <c r="DA185" s="516"/>
      <c r="DB185" s="516"/>
      <c r="DE185" s="197"/>
      <c r="DF185" s="197"/>
      <c r="DG185" s="207"/>
      <c r="DH185" s="24"/>
      <c r="DI185" s="249"/>
      <c r="DJ185" s="515"/>
      <c r="DK185" s="514"/>
      <c r="DN185" s="197"/>
      <c r="DO185" s="197"/>
      <c r="DP185" s="201"/>
      <c r="DQ185" s="24"/>
      <c r="DR185" s="249"/>
      <c r="DS185" s="198"/>
      <c r="DT185" s="514"/>
    </row>
    <row r="186" spans="2:124" ht="11.25" customHeight="1">
      <c r="B186" s="23"/>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19"/>
      <c r="CV186" s="197"/>
      <c r="CW186" s="197"/>
      <c r="CY186" s="24"/>
      <c r="DA186" s="516"/>
      <c r="DB186" s="516"/>
      <c r="DE186" s="197"/>
      <c r="DF186" s="197"/>
      <c r="DG186" s="207"/>
      <c r="DH186" s="24"/>
      <c r="DI186" s="249"/>
      <c r="DJ186" s="515"/>
      <c r="DK186" s="514"/>
      <c r="DN186" s="197"/>
      <c r="DO186" s="197"/>
      <c r="DP186" s="201"/>
      <c r="DQ186" s="24"/>
      <c r="DR186" s="249"/>
      <c r="DS186" s="198"/>
      <c r="DT186" s="514"/>
    </row>
    <row r="187" spans="2:124" ht="11.25" customHeight="1">
      <c r="B187" s="23"/>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19"/>
      <c r="CV187" s="197"/>
      <c r="CW187" s="197"/>
      <c r="CY187" s="24"/>
      <c r="DA187" s="516"/>
      <c r="DB187" s="516"/>
      <c r="DE187" s="197"/>
      <c r="DF187" s="197"/>
      <c r="DG187" s="207"/>
      <c r="DH187" s="24"/>
      <c r="DI187" s="249"/>
      <c r="DJ187" s="515"/>
      <c r="DK187" s="514"/>
      <c r="DN187" s="197"/>
      <c r="DO187" s="197"/>
      <c r="DP187" s="201"/>
      <c r="DQ187" s="24"/>
      <c r="DR187" s="249"/>
      <c r="DS187" s="198"/>
      <c r="DT187" s="514"/>
    </row>
    <row r="188" spans="2:124" ht="11.25" customHeight="1">
      <c r="B188" s="23"/>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19"/>
      <c r="CV188" s="197"/>
      <c r="CW188" s="197"/>
      <c r="CY188" s="24"/>
      <c r="DA188" s="516"/>
      <c r="DB188" s="516"/>
      <c r="DE188" s="197"/>
      <c r="DF188" s="197"/>
      <c r="DG188" s="207"/>
      <c r="DH188" s="24"/>
      <c r="DI188" s="249"/>
      <c r="DJ188" s="515"/>
      <c r="DK188" s="514"/>
      <c r="DN188" s="197"/>
      <c r="DO188" s="197"/>
      <c r="DP188" s="201"/>
      <c r="DQ188" s="24"/>
      <c r="DR188" s="249"/>
      <c r="DS188" s="198"/>
      <c r="DT188" s="514"/>
    </row>
    <row r="189" spans="2:124" ht="11.25" customHeight="1">
      <c r="B189" s="23"/>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19"/>
      <c r="CV189" s="197"/>
      <c r="CW189" s="197"/>
      <c r="CY189" s="24"/>
      <c r="DA189" s="516"/>
      <c r="DB189" s="516"/>
      <c r="DE189" s="197"/>
      <c r="DF189" s="197"/>
      <c r="DG189" s="207"/>
      <c r="DH189" s="24"/>
      <c r="DI189" s="249"/>
      <c r="DJ189" s="515"/>
      <c r="DK189" s="514"/>
      <c r="DN189" s="197"/>
      <c r="DO189" s="197"/>
      <c r="DP189" s="201"/>
      <c r="DQ189" s="24"/>
      <c r="DR189" s="249"/>
      <c r="DS189" s="198"/>
      <c r="DT189" s="514"/>
    </row>
    <row r="190" spans="2:124" ht="11.25" customHeight="1">
      <c r="B190" s="23"/>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19"/>
      <c r="CV190" s="197"/>
      <c r="CW190" s="197"/>
      <c r="CY190" s="24"/>
      <c r="DA190" s="516"/>
      <c r="DB190" s="516"/>
      <c r="DE190" s="197"/>
      <c r="DF190" s="197"/>
      <c r="DG190" s="207"/>
      <c r="DH190" s="24"/>
      <c r="DI190" s="249"/>
      <c r="DJ190" s="515"/>
      <c r="DK190" s="514"/>
      <c r="DN190" s="197"/>
      <c r="DO190" s="197"/>
      <c r="DP190" s="201"/>
      <c r="DQ190" s="24"/>
      <c r="DR190" s="249"/>
      <c r="DS190" s="198"/>
      <c r="DT190" s="514"/>
    </row>
    <row r="191" spans="2:124" ht="11.25" customHeight="1">
      <c r="B191" s="23"/>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19"/>
      <c r="CV191" s="197"/>
      <c r="CW191" s="197"/>
      <c r="CY191" s="24"/>
      <c r="DA191" s="516"/>
      <c r="DB191" s="516"/>
      <c r="DE191" s="197"/>
      <c r="DF191" s="197"/>
      <c r="DG191" s="207"/>
      <c r="DH191" s="24"/>
      <c r="DI191" s="249"/>
      <c r="DJ191" s="515"/>
      <c r="DK191" s="514"/>
      <c r="DN191" s="197"/>
      <c r="DO191" s="197"/>
      <c r="DP191" s="201"/>
      <c r="DQ191" s="24"/>
      <c r="DR191" s="249"/>
      <c r="DS191" s="198"/>
      <c r="DT191" s="514"/>
    </row>
    <row r="192" spans="2:124" ht="11.25" customHeight="1">
      <c r="B192" s="23"/>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19"/>
      <c r="CV192" s="197"/>
      <c r="CW192" s="197"/>
      <c r="CY192" s="24"/>
      <c r="DA192" s="516"/>
      <c r="DB192" s="516"/>
      <c r="DE192" s="197"/>
      <c r="DF192" s="197"/>
      <c r="DG192" s="207"/>
      <c r="DH192" s="24"/>
      <c r="DI192" s="249"/>
      <c r="DJ192" s="515"/>
      <c r="DK192" s="514"/>
      <c r="DN192" s="197"/>
      <c r="DO192" s="197"/>
      <c r="DP192" s="201"/>
      <c r="DQ192" s="24"/>
      <c r="DR192" s="249"/>
      <c r="DS192" s="198"/>
      <c r="DT192" s="514"/>
    </row>
    <row r="193" spans="1:124" ht="11.25" customHeight="1">
      <c r="B193" s="23"/>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19"/>
      <c r="CV193" s="197"/>
      <c r="CW193" s="197"/>
      <c r="CY193" s="24"/>
      <c r="DA193" s="516"/>
      <c r="DB193" s="516"/>
      <c r="DE193" s="197"/>
      <c r="DF193" s="197"/>
      <c r="DG193" s="207"/>
      <c r="DH193" s="24"/>
      <c r="DI193" s="249"/>
      <c r="DJ193" s="515"/>
      <c r="DK193" s="514"/>
      <c r="DN193" s="197"/>
      <c r="DO193" s="197"/>
      <c r="DP193" s="201"/>
      <c r="DQ193" s="24"/>
      <c r="DR193" s="249"/>
      <c r="DS193" s="198"/>
      <c r="DT193" s="514"/>
    </row>
    <row r="194" spans="1:124" ht="11.25" customHeight="1">
      <c r="B194" s="23"/>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19"/>
      <c r="CV194" s="197"/>
      <c r="CW194" s="197"/>
      <c r="CY194" s="24"/>
      <c r="DA194" s="516"/>
      <c r="DB194" s="516"/>
      <c r="DE194" s="197"/>
      <c r="DF194" s="197"/>
      <c r="DG194" s="207"/>
      <c r="DH194" s="24"/>
      <c r="DI194" s="249"/>
      <c r="DJ194" s="515"/>
      <c r="DK194" s="514"/>
      <c r="DN194" s="197"/>
      <c r="DO194" s="197"/>
      <c r="DP194" s="201"/>
      <c r="DQ194" s="24"/>
      <c r="DR194" s="249"/>
      <c r="DS194" s="198"/>
      <c r="DT194" s="514"/>
    </row>
    <row r="195" spans="1:124" ht="11.25" customHeight="1">
      <c r="B195" s="23"/>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19"/>
      <c r="BZ195" s="502"/>
      <c r="CA195" s="502"/>
      <c r="CB195" s="324"/>
      <c r="CC195" s="324"/>
      <c r="CD195" s="324"/>
      <c r="CE195" s="324"/>
      <c r="CF195" s="324"/>
      <c r="CG195" s="6"/>
      <c r="CH195" s="6"/>
      <c r="CI195" s="6"/>
      <c r="CJ195" s="6"/>
      <c r="CK195" s="6"/>
      <c r="CL195" s="6"/>
      <c r="CM195" s="6"/>
    </row>
    <row r="196" spans="1:124" ht="11.25" customHeight="1">
      <c r="B196" s="23"/>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19"/>
      <c r="BZ196" s="502"/>
      <c r="CA196" s="502"/>
      <c r="CB196" s="324"/>
      <c r="CC196" s="324"/>
      <c r="CD196" s="324"/>
      <c r="CE196" s="324"/>
      <c r="CF196" s="324"/>
      <c r="CG196" s="6"/>
      <c r="CH196" s="6"/>
      <c r="CI196" s="6"/>
      <c r="CJ196" s="6"/>
      <c r="CK196" s="6"/>
      <c r="CL196" s="6"/>
      <c r="CM196" s="6"/>
    </row>
    <row r="197" spans="1:124" ht="11.25" customHeight="1">
      <c r="B197" s="23"/>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19"/>
      <c r="BZ197" s="502"/>
      <c r="CA197" s="502"/>
      <c r="CB197" s="324"/>
      <c r="CC197" s="324"/>
      <c r="CD197" s="324"/>
      <c r="CE197" s="324"/>
      <c r="CF197" s="324"/>
      <c r="CG197" s="6"/>
      <c r="CH197" s="121" t="s">
        <v>713</v>
      </c>
      <c r="CI197" s="6"/>
      <c r="CJ197" s="6"/>
      <c r="CK197" s="6"/>
      <c r="CL197" s="6"/>
      <c r="CM197" s="6"/>
    </row>
    <row r="198" spans="1:124" ht="11.25" customHeight="1">
      <c r="B198" s="23"/>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19"/>
      <c r="BZ198" s="502"/>
      <c r="CA198" s="502"/>
      <c r="CB198" s="324"/>
      <c r="CC198" s="324"/>
      <c r="CD198" s="324"/>
      <c r="CE198" s="324"/>
      <c r="CF198" s="324"/>
      <c r="CG198" s="6"/>
      <c r="CH198" s="121" t="s">
        <v>712</v>
      </c>
      <c r="CI198" s="6"/>
      <c r="CJ198" s="6"/>
      <c r="CK198" s="6"/>
      <c r="CL198" s="6"/>
      <c r="CM198" s="6"/>
    </row>
    <row r="199" spans="1:124" ht="11.25" customHeight="1" thickBot="1">
      <c r="A199" s="3258"/>
      <c r="B199" s="23"/>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19"/>
      <c r="BZ199" s="502"/>
      <c r="CA199" s="502"/>
      <c r="CB199" s="324"/>
      <c r="CC199" s="324"/>
      <c r="CD199" s="324"/>
      <c r="CE199" s="324"/>
      <c r="CF199" s="324"/>
      <c r="CG199" s="6"/>
      <c r="CH199" s="121" t="s">
        <v>711</v>
      </c>
      <c r="CI199" s="6"/>
      <c r="CJ199" s="6"/>
      <c r="CK199" s="6"/>
      <c r="CL199" s="6"/>
      <c r="CM199" s="6"/>
    </row>
    <row r="200" spans="1:124" ht="11.25" customHeight="1" thickBot="1">
      <c r="A200" s="3258"/>
      <c r="B200" s="23"/>
      <c r="C200" s="2974" t="s">
        <v>23</v>
      </c>
      <c r="D200" s="2975"/>
      <c r="E200" s="2975"/>
      <c r="F200" s="2975"/>
      <c r="G200" s="2975"/>
      <c r="H200" s="2975"/>
      <c r="I200" s="2975"/>
      <c r="J200" s="2975"/>
      <c r="K200" s="2976"/>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091" t="s">
        <v>710</v>
      </c>
      <c r="BJ200" s="3092"/>
      <c r="BK200" s="3092"/>
      <c r="BL200" s="3092"/>
      <c r="BM200" s="3093"/>
      <c r="BN200" s="35"/>
      <c r="BO200" s="35"/>
      <c r="BP200" s="3259" t="s">
        <v>536</v>
      </c>
      <c r="BQ200" s="3260"/>
      <c r="BR200" s="3260"/>
      <c r="BS200" s="3261"/>
      <c r="BT200" s="35"/>
      <c r="BU200" s="19"/>
      <c r="BZ200" s="502"/>
      <c r="CA200" s="502"/>
      <c r="CB200" s="324"/>
      <c r="CC200" s="324"/>
      <c r="CD200" s="324"/>
      <c r="CE200" s="324"/>
      <c r="CF200" s="324"/>
      <c r="CG200" s="6"/>
      <c r="CH200" s="121" t="s">
        <v>709</v>
      </c>
      <c r="CI200" s="6"/>
      <c r="CJ200" s="6"/>
      <c r="CK200" s="6"/>
      <c r="CL200" s="6"/>
      <c r="CM200" s="6"/>
    </row>
    <row r="201" spans="1:124" ht="6" customHeight="1">
      <c r="A201" s="3258"/>
      <c r="B201" s="23"/>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19"/>
      <c r="BZ201" s="502"/>
      <c r="CA201" s="502"/>
      <c r="CB201" s="324"/>
      <c r="CC201" s="324"/>
      <c r="CD201" s="324"/>
      <c r="CE201" s="324"/>
      <c r="CF201" s="324"/>
      <c r="CG201" s="6"/>
      <c r="CH201" s="6"/>
      <c r="CI201" s="6"/>
      <c r="CJ201" s="6"/>
      <c r="CK201" s="6"/>
      <c r="CL201" s="6"/>
      <c r="CM201" s="6"/>
    </row>
    <row r="202" spans="1:124" ht="11.25" customHeight="1">
      <c r="A202" s="3258"/>
      <c r="B202" s="23"/>
      <c r="C202" s="35"/>
      <c r="D202" s="3014" t="s">
        <v>95</v>
      </c>
      <c r="E202" s="2983"/>
      <c r="F202" s="2983"/>
      <c r="G202" s="2984"/>
      <c r="H202" s="3014" t="s">
        <v>707</v>
      </c>
      <c r="I202" s="2983"/>
      <c r="J202" s="2983"/>
      <c r="K202" s="2983"/>
      <c r="L202" s="2983"/>
      <c r="M202" s="2984"/>
      <c r="N202" s="2974" t="s">
        <v>708</v>
      </c>
      <c r="O202" s="2975"/>
      <c r="P202" s="2975"/>
      <c r="Q202" s="2975"/>
      <c r="R202" s="2975"/>
      <c r="S202" s="2975"/>
      <c r="T202" s="2975"/>
      <c r="U202" s="2975"/>
      <c r="V202" s="2975"/>
      <c r="W202" s="2975"/>
      <c r="X202" s="2975"/>
      <c r="Y202" s="2975"/>
      <c r="Z202" s="2975"/>
      <c r="AA202" s="2976"/>
      <c r="AB202" s="3052" t="s">
        <v>97</v>
      </c>
      <c r="AC202" s="3206"/>
      <c r="AD202" s="3052" t="s">
        <v>705</v>
      </c>
      <c r="AE202" s="2891"/>
      <c r="AF202" s="2891"/>
      <c r="AG202" s="2891"/>
      <c r="AH202" s="2891"/>
      <c r="AI202" s="2891"/>
      <c r="AJ202" s="3283" t="s">
        <v>707</v>
      </c>
      <c r="AK202" s="2983"/>
      <c r="AL202" s="2983"/>
      <c r="AM202" s="2983"/>
      <c r="AN202" s="2983"/>
      <c r="AO202" s="2983"/>
      <c r="AP202" s="2974" t="s">
        <v>706</v>
      </c>
      <c r="AQ202" s="2975"/>
      <c r="AR202" s="2975"/>
      <c r="AS202" s="3052" t="s">
        <v>97</v>
      </c>
      <c r="AT202" s="3206"/>
      <c r="AU202" s="3052" t="s">
        <v>705</v>
      </c>
      <c r="AV202" s="2891"/>
      <c r="AW202" s="2891"/>
      <c r="AX202" s="2891"/>
      <c r="AY202" s="2891"/>
      <c r="AZ202" s="2891"/>
      <c r="BA202" s="3243" t="s">
        <v>704</v>
      </c>
      <c r="BB202" s="2891"/>
      <c r="BC202" s="2891"/>
      <c r="BD202" s="2891"/>
      <c r="BE202" s="2891"/>
      <c r="BF202" s="2891"/>
      <c r="BG202" s="2891"/>
      <c r="BH202" s="3282" t="s">
        <v>703</v>
      </c>
      <c r="BI202" s="2891"/>
      <c r="BJ202" s="2891"/>
      <c r="BK202" s="2891"/>
      <c r="BL202" s="2892"/>
      <c r="BM202" s="3282" t="s">
        <v>702</v>
      </c>
      <c r="BN202" s="2891"/>
      <c r="BO202" s="2891"/>
      <c r="BP202" s="2891"/>
      <c r="BQ202" s="2891"/>
      <c r="BR202" s="2891"/>
      <c r="BS202" s="2892"/>
      <c r="BT202" s="35"/>
      <c r="BU202" s="19"/>
      <c r="BW202" s="8"/>
      <c r="BX202" s="84"/>
      <c r="BY202" s="84"/>
      <c r="BZ202" s="502"/>
      <c r="CA202" s="502"/>
      <c r="CB202" s="324"/>
      <c r="CC202" s="324"/>
      <c r="CD202" s="324"/>
      <c r="CE202" s="324"/>
      <c r="CF202" s="502" t="s">
        <v>67</v>
      </c>
      <c r="CG202" s="502" t="s">
        <v>66</v>
      </c>
      <c r="CH202" s="324" t="s">
        <v>39</v>
      </c>
      <c r="CI202" s="324" t="s">
        <v>701</v>
      </c>
      <c r="CJ202" s="324" t="s">
        <v>700</v>
      </c>
      <c r="CK202" s="324"/>
      <c r="CL202" s="324"/>
      <c r="CM202" s="324"/>
    </row>
    <row r="203" spans="1:124" ht="11.25" customHeight="1">
      <c r="A203" s="3258"/>
      <c r="B203" s="23"/>
      <c r="C203" s="35"/>
      <c r="D203" s="3235"/>
      <c r="E203" s="3002"/>
      <c r="F203" s="3002"/>
      <c r="G203" s="3003"/>
      <c r="H203" s="3235"/>
      <c r="I203" s="3002"/>
      <c r="J203" s="3002"/>
      <c r="K203" s="3002"/>
      <c r="L203" s="3002"/>
      <c r="M203" s="3003"/>
      <c r="N203" s="2917" t="s">
        <v>695</v>
      </c>
      <c r="O203" s="2918"/>
      <c r="P203" s="2929"/>
      <c r="Q203" s="2928" t="s">
        <v>699</v>
      </c>
      <c r="R203" s="2918"/>
      <c r="S203" s="2929"/>
      <c r="T203" s="2928" t="s">
        <v>698</v>
      </c>
      <c r="U203" s="2918"/>
      <c r="V203" s="2929"/>
      <c r="W203" s="2928" t="s">
        <v>697</v>
      </c>
      <c r="X203" s="2918"/>
      <c r="Y203" s="2929"/>
      <c r="Z203" s="2956" t="s">
        <v>696</v>
      </c>
      <c r="AA203" s="2957"/>
      <c r="AB203" s="3225" t="s">
        <v>694</v>
      </c>
      <c r="AC203" s="2888"/>
      <c r="AD203" s="3054"/>
      <c r="AE203" s="3055"/>
      <c r="AF203" s="3055"/>
      <c r="AG203" s="3055"/>
      <c r="AH203" s="3055"/>
      <c r="AI203" s="3055"/>
      <c r="AJ203" s="3284"/>
      <c r="AK203" s="3002"/>
      <c r="AL203" s="3002"/>
      <c r="AM203" s="3002"/>
      <c r="AN203" s="3002"/>
      <c r="AO203" s="3002"/>
      <c r="AP203" s="2917" t="s">
        <v>695</v>
      </c>
      <c r="AQ203" s="2918"/>
      <c r="AR203" s="2918"/>
      <c r="AS203" s="3225" t="s">
        <v>694</v>
      </c>
      <c r="AT203" s="2888"/>
      <c r="AU203" s="3054"/>
      <c r="AV203" s="3055"/>
      <c r="AW203" s="3055"/>
      <c r="AX203" s="3055"/>
      <c r="AY203" s="3055"/>
      <c r="AZ203" s="3055"/>
      <c r="BA203" s="3244"/>
      <c r="BB203" s="3055"/>
      <c r="BC203" s="3055"/>
      <c r="BD203" s="3055"/>
      <c r="BE203" s="3055"/>
      <c r="BF203" s="3055"/>
      <c r="BG203" s="3055"/>
      <c r="BH203" s="3054"/>
      <c r="BI203" s="3055"/>
      <c r="BJ203" s="3055"/>
      <c r="BK203" s="3055"/>
      <c r="BL203" s="3056"/>
      <c r="BM203" s="3054"/>
      <c r="BN203" s="3055"/>
      <c r="BO203" s="3055"/>
      <c r="BP203" s="3055"/>
      <c r="BQ203" s="3055"/>
      <c r="BR203" s="3055"/>
      <c r="BS203" s="3056"/>
      <c r="BT203" s="35"/>
      <c r="BU203" s="19"/>
      <c r="BZ203" s="502"/>
      <c r="CA203" s="502"/>
      <c r="CB203" s="324"/>
      <c r="CC203" s="324"/>
      <c r="CD203" s="324"/>
      <c r="CE203" s="324"/>
      <c r="CF203" s="502" t="s">
        <v>65</v>
      </c>
      <c r="CG203" s="502" t="s">
        <v>64</v>
      </c>
      <c r="CH203" s="324" t="s">
        <v>38</v>
      </c>
      <c r="CI203" s="324" t="s">
        <v>693</v>
      </c>
      <c r="CJ203" s="324" t="s">
        <v>692</v>
      </c>
      <c r="CK203" s="324"/>
      <c r="CL203" s="324"/>
      <c r="CM203" s="324"/>
    </row>
    <row r="204" spans="1:124" ht="11.25" customHeight="1">
      <c r="A204" s="3258"/>
      <c r="B204" s="23"/>
      <c r="C204" s="35"/>
      <c r="D204" s="3228" t="str">
        <f>C22</f>
        <v xml:space="preserve"> B2F</v>
      </c>
      <c r="E204" s="3229"/>
      <c r="F204" s="3229"/>
      <c r="G204" s="3230"/>
      <c r="H204" s="2939" t="str">
        <f>IF(D204="","",LEFT(AL20,7))</f>
        <v>T- B2-1</v>
      </c>
      <c r="I204" s="2845"/>
      <c r="J204" s="2845"/>
      <c r="K204" s="2845"/>
      <c r="L204" s="2845"/>
      <c r="M204" s="2940"/>
      <c r="N204" s="3231">
        <f>AD22</f>
        <v>150</v>
      </c>
      <c r="O204" s="3232"/>
      <c r="P204" s="3233"/>
      <c r="Q204" s="3212">
        <f>AG22</f>
        <v>30</v>
      </c>
      <c r="R204" s="3213"/>
      <c r="S204" s="3214"/>
      <c r="T204" s="3215" t="str">
        <f>AJ22</f>
        <v>Space</v>
      </c>
      <c r="U204" s="3216"/>
      <c r="V204" s="3217"/>
      <c r="W204" s="2972"/>
      <c r="X204" s="3226"/>
      <c r="Y204" s="3227"/>
      <c r="Z204" s="2972"/>
      <c r="AA204" s="2973"/>
      <c r="AB204" s="3207" t="str">
        <f t="shared" ref="AB204:AB223" si="110">IF(D204="","",IF(BX204&gt;=1,"1",""))</f>
        <v>1</v>
      </c>
      <c r="AC204" s="3208"/>
      <c r="AD204" s="3222">
        <f t="shared" ref="AD204:AD223" si="111">IF(D204="","",CC204)</f>
        <v>110000</v>
      </c>
      <c r="AE204" s="3223"/>
      <c r="AF204" s="3223"/>
      <c r="AG204" s="3223"/>
      <c r="AH204" s="3223"/>
      <c r="AI204" s="3223"/>
      <c r="AJ204" s="3220" t="str">
        <f>IF(D204="","",IF(BX204=1,"",IF(BX204=2,LEFT(AL20,6)&amp;"2",LEFT(AL20,6)&amp;"2～"&amp;BX204)))</f>
        <v>T- B2-2～6</v>
      </c>
      <c r="AK204" s="2845"/>
      <c r="AL204" s="2845"/>
      <c r="AM204" s="2845"/>
      <c r="AN204" s="2845"/>
      <c r="AO204" s="2845"/>
      <c r="AP204" s="3218">
        <f>IF(D204="","",IF(BX204=1,"",BZ20))</f>
        <v>150</v>
      </c>
      <c r="AQ204" s="3219"/>
      <c r="AR204" s="3219"/>
      <c r="AS204" s="3207">
        <f t="shared" ref="AS204:AS223" si="112">IF(D204="","",IF(BX204=1,"",BX204-1))</f>
        <v>5</v>
      </c>
      <c r="AT204" s="3208"/>
      <c r="AU204" s="3222">
        <f t="shared" ref="AU204:AU223" si="113">CN204</f>
        <v>75000</v>
      </c>
      <c r="AV204" s="3223"/>
      <c r="AW204" s="3223"/>
      <c r="AX204" s="3223"/>
      <c r="AY204" s="3223"/>
      <c r="AZ204" s="3223"/>
      <c r="BA204" s="3245">
        <f t="shared" ref="BA204:BA223" si="114">IF(D204="","",CE204)</f>
        <v>485000</v>
      </c>
      <c r="BB204" s="3223"/>
      <c r="BC204" s="3223"/>
      <c r="BD204" s="3223"/>
      <c r="BE204" s="3223"/>
      <c r="BF204" s="3223"/>
      <c r="BG204" s="3223"/>
      <c r="BH204" s="3279">
        <f t="shared" ref="BH204:BH223" si="115">IF(D204="","",IF(AS204="",0.015*SUM(N204:S204),0.015*SUM(N204:S204)+0.015*AP204*AS204))</f>
        <v>13.95</v>
      </c>
      <c r="BI204" s="3280"/>
      <c r="BJ204" s="3280"/>
      <c r="BK204" s="3280"/>
      <c r="BL204" s="3281"/>
      <c r="BM204" s="3252"/>
      <c r="BN204" s="3253"/>
      <c r="BO204" s="3253"/>
      <c r="BP204" s="3253"/>
      <c r="BQ204" s="3253"/>
      <c r="BR204" s="3253"/>
      <c r="BS204" s="3254"/>
      <c r="BT204" s="35"/>
      <c r="BU204" s="19"/>
      <c r="BW204" s="8">
        <v>20</v>
      </c>
      <c r="BX204" s="513">
        <f>BX24</f>
        <v>6</v>
      </c>
      <c r="BY204" s="512">
        <v>35000</v>
      </c>
      <c r="BZ204" s="511">
        <f t="shared" ref="BZ204:BZ223" si="116">N204*300</f>
        <v>45000</v>
      </c>
      <c r="CA204" s="511">
        <f t="shared" ref="CA204:CA223" si="117">IF(Q204="","",Q204*500)</f>
        <v>15000</v>
      </c>
      <c r="CB204" s="511">
        <f t="shared" ref="CB204:CB223" si="118">IF(T204="---","",15000)</f>
        <v>15000</v>
      </c>
      <c r="CC204" s="510">
        <f t="shared" ref="CC204:CC223" si="119">SUM(BY204:CB204)</f>
        <v>110000</v>
      </c>
      <c r="CD204" s="509">
        <f>CN204*AS204</f>
        <v>375000</v>
      </c>
      <c r="CE204" s="508">
        <f t="shared" ref="CE204:CE223" si="120">SUM(CC204:CD204)</f>
        <v>485000</v>
      </c>
      <c r="CF204" s="502" t="s">
        <v>63</v>
      </c>
      <c r="CG204" s="502" t="s">
        <v>62</v>
      </c>
      <c r="CH204" s="324" t="s">
        <v>37</v>
      </c>
      <c r="CI204" s="324" t="s">
        <v>691</v>
      </c>
      <c r="CJ204" s="324" t="s">
        <v>690</v>
      </c>
      <c r="CK204" s="324"/>
      <c r="CL204" s="324"/>
      <c r="CM204" s="324"/>
      <c r="CN204" s="507">
        <f t="shared" ref="CN204:CN223" si="121">IF(AS204="","",30000+AP204*300)</f>
        <v>75000</v>
      </c>
    </row>
    <row r="205" spans="1:124" ht="11.25" customHeight="1">
      <c r="A205" s="3258"/>
      <c r="B205" s="23"/>
      <c r="C205" s="35"/>
      <c r="D205" s="3228" t="str">
        <f>C30</f>
        <v xml:space="preserve"> B1F</v>
      </c>
      <c r="E205" s="3229"/>
      <c r="F205" s="3229"/>
      <c r="G205" s="3230"/>
      <c r="H205" s="2939" t="str">
        <f>IF(D205="","",LEFT(AL28,7))</f>
        <v>T- B1-1</v>
      </c>
      <c r="I205" s="2845"/>
      <c r="J205" s="2845"/>
      <c r="K205" s="2845"/>
      <c r="L205" s="2845"/>
      <c r="M205" s="2940"/>
      <c r="N205" s="3209">
        <f>AD30</f>
        <v>400</v>
      </c>
      <c r="O205" s="3210"/>
      <c r="P205" s="3211"/>
      <c r="Q205" s="3212">
        <f>AG30</f>
        <v>30</v>
      </c>
      <c r="R205" s="3213"/>
      <c r="S205" s="3214"/>
      <c r="T205" s="3215" t="str">
        <f>AJ30</f>
        <v>Space</v>
      </c>
      <c r="U205" s="3216"/>
      <c r="V205" s="3217"/>
      <c r="W205" s="2972"/>
      <c r="X205" s="3226"/>
      <c r="Y205" s="3227"/>
      <c r="Z205" s="2972"/>
      <c r="AA205" s="2973"/>
      <c r="AB205" s="3207" t="str">
        <f t="shared" si="110"/>
        <v>1</v>
      </c>
      <c r="AC205" s="3208"/>
      <c r="AD205" s="3222">
        <f t="shared" si="111"/>
        <v>185000</v>
      </c>
      <c r="AE205" s="3223"/>
      <c r="AF205" s="3223"/>
      <c r="AG205" s="3223"/>
      <c r="AH205" s="3223"/>
      <c r="AI205" s="3223"/>
      <c r="AJ205" s="3220" t="str">
        <f>IF(D205="","",IF(BX205=1,"",IF(BX205=2,LEFT(AL28,6)&amp;"2",LEFT(AL28,6)&amp;"2～"&amp;BX205)))</f>
        <v>T- B1-2～6</v>
      </c>
      <c r="AK205" s="2845"/>
      <c r="AL205" s="2845"/>
      <c r="AM205" s="2845"/>
      <c r="AN205" s="2845"/>
      <c r="AO205" s="2845"/>
      <c r="AP205" s="3218">
        <f>IF(D205="","",IF(BX205=1,"",BZ28))</f>
        <v>150</v>
      </c>
      <c r="AQ205" s="3219"/>
      <c r="AR205" s="3219"/>
      <c r="AS205" s="3207">
        <f t="shared" si="112"/>
        <v>5</v>
      </c>
      <c r="AT205" s="3208"/>
      <c r="AU205" s="3222">
        <f t="shared" si="113"/>
        <v>75000</v>
      </c>
      <c r="AV205" s="3223"/>
      <c r="AW205" s="3223"/>
      <c r="AX205" s="3223"/>
      <c r="AY205" s="3223"/>
      <c r="AZ205" s="3223"/>
      <c r="BA205" s="3245">
        <f t="shared" si="114"/>
        <v>260000</v>
      </c>
      <c r="BB205" s="3223"/>
      <c r="BC205" s="3223"/>
      <c r="BD205" s="3223"/>
      <c r="BE205" s="3223"/>
      <c r="BF205" s="3223"/>
      <c r="BG205" s="3246"/>
      <c r="BH205" s="3279">
        <f t="shared" si="115"/>
        <v>17.7</v>
      </c>
      <c r="BI205" s="3280"/>
      <c r="BJ205" s="3280"/>
      <c r="BK205" s="3280"/>
      <c r="BL205" s="3281"/>
      <c r="BM205" s="3252"/>
      <c r="BN205" s="3253"/>
      <c r="BO205" s="3253"/>
      <c r="BP205" s="3253"/>
      <c r="BQ205" s="3253"/>
      <c r="BR205" s="3253"/>
      <c r="BS205" s="3254"/>
      <c r="BT205" s="35"/>
      <c r="BU205" s="19"/>
      <c r="BW205" s="8">
        <v>28</v>
      </c>
      <c r="BX205" s="513">
        <f>BX32</f>
        <v>6</v>
      </c>
      <c r="BY205" s="512">
        <v>35000</v>
      </c>
      <c r="BZ205" s="511">
        <f t="shared" si="116"/>
        <v>120000</v>
      </c>
      <c r="CA205" s="511">
        <f t="shared" si="117"/>
        <v>15000</v>
      </c>
      <c r="CB205" s="511">
        <f t="shared" si="118"/>
        <v>15000</v>
      </c>
      <c r="CC205" s="510">
        <f t="shared" si="119"/>
        <v>185000</v>
      </c>
      <c r="CD205" s="509">
        <f t="shared" ref="CD205:CD223" si="122">IF(AS205="","",30000+AP205*300)</f>
        <v>75000</v>
      </c>
      <c r="CE205" s="508">
        <f t="shared" si="120"/>
        <v>260000</v>
      </c>
      <c r="CF205" s="502" t="s">
        <v>61</v>
      </c>
      <c r="CG205" s="502" t="s">
        <v>60</v>
      </c>
      <c r="CH205" s="324" t="s">
        <v>36</v>
      </c>
      <c r="CI205" s="324" t="s">
        <v>689</v>
      </c>
      <c r="CJ205" s="324" t="s">
        <v>688</v>
      </c>
      <c r="CK205" s="324"/>
      <c r="CL205" s="324"/>
      <c r="CM205" s="324"/>
      <c r="CN205" s="507">
        <f t="shared" si="121"/>
        <v>75000</v>
      </c>
    </row>
    <row r="206" spans="1:124" ht="11.25" customHeight="1">
      <c r="A206" s="3258"/>
      <c r="B206" s="23"/>
      <c r="C206" s="35"/>
      <c r="D206" s="3228" t="str">
        <f>C38</f>
        <v xml:space="preserve">  1F</v>
      </c>
      <c r="E206" s="3229"/>
      <c r="F206" s="3229"/>
      <c r="G206" s="3230"/>
      <c r="H206" s="2939" t="str">
        <f>IF(D206="","",LEFT(AL36,7))</f>
        <v>T-  1-1</v>
      </c>
      <c r="I206" s="2845"/>
      <c r="J206" s="2845"/>
      <c r="K206" s="2845"/>
      <c r="L206" s="2845"/>
      <c r="M206" s="2940"/>
      <c r="N206" s="3209">
        <f>AD38</f>
        <v>1200</v>
      </c>
      <c r="O206" s="3210"/>
      <c r="P206" s="3211"/>
      <c r="Q206" s="3212" t="str">
        <f>AG38</f>
        <v>200</v>
      </c>
      <c r="R206" s="3213"/>
      <c r="S206" s="3214"/>
      <c r="T206" s="3215" t="str">
        <f>AJ38</f>
        <v>Space</v>
      </c>
      <c r="U206" s="3216"/>
      <c r="V206" s="3217"/>
      <c r="W206" s="2972"/>
      <c r="X206" s="3226"/>
      <c r="Y206" s="3227"/>
      <c r="Z206" s="2972"/>
      <c r="AA206" s="2973"/>
      <c r="AB206" s="3207" t="str">
        <f t="shared" si="110"/>
        <v>1</v>
      </c>
      <c r="AC206" s="3208"/>
      <c r="AD206" s="3222">
        <f t="shared" si="111"/>
        <v>510000</v>
      </c>
      <c r="AE206" s="3223"/>
      <c r="AF206" s="3223"/>
      <c r="AG206" s="3223"/>
      <c r="AH206" s="3223"/>
      <c r="AI206" s="3223"/>
      <c r="AJ206" s="3220" t="str">
        <f>IF(D206="","",IF(BX206=1,"",IF(BX206=2,LEFT(AL36,6)&amp;"2",LEFT(AL36,6)&amp;"2～"&amp;BX206)))</f>
        <v>T-  1-2～7</v>
      </c>
      <c r="AK206" s="2845"/>
      <c r="AL206" s="2845"/>
      <c r="AM206" s="2845"/>
      <c r="AN206" s="2845"/>
      <c r="AO206" s="2845"/>
      <c r="AP206" s="3218">
        <f>IF(D206="","",IF(BX206=1,"",BZ36))</f>
        <v>200</v>
      </c>
      <c r="AQ206" s="3219"/>
      <c r="AR206" s="3219"/>
      <c r="AS206" s="3207">
        <f t="shared" si="112"/>
        <v>6</v>
      </c>
      <c r="AT206" s="3208"/>
      <c r="AU206" s="3222">
        <f t="shared" si="113"/>
        <v>90000</v>
      </c>
      <c r="AV206" s="3223"/>
      <c r="AW206" s="3223"/>
      <c r="AX206" s="3223"/>
      <c r="AY206" s="3223"/>
      <c r="AZ206" s="3223"/>
      <c r="BA206" s="3245">
        <f t="shared" si="114"/>
        <v>600000</v>
      </c>
      <c r="BB206" s="3223"/>
      <c r="BC206" s="3223"/>
      <c r="BD206" s="3223"/>
      <c r="BE206" s="3223"/>
      <c r="BF206" s="3223"/>
      <c r="BG206" s="3246"/>
      <c r="BH206" s="3279">
        <f t="shared" si="115"/>
        <v>36</v>
      </c>
      <c r="BI206" s="3280"/>
      <c r="BJ206" s="3280"/>
      <c r="BK206" s="3280"/>
      <c r="BL206" s="3281"/>
      <c r="BM206" s="3252"/>
      <c r="BN206" s="3253"/>
      <c r="BO206" s="3253"/>
      <c r="BP206" s="3253"/>
      <c r="BQ206" s="3253"/>
      <c r="BR206" s="3253"/>
      <c r="BS206" s="3254"/>
      <c r="BT206" s="35"/>
      <c r="BU206" s="19"/>
      <c r="BW206" s="8">
        <v>36</v>
      </c>
      <c r="BX206" s="513">
        <f>BX40</f>
        <v>7</v>
      </c>
      <c r="BY206" s="512">
        <v>35000</v>
      </c>
      <c r="BZ206" s="511">
        <f t="shared" si="116"/>
        <v>360000</v>
      </c>
      <c r="CA206" s="511">
        <f t="shared" si="117"/>
        <v>100000</v>
      </c>
      <c r="CB206" s="511">
        <f t="shared" si="118"/>
        <v>15000</v>
      </c>
      <c r="CC206" s="510">
        <f t="shared" si="119"/>
        <v>510000</v>
      </c>
      <c r="CD206" s="509">
        <f t="shared" si="122"/>
        <v>90000</v>
      </c>
      <c r="CE206" s="508">
        <f t="shared" si="120"/>
        <v>600000</v>
      </c>
      <c r="CF206" s="502" t="s">
        <v>59</v>
      </c>
      <c r="CG206" s="502" t="s">
        <v>58</v>
      </c>
      <c r="CH206" s="324" t="s">
        <v>35</v>
      </c>
      <c r="CI206" s="324" t="s">
        <v>687</v>
      </c>
      <c r="CJ206" s="324" t="s">
        <v>686</v>
      </c>
      <c r="CK206" s="324"/>
      <c r="CL206" s="324"/>
      <c r="CM206" s="324"/>
      <c r="CN206" s="507">
        <f t="shared" si="121"/>
        <v>90000</v>
      </c>
    </row>
    <row r="207" spans="1:124" ht="11.25" customHeight="1">
      <c r="A207" s="3258"/>
      <c r="B207" s="23"/>
      <c r="C207" s="35"/>
      <c r="D207" s="3228" t="str">
        <f>C46</f>
        <v xml:space="preserve">  2F</v>
      </c>
      <c r="E207" s="3229"/>
      <c r="F207" s="3229"/>
      <c r="G207" s="3230"/>
      <c r="H207" s="2939" t="str">
        <f>IF(D207="","",LEFT(AL44,7))</f>
        <v>T-  2-1</v>
      </c>
      <c r="I207" s="2845"/>
      <c r="J207" s="2845"/>
      <c r="K207" s="2845"/>
      <c r="L207" s="2845"/>
      <c r="M207" s="2940"/>
      <c r="N207" s="3209">
        <f>AD46</f>
        <v>800</v>
      </c>
      <c r="O207" s="3210"/>
      <c r="P207" s="3211"/>
      <c r="Q207" s="3212">
        <f>AG46</f>
        <v>0</v>
      </c>
      <c r="R207" s="3213"/>
      <c r="S207" s="3214"/>
      <c r="T207" s="3215" t="str">
        <f>AJ46</f>
        <v>Space</v>
      </c>
      <c r="U207" s="3216"/>
      <c r="V207" s="3217"/>
      <c r="W207" s="2972"/>
      <c r="X207" s="3226"/>
      <c r="Y207" s="3227"/>
      <c r="Z207" s="2972"/>
      <c r="AA207" s="2973"/>
      <c r="AB207" s="3207" t="str">
        <f t="shared" si="110"/>
        <v>1</v>
      </c>
      <c r="AC207" s="3208"/>
      <c r="AD207" s="3222">
        <f t="shared" si="111"/>
        <v>290000</v>
      </c>
      <c r="AE207" s="3223"/>
      <c r="AF207" s="3223"/>
      <c r="AG207" s="3223"/>
      <c r="AH207" s="3223"/>
      <c r="AI207" s="3223"/>
      <c r="AJ207" s="3220" t="str">
        <f>IF(D207="","",IF(BX207=1,"",IF(BX207=2,LEFT(AL44,6)&amp;"2",LEFT(AL44,6)&amp;"2～"&amp;BX207)))</f>
        <v>T-  2-2～7</v>
      </c>
      <c r="AK207" s="2845"/>
      <c r="AL207" s="2845"/>
      <c r="AM207" s="2845"/>
      <c r="AN207" s="2845"/>
      <c r="AO207" s="2845"/>
      <c r="AP207" s="3218">
        <f>IF(D207="","",IF(BX207=1,"",BZ44))</f>
        <v>200</v>
      </c>
      <c r="AQ207" s="3219"/>
      <c r="AR207" s="3219"/>
      <c r="AS207" s="3207">
        <f t="shared" si="112"/>
        <v>6</v>
      </c>
      <c r="AT207" s="3208"/>
      <c r="AU207" s="3222">
        <f t="shared" si="113"/>
        <v>90000</v>
      </c>
      <c r="AV207" s="3223"/>
      <c r="AW207" s="3223"/>
      <c r="AX207" s="3223"/>
      <c r="AY207" s="3223"/>
      <c r="AZ207" s="3223"/>
      <c r="BA207" s="3245">
        <f t="shared" si="114"/>
        <v>380000</v>
      </c>
      <c r="BB207" s="3223"/>
      <c r="BC207" s="3223"/>
      <c r="BD207" s="3223"/>
      <c r="BE207" s="3223"/>
      <c r="BF207" s="3223"/>
      <c r="BG207" s="3246"/>
      <c r="BH207" s="3279">
        <f t="shared" si="115"/>
        <v>30</v>
      </c>
      <c r="BI207" s="3280"/>
      <c r="BJ207" s="3280"/>
      <c r="BK207" s="3280"/>
      <c r="BL207" s="3281"/>
      <c r="BM207" s="3252"/>
      <c r="BN207" s="3253"/>
      <c r="BO207" s="3253"/>
      <c r="BP207" s="3253"/>
      <c r="BQ207" s="3253"/>
      <c r="BR207" s="3253"/>
      <c r="BS207" s="3254"/>
      <c r="BT207" s="35"/>
      <c r="BU207" s="19"/>
      <c r="BW207" s="8">
        <v>44</v>
      </c>
      <c r="BX207" s="513">
        <f>BX48</f>
        <v>7</v>
      </c>
      <c r="BY207" s="512">
        <v>35000</v>
      </c>
      <c r="BZ207" s="511">
        <f t="shared" si="116"/>
        <v>240000</v>
      </c>
      <c r="CA207" s="511">
        <f t="shared" si="117"/>
        <v>0</v>
      </c>
      <c r="CB207" s="511">
        <f t="shared" si="118"/>
        <v>15000</v>
      </c>
      <c r="CC207" s="510">
        <f t="shared" si="119"/>
        <v>290000</v>
      </c>
      <c r="CD207" s="509">
        <f t="shared" si="122"/>
        <v>90000</v>
      </c>
      <c r="CE207" s="508">
        <f t="shared" si="120"/>
        <v>380000</v>
      </c>
      <c r="CF207" s="502" t="s">
        <v>57</v>
      </c>
      <c r="CG207" s="502" t="s">
        <v>56</v>
      </c>
      <c r="CH207" s="324" t="s">
        <v>33</v>
      </c>
      <c r="CI207" s="324" t="s">
        <v>685</v>
      </c>
      <c r="CJ207" s="324" t="s">
        <v>684</v>
      </c>
      <c r="CK207" s="324"/>
      <c r="CL207" s="324"/>
      <c r="CM207" s="324"/>
      <c r="CN207" s="507">
        <f t="shared" si="121"/>
        <v>90000</v>
      </c>
    </row>
    <row r="208" spans="1:124" ht="11.25" customHeight="1">
      <c r="A208" s="3258"/>
      <c r="B208" s="23"/>
      <c r="C208" s="35"/>
      <c r="D208" s="3228" t="str">
        <f>C54</f>
        <v xml:space="preserve">  3F</v>
      </c>
      <c r="E208" s="3229"/>
      <c r="F208" s="3229"/>
      <c r="G208" s="3230"/>
      <c r="H208" s="2939" t="str">
        <f>IF(D208="","",LEFT(AL52,7))</f>
        <v>T-  3-1</v>
      </c>
      <c r="I208" s="2845"/>
      <c r="J208" s="2845"/>
      <c r="K208" s="2845"/>
      <c r="L208" s="2845"/>
      <c r="M208" s="2940"/>
      <c r="N208" s="3209">
        <f>AD54</f>
        <v>600</v>
      </c>
      <c r="O208" s="3210"/>
      <c r="P208" s="3211"/>
      <c r="Q208" s="3212">
        <f>AG54</f>
        <v>0</v>
      </c>
      <c r="R208" s="3213"/>
      <c r="S208" s="3214"/>
      <c r="T208" s="3215" t="str">
        <f>AJ54</f>
        <v>Space</v>
      </c>
      <c r="U208" s="3216"/>
      <c r="V208" s="3217"/>
      <c r="W208" s="2972"/>
      <c r="X208" s="3226"/>
      <c r="Y208" s="3227"/>
      <c r="Z208" s="2972"/>
      <c r="AA208" s="2973"/>
      <c r="AB208" s="3207" t="str">
        <f t="shared" si="110"/>
        <v>1</v>
      </c>
      <c r="AC208" s="3208"/>
      <c r="AD208" s="3222">
        <f t="shared" si="111"/>
        <v>230000</v>
      </c>
      <c r="AE208" s="3223"/>
      <c r="AF208" s="3223"/>
      <c r="AG208" s="3223"/>
      <c r="AH208" s="3223"/>
      <c r="AI208" s="3224"/>
      <c r="AJ208" s="3220" t="str">
        <f>IF(D208="","",IF(BX208=1,"",IF(BX208=2,LEFT(AL52,6)&amp;"2",LEFT(AL52,6)&amp;"2～"&amp;BX208)))</f>
        <v>T-  3-2～7</v>
      </c>
      <c r="AK208" s="2845"/>
      <c r="AL208" s="2845"/>
      <c r="AM208" s="2845"/>
      <c r="AN208" s="2845"/>
      <c r="AO208" s="2940"/>
      <c r="AP208" s="3218">
        <f>IF(D208="","",IF(BX208=1,"",BZ52))</f>
        <v>200</v>
      </c>
      <c r="AQ208" s="3219"/>
      <c r="AR208" s="3221"/>
      <c r="AS208" s="3207">
        <f t="shared" si="112"/>
        <v>6</v>
      </c>
      <c r="AT208" s="3208"/>
      <c r="AU208" s="3222">
        <f t="shared" si="113"/>
        <v>90000</v>
      </c>
      <c r="AV208" s="3223"/>
      <c r="AW208" s="3223"/>
      <c r="AX208" s="3223"/>
      <c r="AY208" s="3223"/>
      <c r="AZ208" s="3223"/>
      <c r="BA208" s="3245">
        <f t="shared" si="114"/>
        <v>320000</v>
      </c>
      <c r="BB208" s="3223"/>
      <c r="BC208" s="3223"/>
      <c r="BD208" s="3223"/>
      <c r="BE208" s="3223"/>
      <c r="BF208" s="3223"/>
      <c r="BG208" s="3246"/>
      <c r="BH208" s="3279">
        <f t="shared" si="115"/>
        <v>27</v>
      </c>
      <c r="BI208" s="3280"/>
      <c r="BJ208" s="3280"/>
      <c r="BK208" s="3280"/>
      <c r="BL208" s="3281"/>
      <c r="BM208" s="3252"/>
      <c r="BN208" s="3253"/>
      <c r="BO208" s="3253"/>
      <c r="BP208" s="3253"/>
      <c r="BQ208" s="3253"/>
      <c r="BR208" s="3253"/>
      <c r="BS208" s="3254"/>
      <c r="BT208" s="35"/>
      <c r="BU208" s="19"/>
      <c r="BW208" s="8">
        <v>52</v>
      </c>
      <c r="BX208" s="513">
        <f>BX56</f>
        <v>7</v>
      </c>
      <c r="BY208" s="512">
        <v>35000</v>
      </c>
      <c r="BZ208" s="511">
        <f t="shared" si="116"/>
        <v>180000</v>
      </c>
      <c r="CA208" s="511">
        <f t="shared" si="117"/>
        <v>0</v>
      </c>
      <c r="CB208" s="511">
        <f t="shared" si="118"/>
        <v>15000</v>
      </c>
      <c r="CC208" s="510">
        <f t="shared" si="119"/>
        <v>230000</v>
      </c>
      <c r="CD208" s="509">
        <f t="shared" si="122"/>
        <v>90000</v>
      </c>
      <c r="CE208" s="508">
        <f t="shared" si="120"/>
        <v>320000</v>
      </c>
      <c r="CF208" s="502" t="s">
        <v>55</v>
      </c>
      <c r="CG208" s="502" t="s">
        <v>54</v>
      </c>
      <c r="CH208" s="324" t="s">
        <v>32</v>
      </c>
      <c r="CI208" s="324" t="s">
        <v>683</v>
      </c>
      <c r="CJ208" s="324" t="s">
        <v>682</v>
      </c>
      <c r="CK208" s="324"/>
      <c r="CL208" s="324"/>
      <c r="CM208" s="324"/>
      <c r="CN208" s="507">
        <f t="shared" si="121"/>
        <v>90000</v>
      </c>
    </row>
    <row r="209" spans="1:92" ht="11.25" customHeight="1">
      <c r="A209" s="3258"/>
      <c r="B209" s="23"/>
      <c r="C209" s="35"/>
      <c r="D209" s="3228" t="str">
        <f>C62</f>
        <v xml:space="preserve">  4F</v>
      </c>
      <c r="E209" s="3229"/>
      <c r="F209" s="3229"/>
      <c r="G209" s="3230"/>
      <c r="H209" s="2939" t="str">
        <f>IF(D209="","",LEFT(AL60,7))</f>
        <v>T-  4-1</v>
      </c>
      <c r="I209" s="2845"/>
      <c r="J209" s="2845"/>
      <c r="K209" s="2845"/>
      <c r="L209" s="2845"/>
      <c r="M209" s="2940"/>
      <c r="N209" s="3209">
        <f>AD62</f>
        <v>600</v>
      </c>
      <c r="O209" s="3210"/>
      <c r="P209" s="3211"/>
      <c r="Q209" s="3212">
        <f>AG62</f>
        <v>0</v>
      </c>
      <c r="R209" s="3213"/>
      <c r="S209" s="3214"/>
      <c r="T209" s="3215" t="str">
        <f>AJ62</f>
        <v>Space</v>
      </c>
      <c r="U209" s="3216"/>
      <c r="V209" s="3217"/>
      <c r="W209" s="2972"/>
      <c r="X209" s="3226"/>
      <c r="Y209" s="3227"/>
      <c r="Z209" s="2972"/>
      <c r="AA209" s="2973"/>
      <c r="AB209" s="3207" t="str">
        <f t="shared" si="110"/>
        <v>1</v>
      </c>
      <c r="AC209" s="3208"/>
      <c r="AD209" s="3222">
        <f t="shared" si="111"/>
        <v>230000</v>
      </c>
      <c r="AE209" s="3223"/>
      <c r="AF209" s="3223"/>
      <c r="AG209" s="3223"/>
      <c r="AH209" s="3223"/>
      <c r="AI209" s="3224"/>
      <c r="AJ209" s="3220" t="str">
        <f>IF(D209="","",IF(BX209=1,"",IF(BX209=2,LEFT(AL60,6)&amp;"2",LEFT(AL60,6)&amp;"2～"&amp;BX209)))</f>
        <v>T-  4-2</v>
      </c>
      <c r="AK209" s="2845"/>
      <c r="AL209" s="2845"/>
      <c r="AM209" s="2845"/>
      <c r="AN209" s="2845"/>
      <c r="AO209" s="2940"/>
      <c r="AP209" s="3218">
        <f>IF(D209="","",IF(BX209=1,"",BZ60))</f>
        <v>50</v>
      </c>
      <c r="AQ209" s="3219"/>
      <c r="AR209" s="3221"/>
      <c r="AS209" s="3207">
        <f t="shared" si="112"/>
        <v>1</v>
      </c>
      <c r="AT209" s="3234"/>
      <c r="AU209" s="3222">
        <f t="shared" si="113"/>
        <v>45000</v>
      </c>
      <c r="AV209" s="3223"/>
      <c r="AW209" s="3223"/>
      <c r="AX209" s="3223"/>
      <c r="AY209" s="3223"/>
      <c r="AZ209" s="3224"/>
      <c r="BA209" s="3245">
        <f t="shared" si="114"/>
        <v>275000</v>
      </c>
      <c r="BB209" s="3223"/>
      <c r="BC209" s="3223"/>
      <c r="BD209" s="3223"/>
      <c r="BE209" s="3223"/>
      <c r="BF209" s="3223"/>
      <c r="BG209" s="3246"/>
      <c r="BH209" s="3279">
        <f t="shared" si="115"/>
        <v>9.75</v>
      </c>
      <c r="BI209" s="3280"/>
      <c r="BJ209" s="3280"/>
      <c r="BK209" s="3280"/>
      <c r="BL209" s="3281"/>
      <c r="BM209" s="3252"/>
      <c r="BN209" s="3253"/>
      <c r="BO209" s="3253"/>
      <c r="BP209" s="3253"/>
      <c r="BQ209" s="3253"/>
      <c r="BR209" s="3253"/>
      <c r="BS209" s="3254"/>
      <c r="BT209" s="35"/>
      <c r="BU209" s="19"/>
      <c r="BW209" s="8">
        <v>60</v>
      </c>
      <c r="BX209" s="513">
        <f>BX64</f>
        <v>2</v>
      </c>
      <c r="BY209" s="512">
        <v>35000</v>
      </c>
      <c r="BZ209" s="511">
        <f t="shared" si="116"/>
        <v>180000</v>
      </c>
      <c r="CA209" s="511">
        <f t="shared" si="117"/>
        <v>0</v>
      </c>
      <c r="CB209" s="511">
        <f t="shared" si="118"/>
        <v>15000</v>
      </c>
      <c r="CC209" s="510">
        <f t="shared" si="119"/>
        <v>230000</v>
      </c>
      <c r="CD209" s="509">
        <f t="shared" si="122"/>
        <v>45000</v>
      </c>
      <c r="CE209" s="508">
        <f t="shared" si="120"/>
        <v>275000</v>
      </c>
      <c r="CF209" s="502" t="s">
        <v>53</v>
      </c>
      <c r="CG209" s="502" t="s">
        <v>52</v>
      </c>
      <c r="CH209" s="324" t="s">
        <v>31</v>
      </c>
      <c r="CI209" s="324" t="s">
        <v>681</v>
      </c>
      <c r="CJ209" s="324" t="s">
        <v>680</v>
      </c>
      <c r="CK209" s="324"/>
      <c r="CL209" s="324"/>
      <c r="CM209" s="324"/>
      <c r="CN209" s="507">
        <f t="shared" si="121"/>
        <v>45000</v>
      </c>
    </row>
    <row r="210" spans="1:92" ht="11.25" customHeight="1">
      <c r="A210" s="3258"/>
      <c r="B210" s="23"/>
      <c r="C210" s="35"/>
      <c r="D210" s="3228" t="str">
        <f>C70</f>
        <v xml:space="preserve">  5F</v>
      </c>
      <c r="E210" s="3229"/>
      <c r="F210" s="3229"/>
      <c r="G210" s="3230"/>
      <c r="H210" s="2939" t="str">
        <f>IF(D210="","",LEFT(AL68,7))</f>
        <v>T-  5-1</v>
      </c>
      <c r="I210" s="2845"/>
      <c r="J210" s="2845"/>
      <c r="K210" s="2845"/>
      <c r="L210" s="2845"/>
      <c r="M210" s="2940"/>
      <c r="N210" s="3209">
        <f>AD70</f>
        <v>400</v>
      </c>
      <c r="O210" s="3210"/>
      <c r="P210" s="3211"/>
      <c r="Q210" s="3212">
        <f>AG70</f>
        <v>0</v>
      </c>
      <c r="R210" s="3213"/>
      <c r="S210" s="3214"/>
      <c r="T210" s="3215" t="str">
        <f>AJ70</f>
        <v>Space</v>
      </c>
      <c r="U210" s="3216"/>
      <c r="V210" s="3217"/>
      <c r="W210" s="2972"/>
      <c r="X210" s="3226"/>
      <c r="Y210" s="3227"/>
      <c r="Z210" s="2972"/>
      <c r="AA210" s="2973"/>
      <c r="AB210" s="3207" t="str">
        <f t="shared" si="110"/>
        <v>1</v>
      </c>
      <c r="AC210" s="3208"/>
      <c r="AD210" s="3222">
        <f t="shared" si="111"/>
        <v>170000</v>
      </c>
      <c r="AE210" s="3223"/>
      <c r="AF210" s="3223"/>
      <c r="AG210" s="3223"/>
      <c r="AH210" s="3223"/>
      <c r="AI210" s="3224"/>
      <c r="AJ210" s="3220" t="str">
        <f>IF(D210="","",IF(BX210=1,"",IF(BX210=2,LEFT(AL68,6)&amp;"2",LEFT(AL68,6)&amp;"2～"&amp;BX210)))</f>
        <v>T-  5-2</v>
      </c>
      <c r="AK210" s="2845"/>
      <c r="AL210" s="2845"/>
      <c r="AM210" s="2845"/>
      <c r="AN210" s="2845"/>
      <c r="AO210" s="2845"/>
      <c r="AP210" s="3218">
        <f>IF(D210="","",IF(BX210=1,"",BZ68))</f>
        <v>50</v>
      </c>
      <c r="AQ210" s="3219"/>
      <c r="AR210" s="3219"/>
      <c r="AS210" s="3207">
        <f t="shared" si="112"/>
        <v>1</v>
      </c>
      <c r="AT210" s="3234"/>
      <c r="AU210" s="3222">
        <f t="shared" si="113"/>
        <v>45000</v>
      </c>
      <c r="AV210" s="3223"/>
      <c r="AW210" s="3223"/>
      <c r="AX210" s="3223"/>
      <c r="AY210" s="3223"/>
      <c r="AZ210" s="3224"/>
      <c r="BA210" s="3245">
        <f t="shared" si="114"/>
        <v>215000</v>
      </c>
      <c r="BB210" s="3223"/>
      <c r="BC210" s="3223"/>
      <c r="BD210" s="3223"/>
      <c r="BE210" s="3223"/>
      <c r="BF210" s="3223"/>
      <c r="BG210" s="3246"/>
      <c r="BH210" s="3279">
        <f t="shared" si="115"/>
        <v>6.75</v>
      </c>
      <c r="BI210" s="3280"/>
      <c r="BJ210" s="3280"/>
      <c r="BK210" s="3280"/>
      <c r="BL210" s="3281"/>
      <c r="BM210" s="3252"/>
      <c r="BN210" s="3253"/>
      <c r="BO210" s="3253"/>
      <c r="BP210" s="3253"/>
      <c r="BQ210" s="3253"/>
      <c r="BR210" s="3253"/>
      <c r="BS210" s="3254"/>
      <c r="BT210" s="35"/>
      <c r="BU210" s="19"/>
      <c r="BW210" s="8">
        <v>68</v>
      </c>
      <c r="BX210" s="513">
        <f>BX72</f>
        <v>2</v>
      </c>
      <c r="BY210" s="512">
        <v>35000</v>
      </c>
      <c r="BZ210" s="511">
        <f t="shared" si="116"/>
        <v>120000</v>
      </c>
      <c r="CA210" s="511">
        <f t="shared" si="117"/>
        <v>0</v>
      </c>
      <c r="CB210" s="511">
        <f t="shared" si="118"/>
        <v>15000</v>
      </c>
      <c r="CC210" s="510">
        <f t="shared" si="119"/>
        <v>170000</v>
      </c>
      <c r="CD210" s="509">
        <f t="shared" si="122"/>
        <v>45000</v>
      </c>
      <c r="CE210" s="508">
        <f t="shared" si="120"/>
        <v>215000</v>
      </c>
      <c r="CF210" s="502" t="s">
        <v>51</v>
      </c>
      <c r="CG210" s="502" t="s">
        <v>50</v>
      </c>
      <c r="CH210" s="324" t="s">
        <v>30</v>
      </c>
      <c r="CI210" s="324" t="s">
        <v>679</v>
      </c>
      <c r="CJ210" s="324" t="s">
        <v>678</v>
      </c>
      <c r="CK210" s="324"/>
      <c r="CL210" s="324"/>
      <c r="CM210" s="324"/>
      <c r="CN210" s="507">
        <f t="shared" si="121"/>
        <v>45000</v>
      </c>
    </row>
    <row r="211" spans="1:92" ht="11.25" customHeight="1">
      <c r="A211" s="3258"/>
      <c r="B211" s="23"/>
      <c r="C211" s="35"/>
      <c r="D211" s="3228" t="str">
        <f>C78</f>
        <v xml:space="preserve">  6F</v>
      </c>
      <c r="E211" s="3229"/>
      <c r="F211" s="3229"/>
      <c r="G211" s="3230"/>
      <c r="H211" s="2939" t="str">
        <f>IF(D211="","",LEFT(AL76,7))</f>
        <v>T-  6-1</v>
      </c>
      <c r="I211" s="2845"/>
      <c r="J211" s="2845"/>
      <c r="K211" s="2845"/>
      <c r="L211" s="2845"/>
      <c r="M211" s="2940"/>
      <c r="N211" s="3209">
        <f>AD78</f>
        <v>400</v>
      </c>
      <c r="O211" s="3210"/>
      <c r="P211" s="3211"/>
      <c r="Q211" s="3212" t="str">
        <f>AG78</f>
        <v>42</v>
      </c>
      <c r="R211" s="3213"/>
      <c r="S211" s="3214"/>
      <c r="T211" s="3215" t="str">
        <f>AJ78</f>
        <v>Space</v>
      </c>
      <c r="U211" s="3216"/>
      <c r="V211" s="3217"/>
      <c r="W211" s="2972"/>
      <c r="X211" s="3226"/>
      <c r="Y211" s="3227"/>
      <c r="Z211" s="2972"/>
      <c r="AA211" s="2973"/>
      <c r="AB211" s="3207" t="str">
        <f t="shared" si="110"/>
        <v>1</v>
      </c>
      <c r="AC211" s="3208"/>
      <c r="AD211" s="3222">
        <f t="shared" si="111"/>
        <v>191000</v>
      </c>
      <c r="AE211" s="3223"/>
      <c r="AF211" s="3223"/>
      <c r="AG211" s="3223"/>
      <c r="AH211" s="3223"/>
      <c r="AI211" s="3224"/>
      <c r="AJ211" s="3220" t="str">
        <f>IF(D211="","",IF(BX211=1,"",IF(BX211=2,LEFT(AL76,6)&amp;"2",LEFT(AL76,6)&amp;"2～"&amp;BX211)))</f>
        <v>T-  6-2</v>
      </c>
      <c r="AK211" s="2845"/>
      <c r="AL211" s="2845"/>
      <c r="AM211" s="2845"/>
      <c r="AN211" s="2845"/>
      <c r="AO211" s="2845"/>
      <c r="AP211" s="3218">
        <f>IF(D211="","",IF(BX211=1,"",BZ76))</f>
        <v>50</v>
      </c>
      <c r="AQ211" s="3219"/>
      <c r="AR211" s="3219"/>
      <c r="AS211" s="3207">
        <f t="shared" si="112"/>
        <v>1</v>
      </c>
      <c r="AT211" s="3234"/>
      <c r="AU211" s="3222">
        <f t="shared" si="113"/>
        <v>45000</v>
      </c>
      <c r="AV211" s="3223"/>
      <c r="AW211" s="3223"/>
      <c r="AX211" s="3223"/>
      <c r="AY211" s="3223"/>
      <c r="AZ211" s="3224"/>
      <c r="BA211" s="3245">
        <f t="shared" si="114"/>
        <v>236000</v>
      </c>
      <c r="BB211" s="3223"/>
      <c r="BC211" s="3223"/>
      <c r="BD211" s="3223"/>
      <c r="BE211" s="3223"/>
      <c r="BF211" s="3223"/>
      <c r="BG211" s="3246"/>
      <c r="BH211" s="3279">
        <f t="shared" si="115"/>
        <v>6.75</v>
      </c>
      <c r="BI211" s="3280"/>
      <c r="BJ211" s="3280"/>
      <c r="BK211" s="3280"/>
      <c r="BL211" s="3281"/>
      <c r="BM211" s="3252"/>
      <c r="BN211" s="3253"/>
      <c r="BO211" s="3253"/>
      <c r="BP211" s="3253"/>
      <c r="BQ211" s="3253"/>
      <c r="BR211" s="3253"/>
      <c r="BS211" s="3254"/>
      <c r="BT211" s="35"/>
      <c r="BU211" s="19"/>
      <c r="BW211" s="8">
        <v>76</v>
      </c>
      <c r="BX211" s="513">
        <f>BX80</f>
        <v>2</v>
      </c>
      <c r="BY211" s="512">
        <v>35000</v>
      </c>
      <c r="BZ211" s="511">
        <f t="shared" si="116"/>
        <v>120000</v>
      </c>
      <c r="CA211" s="511">
        <f t="shared" si="117"/>
        <v>21000</v>
      </c>
      <c r="CB211" s="511">
        <f t="shared" si="118"/>
        <v>15000</v>
      </c>
      <c r="CC211" s="510">
        <f t="shared" si="119"/>
        <v>191000</v>
      </c>
      <c r="CD211" s="509">
        <f t="shared" si="122"/>
        <v>45000</v>
      </c>
      <c r="CE211" s="508">
        <f t="shared" si="120"/>
        <v>236000</v>
      </c>
      <c r="CF211" s="502" t="s">
        <v>677</v>
      </c>
      <c r="CG211" s="502" t="s">
        <v>676</v>
      </c>
      <c r="CH211" s="324" t="s">
        <v>29</v>
      </c>
      <c r="CI211" s="324" t="s">
        <v>675</v>
      </c>
      <c r="CJ211" s="324" t="s">
        <v>674</v>
      </c>
      <c r="CK211" s="324"/>
      <c r="CL211" s="324"/>
      <c r="CM211" s="324"/>
      <c r="CN211" s="507">
        <f t="shared" si="121"/>
        <v>45000</v>
      </c>
    </row>
    <row r="212" spans="1:92" ht="11.25" customHeight="1">
      <c r="A212" s="3258"/>
      <c r="B212" s="23"/>
      <c r="C212" s="35"/>
      <c r="D212" s="3228" t="str">
        <f>C87</f>
        <v xml:space="preserve">  7F</v>
      </c>
      <c r="E212" s="3229"/>
      <c r="F212" s="3229"/>
      <c r="G212" s="3230"/>
      <c r="H212" s="2939" t="str">
        <f>IF(D212="","",LEFT(AL85,7))</f>
        <v>T-  7-1</v>
      </c>
      <c r="I212" s="2845"/>
      <c r="J212" s="2845"/>
      <c r="K212" s="2845"/>
      <c r="L212" s="2845"/>
      <c r="M212" s="2940"/>
      <c r="N212" s="3209">
        <f>AD87</f>
        <v>400</v>
      </c>
      <c r="O212" s="3210"/>
      <c r="P212" s="3211"/>
      <c r="Q212" s="3212">
        <f>AG87</f>
        <v>0</v>
      </c>
      <c r="R212" s="3213"/>
      <c r="S212" s="3214"/>
      <c r="T212" s="3215" t="str">
        <f>AJ87</f>
        <v>Space</v>
      </c>
      <c r="U212" s="3216"/>
      <c r="V212" s="3217"/>
      <c r="W212" s="2972"/>
      <c r="X212" s="3226"/>
      <c r="Y212" s="3227"/>
      <c r="Z212" s="2972"/>
      <c r="AA212" s="2973"/>
      <c r="AB212" s="3207" t="str">
        <f t="shared" si="110"/>
        <v>1</v>
      </c>
      <c r="AC212" s="3208"/>
      <c r="AD212" s="3222">
        <f t="shared" si="111"/>
        <v>170000</v>
      </c>
      <c r="AE212" s="3223"/>
      <c r="AF212" s="3223"/>
      <c r="AG212" s="3223"/>
      <c r="AH212" s="3223"/>
      <c r="AI212" s="3224"/>
      <c r="AJ212" s="3220" t="str">
        <f>IF(D212="","",IF(BX212=1,"",IF(BX212=2,LEFT(AL85,6)&amp;"2",LEFT(AL85,6)&amp;"2～"&amp;BX212)))</f>
        <v>T-  7-2</v>
      </c>
      <c r="AK212" s="2845"/>
      <c r="AL212" s="2845"/>
      <c r="AM212" s="2845"/>
      <c r="AN212" s="2845"/>
      <c r="AO212" s="2845"/>
      <c r="AP212" s="3218">
        <f>IF(D212="","",IF(BX212=1,"",BZ85))</f>
        <v>50</v>
      </c>
      <c r="AQ212" s="3219"/>
      <c r="AR212" s="3219"/>
      <c r="AS212" s="3207">
        <f t="shared" si="112"/>
        <v>1</v>
      </c>
      <c r="AT212" s="3234"/>
      <c r="AU212" s="3222">
        <f t="shared" si="113"/>
        <v>45000</v>
      </c>
      <c r="AV212" s="3223"/>
      <c r="AW212" s="3223"/>
      <c r="AX212" s="3223"/>
      <c r="AY212" s="3223"/>
      <c r="AZ212" s="3224"/>
      <c r="BA212" s="3245">
        <f t="shared" si="114"/>
        <v>215000</v>
      </c>
      <c r="BB212" s="3223"/>
      <c r="BC212" s="3223"/>
      <c r="BD212" s="3223"/>
      <c r="BE212" s="3223"/>
      <c r="BF212" s="3223"/>
      <c r="BG212" s="3246"/>
      <c r="BH212" s="3279">
        <f t="shared" si="115"/>
        <v>6.75</v>
      </c>
      <c r="BI212" s="3280"/>
      <c r="BJ212" s="3280"/>
      <c r="BK212" s="3280"/>
      <c r="BL212" s="3281"/>
      <c r="BM212" s="3252"/>
      <c r="BN212" s="3253"/>
      <c r="BO212" s="3253"/>
      <c r="BP212" s="3253"/>
      <c r="BQ212" s="3253"/>
      <c r="BR212" s="3253"/>
      <c r="BS212" s="3254"/>
      <c r="BT212" s="35"/>
      <c r="BU212" s="19"/>
      <c r="BW212" s="8">
        <v>85</v>
      </c>
      <c r="BX212" s="513">
        <f>BX89</f>
        <v>2</v>
      </c>
      <c r="BY212" s="512">
        <v>35000</v>
      </c>
      <c r="BZ212" s="511">
        <f t="shared" si="116"/>
        <v>120000</v>
      </c>
      <c r="CA212" s="511">
        <f t="shared" si="117"/>
        <v>0</v>
      </c>
      <c r="CB212" s="511">
        <f t="shared" si="118"/>
        <v>15000</v>
      </c>
      <c r="CC212" s="510">
        <f t="shared" si="119"/>
        <v>170000</v>
      </c>
      <c r="CD212" s="509">
        <f t="shared" si="122"/>
        <v>45000</v>
      </c>
      <c r="CE212" s="508">
        <f t="shared" si="120"/>
        <v>215000</v>
      </c>
      <c r="CF212" s="502" t="s">
        <v>673</v>
      </c>
      <c r="CG212" s="502" t="s">
        <v>672</v>
      </c>
      <c r="CH212" s="324" t="s">
        <v>28</v>
      </c>
      <c r="CI212" s="324" t="s">
        <v>671</v>
      </c>
      <c r="CJ212" s="324" t="s">
        <v>670</v>
      </c>
      <c r="CK212" s="324"/>
      <c r="CL212" s="324"/>
      <c r="CM212" s="324"/>
      <c r="CN212" s="507">
        <f t="shared" si="121"/>
        <v>45000</v>
      </c>
    </row>
    <row r="213" spans="1:92" ht="11.25" customHeight="1">
      <c r="A213" s="3258"/>
      <c r="B213" s="23"/>
      <c r="C213" s="35"/>
      <c r="D213" s="3228" t="str">
        <f>C95</f>
        <v xml:space="preserve">  8F</v>
      </c>
      <c r="E213" s="3229"/>
      <c r="F213" s="3229"/>
      <c r="G213" s="3230"/>
      <c r="H213" s="2939" t="str">
        <f>IF(D213="","",LEFT(AL93,7))</f>
        <v>T-  8-1</v>
      </c>
      <c r="I213" s="2845"/>
      <c r="J213" s="2845"/>
      <c r="K213" s="2845"/>
      <c r="L213" s="2845"/>
      <c r="M213" s="2940"/>
      <c r="N213" s="3209">
        <f>AD95</f>
        <v>400</v>
      </c>
      <c r="O213" s="3210"/>
      <c r="P213" s="3211"/>
      <c r="Q213" s="3212">
        <f>AG95</f>
        <v>0</v>
      </c>
      <c r="R213" s="3213"/>
      <c r="S213" s="3214"/>
      <c r="T213" s="3215" t="str">
        <f>AJ95</f>
        <v>Space</v>
      </c>
      <c r="U213" s="3216"/>
      <c r="V213" s="3217"/>
      <c r="W213" s="2972"/>
      <c r="X213" s="3226"/>
      <c r="Y213" s="3227"/>
      <c r="Z213" s="2972"/>
      <c r="AA213" s="2973"/>
      <c r="AB213" s="3207" t="str">
        <f t="shared" si="110"/>
        <v>1</v>
      </c>
      <c r="AC213" s="3208"/>
      <c r="AD213" s="3222">
        <f t="shared" si="111"/>
        <v>170000</v>
      </c>
      <c r="AE213" s="3223"/>
      <c r="AF213" s="3223"/>
      <c r="AG213" s="3223"/>
      <c r="AH213" s="3223"/>
      <c r="AI213" s="3224"/>
      <c r="AJ213" s="3220" t="str">
        <f>IF(D213="","",IF(BX213=1,"",IF(BX213=2,LEFT(AL93,6)&amp;"2",LEFT(AL93,6)&amp;"2～"&amp;BX213)))</f>
        <v>T-  8-2</v>
      </c>
      <c r="AK213" s="2845"/>
      <c r="AL213" s="2845"/>
      <c r="AM213" s="2845"/>
      <c r="AN213" s="2845"/>
      <c r="AO213" s="2845"/>
      <c r="AP213" s="3218">
        <f>IF(D213="","",IF(BX213=1,"",BZ93))</f>
        <v>50</v>
      </c>
      <c r="AQ213" s="3219"/>
      <c r="AR213" s="3219"/>
      <c r="AS213" s="3207">
        <f t="shared" si="112"/>
        <v>1</v>
      </c>
      <c r="AT213" s="3234"/>
      <c r="AU213" s="3222">
        <f t="shared" si="113"/>
        <v>45000</v>
      </c>
      <c r="AV213" s="3223"/>
      <c r="AW213" s="3223"/>
      <c r="AX213" s="3223"/>
      <c r="AY213" s="3223"/>
      <c r="AZ213" s="3224"/>
      <c r="BA213" s="3245">
        <f t="shared" si="114"/>
        <v>215000</v>
      </c>
      <c r="BB213" s="3223"/>
      <c r="BC213" s="3223"/>
      <c r="BD213" s="3223"/>
      <c r="BE213" s="3223"/>
      <c r="BF213" s="3223"/>
      <c r="BG213" s="3246"/>
      <c r="BH213" s="3279">
        <f t="shared" si="115"/>
        <v>6.75</v>
      </c>
      <c r="BI213" s="3280"/>
      <c r="BJ213" s="3280"/>
      <c r="BK213" s="3280"/>
      <c r="BL213" s="3281"/>
      <c r="BM213" s="3252"/>
      <c r="BN213" s="3253"/>
      <c r="BO213" s="3253"/>
      <c r="BP213" s="3253"/>
      <c r="BQ213" s="3253"/>
      <c r="BR213" s="3253"/>
      <c r="BS213" s="3254"/>
      <c r="BT213" s="35"/>
      <c r="BU213" s="19"/>
      <c r="BW213" s="8">
        <v>93</v>
      </c>
      <c r="BX213" s="513">
        <f>BX97</f>
        <v>2</v>
      </c>
      <c r="BY213" s="512">
        <v>35000</v>
      </c>
      <c r="BZ213" s="511">
        <f t="shared" si="116"/>
        <v>120000</v>
      </c>
      <c r="CA213" s="511">
        <f t="shared" si="117"/>
        <v>0</v>
      </c>
      <c r="CB213" s="511">
        <f t="shared" si="118"/>
        <v>15000</v>
      </c>
      <c r="CC213" s="510">
        <f t="shared" si="119"/>
        <v>170000</v>
      </c>
      <c r="CD213" s="509">
        <f t="shared" si="122"/>
        <v>45000</v>
      </c>
      <c r="CE213" s="508">
        <f t="shared" si="120"/>
        <v>215000</v>
      </c>
      <c r="CF213" s="502" t="s">
        <v>49</v>
      </c>
      <c r="CG213" s="502" t="s">
        <v>48</v>
      </c>
      <c r="CH213" s="324" t="s">
        <v>27</v>
      </c>
      <c r="CI213" s="324" t="s">
        <v>669</v>
      </c>
      <c r="CJ213" s="324" t="s">
        <v>668</v>
      </c>
      <c r="CK213" s="324"/>
      <c r="CL213" s="324"/>
      <c r="CM213" s="324"/>
      <c r="CN213" s="507">
        <f t="shared" si="121"/>
        <v>45000</v>
      </c>
    </row>
    <row r="214" spans="1:92" ht="11.25" customHeight="1">
      <c r="A214" s="3258"/>
      <c r="B214" s="23"/>
      <c r="C214" s="35"/>
      <c r="D214" s="3228" t="str">
        <f>C103</f>
        <v xml:space="preserve">  9F</v>
      </c>
      <c r="E214" s="3229"/>
      <c r="F214" s="3229"/>
      <c r="G214" s="3230"/>
      <c r="H214" s="2939" t="str">
        <f>IF(D214="","",LEFT(AL101,7))</f>
        <v>T-  9-1</v>
      </c>
      <c r="I214" s="2845"/>
      <c r="J214" s="2845"/>
      <c r="K214" s="2845"/>
      <c r="L214" s="2845"/>
      <c r="M214" s="2940"/>
      <c r="N214" s="3209">
        <f>AD103</f>
        <v>200</v>
      </c>
      <c r="O214" s="3210"/>
      <c r="P214" s="3211"/>
      <c r="Q214" s="3212">
        <f>AG103</f>
        <v>0</v>
      </c>
      <c r="R214" s="3213"/>
      <c r="S214" s="3214"/>
      <c r="T214" s="3215" t="str">
        <f>AJ103</f>
        <v>Space</v>
      </c>
      <c r="U214" s="3216"/>
      <c r="V214" s="3217"/>
      <c r="W214" s="2972"/>
      <c r="X214" s="3226"/>
      <c r="Y214" s="3227"/>
      <c r="Z214" s="2972"/>
      <c r="AA214" s="2973"/>
      <c r="AB214" s="3207" t="str">
        <f t="shared" si="110"/>
        <v>1</v>
      </c>
      <c r="AC214" s="3208"/>
      <c r="AD214" s="3222">
        <f t="shared" si="111"/>
        <v>110000</v>
      </c>
      <c r="AE214" s="3223"/>
      <c r="AF214" s="3223"/>
      <c r="AG214" s="3223"/>
      <c r="AH214" s="3223"/>
      <c r="AI214" s="3224"/>
      <c r="AJ214" s="3220" t="str">
        <f>IF(D214="","",IF(BX214=1,"",IF(BX214=2,LEFT(AL101,6)&amp;"2",LEFT(AL101,6)&amp;"2～"&amp;BX214)))</f>
        <v>T-  9-2</v>
      </c>
      <c r="AK214" s="2845"/>
      <c r="AL214" s="2845"/>
      <c r="AM214" s="2845"/>
      <c r="AN214" s="2845"/>
      <c r="AO214" s="2845"/>
      <c r="AP214" s="3218">
        <f>IF(D214="","",IF(BX214=1,"",BZ101))</f>
        <v>50</v>
      </c>
      <c r="AQ214" s="3219"/>
      <c r="AR214" s="3219"/>
      <c r="AS214" s="3207">
        <f t="shared" si="112"/>
        <v>1</v>
      </c>
      <c r="AT214" s="3234"/>
      <c r="AU214" s="3222">
        <f t="shared" si="113"/>
        <v>45000</v>
      </c>
      <c r="AV214" s="3223"/>
      <c r="AW214" s="3223"/>
      <c r="AX214" s="3223"/>
      <c r="AY214" s="3223"/>
      <c r="AZ214" s="3224"/>
      <c r="BA214" s="3245">
        <f t="shared" si="114"/>
        <v>155000</v>
      </c>
      <c r="BB214" s="3223"/>
      <c r="BC214" s="3223"/>
      <c r="BD214" s="3223"/>
      <c r="BE214" s="3223"/>
      <c r="BF214" s="3223"/>
      <c r="BG214" s="3246"/>
      <c r="BH214" s="3279">
        <f t="shared" si="115"/>
        <v>3.75</v>
      </c>
      <c r="BI214" s="3280"/>
      <c r="BJ214" s="3280"/>
      <c r="BK214" s="3280"/>
      <c r="BL214" s="3281"/>
      <c r="BM214" s="3252"/>
      <c r="BN214" s="3253"/>
      <c r="BO214" s="3253"/>
      <c r="BP214" s="3253"/>
      <c r="BQ214" s="3253"/>
      <c r="BR214" s="3253"/>
      <c r="BS214" s="3254"/>
      <c r="BT214" s="35"/>
      <c r="BU214" s="19"/>
      <c r="BW214" s="8">
        <v>101</v>
      </c>
      <c r="BX214" s="513">
        <f>BX105</f>
        <v>2</v>
      </c>
      <c r="BY214" s="512">
        <v>35000</v>
      </c>
      <c r="BZ214" s="511">
        <f t="shared" si="116"/>
        <v>60000</v>
      </c>
      <c r="CA214" s="511">
        <f t="shared" si="117"/>
        <v>0</v>
      </c>
      <c r="CB214" s="511">
        <f t="shared" si="118"/>
        <v>15000</v>
      </c>
      <c r="CC214" s="510">
        <f t="shared" si="119"/>
        <v>110000</v>
      </c>
      <c r="CD214" s="509">
        <f t="shared" si="122"/>
        <v>45000</v>
      </c>
      <c r="CE214" s="508">
        <f t="shared" si="120"/>
        <v>155000</v>
      </c>
      <c r="CF214" s="502" t="s">
        <v>47</v>
      </c>
      <c r="CG214" s="502" t="s">
        <v>46</v>
      </c>
      <c r="CH214" s="324" t="s">
        <v>25</v>
      </c>
      <c r="CI214" s="324" t="s">
        <v>667</v>
      </c>
      <c r="CJ214" s="324" t="s">
        <v>666</v>
      </c>
      <c r="CK214" s="324"/>
      <c r="CL214" s="324"/>
      <c r="CM214" s="324"/>
      <c r="CN214" s="507">
        <f t="shared" si="121"/>
        <v>45000</v>
      </c>
    </row>
    <row r="215" spans="1:92" ht="11.25" customHeight="1">
      <c r="A215" s="3258"/>
      <c r="B215" s="23"/>
      <c r="C215" s="35"/>
      <c r="D215" s="3228" t="str">
        <f>C111</f>
        <v xml:space="preserve"> 10F</v>
      </c>
      <c r="E215" s="3229"/>
      <c r="F215" s="3229"/>
      <c r="G215" s="3230"/>
      <c r="H215" s="2939" t="str">
        <f>IF(D215="","",LEFT(AL109,7))</f>
        <v>T- 10-1</v>
      </c>
      <c r="I215" s="2845"/>
      <c r="J215" s="2845"/>
      <c r="K215" s="2845"/>
      <c r="L215" s="2845"/>
      <c r="M215" s="2940"/>
      <c r="N215" s="3209">
        <f>AD111</f>
        <v>150</v>
      </c>
      <c r="O215" s="3210"/>
      <c r="P215" s="3211"/>
      <c r="Q215" s="3212">
        <f>AG111</f>
        <v>0</v>
      </c>
      <c r="R215" s="3213"/>
      <c r="S215" s="3214"/>
      <c r="T215" s="3215" t="str">
        <f>AJ111</f>
        <v>Space</v>
      </c>
      <c r="U215" s="3216"/>
      <c r="V215" s="3217"/>
      <c r="W215" s="2972"/>
      <c r="X215" s="3226"/>
      <c r="Y215" s="3227"/>
      <c r="Z215" s="2972"/>
      <c r="AA215" s="2973"/>
      <c r="AB215" s="3207" t="str">
        <f t="shared" si="110"/>
        <v>1</v>
      </c>
      <c r="AC215" s="3208"/>
      <c r="AD215" s="3222">
        <f t="shared" si="111"/>
        <v>95000</v>
      </c>
      <c r="AE215" s="3223"/>
      <c r="AF215" s="3223"/>
      <c r="AG215" s="3223"/>
      <c r="AH215" s="3223"/>
      <c r="AI215" s="3224"/>
      <c r="AJ215" s="3220" t="str">
        <f>IF(D215="","",IF(BX215=1,"",IF(BX215=2,LEFT(AL109,6)&amp;"2",LEFT(AL109,6)&amp;"2～"&amp;BX215)))</f>
        <v>T- 10-2</v>
      </c>
      <c r="AK215" s="2845"/>
      <c r="AL215" s="2845"/>
      <c r="AM215" s="2845"/>
      <c r="AN215" s="2845"/>
      <c r="AO215" s="2845"/>
      <c r="AP215" s="3218">
        <f>IF(D215="","",IF(BX215=1,"",BZ109))</f>
        <v>50</v>
      </c>
      <c r="AQ215" s="3219"/>
      <c r="AR215" s="3219"/>
      <c r="AS215" s="3207">
        <f t="shared" si="112"/>
        <v>1</v>
      </c>
      <c r="AT215" s="3234"/>
      <c r="AU215" s="3222">
        <f t="shared" si="113"/>
        <v>45000</v>
      </c>
      <c r="AV215" s="3223"/>
      <c r="AW215" s="3223"/>
      <c r="AX215" s="3223"/>
      <c r="AY215" s="3223"/>
      <c r="AZ215" s="3224"/>
      <c r="BA215" s="3245">
        <f t="shared" si="114"/>
        <v>140000</v>
      </c>
      <c r="BB215" s="3223"/>
      <c r="BC215" s="3223"/>
      <c r="BD215" s="3223"/>
      <c r="BE215" s="3223"/>
      <c r="BF215" s="3223"/>
      <c r="BG215" s="3246"/>
      <c r="BH215" s="3279">
        <f t="shared" si="115"/>
        <v>3</v>
      </c>
      <c r="BI215" s="3280"/>
      <c r="BJ215" s="3280"/>
      <c r="BK215" s="3280"/>
      <c r="BL215" s="3281"/>
      <c r="BM215" s="3252"/>
      <c r="BN215" s="3253"/>
      <c r="BO215" s="3253"/>
      <c r="BP215" s="3253"/>
      <c r="BQ215" s="3253"/>
      <c r="BR215" s="3253"/>
      <c r="BS215" s="3254"/>
      <c r="BT215" s="35"/>
      <c r="BU215" s="19"/>
      <c r="BW215" s="8">
        <v>109</v>
      </c>
      <c r="BX215" s="513">
        <f>BX113</f>
        <v>2</v>
      </c>
      <c r="BY215" s="512">
        <v>35000</v>
      </c>
      <c r="BZ215" s="511">
        <f t="shared" si="116"/>
        <v>45000</v>
      </c>
      <c r="CA215" s="511">
        <f t="shared" si="117"/>
        <v>0</v>
      </c>
      <c r="CB215" s="511">
        <f t="shared" si="118"/>
        <v>15000</v>
      </c>
      <c r="CC215" s="510">
        <f t="shared" si="119"/>
        <v>95000</v>
      </c>
      <c r="CD215" s="509">
        <f t="shared" si="122"/>
        <v>45000</v>
      </c>
      <c r="CE215" s="508">
        <f t="shared" si="120"/>
        <v>140000</v>
      </c>
      <c r="CF215" s="502" t="s">
        <v>665</v>
      </c>
      <c r="CG215" s="502" t="s">
        <v>45</v>
      </c>
      <c r="CH215" s="324" t="s">
        <v>24</v>
      </c>
      <c r="CI215" s="324" t="s">
        <v>664</v>
      </c>
      <c r="CJ215" s="324" t="s">
        <v>663</v>
      </c>
      <c r="CK215" s="324"/>
      <c r="CL215" s="324"/>
      <c r="CM215" s="324"/>
      <c r="CN215" s="507">
        <f t="shared" si="121"/>
        <v>45000</v>
      </c>
    </row>
    <row r="216" spans="1:92" ht="11.25" customHeight="1">
      <c r="A216" s="3258"/>
      <c r="B216" s="23"/>
      <c r="C216" s="35"/>
      <c r="D216" s="3228" t="str">
        <f>C119</f>
        <v xml:space="preserve"> 11F</v>
      </c>
      <c r="E216" s="3229"/>
      <c r="F216" s="3229"/>
      <c r="G216" s="3230"/>
      <c r="H216" s="2939" t="str">
        <f>IF(D216="","",LEFT(AL117,7))</f>
        <v>T- 11-1</v>
      </c>
      <c r="I216" s="2845"/>
      <c r="J216" s="2845"/>
      <c r="K216" s="2845"/>
      <c r="L216" s="2845"/>
      <c r="M216" s="2940"/>
      <c r="N216" s="3209">
        <f>AD119</f>
        <v>100</v>
      </c>
      <c r="O216" s="3210"/>
      <c r="P216" s="3211"/>
      <c r="Q216" s="3212">
        <f>AG119</f>
        <v>0</v>
      </c>
      <c r="R216" s="3213"/>
      <c r="S216" s="3214"/>
      <c r="T216" s="3215" t="str">
        <f>AJ119</f>
        <v>Space</v>
      </c>
      <c r="U216" s="3216"/>
      <c r="V216" s="3217"/>
      <c r="W216" s="2972"/>
      <c r="X216" s="3226"/>
      <c r="Y216" s="3227"/>
      <c r="Z216" s="2972"/>
      <c r="AA216" s="2973"/>
      <c r="AB216" s="3207" t="str">
        <f t="shared" si="110"/>
        <v>1</v>
      </c>
      <c r="AC216" s="3208"/>
      <c r="AD216" s="3222">
        <f t="shared" si="111"/>
        <v>80000</v>
      </c>
      <c r="AE216" s="3223"/>
      <c r="AF216" s="3223"/>
      <c r="AG216" s="3223"/>
      <c r="AH216" s="3223"/>
      <c r="AI216" s="3224"/>
      <c r="AJ216" s="3220" t="str">
        <f>IF(D216="","",IF(BX216=1,"",IF(BX216=2,LEFT(AL117,6)&amp;"2",LEFT(AL117,6)&amp;"2～"&amp;BX216)))</f>
        <v>T- 11-2</v>
      </c>
      <c r="AK216" s="2845"/>
      <c r="AL216" s="2845"/>
      <c r="AM216" s="2845"/>
      <c r="AN216" s="2845"/>
      <c r="AO216" s="2845"/>
      <c r="AP216" s="3218">
        <f>IF(D216="","",IF(BX216=1,"",BZ117))</f>
        <v>50</v>
      </c>
      <c r="AQ216" s="3219"/>
      <c r="AR216" s="3219"/>
      <c r="AS216" s="3207">
        <f t="shared" si="112"/>
        <v>1</v>
      </c>
      <c r="AT216" s="3234"/>
      <c r="AU216" s="3222">
        <f t="shared" si="113"/>
        <v>45000</v>
      </c>
      <c r="AV216" s="3223"/>
      <c r="AW216" s="3223"/>
      <c r="AX216" s="3223"/>
      <c r="AY216" s="3223"/>
      <c r="AZ216" s="3224"/>
      <c r="BA216" s="3245">
        <f t="shared" si="114"/>
        <v>125000</v>
      </c>
      <c r="BB216" s="3223"/>
      <c r="BC216" s="3223"/>
      <c r="BD216" s="3223"/>
      <c r="BE216" s="3223"/>
      <c r="BF216" s="3223"/>
      <c r="BG216" s="3246"/>
      <c r="BH216" s="3279">
        <f t="shared" si="115"/>
        <v>2.25</v>
      </c>
      <c r="BI216" s="3280"/>
      <c r="BJ216" s="3280"/>
      <c r="BK216" s="3280"/>
      <c r="BL216" s="3281"/>
      <c r="BM216" s="3252"/>
      <c r="BN216" s="3253"/>
      <c r="BO216" s="3253"/>
      <c r="BP216" s="3253"/>
      <c r="BQ216" s="3253"/>
      <c r="BR216" s="3253"/>
      <c r="BS216" s="3254"/>
      <c r="BT216" s="35"/>
      <c r="BU216" s="19"/>
      <c r="BW216" s="8">
        <v>117</v>
      </c>
      <c r="BX216" s="513">
        <f>BX121</f>
        <v>2</v>
      </c>
      <c r="BY216" s="512">
        <v>35000</v>
      </c>
      <c r="BZ216" s="511">
        <f t="shared" si="116"/>
        <v>30000</v>
      </c>
      <c r="CA216" s="511">
        <f t="shared" si="117"/>
        <v>0</v>
      </c>
      <c r="CB216" s="511">
        <f t="shared" si="118"/>
        <v>15000</v>
      </c>
      <c r="CC216" s="510">
        <f t="shared" si="119"/>
        <v>80000</v>
      </c>
      <c r="CD216" s="509">
        <f t="shared" si="122"/>
        <v>45000</v>
      </c>
      <c r="CE216" s="508">
        <f t="shared" si="120"/>
        <v>125000</v>
      </c>
      <c r="CF216" s="502" t="s">
        <v>662</v>
      </c>
      <c r="CG216" s="502" t="s">
        <v>661</v>
      </c>
      <c r="CH216" s="324" t="s">
        <v>660</v>
      </c>
      <c r="CI216" s="324" t="s">
        <v>659</v>
      </c>
      <c r="CJ216" s="324" t="s">
        <v>658</v>
      </c>
      <c r="CK216" s="324"/>
      <c r="CL216" s="324"/>
      <c r="CM216" s="324"/>
      <c r="CN216" s="507">
        <f t="shared" si="121"/>
        <v>45000</v>
      </c>
    </row>
    <row r="217" spans="1:92" ht="11.25" customHeight="1">
      <c r="A217" s="3258"/>
      <c r="B217" s="23"/>
      <c r="C217" s="35"/>
      <c r="D217" s="3228" t="str">
        <f>C127</f>
        <v xml:space="preserve"> 12F</v>
      </c>
      <c r="E217" s="3229"/>
      <c r="F217" s="3229"/>
      <c r="G217" s="3230"/>
      <c r="H217" s="2939" t="str">
        <f>IF(D217="","",LEFT(AL125,7))</f>
        <v>T- 12-1</v>
      </c>
      <c r="I217" s="2845"/>
      <c r="J217" s="2845"/>
      <c r="K217" s="2845"/>
      <c r="L217" s="2845"/>
      <c r="M217" s="2940"/>
      <c r="N217" s="3209">
        <f>AD127</f>
        <v>70</v>
      </c>
      <c r="O217" s="3210"/>
      <c r="P217" s="3211"/>
      <c r="Q217" s="3212" t="str">
        <f>AG127</f>
        <v>36</v>
      </c>
      <c r="R217" s="3213"/>
      <c r="S217" s="3214"/>
      <c r="T217" s="3215" t="str">
        <f>AJ127</f>
        <v>Space</v>
      </c>
      <c r="U217" s="3216"/>
      <c r="V217" s="3217"/>
      <c r="W217" s="2972"/>
      <c r="X217" s="3226"/>
      <c r="Y217" s="3227"/>
      <c r="Z217" s="2972"/>
      <c r="AA217" s="2973"/>
      <c r="AB217" s="3207" t="str">
        <f t="shared" si="110"/>
        <v>1</v>
      </c>
      <c r="AC217" s="3208"/>
      <c r="AD217" s="3222">
        <f t="shared" si="111"/>
        <v>89000</v>
      </c>
      <c r="AE217" s="3223"/>
      <c r="AF217" s="3223"/>
      <c r="AG217" s="3223"/>
      <c r="AH217" s="3223"/>
      <c r="AI217" s="3224"/>
      <c r="AJ217" s="3220" t="str">
        <f>IF(D217="","",IF(BX217=1,"",IF(BX217=2,LEFT(AL125,6)&amp;"2",LEFT(AL125,6)&amp;"2～"&amp;BX217)))</f>
        <v>T- 12-2</v>
      </c>
      <c r="AK217" s="2845"/>
      <c r="AL217" s="2845"/>
      <c r="AM217" s="2845"/>
      <c r="AN217" s="2845"/>
      <c r="AO217" s="2845"/>
      <c r="AP217" s="3218">
        <f>IF(D217="","",IF(BX217=1,"",BZ125))</f>
        <v>50</v>
      </c>
      <c r="AQ217" s="3219"/>
      <c r="AR217" s="3219"/>
      <c r="AS217" s="3207">
        <f t="shared" si="112"/>
        <v>1</v>
      </c>
      <c r="AT217" s="3234"/>
      <c r="AU217" s="3222">
        <f t="shared" si="113"/>
        <v>45000</v>
      </c>
      <c r="AV217" s="3223"/>
      <c r="AW217" s="3223"/>
      <c r="AX217" s="3223"/>
      <c r="AY217" s="3223"/>
      <c r="AZ217" s="3224"/>
      <c r="BA217" s="3245">
        <f t="shared" si="114"/>
        <v>134000</v>
      </c>
      <c r="BB217" s="3223"/>
      <c r="BC217" s="3223"/>
      <c r="BD217" s="3223"/>
      <c r="BE217" s="3223"/>
      <c r="BF217" s="3223"/>
      <c r="BG217" s="3246"/>
      <c r="BH217" s="3279">
        <f t="shared" si="115"/>
        <v>1.8</v>
      </c>
      <c r="BI217" s="3280"/>
      <c r="BJ217" s="3280"/>
      <c r="BK217" s="3280"/>
      <c r="BL217" s="3281"/>
      <c r="BM217" s="3252"/>
      <c r="BN217" s="3253"/>
      <c r="BO217" s="3253"/>
      <c r="BP217" s="3253"/>
      <c r="BQ217" s="3253"/>
      <c r="BR217" s="3253"/>
      <c r="BS217" s="3254"/>
      <c r="BT217" s="35"/>
      <c r="BU217" s="19"/>
      <c r="BW217" s="8">
        <v>125</v>
      </c>
      <c r="BX217" s="513">
        <f>BX129</f>
        <v>2</v>
      </c>
      <c r="BY217" s="512">
        <v>35000</v>
      </c>
      <c r="BZ217" s="511">
        <f t="shared" si="116"/>
        <v>21000</v>
      </c>
      <c r="CA217" s="511">
        <f t="shared" si="117"/>
        <v>18000</v>
      </c>
      <c r="CB217" s="511">
        <f t="shared" si="118"/>
        <v>15000</v>
      </c>
      <c r="CC217" s="510">
        <f t="shared" si="119"/>
        <v>89000</v>
      </c>
      <c r="CD217" s="509">
        <f t="shared" si="122"/>
        <v>45000</v>
      </c>
      <c r="CE217" s="508">
        <f t="shared" si="120"/>
        <v>134000</v>
      </c>
      <c r="CF217" s="502" t="s">
        <v>657</v>
      </c>
      <c r="CG217" s="502" t="s">
        <v>656</v>
      </c>
      <c r="CH217" s="324" t="s">
        <v>655</v>
      </c>
      <c r="CI217" s="324" t="s">
        <v>654</v>
      </c>
      <c r="CJ217" s="324" t="s">
        <v>653</v>
      </c>
      <c r="CK217" s="324"/>
      <c r="CL217" s="324"/>
      <c r="CM217" s="324"/>
      <c r="CN217" s="507">
        <f t="shared" si="121"/>
        <v>45000</v>
      </c>
    </row>
    <row r="218" spans="1:92" ht="11.25" customHeight="1">
      <c r="A218" s="3258"/>
      <c r="B218" s="23"/>
      <c r="C218" s="35"/>
      <c r="D218" s="3228" t="str">
        <f>C135</f>
        <v>PH1F</v>
      </c>
      <c r="E218" s="3229"/>
      <c r="F218" s="3229"/>
      <c r="G218" s="3230"/>
      <c r="H218" s="2939" t="str">
        <f>IF(D218="","",LEFT(AL133,7))</f>
        <v>T-PH1-1</v>
      </c>
      <c r="I218" s="2845"/>
      <c r="J218" s="2845"/>
      <c r="K218" s="2845"/>
      <c r="L218" s="2845"/>
      <c r="M218" s="2940"/>
      <c r="N218" s="3209">
        <f>AD135</f>
        <v>10</v>
      </c>
      <c r="O218" s="3210"/>
      <c r="P218" s="3211"/>
      <c r="Q218" s="3212">
        <f>AG135</f>
        <v>0</v>
      </c>
      <c r="R218" s="3213"/>
      <c r="S218" s="3214"/>
      <c r="T218" s="3215" t="str">
        <f>AJ135</f>
        <v>Space</v>
      </c>
      <c r="U218" s="3216"/>
      <c r="V218" s="3217"/>
      <c r="W218" s="2972"/>
      <c r="X218" s="3226"/>
      <c r="Y218" s="3227"/>
      <c r="Z218" s="2972"/>
      <c r="AA218" s="2973"/>
      <c r="AB218" s="3207" t="str">
        <f t="shared" si="110"/>
        <v>1</v>
      </c>
      <c r="AC218" s="3208"/>
      <c r="AD218" s="3222">
        <f t="shared" si="111"/>
        <v>53000</v>
      </c>
      <c r="AE218" s="3223"/>
      <c r="AF218" s="3223"/>
      <c r="AG218" s="3223"/>
      <c r="AH218" s="3223"/>
      <c r="AI218" s="3224"/>
      <c r="AJ218" s="3220" t="str">
        <f>IF(D218="","",IF(BX218=1,"",IF(BX218=2,LEFT(AL133,6)&amp;"2",LEFT(AL133,6)&amp;"2～"&amp;BX218)))</f>
        <v/>
      </c>
      <c r="AK218" s="2845"/>
      <c r="AL218" s="2845"/>
      <c r="AM218" s="2845"/>
      <c r="AN218" s="2845"/>
      <c r="AO218" s="2845"/>
      <c r="AP218" s="3218" t="str">
        <f>IF(D218="","",IF(BX218=1,"",BZ133))</f>
        <v/>
      </c>
      <c r="AQ218" s="3219"/>
      <c r="AR218" s="3219"/>
      <c r="AS218" s="3207" t="str">
        <f t="shared" si="112"/>
        <v/>
      </c>
      <c r="AT218" s="3234"/>
      <c r="AU218" s="3222" t="str">
        <f t="shared" si="113"/>
        <v/>
      </c>
      <c r="AV218" s="3223"/>
      <c r="AW218" s="3223"/>
      <c r="AX218" s="3223"/>
      <c r="AY218" s="3223"/>
      <c r="AZ218" s="3224"/>
      <c r="BA218" s="3245">
        <f t="shared" si="114"/>
        <v>53000</v>
      </c>
      <c r="BB218" s="3223"/>
      <c r="BC218" s="3223"/>
      <c r="BD218" s="3223"/>
      <c r="BE218" s="3223"/>
      <c r="BF218" s="3223"/>
      <c r="BG218" s="3246"/>
      <c r="BH218" s="3279">
        <f t="shared" si="115"/>
        <v>0.15</v>
      </c>
      <c r="BI218" s="3280"/>
      <c r="BJ218" s="3280"/>
      <c r="BK218" s="3280"/>
      <c r="BL218" s="3281"/>
      <c r="BM218" s="3252"/>
      <c r="BN218" s="3253"/>
      <c r="BO218" s="3253"/>
      <c r="BP218" s="3253"/>
      <c r="BQ218" s="3253"/>
      <c r="BR218" s="3253"/>
      <c r="BS218" s="3254"/>
      <c r="BT218" s="35"/>
      <c r="BU218" s="19"/>
      <c r="BW218" s="8">
        <v>133</v>
      </c>
      <c r="BX218" s="513">
        <f>BX137</f>
        <v>1</v>
      </c>
      <c r="BY218" s="512">
        <v>35000</v>
      </c>
      <c r="BZ218" s="511">
        <f t="shared" si="116"/>
        <v>3000</v>
      </c>
      <c r="CA218" s="511">
        <f t="shared" si="117"/>
        <v>0</v>
      </c>
      <c r="CB218" s="511">
        <f t="shared" si="118"/>
        <v>15000</v>
      </c>
      <c r="CC218" s="510">
        <f t="shared" si="119"/>
        <v>53000</v>
      </c>
      <c r="CD218" s="509" t="str">
        <f t="shared" si="122"/>
        <v/>
      </c>
      <c r="CE218" s="508">
        <f t="shared" si="120"/>
        <v>53000</v>
      </c>
      <c r="CF218" s="502" t="s">
        <v>652</v>
      </c>
      <c r="CG218" s="502" t="s">
        <v>651</v>
      </c>
      <c r="CH218" s="324" t="s">
        <v>650</v>
      </c>
      <c r="CI218" s="324" t="s">
        <v>649</v>
      </c>
      <c r="CJ218" s="324" t="s">
        <v>648</v>
      </c>
      <c r="CK218" s="324"/>
      <c r="CL218" s="324"/>
      <c r="CM218" s="324"/>
      <c r="CN218" s="507" t="str">
        <f t="shared" si="121"/>
        <v/>
      </c>
    </row>
    <row r="219" spans="1:92" ht="11.25" customHeight="1">
      <c r="A219" s="3258"/>
      <c r="B219" s="23"/>
      <c r="C219" s="35"/>
      <c r="D219" s="3228" t="str">
        <f>C143</f>
        <v>PH2F</v>
      </c>
      <c r="E219" s="3229"/>
      <c r="F219" s="3229"/>
      <c r="G219" s="3230"/>
      <c r="H219" s="2939" t="str">
        <f>IF(D219="","",LEFT(AL141,7))</f>
        <v>T-PH2-1</v>
      </c>
      <c r="I219" s="2845"/>
      <c r="J219" s="2845"/>
      <c r="K219" s="2845"/>
      <c r="L219" s="2845"/>
      <c r="M219" s="2940"/>
      <c r="N219" s="3236">
        <f>AD143</f>
        <v>10</v>
      </c>
      <c r="O219" s="3210"/>
      <c r="P219" s="3211"/>
      <c r="Q219" s="3212">
        <f>AG143</f>
        <v>10</v>
      </c>
      <c r="R219" s="3213"/>
      <c r="S219" s="3214"/>
      <c r="T219" s="3215" t="str">
        <f>AJ143</f>
        <v>---</v>
      </c>
      <c r="U219" s="3216"/>
      <c r="V219" s="3217"/>
      <c r="W219" s="2972"/>
      <c r="X219" s="3226"/>
      <c r="Y219" s="3227"/>
      <c r="Z219" s="2972"/>
      <c r="AA219" s="2973"/>
      <c r="AB219" s="3207" t="str">
        <f t="shared" si="110"/>
        <v>1</v>
      </c>
      <c r="AC219" s="3208"/>
      <c r="AD219" s="3222">
        <f t="shared" si="111"/>
        <v>43000</v>
      </c>
      <c r="AE219" s="3223"/>
      <c r="AF219" s="3223"/>
      <c r="AG219" s="3223"/>
      <c r="AH219" s="3223"/>
      <c r="AI219" s="3224"/>
      <c r="AJ219" s="3220" t="str">
        <f>IF(D219="","",IF(BX219=1,"",IF(BX219=2,LEFT(AL141,6)&amp;"2",LEFT(AL141,6)&amp;"2～"&amp;BX219)))</f>
        <v/>
      </c>
      <c r="AK219" s="2845"/>
      <c r="AL219" s="2845"/>
      <c r="AM219" s="2845"/>
      <c r="AN219" s="2845"/>
      <c r="AO219" s="2940"/>
      <c r="AP219" s="3218" t="str">
        <f>IF(D219="","",IF(BX219=1,"",BZ141))</f>
        <v/>
      </c>
      <c r="AQ219" s="3219"/>
      <c r="AR219" s="3221"/>
      <c r="AS219" s="3207" t="str">
        <f t="shared" si="112"/>
        <v/>
      </c>
      <c r="AT219" s="3234"/>
      <c r="AU219" s="3222" t="str">
        <f t="shared" si="113"/>
        <v/>
      </c>
      <c r="AV219" s="3223"/>
      <c r="AW219" s="3223"/>
      <c r="AX219" s="3223"/>
      <c r="AY219" s="3223"/>
      <c r="AZ219" s="3224"/>
      <c r="BA219" s="3245">
        <f t="shared" si="114"/>
        <v>43000</v>
      </c>
      <c r="BB219" s="3223"/>
      <c r="BC219" s="3223"/>
      <c r="BD219" s="3223"/>
      <c r="BE219" s="3223"/>
      <c r="BF219" s="3223"/>
      <c r="BG219" s="3246"/>
      <c r="BH219" s="3279">
        <f t="shared" si="115"/>
        <v>0.3</v>
      </c>
      <c r="BI219" s="3280"/>
      <c r="BJ219" s="3280"/>
      <c r="BK219" s="3280"/>
      <c r="BL219" s="3281"/>
      <c r="BM219" s="3252"/>
      <c r="BN219" s="3253"/>
      <c r="BO219" s="3253"/>
      <c r="BP219" s="3253"/>
      <c r="BQ219" s="3253"/>
      <c r="BR219" s="3253"/>
      <c r="BS219" s="3254"/>
      <c r="BT219" s="35"/>
      <c r="BU219" s="19"/>
      <c r="BW219" s="8">
        <v>141</v>
      </c>
      <c r="BX219" s="513">
        <f>BX145</f>
        <v>1</v>
      </c>
      <c r="BY219" s="512">
        <v>35000</v>
      </c>
      <c r="BZ219" s="511">
        <f t="shared" si="116"/>
        <v>3000</v>
      </c>
      <c r="CA219" s="511">
        <f t="shared" si="117"/>
        <v>5000</v>
      </c>
      <c r="CB219" s="511" t="str">
        <f t="shared" si="118"/>
        <v/>
      </c>
      <c r="CC219" s="510">
        <f t="shared" si="119"/>
        <v>43000</v>
      </c>
      <c r="CD219" s="509" t="str">
        <f t="shared" si="122"/>
        <v/>
      </c>
      <c r="CE219" s="508">
        <f t="shared" si="120"/>
        <v>43000</v>
      </c>
      <c r="CF219" s="502" t="s">
        <v>647</v>
      </c>
      <c r="CG219" s="502" t="s">
        <v>646</v>
      </c>
      <c r="CH219" s="324" t="s">
        <v>645</v>
      </c>
      <c r="CI219" s="324" t="s">
        <v>644</v>
      </c>
      <c r="CJ219" s="324" t="s">
        <v>643</v>
      </c>
      <c r="CK219" s="324"/>
      <c r="CL219" s="324"/>
      <c r="CM219" s="324"/>
      <c r="CN219" s="507" t="str">
        <f t="shared" si="121"/>
        <v/>
      </c>
    </row>
    <row r="220" spans="1:92" ht="11.25" customHeight="1">
      <c r="A220" s="3258"/>
      <c r="B220" s="23"/>
      <c r="C220" s="35"/>
      <c r="D220" s="3228" t="str">
        <f>C151</f>
        <v/>
      </c>
      <c r="E220" s="3229"/>
      <c r="F220" s="3229"/>
      <c r="G220" s="3230"/>
      <c r="H220" s="2939" t="str">
        <f>IF(D220="","",LEFT(AL149,7))</f>
        <v/>
      </c>
      <c r="I220" s="2845"/>
      <c r="J220" s="2845"/>
      <c r="K220" s="2845"/>
      <c r="L220" s="2845"/>
      <c r="M220" s="2940"/>
      <c r="N220" s="3209" t="str">
        <f>AD151</f>
        <v/>
      </c>
      <c r="O220" s="3210"/>
      <c r="P220" s="3211"/>
      <c r="Q220" s="3212" t="str">
        <f>AG151</f>
        <v/>
      </c>
      <c r="R220" s="3213"/>
      <c r="S220" s="3214"/>
      <c r="T220" s="3215" t="str">
        <f>AJ151</f>
        <v/>
      </c>
      <c r="U220" s="3216"/>
      <c r="V220" s="3217"/>
      <c r="W220" s="2972"/>
      <c r="X220" s="3226"/>
      <c r="Y220" s="3227"/>
      <c r="Z220" s="2972"/>
      <c r="AA220" s="2973"/>
      <c r="AB220" s="3207" t="str">
        <f t="shared" si="110"/>
        <v/>
      </c>
      <c r="AC220" s="3208"/>
      <c r="AD220" s="3222" t="str">
        <f t="shared" si="111"/>
        <v/>
      </c>
      <c r="AE220" s="3223"/>
      <c r="AF220" s="3223"/>
      <c r="AG220" s="3223"/>
      <c r="AH220" s="3223"/>
      <c r="AI220" s="3223"/>
      <c r="AJ220" s="3220" t="str">
        <f>IF(D220="","",IF(BX220=1,"",IF(BX220=2,LEFT(AL149,6)&amp;"2",LEFT(AL149,6)&amp;"2～"&amp;BX220)))</f>
        <v/>
      </c>
      <c r="AK220" s="2845"/>
      <c r="AL220" s="2845"/>
      <c r="AM220" s="2845"/>
      <c r="AN220" s="2845"/>
      <c r="AO220" s="2845"/>
      <c r="AP220" s="3218" t="str">
        <f>IF(D220="","",IF(BX220=1,"",BZ149))</f>
        <v/>
      </c>
      <c r="AQ220" s="3219"/>
      <c r="AR220" s="3219"/>
      <c r="AS220" s="3207" t="str">
        <f t="shared" si="112"/>
        <v/>
      </c>
      <c r="AT220" s="3208"/>
      <c r="AU220" s="3222" t="str">
        <f t="shared" si="113"/>
        <v/>
      </c>
      <c r="AV220" s="3223"/>
      <c r="AW220" s="3223"/>
      <c r="AX220" s="3223"/>
      <c r="AY220" s="3223"/>
      <c r="AZ220" s="3223"/>
      <c r="BA220" s="3245" t="str">
        <f t="shared" si="114"/>
        <v/>
      </c>
      <c r="BB220" s="3223"/>
      <c r="BC220" s="3223"/>
      <c r="BD220" s="3223"/>
      <c r="BE220" s="3223"/>
      <c r="BF220" s="3223"/>
      <c r="BG220" s="3246"/>
      <c r="BH220" s="3279" t="str">
        <f t="shared" si="115"/>
        <v/>
      </c>
      <c r="BI220" s="3280"/>
      <c r="BJ220" s="3280"/>
      <c r="BK220" s="3280"/>
      <c r="BL220" s="3281"/>
      <c r="BM220" s="3252"/>
      <c r="BN220" s="3253"/>
      <c r="BO220" s="3253"/>
      <c r="BP220" s="3253"/>
      <c r="BQ220" s="3253"/>
      <c r="BR220" s="3253"/>
      <c r="BS220" s="3254"/>
      <c r="BT220" s="35"/>
      <c r="BU220" s="19"/>
      <c r="BW220" s="8">
        <v>149</v>
      </c>
      <c r="BX220" s="513" t="e">
        <f>BX153</f>
        <v>#VALUE!</v>
      </c>
      <c r="BY220" s="512">
        <v>35000</v>
      </c>
      <c r="BZ220" s="511" t="e">
        <f t="shared" si="116"/>
        <v>#VALUE!</v>
      </c>
      <c r="CA220" s="511" t="str">
        <f t="shared" si="117"/>
        <v/>
      </c>
      <c r="CB220" s="511">
        <f t="shared" si="118"/>
        <v>15000</v>
      </c>
      <c r="CC220" s="510" t="e">
        <f t="shared" si="119"/>
        <v>#VALUE!</v>
      </c>
      <c r="CD220" s="509" t="str">
        <f t="shared" si="122"/>
        <v/>
      </c>
      <c r="CE220" s="508" t="e">
        <f t="shared" si="120"/>
        <v>#VALUE!</v>
      </c>
      <c r="CF220" s="502" t="s">
        <v>642</v>
      </c>
      <c r="CG220" s="6"/>
      <c r="CH220" s="324" t="s">
        <v>641</v>
      </c>
      <c r="CI220" s="324" t="s">
        <v>640</v>
      </c>
      <c r="CJ220" s="324" t="s">
        <v>639</v>
      </c>
      <c r="CK220" s="324"/>
      <c r="CL220" s="324"/>
      <c r="CM220" s="324"/>
      <c r="CN220" s="507" t="str">
        <f t="shared" si="121"/>
        <v/>
      </c>
    </row>
    <row r="221" spans="1:92" ht="11.25" customHeight="1">
      <c r="A221" s="3258"/>
      <c r="B221" s="23"/>
      <c r="C221" s="35"/>
      <c r="D221" s="3228" t="str">
        <f>C162</f>
        <v/>
      </c>
      <c r="E221" s="3229"/>
      <c r="F221" s="3229"/>
      <c r="G221" s="3230"/>
      <c r="H221" s="2939" t="str">
        <f>IF(D221="","",LEFT(AL160,7))</f>
        <v/>
      </c>
      <c r="I221" s="2845"/>
      <c r="J221" s="2845"/>
      <c r="K221" s="2845"/>
      <c r="L221" s="2845"/>
      <c r="M221" s="2940"/>
      <c r="N221" s="3209" t="str">
        <f>AD162</f>
        <v/>
      </c>
      <c r="O221" s="3210"/>
      <c r="P221" s="3211"/>
      <c r="Q221" s="3212" t="str">
        <f>AG162</f>
        <v/>
      </c>
      <c r="R221" s="3213"/>
      <c r="S221" s="3214"/>
      <c r="T221" s="3215" t="str">
        <f>AJ162</f>
        <v/>
      </c>
      <c r="U221" s="3216"/>
      <c r="V221" s="3217"/>
      <c r="W221" s="2972"/>
      <c r="X221" s="3226"/>
      <c r="Y221" s="3227"/>
      <c r="Z221" s="2972"/>
      <c r="AA221" s="2973"/>
      <c r="AB221" s="3207" t="str">
        <f t="shared" si="110"/>
        <v/>
      </c>
      <c r="AC221" s="3208"/>
      <c r="AD221" s="3222" t="str">
        <f t="shared" si="111"/>
        <v/>
      </c>
      <c r="AE221" s="3223"/>
      <c r="AF221" s="3223"/>
      <c r="AG221" s="3223"/>
      <c r="AH221" s="3223"/>
      <c r="AI221" s="3223"/>
      <c r="AJ221" s="3220" t="str">
        <f>IF(D221="","",IF(BX221=1,"",IF(BX221=2,LEFT(AL160,6)&amp;"2",LEFT(AL160,6)&amp;"2～"&amp;BX221)))</f>
        <v/>
      </c>
      <c r="AK221" s="2845"/>
      <c r="AL221" s="2845"/>
      <c r="AM221" s="2845"/>
      <c r="AN221" s="2845"/>
      <c r="AO221" s="2845"/>
      <c r="AP221" s="3218" t="str">
        <f>IF(D221="","",IF(BX221=1,"",BZ150))</f>
        <v/>
      </c>
      <c r="AQ221" s="3219"/>
      <c r="AR221" s="3219"/>
      <c r="AS221" s="3207" t="str">
        <f t="shared" si="112"/>
        <v/>
      </c>
      <c r="AT221" s="3208"/>
      <c r="AU221" s="3222" t="str">
        <f t="shared" si="113"/>
        <v/>
      </c>
      <c r="AV221" s="3223"/>
      <c r="AW221" s="3223"/>
      <c r="AX221" s="3223"/>
      <c r="AY221" s="3223"/>
      <c r="AZ221" s="3223"/>
      <c r="BA221" s="3245" t="str">
        <f t="shared" si="114"/>
        <v/>
      </c>
      <c r="BB221" s="3223"/>
      <c r="BC221" s="3223"/>
      <c r="BD221" s="3223"/>
      <c r="BE221" s="3223"/>
      <c r="BF221" s="3223"/>
      <c r="BG221" s="3246"/>
      <c r="BH221" s="3279" t="str">
        <f t="shared" si="115"/>
        <v/>
      </c>
      <c r="BI221" s="3280"/>
      <c r="BJ221" s="3280"/>
      <c r="BK221" s="3280"/>
      <c r="BL221" s="3281"/>
      <c r="BM221" s="3252"/>
      <c r="BN221" s="3253"/>
      <c r="BO221" s="3253"/>
      <c r="BP221" s="3253"/>
      <c r="BQ221" s="3253"/>
      <c r="BR221" s="3253"/>
      <c r="BS221" s="3254"/>
      <c r="BT221" s="35"/>
      <c r="BU221" s="19"/>
      <c r="BW221" s="8">
        <v>163</v>
      </c>
      <c r="BX221" s="513" t="e">
        <f>BX164</f>
        <v>#VALUE!</v>
      </c>
      <c r="BY221" s="512">
        <v>35000</v>
      </c>
      <c r="BZ221" s="511" t="e">
        <f t="shared" si="116"/>
        <v>#VALUE!</v>
      </c>
      <c r="CA221" s="511" t="str">
        <f t="shared" si="117"/>
        <v/>
      </c>
      <c r="CB221" s="511">
        <f t="shared" si="118"/>
        <v>15000</v>
      </c>
      <c r="CC221" s="510" t="e">
        <f t="shared" si="119"/>
        <v>#VALUE!</v>
      </c>
      <c r="CD221" s="509" t="str">
        <f t="shared" si="122"/>
        <v/>
      </c>
      <c r="CE221" s="508" t="e">
        <f t="shared" si="120"/>
        <v>#VALUE!</v>
      </c>
      <c r="CF221" s="502" t="s">
        <v>638</v>
      </c>
      <c r="CG221" s="6"/>
      <c r="CH221" s="324" t="s">
        <v>637</v>
      </c>
      <c r="CI221" s="324" t="s">
        <v>636</v>
      </c>
      <c r="CJ221" s="324" t="s">
        <v>635</v>
      </c>
      <c r="CK221" s="324"/>
      <c r="CL221" s="324"/>
      <c r="CM221" s="324"/>
      <c r="CN221" s="507" t="str">
        <f t="shared" si="121"/>
        <v/>
      </c>
    </row>
    <row r="222" spans="1:92" ht="11.25" customHeight="1">
      <c r="A222" s="3258"/>
      <c r="B222" s="23"/>
      <c r="C222" s="35"/>
      <c r="D222" s="3228" t="str">
        <f>C170</f>
        <v/>
      </c>
      <c r="E222" s="3229"/>
      <c r="F222" s="3229"/>
      <c r="G222" s="3230"/>
      <c r="H222" s="2939" t="str">
        <f>IF(D222="","",LEFT(AL168,7))</f>
        <v/>
      </c>
      <c r="I222" s="2845"/>
      <c r="J222" s="2845"/>
      <c r="K222" s="2845"/>
      <c r="L222" s="2845"/>
      <c r="M222" s="2940"/>
      <c r="N222" s="3209" t="str">
        <f>AD170</f>
        <v/>
      </c>
      <c r="O222" s="3210"/>
      <c r="P222" s="3211"/>
      <c r="Q222" s="3212" t="str">
        <f>AG170</f>
        <v/>
      </c>
      <c r="R222" s="3213"/>
      <c r="S222" s="3214"/>
      <c r="T222" s="3215" t="str">
        <f>AJ170</f>
        <v/>
      </c>
      <c r="U222" s="3216"/>
      <c r="V222" s="3217"/>
      <c r="W222" s="2972"/>
      <c r="X222" s="3226"/>
      <c r="Y222" s="3227"/>
      <c r="Z222" s="2972"/>
      <c r="AA222" s="2973"/>
      <c r="AB222" s="3207" t="str">
        <f t="shared" si="110"/>
        <v/>
      </c>
      <c r="AC222" s="3208"/>
      <c r="AD222" s="3222" t="str">
        <f t="shared" si="111"/>
        <v/>
      </c>
      <c r="AE222" s="3223"/>
      <c r="AF222" s="3223"/>
      <c r="AG222" s="3223"/>
      <c r="AH222" s="3223"/>
      <c r="AI222" s="3223"/>
      <c r="AJ222" s="3220" t="str">
        <f>IF(D222="","",IF(BX222=1,"",IF(BX222=2,LEFT(AL168,6)&amp;"2",LEFT(AL168,6)&amp;"2～"&amp;BX222)))</f>
        <v/>
      </c>
      <c r="AK222" s="2845"/>
      <c r="AL222" s="2845"/>
      <c r="AM222" s="2845"/>
      <c r="AN222" s="2845"/>
      <c r="AO222" s="2845"/>
      <c r="AP222" s="3218" t="str">
        <f>IF(D222="","",IF(BX222=1,"",BZ151))</f>
        <v/>
      </c>
      <c r="AQ222" s="3219"/>
      <c r="AR222" s="3219"/>
      <c r="AS222" s="3207" t="str">
        <f t="shared" si="112"/>
        <v/>
      </c>
      <c r="AT222" s="3208"/>
      <c r="AU222" s="3222" t="str">
        <f t="shared" si="113"/>
        <v/>
      </c>
      <c r="AV222" s="3223"/>
      <c r="AW222" s="3223"/>
      <c r="AX222" s="3223"/>
      <c r="AY222" s="3223"/>
      <c r="AZ222" s="3223"/>
      <c r="BA222" s="3245" t="str">
        <f t="shared" si="114"/>
        <v/>
      </c>
      <c r="BB222" s="3223"/>
      <c r="BC222" s="3223"/>
      <c r="BD222" s="3223"/>
      <c r="BE222" s="3223"/>
      <c r="BF222" s="3223"/>
      <c r="BG222" s="3246"/>
      <c r="BH222" s="3279" t="str">
        <f t="shared" si="115"/>
        <v/>
      </c>
      <c r="BI222" s="3280"/>
      <c r="BJ222" s="3280"/>
      <c r="BK222" s="3280"/>
      <c r="BL222" s="3281"/>
      <c r="BM222" s="3252"/>
      <c r="BN222" s="3253"/>
      <c r="BO222" s="3253"/>
      <c r="BP222" s="3253"/>
      <c r="BQ222" s="3253"/>
      <c r="BR222" s="3253"/>
      <c r="BS222" s="3254"/>
      <c r="BT222" s="35"/>
      <c r="BU222" s="19"/>
      <c r="BW222" s="8">
        <v>171</v>
      </c>
      <c r="BX222" s="513" t="e">
        <f>BX172</f>
        <v>#VALUE!</v>
      </c>
      <c r="BY222" s="512">
        <v>35000</v>
      </c>
      <c r="BZ222" s="511" t="e">
        <f t="shared" si="116"/>
        <v>#VALUE!</v>
      </c>
      <c r="CA222" s="511" t="str">
        <f t="shared" si="117"/>
        <v/>
      </c>
      <c r="CB222" s="511">
        <f t="shared" si="118"/>
        <v>15000</v>
      </c>
      <c r="CC222" s="510" t="e">
        <f t="shared" si="119"/>
        <v>#VALUE!</v>
      </c>
      <c r="CD222" s="509" t="str">
        <f t="shared" si="122"/>
        <v/>
      </c>
      <c r="CE222" s="508" t="e">
        <f t="shared" si="120"/>
        <v>#VALUE!</v>
      </c>
      <c r="CF222" s="502" t="s">
        <v>634</v>
      </c>
      <c r="CG222" s="6"/>
      <c r="CH222" s="324" t="s">
        <v>633</v>
      </c>
      <c r="CI222" s="324" t="s">
        <v>632</v>
      </c>
      <c r="CJ222" s="324" t="s">
        <v>631</v>
      </c>
      <c r="CK222" s="324"/>
      <c r="CL222" s="324"/>
      <c r="CM222" s="324"/>
      <c r="CN222" s="507" t="str">
        <f t="shared" si="121"/>
        <v/>
      </c>
    </row>
    <row r="223" spans="1:92" ht="11.25" customHeight="1">
      <c r="A223" s="3258"/>
      <c r="B223" s="23"/>
      <c r="C223" s="35"/>
      <c r="D223" s="3228" t="str">
        <f>C178</f>
        <v/>
      </c>
      <c r="E223" s="3229"/>
      <c r="F223" s="3229"/>
      <c r="G223" s="3230"/>
      <c r="H223" s="2939" t="str">
        <f>IF(D223="","",LEFT(AL176,7))</f>
        <v/>
      </c>
      <c r="I223" s="2845"/>
      <c r="J223" s="2845"/>
      <c r="K223" s="2845"/>
      <c r="L223" s="2845"/>
      <c r="M223" s="2940"/>
      <c r="N223" s="3209" t="str">
        <f>AD178</f>
        <v/>
      </c>
      <c r="O223" s="3210"/>
      <c r="P223" s="3211"/>
      <c r="Q223" s="3212" t="str">
        <f>AG178</f>
        <v/>
      </c>
      <c r="R223" s="3213"/>
      <c r="S223" s="3214"/>
      <c r="T223" s="3215" t="str">
        <f>AJ178</f>
        <v/>
      </c>
      <c r="U223" s="3216"/>
      <c r="V223" s="3217"/>
      <c r="W223" s="2972"/>
      <c r="X223" s="3226"/>
      <c r="Y223" s="3227"/>
      <c r="Z223" s="2972"/>
      <c r="AA223" s="2973"/>
      <c r="AB223" s="3207" t="str">
        <f t="shared" si="110"/>
        <v/>
      </c>
      <c r="AC223" s="3208"/>
      <c r="AD223" s="3222" t="str">
        <f t="shared" si="111"/>
        <v/>
      </c>
      <c r="AE223" s="3223"/>
      <c r="AF223" s="3223"/>
      <c r="AG223" s="3223"/>
      <c r="AH223" s="3223"/>
      <c r="AI223" s="3223"/>
      <c r="AJ223" s="3220" t="str">
        <f>IF(D223="","",IF(BX223=1,"",IF(BX223=2,LEFT(AL176,6)&amp;"2",LEFT(AL176,6)&amp;"2～"&amp;BX223)))</f>
        <v/>
      </c>
      <c r="AK223" s="2845"/>
      <c r="AL223" s="2845"/>
      <c r="AM223" s="2845"/>
      <c r="AN223" s="2845"/>
      <c r="AO223" s="2845"/>
      <c r="AP223" s="3218" t="str">
        <f>IF(D223="","",IF(BX223=1,"",BZ152))</f>
        <v/>
      </c>
      <c r="AQ223" s="3219"/>
      <c r="AR223" s="3219"/>
      <c r="AS223" s="3207" t="str">
        <f t="shared" si="112"/>
        <v/>
      </c>
      <c r="AT223" s="3208"/>
      <c r="AU223" s="3222" t="str">
        <f t="shared" si="113"/>
        <v/>
      </c>
      <c r="AV223" s="3223"/>
      <c r="AW223" s="3223"/>
      <c r="AX223" s="3223"/>
      <c r="AY223" s="3223"/>
      <c r="AZ223" s="3223"/>
      <c r="BA223" s="3245" t="str">
        <f t="shared" si="114"/>
        <v/>
      </c>
      <c r="BB223" s="3223"/>
      <c r="BC223" s="3223"/>
      <c r="BD223" s="3223"/>
      <c r="BE223" s="3223"/>
      <c r="BF223" s="3223"/>
      <c r="BG223" s="3246"/>
      <c r="BH223" s="3279" t="str">
        <f t="shared" si="115"/>
        <v/>
      </c>
      <c r="BI223" s="3280"/>
      <c r="BJ223" s="3280"/>
      <c r="BK223" s="3280"/>
      <c r="BL223" s="3281"/>
      <c r="BM223" s="3252"/>
      <c r="BN223" s="3253"/>
      <c r="BO223" s="3253"/>
      <c r="BP223" s="3253"/>
      <c r="BQ223" s="3253"/>
      <c r="BR223" s="3253"/>
      <c r="BS223" s="3254"/>
      <c r="BT223" s="35"/>
      <c r="BU223" s="19"/>
      <c r="BW223" s="8">
        <v>179</v>
      </c>
      <c r="BX223" s="513" t="e">
        <f>BX180</f>
        <v>#VALUE!</v>
      </c>
      <c r="BY223" s="512">
        <v>35000</v>
      </c>
      <c r="BZ223" s="511" t="e">
        <f t="shared" si="116"/>
        <v>#VALUE!</v>
      </c>
      <c r="CA223" s="511" t="str">
        <f t="shared" si="117"/>
        <v/>
      </c>
      <c r="CB223" s="511">
        <f t="shared" si="118"/>
        <v>15000</v>
      </c>
      <c r="CC223" s="510" t="e">
        <f t="shared" si="119"/>
        <v>#VALUE!</v>
      </c>
      <c r="CD223" s="509" t="str">
        <f t="shared" si="122"/>
        <v/>
      </c>
      <c r="CE223" s="508" t="e">
        <f t="shared" si="120"/>
        <v>#VALUE!</v>
      </c>
      <c r="CF223" s="502" t="s">
        <v>630</v>
      </c>
      <c r="CG223" s="6"/>
      <c r="CH223" s="324" t="s">
        <v>629</v>
      </c>
      <c r="CI223" s="324" t="s">
        <v>628</v>
      </c>
      <c r="CJ223" s="324" t="s">
        <v>627</v>
      </c>
      <c r="CK223" s="324"/>
      <c r="CL223" s="324"/>
      <c r="CM223" s="324"/>
      <c r="CN223" s="507" t="str">
        <f t="shared" si="121"/>
        <v/>
      </c>
    </row>
    <row r="224" spans="1:92" ht="11.25" customHeight="1">
      <c r="A224" s="3258"/>
      <c r="B224" s="23"/>
      <c r="C224" s="35"/>
      <c r="D224" s="2925"/>
      <c r="E224" s="2926"/>
      <c r="F224" s="2926"/>
      <c r="G224" s="2926"/>
      <c r="H224" s="3239"/>
      <c r="I224" s="3239"/>
      <c r="J224" s="3239"/>
      <c r="K224" s="3239"/>
      <c r="L224" s="3239"/>
      <c r="M224" s="3239"/>
      <c r="N224" s="3240"/>
      <c r="O224" s="3240"/>
      <c r="P224" s="3240"/>
      <c r="Q224" s="3240"/>
      <c r="R224" s="3240"/>
      <c r="S224" s="3240"/>
      <c r="T224" s="3241"/>
      <c r="U224" s="3241"/>
      <c r="V224" s="3241"/>
      <c r="W224" s="3237"/>
      <c r="X224" s="3237"/>
      <c r="Y224" s="3237"/>
      <c r="Z224" s="3237"/>
      <c r="AA224" s="3237"/>
      <c r="AB224" s="3238"/>
      <c r="AC224" s="3238"/>
      <c r="AD224" s="506"/>
      <c r="AE224" s="506"/>
      <c r="AF224" s="506"/>
      <c r="AG224" s="506"/>
      <c r="AH224" s="506"/>
      <c r="AI224" s="506"/>
      <c r="AJ224" s="506"/>
      <c r="AK224" s="505"/>
      <c r="AL224" s="505"/>
      <c r="AM224" s="505"/>
      <c r="AN224" s="505"/>
      <c r="AO224" s="505"/>
      <c r="AP224" s="505"/>
      <c r="AQ224" s="504"/>
      <c r="AR224" s="504"/>
      <c r="AS224" s="504"/>
      <c r="AT224" s="503"/>
      <c r="AU224" s="3277" t="str">
        <f>IF($B$2=0,"","合計金額")</f>
        <v>合計金額</v>
      </c>
      <c r="AV224" s="3278"/>
      <c r="AW224" s="3278"/>
      <c r="AX224" s="3278"/>
      <c r="AY224" s="3278"/>
      <c r="AZ224" s="3278"/>
      <c r="BA224" s="3255">
        <f>IF($B$2=0,"",SUM(BA204:BG223))</f>
        <v>3851000</v>
      </c>
      <c r="BB224" s="3256"/>
      <c r="BC224" s="3256"/>
      <c r="BD224" s="3256"/>
      <c r="BE224" s="3256"/>
      <c r="BF224" s="3256"/>
      <c r="BG224" s="3257"/>
      <c r="BH224" s="3279">
        <f>IF($B$2=0,"",SUM(BH204:BL223))</f>
        <v>172.65000000000003</v>
      </c>
      <c r="BI224" s="3280"/>
      <c r="BJ224" s="3280"/>
      <c r="BK224" s="3280"/>
      <c r="BL224" s="3281"/>
      <c r="BM224" s="3252"/>
      <c r="BN224" s="3253"/>
      <c r="BO224" s="3253"/>
      <c r="BP224" s="3253"/>
      <c r="BQ224" s="3253"/>
      <c r="BR224" s="3253"/>
      <c r="BS224" s="3254"/>
      <c r="BT224" s="35"/>
      <c r="BU224" s="19"/>
      <c r="BZ224" s="6"/>
      <c r="CA224" s="6"/>
      <c r="CB224" s="324"/>
      <c r="CC224" s="324"/>
      <c r="CD224" s="324"/>
      <c r="CE224" s="324"/>
      <c r="CF224" s="6"/>
      <c r="CG224" s="6"/>
      <c r="CH224" s="324" t="s">
        <v>626</v>
      </c>
      <c r="CI224" s="324" t="s">
        <v>625</v>
      </c>
      <c r="CJ224" s="324" t="s">
        <v>624</v>
      </c>
      <c r="CK224" s="324"/>
      <c r="CL224" s="324"/>
      <c r="CM224" s="324"/>
    </row>
    <row r="225" spans="1:91" ht="11.25" customHeight="1">
      <c r="A225" s="3258"/>
      <c r="B225" s="23"/>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19"/>
      <c r="BZ225" s="6"/>
      <c r="CA225" s="6"/>
      <c r="CB225" s="324"/>
      <c r="CC225" s="324"/>
      <c r="CD225" s="324"/>
      <c r="CE225" s="324"/>
      <c r="CG225" s="6"/>
      <c r="CH225" s="6"/>
      <c r="CI225" s="324" t="s">
        <v>623</v>
      </c>
      <c r="CJ225" s="324" t="s">
        <v>622</v>
      </c>
      <c r="CK225" s="324"/>
      <c r="CL225" s="324"/>
      <c r="CM225" s="324"/>
    </row>
    <row r="226" spans="1:91" ht="11.25" customHeight="1">
      <c r="A226" s="3258"/>
      <c r="B226" s="23"/>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19"/>
      <c r="BZ226" s="6"/>
      <c r="CA226" s="6"/>
      <c r="CB226" s="324"/>
      <c r="CC226" s="324"/>
      <c r="CD226" s="324"/>
      <c r="CE226" s="324"/>
      <c r="CG226" s="6"/>
      <c r="CH226" s="324" t="s">
        <v>621</v>
      </c>
      <c r="CI226" s="324" t="s">
        <v>620</v>
      </c>
      <c r="CJ226" s="324" t="s">
        <v>619</v>
      </c>
      <c r="CK226" s="324"/>
      <c r="CL226" s="324"/>
      <c r="CM226" s="324"/>
    </row>
    <row r="227" spans="1:91" ht="11.25" customHeight="1">
      <c r="A227" s="3258"/>
      <c r="B227" s="23"/>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19"/>
      <c r="BZ227" s="6"/>
      <c r="CA227" s="6"/>
      <c r="CB227" s="324"/>
      <c r="CC227" s="324"/>
      <c r="CD227" s="324"/>
      <c r="CE227" s="502"/>
      <c r="CF227" s="6"/>
      <c r="CG227" s="6"/>
      <c r="CH227" s="324" t="s">
        <v>618</v>
      </c>
      <c r="CI227" s="324" t="s">
        <v>617</v>
      </c>
      <c r="CJ227" s="324" t="s">
        <v>616</v>
      </c>
      <c r="CK227" s="324"/>
      <c r="CL227" s="324"/>
      <c r="CM227" s="324"/>
    </row>
    <row r="228" spans="1:91" ht="11.25" customHeight="1">
      <c r="A228" s="3258"/>
      <c r="B228" s="23"/>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19"/>
      <c r="BZ228" s="6"/>
      <c r="CA228" s="6"/>
      <c r="CB228" s="324"/>
      <c r="CC228" s="324"/>
      <c r="CD228" s="324"/>
      <c r="CE228" s="502"/>
      <c r="CF228" s="6"/>
      <c r="CG228" s="6"/>
      <c r="CH228" s="324" t="s">
        <v>615</v>
      </c>
      <c r="CI228" s="324" t="s">
        <v>614</v>
      </c>
      <c r="CJ228" s="324" t="s">
        <v>613</v>
      </c>
      <c r="CK228" s="324"/>
      <c r="CL228" s="324"/>
      <c r="CM228" s="324"/>
    </row>
    <row r="229" spans="1:91" ht="11.25" customHeight="1">
      <c r="A229" s="3258"/>
      <c r="B229" s="23"/>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19"/>
      <c r="BZ229" s="6"/>
      <c r="CA229" s="6"/>
      <c r="CB229" s="324"/>
      <c r="CC229" s="324"/>
      <c r="CD229" s="324"/>
      <c r="CE229" s="502"/>
      <c r="CF229" s="6"/>
      <c r="CG229" s="6"/>
      <c r="CH229" s="324" t="s">
        <v>612</v>
      </c>
      <c r="CI229" s="324" t="s">
        <v>611</v>
      </c>
      <c r="CJ229" s="324" t="s">
        <v>610</v>
      </c>
      <c r="CK229" s="324"/>
      <c r="CL229" s="324"/>
      <c r="CM229" s="324"/>
    </row>
    <row r="230" spans="1:91" ht="11.25" customHeight="1">
      <c r="A230" s="3258"/>
      <c r="B230" s="23"/>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19"/>
      <c r="BZ230" s="6"/>
      <c r="CA230" s="6"/>
      <c r="CB230" s="324"/>
      <c r="CC230" s="324"/>
      <c r="CD230" s="324"/>
      <c r="CE230" s="502"/>
      <c r="CF230" s="6"/>
      <c r="CG230" s="6"/>
      <c r="CH230" s="324" t="s">
        <v>609</v>
      </c>
      <c r="CI230" s="324" t="s">
        <v>608</v>
      </c>
      <c r="CJ230" s="324" t="s">
        <v>607</v>
      </c>
      <c r="CK230" s="324"/>
      <c r="CL230" s="324"/>
      <c r="CM230" s="324"/>
    </row>
    <row r="231" spans="1:91" ht="11.25" customHeight="1">
      <c r="A231" s="3258"/>
      <c r="B231" s="18"/>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16"/>
      <c r="BZ231" s="6"/>
      <c r="CA231" s="6"/>
      <c r="CB231" s="324"/>
      <c r="CC231" s="324"/>
      <c r="CD231" s="324"/>
      <c r="CE231" s="502"/>
      <c r="CF231" s="6"/>
      <c r="CG231" s="6"/>
      <c r="CH231" s="324" t="s">
        <v>606</v>
      </c>
      <c r="CI231" s="324" t="s">
        <v>605</v>
      </c>
      <c r="CJ231" s="324" t="s">
        <v>604</v>
      </c>
      <c r="CK231" s="324"/>
      <c r="CL231" s="324"/>
      <c r="CM231" s="324"/>
    </row>
    <row r="232" spans="1:91" ht="11.25" customHeight="1">
      <c r="A232" s="3258"/>
      <c r="B232" s="93"/>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79"/>
      <c r="BL232" s="79"/>
      <c r="BM232" s="79"/>
      <c r="BN232" s="79"/>
      <c r="BO232" s="79"/>
      <c r="BP232" s="79"/>
      <c r="BQ232" s="79"/>
      <c r="BR232" s="79"/>
      <c r="BS232" s="79"/>
      <c r="BT232" s="79"/>
      <c r="BU232" s="78"/>
      <c r="BZ232" s="6"/>
      <c r="CA232" s="6"/>
      <c r="CB232" s="324"/>
      <c r="CC232" s="324"/>
      <c r="CD232" s="324"/>
      <c r="CE232" s="502"/>
      <c r="CF232" s="6"/>
      <c r="CG232" s="6"/>
      <c r="CH232" s="324" t="s">
        <v>603</v>
      </c>
      <c r="CI232" s="324" t="s">
        <v>602</v>
      </c>
      <c r="CJ232" s="324" t="s">
        <v>601</v>
      </c>
      <c r="CK232" s="324"/>
      <c r="CL232" s="324"/>
      <c r="CM232" s="324"/>
    </row>
    <row r="233" spans="1:91" ht="9" customHeight="1" thickBot="1">
      <c r="A233" s="3258"/>
      <c r="B233" s="23"/>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19"/>
      <c r="BZ233" s="6"/>
      <c r="CA233" s="6"/>
      <c r="CB233" s="324"/>
      <c r="CC233" s="324"/>
      <c r="CD233" s="324"/>
      <c r="CE233" s="502"/>
      <c r="CF233" s="6"/>
      <c r="CG233" s="6"/>
      <c r="CH233" s="324" t="s">
        <v>600</v>
      </c>
      <c r="CI233" s="324" t="s">
        <v>599</v>
      </c>
      <c r="CJ233" s="324" t="s">
        <v>598</v>
      </c>
      <c r="CK233" s="324"/>
      <c r="CL233" s="324"/>
      <c r="CM233" s="324"/>
    </row>
    <row r="234" spans="1:91" ht="14.25" customHeight="1" thickBot="1">
      <c r="A234" s="3258"/>
      <c r="B234" s="23"/>
      <c r="C234" s="3262" t="s">
        <v>107</v>
      </c>
      <c r="D234" s="3263"/>
      <c r="E234" s="3263"/>
      <c r="F234" s="3263"/>
      <c r="G234" s="3263"/>
      <c r="H234" s="3264"/>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091" t="s">
        <v>597</v>
      </c>
      <c r="BI234" s="3265"/>
      <c r="BJ234" s="3265"/>
      <c r="BK234" s="3265"/>
      <c r="BL234" s="3266"/>
      <c r="BM234" s="35"/>
      <c r="BN234" s="35"/>
      <c r="BO234" s="35"/>
      <c r="BP234" s="3259" t="s">
        <v>536</v>
      </c>
      <c r="BQ234" s="3260"/>
      <c r="BR234" s="3260"/>
      <c r="BS234" s="3261"/>
      <c r="BT234" s="35"/>
      <c r="BU234" s="19"/>
      <c r="BZ234" s="6"/>
      <c r="CA234" s="6"/>
      <c r="CB234" s="324"/>
      <c r="CC234" s="324"/>
      <c r="CD234" s="324"/>
      <c r="CE234" s="502"/>
      <c r="CF234" s="6"/>
      <c r="CG234" s="6"/>
      <c r="CH234" s="324" t="s">
        <v>596</v>
      </c>
      <c r="CI234" s="324" t="s">
        <v>595</v>
      </c>
      <c r="CJ234" s="324" t="s">
        <v>594</v>
      </c>
      <c r="CK234" s="502"/>
      <c r="CL234" s="502"/>
      <c r="CM234" s="502"/>
    </row>
    <row r="235" spans="1:91" ht="3.75" customHeight="1">
      <c r="A235" s="3258"/>
      <c r="B235" s="23"/>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19"/>
      <c r="BZ235" s="6"/>
      <c r="CA235" s="6"/>
      <c r="CB235" s="324"/>
      <c r="CC235" s="324"/>
      <c r="CD235" s="324"/>
      <c r="CE235" s="502"/>
      <c r="CF235" s="6"/>
      <c r="CG235" s="6"/>
      <c r="CH235" s="324" t="s">
        <v>593</v>
      </c>
      <c r="CI235" s="324" t="s">
        <v>592</v>
      </c>
      <c r="CJ235" s="324"/>
      <c r="CK235" s="502"/>
      <c r="CL235" s="502"/>
      <c r="CM235" s="502"/>
    </row>
    <row r="236" spans="1:91" ht="12" customHeight="1">
      <c r="A236" s="3258"/>
      <c r="B236" s="23"/>
      <c r="C236" s="3262" t="s">
        <v>105</v>
      </c>
      <c r="D236" s="3263"/>
      <c r="E236" s="3263"/>
      <c r="F236" s="3263"/>
      <c r="G236" s="3263"/>
      <c r="H236" s="3264"/>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19"/>
      <c r="BZ236" s="6"/>
      <c r="CA236" s="6"/>
      <c r="CB236" s="324"/>
      <c r="CC236" s="324"/>
      <c r="CD236" s="324"/>
      <c r="CE236" s="502"/>
      <c r="CF236" s="6"/>
      <c r="CG236" s="6"/>
      <c r="CH236" s="324" t="s">
        <v>591</v>
      </c>
      <c r="CI236" s="324" t="s">
        <v>590</v>
      </c>
      <c r="CJ236" s="502" t="s">
        <v>589</v>
      </c>
      <c r="CK236" s="502"/>
      <c r="CL236" s="502"/>
      <c r="CM236" s="502"/>
    </row>
    <row r="237" spans="1:91" ht="4.5" customHeight="1">
      <c r="A237" s="3258"/>
      <c r="B237" s="23"/>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19"/>
      <c r="BZ237" s="6"/>
      <c r="CA237" s="6"/>
      <c r="CB237" s="324"/>
      <c r="CC237" s="324"/>
      <c r="CD237" s="324"/>
      <c r="CE237" s="502"/>
      <c r="CF237" s="6"/>
      <c r="CG237" s="6"/>
      <c r="CH237" s="324" t="s">
        <v>588</v>
      </c>
      <c r="CI237" s="324" t="s">
        <v>587</v>
      </c>
      <c r="CJ237" s="502" t="s">
        <v>586</v>
      </c>
      <c r="CK237" s="502"/>
      <c r="CL237" s="502"/>
      <c r="CM237" s="502"/>
    </row>
    <row r="238" spans="1:91" ht="12" customHeight="1">
      <c r="A238" s="3258"/>
      <c r="B238" s="23"/>
      <c r="C238" s="2327" t="s">
        <v>485</v>
      </c>
      <c r="D238" s="2328"/>
      <c r="E238" s="2328"/>
      <c r="F238" s="2328"/>
      <c r="G238" s="2328"/>
      <c r="H238" s="2328"/>
      <c r="I238" s="2328"/>
      <c r="J238" s="2328"/>
      <c r="K238" s="2328"/>
      <c r="L238" s="2328"/>
      <c r="M238" s="2328"/>
      <c r="N238" s="2328"/>
      <c r="O238" s="2328"/>
      <c r="P238" s="2328"/>
      <c r="Q238" s="2328"/>
      <c r="R238" s="2328"/>
      <c r="S238" s="2328"/>
      <c r="T238" s="2328"/>
      <c r="U238" s="2328"/>
      <c r="V238" s="2328"/>
      <c r="W238" s="2328"/>
      <c r="X238" s="2329"/>
      <c r="Y238" s="2327" t="s">
        <v>92</v>
      </c>
      <c r="Z238" s="2328"/>
      <c r="AA238" s="2328"/>
      <c r="AB238" s="2328"/>
      <c r="AC238" s="2328"/>
      <c r="AD238" s="2329"/>
      <c r="AE238" s="34" t="s">
        <v>86</v>
      </c>
      <c r="AF238" s="2327" t="s">
        <v>484</v>
      </c>
      <c r="AG238" s="2328"/>
      <c r="AH238" s="2328"/>
      <c r="AI238" s="2328"/>
      <c r="AJ238" s="2328"/>
      <c r="AK238" s="2329"/>
      <c r="AL238" s="2327" t="s">
        <v>483</v>
      </c>
      <c r="AM238" s="2328"/>
      <c r="AN238" s="2328"/>
      <c r="AO238" s="2329"/>
      <c r="AP238" s="2327" t="s">
        <v>482</v>
      </c>
      <c r="AQ238" s="2328"/>
      <c r="AR238" s="2328"/>
      <c r="AS238" s="2328"/>
      <c r="AT238" s="2328"/>
      <c r="AU238" s="2328"/>
      <c r="AV238" s="2329"/>
      <c r="AW238" s="2327" t="s">
        <v>481</v>
      </c>
      <c r="AX238" s="2328"/>
      <c r="AY238" s="2328"/>
      <c r="AZ238" s="2328"/>
      <c r="BA238" s="2328"/>
      <c r="BB238" s="2328"/>
      <c r="BC238" s="2328"/>
      <c r="BD238" s="2328"/>
      <c r="BE238" s="2328"/>
      <c r="BF238" s="2329"/>
      <c r="BG238" s="33">
        <f>IF(BO298="北海道",4,IF(BO298="東北",6,IF(BO298="関東",8,IF(BO298="中部",10,IF(BO298="近畿",12,IF(BO298="北陸",14,IF(BO298="中国",16,IF(BO298="四国",18,IF(BO298="九州",20,IF(BO298="沖縄",22,RIGHT(BA298,1)+21))))))))))</f>
        <v>12</v>
      </c>
      <c r="BH238" s="2327" t="s">
        <v>537</v>
      </c>
      <c r="BI238" s="2328"/>
      <c r="BJ238" s="2328"/>
      <c r="BK238" s="2328"/>
      <c r="BL238" s="2328"/>
      <c r="BM238" s="2329"/>
      <c r="BN238" s="2327" t="s">
        <v>480</v>
      </c>
      <c r="BO238" s="2328"/>
      <c r="BP238" s="2328"/>
      <c r="BQ238" s="2328"/>
      <c r="BR238" s="2328"/>
      <c r="BS238" s="2328"/>
      <c r="BT238" s="2329"/>
      <c r="BU238" s="19"/>
      <c r="BZ238" s="6"/>
      <c r="CA238" s="6"/>
      <c r="CB238" s="324"/>
      <c r="CC238" s="324"/>
      <c r="CD238" s="324"/>
      <c r="CE238" s="502"/>
      <c r="CF238" s="6"/>
      <c r="CG238" s="6"/>
      <c r="CH238" s="324" t="s">
        <v>585</v>
      </c>
      <c r="CI238" s="324" t="s">
        <v>584</v>
      </c>
      <c r="CJ238" s="502" t="s">
        <v>583</v>
      </c>
      <c r="CK238" s="502"/>
      <c r="CL238" s="502"/>
      <c r="CM238" s="502"/>
    </row>
    <row r="239" spans="1:91" ht="10.5" customHeight="1">
      <c r="A239" s="3258"/>
      <c r="B239" s="23"/>
      <c r="C239" s="3247" t="str">
        <f t="shared" ref="C239:C253" si="123">IF($B$2=0,"",IF(ISNA(VLOOKUP(BW239,電話W,4,FALSE)),"",VLOOKUP(BW239,電話W,4,FALSE)))</f>
        <v>FCPEV 0.65-150Pr</v>
      </c>
      <c r="D239" s="2813"/>
      <c r="E239" s="2813"/>
      <c r="F239" s="2813"/>
      <c r="G239" s="2813"/>
      <c r="H239" s="2813"/>
      <c r="I239" s="2813"/>
      <c r="J239" s="2813"/>
      <c r="K239" s="2813"/>
      <c r="L239" s="2813"/>
      <c r="M239" s="2813"/>
      <c r="N239" s="2813"/>
      <c r="O239" s="2813"/>
      <c r="P239" s="2813"/>
      <c r="Q239" s="2813"/>
      <c r="R239" s="2813"/>
      <c r="S239" s="2813"/>
      <c r="T239" s="2813"/>
      <c r="U239" s="2813"/>
      <c r="V239" s="2813"/>
      <c r="W239" s="2813"/>
      <c r="X239" s="2814"/>
      <c r="Y239" s="2207">
        <f t="shared" ref="Y239:Y253" si="124">IF(C239="","",IF(AF239&lt;&gt;"",AF239,VLOOKUP(BW239,電話W,6,FALSE)))</f>
        <v>13</v>
      </c>
      <c r="Z239" s="2208"/>
      <c r="AA239" s="2208"/>
      <c r="AB239" s="2208"/>
      <c r="AC239" s="2208"/>
      <c r="AD239" s="2249"/>
      <c r="AE239" s="31" t="str">
        <f t="shared" ref="AE239:AE253" si="125">IF(Y239="","","▼")</f>
        <v>▼</v>
      </c>
      <c r="AF239" s="3248"/>
      <c r="AG239" s="3249"/>
      <c r="AH239" s="3249"/>
      <c r="AI239" s="3249"/>
      <c r="AJ239" s="3249"/>
      <c r="AK239" s="3250"/>
      <c r="AL239" s="3251" t="str">
        <f>IF(C239="","",VLOOKUP(C239,[7]建物1802!$E$5:$AL$3275,2,FALSE))</f>
        <v>ｍ</v>
      </c>
      <c r="AM239" s="2873"/>
      <c r="AN239" s="2873"/>
      <c r="AO239" s="2874"/>
      <c r="AP239" s="2207">
        <f>IF(C239="","",VLOOKUP(C239,[7]建物1802!$E$5:$AL$3275,$BG$238,FALSE))</f>
        <v>1730</v>
      </c>
      <c r="AQ239" s="2208"/>
      <c r="AR239" s="2208"/>
      <c r="AS239" s="2208"/>
      <c r="AT239" s="2208"/>
      <c r="AU239" s="2208"/>
      <c r="AV239" s="2249"/>
      <c r="AW239" s="2209">
        <f t="shared" ref="AW239:AW253" si="126">IF(Y239="","",Y239*AP239)</f>
        <v>22490</v>
      </c>
      <c r="AX239" s="2210"/>
      <c r="AY239" s="2210"/>
      <c r="AZ239" s="2210"/>
      <c r="BA239" s="2210"/>
      <c r="BB239" s="2210"/>
      <c r="BC239" s="2210"/>
      <c r="BD239" s="2210"/>
      <c r="BE239" s="2210"/>
      <c r="BF239" s="2211"/>
      <c r="BG239" s="21">
        <f>RIGHT(BA299,1)+25</f>
        <v>26</v>
      </c>
      <c r="BH239" s="2486">
        <f>IF(C239="","",VLOOKUP(C239,[7]建物1802!$E$5:$AL$3275,$BG$239,FALSE))</f>
        <v>8.3000000000000004E-2</v>
      </c>
      <c r="BI239" s="2487"/>
      <c r="BJ239" s="2487"/>
      <c r="BK239" s="2487"/>
      <c r="BL239" s="2487"/>
      <c r="BM239" s="2488"/>
      <c r="BN239" s="2257">
        <f t="shared" ref="BN239:BN253" si="127">IF(Y239="","",Y239*BH239)</f>
        <v>1.079</v>
      </c>
      <c r="BO239" s="2258"/>
      <c r="BP239" s="2258"/>
      <c r="BQ239" s="2258"/>
      <c r="BR239" s="2258"/>
      <c r="BS239" s="2258"/>
      <c r="BT239" s="2259"/>
      <c r="BU239" s="19"/>
      <c r="BW239" s="15">
        <v>1</v>
      </c>
      <c r="BZ239" s="6"/>
      <c r="CA239" s="6"/>
      <c r="CB239" s="501"/>
      <c r="CC239" s="324"/>
      <c r="CD239" s="324"/>
      <c r="CE239" s="324"/>
      <c r="CF239" s="6"/>
      <c r="CG239" s="6"/>
      <c r="CH239" s="324" t="s">
        <v>582</v>
      </c>
      <c r="CI239" s="324" t="s">
        <v>581</v>
      </c>
      <c r="CJ239" s="502" t="s">
        <v>580</v>
      </c>
      <c r="CK239" s="502"/>
      <c r="CL239" s="502"/>
      <c r="CM239" s="502"/>
    </row>
    <row r="240" spans="1:91" ht="11.25" customHeight="1">
      <c r="A240" s="3258"/>
      <c r="B240" s="23"/>
      <c r="C240" s="3247" t="str">
        <f t="shared" si="123"/>
        <v>電子釦 0.4- 4Pr</v>
      </c>
      <c r="D240" s="2813"/>
      <c r="E240" s="2813"/>
      <c r="F240" s="2813"/>
      <c r="G240" s="2813"/>
      <c r="H240" s="2813"/>
      <c r="I240" s="2813"/>
      <c r="J240" s="2813"/>
      <c r="K240" s="2813"/>
      <c r="L240" s="2813"/>
      <c r="M240" s="2813"/>
      <c r="N240" s="2813"/>
      <c r="O240" s="2813"/>
      <c r="P240" s="2813"/>
      <c r="Q240" s="2813"/>
      <c r="R240" s="2813"/>
      <c r="S240" s="2813"/>
      <c r="T240" s="2813"/>
      <c r="U240" s="2813"/>
      <c r="V240" s="2813"/>
      <c r="W240" s="2813"/>
      <c r="X240" s="2814"/>
      <c r="Y240" s="2207">
        <f t="shared" si="124"/>
        <v>7829.5779999999995</v>
      </c>
      <c r="Z240" s="2208"/>
      <c r="AA240" s="2208"/>
      <c r="AB240" s="2208"/>
      <c r="AC240" s="2208"/>
      <c r="AD240" s="2249"/>
      <c r="AE240" s="31" t="str">
        <f t="shared" si="125"/>
        <v>▼</v>
      </c>
      <c r="AF240" s="3248"/>
      <c r="AG240" s="3249"/>
      <c r="AH240" s="3249"/>
      <c r="AI240" s="3249"/>
      <c r="AJ240" s="3249"/>
      <c r="AK240" s="3250"/>
      <c r="AL240" s="3251" t="str">
        <f>IF(C240="","",VLOOKUP(C240,[7]建物1802!$E$5:$AL$3275,2,FALSE))</f>
        <v>ｍ</v>
      </c>
      <c r="AM240" s="2873"/>
      <c r="AN240" s="2873"/>
      <c r="AO240" s="2874"/>
      <c r="AP240" s="2207">
        <f>IF(C240="","",VLOOKUP(C240,[7]建物1802!$E$5:$AL$3275,$BG$238,FALSE))</f>
        <v>46.6</v>
      </c>
      <c r="AQ240" s="2208"/>
      <c r="AR240" s="2208"/>
      <c r="AS240" s="2208"/>
      <c r="AT240" s="2208"/>
      <c r="AU240" s="2208"/>
      <c r="AV240" s="2249"/>
      <c r="AW240" s="2209">
        <f t="shared" si="126"/>
        <v>364858.33480000001</v>
      </c>
      <c r="AX240" s="2210"/>
      <c r="AY240" s="2210"/>
      <c r="AZ240" s="2210"/>
      <c r="BA240" s="2210"/>
      <c r="BB240" s="2210"/>
      <c r="BC240" s="2210"/>
      <c r="BD240" s="2210"/>
      <c r="BE240" s="2210"/>
      <c r="BF240" s="2211"/>
      <c r="BG240" s="20"/>
      <c r="BH240" s="2486">
        <f>IF(C240="","",VLOOKUP(C240,[7]建物1802!$E$5:$AL$3275,$BG$239,FALSE))</f>
        <v>1.6E-2</v>
      </c>
      <c r="BI240" s="2487"/>
      <c r="BJ240" s="2487"/>
      <c r="BK240" s="2487"/>
      <c r="BL240" s="2487"/>
      <c r="BM240" s="2488"/>
      <c r="BN240" s="2257">
        <f t="shared" si="127"/>
        <v>125.273248</v>
      </c>
      <c r="BO240" s="2258"/>
      <c r="BP240" s="2258"/>
      <c r="BQ240" s="2258"/>
      <c r="BR240" s="2258"/>
      <c r="BS240" s="2258"/>
      <c r="BT240" s="2259"/>
      <c r="BU240" s="19"/>
      <c r="BW240" s="15">
        <v>2</v>
      </c>
      <c r="BZ240" s="6"/>
      <c r="CA240" s="6"/>
      <c r="CB240" s="501"/>
      <c r="CC240" s="324"/>
      <c r="CD240" s="324"/>
      <c r="CE240" s="324"/>
      <c r="CF240" s="6"/>
      <c r="CG240" s="6"/>
      <c r="CH240" s="324" t="s">
        <v>579</v>
      </c>
      <c r="CI240" s="324" t="s">
        <v>578</v>
      </c>
      <c r="CJ240" s="502" t="s">
        <v>577</v>
      </c>
      <c r="CK240" s="502"/>
      <c r="CL240" s="502"/>
      <c r="CM240" s="502"/>
    </row>
    <row r="241" spans="1:91" ht="11.25" customHeight="1">
      <c r="A241" s="3258"/>
      <c r="B241" s="23"/>
      <c r="C241" s="3247" t="str">
        <f t="shared" si="123"/>
        <v>TIVF 0.8-2C</v>
      </c>
      <c r="D241" s="2813"/>
      <c r="E241" s="2813"/>
      <c r="F241" s="2813"/>
      <c r="G241" s="2813"/>
      <c r="H241" s="2813"/>
      <c r="I241" s="2813"/>
      <c r="J241" s="2813"/>
      <c r="K241" s="2813"/>
      <c r="L241" s="2813"/>
      <c r="M241" s="2813"/>
      <c r="N241" s="2813"/>
      <c r="O241" s="2813"/>
      <c r="P241" s="2813"/>
      <c r="Q241" s="2813"/>
      <c r="R241" s="2813"/>
      <c r="S241" s="2813"/>
      <c r="T241" s="2813"/>
      <c r="U241" s="2813"/>
      <c r="V241" s="2813"/>
      <c r="W241" s="2813"/>
      <c r="X241" s="2814"/>
      <c r="Y241" s="2207">
        <f t="shared" si="124"/>
        <v>11392</v>
      </c>
      <c r="Z241" s="2208"/>
      <c r="AA241" s="2208"/>
      <c r="AB241" s="2208"/>
      <c r="AC241" s="2208"/>
      <c r="AD241" s="2249"/>
      <c r="AE241" s="31" t="str">
        <f t="shared" si="125"/>
        <v>▼</v>
      </c>
      <c r="AF241" s="3248"/>
      <c r="AG241" s="3249"/>
      <c r="AH241" s="3249"/>
      <c r="AI241" s="3249"/>
      <c r="AJ241" s="3249"/>
      <c r="AK241" s="3250"/>
      <c r="AL241" s="3251" t="str">
        <f>IF(C241="","",VLOOKUP(C241,[7]建物1802!$E$5:$AL$3275,2,FALSE))</f>
        <v>ｍ</v>
      </c>
      <c r="AM241" s="2873"/>
      <c r="AN241" s="2873"/>
      <c r="AO241" s="2874"/>
      <c r="AP241" s="2207">
        <f>IF(C241="","",VLOOKUP(C241,[7]建物1802!$E$5:$AL$3275,$BG$238,FALSE))</f>
        <v>18.2</v>
      </c>
      <c r="AQ241" s="2208"/>
      <c r="AR241" s="2208"/>
      <c r="AS241" s="2208"/>
      <c r="AT241" s="2208"/>
      <c r="AU241" s="2208"/>
      <c r="AV241" s="2249"/>
      <c r="AW241" s="2209">
        <f t="shared" si="126"/>
        <v>207334.39999999999</v>
      </c>
      <c r="AX241" s="2210"/>
      <c r="AY241" s="2210"/>
      <c r="AZ241" s="2210"/>
      <c r="BA241" s="2210"/>
      <c r="BB241" s="2210"/>
      <c r="BC241" s="2210"/>
      <c r="BD241" s="2210"/>
      <c r="BE241" s="2210"/>
      <c r="BF241" s="2211"/>
      <c r="BG241" s="20"/>
      <c r="BH241" s="2486">
        <f>IF(C241="","",VLOOKUP(C241,[7]建物1802!$E$5:$AL$3275,$BG$239,FALSE))</f>
        <v>1.7000000000000001E-2</v>
      </c>
      <c r="BI241" s="2487"/>
      <c r="BJ241" s="2487"/>
      <c r="BK241" s="2487"/>
      <c r="BL241" s="2487"/>
      <c r="BM241" s="2488"/>
      <c r="BN241" s="2257">
        <f t="shared" si="127"/>
        <v>193.66400000000002</v>
      </c>
      <c r="BO241" s="2258"/>
      <c r="BP241" s="2258"/>
      <c r="BQ241" s="2258"/>
      <c r="BR241" s="2258"/>
      <c r="BS241" s="2258"/>
      <c r="BT241" s="2259"/>
      <c r="BU241" s="19"/>
      <c r="BW241" s="15">
        <v>3</v>
      </c>
      <c r="BZ241" s="6"/>
      <c r="CA241" s="6"/>
      <c r="CB241" s="324"/>
      <c r="CC241" s="324"/>
      <c r="CD241" s="324"/>
      <c r="CE241" s="324"/>
      <c r="CF241" s="6"/>
      <c r="CG241" s="6"/>
      <c r="CH241" s="324" t="s">
        <v>576</v>
      </c>
      <c r="CI241" s="324" t="s">
        <v>575</v>
      </c>
      <c r="CJ241" s="502" t="s">
        <v>574</v>
      </c>
      <c r="CK241" s="502"/>
      <c r="CL241" s="502"/>
      <c r="CM241" s="502"/>
    </row>
    <row r="242" spans="1:91" ht="11.25" customHeight="1">
      <c r="A242" s="3258"/>
      <c r="B242" s="23"/>
      <c r="C242" s="3247" t="str">
        <f t="shared" si="123"/>
        <v>FCPEV 0.65-200Pr</v>
      </c>
      <c r="D242" s="2813"/>
      <c r="E242" s="2813"/>
      <c r="F242" s="2813"/>
      <c r="G242" s="2813"/>
      <c r="H242" s="2813"/>
      <c r="I242" s="2813"/>
      <c r="J242" s="2813"/>
      <c r="K242" s="2813"/>
      <c r="L242" s="2813"/>
      <c r="M242" s="2813"/>
      <c r="N242" s="2813"/>
      <c r="O242" s="2813"/>
      <c r="P242" s="2813"/>
      <c r="Q242" s="2813"/>
      <c r="R242" s="2813"/>
      <c r="S242" s="2813"/>
      <c r="T242" s="2813"/>
      <c r="U242" s="2813"/>
      <c r="V242" s="2813"/>
      <c r="W242" s="2813"/>
      <c r="X242" s="2814"/>
      <c r="Y242" s="2207">
        <f t="shared" si="124"/>
        <v>170</v>
      </c>
      <c r="Z242" s="2208"/>
      <c r="AA242" s="2208"/>
      <c r="AB242" s="2208"/>
      <c r="AC242" s="2208"/>
      <c r="AD242" s="2249"/>
      <c r="AE242" s="31" t="str">
        <f t="shared" si="125"/>
        <v>▼</v>
      </c>
      <c r="AF242" s="3248"/>
      <c r="AG242" s="3249"/>
      <c r="AH242" s="3249"/>
      <c r="AI242" s="3249"/>
      <c r="AJ242" s="3249"/>
      <c r="AK242" s="3250"/>
      <c r="AL242" s="3251" t="str">
        <f>IF(C242="","",VLOOKUP(C242,[7]建物1802!$E$5:$AL$3275,2,FALSE))</f>
        <v>ｍ</v>
      </c>
      <c r="AM242" s="2873"/>
      <c r="AN242" s="2873"/>
      <c r="AO242" s="2874"/>
      <c r="AP242" s="2207">
        <f>IF(C242="","",VLOOKUP(C242,[7]建物1802!$E$5:$AL$3275,$BG$238,FALSE))</f>
        <v>2254</v>
      </c>
      <c r="AQ242" s="2208"/>
      <c r="AR242" s="2208"/>
      <c r="AS242" s="2208"/>
      <c r="AT242" s="2208"/>
      <c r="AU242" s="2208"/>
      <c r="AV242" s="2249"/>
      <c r="AW242" s="2209">
        <f t="shared" si="126"/>
        <v>383180</v>
      </c>
      <c r="AX242" s="2210"/>
      <c r="AY242" s="2210"/>
      <c r="AZ242" s="2210"/>
      <c r="BA242" s="2210"/>
      <c r="BB242" s="2210"/>
      <c r="BC242" s="2210"/>
      <c r="BD242" s="2210"/>
      <c r="BE242" s="2210"/>
      <c r="BF242" s="2211"/>
      <c r="BG242" s="20"/>
      <c r="BH242" s="2486">
        <f>IF(C242="","",VLOOKUP(C242,[7]建物1802!$E$5:$AL$3275,$BG$239,FALSE))</f>
        <v>9.5000000000000001E-2</v>
      </c>
      <c r="BI242" s="2487"/>
      <c r="BJ242" s="2487"/>
      <c r="BK242" s="2487"/>
      <c r="BL242" s="2487"/>
      <c r="BM242" s="2488"/>
      <c r="BN242" s="2257">
        <f t="shared" si="127"/>
        <v>16.149999999999999</v>
      </c>
      <c r="BO242" s="2258"/>
      <c r="BP242" s="2258"/>
      <c r="BQ242" s="2258"/>
      <c r="BR242" s="2258"/>
      <c r="BS242" s="2258"/>
      <c r="BT242" s="2259"/>
      <c r="BU242" s="19"/>
      <c r="BW242" s="15">
        <v>4</v>
      </c>
      <c r="BZ242" s="6"/>
      <c r="CA242" s="6"/>
      <c r="CB242" s="324"/>
      <c r="CC242" s="6"/>
      <c r="CD242" s="324"/>
      <c r="CE242" s="324"/>
      <c r="CF242" s="6"/>
      <c r="CG242" s="6"/>
      <c r="CH242" s="324" t="s">
        <v>573</v>
      </c>
      <c r="CI242" s="324" t="s">
        <v>572</v>
      </c>
      <c r="CJ242" s="502" t="s">
        <v>571</v>
      </c>
      <c r="CK242" s="502"/>
      <c r="CL242" s="502"/>
      <c r="CM242" s="502"/>
    </row>
    <row r="243" spans="1:91" ht="11.25" customHeight="1">
      <c r="A243" s="3258"/>
      <c r="B243" s="23"/>
      <c r="C243" s="3247" t="str">
        <f t="shared" si="123"/>
        <v>IV-14sq</v>
      </c>
      <c r="D243" s="2813"/>
      <c r="E243" s="2813"/>
      <c r="F243" s="2813"/>
      <c r="G243" s="2813"/>
      <c r="H243" s="2813"/>
      <c r="I243" s="2813"/>
      <c r="J243" s="2813"/>
      <c r="K243" s="2813"/>
      <c r="L243" s="2813"/>
      <c r="M243" s="2813"/>
      <c r="N243" s="2813"/>
      <c r="O243" s="2813"/>
      <c r="P243" s="2813"/>
      <c r="Q243" s="2813"/>
      <c r="R243" s="2813"/>
      <c r="S243" s="2813"/>
      <c r="T243" s="2813"/>
      <c r="U243" s="2813"/>
      <c r="V243" s="2813"/>
      <c r="W243" s="2813"/>
      <c r="X243" s="2814"/>
      <c r="Y243" s="2207">
        <f t="shared" si="124"/>
        <v>95.7</v>
      </c>
      <c r="Z243" s="2208"/>
      <c r="AA243" s="2208"/>
      <c r="AB243" s="2208"/>
      <c r="AC243" s="2208"/>
      <c r="AD243" s="2249"/>
      <c r="AE243" s="31" t="str">
        <f t="shared" si="125"/>
        <v>▼</v>
      </c>
      <c r="AF243" s="3248"/>
      <c r="AG243" s="3249"/>
      <c r="AH243" s="3249"/>
      <c r="AI243" s="3249"/>
      <c r="AJ243" s="3249"/>
      <c r="AK243" s="3250"/>
      <c r="AL243" s="3251" t="str">
        <f>IF(C243="","",VLOOKUP(C243,[7]建物1802!$E$5:$AL$3275,2,FALSE))</f>
        <v>ｍ</v>
      </c>
      <c r="AM243" s="2873"/>
      <c r="AN243" s="2873"/>
      <c r="AO243" s="2874"/>
      <c r="AP243" s="2207">
        <f>IF(C243="","",VLOOKUP(C243,[7]建物1802!$E$5:$AL$3275,$BG$238,FALSE))</f>
        <v>171</v>
      </c>
      <c r="AQ243" s="2208"/>
      <c r="AR243" s="2208"/>
      <c r="AS243" s="2208"/>
      <c r="AT243" s="2208"/>
      <c r="AU243" s="2208"/>
      <c r="AV243" s="2249"/>
      <c r="AW243" s="2209">
        <f t="shared" si="126"/>
        <v>16364.7</v>
      </c>
      <c r="AX243" s="2210"/>
      <c r="AY243" s="2210"/>
      <c r="AZ243" s="2210"/>
      <c r="BA243" s="2210"/>
      <c r="BB243" s="2210"/>
      <c r="BC243" s="2210"/>
      <c r="BD243" s="2210"/>
      <c r="BE243" s="2210"/>
      <c r="BF243" s="2211"/>
      <c r="BG243" s="20"/>
      <c r="BH243" s="2486">
        <f>IF(C243="","",VLOOKUP(C243,[7]建物1802!$E$5:$AL$3275,$BG$239,FALSE))</f>
        <v>0.02</v>
      </c>
      <c r="BI243" s="2487"/>
      <c r="BJ243" s="2487"/>
      <c r="BK243" s="2487"/>
      <c r="BL243" s="2487"/>
      <c r="BM243" s="2488"/>
      <c r="BN243" s="2257">
        <f t="shared" si="127"/>
        <v>1.9140000000000001</v>
      </c>
      <c r="BO243" s="2258"/>
      <c r="BP243" s="2258"/>
      <c r="BQ243" s="2258"/>
      <c r="BR243" s="2258"/>
      <c r="BS243" s="2258"/>
      <c r="BT243" s="2259"/>
      <c r="BU243" s="19"/>
      <c r="BW243" s="15">
        <v>5</v>
      </c>
      <c r="BZ243" s="6"/>
      <c r="CA243" s="6"/>
      <c r="CB243" s="324"/>
      <c r="CC243" s="6"/>
      <c r="CD243" s="324"/>
      <c r="CE243" s="324"/>
      <c r="CF243" s="6"/>
      <c r="CG243" s="6"/>
      <c r="CH243" s="324" t="s">
        <v>570</v>
      </c>
      <c r="CI243" s="324" t="s">
        <v>569</v>
      </c>
      <c r="CJ243" s="502" t="s">
        <v>568</v>
      </c>
      <c r="CK243" s="502"/>
      <c r="CL243" s="502"/>
      <c r="CM243" s="502"/>
    </row>
    <row r="244" spans="1:91" ht="11.25" customHeight="1">
      <c r="A244" s="3258"/>
      <c r="B244" s="23"/>
      <c r="C244" s="3247" t="str">
        <f t="shared" si="123"/>
        <v>VE-22mm</v>
      </c>
      <c r="D244" s="2813"/>
      <c r="E244" s="2813"/>
      <c r="F244" s="2813"/>
      <c r="G244" s="2813"/>
      <c r="H244" s="2813"/>
      <c r="I244" s="2813"/>
      <c r="J244" s="2813"/>
      <c r="K244" s="2813"/>
      <c r="L244" s="2813"/>
      <c r="M244" s="2813"/>
      <c r="N244" s="2813"/>
      <c r="O244" s="2813"/>
      <c r="P244" s="2813"/>
      <c r="Q244" s="2813"/>
      <c r="R244" s="2813"/>
      <c r="S244" s="2813"/>
      <c r="T244" s="2813"/>
      <c r="U244" s="2813"/>
      <c r="V244" s="2813"/>
      <c r="W244" s="2813"/>
      <c r="X244" s="2814"/>
      <c r="Y244" s="2207">
        <f t="shared" si="124"/>
        <v>85.7</v>
      </c>
      <c r="Z244" s="2208"/>
      <c r="AA244" s="2208"/>
      <c r="AB244" s="2208"/>
      <c r="AC244" s="2208"/>
      <c r="AD244" s="2249"/>
      <c r="AE244" s="31" t="str">
        <f t="shared" si="125"/>
        <v>▼</v>
      </c>
      <c r="AF244" s="3248"/>
      <c r="AG244" s="3249"/>
      <c r="AH244" s="3249"/>
      <c r="AI244" s="3249"/>
      <c r="AJ244" s="3249"/>
      <c r="AK244" s="3250"/>
      <c r="AL244" s="3251" t="str">
        <f>IF(C244="","",VLOOKUP(C244,[7]建物1802!$E$5:$AL$3275,2,FALSE))</f>
        <v>ｍ</v>
      </c>
      <c r="AM244" s="2873"/>
      <c r="AN244" s="2873"/>
      <c r="AO244" s="2874"/>
      <c r="AP244" s="2207">
        <f>IF(C244="","",VLOOKUP(C244,[7]建物1802!$E$5:$AL$3275,$BG$238,FALSE))</f>
        <v>77</v>
      </c>
      <c r="AQ244" s="2208"/>
      <c r="AR244" s="2208"/>
      <c r="AS244" s="2208"/>
      <c r="AT244" s="2208"/>
      <c r="AU244" s="2208"/>
      <c r="AV244" s="2249"/>
      <c r="AW244" s="2209">
        <f t="shared" si="126"/>
        <v>6598.9000000000005</v>
      </c>
      <c r="AX244" s="2210"/>
      <c r="AY244" s="2210"/>
      <c r="AZ244" s="2210"/>
      <c r="BA244" s="2210"/>
      <c r="BB244" s="2210"/>
      <c r="BC244" s="2210"/>
      <c r="BD244" s="2210"/>
      <c r="BE244" s="2210"/>
      <c r="BF244" s="2211"/>
      <c r="BG244" s="20"/>
      <c r="BH244" s="2486">
        <f>IF(C244="","",VLOOKUP(C244,[7]建物1802!$E$5:$AL$3275,$BG$239,FALSE))</f>
        <v>5.3999999999999999E-2</v>
      </c>
      <c r="BI244" s="2487"/>
      <c r="BJ244" s="2487"/>
      <c r="BK244" s="2487"/>
      <c r="BL244" s="2487"/>
      <c r="BM244" s="2488"/>
      <c r="BN244" s="2257">
        <f t="shared" si="127"/>
        <v>4.6277999999999997</v>
      </c>
      <c r="BO244" s="2258"/>
      <c r="BP244" s="2258"/>
      <c r="BQ244" s="2258"/>
      <c r="BR244" s="2258"/>
      <c r="BS244" s="2258"/>
      <c r="BT244" s="2259"/>
      <c r="BU244" s="19"/>
      <c r="BW244" s="15">
        <v>6</v>
      </c>
      <c r="BZ244" s="6"/>
      <c r="CA244" s="6"/>
      <c r="CB244" s="324"/>
      <c r="CC244" s="6"/>
      <c r="CD244" s="324"/>
      <c r="CE244" s="324"/>
      <c r="CF244" s="6"/>
      <c r="CG244" s="6"/>
      <c r="CH244" s="324" t="s">
        <v>567</v>
      </c>
      <c r="CI244" s="324" t="s">
        <v>566</v>
      </c>
      <c r="CJ244" s="502" t="s">
        <v>565</v>
      </c>
      <c r="CK244" s="502"/>
      <c r="CL244" s="502"/>
      <c r="CM244" s="502"/>
    </row>
    <row r="245" spans="1:91" ht="11.25" customHeight="1">
      <c r="A245" s="3258"/>
      <c r="B245" s="23"/>
      <c r="C245" s="3247" t="str">
        <f t="shared" si="123"/>
        <v>FCPEV 0.65-100Pr</v>
      </c>
      <c r="D245" s="2813"/>
      <c r="E245" s="2813"/>
      <c r="F245" s="2813"/>
      <c r="G245" s="2813"/>
      <c r="H245" s="2813"/>
      <c r="I245" s="2813"/>
      <c r="J245" s="2813"/>
      <c r="K245" s="2813"/>
      <c r="L245" s="2813"/>
      <c r="M245" s="2813"/>
      <c r="N245" s="2813"/>
      <c r="O245" s="2813"/>
      <c r="P245" s="2813"/>
      <c r="Q245" s="2813"/>
      <c r="R245" s="2813"/>
      <c r="S245" s="2813"/>
      <c r="T245" s="2813"/>
      <c r="U245" s="2813"/>
      <c r="V245" s="2813"/>
      <c r="W245" s="2813"/>
      <c r="X245" s="2814"/>
      <c r="Y245" s="2207">
        <f t="shared" si="124"/>
        <v>6</v>
      </c>
      <c r="Z245" s="2208"/>
      <c r="AA245" s="2208"/>
      <c r="AB245" s="2208"/>
      <c r="AC245" s="2208"/>
      <c r="AD245" s="2249"/>
      <c r="AE245" s="31" t="str">
        <f t="shared" si="125"/>
        <v>▼</v>
      </c>
      <c r="AF245" s="3248"/>
      <c r="AG245" s="3249"/>
      <c r="AH245" s="3249"/>
      <c r="AI245" s="3249"/>
      <c r="AJ245" s="3249"/>
      <c r="AK245" s="3250"/>
      <c r="AL245" s="3251" t="str">
        <f>IF(C245="","",VLOOKUP(C245,[7]建物1802!$E$5:$AL$3275,2,FALSE))</f>
        <v>ｍ</v>
      </c>
      <c r="AM245" s="2873"/>
      <c r="AN245" s="2873"/>
      <c r="AO245" s="2874"/>
      <c r="AP245" s="2207">
        <f>IF(C245="","",VLOOKUP(C245,[7]建物1802!$E$5:$AL$3275,$BG$238,FALSE))</f>
        <v>1166</v>
      </c>
      <c r="AQ245" s="2208"/>
      <c r="AR245" s="2208"/>
      <c r="AS245" s="2208"/>
      <c r="AT245" s="2208"/>
      <c r="AU245" s="2208"/>
      <c r="AV245" s="2249"/>
      <c r="AW245" s="2209">
        <f t="shared" si="126"/>
        <v>6996</v>
      </c>
      <c r="AX245" s="2210"/>
      <c r="AY245" s="2210"/>
      <c r="AZ245" s="2210"/>
      <c r="BA245" s="2210"/>
      <c r="BB245" s="2210"/>
      <c r="BC245" s="2210"/>
      <c r="BD245" s="2210"/>
      <c r="BE245" s="2210"/>
      <c r="BF245" s="2211"/>
      <c r="BG245" s="20"/>
      <c r="BH245" s="2486">
        <f>IF(C245="","",VLOOKUP(C245,[7]建物1802!$E$5:$AL$3275,$BG$239,FALSE))</f>
        <v>6.4000000000000001E-2</v>
      </c>
      <c r="BI245" s="2487"/>
      <c r="BJ245" s="2487"/>
      <c r="BK245" s="2487"/>
      <c r="BL245" s="2487"/>
      <c r="BM245" s="2488"/>
      <c r="BN245" s="2257">
        <f t="shared" si="127"/>
        <v>0.38400000000000001</v>
      </c>
      <c r="BO245" s="2258"/>
      <c r="BP245" s="2258"/>
      <c r="BQ245" s="2258"/>
      <c r="BR245" s="2258"/>
      <c r="BS245" s="2258"/>
      <c r="BT245" s="2259"/>
      <c r="BU245" s="19"/>
      <c r="BW245" s="15">
        <v>7</v>
      </c>
      <c r="BZ245" s="6"/>
      <c r="CA245" s="6"/>
      <c r="CB245" s="501"/>
      <c r="CC245" s="6"/>
      <c r="CD245" s="324"/>
      <c r="CE245" s="324"/>
      <c r="CF245" s="6"/>
      <c r="CG245" s="6"/>
      <c r="CH245" s="324" t="s">
        <v>564</v>
      </c>
      <c r="CI245" s="324" t="s">
        <v>563</v>
      </c>
      <c r="CJ245" s="502" t="s">
        <v>562</v>
      </c>
      <c r="CK245" s="502"/>
      <c r="CL245" s="502"/>
      <c r="CM245" s="502"/>
    </row>
    <row r="246" spans="1:91" ht="11.25" customHeight="1">
      <c r="A246" s="3258"/>
      <c r="B246" s="23"/>
      <c r="C246" s="3247" t="str">
        <f t="shared" si="123"/>
        <v>FCPEV 0.65- 70Pr</v>
      </c>
      <c r="D246" s="2813"/>
      <c r="E246" s="2813"/>
      <c r="F246" s="2813"/>
      <c r="G246" s="2813"/>
      <c r="H246" s="2813"/>
      <c r="I246" s="2813"/>
      <c r="J246" s="2813"/>
      <c r="K246" s="2813"/>
      <c r="L246" s="2813"/>
      <c r="M246" s="2813"/>
      <c r="N246" s="2813"/>
      <c r="O246" s="2813"/>
      <c r="P246" s="2813"/>
      <c r="Q246" s="2813"/>
      <c r="R246" s="2813"/>
      <c r="S246" s="2813"/>
      <c r="T246" s="2813"/>
      <c r="U246" s="2813"/>
      <c r="V246" s="2813"/>
      <c r="W246" s="2813"/>
      <c r="X246" s="2814"/>
      <c r="Y246" s="2207">
        <f t="shared" si="124"/>
        <v>6</v>
      </c>
      <c r="Z246" s="2208"/>
      <c r="AA246" s="2208"/>
      <c r="AB246" s="2208"/>
      <c r="AC246" s="2208"/>
      <c r="AD246" s="2249"/>
      <c r="AE246" s="31" t="str">
        <f t="shared" si="125"/>
        <v>▼</v>
      </c>
      <c r="AF246" s="3248"/>
      <c r="AG246" s="3249"/>
      <c r="AH246" s="3249"/>
      <c r="AI246" s="3249"/>
      <c r="AJ246" s="3249"/>
      <c r="AK246" s="3250"/>
      <c r="AL246" s="3251" t="str">
        <f>IF(C246="","",VLOOKUP(C246,[7]建物1802!$E$5:$AL$3275,2,FALSE))</f>
        <v>ｍ</v>
      </c>
      <c r="AM246" s="2873"/>
      <c r="AN246" s="2873"/>
      <c r="AO246" s="2874"/>
      <c r="AP246" s="2207">
        <f>IF(C246="","",VLOOKUP(C246,[7]建物1802!$E$5:$AL$3275,$BG$238,FALSE))</f>
        <v>827</v>
      </c>
      <c r="AQ246" s="2208"/>
      <c r="AR246" s="2208"/>
      <c r="AS246" s="2208"/>
      <c r="AT246" s="2208"/>
      <c r="AU246" s="2208"/>
      <c r="AV246" s="2249"/>
      <c r="AW246" s="2209">
        <f t="shared" si="126"/>
        <v>4962</v>
      </c>
      <c r="AX246" s="2210"/>
      <c r="AY246" s="2210"/>
      <c r="AZ246" s="2210"/>
      <c r="BA246" s="2210"/>
      <c r="BB246" s="2210"/>
      <c r="BC246" s="2210"/>
      <c r="BD246" s="2210"/>
      <c r="BE246" s="2210"/>
      <c r="BF246" s="2211"/>
      <c r="BG246" s="20"/>
      <c r="BH246" s="2486">
        <f>IF(C246="","",VLOOKUP(C246,[7]建物1802!$E$5:$AL$3275,$BG$239,FALSE))</f>
        <v>5.0999999999999997E-2</v>
      </c>
      <c r="BI246" s="2487"/>
      <c r="BJ246" s="2487"/>
      <c r="BK246" s="2487"/>
      <c r="BL246" s="2487"/>
      <c r="BM246" s="2488"/>
      <c r="BN246" s="2257">
        <f t="shared" si="127"/>
        <v>0.30599999999999999</v>
      </c>
      <c r="BO246" s="2258"/>
      <c r="BP246" s="2258"/>
      <c r="BQ246" s="2258"/>
      <c r="BR246" s="2258"/>
      <c r="BS246" s="2258"/>
      <c r="BT246" s="2259"/>
      <c r="BU246" s="19"/>
      <c r="BW246" s="15">
        <v>8</v>
      </c>
      <c r="BZ246" s="6"/>
      <c r="CA246" s="6"/>
      <c r="CB246" s="501"/>
      <c r="CC246" s="6"/>
      <c r="CD246" s="324"/>
      <c r="CE246" s="324"/>
      <c r="CF246" s="6"/>
      <c r="CG246" s="6"/>
      <c r="CH246" s="324" t="s">
        <v>561</v>
      </c>
      <c r="CI246" s="324" t="s">
        <v>560</v>
      </c>
      <c r="CJ246" s="502" t="s">
        <v>559</v>
      </c>
      <c r="CK246" s="324"/>
      <c r="CL246" s="324"/>
      <c r="CM246" s="324"/>
    </row>
    <row r="247" spans="1:91" ht="11.25" customHeight="1">
      <c r="A247" s="3258"/>
      <c r="B247" s="23"/>
      <c r="C247" s="3247" t="str">
        <f t="shared" si="123"/>
        <v>FCPEV 0.65- 10Pr</v>
      </c>
      <c r="D247" s="2813"/>
      <c r="E247" s="2813"/>
      <c r="F247" s="2813"/>
      <c r="G247" s="2813"/>
      <c r="H247" s="2813"/>
      <c r="I247" s="2813"/>
      <c r="J247" s="2813"/>
      <c r="K247" s="2813"/>
      <c r="L247" s="2813"/>
      <c r="M247" s="2813"/>
      <c r="N247" s="2813"/>
      <c r="O247" s="2813"/>
      <c r="P247" s="2813"/>
      <c r="Q247" s="2813"/>
      <c r="R247" s="2813"/>
      <c r="S247" s="2813"/>
      <c r="T247" s="2813"/>
      <c r="U247" s="2813"/>
      <c r="V247" s="2813"/>
      <c r="W247" s="2813"/>
      <c r="X247" s="2814"/>
      <c r="Y247" s="2207">
        <f t="shared" si="124"/>
        <v>12</v>
      </c>
      <c r="Z247" s="2208"/>
      <c r="AA247" s="2208"/>
      <c r="AB247" s="2208"/>
      <c r="AC247" s="2208"/>
      <c r="AD247" s="2249"/>
      <c r="AE247" s="31" t="str">
        <f t="shared" si="125"/>
        <v>▼</v>
      </c>
      <c r="AF247" s="3248"/>
      <c r="AG247" s="3249"/>
      <c r="AH247" s="3249"/>
      <c r="AI247" s="3249"/>
      <c r="AJ247" s="3249"/>
      <c r="AK247" s="3250"/>
      <c r="AL247" s="3251" t="str">
        <f>IF(C247="","",VLOOKUP(C247,[7]建物1802!$E$5:$AL$3275,2,FALSE))</f>
        <v>ｍ</v>
      </c>
      <c r="AM247" s="2873"/>
      <c r="AN247" s="2873"/>
      <c r="AO247" s="2874"/>
      <c r="AP247" s="2207">
        <f>IF(C247="","",VLOOKUP(C247,[7]建物1802!$E$5:$AL$3275,$BG$238,FALSE))</f>
        <v>180</v>
      </c>
      <c r="AQ247" s="2208"/>
      <c r="AR247" s="2208"/>
      <c r="AS247" s="2208"/>
      <c r="AT247" s="2208"/>
      <c r="AU247" s="2208"/>
      <c r="AV247" s="2249"/>
      <c r="AW247" s="2209">
        <f t="shared" si="126"/>
        <v>2160</v>
      </c>
      <c r="AX247" s="2210"/>
      <c r="AY247" s="2210"/>
      <c r="AZ247" s="2210"/>
      <c r="BA247" s="2210"/>
      <c r="BB247" s="2210"/>
      <c r="BC247" s="2210"/>
      <c r="BD247" s="2210"/>
      <c r="BE247" s="2210"/>
      <c r="BF247" s="2211"/>
      <c r="BG247" s="20"/>
      <c r="BH247" s="2486">
        <f>IF(C247="","",VLOOKUP(C247,[7]建物1802!$E$5:$AL$3275,$BG$239,FALSE))</f>
        <v>0.02</v>
      </c>
      <c r="BI247" s="2487"/>
      <c r="BJ247" s="2487"/>
      <c r="BK247" s="2487"/>
      <c r="BL247" s="2487"/>
      <c r="BM247" s="2488"/>
      <c r="BN247" s="2257">
        <f t="shared" si="127"/>
        <v>0.24</v>
      </c>
      <c r="BO247" s="2258"/>
      <c r="BP247" s="2258"/>
      <c r="BQ247" s="2258"/>
      <c r="BR247" s="2258"/>
      <c r="BS247" s="2258"/>
      <c r="BT247" s="2259"/>
      <c r="BU247" s="19"/>
      <c r="BW247" s="15">
        <v>9</v>
      </c>
      <c r="BZ247" s="6"/>
      <c r="CA247" s="6"/>
      <c r="CB247" s="324"/>
      <c r="CC247" s="6"/>
      <c r="CD247" s="324"/>
      <c r="CE247" s="324"/>
      <c r="CF247" s="6"/>
      <c r="CG247" s="6"/>
      <c r="CH247" s="324" t="s">
        <v>558</v>
      </c>
      <c r="CI247" s="324" t="s">
        <v>557</v>
      </c>
      <c r="CJ247" s="502" t="s">
        <v>556</v>
      </c>
      <c r="CK247" s="324"/>
      <c r="CL247" s="324"/>
      <c r="CM247" s="324"/>
    </row>
    <row r="248" spans="1:91" ht="11.25" customHeight="1">
      <c r="A248" s="3258"/>
      <c r="B248" s="23"/>
      <c r="C248" s="3247" t="str">
        <f t="shared" si="123"/>
        <v/>
      </c>
      <c r="D248" s="2813"/>
      <c r="E248" s="2813"/>
      <c r="F248" s="2813"/>
      <c r="G248" s="2813"/>
      <c r="H248" s="2813"/>
      <c r="I248" s="2813"/>
      <c r="J248" s="2813"/>
      <c r="K248" s="2813"/>
      <c r="L248" s="2813"/>
      <c r="M248" s="2813"/>
      <c r="N248" s="2813"/>
      <c r="O248" s="2813"/>
      <c r="P248" s="2813"/>
      <c r="Q248" s="2813"/>
      <c r="R248" s="2813"/>
      <c r="S248" s="2813"/>
      <c r="T248" s="2813"/>
      <c r="U248" s="2813"/>
      <c r="V248" s="2813"/>
      <c r="W248" s="2813"/>
      <c r="X248" s="2814"/>
      <c r="Y248" s="2207" t="str">
        <f t="shared" si="124"/>
        <v/>
      </c>
      <c r="Z248" s="2208"/>
      <c r="AA248" s="2208"/>
      <c r="AB248" s="2208"/>
      <c r="AC248" s="2208"/>
      <c r="AD248" s="2249"/>
      <c r="AE248" s="31" t="str">
        <f t="shared" si="125"/>
        <v/>
      </c>
      <c r="AF248" s="3248"/>
      <c r="AG248" s="3249"/>
      <c r="AH248" s="3249"/>
      <c r="AI248" s="3249"/>
      <c r="AJ248" s="3249"/>
      <c r="AK248" s="3250"/>
      <c r="AL248" s="3251" t="str">
        <f>IF(C248="","",VLOOKUP(C248,[7]建物1802!$E$5:$AL$3275,2,FALSE))</f>
        <v/>
      </c>
      <c r="AM248" s="2873"/>
      <c r="AN248" s="2873"/>
      <c r="AO248" s="2874"/>
      <c r="AP248" s="2207" t="str">
        <f>IF(C248="","",VLOOKUP(C248,[7]建物1802!$E$5:$AL$3275,$BG$238,FALSE))</f>
        <v/>
      </c>
      <c r="AQ248" s="2208"/>
      <c r="AR248" s="2208"/>
      <c r="AS248" s="2208"/>
      <c r="AT248" s="2208"/>
      <c r="AU248" s="2208"/>
      <c r="AV248" s="2249"/>
      <c r="AW248" s="2209" t="str">
        <f t="shared" si="126"/>
        <v/>
      </c>
      <c r="AX248" s="2210"/>
      <c r="AY248" s="2210"/>
      <c r="AZ248" s="2210"/>
      <c r="BA248" s="2210"/>
      <c r="BB248" s="2210"/>
      <c r="BC248" s="2210"/>
      <c r="BD248" s="2210"/>
      <c r="BE248" s="2210"/>
      <c r="BF248" s="2211"/>
      <c r="BG248" s="20"/>
      <c r="BH248" s="2486" t="str">
        <f>IF(C248="","",VLOOKUP(C248,[7]建物1802!$E$5:$AL$3275,$BG$239,FALSE))</f>
        <v/>
      </c>
      <c r="BI248" s="2487"/>
      <c r="BJ248" s="2487"/>
      <c r="BK248" s="2487"/>
      <c r="BL248" s="2487"/>
      <c r="BM248" s="2488"/>
      <c r="BN248" s="2257" t="str">
        <f t="shared" si="127"/>
        <v/>
      </c>
      <c r="BO248" s="2258"/>
      <c r="BP248" s="2258"/>
      <c r="BQ248" s="2258"/>
      <c r="BR248" s="2258"/>
      <c r="BS248" s="2258"/>
      <c r="BT248" s="2259"/>
      <c r="BU248" s="19"/>
      <c r="BW248" s="15">
        <v>10</v>
      </c>
      <c r="BZ248" s="6"/>
      <c r="CA248" s="6"/>
      <c r="CB248" s="324"/>
      <c r="CC248" s="6"/>
      <c r="CD248" s="324"/>
      <c r="CE248" s="324"/>
      <c r="CF248" s="6"/>
      <c r="CG248" s="6"/>
      <c r="CH248" s="501" t="s">
        <v>555</v>
      </c>
      <c r="CI248" s="324" t="s">
        <v>554</v>
      </c>
      <c r="CJ248" s="324"/>
      <c r="CK248" s="324"/>
      <c r="CL248" s="324"/>
      <c r="CM248" s="324"/>
    </row>
    <row r="249" spans="1:91" ht="11.25" customHeight="1">
      <c r="A249" s="3258"/>
      <c r="B249" s="23"/>
      <c r="C249" s="3247" t="str">
        <f t="shared" si="123"/>
        <v/>
      </c>
      <c r="D249" s="2813"/>
      <c r="E249" s="2813"/>
      <c r="F249" s="2813"/>
      <c r="G249" s="2813"/>
      <c r="H249" s="2813"/>
      <c r="I249" s="2813"/>
      <c r="J249" s="2813"/>
      <c r="K249" s="2813"/>
      <c r="L249" s="2813"/>
      <c r="M249" s="2813"/>
      <c r="N249" s="2813"/>
      <c r="O249" s="2813"/>
      <c r="P249" s="2813"/>
      <c r="Q249" s="2813"/>
      <c r="R249" s="2813"/>
      <c r="S249" s="2813"/>
      <c r="T249" s="2813"/>
      <c r="U249" s="2813"/>
      <c r="V249" s="2813"/>
      <c r="W249" s="2813"/>
      <c r="X249" s="2814"/>
      <c r="Y249" s="2207" t="str">
        <f t="shared" si="124"/>
        <v/>
      </c>
      <c r="Z249" s="2208"/>
      <c r="AA249" s="2208"/>
      <c r="AB249" s="2208"/>
      <c r="AC249" s="2208"/>
      <c r="AD249" s="2249"/>
      <c r="AE249" s="31" t="str">
        <f t="shared" si="125"/>
        <v/>
      </c>
      <c r="AF249" s="3248"/>
      <c r="AG249" s="3249"/>
      <c r="AH249" s="3249"/>
      <c r="AI249" s="3249"/>
      <c r="AJ249" s="3249"/>
      <c r="AK249" s="3250"/>
      <c r="AL249" s="3251" t="str">
        <f>IF(C249="","",VLOOKUP(C249,[7]建物1802!$E$5:$AL$3275,2,FALSE))</f>
        <v/>
      </c>
      <c r="AM249" s="2873"/>
      <c r="AN249" s="2873"/>
      <c r="AO249" s="2874"/>
      <c r="AP249" s="2207" t="str">
        <f>IF(C249="","",VLOOKUP(C249,[7]建物1802!$E$5:$AL$3275,$BG$238,FALSE))</f>
        <v/>
      </c>
      <c r="AQ249" s="2208"/>
      <c r="AR249" s="2208"/>
      <c r="AS249" s="2208"/>
      <c r="AT249" s="2208"/>
      <c r="AU249" s="2208"/>
      <c r="AV249" s="2249"/>
      <c r="AW249" s="2209" t="str">
        <f t="shared" si="126"/>
        <v/>
      </c>
      <c r="AX249" s="2210"/>
      <c r="AY249" s="2210"/>
      <c r="AZ249" s="2210"/>
      <c r="BA249" s="2210"/>
      <c r="BB249" s="2210"/>
      <c r="BC249" s="2210"/>
      <c r="BD249" s="2210"/>
      <c r="BE249" s="2210"/>
      <c r="BF249" s="2211"/>
      <c r="BG249" s="20"/>
      <c r="BH249" s="2486" t="str">
        <f>IF(C249="","",VLOOKUP(C249,[7]建物1802!$E$5:$AL$3275,$BG$239,FALSE))</f>
        <v/>
      </c>
      <c r="BI249" s="2487"/>
      <c r="BJ249" s="2487"/>
      <c r="BK249" s="2487"/>
      <c r="BL249" s="2487"/>
      <c r="BM249" s="2488"/>
      <c r="BN249" s="2257" t="str">
        <f t="shared" si="127"/>
        <v/>
      </c>
      <c r="BO249" s="2258"/>
      <c r="BP249" s="2258"/>
      <c r="BQ249" s="2258"/>
      <c r="BR249" s="2258"/>
      <c r="BS249" s="2258"/>
      <c r="BT249" s="2259"/>
      <c r="BU249" s="19"/>
      <c r="BW249" s="15">
        <v>11</v>
      </c>
      <c r="BZ249" s="6"/>
      <c r="CA249" s="6"/>
      <c r="CB249" s="324"/>
      <c r="CC249" s="6"/>
      <c r="CD249" s="324"/>
      <c r="CE249" s="324"/>
      <c r="CF249" s="6"/>
      <c r="CG249" s="6"/>
      <c r="CH249" s="501" t="s">
        <v>553</v>
      </c>
      <c r="CI249" s="324" t="s">
        <v>552</v>
      </c>
      <c r="CJ249" s="324"/>
      <c r="CK249" s="324"/>
      <c r="CL249" s="324"/>
      <c r="CM249" s="324"/>
    </row>
    <row r="250" spans="1:91" ht="11.25" customHeight="1">
      <c r="A250" s="3258"/>
      <c r="B250" s="23"/>
      <c r="C250" s="3247" t="str">
        <f t="shared" si="123"/>
        <v/>
      </c>
      <c r="D250" s="2813"/>
      <c r="E250" s="2813"/>
      <c r="F250" s="2813"/>
      <c r="G250" s="2813"/>
      <c r="H250" s="2813"/>
      <c r="I250" s="2813"/>
      <c r="J250" s="2813"/>
      <c r="K250" s="2813"/>
      <c r="L250" s="2813"/>
      <c r="M250" s="2813"/>
      <c r="N250" s="2813"/>
      <c r="O250" s="2813"/>
      <c r="P250" s="2813"/>
      <c r="Q250" s="2813"/>
      <c r="R250" s="2813"/>
      <c r="S250" s="2813"/>
      <c r="T250" s="2813"/>
      <c r="U250" s="2813"/>
      <c r="V250" s="2813"/>
      <c r="W250" s="2813"/>
      <c r="X250" s="2814"/>
      <c r="Y250" s="2207" t="str">
        <f t="shared" si="124"/>
        <v/>
      </c>
      <c r="Z250" s="2208"/>
      <c r="AA250" s="2208"/>
      <c r="AB250" s="2208"/>
      <c r="AC250" s="2208"/>
      <c r="AD250" s="2249"/>
      <c r="AE250" s="31" t="str">
        <f t="shared" si="125"/>
        <v/>
      </c>
      <c r="AF250" s="3248"/>
      <c r="AG250" s="3249"/>
      <c r="AH250" s="3249"/>
      <c r="AI250" s="3249"/>
      <c r="AJ250" s="3249"/>
      <c r="AK250" s="3250"/>
      <c r="AL250" s="3251" t="str">
        <f>IF(C250="","",VLOOKUP(C250,[7]建物1802!$E$5:$AL$3275,2,FALSE))</f>
        <v/>
      </c>
      <c r="AM250" s="2873"/>
      <c r="AN250" s="2873"/>
      <c r="AO250" s="2874"/>
      <c r="AP250" s="2207" t="str">
        <f>IF(C250="","",VLOOKUP(C250,[7]建物1802!$E$5:$AL$3275,$BG$238,FALSE))</f>
        <v/>
      </c>
      <c r="AQ250" s="2208"/>
      <c r="AR250" s="2208"/>
      <c r="AS250" s="2208"/>
      <c r="AT250" s="2208"/>
      <c r="AU250" s="2208"/>
      <c r="AV250" s="2249"/>
      <c r="AW250" s="2209" t="str">
        <f t="shared" si="126"/>
        <v/>
      </c>
      <c r="AX250" s="2210"/>
      <c r="AY250" s="2210"/>
      <c r="AZ250" s="2210"/>
      <c r="BA250" s="2210"/>
      <c r="BB250" s="2210"/>
      <c r="BC250" s="2210"/>
      <c r="BD250" s="2210"/>
      <c r="BE250" s="2210"/>
      <c r="BF250" s="2211"/>
      <c r="BG250" s="20"/>
      <c r="BH250" s="2486" t="str">
        <f>IF(C250="","",VLOOKUP(C250,[7]建物1802!$E$5:$AL$3275,$BG$239,FALSE))</f>
        <v/>
      </c>
      <c r="BI250" s="2487"/>
      <c r="BJ250" s="2487"/>
      <c r="BK250" s="2487"/>
      <c r="BL250" s="2487"/>
      <c r="BM250" s="2488"/>
      <c r="BN250" s="2257" t="str">
        <f t="shared" si="127"/>
        <v/>
      </c>
      <c r="BO250" s="2258"/>
      <c r="BP250" s="2258"/>
      <c r="BQ250" s="2258"/>
      <c r="BR250" s="2258"/>
      <c r="BS250" s="2258"/>
      <c r="BT250" s="2259"/>
      <c r="BU250" s="19"/>
      <c r="BW250" s="15">
        <v>12</v>
      </c>
      <c r="BZ250" s="6"/>
      <c r="CA250" s="6"/>
      <c r="CB250" s="324"/>
      <c r="CC250" s="6"/>
      <c r="CD250" s="324"/>
      <c r="CE250" s="324"/>
      <c r="CF250" s="6"/>
      <c r="CG250" s="6"/>
      <c r="CH250" s="324" t="s">
        <v>551</v>
      </c>
      <c r="CI250" s="324" t="s">
        <v>550</v>
      </c>
      <c r="CJ250" s="324"/>
      <c r="CK250" s="324"/>
      <c r="CL250" s="324"/>
      <c r="CM250" s="324"/>
    </row>
    <row r="251" spans="1:91" ht="11.25" customHeight="1">
      <c r="A251" s="3258"/>
      <c r="B251" s="23"/>
      <c r="C251" s="3247" t="str">
        <f t="shared" si="123"/>
        <v/>
      </c>
      <c r="D251" s="2813"/>
      <c r="E251" s="2813"/>
      <c r="F251" s="2813"/>
      <c r="G251" s="2813"/>
      <c r="H251" s="2813"/>
      <c r="I251" s="2813"/>
      <c r="J251" s="2813"/>
      <c r="K251" s="2813"/>
      <c r="L251" s="2813"/>
      <c r="M251" s="2813"/>
      <c r="N251" s="2813"/>
      <c r="O251" s="2813"/>
      <c r="P251" s="2813"/>
      <c r="Q251" s="2813"/>
      <c r="R251" s="2813"/>
      <c r="S251" s="2813"/>
      <c r="T251" s="2813"/>
      <c r="U251" s="2813"/>
      <c r="V251" s="2813"/>
      <c r="W251" s="2813"/>
      <c r="X251" s="2814"/>
      <c r="Y251" s="2207" t="str">
        <f t="shared" si="124"/>
        <v/>
      </c>
      <c r="Z251" s="2208"/>
      <c r="AA251" s="2208"/>
      <c r="AB251" s="2208"/>
      <c r="AC251" s="2208"/>
      <c r="AD251" s="2249"/>
      <c r="AE251" s="31" t="str">
        <f t="shared" si="125"/>
        <v/>
      </c>
      <c r="AF251" s="3248"/>
      <c r="AG251" s="3249"/>
      <c r="AH251" s="3249"/>
      <c r="AI251" s="3249"/>
      <c r="AJ251" s="3249"/>
      <c r="AK251" s="3250"/>
      <c r="AL251" s="3251" t="str">
        <f>IF(C251="","",VLOOKUP(C251,[7]建物1802!$E$5:$AL$3275,2,FALSE))</f>
        <v/>
      </c>
      <c r="AM251" s="2873"/>
      <c r="AN251" s="2873"/>
      <c r="AO251" s="2874"/>
      <c r="AP251" s="2207" t="str">
        <f>IF(C251="","",VLOOKUP(C251,[7]建物1802!$E$5:$AL$3275,$BG$238,FALSE))</f>
        <v/>
      </c>
      <c r="AQ251" s="2208"/>
      <c r="AR251" s="2208"/>
      <c r="AS251" s="2208"/>
      <c r="AT251" s="2208"/>
      <c r="AU251" s="2208"/>
      <c r="AV251" s="2249"/>
      <c r="AW251" s="2209" t="str">
        <f t="shared" si="126"/>
        <v/>
      </c>
      <c r="AX251" s="2210"/>
      <c r="AY251" s="2210"/>
      <c r="AZ251" s="2210"/>
      <c r="BA251" s="2210"/>
      <c r="BB251" s="2210"/>
      <c r="BC251" s="2210"/>
      <c r="BD251" s="2210"/>
      <c r="BE251" s="2210"/>
      <c r="BF251" s="2211"/>
      <c r="BG251" s="20"/>
      <c r="BH251" s="2486" t="str">
        <f>IF(C251="","",VLOOKUP(C251,[7]建物1802!$E$5:$AL$3275,$BG$239,FALSE))</f>
        <v/>
      </c>
      <c r="BI251" s="2487"/>
      <c r="BJ251" s="2487"/>
      <c r="BK251" s="2487"/>
      <c r="BL251" s="2487"/>
      <c r="BM251" s="2488"/>
      <c r="BN251" s="2257" t="str">
        <f t="shared" si="127"/>
        <v/>
      </c>
      <c r="BO251" s="2258"/>
      <c r="BP251" s="2258"/>
      <c r="BQ251" s="2258"/>
      <c r="BR251" s="2258"/>
      <c r="BS251" s="2258"/>
      <c r="BT251" s="2259"/>
      <c r="BU251" s="19"/>
      <c r="BW251" s="15">
        <v>13</v>
      </c>
      <c r="BZ251" s="6"/>
      <c r="CA251" s="6"/>
      <c r="CB251" s="501"/>
      <c r="CC251" s="6"/>
      <c r="CD251" s="324"/>
      <c r="CE251" s="324"/>
      <c r="CF251" s="6"/>
      <c r="CG251" s="6"/>
      <c r="CH251" s="324" t="s">
        <v>549</v>
      </c>
      <c r="CI251" s="6"/>
      <c r="CJ251" s="324"/>
      <c r="CK251" s="324"/>
      <c r="CL251" s="324"/>
      <c r="CM251" s="324"/>
    </row>
    <row r="252" spans="1:91" ht="11.25" customHeight="1">
      <c r="A252" s="3258"/>
      <c r="B252" s="23"/>
      <c r="C252" s="3247" t="str">
        <f t="shared" si="123"/>
        <v/>
      </c>
      <c r="D252" s="2813"/>
      <c r="E252" s="2813"/>
      <c r="F252" s="2813"/>
      <c r="G252" s="2813"/>
      <c r="H252" s="2813"/>
      <c r="I252" s="2813"/>
      <c r="J252" s="2813"/>
      <c r="K252" s="2813"/>
      <c r="L252" s="2813"/>
      <c r="M252" s="2813"/>
      <c r="N252" s="2813"/>
      <c r="O252" s="2813"/>
      <c r="P252" s="2813"/>
      <c r="Q252" s="2813"/>
      <c r="R252" s="2813"/>
      <c r="S252" s="2813"/>
      <c r="T252" s="2813"/>
      <c r="U252" s="2813"/>
      <c r="V252" s="2813"/>
      <c r="W252" s="2813"/>
      <c r="X252" s="2814"/>
      <c r="Y252" s="2207" t="str">
        <f t="shared" si="124"/>
        <v/>
      </c>
      <c r="Z252" s="2208"/>
      <c r="AA252" s="2208"/>
      <c r="AB252" s="2208"/>
      <c r="AC252" s="2208"/>
      <c r="AD252" s="2249"/>
      <c r="AE252" s="31" t="str">
        <f t="shared" si="125"/>
        <v/>
      </c>
      <c r="AF252" s="3248"/>
      <c r="AG252" s="3249"/>
      <c r="AH252" s="3249"/>
      <c r="AI252" s="3249"/>
      <c r="AJ252" s="3249"/>
      <c r="AK252" s="3250"/>
      <c r="AL252" s="3251" t="str">
        <f>IF(C252="","",VLOOKUP(C252,[7]建物1802!$E$5:$AL$3275,2,FALSE))</f>
        <v/>
      </c>
      <c r="AM252" s="2873"/>
      <c r="AN252" s="2873"/>
      <c r="AO252" s="2874"/>
      <c r="AP252" s="2207" t="str">
        <f>IF(C252="","",VLOOKUP(C252,[7]建物1802!$E$5:$AL$3275,$BG$238,FALSE))</f>
        <v/>
      </c>
      <c r="AQ252" s="2208"/>
      <c r="AR252" s="2208"/>
      <c r="AS252" s="2208"/>
      <c r="AT252" s="2208"/>
      <c r="AU252" s="2208"/>
      <c r="AV252" s="2249"/>
      <c r="AW252" s="2209" t="str">
        <f t="shared" si="126"/>
        <v/>
      </c>
      <c r="AX252" s="2210"/>
      <c r="AY252" s="2210"/>
      <c r="AZ252" s="2210"/>
      <c r="BA252" s="2210"/>
      <c r="BB252" s="2210"/>
      <c r="BC252" s="2210"/>
      <c r="BD252" s="2210"/>
      <c r="BE252" s="2210"/>
      <c r="BF252" s="2211"/>
      <c r="BG252" s="20"/>
      <c r="BH252" s="2486" t="str">
        <f>IF(C252="","",VLOOKUP(C252,[7]建物1802!$E$5:$AL$3275,$BG$239,FALSE))</f>
        <v/>
      </c>
      <c r="BI252" s="2487"/>
      <c r="BJ252" s="2487"/>
      <c r="BK252" s="2487"/>
      <c r="BL252" s="2487"/>
      <c r="BM252" s="2488"/>
      <c r="BN252" s="2257" t="str">
        <f t="shared" si="127"/>
        <v/>
      </c>
      <c r="BO252" s="2258"/>
      <c r="BP252" s="2258"/>
      <c r="BQ252" s="2258"/>
      <c r="BR252" s="2258"/>
      <c r="BS252" s="2258"/>
      <c r="BT252" s="2259"/>
      <c r="BU252" s="19"/>
      <c r="BW252" s="15">
        <v>14</v>
      </c>
      <c r="CB252" s="501"/>
      <c r="CD252" s="324"/>
      <c r="CE252" s="324"/>
      <c r="CH252" s="324" t="s">
        <v>548</v>
      </c>
      <c r="CI252" s="6"/>
      <c r="CJ252" s="324"/>
      <c r="CK252" s="324"/>
      <c r="CL252" s="324"/>
      <c r="CM252" s="324"/>
    </row>
    <row r="253" spans="1:91" ht="11.25" customHeight="1">
      <c r="A253" s="3258"/>
      <c r="B253" s="23"/>
      <c r="C253" s="3247" t="str">
        <f t="shared" si="123"/>
        <v/>
      </c>
      <c r="D253" s="2813"/>
      <c r="E253" s="2813"/>
      <c r="F253" s="2813"/>
      <c r="G253" s="2813"/>
      <c r="H253" s="2813"/>
      <c r="I253" s="2813"/>
      <c r="J253" s="2813"/>
      <c r="K253" s="2813"/>
      <c r="L253" s="2813"/>
      <c r="M253" s="2813"/>
      <c r="N253" s="2813"/>
      <c r="O253" s="2813"/>
      <c r="P253" s="2813"/>
      <c r="Q253" s="2813"/>
      <c r="R253" s="2813"/>
      <c r="S253" s="2813"/>
      <c r="T253" s="2813"/>
      <c r="U253" s="2813"/>
      <c r="V253" s="2813"/>
      <c r="W253" s="2813"/>
      <c r="X253" s="2814"/>
      <c r="Y253" s="2207" t="str">
        <f t="shared" si="124"/>
        <v/>
      </c>
      <c r="Z253" s="2208"/>
      <c r="AA253" s="2208"/>
      <c r="AB253" s="2208"/>
      <c r="AC253" s="2208"/>
      <c r="AD253" s="2249"/>
      <c r="AE253" s="31" t="str">
        <f t="shared" si="125"/>
        <v/>
      </c>
      <c r="AF253" s="3248"/>
      <c r="AG253" s="3249"/>
      <c r="AH253" s="3249"/>
      <c r="AI253" s="3249"/>
      <c r="AJ253" s="3249"/>
      <c r="AK253" s="3250"/>
      <c r="AL253" s="3251" t="str">
        <f>IF(C253="","",VLOOKUP(C253,[7]建物1802!$E$5:$AL$3275,2,FALSE))</f>
        <v/>
      </c>
      <c r="AM253" s="2873"/>
      <c r="AN253" s="2873"/>
      <c r="AO253" s="2874"/>
      <c r="AP253" s="2207" t="str">
        <f>IF(C253="","",VLOOKUP(C253,[7]建物1802!$E$5:$AL$3275,$BG$238,FALSE))</f>
        <v/>
      </c>
      <c r="AQ253" s="2208"/>
      <c r="AR253" s="2208"/>
      <c r="AS253" s="2208"/>
      <c r="AT253" s="2208"/>
      <c r="AU253" s="2208"/>
      <c r="AV253" s="2249"/>
      <c r="AW253" s="2209" t="str">
        <f t="shared" si="126"/>
        <v/>
      </c>
      <c r="AX253" s="2210"/>
      <c r="AY253" s="2210"/>
      <c r="AZ253" s="2210"/>
      <c r="BA253" s="2210"/>
      <c r="BB253" s="2210"/>
      <c r="BC253" s="2210"/>
      <c r="BD253" s="2210"/>
      <c r="BE253" s="2210"/>
      <c r="BF253" s="2211"/>
      <c r="BG253" s="20"/>
      <c r="BH253" s="2486" t="str">
        <f>IF(C253="","",VLOOKUP(C253,[7]建物1802!$E$5:$AL$3275,$BG$239,FALSE))</f>
        <v/>
      </c>
      <c r="BI253" s="2487"/>
      <c r="BJ253" s="2487"/>
      <c r="BK253" s="2487"/>
      <c r="BL253" s="2487"/>
      <c r="BM253" s="2488"/>
      <c r="BN253" s="2257" t="str">
        <f t="shared" si="127"/>
        <v/>
      </c>
      <c r="BO253" s="2258"/>
      <c r="BP253" s="2258"/>
      <c r="BQ253" s="2258"/>
      <c r="BR253" s="2258"/>
      <c r="BS253" s="2258"/>
      <c r="BT253" s="2259"/>
      <c r="BU253" s="19"/>
      <c r="BW253" s="15">
        <v>15</v>
      </c>
      <c r="CD253" s="324"/>
      <c r="CE253" s="324"/>
      <c r="CH253" s="324" t="s">
        <v>547</v>
      </c>
      <c r="CI253" s="6"/>
      <c r="CJ253" s="324"/>
      <c r="CK253" s="324"/>
      <c r="CL253" s="324"/>
      <c r="CM253" s="324"/>
    </row>
    <row r="254" spans="1:91" ht="12" customHeight="1">
      <c r="A254" s="3258"/>
      <c r="B254" s="23"/>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762">
        <f>IF(SUM(AW239:AW253)=0,"",SUM(AW239:BF253))</f>
        <v>1014944.3348</v>
      </c>
      <c r="AX254" s="2763"/>
      <c r="AY254" s="2763"/>
      <c r="AZ254" s="2763"/>
      <c r="BA254" s="2763"/>
      <c r="BB254" s="2763"/>
      <c r="BC254" s="2763"/>
      <c r="BD254" s="2763"/>
      <c r="BE254" s="2763"/>
      <c r="BF254" s="2764"/>
      <c r="BG254" s="20"/>
      <c r="BH254" s="20"/>
      <c r="BI254" s="20"/>
      <c r="BJ254" s="20"/>
      <c r="BK254" s="20"/>
      <c r="BL254" s="20"/>
      <c r="BM254" s="20"/>
      <c r="BN254" s="2768">
        <f>IF(SUM(BN239:BT253)=0,"",SUM(BN239:BT253))</f>
        <v>343.63804799999997</v>
      </c>
      <c r="BO254" s="2769"/>
      <c r="BP254" s="2769"/>
      <c r="BQ254" s="2769"/>
      <c r="BR254" s="2769"/>
      <c r="BS254" s="2769"/>
      <c r="BT254" s="2770"/>
      <c r="BU254" s="19"/>
      <c r="CD254" s="324"/>
      <c r="CE254" s="324"/>
      <c r="CH254" s="501" t="s">
        <v>546</v>
      </c>
      <c r="CJ254" s="324"/>
      <c r="CK254" s="324"/>
      <c r="CL254" s="324"/>
      <c r="CM254" s="324"/>
    </row>
    <row r="255" spans="1:91" ht="12" customHeight="1">
      <c r="A255" s="3258"/>
      <c r="B255" s="23"/>
      <c r="C255" s="3262" t="s">
        <v>104</v>
      </c>
      <c r="D255" s="3263"/>
      <c r="E255" s="3263"/>
      <c r="F255" s="3263"/>
      <c r="G255" s="3263"/>
      <c r="H255" s="3264"/>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19"/>
      <c r="CD255" s="324"/>
      <c r="CE255" s="324"/>
      <c r="CH255" s="501" t="s">
        <v>545</v>
      </c>
      <c r="CJ255" s="324"/>
      <c r="CK255" s="324"/>
      <c r="CL255" s="324"/>
      <c r="CM255" s="324"/>
    </row>
    <row r="256" spans="1:91" ht="4.5" customHeight="1">
      <c r="A256" s="3258"/>
      <c r="B256" s="23"/>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19"/>
      <c r="CD256" s="324"/>
      <c r="CE256" s="324"/>
      <c r="CH256" s="324" t="s">
        <v>544</v>
      </c>
      <c r="CJ256" s="324"/>
      <c r="CK256" s="324"/>
      <c r="CL256" s="324"/>
      <c r="CM256" s="324"/>
    </row>
    <row r="257" spans="1:113" ht="14.25" customHeight="1">
      <c r="A257" s="3258"/>
      <c r="B257" s="23"/>
      <c r="C257" s="2327" t="s">
        <v>485</v>
      </c>
      <c r="D257" s="2328"/>
      <c r="E257" s="2328"/>
      <c r="F257" s="2328"/>
      <c r="G257" s="2328"/>
      <c r="H257" s="2328"/>
      <c r="I257" s="2328"/>
      <c r="J257" s="2328"/>
      <c r="K257" s="2328"/>
      <c r="L257" s="2328"/>
      <c r="M257" s="2328"/>
      <c r="N257" s="2328"/>
      <c r="O257" s="2328"/>
      <c r="P257" s="2328"/>
      <c r="Q257" s="2328"/>
      <c r="R257" s="2328"/>
      <c r="S257" s="2328"/>
      <c r="T257" s="2328"/>
      <c r="U257" s="2328"/>
      <c r="V257" s="2328"/>
      <c r="W257" s="2328"/>
      <c r="X257" s="2329"/>
      <c r="Y257" s="2327" t="s">
        <v>92</v>
      </c>
      <c r="Z257" s="2328"/>
      <c r="AA257" s="2328"/>
      <c r="AB257" s="2328"/>
      <c r="AC257" s="2328"/>
      <c r="AD257" s="2329"/>
      <c r="AE257" s="34" t="s">
        <v>86</v>
      </c>
      <c r="AF257" s="2327"/>
      <c r="AG257" s="2328"/>
      <c r="AH257" s="2328"/>
      <c r="AI257" s="2328"/>
      <c r="AJ257" s="2328"/>
      <c r="AK257" s="2329"/>
      <c r="AL257" s="2327" t="s">
        <v>483</v>
      </c>
      <c r="AM257" s="2328"/>
      <c r="AN257" s="2328"/>
      <c r="AO257" s="2329"/>
      <c r="AP257" s="2327" t="s">
        <v>482</v>
      </c>
      <c r="AQ257" s="2328"/>
      <c r="AR257" s="2328"/>
      <c r="AS257" s="2328"/>
      <c r="AT257" s="2328"/>
      <c r="AU257" s="2328"/>
      <c r="AV257" s="2329"/>
      <c r="AW257" s="2327" t="s">
        <v>481</v>
      </c>
      <c r="AX257" s="2328"/>
      <c r="AY257" s="2328"/>
      <c r="AZ257" s="2328"/>
      <c r="BA257" s="2328"/>
      <c r="BB257" s="2328"/>
      <c r="BC257" s="2328"/>
      <c r="BD257" s="2328"/>
      <c r="BE257" s="2328"/>
      <c r="BF257" s="2329"/>
      <c r="BG257" s="33"/>
      <c r="BH257" s="2327" t="s">
        <v>537</v>
      </c>
      <c r="BI257" s="2328"/>
      <c r="BJ257" s="2328"/>
      <c r="BK257" s="2328"/>
      <c r="BL257" s="2328"/>
      <c r="BM257" s="2329"/>
      <c r="BN257" s="2327" t="s">
        <v>480</v>
      </c>
      <c r="BO257" s="2328"/>
      <c r="BP257" s="2328"/>
      <c r="BQ257" s="2328"/>
      <c r="BR257" s="2328"/>
      <c r="BS257" s="2328"/>
      <c r="BT257" s="2329"/>
      <c r="BU257" s="19"/>
      <c r="CD257" s="324"/>
      <c r="CE257" s="324"/>
      <c r="CH257" s="324" t="s">
        <v>543</v>
      </c>
      <c r="CJ257" s="324"/>
      <c r="CK257" s="324"/>
      <c r="CL257" s="324"/>
      <c r="CM257" s="324"/>
    </row>
    <row r="258" spans="1:113" ht="11.25" customHeight="1">
      <c r="A258" s="3258"/>
      <c r="B258" s="23"/>
      <c r="C258" s="3247" t="str">
        <f t="shared" ref="C258:C274" si="128">IF($B$2=0,"",IF(ISNA(VLOOKUP(BW258,電話P,4,FALSE)),"",VLOOKUP(BW258,電話P,4,FALSE)))</f>
        <v>KK 750×750×900</v>
      </c>
      <c r="D258" s="2813"/>
      <c r="E258" s="2813"/>
      <c r="F258" s="2813"/>
      <c r="G258" s="2813"/>
      <c r="H258" s="2813"/>
      <c r="I258" s="2813"/>
      <c r="J258" s="2813"/>
      <c r="K258" s="2813"/>
      <c r="L258" s="2813"/>
      <c r="M258" s="2813"/>
      <c r="N258" s="2813"/>
      <c r="O258" s="2813"/>
      <c r="P258" s="2813"/>
      <c r="Q258" s="2813"/>
      <c r="R258" s="2813"/>
      <c r="S258" s="2813"/>
      <c r="T258" s="2813"/>
      <c r="U258" s="2813"/>
      <c r="V258" s="2813"/>
      <c r="W258" s="2813"/>
      <c r="X258" s="2814"/>
      <c r="Y258" s="2207">
        <f t="shared" ref="Y258:Y274" si="129">IF(C258="","",IF(AF258&lt;&gt;"",AF258,VLOOKUP(BW258,電話P,6,FALSE)))</f>
        <v>3</v>
      </c>
      <c r="Z258" s="2208"/>
      <c r="AA258" s="2208"/>
      <c r="AB258" s="2208"/>
      <c r="AC258" s="2208"/>
      <c r="AD258" s="2249"/>
      <c r="AE258" s="31" t="str">
        <f t="shared" ref="AE258:AE274" si="130">IF(Y258="","","▼")</f>
        <v>▼</v>
      </c>
      <c r="AF258" s="3248"/>
      <c r="AG258" s="3249"/>
      <c r="AH258" s="3249"/>
      <c r="AI258" s="3249"/>
      <c r="AJ258" s="3249"/>
      <c r="AK258" s="3250"/>
      <c r="AL258" s="3251" t="str">
        <f>IF(C258="","",VLOOKUP(C258,[7]建物1802!$E$5:$AL$3275,2,FALSE))</f>
        <v>基</v>
      </c>
      <c r="AM258" s="2873"/>
      <c r="AN258" s="2873"/>
      <c r="AO258" s="2874"/>
      <c r="AP258" s="2207">
        <f>IF(C258="","",VLOOKUP(C258,[7]建物1802!$E$5:$AL$3275,$BG$238,FALSE))</f>
        <v>81200</v>
      </c>
      <c r="AQ258" s="2208"/>
      <c r="AR258" s="2208"/>
      <c r="AS258" s="2208"/>
      <c r="AT258" s="2208"/>
      <c r="AU258" s="2208"/>
      <c r="AV258" s="2249"/>
      <c r="AW258" s="2209">
        <f t="shared" ref="AW258:AW274" si="131">IF(Y258="","",Y258*AP258)</f>
        <v>243600</v>
      </c>
      <c r="AX258" s="2210"/>
      <c r="AY258" s="2210"/>
      <c r="AZ258" s="2210"/>
      <c r="BA258" s="2210"/>
      <c r="BB258" s="2210"/>
      <c r="BC258" s="2210"/>
      <c r="BD258" s="2210"/>
      <c r="BE258" s="2210"/>
      <c r="BF258" s="2211"/>
      <c r="BG258" s="21"/>
      <c r="BH258" s="2486">
        <f>IF(C258="","",VLOOKUP(C258,[7]建物1802!$E$5:$AL$3275,$BG$239,FALSE))</f>
        <v>2.1</v>
      </c>
      <c r="BI258" s="2487"/>
      <c r="BJ258" s="2487"/>
      <c r="BK258" s="2487"/>
      <c r="BL258" s="2487"/>
      <c r="BM258" s="2488"/>
      <c r="BN258" s="2257">
        <f t="shared" ref="BN258:BN274" si="132">IF(Y258="","",Y258*BH258)</f>
        <v>6.3000000000000007</v>
      </c>
      <c r="BO258" s="2258"/>
      <c r="BP258" s="2258"/>
      <c r="BQ258" s="2258"/>
      <c r="BR258" s="2258"/>
      <c r="BS258" s="2258"/>
      <c r="BT258" s="2259"/>
      <c r="BU258" s="19"/>
      <c r="BW258" s="15">
        <v>1</v>
      </c>
      <c r="CD258" s="324"/>
      <c r="CE258" s="324"/>
      <c r="CH258" s="324" t="s">
        <v>542</v>
      </c>
      <c r="CJ258" s="324"/>
      <c r="CK258" s="324"/>
      <c r="CL258" s="324"/>
      <c r="CM258" s="324"/>
    </row>
    <row r="259" spans="1:113" ht="11.25" customHeight="1">
      <c r="A259" s="3258"/>
      <c r="B259" s="23"/>
      <c r="C259" s="3247" t="str">
        <f t="shared" si="128"/>
        <v>AHB-1  650×250</v>
      </c>
      <c r="D259" s="2813"/>
      <c r="E259" s="2813"/>
      <c r="F259" s="2813"/>
      <c r="G259" s="2813"/>
      <c r="H259" s="2813"/>
      <c r="I259" s="2813"/>
      <c r="J259" s="2813"/>
      <c r="K259" s="2813"/>
      <c r="L259" s="2813"/>
      <c r="M259" s="2813"/>
      <c r="N259" s="2813"/>
      <c r="O259" s="2813"/>
      <c r="P259" s="2813"/>
      <c r="Q259" s="2813"/>
      <c r="R259" s="2813"/>
      <c r="S259" s="2813"/>
      <c r="T259" s="2813"/>
      <c r="U259" s="2813"/>
      <c r="V259" s="2813"/>
      <c r="W259" s="2813"/>
      <c r="X259" s="2814"/>
      <c r="Y259" s="2207">
        <f t="shared" si="129"/>
        <v>3</v>
      </c>
      <c r="Z259" s="2208"/>
      <c r="AA259" s="2208"/>
      <c r="AB259" s="2208"/>
      <c r="AC259" s="2208"/>
      <c r="AD259" s="2249"/>
      <c r="AE259" s="31" t="str">
        <f t="shared" si="130"/>
        <v>▼</v>
      </c>
      <c r="AF259" s="3248"/>
      <c r="AG259" s="3249"/>
      <c r="AH259" s="3249"/>
      <c r="AI259" s="3249"/>
      <c r="AJ259" s="3249"/>
      <c r="AK259" s="3250"/>
      <c r="AL259" s="3251" t="str">
        <f>IF(C259="","",VLOOKUP(C259,[7]建物1802!$E$5:$AL$3275,2,FALSE))</f>
        <v>個</v>
      </c>
      <c r="AM259" s="2873"/>
      <c r="AN259" s="2873"/>
      <c r="AO259" s="2874"/>
      <c r="AP259" s="2207">
        <f>IF(C259="","",VLOOKUP(C259,[7]建物1802!$E$5:$AL$3275,$BG$238,FALSE))</f>
        <v>21600</v>
      </c>
      <c r="AQ259" s="2208"/>
      <c r="AR259" s="2208"/>
      <c r="AS259" s="2208"/>
      <c r="AT259" s="2208"/>
      <c r="AU259" s="2208"/>
      <c r="AV259" s="2249"/>
      <c r="AW259" s="2209">
        <f t="shared" si="131"/>
        <v>64800</v>
      </c>
      <c r="AX259" s="2210"/>
      <c r="AY259" s="2210"/>
      <c r="AZ259" s="2210"/>
      <c r="BA259" s="2210"/>
      <c r="BB259" s="2210"/>
      <c r="BC259" s="2210"/>
      <c r="BD259" s="2210"/>
      <c r="BE259" s="2210"/>
      <c r="BF259" s="2211"/>
      <c r="BG259" s="20"/>
      <c r="BH259" s="2486">
        <f>IF(C259="","",VLOOKUP(C259,[7]建物1802!$E$5:$AL$3275,$BG$239,FALSE))</f>
        <v>0.8</v>
      </c>
      <c r="BI259" s="2487"/>
      <c r="BJ259" s="2487"/>
      <c r="BK259" s="2487"/>
      <c r="BL259" s="2487"/>
      <c r="BM259" s="2488"/>
      <c r="BN259" s="2257">
        <f t="shared" si="132"/>
        <v>2.4000000000000004</v>
      </c>
      <c r="BO259" s="2258"/>
      <c r="BP259" s="2258"/>
      <c r="BQ259" s="2258"/>
      <c r="BR259" s="2258"/>
      <c r="BS259" s="2258"/>
      <c r="BT259" s="2259"/>
      <c r="BU259" s="19"/>
      <c r="BW259" s="15">
        <v>2</v>
      </c>
      <c r="CD259" s="324"/>
      <c r="CE259" s="324"/>
      <c r="CH259" s="324" t="s">
        <v>541</v>
      </c>
      <c r="CJ259" s="324"/>
      <c r="CK259" s="324"/>
      <c r="CL259" s="324"/>
      <c r="CM259" s="324"/>
    </row>
    <row r="260" spans="1:113" ht="11.25" customHeight="1">
      <c r="A260" s="3258"/>
      <c r="B260" s="23"/>
      <c r="C260" s="3247" t="str">
        <f t="shared" si="128"/>
        <v>土工費(掘削)</v>
      </c>
      <c r="D260" s="2813"/>
      <c r="E260" s="2813"/>
      <c r="F260" s="2813"/>
      <c r="G260" s="2813"/>
      <c r="H260" s="2813"/>
      <c r="I260" s="2813"/>
      <c r="J260" s="2813"/>
      <c r="K260" s="2813"/>
      <c r="L260" s="2813"/>
      <c r="M260" s="2813"/>
      <c r="N260" s="2813"/>
      <c r="O260" s="2813"/>
      <c r="P260" s="2813"/>
      <c r="Q260" s="2813"/>
      <c r="R260" s="2813"/>
      <c r="S260" s="2813"/>
      <c r="T260" s="2813"/>
      <c r="U260" s="2813"/>
      <c r="V260" s="2813"/>
      <c r="W260" s="2813"/>
      <c r="X260" s="2814"/>
      <c r="Y260" s="2207">
        <f t="shared" si="129"/>
        <v>133</v>
      </c>
      <c r="Z260" s="2208"/>
      <c r="AA260" s="2208"/>
      <c r="AB260" s="2208"/>
      <c r="AC260" s="2208"/>
      <c r="AD260" s="2249"/>
      <c r="AE260" s="31" t="str">
        <f t="shared" si="130"/>
        <v>▼</v>
      </c>
      <c r="AF260" s="3248"/>
      <c r="AG260" s="3249"/>
      <c r="AH260" s="3249"/>
      <c r="AI260" s="3249"/>
      <c r="AJ260" s="3249"/>
      <c r="AK260" s="3250"/>
      <c r="AL260" s="3251" t="str">
        <f>IF(C260="","",VLOOKUP(C260,[7]建物1802!$E$5:$AL$3275,2,FALSE))</f>
        <v>ｍ</v>
      </c>
      <c r="AM260" s="2873"/>
      <c r="AN260" s="2873"/>
      <c r="AO260" s="2874"/>
      <c r="AP260" s="2207">
        <f>IF(C260="","",VLOOKUP(C260,[7]建物1802!$E$5:$AL$3275,$BG$238,FALSE))</f>
        <v>2500</v>
      </c>
      <c r="AQ260" s="2208"/>
      <c r="AR260" s="2208"/>
      <c r="AS260" s="2208"/>
      <c r="AT260" s="2208"/>
      <c r="AU260" s="2208"/>
      <c r="AV260" s="2249"/>
      <c r="AW260" s="2209">
        <f t="shared" si="131"/>
        <v>332500</v>
      </c>
      <c r="AX260" s="2210"/>
      <c r="AY260" s="2210"/>
      <c r="AZ260" s="2210"/>
      <c r="BA260" s="2210"/>
      <c r="BB260" s="2210"/>
      <c r="BC260" s="2210"/>
      <c r="BD260" s="2210"/>
      <c r="BE260" s="2210"/>
      <c r="BF260" s="2211"/>
      <c r="BG260" s="20"/>
      <c r="BH260" s="2486">
        <f>IF(C260="","",VLOOKUP(C260,[7]建物1802!$E$5:$AL$3275,$BG$239,FALSE))</f>
        <v>0</v>
      </c>
      <c r="BI260" s="2487"/>
      <c r="BJ260" s="2487"/>
      <c r="BK260" s="2487"/>
      <c r="BL260" s="2487"/>
      <c r="BM260" s="2488"/>
      <c r="BN260" s="2257">
        <f t="shared" si="132"/>
        <v>0</v>
      </c>
      <c r="BO260" s="2258"/>
      <c r="BP260" s="2258"/>
      <c r="BQ260" s="2258"/>
      <c r="BR260" s="2258"/>
      <c r="BS260" s="2258"/>
      <c r="BT260" s="2259"/>
      <c r="BU260" s="19"/>
      <c r="BW260" s="15">
        <v>3</v>
      </c>
      <c r="CD260" s="324"/>
      <c r="CE260" s="324"/>
      <c r="CF260" s="324"/>
      <c r="CH260" s="501" t="s">
        <v>540</v>
      </c>
      <c r="CJ260" s="324"/>
    </row>
    <row r="261" spans="1:113" ht="11.25" customHeight="1">
      <c r="A261" s="3258"/>
      <c r="B261" s="23"/>
      <c r="C261" s="3247" t="str">
        <f t="shared" si="128"/>
        <v>導入線 1.6mmφ</v>
      </c>
      <c r="D261" s="2813"/>
      <c r="E261" s="2813"/>
      <c r="F261" s="2813"/>
      <c r="G261" s="2813"/>
      <c r="H261" s="2813"/>
      <c r="I261" s="2813"/>
      <c r="J261" s="2813"/>
      <c r="K261" s="2813"/>
      <c r="L261" s="2813"/>
      <c r="M261" s="2813"/>
      <c r="N261" s="2813"/>
      <c r="O261" s="2813"/>
      <c r="P261" s="2813"/>
      <c r="Q261" s="2813"/>
      <c r="R261" s="2813"/>
      <c r="S261" s="2813"/>
      <c r="T261" s="2813"/>
      <c r="U261" s="2813"/>
      <c r="V261" s="2813"/>
      <c r="W261" s="2813"/>
      <c r="X261" s="2814"/>
      <c r="Y261" s="2207">
        <f t="shared" si="129"/>
        <v>146</v>
      </c>
      <c r="Z261" s="2208"/>
      <c r="AA261" s="2208"/>
      <c r="AB261" s="2208"/>
      <c r="AC261" s="2208"/>
      <c r="AD261" s="2249"/>
      <c r="AE261" s="31" t="str">
        <f t="shared" si="130"/>
        <v>▼</v>
      </c>
      <c r="AF261" s="3248"/>
      <c r="AG261" s="3249"/>
      <c r="AH261" s="3249"/>
      <c r="AI261" s="3249"/>
      <c r="AJ261" s="3249"/>
      <c r="AK261" s="3250"/>
      <c r="AL261" s="3251" t="str">
        <f>IF(C261="","",VLOOKUP(C261,[7]建物1802!$E$5:$AL$3275,2,FALSE))</f>
        <v>ｍ</v>
      </c>
      <c r="AM261" s="2873"/>
      <c r="AN261" s="2873"/>
      <c r="AO261" s="2874"/>
      <c r="AP261" s="2207">
        <f>IF(C261="","",VLOOKUP(C261,[7]建物1802!$E$5:$AL$3275,$BG$238,FALSE))</f>
        <v>3.0969267139479904</v>
      </c>
      <c r="AQ261" s="2208"/>
      <c r="AR261" s="2208"/>
      <c r="AS261" s="2208"/>
      <c r="AT261" s="2208"/>
      <c r="AU261" s="2208"/>
      <c r="AV261" s="2249"/>
      <c r="AW261" s="2209">
        <f t="shared" si="131"/>
        <v>452.1513002364066</v>
      </c>
      <c r="AX261" s="2210"/>
      <c r="AY261" s="2210"/>
      <c r="AZ261" s="2210"/>
      <c r="BA261" s="2210"/>
      <c r="BB261" s="2210"/>
      <c r="BC261" s="2210"/>
      <c r="BD261" s="2210"/>
      <c r="BE261" s="2210"/>
      <c r="BF261" s="2211"/>
      <c r="BG261" s="20"/>
      <c r="BH261" s="2486">
        <f>IF(C261="","",VLOOKUP(C261,[7]建物1802!$E$5:$AL$3275,$BG$239,FALSE))</f>
        <v>5.0000000000000001E-3</v>
      </c>
      <c r="BI261" s="2487"/>
      <c r="BJ261" s="2487"/>
      <c r="BK261" s="2487"/>
      <c r="BL261" s="2487"/>
      <c r="BM261" s="2488"/>
      <c r="BN261" s="2257">
        <f t="shared" si="132"/>
        <v>0.73</v>
      </c>
      <c r="BO261" s="2258"/>
      <c r="BP261" s="2258"/>
      <c r="BQ261" s="2258"/>
      <c r="BR261" s="2258"/>
      <c r="BS261" s="2258"/>
      <c r="BT261" s="2259"/>
      <c r="BU261" s="19"/>
      <c r="BW261" s="15">
        <v>4</v>
      </c>
      <c r="CD261" s="324"/>
      <c r="CE261" s="324"/>
      <c r="CF261" s="324"/>
      <c r="CH261" s="501" t="s">
        <v>539</v>
      </c>
      <c r="CJ261" s="324"/>
    </row>
    <row r="262" spans="1:113" ht="11.25" customHeight="1">
      <c r="A262" s="3258"/>
      <c r="B262" s="23"/>
      <c r="C262" s="3247" t="str">
        <f t="shared" si="128"/>
        <v>C-51mm</v>
      </c>
      <c r="D262" s="2813"/>
      <c r="E262" s="2813"/>
      <c r="F262" s="2813"/>
      <c r="G262" s="2813"/>
      <c r="H262" s="2813"/>
      <c r="I262" s="2813"/>
      <c r="J262" s="2813"/>
      <c r="K262" s="2813"/>
      <c r="L262" s="2813"/>
      <c r="M262" s="2813"/>
      <c r="N262" s="2813"/>
      <c r="O262" s="2813"/>
      <c r="P262" s="2813"/>
      <c r="Q262" s="2813"/>
      <c r="R262" s="2813"/>
      <c r="S262" s="2813"/>
      <c r="T262" s="2813"/>
      <c r="U262" s="2813"/>
      <c r="V262" s="2813"/>
      <c r="W262" s="2813"/>
      <c r="X262" s="2814"/>
      <c r="Y262" s="2207">
        <f t="shared" si="129"/>
        <v>5</v>
      </c>
      <c r="Z262" s="2208"/>
      <c r="AA262" s="2208"/>
      <c r="AB262" s="2208"/>
      <c r="AC262" s="2208"/>
      <c r="AD262" s="2249"/>
      <c r="AE262" s="31" t="str">
        <f t="shared" si="130"/>
        <v>▼</v>
      </c>
      <c r="AF262" s="3248"/>
      <c r="AG262" s="3249"/>
      <c r="AH262" s="3249"/>
      <c r="AI262" s="3249"/>
      <c r="AJ262" s="3249"/>
      <c r="AK262" s="3250"/>
      <c r="AL262" s="3251" t="str">
        <f>IF(C262="","",VLOOKUP(C262,[7]建物1802!$E$5:$AL$3275,2,FALSE))</f>
        <v>ｍ</v>
      </c>
      <c r="AM262" s="2873"/>
      <c r="AN262" s="2873"/>
      <c r="AO262" s="2874"/>
      <c r="AP262" s="2207">
        <f>IF(C262="","",VLOOKUP(C262,[7]建物1802!$E$5:$AL$3275,$BG$238,FALSE))</f>
        <v>431</v>
      </c>
      <c r="AQ262" s="2208"/>
      <c r="AR262" s="2208"/>
      <c r="AS262" s="2208"/>
      <c r="AT262" s="2208"/>
      <c r="AU262" s="2208"/>
      <c r="AV262" s="2249"/>
      <c r="AW262" s="2209">
        <f t="shared" si="131"/>
        <v>2155</v>
      </c>
      <c r="AX262" s="2210"/>
      <c r="AY262" s="2210"/>
      <c r="AZ262" s="2210"/>
      <c r="BA262" s="2210"/>
      <c r="BB262" s="2210"/>
      <c r="BC262" s="2210"/>
      <c r="BD262" s="2210"/>
      <c r="BE262" s="2210"/>
      <c r="BF262" s="2211"/>
      <c r="BG262" s="20"/>
      <c r="BH262" s="2486">
        <f>IF(C262="","",VLOOKUP(C262,[7]建物1802!$E$5:$AL$3275,$BG$239,FALSE))</f>
        <v>0.14699999999999999</v>
      </c>
      <c r="BI262" s="2487"/>
      <c r="BJ262" s="2487"/>
      <c r="BK262" s="2487"/>
      <c r="BL262" s="2487"/>
      <c r="BM262" s="2488"/>
      <c r="BN262" s="2257">
        <f t="shared" si="132"/>
        <v>0.73499999999999999</v>
      </c>
      <c r="BO262" s="2258"/>
      <c r="BP262" s="2258"/>
      <c r="BQ262" s="2258"/>
      <c r="BR262" s="2258"/>
      <c r="BS262" s="2258"/>
      <c r="BT262" s="2259"/>
      <c r="BU262" s="19"/>
      <c r="BW262" s="15">
        <v>5</v>
      </c>
      <c r="CD262" s="324"/>
      <c r="CE262" s="324"/>
      <c r="CF262" s="324"/>
      <c r="CH262" s="7"/>
    </row>
    <row r="263" spans="1:113" ht="11.25" customHeight="1">
      <c r="A263" s="3258"/>
      <c r="B263" s="23"/>
      <c r="C263" s="3247" t="str">
        <f t="shared" si="128"/>
        <v>C-25mm</v>
      </c>
      <c r="D263" s="2813"/>
      <c r="E263" s="2813"/>
      <c r="F263" s="2813"/>
      <c r="G263" s="2813"/>
      <c r="H263" s="2813"/>
      <c r="I263" s="2813"/>
      <c r="J263" s="2813"/>
      <c r="K263" s="2813"/>
      <c r="L263" s="2813"/>
      <c r="M263" s="2813"/>
      <c r="N263" s="2813"/>
      <c r="O263" s="2813"/>
      <c r="P263" s="2813"/>
      <c r="Q263" s="2813"/>
      <c r="R263" s="2813"/>
      <c r="S263" s="2813"/>
      <c r="T263" s="2813"/>
      <c r="U263" s="2813"/>
      <c r="V263" s="2813"/>
      <c r="W263" s="2813"/>
      <c r="X263" s="2814"/>
      <c r="Y263" s="2207">
        <f t="shared" si="129"/>
        <v>1638.25</v>
      </c>
      <c r="Z263" s="2208"/>
      <c r="AA263" s="2208"/>
      <c r="AB263" s="2208"/>
      <c r="AC263" s="2208"/>
      <c r="AD263" s="2249"/>
      <c r="AE263" s="31" t="str">
        <f t="shared" si="130"/>
        <v>▼</v>
      </c>
      <c r="AF263" s="3248"/>
      <c r="AG263" s="3249"/>
      <c r="AH263" s="3249"/>
      <c r="AI263" s="3249"/>
      <c r="AJ263" s="3249"/>
      <c r="AK263" s="3250"/>
      <c r="AL263" s="3251" t="str">
        <f>IF(C263="","",VLOOKUP(C263,[7]建物1802!$E$5:$AL$3275,2,FALSE))</f>
        <v>ｍ</v>
      </c>
      <c r="AM263" s="2873"/>
      <c r="AN263" s="2873"/>
      <c r="AO263" s="2874"/>
      <c r="AP263" s="2207">
        <f>IF(C263="","",VLOOKUP(C263,[7]建物1802!$E$5:$AL$3275,$BG$238,FALSE))</f>
        <v>189</v>
      </c>
      <c r="AQ263" s="2208"/>
      <c r="AR263" s="2208"/>
      <c r="AS263" s="2208"/>
      <c r="AT263" s="2208"/>
      <c r="AU263" s="2208"/>
      <c r="AV263" s="2249"/>
      <c r="AW263" s="2209">
        <f t="shared" si="131"/>
        <v>309629.25</v>
      </c>
      <c r="AX263" s="2210"/>
      <c r="AY263" s="2210"/>
      <c r="AZ263" s="2210"/>
      <c r="BA263" s="2210"/>
      <c r="BB263" s="2210"/>
      <c r="BC263" s="2210"/>
      <c r="BD263" s="2210"/>
      <c r="BE263" s="2210"/>
      <c r="BF263" s="2211"/>
      <c r="BG263" s="20"/>
      <c r="BH263" s="2486">
        <f>IF(C263="","",VLOOKUP(C263,[7]建物1802!$E$5:$AL$3275,$BG$239,FALSE))</f>
        <v>7.0000000000000007E-2</v>
      </c>
      <c r="BI263" s="2487"/>
      <c r="BJ263" s="2487"/>
      <c r="BK263" s="2487"/>
      <c r="BL263" s="2487"/>
      <c r="BM263" s="2488"/>
      <c r="BN263" s="2257">
        <f t="shared" si="132"/>
        <v>114.67750000000001</v>
      </c>
      <c r="BO263" s="2258"/>
      <c r="BP263" s="2258"/>
      <c r="BQ263" s="2258"/>
      <c r="BR263" s="2258"/>
      <c r="BS263" s="2258"/>
      <c r="BT263" s="2259"/>
      <c r="BU263" s="19"/>
      <c r="BW263" s="15">
        <v>6</v>
      </c>
      <c r="CE263" s="324"/>
      <c r="CF263" s="324"/>
      <c r="CH263" s="7"/>
    </row>
    <row r="264" spans="1:113" ht="11.25" customHeight="1">
      <c r="A264" s="3258"/>
      <c r="B264" s="23"/>
      <c r="C264" s="3247" t="str">
        <f t="shared" si="128"/>
        <v>フロアダクト FC-6</v>
      </c>
      <c r="D264" s="2813"/>
      <c r="E264" s="2813"/>
      <c r="F264" s="2813"/>
      <c r="G264" s="2813"/>
      <c r="H264" s="2813"/>
      <c r="I264" s="2813"/>
      <c r="J264" s="2813"/>
      <c r="K264" s="2813"/>
      <c r="L264" s="2813"/>
      <c r="M264" s="2813"/>
      <c r="N264" s="2813"/>
      <c r="O264" s="2813"/>
      <c r="P264" s="2813"/>
      <c r="Q264" s="2813"/>
      <c r="R264" s="2813"/>
      <c r="S264" s="2813"/>
      <c r="T264" s="2813"/>
      <c r="U264" s="2813"/>
      <c r="V264" s="2813"/>
      <c r="W264" s="2813"/>
      <c r="X264" s="2814"/>
      <c r="Y264" s="2207">
        <f t="shared" si="129"/>
        <v>3969.1010556830861</v>
      </c>
      <c r="Z264" s="2208"/>
      <c r="AA264" s="2208"/>
      <c r="AB264" s="2208"/>
      <c r="AC264" s="2208"/>
      <c r="AD264" s="2249"/>
      <c r="AE264" s="31" t="str">
        <f t="shared" si="130"/>
        <v>▼</v>
      </c>
      <c r="AF264" s="3248"/>
      <c r="AG264" s="3249"/>
      <c r="AH264" s="3249"/>
      <c r="AI264" s="3249"/>
      <c r="AJ264" s="3249"/>
      <c r="AK264" s="3250"/>
      <c r="AL264" s="3251" t="str">
        <f>IF(C264="","",VLOOKUP(C264,[7]建物1802!$E$5:$AL$3275,2,FALSE))</f>
        <v>ｍ</v>
      </c>
      <c r="AM264" s="2873"/>
      <c r="AN264" s="2873"/>
      <c r="AO264" s="2874"/>
      <c r="AP264" s="2207">
        <f>IF(C264="","",VLOOKUP(C264,[7]建物1802!$E$5:$AL$3275,$BG$238,FALSE))</f>
        <v>1500</v>
      </c>
      <c r="AQ264" s="2208"/>
      <c r="AR264" s="2208"/>
      <c r="AS264" s="2208"/>
      <c r="AT264" s="2208"/>
      <c r="AU264" s="2208"/>
      <c r="AV264" s="2249"/>
      <c r="AW264" s="2209">
        <f t="shared" si="131"/>
        <v>5953651.5835246295</v>
      </c>
      <c r="AX264" s="2210"/>
      <c r="AY264" s="2210"/>
      <c r="AZ264" s="2210"/>
      <c r="BA264" s="2210"/>
      <c r="BB264" s="2210"/>
      <c r="BC264" s="2210"/>
      <c r="BD264" s="2210"/>
      <c r="BE264" s="2210"/>
      <c r="BF264" s="2211"/>
      <c r="BG264" s="20"/>
      <c r="BH264" s="2486">
        <f>IF(C264="","",VLOOKUP(C264,[7]建物1802!$E$5:$AL$3275,$BG$239,FALSE))</f>
        <v>0.34799999999999998</v>
      </c>
      <c r="BI264" s="2487"/>
      <c r="BJ264" s="2487"/>
      <c r="BK264" s="2487"/>
      <c r="BL264" s="2487"/>
      <c r="BM264" s="2488"/>
      <c r="BN264" s="2257">
        <f t="shared" si="132"/>
        <v>1381.2471673777138</v>
      </c>
      <c r="BO264" s="2258"/>
      <c r="BP264" s="2258"/>
      <c r="BQ264" s="2258"/>
      <c r="BR264" s="2258"/>
      <c r="BS264" s="2258"/>
      <c r="BT264" s="2259"/>
      <c r="BU264" s="19"/>
      <c r="BW264" s="15">
        <v>7</v>
      </c>
      <c r="CE264" s="324"/>
      <c r="CF264" s="324"/>
      <c r="CH264" s="7"/>
    </row>
    <row r="265" spans="1:113" ht="11.25" customHeight="1">
      <c r="A265" s="3258"/>
      <c r="B265" s="23"/>
      <c r="C265" s="3247" t="str">
        <f t="shared" si="128"/>
        <v>C-OBox4角中深</v>
      </c>
      <c r="D265" s="2813"/>
      <c r="E265" s="2813"/>
      <c r="F265" s="2813"/>
      <c r="G265" s="2813"/>
      <c r="H265" s="2813"/>
      <c r="I265" s="2813"/>
      <c r="J265" s="2813"/>
      <c r="K265" s="2813"/>
      <c r="L265" s="2813"/>
      <c r="M265" s="2813"/>
      <c r="N265" s="2813"/>
      <c r="O265" s="2813"/>
      <c r="P265" s="2813"/>
      <c r="Q265" s="2813"/>
      <c r="R265" s="2813"/>
      <c r="S265" s="2813"/>
      <c r="T265" s="2813"/>
      <c r="U265" s="2813"/>
      <c r="V265" s="2813"/>
      <c r="W265" s="2813"/>
      <c r="X265" s="2814"/>
      <c r="Y265" s="2207">
        <f t="shared" si="129"/>
        <v>487</v>
      </c>
      <c r="Z265" s="2208"/>
      <c r="AA265" s="2208"/>
      <c r="AB265" s="2208"/>
      <c r="AC265" s="2208"/>
      <c r="AD265" s="2249"/>
      <c r="AE265" s="31" t="str">
        <f t="shared" si="130"/>
        <v>▼</v>
      </c>
      <c r="AF265" s="3248"/>
      <c r="AG265" s="3249"/>
      <c r="AH265" s="3249"/>
      <c r="AI265" s="3249"/>
      <c r="AJ265" s="3249"/>
      <c r="AK265" s="3250"/>
      <c r="AL265" s="3251" t="str">
        <f>IF(C265="","",VLOOKUP(C265,[7]建物1802!$E$5:$AL$3275,2,FALSE))</f>
        <v>個</v>
      </c>
      <c r="AM265" s="2873"/>
      <c r="AN265" s="2873"/>
      <c r="AO265" s="2874"/>
      <c r="AP265" s="2207">
        <f>IF(C265="","",VLOOKUP(C265,[7]建物1802!$E$5:$AL$3275,$BG$238,FALSE))</f>
        <v>155</v>
      </c>
      <c r="AQ265" s="2208"/>
      <c r="AR265" s="2208"/>
      <c r="AS265" s="2208"/>
      <c r="AT265" s="2208"/>
      <c r="AU265" s="2208"/>
      <c r="AV265" s="2249"/>
      <c r="AW265" s="2209">
        <f t="shared" si="131"/>
        <v>75485</v>
      </c>
      <c r="AX265" s="2210"/>
      <c r="AY265" s="2210"/>
      <c r="AZ265" s="2210"/>
      <c r="BA265" s="2210"/>
      <c r="BB265" s="2210"/>
      <c r="BC265" s="2210"/>
      <c r="BD265" s="2210"/>
      <c r="BE265" s="2210"/>
      <c r="BF265" s="2211"/>
      <c r="BG265" s="20"/>
      <c r="BH265" s="2486">
        <f>IF(C265="","",VLOOKUP(C265,[7]建物1802!$E$5:$AL$3275,$BG$239,FALSE))</f>
        <v>0.1</v>
      </c>
      <c r="BI265" s="2487"/>
      <c r="BJ265" s="2487"/>
      <c r="BK265" s="2487"/>
      <c r="BL265" s="2487"/>
      <c r="BM265" s="2488"/>
      <c r="BN265" s="2257">
        <f t="shared" si="132"/>
        <v>48.7</v>
      </c>
      <c r="BO265" s="2258"/>
      <c r="BP265" s="2258"/>
      <c r="BQ265" s="2258"/>
      <c r="BR265" s="2258"/>
      <c r="BS265" s="2258"/>
      <c r="BT265" s="2259"/>
      <c r="BU265" s="19"/>
      <c r="BW265" s="15">
        <v>8</v>
      </c>
      <c r="CE265" s="324"/>
      <c r="CF265" s="324"/>
      <c r="CH265" s="7"/>
    </row>
    <row r="266" spans="1:113" ht="11.25" customHeight="1">
      <c r="A266" s="3258"/>
      <c r="B266" s="23"/>
      <c r="C266" s="3247" t="str">
        <f t="shared" si="128"/>
        <v>ジャンクションボックス 2Duct</v>
      </c>
      <c r="D266" s="2813"/>
      <c r="E266" s="2813"/>
      <c r="F266" s="2813"/>
      <c r="G266" s="2813"/>
      <c r="H266" s="2813"/>
      <c r="I266" s="2813"/>
      <c r="J266" s="2813"/>
      <c r="K266" s="2813"/>
      <c r="L266" s="2813"/>
      <c r="M266" s="2813"/>
      <c r="N266" s="2813"/>
      <c r="O266" s="2813"/>
      <c r="P266" s="2813"/>
      <c r="Q266" s="2813"/>
      <c r="R266" s="2813"/>
      <c r="S266" s="2813"/>
      <c r="T266" s="2813"/>
      <c r="U266" s="2813"/>
      <c r="V266" s="2813"/>
      <c r="W266" s="2813"/>
      <c r="X266" s="2814"/>
      <c r="Y266" s="2207">
        <f t="shared" si="129"/>
        <v>712</v>
      </c>
      <c r="Z266" s="2208"/>
      <c r="AA266" s="2208"/>
      <c r="AB266" s="2208"/>
      <c r="AC266" s="2208"/>
      <c r="AD266" s="2249"/>
      <c r="AE266" s="31" t="str">
        <f t="shared" si="130"/>
        <v>▼</v>
      </c>
      <c r="AF266" s="3248"/>
      <c r="AG266" s="3249"/>
      <c r="AH266" s="3249"/>
      <c r="AI266" s="3249"/>
      <c r="AJ266" s="3249"/>
      <c r="AK266" s="3250"/>
      <c r="AL266" s="3251" t="str">
        <f>IF(C266="","",VLOOKUP(C266,[7]建物1802!$E$5:$AL$3275,2,FALSE))</f>
        <v>個</v>
      </c>
      <c r="AM266" s="2873"/>
      <c r="AN266" s="2873"/>
      <c r="AO266" s="2874"/>
      <c r="AP266" s="2207">
        <f>IF(C266="","",VLOOKUP(C266,[7]建物1802!$E$5:$AL$3275,$BG$238,FALSE))</f>
        <v>7000</v>
      </c>
      <c r="AQ266" s="2208"/>
      <c r="AR266" s="2208"/>
      <c r="AS266" s="2208"/>
      <c r="AT266" s="2208"/>
      <c r="AU266" s="2208"/>
      <c r="AV266" s="2249"/>
      <c r="AW266" s="2209">
        <f t="shared" si="131"/>
        <v>4984000</v>
      </c>
      <c r="AX266" s="2210"/>
      <c r="AY266" s="2210"/>
      <c r="AZ266" s="2210"/>
      <c r="BA266" s="2210"/>
      <c r="BB266" s="2210"/>
      <c r="BC266" s="2210"/>
      <c r="BD266" s="2210"/>
      <c r="BE266" s="2210"/>
      <c r="BF266" s="2211"/>
      <c r="BG266" s="20"/>
      <c r="BH266" s="2486">
        <f>IF(C266="","",VLOOKUP(C266,[7]建物1802!$E$5:$AL$3275,$BG$239,FALSE))</f>
        <v>0.27800000000000002</v>
      </c>
      <c r="BI266" s="2487"/>
      <c r="BJ266" s="2487"/>
      <c r="BK266" s="2487"/>
      <c r="BL266" s="2487"/>
      <c r="BM266" s="2488"/>
      <c r="BN266" s="2257">
        <f t="shared" si="132"/>
        <v>197.93600000000001</v>
      </c>
      <c r="BO266" s="2258"/>
      <c r="BP266" s="2258"/>
      <c r="BQ266" s="2258"/>
      <c r="BR266" s="2258"/>
      <c r="BS266" s="2258"/>
      <c r="BT266" s="2259"/>
      <c r="BU266" s="19"/>
      <c r="BW266" s="15">
        <v>9</v>
      </c>
      <c r="CD266" s="324"/>
      <c r="CE266" s="324"/>
      <c r="CF266" s="324"/>
      <c r="CH266" s="7"/>
    </row>
    <row r="267" spans="1:113" ht="11.25" customHeight="1">
      <c r="A267" s="3258"/>
      <c r="B267" s="23"/>
      <c r="C267" s="3247" t="str">
        <f t="shared" si="128"/>
        <v>ローテンションアウトレット</v>
      </c>
      <c r="D267" s="2813"/>
      <c r="E267" s="2813"/>
      <c r="F267" s="2813"/>
      <c r="G267" s="2813"/>
      <c r="H267" s="2813"/>
      <c r="I267" s="2813"/>
      <c r="J267" s="2813"/>
      <c r="K267" s="2813"/>
      <c r="L267" s="2813"/>
      <c r="M267" s="2813"/>
      <c r="N267" s="2813"/>
      <c r="O267" s="2813"/>
      <c r="P267" s="2813"/>
      <c r="Q267" s="2813"/>
      <c r="R267" s="2813"/>
      <c r="S267" s="2813"/>
      <c r="T267" s="2813"/>
      <c r="U267" s="2813"/>
      <c r="V267" s="2813"/>
      <c r="W267" s="2813"/>
      <c r="X267" s="2814"/>
      <c r="Y267" s="2207">
        <f t="shared" si="129"/>
        <v>672</v>
      </c>
      <c r="Z267" s="2208"/>
      <c r="AA267" s="2208"/>
      <c r="AB267" s="2208"/>
      <c r="AC267" s="2208"/>
      <c r="AD267" s="2249"/>
      <c r="AE267" s="31" t="str">
        <f t="shared" si="130"/>
        <v>▼</v>
      </c>
      <c r="AF267" s="3248"/>
      <c r="AG267" s="3249"/>
      <c r="AH267" s="3249"/>
      <c r="AI267" s="3249"/>
      <c r="AJ267" s="3249"/>
      <c r="AK267" s="3250"/>
      <c r="AL267" s="3251" t="str">
        <f>IF(C267="","",VLOOKUP(C267,[7]建物1802!$E$5:$AL$3275,2,FALSE))</f>
        <v>個</v>
      </c>
      <c r="AM267" s="2873"/>
      <c r="AN267" s="2873"/>
      <c r="AO267" s="2874"/>
      <c r="AP267" s="2207">
        <f>IF(C267="","",VLOOKUP(C267,[7]建物1802!$E$5:$AL$3275,$BG$238,FALSE))</f>
        <v>3000</v>
      </c>
      <c r="AQ267" s="2208"/>
      <c r="AR267" s="2208"/>
      <c r="AS267" s="2208"/>
      <c r="AT267" s="2208"/>
      <c r="AU267" s="2208"/>
      <c r="AV267" s="2249"/>
      <c r="AW267" s="2209">
        <f t="shared" si="131"/>
        <v>2016000</v>
      </c>
      <c r="AX267" s="2210"/>
      <c r="AY267" s="2210"/>
      <c r="AZ267" s="2210"/>
      <c r="BA267" s="2210"/>
      <c r="BB267" s="2210"/>
      <c r="BC267" s="2210"/>
      <c r="BD267" s="2210"/>
      <c r="BE267" s="2210"/>
      <c r="BF267" s="2211"/>
      <c r="BG267" s="20"/>
      <c r="BH267" s="2486">
        <f>IF(C267="","",VLOOKUP(C267,[7]建物1802!$E$5:$AL$3275,$BG$239,FALSE))</f>
        <v>6.2E-2</v>
      </c>
      <c r="BI267" s="2487"/>
      <c r="BJ267" s="2487"/>
      <c r="BK267" s="2487"/>
      <c r="BL267" s="2487"/>
      <c r="BM267" s="2488"/>
      <c r="BN267" s="2257">
        <f t="shared" si="132"/>
        <v>41.664000000000001</v>
      </c>
      <c r="BO267" s="2258"/>
      <c r="BP267" s="2258"/>
      <c r="BQ267" s="2258"/>
      <c r="BR267" s="2258"/>
      <c r="BS267" s="2258"/>
      <c r="BT267" s="2259"/>
      <c r="BU267" s="19"/>
      <c r="BW267" s="15">
        <v>10</v>
      </c>
      <c r="CD267" s="324"/>
      <c r="CE267" s="324"/>
      <c r="CF267" s="324"/>
      <c r="CH267" s="7"/>
      <c r="DI267" s="7"/>
    </row>
    <row r="268" spans="1:113" ht="11.25" customHeight="1">
      <c r="A268" s="3258"/>
      <c r="B268" s="23"/>
      <c r="C268" s="3247" t="str">
        <f t="shared" si="128"/>
        <v>導入線 1.2mmφ</v>
      </c>
      <c r="D268" s="2813"/>
      <c r="E268" s="2813"/>
      <c r="F268" s="2813"/>
      <c r="G268" s="2813"/>
      <c r="H268" s="2813"/>
      <c r="I268" s="2813"/>
      <c r="J268" s="2813"/>
      <c r="K268" s="2813"/>
      <c r="L268" s="2813"/>
      <c r="M268" s="2813"/>
      <c r="N268" s="2813"/>
      <c r="O268" s="2813"/>
      <c r="P268" s="2813"/>
      <c r="Q268" s="2813"/>
      <c r="R268" s="2813"/>
      <c r="S268" s="2813"/>
      <c r="T268" s="2813"/>
      <c r="U268" s="2813"/>
      <c r="V268" s="2813"/>
      <c r="W268" s="2813"/>
      <c r="X268" s="2814"/>
      <c r="Y268" s="2207">
        <f t="shared" si="129"/>
        <v>16536.3</v>
      </c>
      <c r="Z268" s="2208"/>
      <c r="AA268" s="2208"/>
      <c r="AB268" s="2208"/>
      <c r="AC268" s="2208"/>
      <c r="AD268" s="2249"/>
      <c r="AE268" s="31" t="str">
        <f t="shared" si="130"/>
        <v>▼</v>
      </c>
      <c r="AF268" s="3248"/>
      <c r="AG268" s="3249"/>
      <c r="AH268" s="3249"/>
      <c r="AI268" s="3249"/>
      <c r="AJ268" s="3249"/>
      <c r="AK268" s="3250"/>
      <c r="AL268" s="3251" t="str">
        <f>IF(C268="","",VLOOKUP(C268,[7]建物1802!$E$5:$AL$3275,2,FALSE))</f>
        <v>ｍ</v>
      </c>
      <c r="AM268" s="2873"/>
      <c r="AN268" s="2873"/>
      <c r="AO268" s="2874"/>
      <c r="AP268" s="2207">
        <f>IF(C268="","",VLOOKUP(C268,[7]建物1802!$E$5:$AL$3275,$BG$238,FALSE))</f>
        <v>1.676841676841677</v>
      </c>
      <c r="AQ268" s="2208"/>
      <c r="AR268" s="2208"/>
      <c r="AS268" s="2208"/>
      <c r="AT268" s="2208"/>
      <c r="AU268" s="2208"/>
      <c r="AV268" s="2249"/>
      <c r="AW268" s="2209">
        <f t="shared" si="131"/>
        <v>27728.757020757021</v>
      </c>
      <c r="AX268" s="2210"/>
      <c r="AY268" s="2210"/>
      <c r="AZ268" s="2210"/>
      <c r="BA268" s="2210"/>
      <c r="BB268" s="2210"/>
      <c r="BC268" s="2210"/>
      <c r="BD268" s="2210"/>
      <c r="BE268" s="2210"/>
      <c r="BF268" s="2211"/>
      <c r="BG268" s="20"/>
      <c r="BH268" s="2486">
        <f>IF(C268="","",VLOOKUP(C268,[7]建物1802!$E$5:$AL$3275,$BG$239,FALSE))</f>
        <v>5.0000000000000001E-3</v>
      </c>
      <c r="BI268" s="2487"/>
      <c r="BJ268" s="2487"/>
      <c r="BK268" s="2487"/>
      <c r="BL268" s="2487"/>
      <c r="BM268" s="2488"/>
      <c r="BN268" s="2257">
        <f t="shared" si="132"/>
        <v>82.6815</v>
      </c>
      <c r="BO268" s="2258"/>
      <c r="BP268" s="2258"/>
      <c r="BQ268" s="2258"/>
      <c r="BR268" s="2258"/>
      <c r="BS268" s="2258"/>
      <c r="BT268" s="2259"/>
      <c r="BU268" s="19"/>
      <c r="BW268" s="15">
        <v>11</v>
      </c>
      <c r="CD268" s="324"/>
      <c r="CE268" s="324"/>
      <c r="CF268" s="324"/>
      <c r="CH268" s="7"/>
      <c r="DI268" s="7"/>
    </row>
    <row r="269" spans="1:113" ht="11.25" customHeight="1">
      <c r="A269" s="3258"/>
      <c r="B269" s="23"/>
      <c r="C269" s="3247" t="str">
        <f t="shared" si="128"/>
        <v>CD-42mm</v>
      </c>
      <c r="D269" s="2813"/>
      <c r="E269" s="2813"/>
      <c r="F269" s="2813"/>
      <c r="G269" s="2813"/>
      <c r="H269" s="2813"/>
      <c r="I269" s="2813"/>
      <c r="J269" s="2813"/>
      <c r="K269" s="2813"/>
      <c r="L269" s="2813"/>
      <c r="M269" s="2813"/>
      <c r="N269" s="2813"/>
      <c r="O269" s="2813"/>
      <c r="P269" s="2813"/>
      <c r="Q269" s="2813"/>
      <c r="R269" s="2813"/>
      <c r="S269" s="2813"/>
      <c r="T269" s="2813"/>
      <c r="U269" s="2813"/>
      <c r="V269" s="2813"/>
      <c r="W269" s="2813"/>
      <c r="X269" s="2814"/>
      <c r="Y269" s="2207">
        <f t="shared" si="129"/>
        <v>68</v>
      </c>
      <c r="Z269" s="2208"/>
      <c r="AA269" s="2208"/>
      <c r="AB269" s="2208"/>
      <c r="AC269" s="2208"/>
      <c r="AD269" s="2249"/>
      <c r="AE269" s="31" t="str">
        <f t="shared" si="130"/>
        <v>▼</v>
      </c>
      <c r="AF269" s="3248"/>
      <c r="AG269" s="3249"/>
      <c r="AH269" s="3249"/>
      <c r="AI269" s="3249"/>
      <c r="AJ269" s="3249"/>
      <c r="AK269" s="3250"/>
      <c r="AL269" s="3251" t="str">
        <f>IF(C269="","",VLOOKUP(C269,[7]建物1802!$E$5:$AL$3275,2,FALSE))</f>
        <v>ｍ</v>
      </c>
      <c r="AM269" s="2873"/>
      <c r="AN269" s="2873"/>
      <c r="AO269" s="2874"/>
      <c r="AP269" s="2207">
        <f>IF(C269="","",VLOOKUP(C269,[7]建物1802!$E$5:$AL$3275,$BG$238,FALSE))</f>
        <v>79</v>
      </c>
      <c r="AQ269" s="2208"/>
      <c r="AR269" s="2208"/>
      <c r="AS269" s="2208"/>
      <c r="AT269" s="2208"/>
      <c r="AU269" s="2208"/>
      <c r="AV269" s="2249"/>
      <c r="AW269" s="2209">
        <f t="shared" si="131"/>
        <v>5372</v>
      </c>
      <c r="AX269" s="2210"/>
      <c r="AY269" s="2210"/>
      <c r="AZ269" s="2210"/>
      <c r="BA269" s="2210"/>
      <c r="BB269" s="2210"/>
      <c r="BC269" s="2210"/>
      <c r="BD269" s="2210"/>
      <c r="BE269" s="2210"/>
      <c r="BF269" s="2211"/>
      <c r="BG269" s="20"/>
      <c r="BH269" s="2486">
        <f>IF(C269="","",VLOOKUP(C269,[7]建物1802!$E$5:$AL$3275,$BG$239,FALSE))</f>
        <v>7.8E-2</v>
      </c>
      <c r="BI269" s="2487"/>
      <c r="BJ269" s="2487"/>
      <c r="BK269" s="2487"/>
      <c r="BL269" s="2487"/>
      <c r="BM269" s="2488"/>
      <c r="BN269" s="2257">
        <f t="shared" si="132"/>
        <v>5.3040000000000003</v>
      </c>
      <c r="BO269" s="2258"/>
      <c r="BP269" s="2258"/>
      <c r="BQ269" s="2258"/>
      <c r="BR269" s="2258"/>
      <c r="BS269" s="2258"/>
      <c r="BT269" s="2259"/>
      <c r="BU269" s="19"/>
      <c r="BW269" s="15">
        <v>12</v>
      </c>
      <c r="CD269" s="324"/>
      <c r="CE269" s="324"/>
      <c r="CF269" s="324"/>
      <c r="CH269" s="7"/>
      <c r="DI269" s="7"/>
    </row>
    <row r="270" spans="1:113" ht="11.25" customHeight="1">
      <c r="A270" s="3258"/>
      <c r="B270" s="23"/>
      <c r="C270" s="3247" t="str">
        <f t="shared" si="128"/>
        <v>CD-22mm</v>
      </c>
      <c r="D270" s="2813"/>
      <c r="E270" s="2813"/>
      <c r="F270" s="2813"/>
      <c r="G270" s="2813"/>
      <c r="H270" s="2813"/>
      <c r="I270" s="2813"/>
      <c r="J270" s="2813"/>
      <c r="K270" s="2813"/>
      <c r="L270" s="2813"/>
      <c r="M270" s="2813"/>
      <c r="N270" s="2813"/>
      <c r="O270" s="2813"/>
      <c r="P270" s="2813"/>
      <c r="Q270" s="2813"/>
      <c r="R270" s="2813"/>
      <c r="S270" s="2813"/>
      <c r="T270" s="2813"/>
      <c r="U270" s="2813"/>
      <c r="V270" s="2813"/>
      <c r="W270" s="2813"/>
      <c r="X270" s="2814"/>
      <c r="Y270" s="2207">
        <f t="shared" si="129"/>
        <v>9295.7999999999993</v>
      </c>
      <c r="Z270" s="2208"/>
      <c r="AA270" s="2208"/>
      <c r="AB270" s="2208"/>
      <c r="AC270" s="2208"/>
      <c r="AD270" s="2249"/>
      <c r="AE270" s="31" t="str">
        <f t="shared" si="130"/>
        <v>▼</v>
      </c>
      <c r="AF270" s="3248"/>
      <c r="AG270" s="3249"/>
      <c r="AH270" s="3249"/>
      <c r="AI270" s="3249"/>
      <c r="AJ270" s="3249"/>
      <c r="AK270" s="3250"/>
      <c r="AL270" s="3251" t="str">
        <f>IF(C270="","",VLOOKUP(C270,[7]建物1802!$E$5:$AL$3275,2,FALSE))</f>
        <v>ｍ</v>
      </c>
      <c r="AM270" s="2873"/>
      <c r="AN270" s="2873"/>
      <c r="AO270" s="2874"/>
      <c r="AP270" s="2207">
        <f>IF(C270="","",VLOOKUP(C270,[7]建物1802!$E$5:$AL$3275,$BG$238,FALSE))</f>
        <v>37</v>
      </c>
      <c r="AQ270" s="2208"/>
      <c r="AR270" s="2208"/>
      <c r="AS270" s="2208"/>
      <c r="AT270" s="2208"/>
      <c r="AU270" s="2208"/>
      <c r="AV270" s="2249"/>
      <c r="AW270" s="2209">
        <f t="shared" si="131"/>
        <v>343944.6</v>
      </c>
      <c r="AX270" s="2210"/>
      <c r="AY270" s="2210"/>
      <c r="AZ270" s="2210"/>
      <c r="BA270" s="2210"/>
      <c r="BB270" s="2210"/>
      <c r="BC270" s="2210"/>
      <c r="BD270" s="2210"/>
      <c r="BE270" s="2210"/>
      <c r="BF270" s="2211"/>
      <c r="BG270" s="20"/>
      <c r="BH270" s="2486">
        <f>IF(C270="","",VLOOKUP(C270,[7]建物1802!$E$5:$AL$3275,$BG$239,FALSE))</f>
        <v>4.1000000000000002E-2</v>
      </c>
      <c r="BI270" s="2487"/>
      <c r="BJ270" s="2487"/>
      <c r="BK270" s="2487"/>
      <c r="BL270" s="2487"/>
      <c r="BM270" s="2488"/>
      <c r="BN270" s="2257">
        <f t="shared" si="132"/>
        <v>381.12779999999998</v>
      </c>
      <c r="BO270" s="2258"/>
      <c r="BP270" s="2258"/>
      <c r="BQ270" s="2258"/>
      <c r="BR270" s="2258"/>
      <c r="BS270" s="2258"/>
      <c r="BT270" s="2259"/>
      <c r="BU270" s="19"/>
      <c r="BW270" s="15">
        <v>13</v>
      </c>
      <c r="CB270" s="324"/>
      <c r="CD270" s="324"/>
      <c r="CE270" s="324"/>
      <c r="CF270" s="324"/>
      <c r="CH270" s="7"/>
      <c r="DI270" s="7"/>
    </row>
    <row r="271" spans="1:113" ht="11.25" customHeight="1">
      <c r="A271" s="3258"/>
      <c r="B271" s="23"/>
      <c r="C271" s="3247" t="str">
        <f t="shared" si="128"/>
        <v>CD-28mm</v>
      </c>
      <c r="D271" s="2813"/>
      <c r="E271" s="2813"/>
      <c r="F271" s="2813"/>
      <c r="G271" s="2813"/>
      <c r="H271" s="2813"/>
      <c r="I271" s="2813"/>
      <c r="J271" s="2813"/>
      <c r="K271" s="2813"/>
      <c r="L271" s="2813"/>
      <c r="M271" s="2813"/>
      <c r="N271" s="2813"/>
      <c r="O271" s="2813"/>
      <c r="P271" s="2813"/>
      <c r="Q271" s="2813"/>
      <c r="R271" s="2813"/>
      <c r="S271" s="2813"/>
      <c r="T271" s="2813"/>
      <c r="U271" s="2813"/>
      <c r="V271" s="2813"/>
      <c r="W271" s="2813"/>
      <c r="X271" s="2814"/>
      <c r="Y271" s="2207">
        <f t="shared" si="129"/>
        <v>60</v>
      </c>
      <c r="Z271" s="2208"/>
      <c r="AA271" s="2208"/>
      <c r="AB271" s="2208"/>
      <c r="AC271" s="2208"/>
      <c r="AD271" s="2249"/>
      <c r="AE271" s="31" t="str">
        <f t="shared" si="130"/>
        <v>▼</v>
      </c>
      <c r="AF271" s="3248"/>
      <c r="AG271" s="3249"/>
      <c r="AH271" s="3249"/>
      <c r="AI271" s="3249"/>
      <c r="AJ271" s="3249"/>
      <c r="AK271" s="3250"/>
      <c r="AL271" s="3251" t="str">
        <f>IF(C271="","",VLOOKUP(C271,[7]建物1802!$E$5:$AL$3275,2,FALSE))</f>
        <v>ｍ</v>
      </c>
      <c r="AM271" s="2873"/>
      <c r="AN271" s="2873"/>
      <c r="AO271" s="2874"/>
      <c r="AP271" s="2207">
        <f>IF(C271="","",VLOOKUP(C271,[7]建物1802!$E$5:$AL$3275,$BG$238,FALSE))</f>
        <v>53</v>
      </c>
      <c r="AQ271" s="2208"/>
      <c r="AR271" s="2208"/>
      <c r="AS271" s="2208"/>
      <c r="AT271" s="2208"/>
      <c r="AU271" s="2208"/>
      <c r="AV271" s="2249"/>
      <c r="AW271" s="2209">
        <f t="shared" si="131"/>
        <v>3180</v>
      </c>
      <c r="AX271" s="2210"/>
      <c r="AY271" s="2210"/>
      <c r="AZ271" s="2210"/>
      <c r="BA271" s="2210"/>
      <c r="BB271" s="2210"/>
      <c r="BC271" s="2210"/>
      <c r="BD271" s="2210"/>
      <c r="BE271" s="2210"/>
      <c r="BF271" s="2211"/>
      <c r="BG271" s="20"/>
      <c r="BH271" s="2486">
        <f>IF(C271="","",VLOOKUP(C271,[7]建物1802!$E$5:$AL$3275,$BG$239,FALSE))</f>
        <v>5.1999999999999998E-2</v>
      </c>
      <c r="BI271" s="2487"/>
      <c r="BJ271" s="2487"/>
      <c r="BK271" s="2487"/>
      <c r="BL271" s="2487"/>
      <c r="BM271" s="2488"/>
      <c r="BN271" s="2257">
        <f t="shared" si="132"/>
        <v>3.1199999999999997</v>
      </c>
      <c r="BO271" s="2258"/>
      <c r="BP271" s="2258"/>
      <c r="BQ271" s="2258"/>
      <c r="BR271" s="2258"/>
      <c r="BS271" s="2258"/>
      <c r="BT271" s="2259"/>
      <c r="BU271" s="19"/>
      <c r="BW271" s="15">
        <v>14</v>
      </c>
      <c r="CB271" s="324"/>
      <c r="CD271" s="324"/>
      <c r="CE271" s="324"/>
      <c r="CF271" s="324"/>
      <c r="CH271" s="7"/>
      <c r="DI271" s="7"/>
    </row>
    <row r="272" spans="1:113" ht="11.25" customHeight="1">
      <c r="A272" s="3258"/>
      <c r="B272" s="23"/>
      <c r="C272" s="3247" t="str">
        <f t="shared" si="128"/>
        <v/>
      </c>
      <c r="D272" s="2813"/>
      <c r="E272" s="2813"/>
      <c r="F272" s="2813"/>
      <c r="G272" s="2813"/>
      <c r="H272" s="2813"/>
      <c r="I272" s="2813"/>
      <c r="J272" s="2813"/>
      <c r="K272" s="2813"/>
      <c r="L272" s="2813"/>
      <c r="M272" s="2813"/>
      <c r="N272" s="2813"/>
      <c r="O272" s="2813"/>
      <c r="P272" s="2813"/>
      <c r="Q272" s="2813"/>
      <c r="R272" s="2813"/>
      <c r="S272" s="2813"/>
      <c r="T272" s="2813"/>
      <c r="U272" s="2813"/>
      <c r="V272" s="2813"/>
      <c r="W272" s="2813"/>
      <c r="X272" s="2814"/>
      <c r="Y272" s="2207" t="str">
        <f t="shared" si="129"/>
        <v/>
      </c>
      <c r="Z272" s="2208"/>
      <c r="AA272" s="2208"/>
      <c r="AB272" s="2208"/>
      <c r="AC272" s="2208"/>
      <c r="AD272" s="2249"/>
      <c r="AE272" s="31" t="str">
        <f t="shared" si="130"/>
        <v/>
      </c>
      <c r="AF272" s="3248"/>
      <c r="AG272" s="3249"/>
      <c r="AH272" s="3249"/>
      <c r="AI272" s="3249"/>
      <c r="AJ272" s="3249"/>
      <c r="AK272" s="3250"/>
      <c r="AL272" s="3251" t="str">
        <f>IF(C272="","",VLOOKUP(C272,[7]建物1802!$E$5:$AL$3275,2,FALSE))</f>
        <v/>
      </c>
      <c r="AM272" s="2873"/>
      <c r="AN272" s="2873"/>
      <c r="AO272" s="2874"/>
      <c r="AP272" s="2207" t="str">
        <f>IF(C272="","",VLOOKUP(C272,[7]建物1802!$E$5:$AL$3275,$BG$238,FALSE))</f>
        <v/>
      </c>
      <c r="AQ272" s="2208"/>
      <c r="AR272" s="2208"/>
      <c r="AS272" s="2208"/>
      <c r="AT272" s="2208"/>
      <c r="AU272" s="2208"/>
      <c r="AV272" s="2249"/>
      <c r="AW272" s="2209" t="str">
        <f t="shared" si="131"/>
        <v/>
      </c>
      <c r="AX272" s="2210"/>
      <c r="AY272" s="2210"/>
      <c r="AZ272" s="2210"/>
      <c r="BA272" s="2210"/>
      <c r="BB272" s="2210"/>
      <c r="BC272" s="2210"/>
      <c r="BD272" s="2210"/>
      <c r="BE272" s="2210"/>
      <c r="BF272" s="2211"/>
      <c r="BG272" s="20"/>
      <c r="BH272" s="2486" t="str">
        <f>IF(C272="","",VLOOKUP(C272,[7]建物1802!$E$5:$AL$3275,$BG$239,FALSE))</f>
        <v/>
      </c>
      <c r="BI272" s="2487"/>
      <c r="BJ272" s="2487"/>
      <c r="BK272" s="2487"/>
      <c r="BL272" s="2487"/>
      <c r="BM272" s="2488"/>
      <c r="BN272" s="2257" t="str">
        <f t="shared" si="132"/>
        <v/>
      </c>
      <c r="BO272" s="2258"/>
      <c r="BP272" s="2258"/>
      <c r="BQ272" s="2258"/>
      <c r="BR272" s="2258"/>
      <c r="BS272" s="2258"/>
      <c r="BT272" s="2259"/>
      <c r="BU272" s="19"/>
      <c r="BW272" s="15">
        <v>15</v>
      </c>
      <c r="CB272" s="324"/>
      <c r="CD272" s="324"/>
      <c r="CE272" s="324"/>
      <c r="CF272" s="324"/>
      <c r="CH272" s="7"/>
      <c r="DI272" s="7"/>
    </row>
    <row r="273" spans="1:113" ht="11.25" customHeight="1">
      <c r="A273" s="3258"/>
      <c r="B273" s="23"/>
      <c r="C273" s="3247" t="str">
        <f t="shared" si="128"/>
        <v/>
      </c>
      <c r="D273" s="2813"/>
      <c r="E273" s="2813"/>
      <c r="F273" s="2813"/>
      <c r="G273" s="2813"/>
      <c r="H273" s="2813"/>
      <c r="I273" s="2813"/>
      <c r="J273" s="2813"/>
      <c r="K273" s="2813"/>
      <c r="L273" s="2813"/>
      <c r="M273" s="2813"/>
      <c r="N273" s="2813"/>
      <c r="O273" s="2813"/>
      <c r="P273" s="2813"/>
      <c r="Q273" s="2813"/>
      <c r="R273" s="2813"/>
      <c r="S273" s="2813"/>
      <c r="T273" s="2813"/>
      <c r="U273" s="2813"/>
      <c r="V273" s="2813"/>
      <c r="W273" s="2813"/>
      <c r="X273" s="2814"/>
      <c r="Y273" s="2207" t="str">
        <f t="shared" si="129"/>
        <v/>
      </c>
      <c r="Z273" s="2208"/>
      <c r="AA273" s="2208"/>
      <c r="AB273" s="2208"/>
      <c r="AC273" s="2208"/>
      <c r="AD273" s="2249"/>
      <c r="AE273" s="31" t="str">
        <f t="shared" si="130"/>
        <v/>
      </c>
      <c r="AF273" s="3248"/>
      <c r="AG273" s="3249"/>
      <c r="AH273" s="3249"/>
      <c r="AI273" s="3249"/>
      <c r="AJ273" s="3249"/>
      <c r="AK273" s="3250"/>
      <c r="AL273" s="3251" t="str">
        <f>IF(C273="","",VLOOKUP(C273,[7]建物1802!$E$5:$AL$3275,2,FALSE))</f>
        <v/>
      </c>
      <c r="AM273" s="2873"/>
      <c r="AN273" s="2873"/>
      <c r="AO273" s="2874"/>
      <c r="AP273" s="2207" t="str">
        <f>IF(C273="","",VLOOKUP(C273,[7]建物1802!$E$5:$AL$3275,$BG$238,FALSE))</f>
        <v/>
      </c>
      <c r="AQ273" s="2208"/>
      <c r="AR273" s="2208"/>
      <c r="AS273" s="2208"/>
      <c r="AT273" s="2208"/>
      <c r="AU273" s="2208"/>
      <c r="AV273" s="2249"/>
      <c r="AW273" s="2209" t="str">
        <f t="shared" si="131"/>
        <v/>
      </c>
      <c r="AX273" s="2210"/>
      <c r="AY273" s="2210"/>
      <c r="AZ273" s="2210"/>
      <c r="BA273" s="2210"/>
      <c r="BB273" s="2210"/>
      <c r="BC273" s="2210"/>
      <c r="BD273" s="2210"/>
      <c r="BE273" s="2210"/>
      <c r="BF273" s="2211"/>
      <c r="BG273" s="20"/>
      <c r="BH273" s="2486" t="str">
        <f>IF(C273="","",VLOOKUP(C273,[7]建物1802!$E$5:$AL$3275,$BG$239,FALSE))</f>
        <v/>
      </c>
      <c r="BI273" s="2487"/>
      <c r="BJ273" s="2487"/>
      <c r="BK273" s="2487"/>
      <c r="BL273" s="2487"/>
      <c r="BM273" s="2488"/>
      <c r="BN273" s="2257" t="str">
        <f t="shared" si="132"/>
        <v/>
      </c>
      <c r="BO273" s="2258"/>
      <c r="BP273" s="2258"/>
      <c r="BQ273" s="2258"/>
      <c r="BR273" s="2258"/>
      <c r="BS273" s="2258"/>
      <c r="BT273" s="2259"/>
      <c r="BU273" s="19"/>
      <c r="BW273" s="15">
        <v>16</v>
      </c>
      <c r="CB273" s="324"/>
      <c r="CD273" s="324"/>
      <c r="CE273" s="324"/>
      <c r="CF273" s="324"/>
      <c r="CH273" s="7"/>
      <c r="DI273" s="7"/>
    </row>
    <row r="274" spans="1:113" ht="11.25" customHeight="1">
      <c r="A274" s="3258"/>
      <c r="B274" s="23"/>
      <c r="C274" s="3247" t="str">
        <f t="shared" si="128"/>
        <v/>
      </c>
      <c r="D274" s="2813"/>
      <c r="E274" s="2813"/>
      <c r="F274" s="2813"/>
      <c r="G274" s="2813"/>
      <c r="H274" s="2813"/>
      <c r="I274" s="2813"/>
      <c r="J274" s="2813"/>
      <c r="K274" s="2813"/>
      <c r="L274" s="2813"/>
      <c r="M274" s="2813"/>
      <c r="N274" s="2813"/>
      <c r="O274" s="2813"/>
      <c r="P274" s="2813"/>
      <c r="Q274" s="2813"/>
      <c r="R274" s="2813"/>
      <c r="S274" s="2813"/>
      <c r="T274" s="2813"/>
      <c r="U274" s="2813"/>
      <c r="V274" s="2813"/>
      <c r="W274" s="2813"/>
      <c r="X274" s="2814"/>
      <c r="Y274" s="2207" t="str">
        <f t="shared" si="129"/>
        <v/>
      </c>
      <c r="Z274" s="2208"/>
      <c r="AA274" s="2208"/>
      <c r="AB274" s="2208"/>
      <c r="AC274" s="2208"/>
      <c r="AD274" s="2249"/>
      <c r="AE274" s="31" t="str">
        <f t="shared" si="130"/>
        <v/>
      </c>
      <c r="AF274" s="3248"/>
      <c r="AG274" s="3249"/>
      <c r="AH274" s="3249"/>
      <c r="AI274" s="3249"/>
      <c r="AJ274" s="3249"/>
      <c r="AK274" s="3250"/>
      <c r="AL274" s="3251" t="str">
        <f>IF(C274="","",VLOOKUP(C274,[7]建物1802!$E$5:$AL$3275,2,FALSE))</f>
        <v/>
      </c>
      <c r="AM274" s="2873"/>
      <c r="AN274" s="2873"/>
      <c r="AO274" s="2874"/>
      <c r="AP274" s="2207" t="str">
        <f>IF(C274="","",VLOOKUP(C274,[7]建物1802!$E$5:$AL$3275,$BG$238,FALSE))</f>
        <v/>
      </c>
      <c r="AQ274" s="2208"/>
      <c r="AR274" s="2208"/>
      <c r="AS274" s="2208"/>
      <c r="AT274" s="2208"/>
      <c r="AU274" s="2208"/>
      <c r="AV274" s="2249"/>
      <c r="AW274" s="2209" t="str">
        <f t="shared" si="131"/>
        <v/>
      </c>
      <c r="AX274" s="2210"/>
      <c r="AY274" s="2210"/>
      <c r="AZ274" s="2210"/>
      <c r="BA274" s="2210"/>
      <c r="BB274" s="2210"/>
      <c r="BC274" s="2210"/>
      <c r="BD274" s="2210"/>
      <c r="BE274" s="2210"/>
      <c r="BF274" s="2211"/>
      <c r="BG274" s="20"/>
      <c r="BH274" s="2486" t="str">
        <f>IF(C274="","",VLOOKUP(C274,[7]建物1802!$E$5:$AL$3275,$BG$239,FALSE))</f>
        <v/>
      </c>
      <c r="BI274" s="2487"/>
      <c r="BJ274" s="2487"/>
      <c r="BK274" s="2487"/>
      <c r="BL274" s="2487"/>
      <c r="BM274" s="2488"/>
      <c r="BN274" s="2257" t="str">
        <f t="shared" si="132"/>
        <v/>
      </c>
      <c r="BO274" s="2258"/>
      <c r="BP274" s="2258"/>
      <c r="BQ274" s="2258"/>
      <c r="BR274" s="2258"/>
      <c r="BS274" s="2258"/>
      <c r="BT274" s="2259"/>
      <c r="BU274" s="19"/>
      <c r="BW274" s="15">
        <v>17</v>
      </c>
      <c r="CB274" s="324"/>
      <c r="CD274" s="324"/>
      <c r="CE274" s="324"/>
      <c r="CF274" s="324"/>
      <c r="CH274" s="7"/>
      <c r="DI274" s="7"/>
    </row>
    <row r="275" spans="1:113" ht="12" customHeight="1">
      <c r="A275" s="3258"/>
      <c r="B275" s="23"/>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762">
        <f>IF(SUM(AW258:BF274)=0,"",SUM(AW258:BF274))</f>
        <v>14362498.341845622</v>
      </c>
      <c r="AX275" s="2763"/>
      <c r="AY275" s="2763"/>
      <c r="AZ275" s="2763"/>
      <c r="BA275" s="2763"/>
      <c r="BB275" s="2763"/>
      <c r="BC275" s="2763"/>
      <c r="BD275" s="2763"/>
      <c r="BE275" s="2763"/>
      <c r="BF275" s="2764"/>
      <c r="BG275" s="20"/>
      <c r="BH275" s="20"/>
      <c r="BI275" s="20"/>
      <c r="BJ275" s="20"/>
      <c r="BK275" s="20"/>
      <c r="BL275" s="20"/>
      <c r="BM275" s="20"/>
      <c r="BN275" s="2768">
        <f>IF(SUM(BN258:BT274)=0,"",SUM(BN258:BT274))</f>
        <v>2266.6229673777134</v>
      </c>
      <c r="BO275" s="2769"/>
      <c r="BP275" s="2769"/>
      <c r="BQ275" s="2769"/>
      <c r="BR275" s="2769"/>
      <c r="BS275" s="2769"/>
      <c r="BT275" s="2770"/>
      <c r="BU275" s="19"/>
      <c r="CB275" s="324"/>
      <c r="CD275" s="324"/>
      <c r="CE275" s="324"/>
      <c r="CF275" s="324"/>
      <c r="CH275" s="7"/>
      <c r="DI275" s="7"/>
    </row>
    <row r="276" spans="1:113" ht="12" customHeight="1">
      <c r="A276" s="3258"/>
      <c r="B276" s="23"/>
      <c r="C276" s="3262" t="s">
        <v>538</v>
      </c>
      <c r="D276" s="3263"/>
      <c r="E276" s="3263"/>
      <c r="F276" s="3263"/>
      <c r="G276" s="3263"/>
      <c r="H276" s="3264"/>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19"/>
      <c r="CB276" s="324"/>
      <c r="CD276" s="324"/>
      <c r="CE276" s="324"/>
      <c r="CF276" s="324"/>
      <c r="CH276" s="7"/>
      <c r="DI276" s="7"/>
    </row>
    <row r="277" spans="1:113" ht="4.5" customHeight="1">
      <c r="B277" s="23"/>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19"/>
      <c r="CB277" s="324"/>
      <c r="CE277" s="324"/>
      <c r="CF277" s="324"/>
      <c r="CH277" s="7"/>
      <c r="DI277" s="7"/>
    </row>
    <row r="278" spans="1:113" ht="12" customHeight="1">
      <c r="B278" s="23"/>
      <c r="C278" s="2327" t="s">
        <v>485</v>
      </c>
      <c r="D278" s="2328"/>
      <c r="E278" s="2328"/>
      <c r="F278" s="2328"/>
      <c r="G278" s="2328"/>
      <c r="H278" s="2328"/>
      <c r="I278" s="2328"/>
      <c r="J278" s="2328"/>
      <c r="K278" s="2328"/>
      <c r="L278" s="2328"/>
      <c r="M278" s="2328"/>
      <c r="N278" s="2328"/>
      <c r="O278" s="2328"/>
      <c r="P278" s="2328"/>
      <c r="Q278" s="2328"/>
      <c r="R278" s="2328"/>
      <c r="S278" s="2328"/>
      <c r="T278" s="2328"/>
      <c r="U278" s="2328"/>
      <c r="V278" s="2328"/>
      <c r="W278" s="2328"/>
      <c r="X278" s="2329"/>
      <c r="Y278" s="2327" t="s">
        <v>92</v>
      </c>
      <c r="Z278" s="2328"/>
      <c r="AA278" s="2328"/>
      <c r="AB278" s="2328"/>
      <c r="AC278" s="2328"/>
      <c r="AD278" s="2329"/>
      <c r="AE278" s="34" t="s">
        <v>86</v>
      </c>
      <c r="AF278" s="2327" t="s">
        <v>484</v>
      </c>
      <c r="AG278" s="2328"/>
      <c r="AH278" s="2328"/>
      <c r="AI278" s="2328"/>
      <c r="AJ278" s="2328"/>
      <c r="AK278" s="2329"/>
      <c r="AL278" s="2327" t="s">
        <v>483</v>
      </c>
      <c r="AM278" s="2328"/>
      <c r="AN278" s="2328"/>
      <c r="AO278" s="2329"/>
      <c r="AP278" s="2327" t="s">
        <v>482</v>
      </c>
      <c r="AQ278" s="2328"/>
      <c r="AR278" s="2328"/>
      <c r="AS278" s="2328"/>
      <c r="AT278" s="2328"/>
      <c r="AU278" s="2328"/>
      <c r="AV278" s="2329"/>
      <c r="AW278" s="2327" t="s">
        <v>481</v>
      </c>
      <c r="AX278" s="2328"/>
      <c r="AY278" s="2328"/>
      <c r="AZ278" s="2328"/>
      <c r="BA278" s="2328"/>
      <c r="BB278" s="2328"/>
      <c r="BC278" s="2328"/>
      <c r="BD278" s="2328"/>
      <c r="BE278" s="2328"/>
      <c r="BF278" s="2329"/>
      <c r="BG278" s="33"/>
      <c r="BH278" s="2327" t="s">
        <v>537</v>
      </c>
      <c r="BI278" s="2328"/>
      <c r="BJ278" s="2328"/>
      <c r="BK278" s="2328"/>
      <c r="BL278" s="2328"/>
      <c r="BM278" s="2329"/>
      <c r="BN278" s="2327" t="s">
        <v>480</v>
      </c>
      <c r="BO278" s="2328"/>
      <c r="BP278" s="2328"/>
      <c r="BQ278" s="2328"/>
      <c r="BR278" s="2328"/>
      <c r="BS278" s="2328"/>
      <c r="BT278" s="2329"/>
      <c r="BU278" s="19"/>
      <c r="CB278" s="324"/>
      <c r="CE278" s="324"/>
      <c r="CF278" s="324"/>
      <c r="CH278" s="7"/>
      <c r="DI278" s="7"/>
    </row>
    <row r="279" spans="1:113" ht="11.25" customHeight="1">
      <c r="B279" s="23"/>
      <c r="C279" s="3247" t="str">
        <f t="shared" ref="C279:C291" si="133">IF($B$2=0,"",IF(ISNA(VLOOKUP(BW279,電話M,4,FALSE)),"",VLOOKUP(BW279,電話M,4,FALSE)))</f>
        <v>多機能内線電話機</v>
      </c>
      <c r="D279" s="2813"/>
      <c r="E279" s="2813"/>
      <c r="F279" s="2813"/>
      <c r="G279" s="2813"/>
      <c r="H279" s="2813"/>
      <c r="I279" s="2813"/>
      <c r="J279" s="2813"/>
      <c r="K279" s="2813"/>
      <c r="L279" s="2813"/>
      <c r="M279" s="2813"/>
      <c r="N279" s="2813"/>
      <c r="O279" s="2813"/>
      <c r="P279" s="2813"/>
      <c r="Q279" s="2813"/>
      <c r="R279" s="2813"/>
      <c r="S279" s="2813"/>
      <c r="T279" s="2813"/>
      <c r="U279" s="2813"/>
      <c r="V279" s="2813"/>
      <c r="W279" s="2813"/>
      <c r="X279" s="2814"/>
      <c r="Y279" s="2207">
        <f t="shared" ref="Y279:Y291" si="134">IF(C279="","",IF(AF279&lt;&gt;"",AF279,VLOOKUP(BW279,電話M,6,FALSE)))</f>
        <v>712</v>
      </c>
      <c r="Z279" s="2208"/>
      <c r="AA279" s="2208"/>
      <c r="AB279" s="2208"/>
      <c r="AC279" s="2208"/>
      <c r="AD279" s="2249"/>
      <c r="AE279" s="31" t="str">
        <f t="shared" ref="AE279:AE293" si="135">IF(Y279="","","▼")</f>
        <v>▼</v>
      </c>
      <c r="AF279" s="3248"/>
      <c r="AG279" s="3249"/>
      <c r="AH279" s="3249"/>
      <c r="AI279" s="3249"/>
      <c r="AJ279" s="3249"/>
      <c r="AK279" s="3250"/>
      <c r="AL279" s="3251" t="str">
        <f>IF(C279="","",VLOOKUP(C279,[7]建物1802!$E$5:$AL$3275,2,FALSE))</f>
        <v>台</v>
      </c>
      <c r="AM279" s="2873"/>
      <c r="AN279" s="2873"/>
      <c r="AO279" s="2874"/>
      <c r="AP279" s="2207">
        <f>IF(C279="","",VLOOKUP(C279,[7]建物1802!$E$5:$AL$3275,$BG$238,FALSE))</f>
        <v>28000</v>
      </c>
      <c r="AQ279" s="2208"/>
      <c r="AR279" s="2208"/>
      <c r="AS279" s="2208"/>
      <c r="AT279" s="2208"/>
      <c r="AU279" s="2208"/>
      <c r="AV279" s="2249"/>
      <c r="AW279" s="2209">
        <f t="shared" ref="AW279:AW291" si="136">IF(Y279="","",Y279*AP279)</f>
        <v>19936000</v>
      </c>
      <c r="AX279" s="2210"/>
      <c r="AY279" s="2210"/>
      <c r="AZ279" s="2210"/>
      <c r="BA279" s="2210"/>
      <c r="BB279" s="2210"/>
      <c r="BC279" s="2210"/>
      <c r="BD279" s="2210"/>
      <c r="BE279" s="2210"/>
      <c r="BF279" s="2211"/>
      <c r="BG279" s="21"/>
      <c r="BH279" s="2486">
        <f>IF(C279="","",VLOOKUP(C279,[7]建物1802!$E$5:$AL$3275,$BG$239,FALSE))</f>
        <v>0.16800000000000001</v>
      </c>
      <c r="BI279" s="2487"/>
      <c r="BJ279" s="2487"/>
      <c r="BK279" s="2487"/>
      <c r="BL279" s="2487"/>
      <c r="BM279" s="2488"/>
      <c r="BN279" s="2257">
        <f t="shared" ref="BN279:BN291" si="137">IF(Y279="","",Y279*BH279)</f>
        <v>119.61600000000001</v>
      </c>
      <c r="BO279" s="2258"/>
      <c r="BP279" s="2258"/>
      <c r="BQ279" s="2258"/>
      <c r="BR279" s="2258"/>
      <c r="BS279" s="2258"/>
      <c r="BT279" s="2259"/>
      <c r="BU279" s="19"/>
      <c r="BW279" s="15">
        <v>1</v>
      </c>
      <c r="CB279" s="324"/>
      <c r="CE279" s="324"/>
      <c r="CF279" s="324"/>
      <c r="CH279" s="7"/>
      <c r="DI279" s="7"/>
    </row>
    <row r="280" spans="1:113" ht="11.25" customHeight="1">
      <c r="B280" s="23"/>
      <c r="C280" s="3247" t="str">
        <f t="shared" si="133"/>
        <v>内線電話機</v>
      </c>
      <c r="D280" s="2813"/>
      <c r="E280" s="2813"/>
      <c r="F280" s="2813"/>
      <c r="G280" s="2813"/>
      <c r="H280" s="2813"/>
      <c r="I280" s="2813"/>
      <c r="J280" s="2813"/>
      <c r="K280" s="2813"/>
      <c r="L280" s="2813"/>
      <c r="M280" s="2813"/>
      <c r="N280" s="2813"/>
      <c r="O280" s="2813"/>
      <c r="P280" s="2813"/>
      <c r="Q280" s="2813"/>
      <c r="R280" s="2813"/>
      <c r="S280" s="2813"/>
      <c r="T280" s="2813"/>
      <c r="U280" s="2813"/>
      <c r="V280" s="2813"/>
      <c r="W280" s="2813"/>
      <c r="X280" s="2814"/>
      <c r="Y280" s="2207">
        <f t="shared" si="134"/>
        <v>487</v>
      </c>
      <c r="Z280" s="2208"/>
      <c r="AA280" s="2208"/>
      <c r="AB280" s="2208"/>
      <c r="AC280" s="2208"/>
      <c r="AD280" s="2249"/>
      <c r="AE280" s="31" t="str">
        <f t="shared" si="135"/>
        <v>▼</v>
      </c>
      <c r="AF280" s="3248"/>
      <c r="AG280" s="3249"/>
      <c r="AH280" s="3249"/>
      <c r="AI280" s="3249"/>
      <c r="AJ280" s="3249"/>
      <c r="AK280" s="3250"/>
      <c r="AL280" s="3251" t="str">
        <f>IF(C280="","",VLOOKUP(C280,[7]建物1802!$E$5:$AL$3275,2,FALSE))</f>
        <v>台</v>
      </c>
      <c r="AM280" s="2873"/>
      <c r="AN280" s="2873"/>
      <c r="AO280" s="2874"/>
      <c r="AP280" s="2207">
        <f>IF(C280="","",VLOOKUP(C280,[7]建物1802!$E$5:$AL$3275,$BG$238,FALSE))</f>
        <v>15000</v>
      </c>
      <c r="AQ280" s="2208"/>
      <c r="AR280" s="2208"/>
      <c r="AS280" s="2208"/>
      <c r="AT280" s="2208"/>
      <c r="AU280" s="2208"/>
      <c r="AV280" s="2249"/>
      <c r="AW280" s="2209">
        <f t="shared" si="136"/>
        <v>7305000</v>
      </c>
      <c r="AX280" s="2210"/>
      <c r="AY280" s="2210"/>
      <c r="AZ280" s="2210"/>
      <c r="BA280" s="2210"/>
      <c r="BB280" s="2210"/>
      <c r="BC280" s="2210"/>
      <c r="BD280" s="2210"/>
      <c r="BE280" s="2210"/>
      <c r="BF280" s="2211"/>
      <c r="BG280" s="20"/>
      <c r="BH280" s="2486">
        <f>IF(C280="","",VLOOKUP(C280,[7]建物1802!$E$5:$AL$3275,$BG$239,FALSE))</f>
        <v>0.16800000000000001</v>
      </c>
      <c r="BI280" s="2487"/>
      <c r="BJ280" s="2487"/>
      <c r="BK280" s="2487"/>
      <c r="BL280" s="2487"/>
      <c r="BM280" s="2488"/>
      <c r="BN280" s="2257">
        <f t="shared" si="137"/>
        <v>81.816000000000003</v>
      </c>
      <c r="BO280" s="2258"/>
      <c r="BP280" s="2258"/>
      <c r="BQ280" s="2258"/>
      <c r="BR280" s="2258"/>
      <c r="BS280" s="2258"/>
      <c r="BT280" s="2259"/>
      <c r="BU280" s="19"/>
      <c r="BW280" s="15">
        <v>2</v>
      </c>
      <c r="CB280" s="324"/>
      <c r="CE280" s="324"/>
      <c r="CF280" s="324"/>
      <c r="CH280" s="7"/>
      <c r="DI280" s="7"/>
    </row>
    <row r="281" spans="1:113" ht="11.25" customHeight="1">
      <c r="B281" s="23"/>
      <c r="C281" s="3247" t="str">
        <f t="shared" si="133"/>
        <v>電話交換機</v>
      </c>
      <c r="D281" s="2813"/>
      <c r="E281" s="2813"/>
      <c r="F281" s="2813"/>
      <c r="G281" s="2813"/>
      <c r="H281" s="2813"/>
      <c r="I281" s="2813"/>
      <c r="J281" s="2813"/>
      <c r="K281" s="2813"/>
      <c r="L281" s="2813"/>
      <c r="M281" s="2813"/>
      <c r="N281" s="2813"/>
      <c r="O281" s="2813"/>
      <c r="P281" s="2813"/>
      <c r="Q281" s="2813"/>
      <c r="R281" s="2813"/>
      <c r="S281" s="2813"/>
      <c r="T281" s="2813"/>
      <c r="U281" s="2813"/>
      <c r="V281" s="2813"/>
      <c r="W281" s="2813"/>
      <c r="X281" s="2814"/>
      <c r="Y281" s="2207">
        <f t="shared" si="134"/>
        <v>1</v>
      </c>
      <c r="Z281" s="2208"/>
      <c r="AA281" s="2208"/>
      <c r="AB281" s="2208"/>
      <c r="AC281" s="2208"/>
      <c r="AD281" s="2249"/>
      <c r="AE281" s="31" t="str">
        <f t="shared" si="135"/>
        <v>▼</v>
      </c>
      <c r="AF281" s="3248"/>
      <c r="AG281" s="3249"/>
      <c r="AH281" s="3249"/>
      <c r="AI281" s="3249"/>
      <c r="AJ281" s="3249"/>
      <c r="AK281" s="3250"/>
      <c r="AL281" s="3251" t="str">
        <f>IF(C281="","",VLOOKUP(C281,[7]建物1802!$E$5:$AL$3275,2,FALSE))</f>
        <v>台</v>
      </c>
      <c r="AM281" s="2873"/>
      <c r="AN281" s="2873"/>
      <c r="AO281" s="2874"/>
      <c r="AP281" s="2207">
        <f>IF(C281="","",VLOOKUP(C281,[7]建物1802!$E$5:$AL$3275,$BG$238,FALSE))</f>
        <v>0</v>
      </c>
      <c r="AQ281" s="2208"/>
      <c r="AR281" s="2208"/>
      <c r="AS281" s="2208"/>
      <c r="AT281" s="2208"/>
      <c r="AU281" s="2208"/>
      <c r="AV281" s="2249"/>
      <c r="AW281" s="2209">
        <f t="shared" si="136"/>
        <v>0</v>
      </c>
      <c r="AX281" s="2210"/>
      <c r="AY281" s="2210"/>
      <c r="AZ281" s="2210"/>
      <c r="BA281" s="2210"/>
      <c r="BB281" s="2210"/>
      <c r="BC281" s="2210"/>
      <c r="BD281" s="2210"/>
      <c r="BE281" s="2210"/>
      <c r="BF281" s="2211"/>
      <c r="BG281" s="20"/>
      <c r="BH281" s="2486">
        <f>IF(C281="","",VLOOKUP(C281,[7]建物1802!$E$5:$AL$3275,$BG$239,FALSE))</f>
        <v>0</v>
      </c>
      <c r="BI281" s="2487"/>
      <c r="BJ281" s="2487"/>
      <c r="BK281" s="2487"/>
      <c r="BL281" s="2487"/>
      <c r="BM281" s="2488"/>
      <c r="BN281" s="2257">
        <f t="shared" si="137"/>
        <v>0</v>
      </c>
      <c r="BO281" s="2258"/>
      <c r="BP281" s="2258"/>
      <c r="BQ281" s="2258"/>
      <c r="BR281" s="2258"/>
      <c r="BS281" s="2258"/>
      <c r="BT281" s="2259"/>
      <c r="BU281" s="19"/>
      <c r="BW281" s="15">
        <v>3</v>
      </c>
      <c r="CB281" s="324"/>
      <c r="CE281" s="324"/>
      <c r="CF281" s="324"/>
      <c r="CH281" s="7"/>
      <c r="DI281" s="7"/>
    </row>
    <row r="282" spans="1:113" ht="11.25" customHeight="1">
      <c r="B282" s="23"/>
      <c r="C282" s="3247" t="str">
        <f t="shared" si="133"/>
        <v>接地工事 Et</v>
      </c>
      <c r="D282" s="2813"/>
      <c r="E282" s="2813"/>
      <c r="F282" s="2813"/>
      <c r="G282" s="2813"/>
      <c r="H282" s="2813"/>
      <c r="I282" s="2813"/>
      <c r="J282" s="2813"/>
      <c r="K282" s="2813"/>
      <c r="L282" s="2813"/>
      <c r="M282" s="2813"/>
      <c r="N282" s="2813"/>
      <c r="O282" s="2813"/>
      <c r="P282" s="2813"/>
      <c r="Q282" s="2813"/>
      <c r="R282" s="2813"/>
      <c r="S282" s="2813"/>
      <c r="T282" s="2813"/>
      <c r="U282" s="2813"/>
      <c r="V282" s="2813"/>
      <c r="W282" s="2813"/>
      <c r="X282" s="2814"/>
      <c r="Y282" s="2207">
        <f t="shared" si="134"/>
        <v>1</v>
      </c>
      <c r="Z282" s="2208"/>
      <c r="AA282" s="2208"/>
      <c r="AB282" s="2208"/>
      <c r="AC282" s="2208"/>
      <c r="AD282" s="2249"/>
      <c r="AE282" s="31" t="str">
        <f t="shared" si="135"/>
        <v>▼</v>
      </c>
      <c r="AF282" s="3248"/>
      <c r="AG282" s="3249"/>
      <c r="AH282" s="3249"/>
      <c r="AI282" s="3249"/>
      <c r="AJ282" s="3249"/>
      <c r="AK282" s="3250"/>
      <c r="AL282" s="3251" t="str">
        <f>IF(C282="","",VLOOKUP(C282,[7]建物1802!$E$5:$AL$3275,2,FALSE))</f>
        <v>箇所</v>
      </c>
      <c r="AM282" s="2873"/>
      <c r="AN282" s="2873"/>
      <c r="AO282" s="2874"/>
      <c r="AP282" s="2207">
        <f>IF(C282="","",VLOOKUP(C282,[7]建物1802!$E$5:$AL$3275,$BG$238,FALSE))</f>
        <v>19000</v>
      </c>
      <c r="AQ282" s="2208"/>
      <c r="AR282" s="2208"/>
      <c r="AS282" s="2208"/>
      <c r="AT282" s="2208"/>
      <c r="AU282" s="2208"/>
      <c r="AV282" s="2249"/>
      <c r="AW282" s="2209">
        <f t="shared" si="136"/>
        <v>19000</v>
      </c>
      <c r="AX282" s="2210"/>
      <c r="AY282" s="2210"/>
      <c r="AZ282" s="2210"/>
      <c r="BA282" s="2210"/>
      <c r="BB282" s="2210"/>
      <c r="BC282" s="2210"/>
      <c r="BD282" s="2210"/>
      <c r="BE282" s="2210"/>
      <c r="BF282" s="2211"/>
      <c r="BG282" s="20"/>
      <c r="BH282" s="2486">
        <f>IF(C282="","",VLOOKUP(C282,[7]建物1802!$E$5:$AL$3275,$BG$239,FALSE))</f>
        <v>3.7330000000000001</v>
      </c>
      <c r="BI282" s="2487"/>
      <c r="BJ282" s="2487"/>
      <c r="BK282" s="2487"/>
      <c r="BL282" s="2487"/>
      <c r="BM282" s="2488"/>
      <c r="BN282" s="2257">
        <f t="shared" si="137"/>
        <v>3.7330000000000001</v>
      </c>
      <c r="BO282" s="2258"/>
      <c r="BP282" s="2258"/>
      <c r="BQ282" s="2258"/>
      <c r="BR282" s="2258"/>
      <c r="BS282" s="2258"/>
      <c r="BT282" s="2259"/>
      <c r="BU282" s="19"/>
      <c r="BW282" s="15">
        <v>4</v>
      </c>
      <c r="CB282" s="324"/>
      <c r="CE282" s="324"/>
      <c r="CF282" s="324"/>
      <c r="CH282" s="7"/>
      <c r="DI282" s="7"/>
    </row>
    <row r="283" spans="1:113" ht="11.25" customHeight="1">
      <c r="B283" s="23"/>
      <c r="C283" s="3247" t="str">
        <f t="shared" si="133"/>
        <v/>
      </c>
      <c r="D283" s="2813"/>
      <c r="E283" s="2813"/>
      <c r="F283" s="2813"/>
      <c r="G283" s="2813"/>
      <c r="H283" s="2813"/>
      <c r="I283" s="2813"/>
      <c r="J283" s="2813"/>
      <c r="K283" s="2813"/>
      <c r="L283" s="2813"/>
      <c r="M283" s="2813"/>
      <c r="N283" s="2813"/>
      <c r="O283" s="2813"/>
      <c r="P283" s="2813"/>
      <c r="Q283" s="2813"/>
      <c r="R283" s="2813"/>
      <c r="S283" s="2813"/>
      <c r="T283" s="2813"/>
      <c r="U283" s="2813"/>
      <c r="V283" s="2813"/>
      <c r="W283" s="2813"/>
      <c r="X283" s="2814"/>
      <c r="Y283" s="2207" t="str">
        <f t="shared" si="134"/>
        <v/>
      </c>
      <c r="Z283" s="2208"/>
      <c r="AA283" s="2208"/>
      <c r="AB283" s="2208"/>
      <c r="AC283" s="2208"/>
      <c r="AD283" s="2249"/>
      <c r="AE283" s="31" t="str">
        <f t="shared" si="135"/>
        <v/>
      </c>
      <c r="AF283" s="3248"/>
      <c r="AG283" s="3249"/>
      <c r="AH283" s="3249"/>
      <c r="AI283" s="3249"/>
      <c r="AJ283" s="3249"/>
      <c r="AK283" s="3250"/>
      <c r="AL283" s="3251" t="str">
        <f>IF(C283="","",VLOOKUP(C283,[7]建物1802!$E$5:$AL$3275,2,FALSE))</f>
        <v/>
      </c>
      <c r="AM283" s="2873"/>
      <c r="AN283" s="2873"/>
      <c r="AO283" s="2874"/>
      <c r="AP283" s="2207" t="str">
        <f>IF(C283="","",VLOOKUP(C283,[7]建物1802!$E$5:$AL$3275,$BG$238,FALSE))</f>
        <v/>
      </c>
      <c r="AQ283" s="2208"/>
      <c r="AR283" s="2208"/>
      <c r="AS283" s="2208"/>
      <c r="AT283" s="2208"/>
      <c r="AU283" s="2208"/>
      <c r="AV283" s="2249"/>
      <c r="AW283" s="2209" t="str">
        <f t="shared" si="136"/>
        <v/>
      </c>
      <c r="AX283" s="2210"/>
      <c r="AY283" s="2210"/>
      <c r="AZ283" s="2210"/>
      <c r="BA283" s="2210"/>
      <c r="BB283" s="2210"/>
      <c r="BC283" s="2210"/>
      <c r="BD283" s="2210"/>
      <c r="BE283" s="2210"/>
      <c r="BF283" s="2211"/>
      <c r="BG283" s="20"/>
      <c r="BH283" s="2486" t="str">
        <f>IF(C283="","",VLOOKUP(C283,[7]建物1802!$E$5:$AL$3275,$BG$239,FALSE))</f>
        <v/>
      </c>
      <c r="BI283" s="2487"/>
      <c r="BJ283" s="2487"/>
      <c r="BK283" s="2487"/>
      <c r="BL283" s="2487"/>
      <c r="BM283" s="2488"/>
      <c r="BN283" s="2257" t="str">
        <f t="shared" si="137"/>
        <v/>
      </c>
      <c r="BO283" s="2258"/>
      <c r="BP283" s="2258"/>
      <c r="BQ283" s="2258"/>
      <c r="BR283" s="2258"/>
      <c r="BS283" s="2258"/>
      <c r="BT283" s="2259"/>
      <c r="BU283" s="19"/>
      <c r="BW283" s="15">
        <v>5</v>
      </c>
      <c r="CE283" s="324"/>
      <c r="CF283" s="324"/>
      <c r="CH283" s="7"/>
      <c r="DI283" s="7"/>
    </row>
    <row r="284" spans="1:113" ht="11.25" customHeight="1">
      <c r="B284" s="23"/>
      <c r="C284" s="3247" t="str">
        <f t="shared" si="133"/>
        <v/>
      </c>
      <c r="D284" s="2813"/>
      <c r="E284" s="2813"/>
      <c r="F284" s="2813"/>
      <c r="G284" s="2813"/>
      <c r="H284" s="2813"/>
      <c r="I284" s="2813"/>
      <c r="J284" s="2813"/>
      <c r="K284" s="2813"/>
      <c r="L284" s="2813"/>
      <c r="M284" s="2813"/>
      <c r="N284" s="2813"/>
      <c r="O284" s="2813"/>
      <c r="P284" s="2813"/>
      <c r="Q284" s="2813"/>
      <c r="R284" s="2813"/>
      <c r="S284" s="2813"/>
      <c r="T284" s="2813"/>
      <c r="U284" s="2813"/>
      <c r="V284" s="2813"/>
      <c r="W284" s="2813"/>
      <c r="X284" s="2814"/>
      <c r="Y284" s="2207" t="str">
        <f t="shared" si="134"/>
        <v/>
      </c>
      <c r="Z284" s="2208"/>
      <c r="AA284" s="2208"/>
      <c r="AB284" s="2208"/>
      <c r="AC284" s="2208"/>
      <c r="AD284" s="2249"/>
      <c r="AE284" s="31" t="str">
        <f t="shared" si="135"/>
        <v/>
      </c>
      <c r="AF284" s="3248"/>
      <c r="AG284" s="3249"/>
      <c r="AH284" s="3249"/>
      <c r="AI284" s="3249"/>
      <c r="AJ284" s="3249"/>
      <c r="AK284" s="3250"/>
      <c r="AL284" s="3251" t="str">
        <f>IF(C284="","",VLOOKUP(C284,[7]建物1802!$E$5:$AL$3275,2,FALSE))</f>
        <v/>
      </c>
      <c r="AM284" s="2873"/>
      <c r="AN284" s="2873"/>
      <c r="AO284" s="2874"/>
      <c r="AP284" s="2207" t="str">
        <f>IF(C284="","",VLOOKUP(C284,[7]建物1802!$E$5:$AL$3275,$BG$238,FALSE))</f>
        <v/>
      </c>
      <c r="AQ284" s="2208"/>
      <c r="AR284" s="2208"/>
      <c r="AS284" s="2208"/>
      <c r="AT284" s="2208"/>
      <c r="AU284" s="2208"/>
      <c r="AV284" s="2249"/>
      <c r="AW284" s="2209" t="str">
        <f t="shared" si="136"/>
        <v/>
      </c>
      <c r="AX284" s="2210"/>
      <c r="AY284" s="2210"/>
      <c r="AZ284" s="2210"/>
      <c r="BA284" s="2210"/>
      <c r="BB284" s="2210"/>
      <c r="BC284" s="2210"/>
      <c r="BD284" s="2210"/>
      <c r="BE284" s="2210"/>
      <c r="BF284" s="2211"/>
      <c r="BG284" s="20"/>
      <c r="BH284" s="2486" t="str">
        <f>IF(C284="","",VLOOKUP(C284,[7]建物1802!$E$5:$AL$3275,$BG$239,FALSE))</f>
        <v/>
      </c>
      <c r="BI284" s="2487"/>
      <c r="BJ284" s="2487"/>
      <c r="BK284" s="2487"/>
      <c r="BL284" s="2487"/>
      <c r="BM284" s="2488"/>
      <c r="BN284" s="2257" t="str">
        <f t="shared" si="137"/>
        <v/>
      </c>
      <c r="BO284" s="2258"/>
      <c r="BP284" s="2258"/>
      <c r="BQ284" s="2258"/>
      <c r="BR284" s="2258"/>
      <c r="BS284" s="2258"/>
      <c r="BT284" s="2259"/>
      <c r="BU284" s="19"/>
      <c r="BW284" s="15">
        <v>6</v>
      </c>
      <c r="CE284" s="324"/>
      <c r="CF284" s="324"/>
      <c r="CH284" s="7"/>
      <c r="DI284" s="7"/>
    </row>
    <row r="285" spans="1:113" ht="11.25" customHeight="1">
      <c r="B285" s="23"/>
      <c r="C285" s="3247" t="str">
        <f t="shared" si="133"/>
        <v/>
      </c>
      <c r="D285" s="2813"/>
      <c r="E285" s="2813"/>
      <c r="F285" s="2813"/>
      <c r="G285" s="2813"/>
      <c r="H285" s="2813"/>
      <c r="I285" s="2813"/>
      <c r="J285" s="2813"/>
      <c r="K285" s="2813"/>
      <c r="L285" s="2813"/>
      <c r="M285" s="2813"/>
      <c r="N285" s="2813"/>
      <c r="O285" s="2813"/>
      <c r="P285" s="2813"/>
      <c r="Q285" s="2813"/>
      <c r="R285" s="2813"/>
      <c r="S285" s="2813"/>
      <c r="T285" s="2813"/>
      <c r="U285" s="2813"/>
      <c r="V285" s="2813"/>
      <c r="W285" s="2813"/>
      <c r="X285" s="2814"/>
      <c r="Y285" s="2207" t="str">
        <f t="shared" si="134"/>
        <v/>
      </c>
      <c r="Z285" s="2208"/>
      <c r="AA285" s="2208"/>
      <c r="AB285" s="2208"/>
      <c r="AC285" s="2208"/>
      <c r="AD285" s="2249"/>
      <c r="AE285" s="31" t="str">
        <f t="shared" si="135"/>
        <v/>
      </c>
      <c r="AF285" s="3248"/>
      <c r="AG285" s="3249"/>
      <c r="AH285" s="3249"/>
      <c r="AI285" s="3249"/>
      <c r="AJ285" s="3249"/>
      <c r="AK285" s="3250"/>
      <c r="AL285" s="3251" t="str">
        <f>IF(C285="","",VLOOKUP(C285,[7]建物1802!$E$5:$AL$3275,2,FALSE))</f>
        <v/>
      </c>
      <c r="AM285" s="2873"/>
      <c r="AN285" s="2873"/>
      <c r="AO285" s="2874"/>
      <c r="AP285" s="2207" t="str">
        <f>IF(C285="","",VLOOKUP(C285,[7]建物1802!$E$5:$AL$3275,$BG$238,FALSE))</f>
        <v/>
      </c>
      <c r="AQ285" s="2208"/>
      <c r="AR285" s="2208"/>
      <c r="AS285" s="2208"/>
      <c r="AT285" s="2208"/>
      <c r="AU285" s="2208"/>
      <c r="AV285" s="2249"/>
      <c r="AW285" s="2209" t="str">
        <f t="shared" si="136"/>
        <v/>
      </c>
      <c r="AX285" s="2210"/>
      <c r="AY285" s="2210"/>
      <c r="AZ285" s="2210"/>
      <c r="BA285" s="2210"/>
      <c r="BB285" s="2210"/>
      <c r="BC285" s="2210"/>
      <c r="BD285" s="2210"/>
      <c r="BE285" s="2210"/>
      <c r="BF285" s="2211"/>
      <c r="BG285" s="20"/>
      <c r="BH285" s="2486" t="str">
        <f>IF(C285="","",VLOOKUP(C285,[7]建物1802!$E$5:$AL$3275,$BG$239,FALSE))</f>
        <v/>
      </c>
      <c r="BI285" s="2487"/>
      <c r="BJ285" s="2487"/>
      <c r="BK285" s="2487"/>
      <c r="BL285" s="2487"/>
      <c r="BM285" s="2488"/>
      <c r="BN285" s="2257" t="str">
        <f t="shared" si="137"/>
        <v/>
      </c>
      <c r="BO285" s="2258"/>
      <c r="BP285" s="2258"/>
      <c r="BQ285" s="2258"/>
      <c r="BR285" s="2258"/>
      <c r="BS285" s="2258"/>
      <c r="BT285" s="2259"/>
      <c r="BU285" s="19"/>
      <c r="BW285" s="15">
        <v>7</v>
      </c>
      <c r="CE285" s="324"/>
      <c r="CF285" s="324"/>
      <c r="CH285" s="7"/>
      <c r="DI285" s="7"/>
    </row>
    <row r="286" spans="1:113" ht="11.25" customHeight="1">
      <c r="B286" s="23"/>
      <c r="C286" s="3247" t="str">
        <f t="shared" si="133"/>
        <v/>
      </c>
      <c r="D286" s="2813"/>
      <c r="E286" s="2813"/>
      <c r="F286" s="2813"/>
      <c r="G286" s="2813"/>
      <c r="H286" s="2813"/>
      <c r="I286" s="2813"/>
      <c r="J286" s="2813"/>
      <c r="K286" s="2813"/>
      <c r="L286" s="2813"/>
      <c r="M286" s="2813"/>
      <c r="N286" s="2813"/>
      <c r="O286" s="2813"/>
      <c r="P286" s="2813"/>
      <c r="Q286" s="2813"/>
      <c r="R286" s="2813"/>
      <c r="S286" s="2813"/>
      <c r="T286" s="2813"/>
      <c r="U286" s="2813"/>
      <c r="V286" s="2813"/>
      <c r="W286" s="2813"/>
      <c r="X286" s="2814"/>
      <c r="Y286" s="2207" t="str">
        <f t="shared" si="134"/>
        <v/>
      </c>
      <c r="Z286" s="2208"/>
      <c r="AA286" s="2208"/>
      <c r="AB286" s="2208"/>
      <c r="AC286" s="2208"/>
      <c r="AD286" s="2249"/>
      <c r="AE286" s="31" t="str">
        <f t="shared" si="135"/>
        <v/>
      </c>
      <c r="AF286" s="3248"/>
      <c r="AG286" s="3249"/>
      <c r="AH286" s="3249"/>
      <c r="AI286" s="3249"/>
      <c r="AJ286" s="3249"/>
      <c r="AK286" s="3250"/>
      <c r="AL286" s="3251" t="str">
        <f>IF(C286="","",VLOOKUP(C286,[7]建物1802!$E$5:$AL$3275,2,FALSE))</f>
        <v/>
      </c>
      <c r="AM286" s="2873"/>
      <c r="AN286" s="2873"/>
      <c r="AO286" s="2874"/>
      <c r="AP286" s="2207" t="str">
        <f>IF(C286="","",VLOOKUP(C286,[7]建物1802!$E$5:$AL$3275,$BG$238,FALSE))</f>
        <v/>
      </c>
      <c r="AQ286" s="2208"/>
      <c r="AR286" s="2208"/>
      <c r="AS286" s="2208"/>
      <c r="AT286" s="2208"/>
      <c r="AU286" s="2208"/>
      <c r="AV286" s="2249"/>
      <c r="AW286" s="2209" t="str">
        <f t="shared" si="136"/>
        <v/>
      </c>
      <c r="AX286" s="2210"/>
      <c r="AY286" s="2210"/>
      <c r="AZ286" s="2210"/>
      <c r="BA286" s="2210"/>
      <c r="BB286" s="2210"/>
      <c r="BC286" s="2210"/>
      <c r="BD286" s="2210"/>
      <c r="BE286" s="2210"/>
      <c r="BF286" s="2211"/>
      <c r="BG286" s="20"/>
      <c r="BH286" s="2486" t="str">
        <f>IF(C286="","",VLOOKUP(C286,[7]建物1802!$E$5:$AL$3275,$BG$239,FALSE))</f>
        <v/>
      </c>
      <c r="BI286" s="2487"/>
      <c r="BJ286" s="2487"/>
      <c r="BK286" s="2487"/>
      <c r="BL286" s="2487"/>
      <c r="BM286" s="2488"/>
      <c r="BN286" s="2257" t="str">
        <f t="shared" si="137"/>
        <v/>
      </c>
      <c r="BO286" s="2258"/>
      <c r="BP286" s="2258"/>
      <c r="BQ286" s="2258"/>
      <c r="BR286" s="2258"/>
      <c r="BS286" s="2258"/>
      <c r="BT286" s="2259"/>
      <c r="BU286" s="19"/>
      <c r="BW286" s="15">
        <v>8</v>
      </c>
      <c r="CE286" s="324"/>
      <c r="CF286" s="324"/>
      <c r="CH286" s="7"/>
      <c r="DI286" s="7"/>
    </row>
    <row r="287" spans="1:113" ht="11.25" customHeight="1">
      <c r="B287" s="23"/>
      <c r="C287" s="3247" t="str">
        <f t="shared" si="133"/>
        <v/>
      </c>
      <c r="D287" s="2813"/>
      <c r="E287" s="2813"/>
      <c r="F287" s="2813"/>
      <c r="G287" s="2813"/>
      <c r="H287" s="2813"/>
      <c r="I287" s="2813"/>
      <c r="J287" s="2813"/>
      <c r="K287" s="2813"/>
      <c r="L287" s="2813"/>
      <c r="M287" s="2813"/>
      <c r="N287" s="2813"/>
      <c r="O287" s="2813"/>
      <c r="P287" s="2813"/>
      <c r="Q287" s="2813"/>
      <c r="R287" s="2813"/>
      <c r="S287" s="2813"/>
      <c r="T287" s="2813"/>
      <c r="U287" s="2813"/>
      <c r="V287" s="2813"/>
      <c r="W287" s="2813"/>
      <c r="X287" s="2814"/>
      <c r="Y287" s="2207" t="str">
        <f t="shared" si="134"/>
        <v/>
      </c>
      <c r="Z287" s="2208"/>
      <c r="AA287" s="2208"/>
      <c r="AB287" s="2208"/>
      <c r="AC287" s="2208"/>
      <c r="AD287" s="2249"/>
      <c r="AE287" s="31" t="str">
        <f t="shared" si="135"/>
        <v/>
      </c>
      <c r="AF287" s="3248"/>
      <c r="AG287" s="3249"/>
      <c r="AH287" s="3249"/>
      <c r="AI287" s="3249"/>
      <c r="AJ287" s="3249"/>
      <c r="AK287" s="3250"/>
      <c r="AL287" s="3251" t="str">
        <f>IF(C287="","",VLOOKUP(C287,[7]建物1802!$E$5:$AL$3275,2,FALSE))</f>
        <v/>
      </c>
      <c r="AM287" s="2873"/>
      <c r="AN287" s="2873"/>
      <c r="AO287" s="2874"/>
      <c r="AP287" s="2207" t="str">
        <f>IF(C287="","",VLOOKUP(C287,[7]建物1802!$E$5:$AL$3275,$BG$238,FALSE))</f>
        <v/>
      </c>
      <c r="AQ287" s="2208"/>
      <c r="AR287" s="2208"/>
      <c r="AS287" s="2208"/>
      <c r="AT287" s="2208"/>
      <c r="AU287" s="2208"/>
      <c r="AV287" s="2249"/>
      <c r="AW287" s="2209" t="str">
        <f t="shared" si="136"/>
        <v/>
      </c>
      <c r="AX287" s="2210"/>
      <c r="AY287" s="2210"/>
      <c r="AZ287" s="2210"/>
      <c r="BA287" s="2210"/>
      <c r="BB287" s="2210"/>
      <c r="BC287" s="2210"/>
      <c r="BD287" s="2210"/>
      <c r="BE287" s="2210"/>
      <c r="BF287" s="2211"/>
      <c r="BG287" s="20"/>
      <c r="BH287" s="2486" t="str">
        <f>IF(C287="","",VLOOKUP(C287,[7]建物1802!$E$5:$AL$3275,$BG$239,FALSE))</f>
        <v/>
      </c>
      <c r="BI287" s="2487"/>
      <c r="BJ287" s="2487"/>
      <c r="BK287" s="2487"/>
      <c r="BL287" s="2487"/>
      <c r="BM287" s="2488"/>
      <c r="BN287" s="2257" t="str">
        <f t="shared" si="137"/>
        <v/>
      </c>
      <c r="BO287" s="2258"/>
      <c r="BP287" s="2258"/>
      <c r="BQ287" s="2258"/>
      <c r="BR287" s="2258"/>
      <c r="BS287" s="2258"/>
      <c r="BT287" s="2259"/>
      <c r="BU287" s="19"/>
      <c r="BW287" s="15">
        <v>9</v>
      </c>
      <c r="CE287" s="324"/>
      <c r="CF287" s="324"/>
      <c r="CH287" s="7"/>
      <c r="DI287" s="7"/>
    </row>
    <row r="288" spans="1:113" ht="11.25" customHeight="1">
      <c r="B288" s="23"/>
      <c r="C288" s="3247" t="str">
        <f t="shared" si="133"/>
        <v/>
      </c>
      <c r="D288" s="2813"/>
      <c r="E288" s="2813"/>
      <c r="F288" s="2813"/>
      <c r="G288" s="2813"/>
      <c r="H288" s="2813"/>
      <c r="I288" s="2813"/>
      <c r="J288" s="2813"/>
      <c r="K288" s="2813"/>
      <c r="L288" s="2813"/>
      <c r="M288" s="2813"/>
      <c r="N288" s="2813"/>
      <c r="O288" s="2813"/>
      <c r="P288" s="2813"/>
      <c r="Q288" s="2813"/>
      <c r="R288" s="2813"/>
      <c r="S288" s="2813"/>
      <c r="T288" s="2813"/>
      <c r="U288" s="2813"/>
      <c r="V288" s="2813"/>
      <c r="W288" s="2813"/>
      <c r="X288" s="2814"/>
      <c r="Y288" s="2207" t="str">
        <f t="shared" si="134"/>
        <v/>
      </c>
      <c r="Z288" s="2208"/>
      <c r="AA288" s="2208"/>
      <c r="AB288" s="2208"/>
      <c r="AC288" s="2208"/>
      <c r="AD288" s="2249"/>
      <c r="AE288" s="31" t="str">
        <f t="shared" si="135"/>
        <v/>
      </c>
      <c r="AF288" s="3248"/>
      <c r="AG288" s="3249"/>
      <c r="AH288" s="3249"/>
      <c r="AI288" s="3249"/>
      <c r="AJ288" s="3249"/>
      <c r="AK288" s="3250"/>
      <c r="AL288" s="3251" t="str">
        <f>IF(C288="","",VLOOKUP(C288,[7]建物1802!$E$5:$AL$3275,2,FALSE))</f>
        <v/>
      </c>
      <c r="AM288" s="2873"/>
      <c r="AN288" s="2873"/>
      <c r="AO288" s="2874"/>
      <c r="AP288" s="2207" t="str">
        <f>IF(C288="","",VLOOKUP(C288,[7]建物1802!$E$5:$AL$3275,$BG$238,FALSE))</f>
        <v/>
      </c>
      <c r="AQ288" s="2208"/>
      <c r="AR288" s="2208"/>
      <c r="AS288" s="2208"/>
      <c r="AT288" s="2208"/>
      <c r="AU288" s="2208"/>
      <c r="AV288" s="2249"/>
      <c r="AW288" s="2209" t="str">
        <f t="shared" si="136"/>
        <v/>
      </c>
      <c r="AX288" s="2210"/>
      <c r="AY288" s="2210"/>
      <c r="AZ288" s="2210"/>
      <c r="BA288" s="2210"/>
      <c r="BB288" s="2210"/>
      <c r="BC288" s="2210"/>
      <c r="BD288" s="2210"/>
      <c r="BE288" s="2210"/>
      <c r="BF288" s="2211"/>
      <c r="BG288" s="20"/>
      <c r="BH288" s="2486" t="str">
        <f>IF(C288="","",VLOOKUP(C288,[7]建物1802!$E$5:$AL$3275,$BG$239,FALSE))</f>
        <v/>
      </c>
      <c r="BI288" s="2487"/>
      <c r="BJ288" s="2487"/>
      <c r="BK288" s="2487"/>
      <c r="BL288" s="2487"/>
      <c r="BM288" s="2488"/>
      <c r="BN288" s="2257" t="str">
        <f t="shared" si="137"/>
        <v/>
      </c>
      <c r="BO288" s="2258"/>
      <c r="BP288" s="2258"/>
      <c r="BQ288" s="2258"/>
      <c r="BR288" s="2258"/>
      <c r="BS288" s="2258"/>
      <c r="BT288" s="2259"/>
      <c r="BU288" s="19"/>
      <c r="BW288" s="15">
        <v>10</v>
      </c>
      <c r="CE288" s="324"/>
      <c r="CF288" s="324"/>
      <c r="CH288" s="7"/>
      <c r="DI288" s="7"/>
    </row>
    <row r="289" spans="2:113" ht="11.25" customHeight="1">
      <c r="B289" s="23"/>
      <c r="C289" s="3247" t="str">
        <f t="shared" si="133"/>
        <v/>
      </c>
      <c r="D289" s="2813"/>
      <c r="E289" s="2813"/>
      <c r="F289" s="2813"/>
      <c r="G289" s="2813"/>
      <c r="H289" s="2813"/>
      <c r="I289" s="2813"/>
      <c r="J289" s="2813"/>
      <c r="K289" s="2813"/>
      <c r="L289" s="2813"/>
      <c r="M289" s="2813"/>
      <c r="N289" s="2813"/>
      <c r="O289" s="2813"/>
      <c r="P289" s="2813"/>
      <c r="Q289" s="2813"/>
      <c r="R289" s="2813"/>
      <c r="S289" s="2813"/>
      <c r="T289" s="2813"/>
      <c r="U289" s="2813"/>
      <c r="V289" s="2813"/>
      <c r="W289" s="2813"/>
      <c r="X289" s="2814"/>
      <c r="Y289" s="2207" t="str">
        <f t="shared" si="134"/>
        <v/>
      </c>
      <c r="Z289" s="2208"/>
      <c r="AA289" s="2208"/>
      <c r="AB289" s="2208"/>
      <c r="AC289" s="2208"/>
      <c r="AD289" s="2249"/>
      <c r="AE289" s="31" t="str">
        <f t="shared" si="135"/>
        <v/>
      </c>
      <c r="AF289" s="3248"/>
      <c r="AG289" s="3249"/>
      <c r="AH289" s="3249"/>
      <c r="AI289" s="3249"/>
      <c r="AJ289" s="3249"/>
      <c r="AK289" s="3250"/>
      <c r="AL289" s="3251" t="str">
        <f>IF(C289="","",VLOOKUP(C289,[7]建物1802!$E$5:$AL$3275,2,FALSE))</f>
        <v/>
      </c>
      <c r="AM289" s="2873"/>
      <c r="AN289" s="2873"/>
      <c r="AO289" s="2874"/>
      <c r="AP289" s="2207" t="str">
        <f>IF(C289="","",VLOOKUP(C289,[7]建物1802!$E$5:$AL$3275,$BG$238,FALSE))</f>
        <v/>
      </c>
      <c r="AQ289" s="2208"/>
      <c r="AR289" s="2208"/>
      <c r="AS289" s="2208"/>
      <c r="AT289" s="2208"/>
      <c r="AU289" s="2208"/>
      <c r="AV289" s="2249"/>
      <c r="AW289" s="2209" t="str">
        <f t="shared" si="136"/>
        <v/>
      </c>
      <c r="AX289" s="2210"/>
      <c r="AY289" s="2210"/>
      <c r="AZ289" s="2210"/>
      <c r="BA289" s="2210"/>
      <c r="BB289" s="2210"/>
      <c r="BC289" s="2210"/>
      <c r="BD289" s="2210"/>
      <c r="BE289" s="2210"/>
      <c r="BF289" s="2211"/>
      <c r="BG289" s="20"/>
      <c r="BH289" s="2486" t="str">
        <f>IF(C289="","",VLOOKUP(C289,[7]建物1802!$E$5:$AL$3275,$BG$239,FALSE))</f>
        <v/>
      </c>
      <c r="BI289" s="2487"/>
      <c r="BJ289" s="2487"/>
      <c r="BK289" s="2487"/>
      <c r="BL289" s="2487"/>
      <c r="BM289" s="2488"/>
      <c r="BN289" s="2257" t="str">
        <f t="shared" si="137"/>
        <v/>
      </c>
      <c r="BO289" s="2258"/>
      <c r="BP289" s="2258"/>
      <c r="BQ289" s="2258"/>
      <c r="BR289" s="2258"/>
      <c r="BS289" s="2258"/>
      <c r="BT289" s="2259"/>
      <c r="BU289" s="19"/>
      <c r="BW289" s="15">
        <v>11</v>
      </c>
      <c r="CE289" s="324"/>
      <c r="CF289" s="324"/>
      <c r="CH289" s="7"/>
      <c r="DI289" s="7"/>
    </row>
    <row r="290" spans="2:113" ht="11.25" customHeight="1">
      <c r="B290" s="23"/>
      <c r="C290" s="3247" t="str">
        <f t="shared" si="133"/>
        <v/>
      </c>
      <c r="D290" s="2813"/>
      <c r="E290" s="2813"/>
      <c r="F290" s="2813"/>
      <c r="G290" s="2813"/>
      <c r="H290" s="2813"/>
      <c r="I290" s="2813"/>
      <c r="J290" s="2813"/>
      <c r="K290" s="2813"/>
      <c r="L290" s="2813"/>
      <c r="M290" s="2813"/>
      <c r="N290" s="2813"/>
      <c r="O290" s="2813"/>
      <c r="P290" s="2813"/>
      <c r="Q290" s="2813"/>
      <c r="R290" s="2813"/>
      <c r="S290" s="2813"/>
      <c r="T290" s="2813"/>
      <c r="U290" s="2813"/>
      <c r="V290" s="2813"/>
      <c r="W290" s="2813"/>
      <c r="X290" s="2814"/>
      <c r="Y290" s="2207" t="str">
        <f t="shared" si="134"/>
        <v/>
      </c>
      <c r="Z290" s="2208"/>
      <c r="AA290" s="2208"/>
      <c r="AB290" s="2208"/>
      <c r="AC290" s="2208"/>
      <c r="AD290" s="2249"/>
      <c r="AE290" s="31" t="str">
        <f t="shared" si="135"/>
        <v/>
      </c>
      <c r="AF290" s="3248"/>
      <c r="AG290" s="3249"/>
      <c r="AH290" s="3249"/>
      <c r="AI290" s="3249"/>
      <c r="AJ290" s="3249"/>
      <c r="AK290" s="3250"/>
      <c r="AL290" s="3251" t="str">
        <f>IF(C290="","",VLOOKUP(C290,[7]建物1802!$E$5:$AL$3275,2,FALSE))</f>
        <v/>
      </c>
      <c r="AM290" s="2873"/>
      <c r="AN290" s="2873"/>
      <c r="AO290" s="2874"/>
      <c r="AP290" s="2207" t="str">
        <f>IF(C290="","",VLOOKUP(C290,[7]建物1802!$E$5:$AL$3275,$BG$238,FALSE))</f>
        <v/>
      </c>
      <c r="AQ290" s="2208"/>
      <c r="AR290" s="2208"/>
      <c r="AS290" s="2208"/>
      <c r="AT290" s="2208"/>
      <c r="AU290" s="2208"/>
      <c r="AV290" s="2249"/>
      <c r="AW290" s="2209" t="str">
        <f t="shared" si="136"/>
        <v/>
      </c>
      <c r="AX290" s="2210"/>
      <c r="AY290" s="2210"/>
      <c r="AZ290" s="2210"/>
      <c r="BA290" s="2210"/>
      <c r="BB290" s="2210"/>
      <c r="BC290" s="2210"/>
      <c r="BD290" s="2210"/>
      <c r="BE290" s="2210"/>
      <c r="BF290" s="2211"/>
      <c r="BG290" s="20"/>
      <c r="BH290" s="2486" t="str">
        <f>IF(C290="","",VLOOKUP(C290,[7]建物1802!$E$5:$AL$3275,$BG$239,FALSE))</f>
        <v/>
      </c>
      <c r="BI290" s="2487"/>
      <c r="BJ290" s="2487"/>
      <c r="BK290" s="2487"/>
      <c r="BL290" s="2487"/>
      <c r="BM290" s="2488"/>
      <c r="BN290" s="2257" t="str">
        <f t="shared" si="137"/>
        <v/>
      </c>
      <c r="BO290" s="2258"/>
      <c r="BP290" s="2258"/>
      <c r="BQ290" s="2258"/>
      <c r="BR290" s="2258"/>
      <c r="BS290" s="2258"/>
      <c r="BT290" s="2259"/>
      <c r="BU290" s="19"/>
      <c r="BW290" s="15">
        <v>12</v>
      </c>
      <c r="BY290" s="114" t="s">
        <v>89</v>
      </c>
      <c r="CE290" s="324"/>
      <c r="CF290" s="324"/>
      <c r="CH290" s="7"/>
      <c r="DI290" s="7"/>
    </row>
    <row r="291" spans="2:113" ht="11.25" customHeight="1">
      <c r="B291" s="23"/>
      <c r="C291" s="3247" t="str">
        <f t="shared" si="133"/>
        <v/>
      </c>
      <c r="D291" s="2813"/>
      <c r="E291" s="2813"/>
      <c r="F291" s="2813"/>
      <c r="G291" s="2813"/>
      <c r="H291" s="2813"/>
      <c r="I291" s="2813"/>
      <c r="J291" s="2813"/>
      <c r="K291" s="2813"/>
      <c r="L291" s="2813"/>
      <c r="M291" s="2813"/>
      <c r="N291" s="2813"/>
      <c r="O291" s="2813"/>
      <c r="P291" s="2813"/>
      <c r="Q291" s="2813"/>
      <c r="R291" s="2813"/>
      <c r="S291" s="2813"/>
      <c r="T291" s="2813"/>
      <c r="U291" s="2813"/>
      <c r="V291" s="2813"/>
      <c r="W291" s="2813"/>
      <c r="X291" s="2814"/>
      <c r="Y291" s="2207" t="str">
        <f t="shared" si="134"/>
        <v/>
      </c>
      <c r="Z291" s="2208"/>
      <c r="AA291" s="2208"/>
      <c r="AB291" s="2208"/>
      <c r="AC291" s="2208"/>
      <c r="AD291" s="2249"/>
      <c r="AE291" s="31" t="str">
        <f t="shared" si="135"/>
        <v/>
      </c>
      <c r="AF291" s="3248"/>
      <c r="AG291" s="3249"/>
      <c r="AH291" s="3249"/>
      <c r="AI291" s="3249"/>
      <c r="AJ291" s="3249"/>
      <c r="AK291" s="3250"/>
      <c r="AL291" s="3251" t="str">
        <f>IF(C291="","",VLOOKUP(C291,[7]建物1802!$E$5:$AL$3275,2,FALSE))</f>
        <v/>
      </c>
      <c r="AM291" s="2873"/>
      <c r="AN291" s="2873"/>
      <c r="AO291" s="2874"/>
      <c r="AP291" s="2207" t="str">
        <f>IF(C291="","",VLOOKUP(C291,[7]建物1802!$E$5:$AL$3275,$BG$238,FALSE))</f>
        <v/>
      </c>
      <c r="AQ291" s="2208"/>
      <c r="AR291" s="2208"/>
      <c r="AS291" s="2208"/>
      <c r="AT291" s="2208"/>
      <c r="AU291" s="2208"/>
      <c r="AV291" s="2249"/>
      <c r="AW291" s="2209" t="str">
        <f t="shared" si="136"/>
        <v/>
      </c>
      <c r="AX291" s="2210"/>
      <c r="AY291" s="2210"/>
      <c r="AZ291" s="2210"/>
      <c r="BA291" s="2210"/>
      <c r="BB291" s="2210"/>
      <c r="BC291" s="2210"/>
      <c r="BD291" s="2210"/>
      <c r="BE291" s="2210"/>
      <c r="BF291" s="2211"/>
      <c r="BG291" s="20"/>
      <c r="BH291" s="2486" t="str">
        <f>IF(C291="","",VLOOKUP(C291,[7]建物1802!$E$5:$AL$3275,$BG$239,FALSE))</f>
        <v/>
      </c>
      <c r="BI291" s="2487"/>
      <c r="BJ291" s="2487"/>
      <c r="BK291" s="2487"/>
      <c r="BL291" s="2487"/>
      <c r="BM291" s="2488"/>
      <c r="BN291" s="2257" t="str">
        <f t="shared" si="137"/>
        <v/>
      </c>
      <c r="BO291" s="2258"/>
      <c r="BP291" s="2258"/>
      <c r="BQ291" s="2258"/>
      <c r="BR291" s="2258"/>
      <c r="BS291" s="2258"/>
      <c r="BT291" s="2259"/>
      <c r="BU291" s="19"/>
      <c r="BW291" s="15">
        <v>13</v>
      </c>
      <c r="BY291" s="499">
        <f>BH224</f>
        <v>172.65000000000003</v>
      </c>
      <c r="CE291" s="324"/>
      <c r="CF291" s="324"/>
      <c r="CH291" s="7"/>
      <c r="DI291" s="7"/>
    </row>
    <row r="292" spans="2:113" ht="11.25" customHeight="1">
      <c r="B292" s="23"/>
      <c r="C292" s="2250" t="str">
        <f>IF($B$2=0,"","情報端子盤")</f>
        <v>情報端子盤</v>
      </c>
      <c r="D292" s="2251"/>
      <c r="E292" s="2251"/>
      <c r="F292" s="2251"/>
      <c r="G292" s="2251"/>
      <c r="H292" s="2251"/>
      <c r="I292" s="2251"/>
      <c r="J292" s="2251"/>
      <c r="K292" s="2251"/>
      <c r="L292" s="2251"/>
      <c r="M292" s="2251"/>
      <c r="N292" s="2251"/>
      <c r="O292" s="2251"/>
      <c r="P292" s="2251"/>
      <c r="Q292" s="2251"/>
      <c r="R292" s="2251"/>
      <c r="S292" s="2251"/>
      <c r="T292" s="2251"/>
      <c r="U292" s="2251"/>
      <c r="V292" s="2251"/>
      <c r="W292" s="2251"/>
      <c r="X292" s="2252"/>
      <c r="Y292" s="2207">
        <f>IF(C292="","",1)</f>
        <v>1</v>
      </c>
      <c r="Z292" s="2208"/>
      <c r="AA292" s="2208"/>
      <c r="AB292" s="2208"/>
      <c r="AC292" s="2208"/>
      <c r="AD292" s="2249"/>
      <c r="AE292" s="31" t="str">
        <f t="shared" si="135"/>
        <v>▼</v>
      </c>
      <c r="AF292" s="3248"/>
      <c r="AG292" s="3249"/>
      <c r="AH292" s="3249"/>
      <c r="AI292" s="3249"/>
      <c r="AJ292" s="3249"/>
      <c r="AK292" s="3250"/>
      <c r="AL292" s="2872" t="str">
        <f>IF(C292="","","式")</f>
        <v>式</v>
      </c>
      <c r="AM292" s="2873"/>
      <c r="AN292" s="2873"/>
      <c r="AO292" s="2874"/>
      <c r="AP292" s="2207"/>
      <c r="AQ292" s="2208"/>
      <c r="AR292" s="2208"/>
      <c r="AS292" s="2208"/>
      <c r="AT292" s="2208"/>
      <c r="AU292" s="2208"/>
      <c r="AV292" s="2249"/>
      <c r="AW292" s="2209">
        <f>IF(B2=0,"",1000*INT(BA224/1000))</f>
        <v>3851000</v>
      </c>
      <c r="AX292" s="2210"/>
      <c r="AY292" s="2210"/>
      <c r="AZ292" s="2210"/>
      <c r="BA292" s="2210"/>
      <c r="BB292" s="2210"/>
      <c r="BC292" s="2210"/>
      <c r="BD292" s="2210"/>
      <c r="BE292" s="2210"/>
      <c r="BF292" s="2211"/>
      <c r="BG292" s="20"/>
      <c r="BH292" s="2486"/>
      <c r="BI292" s="2487"/>
      <c r="BJ292" s="2487"/>
      <c r="BK292" s="2487"/>
      <c r="BL292" s="2487"/>
      <c r="BM292" s="2488"/>
      <c r="BN292" s="2257">
        <f>BH224</f>
        <v>172.65000000000003</v>
      </c>
      <c r="BO292" s="2258"/>
      <c r="BP292" s="2258"/>
      <c r="BQ292" s="2258"/>
      <c r="BR292" s="2258"/>
      <c r="BS292" s="2258"/>
      <c r="BT292" s="2259"/>
      <c r="BU292" s="19"/>
      <c r="BW292" s="15">
        <v>14</v>
      </c>
      <c r="BY292" s="499">
        <f>BN254</f>
        <v>343.63804799999997</v>
      </c>
      <c r="CE292" s="324"/>
      <c r="CF292" s="324"/>
      <c r="CH292" s="7"/>
      <c r="DI292" s="7"/>
    </row>
    <row r="293" spans="2:113" ht="11.25" customHeight="1">
      <c r="B293" s="23"/>
      <c r="C293" s="2250" t="str">
        <f>IF($J$14="A","電話交換機","")</f>
        <v>電話交換機</v>
      </c>
      <c r="D293" s="2251"/>
      <c r="E293" s="2251"/>
      <c r="F293" s="2251"/>
      <c r="G293" s="2251"/>
      <c r="H293" s="2251"/>
      <c r="I293" s="2251"/>
      <c r="J293" s="2251"/>
      <c r="K293" s="2251"/>
      <c r="L293" s="2251"/>
      <c r="M293" s="2251"/>
      <c r="N293" s="2251"/>
      <c r="O293" s="2251"/>
      <c r="P293" s="2251"/>
      <c r="Q293" s="2251"/>
      <c r="R293" s="2251"/>
      <c r="S293" s="2251"/>
      <c r="T293" s="2251"/>
      <c r="U293" s="2251"/>
      <c r="V293" s="2251"/>
      <c r="W293" s="2251"/>
      <c r="X293" s="2252"/>
      <c r="Y293" s="2207">
        <f>IF(C293="","",1)</f>
        <v>1</v>
      </c>
      <c r="Z293" s="2208"/>
      <c r="AA293" s="2208"/>
      <c r="AB293" s="2208"/>
      <c r="AC293" s="2208"/>
      <c r="AD293" s="2249"/>
      <c r="AE293" s="31" t="str">
        <f t="shared" si="135"/>
        <v>▼</v>
      </c>
      <c r="AF293" s="3248"/>
      <c r="AG293" s="3249"/>
      <c r="AH293" s="3249"/>
      <c r="AI293" s="3249"/>
      <c r="AJ293" s="3249"/>
      <c r="AK293" s="3250"/>
      <c r="AL293" s="2872" t="str">
        <f>IF(C293="","","式")</f>
        <v>式</v>
      </c>
      <c r="AM293" s="2873"/>
      <c r="AN293" s="2873"/>
      <c r="AO293" s="2874"/>
      <c r="AP293" s="2207"/>
      <c r="AQ293" s="2208"/>
      <c r="AR293" s="2208"/>
      <c r="AS293" s="2208"/>
      <c r="AT293" s="2208"/>
      <c r="AU293" s="2208"/>
      <c r="AV293" s="2249"/>
      <c r="AW293" s="2209">
        <f>IF(C293="","",AL304)</f>
        <v>11200000</v>
      </c>
      <c r="AX293" s="2210"/>
      <c r="AY293" s="2210"/>
      <c r="AZ293" s="2210"/>
      <c r="BA293" s="2210"/>
      <c r="BB293" s="2210"/>
      <c r="BC293" s="2210"/>
      <c r="BD293" s="2210"/>
      <c r="BE293" s="2210"/>
      <c r="BF293" s="2211"/>
      <c r="BG293" s="20"/>
      <c r="BH293" s="2486">
        <f>IF(C293="","",0.15*SQRT(AL303))</f>
        <v>5.196152422706632</v>
      </c>
      <c r="BI293" s="2487"/>
      <c r="BJ293" s="2487"/>
      <c r="BK293" s="2487"/>
      <c r="BL293" s="2487"/>
      <c r="BM293" s="2488"/>
      <c r="BN293" s="2257">
        <f>IF(Y293="","",Y293*BH293)</f>
        <v>5.196152422706632</v>
      </c>
      <c r="BO293" s="2258"/>
      <c r="BP293" s="2258"/>
      <c r="BQ293" s="2258"/>
      <c r="BR293" s="2258"/>
      <c r="BS293" s="2258"/>
      <c r="BT293" s="2259"/>
      <c r="BU293" s="19"/>
      <c r="BW293" s="15">
        <v>15</v>
      </c>
      <c r="BY293" s="499">
        <f>BN275</f>
        <v>2266.6229673777134</v>
      </c>
      <c r="CE293" s="324"/>
      <c r="CF293" s="500"/>
      <c r="CH293" s="7"/>
      <c r="DI293" s="7"/>
    </row>
    <row r="294" spans="2:113" ht="12" customHeight="1">
      <c r="B294" s="23"/>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762">
        <f>IF(SUM(AW279:BF293)=0,"",SUM(AW279:BF293))</f>
        <v>42311000</v>
      </c>
      <c r="AX294" s="2763"/>
      <c r="AY294" s="2763"/>
      <c r="AZ294" s="2763"/>
      <c r="BA294" s="2763"/>
      <c r="BB294" s="2763"/>
      <c r="BC294" s="2763"/>
      <c r="BD294" s="2763"/>
      <c r="BE294" s="2763"/>
      <c r="BF294" s="2764"/>
      <c r="BG294" s="20"/>
      <c r="BH294" s="20"/>
      <c r="BI294" s="20"/>
      <c r="BJ294" s="20"/>
      <c r="BK294" s="20"/>
      <c r="BL294" s="20"/>
      <c r="BM294" s="20"/>
      <c r="BN294" s="3274">
        <f>IF(SUM(BN279:BT293)=0,"",SUM(BN279:BT293))</f>
        <v>383.01115242270669</v>
      </c>
      <c r="BO294" s="3275"/>
      <c r="BP294" s="3275"/>
      <c r="BQ294" s="3275"/>
      <c r="BR294" s="3275"/>
      <c r="BS294" s="3275"/>
      <c r="BT294" s="3276"/>
      <c r="BU294" s="19"/>
      <c r="BY294" s="499">
        <f>BN294</f>
        <v>383.01115242270669</v>
      </c>
      <c r="CE294" s="324"/>
      <c r="CF294" s="324"/>
      <c r="CH294" s="7"/>
      <c r="DI294" s="7"/>
    </row>
    <row r="295" spans="2:113" ht="12" customHeight="1" thickBot="1">
      <c r="B295" s="23"/>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19"/>
      <c r="CE295" s="324"/>
      <c r="CF295" s="324"/>
      <c r="CH295" s="7"/>
    </row>
    <row r="296" spans="2:113" ht="12" customHeight="1" thickBot="1">
      <c r="B296" s="23"/>
      <c r="C296" s="2261">
        <f>B3</f>
        <v>11</v>
      </c>
      <c r="D296" s="2261"/>
      <c r="E296" s="2261"/>
      <c r="F296" s="3271" t="str">
        <f>E3</f>
        <v xml:space="preserve"> 構内電話設備工事</v>
      </c>
      <c r="G296" s="3272"/>
      <c r="H296" s="3272"/>
      <c r="I296" s="3272"/>
      <c r="J296" s="3272"/>
      <c r="K296" s="3272"/>
      <c r="L296" s="3272"/>
      <c r="M296" s="3272"/>
      <c r="N296" s="3272"/>
      <c r="O296" s="3272"/>
      <c r="P296" s="3272"/>
      <c r="Q296" s="3272"/>
      <c r="R296" s="3272"/>
      <c r="S296" s="3272"/>
      <c r="T296" s="3272"/>
      <c r="U296" s="3272"/>
      <c r="V296" s="3272"/>
      <c r="W296" s="3273"/>
      <c r="X296" s="35"/>
      <c r="Y296" s="35"/>
      <c r="Z296" s="2453" t="str">
        <f>IF(B2=1,"配管配線　掛率％","")</f>
        <v>配管配線　掛率％</v>
      </c>
      <c r="AA296" s="2454"/>
      <c r="AB296" s="2454"/>
      <c r="AC296" s="2454"/>
      <c r="AD296" s="2454"/>
      <c r="AE296" s="2454"/>
      <c r="AF296" s="2454"/>
      <c r="AG296" s="2454"/>
      <c r="AH296" s="2454"/>
      <c r="AI296" s="2455"/>
      <c r="AJ296" s="3297" t="str">
        <f>IF(AO296="","",AO296)</f>
        <v/>
      </c>
      <c r="AK296" s="3298"/>
      <c r="AL296" s="3298"/>
      <c r="AM296" s="3299"/>
      <c r="AN296" s="31" t="s">
        <v>86</v>
      </c>
      <c r="AO296" s="3300"/>
      <c r="AP296" s="3301"/>
      <c r="AQ296" s="3301"/>
      <c r="AR296" s="3302"/>
      <c r="AS296" s="35"/>
      <c r="AT296" s="35"/>
      <c r="AU296" s="2271" t="str">
        <f>IF(B2=0,"","電工単価")</f>
        <v>電工単価</v>
      </c>
      <c r="AV296" s="2272"/>
      <c r="AW296" s="2272"/>
      <c r="AX296" s="2272"/>
      <c r="AY296" s="2272"/>
      <c r="AZ296" s="2273"/>
      <c r="BA296" s="3267">
        <f>IF($B$2=0,"",IF(BH296="",[6]原価!$AD$44,BH296))</f>
        <v>6000</v>
      </c>
      <c r="BB296" s="3268"/>
      <c r="BC296" s="3268"/>
      <c r="BD296" s="3268"/>
      <c r="BE296" s="3268"/>
      <c r="BF296" s="3269"/>
      <c r="BG296" s="31" t="s">
        <v>86</v>
      </c>
      <c r="BH296" s="2265"/>
      <c r="BI296" s="2266"/>
      <c r="BJ296" s="2266"/>
      <c r="BK296" s="2266"/>
      <c r="BL296" s="2266"/>
      <c r="BM296" s="2267"/>
      <c r="BN296" s="29"/>
      <c r="BO296" s="3259" t="s">
        <v>536</v>
      </c>
      <c r="BP296" s="3260"/>
      <c r="BQ296" s="3260"/>
      <c r="BR296" s="3261"/>
      <c r="BS296" s="20"/>
      <c r="BT296" s="35"/>
      <c r="BU296" s="19"/>
      <c r="CE296" s="324"/>
      <c r="CF296" s="324"/>
      <c r="CH296" s="7"/>
    </row>
    <row r="297" spans="2:113" ht="12" customHeight="1" thickBot="1">
      <c r="B297" s="23"/>
      <c r="C297" s="2261" t="str">
        <f>IF(B2=1,"配　線 　材　料","")</f>
        <v>配　線 　材　料</v>
      </c>
      <c r="D297" s="2261"/>
      <c r="E297" s="2261"/>
      <c r="F297" s="3270"/>
      <c r="G297" s="3270"/>
      <c r="H297" s="3270"/>
      <c r="I297" s="3270"/>
      <c r="J297" s="3270"/>
      <c r="K297" s="3270"/>
      <c r="L297" s="3270"/>
      <c r="M297" s="2260">
        <f>IF(AW254="",0,IF(AW254=0,"",IF(AJ296&lt;&gt;"",1000*INT((1+AJ296/100)*(1.3*AW254)/1000),1000*INT(1.3*AW254/1000))))</f>
        <v>1319000</v>
      </c>
      <c r="N297" s="2260"/>
      <c r="O297" s="2260"/>
      <c r="P297" s="2260"/>
      <c r="Q297" s="2260"/>
      <c r="R297" s="2260"/>
      <c r="S297" s="2260"/>
      <c r="T297" s="2260"/>
      <c r="U297" s="2260"/>
      <c r="V297" s="2260"/>
      <c r="W297" s="2260"/>
      <c r="X297" s="35"/>
      <c r="Y297" s="35"/>
      <c r="Z297" s="20"/>
      <c r="AA297" s="20"/>
      <c r="AB297" s="20"/>
      <c r="AC297" s="20"/>
      <c r="AD297" s="20"/>
      <c r="AE297" s="20"/>
      <c r="AF297" s="20"/>
      <c r="AG297" s="30" t="str">
        <f>IF(AH297="","","元の値")</f>
        <v/>
      </c>
      <c r="AH297" s="20"/>
      <c r="AI297" s="20"/>
      <c r="AJ297" s="2755" t="str">
        <f>IF(AJ296="","",1000*INT(1.3*AW254/1000))</f>
        <v/>
      </c>
      <c r="AK297" s="2756"/>
      <c r="AL297" s="2756"/>
      <c r="AM297" s="2756"/>
      <c r="AN297" s="2756"/>
      <c r="AO297" s="2756"/>
      <c r="AP297" s="2756"/>
      <c r="AQ297" s="2756"/>
      <c r="AR297" s="2757"/>
      <c r="AS297" s="35"/>
      <c r="AT297" s="35"/>
      <c r="AU297" s="29"/>
      <c r="AV297" s="29"/>
      <c r="AW297" s="29"/>
      <c r="AX297" s="29"/>
      <c r="AY297" s="29"/>
      <c r="AZ297" s="29"/>
      <c r="BA297" s="29"/>
      <c r="BB297" s="29"/>
      <c r="BC297" s="29"/>
      <c r="BD297" s="29"/>
      <c r="BE297" s="29"/>
      <c r="BF297" s="29"/>
      <c r="BG297" s="29"/>
      <c r="BH297" s="29"/>
      <c r="BI297" s="29"/>
      <c r="BJ297" s="29"/>
      <c r="BK297" s="423"/>
      <c r="BL297" s="29"/>
      <c r="BM297" s="29"/>
      <c r="BN297" s="29"/>
      <c r="BO297" s="29"/>
      <c r="BP297" s="29"/>
      <c r="BQ297" s="29"/>
      <c r="BR297" s="20"/>
      <c r="BS297" s="20"/>
      <c r="BT297" s="35"/>
      <c r="BU297" s="19"/>
      <c r="CE297" s="324"/>
      <c r="CF297" s="324"/>
      <c r="CH297" s="7"/>
    </row>
    <row r="298" spans="2:113" ht="12" customHeight="1" thickTop="1" thickBot="1">
      <c r="B298" s="23"/>
      <c r="C298" s="2261" t="str">
        <f>IF(B2=1,"配　管 　材　料","")</f>
        <v>配　管 　材　料</v>
      </c>
      <c r="D298" s="2261"/>
      <c r="E298" s="2261"/>
      <c r="F298" s="2261"/>
      <c r="G298" s="2261"/>
      <c r="H298" s="2261"/>
      <c r="I298" s="2261"/>
      <c r="J298" s="2261"/>
      <c r="K298" s="2261"/>
      <c r="L298" s="2261"/>
      <c r="M298" s="2260">
        <f>IF(B2=0,"",IF(AW275=0,"",IF(AJ296&lt;&gt;"",1000*INT((1+AJ296/100)*(1.3*AW275)/1000),1000*INT(1.3*AW275/1000))))</f>
        <v>18671000</v>
      </c>
      <c r="N298" s="2260"/>
      <c r="O298" s="2260"/>
      <c r="P298" s="2260"/>
      <c r="Q298" s="2260"/>
      <c r="R298" s="2260"/>
      <c r="S298" s="2260"/>
      <c r="T298" s="2260"/>
      <c r="U298" s="2260"/>
      <c r="V298" s="2260"/>
      <c r="W298" s="2260"/>
      <c r="X298" s="35"/>
      <c r="Y298" s="35"/>
      <c r="Z298" s="35"/>
      <c r="AA298" s="35"/>
      <c r="AB298" s="35"/>
      <c r="AC298" s="35"/>
      <c r="AD298" s="35"/>
      <c r="AE298" s="35"/>
      <c r="AF298" s="35"/>
      <c r="AG298" s="35"/>
      <c r="AH298" s="35"/>
      <c r="AI298" s="35"/>
      <c r="AJ298" s="2755" t="str">
        <f>IF(AJ296="","",1000*INT(1.3*AW275/1000))</f>
        <v/>
      </c>
      <c r="AK298" s="2756"/>
      <c r="AL298" s="2756"/>
      <c r="AM298" s="2756"/>
      <c r="AN298" s="2756"/>
      <c r="AO298" s="2756"/>
      <c r="AP298" s="2756"/>
      <c r="AQ298" s="2756"/>
      <c r="AR298" s="2757"/>
      <c r="AS298" s="35"/>
      <c r="AT298" s="35"/>
      <c r="AU298" s="2253" t="str">
        <f>IF(B2=0,"","単価設定")</f>
        <v>単価設定</v>
      </c>
      <c r="AV298" s="2254"/>
      <c r="AW298" s="2254"/>
      <c r="AX298" s="2254"/>
      <c r="AY298" s="2254"/>
      <c r="AZ298" s="2254"/>
      <c r="BA298" s="2255" t="str">
        <f>IF(OR(B2=0,C48=0),"",IF(BH298="",[6]原価!$AD$42,BH298))</f>
        <v>単価-1</v>
      </c>
      <c r="BB298" s="2255"/>
      <c r="BC298" s="2255"/>
      <c r="BD298" s="2255"/>
      <c r="BE298" s="2255"/>
      <c r="BF298" s="2255"/>
      <c r="BG298" s="27" t="s">
        <v>86</v>
      </c>
      <c r="BH298" s="2256"/>
      <c r="BI298" s="2256"/>
      <c r="BJ298" s="2256"/>
      <c r="BK298" s="2256"/>
      <c r="BL298" s="2256"/>
      <c r="BM298" s="2256"/>
      <c r="BN298" s="28"/>
      <c r="BO298" s="2233" t="str">
        <f>IF(B2=0,"",IF(AND(BA298="単価-1",BA299="歩掛-1"),[6]Top!$BH$15,"User"))</f>
        <v>近畿</v>
      </c>
      <c r="BP298" s="2233"/>
      <c r="BQ298" s="2233"/>
      <c r="BR298" s="2233"/>
      <c r="BS298" s="28"/>
      <c r="BT298" s="35"/>
      <c r="BU298" s="19"/>
      <c r="CE298" s="324"/>
      <c r="CF298" s="324"/>
      <c r="CH298" s="7"/>
    </row>
    <row r="299" spans="2:113" ht="12" customHeight="1" thickTop="1" thickBot="1">
      <c r="B299" s="23"/>
      <c r="C299" s="2261" t="str">
        <f>IF(B2=1,"機　 　器 　　類","")</f>
        <v>機　 　器 　　類</v>
      </c>
      <c r="D299" s="2261"/>
      <c r="E299" s="2261"/>
      <c r="F299" s="2261"/>
      <c r="G299" s="2261"/>
      <c r="H299" s="2261"/>
      <c r="I299" s="2261"/>
      <c r="J299" s="2261"/>
      <c r="K299" s="2261"/>
      <c r="L299" s="2261"/>
      <c r="M299" s="2260">
        <f>IF(OR(B2=0,AW294=0),"",IF(AJ299&lt;&gt;"",1000*INT((1+AJ299/100)*AW294/1000),1000*INT(AW294/1000)))</f>
        <v>42311000</v>
      </c>
      <c r="N299" s="2260"/>
      <c r="O299" s="2260"/>
      <c r="P299" s="2260"/>
      <c r="Q299" s="2260"/>
      <c r="R299" s="2260"/>
      <c r="S299" s="2260"/>
      <c r="T299" s="2260"/>
      <c r="U299" s="2260"/>
      <c r="V299" s="2260"/>
      <c r="W299" s="2260"/>
      <c r="X299" s="35"/>
      <c r="Y299" s="35"/>
      <c r="Z299" s="2453" t="str">
        <f>IF(B2=1,"機　器　類 掛率％","")</f>
        <v>機　器　類 掛率％</v>
      </c>
      <c r="AA299" s="2454"/>
      <c r="AB299" s="2454"/>
      <c r="AC299" s="2454"/>
      <c r="AD299" s="2454"/>
      <c r="AE299" s="2454"/>
      <c r="AF299" s="2454"/>
      <c r="AG299" s="2454"/>
      <c r="AH299" s="2454"/>
      <c r="AI299" s="2455"/>
      <c r="AJ299" s="3297" t="str">
        <f>IF(AO299="","",AO299)</f>
        <v/>
      </c>
      <c r="AK299" s="3298"/>
      <c r="AL299" s="3298"/>
      <c r="AM299" s="3299"/>
      <c r="AN299" s="31" t="s">
        <v>86</v>
      </c>
      <c r="AO299" s="3300"/>
      <c r="AP299" s="3301"/>
      <c r="AQ299" s="3301"/>
      <c r="AR299" s="3302"/>
      <c r="AS299" s="35"/>
      <c r="AT299" s="35"/>
      <c r="AU299" s="2253" t="str">
        <f>IF(B2=0,"","歩掛設定")</f>
        <v>歩掛設定</v>
      </c>
      <c r="AV299" s="2254"/>
      <c r="AW299" s="2254"/>
      <c r="AX299" s="2254"/>
      <c r="AY299" s="2254"/>
      <c r="AZ299" s="2254"/>
      <c r="BA299" s="2255" t="str">
        <f>IF(OR(B2=0,C48=0),"",IF(BH299="",[6]原価!$AD$43,BH299))</f>
        <v>歩掛-1</v>
      </c>
      <c r="BB299" s="2255"/>
      <c r="BC299" s="2255"/>
      <c r="BD299" s="2255"/>
      <c r="BE299" s="2255"/>
      <c r="BF299" s="2255"/>
      <c r="BG299" s="27" t="s">
        <v>86</v>
      </c>
      <c r="BH299" s="2256"/>
      <c r="BI299" s="2256"/>
      <c r="BJ299" s="2256"/>
      <c r="BK299" s="2256"/>
      <c r="BL299" s="2256"/>
      <c r="BM299" s="2256"/>
      <c r="BN299" s="2231" t="str">
        <f>IF(B2=0,"","建設物価")</f>
        <v>建設物価</v>
      </c>
      <c r="BO299" s="2232"/>
      <c r="BP299" s="2232"/>
      <c r="BQ299" s="2232"/>
      <c r="BR299" s="2232"/>
      <c r="BS299" s="2232"/>
      <c r="BT299" s="35"/>
      <c r="BU299" s="19"/>
      <c r="CE299" s="324"/>
      <c r="CF299" s="324"/>
      <c r="CH299" s="7"/>
    </row>
    <row r="300" spans="2:113" ht="12" customHeight="1" thickTop="1">
      <c r="B300" s="23"/>
      <c r="C300" s="2261" t="str">
        <f>IF(B2=1,"電 　　工　 　費","")</f>
        <v>電 　　工　 　費</v>
      </c>
      <c r="D300" s="2261"/>
      <c r="E300" s="2261"/>
      <c r="F300" s="2261"/>
      <c r="G300" s="2261"/>
      <c r="H300" s="2261"/>
      <c r="I300" s="2261"/>
      <c r="J300" s="2261"/>
      <c r="K300" s="2261"/>
      <c r="L300" s="2261"/>
      <c r="M300" s="2260">
        <f>IF(B2=0,"",BA296*1000*INT(1.15*SUM(BY291:BY294))/1000)</f>
        <v>21840000</v>
      </c>
      <c r="N300" s="2260"/>
      <c r="O300" s="2260"/>
      <c r="P300" s="2260"/>
      <c r="Q300" s="2260"/>
      <c r="R300" s="2260"/>
      <c r="S300" s="2260"/>
      <c r="T300" s="2260"/>
      <c r="U300" s="2260"/>
      <c r="V300" s="2260"/>
      <c r="W300" s="2260"/>
      <c r="X300" s="35"/>
      <c r="Y300" s="35"/>
      <c r="Z300" s="35"/>
      <c r="AA300" s="35"/>
      <c r="AB300" s="35"/>
      <c r="AC300" s="35"/>
      <c r="AD300" s="35"/>
      <c r="AE300" s="35"/>
      <c r="AF300" s="35"/>
      <c r="AG300" s="35"/>
      <c r="AH300" s="35"/>
      <c r="AI300" s="35"/>
      <c r="AJ300" s="2755" t="str">
        <f>IF(AO299="","",1000*INT(AW294/1000))</f>
        <v/>
      </c>
      <c r="AK300" s="2756"/>
      <c r="AL300" s="2756"/>
      <c r="AM300" s="2756"/>
      <c r="AN300" s="2756"/>
      <c r="AO300" s="2756"/>
      <c r="AP300" s="2756"/>
      <c r="AQ300" s="2756"/>
      <c r="AR300" s="2757"/>
      <c r="AS300" s="35"/>
      <c r="AT300" s="35"/>
      <c r="AU300" s="29"/>
      <c r="AV300" s="29"/>
      <c r="AW300" s="29"/>
      <c r="AX300" s="29"/>
      <c r="AY300" s="29"/>
      <c r="AZ300" s="29"/>
      <c r="BA300" s="29"/>
      <c r="BB300" s="29"/>
      <c r="BC300" s="29"/>
      <c r="BD300" s="29"/>
      <c r="BE300" s="2777"/>
      <c r="BF300" s="2777"/>
      <c r="BG300" s="2777"/>
      <c r="BH300" s="2777"/>
      <c r="BI300" s="2777"/>
      <c r="BJ300" s="2777"/>
      <c r="BK300" s="423"/>
      <c r="BL300" s="2777"/>
      <c r="BM300" s="2777"/>
      <c r="BN300" s="2777"/>
      <c r="BO300" s="2777"/>
      <c r="BP300" s="2777"/>
      <c r="BQ300" s="2777"/>
      <c r="BR300" s="20"/>
      <c r="BS300" s="20"/>
      <c r="BT300" s="35"/>
      <c r="BU300" s="19"/>
      <c r="CE300" s="324"/>
      <c r="CF300" s="324"/>
      <c r="CH300" s="7"/>
    </row>
    <row r="301" spans="2:113" ht="12" customHeight="1" thickBot="1">
      <c r="B301" s="23"/>
      <c r="C301" s="2261">
        <f>C296</f>
        <v>11</v>
      </c>
      <c r="D301" s="2261"/>
      <c r="E301" s="2261"/>
      <c r="F301" s="2274" t="str">
        <f>IF(M301="","","　の 計")</f>
        <v>　の 計</v>
      </c>
      <c r="G301" s="2274"/>
      <c r="H301" s="2274"/>
      <c r="I301" s="2274"/>
      <c r="J301" s="2274"/>
      <c r="K301" s="2274"/>
      <c r="L301" s="2274"/>
      <c r="M301" s="2260">
        <f>IF(B2=0,"",1000*INT(SUM(M297:W300)/1000))</f>
        <v>84141000</v>
      </c>
      <c r="N301" s="2260"/>
      <c r="O301" s="2260"/>
      <c r="P301" s="2260"/>
      <c r="Q301" s="2260"/>
      <c r="R301" s="2260"/>
      <c r="S301" s="2260"/>
      <c r="T301" s="2260"/>
      <c r="U301" s="2260"/>
      <c r="V301" s="2260"/>
      <c r="W301" s="2260"/>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35"/>
      <c r="BU301" s="19"/>
      <c r="CE301" s="324"/>
      <c r="CF301" s="324"/>
      <c r="CH301" s="7"/>
    </row>
    <row r="302" spans="2:113" ht="12" customHeight="1" thickTop="1" thickBot="1">
      <c r="B302" s="23"/>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2327" t="s">
        <v>535</v>
      </c>
      <c r="AA302" s="2328"/>
      <c r="AB302" s="2328"/>
      <c r="AC302" s="2328"/>
      <c r="AD302" s="2328"/>
      <c r="AE302" s="2328"/>
      <c r="AF302" s="2329"/>
      <c r="AG302" s="35"/>
      <c r="AH302" s="2327" t="s">
        <v>534</v>
      </c>
      <c r="AI302" s="2328"/>
      <c r="AJ302" s="2328"/>
      <c r="AK302" s="2329"/>
      <c r="AL302" s="3288">
        <f>IF($B$2=0,"",IF(AQ302&lt;&gt;"",AQ302,IF(AL303&lt;=50,INT(AL303/10),IF(AL303&lt;=128,INT(AL303/15),INT(AL303/20)))))</f>
        <v>60</v>
      </c>
      <c r="AM302" s="3289"/>
      <c r="AN302" s="3289"/>
      <c r="AO302" s="3290"/>
      <c r="AP302" s="498" t="s">
        <v>86</v>
      </c>
      <c r="AQ302" s="3291"/>
      <c r="AR302" s="3292"/>
      <c r="AS302" s="3292"/>
      <c r="AT302" s="3293"/>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35"/>
      <c r="BU302" s="19"/>
      <c r="BZ302" s="496"/>
      <c r="CA302" s="496"/>
      <c r="CB302" s="496"/>
      <c r="CE302" s="324"/>
      <c r="CF302" s="324"/>
      <c r="CH302" s="7"/>
    </row>
    <row r="303" spans="2:113" ht="12" customHeight="1" thickTop="1">
      <c r="B303" s="23"/>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2327" t="s">
        <v>533</v>
      </c>
      <c r="AI303" s="2328"/>
      <c r="AJ303" s="2328"/>
      <c r="AK303" s="2329"/>
      <c r="AL303" s="3285">
        <f>IF($B$2=0,"",IF(AQ303="",MAX(N204:P223),AQ303))</f>
        <v>1200</v>
      </c>
      <c r="AM303" s="3286"/>
      <c r="AN303" s="3286"/>
      <c r="AO303" s="3287"/>
      <c r="AP303" s="497" t="s">
        <v>86</v>
      </c>
      <c r="AQ303" s="3294"/>
      <c r="AR303" s="3295"/>
      <c r="AS303" s="3295"/>
      <c r="AT303" s="3296"/>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35"/>
      <c r="BU303" s="19"/>
      <c r="BZ303" s="496"/>
      <c r="CA303" s="496"/>
      <c r="CB303" s="496"/>
      <c r="CE303" s="324"/>
      <c r="CF303" s="324"/>
      <c r="CH303" s="7"/>
    </row>
    <row r="304" spans="2:113" ht="12" customHeight="1">
      <c r="B304" s="23"/>
      <c r="C304" s="3139" t="str">
        <f>J14</f>
        <v>A</v>
      </c>
      <c r="D304" s="3140"/>
      <c r="E304" s="2908" t="str">
        <f>L14</f>
        <v>配管配線機器取付</v>
      </c>
      <c r="F304" s="2909"/>
      <c r="G304" s="2909"/>
      <c r="H304" s="2909"/>
      <c r="I304" s="2909"/>
      <c r="J304" s="2909"/>
      <c r="K304" s="2909"/>
      <c r="L304" s="2909"/>
      <c r="M304" s="2909"/>
      <c r="N304" s="2910"/>
      <c r="O304" s="35"/>
      <c r="P304" s="35"/>
      <c r="Q304" s="35"/>
      <c r="R304" s="35"/>
      <c r="S304" s="35"/>
      <c r="T304" s="35"/>
      <c r="U304" s="35"/>
      <c r="V304" s="35"/>
      <c r="W304" s="35"/>
      <c r="X304" s="35"/>
      <c r="Y304" s="35"/>
      <c r="Z304" s="35"/>
      <c r="AA304" s="35"/>
      <c r="AB304" s="35"/>
      <c r="AC304" s="35"/>
      <c r="AD304" s="35"/>
      <c r="AE304" s="35"/>
      <c r="AF304" s="35"/>
      <c r="AG304" s="35"/>
      <c r="AH304" s="2327" t="s">
        <v>532</v>
      </c>
      <c r="AI304" s="2328"/>
      <c r="AJ304" s="2328"/>
      <c r="AK304" s="2329"/>
      <c r="AL304" s="3303">
        <f>IF($B$2=0,"",IF(AV304&lt;&gt;"",AV304,IF(AL303&lt;=128,350000,3.5*10^5*INT(SQRT(AL303-128)))))</f>
        <v>11200000</v>
      </c>
      <c r="AM304" s="3304"/>
      <c r="AN304" s="3304"/>
      <c r="AO304" s="3304"/>
      <c r="AP304" s="3304"/>
      <c r="AQ304" s="3304"/>
      <c r="AR304" s="3304"/>
      <c r="AS304" s="3304"/>
      <c r="AT304" s="3305"/>
      <c r="AU304" s="31" t="s">
        <v>86</v>
      </c>
      <c r="AV304" s="3306"/>
      <c r="AW304" s="3307"/>
      <c r="AX304" s="3307"/>
      <c r="AY304" s="3307"/>
      <c r="AZ304" s="3307"/>
      <c r="BA304" s="3307"/>
      <c r="BB304" s="3307"/>
      <c r="BC304" s="3307"/>
      <c r="BD304" s="3308"/>
      <c r="BE304" s="35"/>
      <c r="BF304" s="35"/>
      <c r="BG304" s="35"/>
      <c r="BH304" s="35"/>
      <c r="BI304" s="35"/>
      <c r="BJ304" s="35"/>
      <c r="BK304" s="35"/>
      <c r="BL304" s="35"/>
      <c r="BM304" s="35"/>
      <c r="BN304" s="35"/>
      <c r="BO304" s="35"/>
      <c r="BP304" s="35"/>
      <c r="BQ304" s="35"/>
      <c r="BR304" s="35"/>
      <c r="BS304" s="35"/>
      <c r="BT304" s="35"/>
      <c r="BU304" s="19"/>
      <c r="CE304" s="324"/>
      <c r="CF304" s="324"/>
      <c r="CH304" s="7"/>
    </row>
    <row r="305" spans="2:86" ht="12" customHeight="1">
      <c r="B305" s="23"/>
      <c r="C305" s="115" t="str">
        <f>IF(O304="","",C304)</f>
        <v/>
      </c>
      <c r="D305" s="495"/>
      <c r="E305" s="495" t="str">
        <f>IF(O304="","",E304)</f>
        <v/>
      </c>
      <c r="F305" s="115"/>
      <c r="G305" s="94"/>
      <c r="H305" s="94"/>
      <c r="I305" s="94"/>
      <c r="J305" s="94"/>
      <c r="K305" s="94"/>
      <c r="L305" s="94"/>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19"/>
      <c r="CE305" s="324"/>
      <c r="CF305" s="324"/>
      <c r="CH305" s="7"/>
    </row>
    <row r="306" spans="2:86" ht="12" customHeight="1">
      <c r="B306" s="18"/>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c r="BC306" s="83"/>
      <c r="BD306" s="83"/>
      <c r="BE306" s="83"/>
      <c r="BF306" s="83"/>
      <c r="BG306" s="83"/>
      <c r="BH306" s="83"/>
      <c r="BI306" s="83"/>
      <c r="BJ306" s="83"/>
      <c r="BK306" s="83"/>
      <c r="BL306" s="83"/>
      <c r="BM306" s="83"/>
      <c r="BN306" s="83"/>
      <c r="BO306" s="83"/>
      <c r="BP306" s="83"/>
      <c r="BQ306" s="83"/>
      <c r="BR306" s="83"/>
      <c r="BS306" s="83"/>
      <c r="BT306" s="83"/>
      <c r="BU306" s="16"/>
      <c r="CE306" s="324"/>
      <c r="CF306" s="324"/>
      <c r="CH306" s="7"/>
    </row>
    <row r="307" spans="2:86">
      <c r="CE307" s="324"/>
      <c r="CF307" s="324"/>
      <c r="CH307" s="7"/>
    </row>
    <row r="308" spans="2:86">
      <c r="CE308" s="324"/>
      <c r="CF308" s="324"/>
      <c r="CH308" s="7"/>
    </row>
    <row r="309" spans="2:86">
      <c r="CE309" s="324"/>
      <c r="CF309" s="324"/>
      <c r="CH309" s="7"/>
    </row>
    <row r="310" spans="2:86">
      <c r="CE310" s="324"/>
      <c r="CF310" s="324"/>
      <c r="CH310" s="7"/>
    </row>
    <row r="311" spans="2:86">
      <c r="CE311" s="324"/>
      <c r="CF311" s="324"/>
      <c r="CH311" s="7"/>
    </row>
    <row r="312" spans="2:86">
      <c r="CE312" s="324"/>
      <c r="CF312" s="324"/>
      <c r="CH312" s="7"/>
    </row>
    <row r="313" spans="2:86">
      <c r="CE313" s="324"/>
      <c r="CF313" s="324"/>
      <c r="CH313" s="7"/>
    </row>
    <row r="314" spans="2:86">
      <c r="CE314" s="324"/>
      <c r="CF314" s="324"/>
      <c r="CH314" s="7"/>
    </row>
    <row r="315" spans="2:86">
      <c r="CE315" s="324"/>
      <c r="CF315" s="324"/>
      <c r="CH315" s="7"/>
    </row>
    <row r="316" spans="2:86">
      <c r="CE316" s="324"/>
      <c r="CF316" s="324"/>
      <c r="CH316" s="7"/>
    </row>
    <row r="317" spans="2:86">
      <c r="CE317" s="324"/>
      <c r="CF317" s="324"/>
      <c r="CH317" s="7"/>
    </row>
    <row r="318" spans="2:86">
      <c r="CE318" s="324"/>
      <c r="CF318" s="324"/>
      <c r="CH318" s="7"/>
    </row>
    <row r="319" spans="2:86">
      <c r="CE319" s="324"/>
      <c r="CF319" s="324"/>
      <c r="CH319" s="7"/>
    </row>
    <row r="320" spans="2:86">
      <c r="CE320" s="324"/>
      <c r="CF320" s="324"/>
      <c r="CH320" s="7"/>
    </row>
    <row r="321" spans="83:86">
      <c r="CE321" s="324"/>
      <c r="CF321" s="324"/>
      <c r="CH321" s="7"/>
    </row>
    <row r="322" spans="83:86">
      <c r="CE322" s="324"/>
      <c r="CF322" s="324"/>
      <c r="CH322" s="7"/>
    </row>
    <row r="323" spans="83:86">
      <c r="CE323" s="324"/>
      <c r="CF323" s="324"/>
      <c r="CH323" s="7"/>
    </row>
    <row r="324" spans="83:86">
      <c r="CE324" s="324"/>
      <c r="CF324" s="324"/>
      <c r="CH324" s="7"/>
    </row>
    <row r="325" spans="83:86">
      <c r="CE325" s="324"/>
      <c r="CF325" s="324"/>
      <c r="CH325" s="7"/>
    </row>
    <row r="326" spans="83:86">
      <c r="CE326" s="324"/>
      <c r="CF326" s="324"/>
      <c r="CH326" s="7"/>
    </row>
  </sheetData>
  <sheetProtection password="8220" sheet="1" objects="1" scenarios="1"/>
  <mergeCells count="3160">
    <mergeCell ref="C304:D304"/>
    <mergeCell ref="AL304:AT304"/>
    <mergeCell ref="AV304:BD304"/>
    <mergeCell ref="AH304:AK304"/>
    <mergeCell ref="C272:X272"/>
    <mergeCell ref="Y272:AD272"/>
    <mergeCell ref="AF272:AK272"/>
    <mergeCell ref="AL272:AO272"/>
    <mergeCell ref="AP272:AV272"/>
    <mergeCell ref="AW272:BF272"/>
    <mergeCell ref="C301:E301"/>
    <mergeCell ref="F301:L301"/>
    <mergeCell ref="M301:W301"/>
    <mergeCell ref="C300:L300"/>
    <mergeCell ref="AJ300:AR300"/>
    <mergeCell ref="AL292:AO292"/>
    <mergeCell ref="AP292:AV292"/>
    <mergeCell ref="AW292:BF292"/>
    <mergeCell ref="Z296:AI296"/>
    <mergeCell ref="AJ296:AM296"/>
    <mergeCell ref="AO296:AR296"/>
    <mergeCell ref="AJ297:AR297"/>
    <mergeCell ref="AW294:BF294"/>
    <mergeCell ref="AP284:AV284"/>
    <mergeCell ref="AW284:BF284"/>
    <mergeCell ref="C285:X285"/>
    <mergeCell ref="Y285:AD285"/>
    <mergeCell ref="AF285:AK285"/>
    <mergeCell ref="AL285:AO285"/>
    <mergeCell ref="AP285:AV285"/>
    <mergeCell ref="C290:X290"/>
    <mergeCell ref="AP290:AV290"/>
    <mergeCell ref="AH303:AK303"/>
    <mergeCell ref="AL303:AO303"/>
    <mergeCell ref="AL302:AO302"/>
    <mergeCell ref="AQ302:AT302"/>
    <mergeCell ref="AQ303:AT303"/>
    <mergeCell ref="BH207:BL207"/>
    <mergeCell ref="BH208:BL208"/>
    <mergeCell ref="BH209:BL209"/>
    <mergeCell ref="BH210:BL210"/>
    <mergeCell ref="BH211:BL211"/>
    <mergeCell ref="BH282:BM282"/>
    <mergeCell ref="BN282:BT282"/>
    <mergeCell ref="AP266:AV266"/>
    <mergeCell ref="AW266:BF266"/>
    <mergeCell ref="BH274:BM274"/>
    <mergeCell ref="BN274:BT274"/>
    <mergeCell ref="BN265:BT265"/>
    <mergeCell ref="BH266:BM266"/>
    <mergeCell ref="AF266:AK266"/>
    <mergeCell ref="AL266:AO266"/>
    <mergeCell ref="AL283:AO283"/>
    <mergeCell ref="AP283:AV283"/>
    <mergeCell ref="BN270:BT270"/>
    <mergeCell ref="BN278:BT278"/>
    <mergeCell ref="Z299:AI299"/>
    <mergeCell ref="AJ299:AM299"/>
    <mergeCell ref="AO299:AR299"/>
    <mergeCell ref="AJ298:AR298"/>
    <mergeCell ref="AW273:BF273"/>
    <mergeCell ref="AW275:BF275"/>
    <mergeCell ref="BN275:BT275"/>
    <mergeCell ref="BH270:BM270"/>
    <mergeCell ref="Z302:AF302"/>
    <mergeCell ref="AH302:AK302"/>
    <mergeCell ref="BH212:BL212"/>
    <mergeCell ref="BH213:BL213"/>
    <mergeCell ref="BH214:BL214"/>
    <mergeCell ref="AF291:AK291"/>
    <mergeCell ref="AW291:BF291"/>
    <mergeCell ref="BH220:BL220"/>
    <mergeCell ref="BH221:BL221"/>
    <mergeCell ref="BH222:BL222"/>
    <mergeCell ref="AS210:AT210"/>
    <mergeCell ref="AS211:AT211"/>
    <mergeCell ref="AS212:AT212"/>
    <mergeCell ref="AS213:AT213"/>
    <mergeCell ref="BA209:BG209"/>
    <mergeCell ref="BA210:BG210"/>
    <mergeCell ref="BA211:BG211"/>
    <mergeCell ref="BA212:BG212"/>
    <mergeCell ref="BA213:BG213"/>
    <mergeCell ref="BA214:BG214"/>
    <mergeCell ref="AU222:AZ222"/>
    <mergeCell ref="AU223:AZ223"/>
    <mergeCell ref="BA220:BG220"/>
    <mergeCell ref="BA221:BG221"/>
    <mergeCell ref="AD217:AI217"/>
    <mergeCell ref="AP274:AV274"/>
    <mergeCell ref="AW274:BF274"/>
    <mergeCell ref="AD211:AI211"/>
    <mergeCell ref="AD212:AI212"/>
    <mergeCell ref="AD213:AI213"/>
    <mergeCell ref="AD214:AI214"/>
    <mergeCell ref="AD215:AI215"/>
    <mergeCell ref="BM216:BS216"/>
    <mergeCell ref="BM217:BS217"/>
    <mergeCell ref="BM222:BS222"/>
    <mergeCell ref="BH283:BM283"/>
    <mergeCell ref="BN283:BT283"/>
    <mergeCell ref="BH265:BM265"/>
    <mergeCell ref="BH215:BL215"/>
    <mergeCell ref="BH216:BL216"/>
    <mergeCell ref="BH217:BL217"/>
    <mergeCell ref="BH218:BL218"/>
    <mergeCell ref="BH223:BL223"/>
    <mergeCell ref="BM218:BS218"/>
    <mergeCell ref="BM219:BS219"/>
    <mergeCell ref="BM207:BS207"/>
    <mergeCell ref="BM208:BS208"/>
    <mergeCell ref="BM209:BS209"/>
    <mergeCell ref="BM210:BS210"/>
    <mergeCell ref="BM220:BS220"/>
    <mergeCell ref="BH253:BM253"/>
    <mergeCell ref="BN253:BT253"/>
    <mergeCell ref="BH241:BM241"/>
    <mergeCell ref="BH224:BL224"/>
    <mergeCell ref="BM224:BS224"/>
    <mergeCell ref="BN241:BT241"/>
    <mergeCell ref="BN262:BT262"/>
    <mergeCell ref="BH242:BM242"/>
    <mergeCell ref="BN242:BT242"/>
    <mergeCell ref="BH243:BM243"/>
    <mergeCell ref="BN243:BT243"/>
    <mergeCell ref="BN246:BT246"/>
    <mergeCell ref="BN279:BT279"/>
    <mergeCell ref="BH268:BM268"/>
    <mergeCell ref="AD216:AI216"/>
    <mergeCell ref="AU209:AZ209"/>
    <mergeCell ref="AU210:AZ210"/>
    <mergeCell ref="AU211:AZ211"/>
    <mergeCell ref="AU212:AZ212"/>
    <mergeCell ref="AU213:AZ213"/>
    <mergeCell ref="AU214:AZ214"/>
    <mergeCell ref="BM202:BS203"/>
    <mergeCell ref="BM204:BS204"/>
    <mergeCell ref="BM205:BS205"/>
    <mergeCell ref="BH202:BL203"/>
    <mergeCell ref="BH205:BL205"/>
    <mergeCell ref="BH206:BL206"/>
    <mergeCell ref="BM206:BS206"/>
    <mergeCell ref="BH204:BL204"/>
    <mergeCell ref="BA204:BG204"/>
    <mergeCell ref="AS222:AT222"/>
    <mergeCell ref="AP216:AR216"/>
    <mergeCell ref="AP217:AR217"/>
    <mergeCell ref="AP218:AR218"/>
    <mergeCell ref="AP219:AR219"/>
    <mergeCell ref="AU219:AZ219"/>
    <mergeCell ref="AU220:AZ220"/>
    <mergeCell ref="AU217:AZ217"/>
    <mergeCell ref="AU218:AZ218"/>
    <mergeCell ref="AD218:AI218"/>
    <mergeCell ref="AJ216:AO216"/>
    <mergeCell ref="AJ217:AO217"/>
    <mergeCell ref="AJ218:AO218"/>
    <mergeCell ref="AJ202:AO203"/>
    <mergeCell ref="BM221:BS221"/>
    <mergeCell ref="BM215:BS215"/>
    <mergeCell ref="AS223:AT223"/>
    <mergeCell ref="AU224:AZ224"/>
    <mergeCell ref="AP241:AV241"/>
    <mergeCell ref="AW241:BF241"/>
    <mergeCell ref="AW254:BF254"/>
    <mergeCell ref="AF267:AK267"/>
    <mergeCell ref="AJ210:AO210"/>
    <mergeCell ref="AJ211:AO211"/>
    <mergeCell ref="AD219:AI219"/>
    <mergeCell ref="BM211:BS211"/>
    <mergeCell ref="BM212:BS212"/>
    <mergeCell ref="BM213:BS213"/>
    <mergeCell ref="BM214:BS214"/>
    <mergeCell ref="BA215:BG215"/>
    <mergeCell ref="BA219:BG219"/>
    <mergeCell ref="AD210:AI210"/>
    <mergeCell ref="AP210:AR210"/>
    <mergeCell ref="AP211:AR211"/>
    <mergeCell ref="AP212:AR212"/>
    <mergeCell ref="AP213:AR213"/>
    <mergeCell ref="AP214:AR214"/>
    <mergeCell ref="AP215:AR215"/>
    <mergeCell ref="BA216:BG216"/>
    <mergeCell ref="BA217:BG217"/>
    <mergeCell ref="BA218:BG218"/>
    <mergeCell ref="BN254:BT254"/>
    <mergeCell ref="AW257:BF257"/>
    <mergeCell ref="BH257:BM257"/>
    <mergeCell ref="BH219:BL219"/>
    <mergeCell ref="AU215:AZ215"/>
    <mergeCell ref="AU216:AZ216"/>
    <mergeCell ref="BH262:BM262"/>
    <mergeCell ref="BN294:BT294"/>
    <mergeCell ref="BH272:BM272"/>
    <mergeCell ref="BN272:BT272"/>
    <mergeCell ref="Y273:AD273"/>
    <mergeCell ref="AF273:AK273"/>
    <mergeCell ref="AL273:AO273"/>
    <mergeCell ref="AP273:AV273"/>
    <mergeCell ref="AF286:AK286"/>
    <mergeCell ref="AL286:AO286"/>
    <mergeCell ref="AP286:AV286"/>
    <mergeCell ref="AW286:BF286"/>
    <mergeCell ref="AL291:AO291"/>
    <mergeCell ref="AP291:AV291"/>
    <mergeCell ref="AF293:AK293"/>
    <mergeCell ref="AL293:AO293"/>
    <mergeCell ref="AP293:AV293"/>
    <mergeCell ref="AW293:BF293"/>
    <mergeCell ref="BH292:BM292"/>
    <mergeCell ref="BN292:BT292"/>
    <mergeCell ref="Y292:AD292"/>
    <mergeCell ref="AF292:AK292"/>
    <mergeCell ref="Y290:AD290"/>
    <mergeCell ref="AW290:BF290"/>
    <mergeCell ref="AF290:AK290"/>
    <mergeCell ref="BH293:BM293"/>
    <mergeCell ref="BN293:BT293"/>
    <mergeCell ref="AW288:BF288"/>
    <mergeCell ref="Y286:AD286"/>
    <mergeCell ref="Y279:AD279"/>
    <mergeCell ref="AL284:AO284"/>
    <mergeCell ref="BH285:BM285"/>
    <mergeCell ref="BN285:BT285"/>
    <mergeCell ref="BH286:BM286"/>
    <mergeCell ref="BN286:BT286"/>
    <mergeCell ref="BH287:BM287"/>
    <mergeCell ref="BN287:BT287"/>
    <mergeCell ref="BH263:BM263"/>
    <mergeCell ref="BN263:BT263"/>
    <mergeCell ref="BH264:BM264"/>
    <mergeCell ref="BN264:BT264"/>
    <mergeCell ref="BH278:BM278"/>
    <mergeCell ref="C273:X273"/>
    <mergeCell ref="BH291:BM291"/>
    <mergeCell ref="BN291:BT291"/>
    <mergeCell ref="Y291:AD291"/>
    <mergeCell ref="AL287:AO287"/>
    <mergeCell ref="AP287:AV287"/>
    <mergeCell ref="AW287:BF287"/>
    <mergeCell ref="BH288:BM288"/>
    <mergeCell ref="BN288:BT288"/>
    <mergeCell ref="BH289:BM289"/>
    <mergeCell ref="BN289:BT289"/>
    <mergeCell ref="BH290:BM290"/>
    <mergeCell ref="BN290:BT290"/>
    <mergeCell ref="AL267:AO267"/>
    <mergeCell ref="AP267:AV267"/>
    <mergeCell ref="AW267:BF267"/>
    <mergeCell ref="BH271:BM271"/>
    <mergeCell ref="BN271:BT271"/>
    <mergeCell ref="BH284:BM284"/>
    <mergeCell ref="BN284:BT284"/>
    <mergeCell ref="AF281:AK281"/>
    <mergeCell ref="AL281:AO281"/>
    <mergeCell ref="AP281:AV281"/>
    <mergeCell ref="BN268:BT268"/>
    <mergeCell ref="BH269:BM269"/>
    <mergeCell ref="BN269:BT269"/>
    <mergeCell ref="BH280:BM280"/>
    <mergeCell ref="Y274:AD274"/>
    <mergeCell ref="AF274:AK274"/>
    <mergeCell ref="C274:X274"/>
    <mergeCell ref="AP278:AV278"/>
    <mergeCell ref="AW278:BF278"/>
    <mergeCell ref="C280:X280"/>
    <mergeCell ref="Y280:AD280"/>
    <mergeCell ref="AF280:AK280"/>
    <mergeCell ref="AL280:AO280"/>
    <mergeCell ref="BH273:BM273"/>
    <mergeCell ref="BN273:BT273"/>
    <mergeCell ref="AL274:AO274"/>
    <mergeCell ref="AW269:BF269"/>
    <mergeCell ref="M299:W299"/>
    <mergeCell ref="C276:H276"/>
    <mergeCell ref="C278:X278"/>
    <mergeCell ref="Y278:AD278"/>
    <mergeCell ref="AF278:AK278"/>
    <mergeCell ref="AL278:AO278"/>
    <mergeCell ref="C270:X270"/>
    <mergeCell ref="AF287:AK287"/>
    <mergeCell ref="AP270:AV270"/>
    <mergeCell ref="AW270:BF270"/>
    <mergeCell ref="C271:X271"/>
    <mergeCell ref="Y271:AD271"/>
    <mergeCell ref="AF271:AK271"/>
    <mergeCell ref="AL271:AO271"/>
    <mergeCell ref="AP271:AV271"/>
    <mergeCell ref="AW271:BF271"/>
    <mergeCell ref="AF270:AK270"/>
    <mergeCell ref="C291:X291"/>
    <mergeCell ref="C298:L298"/>
    <mergeCell ref="M298:W298"/>
    <mergeCell ref="C299:L299"/>
    <mergeCell ref="C287:X287"/>
    <mergeCell ref="C296:E296"/>
    <mergeCell ref="F296:W296"/>
    <mergeCell ref="Y287:AD287"/>
    <mergeCell ref="Y270:AD270"/>
    <mergeCell ref="AW283:BF283"/>
    <mergeCell ref="AW285:BF285"/>
    <mergeCell ref="C286:X286"/>
    <mergeCell ref="C293:X293"/>
    <mergeCell ref="Y293:AD293"/>
    <mergeCell ref="C279:X279"/>
    <mergeCell ref="Y289:AD289"/>
    <mergeCell ref="AF289:AK289"/>
    <mergeCell ref="AL289:AO289"/>
    <mergeCell ref="AP289:AV289"/>
    <mergeCell ref="AW289:BF289"/>
    <mergeCell ref="C288:X288"/>
    <mergeCell ref="Y288:AD288"/>
    <mergeCell ref="AF288:AK288"/>
    <mergeCell ref="AL288:AO288"/>
    <mergeCell ref="AP288:AV288"/>
    <mergeCell ref="BN257:BT257"/>
    <mergeCell ref="BN252:BT252"/>
    <mergeCell ref="BN258:BT258"/>
    <mergeCell ref="BN259:BT259"/>
    <mergeCell ref="BH252:BM252"/>
    <mergeCell ref="BH258:BM258"/>
    <mergeCell ref="BH259:BM259"/>
    <mergeCell ref="C261:X261"/>
    <mergeCell ref="Y261:AD261"/>
    <mergeCell ref="AF261:AK261"/>
    <mergeCell ref="AL261:AO261"/>
    <mergeCell ref="AP261:AV261"/>
    <mergeCell ref="AW261:BF261"/>
    <mergeCell ref="AW260:BF260"/>
    <mergeCell ref="BN280:BT280"/>
    <mergeCell ref="AF279:AK279"/>
    <mergeCell ref="AL279:AO279"/>
    <mergeCell ref="AP279:AV279"/>
    <mergeCell ref="C268:X268"/>
    <mergeCell ref="Y268:AD268"/>
    <mergeCell ref="AF268:AK268"/>
    <mergeCell ref="AL268:AO268"/>
    <mergeCell ref="AW243:BF243"/>
    <mergeCell ref="Y242:AD242"/>
    <mergeCell ref="BH260:BM260"/>
    <mergeCell ref="BN260:BT260"/>
    <mergeCell ref="C252:X252"/>
    <mergeCell ref="Y252:AD252"/>
    <mergeCell ref="AF252:AK252"/>
    <mergeCell ref="AL252:AO252"/>
    <mergeCell ref="AP252:AV252"/>
    <mergeCell ref="BN267:BT267"/>
    <mergeCell ref="AW281:BF281"/>
    <mergeCell ref="BH281:BM281"/>
    <mergeCell ref="BN281:BT281"/>
    <mergeCell ref="C265:X265"/>
    <mergeCell ref="Y265:AD265"/>
    <mergeCell ref="Y262:AD262"/>
    <mergeCell ref="AF262:AK262"/>
    <mergeCell ref="AL262:AO262"/>
    <mergeCell ref="AP262:AV262"/>
    <mergeCell ref="AW262:BF262"/>
    <mergeCell ref="C263:X263"/>
    <mergeCell ref="C260:X260"/>
    <mergeCell ref="Y260:AD260"/>
    <mergeCell ref="AF260:AK260"/>
    <mergeCell ref="AL260:AO260"/>
    <mergeCell ref="AP260:AV260"/>
    <mergeCell ref="AP268:AV268"/>
    <mergeCell ref="AW268:BF268"/>
    <mergeCell ref="AP280:AV280"/>
    <mergeCell ref="AW280:BF280"/>
    <mergeCell ref="C281:X281"/>
    <mergeCell ref="Y281:AD281"/>
    <mergeCell ref="BL300:BQ300"/>
    <mergeCell ref="BO296:BR296"/>
    <mergeCell ref="BO298:BR298"/>
    <mergeCell ref="BH299:BM299"/>
    <mergeCell ref="BN299:BS299"/>
    <mergeCell ref="C284:X284"/>
    <mergeCell ref="Y284:AD284"/>
    <mergeCell ref="AW282:BF282"/>
    <mergeCell ref="C283:X283"/>
    <mergeCell ref="Y283:AD283"/>
    <mergeCell ref="AF283:AK283"/>
    <mergeCell ref="C292:X292"/>
    <mergeCell ref="BE300:BJ300"/>
    <mergeCell ref="C282:X282"/>
    <mergeCell ref="Y282:AD282"/>
    <mergeCell ref="AF282:AK282"/>
    <mergeCell ref="AL282:AO282"/>
    <mergeCell ref="AP282:AV282"/>
    <mergeCell ref="M300:W300"/>
    <mergeCell ref="AU296:AZ296"/>
    <mergeCell ref="BA296:BF296"/>
    <mergeCell ref="BH296:BM296"/>
    <mergeCell ref="AU298:AZ298"/>
    <mergeCell ref="BA298:BF298"/>
    <mergeCell ref="BH298:BM298"/>
    <mergeCell ref="AF284:AK284"/>
    <mergeCell ref="C297:L297"/>
    <mergeCell ref="M297:W297"/>
    <mergeCell ref="AU299:AZ299"/>
    <mergeCell ref="BA299:BF299"/>
    <mergeCell ref="AL290:AO290"/>
    <mergeCell ref="C289:X289"/>
    <mergeCell ref="BN266:BT266"/>
    <mergeCell ref="BH267:BM267"/>
    <mergeCell ref="AW252:BF252"/>
    <mergeCell ref="AF265:AK265"/>
    <mergeCell ref="AL265:AO265"/>
    <mergeCell ref="AP265:AV265"/>
    <mergeCell ref="AW265:BF265"/>
    <mergeCell ref="C262:X262"/>
    <mergeCell ref="AL264:AO264"/>
    <mergeCell ref="AP264:AV264"/>
    <mergeCell ref="AW264:BF264"/>
    <mergeCell ref="Y263:AD263"/>
    <mergeCell ref="AF263:AK263"/>
    <mergeCell ref="AL263:AO263"/>
    <mergeCell ref="AP263:AV263"/>
    <mergeCell ref="AW263:BF263"/>
    <mergeCell ref="C264:X264"/>
    <mergeCell ref="Y264:AD264"/>
    <mergeCell ref="AF264:AK264"/>
    <mergeCell ref="AF253:AK253"/>
    <mergeCell ref="AW253:BF253"/>
    <mergeCell ref="BH261:BM261"/>
    <mergeCell ref="BN261:BT261"/>
    <mergeCell ref="C259:X259"/>
    <mergeCell ref="Y259:AD259"/>
    <mergeCell ref="AF259:AK259"/>
    <mergeCell ref="AL259:AO259"/>
    <mergeCell ref="AP259:AV259"/>
    <mergeCell ref="AW259:BF259"/>
    <mergeCell ref="C258:X258"/>
    <mergeCell ref="Y258:AD258"/>
    <mergeCell ref="AF258:AK258"/>
    <mergeCell ref="AL258:AO258"/>
    <mergeCell ref="AP258:AV258"/>
    <mergeCell ref="AW258:BF258"/>
    <mergeCell ref="AW279:BF279"/>
    <mergeCell ref="BH279:BM279"/>
    <mergeCell ref="AL270:AO270"/>
    <mergeCell ref="C266:X266"/>
    <mergeCell ref="Y266:AD266"/>
    <mergeCell ref="C267:X267"/>
    <mergeCell ref="Y267:AD267"/>
    <mergeCell ref="C269:X269"/>
    <mergeCell ref="Y269:AD269"/>
    <mergeCell ref="AF269:AK269"/>
    <mergeCell ref="AL269:AO269"/>
    <mergeCell ref="AP269:AV269"/>
    <mergeCell ref="BN250:BT250"/>
    <mergeCell ref="C249:X249"/>
    <mergeCell ref="Y249:AD249"/>
    <mergeCell ref="AF249:AK249"/>
    <mergeCell ref="AL249:AO249"/>
    <mergeCell ref="AP249:AV249"/>
    <mergeCell ref="AW249:BF249"/>
    <mergeCell ref="AF257:AK257"/>
    <mergeCell ref="AL257:AO257"/>
    <mergeCell ref="AP257:AV257"/>
    <mergeCell ref="Y253:AD253"/>
    <mergeCell ref="C253:X253"/>
    <mergeCell ref="AL253:AO253"/>
    <mergeCell ref="AP253:AV253"/>
    <mergeCell ref="C255:H255"/>
    <mergeCell ref="C257:X257"/>
    <mergeCell ref="Y257:AD257"/>
    <mergeCell ref="BN247:BT247"/>
    <mergeCell ref="C248:X248"/>
    <mergeCell ref="Y248:AD248"/>
    <mergeCell ref="AF248:AK248"/>
    <mergeCell ref="AL248:AO248"/>
    <mergeCell ref="AP248:AV248"/>
    <mergeCell ref="AW248:BF248"/>
    <mergeCell ref="BH248:BM248"/>
    <mergeCell ref="BN248:BT248"/>
    <mergeCell ref="C247:X247"/>
    <mergeCell ref="Y247:AD247"/>
    <mergeCell ref="AF247:AK247"/>
    <mergeCell ref="AL247:AO247"/>
    <mergeCell ref="AP247:AV247"/>
    <mergeCell ref="AW247:BF247"/>
    <mergeCell ref="BH251:BM251"/>
    <mergeCell ref="BN251:BT251"/>
    <mergeCell ref="C251:X251"/>
    <mergeCell ref="Y251:AD251"/>
    <mergeCell ref="AF251:AK251"/>
    <mergeCell ref="AL251:AO251"/>
    <mergeCell ref="AP251:AV251"/>
    <mergeCell ref="AW251:BF251"/>
    <mergeCell ref="BH249:BM249"/>
    <mergeCell ref="BN249:BT249"/>
    <mergeCell ref="C250:X250"/>
    <mergeCell ref="Y250:AD250"/>
    <mergeCell ref="AF250:AK250"/>
    <mergeCell ref="AL250:AO250"/>
    <mergeCell ref="AP250:AV250"/>
    <mergeCell ref="AW250:BF250"/>
    <mergeCell ref="BH250:BM250"/>
    <mergeCell ref="Y245:AD245"/>
    <mergeCell ref="AF245:AK245"/>
    <mergeCell ref="AL245:AO245"/>
    <mergeCell ref="AP245:AV245"/>
    <mergeCell ref="AW245:BF245"/>
    <mergeCell ref="BH245:BM245"/>
    <mergeCell ref="C244:X244"/>
    <mergeCell ref="Y244:AD244"/>
    <mergeCell ref="AF244:AK244"/>
    <mergeCell ref="AL244:AO244"/>
    <mergeCell ref="AP244:AV244"/>
    <mergeCell ref="C241:X241"/>
    <mergeCell ref="Y241:AD241"/>
    <mergeCell ref="AF241:AK241"/>
    <mergeCell ref="AL241:AO241"/>
    <mergeCell ref="BH247:BM247"/>
    <mergeCell ref="C246:X246"/>
    <mergeCell ref="Y246:AD246"/>
    <mergeCell ref="AF246:AK246"/>
    <mergeCell ref="AL246:AO246"/>
    <mergeCell ref="AP246:AV246"/>
    <mergeCell ref="AW246:BF246"/>
    <mergeCell ref="BH246:BM246"/>
    <mergeCell ref="AF242:AK242"/>
    <mergeCell ref="AL242:AO242"/>
    <mergeCell ref="AP242:AV242"/>
    <mergeCell ref="AW242:BF242"/>
    <mergeCell ref="C243:X243"/>
    <mergeCell ref="Y243:AD243"/>
    <mergeCell ref="AF243:AK243"/>
    <mergeCell ref="AL243:AO243"/>
    <mergeCell ref="AP243:AV243"/>
    <mergeCell ref="A199:A232"/>
    <mergeCell ref="BP200:BS200"/>
    <mergeCell ref="BP234:BS234"/>
    <mergeCell ref="A233:A276"/>
    <mergeCell ref="BI200:BM200"/>
    <mergeCell ref="C239:X239"/>
    <mergeCell ref="Y239:AD239"/>
    <mergeCell ref="AF239:AK239"/>
    <mergeCell ref="BH238:BM238"/>
    <mergeCell ref="BN238:BT238"/>
    <mergeCell ref="AJ213:AO213"/>
    <mergeCell ref="AJ214:AO214"/>
    <mergeCell ref="AJ215:AO215"/>
    <mergeCell ref="C242:X242"/>
    <mergeCell ref="AL239:AO239"/>
    <mergeCell ref="AP239:AV239"/>
    <mergeCell ref="AW239:BF239"/>
    <mergeCell ref="BH239:BM239"/>
    <mergeCell ref="BN245:BT245"/>
    <mergeCell ref="C234:H234"/>
    <mergeCell ref="BH234:BL234"/>
    <mergeCell ref="C236:H236"/>
    <mergeCell ref="C238:X238"/>
    <mergeCell ref="Y238:AD238"/>
    <mergeCell ref="AF238:AK238"/>
    <mergeCell ref="AL238:AO238"/>
    <mergeCell ref="AP238:AV238"/>
    <mergeCell ref="AW238:BF238"/>
    <mergeCell ref="AW244:BF244"/>
    <mergeCell ref="BH244:BM244"/>
    <mergeCell ref="BN244:BT244"/>
    <mergeCell ref="C245:X245"/>
    <mergeCell ref="BN239:BT239"/>
    <mergeCell ref="C240:X240"/>
    <mergeCell ref="Y240:AD240"/>
    <mergeCell ref="AF240:AK240"/>
    <mergeCell ref="AL240:AO240"/>
    <mergeCell ref="AP240:AV240"/>
    <mergeCell ref="AW240:BF240"/>
    <mergeCell ref="BH240:BM240"/>
    <mergeCell ref="BN240:BT240"/>
    <mergeCell ref="BE180:BJ180"/>
    <mergeCell ref="BM223:BS223"/>
    <mergeCell ref="AS214:AT214"/>
    <mergeCell ref="AS215:AT215"/>
    <mergeCell ref="AS216:AT216"/>
    <mergeCell ref="AS217:AT217"/>
    <mergeCell ref="AS218:AT218"/>
    <mergeCell ref="AS219:AT219"/>
    <mergeCell ref="T212:V212"/>
    <mergeCell ref="W212:Y212"/>
    <mergeCell ref="Z180:AG180"/>
    <mergeCell ref="AS221:AT221"/>
    <mergeCell ref="BA222:BG222"/>
    <mergeCell ref="BA223:BG223"/>
    <mergeCell ref="BA224:BG224"/>
    <mergeCell ref="AU221:AZ221"/>
    <mergeCell ref="Z212:AA212"/>
    <mergeCell ref="AB212:AC212"/>
    <mergeCell ref="W206:Y206"/>
    <mergeCell ref="Z206:AA206"/>
    <mergeCell ref="W207:Y207"/>
    <mergeCell ref="AJ212:AO212"/>
    <mergeCell ref="AU206:AZ206"/>
    <mergeCell ref="BR173:BT173"/>
    <mergeCell ref="Q173:X173"/>
    <mergeCell ref="Z173:AG173"/>
    <mergeCell ref="BR181:BT181"/>
    <mergeCell ref="BN180:BP180"/>
    <mergeCell ref="BR180:BT180"/>
    <mergeCell ref="BN179:BP179"/>
    <mergeCell ref="BR179:BT179"/>
    <mergeCell ref="C172:D172"/>
    <mergeCell ref="C180:D180"/>
    <mergeCell ref="E180:F180"/>
    <mergeCell ref="T211:V211"/>
    <mergeCell ref="W211:Y211"/>
    <mergeCell ref="BN181:BP181"/>
    <mergeCell ref="BM177:BP177"/>
    <mergeCell ref="BQ177:BT177"/>
    <mergeCell ref="AU207:AZ207"/>
    <mergeCell ref="AU208:AZ208"/>
    <mergeCell ref="BA202:BG203"/>
    <mergeCell ref="BA205:BG205"/>
    <mergeCell ref="BA206:BG206"/>
    <mergeCell ref="BA207:BG207"/>
    <mergeCell ref="BA208:BG208"/>
    <mergeCell ref="AS206:AT206"/>
    <mergeCell ref="AJ209:AO209"/>
    <mergeCell ref="AS207:AT207"/>
    <mergeCell ref="AP209:AR209"/>
    <mergeCell ref="AD202:AI203"/>
    <mergeCell ref="AD204:AI204"/>
    <mergeCell ref="BC177:BF177"/>
    <mergeCell ref="BH177:BK177"/>
    <mergeCell ref="BE178:BF178"/>
    <mergeCell ref="BG178:BH178"/>
    <mergeCell ref="BJ178:BK178"/>
    <mergeCell ref="AZ178:BA178"/>
    <mergeCell ref="BB178:BC178"/>
    <mergeCell ref="AP180:AS180"/>
    <mergeCell ref="AW180:BC180"/>
    <mergeCell ref="C181:D181"/>
    <mergeCell ref="E181:F181"/>
    <mergeCell ref="BH169:BK169"/>
    <mergeCell ref="BM169:BP169"/>
    <mergeCell ref="AP181:AS181"/>
    <mergeCell ref="AW181:BC181"/>
    <mergeCell ref="I178:K178"/>
    <mergeCell ref="L178:O178"/>
    <mergeCell ref="P178:S178"/>
    <mergeCell ref="T178:W178"/>
    <mergeCell ref="X178:Z178"/>
    <mergeCell ref="AA178:AC178"/>
    <mergeCell ref="AD178:AF178"/>
    <mergeCell ref="H180:I180"/>
    <mergeCell ref="J180:M181"/>
    <mergeCell ref="Q180:X180"/>
    <mergeCell ref="AK180:AN180"/>
    <mergeCell ref="Z181:AG181"/>
    <mergeCell ref="AK181:AN181"/>
    <mergeCell ref="BE173:BJ173"/>
    <mergeCell ref="BN173:BP173"/>
    <mergeCell ref="H181:I181"/>
    <mergeCell ref="Q181:X181"/>
    <mergeCell ref="BE179:BJ179"/>
    <mergeCell ref="AR176:BA176"/>
    <mergeCell ref="AR177:AS177"/>
    <mergeCell ref="AU202:AZ203"/>
    <mergeCell ref="AU204:AZ204"/>
    <mergeCell ref="AU205:AZ205"/>
    <mergeCell ref="C167:H167"/>
    <mergeCell ref="I167:L167"/>
    <mergeCell ref="BL178:BM178"/>
    <mergeCell ref="BO178:BP178"/>
    <mergeCell ref="AP202:AR202"/>
    <mergeCell ref="AP203:AR203"/>
    <mergeCell ref="AP204:AR204"/>
    <mergeCell ref="AP205:AR205"/>
    <mergeCell ref="C200:K200"/>
    <mergeCell ref="N179:P181"/>
    <mergeCell ref="Q179:X179"/>
    <mergeCell ref="Z179:AG179"/>
    <mergeCell ref="AK179:AN179"/>
    <mergeCell ref="AP179:AS179"/>
    <mergeCell ref="C178:E178"/>
    <mergeCell ref="F178:H178"/>
    <mergeCell ref="C179:I179"/>
    <mergeCell ref="J179:M179"/>
    <mergeCell ref="AW179:BC179"/>
    <mergeCell ref="Q172:X172"/>
    <mergeCell ref="Z172:AG172"/>
    <mergeCell ref="AK172:AN172"/>
    <mergeCell ref="AP172:AS172"/>
    <mergeCell ref="AS202:AT202"/>
    <mergeCell ref="AS203:AT203"/>
    <mergeCell ref="AT179:AV181"/>
    <mergeCell ref="AG178:AI178"/>
    <mergeCell ref="BE181:BJ181"/>
    <mergeCell ref="AY177:BA177"/>
    <mergeCell ref="BE165:BJ165"/>
    <mergeCell ref="BR172:BT172"/>
    <mergeCell ref="BE170:BF170"/>
    <mergeCell ref="BG170:BH170"/>
    <mergeCell ref="BJ170:BK170"/>
    <mergeCell ref="BL170:BM170"/>
    <mergeCell ref="BO170:BP170"/>
    <mergeCell ref="BN171:BP171"/>
    <mergeCell ref="BN172:BP172"/>
    <mergeCell ref="F169:H169"/>
    <mergeCell ref="I169:K169"/>
    <mergeCell ref="L169:O169"/>
    <mergeCell ref="P169:S169"/>
    <mergeCell ref="T169:W169"/>
    <mergeCell ref="X169:Z169"/>
    <mergeCell ref="C171:I171"/>
    <mergeCell ref="J171:M171"/>
    <mergeCell ref="N171:P173"/>
    <mergeCell ref="E172:F172"/>
    <mergeCell ref="H172:I172"/>
    <mergeCell ref="J172:M173"/>
    <mergeCell ref="BC169:BF169"/>
    <mergeCell ref="N163:P165"/>
    <mergeCell ref="BN165:BP165"/>
    <mergeCell ref="BR165:BT165"/>
    <mergeCell ref="AK173:AN173"/>
    <mergeCell ref="AP173:AS173"/>
    <mergeCell ref="AW173:BC173"/>
    <mergeCell ref="Q171:X171"/>
    <mergeCell ref="Z171:AG171"/>
    <mergeCell ref="BE172:BJ172"/>
    <mergeCell ref="AW172:BC172"/>
    <mergeCell ref="BR154:BT154"/>
    <mergeCell ref="Q144:X144"/>
    <mergeCell ref="Z144:AG144"/>
    <mergeCell ref="AK144:AN144"/>
    <mergeCell ref="AP144:AS144"/>
    <mergeCell ref="AT144:AV146"/>
    <mergeCell ref="AW144:BC144"/>
    <mergeCell ref="AW145:BC145"/>
    <mergeCell ref="BE145:BJ145"/>
    <mergeCell ref="Q154:X154"/>
    <mergeCell ref="Z154:AG154"/>
    <mergeCell ref="AK154:AN154"/>
    <mergeCell ref="AP154:AS154"/>
    <mergeCell ref="AW154:BC154"/>
    <mergeCell ref="BE154:BJ154"/>
    <mergeCell ref="AW163:BC163"/>
    <mergeCell ref="BE163:BJ163"/>
    <mergeCell ref="BE162:BF162"/>
    <mergeCell ref="BG162:BH162"/>
    <mergeCell ref="BL162:BM162"/>
    <mergeCell ref="BO162:BP162"/>
    <mergeCell ref="BQ162:BT162"/>
    <mergeCell ref="BR163:BT163"/>
    <mergeCell ref="BQ159:BT159"/>
    <mergeCell ref="AE148:AI148"/>
    <mergeCell ref="BK146:BM146"/>
    <mergeCell ref="AW146:BC146"/>
    <mergeCell ref="BE146:BJ146"/>
    <mergeCell ref="BN145:BP145"/>
    <mergeCell ref="BR145:BT145"/>
    <mergeCell ref="BK145:BM145"/>
    <mergeCell ref="BQ160:BT160"/>
    <mergeCell ref="AR142:AS142"/>
    <mergeCell ref="AT142:AV142"/>
    <mergeCell ref="Q163:X163"/>
    <mergeCell ref="Z163:AG163"/>
    <mergeCell ref="AK163:AN163"/>
    <mergeCell ref="AP163:AS163"/>
    <mergeCell ref="AT163:AV165"/>
    <mergeCell ref="C146:D146"/>
    <mergeCell ref="E146:F146"/>
    <mergeCell ref="H146:I146"/>
    <mergeCell ref="Z165:AG165"/>
    <mergeCell ref="AK165:AN165"/>
    <mergeCell ref="I162:K162"/>
    <mergeCell ref="L162:O162"/>
    <mergeCell ref="P162:S162"/>
    <mergeCell ref="T162:W162"/>
    <mergeCell ref="J164:M165"/>
    <mergeCell ref="C160:E161"/>
    <mergeCell ref="F160:H160"/>
    <mergeCell ref="C145:D145"/>
    <mergeCell ref="E145:F145"/>
    <mergeCell ref="Q145:X145"/>
    <mergeCell ref="Z145:AG145"/>
    <mergeCell ref="AK145:AN145"/>
    <mergeCell ref="AP145:AS145"/>
    <mergeCell ref="C164:D164"/>
    <mergeCell ref="E164:F164"/>
    <mergeCell ref="H164:I164"/>
    <mergeCell ref="C163:I163"/>
    <mergeCell ref="C165:D165"/>
    <mergeCell ref="E165:F165"/>
    <mergeCell ref="H165:I165"/>
    <mergeCell ref="BQ93:BT93"/>
    <mergeCell ref="F94:H94"/>
    <mergeCell ref="BN106:BP106"/>
    <mergeCell ref="H121:I121"/>
    <mergeCell ref="BR106:BT106"/>
    <mergeCell ref="C112:I112"/>
    <mergeCell ref="J112:M112"/>
    <mergeCell ref="N112:P114"/>
    <mergeCell ref="Q112:X112"/>
    <mergeCell ref="BE119:BF119"/>
    <mergeCell ref="BG119:BH119"/>
    <mergeCell ref="BJ119:BK119"/>
    <mergeCell ref="C122:D122"/>
    <mergeCell ref="F117:H117"/>
    <mergeCell ref="J121:M122"/>
    <mergeCell ref="Q121:X121"/>
    <mergeCell ref="Z121:AG121"/>
    <mergeCell ref="AK121:AN121"/>
    <mergeCell ref="AP121:AS121"/>
    <mergeCell ref="C121:D121"/>
    <mergeCell ref="E121:F121"/>
    <mergeCell ref="BQ117:BT117"/>
    <mergeCell ref="F118:H118"/>
    <mergeCell ref="BL119:BM119"/>
    <mergeCell ref="BO119:BP119"/>
    <mergeCell ref="BQ119:BT119"/>
    <mergeCell ref="AY118:BA118"/>
    <mergeCell ref="BR120:BT120"/>
    <mergeCell ref="BR121:BT121"/>
    <mergeCell ref="C113:D113"/>
    <mergeCell ref="E113:F113"/>
    <mergeCell ref="H113:I113"/>
    <mergeCell ref="C98:D98"/>
    <mergeCell ref="E98:F98"/>
    <mergeCell ref="H98:I98"/>
    <mergeCell ref="Q98:X98"/>
    <mergeCell ref="Z98:AG98"/>
    <mergeCell ref="AK98:AN98"/>
    <mergeCell ref="AH98:AJ98"/>
    <mergeCell ref="BC100:BI100"/>
    <mergeCell ref="N104:P106"/>
    <mergeCell ref="Q104:X104"/>
    <mergeCell ref="C114:D114"/>
    <mergeCell ref="T109:W109"/>
    <mergeCell ref="C104:I104"/>
    <mergeCell ref="J104:M104"/>
    <mergeCell ref="X103:Z103"/>
    <mergeCell ref="AA103:AC103"/>
    <mergeCell ref="AD103:AF103"/>
    <mergeCell ref="AG103:AI103"/>
    <mergeCell ref="C109:E110"/>
    <mergeCell ref="F109:H109"/>
    <mergeCell ref="I109:K109"/>
    <mergeCell ref="L109:O109"/>
    <mergeCell ref="P109:S109"/>
    <mergeCell ref="H105:I105"/>
    <mergeCell ref="J105:M106"/>
    <mergeCell ref="Q105:X105"/>
    <mergeCell ref="Z105:AG105"/>
    <mergeCell ref="AK105:AN105"/>
    <mergeCell ref="AP105:AS105"/>
    <mergeCell ref="Q106:X106"/>
    <mergeCell ref="AK112:AN112"/>
    <mergeCell ref="AP112:AS112"/>
    <mergeCell ref="BK100:BP100"/>
    <mergeCell ref="BJ95:BK95"/>
    <mergeCell ref="BL95:BM95"/>
    <mergeCell ref="BO95:BP95"/>
    <mergeCell ref="AR110:AS110"/>
    <mergeCell ref="AT110:AV110"/>
    <mergeCell ref="AW110:AX110"/>
    <mergeCell ref="AP98:AS98"/>
    <mergeCell ref="AW98:BC98"/>
    <mergeCell ref="Z104:AG104"/>
    <mergeCell ref="AK104:AN104"/>
    <mergeCell ref="AP104:AS104"/>
    <mergeCell ref="AT104:AV106"/>
    <mergeCell ref="BN104:BP104"/>
    <mergeCell ref="AY102:BA102"/>
    <mergeCell ref="BC102:BF102"/>
    <mergeCell ref="BH102:BK102"/>
    <mergeCell ref="BM102:BP102"/>
    <mergeCell ref="BK104:BM104"/>
    <mergeCell ref="AA110:AC110"/>
    <mergeCell ref="AD110:AF110"/>
    <mergeCell ref="AG110:AI110"/>
    <mergeCell ref="AJ110:AL110"/>
    <mergeCell ref="BB109:BP109"/>
    <mergeCell ref="AM110:AO110"/>
    <mergeCell ref="AP110:AQ110"/>
    <mergeCell ref="X109:Z109"/>
    <mergeCell ref="AA109:AC109"/>
    <mergeCell ref="AD109:AK109"/>
    <mergeCell ref="AL109:AQ109"/>
    <mergeCell ref="AW104:BC104"/>
    <mergeCell ref="BE104:BJ104"/>
    <mergeCell ref="C72:D72"/>
    <mergeCell ref="E72:F72"/>
    <mergeCell ref="H72:I72"/>
    <mergeCell ref="F69:H69"/>
    <mergeCell ref="BR81:BT81"/>
    <mergeCell ref="C88:I88"/>
    <mergeCell ref="J88:M88"/>
    <mergeCell ref="N88:P90"/>
    <mergeCell ref="Q88:X88"/>
    <mergeCell ref="Z88:AG88"/>
    <mergeCell ref="BE97:BJ97"/>
    <mergeCell ref="Z71:AG71"/>
    <mergeCell ref="AK71:AN71"/>
    <mergeCell ref="AP71:AS71"/>
    <mergeCell ref="AT71:AV73"/>
    <mergeCell ref="AW71:BC71"/>
    <mergeCell ref="BE71:BJ71"/>
    <mergeCell ref="AK88:AN88"/>
    <mergeCell ref="AP88:AS88"/>
    <mergeCell ref="AT88:AV90"/>
    <mergeCell ref="AW96:BC96"/>
    <mergeCell ref="BE96:BJ96"/>
    <mergeCell ref="C97:D97"/>
    <mergeCell ref="E97:F97"/>
    <mergeCell ref="J97:M98"/>
    <mergeCell ref="Q97:X97"/>
    <mergeCell ref="Z97:AG97"/>
    <mergeCell ref="AK97:AN97"/>
    <mergeCell ref="AP97:AS97"/>
    <mergeCell ref="AW97:BC97"/>
    <mergeCell ref="BE98:BJ98"/>
    <mergeCell ref="BN98:BP98"/>
    <mergeCell ref="H73:I73"/>
    <mergeCell ref="Q73:X73"/>
    <mergeCell ref="Z73:AG73"/>
    <mergeCell ref="AK73:AN73"/>
    <mergeCell ref="BL62:BM62"/>
    <mergeCell ref="BO62:BP62"/>
    <mergeCell ref="BQ62:BT62"/>
    <mergeCell ref="AY61:BA61"/>
    <mergeCell ref="BC61:BF61"/>
    <mergeCell ref="BH61:BK61"/>
    <mergeCell ref="BM61:BP61"/>
    <mergeCell ref="AZ62:BA62"/>
    <mergeCell ref="BB62:BC62"/>
    <mergeCell ref="AK89:AN89"/>
    <mergeCell ref="AP89:AS89"/>
    <mergeCell ref="AW89:BC89"/>
    <mergeCell ref="BE62:BF62"/>
    <mergeCell ref="BG62:BH62"/>
    <mergeCell ref="BJ62:BK62"/>
    <mergeCell ref="AP73:AS73"/>
    <mergeCell ref="AW73:BC73"/>
    <mergeCell ref="BE73:BJ73"/>
    <mergeCell ref="AP63:AS63"/>
    <mergeCell ref="AW88:BC88"/>
    <mergeCell ref="BE88:BJ88"/>
    <mergeCell ref="BN88:BP88"/>
    <mergeCell ref="BR88:BT88"/>
    <mergeCell ref="H89:I89"/>
    <mergeCell ref="J89:M90"/>
    <mergeCell ref="Q89:X89"/>
    <mergeCell ref="Z89:AG89"/>
    <mergeCell ref="BR64:BT64"/>
    <mergeCell ref="BR63:BT63"/>
    <mergeCell ref="C64:D64"/>
    <mergeCell ref="E64:F64"/>
    <mergeCell ref="H64:I64"/>
    <mergeCell ref="J64:M65"/>
    <mergeCell ref="Q64:X64"/>
    <mergeCell ref="Z64:AG64"/>
    <mergeCell ref="Z63:AG63"/>
    <mergeCell ref="AK63:AN63"/>
    <mergeCell ref="AK64:AN64"/>
    <mergeCell ref="Z65:AG65"/>
    <mergeCell ref="AK65:AN65"/>
    <mergeCell ref="AP65:AS65"/>
    <mergeCell ref="AW65:BC65"/>
    <mergeCell ref="BE65:BJ65"/>
    <mergeCell ref="BN65:BP65"/>
    <mergeCell ref="BR65:BT65"/>
    <mergeCell ref="AT63:AV65"/>
    <mergeCell ref="N47:P49"/>
    <mergeCell ref="Q47:X47"/>
    <mergeCell ref="Z47:AG47"/>
    <mergeCell ref="AK47:AN47"/>
    <mergeCell ref="C48:D48"/>
    <mergeCell ref="E48:F48"/>
    <mergeCell ref="H48:I48"/>
    <mergeCell ref="J48:M49"/>
    <mergeCell ref="AW49:BC49"/>
    <mergeCell ref="BE49:BJ49"/>
    <mergeCell ref="BN49:BP49"/>
    <mergeCell ref="BR49:BT49"/>
    <mergeCell ref="BN41:BP41"/>
    <mergeCell ref="BR41:BT41"/>
    <mergeCell ref="BH45:BK45"/>
    <mergeCell ref="BM45:BP45"/>
    <mergeCell ref="BK43:BP43"/>
    <mergeCell ref="BQ43:BT43"/>
    <mergeCell ref="C49:D49"/>
    <mergeCell ref="E49:F49"/>
    <mergeCell ref="H49:I49"/>
    <mergeCell ref="Q49:X49"/>
    <mergeCell ref="Z49:AG49"/>
    <mergeCell ref="AK49:AN49"/>
    <mergeCell ref="AP49:AS49"/>
    <mergeCell ref="F45:H45"/>
    <mergeCell ref="I45:K45"/>
    <mergeCell ref="L45:O45"/>
    <mergeCell ref="P45:S45"/>
    <mergeCell ref="T45:W45"/>
    <mergeCell ref="X45:Z45"/>
    <mergeCell ref="BG46:BH46"/>
    <mergeCell ref="BW11:BY11"/>
    <mergeCell ref="C39:I39"/>
    <mergeCell ref="J39:M39"/>
    <mergeCell ref="N39:P41"/>
    <mergeCell ref="Q39:X39"/>
    <mergeCell ref="Z39:AG39"/>
    <mergeCell ref="AK39:AN39"/>
    <mergeCell ref="AP39:AS39"/>
    <mergeCell ref="AT39:AV41"/>
    <mergeCell ref="AW39:BC39"/>
    <mergeCell ref="AP41:AS41"/>
    <mergeCell ref="AW41:BC41"/>
    <mergeCell ref="BE41:BJ41"/>
    <mergeCell ref="BE33:BJ33"/>
    <mergeCell ref="BN33:BP33"/>
    <mergeCell ref="BR33:BT33"/>
    <mergeCell ref="BE39:BJ39"/>
    <mergeCell ref="BN39:BP39"/>
    <mergeCell ref="BR39:BT39"/>
    <mergeCell ref="AP33:AS33"/>
    <mergeCell ref="C41:D41"/>
    <mergeCell ref="E41:F41"/>
    <mergeCell ref="H41:I41"/>
    <mergeCell ref="Q41:X41"/>
    <mergeCell ref="Z41:AG41"/>
    <mergeCell ref="AK41:AN41"/>
    <mergeCell ref="H33:I33"/>
    <mergeCell ref="Q33:X33"/>
    <mergeCell ref="Z33:AG33"/>
    <mergeCell ref="AK33:AN33"/>
    <mergeCell ref="AK32:AN32"/>
    <mergeCell ref="AP32:AS32"/>
    <mergeCell ref="AW32:BC32"/>
    <mergeCell ref="BE32:BJ32"/>
    <mergeCell ref="BN32:BP32"/>
    <mergeCell ref="BR32:BT32"/>
    <mergeCell ref="C40:D40"/>
    <mergeCell ref="BR48:BT48"/>
    <mergeCell ref="BN31:BP31"/>
    <mergeCell ref="BR31:BT31"/>
    <mergeCell ref="C32:D32"/>
    <mergeCell ref="E32:F32"/>
    <mergeCell ref="H32:I32"/>
    <mergeCell ref="J32:M33"/>
    <mergeCell ref="Q32:X32"/>
    <mergeCell ref="Z32:AG32"/>
    <mergeCell ref="Q48:X48"/>
    <mergeCell ref="Z48:AG48"/>
    <mergeCell ref="AK48:AN48"/>
    <mergeCell ref="AP48:AS48"/>
    <mergeCell ref="AP47:AS47"/>
    <mergeCell ref="AT47:AV49"/>
    <mergeCell ref="AW47:BC47"/>
    <mergeCell ref="BE47:BJ47"/>
    <mergeCell ref="BN47:BP47"/>
    <mergeCell ref="BR47:BT47"/>
    <mergeCell ref="C47:I47"/>
    <mergeCell ref="J47:M47"/>
    <mergeCell ref="C35:H35"/>
    <mergeCell ref="I35:L35"/>
    <mergeCell ref="M35:W35"/>
    <mergeCell ref="X35:AB35"/>
    <mergeCell ref="AC35:AD35"/>
    <mergeCell ref="AE35:AI35"/>
    <mergeCell ref="AG21:AI21"/>
    <mergeCell ref="AR21:AS21"/>
    <mergeCell ref="BC21:BF21"/>
    <mergeCell ref="BH21:BK21"/>
    <mergeCell ref="D224:G224"/>
    <mergeCell ref="H224:M224"/>
    <mergeCell ref="N224:P224"/>
    <mergeCell ref="Q224:S224"/>
    <mergeCell ref="T224:V224"/>
    <mergeCell ref="AG30:AI30"/>
    <mergeCell ref="AP27:AQ27"/>
    <mergeCell ref="AS27:AT27"/>
    <mergeCell ref="BJ30:BK30"/>
    <mergeCell ref="AU27:BA27"/>
    <mergeCell ref="AR28:BA28"/>
    <mergeCell ref="BB28:BP28"/>
    <mergeCell ref="AU30:AV30"/>
    <mergeCell ref="AW30:AX30"/>
    <mergeCell ref="AZ30:BA30"/>
    <mergeCell ref="Q23:X23"/>
    <mergeCell ref="J23:M23"/>
    <mergeCell ref="E24:F24"/>
    <mergeCell ref="H24:I24"/>
    <mergeCell ref="AA30:AC30"/>
    <mergeCell ref="AD30:AF30"/>
    <mergeCell ref="F30:H30"/>
    <mergeCell ref="L30:O30"/>
    <mergeCell ref="P30:S30"/>
    <mergeCell ref="T30:W30"/>
    <mergeCell ref="C24:D24"/>
    <mergeCell ref="BN23:BP23"/>
    <mergeCell ref="BE23:BJ23"/>
    <mergeCell ref="AB223:AC223"/>
    <mergeCell ref="AP223:AR223"/>
    <mergeCell ref="AD223:AI223"/>
    <mergeCell ref="D222:G222"/>
    <mergeCell ref="H222:M222"/>
    <mergeCell ref="N222:P222"/>
    <mergeCell ref="Q222:S222"/>
    <mergeCell ref="T222:V222"/>
    <mergeCell ref="W222:Y222"/>
    <mergeCell ref="Z222:AA222"/>
    <mergeCell ref="W224:Y224"/>
    <mergeCell ref="Z224:AA224"/>
    <mergeCell ref="AB224:AC224"/>
    <mergeCell ref="D223:G223"/>
    <mergeCell ref="H223:M223"/>
    <mergeCell ref="N223:P223"/>
    <mergeCell ref="Q223:S223"/>
    <mergeCell ref="T223:V223"/>
    <mergeCell ref="W223:Y223"/>
    <mergeCell ref="Z223:AA223"/>
    <mergeCell ref="AJ222:AO222"/>
    <mergeCell ref="AJ223:AO223"/>
    <mergeCell ref="AP222:AR222"/>
    <mergeCell ref="AD222:AI222"/>
    <mergeCell ref="D220:G220"/>
    <mergeCell ref="H220:M220"/>
    <mergeCell ref="N220:P220"/>
    <mergeCell ref="Q220:S220"/>
    <mergeCell ref="T220:V220"/>
    <mergeCell ref="W220:Y220"/>
    <mergeCell ref="Z220:AA220"/>
    <mergeCell ref="AB222:AC222"/>
    <mergeCell ref="D221:G221"/>
    <mergeCell ref="H221:M221"/>
    <mergeCell ref="N221:P221"/>
    <mergeCell ref="Q221:S221"/>
    <mergeCell ref="T221:V221"/>
    <mergeCell ref="W221:Y221"/>
    <mergeCell ref="Z221:AA221"/>
    <mergeCell ref="AB221:AC221"/>
    <mergeCell ref="AJ221:AO221"/>
    <mergeCell ref="AJ220:AO220"/>
    <mergeCell ref="Z218:AA218"/>
    <mergeCell ref="AJ219:AO219"/>
    <mergeCell ref="AP220:AR220"/>
    <mergeCell ref="AP221:AR221"/>
    <mergeCell ref="AS220:AT220"/>
    <mergeCell ref="Z219:AA219"/>
    <mergeCell ref="AB219:AC219"/>
    <mergeCell ref="D217:G217"/>
    <mergeCell ref="H217:M217"/>
    <mergeCell ref="N217:P217"/>
    <mergeCell ref="Q217:S217"/>
    <mergeCell ref="AD221:AI221"/>
    <mergeCell ref="H215:M215"/>
    <mergeCell ref="N215:P215"/>
    <mergeCell ref="Q215:S215"/>
    <mergeCell ref="T215:V215"/>
    <mergeCell ref="W216:Y216"/>
    <mergeCell ref="Z216:AA216"/>
    <mergeCell ref="AB216:AC216"/>
    <mergeCell ref="AD220:AI220"/>
    <mergeCell ref="D216:G216"/>
    <mergeCell ref="H216:M216"/>
    <mergeCell ref="N216:P216"/>
    <mergeCell ref="Q216:S216"/>
    <mergeCell ref="T216:V216"/>
    <mergeCell ref="D219:G219"/>
    <mergeCell ref="H219:M219"/>
    <mergeCell ref="N219:P219"/>
    <mergeCell ref="Q219:S219"/>
    <mergeCell ref="T219:V219"/>
    <mergeCell ref="W219:Y219"/>
    <mergeCell ref="AB220:AC220"/>
    <mergeCell ref="AB218:AC218"/>
    <mergeCell ref="Z217:AA217"/>
    <mergeCell ref="AB217:AC217"/>
    <mergeCell ref="Q211:S211"/>
    <mergeCell ref="W209:Y209"/>
    <mergeCell ref="Z209:AA209"/>
    <mergeCell ref="D212:G212"/>
    <mergeCell ref="H212:M212"/>
    <mergeCell ref="N212:P212"/>
    <mergeCell ref="Q212:S212"/>
    <mergeCell ref="Z211:AA211"/>
    <mergeCell ref="AB211:AC211"/>
    <mergeCell ref="D210:G210"/>
    <mergeCell ref="AD209:AI209"/>
    <mergeCell ref="T217:V217"/>
    <mergeCell ref="W217:Y217"/>
    <mergeCell ref="W215:Y215"/>
    <mergeCell ref="Z215:AA215"/>
    <mergeCell ref="AB215:AC215"/>
    <mergeCell ref="D218:G218"/>
    <mergeCell ref="H218:M218"/>
    <mergeCell ref="N218:P218"/>
    <mergeCell ref="Q218:S218"/>
    <mergeCell ref="T218:V218"/>
    <mergeCell ref="W218:Y218"/>
    <mergeCell ref="H211:M211"/>
    <mergeCell ref="N211:P211"/>
    <mergeCell ref="D215:G215"/>
    <mergeCell ref="Z214:AA214"/>
    <mergeCell ref="AB214:AC214"/>
    <mergeCell ref="D213:G213"/>
    <mergeCell ref="H213:M213"/>
    <mergeCell ref="N213:P213"/>
    <mergeCell ref="Q213:S213"/>
    <mergeCell ref="T213:V213"/>
    <mergeCell ref="W213:Y213"/>
    <mergeCell ref="Z213:AA213"/>
    <mergeCell ref="AB213:AC213"/>
    <mergeCell ref="D214:G214"/>
    <mergeCell ref="H214:M214"/>
    <mergeCell ref="N214:P214"/>
    <mergeCell ref="Q214:S214"/>
    <mergeCell ref="T214:V214"/>
    <mergeCell ref="W214:Y214"/>
    <mergeCell ref="D211:G211"/>
    <mergeCell ref="D208:G208"/>
    <mergeCell ref="H208:M208"/>
    <mergeCell ref="N208:P208"/>
    <mergeCell ref="D202:G203"/>
    <mergeCell ref="H202:M203"/>
    <mergeCell ref="N202:AA202"/>
    <mergeCell ref="AB210:AC210"/>
    <mergeCell ref="D209:G209"/>
    <mergeCell ref="N205:P205"/>
    <mergeCell ref="Q205:S205"/>
    <mergeCell ref="T205:V205"/>
    <mergeCell ref="W205:Y205"/>
    <mergeCell ref="Z205:AA205"/>
    <mergeCell ref="Z208:AA208"/>
    <mergeCell ref="AB208:AC208"/>
    <mergeCell ref="H210:M210"/>
    <mergeCell ref="N210:P210"/>
    <mergeCell ref="Q210:S210"/>
    <mergeCell ref="T210:V210"/>
    <mergeCell ref="W210:Y210"/>
    <mergeCell ref="Z210:AA210"/>
    <mergeCell ref="Z204:AA204"/>
    <mergeCell ref="AB204:AC204"/>
    <mergeCell ref="D205:G205"/>
    <mergeCell ref="H205:M205"/>
    <mergeCell ref="D204:G204"/>
    <mergeCell ref="H204:M204"/>
    <mergeCell ref="N204:P204"/>
    <mergeCell ref="D207:G207"/>
    <mergeCell ref="H207:M207"/>
    <mergeCell ref="H209:M209"/>
    <mergeCell ref="N209:P209"/>
    <mergeCell ref="AS208:AT208"/>
    <mergeCell ref="AS209:AT209"/>
    <mergeCell ref="Q207:S207"/>
    <mergeCell ref="T207:V207"/>
    <mergeCell ref="AS204:AT204"/>
    <mergeCell ref="AS205:AT205"/>
    <mergeCell ref="AP207:AR207"/>
    <mergeCell ref="D206:G206"/>
    <mergeCell ref="H206:M206"/>
    <mergeCell ref="Q204:S204"/>
    <mergeCell ref="T204:V204"/>
    <mergeCell ref="W204:Y204"/>
    <mergeCell ref="AB202:AC202"/>
    <mergeCell ref="Z207:AA207"/>
    <mergeCell ref="AB205:AC205"/>
    <mergeCell ref="AB206:AC206"/>
    <mergeCell ref="AB207:AC207"/>
    <mergeCell ref="N206:P206"/>
    <mergeCell ref="Q206:S206"/>
    <mergeCell ref="T206:V206"/>
    <mergeCell ref="N207:P207"/>
    <mergeCell ref="Z203:AA203"/>
    <mergeCell ref="N203:P203"/>
    <mergeCell ref="Q208:S208"/>
    <mergeCell ref="AP206:AR206"/>
    <mergeCell ref="AJ206:AO206"/>
    <mergeCell ref="AB209:AC209"/>
    <mergeCell ref="AP208:AR208"/>
    <mergeCell ref="Q209:S209"/>
    <mergeCell ref="T209:V209"/>
    <mergeCell ref="AD205:AI205"/>
    <mergeCell ref="AD206:AI206"/>
    <mergeCell ref="AD207:AI207"/>
    <mergeCell ref="AD208:AI208"/>
    <mergeCell ref="AJ207:AO207"/>
    <mergeCell ref="AJ208:AO208"/>
    <mergeCell ref="AB203:AC203"/>
    <mergeCell ref="Q203:S203"/>
    <mergeCell ref="T203:V203"/>
    <mergeCell ref="W203:Y203"/>
    <mergeCell ref="AJ204:AO204"/>
    <mergeCell ref="AJ205:AO205"/>
    <mergeCell ref="T208:V208"/>
    <mergeCell ref="W208:Y208"/>
    <mergeCell ref="BQ175:BT175"/>
    <mergeCell ref="C176:E177"/>
    <mergeCell ref="F176:H176"/>
    <mergeCell ref="I176:K176"/>
    <mergeCell ref="L176:O176"/>
    <mergeCell ref="P176:S176"/>
    <mergeCell ref="AA177:AC177"/>
    <mergeCell ref="AD177:AF177"/>
    <mergeCell ref="AG177:AI177"/>
    <mergeCell ref="AJ177:AL177"/>
    <mergeCell ref="AM177:AO177"/>
    <mergeCell ref="AP177:AQ177"/>
    <mergeCell ref="AJ178:AL178"/>
    <mergeCell ref="AM178:AO178"/>
    <mergeCell ref="AP178:AQ178"/>
    <mergeCell ref="AR178:AS178"/>
    <mergeCell ref="AU178:AV178"/>
    <mergeCell ref="AW178:AX178"/>
    <mergeCell ref="BQ178:BT178"/>
    <mergeCell ref="BB176:BP176"/>
    <mergeCell ref="BQ176:BT176"/>
    <mergeCell ref="F177:H177"/>
    <mergeCell ref="I177:K177"/>
    <mergeCell ref="L177:O177"/>
    <mergeCell ref="P177:S177"/>
    <mergeCell ref="T177:W177"/>
    <mergeCell ref="X177:Z177"/>
    <mergeCell ref="T176:W176"/>
    <mergeCell ref="X176:Z176"/>
    <mergeCell ref="AA176:AC176"/>
    <mergeCell ref="AD176:AK176"/>
    <mergeCell ref="AL176:AQ176"/>
    <mergeCell ref="AT177:AV177"/>
    <mergeCell ref="AW177:AX177"/>
    <mergeCell ref="BZ169:CC169"/>
    <mergeCell ref="C170:E170"/>
    <mergeCell ref="F170:H170"/>
    <mergeCell ref="I170:K170"/>
    <mergeCell ref="L170:O170"/>
    <mergeCell ref="P170:S170"/>
    <mergeCell ref="T170:W170"/>
    <mergeCell ref="X170:Z170"/>
    <mergeCell ref="AA170:AC170"/>
    <mergeCell ref="AD170:AF170"/>
    <mergeCell ref="AJ175:AL175"/>
    <mergeCell ref="AM175:AO175"/>
    <mergeCell ref="AP175:AQ175"/>
    <mergeCell ref="AS175:AT175"/>
    <mergeCell ref="AU175:BA175"/>
    <mergeCell ref="BC175:BI175"/>
    <mergeCell ref="C175:H175"/>
    <mergeCell ref="I175:L175"/>
    <mergeCell ref="M175:W175"/>
    <mergeCell ref="X175:AB175"/>
    <mergeCell ref="AC175:AD175"/>
    <mergeCell ref="AE175:AI175"/>
    <mergeCell ref="BZ177:CC177"/>
    <mergeCell ref="H173:I173"/>
    <mergeCell ref="C173:D173"/>
    <mergeCell ref="E173:F173"/>
    <mergeCell ref="BQ170:BT170"/>
    <mergeCell ref="AT169:AV169"/>
    <mergeCell ref="AW169:AX169"/>
    <mergeCell ref="C168:E169"/>
    <mergeCell ref="F168:H168"/>
    <mergeCell ref="I168:K168"/>
    <mergeCell ref="L168:O168"/>
    <mergeCell ref="AW170:AX170"/>
    <mergeCell ref="AZ170:BA170"/>
    <mergeCell ref="BB170:BC170"/>
    <mergeCell ref="AA169:AC169"/>
    <mergeCell ref="AD169:AF169"/>
    <mergeCell ref="AG169:AI169"/>
    <mergeCell ref="AJ169:AL169"/>
    <mergeCell ref="AM169:AO169"/>
    <mergeCell ref="AP169:AQ169"/>
    <mergeCell ref="AR169:AS169"/>
    <mergeCell ref="AG170:AI170"/>
    <mergeCell ref="AJ170:AL170"/>
    <mergeCell ref="AM170:AO170"/>
    <mergeCell ref="AP170:AQ170"/>
    <mergeCell ref="AR170:AS170"/>
    <mergeCell ref="AU170:AV170"/>
    <mergeCell ref="AD168:AK168"/>
    <mergeCell ref="AL168:AQ168"/>
    <mergeCell ref="AY169:BA169"/>
    <mergeCell ref="BR171:BT171"/>
    <mergeCell ref="AK171:AN171"/>
    <mergeCell ref="AP171:AS171"/>
    <mergeCell ref="BQ168:BT168"/>
    <mergeCell ref="BQ169:BT169"/>
    <mergeCell ref="BZ161:CC161"/>
    <mergeCell ref="BK164:BM164"/>
    <mergeCell ref="BN164:BP164"/>
    <mergeCell ref="BQ167:BT167"/>
    <mergeCell ref="P168:S168"/>
    <mergeCell ref="T168:W168"/>
    <mergeCell ref="X168:Z168"/>
    <mergeCell ref="AA168:AC168"/>
    <mergeCell ref="AR168:BA168"/>
    <mergeCell ref="BK167:BP167"/>
    <mergeCell ref="AJ167:AL167"/>
    <mergeCell ref="AM167:AO167"/>
    <mergeCell ref="AP167:AQ167"/>
    <mergeCell ref="AS167:AT167"/>
    <mergeCell ref="AU167:BA167"/>
    <mergeCell ref="BC167:BI167"/>
    <mergeCell ref="Q164:X164"/>
    <mergeCell ref="Z164:AG164"/>
    <mergeCell ref="AK164:AN164"/>
    <mergeCell ref="AP164:AS164"/>
    <mergeCell ref="BE164:BJ164"/>
    <mergeCell ref="BJ162:BK162"/>
    <mergeCell ref="AW164:BC164"/>
    <mergeCell ref="AP162:AQ162"/>
    <mergeCell ref="AR162:AS162"/>
    <mergeCell ref="AU162:AV162"/>
    <mergeCell ref="AW162:AX162"/>
    <mergeCell ref="M167:W167"/>
    <mergeCell ref="X167:AB167"/>
    <mergeCell ref="AC167:AD167"/>
    <mergeCell ref="AE167:AI167"/>
    <mergeCell ref="J163:M163"/>
    <mergeCell ref="C159:H159"/>
    <mergeCell ref="I159:L159"/>
    <mergeCell ref="M159:W159"/>
    <mergeCell ref="X159:AB159"/>
    <mergeCell ref="AC159:AD159"/>
    <mergeCell ref="AE159:AI159"/>
    <mergeCell ref="AZ162:BA162"/>
    <mergeCell ref="BB162:BC162"/>
    <mergeCell ref="AA161:AC161"/>
    <mergeCell ref="AJ161:AL161"/>
    <mergeCell ref="AM161:AO161"/>
    <mergeCell ref="BK163:BM163"/>
    <mergeCell ref="AW161:AX161"/>
    <mergeCell ref="AT161:AV161"/>
    <mergeCell ref="X162:Z162"/>
    <mergeCell ref="AA162:AC162"/>
    <mergeCell ref="AD162:AF162"/>
    <mergeCell ref="AG162:AI162"/>
    <mergeCell ref="AJ162:AL162"/>
    <mergeCell ref="AM162:AO162"/>
    <mergeCell ref="C162:E162"/>
    <mergeCell ref="F162:H162"/>
    <mergeCell ref="AJ159:AL159"/>
    <mergeCell ref="BK159:BP159"/>
    <mergeCell ref="BC159:BI159"/>
    <mergeCell ref="BK165:BM165"/>
    <mergeCell ref="BN163:BP163"/>
    <mergeCell ref="F161:H161"/>
    <mergeCell ref="I161:K161"/>
    <mergeCell ref="L161:O161"/>
    <mergeCell ref="P161:S161"/>
    <mergeCell ref="T161:W161"/>
    <mergeCell ref="X161:Z161"/>
    <mergeCell ref="BQ161:BT161"/>
    <mergeCell ref="AP161:AQ161"/>
    <mergeCell ref="AR161:AS161"/>
    <mergeCell ref="X160:Z160"/>
    <mergeCell ref="AA160:AC160"/>
    <mergeCell ref="AD160:AK160"/>
    <mergeCell ref="AL160:AQ160"/>
    <mergeCell ref="AR160:BA160"/>
    <mergeCell ref="BB160:BP160"/>
    <mergeCell ref="AY161:BA161"/>
    <mergeCell ref="BC161:BF161"/>
    <mergeCell ref="BH161:BK161"/>
    <mergeCell ref="AD161:AF161"/>
    <mergeCell ref="AG161:AI161"/>
    <mergeCell ref="BM161:BP161"/>
    <mergeCell ref="I160:K160"/>
    <mergeCell ref="L160:O160"/>
    <mergeCell ref="P160:S160"/>
    <mergeCell ref="T160:W160"/>
    <mergeCell ref="BR164:BT164"/>
    <mergeCell ref="Q165:X165"/>
    <mergeCell ref="AP165:AS165"/>
    <mergeCell ref="AW165:BC165"/>
    <mergeCell ref="C153:D153"/>
    <mergeCell ref="AW153:BC153"/>
    <mergeCell ref="BE153:BJ153"/>
    <mergeCell ref="BN153:BP153"/>
    <mergeCell ref="BR153:BT153"/>
    <mergeCell ref="C154:D154"/>
    <mergeCell ref="E154:F154"/>
    <mergeCell ref="H154:I154"/>
    <mergeCell ref="N152:P154"/>
    <mergeCell ref="Q152:X152"/>
    <mergeCell ref="BQ151:BT151"/>
    <mergeCell ref="C152:I152"/>
    <mergeCell ref="J152:M152"/>
    <mergeCell ref="AW152:BC152"/>
    <mergeCell ref="BE152:BJ152"/>
    <mergeCell ref="BK152:BM152"/>
    <mergeCell ref="AG151:AI151"/>
    <mergeCell ref="AJ151:AL151"/>
    <mergeCell ref="AM151:AO151"/>
    <mergeCell ref="AP151:AQ151"/>
    <mergeCell ref="BR152:BT152"/>
    <mergeCell ref="E153:F153"/>
    <mergeCell ref="H153:I153"/>
    <mergeCell ref="J153:M154"/>
    <mergeCell ref="Q153:X153"/>
    <mergeCell ref="Z153:AG153"/>
    <mergeCell ref="AK153:AN153"/>
    <mergeCell ref="AP153:AS153"/>
    <mergeCell ref="BB149:BP149"/>
    <mergeCell ref="AT150:AV150"/>
    <mergeCell ref="BK153:BM153"/>
    <mergeCell ref="BK154:BM154"/>
    <mergeCell ref="Z152:AG152"/>
    <mergeCell ref="AK152:AN152"/>
    <mergeCell ref="C149:E150"/>
    <mergeCell ref="F149:H149"/>
    <mergeCell ref="I149:K149"/>
    <mergeCell ref="L149:O149"/>
    <mergeCell ref="P149:S149"/>
    <mergeCell ref="T149:W149"/>
    <mergeCell ref="AR151:AS151"/>
    <mergeCell ref="AU151:AV151"/>
    <mergeCell ref="AW151:AX151"/>
    <mergeCell ref="AZ151:BA151"/>
    <mergeCell ref="BB151:BC151"/>
    <mergeCell ref="AA150:AC150"/>
    <mergeCell ref="AJ150:AL150"/>
    <mergeCell ref="AM150:AO150"/>
    <mergeCell ref="AP150:AQ150"/>
    <mergeCell ref="AR150:AS150"/>
    <mergeCell ref="BN154:BP154"/>
    <mergeCell ref="BN144:BP144"/>
    <mergeCell ref="BR144:BT144"/>
    <mergeCell ref="BK144:BM144"/>
    <mergeCell ref="BZ150:CC150"/>
    <mergeCell ref="C151:E151"/>
    <mergeCell ref="F151:H151"/>
    <mergeCell ref="I151:K151"/>
    <mergeCell ref="L151:O151"/>
    <mergeCell ref="P151:S151"/>
    <mergeCell ref="T151:W151"/>
    <mergeCell ref="X151:Z151"/>
    <mergeCell ref="AA151:AC151"/>
    <mergeCell ref="AD151:AF151"/>
    <mergeCell ref="BE151:BF151"/>
    <mergeCell ref="BG151:BH151"/>
    <mergeCell ref="BJ151:BK151"/>
    <mergeCell ref="BL151:BM151"/>
    <mergeCell ref="BO151:BP151"/>
    <mergeCell ref="BQ149:BT149"/>
    <mergeCell ref="F150:H150"/>
    <mergeCell ref="I150:K150"/>
    <mergeCell ref="L150:O150"/>
    <mergeCell ref="P150:S150"/>
    <mergeCell ref="T150:W150"/>
    <mergeCell ref="X150:Z150"/>
    <mergeCell ref="AD150:AF150"/>
    <mergeCell ref="AG150:AI150"/>
    <mergeCell ref="X149:Z149"/>
    <mergeCell ref="AA149:AC149"/>
    <mergeCell ref="AD149:AK149"/>
    <mergeCell ref="AL149:AQ149"/>
    <mergeCell ref="AR149:BA149"/>
    <mergeCell ref="AJ142:AL142"/>
    <mergeCell ref="H145:I145"/>
    <mergeCell ref="J145:M146"/>
    <mergeCell ref="AG143:AI143"/>
    <mergeCell ref="AJ143:AL143"/>
    <mergeCell ref="AM143:AO143"/>
    <mergeCell ref="AP143:AQ143"/>
    <mergeCell ref="AU148:BA148"/>
    <mergeCell ref="BC150:BF150"/>
    <mergeCell ref="BH150:BK150"/>
    <mergeCell ref="BM150:BP150"/>
    <mergeCell ref="C148:H148"/>
    <mergeCell ref="I148:L148"/>
    <mergeCell ref="Q146:X146"/>
    <mergeCell ref="AY150:BA150"/>
    <mergeCell ref="BQ150:BT150"/>
    <mergeCell ref="BO143:BP143"/>
    <mergeCell ref="BQ143:BT143"/>
    <mergeCell ref="BQ148:BT148"/>
    <mergeCell ref="BN146:BP146"/>
    <mergeCell ref="BR146:BT146"/>
    <mergeCell ref="AZ143:BA143"/>
    <mergeCell ref="BB143:BC143"/>
    <mergeCell ref="AW150:AX150"/>
    <mergeCell ref="BC148:BI148"/>
    <mergeCell ref="BK148:BP148"/>
    <mergeCell ref="BL143:BM143"/>
    <mergeCell ref="AY142:BA142"/>
    <mergeCell ref="BC142:BF142"/>
    <mergeCell ref="BH142:BK142"/>
    <mergeCell ref="BM142:BP142"/>
    <mergeCell ref="BQ142:BT142"/>
    <mergeCell ref="H138:I138"/>
    <mergeCell ref="Q138:X138"/>
    <mergeCell ref="Z138:AG138"/>
    <mergeCell ref="AK138:AN138"/>
    <mergeCell ref="C144:I144"/>
    <mergeCell ref="J144:M144"/>
    <mergeCell ref="N144:P146"/>
    <mergeCell ref="AM148:AO148"/>
    <mergeCell ref="AP148:AQ148"/>
    <mergeCell ref="AH144:AJ144"/>
    <mergeCell ref="AH145:AJ145"/>
    <mergeCell ref="AH146:AJ146"/>
    <mergeCell ref="AJ148:AL148"/>
    <mergeCell ref="T142:W142"/>
    <mergeCell ref="X142:Z142"/>
    <mergeCell ref="Z146:AG146"/>
    <mergeCell ref="AK146:AN146"/>
    <mergeCell ref="AP146:AS146"/>
    <mergeCell ref="AP142:AQ142"/>
    <mergeCell ref="AM142:AO142"/>
    <mergeCell ref="AR143:AS143"/>
    <mergeCell ref="M148:W148"/>
    <mergeCell ref="X148:AB148"/>
    <mergeCell ref="AC148:AD148"/>
    <mergeCell ref="F142:H142"/>
    <mergeCell ref="I142:K142"/>
    <mergeCell ref="L142:O142"/>
    <mergeCell ref="P142:S142"/>
    <mergeCell ref="AS148:AT148"/>
    <mergeCell ref="AA142:AC142"/>
    <mergeCell ref="AD142:AF142"/>
    <mergeCell ref="AG142:AI142"/>
    <mergeCell ref="BZ142:CC142"/>
    <mergeCell ref="C143:E143"/>
    <mergeCell ref="F143:H143"/>
    <mergeCell ref="I143:K143"/>
    <mergeCell ref="L143:O143"/>
    <mergeCell ref="P143:S143"/>
    <mergeCell ref="T143:W143"/>
    <mergeCell ref="X143:Z143"/>
    <mergeCell ref="AA143:AC143"/>
    <mergeCell ref="AD143:AF143"/>
    <mergeCell ref="AP138:AS138"/>
    <mergeCell ref="C140:H140"/>
    <mergeCell ref="P141:S141"/>
    <mergeCell ref="T141:W141"/>
    <mergeCell ref="AW142:AX142"/>
    <mergeCell ref="BE143:BF143"/>
    <mergeCell ref="BG143:BH143"/>
    <mergeCell ref="AJ140:AL140"/>
    <mergeCell ref="AM140:AO140"/>
    <mergeCell ref="AU140:BA140"/>
    <mergeCell ref="C141:E142"/>
    <mergeCell ref="F141:H141"/>
    <mergeCell ref="I141:K141"/>
    <mergeCell ref="L141:O141"/>
    <mergeCell ref="BC140:BI140"/>
    <mergeCell ref="I140:L140"/>
    <mergeCell ref="M140:W140"/>
    <mergeCell ref="X140:AB140"/>
    <mergeCell ref="AS140:AT140"/>
    <mergeCell ref="BK140:BP140"/>
    <mergeCell ref="C138:D138"/>
    <mergeCell ref="E138:F138"/>
    <mergeCell ref="C137:D137"/>
    <mergeCell ref="E137:F137"/>
    <mergeCell ref="AZ135:BA135"/>
    <mergeCell ref="AP140:AQ140"/>
    <mergeCell ref="BR136:BT136"/>
    <mergeCell ref="BL135:BM135"/>
    <mergeCell ref="BO135:BP135"/>
    <mergeCell ref="BQ141:BT141"/>
    <mergeCell ref="BB141:BP141"/>
    <mergeCell ref="BR137:BT137"/>
    <mergeCell ref="AW138:BC138"/>
    <mergeCell ref="BE138:BJ138"/>
    <mergeCell ref="BQ140:BT140"/>
    <mergeCell ref="X141:Z141"/>
    <mergeCell ref="AA141:AC141"/>
    <mergeCell ref="AD141:AK141"/>
    <mergeCell ref="AL141:AQ141"/>
    <mergeCell ref="AR141:BA141"/>
    <mergeCell ref="C135:E135"/>
    <mergeCell ref="F135:H135"/>
    <mergeCell ref="Q137:X137"/>
    <mergeCell ref="Z137:AG137"/>
    <mergeCell ref="AK137:AN137"/>
    <mergeCell ref="AP137:AS137"/>
    <mergeCell ref="AW137:BC137"/>
    <mergeCell ref="AH137:AJ137"/>
    <mergeCell ref="AH138:AJ138"/>
    <mergeCell ref="BE135:BF135"/>
    <mergeCell ref="BG135:BH135"/>
    <mergeCell ref="AC140:AD140"/>
    <mergeCell ref="AE140:AI140"/>
    <mergeCell ref="BK138:BM138"/>
    <mergeCell ref="BC132:BI132"/>
    <mergeCell ref="BK132:BP132"/>
    <mergeCell ref="BQ132:BT132"/>
    <mergeCell ref="AW129:BC129"/>
    <mergeCell ref="BE129:BJ129"/>
    <mergeCell ref="BN129:BP129"/>
    <mergeCell ref="BR129:BT129"/>
    <mergeCell ref="BK129:BM129"/>
    <mergeCell ref="BK130:BM130"/>
    <mergeCell ref="BN138:BP138"/>
    <mergeCell ref="BR138:BT138"/>
    <mergeCell ref="BE137:BJ137"/>
    <mergeCell ref="AW136:BC136"/>
    <mergeCell ref="BE136:BJ136"/>
    <mergeCell ref="I135:K135"/>
    <mergeCell ref="L135:O135"/>
    <mergeCell ref="P135:S135"/>
    <mergeCell ref="T135:W135"/>
    <mergeCell ref="X135:Z135"/>
    <mergeCell ref="BB133:BP133"/>
    <mergeCell ref="BQ133:BT133"/>
    <mergeCell ref="AY134:BA134"/>
    <mergeCell ref="BC134:BF134"/>
    <mergeCell ref="BH134:BK134"/>
    <mergeCell ref="BM134:BP134"/>
    <mergeCell ref="BQ134:BT134"/>
    <mergeCell ref="AM134:AO134"/>
    <mergeCell ref="AP134:AQ134"/>
    <mergeCell ref="AR134:AS134"/>
    <mergeCell ref="AT134:AV134"/>
    <mergeCell ref="AW134:AX134"/>
    <mergeCell ref="C136:I136"/>
    <mergeCell ref="BZ134:CC134"/>
    <mergeCell ref="BB135:BC135"/>
    <mergeCell ref="AA134:AC134"/>
    <mergeCell ref="AD134:AF134"/>
    <mergeCell ref="AG134:AI134"/>
    <mergeCell ref="AJ134:AL134"/>
    <mergeCell ref="AT136:AV138"/>
    <mergeCell ref="I133:K133"/>
    <mergeCell ref="L133:O133"/>
    <mergeCell ref="P133:S133"/>
    <mergeCell ref="T133:W133"/>
    <mergeCell ref="X133:Z133"/>
    <mergeCell ref="AA133:AC133"/>
    <mergeCell ref="AD133:AK133"/>
    <mergeCell ref="AL133:AQ133"/>
    <mergeCell ref="AR133:BA133"/>
    <mergeCell ref="H137:I137"/>
    <mergeCell ref="J137:M138"/>
    <mergeCell ref="Q136:X136"/>
    <mergeCell ref="Z136:AG136"/>
    <mergeCell ref="AK136:AN136"/>
    <mergeCell ref="AP136:AS136"/>
    <mergeCell ref="AH136:AJ136"/>
    <mergeCell ref="AA135:AC135"/>
    <mergeCell ref="AD135:AF135"/>
    <mergeCell ref="AG135:AI135"/>
    <mergeCell ref="AJ135:AL135"/>
    <mergeCell ref="AM135:AO135"/>
    <mergeCell ref="AP135:AQ135"/>
    <mergeCell ref="BQ135:BT135"/>
    <mergeCell ref="J136:M136"/>
    <mergeCell ref="N136:P138"/>
    <mergeCell ref="AK130:AN130"/>
    <mergeCell ref="AP130:AS130"/>
    <mergeCell ref="X134:Z134"/>
    <mergeCell ref="C129:D129"/>
    <mergeCell ref="Q129:X129"/>
    <mergeCell ref="Z129:AG129"/>
    <mergeCell ref="AK129:AN129"/>
    <mergeCell ref="Q130:X130"/>
    <mergeCell ref="C130:D130"/>
    <mergeCell ref="E130:F130"/>
    <mergeCell ref="H130:I130"/>
    <mergeCell ref="Z130:AG130"/>
    <mergeCell ref="C133:E134"/>
    <mergeCell ref="F133:H133"/>
    <mergeCell ref="F134:H134"/>
    <mergeCell ref="I134:K134"/>
    <mergeCell ref="L134:O134"/>
    <mergeCell ref="P134:S134"/>
    <mergeCell ref="M132:W132"/>
    <mergeCell ref="X132:AB132"/>
    <mergeCell ref="AC132:AD132"/>
    <mergeCell ref="AE132:AI132"/>
    <mergeCell ref="AJ132:AL132"/>
    <mergeCell ref="AM132:AO132"/>
    <mergeCell ref="T134:W134"/>
    <mergeCell ref="C132:H132"/>
    <mergeCell ref="I132:L132"/>
    <mergeCell ref="C128:I128"/>
    <mergeCell ref="J128:M128"/>
    <mergeCell ref="AW128:BC128"/>
    <mergeCell ref="BE128:BJ128"/>
    <mergeCell ref="X126:Z126"/>
    <mergeCell ref="AW126:AX126"/>
    <mergeCell ref="F126:H126"/>
    <mergeCell ref="I126:K126"/>
    <mergeCell ref="L126:O126"/>
    <mergeCell ref="P126:S126"/>
    <mergeCell ref="BR130:BT130"/>
    <mergeCell ref="BE127:BF127"/>
    <mergeCell ref="BG127:BH127"/>
    <mergeCell ref="BJ127:BK127"/>
    <mergeCell ref="BL127:BM127"/>
    <mergeCell ref="BO127:BP127"/>
    <mergeCell ref="BQ127:BT127"/>
    <mergeCell ref="BN128:BP128"/>
    <mergeCell ref="BR128:BT128"/>
    <mergeCell ref="E129:F129"/>
    <mergeCell ref="H129:I129"/>
    <mergeCell ref="J129:M130"/>
    <mergeCell ref="AH128:AJ128"/>
    <mergeCell ref="AH129:AJ129"/>
    <mergeCell ref="AH130:AJ130"/>
    <mergeCell ref="BK128:BM128"/>
    <mergeCell ref="AP129:AS129"/>
    <mergeCell ref="N128:P130"/>
    <mergeCell ref="Q128:X128"/>
    <mergeCell ref="Z128:AG128"/>
    <mergeCell ref="AK128:AN128"/>
    <mergeCell ref="AP128:AS128"/>
    <mergeCell ref="BZ126:CC126"/>
    <mergeCell ref="C127:E127"/>
    <mergeCell ref="F127:H127"/>
    <mergeCell ref="I127:K127"/>
    <mergeCell ref="L127:O127"/>
    <mergeCell ref="P127:S127"/>
    <mergeCell ref="T127:W127"/>
    <mergeCell ref="X127:Z127"/>
    <mergeCell ref="AA127:AC127"/>
    <mergeCell ref="BM126:BP126"/>
    <mergeCell ref="BQ126:BT126"/>
    <mergeCell ref="AU124:BA124"/>
    <mergeCell ref="BC124:BI124"/>
    <mergeCell ref="BK124:BP124"/>
    <mergeCell ref="BQ124:BT124"/>
    <mergeCell ref="BQ125:BT125"/>
    <mergeCell ref="AY126:BA126"/>
    <mergeCell ref="BC126:BF126"/>
    <mergeCell ref="BH126:BK126"/>
    <mergeCell ref="M124:W124"/>
    <mergeCell ref="X124:AB124"/>
    <mergeCell ref="AC124:AD124"/>
    <mergeCell ref="AE124:AI124"/>
    <mergeCell ref="AJ124:AL124"/>
    <mergeCell ref="X125:Z125"/>
    <mergeCell ref="AA125:AC125"/>
    <mergeCell ref="AD125:AK125"/>
    <mergeCell ref="AL125:AQ125"/>
    <mergeCell ref="AR125:BA125"/>
    <mergeCell ref="BB125:BP125"/>
    <mergeCell ref="AU127:AV127"/>
    <mergeCell ref="AW127:AX127"/>
    <mergeCell ref="AZ127:BA127"/>
    <mergeCell ref="BB127:BC127"/>
    <mergeCell ref="C125:E126"/>
    <mergeCell ref="F125:H125"/>
    <mergeCell ref="I125:K125"/>
    <mergeCell ref="L125:O125"/>
    <mergeCell ref="P125:S125"/>
    <mergeCell ref="T125:W125"/>
    <mergeCell ref="AD127:AF127"/>
    <mergeCell ref="AG127:AI127"/>
    <mergeCell ref="AJ127:AL127"/>
    <mergeCell ref="AM127:AO127"/>
    <mergeCell ref="AP127:AQ127"/>
    <mergeCell ref="AR127:AS127"/>
    <mergeCell ref="T126:W126"/>
    <mergeCell ref="AT126:AV126"/>
    <mergeCell ref="N120:P122"/>
    <mergeCell ref="Q120:X120"/>
    <mergeCell ref="Z120:AG120"/>
    <mergeCell ref="AK120:AN120"/>
    <mergeCell ref="AP120:AS120"/>
    <mergeCell ref="AT120:AV122"/>
    <mergeCell ref="AW120:BC120"/>
    <mergeCell ref="AS124:AT124"/>
    <mergeCell ref="AH122:AJ122"/>
    <mergeCell ref="AM124:AO124"/>
    <mergeCell ref="AA126:AC126"/>
    <mergeCell ref="AD126:AF126"/>
    <mergeCell ref="AG126:AI126"/>
    <mergeCell ref="AJ126:AL126"/>
    <mergeCell ref="AM126:AO126"/>
    <mergeCell ref="AP126:AQ126"/>
    <mergeCell ref="AR126:AS126"/>
    <mergeCell ref="C124:H124"/>
    <mergeCell ref="E122:F122"/>
    <mergeCell ref="H122:I122"/>
    <mergeCell ref="Q122:X122"/>
    <mergeCell ref="Z122:AG122"/>
    <mergeCell ref="BR122:BT122"/>
    <mergeCell ref="AP122:AS122"/>
    <mergeCell ref="AW122:BC122"/>
    <mergeCell ref="BE122:BJ122"/>
    <mergeCell ref="BK122:BM122"/>
    <mergeCell ref="AP124:AQ124"/>
    <mergeCell ref="I124:L124"/>
    <mergeCell ref="AG119:AI119"/>
    <mergeCell ref="AT118:AV118"/>
    <mergeCell ref="AW118:AX118"/>
    <mergeCell ref="C117:E118"/>
    <mergeCell ref="I117:K117"/>
    <mergeCell ref="I118:K118"/>
    <mergeCell ref="C120:I120"/>
    <mergeCell ref="BQ118:BT118"/>
    <mergeCell ref="BN122:BP122"/>
    <mergeCell ref="AK122:AN122"/>
    <mergeCell ref="AH120:AJ120"/>
    <mergeCell ref="AH121:AJ121"/>
    <mergeCell ref="AR117:BA117"/>
    <mergeCell ref="BB117:BP117"/>
    <mergeCell ref="AJ119:AL119"/>
    <mergeCell ref="AM119:AO119"/>
    <mergeCell ref="L118:O118"/>
    <mergeCell ref="P118:S118"/>
    <mergeCell ref="T118:W118"/>
    <mergeCell ref="AG118:AI118"/>
    <mergeCell ref="AJ118:AL118"/>
    <mergeCell ref="L117:O117"/>
    <mergeCell ref="P117:S117"/>
    <mergeCell ref="BN120:BP120"/>
    <mergeCell ref="BE121:BJ121"/>
    <mergeCell ref="BE120:BJ120"/>
    <mergeCell ref="BN121:BP121"/>
    <mergeCell ref="J120:M120"/>
    <mergeCell ref="AP119:AQ119"/>
    <mergeCell ref="AR119:AS119"/>
    <mergeCell ref="AU119:AV119"/>
    <mergeCell ref="AW119:AX119"/>
    <mergeCell ref="AZ119:BA119"/>
    <mergeCell ref="BB119:BC119"/>
    <mergeCell ref="BK120:BM120"/>
    <mergeCell ref="BK121:BM121"/>
    <mergeCell ref="BZ118:CC118"/>
    <mergeCell ref="C119:E119"/>
    <mergeCell ref="F119:H119"/>
    <mergeCell ref="I119:K119"/>
    <mergeCell ref="L119:O119"/>
    <mergeCell ref="P119:S119"/>
    <mergeCell ref="T119:W119"/>
    <mergeCell ref="X119:Z119"/>
    <mergeCell ref="AA119:AC119"/>
    <mergeCell ref="AD119:AF119"/>
    <mergeCell ref="BR114:BT114"/>
    <mergeCell ref="Z114:AG114"/>
    <mergeCell ref="BK112:BM112"/>
    <mergeCell ref="T117:W117"/>
    <mergeCell ref="X117:Z117"/>
    <mergeCell ref="AA117:AC117"/>
    <mergeCell ref="AD117:AK117"/>
    <mergeCell ref="AL117:AQ117"/>
    <mergeCell ref="BN112:BP112"/>
    <mergeCell ref="BR112:BT112"/>
    <mergeCell ref="BK113:BM113"/>
    <mergeCell ref="BK114:BM114"/>
    <mergeCell ref="BE114:BJ114"/>
    <mergeCell ref="BN114:BP114"/>
    <mergeCell ref="BC116:BI116"/>
    <mergeCell ref="AH112:AJ112"/>
    <mergeCell ref="AH113:AJ113"/>
    <mergeCell ref="X118:Z118"/>
    <mergeCell ref="AP118:AQ118"/>
    <mergeCell ref="AR118:AS118"/>
    <mergeCell ref="AA118:AC118"/>
    <mergeCell ref="AD118:AF118"/>
    <mergeCell ref="BO111:BP111"/>
    <mergeCell ref="AZ111:BA111"/>
    <mergeCell ref="BQ110:BT110"/>
    <mergeCell ref="AJ116:AL116"/>
    <mergeCell ref="AM116:AO116"/>
    <mergeCell ref="AP116:AQ116"/>
    <mergeCell ref="AS116:AT116"/>
    <mergeCell ref="AU116:BA116"/>
    <mergeCell ref="AK114:AN114"/>
    <mergeCell ref="AP114:AS114"/>
    <mergeCell ref="AW114:BC114"/>
    <mergeCell ref="AH114:AJ114"/>
    <mergeCell ref="C116:H116"/>
    <mergeCell ref="I116:L116"/>
    <mergeCell ref="M116:W116"/>
    <mergeCell ref="X116:AB116"/>
    <mergeCell ref="AC116:AD116"/>
    <mergeCell ref="AE116:AI116"/>
    <mergeCell ref="AW113:BC113"/>
    <mergeCell ref="BK116:BP116"/>
    <mergeCell ref="BQ116:BT116"/>
    <mergeCell ref="BN113:BP113"/>
    <mergeCell ref="BR113:BT113"/>
    <mergeCell ref="E114:F114"/>
    <mergeCell ref="H114:I114"/>
    <mergeCell ref="Q114:X114"/>
    <mergeCell ref="J113:M114"/>
    <mergeCell ref="Q113:X113"/>
    <mergeCell ref="Z113:AG113"/>
    <mergeCell ref="AK113:AN113"/>
    <mergeCell ref="AP113:AS113"/>
    <mergeCell ref="Z112:AG112"/>
    <mergeCell ref="BR104:BT104"/>
    <mergeCell ref="E105:F105"/>
    <mergeCell ref="AG111:AI111"/>
    <mergeCell ref="AJ111:AL111"/>
    <mergeCell ref="AM111:AO111"/>
    <mergeCell ref="AP111:AQ111"/>
    <mergeCell ref="AR111:AS111"/>
    <mergeCell ref="AU111:AV111"/>
    <mergeCell ref="BZ110:CC110"/>
    <mergeCell ref="C111:E111"/>
    <mergeCell ref="F111:H111"/>
    <mergeCell ref="I111:K111"/>
    <mergeCell ref="L111:O111"/>
    <mergeCell ref="P111:S111"/>
    <mergeCell ref="T111:W111"/>
    <mergeCell ref="X111:Z111"/>
    <mergeCell ref="AA111:AC111"/>
    <mergeCell ref="AD111:AF111"/>
    <mergeCell ref="BQ109:BT109"/>
    <mergeCell ref="F110:H110"/>
    <mergeCell ref="I110:K110"/>
    <mergeCell ref="L110:O110"/>
    <mergeCell ref="P110:S110"/>
    <mergeCell ref="T110:W110"/>
    <mergeCell ref="X110:Z110"/>
    <mergeCell ref="BQ111:BT111"/>
    <mergeCell ref="AY110:BA110"/>
    <mergeCell ref="BB111:BC111"/>
    <mergeCell ref="BE111:BF111"/>
    <mergeCell ref="BG111:BH111"/>
    <mergeCell ref="BJ111:BK111"/>
    <mergeCell ref="BL111:BM111"/>
    <mergeCell ref="BK105:BM105"/>
    <mergeCell ref="BK106:BM106"/>
    <mergeCell ref="AH104:AJ104"/>
    <mergeCell ref="AH105:AJ105"/>
    <mergeCell ref="AH106:AJ106"/>
    <mergeCell ref="BE103:BF103"/>
    <mergeCell ref="BG103:BH103"/>
    <mergeCell ref="BJ103:BK103"/>
    <mergeCell ref="BL103:BM103"/>
    <mergeCell ref="AP106:AS106"/>
    <mergeCell ref="AW106:BC106"/>
    <mergeCell ref="BE106:BJ106"/>
    <mergeCell ref="AP108:AQ108"/>
    <mergeCell ref="BZ102:CC102"/>
    <mergeCell ref="C103:E103"/>
    <mergeCell ref="F103:H103"/>
    <mergeCell ref="I103:K103"/>
    <mergeCell ref="L103:O103"/>
    <mergeCell ref="P103:S103"/>
    <mergeCell ref="T103:W103"/>
    <mergeCell ref="C105:D105"/>
    <mergeCell ref="AW105:BC105"/>
    <mergeCell ref="BE105:BJ105"/>
    <mergeCell ref="BN105:BP105"/>
    <mergeCell ref="BR105:BT105"/>
    <mergeCell ref="C106:D106"/>
    <mergeCell ref="E106:F106"/>
    <mergeCell ref="H106:I106"/>
    <mergeCell ref="Z106:AG106"/>
    <mergeCell ref="AK106:AN106"/>
    <mergeCell ref="BQ108:BT108"/>
    <mergeCell ref="C108:H108"/>
    <mergeCell ref="T101:W101"/>
    <mergeCell ref="X101:Z101"/>
    <mergeCell ref="I108:L108"/>
    <mergeCell ref="M108:W108"/>
    <mergeCell ref="X108:AB108"/>
    <mergeCell ref="AC108:AD108"/>
    <mergeCell ref="AE108:AI108"/>
    <mergeCell ref="AJ108:AL108"/>
    <mergeCell ref="AM108:AO108"/>
    <mergeCell ref="AS108:AT108"/>
    <mergeCell ref="BO103:BP103"/>
    <mergeCell ref="BQ103:BT103"/>
    <mergeCell ref="AA101:AC101"/>
    <mergeCell ref="AZ103:BA103"/>
    <mergeCell ref="BB103:BC103"/>
    <mergeCell ref="AA102:AC102"/>
    <mergeCell ref="AD102:AF102"/>
    <mergeCell ref="AG102:AI102"/>
    <mergeCell ref="AJ102:AL102"/>
    <mergeCell ref="AM102:AO102"/>
    <mergeCell ref="AP102:AQ102"/>
    <mergeCell ref="AR102:AS102"/>
    <mergeCell ref="AT102:AV102"/>
    <mergeCell ref="AJ103:AL103"/>
    <mergeCell ref="AM103:AO103"/>
    <mergeCell ref="AP103:AQ103"/>
    <mergeCell ref="AR103:AS103"/>
    <mergeCell ref="AU103:AV103"/>
    <mergeCell ref="AW103:AX103"/>
    <mergeCell ref="AU108:BA108"/>
    <mergeCell ref="BC108:BI108"/>
    <mergeCell ref="BK108:BP108"/>
    <mergeCell ref="Z96:AG96"/>
    <mergeCell ref="AK96:AN96"/>
    <mergeCell ref="AE100:AI100"/>
    <mergeCell ref="AJ100:AL100"/>
    <mergeCell ref="AM100:AO100"/>
    <mergeCell ref="BQ102:BT102"/>
    <mergeCell ref="AP100:AQ100"/>
    <mergeCell ref="AS100:AT100"/>
    <mergeCell ref="AU100:BA100"/>
    <mergeCell ref="X102:Z102"/>
    <mergeCell ref="C100:H100"/>
    <mergeCell ref="I100:L100"/>
    <mergeCell ref="M100:W100"/>
    <mergeCell ref="X100:AB100"/>
    <mergeCell ref="AC100:AD100"/>
    <mergeCell ref="AD101:AK101"/>
    <mergeCell ref="AL101:AQ101"/>
    <mergeCell ref="AR101:BA101"/>
    <mergeCell ref="BB101:BP101"/>
    <mergeCell ref="BQ101:BT101"/>
    <mergeCell ref="F102:H102"/>
    <mergeCell ref="I102:K102"/>
    <mergeCell ref="L102:O102"/>
    <mergeCell ref="P102:S102"/>
    <mergeCell ref="T102:W102"/>
    <mergeCell ref="AW102:AX102"/>
    <mergeCell ref="BQ100:BT100"/>
    <mergeCell ref="C101:E102"/>
    <mergeCell ref="F101:H101"/>
    <mergeCell ref="I101:K101"/>
    <mergeCell ref="L101:O101"/>
    <mergeCell ref="P101:S101"/>
    <mergeCell ref="AH89:AJ89"/>
    <mergeCell ref="AH90:AJ90"/>
    <mergeCell ref="BR98:BT98"/>
    <mergeCell ref="BZ94:CC94"/>
    <mergeCell ref="C95:E95"/>
    <mergeCell ref="F95:H95"/>
    <mergeCell ref="I95:K95"/>
    <mergeCell ref="L95:O95"/>
    <mergeCell ref="P95:S95"/>
    <mergeCell ref="T95:W95"/>
    <mergeCell ref="X95:Z95"/>
    <mergeCell ref="AA95:AC95"/>
    <mergeCell ref="BN96:BP96"/>
    <mergeCell ref="BR96:BT96"/>
    <mergeCell ref="BN97:BP97"/>
    <mergeCell ref="BR97:BT97"/>
    <mergeCell ref="I94:K94"/>
    <mergeCell ref="L94:O94"/>
    <mergeCell ref="P94:S94"/>
    <mergeCell ref="T94:W94"/>
    <mergeCell ref="X94:Z94"/>
    <mergeCell ref="H97:I97"/>
    <mergeCell ref="BQ95:BT95"/>
    <mergeCell ref="AY94:BA94"/>
    <mergeCell ref="BC94:BF94"/>
    <mergeCell ref="BH94:BK94"/>
    <mergeCell ref="BM94:BP94"/>
    <mergeCell ref="BQ94:BT94"/>
    <mergeCell ref="C96:I96"/>
    <mergeCell ref="J96:M96"/>
    <mergeCell ref="N96:P98"/>
    <mergeCell ref="Q96:X96"/>
    <mergeCell ref="AE92:AI92"/>
    <mergeCell ref="C89:D89"/>
    <mergeCell ref="E89:F89"/>
    <mergeCell ref="AH88:AJ88"/>
    <mergeCell ref="C93:E94"/>
    <mergeCell ref="F93:H93"/>
    <mergeCell ref="I93:K93"/>
    <mergeCell ref="L93:O93"/>
    <mergeCell ref="AU95:AV95"/>
    <mergeCell ref="AW95:AX95"/>
    <mergeCell ref="AZ95:BA95"/>
    <mergeCell ref="BB95:BC95"/>
    <mergeCell ref="AA94:AC94"/>
    <mergeCell ref="AD94:AF94"/>
    <mergeCell ref="AG94:AI94"/>
    <mergeCell ref="AJ94:AL94"/>
    <mergeCell ref="AM94:AO94"/>
    <mergeCell ref="AP94:AQ94"/>
    <mergeCell ref="AD95:AF95"/>
    <mergeCell ref="AG95:AI95"/>
    <mergeCell ref="AJ95:AL95"/>
    <mergeCell ref="AM95:AO95"/>
    <mergeCell ref="AP95:AQ95"/>
    <mergeCell ref="AR95:AS95"/>
    <mergeCell ref="AR93:BA93"/>
    <mergeCell ref="BB93:BP93"/>
    <mergeCell ref="P93:S93"/>
    <mergeCell ref="T93:W93"/>
    <mergeCell ref="X93:Z93"/>
    <mergeCell ref="AA93:AC93"/>
    <mergeCell ref="AD93:AK93"/>
    <mergeCell ref="AL93:AQ93"/>
    <mergeCell ref="AK80:AN80"/>
    <mergeCell ref="AP80:AS80"/>
    <mergeCell ref="C85:E86"/>
    <mergeCell ref="F85:H85"/>
    <mergeCell ref="BR90:BT90"/>
    <mergeCell ref="BZ86:CC86"/>
    <mergeCell ref="C87:E87"/>
    <mergeCell ref="F87:H87"/>
    <mergeCell ref="I87:K87"/>
    <mergeCell ref="L87:O87"/>
    <mergeCell ref="P87:S87"/>
    <mergeCell ref="BK92:BP92"/>
    <mergeCell ref="BQ92:BT92"/>
    <mergeCell ref="BR89:BT89"/>
    <mergeCell ref="C90:D90"/>
    <mergeCell ref="E90:F90"/>
    <mergeCell ref="H90:I90"/>
    <mergeCell ref="Q90:X90"/>
    <mergeCell ref="Z90:AG90"/>
    <mergeCell ref="AK90:AN90"/>
    <mergeCell ref="AP90:AS90"/>
    <mergeCell ref="AJ92:AL92"/>
    <mergeCell ref="AM92:AO92"/>
    <mergeCell ref="AP92:AQ92"/>
    <mergeCell ref="AS92:AT92"/>
    <mergeCell ref="AU92:BA92"/>
    <mergeCell ref="BC92:BI92"/>
    <mergeCell ref="C92:H92"/>
    <mergeCell ref="I92:L92"/>
    <mergeCell ref="M92:W92"/>
    <mergeCell ref="X92:AB92"/>
    <mergeCell ref="AC92:AD92"/>
    <mergeCell ref="BQ87:BT87"/>
    <mergeCell ref="BQ86:BT86"/>
    <mergeCell ref="BQ85:BT85"/>
    <mergeCell ref="F86:H86"/>
    <mergeCell ref="I86:K86"/>
    <mergeCell ref="L86:O86"/>
    <mergeCell ref="P86:S86"/>
    <mergeCell ref="T86:W86"/>
    <mergeCell ref="X86:Z86"/>
    <mergeCell ref="AM87:AO87"/>
    <mergeCell ref="AP87:AQ87"/>
    <mergeCell ref="AR87:AS87"/>
    <mergeCell ref="AU87:AV87"/>
    <mergeCell ref="AW87:AX87"/>
    <mergeCell ref="AZ87:BA87"/>
    <mergeCell ref="T87:W87"/>
    <mergeCell ref="X87:Z87"/>
    <mergeCell ref="AA87:AC87"/>
    <mergeCell ref="AD87:AF87"/>
    <mergeCell ref="AG87:AI87"/>
    <mergeCell ref="AJ87:AL87"/>
    <mergeCell ref="AA86:AC86"/>
    <mergeCell ref="AD86:AF86"/>
    <mergeCell ref="I85:K85"/>
    <mergeCell ref="L85:O85"/>
    <mergeCell ref="P85:S85"/>
    <mergeCell ref="Q81:X81"/>
    <mergeCell ref="AH79:AJ79"/>
    <mergeCell ref="AH80:AJ80"/>
    <mergeCell ref="AH81:AJ81"/>
    <mergeCell ref="BE87:BF87"/>
    <mergeCell ref="BG87:BH87"/>
    <mergeCell ref="AG86:AI86"/>
    <mergeCell ref="AJ86:AL86"/>
    <mergeCell ref="C79:I79"/>
    <mergeCell ref="J79:M79"/>
    <mergeCell ref="AW79:BC79"/>
    <mergeCell ref="BE79:BJ79"/>
    <mergeCell ref="AS84:AT84"/>
    <mergeCell ref="AU84:BA84"/>
    <mergeCell ref="BC84:BI84"/>
    <mergeCell ref="C84:H84"/>
    <mergeCell ref="I84:L84"/>
    <mergeCell ref="M84:W84"/>
    <mergeCell ref="T85:W85"/>
    <mergeCell ref="X85:Z85"/>
    <mergeCell ref="AA85:AC85"/>
    <mergeCell ref="AD85:AK85"/>
    <mergeCell ref="AL85:AQ85"/>
    <mergeCell ref="AR85:BA85"/>
    <mergeCell ref="C80:D80"/>
    <mergeCell ref="BJ87:BK87"/>
    <mergeCell ref="AT79:AV81"/>
    <mergeCell ref="BK80:BM80"/>
    <mergeCell ref="J80:M81"/>
    <mergeCell ref="Q80:X80"/>
    <mergeCell ref="Z80:AG80"/>
    <mergeCell ref="BB87:BC87"/>
    <mergeCell ref="BZ77:CC77"/>
    <mergeCell ref="C78:E78"/>
    <mergeCell ref="F78:H78"/>
    <mergeCell ref="I78:K78"/>
    <mergeCell ref="L78:O78"/>
    <mergeCell ref="P78:S78"/>
    <mergeCell ref="T78:W78"/>
    <mergeCell ref="X78:Z78"/>
    <mergeCell ref="AA78:AC78"/>
    <mergeCell ref="AP84:AQ84"/>
    <mergeCell ref="N79:P81"/>
    <mergeCell ref="Q79:X79"/>
    <mergeCell ref="Z79:AG79"/>
    <mergeCell ref="AK79:AN79"/>
    <mergeCell ref="AP79:AS79"/>
    <mergeCell ref="AW80:BC80"/>
    <mergeCell ref="BE80:BJ80"/>
    <mergeCell ref="BN80:BP80"/>
    <mergeCell ref="BR80:BT80"/>
    <mergeCell ref="C81:D81"/>
    <mergeCell ref="E81:F81"/>
    <mergeCell ref="H81:I81"/>
    <mergeCell ref="Z81:AG81"/>
    <mergeCell ref="BN81:BP81"/>
    <mergeCell ref="X84:AB84"/>
    <mergeCell ref="AC84:AD84"/>
    <mergeCell ref="AE84:AI84"/>
    <mergeCell ref="AJ84:AL84"/>
    <mergeCell ref="AM84:AO84"/>
    <mergeCell ref="BR79:BT79"/>
    <mergeCell ref="E80:F80"/>
    <mergeCell ref="H80:I80"/>
    <mergeCell ref="BQ84:BT84"/>
    <mergeCell ref="AD76:AK76"/>
    <mergeCell ref="AL76:AQ76"/>
    <mergeCell ref="AR76:BA76"/>
    <mergeCell ref="BJ78:BK78"/>
    <mergeCell ref="BL78:BM78"/>
    <mergeCell ref="BO78:BP78"/>
    <mergeCell ref="BQ78:BT78"/>
    <mergeCell ref="BQ75:BT75"/>
    <mergeCell ref="C76:E77"/>
    <mergeCell ref="F76:H76"/>
    <mergeCell ref="I76:K76"/>
    <mergeCell ref="L76:O76"/>
    <mergeCell ref="P76:S76"/>
    <mergeCell ref="AU78:AV78"/>
    <mergeCell ref="AW78:AX78"/>
    <mergeCell ref="AZ78:BA78"/>
    <mergeCell ref="BB78:BC78"/>
    <mergeCell ref="BE78:BF78"/>
    <mergeCell ref="BG78:BH78"/>
    <mergeCell ref="AD78:AF78"/>
    <mergeCell ref="AG78:AI78"/>
    <mergeCell ref="AJ78:AL78"/>
    <mergeCell ref="AM78:AO78"/>
    <mergeCell ref="AP78:AQ78"/>
    <mergeCell ref="AR78:AS78"/>
    <mergeCell ref="BQ77:BT77"/>
    <mergeCell ref="AA77:AC77"/>
    <mergeCell ref="AD77:AF77"/>
    <mergeCell ref="AG77:AI77"/>
    <mergeCell ref="AJ77:AL77"/>
    <mergeCell ref="BK79:BM79"/>
    <mergeCell ref="AM77:AO77"/>
    <mergeCell ref="AP77:AQ77"/>
    <mergeCell ref="AJ75:AL75"/>
    <mergeCell ref="AM75:AO75"/>
    <mergeCell ref="AP75:AQ75"/>
    <mergeCell ref="AY77:BA77"/>
    <mergeCell ref="BC77:BF77"/>
    <mergeCell ref="BM77:BP77"/>
    <mergeCell ref="AR77:AS77"/>
    <mergeCell ref="AT77:AV77"/>
    <mergeCell ref="AW77:AX77"/>
    <mergeCell ref="AS75:AT75"/>
    <mergeCell ref="C75:H75"/>
    <mergeCell ref="I75:L75"/>
    <mergeCell ref="M75:W75"/>
    <mergeCell ref="X75:AB75"/>
    <mergeCell ref="AC75:AD75"/>
    <mergeCell ref="AE75:AI75"/>
    <mergeCell ref="BB76:BP76"/>
    <mergeCell ref="F77:H77"/>
    <mergeCell ref="I77:K77"/>
    <mergeCell ref="L77:O77"/>
    <mergeCell ref="P77:S77"/>
    <mergeCell ref="T77:W77"/>
    <mergeCell ref="X77:Z77"/>
    <mergeCell ref="T76:W76"/>
    <mergeCell ref="X76:Z76"/>
    <mergeCell ref="AA76:AC76"/>
    <mergeCell ref="BN71:BP71"/>
    <mergeCell ref="BR71:BT71"/>
    <mergeCell ref="BN72:BP72"/>
    <mergeCell ref="BR72:BT72"/>
    <mergeCell ref="BK71:BM71"/>
    <mergeCell ref="BK72:BM72"/>
    <mergeCell ref="BQ70:BT70"/>
    <mergeCell ref="AY69:BA69"/>
    <mergeCell ref="BC69:BF69"/>
    <mergeCell ref="BH69:BK69"/>
    <mergeCell ref="BM69:BP69"/>
    <mergeCell ref="BQ69:BT69"/>
    <mergeCell ref="AZ70:BA70"/>
    <mergeCell ref="BB70:BC70"/>
    <mergeCell ref="AU75:BA75"/>
    <mergeCell ref="BC75:BI75"/>
    <mergeCell ref="BH77:BK77"/>
    <mergeCell ref="BK73:BM73"/>
    <mergeCell ref="BK75:BP75"/>
    <mergeCell ref="BE70:BF70"/>
    <mergeCell ref="BG70:BH70"/>
    <mergeCell ref="BJ70:BK70"/>
    <mergeCell ref="BL70:BM70"/>
    <mergeCell ref="BO70:BP70"/>
    <mergeCell ref="AW72:BC72"/>
    <mergeCell ref="BE72:BJ72"/>
    <mergeCell ref="BQ76:BT76"/>
    <mergeCell ref="BN73:BP73"/>
    <mergeCell ref="BR73:BT73"/>
    <mergeCell ref="AJ70:AL70"/>
    <mergeCell ref="AM70:AO70"/>
    <mergeCell ref="AP70:AQ70"/>
    <mergeCell ref="AR70:AS70"/>
    <mergeCell ref="AU70:AV70"/>
    <mergeCell ref="AW70:AX70"/>
    <mergeCell ref="C70:E70"/>
    <mergeCell ref="F70:H70"/>
    <mergeCell ref="I70:K70"/>
    <mergeCell ref="L70:O70"/>
    <mergeCell ref="P70:S70"/>
    <mergeCell ref="T70:W70"/>
    <mergeCell ref="AH71:AJ71"/>
    <mergeCell ref="AH72:AJ72"/>
    <mergeCell ref="AH73:AJ73"/>
    <mergeCell ref="I69:K69"/>
    <mergeCell ref="L69:O69"/>
    <mergeCell ref="X70:Z70"/>
    <mergeCell ref="AA70:AC70"/>
    <mergeCell ref="AD70:AF70"/>
    <mergeCell ref="AG70:AI70"/>
    <mergeCell ref="AK72:AN72"/>
    <mergeCell ref="AP72:AS72"/>
    <mergeCell ref="C71:I71"/>
    <mergeCell ref="J71:M71"/>
    <mergeCell ref="N71:P73"/>
    <mergeCell ref="Q71:X71"/>
    <mergeCell ref="J72:M73"/>
    <mergeCell ref="Q72:X72"/>
    <mergeCell ref="Z72:AG72"/>
    <mergeCell ref="C73:D73"/>
    <mergeCell ref="E73:F73"/>
    <mergeCell ref="AP67:AQ67"/>
    <mergeCell ref="AS67:AT67"/>
    <mergeCell ref="AU67:BA67"/>
    <mergeCell ref="BZ61:CC61"/>
    <mergeCell ref="AP62:AQ62"/>
    <mergeCell ref="AR62:AS62"/>
    <mergeCell ref="AU62:AV62"/>
    <mergeCell ref="AW62:AX62"/>
    <mergeCell ref="C67:H67"/>
    <mergeCell ref="I67:L67"/>
    <mergeCell ref="M67:W67"/>
    <mergeCell ref="X67:AB67"/>
    <mergeCell ref="AC67:AD67"/>
    <mergeCell ref="AE67:AI67"/>
    <mergeCell ref="AR69:AS69"/>
    <mergeCell ref="AT69:AV69"/>
    <mergeCell ref="AW69:AX69"/>
    <mergeCell ref="C68:E69"/>
    <mergeCell ref="F68:H68"/>
    <mergeCell ref="I68:K68"/>
    <mergeCell ref="L68:O68"/>
    <mergeCell ref="P69:S69"/>
    <mergeCell ref="T69:W69"/>
    <mergeCell ref="X69:Z69"/>
    <mergeCell ref="AA69:AC69"/>
    <mergeCell ref="AD69:AF69"/>
    <mergeCell ref="AG69:AI69"/>
    <mergeCell ref="AJ69:AL69"/>
    <mergeCell ref="AM69:AO69"/>
    <mergeCell ref="AP69:AQ69"/>
    <mergeCell ref="BZ69:CC69"/>
    <mergeCell ref="BK65:BM65"/>
    <mergeCell ref="AR68:BA68"/>
    <mergeCell ref="BB68:BP68"/>
    <mergeCell ref="BQ68:BT68"/>
    <mergeCell ref="BC67:BI67"/>
    <mergeCell ref="BK67:BP67"/>
    <mergeCell ref="BQ67:BT67"/>
    <mergeCell ref="AD60:AK60"/>
    <mergeCell ref="AL60:AQ60"/>
    <mergeCell ref="AR60:BA60"/>
    <mergeCell ref="BQ61:BT61"/>
    <mergeCell ref="P68:S68"/>
    <mergeCell ref="T68:W68"/>
    <mergeCell ref="X68:Z68"/>
    <mergeCell ref="AA68:AC68"/>
    <mergeCell ref="AD68:AK68"/>
    <mergeCell ref="AL68:AQ68"/>
    <mergeCell ref="AT61:AV61"/>
    <mergeCell ref="AW61:AX61"/>
    <mergeCell ref="P60:S60"/>
    <mergeCell ref="T60:W60"/>
    <mergeCell ref="X60:Z60"/>
    <mergeCell ref="AA60:AC60"/>
    <mergeCell ref="X62:Z62"/>
    <mergeCell ref="AA62:AC62"/>
    <mergeCell ref="AD62:AF62"/>
    <mergeCell ref="AG62:AI62"/>
    <mergeCell ref="AJ62:AL62"/>
    <mergeCell ref="AM62:AO62"/>
    <mergeCell ref="P62:S62"/>
    <mergeCell ref="T62:W62"/>
    <mergeCell ref="AJ67:AL67"/>
    <mergeCell ref="AM67:AO67"/>
    <mergeCell ref="BQ60:BT60"/>
    <mergeCell ref="F61:H61"/>
    <mergeCell ref="I61:K61"/>
    <mergeCell ref="L61:O61"/>
    <mergeCell ref="P61:S61"/>
    <mergeCell ref="T61:W61"/>
    <mergeCell ref="X61:Z61"/>
    <mergeCell ref="AA61:AC61"/>
    <mergeCell ref="AD61:AF61"/>
    <mergeCell ref="C60:E61"/>
    <mergeCell ref="F60:H60"/>
    <mergeCell ref="I60:K60"/>
    <mergeCell ref="L60:O60"/>
    <mergeCell ref="C62:E62"/>
    <mergeCell ref="F62:H62"/>
    <mergeCell ref="I62:K62"/>
    <mergeCell ref="L62:O62"/>
    <mergeCell ref="X54:Z54"/>
    <mergeCell ref="AA54:AC54"/>
    <mergeCell ref="AD54:AF54"/>
    <mergeCell ref="AG54:AI54"/>
    <mergeCell ref="AJ54:AL54"/>
    <mergeCell ref="Z55:AG55"/>
    <mergeCell ref="AG61:AI61"/>
    <mergeCell ref="AJ61:AL61"/>
    <mergeCell ref="AM61:AO61"/>
    <mergeCell ref="AP61:AQ61"/>
    <mergeCell ref="AR61:AS61"/>
    <mergeCell ref="C63:I63"/>
    <mergeCell ref="J63:M63"/>
    <mergeCell ref="N63:P65"/>
    <mergeCell ref="Q63:X63"/>
    <mergeCell ref="AH63:AJ63"/>
    <mergeCell ref="BB60:BP60"/>
    <mergeCell ref="BE64:BJ64"/>
    <mergeCell ref="BN64:BP64"/>
    <mergeCell ref="AP64:AS64"/>
    <mergeCell ref="AW64:BC64"/>
    <mergeCell ref="C65:D65"/>
    <mergeCell ref="E65:F65"/>
    <mergeCell ref="H65:I65"/>
    <mergeCell ref="Q65:X65"/>
    <mergeCell ref="AH64:AJ64"/>
    <mergeCell ref="AH65:AJ65"/>
    <mergeCell ref="BK64:BM64"/>
    <mergeCell ref="AW63:BC63"/>
    <mergeCell ref="BE63:BJ63"/>
    <mergeCell ref="BN63:BP63"/>
    <mergeCell ref="C55:I55"/>
    <mergeCell ref="BN56:BP56"/>
    <mergeCell ref="BR56:BT56"/>
    <mergeCell ref="Q55:X55"/>
    <mergeCell ref="H57:I57"/>
    <mergeCell ref="Z57:AG57"/>
    <mergeCell ref="AK57:AN57"/>
    <mergeCell ref="AP57:AS57"/>
    <mergeCell ref="AW57:BC57"/>
    <mergeCell ref="BE57:BJ57"/>
    <mergeCell ref="BN55:BP55"/>
    <mergeCell ref="BR55:BT55"/>
    <mergeCell ref="E56:F56"/>
    <mergeCell ref="H56:I56"/>
    <mergeCell ref="J56:M57"/>
    <mergeCell ref="Q56:X56"/>
    <mergeCell ref="Z56:AG56"/>
    <mergeCell ref="AK56:AN56"/>
    <mergeCell ref="AP56:AS56"/>
    <mergeCell ref="Q57:X57"/>
    <mergeCell ref="AK55:AN55"/>
    <mergeCell ref="AP55:AS55"/>
    <mergeCell ref="AT55:AV57"/>
    <mergeCell ref="BZ53:CC53"/>
    <mergeCell ref="C54:E54"/>
    <mergeCell ref="F54:H54"/>
    <mergeCell ref="I54:K54"/>
    <mergeCell ref="L54:O54"/>
    <mergeCell ref="P54:S54"/>
    <mergeCell ref="AE59:AI59"/>
    <mergeCell ref="AJ59:AL59"/>
    <mergeCell ref="AM59:AO59"/>
    <mergeCell ref="C56:D56"/>
    <mergeCell ref="AW56:BC56"/>
    <mergeCell ref="BE56:BJ56"/>
    <mergeCell ref="C57:D57"/>
    <mergeCell ref="E57:F57"/>
    <mergeCell ref="AP59:AQ59"/>
    <mergeCell ref="N55:P57"/>
    <mergeCell ref="AS59:AT59"/>
    <mergeCell ref="AU59:BA59"/>
    <mergeCell ref="BC59:BI59"/>
    <mergeCell ref="BK59:BP59"/>
    <mergeCell ref="BQ59:BT59"/>
    <mergeCell ref="C59:H59"/>
    <mergeCell ref="I59:L59"/>
    <mergeCell ref="M59:W59"/>
    <mergeCell ref="X59:AB59"/>
    <mergeCell ref="AC59:AD59"/>
    <mergeCell ref="BN57:BP57"/>
    <mergeCell ref="BR57:BT57"/>
    <mergeCell ref="BQ54:BT54"/>
    <mergeCell ref="J55:M55"/>
    <mergeCell ref="AW55:BC55"/>
    <mergeCell ref="BE55:BJ55"/>
    <mergeCell ref="L52:O52"/>
    <mergeCell ref="P52:S52"/>
    <mergeCell ref="T52:W52"/>
    <mergeCell ref="F53:H53"/>
    <mergeCell ref="I53:K53"/>
    <mergeCell ref="L53:O53"/>
    <mergeCell ref="P53:S53"/>
    <mergeCell ref="BE54:BF54"/>
    <mergeCell ref="BG54:BH54"/>
    <mergeCell ref="BJ54:BK54"/>
    <mergeCell ref="BL54:BM54"/>
    <mergeCell ref="BO54:BP54"/>
    <mergeCell ref="BQ51:BT51"/>
    <mergeCell ref="BQ52:BT52"/>
    <mergeCell ref="BM53:BP53"/>
    <mergeCell ref="BQ53:BT53"/>
    <mergeCell ref="BB54:BC54"/>
    <mergeCell ref="AA53:AC53"/>
    <mergeCell ref="AD53:AF53"/>
    <mergeCell ref="AG53:AI53"/>
    <mergeCell ref="AJ53:AL53"/>
    <mergeCell ref="AM53:AO53"/>
    <mergeCell ref="AP53:AQ53"/>
    <mergeCell ref="AR53:AS53"/>
    <mergeCell ref="AT53:AV53"/>
    <mergeCell ref="AM54:AO54"/>
    <mergeCell ref="AP54:AQ54"/>
    <mergeCell ref="AR54:AS54"/>
    <mergeCell ref="AU54:AV54"/>
    <mergeCell ref="AW54:AX54"/>
    <mergeCell ref="AZ54:BA54"/>
    <mergeCell ref="T54:W54"/>
    <mergeCell ref="C30:E30"/>
    <mergeCell ref="C25:D25"/>
    <mergeCell ref="E25:F25"/>
    <mergeCell ref="H25:I25"/>
    <mergeCell ref="AP24:AS24"/>
    <mergeCell ref="BQ20:BT20"/>
    <mergeCell ref="BQ21:BT21"/>
    <mergeCell ref="BG22:BH22"/>
    <mergeCell ref="BJ22:BK22"/>
    <mergeCell ref="BL22:BM22"/>
    <mergeCell ref="BO22:BP22"/>
    <mergeCell ref="AC51:AD51"/>
    <mergeCell ref="AE51:AI51"/>
    <mergeCell ref="AJ51:AL51"/>
    <mergeCell ref="AY53:BA53"/>
    <mergeCell ref="BC53:BF53"/>
    <mergeCell ref="BH53:BK53"/>
    <mergeCell ref="T53:W53"/>
    <mergeCell ref="X53:Z53"/>
    <mergeCell ref="C51:H51"/>
    <mergeCell ref="I51:L51"/>
    <mergeCell ref="M51:W51"/>
    <mergeCell ref="X51:AB51"/>
    <mergeCell ref="X52:Z52"/>
    <mergeCell ref="AA52:AC52"/>
    <mergeCell ref="AD52:AK52"/>
    <mergeCell ref="AL52:AQ52"/>
    <mergeCell ref="AR52:BA52"/>
    <mergeCell ref="BB52:BP52"/>
    <mergeCell ref="C52:E53"/>
    <mergeCell ref="F52:H52"/>
    <mergeCell ref="I52:K52"/>
    <mergeCell ref="AK25:AN25"/>
    <mergeCell ref="Z25:AG25"/>
    <mergeCell ref="BG30:BH30"/>
    <mergeCell ref="BE25:BJ25"/>
    <mergeCell ref="AW25:BC25"/>
    <mergeCell ref="AP25:AS25"/>
    <mergeCell ref="X28:Z28"/>
    <mergeCell ref="AA28:AC28"/>
    <mergeCell ref="AK24:AN24"/>
    <mergeCell ref="Z24:AG24"/>
    <mergeCell ref="Q24:X24"/>
    <mergeCell ref="BR25:BT25"/>
    <mergeCell ref="BN25:BP25"/>
    <mergeCell ref="AD28:AK28"/>
    <mergeCell ref="AL28:AQ28"/>
    <mergeCell ref="BQ28:BT28"/>
    <mergeCell ref="Q25:X25"/>
    <mergeCell ref="P28:S28"/>
    <mergeCell ref="BR24:BT24"/>
    <mergeCell ref="BN24:BP24"/>
    <mergeCell ref="BE24:BJ24"/>
    <mergeCell ref="AW24:BC24"/>
    <mergeCell ref="AT23:AV25"/>
    <mergeCell ref="BR23:BT23"/>
    <mergeCell ref="AW23:BC23"/>
    <mergeCell ref="AP23:AS23"/>
    <mergeCell ref="AK23:AN23"/>
    <mergeCell ref="Z23:AG23"/>
    <mergeCell ref="C22:E22"/>
    <mergeCell ref="F22:H22"/>
    <mergeCell ref="N23:P25"/>
    <mergeCell ref="AA20:AC20"/>
    <mergeCell ref="C27:H27"/>
    <mergeCell ref="I27:L27"/>
    <mergeCell ref="T22:W22"/>
    <mergeCell ref="X22:Z22"/>
    <mergeCell ref="AA22:AC22"/>
    <mergeCell ref="C23:I23"/>
    <mergeCell ref="J24:M25"/>
    <mergeCell ref="C20:E21"/>
    <mergeCell ref="F20:H20"/>
    <mergeCell ref="L20:O20"/>
    <mergeCell ref="C28:E29"/>
    <mergeCell ref="F28:H28"/>
    <mergeCell ref="I28:K28"/>
    <mergeCell ref="L28:O28"/>
    <mergeCell ref="I22:K22"/>
    <mergeCell ref="F21:H21"/>
    <mergeCell ref="L21:O21"/>
    <mergeCell ref="P21:S21"/>
    <mergeCell ref="T21:W21"/>
    <mergeCell ref="X21:Z21"/>
    <mergeCell ref="AA21:AC21"/>
    <mergeCell ref="L22:O22"/>
    <mergeCell ref="P22:S22"/>
    <mergeCell ref="I21:K21"/>
    <mergeCell ref="C19:H19"/>
    <mergeCell ref="I19:L19"/>
    <mergeCell ref="AM15:AP16"/>
    <mergeCell ref="AQ15:AR16"/>
    <mergeCell ref="AS15:AS16"/>
    <mergeCell ref="AT15:AY16"/>
    <mergeCell ref="AS19:AT19"/>
    <mergeCell ref="AU19:BA19"/>
    <mergeCell ref="C15:I16"/>
    <mergeCell ref="J15:M16"/>
    <mergeCell ref="AH23:AJ23"/>
    <mergeCell ref="AH24:AJ24"/>
    <mergeCell ref="AH25:AJ25"/>
    <mergeCell ref="BK23:BM23"/>
    <mergeCell ref="BK24:BM24"/>
    <mergeCell ref="BK25:BM25"/>
    <mergeCell ref="BQ29:BT29"/>
    <mergeCell ref="F29:H29"/>
    <mergeCell ref="L29:O29"/>
    <mergeCell ref="P29:S29"/>
    <mergeCell ref="T29:W29"/>
    <mergeCell ref="X29:Z29"/>
    <mergeCell ref="BQ22:BT22"/>
    <mergeCell ref="AJ22:AL22"/>
    <mergeCell ref="AM22:AO22"/>
    <mergeCell ref="AP22:AQ22"/>
    <mergeCell ref="AR22:AS22"/>
    <mergeCell ref="AU22:AV22"/>
    <mergeCell ref="BC29:BF29"/>
    <mergeCell ref="BH29:BK29"/>
    <mergeCell ref="BM29:BP29"/>
    <mergeCell ref="T28:W28"/>
    <mergeCell ref="AG22:AI22"/>
    <mergeCell ref="AD22:AF22"/>
    <mergeCell ref="AY21:BA21"/>
    <mergeCell ref="J14:K14"/>
    <mergeCell ref="L14:T14"/>
    <mergeCell ref="V14:AE14"/>
    <mergeCell ref="AM14:AR14"/>
    <mergeCell ref="AT14:AY14"/>
    <mergeCell ref="AM19:AO19"/>
    <mergeCell ref="J13:N13"/>
    <mergeCell ref="P13:T13"/>
    <mergeCell ref="V13:AE13"/>
    <mergeCell ref="AF13:AI13"/>
    <mergeCell ref="AJ13:AM13"/>
    <mergeCell ref="I20:K20"/>
    <mergeCell ref="AP19:AQ19"/>
    <mergeCell ref="T15:Z16"/>
    <mergeCell ref="AA15:AB16"/>
    <mergeCell ref="AC15:AC16"/>
    <mergeCell ref="AD15:AE16"/>
    <mergeCell ref="AF15:AL16"/>
    <mergeCell ref="AD20:AK20"/>
    <mergeCell ref="AL20:AQ20"/>
    <mergeCell ref="AC19:AD19"/>
    <mergeCell ref="N15:N16"/>
    <mergeCell ref="O15:R16"/>
    <mergeCell ref="X19:AB19"/>
    <mergeCell ref="M19:W19"/>
    <mergeCell ref="AE19:AI19"/>
    <mergeCell ref="AR13:AU13"/>
    <mergeCell ref="AV13:AY13"/>
    <mergeCell ref="AN13:AQ13"/>
    <mergeCell ref="BM21:BP21"/>
    <mergeCell ref="AT21:AV21"/>
    <mergeCell ref="AW21:AX21"/>
    <mergeCell ref="BO14:BP14"/>
    <mergeCell ref="AW22:AX22"/>
    <mergeCell ref="BQ19:BT19"/>
    <mergeCell ref="AJ19:AL19"/>
    <mergeCell ref="BC19:BI19"/>
    <mergeCell ref="AJ21:AL21"/>
    <mergeCell ref="AM21:AO21"/>
    <mergeCell ref="AP21:AQ21"/>
    <mergeCell ref="AR20:BA20"/>
    <mergeCell ref="BB20:BP20"/>
    <mergeCell ref="BR14:BS14"/>
    <mergeCell ref="BA13:BB14"/>
    <mergeCell ref="BC13:BC14"/>
    <mergeCell ref="BN13:BN14"/>
    <mergeCell ref="BP13:BR13"/>
    <mergeCell ref="BK19:BP19"/>
    <mergeCell ref="AZ22:BA22"/>
    <mergeCell ref="BB22:BC22"/>
    <mergeCell ref="BE22:BF22"/>
    <mergeCell ref="BS5:BS6"/>
    <mergeCell ref="AL6:AO7"/>
    <mergeCell ref="AQ6:AY7"/>
    <mergeCell ref="BD6:BH7"/>
    <mergeCell ref="BC11:BC12"/>
    <mergeCell ref="BN11:BN12"/>
    <mergeCell ref="BP11:BS12"/>
    <mergeCell ref="AW12:AY12"/>
    <mergeCell ref="BQ7:BT8"/>
    <mergeCell ref="R8:U8"/>
    <mergeCell ref="W8:Z8"/>
    <mergeCell ref="AG8:AJ8"/>
    <mergeCell ref="AL8:AO8"/>
    <mergeCell ref="AQ8:AT8"/>
    <mergeCell ref="AV8:AY8"/>
    <mergeCell ref="BD8:BH8"/>
    <mergeCell ref="BC5:BC7"/>
    <mergeCell ref="BJ5:BJ6"/>
    <mergeCell ref="AL9:AO9"/>
    <mergeCell ref="AQ9:AT9"/>
    <mergeCell ref="AV9:AY9"/>
    <mergeCell ref="BA11:BB12"/>
    <mergeCell ref="BC3:BG3"/>
    <mergeCell ref="C6:J8"/>
    <mergeCell ref="M6:V7"/>
    <mergeCell ref="W6:Z7"/>
    <mergeCell ref="AD6:AK7"/>
    <mergeCell ref="R10:U10"/>
    <mergeCell ref="W10:Z10"/>
    <mergeCell ref="AG10:AJ10"/>
    <mergeCell ref="AL10:AO10"/>
    <mergeCell ref="R9:U9"/>
    <mergeCell ref="W9:Z9"/>
    <mergeCell ref="AG9:AJ9"/>
    <mergeCell ref="BK9:BO9"/>
    <mergeCell ref="BP9:BR9"/>
    <mergeCell ref="B3:D3"/>
    <mergeCell ref="E3:W3"/>
    <mergeCell ref="Y3:AC3"/>
    <mergeCell ref="AE3:AI3"/>
    <mergeCell ref="AU3:AY3"/>
    <mergeCell ref="D9:F9"/>
    <mergeCell ref="H9:J9"/>
    <mergeCell ref="AK3:AO3"/>
    <mergeCell ref="BZ29:CC29"/>
    <mergeCell ref="AT29:AV29"/>
    <mergeCell ref="AW29:AX29"/>
    <mergeCell ref="AY29:BA29"/>
    <mergeCell ref="AG29:AI29"/>
    <mergeCell ref="BQ30:BT30"/>
    <mergeCell ref="AJ30:AL30"/>
    <mergeCell ref="AM30:AO30"/>
    <mergeCell ref="AP30:AQ30"/>
    <mergeCell ref="BB30:BC30"/>
    <mergeCell ref="J12:N12"/>
    <mergeCell ref="P12:T12"/>
    <mergeCell ref="V12:W12"/>
    <mergeCell ref="X12:AG12"/>
    <mergeCell ref="AI12:AR12"/>
    <mergeCell ref="AS12:AU12"/>
    <mergeCell ref="BZ21:CC21"/>
    <mergeCell ref="M27:W27"/>
    <mergeCell ref="X27:AB27"/>
    <mergeCell ref="AC27:AD27"/>
    <mergeCell ref="AE27:AI27"/>
    <mergeCell ref="AJ27:AL27"/>
    <mergeCell ref="AM27:AO27"/>
    <mergeCell ref="BC27:BI27"/>
    <mergeCell ref="BK27:BP27"/>
    <mergeCell ref="BQ27:BT27"/>
    <mergeCell ref="BE30:BF30"/>
    <mergeCell ref="BL30:BM30"/>
    <mergeCell ref="AD21:AF21"/>
    <mergeCell ref="P20:S20"/>
    <mergeCell ref="T20:W20"/>
    <mergeCell ref="X20:Z20"/>
    <mergeCell ref="BQ36:BT36"/>
    <mergeCell ref="BK35:BP35"/>
    <mergeCell ref="BQ35:BT35"/>
    <mergeCell ref="I30:K30"/>
    <mergeCell ref="AJ29:AL29"/>
    <mergeCell ref="AM29:AO29"/>
    <mergeCell ref="AP29:AQ29"/>
    <mergeCell ref="AR29:AS29"/>
    <mergeCell ref="I29:K29"/>
    <mergeCell ref="AA29:AC29"/>
    <mergeCell ref="AD29:AF29"/>
    <mergeCell ref="AJ35:AL35"/>
    <mergeCell ref="AM35:AO35"/>
    <mergeCell ref="AP35:AQ35"/>
    <mergeCell ref="AS35:AT35"/>
    <mergeCell ref="AU35:BA35"/>
    <mergeCell ref="BC35:BI35"/>
    <mergeCell ref="AR30:AS30"/>
    <mergeCell ref="X30:Z30"/>
    <mergeCell ref="BO30:BP30"/>
    <mergeCell ref="AW33:BC33"/>
    <mergeCell ref="BK33:BM33"/>
    <mergeCell ref="C31:I31"/>
    <mergeCell ref="J31:M31"/>
    <mergeCell ref="N31:P33"/>
    <mergeCell ref="Q31:X31"/>
    <mergeCell ref="Z31:AG31"/>
    <mergeCell ref="AK31:AN31"/>
    <mergeCell ref="AP31:AS31"/>
    <mergeCell ref="AW31:BC31"/>
    <mergeCell ref="C33:D33"/>
    <mergeCell ref="E33:F33"/>
    <mergeCell ref="BZ37:CC37"/>
    <mergeCell ref="C38:E38"/>
    <mergeCell ref="F38:H38"/>
    <mergeCell ref="I38:K38"/>
    <mergeCell ref="L38:O38"/>
    <mergeCell ref="P38:S38"/>
    <mergeCell ref="T38:W38"/>
    <mergeCell ref="X38:Z38"/>
    <mergeCell ref="AR37:AS37"/>
    <mergeCell ref="AT37:AV37"/>
    <mergeCell ref="AW37:AX37"/>
    <mergeCell ref="AY37:BA37"/>
    <mergeCell ref="BC37:BF37"/>
    <mergeCell ref="BH37:BK37"/>
    <mergeCell ref="AA37:AC37"/>
    <mergeCell ref="AD37:AF37"/>
    <mergeCell ref="AG37:AI37"/>
    <mergeCell ref="AJ37:AL37"/>
    <mergeCell ref="AM37:AO37"/>
    <mergeCell ref="AP37:AQ37"/>
    <mergeCell ref="F37:H37"/>
    <mergeCell ref="I37:K37"/>
    <mergeCell ref="L37:O37"/>
    <mergeCell ref="P37:S37"/>
    <mergeCell ref="T37:W37"/>
    <mergeCell ref="X37:Z37"/>
    <mergeCell ref="T36:W36"/>
    <mergeCell ref="X36:Z36"/>
    <mergeCell ref="AT45:AV45"/>
    <mergeCell ref="AW45:AX45"/>
    <mergeCell ref="AY45:BA45"/>
    <mergeCell ref="BC45:BF45"/>
    <mergeCell ref="AP43:AQ43"/>
    <mergeCell ref="AS43:AT43"/>
    <mergeCell ref="AU43:BA43"/>
    <mergeCell ref="BC43:BI43"/>
    <mergeCell ref="BG38:BH38"/>
    <mergeCell ref="BJ38:BK38"/>
    <mergeCell ref="BL38:BM38"/>
    <mergeCell ref="BO38:BP38"/>
    <mergeCell ref="BQ38:BT38"/>
    <mergeCell ref="C36:E37"/>
    <mergeCell ref="F36:H36"/>
    <mergeCell ref="I36:K36"/>
    <mergeCell ref="L36:O36"/>
    <mergeCell ref="P36:S36"/>
    <mergeCell ref="AR38:AS38"/>
    <mergeCell ref="AU38:AV38"/>
    <mergeCell ref="AW38:AX38"/>
    <mergeCell ref="AZ38:BA38"/>
    <mergeCell ref="BB38:BC38"/>
    <mergeCell ref="BE38:BF38"/>
    <mergeCell ref="AA38:AC38"/>
    <mergeCell ref="AD38:AF38"/>
    <mergeCell ref="AG38:AI38"/>
    <mergeCell ref="AJ38:AL38"/>
    <mergeCell ref="AM38:AO38"/>
    <mergeCell ref="AP38:AQ38"/>
    <mergeCell ref="BO46:BP46"/>
    <mergeCell ref="BQ46:BT46"/>
    <mergeCell ref="C44:E45"/>
    <mergeCell ref="F44:H44"/>
    <mergeCell ref="I44:K44"/>
    <mergeCell ref="L44:O44"/>
    <mergeCell ref="P44:S44"/>
    <mergeCell ref="E40:F40"/>
    <mergeCell ref="H40:I40"/>
    <mergeCell ref="J40:M41"/>
    <mergeCell ref="Q40:X40"/>
    <mergeCell ref="Z40:AG40"/>
    <mergeCell ref="BE46:BF46"/>
    <mergeCell ref="T44:W44"/>
    <mergeCell ref="X44:Z44"/>
    <mergeCell ref="AA44:AC44"/>
    <mergeCell ref="AD44:AK44"/>
    <mergeCell ref="BN40:BP40"/>
    <mergeCell ref="BR40:BT40"/>
    <mergeCell ref="C43:H43"/>
    <mergeCell ref="I43:L43"/>
    <mergeCell ref="M43:W43"/>
    <mergeCell ref="X43:AB43"/>
    <mergeCell ref="BZ45:CC45"/>
    <mergeCell ref="C46:E46"/>
    <mergeCell ref="F46:H46"/>
    <mergeCell ref="I46:K46"/>
    <mergeCell ref="L46:O46"/>
    <mergeCell ref="P46:S46"/>
    <mergeCell ref="T46:W46"/>
    <mergeCell ref="X46:Z46"/>
    <mergeCell ref="AA46:AC46"/>
    <mergeCell ref="AH47:AJ47"/>
    <mergeCell ref="AK40:AN40"/>
    <mergeCell ref="AP40:AS40"/>
    <mergeCell ref="AW40:BC40"/>
    <mergeCell ref="BE40:BJ40"/>
    <mergeCell ref="BN48:BP48"/>
    <mergeCell ref="AU46:AV46"/>
    <mergeCell ref="AW46:AX46"/>
    <mergeCell ref="AZ46:BA46"/>
    <mergeCell ref="BB46:BC46"/>
    <mergeCell ref="AR45:AS45"/>
    <mergeCell ref="BK40:BM40"/>
    <mergeCell ref="BK41:BM41"/>
    <mergeCell ref="AH40:AJ40"/>
    <mergeCell ref="AH41:AJ41"/>
    <mergeCell ref="AA45:AC45"/>
    <mergeCell ref="AD45:AF45"/>
    <mergeCell ref="AG45:AI45"/>
    <mergeCell ref="AJ45:AL45"/>
    <mergeCell ref="AM45:AO45"/>
    <mergeCell ref="AP45:AQ45"/>
    <mergeCell ref="AL44:AQ44"/>
    <mergeCell ref="AR44:BA44"/>
    <mergeCell ref="AT31:AV33"/>
    <mergeCell ref="BE31:BJ31"/>
    <mergeCell ref="AH48:AJ48"/>
    <mergeCell ref="AH49:AJ49"/>
    <mergeCell ref="BK47:BM47"/>
    <mergeCell ref="BK48:BM48"/>
    <mergeCell ref="BK49:BM49"/>
    <mergeCell ref="AH31:AJ31"/>
    <mergeCell ref="AD46:AF46"/>
    <mergeCell ref="AG46:AI46"/>
    <mergeCell ref="AJ46:AL46"/>
    <mergeCell ref="AM46:AO46"/>
    <mergeCell ref="AP46:AQ46"/>
    <mergeCell ref="AR46:AS46"/>
    <mergeCell ref="BQ45:BT45"/>
    <mergeCell ref="BK39:BM39"/>
    <mergeCell ref="AH39:AJ39"/>
    <mergeCell ref="BB44:BP44"/>
    <mergeCell ref="BQ44:BT44"/>
    <mergeCell ref="AC43:AD43"/>
    <mergeCell ref="AE43:AI43"/>
    <mergeCell ref="AJ43:AL43"/>
    <mergeCell ref="AM43:AO43"/>
    <mergeCell ref="BM37:BP37"/>
    <mergeCell ref="BQ37:BT37"/>
    <mergeCell ref="AA36:AC36"/>
    <mergeCell ref="AD36:AK36"/>
    <mergeCell ref="AL36:AQ36"/>
    <mergeCell ref="AR36:BA36"/>
    <mergeCell ref="BB36:BP36"/>
    <mergeCell ref="BJ46:BK46"/>
    <mergeCell ref="BL46:BM46"/>
    <mergeCell ref="AH96:AJ96"/>
    <mergeCell ref="AH97:AJ97"/>
    <mergeCell ref="BK96:BM96"/>
    <mergeCell ref="BK97:BM97"/>
    <mergeCell ref="AH32:AJ32"/>
    <mergeCell ref="AH33:AJ33"/>
    <mergeCell ref="BK31:BM31"/>
    <mergeCell ref="BK32:BM32"/>
    <mergeCell ref="BK88:BM88"/>
    <mergeCell ref="BK89:BM89"/>
    <mergeCell ref="AT86:AV86"/>
    <mergeCell ref="AW86:AX86"/>
    <mergeCell ref="BL87:BM87"/>
    <mergeCell ref="BK63:BM63"/>
    <mergeCell ref="AW48:BC48"/>
    <mergeCell ref="BE48:BJ48"/>
    <mergeCell ref="AM51:AO51"/>
    <mergeCell ref="AP51:AQ51"/>
    <mergeCell ref="AW53:AX53"/>
    <mergeCell ref="AS51:AT51"/>
    <mergeCell ref="AU51:BA51"/>
    <mergeCell ref="BC51:BI51"/>
    <mergeCell ref="BK51:BP51"/>
    <mergeCell ref="BK55:BM55"/>
    <mergeCell ref="BK56:BM56"/>
    <mergeCell ref="BK57:BM57"/>
    <mergeCell ref="AH55:AJ55"/>
    <mergeCell ref="AH56:AJ56"/>
    <mergeCell ref="AH57:AJ57"/>
    <mergeCell ref="BO87:BP87"/>
    <mergeCell ref="BN79:BP79"/>
    <mergeCell ref="BN89:BP89"/>
    <mergeCell ref="BE95:BF95"/>
    <mergeCell ref="BG95:BH95"/>
    <mergeCell ref="BK98:BM98"/>
    <mergeCell ref="BE89:BJ89"/>
    <mergeCell ref="AK81:AN81"/>
    <mergeCell ref="AP81:AS81"/>
    <mergeCell ref="AW81:BC81"/>
    <mergeCell ref="BE81:BJ81"/>
    <mergeCell ref="BB85:BP85"/>
    <mergeCell ref="AM86:AO86"/>
    <mergeCell ref="AP86:AQ86"/>
    <mergeCell ref="AR86:AS86"/>
    <mergeCell ref="BK90:BM90"/>
    <mergeCell ref="AY86:BA86"/>
    <mergeCell ref="BC86:BF86"/>
    <mergeCell ref="BH86:BK86"/>
    <mergeCell ref="BM86:BP86"/>
    <mergeCell ref="AW90:BC90"/>
    <mergeCell ref="BE90:BJ90"/>
    <mergeCell ref="BN90:BP90"/>
    <mergeCell ref="AR94:AS94"/>
    <mergeCell ref="AT94:AV94"/>
    <mergeCell ref="AW94:AX94"/>
    <mergeCell ref="AP96:AS96"/>
    <mergeCell ref="AT96:AV98"/>
    <mergeCell ref="BK84:BP84"/>
    <mergeCell ref="BK81:BM81"/>
    <mergeCell ref="AW111:AX111"/>
    <mergeCell ref="AR109:BA109"/>
    <mergeCell ref="AM118:AO118"/>
    <mergeCell ref="BC118:BF118"/>
    <mergeCell ref="BH118:BK118"/>
    <mergeCell ref="BM118:BP118"/>
    <mergeCell ref="AW121:BC121"/>
    <mergeCell ref="BC110:BF110"/>
    <mergeCell ref="BH110:BK110"/>
    <mergeCell ref="BM110:BP110"/>
    <mergeCell ref="AT112:AV114"/>
    <mergeCell ref="AW112:BC112"/>
    <mergeCell ref="BE112:BJ112"/>
    <mergeCell ref="BE113:BJ113"/>
    <mergeCell ref="BJ135:BK135"/>
    <mergeCell ref="BN136:BP136"/>
    <mergeCell ref="BE144:BJ144"/>
    <mergeCell ref="BK136:BM136"/>
    <mergeCell ref="BK137:BM137"/>
    <mergeCell ref="AW130:BC130"/>
    <mergeCell ref="BE130:BJ130"/>
    <mergeCell ref="BN130:BP130"/>
    <mergeCell ref="AP132:AQ132"/>
    <mergeCell ref="AS132:AT132"/>
    <mergeCell ref="AT128:AV130"/>
    <mergeCell ref="AR135:AS135"/>
    <mergeCell ref="AU135:AV135"/>
    <mergeCell ref="AW135:AX135"/>
    <mergeCell ref="AU143:AV143"/>
    <mergeCell ref="AW143:AX143"/>
    <mergeCell ref="BN137:BP137"/>
    <mergeCell ref="BJ143:BK143"/>
    <mergeCell ref="AU132:BA132"/>
    <mergeCell ref="AH179:AJ179"/>
    <mergeCell ref="AH180:AJ180"/>
    <mergeCell ref="AH181:AJ181"/>
    <mergeCell ref="BB168:BP168"/>
    <mergeCell ref="AT171:AV173"/>
    <mergeCell ref="AW171:BC171"/>
    <mergeCell ref="BE171:BJ171"/>
    <mergeCell ref="BK175:BP175"/>
    <mergeCell ref="AH152:AJ152"/>
    <mergeCell ref="AH153:AJ153"/>
    <mergeCell ref="AH154:AJ154"/>
    <mergeCell ref="AH163:AJ163"/>
    <mergeCell ref="AH164:AJ164"/>
    <mergeCell ref="AH165:AJ165"/>
    <mergeCell ref="E304:N304"/>
    <mergeCell ref="BK171:BM171"/>
    <mergeCell ref="BK172:BM172"/>
    <mergeCell ref="BK173:BM173"/>
    <mergeCell ref="BK179:BM179"/>
    <mergeCell ref="BK180:BM180"/>
    <mergeCell ref="BK181:BM181"/>
    <mergeCell ref="AH171:AJ171"/>
    <mergeCell ref="AH172:AJ172"/>
    <mergeCell ref="AH173:AJ173"/>
    <mergeCell ref="AP152:AS152"/>
    <mergeCell ref="AT152:AV154"/>
    <mergeCell ref="BN152:BP152"/>
    <mergeCell ref="AM159:AO159"/>
    <mergeCell ref="AP159:AQ159"/>
    <mergeCell ref="AS159:AT159"/>
    <mergeCell ref="AU159:BA159"/>
  </mergeCells>
  <phoneticPr fontId="1"/>
  <dataValidations count="15">
    <dataValidation type="list" allowBlank="1" showInputMessage="1" showErrorMessage="1" sqref="Z24:AG25 Z145:AG146 Z164:AG165 Z172:AG173 Z153:AG154 Z180:AG181 Z137:AG138 Z129:AG130 Z121:AG122 Z113:AG114 Z105:AG106 Z97:AG98 Z89:AG90 Z80:AG81 Z72:AG73 Z64:AG65 Z56:AG57 Z48:AG49 Z40:AG41 Z32:AG33">
      <formula1>$CJ$236:$CJ$247</formula1>
    </dataValidation>
    <dataValidation type="list" errorStyle="information" allowBlank="1" showInputMessage="1" showErrorMessage="1" sqref="BE163:BE164 BE144:BE145 BE71:BE72 BE63:BE64 BE55:BE56 BE47:BE48 BE39:BE40 BE31:BE32 BE23:BE24 BE88:BE89 BE96:BE97 BE104:BE105 BE112:BE113 BE120:BE121 BE128:BE129 BE136:BE137 BE179:BE180 BE152:BE153 BE79:BE80 BE171:BE172">
      <formula1>$CH$202:$CH$259</formula1>
    </dataValidation>
    <dataValidation type="list" allowBlank="1" showInputMessage="1" showErrorMessage="1" sqref="Z163 Z144 Z71 Z63 Z55 Z47 Z39 Z31 Z23 Z88 Z96 Z104 Z112 Z120 Z128 Z136 Z179 Z152 Z79 Z171">
      <formula1>$CJ$202:$CJ$232</formula1>
    </dataValidation>
    <dataValidation type="list" allowBlank="1" showInputMessage="1" showErrorMessage="1" sqref="BH299:BM299">
      <formula1>"歩掛-1,歩掛-2,歩掛-3"</formula1>
    </dataValidation>
    <dataValidation type="list" allowBlank="1" showInputMessage="1" showErrorMessage="1" sqref="BH298:BM298">
      <formula1>"単価-1,単価-2,単価-3,単価-4"</formula1>
    </dataValidation>
    <dataValidation type="list" errorStyle="warning" allowBlank="1" showInputMessage="1" showErrorMessage="1" sqref="BE165 BE146 BE33 BE41 BE49 BE57 BE65 BE73 BE81 BE90 BE98 BE106 BE114 BE122 BE130 BE138 BE181 BE154 BE173 BE25">
      <formula1>$CH$197:$CH$224</formula1>
    </dataValidation>
    <dataValidation type="list" allowBlank="1" showInputMessage="1" showErrorMessage="1" sqref="H24:I25 H32:I33 H40:I41 H48:I49 H56:I57 H64:I65 H72:I73 H80:I81 H89:I90 H97:I98 H105:I106 H113:I114 H121:I122 H129:I130 H137:I138 H145:I146 H153:I154 H164:I165 H172:I173 H180:I181">
      <formula1>"要,不"</formula1>
    </dataValidation>
    <dataValidation type="list" allowBlank="1" showInputMessage="1" showErrorMessage="1" sqref="H9:J9">
      <formula1>"設置,不要"</formula1>
    </dataValidation>
    <dataValidation type="list" allowBlank="1" showInputMessage="1" showErrorMessage="1" sqref="AT14:AY14">
      <formula1>$CG$202:$CG$219</formula1>
    </dataValidation>
    <dataValidation type="list" allowBlank="1" showInputMessage="1" showErrorMessage="1" sqref="AI12:AR12">
      <formula1>$CF$202:$CF$223</formula1>
    </dataValidation>
    <dataValidation type="list" allowBlank="1" showInputMessage="1" showErrorMessage="1" sqref="P13:T13">
      <formula1>"地中管路,架空配線"</formula1>
    </dataValidation>
    <dataValidation type="list" allowBlank="1" showInputMessage="1" showErrorMessage="1" sqref="P12:T12">
      <formula1>"架空引込,地中引込"</formula1>
    </dataValidation>
    <dataValidation type="list" allowBlank="1" showInputMessage="1" showErrorMessage="1" sqref="V14:AE14">
      <formula1>$CF$8:$CF$11</formula1>
    </dataValidation>
    <dataValidation type="list" allowBlank="1" showInputMessage="1" showErrorMessage="1" sqref="BK19:BP19 BK27:BP27 BK35:BP35 BK43:BP43 BK51:BP51 BK59:BP59 BK67:BP67 BK75:BP75 BK84:BP84 BK92:BP92 BK100:BP100 BK108:BP108 BK116:BP116 BK124:BP124 BK132:BP132 BK140:BP140 BK148:BP148 BK159:BP159 BK167:BP167 BK175:BP175">
      <formula1>$CC$8:$CC$15</formula1>
    </dataValidation>
    <dataValidation type="list" allowBlank="1" showInputMessage="1" showErrorMessage="1" sqref="BR14:BS14 AS19:AT19 AD15:AE16 AS27:AT27 AS35:AT35 AS43:AT43 AS51:AT51 AS59:AT59 AS67:AT67 AS75:AT75 AS84:AT84 AS92:AT92 AS100:AT100 AS108:AT108 AS116:AT116 AS124:AT124 AS132:AT132 AS140:AT140 AS148:AT148 AS159:AT159 AS167:AT167 AS175:AT175">
      <formula1>"　,Ⓐ,Ⓑ,Ⓒ,Ⓓ,Ⓔ,Ⓕ,Ⓖ,Ⓗ,Ⓘ"</formula1>
    </dataValidation>
  </dataValidations>
  <hyperlinks>
    <hyperlink ref="AE3:AI3" location="電話!A202" display="端子盤"/>
    <hyperlink ref="AK3:AO3" location="電話!A238" display="集計表"/>
    <hyperlink ref="BP200:BS200" location="電話!A1" display="Top"/>
    <hyperlink ref="BI200:BM200" location="電話!A238" display="集計表"/>
    <hyperlink ref="BP234:BS234" location="電話!A1" display="Top"/>
    <hyperlink ref="BH234:BL234" location="電話!A202" display="端子盤"/>
    <hyperlink ref="BO296:BR296" location="電話!A1" display="Top"/>
    <hyperlink ref="Y3:AC3" r:id="rId1" location="Top!A43" display="TopPage"/>
    <hyperlink ref="AU3:AY3" r:id="rId2" location="Help!A1437" display="Help"/>
    <hyperlink ref="BC3:BG3" r:id="rId3" location="引込!A1" display="電力引込"/>
  </hyperlinks>
  <pageMargins left="0.70866141732283472" right="0.39370078740157483" top="0.59055118110236227" bottom="0.39370078740157483" header="0.31496062992125984" footer="0.31496062992125984"/>
  <pageSetup paperSize="9" scale="96" fitToHeight="0" orientation="portrait" r:id="rId4"/>
  <rowBreaks count="3" manualBreakCount="3">
    <brk id="82" min="1" max="72" man="1"/>
    <brk id="157" min="1" max="72" man="1"/>
    <brk id="231" min="1" max="72" man="1"/>
  </rowBreaks>
  <colBreaks count="2" manualBreakCount="2">
    <brk id="73" min="1" max="259" man="1"/>
    <brk id="119" max="1048575" man="1"/>
  </colBreaks>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火煙!#REF!</xm:f>
          </x14:formula1>
          <xm:sqref>O15:R16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L352"/>
  <sheetViews>
    <sheetView view="pageBreakPreview" zoomScale="140" zoomScaleNormal="130" zoomScaleSheetLayoutView="140" workbookViewId="0"/>
  </sheetViews>
  <sheetFormatPr defaultRowHeight="14.25"/>
  <cols>
    <col min="1" max="72" width="1.42578125" style="4" customWidth="1"/>
    <col min="73" max="73" width="1.7109375" style="4" customWidth="1"/>
    <col min="74" max="127" width="3.7109375" style="4" hidden="1" customWidth="1"/>
    <col min="128" max="128" width="3.7109375" style="4" customWidth="1"/>
    <col min="129" max="16384" width="9.140625" style="4"/>
  </cols>
  <sheetData>
    <row r="1" spans="1:142" ht="12" customHeight="1">
      <c r="A1" s="691"/>
      <c r="B1" s="691"/>
      <c r="C1" s="691"/>
      <c r="D1" s="691"/>
      <c r="E1" s="691"/>
      <c r="F1" s="691"/>
      <c r="G1" s="691"/>
      <c r="H1" s="691"/>
      <c r="I1" s="691"/>
      <c r="J1" s="691"/>
      <c r="K1" s="691"/>
      <c r="L1" s="691"/>
      <c r="M1" s="691"/>
      <c r="N1" s="691"/>
      <c r="O1" s="691"/>
      <c r="P1" s="691"/>
      <c r="Q1" s="691"/>
      <c r="R1" s="691"/>
      <c r="S1" s="691"/>
      <c r="T1" s="691"/>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1"/>
      <c r="BF1" s="691"/>
      <c r="BG1" s="691"/>
      <c r="BH1" s="691"/>
      <c r="BI1" s="691"/>
      <c r="BJ1" s="691"/>
      <c r="BK1" s="691"/>
      <c r="BL1" s="691"/>
      <c r="BM1" s="691"/>
      <c r="BN1" s="691"/>
      <c r="BO1" s="691"/>
      <c r="BP1" s="691"/>
      <c r="BQ1" s="691"/>
      <c r="BR1" s="691"/>
      <c r="BS1" s="691"/>
      <c r="BT1" s="691"/>
      <c r="BU1" s="691"/>
    </row>
    <row r="2" spans="1:142" ht="7.5" customHeight="1" thickBot="1">
      <c r="B2" s="93">
        <v>1</v>
      </c>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8"/>
    </row>
    <row r="3" spans="1:142" ht="12" customHeight="1" thickBot="1">
      <c r="B3" s="3088">
        <f>[3]Top!$AV$87</f>
        <v>12</v>
      </c>
      <c r="C3" s="3088"/>
      <c r="D3" s="3088"/>
      <c r="E3" s="3089" t="str">
        <f>IF(B2=0,"",[3]Top!$BA$87)</f>
        <v xml:space="preserve"> 構内放送設備工事</v>
      </c>
      <c r="F3" s="3090"/>
      <c r="G3" s="3090"/>
      <c r="H3" s="3090"/>
      <c r="I3" s="3090"/>
      <c r="J3" s="3090"/>
      <c r="K3" s="3090"/>
      <c r="L3" s="3090"/>
      <c r="M3" s="3090"/>
      <c r="N3" s="3090"/>
      <c r="O3" s="3090"/>
      <c r="P3" s="3090"/>
      <c r="Q3" s="3090"/>
      <c r="R3" s="3090"/>
      <c r="S3" s="3090"/>
      <c r="T3" s="3467"/>
      <c r="U3" s="35"/>
      <c r="V3" s="35"/>
      <c r="W3" s="35"/>
      <c r="X3" s="35"/>
      <c r="Y3" s="2432" t="s">
        <v>1020</v>
      </c>
      <c r="Z3" s="2433"/>
      <c r="AA3" s="2433"/>
      <c r="AB3" s="2433"/>
      <c r="AC3" s="2434"/>
      <c r="AD3" s="35"/>
      <c r="AE3" s="2432" t="s">
        <v>1019</v>
      </c>
      <c r="AF3" s="2433"/>
      <c r="AG3" s="2433"/>
      <c r="AH3" s="2433"/>
      <c r="AI3" s="2434"/>
      <c r="AJ3" s="35"/>
      <c r="AK3" s="35"/>
      <c r="AL3" s="2442" t="s">
        <v>107</v>
      </c>
      <c r="AM3" s="2443"/>
      <c r="AN3" s="2443"/>
      <c r="AO3" s="2443"/>
      <c r="AP3" s="2444"/>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19"/>
    </row>
    <row r="4" spans="1:142" ht="11.25" customHeight="1" thickBot="1">
      <c r="B4" s="23"/>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19"/>
      <c r="BV4" s="691"/>
      <c r="BW4" s="691"/>
      <c r="BX4" s="691"/>
      <c r="BY4" s="3505"/>
      <c r="BZ4" s="3505"/>
      <c r="CA4" s="691"/>
      <c r="CB4" s="691"/>
      <c r="CC4" s="691"/>
      <c r="CD4" s="691"/>
      <c r="CE4" s="691"/>
      <c r="CF4" s="691"/>
      <c r="CG4" s="691"/>
      <c r="CH4" s="691"/>
      <c r="CI4" s="691"/>
      <c r="CJ4" s="691"/>
      <c r="CK4" s="691"/>
      <c r="CL4" s="691"/>
      <c r="CM4" s="691"/>
      <c r="CN4" s="691"/>
      <c r="CO4" s="691"/>
      <c r="CP4" s="691"/>
      <c r="CQ4" s="691"/>
      <c r="CR4" s="691"/>
    </row>
    <row r="5" spans="1:142" ht="3.75" customHeight="1" thickTop="1">
      <c r="B5" s="23"/>
      <c r="C5" s="700"/>
      <c r="D5" s="703"/>
      <c r="E5" s="703"/>
      <c r="F5" s="703"/>
      <c r="G5" s="703"/>
      <c r="H5" s="703"/>
      <c r="I5" s="703"/>
      <c r="J5" s="703"/>
      <c r="K5" s="703"/>
      <c r="L5" s="703"/>
      <c r="M5" s="703"/>
      <c r="N5" s="702"/>
      <c r="O5" s="304"/>
      <c r="P5" s="305"/>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c r="BO5" s="304"/>
      <c r="BP5" s="304"/>
      <c r="BQ5" s="304"/>
      <c r="BR5" s="304"/>
      <c r="BS5" s="304"/>
      <c r="BT5" s="303"/>
      <c r="BU5" s="19"/>
      <c r="BV5" s="689"/>
      <c r="BW5" s="689"/>
      <c r="BX5" s="689"/>
      <c r="BY5" s="689"/>
      <c r="BZ5" s="689"/>
      <c r="CA5" s="689"/>
      <c r="CB5" s="689"/>
      <c r="CC5" s="689"/>
      <c r="CD5" s="689"/>
      <c r="CE5" s="689"/>
      <c r="CF5" s="689"/>
      <c r="CG5" s="689"/>
      <c r="CH5" s="689"/>
      <c r="CI5" s="689"/>
      <c r="CJ5" s="689"/>
      <c r="CK5" s="689"/>
      <c r="CL5" s="689"/>
      <c r="CM5" s="689"/>
      <c r="CN5" s="689"/>
      <c r="CO5" s="689"/>
      <c r="CP5" s="689"/>
      <c r="CQ5" s="689"/>
      <c r="CR5" s="689"/>
      <c r="CS5" s="8"/>
      <c r="CT5" s="8"/>
      <c r="CU5" s="8"/>
      <c r="CV5" s="8"/>
      <c r="CW5" s="420"/>
      <c r="CX5" s="9"/>
      <c r="CY5" s="9"/>
      <c r="CZ5" s="420"/>
      <c r="DA5" s="8"/>
      <c r="DB5" s="8"/>
      <c r="DC5" s="8"/>
      <c r="DD5" s="8"/>
      <c r="DE5" s="8"/>
      <c r="DF5" s="8"/>
      <c r="DG5" s="9"/>
      <c r="DH5" s="9"/>
      <c r="DI5" s="420"/>
      <c r="DJ5" s="8"/>
      <c r="DK5" s="8"/>
      <c r="DL5" s="8"/>
      <c r="DM5" s="8"/>
      <c r="DN5" s="8"/>
      <c r="DO5" s="8"/>
      <c r="DP5" s="9"/>
      <c r="DQ5" s="9"/>
      <c r="DR5" s="420"/>
      <c r="DS5" s="8"/>
      <c r="DT5" s="8"/>
      <c r="DU5" s="8"/>
      <c r="DV5" s="8"/>
      <c r="DW5" s="8"/>
      <c r="DX5" s="8"/>
      <c r="DY5" s="8"/>
      <c r="DZ5" s="8"/>
      <c r="EA5" s="8"/>
      <c r="EB5" s="8"/>
      <c r="EC5" s="8"/>
    </row>
    <row r="6" spans="1:142" ht="12" customHeight="1" thickBot="1">
      <c r="B6" s="23"/>
      <c r="C6" s="701"/>
      <c r="D6" s="3503" t="s">
        <v>1018</v>
      </c>
      <c r="E6" s="3503"/>
      <c r="F6" s="3503"/>
      <c r="G6" s="3503"/>
      <c r="H6" s="3503"/>
      <c r="I6" s="3503"/>
      <c r="J6" s="3503"/>
      <c r="K6" s="3503"/>
      <c r="L6" s="3503"/>
      <c r="M6" s="3503"/>
      <c r="N6" s="3504"/>
      <c r="O6" s="300"/>
      <c r="P6" s="283"/>
      <c r="Q6" s="237"/>
      <c r="R6" s="237"/>
      <c r="S6" s="237"/>
      <c r="T6" s="236"/>
      <c r="U6" s="236"/>
      <c r="V6" s="236"/>
      <c r="W6" s="236"/>
      <c r="X6" s="236"/>
      <c r="Y6" s="236"/>
      <c r="Z6" s="236"/>
      <c r="AA6" s="236"/>
      <c r="AB6" s="419" t="s">
        <v>255</v>
      </c>
      <c r="AC6" s="2418" t="s">
        <v>1015</v>
      </c>
      <c r="AD6" s="2418"/>
      <c r="AE6" s="2418"/>
      <c r="AF6" s="2418"/>
      <c r="AG6" s="236"/>
      <c r="AH6" s="237"/>
      <c r="AI6" s="236"/>
      <c r="AJ6" s="236"/>
      <c r="AK6" s="236"/>
      <c r="AL6" s="236"/>
      <c r="AM6" s="236"/>
      <c r="AN6" s="236"/>
      <c r="AO6" s="236"/>
      <c r="AP6" s="236"/>
      <c r="AQ6" s="419" t="s">
        <v>254</v>
      </c>
      <c r="AR6" s="2418" t="s">
        <v>1015</v>
      </c>
      <c r="AS6" s="2418"/>
      <c r="AT6" s="2418"/>
      <c r="AU6" s="2418"/>
      <c r="AV6" s="236"/>
      <c r="AW6" s="2400" t="s">
        <v>253</v>
      </c>
      <c r="AX6" s="2400"/>
      <c r="AY6" s="2400"/>
      <c r="AZ6" s="2400"/>
      <c r="BA6" s="2400"/>
      <c r="BB6" s="2400"/>
      <c r="BC6" s="2400"/>
      <c r="BD6" s="2400"/>
      <c r="BE6" s="2400"/>
      <c r="BF6" s="2400"/>
      <c r="BG6" s="418"/>
      <c r="BH6" s="418"/>
      <c r="BI6" s="418"/>
      <c r="BJ6" s="418"/>
      <c r="BK6" s="418"/>
      <c r="BL6" s="418"/>
      <c r="BM6" s="418"/>
      <c r="BN6" s="103"/>
      <c r="BO6" s="2686"/>
      <c r="BP6" s="2686"/>
      <c r="BQ6" s="2686"/>
      <c r="BR6" s="2686"/>
      <c r="BS6" s="2686"/>
      <c r="BT6" s="406"/>
      <c r="BU6" s="19"/>
      <c r="BV6" s="689"/>
      <c r="BW6" s="689"/>
      <c r="BX6" s="689"/>
      <c r="BY6" s="689"/>
      <c r="BZ6" s="691"/>
      <c r="CA6" s="689"/>
      <c r="CB6" s="690" t="s">
        <v>116</v>
      </c>
      <c r="CC6" s="689"/>
      <c r="CD6" s="689"/>
      <c r="CE6" s="689"/>
      <c r="CF6" s="689"/>
      <c r="CG6" s="689"/>
      <c r="CH6" s="689"/>
      <c r="CI6" s="689"/>
      <c r="CJ6" s="689"/>
      <c r="CK6" s="689"/>
      <c r="CL6" s="689"/>
      <c r="CM6" s="689"/>
      <c r="CN6" s="689"/>
      <c r="CO6" s="689"/>
      <c r="CP6" s="689"/>
      <c r="CQ6" s="689"/>
      <c r="CR6" s="689"/>
      <c r="CS6" s="9"/>
      <c r="CT6" s="9"/>
      <c r="CV6" s="8"/>
      <c r="CW6" s="7"/>
      <c r="CX6" s="9"/>
      <c r="CY6" s="9"/>
      <c r="CZ6" s="7"/>
      <c r="DA6" s="8"/>
      <c r="DB6" s="8"/>
      <c r="DC6" s="8"/>
      <c r="DD6" s="8"/>
      <c r="DE6" s="8"/>
      <c r="DF6" s="8"/>
      <c r="DG6" s="9"/>
      <c r="DH6" s="9"/>
      <c r="DI6" s="7"/>
      <c r="DJ6" s="8"/>
      <c r="DK6" s="8"/>
      <c r="DL6" s="8"/>
      <c r="DM6" s="8"/>
      <c r="DN6" s="8"/>
      <c r="DO6" s="8"/>
      <c r="DP6" s="9"/>
      <c r="DQ6" s="9"/>
      <c r="DR6" s="7"/>
      <c r="DS6" s="8"/>
      <c r="DT6" s="8"/>
      <c r="DU6" s="8"/>
      <c r="DV6" s="8"/>
      <c r="DW6" s="8"/>
      <c r="DX6" s="8"/>
      <c r="DY6" s="8"/>
      <c r="DZ6" s="8"/>
      <c r="EA6" s="8"/>
      <c r="EB6" s="8"/>
      <c r="EC6" s="8"/>
      <c r="ED6" s="8"/>
      <c r="EE6" s="8"/>
      <c r="EF6" s="8"/>
      <c r="EG6" s="8"/>
      <c r="EH6" s="8"/>
      <c r="EI6" s="8"/>
      <c r="EJ6" s="8"/>
      <c r="EK6" s="8"/>
      <c r="EL6" s="8"/>
    </row>
    <row r="7" spans="1:142" ht="11.25" customHeight="1" thickBot="1">
      <c r="B7" s="23"/>
      <c r="C7" s="700"/>
      <c r="D7" s="699"/>
      <c r="E7" s="698"/>
      <c r="F7" s="698"/>
      <c r="G7" s="698"/>
      <c r="H7" s="698"/>
      <c r="I7" s="698"/>
      <c r="J7" s="698"/>
      <c r="K7" s="698"/>
      <c r="L7" s="698"/>
      <c r="M7" s="698"/>
      <c r="N7" s="697"/>
      <c r="O7" s="283"/>
      <c r="P7" s="283"/>
      <c r="Q7" s="2404" t="s">
        <v>1017</v>
      </c>
      <c r="R7" s="2405"/>
      <c r="S7" s="2405"/>
      <c r="T7" s="2405"/>
      <c r="U7" s="2405"/>
      <c r="V7" s="2405"/>
      <c r="W7" s="2405"/>
      <c r="X7" s="2406"/>
      <c r="Y7" s="3452">
        <f>IF(B2=0,"",IF(AC7="",2400,AC7))</f>
        <v>2400</v>
      </c>
      <c r="Z7" s="3452"/>
      <c r="AA7" s="3452"/>
      <c r="AB7" s="3453"/>
      <c r="AC7" s="3454"/>
      <c r="AD7" s="3455"/>
      <c r="AE7" s="3455"/>
      <c r="AF7" s="3456"/>
      <c r="AG7" s="103"/>
      <c r="AH7" s="57"/>
      <c r="AI7" s="2404" t="s">
        <v>1016</v>
      </c>
      <c r="AJ7" s="2405"/>
      <c r="AK7" s="2405"/>
      <c r="AL7" s="2405"/>
      <c r="AM7" s="2406"/>
      <c r="AN7" s="3450">
        <f>IF(B2=0,"",IF(AR7="",1500,AR7))</f>
        <v>1500</v>
      </c>
      <c r="AO7" s="3450"/>
      <c r="AP7" s="3450"/>
      <c r="AQ7" s="3451"/>
      <c r="AR7" s="3454"/>
      <c r="AS7" s="3455"/>
      <c r="AT7" s="3455"/>
      <c r="AU7" s="3456"/>
      <c r="AV7" s="103"/>
      <c r="AW7" s="300"/>
      <c r="AX7" s="2418" t="s">
        <v>142</v>
      </c>
      <c r="AY7" s="2418"/>
      <c r="AZ7" s="2418"/>
      <c r="BA7" s="2418"/>
      <c r="BB7" s="2418" t="s">
        <v>1015</v>
      </c>
      <c r="BC7" s="2418"/>
      <c r="BD7" s="2418"/>
      <c r="BE7" s="2418"/>
      <c r="BF7" s="2418" t="s">
        <v>140</v>
      </c>
      <c r="BG7" s="2418"/>
      <c r="BH7" s="2418"/>
      <c r="BI7" s="2418"/>
      <c r="BJ7" s="2418" t="s">
        <v>1015</v>
      </c>
      <c r="BK7" s="2418"/>
      <c r="BL7" s="2418"/>
      <c r="BM7" s="2418"/>
      <c r="BN7" s="411"/>
      <c r="BO7" s="103"/>
      <c r="BP7" s="103"/>
      <c r="BQ7" s="103"/>
      <c r="BR7" s="103"/>
      <c r="BS7" s="103"/>
      <c r="BT7" s="406"/>
      <c r="BU7" s="19"/>
      <c r="BV7" s="689"/>
      <c r="BW7" s="689"/>
      <c r="BX7" s="689"/>
      <c r="BY7" s="696">
        <f>IF(RIGHT(D9,2)="設置",1,0)</f>
        <v>0</v>
      </c>
      <c r="BZ7" s="693" t="s">
        <v>1014</v>
      </c>
      <c r="CA7" s="689"/>
      <c r="CB7" s="690" t="s">
        <v>434</v>
      </c>
      <c r="CC7" s="689"/>
      <c r="CD7" s="689"/>
      <c r="CE7" s="689"/>
      <c r="CF7" s="689"/>
      <c r="CG7" s="689"/>
      <c r="CH7" s="689"/>
      <c r="CI7" s="689"/>
      <c r="CJ7" s="689"/>
      <c r="CK7" s="689"/>
      <c r="CL7" s="689"/>
      <c r="CM7" s="689"/>
      <c r="CN7" s="689"/>
      <c r="CO7" s="689"/>
      <c r="CP7" s="689"/>
      <c r="CQ7" s="689"/>
      <c r="CR7" s="689"/>
      <c r="CS7" s="9"/>
      <c r="CT7" s="9"/>
      <c r="CV7" s="8"/>
      <c r="CW7" s="7"/>
      <c r="CX7" s="9"/>
      <c r="CY7" s="9"/>
      <c r="CZ7" s="7"/>
      <c r="DA7" s="8"/>
      <c r="DB7" s="8"/>
      <c r="DC7" s="8"/>
      <c r="DD7" s="8"/>
      <c r="DE7" s="8"/>
      <c r="DF7" s="8"/>
      <c r="DG7" s="9"/>
      <c r="DH7" s="9"/>
      <c r="DI7" s="7"/>
      <c r="DJ7" s="8"/>
      <c r="DK7" s="8"/>
      <c r="DL7" s="8"/>
      <c r="DM7" s="8"/>
      <c r="DN7" s="8"/>
      <c r="DO7" s="8"/>
      <c r="DP7" s="9"/>
      <c r="DQ7" s="9"/>
      <c r="DR7" s="7"/>
      <c r="DS7" s="8"/>
      <c r="DT7" s="8"/>
      <c r="DU7" s="8"/>
      <c r="DV7" s="8"/>
      <c r="DW7" s="8"/>
      <c r="DX7" s="8"/>
      <c r="DY7" s="8"/>
      <c r="DZ7" s="8"/>
      <c r="EA7" s="8"/>
      <c r="EB7" s="8"/>
      <c r="EC7" s="8"/>
      <c r="ED7" s="8"/>
      <c r="EE7" s="8"/>
      <c r="EF7" s="8"/>
      <c r="EG7" s="8"/>
      <c r="EH7" s="8"/>
      <c r="EI7" s="8"/>
      <c r="EJ7" s="8"/>
      <c r="EK7" s="8"/>
      <c r="EL7" s="8"/>
    </row>
    <row r="8" spans="1:142" ht="11.25" customHeight="1">
      <c r="B8" s="23"/>
      <c r="C8" s="695"/>
      <c r="D8" s="2687" t="str">
        <f>IF([4]Top!$AK$72="要","義務設置","設置不要")</f>
        <v>義務設置</v>
      </c>
      <c r="E8" s="2688"/>
      <c r="F8" s="2688"/>
      <c r="G8" s="2688"/>
      <c r="H8" s="2688"/>
      <c r="I8" s="2688"/>
      <c r="J8" s="2688"/>
      <c r="K8" s="2688"/>
      <c r="L8" s="2688"/>
      <c r="M8" s="2688"/>
      <c r="N8" s="3502"/>
      <c r="O8" s="300"/>
      <c r="P8" s="283"/>
      <c r="Q8" s="2404" t="s">
        <v>1011</v>
      </c>
      <c r="R8" s="2405"/>
      <c r="S8" s="2405"/>
      <c r="T8" s="2405"/>
      <c r="U8" s="2405"/>
      <c r="V8" s="2405"/>
      <c r="W8" s="2405"/>
      <c r="X8" s="2406"/>
      <c r="Y8" s="3452">
        <f>IF(B2=0,"",IF(AC8="",1300,AC8))</f>
        <v>1300</v>
      </c>
      <c r="Z8" s="3452"/>
      <c r="AA8" s="3452"/>
      <c r="AB8" s="3453"/>
      <c r="AC8" s="3454"/>
      <c r="AD8" s="3455"/>
      <c r="AE8" s="3455"/>
      <c r="AF8" s="3456"/>
      <c r="AG8" s="103"/>
      <c r="AH8" s="57"/>
      <c r="AI8" s="2404" t="s">
        <v>1013</v>
      </c>
      <c r="AJ8" s="2405"/>
      <c r="AK8" s="2405"/>
      <c r="AL8" s="2405"/>
      <c r="AM8" s="2406"/>
      <c r="AN8" s="3450">
        <f>IF(B2=0,"",IF(AR8="",600,AR8))</f>
        <v>600</v>
      </c>
      <c r="AO8" s="3450"/>
      <c r="AP8" s="3450"/>
      <c r="AQ8" s="3451"/>
      <c r="AR8" s="3454"/>
      <c r="AS8" s="3455"/>
      <c r="AT8" s="3455"/>
      <c r="AU8" s="3456"/>
      <c r="AV8" s="103"/>
      <c r="AW8" s="103"/>
      <c r="AX8" s="3457">
        <f>IF(B2=0,"",IF(BB8="",700,BB8))</f>
        <v>700</v>
      </c>
      <c r="AY8" s="3458"/>
      <c r="AZ8" s="3458"/>
      <c r="BA8" s="3459"/>
      <c r="BB8" s="3454"/>
      <c r="BC8" s="3455"/>
      <c r="BD8" s="3455"/>
      <c r="BE8" s="3456"/>
      <c r="BF8" s="3457">
        <f>IF(B2=0,"",IF(BJ8="",6000,BJ8))</f>
        <v>6000</v>
      </c>
      <c r="BG8" s="3458"/>
      <c r="BH8" s="3458"/>
      <c r="BI8" s="3459"/>
      <c r="BJ8" s="3454"/>
      <c r="BK8" s="3455"/>
      <c r="BL8" s="3455"/>
      <c r="BM8" s="3456"/>
      <c r="BN8" s="411"/>
      <c r="BO8" s="103"/>
      <c r="BP8" s="103"/>
      <c r="BQ8" s="103"/>
      <c r="BR8" s="103"/>
      <c r="BS8" s="103"/>
      <c r="BT8" s="406"/>
      <c r="BU8" s="19"/>
      <c r="BV8" s="689"/>
      <c r="BW8" s="689"/>
      <c r="BX8" s="689"/>
      <c r="BY8" s="689"/>
      <c r="BZ8" s="691"/>
      <c r="CA8" s="689"/>
      <c r="CB8" s="690" t="s">
        <v>431</v>
      </c>
      <c r="CC8" s="689"/>
      <c r="CD8" s="689"/>
      <c r="CE8" s="689"/>
      <c r="CF8" s="689"/>
      <c r="CG8" s="689"/>
      <c r="CH8" s="689"/>
      <c r="CI8" s="689"/>
      <c r="CJ8" s="689"/>
      <c r="CK8" s="689"/>
      <c r="CL8" s="689"/>
      <c r="CM8" s="689"/>
      <c r="CN8" s="689"/>
      <c r="CO8" s="689"/>
      <c r="CP8" s="689"/>
      <c r="CQ8" s="689"/>
      <c r="CR8" s="689"/>
      <c r="CS8" s="9"/>
      <c r="CT8" s="9"/>
      <c r="CV8" s="8"/>
      <c r="CW8" s="7"/>
      <c r="CX8" s="9"/>
      <c r="CY8" s="9"/>
      <c r="CZ8" s="7"/>
      <c r="DA8" s="8"/>
      <c r="DB8" s="8"/>
      <c r="DC8" s="8"/>
      <c r="DD8" s="8"/>
      <c r="DE8" s="8"/>
      <c r="DF8" s="8"/>
      <c r="DG8" s="9"/>
      <c r="DH8" s="9"/>
      <c r="DI8" s="7"/>
      <c r="DJ8" s="8"/>
      <c r="DK8" s="8"/>
      <c r="DL8" s="8"/>
      <c r="DM8" s="8"/>
      <c r="DN8" s="8"/>
      <c r="DO8" s="8"/>
      <c r="DP8" s="9"/>
      <c r="DQ8" s="9"/>
      <c r="DR8" s="7"/>
      <c r="DS8" s="8"/>
      <c r="DT8" s="8"/>
      <c r="DU8" s="8"/>
      <c r="DV8" s="8"/>
      <c r="DW8" s="8"/>
      <c r="DX8" s="8"/>
      <c r="DY8" s="8"/>
      <c r="DZ8" s="8"/>
      <c r="EA8" s="8"/>
      <c r="EB8" s="8"/>
      <c r="EC8" s="8"/>
      <c r="ED8" s="8"/>
      <c r="EE8" s="8"/>
      <c r="EF8" s="8"/>
      <c r="EG8" s="8"/>
      <c r="EH8" s="8"/>
      <c r="EI8" s="8"/>
      <c r="EJ8" s="8"/>
      <c r="EK8" s="8"/>
      <c r="EL8" s="8"/>
    </row>
    <row r="9" spans="1:142" ht="11.25" customHeight="1">
      <c r="B9" s="23"/>
      <c r="C9" s="410"/>
      <c r="D9" s="695"/>
      <c r="E9" s="695"/>
      <c r="F9" s="695"/>
      <c r="G9" s="695"/>
      <c r="H9" s="695"/>
      <c r="I9" s="695"/>
      <c r="J9" s="695"/>
      <c r="K9" s="695"/>
      <c r="L9" s="695"/>
      <c r="M9" s="695"/>
      <c r="N9" s="695"/>
      <c r="O9" s="695"/>
      <c r="P9" s="283"/>
      <c r="Q9" s="2404" t="s">
        <v>1012</v>
      </c>
      <c r="R9" s="2405"/>
      <c r="S9" s="2405"/>
      <c r="T9" s="2405"/>
      <c r="U9" s="2405"/>
      <c r="V9" s="2405"/>
      <c r="W9" s="2405"/>
      <c r="X9" s="2406"/>
      <c r="Y9" s="3452">
        <f>IF(B2=0,"",IF(AC9="",300,AC9))</f>
        <v>300</v>
      </c>
      <c r="Z9" s="3452"/>
      <c r="AA9" s="3452"/>
      <c r="AB9" s="3453"/>
      <c r="AC9" s="3454"/>
      <c r="AD9" s="3455"/>
      <c r="AE9" s="3455"/>
      <c r="AF9" s="3456"/>
      <c r="AG9" s="103"/>
      <c r="AH9" s="57"/>
      <c r="AI9" s="2404" t="s">
        <v>1011</v>
      </c>
      <c r="AJ9" s="2405"/>
      <c r="AK9" s="2405"/>
      <c r="AL9" s="2405"/>
      <c r="AM9" s="2406"/>
      <c r="AN9" s="3450">
        <f>IF(B2=0,"",IF(AR9="",500,AR9))</f>
        <v>500</v>
      </c>
      <c r="AO9" s="3450"/>
      <c r="AP9" s="3450"/>
      <c r="AQ9" s="3451"/>
      <c r="AR9" s="3454"/>
      <c r="AS9" s="3455"/>
      <c r="AT9" s="3455"/>
      <c r="AU9" s="3456"/>
      <c r="AV9" s="103"/>
      <c r="AW9" s="413"/>
      <c r="AX9" s="300"/>
      <c r="AY9" s="300"/>
      <c r="AZ9" s="300"/>
      <c r="BA9" s="300"/>
      <c r="BB9" s="300"/>
      <c r="BC9" s="300"/>
      <c r="BD9" s="300"/>
      <c r="BE9" s="103"/>
      <c r="BF9" s="103"/>
      <c r="BG9" s="215"/>
      <c r="BH9" s="411"/>
      <c r="BI9" s="412"/>
      <c r="BJ9" s="412"/>
      <c r="BK9" s="411"/>
      <c r="BL9" s="412"/>
      <c r="BM9" s="412"/>
      <c r="BN9" s="411"/>
      <c r="BO9" s="103"/>
      <c r="BP9" s="103"/>
      <c r="BQ9" s="103"/>
      <c r="BR9" s="103"/>
      <c r="BS9" s="103"/>
      <c r="BT9" s="406"/>
      <c r="BU9" s="19"/>
      <c r="BV9" s="689"/>
      <c r="BW9" s="689"/>
      <c r="BX9" s="689"/>
      <c r="BY9" s="694"/>
      <c r="BZ9" s="693"/>
      <c r="CA9" s="692"/>
      <c r="CB9" s="690" t="s">
        <v>388</v>
      </c>
      <c r="CC9" s="689"/>
      <c r="CD9" s="689"/>
      <c r="CE9" s="689"/>
      <c r="CF9" s="689"/>
      <c r="CG9" s="689"/>
      <c r="CH9" s="689"/>
      <c r="CI9" s="689"/>
      <c r="CJ9" s="689"/>
      <c r="CK9" s="689"/>
      <c r="CL9" s="689"/>
      <c r="CM9" s="689"/>
      <c r="CN9" s="689"/>
      <c r="CO9" s="689"/>
      <c r="CP9" s="689"/>
      <c r="CQ9" s="689"/>
      <c r="CR9" s="689"/>
      <c r="CS9" s="9"/>
      <c r="CT9" s="9"/>
      <c r="CV9" s="8"/>
      <c r="CW9" s="7"/>
      <c r="CX9" s="9"/>
      <c r="CY9" s="9"/>
      <c r="CZ9" s="7"/>
      <c r="DA9" s="8"/>
      <c r="DB9" s="8"/>
      <c r="DC9" s="8"/>
      <c r="DD9" s="8"/>
      <c r="DE9" s="8"/>
      <c r="DF9" s="8"/>
      <c r="DG9" s="9"/>
      <c r="DH9" s="9"/>
      <c r="DI9" s="7"/>
      <c r="DJ9" s="8"/>
      <c r="DK9" s="8"/>
      <c r="DL9" s="8"/>
      <c r="DM9" s="8"/>
      <c r="DN9" s="8"/>
      <c r="DO9" s="8"/>
      <c r="DP9" s="9"/>
      <c r="DQ9" s="9"/>
      <c r="DR9" s="7"/>
      <c r="DS9" s="8"/>
      <c r="DT9" s="8"/>
      <c r="DU9" s="8"/>
      <c r="DV9" s="8"/>
      <c r="DW9" s="8"/>
      <c r="DX9" s="8"/>
      <c r="DY9" s="8"/>
      <c r="DZ9" s="8"/>
      <c r="EA9" s="8"/>
      <c r="EB9" s="8"/>
      <c r="EC9" s="8"/>
      <c r="ED9" s="8"/>
      <c r="EE9" s="8"/>
      <c r="EF9" s="8"/>
      <c r="EG9" s="8"/>
      <c r="EH9" s="8"/>
      <c r="EI9" s="8"/>
      <c r="EJ9" s="8"/>
      <c r="EK9" s="8"/>
      <c r="EL9" s="8"/>
    </row>
    <row r="10" spans="1:142" ht="11.25" customHeight="1">
      <c r="B10" s="23"/>
      <c r="C10" s="410"/>
      <c r="D10" s="2664" t="str">
        <f>IF(J10="",D8,J10)</f>
        <v>義務設置</v>
      </c>
      <c r="E10" s="2665"/>
      <c r="F10" s="2665"/>
      <c r="G10" s="2665"/>
      <c r="H10" s="2666"/>
      <c r="I10" s="668" t="s">
        <v>103</v>
      </c>
      <c r="J10" s="2712"/>
      <c r="K10" s="2713"/>
      <c r="L10" s="2713"/>
      <c r="M10" s="2713"/>
      <c r="N10" s="3501"/>
      <c r="O10" s="283"/>
      <c r="P10" s="283"/>
      <c r="Q10" s="2404" t="s">
        <v>1010</v>
      </c>
      <c r="R10" s="2405"/>
      <c r="S10" s="2405"/>
      <c r="T10" s="2405"/>
      <c r="U10" s="2405"/>
      <c r="V10" s="2405"/>
      <c r="W10" s="2405"/>
      <c r="X10" s="2406"/>
      <c r="Y10" s="3452">
        <f>IF(B2=0,"",IF(AC10="",1000,AC10))</f>
        <v>1000</v>
      </c>
      <c r="Z10" s="3452"/>
      <c r="AA10" s="3452"/>
      <c r="AB10" s="3453"/>
      <c r="AC10" s="3454"/>
      <c r="AD10" s="3455"/>
      <c r="AE10" s="3455"/>
      <c r="AF10" s="3456"/>
      <c r="AG10" s="103"/>
      <c r="AH10" s="57"/>
      <c r="AI10" s="2404" t="s">
        <v>1009</v>
      </c>
      <c r="AJ10" s="2405"/>
      <c r="AK10" s="2405"/>
      <c r="AL10" s="2405"/>
      <c r="AM10" s="2406"/>
      <c r="AN10" s="3450">
        <f>IF(B2=0,"",IF(AR10="",2000,AR10))</f>
        <v>2000</v>
      </c>
      <c r="AO10" s="3450"/>
      <c r="AP10" s="3450"/>
      <c r="AQ10" s="3451"/>
      <c r="AR10" s="3454"/>
      <c r="AS10" s="3455"/>
      <c r="AT10" s="3455"/>
      <c r="AU10" s="3456"/>
      <c r="AV10" s="103"/>
      <c r="AW10" s="103"/>
      <c r="AX10" s="3460" t="s">
        <v>1008</v>
      </c>
      <c r="AY10" s="3461"/>
      <c r="AZ10" s="3461"/>
      <c r="BA10" s="3461"/>
      <c r="BB10" s="3461"/>
      <c r="BC10" s="3461"/>
      <c r="BD10" s="3461"/>
      <c r="BE10" s="3461"/>
      <c r="BF10" s="3462"/>
      <c r="BG10" s="3463" t="str">
        <f>IF(B2=0,"",IF(BK10="",火煙!BJ10,BK10))</f>
        <v xml:space="preserve">  1F</v>
      </c>
      <c r="BH10" s="3464"/>
      <c r="BI10" s="3464"/>
      <c r="BJ10" s="668" t="s">
        <v>103</v>
      </c>
      <c r="BK10" s="3465"/>
      <c r="BL10" s="2668"/>
      <c r="BM10" s="3466"/>
      <c r="BN10" s="103"/>
      <c r="BO10" s="103"/>
      <c r="BP10" s="103"/>
      <c r="BQ10" s="103"/>
      <c r="BR10" s="103"/>
      <c r="BS10" s="103"/>
      <c r="BT10" s="406"/>
      <c r="BU10" s="19"/>
      <c r="BV10" s="3446" t="s">
        <v>1007</v>
      </c>
      <c r="BW10" s="3446"/>
      <c r="BX10" s="3446"/>
      <c r="BY10" s="689"/>
      <c r="BZ10" s="691"/>
      <c r="CA10" s="689"/>
      <c r="CB10" s="690" t="s">
        <v>425</v>
      </c>
      <c r="CC10" s="689"/>
      <c r="CD10" s="689"/>
      <c r="CE10" s="689"/>
      <c r="CF10" s="689"/>
      <c r="CG10" s="689"/>
      <c r="CH10" s="689"/>
      <c r="CI10" s="689"/>
      <c r="CJ10" s="689"/>
      <c r="CK10" s="689"/>
      <c r="CL10" s="689"/>
      <c r="CM10" s="689"/>
      <c r="CN10" s="689"/>
      <c r="CO10" s="689"/>
      <c r="CP10" s="689"/>
      <c r="CQ10" s="689"/>
      <c r="CR10" s="689"/>
      <c r="CS10" s="9"/>
      <c r="CT10" s="9"/>
      <c r="CV10" s="8"/>
      <c r="CW10" s="7"/>
      <c r="CX10" s="9"/>
      <c r="CY10" s="9"/>
      <c r="CZ10" s="7"/>
      <c r="DA10" s="8"/>
      <c r="DB10" s="8"/>
      <c r="DC10" s="8"/>
      <c r="DD10" s="8"/>
      <c r="DE10" s="8"/>
      <c r="DF10" s="8"/>
      <c r="DG10" s="9"/>
      <c r="DH10" s="9"/>
      <c r="DI10" s="7"/>
      <c r="DJ10" s="8"/>
      <c r="DK10" s="8"/>
      <c r="DL10" s="8"/>
      <c r="DM10" s="8"/>
      <c r="DN10" s="8"/>
      <c r="DO10" s="8"/>
      <c r="DP10" s="9"/>
      <c r="DQ10" s="9"/>
      <c r="DR10" s="7"/>
      <c r="DS10" s="8"/>
      <c r="DT10" s="8"/>
      <c r="DU10" s="8"/>
      <c r="DV10" s="8"/>
      <c r="DW10" s="8"/>
      <c r="DX10" s="8"/>
      <c r="DY10" s="8"/>
      <c r="DZ10" s="8"/>
      <c r="EA10" s="8"/>
      <c r="EB10" s="8"/>
      <c r="EC10" s="8"/>
      <c r="ED10" s="8"/>
      <c r="EE10" s="8"/>
      <c r="EF10" s="8"/>
      <c r="EG10" s="8"/>
      <c r="EH10" s="8"/>
      <c r="EI10" s="8"/>
      <c r="EJ10" s="8"/>
      <c r="EK10" s="8"/>
      <c r="EL10" s="8"/>
    </row>
    <row r="11" spans="1:142" ht="3.75" customHeight="1" thickBot="1">
      <c r="B11" s="23"/>
      <c r="C11" s="405"/>
      <c r="D11" s="404"/>
      <c r="E11" s="404"/>
      <c r="F11" s="404"/>
      <c r="G11" s="404"/>
      <c r="H11" s="404"/>
      <c r="I11" s="404"/>
      <c r="J11" s="404"/>
      <c r="K11" s="404"/>
      <c r="L11" s="404"/>
      <c r="M11" s="404"/>
      <c r="N11" s="403"/>
      <c r="O11" s="282"/>
      <c r="P11" s="282"/>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33"/>
      <c r="BU11" s="19"/>
      <c r="BV11" s="3446"/>
      <c r="BW11" s="3446"/>
      <c r="BX11" s="3446"/>
      <c r="BY11" s="689"/>
      <c r="BZ11" s="689"/>
      <c r="CA11" s="689"/>
      <c r="CB11" s="689"/>
      <c r="CC11" s="689"/>
      <c r="CD11" s="689"/>
      <c r="CE11" s="689"/>
      <c r="CF11" s="689"/>
      <c r="CG11" s="689"/>
      <c r="CH11" s="689"/>
      <c r="CI11" s="689"/>
      <c r="CJ11" s="689"/>
      <c r="CK11" s="689"/>
      <c r="CL11" s="689"/>
      <c r="CM11" s="689"/>
      <c r="CN11" s="689"/>
      <c r="CO11" s="689"/>
      <c r="CP11" s="689"/>
      <c r="CQ11" s="689"/>
      <c r="CR11" s="689"/>
      <c r="CS11" s="8"/>
      <c r="CT11" s="8"/>
      <c r="CU11" s="8"/>
      <c r="CV11" s="8"/>
      <c r="CW11" s="7"/>
      <c r="CX11" s="9"/>
      <c r="CY11" s="9"/>
      <c r="CZ11" s="7"/>
      <c r="DA11" s="8"/>
      <c r="DB11" s="8"/>
      <c r="DC11" s="8"/>
      <c r="DD11" s="8"/>
      <c r="DE11" s="8"/>
      <c r="DF11" s="8"/>
      <c r="DG11" s="9"/>
      <c r="DH11" s="9"/>
      <c r="DI11" s="7"/>
      <c r="DJ11" s="8"/>
      <c r="DK11" s="8"/>
      <c r="DL11" s="8"/>
      <c r="DM11" s="8"/>
      <c r="DN11" s="8"/>
      <c r="DO11" s="8"/>
      <c r="DP11" s="9"/>
      <c r="DQ11" s="9"/>
      <c r="DR11" s="7"/>
      <c r="DS11" s="8"/>
      <c r="DT11" s="8"/>
      <c r="DU11" s="8"/>
      <c r="DV11" s="8"/>
      <c r="DW11" s="8"/>
      <c r="DX11" s="8"/>
      <c r="DY11" s="8"/>
      <c r="DZ11" s="8"/>
      <c r="EA11" s="8"/>
      <c r="EB11" s="8"/>
      <c r="EC11" s="8"/>
      <c r="ED11" s="8"/>
      <c r="EE11" s="8"/>
      <c r="EF11" s="8"/>
      <c r="EG11" s="8"/>
      <c r="EH11" s="8"/>
      <c r="EI11" s="8"/>
      <c r="EJ11" s="8"/>
      <c r="EK11" s="8"/>
      <c r="EL11" s="8"/>
    </row>
    <row r="12" spans="1:142" ht="11.25" customHeight="1" thickTop="1">
      <c r="B12" s="23"/>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19"/>
      <c r="BW12" s="87">
        <f>INT(SUM(BW17:BW194)/2)</f>
        <v>577</v>
      </c>
      <c r="BX12" s="87">
        <f>SUM(BX17:BX194)</f>
        <v>344</v>
      </c>
      <c r="BY12" s="87" t="str">
        <f>IF(CE18="=",BZ19,IF(CE27="=",BZ28,IF(CE36="=",BZ37,IF(CE45="=",BZ46,IF(CE54="=",BZ55,IF(CE63="=",BZ64,IF(CE72="=",BZ73,IF(CE84="=",BZ85,IF(CE93="=",BZ94,IF(CE102="=",BZ103,IF(CE111="=",BZ112,IF(CE120="=",BZ121,IF(CE129="=",BZ130,IF(CE138="=",BZ139,IF(CE147="=",BZ148,IF(CE159="=",BZ160,IF(CE168="=",BZ169,IF(CE177="=",BZ178,IF(CE186="=",BZ187,IF(CE195="=",BZ196,""))))))))))))))))))))</f>
        <v>200</v>
      </c>
      <c r="CG12" s="90" t="s">
        <v>753</v>
      </c>
      <c r="CJ12" s="685" t="s">
        <v>121</v>
      </c>
      <c r="CM12" s="6"/>
      <c r="CN12" s="6"/>
      <c r="CO12" s="6"/>
      <c r="CP12" s="6"/>
      <c r="CQ12" s="2986" t="str">
        <f>IF(CS12="","","スピーカ 3W S1")</f>
        <v>スピーカ 3W S1</v>
      </c>
      <c r="CR12" s="3476"/>
      <c r="CS12" s="88">
        <f>IF(AS17=0,"",AS17)</f>
        <v>33</v>
      </c>
      <c r="CT12" s="9"/>
      <c r="CX12" s="88">
        <v>1</v>
      </c>
      <c r="CY12" s="45"/>
      <c r="CZ12" s="45"/>
      <c r="DA12" s="45"/>
      <c r="DB12" s="45"/>
      <c r="DC12" s="45" t="s">
        <v>109</v>
      </c>
      <c r="DD12" s="45"/>
      <c r="DE12" s="45" t="s">
        <v>108</v>
      </c>
      <c r="DG12" s="88">
        <v>1</v>
      </c>
      <c r="DH12" s="45"/>
      <c r="DI12" s="45"/>
      <c r="DJ12" s="45"/>
      <c r="DK12" s="45"/>
      <c r="DL12" s="45" t="s">
        <v>109</v>
      </c>
      <c r="DM12" s="45"/>
      <c r="DN12" s="45" t="s">
        <v>108</v>
      </c>
      <c r="DP12" s="88">
        <v>1</v>
      </c>
      <c r="DQ12" s="45"/>
      <c r="DR12" s="45"/>
      <c r="DS12" s="45"/>
      <c r="DT12" s="45"/>
      <c r="DU12" s="45" t="s">
        <v>109</v>
      </c>
      <c r="DV12" s="45"/>
      <c r="DW12" s="45" t="s">
        <v>108</v>
      </c>
    </row>
    <row r="13" spans="1:142" ht="11.25" customHeight="1" thickBot="1">
      <c r="B13" s="23"/>
      <c r="C13" s="2299" t="s">
        <v>16</v>
      </c>
      <c r="D13" s="2299"/>
      <c r="E13" s="2299"/>
      <c r="F13" s="2299" t="s">
        <v>22</v>
      </c>
      <c r="G13" s="2299"/>
      <c r="H13" s="2299"/>
      <c r="I13" s="2299"/>
      <c r="J13" s="2299" t="s">
        <v>5</v>
      </c>
      <c r="K13" s="2299"/>
      <c r="L13" s="2299"/>
      <c r="M13" s="2299"/>
      <c r="N13" s="2299" t="s">
        <v>6</v>
      </c>
      <c r="O13" s="2299"/>
      <c r="P13" s="2299"/>
      <c r="Q13" s="2299"/>
      <c r="R13" s="2299"/>
      <c r="S13" s="2299" t="str">
        <f>IF(U16="","放送設備 "&amp;RIGHT($D$9,2),U16)</f>
        <v xml:space="preserve">放送設備 </v>
      </c>
      <c r="T13" s="2299"/>
      <c r="U13" s="2299"/>
      <c r="V13" s="2299"/>
      <c r="W13" s="2299"/>
      <c r="X13" s="2299"/>
      <c r="Y13" s="2299"/>
      <c r="Z13" s="2299"/>
      <c r="AA13" s="3382" t="s">
        <v>7</v>
      </c>
      <c r="AB13" s="3382"/>
      <c r="AC13" s="3382"/>
      <c r="AD13" s="3382"/>
      <c r="AE13" s="2630" t="str">
        <f>IF(S18="","",IF(AH13&lt;&gt;"",AH13,IF(RIGHT($D$10,2)="不要","不","要")))</f>
        <v>要</v>
      </c>
      <c r="AF13" s="2630"/>
      <c r="AG13" s="668" t="s">
        <v>937</v>
      </c>
      <c r="AH13" s="2632"/>
      <c r="AI13" s="2633"/>
      <c r="AJ13" s="3371" t="s">
        <v>913</v>
      </c>
      <c r="AK13" s="3372"/>
      <c r="AL13" s="3372"/>
      <c r="AM13" s="3373"/>
      <c r="AN13" s="3383" t="str">
        <f>IF(W18="","",IF(AQ13&lt;&gt;"",AQ13,IF(RIGHT($D$10,2)="設置","要","不")))</f>
        <v>要</v>
      </c>
      <c r="AO13" s="3384"/>
      <c r="AP13" s="668" t="s">
        <v>937</v>
      </c>
      <c r="AQ13" s="2632"/>
      <c r="AR13" s="2633"/>
      <c r="AS13" s="3399" t="s">
        <v>912</v>
      </c>
      <c r="AT13" s="3412"/>
      <c r="AU13" s="3412"/>
      <c r="AV13" s="3412"/>
      <c r="AW13" s="3412"/>
      <c r="AX13" s="3412"/>
      <c r="AY13" s="3412"/>
      <c r="AZ13" s="3412"/>
      <c r="BA13" s="3412"/>
      <c r="BB13" s="3412"/>
      <c r="BC13" s="3412"/>
      <c r="BD13" s="3412"/>
      <c r="BE13" s="3412"/>
      <c r="BF13" s="3412"/>
      <c r="BG13" s="3412"/>
      <c r="BH13" s="3413"/>
      <c r="BI13" s="3399" t="s">
        <v>934</v>
      </c>
      <c r="BJ13" s="3412"/>
      <c r="BK13" s="3412"/>
      <c r="BL13" s="3413"/>
      <c r="BM13" s="3360" t="s">
        <v>936</v>
      </c>
      <c r="BN13" s="3419"/>
      <c r="BO13" s="3419"/>
      <c r="BP13" s="3419"/>
      <c r="BQ13" s="3419"/>
      <c r="BR13" s="3361"/>
      <c r="BS13" s="3441" t="s">
        <v>935</v>
      </c>
      <c r="BT13" s="3442"/>
      <c r="BU13" s="19"/>
      <c r="BV13" s="8"/>
      <c r="BW13" s="102"/>
      <c r="BX13" s="8"/>
      <c r="BY13" s="8"/>
      <c r="BZ13" s="8"/>
      <c r="CA13" s="8"/>
      <c r="CB13" s="8"/>
      <c r="CC13" s="8"/>
      <c r="CD13" s="8"/>
      <c r="CE13" s="8"/>
      <c r="CF13" s="8"/>
      <c r="CG13" s="685" t="s">
        <v>909</v>
      </c>
      <c r="CH13" s="685" t="s">
        <v>908</v>
      </c>
      <c r="CI13" s="685" t="s">
        <v>934</v>
      </c>
      <c r="CJ13" s="686">
        <f>IF($AX$8=0,"",INT(10.7*CD15*CE15/($BF$8/1000)^2))</f>
        <v>235</v>
      </c>
      <c r="CK13" s="685" t="s">
        <v>933</v>
      </c>
      <c r="CL13" s="685" t="s">
        <v>932</v>
      </c>
      <c r="CM13" s="685" t="s">
        <v>931</v>
      </c>
      <c r="CN13" s="550" t="s">
        <v>734</v>
      </c>
      <c r="CO13" s="550" t="s">
        <v>732</v>
      </c>
      <c r="CP13" s="685"/>
      <c r="CQ13" s="2986" t="str">
        <f>IF(CS13="","","スピーカ 3W S3")</f>
        <v>スピーカ 3W S3</v>
      </c>
      <c r="CR13" s="3476"/>
      <c r="CS13" s="88">
        <f>IF(AY17=0,"",AY17)</f>
        <v>16</v>
      </c>
      <c r="CT13" s="3483" t="str">
        <f>IF(CV13="","","マイクロホン")</f>
        <v>マイクロホン</v>
      </c>
      <c r="CU13" s="3484"/>
      <c r="CV13" s="88">
        <f>BG17</f>
        <v>3</v>
      </c>
      <c r="CW13" s="280"/>
      <c r="CX13" s="8"/>
      <c r="CY13" s="197">
        <f t="shared" ref="CY13:CY20" si="0">IF(DC13&lt;&gt;"",CY12+1,CY12)</f>
        <v>1</v>
      </c>
      <c r="CZ13" s="197">
        <f t="shared" ref="CZ13:CZ20" si="1">IF(AND(CY13&lt;&gt;"",DC13&lt;&gt;""),CY13,"")</f>
        <v>1</v>
      </c>
      <c r="DA13" s="10" t="str">
        <f>H19</f>
        <v>HP 1.2mm- 15Pr</v>
      </c>
      <c r="DB13" s="8"/>
      <c r="DC13" s="249" t="str">
        <f>IF(COUNTIF($DA$10:$DA12,DA13)&gt;0,"",DA13)</f>
        <v>HP 1.2mm- 15Pr</v>
      </c>
      <c r="DD13" s="515">
        <f>AF19</f>
        <v>8</v>
      </c>
      <c r="DE13" s="514">
        <f>SUMIF($DA$13:$DA$199,DC13,$DD$13:$DD$199)</f>
        <v>15</v>
      </c>
      <c r="DF13" s="8"/>
      <c r="DG13" s="8"/>
      <c r="DH13" s="197">
        <f t="shared" ref="DH13:DH20" si="2">IF(DL13&lt;&gt;"",DH12+1,DH12)</f>
        <v>1</v>
      </c>
      <c r="DI13" s="197">
        <f t="shared" ref="DI13:DI20" si="3">IF(AND(DH13&lt;&gt;"",DL13&lt;&gt;""),DH13,"")</f>
        <v>1</v>
      </c>
      <c r="DJ13" s="10" t="str">
        <f>AT19</f>
        <v>C-31mm</v>
      </c>
      <c r="DK13" s="8"/>
      <c r="DL13" s="249" t="str">
        <f>IF(COUNTIF($DJ$10:DJ12,DJ13)&gt;0,"",DJ13)</f>
        <v>C-31mm</v>
      </c>
      <c r="DM13" s="515">
        <f>BL19</f>
        <v>5</v>
      </c>
      <c r="DN13" s="514">
        <f>SUMIF($DJ$13:$DJ$199,DL13,$DM$13:$DM$199)</f>
        <v>21</v>
      </c>
      <c r="DO13" s="8"/>
      <c r="DP13" s="8"/>
      <c r="DQ13" s="197">
        <f t="shared" ref="DQ13:DQ25" si="4">IF(DV13&lt;&gt;"",DQ12+1,DQ12)</f>
        <v>1</v>
      </c>
      <c r="DR13" s="197">
        <f>IF(AND(DQ13&lt;&gt;"",DV13&lt;&gt;""),DQ13,"")</f>
        <v>1</v>
      </c>
      <c r="DS13" s="10" t="str">
        <f>CQ12</f>
        <v>スピーカ 3W S1</v>
      </c>
      <c r="DT13" s="8"/>
      <c r="DU13" s="249" t="str">
        <f>IF(COUNTIF($DS$10:DS12,DS13)&gt;0,"",DS13)</f>
        <v>スピーカ 3W S1</v>
      </c>
      <c r="DV13" s="198">
        <f>CS12</f>
        <v>33</v>
      </c>
      <c r="DW13" s="514">
        <f t="shared" ref="DW13:DW25" si="5">SUMIF($DS$13:$DS$344,DU13,$DV$13:$DV$344)</f>
        <v>166</v>
      </c>
      <c r="DX13" s="8"/>
      <c r="DY13" s="8"/>
      <c r="DZ13" s="8"/>
    </row>
    <row r="14" spans="1:142" ht="11.25" customHeight="1" thickBot="1">
      <c r="B14" s="23"/>
      <c r="C14" s="2299"/>
      <c r="D14" s="2299"/>
      <c r="E14" s="2299"/>
      <c r="F14" s="2396"/>
      <c r="G14" s="2396"/>
      <c r="H14" s="2396"/>
      <c r="I14" s="2396"/>
      <c r="J14" s="2396"/>
      <c r="K14" s="2396"/>
      <c r="L14" s="2396"/>
      <c r="M14" s="2396"/>
      <c r="N14" s="2396"/>
      <c r="O14" s="2396"/>
      <c r="P14" s="2396"/>
      <c r="Q14" s="2396"/>
      <c r="R14" s="2396"/>
      <c r="S14" s="2396" t="s">
        <v>7</v>
      </c>
      <c r="T14" s="2396"/>
      <c r="U14" s="2396"/>
      <c r="V14" s="2396"/>
      <c r="W14" s="2396" t="s">
        <v>8</v>
      </c>
      <c r="X14" s="2396"/>
      <c r="Y14" s="2396"/>
      <c r="Z14" s="2396"/>
      <c r="AA14" s="2384" t="s">
        <v>9</v>
      </c>
      <c r="AB14" s="2385"/>
      <c r="AC14" s="2386"/>
      <c r="AD14" s="2384" t="s">
        <v>9</v>
      </c>
      <c r="AE14" s="2385"/>
      <c r="AF14" s="2386"/>
      <c r="AG14" s="2384" t="str">
        <f>IF(AN14="","","専部屋面積")</f>
        <v>専部屋面積</v>
      </c>
      <c r="AH14" s="2385"/>
      <c r="AI14" s="2385"/>
      <c r="AJ14" s="2382"/>
      <c r="AK14" s="2382"/>
      <c r="AL14" s="2382"/>
      <c r="AM14" s="3392"/>
      <c r="AN14" s="3365">
        <f>IF(OR(C18="",$B$2=0),"",S18/AA18)</f>
        <v>74.54117647058824</v>
      </c>
      <c r="AO14" s="3366"/>
      <c r="AP14" s="3366"/>
      <c r="AQ14" s="3366"/>
      <c r="AR14" s="3367"/>
      <c r="AS14" s="2300" t="s">
        <v>903</v>
      </c>
      <c r="AT14" s="2301"/>
      <c r="AU14" s="2301"/>
      <c r="AV14" s="2301"/>
      <c r="AW14" s="2301"/>
      <c r="AX14" s="2302"/>
      <c r="AY14" s="2300" t="s">
        <v>902</v>
      </c>
      <c r="AZ14" s="2301"/>
      <c r="BA14" s="2301"/>
      <c r="BB14" s="2302"/>
      <c r="BC14" s="2300" t="s">
        <v>902</v>
      </c>
      <c r="BD14" s="2301"/>
      <c r="BE14" s="2301"/>
      <c r="BF14" s="2302"/>
      <c r="BG14" s="2300" t="s">
        <v>743</v>
      </c>
      <c r="BH14" s="2302"/>
      <c r="BI14" s="2300" t="s">
        <v>901</v>
      </c>
      <c r="BJ14" s="2301"/>
      <c r="BK14" s="2301"/>
      <c r="BL14" s="2302"/>
      <c r="BM14" s="2299" t="s">
        <v>930</v>
      </c>
      <c r="BN14" s="2299"/>
      <c r="BO14" s="2299"/>
      <c r="BP14" s="2299" t="s">
        <v>929</v>
      </c>
      <c r="BQ14" s="2299"/>
      <c r="BR14" s="2299"/>
      <c r="BS14" s="3439" t="s">
        <v>928</v>
      </c>
      <c r="BT14" s="3440"/>
      <c r="BU14" s="19"/>
      <c r="BV14" s="8"/>
      <c r="BW14" s="102"/>
      <c r="BX14" s="114" t="s">
        <v>889</v>
      </c>
      <c r="BY14" s="100" t="s">
        <v>927</v>
      </c>
      <c r="BZ14" s="8"/>
      <c r="CA14" s="8"/>
      <c r="CB14" s="8"/>
      <c r="CC14" s="180">
        <v>16</v>
      </c>
      <c r="CD14" s="55" t="s">
        <v>229</v>
      </c>
      <c r="CE14" s="55" t="s">
        <v>228</v>
      </c>
      <c r="CF14" s="106" t="s">
        <v>859</v>
      </c>
      <c r="CG14" s="184">
        <f>INT((CD16+10)*BY17+CS15*$AN$8/1000+($AN$7/1000)*BY17)</f>
        <v>469</v>
      </c>
      <c r="CH14" s="184">
        <f>INT(CD16*CS20+CS20)</f>
        <v>0</v>
      </c>
      <c r="CI14" s="184">
        <f>8*SUM(BI17:BL17)</f>
        <v>200</v>
      </c>
      <c r="CJ14" s="185">
        <f>IF($AX$8=0,"",2*INT(0.5*CJ13))</f>
        <v>234</v>
      </c>
      <c r="CK14" s="184"/>
      <c r="CL14" s="184">
        <f>IF(BP17="","",10*BP17)</f>
        <v>30</v>
      </c>
      <c r="CM14" s="184">
        <f>IF(BP17="","",10*BP17)</f>
        <v>30</v>
      </c>
      <c r="CN14" s="682">
        <f>IF(S18="",0,IF(AE13="不","",(SUM(CG14:CM14)+SUM(CG15:CM15))*S18/N18))</f>
        <v>1064</v>
      </c>
      <c r="CO14" s="682">
        <f>IF(S18="",0,IF(AE13="不","",(SUM(CG17:CM17)+SUM(CG18:CM18))*S18/N18))</f>
        <v>645.6</v>
      </c>
      <c r="CP14" s="664" t="s">
        <v>1</v>
      </c>
      <c r="CQ14" s="2986" t="str">
        <f>IF(CS14="","","スピーカ S5")</f>
        <v/>
      </c>
      <c r="CR14" s="3476"/>
      <c r="CS14" s="683" t="str">
        <f>IF(AW17=0,"",AW17)</f>
        <v/>
      </c>
      <c r="CT14" s="3483" t="str">
        <f>IF(CV14="","","アッテネータ 3W")</f>
        <v>アッテネータ 3W</v>
      </c>
      <c r="CU14" s="3484"/>
      <c r="CV14" s="88">
        <f>BI17</f>
        <v>16</v>
      </c>
      <c r="CW14" s="8"/>
      <c r="CX14" s="8"/>
      <c r="CY14" s="197">
        <f t="shared" si="0"/>
        <v>2</v>
      </c>
      <c r="CZ14" s="197">
        <f t="shared" si="1"/>
        <v>2</v>
      </c>
      <c r="DA14" s="10" t="str">
        <f>H20</f>
        <v>HP 1.2mm-3C</v>
      </c>
      <c r="DB14" s="8"/>
      <c r="DC14" s="249" t="str">
        <f>IF(COUNTIF($DA$10:$DA13,DA14)&gt;0,"",DA14)</f>
        <v>HP 1.2mm-3C</v>
      </c>
      <c r="DD14" s="515">
        <f>AF20</f>
        <v>1330</v>
      </c>
      <c r="DE14" s="514">
        <f>SUMIF($DA$13:$DA$199,DC14,$DD$13:$DD$199)</f>
        <v>10424</v>
      </c>
      <c r="DF14" s="8"/>
      <c r="DG14" s="8"/>
      <c r="DH14" s="197">
        <f t="shared" si="2"/>
        <v>2</v>
      </c>
      <c r="DI14" s="197">
        <f t="shared" si="3"/>
        <v>2</v>
      </c>
      <c r="DJ14" s="10" t="str">
        <f>AT20</f>
        <v>C-19mm</v>
      </c>
      <c r="DK14" s="8"/>
      <c r="DL14" s="249" t="str">
        <f>IF(COUNTIF($DJ$10:DJ13,DJ14)&gt;0,"",DJ14)</f>
        <v>C-19mm</v>
      </c>
      <c r="DM14" s="515">
        <f>BL20</f>
        <v>807</v>
      </c>
      <c r="DN14" s="514">
        <f>SUMIF($DJ$13:$DJ$199,DL14,$DM$13:$DM$199)</f>
        <v>5939</v>
      </c>
      <c r="DO14" s="8"/>
      <c r="DP14" s="8"/>
      <c r="DQ14" s="197">
        <f t="shared" si="4"/>
        <v>2</v>
      </c>
      <c r="DR14" s="197">
        <f>IF(AND(DQ14&lt;&gt;"",DV14&lt;&gt;""),DQ14,"")</f>
        <v>2</v>
      </c>
      <c r="DS14" s="10" t="str">
        <f>CQ13</f>
        <v>スピーカ 3W S3</v>
      </c>
      <c r="DT14" s="8"/>
      <c r="DU14" s="249" t="str">
        <f>IF(COUNTIF($DS$10:DS13,DS14)&gt;0,"",DS14)</f>
        <v>スピーカ 3W S3</v>
      </c>
      <c r="DV14" s="198">
        <f>CS13</f>
        <v>16</v>
      </c>
      <c r="DW14" s="514">
        <f t="shared" si="5"/>
        <v>106</v>
      </c>
      <c r="DX14" s="8"/>
      <c r="DY14" s="8"/>
      <c r="DZ14" s="8"/>
    </row>
    <row r="15" spans="1:142" ht="11.25" customHeight="1" thickBot="1">
      <c r="B15" s="23"/>
      <c r="C15" s="2396"/>
      <c r="D15" s="2396"/>
      <c r="E15" s="2396"/>
      <c r="F15" s="2397" t="s">
        <v>235</v>
      </c>
      <c r="G15" s="2397"/>
      <c r="H15" s="2397"/>
      <c r="I15" s="2397"/>
      <c r="J15" s="2397" t="s">
        <v>235</v>
      </c>
      <c r="K15" s="2397"/>
      <c r="L15" s="2397"/>
      <c r="M15" s="2397"/>
      <c r="N15" s="2397" t="s">
        <v>128</v>
      </c>
      <c r="O15" s="2397"/>
      <c r="P15" s="2397"/>
      <c r="Q15" s="2397"/>
      <c r="R15" s="2397"/>
      <c r="S15" s="2397" t="s">
        <v>128</v>
      </c>
      <c r="T15" s="2397"/>
      <c r="U15" s="2397"/>
      <c r="V15" s="2397"/>
      <c r="W15" s="2397" t="s">
        <v>128</v>
      </c>
      <c r="X15" s="2397"/>
      <c r="Y15" s="2397"/>
      <c r="Z15" s="2397"/>
      <c r="AA15" s="2397" t="s">
        <v>111</v>
      </c>
      <c r="AB15" s="2397"/>
      <c r="AC15" s="2397"/>
      <c r="AD15" s="2397" t="s">
        <v>110</v>
      </c>
      <c r="AE15" s="2397"/>
      <c r="AF15" s="2397"/>
      <c r="AG15" s="3398" t="str">
        <f>IF(AN15="","","共部屋面積")</f>
        <v>共部屋面積</v>
      </c>
      <c r="AH15" s="2382"/>
      <c r="AI15" s="2382"/>
      <c r="AJ15" s="2382"/>
      <c r="AK15" s="2382"/>
      <c r="AL15" s="2382"/>
      <c r="AM15" s="3392"/>
      <c r="AN15" s="3368">
        <f>IF(OR($B$2=0,C18=""),"",W18/AD18)</f>
        <v>19.799999999999997</v>
      </c>
      <c r="AO15" s="3369"/>
      <c r="AP15" s="3369"/>
      <c r="AQ15" s="3369"/>
      <c r="AR15" s="3370"/>
      <c r="AS15" s="3419" t="s">
        <v>895</v>
      </c>
      <c r="AT15" s="3361"/>
      <c r="AU15" s="3360" t="s">
        <v>894</v>
      </c>
      <c r="AV15" s="3361"/>
      <c r="AW15" s="3360" t="s">
        <v>893</v>
      </c>
      <c r="AX15" s="3361"/>
      <c r="AY15" s="3360" t="s">
        <v>892</v>
      </c>
      <c r="AZ15" s="3361"/>
      <c r="BA15" s="3360" t="s">
        <v>891</v>
      </c>
      <c r="BB15" s="3361"/>
      <c r="BC15" s="3360" t="s">
        <v>890</v>
      </c>
      <c r="BD15" s="3361"/>
      <c r="BE15" s="3360" t="s">
        <v>889</v>
      </c>
      <c r="BF15" s="3361"/>
      <c r="BG15" s="3432" t="s">
        <v>888</v>
      </c>
      <c r="BH15" s="3433"/>
      <c r="BI15" s="3360"/>
      <c r="BJ15" s="3361"/>
      <c r="BK15" s="3360"/>
      <c r="BL15" s="3361"/>
      <c r="BM15" s="3391" t="s">
        <v>887</v>
      </c>
      <c r="BN15" s="3391"/>
      <c r="BO15" s="3391"/>
      <c r="BP15" s="3391" t="s">
        <v>887</v>
      </c>
      <c r="BQ15" s="3391"/>
      <c r="BR15" s="3391"/>
      <c r="BS15" s="3432" t="s">
        <v>744</v>
      </c>
      <c r="BT15" s="3433"/>
      <c r="BU15" s="19"/>
      <c r="BV15" s="8"/>
      <c r="BW15" s="102"/>
      <c r="BX15" s="88">
        <f>IF(OR(J16="( 10)",J16="(12)イ",LEFT(J16,4)="(13)"),1,0)</f>
        <v>0</v>
      </c>
      <c r="BY15" s="88" t="str">
        <f>IF(OR(J16="(1) ロ",J16="(2) ロ",J16="(2) ニ",J16="(5) イ",J16="(6) ハ",J16="(6) ニ",J16="( 7 )",J16="( 15)"),"要","")</f>
        <v>要</v>
      </c>
      <c r="BZ15" s="8"/>
      <c r="CA15" s="8"/>
      <c r="CB15" s="8"/>
      <c r="CC15" s="46">
        <v>1</v>
      </c>
      <c r="CD15" s="98">
        <f>非誘!BW18</f>
        <v>24</v>
      </c>
      <c r="CE15" s="98">
        <f>非誘!BX18</f>
        <v>33</v>
      </c>
      <c r="CF15" s="106" t="s">
        <v>858</v>
      </c>
      <c r="CG15" s="185">
        <f>INT((F18-$Y$10/1000-0.25)*BY17)</f>
        <v>30</v>
      </c>
      <c r="CH15" s="184">
        <f>1+INT((F18-$Y$7/1000-0.25+$AN$8/1000)*CS20)</f>
        <v>1</v>
      </c>
      <c r="CI15" s="184">
        <f>INT((F18-$Y$8/1000-0.25+$AN$9/1000)*SUM(BI17:BL17))</f>
        <v>98</v>
      </c>
      <c r="CJ15" s="185">
        <f>IF($AX$8=0,"",2*INT(CJ13*($AX$8-250)/1000))</f>
        <v>210</v>
      </c>
      <c r="CK15" s="184"/>
      <c r="CL15" s="184">
        <f>IF(BP17="","",INT((F18-$Y$9/1000-0.25+AN9/1000)*BP17))</f>
        <v>14</v>
      </c>
      <c r="CM15" s="184">
        <f>IF(BS17="","",INT((F18-$Y$9/1000-0.25+AN9/1000)*BS17))</f>
        <v>14</v>
      </c>
      <c r="CN15" s="682">
        <f>IF(AN13="不","",(SUM(CG14:CM14)+SUM(CG15:CM15))*W18/N18)</f>
        <v>265.99999999999994</v>
      </c>
      <c r="CO15" s="682">
        <f>IF(AN13="不","",(SUM(CG17:CM17)+SUM(CG18:CM18))*W18/N18)</f>
        <v>161.39999999999998</v>
      </c>
      <c r="CP15" s="670" t="s">
        <v>877</v>
      </c>
      <c r="CQ15" s="15"/>
      <c r="CR15" s="106" t="s">
        <v>868</v>
      </c>
      <c r="CS15" s="9">
        <f>SUM(CS12:CS14)</f>
        <v>49</v>
      </c>
      <c r="CT15" s="3485" t="str">
        <f>IF(CV15="","","アッテネータ 6W")</f>
        <v>アッテネータ 6W</v>
      </c>
      <c r="CU15" s="3484"/>
      <c r="CV15" s="88">
        <f>BK17</f>
        <v>9</v>
      </c>
      <c r="CW15" s="8"/>
      <c r="CX15" s="8"/>
      <c r="CY15" s="197">
        <f t="shared" si="0"/>
        <v>2</v>
      </c>
      <c r="CZ15" s="197" t="str">
        <f t="shared" si="1"/>
        <v/>
      </c>
      <c r="DA15" s="10"/>
      <c r="DB15" s="8"/>
      <c r="DC15" s="249"/>
      <c r="DD15" s="515"/>
      <c r="DE15" s="514"/>
      <c r="DF15" s="8"/>
      <c r="DG15" s="8"/>
      <c r="DH15" s="197">
        <f t="shared" si="2"/>
        <v>2</v>
      </c>
      <c r="DI15" s="197" t="str">
        <f t="shared" si="3"/>
        <v/>
      </c>
      <c r="DJ15" s="10"/>
      <c r="DK15" s="8"/>
      <c r="DL15" s="249"/>
      <c r="DM15" s="515"/>
      <c r="DN15" s="514"/>
      <c r="DO15" s="8"/>
      <c r="DP15" s="8"/>
      <c r="DQ15" s="197">
        <f t="shared" si="4"/>
        <v>2</v>
      </c>
      <c r="DR15" s="197" t="str">
        <f>IF(AND(DQ15&lt;&gt;"",DV15&lt;&gt;""),DQ15,"")</f>
        <v/>
      </c>
      <c r="DS15" s="10" t="str">
        <f>CQ14</f>
        <v/>
      </c>
      <c r="DT15" s="8"/>
      <c r="DU15" s="249" t="str">
        <f>IF(COUNTIF($DS$10:DS14,DS15)&gt;0,"",DS15)</f>
        <v/>
      </c>
      <c r="DV15" s="198" t="str">
        <f>CS14</f>
        <v/>
      </c>
      <c r="DW15" s="514">
        <f t="shared" si="5"/>
        <v>5</v>
      </c>
      <c r="DX15" s="8"/>
      <c r="DY15" s="8"/>
      <c r="DZ15" s="8"/>
    </row>
    <row r="16" spans="1:142" ht="11.25" customHeight="1" thickBot="1">
      <c r="B16" s="23"/>
      <c r="C16" s="2299" t="s">
        <v>112</v>
      </c>
      <c r="D16" s="2299"/>
      <c r="E16" s="2299"/>
      <c r="F16" s="2299"/>
      <c r="G16" s="2299"/>
      <c r="H16" s="2299"/>
      <c r="I16" s="3399"/>
      <c r="J16" s="3449" t="str">
        <f>非誘!J16</f>
        <v>( 15)</v>
      </c>
      <c r="K16" s="3377"/>
      <c r="L16" s="3377"/>
      <c r="M16" s="3448"/>
      <c r="N16" s="3403" t="str">
        <f>非誘!M16</f>
        <v>前各項以外</v>
      </c>
      <c r="O16" s="3404"/>
      <c r="P16" s="3404"/>
      <c r="Q16" s="3404"/>
      <c r="R16" s="3404"/>
      <c r="S16" s="3404"/>
      <c r="T16" s="3404"/>
      <c r="U16" s="3404"/>
      <c r="V16" s="3404"/>
      <c r="W16" s="3404"/>
      <c r="X16" s="3404"/>
      <c r="Y16" s="3404"/>
      <c r="Z16" s="3405"/>
      <c r="AA16" s="3406" t="s">
        <v>926</v>
      </c>
      <c r="AB16" s="2301"/>
      <c r="AC16" s="2301"/>
      <c r="AD16" s="2301"/>
      <c r="AE16" s="2301"/>
      <c r="AF16" s="2302"/>
      <c r="AG16" s="3393" t="str">
        <f>IF($B$2=0,"",IF(AN16="","天井(C 管)",AN16))</f>
        <v>天井(C 管)</v>
      </c>
      <c r="AH16" s="2368"/>
      <c r="AI16" s="2368"/>
      <c r="AJ16" s="2368"/>
      <c r="AK16" s="2368"/>
      <c r="AL16" s="3394"/>
      <c r="AM16" s="668" t="s">
        <v>925</v>
      </c>
      <c r="AN16" s="3395"/>
      <c r="AO16" s="3396"/>
      <c r="AP16" s="3396"/>
      <c r="AQ16" s="3396"/>
      <c r="AR16" s="3397"/>
      <c r="AS16" s="3434" t="s">
        <v>881</v>
      </c>
      <c r="AT16" s="3435"/>
      <c r="AU16" s="3436" t="s">
        <v>880</v>
      </c>
      <c r="AV16" s="3437"/>
      <c r="AW16" s="3432"/>
      <c r="AX16" s="3433"/>
      <c r="AY16" s="3432" t="s">
        <v>881</v>
      </c>
      <c r="AZ16" s="3433"/>
      <c r="BA16" s="3436" t="s">
        <v>884</v>
      </c>
      <c r="BB16" s="3437"/>
      <c r="BC16" s="3436" t="s">
        <v>883</v>
      </c>
      <c r="BD16" s="3438"/>
      <c r="BE16" s="3438"/>
      <c r="BF16" s="3437"/>
      <c r="BG16" s="3420" t="s">
        <v>882</v>
      </c>
      <c r="BH16" s="3421"/>
      <c r="BI16" s="3436" t="s">
        <v>881</v>
      </c>
      <c r="BJ16" s="3437"/>
      <c r="BK16" s="3436" t="s">
        <v>880</v>
      </c>
      <c r="BL16" s="3437"/>
      <c r="BM16" s="3407" t="str">
        <f>IF(BM17="","",$BW$12)</f>
        <v/>
      </c>
      <c r="BN16" s="3407"/>
      <c r="BO16" s="3407"/>
      <c r="BP16" s="3407">
        <f>IF(BP17="","",30)</f>
        <v>30</v>
      </c>
      <c r="BQ16" s="3407"/>
      <c r="BR16" s="3407"/>
      <c r="BS16" s="2384" t="s">
        <v>879</v>
      </c>
      <c r="BT16" s="2386"/>
      <c r="BU16" s="19"/>
      <c r="BW16" s="102"/>
      <c r="CB16" s="90" t="s">
        <v>924</v>
      </c>
      <c r="CC16" s="479" t="str">
        <f>AD17</f>
        <v>⑦</v>
      </c>
      <c r="CD16" s="263">
        <f>IF(C18="","",IF(CC16="①",CD15+CE15+3,IF(CC16="②",CD15*5/8+CE15+3,IF(CC16="③",CD15/2+CE15+3,IF(CC16="④",CD15+CE15*5/8+3,IF(CC16="⑤",(CD15+CE15)*5/8+3,IF(CC16="⑥",CD15/2+CE15*5/8+3,IF(CC16="⑦",CD15+CE15/2+3,IF(CC16="⑧",CD15*5/8+CE15/2+3,IF(CC16="⑨",(CD15+CE15)/2+3))))))))))</f>
        <v>43.5</v>
      </c>
      <c r="CE16" s="8"/>
      <c r="CF16" s="106"/>
      <c r="CG16" s="681">
        <f>IF(AG16="天井ケーブル",0,1)</f>
        <v>1</v>
      </c>
      <c r="CH16" s="394"/>
      <c r="CI16" s="394"/>
      <c r="CJ16" s="59"/>
      <c r="CK16" s="394"/>
      <c r="CL16" s="394"/>
      <c r="CM16" s="394"/>
      <c r="CN16" s="62" t="s">
        <v>1</v>
      </c>
      <c r="CO16" s="62" t="s">
        <v>877</v>
      </c>
      <c r="CP16" s="38"/>
      <c r="CQ16" s="2986" t="str">
        <f>IF(CS16="","","スピーカ 6W S2")</f>
        <v>スピーカ 6W S2</v>
      </c>
      <c r="CR16" s="3476"/>
      <c r="CS16" s="88">
        <f>IF(AU17=0,"",AU17)</f>
        <v>17</v>
      </c>
      <c r="CT16" s="3483" t="str">
        <f>IF(CV16="","","主増幅器")</f>
        <v/>
      </c>
      <c r="CU16" s="3484"/>
      <c r="CV16" s="88" t="str">
        <f>BM17</f>
        <v/>
      </c>
      <c r="CX16" s="8"/>
      <c r="CY16" s="197">
        <f t="shared" si="0"/>
        <v>2</v>
      </c>
      <c r="CZ16" s="197" t="str">
        <f t="shared" si="1"/>
        <v/>
      </c>
      <c r="DA16" s="10"/>
      <c r="DB16" s="8"/>
      <c r="DC16" s="249"/>
      <c r="DD16" s="515"/>
      <c r="DE16" s="514"/>
      <c r="DG16" s="8"/>
      <c r="DH16" s="197">
        <f t="shared" si="2"/>
        <v>2</v>
      </c>
      <c r="DI16" s="197" t="str">
        <f t="shared" si="3"/>
        <v/>
      </c>
      <c r="DJ16" s="10"/>
      <c r="DK16" s="8"/>
      <c r="DL16" s="249"/>
      <c r="DM16" s="515"/>
      <c r="DN16" s="514"/>
      <c r="DP16" s="8"/>
      <c r="DQ16" s="197">
        <f t="shared" si="4"/>
        <v>3</v>
      </c>
      <c r="DR16" s="197">
        <f>IF(AND(DQ16&lt;&gt;"",DV16&lt;&gt;""),DQ16,"")</f>
        <v>3</v>
      </c>
      <c r="DS16" s="10" t="str">
        <f>CQ16</f>
        <v>スピーカ 6W S2</v>
      </c>
      <c r="DT16" s="8"/>
      <c r="DU16" s="249" t="str">
        <f>IF(COUNTIF($DS$10:DS15,DS16)&gt;0,"",DS16)</f>
        <v>スピーカ 6W S2</v>
      </c>
      <c r="DV16" s="198">
        <f>CS16</f>
        <v>17</v>
      </c>
      <c r="DW16" s="514">
        <f t="shared" si="5"/>
        <v>45</v>
      </c>
    </row>
    <row r="17" spans="2:128" ht="11.25" customHeight="1" thickBot="1">
      <c r="B17" s="23"/>
      <c r="C17" s="3409" t="s">
        <v>923</v>
      </c>
      <c r="D17" s="3410"/>
      <c r="E17" s="3410"/>
      <c r="F17" s="3410"/>
      <c r="G17" s="3410"/>
      <c r="H17" s="3411"/>
      <c r="I17" s="3430" t="str">
        <f>非誘!AA16</f>
        <v>A</v>
      </c>
      <c r="J17" s="3430"/>
      <c r="K17" s="3430"/>
      <c r="L17" s="2395" t="s">
        <v>214</v>
      </c>
      <c r="M17" s="2395"/>
      <c r="N17" s="2395"/>
      <c r="O17" s="2395"/>
      <c r="P17" s="2395"/>
      <c r="Q17" s="2395"/>
      <c r="R17" s="2395"/>
      <c r="S17" s="3379">
        <f>非誘!J17</f>
        <v>0.72727272727272729</v>
      </c>
      <c r="T17" s="3380"/>
      <c r="U17" s="3380"/>
      <c r="V17" s="3381"/>
      <c r="W17" s="3399" t="s">
        <v>875</v>
      </c>
      <c r="X17" s="3412"/>
      <c r="Y17" s="3412"/>
      <c r="Z17" s="3412"/>
      <c r="AA17" s="2654"/>
      <c r="AB17" s="2654"/>
      <c r="AC17" s="2655"/>
      <c r="AD17" s="3388" t="str">
        <f>非誘!V17</f>
        <v>⑦</v>
      </c>
      <c r="AE17" s="3389"/>
      <c r="AF17" s="3390"/>
      <c r="AG17" s="3391" t="s">
        <v>874</v>
      </c>
      <c r="AH17" s="3391"/>
      <c r="AI17" s="3391"/>
      <c r="AJ17" s="3391"/>
      <c r="AK17" s="3391"/>
      <c r="AL17" s="2990" t="str">
        <f>IF(AP17&lt;&gt;"",AP17,IF(C18=$BG$10,C18,""))</f>
        <v/>
      </c>
      <c r="AM17" s="2990"/>
      <c r="AN17" s="2990"/>
      <c r="AO17" s="668" t="s">
        <v>34</v>
      </c>
      <c r="AP17" s="3325"/>
      <c r="AQ17" s="3326"/>
      <c r="AR17" s="3327"/>
      <c r="AS17" s="3418">
        <f>IF(CE18=0,"",IF(AS18&lt;&gt;"",AS18,IF(BE17&lt;&gt;"",CN19,SUM(CN17:CO17))))</f>
        <v>33</v>
      </c>
      <c r="AT17" s="3375"/>
      <c r="AU17" s="3418">
        <f>IF(CE18=0,"",IF(AU18&lt;&gt;"",AU18,CN18))</f>
        <v>17</v>
      </c>
      <c r="AV17" s="3375"/>
      <c r="AW17" s="3418"/>
      <c r="AX17" s="3375"/>
      <c r="AY17" s="3418">
        <f>IF(AA18="","",IF(AY18&lt;&gt;"",AY18,CO18))</f>
        <v>16</v>
      </c>
      <c r="AZ17" s="3375"/>
      <c r="BA17" s="3418"/>
      <c r="BB17" s="3375"/>
      <c r="BC17" s="3418">
        <f>IF(OR(AL18="不",,BP17=""),"",IF(BC18&lt;&gt;"",BC18,BP17*2))</f>
        <v>6</v>
      </c>
      <c r="BD17" s="3375"/>
      <c r="BE17" s="3418" t="str">
        <f>IF(BE18&lt;&gt;"",BE18,IF(BX15=0,"",CN19))</f>
        <v/>
      </c>
      <c r="BF17" s="3375"/>
      <c r="BG17" s="3418">
        <f>IF(AE13="不","",IF(BG18&lt;&gt;"",BG18,BP17))</f>
        <v>3</v>
      </c>
      <c r="BH17" s="3375"/>
      <c r="BI17" s="3418">
        <f>IF(CE18=0,"",CN20)</f>
        <v>16</v>
      </c>
      <c r="BJ17" s="3375"/>
      <c r="BK17" s="3374">
        <f>IF(CE18=0,"",CO20)</f>
        <v>9</v>
      </c>
      <c r="BL17" s="3375"/>
      <c r="BM17" s="3376" t="str">
        <f>IF(CE18=0,"",IF(BM18&lt;&gt;"",BM18,IF(C18=AL17,1,"")))</f>
        <v/>
      </c>
      <c r="BN17" s="3377"/>
      <c r="BO17" s="3378"/>
      <c r="BP17" s="3376">
        <f>IF(CE18=0,"",IF(OR(AE13="不",AA18="",S18=""),"",IF(BP18&lt;&gt;"",BP18,IF(AL18="要",1+INT(S18/1000),""))))</f>
        <v>3</v>
      </c>
      <c r="BQ17" s="3377"/>
      <c r="BR17" s="3378"/>
      <c r="BS17" s="3376">
        <f>IF(BS18&lt;&gt;"",BS18,BP17)</f>
        <v>3</v>
      </c>
      <c r="BT17" s="3378"/>
      <c r="BU17" s="19"/>
      <c r="BW17" s="680">
        <f>IF(AND(CS18=0,CS19=0),CS15*3,CS15*3+CS18*6+CS20*20)</f>
        <v>249</v>
      </c>
      <c r="BX17" s="102">
        <f>BY17</f>
        <v>8</v>
      </c>
      <c r="BY17" s="522">
        <f>1+INT(SUM(S18:Z18)/400)</f>
        <v>8</v>
      </c>
      <c r="BZ17" s="100" t="s">
        <v>873</v>
      </c>
      <c r="CB17" s="678">
        <f>IF($B$2=0,"",IF(CE18="=",MID(BZ18,10,3),10*(1+INT(BY17*3/10))))</f>
        <v>30</v>
      </c>
      <c r="CC17" s="10" t="s">
        <v>922</v>
      </c>
      <c r="CF17" s="106" t="s">
        <v>857</v>
      </c>
      <c r="CG17" s="136">
        <f>IF(CG16=1,INT(CD16*BY17)+BY17*10,"")</f>
        <v>428</v>
      </c>
      <c r="CH17" s="136">
        <f>IF(CG16=1,INT(CD16*CS20),"")</f>
        <v>0</v>
      </c>
      <c r="CI17" s="136">
        <f>8*SUM(BI17:BL17)</f>
        <v>200</v>
      </c>
      <c r="CJ17" s="134" t="str">
        <f>IF($AX$8=0,INT(10.7*CD15*CE15/($BF$8/1000)^2)*1.5,"")</f>
        <v/>
      </c>
      <c r="CK17" s="136">
        <v>0</v>
      </c>
      <c r="CL17" s="136">
        <f>IF(BP17="","",10*BP17)</f>
        <v>30</v>
      </c>
      <c r="CM17" s="136">
        <f>IF(BS17="","",10*BS17)</f>
        <v>30</v>
      </c>
      <c r="CN17" s="665">
        <f>IF(AA18="",0,IF(AE13="不","",INT(AA18/2)))</f>
        <v>17</v>
      </c>
      <c r="CO17" s="665">
        <f>IF(AN13="不","",INT(AD18/2))</f>
        <v>16</v>
      </c>
      <c r="CP17" s="670" t="s">
        <v>921</v>
      </c>
      <c r="CQ17" s="2986" t="str">
        <f>IF(CS17="","","スピーカ 5W S4")</f>
        <v/>
      </c>
      <c r="CR17" s="3476"/>
      <c r="CS17" s="88" t="str">
        <f>IF(BA17=0,"",BA17)</f>
        <v/>
      </c>
      <c r="CT17" s="3483" t="str">
        <f>IF(CV17="","","副増幅器 30W")</f>
        <v>副増幅器 30W</v>
      </c>
      <c r="CU17" s="3484"/>
      <c r="CV17" s="88">
        <f>BP17</f>
        <v>3</v>
      </c>
      <c r="CX17" s="8"/>
      <c r="CY17" s="197">
        <f t="shared" si="0"/>
        <v>2</v>
      </c>
      <c r="CZ17" s="197" t="str">
        <f t="shared" si="1"/>
        <v/>
      </c>
      <c r="DA17" s="10"/>
      <c r="DB17" s="8"/>
      <c r="DC17" s="249"/>
      <c r="DD17" s="515"/>
      <c r="DE17" s="514"/>
      <c r="DG17" s="8"/>
      <c r="DH17" s="197">
        <f t="shared" si="2"/>
        <v>2</v>
      </c>
      <c r="DI17" s="197" t="str">
        <f t="shared" si="3"/>
        <v/>
      </c>
      <c r="DJ17" s="10"/>
      <c r="DK17" s="8"/>
      <c r="DL17" s="249"/>
      <c r="DM17" s="515"/>
      <c r="DN17" s="514"/>
      <c r="DP17" s="8"/>
      <c r="DQ17" s="197">
        <f t="shared" si="4"/>
        <v>3</v>
      </c>
      <c r="DR17" s="197" t="str">
        <f>IF(AND(DQ17&lt;&gt;"",DV17&lt;&gt;""),DQ17,"")</f>
        <v/>
      </c>
      <c r="DS17" s="10" t="str">
        <f>CQ17</f>
        <v/>
      </c>
      <c r="DT17" s="8"/>
      <c r="DU17" s="249" t="str">
        <f>IF(COUNTIF($DS$10:DS16,DS17)&gt;0,"",DS17)</f>
        <v/>
      </c>
      <c r="DV17" s="198" t="str">
        <f>CS17</f>
        <v/>
      </c>
      <c r="DW17" s="514">
        <f t="shared" si="5"/>
        <v>5</v>
      </c>
    </row>
    <row r="18" spans="2:128" ht="11.25" customHeight="1" thickBot="1">
      <c r="B18" s="23"/>
      <c r="C18" s="3429" t="str">
        <f>IF($B$2=0,"",非誘!C18)</f>
        <v xml:space="preserve"> B2F</v>
      </c>
      <c r="D18" s="3407"/>
      <c r="E18" s="3407"/>
      <c r="F18" s="3430">
        <f>IF($B$2=0,"",非誘!F18)</f>
        <v>5</v>
      </c>
      <c r="G18" s="3430"/>
      <c r="H18" s="3430"/>
      <c r="I18" s="3430"/>
      <c r="J18" s="3430" t="str">
        <f>IF($B$2=0,"",非誘!J18)</f>
        <v>直天</v>
      </c>
      <c r="K18" s="3430"/>
      <c r="L18" s="3430"/>
      <c r="M18" s="3430"/>
      <c r="N18" s="3407">
        <f>IF($B$2=0,"",非誘!N18)</f>
        <v>3168</v>
      </c>
      <c r="O18" s="3407"/>
      <c r="P18" s="3407"/>
      <c r="Q18" s="3407"/>
      <c r="R18" s="3407"/>
      <c r="S18" s="3431">
        <f>IF($B$2=0,"",非誘!S18)</f>
        <v>2534.4</v>
      </c>
      <c r="T18" s="3431"/>
      <c r="U18" s="3431"/>
      <c r="V18" s="3431"/>
      <c r="W18" s="3431">
        <f>IF($B$2=0,"",非誘!W18)</f>
        <v>633.59999999999991</v>
      </c>
      <c r="X18" s="3431"/>
      <c r="Y18" s="3431"/>
      <c r="Z18" s="3431"/>
      <c r="AA18" s="3407">
        <f>IF($B$2=0,"",非誘!AA18)</f>
        <v>34</v>
      </c>
      <c r="AB18" s="3407"/>
      <c r="AC18" s="3407"/>
      <c r="AD18" s="3407">
        <f>IF($B$2=0,"",非誘!AD18)</f>
        <v>32</v>
      </c>
      <c r="AE18" s="3407"/>
      <c r="AF18" s="3407"/>
      <c r="AG18" s="3391" t="s">
        <v>920</v>
      </c>
      <c r="AH18" s="3391"/>
      <c r="AI18" s="3391"/>
      <c r="AJ18" s="3391"/>
      <c r="AK18" s="3391"/>
      <c r="AL18" s="2990" t="str">
        <f>IF(AP18&lt;&gt;"",AP18,IF(BY15="要","要",""))</f>
        <v>要</v>
      </c>
      <c r="AM18" s="2990"/>
      <c r="AN18" s="2990"/>
      <c r="AO18" s="668" t="s">
        <v>34</v>
      </c>
      <c r="AP18" s="3408"/>
      <c r="AQ18" s="3408"/>
      <c r="AR18" s="3408"/>
      <c r="AS18" s="2551"/>
      <c r="AT18" s="3414"/>
      <c r="AU18" s="2551"/>
      <c r="AV18" s="3414"/>
      <c r="AW18" s="2551"/>
      <c r="AX18" s="3414"/>
      <c r="AY18" s="2551"/>
      <c r="AZ18" s="3414"/>
      <c r="BA18" s="2551"/>
      <c r="BB18" s="3414"/>
      <c r="BC18" s="2551"/>
      <c r="BD18" s="3414"/>
      <c r="BE18" s="2551"/>
      <c r="BF18" s="3414"/>
      <c r="BG18" s="2551"/>
      <c r="BH18" s="3414"/>
      <c r="BI18" s="2551"/>
      <c r="BJ18" s="3414"/>
      <c r="BK18" s="2551"/>
      <c r="BL18" s="3414"/>
      <c r="BM18" s="2551"/>
      <c r="BN18" s="3428"/>
      <c r="BO18" s="3414"/>
      <c r="BP18" s="2551"/>
      <c r="BQ18" s="3428"/>
      <c r="BR18" s="3414"/>
      <c r="BS18" s="2551"/>
      <c r="BT18" s="3414"/>
      <c r="BU18" s="19"/>
      <c r="BW18" s="102"/>
      <c r="BX18" s="135"/>
      <c r="BY18" s="677">
        <f>IF(CE18=0,0,IF(CE18="=",BY17+BY27,IF(CE18="-",BY17,BY17+BY27)))</f>
        <v>8</v>
      </c>
      <c r="BZ18" s="3443" t="str">
        <f>IF(CE18=0,"",IF(BY18*3&lt;=20,"HP 1.2mm- 10Pr",IF(BY18*3&lt;=30,"HP 1.2mm- 15Pr",IF(BY18*3&lt;=40,"HP 1.2mm- 20Pr",IF(BY18*3&lt;=50,"HP 1.2mm- 25Pr",IF(BY18*3&lt;=60,"HP 1.2mm- 30Pr",IF(BY18*3&lt;=80,"HP 1.2mm- 40Pr",IF(BY18*3&lt;=100,"HP 1.2mm- 50Pr",IF(BY18*3&lt;=150,"HP 1.2mm- 75Pr", IF(BY18*3&lt;=200,"HP 1.2mm-100Pr",IF(BY18*3&lt;=400,"HP 1.2mm-200Pr","")))))))))))</f>
        <v>HP 1.2mm- 15Pr</v>
      </c>
      <c r="CA18" s="3444"/>
      <c r="CB18" s="3444"/>
      <c r="CC18" s="3445"/>
      <c r="CD18" s="673" t="str">
        <f>IF(LEFT($BG$10,2)=" B",-MID($BG$10,3,1),LEFT($BG$10,3))</f>
        <v xml:space="preserve">  1</v>
      </c>
      <c r="CE18" s="676" t="str">
        <f>IF(CD19=0,0,IF(CD18=CD19,"=",IF(CD18&gt;CD19,"-","+")))</f>
        <v>-</v>
      </c>
      <c r="CF18" s="106" t="s">
        <v>856</v>
      </c>
      <c r="CG18" s="136">
        <f>2*INT((F18-$Y$10/1000-0.25))</f>
        <v>6</v>
      </c>
      <c r="CH18" s="136">
        <f>1+INT((F18-$Y$7/1000-0.25)*CS20)</f>
        <v>1</v>
      </c>
      <c r="CI18" s="136">
        <f>INT((F18-$Y$8/1000-0.25)*SUM(BI17:BL17))</f>
        <v>86</v>
      </c>
      <c r="CJ18" s="675"/>
      <c r="CK18" s="136">
        <v>0</v>
      </c>
      <c r="CL18" s="136">
        <f>IF(BP17="","",INT((F18-$Y$9/1000-0.25)*BP17))</f>
        <v>13</v>
      </c>
      <c r="CM18" s="136">
        <f>IF(BS17="","",INT((F18-$Y$9/1000-0.25)*BS17))</f>
        <v>13</v>
      </c>
      <c r="CN18" s="665">
        <f>IF(AA18="",0,IF(AE13="不","",INT(AA18/2)))</f>
        <v>17</v>
      </c>
      <c r="CO18" s="665">
        <f>IF(AN13="不","",INT(AD18/2))</f>
        <v>16</v>
      </c>
      <c r="CP18" s="670" t="s">
        <v>919</v>
      </c>
      <c r="CQ18" s="15"/>
      <c r="CR18" s="106" t="s">
        <v>868</v>
      </c>
      <c r="CS18" s="8">
        <f>SUM(CS16:CS17)</f>
        <v>17</v>
      </c>
      <c r="CT18" s="3483" t="str">
        <f>IF(CV18="","","カットリレー")</f>
        <v>カットリレー</v>
      </c>
      <c r="CU18" s="3484"/>
      <c r="CV18" s="88">
        <f>BS17</f>
        <v>3</v>
      </c>
      <c r="CY18" s="197">
        <f t="shared" si="0"/>
        <v>2</v>
      </c>
      <c r="CZ18" s="197" t="str">
        <f t="shared" si="1"/>
        <v/>
      </c>
      <c r="DB18" s="24"/>
      <c r="DD18" s="516"/>
      <c r="DE18" s="516"/>
      <c r="DH18" s="197">
        <f t="shared" si="2"/>
        <v>2</v>
      </c>
      <c r="DI18" s="197" t="str">
        <f t="shared" si="3"/>
        <v/>
      </c>
      <c r="DK18" s="24"/>
      <c r="DM18" s="516"/>
      <c r="DN18" s="516"/>
      <c r="DQ18" s="197">
        <f t="shared" si="4"/>
        <v>4</v>
      </c>
      <c r="DR18" s="197">
        <f t="shared" ref="DR18:DR25" si="6">IF(AND(DQ18&lt;&gt;"",DU18&lt;&gt;""),DQ18,"")</f>
        <v>4</v>
      </c>
      <c r="DS18" s="10" t="str">
        <f>CQ19</f>
        <v>プロセニアム・スピーカ 20W</v>
      </c>
      <c r="DT18" s="24"/>
      <c r="DU18" s="249" t="str">
        <f>IF(COUNTIF($DS$10:DS17,DS18)&gt;0,"",DS18)</f>
        <v>プロセニアム・スピーカ 20W</v>
      </c>
      <c r="DV18" s="198">
        <f>CS19</f>
        <v>6</v>
      </c>
      <c r="DW18" s="514">
        <f t="shared" si="5"/>
        <v>6</v>
      </c>
    </row>
    <row r="19" spans="2:128" ht="11.25" customHeight="1" thickBot="1">
      <c r="B19" s="23"/>
      <c r="C19" s="2300" t="s">
        <v>867</v>
      </c>
      <c r="D19" s="2301"/>
      <c r="E19" s="2301"/>
      <c r="F19" s="2301"/>
      <c r="G19" s="2302"/>
      <c r="H19" s="3422" t="str">
        <f>IF(CE18=0,"",IF(R19&lt;&gt;"",R19,BZ18))</f>
        <v>HP 1.2mm- 15Pr</v>
      </c>
      <c r="I19" s="3423"/>
      <c r="J19" s="3423"/>
      <c r="K19" s="3423"/>
      <c r="L19" s="3423"/>
      <c r="M19" s="3423"/>
      <c r="N19" s="3423"/>
      <c r="O19" s="3423"/>
      <c r="P19" s="3424"/>
      <c r="Q19" s="668" t="s">
        <v>34</v>
      </c>
      <c r="R19" s="3362"/>
      <c r="S19" s="3363"/>
      <c r="T19" s="3363"/>
      <c r="U19" s="3363"/>
      <c r="V19" s="3363"/>
      <c r="W19" s="3363"/>
      <c r="X19" s="3363"/>
      <c r="Y19" s="3363"/>
      <c r="Z19" s="3364"/>
      <c r="AA19" s="3345" t="s">
        <v>866</v>
      </c>
      <c r="AB19" s="3346"/>
      <c r="AC19" s="3346"/>
      <c r="AD19" s="3346"/>
      <c r="AE19" s="3347"/>
      <c r="AF19" s="3385">
        <f>IF(CE18=0,"",IF(AK19&lt;&gt;"",AK19,CG20+CI20))</f>
        <v>8</v>
      </c>
      <c r="AG19" s="3386"/>
      <c r="AH19" s="3386"/>
      <c r="AI19" s="3387"/>
      <c r="AJ19" s="669" t="s">
        <v>34</v>
      </c>
      <c r="AK19" s="3468"/>
      <c r="AL19" s="3469"/>
      <c r="AM19" s="3469"/>
      <c r="AN19" s="3469"/>
      <c r="AO19" s="2300" t="s">
        <v>865</v>
      </c>
      <c r="AP19" s="2301"/>
      <c r="AQ19" s="2301"/>
      <c r="AR19" s="2301"/>
      <c r="AS19" s="2302"/>
      <c r="AT19" s="3422" t="str">
        <f>IF(CE18=0,"",IF(BA19&lt;&gt;"",BA19,IF(MID(AG16,4,2)="C ","C-"&amp;CA19&amp;"mm",IF(MID(AG16,4,2)="PF","PF-D-"&amp;CB19&amp;"mm",IF(MID(AG16,4,2)="CD","CD-"&amp;CB19&amp;"mm",IF(MID(AG16,4,2)="G ","G-"&amp;CB19&amp;"mm",""))))))</f>
        <v>C-31mm</v>
      </c>
      <c r="AU19" s="3423"/>
      <c r="AV19" s="3423"/>
      <c r="AW19" s="3423"/>
      <c r="AX19" s="3423"/>
      <c r="AY19" s="3424"/>
      <c r="AZ19" s="668" t="s">
        <v>34</v>
      </c>
      <c r="BA19" s="3362"/>
      <c r="BB19" s="3363"/>
      <c r="BC19" s="3363"/>
      <c r="BD19" s="3363"/>
      <c r="BE19" s="3363"/>
      <c r="BF19" s="3364"/>
      <c r="BG19" s="3345" t="s">
        <v>864</v>
      </c>
      <c r="BH19" s="3346"/>
      <c r="BI19" s="3346"/>
      <c r="BJ19" s="3346"/>
      <c r="BK19" s="3347"/>
      <c r="BL19" s="3385">
        <f>IF(CE18=0,"",IF(CM20=0,"",IF(BQ19&lt;&gt;"",BQ19,CK20+CM20)))</f>
        <v>5</v>
      </c>
      <c r="BM19" s="3386"/>
      <c r="BN19" s="3386"/>
      <c r="BO19" s="3387"/>
      <c r="BP19" s="668" t="s">
        <v>34</v>
      </c>
      <c r="BQ19" s="3415"/>
      <c r="BR19" s="3416"/>
      <c r="BS19" s="3416"/>
      <c r="BT19" s="3417"/>
      <c r="BU19" s="19"/>
      <c r="BW19" s="102"/>
      <c r="BZ19" s="107" t="str">
        <f>IF(LEN(BZ18)=13,MID(BZ18,10,2),MID(BZ18,10,3))</f>
        <v xml:space="preserve"> 15</v>
      </c>
      <c r="CA19" s="674" t="str">
        <f>IF(OR(BZ19=" 10",BZ19=" 15"),"31",IF(OR(BZ19=" 20",BZ19=" 25",BZ19=" 30"),"39",IF(OR(BZ19=" 40",BZ19=" 50"),"51",IF(BZ19="100","63",IF(BZ19&lt;="200","75","")))))</f>
        <v>31</v>
      </c>
      <c r="CB19" s="674" t="str">
        <f>IF(OR(BZ19=" 10",BZ19=" 15"),"28",IF(OR(BZ19=" 20",BZ19=" 25",BZ19=" 30"),"36",IF(OR(BZ19=" 40",BZ19=" 50"),"42",IF(BZ19="100","54",IF(BZ19&lt;="200","70","")))))</f>
        <v>28</v>
      </c>
      <c r="CC19" s="688"/>
      <c r="CD19" s="673">
        <f>IF(C18="",0,IF(LEFT(C18,2)=" B",-MID(C18,3,1),LEFT(C18,3)))</f>
        <v>-2</v>
      </c>
      <c r="CF19" s="106"/>
      <c r="CG19" s="90" t="s">
        <v>918</v>
      </c>
      <c r="CH19" s="64"/>
      <c r="CI19" s="90" t="s">
        <v>918</v>
      </c>
      <c r="CJ19" s="38"/>
      <c r="CK19" s="90" t="s">
        <v>918</v>
      </c>
      <c r="CL19" s="64"/>
      <c r="CM19" s="90" t="s">
        <v>918</v>
      </c>
      <c r="CN19" s="672">
        <f>IF(S18="",0,IF(AE13="不","",INT(S18/150)))</f>
        <v>16</v>
      </c>
      <c r="CO19" s="671"/>
      <c r="CP19" s="670" t="s">
        <v>917</v>
      </c>
      <c r="CQ19" s="2986" t="str">
        <f>IF(CS19="","","プロセニアム・スピーカ 20W")</f>
        <v>プロセニアム・スピーカ 20W</v>
      </c>
      <c r="CR19" s="3476"/>
      <c r="CS19" s="88">
        <f>IF(BC17=0,"",BC17)</f>
        <v>6</v>
      </c>
      <c r="CT19" s="9"/>
      <c r="CU19" s="46"/>
      <c r="CV19" s="111"/>
      <c r="CY19" s="197">
        <f t="shared" si="0"/>
        <v>2</v>
      </c>
      <c r="CZ19" s="197" t="str">
        <f t="shared" si="1"/>
        <v/>
      </c>
      <c r="DB19" s="24"/>
      <c r="DD19" s="516"/>
      <c r="DE19" s="516"/>
      <c r="DH19" s="197">
        <f t="shared" si="2"/>
        <v>2</v>
      </c>
      <c r="DI19" s="197" t="str">
        <f t="shared" si="3"/>
        <v/>
      </c>
      <c r="DK19" s="24"/>
      <c r="DM19" s="516"/>
      <c r="DN19" s="516"/>
      <c r="DQ19" s="197">
        <f t="shared" si="4"/>
        <v>5</v>
      </c>
      <c r="DR19" s="197">
        <f t="shared" si="6"/>
        <v>5</v>
      </c>
      <c r="DS19" s="201" t="str">
        <f>CQ20</f>
        <v>ソノライン・スピーカ 20W</v>
      </c>
      <c r="DT19" s="24"/>
      <c r="DU19" s="249" t="str">
        <f>IF(COUNTIF($DS$10:DS18,DS19)&gt;0,"",DS19)</f>
        <v>ソノライン・スピーカ 20W</v>
      </c>
      <c r="DV19" s="198">
        <f>CS20</f>
        <v>0</v>
      </c>
      <c r="DW19" s="514">
        <f t="shared" si="5"/>
        <v>23</v>
      </c>
    </row>
    <row r="20" spans="2:128" ht="11.25" customHeight="1" thickBot="1">
      <c r="B20" s="23"/>
      <c r="C20" s="2300" t="s">
        <v>861</v>
      </c>
      <c r="D20" s="2301"/>
      <c r="E20" s="2301"/>
      <c r="F20" s="2301"/>
      <c r="G20" s="2302"/>
      <c r="H20" s="3422" t="str">
        <f>IF(CE18=0,"",IF(R20&lt;&gt;"",R20,"HP 1.2mm-3C"))</f>
        <v>HP 1.2mm-3C</v>
      </c>
      <c r="I20" s="3423"/>
      <c r="J20" s="3423"/>
      <c r="K20" s="3423"/>
      <c r="L20" s="3423"/>
      <c r="M20" s="3423"/>
      <c r="N20" s="3423"/>
      <c r="O20" s="3423"/>
      <c r="P20" s="3424"/>
      <c r="Q20" s="668" t="s">
        <v>34</v>
      </c>
      <c r="R20" s="3362"/>
      <c r="S20" s="3363"/>
      <c r="T20" s="3363"/>
      <c r="U20" s="3363"/>
      <c r="V20" s="3363"/>
      <c r="W20" s="3363"/>
      <c r="X20" s="3363"/>
      <c r="Y20" s="3363"/>
      <c r="Z20" s="3364"/>
      <c r="AA20" s="3348" t="s">
        <v>113</v>
      </c>
      <c r="AB20" s="3349"/>
      <c r="AC20" s="3349"/>
      <c r="AD20" s="3349"/>
      <c r="AE20" s="3350"/>
      <c r="AF20" s="3385">
        <f>IF(CE18=0,"",IF(AK20&lt;&gt;"",AK20,SUM(CN14:CN15)))</f>
        <v>1330</v>
      </c>
      <c r="AG20" s="3386"/>
      <c r="AH20" s="3386"/>
      <c r="AI20" s="3387"/>
      <c r="AJ20" s="669" t="s">
        <v>34</v>
      </c>
      <c r="AK20" s="3468"/>
      <c r="AL20" s="3469"/>
      <c r="AM20" s="3469"/>
      <c r="AN20" s="3469"/>
      <c r="AO20" s="2300" t="s">
        <v>860</v>
      </c>
      <c r="AP20" s="2301"/>
      <c r="AQ20" s="2301"/>
      <c r="AR20" s="2301"/>
      <c r="AS20" s="2302"/>
      <c r="AT20" s="3422" t="str">
        <f>IF(CE18=0,"",IF(BA20&lt;&gt;"",BA20,IF(MID(AG16,4,2)="C ","C-19mm",IF(MID(AG16,4,2)="PF","PF-D-16mm",IF(MID(AG16,4,2)="CD","CD-16mm",IF(MID(AG16,4,2)="G ","G-16mm","C-19mm"))))))</f>
        <v>C-19mm</v>
      </c>
      <c r="AU20" s="3423"/>
      <c r="AV20" s="3423"/>
      <c r="AW20" s="3423"/>
      <c r="AX20" s="3423"/>
      <c r="AY20" s="3424"/>
      <c r="AZ20" s="668" t="s">
        <v>34</v>
      </c>
      <c r="BA20" s="3362"/>
      <c r="BB20" s="3363"/>
      <c r="BC20" s="3363"/>
      <c r="BD20" s="3363"/>
      <c r="BE20" s="3363"/>
      <c r="BF20" s="3364"/>
      <c r="BG20" s="3348" t="s">
        <v>113</v>
      </c>
      <c r="BH20" s="3349"/>
      <c r="BI20" s="3349"/>
      <c r="BJ20" s="3349"/>
      <c r="BK20" s="3350"/>
      <c r="BL20" s="3385">
        <f>IF(CE18=0,"",IF(BQ20&lt;&gt;"",BQ20,SUM(CO14:CO15)))</f>
        <v>807</v>
      </c>
      <c r="BM20" s="3386"/>
      <c r="BN20" s="3386"/>
      <c r="BO20" s="3387"/>
      <c r="BP20" s="668" t="s">
        <v>34</v>
      </c>
      <c r="BQ20" s="3425"/>
      <c r="BR20" s="3426"/>
      <c r="BS20" s="3426"/>
      <c r="BT20" s="3427"/>
      <c r="BU20" s="19"/>
      <c r="BW20" s="102"/>
      <c r="CF20" s="106" t="s">
        <v>859</v>
      </c>
      <c r="CG20" s="184">
        <f>IF(CE18="=",CD16,0)</f>
        <v>0</v>
      </c>
      <c r="CH20" s="667" t="s">
        <v>858</v>
      </c>
      <c r="CI20" s="184">
        <f>F18+2*$AN$7/1000</f>
        <v>8</v>
      </c>
      <c r="CJ20" s="666" t="s">
        <v>857</v>
      </c>
      <c r="CK20" s="184">
        <f>IF(CG16=1,CG20,0)</f>
        <v>0</v>
      </c>
      <c r="CL20" s="666" t="s">
        <v>856</v>
      </c>
      <c r="CM20" s="184">
        <f>IF(CG16=1,F18,0)</f>
        <v>5</v>
      </c>
      <c r="CN20" s="665">
        <f>INT(AS17/2)</f>
        <v>16</v>
      </c>
      <c r="CO20" s="665">
        <f>IF(AU17="","",1+INT(AU17/2))</f>
        <v>9</v>
      </c>
      <c r="CP20" s="670" t="s">
        <v>907</v>
      </c>
      <c r="CQ20" s="3477" t="str">
        <f>IF(CS20="","","ソノライン・スピーカ 20W")</f>
        <v>ソノライン・スピーカ 20W</v>
      </c>
      <c r="CR20" s="3478"/>
      <c r="CS20" s="222">
        <f>IF(BE17="",0,BE17)</f>
        <v>0</v>
      </c>
      <c r="CT20" s="155"/>
      <c r="CU20" s="148"/>
      <c r="CV20" s="148"/>
      <c r="CY20" s="197">
        <f t="shared" si="0"/>
        <v>2</v>
      </c>
      <c r="CZ20" s="197" t="str">
        <f t="shared" si="1"/>
        <v/>
      </c>
      <c r="DB20" s="24"/>
      <c r="DD20" s="516"/>
      <c r="DE20" s="516"/>
      <c r="DH20" s="197">
        <f t="shared" si="2"/>
        <v>2</v>
      </c>
      <c r="DI20" s="197" t="str">
        <f t="shared" si="3"/>
        <v/>
      </c>
      <c r="DK20" s="24"/>
      <c r="DM20" s="516"/>
      <c r="DN20" s="516"/>
      <c r="DQ20" s="197">
        <f t="shared" si="4"/>
        <v>6</v>
      </c>
      <c r="DR20" s="197">
        <f t="shared" si="6"/>
        <v>6</v>
      </c>
      <c r="DS20" s="10" t="str">
        <f t="shared" ref="DS20:DS25" si="7">CT13</f>
        <v>マイクロホン</v>
      </c>
      <c r="DT20" s="24"/>
      <c r="DU20" s="249" t="str">
        <f>IF(COUNTIF($DS$10:DS19,DS20)&gt;0,"",DS20)</f>
        <v>マイクロホン</v>
      </c>
      <c r="DV20" s="198">
        <f t="shared" ref="DV20:DV25" si="8">CV13</f>
        <v>3</v>
      </c>
      <c r="DW20" s="514">
        <f t="shared" si="5"/>
        <v>3</v>
      </c>
    </row>
    <row r="21" spans="2:128" ht="11.25" customHeight="1">
      <c r="B21" s="23"/>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19"/>
      <c r="BW21" s="102"/>
      <c r="BX21" s="111"/>
      <c r="CF21" s="102"/>
      <c r="CG21" s="15"/>
      <c r="CH21" s="15"/>
      <c r="CI21" s="15"/>
      <c r="CJ21" s="15"/>
      <c r="CK21" s="15"/>
      <c r="CL21" s="15"/>
      <c r="CM21" s="15" t="s">
        <v>1006</v>
      </c>
      <c r="CN21" s="15"/>
      <c r="CO21" s="15"/>
      <c r="CP21" s="15"/>
      <c r="CQ21" s="2986" t="str">
        <f>IF(CS21="","","スピーカ 3W S1")</f>
        <v>スピーカ 3W S1</v>
      </c>
      <c r="CR21" s="3476"/>
      <c r="CS21" s="88">
        <f>IF(AS26=0,"",AS26)</f>
        <v>19</v>
      </c>
      <c r="CT21" s="9"/>
      <c r="CX21" s="88">
        <v>2</v>
      </c>
      <c r="CY21" s="204"/>
      <c r="CZ21" s="155"/>
      <c r="DA21" s="45"/>
      <c r="DB21" s="45"/>
      <c r="DC21" s="45" t="s">
        <v>916</v>
      </c>
      <c r="DD21" s="45"/>
      <c r="DE21" s="45" t="s">
        <v>915</v>
      </c>
      <c r="DG21" s="88">
        <v>2</v>
      </c>
      <c r="DH21" s="204"/>
      <c r="DI21" s="155"/>
      <c r="DJ21" s="45"/>
      <c r="DK21" s="45"/>
      <c r="DL21" s="45" t="s">
        <v>916</v>
      </c>
      <c r="DM21" s="45"/>
      <c r="DN21" s="45" t="s">
        <v>915</v>
      </c>
      <c r="DQ21" s="197">
        <f t="shared" si="4"/>
        <v>7</v>
      </c>
      <c r="DR21" s="197">
        <f t="shared" si="6"/>
        <v>7</v>
      </c>
      <c r="DS21" s="10" t="str">
        <f t="shared" si="7"/>
        <v>アッテネータ 3W</v>
      </c>
      <c r="DT21" s="24"/>
      <c r="DU21" s="249" t="str">
        <f>IF(COUNTIF($DS$10:DS20,DS21)&gt;0,"",DS21)</f>
        <v>アッテネータ 3W</v>
      </c>
      <c r="DV21" s="198">
        <f t="shared" si="8"/>
        <v>16</v>
      </c>
      <c r="DW21" s="514">
        <f t="shared" si="5"/>
        <v>78</v>
      </c>
    </row>
    <row r="22" spans="2:128" ht="11.25" customHeight="1" thickBot="1">
      <c r="B22" s="23"/>
      <c r="C22" s="2299" t="s">
        <v>16</v>
      </c>
      <c r="D22" s="2299"/>
      <c r="E22" s="2299"/>
      <c r="F22" s="2299" t="s">
        <v>22</v>
      </c>
      <c r="G22" s="2299"/>
      <c r="H22" s="2299"/>
      <c r="I22" s="2299"/>
      <c r="J22" s="2299" t="s">
        <v>5</v>
      </c>
      <c r="K22" s="2299"/>
      <c r="L22" s="2299"/>
      <c r="M22" s="2299"/>
      <c r="N22" s="2299" t="s">
        <v>6</v>
      </c>
      <c r="O22" s="2299"/>
      <c r="P22" s="2299"/>
      <c r="Q22" s="2299"/>
      <c r="R22" s="2299"/>
      <c r="S22" s="2299" t="str">
        <f>IF(U25="","放送設備 "&amp;RIGHT($D$9,2),U25)</f>
        <v xml:space="preserve">放送設備 </v>
      </c>
      <c r="T22" s="2299"/>
      <c r="U22" s="2299"/>
      <c r="V22" s="2299"/>
      <c r="W22" s="2299"/>
      <c r="X22" s="2299"/>
      <c r="Y22" s="2299"/>
      <c r="Z22" s="2299"/>
      <c r="AA22" s="3382" t="s">
        <v>7</v>
      </c>
      <c r="AB22" s="3382"/>
      <c r="AC22" s="3382"/>
      <c r="AD22" s="3382"/>
      <c r="AE22" s="2630" t="str">
        <f>IF(S27="","",IF(AH22&lt;&gt;"",AH22,IF(RIGHT($D$10,2)="不要","不","要")))</f>
        <v>要</v>
      </c>
      <c r="AF22" s="2630"/>
      <c r="AG22" s="668" t="s">
        <v>68</v>
      </c>
      <c r="AH22" s="2632"/>
      <c r="AI22" s="2633"/>
      <c r="AJ22" s="3371" t="s">
        <v>913</v>
      </c>
      <c r="AK22" s="3372"/>
      <c r="AL22" s="3372"/>
      <c r="AM22" s="3373"/>
      <c r="AN22" s="3383" t="str">
        <f>IF(W27="","",IF(AQ22&lt;&gt;"",AQ22,IF(RIGHT($D$10,2)="設置","要","不")))</f>
        <v>要</v>
      </c>
      <c r="AO22" s="3384"/>
      <c r="AP22" s="668" t="s">
        <v>68</v>
      </c>
      <c r="AQ22" s="2632"/>
      <c r="AR22" s="2633"/>
      <c r="AS22" s="3399" t="s">
        <v>912</v>
      </c>
      <c r="AT22" s="3412"/>
      <c r="AU22" s="3412"/>
      <c r="AV22" s="3412"/>
      <c r="AW22" s="3412"/>
      <c r="AX22" s="3412"/>
      <c r="AY22" s="3412"/>
      <c r="AZ22" s="3412"/>
      <c r="BA22" s="3412"/>
      <c r="BB22" s="3412"/>
      <c r="BC22" s="3412"/>
      <c r="BD22" s="3412"/>
      <c r="BE22" s="3412"/>
      <c r="BF22" s="3412"/>
      <c r="BG22" s="3412"/>
      <c r="BH22" s="3413"/>
      <c r="BI22" s="3399" t="s">
        <v>983</v>
      </c>
      <c r="BJ22" s="3412"/>
      <c r="BK22" s="3412"/>
      <c r="BL22" s="3413"/>
      <c r="BM22" s="3360" t="s">
        <v>1005</v>
      </c>
      <c r="BN22" s="3419"/>
      <c r="BO22" s="3419"/>
      <c r="BP22" s="3419"/>
      <c r="BQ22" s="3419"/>
      <c r="BR22" s="3361"/>
      <c r="BS22" s="3441" t="s">
        <v>1004</v>
      </c>
      <c r="BT22" s="3442"/>
      <c r="BU22" s="19"/>
      <c r="BW22" s="102"/>
      <c r="CF22" s="8"/>
      <c r="CG22" s="685" t="s">
        <v>909</v>
      </c>
      <c r="CH22" s="685" t="s">
        <v>908</v>
      </c>
      <c r="CI22" s="685" t="s">
        <v>983</v>
      </c>
      <c r="CJ22" s="686">
        <f>IF($AX$8=0,"",INT(10.7*CD24*CE24/($BF$8/1000)^2))</f>
        <v>235</v>
      </c>
      <c r="CK22" s="685" t="s">
        <v>1003</v>
      </c>
      <c r="CL22" s="685" t="s">
        <v>896</v>
      </c>
      <c r="CM22" s="685" t="s">
        <v>1002</v>
      </c>
      <c r="CN22" s="550" t="s">
        <v>734</v>
      </c>
      <c r="CO22" s="550" t="s">
        <v>732</v>
      </c>
      <c r="CP22" s="685"/>
      <c r="CQ22" s="2986" t="str">
        <f>IF(CS22="","","スピーカ 3W S3")</f>
        <v>スピーカ 3W S3</v>
      </c>
      <c r="CR22" s="3476"/>
      <c r="CS22" s="88">
        <f>IF(AY26=0,"",AY26)</f>
        <v>8</v>
      </c>
      <c r="CT22" s="3483" t="str">
        <f>IF(CV22="","","マイクロホン")</f>
        <v/>
      </c>
      <c r="CU22" s="3484"/>
      <c r="CV22" s="88" t="str">
        <f>BG26</f>
        <v/>
      </c>
      <c r="CX22" s="8"/>
      <c r="CY22" s="197">
        <f>IF(DC22&lt;&gt;"",CY20+1,CY20)</f>
        <v>3</v>
      </c>
      <c r="CZ22" s="197">
        <f t="shared" ref="CZ22:CZ29" si="9">IF(AND(CY22&lt;&gt;"",DC22&lt;&gt;""),CY22,"")</f>
        <v>3</v>
      </c>
      <c r="DA22" s="10" t="str">
        <f>H28</f>
        <v>HP 1.2mm- 25Pr</v>
      </c>
      <c r="DB22" s="8"/>
      <c r="DC22" s="249" t="str">
        <f>IF(COUNTIF($DA$10:$DA21,DA22)&gt;0,"",DA22)</f>
        <v>HP 1.2mm- 25Pr</v>
      </c>
      <c r="DD22" s="515">
        <f>AF28</f>
        <v>8</v>
      </c>
      <c r="DE22" s="514">
        <f>SUMIF($DA$13:$DA$199,DC22,$DD$13:$DD$199)</f>
        <v>15</v>
      </c>
      <c r="DG22" s="8"/>
      <c r="DH22" s="197">
        <f>IF(DL22&lt;&gt;"",DH20+1,DH20)</f>
        <v>3</v>
      </c>
      <c r="DI22" s="197">
        <f t="shared" ref="DI22:DI29" si="10">IF(AND(DH22&lt;&gt;"",DL22&lt;&gt;""),DH22,"")</f>
        <v>3</v>
      </c>
      <c r="DJ22" s="10" t="str">
        <f>AT28</f>
        <v>C-39mm</v>
      </c>
      <c r="DK22" s="8"/>
      <c r="DL22" s="249" t="str">
        <f>IF(COUNTIF($DJ$10:DJ21,DJ22)&gt;0,"",DJ22)</f>
        <v>C-39mm</v>
      </c>
      <c r="DM22" s="515">
        <f>BL28</f>
        <v>5</v>
      </c>
      <c r="DN22" s="514">
        <f>SUMIF($DJ$13:$DJ$199,DL22,$DM$13:$DM$199)</f>
        <v>21</v>
      </c>
      <c r="DQ22" s="197">
        <f t="shared" si="4"/>
        <v>8</v>
      </c>
      <c r="DR22" s="197">
        <f t="shared" si="6"/>
        <v>8</v>
      </c>
      <c r="DS22" s="10" t="str">
        <f t="shared" si="7"/>
        <v>アッテネータ 6W</v>
      </c>
      <c r="DT22" s="24"/>
      <c r="DU22" s="249" t="str">
        <f>IF(COUNTIF($DS$10:DS21,DS22)&gt;0,"",DS22)</f>
        <v>アッテネータ 6W</v>
      </c>
      <c r="DV22" s="198">
        <f t="shared" si="8"/>
        <v>9</v>
      </c>
      <c r="DW22" s="514">
        <f t="shared" si="5"/>
        <v>33</v>
      </c>
    </row>
    <row r="23" spans="2:128" ht="11.25" customHeight="1" thickBot="1">
      <c r="B23" s="23"/>
      <c r="C23" s="2299"/>
      <c r="D23" s="2299"/>
      <c r="E23" s="2299"/>
      <c r="F23" s="2396"/>
      <c r="G23" s="2396"/>
      <c r="H23" s="2396"/>
      <c r="I23" s="2396"/>
      <c r="J23" s="2396"/>
      <c r="K23" s="2396"/>
      <c r="L23" s="2396"/>
      <c r="M23" s="2396"/>
      <c r="N23" s="2396"/>
      <c r="O23" s="2396"/>
      <c r="P23" s="2396"/>
      <c r="Q23" s="2396"/>
      <c r="R23" s="2396"/>
      <c r="S23" s="2396" t="s">
        <v>7</v>
      </c>
      <c r="T23" s="2396"/>
      <c r="U23" s="2396"/>
      <c r="V23" s="2396"/>
      <c r="W23" s="2396" t="s">
        <v>8</v>
      </c>
      <c r="X23" s="2396"/>
      <c r="Y23" s="2396"/>
      <c r="Z23" s="2396"/>
      <c r="AA23" s="2384" t="s">
        <v>9</v>
      </c>
      <c r="AB23" s="2385"/>
      <c r="AC23" s="2386"/>
      <c r="AD23" s="2384" t="s">
        <v>9</v>
      </c>
      <c r="AE23" s="2385"/>
      <c r="AF23" s="2386"/>
      <c r="AG23" s="2384" t="str">
        <f>IF(AN23="","","専部屋面積")</f>
        <v>専部屋面積</v>
      </c>
      <c r="AH23" s="2385"/>
      <c r="AI23" s="2385"/>
      <c r="AJ23" s="2382"/>
      <c r="AK23" s="2382"/>
      <c r="AL23" s="2382"/>
      <c r="AM23" s="3392"/>
      <c r="AN23" s="3365">
        <f>IF(OR(C27="",$B$2=0),"",S27/AA27)</f>
        <v>475.2</v>
      </c>
      <c r="AO23" s="3366"/>
      <c r="AP23" s="3366"/>
      <c r="AQ23" s="3366"/>
      <c r="AR23" s="3367"/>
      <c r="AS23" s="2300" t="s">
        <v>903</v>
      </c>
      <c r="AT23" s="2301"/>
      <c r="AU23" s="2301"/>
      <c r="AV23" s="2301"/>
      <c r="AW23" s="2301"/>
      <c r="AX23" s="2302"/>
      <c r="AY23" s="2300" t="s">
        <v>902</v>
      </c>
      <c r="AZ23" s="2301"/>
      <c r="BA23" s="2301"/>
      <c r="BB23" s="2302"/>
      <c r="BC23" s="2300" t="s">
        <v>902</v>
      </c>
      <c r="BD23" s="2301"/>
      <c r="BE23" s="2301"/>
      <c r="BF23" s="2302"/>
      <c r="BG23" s="2300" t="s">
        <v>743</v>
      </c>
      <c r="BH23" s="2302"/>
      <c r="BI23" s="2300" t="s">
        <v>901</v>
      </c>
      <c r="BJ23" s="2301"/>
      <c r="BK23" s="2301"/>
      <c r="BL23" s="2302"/>
      <c r="BM23" s="2299" t="s">
        <v>982</v>
      </c>
      <c r="BN23" s="2299"/>
      <c r="BO23" s="2299"/>
      <c r="BP23" s="2299" t="s">
        <v>981</v>
      </c>
      <c r="BQ23" s="2299"/>
      <c r="BR23" s="2299"/>
      <c r="BS23" s="3439" t="s">
        <v>980</v>
      </c>
      <c r="BT23" s="3440"/>
      <c r="BU23" s="19"/>
      <c r="BW23" s="102"/>
      <c r="BX23" s="90" t="s">
        <v>917</v>
      </c>
      <c r="BY23" s="100" t="s">
        <v>905</v>
      </c>
      <c r="CC23" s="180">
        <v>22</v>
      </c>
      <c r="CD23" s="55" t="s">
        <v>101</v>
      </c>
      <c r="CE23" s="55" t="s">
        <v>100</v>
      </c>
      <c r="CF23" s="106" t="s">
        <v>859</v>
      </c>
      <c r="CG23" s="184">
        <f>INT((CD25+10)*BY26+CS24*$AN$8/1000+($AN$7/1000)*BY26)</f>
        <v>456</v>
      </c>
      <c r="CH23" s="184">
        <f>INT(CD25*CS29+CS29)</f>
        <v>845</v>
      </c>
      <c r="CI23" s="184">
        <f>8*SUM(BI26:BL26)</f>
        <v>88</v>
      </c>
      <c r="CJ23" s="185">
        <f>IF($AX$8=0,"",2*INT(0.5*CJ22))</f>
        <v>234</v>
      </c>
      <c r="CK23" s="184"/>
      <c r="CL23" s="184" t="str">
        <f>IF(BP26="","",10*BP26)</f>
        <v/>
      </c>
      <c r="CM23" s="184" t="str">
        <f>IF(BP26="","",10*BP26)</f>
        <v/>
      </c>
      <c r="CN23" s="682">
        <f>IF(S27="",0,IF(AE22="不","",(SUM(CG23:CM23)+SUM(CG24:CM24))*S27/N27))</f>
        <v>1766.6999999999998</v>
      </c>
      <c r="CO23" s="682">
        <f>IF(S27="",0,IF(AE22="不","",(SUM(CG26:CM26)+SUM(CG27:CM27))*S27/N27))</f>
        <v>1286.9999999999998</v>
      </c>
      <c r="CP23" s="664" t="s">
        <v>1</v>
      </c>
      <c r="CQ23" s="2986" t="str">
        <f>IF(CS23="","","スピーカ S5")</f>
        <v/>
      </c>
      <c r="CR23" s="3476"/>
      <c r="CS23" s="683" t="str">
        <f>IF(AW26=0,"",AW26)</f>
        <v/>
      </c>
      <c r="CT23" s="3483" t="str">
        <f>IF(CV23="","","アッテネータ 3W")</f>
        <v>アッテネータ 3W</v>
      </c>
      <c r="CU23" s="3484"/>
      <c r="CV23" s="88">
        <f>BI26</f>
        <v>9</v>
      </c>
      <c r="CX23" s="8"/>
      <c r="CY23" s="197">
        <f t="shared" ref="CY23:CY29" si="11">IF(DC23&lt;&gt;"",CY22+1,CY22)</f>
        <v>3</v>
      </c>
      <c r="CZ23" s="197" t="str">
        <f t="shared" si="9"/>
        <v/>
      </c>
      <c r="DA23" s="10" t="str">
        <f>H29</f>
        <v>HP 1.2mm-3C</v>
      </c>
      <c r="DB23" s="8"/>
      <c r="DC23" s="249" t="str">
        <f>IF(COUNTIF($DA$10:$DA22,DA23)&gt;0,"",DA23)</f>
        <v/>
      </c>
      <c r="DD23" s="515">
        <f>AF29</f>
        <v>1963</v>
      </c>
      <c r="DE23" s="514">
        <f>SUMIF($DA$13:$DA$199,DC23,$DD$13:$DD$199)</f>
        <v>0</v>
      </c>
      <c r="DG23" s="8"/>
      <c r="DH23" s="197">
        <f t="shared" ref="DH23:DH29" si="12">IF(DL23&lt;&gt;"",DH22+1,DH22)</f>
        <v>3</v>
      </c>
      <c r="DI23" s="197" t="str">
        <f t="shared" si="10"/>
        <v/>
      </c>
      <c r="DJ23" s="10" t="str">
        <f>AT29</f>
        <v>C-19mm</v>
      </c>
      <c r="DK23" s="8"/>
      <c r="DL23" s="249" t="str">
        <f>IF(COUNTIF($DJ$10:DJ22,DJ23)&gt;0,"",DJ23)</f>
        <v/>
      </c>
      <c r="DM23" s="515">
        <f>BL29</f>
        <v>1429.9999999999998</v>
      </c>
      <c r="DN23" s="514">
        <f>SUMIF($DJ$13:$DJ$199,DL23,$DM$13:$DM$199)</f>
        <v>0</v>
      </c>
      <c r="DQ23" s="197">
        <f t="shared" si="4"/>
        <v>8</v>
      </c>
      <c r="DR23" s="197" t="str">
        <f t="shared" si="6"/>
        <v/>
      </c>
      <c r="DS23" s="10" t="str">
        <f t="shared" si="7"/>
        <v/>
      </c>
      <c r="DT23" s="24"/>
      <c r="DU23" s="249" t="str">
        <f>IF(COUNTIF($DS$10:DS22,DS23)&gt;0,"",DV23)</f>
        <v/>
      </c>
      <c r="DV23" s="198" t="str">
        <f t="shared" si="8"/>
        <v/>
      </c>
      <c r="DW23" s="514">
        <f t="shared" si="5"/>
        <v>5</v>
      </c>
    </row>
    <row r="24" spans="2:128" ht="11.25" customHeight="1" thickBot="1">
      <c r="B24" s="23"/>
      <c r="C24" s="2396"/>
      <c r="D24" s="2396"/>
      <c r="E24" s="2396"/>
      <c r="F24" s="2397" t="s">
        <v>235</v>
      </c>
      <c r="G24" s="2397"/>
      <c r="H24" s="2397"/>
      <c r="I24" s="2397"/>
      <c r="J24" s="2397" t="s">
        <v>235</v>
      </c>
      <c r="K24" s="2397"/>
      <c r="L24" s="2397"/>
      <c r="M24" s="2397"/>
      <c r="N24" s="2397" t="s">
        <v>128</v>
      </c>
      <c r="O24" s="2397"/>
      <c r="P24" s="2397"/>
      <c r="Q24" s="2397"/>
      <c r="R24" s="2397"/>
      <c r="S24" s="2397" t="s">
        <v>128</v>
      </c>
      <c r="T24" s="2397"/>
      <c r="U24" s="2397"/>
      <c r="V24" s="2397"/>
      <c r="W24" s="2397" t="s">
        <v>128</v>
      </c>
      <c r="X24" s="2397"/>
      <c r="Y24" s="2397"/>
      <c r="Z24" s="2397"/>
      <c r="AA24" s="2397" t="s">
        <v>111</v>
      </c>
      <c r="AB24" s="2397"/>
      <c r="AC24" s="2397"/>
      <c r="AD24" s="2397" t="s">
        <v>110</v>
      </c>
      <c r="AE24" s="2397"/>
      <c r="AF24" s="2397"/>
      <c r="AG24" s="3398" t="str">
        <f>IF(AN24="","","共部屋面積")</f>
        <v>共部屋面積</v>
      </c>
      <c r="AH24" s="2382"/>
      <c r="AI24" s="2382"/>
      <c r="AJ24" s="2382"/>
      <c r="AK24" s="2382"/>
      <c r="AL24" s="2382"/>
      <c r="AM24" s="3392"/>
      <c r="AN24" s="3368">
        <f>IF(OR($B$2=0,C27=""),"",W27/AD27)</f>
        <v>19.800000000000011</v>
      </c>
      <c r="AO24" s="3369"/>
      <c r="AP24" s="3369"/>
      <c r="AQ24" s="3369"/>
      <c r="AR24" s="3370"/>
      <c r="AS24" s="3419" t="s">
        <v>895</v>
      </c>
      <c r="AT24" s="3361"/>
      <c r="AU24" s="3360" t="s">
        <v>894</v>
      </c>
      <c r="AV24" s="3361"/>
      <c r="AW24" s="3360" t="s">
        <v>893</v>
      </c>
      <c r="AX24" s="3361"/>
      <c r="AY24" s="3360" t="s">
        <v>892</v>
      </c>
      <c r="AZ24" s="3361"/>
      <c r="BA24" s="3360" t="s">
        <v>891</v>
      </c>
      <c r="BB24" s="3361"/>
      <c r="BC24" s="3360" t="s">
        <v>890</v>
      </c>
      <c r="BD24" s="3361"/>
      <c r="BE24" s="3360" t="s">
        <v>889</v>
      </c>
      <c r="BF24" s="3361"/>
      <c r="BG24" s="3432" t="s">
        <v>888</v>
      </c>
      <c r="BH24" s="3433"/>
      <c r="BI24" s="3360"/>
      <c r="BJ24" s="3361"/>
      <c r="BK24" s="3360"/>
      <c r="BL24" s="3361"/>
      <c r="BM24" s="3391" t="s">
        <v>887</v>
      </c>
      <c r="BN24" s="3391"/>
      <c r="BO24" s="3391"/>
      <c r="BP24" s="3391" t="s">
        <v>887</v>
      </c>
      <c r="BQ24" s="3391"/>
      <c r="BR24" s="3391"/>
      <c r="BS24" s="3432" t="s">
        <v>744</v>
      </c>
      <c r="BT24" s="3433"/>
      <c r="BU24" s="19"/>
      <c r="BW24" s="102"/>
      <c r="BX24" s="88">
        <f>IF(OR(J25="( 10)",J25="(12)イ",LEFT(J25,4)="(13)"),1,0)</f>
        <v>1</v>
      </c>
      <c r="BY24" s="88" t="str">
        <f>IF(OR(J25="(1) ロ",J25="(2) ロ",J25="(2) ニ",J25="(5) イ",J25="(6) ハ",J25="(6) ニ",J25="( 7 )",J25="( 15)"),"要","")</f>
        <v/>
      </c>
      <c r="CC24" s="46">
        <v>2</v>
      </c>
      <c r="CD24" s="98">
        <f>非誘!BW24</f>
        <v>24</v>
      </c>
      <c r="CE24" s="98">
        <f>非誘!BX24</f>
        <v>33</v>
      </c>
      <c r="CF24" s="106" t="s">
        <v>858</v>
      </c>
      <c r="CG24" s="185">
        <f>INT((F27-$Y$10/1000-0.25)*BY26)</f>
        <v>30</v>
      </c>
      <c r="CH24" s="184">
        <f>1+INT((F27-$Y$7/1000-0.25+$AN$8/1000)*CS29)</f>
        <v>57</v>
      </c>
      <c r="CI24" s="184">
        <f>INT((F27-$Y$8/1000-0.25+$AN$9/1000)*SUM(BI26:BL26))</f>
        <v>43</v>
      </c>
      <c r="CJ24" s="185">
        <f>IF($AX$8=0,"",2*INT(CJ22*($AX$8-250)/1000))</f>
        <v>210</v>
      </c>
      <c r="CK24" s="184"/>
      <c r="CL24" s="184" t="str">
        <f>IF(BP26="","",INT((F27-$Y$9/1000-0.25+AN18/1000)*BP26))</f>
        <v/>
      </c>
      <c r="CM24" s="184" t="str">
        <f>IF(BS26="","",INT((F27-$Y$9/1000-0.25+AN18/1000)*BS26))</f>
        <v/>
      </c>
      <c r="CN24" s="682">
        <f>IF(AN22="不","",(SUM(CG23:CM23)+SUM(CG24:CM24))*W27/N27)</f>
        <v>196.30000000000013</v>
      </c>
      <c r="CO24" s="682">
        <f>IF(AN22="不","",(SUM(CG26:CM26)+SUM(CG27:CM27))*W27/N27)</f>
        <v>143.00000000000009</v>
      </c>
      <c r="CP24" s="670" t="s">
        <v>877</v>
      </c>
      <c r="CQ24" s="15"/>
      <c r="CR24" s="106" t="s">
        <v>868</v>
      </c>
      <c r="CS24" s="8">
        <f>SUM(CS21:CS23)</f>
        <v>27</v>
      </c>
      <c r="CT24" s="3485" t="str">
        <f>IF(CV24="","","アッテネータ 6W")</f>
        <v>アッテネータ 6W</v>
      </c>
      <c r="CU24" s="3484"/>
      <c r="CV24" s="88">
        <f>BK26</f>
        <v>2</v>
      </c>
      <c r="CX24" s="8"/>
      <c r="CY24" s="197">
        <f t="shared" si="11"/>
        <v>3</v>
      </c>
      <c r="CZ24" s="197" t="str">
        <f t="shared" si="9"/>
        <v/>
      </c>
      <c r="DA24" s="10"/>
      <c r="DB24" s="8"/>
      <c r="DC24" s="249"/>
      <c r="DD24" s="515"/>
      <c r="DE24" s="514"/>
      <c r="DG24" s="8"/>
      <c r="DH24" s="197">
        <f t="shared" si="12"/>
        <v>3</v>
      </c>
      <c r="DI24" s="197" t="str">
        <f t="shared" si="10"/>
        <v/>
      </c>
      <c r="DJ24" s="10"/>
      <c r="DK24" s="8"/>
      <c r="DL24" s="249"/>
      <c r="DM24" s="515"/>
      <c r="DN24" s="514"/>
      <c r="DQ24" s="197">
        <f t="shared" si="4"/>
        <v>9</v>
      </c>
      <c r="DR24" s="197">
        <f t="shared" si="6"/>
        <v>9</v>
      </c>
      <c r="DS24" s="10" t="str">
        <f t="shared" si="7"/>
        <v>副増幅器 30W</v>
      </c>
      <c r="DT24" s="24"/>
      <c r="DU24" s="249" t="str">
        <f>IF(COUNTIF($DS$10:DS23,DS24)&gt;0,"",DS24)</f>
        <v>副増幅器 30W</v>
      </c>
      <c r="DV24" s="198">
        <f t="shared" si="8"/>
        <v>3</v>
      </c>
      <c r="DW24" s="514">
        <f t="shared" si="5"/>
        <v>3</v>
      </c>
      <c r="DX24" s="131"/>
    </row>
    <row r="25" spans="2:128" ht="11.25" customHeight="1" thickBot="1">
      <c r="B25" s="23"/>
      <c r="C25" s="2299" t="s">
        <v>112</v>
      </c>
      <c r="D25" s="2299"/>
      <c r="E25" s="2299"/>
      <c r="F25" s="2299"/>
      <c r="G25" s="2299"/>
      <c r="H25" s="2299"/>
      <c r="I25" s="3399"/>
      <c r="J25" s="3449" t="str">
        <f>非誘!J22</f>
        <v>(13)イ</v>
      </c>
      <c r="K25" s="3377"/>
      <c r="L25" s="3377"/>
      <c r="M25" s="3448"/>
      <c r="N25" s="3403" t="str">
        <f>非誘!M22</f>
        <v>車庫等</v>
      </c>
      <c r="O25" s="3404"/>
      <c r="P25" s="3404"/>
      <c r="Q25" s="3404"/>
      <c r="R25" s="3404"/>
      <c r="S25" s="3404"/>
      <c r="T25" s="3404"/>
      <c r="U25" s="3404"/>
      <c r="V25" s="3404"/>
      <c r="W25" s="3404"/>
      <c r="X25" s="3404"/>
      <c r="Y25" s="3404"/>
      <c r="Z25" s="3405"/>
      <c r="AA25" s="3406" t="s">
        <v>926</v>
      </c>
      <c r="AB25" s="2301"/>
      <c r="AC25" s="2301"/>
      <c r="AD25" s="2301"/>
      <c r="AE25" s="2301"/>
      <c r="AF25" s="2302"/>
      <c r="AG25" s="3393" t="str">
        <f>IF($B$2=0,"",IF(AN25="","天井(C 管)",AN25))</f>
        <v>天井(C 管)</v>
      </c>
      <c r="AH25" s="2368"/>
      <c r="AI25" s="2368"/>
      <c r="AJ25" s="2368"/>
      <c r="AK25" s="2368"/>
      <c r="AL25" s="3394"/>
      <c r="AM25" s="668" t="s">
        <v>925</v>
      </c>
      <c r="AN25" s="3395"/>
      <c r="AO25" s="3396"/>
      <c r="AP25" s="3396"/>
      <c r="AQ25" s="3396"/>
      <c r="AR25" s="3397"/>
      <c r="AS25" s="3434" t="s">
        <v>881</v>
      </c>
      <c r="AT25" s="3435"/>
      <c r="AU25" s="3436" t="s">
        <v>880</v>
      </c>
      <c r="AV25" s="3437"/>
      <c r="AW25" s="3432"/>
      <c r="AX25" s="3433"/>
      <c r="AY25" s="3432" t="s">
        <v>881</v>
      </c>
      <c r="AZ25" s="3433"/>
      <c r="BA25" s="3436" t="s">
        <v>884</v>
      </c>
      <c r="BB25" s="3437"/>
      <c r="BC25" s="3436" t="s">
        <v>883</v>
      </c>
      <c r="BD25" s="3438"/>
      <c r="BE25" s="3438"/>
      <c r="BF25" s="3437"/>
      <c r="BG25" s="3420" t="s">
        <v>882</v>
      </c>
      <c r="BH25" s="3421"/>
      <c r="BI25" s="3436" t="s">
        <v>881</v>
      </c>
      <c r="BJ25" s="3437"/>
      <c r="BK25" s="3436" t="s">
        <v>880</v>
      </c>
      <c r="BL25" s="3437"/>
      <c r="BM25" s="3407" t="str">
        <f>IF(BM26="","",$BW$12)</f>
        <v/>
      </c>
      <c r="BN25" s="3407"/>
      <c r="BO25" s="3407"/>
      <c r="BP25" s="3407" t="str">
        <f>IF(BP26="","",30)</f>
        <v/>
      </c>
      <c r="BQ25" s="3407"/>
      <c r="BR25" s="3407"/>
      <c r="BS25" s="2384" t="s">
        <v>879</v>
      </c>
      <c r="BT25" s="2386"/>
      <c r="BU25" s="19"/>
      <c r="BW25" s="102"/>
      <c r="CB25" s="90" t="s">
        <v>878</v>
      </c>
      <c r="CC25" s="479" t="str">
        <f>AD26</f>
        <v>⑦</v>
      </c>
      <c r="CD25" s="263">
        <f>IF(C27="","",IF(CC25="①",CD24+CE24+3,IF(CC25="②",CD24*5/8+CE24+3,IF(CC25="③",CD24/2+CE24+3,IF(CC25="④",CD24+CE24*5/8+3,IF(CC25="⑤",(CD24+CE24)*5/8+3,IF(CC25="⑥",CD24/2+CE24*5/8+3,IF(CC25="⑦",CD24+CE24/2+3,IF(CC25="⑧",CD24*5/8+CE24/2+3,IF(CC25="⑨",(CD24+CE24)/2+3))))))))))</f>
        <v>43.5</v>
      </c>
      <c r="CE25" s="8"/>
      <c r="CF25" s="106"/>
      <c r="CG25" s="681">
        <f>IF(AG25="天井ケーブル",0,1)</f>
        <v>1</v>
      </c>
      <c r="CH25" s="394"/>
      <c r="CI25" s="394"/>
      <c r="CJ25" s="59"/>
      <c r="CK25" s="394"/>
      <c r="CL25" s="394"/>
      <c r="CM25" s="394"/>
      <c r="CN25" s="62" t="s">
        <v>1</v>
      </c>
      <c r="CO25" s="62" t="s">
        <v>877</v>
      </c>
      <c r="CP25" s="38"/>
      <c r="CQ25" s="2986" t="str">
        <f>IF(CS25="","","スピーカ 6W S2")</f>
        <v>スピーカ 6W S2</v>
      </c>
      <c r="CR25" s="3476"/>
      <c r="CS25" s="88">
        <f>IF(AU26=0,"",AU26)</f>
        <v>3</v>
      </c>
      <c r="CT25" s="3483" t="str">
        <f>IF(CV25="","","主増幅器")</f>
        <v/>
      </c>
      <c r="CU25" s="3484"/>
      <c r="CV25" s="88" t="str">
        <f>BM26</f>
        <v/>
      </c>
      <c r="CX25" s="8"/>
      <c r="CY25" s="197">
        <f t="shared" si="11"/>
        <v>3</v>
      </c>
      <c r="CZ25" s="197" t="str">
        <f t="shared" si="9"/>
        <v/>
      </c>
      <c r="DA25" s="10"/>
      <c r="DB25" s="8"/>
      <c r="DC25" s="249"/>
      <c r="DD25" s="515"/>
      <c r="DE25" s="514"/>
      <c r="DG25" s="8"/>
      <c r="DH25" s="197">
        <f t="shared" si="12"/>
        <v>3</v>
      </c>
      <c r="DI25" s="197" t="str">
        <f t="shared" si="10"/>
        <v/>
      </c>
      <c r="DJ25" s="10"/>
      <c r="DK25" s="8"/>
      <c r="DL25" s="249"/>
      <c r="DM25" s="515"/>
      <c r="DN25" s="514"/>
      <c r="DP25" s="8"/>
      <c r="DQ25" s="197">
        <f t="shared" si="4"/>
        <v>10</v>
      </c>
      <c r="DR25" s="197">
        <f t="shared" si="6"/>
        <v>10</v>
      </c>
      <c r="DS25" s="10" t="str">
        <f t="shared" si="7"/>
        <v>カットリレー</v>
      </c>
      <c r="DT25" s="24"/>
      <c r="DU25" s="249" t="str">
        <f>IF(COUNTIF($DS$10:DS24,DS25)&gt;0,"",DS25)</f>
        <v>カットリレー</v>
      </c>
      <c r="DV25" s="198">
        <f t="shared" si="8"/>
        <v>3</v>
      </c>
      <c r="DW25" s="514">
        <f t="shared" si="5"/>
        <v>3</v>
      </c>
    </row>
    <row r="26" spans="2:128" ht="11.25" customHeight="1" thickBot="1">
      <c r="B26" s="23"/>
      <c r="C26" s="3409" t="s">
        <v>232</v>
      </c>
      <c r="D26" s="3410"/>
      <c r="E26" s="3410"/>
      <c r="F26" s="3410"/>
      <c r="G26" s="3410"/>
      <c r="H26" s="3411"/>
      <c r="I26" s="3430" t="str">
        <f>非誘!AA22</f>
        <v>A</v>
      </c>
      <c r="J26" s="3430"/>
      <c r="K26" s="3430"/>
      <c r="L26" s="2395" t="s">
        <v>214</v>
      </c>
      <c r="M26" s="2395"/>
      <c r="N26" s="2395"/>
      <c r="O26" s="2395"/>
      <c r="P26" s="2395"/>
      <c r="Q26" s="2395"/>
      <c r="R26" s="2395"/>
      <c r="S26" s="3379">
        <f>非誘!J23</f>
        <v>0.72727272727272729</v>
      </c>
      <c r="T26" s="3380"/>
      <c r="U26" s="3380"/>
      <c r="V26" s="3381"/>
      <c r="W26" s="3399" t="s">
        <v>875</v>
      </c>
      <c r="X26" s="3412"/>
      <c r="Y26" s="3412"/>
      <c r="Z26" s="3412"/>
      <c r="AA26" s="2654"/>
      <c r="AB26" s="2654"/>
      <c r="AC26" s="2655"/>
      <c r="AD26" s="3388" t="str">
        <f>非誘!V23</f>
        <v>⑦</v>
      </c>
      <c r="AE26" s="3389"/>
      <c r="AF26" s="3390"/>
      <c r="AG26" s="3391" t="s">
        <v>874</v>
      </c>
      <c r="AH26" s="3391"/>
      <c r="AI26" s="3391"/>
      <c r="AJ26" s="3391"/>
      <c r="AK26" s="3391"/>
      <c r="AL26" s="2990" t="str">
        <f>IF(AP26&lt;&gt;"",AP26,IF(C27=$BG$10,C27,""))</f>
        <v/>
      </c>
      <c r="AM26" s="2990"/>
      <c r="AN26" s="2990"/>
      <c r="AO26" s="668" t="s">
        <v>103</v>
      </c>
      <c r="AP26" s="3325"/>
      <c r="AQ26" s="3326"/>
      <c r="AR26" s="3327"/>
      <c r="AS26" s="3418">
        <f>IF(CE27=0,"",IF(AS27&lt;&gt;"",AS27,IF(BE26&lt;&gt;"",CN28,SUM(CN26:CO26))))</f>
        <v>19</v>
      </c>
      <c r="AT26" s="3375"/>
      <c r="AU26" s="3418">
        <f>IF(CE27=0,"",IF(AU27&lt;&gt;"",AU27,CN27))</f>
        <v>3</v>
      </c>
      <c r="AV26" s="3375"/>
      <c r="AW26" s="3418"/>
      <c r="AX26" s="3375"/>
      <c r="AY26" s="3418">
        <f>IF(AA27="","",IF(AY27&lt;&gt;"",AY27,CO27))</f>
        <v>8</v>
      </c>
      <c r="AZ26" s="3375"/>
      <c r="BA26" s="3418"/>
      <c r="BB26" s="3375"/>
      <c r="BC26" s="3418" t="str">
        <f>IF(OR(AL27="不",,BP26=""),"",IF(BC27&lt;&gt;"",BC27,BP26*2))</f>
        <v/>
      </c>
      <c r="BD26" s="3375"/>
      <c r="BE26" s="3418">
        <f>IF(BE27&lt;&gt;"",BE27,IF(BX24=0,"",CN28))</f>
        <v>19</v>
      </c>
      <c r="BF26" s="3375"/>
      <c r="BG26" s="3418" t="str">
        <f>IF(AE22="不","",IF(BG27&lt;&gt;"",BG27,BP26))</f>
        <v/>
      </c>
      <c r="BH26" s="3375"/>
      <c r="BI26" s="3418">
        <f>IF(CE27=0,"",CN29)</f>
        <v>9</v>
      </c>
      <c r="BJ26" s="3375"/>
      <c r="BK26" s="3374">
        <f>IF(CE27=0,"",CO29)</f>
        <v>2</v>
      </c>
      <c r="BL26" s="3375"/>
      <c r="BM26" s="3376" t="str">
        <f>IF(CE27=0,"",IF(BM27&lt;&gt;"",BM27,IF(C27=AL26,1,"")))</f>
        <v/>
      </c>
      <c r="BN26" s="3377"/>
      <c r="BO26" s="3378"/>
      <c r="BP26" s="3376" t="str">
        <f>IF(CE27=0,"",IF(OR(AE22="不",AA27="",S27=""),"",IF(BP27&lt;&gt;"",BP27,IF(AL27="要",1+INT(S27/1000),""))))</f>
        <v/>
      </c>
      <c r="BQ26" s="3377"/>
      <c r="BR26" s="3378"/>
      <c r="BS26" s="3376" t="str">
        <f>IF(BS27&lt;&gt;"",BS27,BP26)</f>
        <v/>
      </c>
      <c r="BT26" s="3378"/>
      <c r="BU26" s="19"/>
      <c r="BW26" s="680">
        <f>IF(AND(CS27=0,CS28=""),CS24*3,CS24*3+CS27*6+CS29*2)</f>
        <v>137</v>
      </c>
      <c r="BX26" s="102">
        <f>BY27</f>
        <v>16</v>
      </c>
      <c r="BY26" s="522">
        <f>1+INT(SUM(S27:Z27)/400)</f>
        <v>8</v>
      </c>
      <c r="BZ26" s="100" t="s">
        <v>873</v>
      </c>
      <c r="CB26" s="678">
        <f>IF($B$2=0,"",IF(CE27="=",MID(BZ27,10,3),10*(1+INT(BY26*3/10))))</f>
        <v>30</v>
      </c>
      <c r="CC26" s="10" t="s">
        <v>943</v>
      </c>
      <c r="CF26" s="106" t="s">
        <v>857</v>
      </c>
      <c r="CG26" s="136">
        <f>IF(CG25=1,INT(CD25*BY26)+BY26*10,"")</f>
        <v>428</v>
      </c>
      <c r="CH26" s="136">
        <f>IF(CG25=1,INT(CD25*CS29),"")</f>
        <v>826</v>
      </c>
      <c r="CI26" s="136">
        <f>8*SUM(BI26:BL26)</f>
        <v>88</v>
      </c>
      <c r="CJ26" s="134" t="str">
        <f>IF($AX$8=0,INT(10.7*CD24*CE24/($BF$8/1000)^2)*1.5,"")</f>
        <v/>
      </c>
      <c r="CK26" s="136">
        <v>0</v>
      </c>
      <c r="CL26" s="136" t="str">
        <f>IF(BP26="","",10*BP26)</f>
        <v/>
      </c>
      <c r="CM26" s="136" t="str">
        <f>IF(BS26="","",10*BS26)</f>
        <v/>
      </c>
      <c r="CN26" s="665">
        <f>IF(AA27="",0,IF(AE22="不","",INT(AA27/2)))</f>
        <v>3</v>
      </c>
      <c r="CO26" s="665">
        <f>IF(AN22="不","",INT(AD27/2))</f>
        <v>8</v>
      </c>
      <c r="CP26" s="670" t="s">
        <v>895</v>
      </c>
      <c r="CQ26" s="2986" t="str">
        <f>IF(CS26="","","スピーカ 5W S4")</f>
        <v/>
      </c>
      <c r="CR26" s="3476"/>
      <c r="CS26" s="88" t="str">
        <f>IF(BA26=0,"",BA26)</f>
        <v/>
      </c>
      <c r="CT26" s="3483" t="str">
        <f>IF(CV26="","","副増幅器 30W")</f>
        <v/>
      </c>
      <c r="CU26" s="3484"/>
      <c r="CV26" s="88" t="str">
        <f>BP26</f>
        <v/>
      </c>
      <c r="CX26" s="8"/>
      <c r="CY26" s="197">
        <f t="shared" si="11"/>
        <v>3</v>
      </c>
      <c r="CZ26" s="197" t="str">
        <f t="shared" si="9"/>
        <v/>
      </c>
      <c r="DA26" s="10"/>
      <c r="DB26" s="8"/>
      <c r="DC26" s="249"/>
      <c r="DD26" s="515"/>
      <c r="DE26" s="514"/>
      <c r="DG26" s="8"/>
      <c r="DH26" s="197">
        <f t="shared" si="12"/>
        <v>3</v>
      </c>
      <c r="DI26" s="197" t="str">
        <f t="shared" si="10"/>
        <v/>
      </c>
      <c r="DJ26" s="10"/>
      <c r="DK26" s="8"/>
      <c r="DL26" s="249"/>
      <c r="DM26" s="515"/>
      <c r="DN26" s="514"/>
      <c r="DP26" s="88">
        <v>2</v>
      </c>
      <c r="DQ26" s="45"/>
      <c r="DR26" s="45"/>
      <c r="DS26" s="45"/>
      <c r="DT26" s="45"/>
      <c r="DU26" s="45"/>
      <c r="DV26" s="45"/>
      <c r="DW26" s="45"/>
    </row>
    <row r="27" spans="2:128" ht="11.25" customHeight="1" thickBot="1">
      <c r="B27" s="23"/>
      <c r="C27" s="3429" t="str">
        <f>IF($B$2=0,"",非誘!C24)</f>
        <v xml:space="preserve"> B1F</v>
      </c>
      <c r="D27" s="3407"/>
      <c r="E27" s="3407"/>
      <c r="F27" s="3430">
        <f>IF($B$2=0,"",非誘!F24)</f>
        <v>5</v>
      </c>
      <c r="G27" s="3430"/>
      <c r="H27" s="3430"/>
      <c r="I27" s="3430"/>
      <c r="J27" s="3430">
        <f>IF($B$2=0,"",非誘!J24)</f>
        <v>3</v>
      </c>
      <c r="K27" s="3430"/>
      <c r="L27" s="3430"/>
      <c r="M27" s="3430"/>
      <c r="N27" s="3407">
        <f>IF($B$2=0,"",非誘!N24)</f>
        <v>3168</v>
      </c>
      <c r="O27" s="3407"/>
      <c r="P27" s="3407"/>
      <c r="Q27" s="3407"/>
      <c r="R27" s="3407"/>
      <c r="S27" s="3431">
        <f>IF($B$2=0,"",非誘!S24)</f>
        <v>2851.2</v>
      </c>
      <c r="T27" s="3431"/>
      <c r="U27" s="3431"/>
      <c r="V27" s="3431"/>
      <c r="W27" s="3431">
        <f>IF($B$2=0,"",非誘!W24)</f>
        <v>316.80000000000018</v>
      </c>
      <c r="X27" s="3431"/>
      <c r="Y27" s="3431"/>
      <c r="Z27" s="3431"/>
      <c r="AA27" s="3407">
        <f>IF($B$2=0,"",非誘!AA24)</f>
        <v>6</v>
      </c>
      <c r="AB27" s="3407"/>
      <c r="AC27" s="3407"/>
      <c r="AD27" s="3407">
        <f>IF($B$2=0,"",非誘!AD24)</f>
        <v>16</v>
      </c>
      <c r="AE27" s="3407"/>
      <c r="AF27" s="3407"/>
      <c r="AG27" s="3391" t="s">
        <v>942</v>
      </c>
      <c r="AH27" s="3391"/>
      <c r="AI27" s="3391"/>
      <c r="AJ27" s="3391"/>
      <c r="AK27" s="3391"/>
      <c r="AL27" s="2990" t="str">
        <f>IF(AP27&lt;&gt;"",AP27,IF($BY$9="要","要",""))</f>
        <v/>
      </c>
      <c r="AM27" s="2990"/>
      <c r="AN27" s="2990"/>
      <c r="AO27" s="668" t="s">
        <v>103</v>
      </c>
      <c r="AP27" s="3408"/>
      <c r="AQ27" s="3408"/>
      <c r="AR27" s="3408"/>
      <c r="AS27" s="2551"/>
      <c r="AT27" s="3414"/>
      <c r="AU27" s="2551"/>
      <c r="AV27" s="3414"/>
      <c r="AW27" s="2551"/>
      <c r="AX27" s="3414"/>
      <c r="AY27" s="2551"/>
      <c r="AZ27" s="3414"/>
      <c r="BA27" s="2551"/>
      <c r="BB27" s="3414"/>
      <c r="BC27" s="2551"/>
      <c r="BD27" s="3414"/>
      <c r="BE27" s="2551"/>
      <c r="BF27" s="3414"/>
      <c r="BG27" s="2551"/>
      <c r="BH27" s="3414"/>
      <c r="BI27" s="2551"/>
      <c r="BJ27" s="3414"/>
      <c r="BK27" s="2551"/>
      <c r="BL27" s="3414"/>
      <c r="BM27" s="2551"/>
      <c r="BN27" s="3428"/>
      <c r="BO27" s="3414"/>
      <c r="BP27" s="2551"/>
      <c r="BQ27" s="3428"/>
      <c r="BR27" s="3414"/>
      <c r="BS27" s="2551"/>
      <c r="BT27" s="3414"/>
      <c r="BU27" s="19"/>
      <c r="BW27" s="102"/>
      <c r="BY27" s="677">
        <f>IF(CE27=0,0,IF(CE27="=",BY26+BY18+BY36,IF(CE27="-",BY26+BY18,BY26+BY36)))</f>
        <v>16</v>
      </c>
      <c r="BZ27" s="3443" t="str">
        <f>IF(CE27=0,"",IF(BY27*3&lt;=20,"HP 1.2mm- 10Pr",IF(BY27*3&lt;=30,"HP 1.2mm- 15Pr",IF(BY27*3&lt;=40,"HP 1.2mm- 20Pr",IF(BY27*3&lt;=50,"HP 1.2mm- 25Pr",IF(BY27*3&lt;=60,"HP 1.2mm- 30Pr",IF(BY27*3&lt;=80,"HP 1.2mm- 40Pr",IF(BY27*3&lt;=100,"HP 1.2mm- 50Pr",IF(BY27*3&lt;=150,"HP 1.2mm- 75Pr", IF(BY27*3&lt;=200,"HP 1.2mm-100Pr",IF(BY27*3&lt;=400,"HP 1.2mm-200Pr","")))))))))))</f>
        <v>HP 1.2mm- 25Pr</v>
      </c>
      <c r="CA27" s="3444"/>
      <c r="CB27" s="3444"/>
      <c r="CC27" s="3445"/>
      <c r="CD27" s="673" t="str">
        <f>IF(LEFT($BG$10,2)=" B",-MID($BG$10,3,1),LEFT($BG$10,3))</f>
        <v xml:space="preserve">  1</v>
      </c>
      <c r="CE27" s="676" t="str">
        <f>IF(CD28=0,0,IF(CD27=CD28,"=",IF(CD27&gt;CD28,"-","+")))</f>
        <v>-</v>
      </c>
      <c r="CF27" s="106" t="s">
        <v>856</v>
      </c>
      <c r="CG27" s="136">
        <f>2*INT((F27-$Y$10/1000-0.25))</f>
        <v>6</v>
      </c>
      <c r="CH27" s="136">
        <f>1+INT((F27-$Y$7/1000-0.25)*CS29)</f>
        <v>45</v>
      </c>
      <c r="CI27" s="136">
        <f>INT((F27-$Y$8/1000-0.25)*SUM(BI26:BL26))</f>
        <v>37</v>
      </c>
      <c r="CJ27" s="675"/>
      <c r="CK27" s="136">
        <v>0</v>
      </c>
      <c r="CL27" s="136" t="str">
        <f>IF(BP26="","",INT((F27-$Y$9/1000-0.25)*BP26))</f>
        <v/>
      </c>
      <c r="CM27" s="136" t="str">
        <f>IF(BS26="","",INT((F27-$Y$9/1000-0.25)*BS26))</f>
        <v/>
      </c>
      <c r="CN27" s="665">
        <f>IF(AA27="",0,IF(AE22="不","",INT(AA27/2)))</f>
        <v>3</v>
      </c>
      <c r="CO27" s="665">
        <f>IF(AN22="不","",INT(AD27/2))</f>
        <v>8</v>
      </c>
      <c r="CP27" s="670" t="s">
        <v>941</v>
      </c>
      <c r="CQ27" s="15"/>
      <c r="CR27" s="106" t="s">
        <v>868</v>
      </c>
      <c r="CS27" s="8">
        <f>SUM(CS25:CS26)</f>
        <v>3</v>
      </c>
      <c r="CT27" s="3483" t="str">
        <f>IF(CV27="","","カットリレー")</f>
        <v/>
      </c>
      <c r="CU27" s="3484"/>
      <c r="CV27" s="88" t="str">
        <f>BS26</f>
        <v/>
      </c>
      <c r="CY27" s="197">
        <f t="shared" si="11"/>
        <v>3</v>
      </c>
      <c r="CZ27" s="197" t="str">
        <f t="shared" si="9"/>
        <v/>
      </c>
      <c r="DB27" s="24"/>
      <c r="DD27" s="516"/>
      <c r="DE27" s="516"/>
      <c r="DH27" s="197">
        <f t="shared" si="12"/>
        <v>3</v>
      </c>
      <c r="DI27" s="197" t="str">
        <f t="shared" si="10"/>
        <v/>
      </c>
      <c r="DK27" s="24"/>
      <c r="DM27" s="516"/>
      <c r="DN27" s="516"/>
      <c r="DP27" s="8"/>
      <c r="DQ27" s="197">
        <f>IF(DU27&lt;&gt;"",DQ25+1,DQ25)</f>
        <v>10</v>
      </c>
      <c r="DR27" s="197" t="str">
        <f t="shared" ref="DR27:DR39" si="13">IF(AND(DQ27&lt;&gt;"",DU27&lt;&gt;""),DQ27,"")</f>
        <v/>
      </c>
      <c r="DS27" s="10" t="str">
        <f>CQ21</f>
        <v>スピーカ 3W S1</v>
      </c>
      <c r="DT27" s="8"/>
      <c r="DU27" s="249" t="str">
        <f>IF(COUNTIF($DS$10:DS26,DS27)&gt;0,"",DS27)</f>
        <v/>
      </c>
      <c r="DV27" s="198">
        <f>CS21</f>
        <v>19</v>
      </c>
      <c r="DW27" s="514">
        <f t="shared" ref="DW27:DW39" si="14">SUMIF($DS$13:$DS$344,DU27,$DV$13:$DV$344)</f>
        <v>5</v>
      </c>
    </row>
    <row r="28" spans="2:128" ht="11.25" customHeight="1" thickBot="1">
      <c r="B28" s="23"/>
      <c r="C28" s="2300" t="s">
        <v>867</v>
      </c>
      <c r="D28" s="2301"/>
      <c r="E28" s="2301"/>
      <c r="F28" s="2301"/>
      <c r="G28" s="2302"/>
      <c r="H28" s="3422" t="str">
        <f>IF(CE27=0,"",IF(R28&lt;&gt;"",R28,BZ27))</f>
        <v>HP 1.2mm- 25Pr</v>
      </c>
      <c r="I28" s="3423"/>
      <c r="J28" s="3423"/>
      <c r="K28" s="3423"/>
      <c r="L28" s="3423"/>
      <c r="M28" s="3423"/>
      <c r="N28" s="3423"/>
      <c r="O28" s="3423"/>
      <c r="P28" s="3424"/>
      <c r="Q28" s="668" t="s">
        <v>103</v>
      </c>
      <c r="R28" s="3362"/>
      <c r="S28" s="3363"/>
      <c r="T28" s="3363"/>
      <c r="U28" s="3363"/>
      <c r="V28" s="3363"/>
      <c r="W28" s="3363"/>
      <c r="X28" s="3363"/>
      <c r="Y28" s="3363"/>
      <c r="Z28" s="3364"/>
      <c r="AA28" s="3345" t="s">
        <v>866</v>
      </c>
      <c r="AB28" s="3346"/>
      <c r="AC28" s="3346"/>
      <c r="AD28" s="3346"/>
      <c r="AE28" s="3347"/>
      <c r="AF28" s="3385">
        <f>IF(CE27=0,"",IF(AK28&lt;&gt;"",AK28,CG29+CI29))</f>
        <v>8</v>
      </c>
      <c r="AG28" s="3386"/>
      <c r="AH28" s="3386"/>
      <c r="AI28" s="3387"/>
      <c r="AJ28" s="669" t="s">
        <v>103</v>
      </c>
      <c r="AK28" s="3415"/>
      <c r="AL28" s="3416"/>
      <c r="AM28" s="3416"/>
      <c r="AN28" s="3417"/>
      <c r="AO28" s="2300" t="s">
        <v>865</v>
      </c>
      <c r="AP28" s="2301"/>
      <c r="AQ28" s="2301"/>
      <c r="AR28" s="2301"/>
      <c r="AS28" s="2302"/>
      <c r="AT28" s="3422" t="str">
        <f>IF(CE27=0,"",IF(BA28&lt;&gt;"",BA28,IF(MID(AG25,4,2)="C ","C-"&amp;CA28&amp;"mm",IF(MID(AG25,4,2)="PF","PF-D-"&amp;CB28&amp;"mm",IF(MID(AG25,4,2)="CD","CD-"&amp;CB28&amp;"mm",IF(MID(AG25,4,2)="G ","G-"&amp;CB28&amp;"mm",""))))))</f>
        <v>C-39mm</v>
      </c>
      <c r="AU28" s="3423"/>
      <c r="AV28" s="3423"/>
      <c r="AW28" s="3423"/>
      <c r="AX28" s="3423"/>
      <c r="AY28" s="3424"/>
      <c r="AZ28" s="668" t="s">
        <v>103</v>
      </c>
      <c r="BA28" s="3362"/>
      <c r="BB28" s="3363"/>
      <c r="BC28" s="3363"/>
      <c r="BD28" s="3363"/>
      <c r="BE28" s="3363"/>
      <c r="BF28" s="3364"/>
      <c r="BG28" s="3345" t="s">
        <v>864</v>
      </c>
      <c r="BH28" s="3346"/>
      <c r="BI28" s="3346"/>
      <c r="BJ28" s="3346"/>
      <c r="BK28" s="3347"/>
      <c r="BL28" s="3385">
        <f>IF(CE27=0,"",IF(CM29=0,"",IF(BQ28&lt;&gt;"",BQ28,CK29+CM29)))</f>
        <v>5</v>
      </c>
      <c r="BM28" s="3386"/>
      <c r="BN28" s="3386"/>
      <c r="BO28" s="3387"/>
      <c r="BP28" s="668" t="s">
        <v>103</v>
      </c>
      <c r="BQ28" s="3415"/>
      <c r="BR28" s="3416"/>
      <c r="BS28" s="3416"/>
      <c r="BT28" s="3417"/>
      <c r="BU28" s="19"/>
      <c r="BW28" s="102"/>
      <c r="BZ28" s="107" t="str">
        <f>IF(LEN(BZ27)=13,MID(BZ27,10,2),MID(BZ27,10,3))</f>
        <v xml:space="preserve"> 25</v>
      </c>
      <c r="CA28" s="674" t="str">
        <f>IF(OR(BZ28=" 10",BZ28=" 15"),"31",IF(OR(BZ28=" 20",BZ28=" 25",BZ28=" 30"),"39",IF(OR(BZ28=" 40",BZ28=" 50"),"51",IF(BZ28="100","63",IF(BZ28&lt;="200","75","")))))</f>
        <v>39</v>
      </c>
      <c r="CB28" s="674" t="str">
        <f>IF(OR(BZ28=" 10",BZ28=" 15"),"28",IF(OR(BZ28=" 20",BZ28=" 25",BZ28=" 30"),"36",IF(OR(BZ28=" 40",BZ28=" 50"),"42",IF(BZ28="100","54",IF(BZ28&lt;="200","70","")))))</f>
        <v>36</v>
      </c>
      <c r="CD28" s="673">
        <f>IF(C27="",0,IF(LEFT(C27,2)=" B",-MID(C27,3,1),LEFT(C27,3)))</f>
        <v>-1</v>
      </c>
      <c r="CF28" s="106"/>
      <c r="CG28" s="90" t="s">
        <v>940</v>
      </c>
      <c r="CH28" s="64"/>
      <c r="CI28" s="90" t="s">
        <v>940</v>
      </c>
      <c r="CJ28" s="38"/>
      <c r="CK28" s="90" t="s">
        <v>940</v>
      </c>
      <c r="CL28" s="64"/>
      <c r="CM28" s="90" t="s">
        <v>940</v>
      </c>
      <c r="CN28" s="672">
        <f>IF(S27="",0,IF(AE22="不","",INT(S27/150)))</f>
        <v>19</v>
      </c>
      <c r="CO28" s="671"/>
      <c r="CP28" s="670" t="s">
        <v>889</v>
      </c>
      <c r="CQ28" s="2986" t="str">
        <f>IF(CS28="","","プロセニアム・スピーカ 20W")</f>
        <v/>
      </c>
      <c r="CR28" s="3476"/>
      <c r="CS28" s="88" t="str">
        <f>IF(BC26=0,"",BC26)</f>
        <v/>
      </c>
      <c r="CT28" s="9"/>
      <c r="CU28" s="46"/>
      <c r="CY28" s="197">
        <f t="shared" si="11"/>
        <v>3</v>
      </c>
      <c r="CZ28" s="197" t="str">
        <f t="shared" si="9"/>
        <v/>
      </c>
      <c r="DB28" s="24"/>
      <c r="DD28" s="516"/>
      <c r="DE28" s="516"/>
      <c r="DH28" s="197">
        <f t="shared" si="12"/>
        <v>3</v>
      </c>
      <c r="DI28" s="197" t="str">
        <f t="shared" si="10"/>
        <v/>
      </c>
      <c r="DK28" s="24"/>
      <c r="DM28" s="516"/>
      <c r="DN28" s="516"/>
      <c r="DP28" s="8"/>
      <c r="DQ28" s="197">
        <f t="shared" ref="DQ28:DQ39" si="15">IF(DU28&lt;&gt;"",DQ27+1,DQ27)</f>
        <v>10</v>
      </c>
      <c r="DR28" s="197" t="str">
        <f t="shared" si="13"/>
        <v/>
      </c>
      <c r="DS28" s="10" t="str">
        <f>CQ22</f>
        <v>スピーカ 3W S3</v>
      </c>
      <c r="DT28" s="8"/>
      <c r="DU28" s="197" t="str">
        <f>IF(DY28&lt;&gt;"",DU27+1,DU27)</f>
        <v/>
      </c>
      <c r="DV28" s="198">
        <f>CS22</f>
        <v>8</v>
      </c>
      <c r="DW28" s="514">
        <f t="shared" si="14"/>
        <v>5</v>
      </c>
    </row>
    <row r="29" spans="2:128" ht="11.25" customHeight="1" thickBot="1">
      <c r="B29" s="23"/>
      <c r="C29" s="2300" t="s">
        <v>861</v>
      </c>
      <c r="D29" s="2301"/>
      <c r="E29" s="2301"/>
      <c r="F29" s="2301"/>
      <c r="G29" s="2302"/>
      <c r="H29" s="3422" t="str">
        <f>IF(CE27=0,"",IF(R29&lt;&gt;"",R29,"HP 1.2mm-3C"))</f>
        <v>HP 1.2mm-3C</v>
      </c>
      <c r="I29" s="3423"/>
      <c r="J29" s="3423"/>
      <c r="K29" s="3423"/>
      <c r="L29" s="3423"/>
      <c r="M29" s="3423"/>
      <c r="N29" s="3423"/>
      <c r="O29" s="3423"/>
      <c r="P29" s="3424"/>
      <c r="Q29" s="668" t="s">
        <v>103</v>
      </c>
      <c r="R29" s="3362"/>
      <c r="S29" s="3363"/>
      <c r="T29" s="3363"/>
      <c r="U29" s="3363"/>
      <c r="V29" s="3363"/>
      <c r="W29" s="3363"/>
      <c r="X29" s="3363"/>
      <c r="Y29" s="3363"/>
      <c r="Z29" s="3364"/>
      <c r="AA29" s="3348" t="s">
        <v>235</v>
      </c>
      <c r="AB29" s="3349"/>
      <c r="AC29" s="3349"/>
      <c r="AD29" s="3349"/>
      <c r="AE29" s="3350"/>
      <c r="AF29" s="3385">
        <f>IF(CE27=0,"",IF(AK29&lt;&gt;"",AK29,SUM(CN23:CN24)))</f>
        <v>1963</v>
      </c>
      <c r="AG29" s="3386"/>
      <c r="AH29" s="3386"/>
      <c r="AI29" s="3387"/>
      <c r="AJ29" s="669" t="s">
        <v>103</v>
      </c>
      <c r="AK29" s="3415"/>
      <c r="AL29" s="3416"/>
      <c r="AM29" s="3416"/>
      <c r="AN29" s="3417"/>
      <c r="AO29" s="2300" t="s">
        <v>860</v>
      </c>
      <c r="AP29" s="2301"/>
      <c r="AQ29" s="2301"/>
      <c r="AR29" s="2301"/>
      <c r="AS29" s="2302"/>
      <c r="AT29" s="3422" t="str">
        <f>IF(CE27=0,"",IF(BA29&lt;&gt;"",BA29,IF(MID(AG25,4,2)="C ","C-19mm",IF(MID(AG25,4,2)="PF","PF-D-16mm",IF(MID(AG25,4,2)="CD","CD-16mm",IF(MID(AG25,4,2)="G ","G-16mm","C-19mm"))))))</f>
        <v>C-19mm</v>
      </c>
      <c r="AU29" s="3423"/>
      <c r="AV29" s="3423"/>
      <c r="AW29" s="3423"/>
      <c r="AX29" s="3423"/>
      <c r="AY29" s="3424"/>
      <c r="AZ29" s="668" t="s">
        <v>103</v>
      </c>
      <c r="BA29" s="3362"/>
      <c r="BB29" s="3363"/>
      <c r="BC29" s="3363"/>
      <c r="BD29" s="3363"/>
      <c r="BE29" s="3363"/>
      <c r="BF29" s="3364"/>
      <c r="BG29" s="3348" t="s">
        <v>235</v>
      </c>
      <c r="BH29" s="3349"/>
      <c r="BI29" s="3349"/>
      <c r="BJ29" s="3349"/>
      <c r="BK29" s="3350"/>
      <c r="BL29" s="3385">
        <f>IF(CE27=0,"",IF(BQ29&lt;&gt;"",BQ29,SUM(CO23:CO24)))</f>
        <v>1429.9999999999998</v>
      </c>
      <c r="BM29" s="3386"/>
      <c r="BN29" s="3386"/>
      <c r="BO29" s="3387"/>
      <c r="BP29" s="668" t="s">
        <v>103</v>
      </c>
      <c r="BQ29" s="3425"/>
      <c r="BR29" s="3426"/>
      <c r="BS29" s="3426"/>
      <c r="BT29" s="3427"/>
      <c r="BU29" s="19"/>
      <c r="BW29" s="102"/>
      <c r="CF29" s="106" t="s">
        <v>859</v>
      </c>
      <c r="CG29" s="184">
        <f>IF(CE27="=",CD25,0)</f>
        <v>0</v>
      </c>
      <c r="CH29" s="667" t="s">
        <v>858</v>
      </c>
      <c r="CI29" s="184">
        <f>F27+2*$AN$7/1000</f>
        <v>8</v>
      </c>
      <c r="CJ29" s="666" t="s">
        <v>857</v>
      </c>
      <c r="CK29" s="184">
        <f>IF(CG25=1,CG29,0)</f>
        <v>0</v>
      </c>
      <c r="CL29" s="666" t="s">
        <v>856</v>
      </c>
      <c r="CM29" s="184">
        <f>IF(CG25=1,F27,0)</f>
        <v>5</v>
      </c>
      <c r="CN29" s="665">
        <f>INT(AS26/2)</f>
        <v>9</v>
      </c>
      <c r="CO29" s="665">
        <f>IF(AU26="","",1+INT(AU26/2))</f>
        <v>2</v>
      </c>
      <c r="CP29" s="664" t="s">
        <v>939</v>
      </c>
      <c r="CQ29" s="3477" t="str">
        <f>IF(CS29="","","ソノライン・スピーカ 20W")</f>
        <v>ソノライン・スピーカ 20W</v>
      </c>
      <c r="CR29" s="3478"/>
      <c r="CS29" s="222">
        <f>IF(BE26="",0,BE26)</f>
        <v>19</v>
      </c>
      <c r="CT29" s="155"/>
      <c r="CU29" s="148"/>
      <c r="CV29" s="148"/>
      <c r="CY29" s="197">
        <f t="shared" si="11"/>
        <v>3</v>
      </c>
      <c r="CZ29" s="197" t="str">
        <f t="shared" si="9"/>
        <v/>
      </c>
      <c r="DB29" s="24"/>
      <c r="DD29" s="516"/>
      <c r="DE29" s="516"/>
      <c r="DH29" s="197">
        <f t="shared" si="12"/>
        <v>3</v>
      </c>
      <c r="DI29" s="197" t="str">
        <f t="shared" si="10"/>
        <v/>
      </c>
      <c r="DK29" s="24"/>
      <c r="DM29" s="516"/>
      <c r="DN29" s="516"/>
      <c r="DP29" s="8"/>
      <c r="DQ29" s="197">
        <f t="shared" si="15"/>
        <v>10</v>
      </c>
      <c r="DR29" s="197" t="str">
        <f t="shared" si="13"/>
        <v/>
      </c>
      <c r="DS29" s="10" t="str">
        <f>CQ23</f>
        <v/>
      </c>
      <c r="DT29" s="8"/>
      <c r="DU29" s="249" t="str">
        <f>IF(COUNTIF($DS$10:DS28,DS29)&gt;0,"",DS29)</f>
        <v/>
      </c>
      <c r="DV29" s="198" t="str">
        <f>CS23</f>
        <v/>
      </c>
      <c r="DW29" s="514">
        <f t="shared" si="14"/>
        <v>5</v>
      </c>
    </row>
    <row r="30" spans="2:128" ht="11.25" customHeight="1">
      <c r="B30" s="23"/>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19"/>
      <c r="BW30" s="102"/>
      <c r="CQ30" s="2986" t="str">
        <f>IF(CS30="","","スピーカ 3W S1")</f>
        <v>スピーカ 3W S1</v>
      </c>
      <c r="CR30" s="3476"/>
      <c r="CS30" s="88">
        <f>IF(AS35=0,"",AS35)</f>
        <v>18</v>
      </c>
      <c r="CT30" s="9"/>
      <c r="CX30" s="88">
        <v>3</v>
      </c>
      <c r="CY30" s="204"/>
      <c r="CZ30" s="155"/>
      <c r="DA30" s="45"/>
      <c r="DB30" s="45"/>
      <c r="DC30" s="45" t="s">
        <v>109</v>
      </c>
      <c r="DD30" s="45"/>
      <c r="DE30" s="45" t="s">
        <v>108</v>
      </c>
      <c r="DG30" s="88">
        <v>3</v>
      </c>
      <c r="DH30" s="204"/>
      <c r="DI30" s="155"/>
      <c r="DJ30" s="45"/>
      <c r="DK30" s="45"/>
      <c r="DL30" s="45" t="s">
        <v>109</v>
      </c>
      <c r="DM30" s="45"/>
      <c r="DN30" s="45" t="s">
        <v>108</v>
      </c>
      <c r="DP30" s="8"/>
      <c r="DQ30" s="197">
        <f t="shared" si="15"/>
        <v>10</v>
      </c>
      <c r="DR30" s="197" t="str">
        <f t="shared" si="13"/>
        <v/>
      </c>
      <c r="DS30" s="10" t="str">
        <f>CQ25</f>
        <v>スピーカ 6W S2</v>
      </c>
      <c r="DT30" s="8"/>
      <c r="DU30" s="249" t="str">
        <f>IF(COUNTIF($DS$10:DS29,DS30)&gt;0,"",DS30)</f>
        <v/>
      </c>
      <c r="DV30" s="198">
        <f>CS25</f>
        <v>3</v>
      </c>
      <c r="DW30" s="514">
        <f t="shared" si="14"/>
        <v>5</v>
      </c>
    </row>
    <row r="31" spans="2:128" ht="11.25" customHeight="1" thickBot="1">
      <c r="B31" s="23"/>
      <c r="C31" s="2299" t="s">
        <v>16</v>
      </c>
      <c r="D31" s="2299"/>
      <c r="E31" s="2299"/>
      <c r="F31" s="2299" t="s">
        <v>22</v>
      </c>
      <c r="G31" s="2299"/>
      <c r="H31" s="2299"/>
      <c r="I31" s="2299"/>
      <c r="J31" s="2299" t="s">
        <v>5</v>
      </c>
      <c r="K31" s="2299"/>
      <c r="L31" s="2299"/>
      <c r="M31" s="2299"/>
      <c r="N31" s="2299" t="s">
        <v>6</v>
      </c>
      <c r="O31" s="2299"/>
      <c r="P31" s="2299"/>
      <c r="Q31" s="2299"/>
      <c r="R31" s="2299"/>
      <c r="S31" s="2299" t="str">
        <f>IF(U34="","放送設備 "&amp;RIGHT($D$9,2),U34)</f>
        <v xml:space="preserve">放送設備 </v>
      </c>
      <c r="T31" s="2299"/>
      <c r="U31" s="2299"/>
      <c r="V31" s="2299"/>
      <c r="W31" s="2299"/>
      <c r="X31" s="2299"/>
      <c r="Y31" s="2299"/>
      <c r="Z31" s="2299"/>
      <c r="AA31" s="3382" t="s">
        <v>7</v>
      </c>
      <c r="AB31" s="3382"/>
      <c r="AC31" s="3382"/>
      <c r="AD31" s="3382"/>
      <c r="AE31" s="2630" t="str">
        <f>IF(S36="","",IF(AH31&lt;&gt;"",AH31,IF(RIGHT($D$10,2)="不要","不","要")))</f>
        <v>要</v>
      </c>
      <c r="AF31" s="2630"/>
      <c r="AG31" s="668" t="s">
        <v>937</v>
      </c>
      <c r="AH31" s="2632"/>
      <c r="AI31" s="2633"/>
      <c r="AJ31" s="3371" t="s">
        <v>913</v>
      </c>
      <c r="AK31" s="3372"/>
      <c r="AL31" s="3372"/>
      <c r="AM31" s="3373"/>
      <c r="AN31" s="3383" t="str">
        <f>IF(W36="","",IF(AQ31&lt;&gt;"",AQ31,IF(RIGHT($D$10,2)="設置","要","不")))</f>
        <v>要</v>
      </c>
      <c r="AO31" s="3384"/>
      <c r="AP31" s="668" t="s">
        <v>937</v>
      </c>
      <c r="AQ31" s="2632"/>
      <c r="AR31" s="2633"/>
      <c r="AS31" s="3399" t="s">
        <v>912</v>
      </c>
      <c r="AT31" s="3412"/>
      <c r="AU31" s="3412"/>
      <c r="AV31" s="3412"/>
      <c r="AW31" s="3412"/>
      <c r="AX31" s="3412"/>
      <c r="AY31" s="3412"/>
      <c r="AZ31" s="3412"/>
      <c r="BA31" s="3412"/>
      <c r="BB31" s="3412"/>
      <c r="BC31" s="3412"/>
      <c r="BD31" s="3412"/>
      <c r="BE31" s="3412"/>
      <c r="BF31" s="3412"/>
      <c r="BG31" s="3412"/>
      <c r="BH31" s="3413"/>
      <c r="BI31" s="3399" t="s">
        <v>934</v>
      </c>
      <c r="BJ31" s="3412"/>
      <c r="BK31" s="3412"/>
      <c r="BL31" s="3413"/>
      <c r="BM31" s="3360" t="s">
        <v>936</v>
      </c>
      <c r="BN31" s="3419"/>
      <c r="BO31" s="3419"/>
      <c r="BP31" s="3419"/>
      <c r="BQ31" s="3419"/>
      <c r="BR31" s="3361"/>
      <c r="BS31" s="3441" t="s">
        <v>935</v>
      </c>
      <c r="BT31" s="3442"/>
      <c r="BU31" s="19"/>
      <c r="BW31" s="102"/>
      <c r="CF31" s="8"/>
      <c r="CG31" s="685" t="s">
        <v>909</v>
      </c>
      <c r="CH31" s="685" t="s">
        <v>908</v>
      </c>
      <c r="CI31" s="685" t="s">
        <v>934</v>
      </c>
      <c r="CJ31" s="686">
        <f>IF($AX$8=0,"",INT(10.7*CD33*CE33/($BF$8/1000)^2))</f>
        <v>283</v>
      </c>
      <c r="CK31" s="685" t="s">
        <v>933</v>
      </c>
      <c r="CL31" s="685" t="s">
        <v>932</v>
      </c>
      <c r="CM31" s="685" t="s">
        <v>931</v>
      </c>
      <c r="CN31" s="550" t="s">
        <v>734</v>
      </c>
      <c r="CO31" s="550" t="s">
        <v>732</v>
      </c>
      <c r="CP31" s="685"/>
      <c r="CQ31" s="2986" t="str">
        <f>IF(CS31="","","スピーカ 3W S3")</f>
        <v>スピーカ 3W S3</v>
      </c>
      <c r="CR31" s="3476"/>
      <c r="CS31" s="88">
        <f>IF(AY35=0,"",AY35)</f>
        <v>14</v>
      </c>
      <c r="CT31" s="3483" t="str">
        <f>IF(CV31="","","マイクロホン")</f>
        <v/>
      </c>
      <c r="CU31" s="3484"/>
      <c r="CV31" s="88" t="str">
        <f>BG35</f>
        <v/>
      </c>
      <c r="CX31" s="8"/>
      <c r="CY31" s="197">
        <f>IF(DC31&lt;&gt;"",CY29+1,CY29)</f>
        <v>4</v>
      </c>
      <c r="CZ31" s="197">
        <f t="shared" ref="CZ31:CZ38" si="16">IF(AND(CY31&lt;&gt;"",DC31&lt;&gt;""),CY31,"")</f>
        <v>4</v>
      </c>
      <c r="DA31" s="10" t="str">
        <f>H37</f>
        <v>HP 1.2mm-200Pr</v>
      </c>
      <c r="DB31" s="8"/>
      <c r="DC31" s="249" t="str">
        <f>IF(COUNTIF(DA$10:$DA28,DA31)&gt;0,"",DA31)</f>
        <v>HP 1.2mm-200Pr</v>
      </c>
      <c r="DD31" s="515">
        <f>AF37</f>
        <v>56.9</v>
      </c>
      <c r="DE31" s="514">
        <f>SUMIF($DA$13:$DA$199,DC31,$DD$13:$DD$199)</f>
        <v>56.9</v>
      </c>
      <c r="DG31" s="8"/>
      <c r="DH31" s="197">
        <f>IF(DL31&lt;&gt;"",DH29+1,DH29)</f>
        <v>4</v>
      </c>
      <c r="DI31" s="197">
        <f t="shared" ref="DI31:DI38" si="17">IF(AND(DH31&lt;&gt;"",DL31&lt;&gt;""),DH31,"")</f>
        <v>4</v>
      </c>
      <c r="DJ31" s="10" t="str">
        <f>AT37</f>
        <v>C-75mm</v>
      </c>
      <c r="DK31" s="8"/>
      <c r="DL31" s="249" t="str">
        <f>IF(COUNTIF($DA$10:DJ28,DJ31)&gt;0,"",DJ31)</f>
        <v>C-75mm</v>
      </c>
      <c r="DM31" s="515">
        <f>BL37</f>
        <v>53.9</v>
      </c>
      <c r="DN31" s="514">
        <f>SUMIF($DJ$13:$DJ$199,DL31,$DM$13:$DM$199)</f>
        <v>61.9</v>
      </c>
      <c r="DP31" s="8"/>
      <c r="DQ31" s="197">
        <f t="shared" si="15"/>
        <v>10</v>
      </c>
      <c r="DR31" s="197" t="str">
        <f t="shared" si="13"/>
        <v/>
      </c>
      <c r="DS31" s="10" t="str">
        <f>CQ26</f>
        <v/>
      </c>
      <c r="DT31" s="8"/>
      <c r="DU31" s="249" t="str">
        <f>IF(COUNTIF($DS$10:DS30,DS31)&gt;0,"",DS31)</f>
        <v/>
      </c>
      <c r="DV31" s="198" t="str">
        <f>CS26</f>
        <v/>
      </c>
      <c r="DW31" s="514">
        <f t="shared" si="14"/>
        <v>5</v>
      </c>
    </row>
    <row r="32" spans="2:128" ht="11.25" customHeight="1" thickBot="1">
      <c r="B32" s="23"/>
      <c r="C32" s="2299"/>
      <c r="D32" s="2299"/>
      <c r="E32" s="2299"/>
      <c r="F32" s="2396"/>
      <c r="G32" s="2396"/>
      <c r="H32" s="2396"/>
      <c r="I32" s="2396"/>
      <c r="J32" s="2396"/>
      <c r="K32" s="2396"/>
      <c r="L32" s="2396"/>
      <c r="M32" s="2396"/>
      <c r="N32" s="2396"/>
      <c r="O32" s="2396"/>
      <c r="P32" s="2396"/>
      <c r="Q32" s="2396"/>
      <c r="R32" s="2396"/>
      <c r="S32" s="2396" t="s">
        <v>7</v>
      </c>
      <c r="T32" s="2396"/>
      <c r="U32" s="2396"/>
      <c r="V32" s="2396"/>
      <c r="W32" s="2396" t="s">
        <v>8</v>
      </c>
      <c r="X32" s="2396"/>
      <c r="Y32" s="2396"/>
      <c r="Z32" s="2396"/>
      <c r="AA32" s="2384" t="s">
        <v>9</v>
      </c>
      <c r="AB32" s="2385"/>
      <c r="AC32" s="2386"/>
      <c r="AD32" s="2384" t="s">
        <v>9</v>
      </c>
      <c r="AE32" s="2385"/>
      <c r="AF32" s="2386"/>
      <c r="AG32" s="2384" t="str">
        <f>IF(AN32="","","専部屋面積")</f>
        <v>専部屋面積</v>
      </c>
      <c r="AH32" s="2385"/>
      <c r="AI32" s="2385"/>
      <c r="AJ32" s="2382"/>
      <c r="AK32" s="2382"/>
      <c r="AL32" s="2382"/>
      <c r="AM32" s="3392"/>
      <c r="AN32" s="3365">
        <f>IF(OR(C36="",$B$2=0),"",S36/AA36)</f>
        <v>296.79999999999995</v>
      </c>
      <c r="AO32" s="3366"/>
      <c r="AP32" s="3366"/>
      <c r="AQ32" s="3366"/>
      <c r="AR32" s="3367"/>
      <c r="AS32" s="2300" t="s">
        <v>903</v>
      </c>
      <c r="AT32" s="2301"/>
      <c r="AU32" s="2301"/>
      <c r="AV32" s="2301"/>
      <c r="AW32" s="2301"/>
      <c r="AX32" s="2302"/>
      <c r="AY32" s="2300" t="s">
        <v>902</v>
      </c>
      <c r="AZ32" s="2301"/>
      <c r="BA32" s="2301"/>
      <c r="BB32" s="2302"/>
      <c r="BC32" s="2300" t="s">
        <v>902</v>
      </c>
      <c r="BD32" s="2301"/>
      <c r="BE32" s="2301"/>
      <c r="BF32" s="2302"/>
      <c r="BG32" s="2300" t="s">
        <v>743</v>
      </c>
      <c r="BH32" s="2302"/>
      <c r="BI32" s="2300" t="s">
        <v>901</v>
      </c>
      <c r="BJ32" s="2301"/>
      <c r="BK32" s="2301"/>
      <c r="BL32" s="2302"/>
      <c r="BM32" s="2299" t="s">
        <v>930</v>
      </c>
      <c r="BN32" s="2299"/>
      <c r="BO32" s="2299"/>
      <c r="BP32" s="2299" t="s">
        <v>929</v>
      </c>
      <c r="BQ32" s="2299"/>
      <c r="BR32" s="2299"/>
      <c r="BS32" s="3439" t="s">
        <v>928</v>
      </c>
      <c r="BT32" s="3440"/>
      <c r="BU32" s="19"/>
      <c r="BW32" s="102"/>
      <c r="BX32" s="90" t="s">
        <v>889</v>
      </c>
      <c r="BY32" s="100" t="s">
        <v>927</v>
      </c>
      <c r="CC32" s="180">
        <v>28</v>
      </c>
      <c r="CD32" s="55" t="s">
        <v>229</v>
      </c>
      <c r="CE32" s="55" t="s">
        <v>228</v>
      </c>
      <c r="CF32" s="106" t="s">
        <v>859</v>
      </c>
      <c r="CG32" s="184">
        <f>INT((CD34+10)*BY35+CS33*$AN$8/1000+($AN$7/1000)*BY35)</f>
        <v>623</v>
      </c>
      <c r="CH32" s="184">
        <f>INT(CD34*CS38+CS38)</f>
        <v>0</v>
      </c>
      <c r="CI32" s="184">
        <f>8*SUM(BI35:BL35)</f>
        <v>96</v>
      </c>
      <c r="CJ32" s="185">
        <f>IF($AX$8=0,"",2*INT(0.5*CJ31))</f>
        <v>282</v>
      </c>
      <c r="CK32" s="184"/>
      <c r="CL32" s="184" t="str">
        <f>IF(BP35="","",10*BP35)</f>
        <v/>
      </c>
      <c r="CM32" s="184" t="str">
        <f>IF(BP35="","",10*BP35)</f>
        <v/>
      </c>
      <c r="CN32" s="682">
        <f>IF(S36="",0,IF(AE31="不","",(SUM(CG32:CM32)+SUM(CG33:CM33))*S36/N36))</f>
        <v>937.99999999999989</v>
      </c>
      <c r="CO32" s="682">
        <f>IF(S36="",0,IF(AE31="不","",(SUM(CG35:CM35)+SUM(CG36:CM36))*S36/N36))</f>
        <v>513.09999999999991</v>
      </c>
      <c r="CP32" s="664" t="s">
        <v>1</v>
      </c>
      <c r="CQ32" s="2986" t="str">
        <f>IF(CS32="","","スピーカ S5")</f>
        <v/>
      </c>
      <c r="CR32" s="3476"/>
      <c r="CS32" s="683" t="str">
        <f>IF(AW35=0,"",AW35)</f>
        <v/>
      </c>
      <c r="CT32" s="3483" t="str">
        <f>IF(CV32="","","アッテネータ 3W")</f>
        <v>アッテネータ 3W</v>
      </c>
      <c r="CU32" s="3484"/>
      <c r="CV32" s="88">
        <f>BI35</f>
        <v>9</v>
      </c>
      <c r="CX32" s="8"/>
      <c r="CY32" s="197">
        <f t="shared" ref="CY32:CY38" si="18">IF(DC32&lt;&gt;"",CY31+1,CY31)</f>
        <v>4</v>
      </c>
      <c r="CZ32" s="197" t="str">
        <f t="shared" si="16"/>
        <v/>
      </c>
      <c r="DA32" s="10" t="str">
        <f>H38</f>
        <v>HP 1.2mm-3C</v>
      </c>
      <c r="DB32" s="8"/>
      <c r="DC32" s="249" t="str">
        <f>IF(COUNTIF(DA$10:$DA29,DA32)&gt;0,"",DA32)</f>
        <v/>
      </c>
      <c r="DD32" s="515">
        <f>AF38</f>
        <v>1340</v>
      </c>
      <c r="DE32" s="514">
        <f>SUMIF($DA$13:$DA$199,DC32,$DD$13:$DD$199)</f>
        <v>0</v>
      </c>
      <c r="DG32" s="8"/>
      <c r="DH32" s="197">
        <f t="shared" ref="DH32:DH38" si="19">IF(DL32&lt;&gt;"",DH31+1,DH31)</f>
        <v>4</v>
      </c>
      <c r="DI32" s="197" t="str">
        <f t="shared" si="17"/>
        <v/>
      </c>
      <c r="DJ32" s="10" t="str">
        <f>AT38</f>
        <v>C-19mm</v>
      </c>
      <c r="DK32" s="8"/>
      <c r="DL32" s="249" t="str">
        <f>IF(COUNTIF($DA$10:DJ29,DJ32)&gt;0,"",DJ32)</f>
        <v/>
      </c>
      <c r="DM32" s="515">
        <f>BL38</f>
        <v>733</v>
      </c>
      <c r="DN32" s="514">
        <f>SUMIF($DJ$13:$DJ$199,DL32,$DM$13:$DM$199)</f>
        <v>0</v>
      </c>
      <c r="DQ32" s="197">
        <f t="shared" si="15"/>
        <v>10</v>
      </c>
      <c r="DR32" s="197" t="str">
        <f t="shared" si="13"/>
        <v/>
      </c>
      <c r="DS32" s="10" t="str">
        <f>CQ28</f>
        <v/>
      </c>
      <c r="DT32" s="24"/>
      <c r="DU32" s="249" t="str">
        <f>IF(COUNTIF($DS$10:DS31,DS32)&gt;0,"",DS32)</f>
        <v/>
      </c>
      <c r="DV32" s="198" t="str">
        <f>CS28</f>
        <v/>
      </c>
      <c r="DW32" s="514">
        <f t="shared" si="14"/>
        <v>5</v>
      </c>
    </row>
    <row r="33" spans="2:127" ht="11.25" customHeight="1" thickBot="1">
      <c r="B33" s="23"/>
      <c r="C33" s="2396"/>
      <c r="D33" s="2396"/>
      <c r="E33" s="2396"/>
      <c r="F33" s="2397" t="s">
        <v>235</v>
      </c>
      <c r="G33" s="2397"/>
      <c r="H33" s="2397"/>
      <c r="I33" s="2397"/>
      <c r="J33" s="2397" t="s">
        <v>235</v>
      </c>
      <c r="K33" s="2397"/>
      <c r="L33" s="2397"/>
      <c r="M33" s="2397"/>
      <c r="N33" s="2397" t="s">
        <v>128</v>
      </c>
      <c r="O33" s="2397"/>
      <c r="P33" s="2397"/>
      <c r="Q33" s="2397"/>
      <c r="R33" s="2397"/>
      <c r="S33" s="2397" t="s">
        <v>128</v>
      </c>
      <c r="T33" s="2397"/>
      <c r="U33" s="2397"/>
      <c r="V33" s="2397"/>
      <c r="W33" s="2397" t="s">
        <v>128</v>
      </c>
      <c r="X33" s="2397"/>
      <c r="Y33" s="2397"/>
      <c r="Z33" s="2397"/>
      <c r="AA33" s="2397" t="s">
        <v>111</v>
      </c>
      <c r="AB33" s="2397"/>
      <c r="AC33" s="2397"/>
      <c r="AD33" s="2397" t="s">
        <v>110</v>
      </c>
      <c r="AE33" s="2397"/>
      <c r="AF33" s="2397"/>
      <c r="AG33" s="3398" t="str">
        <f>IF(AN33="","","共部屋面積")</f>
        <v>共部屋面積</v>
      </c>
      <c r="AH33" s="2382"/>
      <c r="AI33" s="2382"/>
      <c r="AJ33" s="2382"/>
      <c r="AK33" s="2382"/>
      <c r="AL33" s="2382"/>
      <c r="AM33" s="3392"/>
      <c r="AN33" s="3368">
        <f>IF(OR($B$2=0,C36=""),"",W36/AD36)</f>
        <v>39.475862068965526</v>
      </c>
      <c r="AO33" s="3369"/>
      <c r="AP33" s="3369"/>
      <c r="AQ33" s="3369"/>
      <c r="AR33" s="3370"/>
      <c r="AS33" s="3419" t="s">
        <v>895</v>
      </c>
      <c r="AT33" s="3361"/>
      <c r="AU33" s="3360" t="s">
        <v>894</v>
      </c>
      <c r="AV33" s="3361"/>
      <c r="AW33" s="3360" t="s">
        <v>893</v>
      </c>
      <c r="AX33" s="3361"/>
      <c r="AY33" s="3360" t="s">
        <v>892</v>
      </c>
      <c r="AZ33" s="3361"/>
      <c r="BA33" s="3360" t="s">
        <v>891</v>
      </c>
      <c r="BB33" s="3361"/>
      <c r="BC33" s="3360" t="s">
        <v>890</v>
      </c>
      <c r="BD33" s="3361"/>
      <c r="BE33" s="3360" t="s">
        <v>889</v>
      </c>
      <c r="BF33" s="3361"/>
      <c r="BG33" s="3432" t="s">
        <v>888</v>
      </c>
      <c r="BH33" s="3433"/>
      <c r="BI33" s="3360"/>
      <c r="BJ33" s="3361"/>
      <c r="BK33" s="3360"/>
      <c r="BL33" s="3361"/>
      <c r="BM33" s="3391" t="s">
        <v>887</v>
      </c>
      <c r="BN33" s="3391"/>
      <c r="BO33" s="3391"/>
      <c r="BP33" s="3391" t="s">
        <v>887</v>
      </c>
      <c r="BQ33" s="3391"/>
      <c r="BR33" s="3391"/>
      <c r="BS33" s="3432" t="s">
        <v>744</v>
      </c>
      <c r="BT33" s="3433"/>
      <c r="BU33" s="19"/>
      <c r="BW33" s="102"/>
      <c r="BX33" s="88">
        <f>IF(OR(J34="( 10)",J34="(12)イ",LEFT(J34,4)="(13)"),1,0)</f>
        <v>0</v>
      </c>
      <c r="BY33" s="88" t="str">
        <f>IF(OR(J34="(1) ロ",J34="(2) ロ",J34="(2) ニ",J34="(5) イ",J34="(6) ハ",J34="(6) ニ",J34="( 7 )",J34="( 15)"),"要","")</f>
        <v/>
      </c>
      <c r="CC33" s="46">
        <v>3</v>
      </c>
      <c r="CD33" s="98">
        <f>非誘!BW30</f>
        <v>30</v>
      </c>
      <c r="CE33" s="98">
        <f>非誘!BX30</f>
        <v>31.8</v>
      </c>
      <c r="CF33" s="106" t="s">
        <v>858</v>
      </c>
      <c r="CG33" s="185">
        <f>INT((F36-$Y$10/1000-0.25)*BY35)</f>
        <v>37</v>
      </c>
      <c r="CH33" s="184">
        <f>1+INT((F36-$Y$7/1000-0.25+$AN$8/1000)*CS38)</f>
        <v>1</v>
      </c>
      <c r="CI33" s="184">
        <f>INT((F36-$Y$8/1000-0.25+$AN$9/1000)*SUM(BI35:BL35))</f>
        <v>47</v>
      </c>
      <c r="CJ33" s="185">
        <f>IF($AX$8=0,"",2*INT(CJ31*($AX$8-250)/1000))</f>
        <v>254</v>
      </c>
      <c r="CK33" s="184"/>
      <c r="CL33" s="184" t="str">
        <f>IF(BP35="","",INT((F36-$Y$9/1000-0.25+AN27/1000)*BP35))</f>
        <v/>
      </c>
      <c r="CM33" s="184" t="str">
        <f>IF(BS35="","",INT((F36-$Y$9/1000-0.25+AN27/1000)*BS35))</f>
        <v/>
      </c>
      <c r="CN33" s="682">
        <f>IF(AN31="不","",(SUM(CG32:CM32)+SUM(CG33:CM33))*W36/N36)</f>
        <v>402.00000000000006</v>
      </c>
      <c r="CO33" s="682">
        <f>IF(AN31="不","",(SUM(CG35:CM35)+SUM(CG36:CM36))*W36/N36)</f>
        <v>219.90000000000003</v>
      </c>
      <c r="CP33" s="670" t="s">
        <v>877</v>
      </c>
      <c r="CQ33" s="15"/>
      <c r="CR33" s="106" t="s">
        <v>868</v>
      </c>
      <c r="CS33" s="8">
        <f>SUM(CS30:CS32)</f>
        <v>32</v>
      </c>
      <c r="CT33" s="3485" t="str">
        <f>IF(CV33="","","アッテネータ 6W")</f>
        <v>アッテネータ 6W</v>
      </c>
      <c r="CU33" s="3484"/>
      <c r="CV33" s="88">
        <f>BK35</f>
        <v>3</v>
      </c>
      <c r="CX33" s="8"/>
      <c r="CY33" s="197">
        <f t="shared" si="18"/>
        <v>4</v>
      </c>
      <c r="CZ33" s="197" t="str">
        <f t="shared" si="16"/>
        <v/>
      </c>
      <c r="DA33" s="10"/>
      <c r="DB33" s="8"/>
      <c r="DC33" s="249"/>
      <c r="DD33" s="515"/>
      <c r="DE33" s="514"/>
      <c r="DG33" s="8"/>
      <c r="DH33" s="197">
        <f t="shared" si="19"/>
        <v>4</v>
      </c>
      <c r="DI33" s="197" t="str">
        <f t="shared" si="17"/>
        <v/>
      </c>
      <c r="DJ33" s="10"/>
      <c r="DK33" s="8"/>
      <c r="DL33" s="249"/>
      <c r="DM33" s="515"/>
      <c r="DN33" s="514"/>
      <c r="DQ33" s="197">
        <f t="shared" si="15"/>
        <v>10</v>
      </c>
      <c r="DR33" s="197" t="str">
        <f t="shared" si="13"/>
        <v/>
      </c>
      <c r="DS33" s="201" t="str">
        <f>CQ29</f>
        <v>ソノライン・スピーカ 20W</v>
      </c>
      <c r="DT33" s="24"/>
      <c r="DU33" s="249" t="str">
        <f>IF(COUNTIF($DS$10:DS32,DS33)&gt;0,"",DS33)</f>
        <v/>
      </c>
      <c r="DV33" s="198">
        <f>CS29</f>
        <v>19</v>
      </c>
      <c r="DW33" s="514">
        <f t="shared" si="14"/>
        <v>5</v>
      </c>
    </row>
    <row r="34" spans="2:127" ht="11.25" customHeight="1" thickBot="1">
      <c r="B34" s="23"/>
      <c r="C34" s="2299" t="s">
        <v>112</v>
      </c>
      <c r="D34" s="2299"/>
      <c r="E34" s="2299"/>
      <c r="F34" s="2299"/>
      <c r="G34" s="2299"/>
      <c r="H34" s="2299"/>
      <c r="I34" s="3399"/>
      <c r="J34" s="3447" t="str">
        <f>非誘!J28</f>
        <v>( 4 )</v>
      </c>
      <c r="K34" s="3377"/>
      <c r="L34" s="3377"/>
      <c r="M34" s="3448"/>
      <c r="N34" s="3403" t="str">
        <f>非誘!M28</f>
        <v>百貨店等</v>
      </c>
      <c r="O34" s="3404"/>
      <c r="P34" s="3404"/>
      <c r="Q34" s="3404"/>
      <c r="R34" s="3404"/>
      <c r="S34" s="3404"/>
      <c r="T34" s="3404"/>
      <c r="U34" s="3404"/>
      <c r="V34" s="3404"/>
      <c r="W34" s="3404"/>
      <c r="X34" s="3404"/>
      <c r="Y34" s="3404"/>
      <c r="Z34" s="3405"/>
      <c r="AA34" s="3406" t="s">
        <v>926</v>
      </c>
      <c r="AB34" s="2301"/>
      <c r="AC34" s="2301"/>
      <c r="AD34" s="2301"/>
      <c r="AE34" s="2301"/>
      <c r="AF34" s="2302"/>
      <c r="AG34" s="3393" t="str">
        <f>IF($B$2=0,"",IF(AN34="","天井(C 管)",AN34))</f>
        <v>天井(C 管)</v>
      </c>
      <c r="AH34" s="2368"/>
      <c r="AI34" s="2368"/>
      <c r="AJ34" s="2368"/>
      <c r="AK34" s="2368"/>
      <c r="AL34" s="3394"/>
      <c r="AM34" s="668" t="s">
        <v>925</v>
      </c>
      <c r="AN34" s="3395"/>
      <c r="AO34" s="3396"/>
      <c r="AP34" s="3396"/>
      <c r="AQ34" s="3396"/>
      <c r="AR34" s="3397"/>
      <c r="AS34" s="3434" t="s">
        <v>881</v>
      </c>
      <c r="AT34" s="3435"/>
      <c r="AU34" s="3436" t="s">
        <v>880</v>
      </c>
      <c r="AV34" s="3437"/>
      <c r="AW34" s="3432"/>
      <c r="AX34" s="3433"/>
      <c r="AY34" s="3432" t="s">
        <v>881</v>
      </c>
      <c r="AZ34" s="3433"/>
      <c r="BA34" s="3436" t="s">
        <v>884</v>
      </c>
      <c r="BB34" s="3437"/>
      <c r="BC34" s="3436" t="s">
        <v>883</v>
      </c>
      <c r="BD34" s="3438"/>
      <c r="BE34" s="3438"/>
      <c r="BF34" s="3437"/>
      <c r="BG34" s="3420" t="s">
        <v>882</v>
      </c>
      <c r="BH34" s="3421"/>
      <c r="BI34" s="3436" t="s">
        <v>881</v>
      </c>
      <c r="BJ34" s="3437"/>
      <c r="BK34" s="3436" t="s">
        <v>880</v>
      </c>
      <c r="BL34" s="3437"/>
      <c r="BM34" s="3376">
        <f>IF($B$2=0,"",IF(BM35&lt;&gt;"",BM35,IF(C35=AL34,1,"")))</f>
        <v>1</v>
      </c>
      <c r="BN34" s="3377"/>
      <c r="BO34" s="3378"/>
      <c r="BP34" s="3376" t="str">
        <f>IF($B$2=0,"",IF(OR(AE30="不",AA35="",S35=""),"",IF(BP35&lt;&gt;"",BP35,IF(AL35="要",1+INT(S35/1000),""))))</f>
        <v/>
      </c>
      <c r="BQ34" s="3377"/>
      <c r="BR34" s="3378"/>
      <c r="BS34" s="2384" t="s">
        <v>879</v>
      </c>
      <c r="BT34" s="2386"/>
      <c r="BU34" s="19"/>
      <c r="BW34" s="102"/>
      <c r="CB34" s="90" t="s">
        <v>924</v>
      </c>
      <c r="CC34" s="479" t="str">
        <f>AD35</f>
        <v>⑦</v>
      </c>
      <c r="CD34" s="263">
        <f>IF(C36="","",IF(CC34="①",CD33+CE33+3,IF(CC34="②",CD33*5/8+CE33+3,IF(CC34="③",CD33/2+CE33+3,IF(CC34="④",CD33+CE33*5/8+3,IF(CC34="⑤",(CD33+CE33)*5/8+3,IF(CC34="⑥",CD33/2+CE33*5/8+3,IF(CC34="⑦",CD33+CE33/2+3,IF(CC34="⑧",CD33*5/8+CE33/2+3,IF(CC34="⑨",(CD33+CE33)/2+3))))))))))</f>
        <v>48.9</v>
      </c>
      <c r="CE34" s="8"/>
      <c r="CF34" s="106"/>
      <c r="CG34" s="681">
        <f>IF(AG34="天井ケーブル",0,1)</f>
        <v>1</v>
      </c>
      <c r="CH34" s="394"/>
      <c r="CI34" s="394"/>
      <c r="CJ34" s="59"/>
      <c r="CK34" s="394"/>
      <c r="CL34" s="394"/>
      <c r="CM34" s="394"/>
      <c r="CN34" s="62" t="s">
        <v>1</v>
      </c>
      <c r="CO34" s="62" t="s">
        <v>877</v>
      </c>
      <c r="CP34" s="38"/>
      <c r="CQ34" s="2986" t="str">
        <f>IF(CS34="","","スピーカ 6W S2")</f>
        <v>スピーカ 6W S2</v>
      </c>
      <c r="CR34" s="3476"/>
      <c r="CS34" s="88">
        <f>IF(AU35=0,"",AU35)</f>
        <v>4</v>
      </c>
      <c r="CT34" s="3483" t="str">
        <f>IF(CV34="","","主増幅器")</f>
        <v>主増幅器</v>
      </c>
      <c r="CU34" s="3484"/>
      <c r="CV34" s="88">
        <f>BM35</f>
        <v>1</v>
      </c>
      <c r="CX34" s="8"/>
      <c r="CY34" s="197">
        <f t="shared" si="18"/>
        <v>4</v>
      </c>
      <c r="CZ34" s="197" t="str">
        <f t="shared" si="16"/>
        <v/>
      </c>
      <c r="DA34" s="10"/>
      <c r="DB34" s="8"/>
      <c r="DC34" s="249"/>
      <c r="DD34" s="515"/>
      <c r="DE34" s="514"/>
      <c r="DG34" s="8"/>
      <c r="DH34" s="197">
        <f t="shared" si="19"/>
        <v>4</v>
      </c>
      <c r="DI34" s="197" t="str">
        <f t="shared" si="17"/>
        <v/>
      </c>
      <c r="DJ34" s="10"/>
      <c r="DK34" s="8"/>
      <c r="DL34" s="249"/>
      <c r="DM34" s="515"/>
      <c r="DN34" s="514"/>
      <c r="DQ34" s="197">
        <f t="shared" si="15"/>
        <v>10</v>
      </c>
      <c r="DR34" s="197" t="str">
        <f t="shared" si="13"/>
        <v/>
      </c>
      <c r="DS34" s="10" t="str">
        <f t="shared" ref="DS34:DS39" si="20">CT22</f>
        <v/>
      </c>
      <c r="DT34" s="24"/>
      <c r="DU34" s="249" t="str">
        <f>IF(COUNTIF($DS$10:DS33,DS34)&gt;0,"",DS34)</f>
        <v/>
      </c>
      <c r="DV34" s="198" t="str">
        <f t="shared" ref="DV34:DV39" si="21">CV22</f>
        <v/>
      </c>
      <c r="DW34" s="514">
        <f t="shared" si="14"/>
        <v>5</v>
      </c>
    </row>
    <row r="35" spans="2:127" ht="11.25" customHeight="1" thickBot="1">
      <c r="B35" s="23"/>
      <c r="C35" s="3409" t="s">
        <v>923</v>
      </c>
      <c r="D35" s="3410"/>
      <c r="E35" s="3410"/>
      <c r="F35" s="3410"/>
      <c r="G35" s="3410"/>
      <c r="H35" s="3411"/>
      <c r="I35" s="3430" t="str">
        <f>非誘!AA28</f>
        <v>B1</v>
      </c>
      <c r="J35" s="3430"/>
      <c r="K35" s="3430"/>
      <c r="L35" s="2395" t="s">
        <v>214</v>
      </c>
      <c r="M35" s="2395"/>
      <c r="N35" s="2395"/>
      <c r="O35" s="2395"/>
      <c r="P35" s="2395"/>
      <c r="Q35" s="2395"/>
      <c r="R35" s="2395"/>
      <c r="S35" s="3379">
        <f>非誘!J29</f>
        <v>0.94339622641509435</v>
      </c>
      <c r="T35" s="3380"/>
      <c r="U35" s="3380"/>
      <c r="V35" s="3381"/>
      <c r="W35" s="3399" t="s">
        <v>875</v>
      </c>
      <c r="X35" s="3412"/>
      <c r="Y35" s="3412"/>
      <c r="Z35" s="3412"/>
      <c r="AA35" s="2654"/>
      <c r="AB35" s="2654"/>
      <c r="AC35" s="2655"/>
      <c r="AD35" s="3388" t="str">
        <f>非誘!V29</f>
        <v>⑦</v>
      </c>
      <c r="AE35" s="3389"/>
      <c r="AF35" s="3390"/>
      <c r="AG35" s="3391" t="s">
        <v>874</v>
      </c>
      <c r="AH35" s="3391"/>
      <c r="AI35" s="3391"/>
      <c r="AJ35" s="3391"/>
      <c r="AK35" s="3391"/>
      <c r="AL35" s="2990" t="str">
        <f>IF(AP35&lt;&gt;"",AP35,IF(C36=$BG$10,C36,""))</f>
        <v xml:space="preserve">  1F</v>
      </c>
      <c r="AM35" s="2990"/>
      <c r="AN35" s="2990"/>
      <c r="AO35" s="668" t="s">
        <v>34</v>
      </c>
      <c r="AP35" s="3325"/>
      <c r="AQ35" s="3326"/>
      <c r="AR35" s="3327"/>
      <c r="AS35" s="3418">
        <f>IF(CE36=0,"",IF(AS36&lt;&gt;"",AS36,IF(BE35&lt;&gt;"",CN37,SUM(CN35:CO35))))</f>
        <v>18</v>
      </c>
      <c r="AT35" s="3375"/>
      <c r="AU35" s="3418">
        <f>IF(CE36=0,"",IF(AU36&lt;&gt;"",AU36,CN36))</f>
        <v>4</v>
      </c>
      <c r="AV35" s="3375"/>
      <c r="AW35" s="3418"/>
      <c r="AX35" s="3375"/>
      <c r="AY35" s="3418">
        <f>IF(AA36="","",IF(AY36&lt;&gt;"",AY36,CO36))</f>
        <v>14</v>
      </c>
      <c r="AZ35" s="3375"/>
      <c r="BA35" s="3418"/>
      <c r="BB35" s="3375"/>
      <c r="BC35" s="3418" t="str">
        <f>IF(OR(AL36="不",,BP35=""),"",IF(BC36&lt;&gt;"",BC36,BP35*2))</f>
        <v/>
      </c>
      <c r="BD35" s="3375"/>
      <c r="BE35" s="3418" t="str">
        <f>IF(BE36&lt;&gt;"",BE36,IF(BX33=0,"",CN37))</f>
        <v/>
      </c>
      <c r="BF35" s="3375"/>
      <c r="BG35" s="3418" t="str">
        <f>IF(AE31="不","",IF(BG36&lt;&gt;"",BG36,BP35))</f>
        <v/>
      </c>
      <c r="BH35" s="3375"/>
      <c r="BI35" s="3418">
        <f>IF(CE36=0,"",CN38)</f>
        <v>9</v>
      </c>
      <c r="BJ35" s="3375"/>
      <c r="BK35" s="3374">
        <f>IF(CE36=0,"",CO38)</f>
        <v>3</v>
      </c>
      <c r="BL35" s="3375"/>
      <c r="BM35" s="3376">
        <f>IF(CE36=0,"",IF(BM36&lt;&gt;"",BM36,IF(C36=AL35,1,"")))</f>
        <v>1</v>
      </c>
      <c r="BN35" s="3377"/>
      <c r="BO35" s="3378"/>
      <c r="BP35" s="3376" t="str">
        <f>IF(CE36=0,"",IF(OR(AE31="不",AA36="",S36=""),"",IF(BP36&lt;&gt;"",BP36,IF(AL36="要",1+INT(S36/1000),""))))</f>
        <v/>
      </c>
      <c r="BQ35" s="3377"/>
      <c r="BR35" s="3378"/>
      <c r="BS35" s="3376" t="str">
        <f>IF(BS36&lt;&gt;"",BS36,BP35)</f>
        <v/>
      </c>
      <c r="BT35" s="3378"/>
      <c r="BU35" s="19"/>
      <c r="BW35" s="680">
        <f>IF(AND(CS36=0,CS37=""),CS33*3,CS33*3+CS36*6)</f>
        <v>120</v>
      </c>
      <c r="BX35" s="679">
        <f>BY36</f>
        <v>75</v>
      </c>
      <c r="BY35" s="522">
        <f>1+INT(SUM(S36:Z36)/400)</f>
        <v>10</v>
      </c>
      <c r="BZ35" s="100" t="s">
        <v>873</v>
      </c>
      <c r="CB35" s="678" t="str">
        <f>IF($B$2=0,"",IF(CE36="=",MID(BZ36,10,3),10*(1+INT(BY35*3/10))))</f>
        <v>200</v>
      </c>
      <c r="CC35" s="10" t="s">
        <v>922</v>
      </c>
      <c r="CF35" s="106" t="s">
        <v>857</v>
      </c>
      <c r="CG35" s="136">
        <f>IF(CG34=1,INT(CD34*BY35)+BY35*10,"")</f>
        <v>589</v>
      </c>
      <c r="CH35" s="136">
        <f>IF(CG34=1,INT(CD34*CS38),"")</f>
        <v>0</v>
      </c>
      <c r="CI35" s="136">
        <f>8*SUM(BI35:BL35)</f>
        <v>96</v>
      </c>
      <c r="CJ35" s="134" t="str">
        <f>IF($AX$8=0,INT(10.7*CD33*CE33/($BF$8/1000)^2)*1.5,"")</f>
        <v/>
      </c>
      <c r="CK35" s="136">
        <v>0</v>
      </c>
      <c r="CL35" s="136" t="str">
        <f>IF(BP35="","",10*BP35)</f>
        <v/>
      </c>
      <c r="CM35" s="136" t="str">
        <f>IF(BS35="","",10*BS35)</f>
        <v/>
      </c>
      <c r="CN35" s="665">
        <f>IF(AA36="",0,IF(AE31="不","",INT(AA36/2)))</f>
        <v>4</v>
      </c>
      <c r="CO35" s="665">
        <f>IF(AN31="不","",INT(AD36/2))</f>
        <v>14</v>
      </c>
      <c r="CP35" s="670" t="s">
        <v>921</v>
      </c>
      <c r="CQ35" s="2986" t="str">
        <f>IF(CS35="","","スピーカ 5W S4")</f>
        <v/>
      </c>
      <c r="CR35" s="3476"/>
      <c r="CS35" s="88" t="str">
        <f>IF(BA35=0,"",BA35)</f>
        <v/>
      </c>
      <c r="CT35" s="3483" t="str">
        <f>IF(CV35="","","副増幅器 30W")</f>
        <v/>
      </c>
      <c r="CU35" s="3484"/>
      <c r="CV35" s="88" t="str">
        <f>BP35</f>
        <v/>
      </c>
      <c r="CX35" s="8"/>
      <c r="CY35" s="197">
        <f t="shared" si="18"/>
        <v>4</v>
      </c>
      <c r="CZ35" s="197" t="str">
        <f t="shared" si="16"/>
        <v/>
      </c>
      <c r="DA35" s="10"/>
      <c r="DB35" s="8"/>
      <c r="DC35" s="249"/>
      <c r="DD35" s="515"/>
      <c r="DE35" s="514"/>
      <c r="DG35" s="8"/>
      <c r="DH35" s="197">
        <f t="shared" si="19"/>
        <v>4</v>
      </c>
      <c r="DI35" s="197" t="str">
        <f t="shared" si="17"/>
        <v/>
      </c>
      <c r="DJ35" s="10"/>
      <c r="DK35" s="8"/>
      <c r="DL35" s="249"/>
      <c r="DM35" s="515"/>
      <c r="DN35" s="514"/>
      <c r="DQ35" s="197">
        <f t="shared" si="15"/>
        <v>10</v>
      </c>
      <c r="DR35" s="197" t="str">
        <f t="shared" si="13"/>
        <v/>
      </c>
      <c r="DS35" s="10" t="str">
        <f t="shared" si="20"/>
        <v>アッテネータ 3W</v>
      </c>
      <c r="DT35" s="24"/>
      <c r="DU35" s="249" t="str">
        <f>IF(COUNTIF($DS$10:DS34,DS35)&gt;0,"",DS35)</f>
        <v/>
      </c>
      <c r="DV35" s="198">
        <f t="shared" si="21"/>
        <v>9</v>
      </c>
      <c r="DW35" s="514">
        <f t="shared" si="14"/>
        <v>5</v>
      </c>
    </row>
    <row r="36" spans="2:127" ht="11.25" customHeight="1" thickBot="1">
      <c r="B36" s="23"/>
      <c r="C36" s="3429" t="str">
        <f>IF($B$2=0,"",非誘!C30)</f>
        <v xml:space="preserve">  1F</v>
      </c>
      <c r="D36" s="3407"/>
      <c r="E36" s="3407"/>
      <c r="F36" s="3430">
        <f>IF($B$2=0,"",非誘!F30)</f>
        <v>5</v>
      </c>
      <c r="G36" s="3430"/>
      <c r="H36" s="3430"/>
      <c r="I36" s="3430"/>
      <c r="J36" s="3430">
        <f>IF($B$2=0,"",非誘!J30)</f>
        <v>3</v>
      </c>
      <c r="K36" s="3430"/>
      <c r="L36" s="3430"/>
      <c r="M36" s="3430"/>
      <c r="N36" s="3407">
        <f>IF($B$2=0,"",非誘!N30)</f>
        <v>3816</v>
      </c>
      <c r="O36" s="3407"/>
      <c r="P36" s="3407"/>
      <c r="Q36" s="3407"/>
      <c r="R36" s="3407"/>
      <c r="S36" s="3431">
        <f>IF($B$2=0,"",非誘!S30)</f>
        <v>2671.2</v>
      </c>
      <c r="T36" s="3431"/>
      <c r="U36" s="3431"/>
      <c r="V36" s="3431"/>
      <c r="W36" s="3431">
        <f>IF($B$2=0,"",非誘!W30)</f>
        <v>1144.8000000000002</v>
      </c>
      <c r="X36" s="3431"/>
      <c r="Y36" s="3431"/>
      <c r="Z36" s="3431"/>
      <c r="AA36" s="3407">
        <f>IF($B$2=0,"",非誘!AA30)</f>
        <v>9</v>
      </c>
      <c r="AB36" s="3407"/>
      <c r="AC36" s="3407"/>
      <c r="AD36" s="3407">
        <f>IF($B$2=0,"",非誘!AD30)</f>
        <v>29</v>
      </c>
      <c r="AE36" s="3407"/>
      <c r="AF36" s="3407"/>
      <c r="AG36" s="3391" t="s">
        <v>920</v>
      </c>
      <c r="AH36" s="3391"/>
      <c r="AI36" s="3391"/>
      <c r="AJ36" s="3391"/>
      <c r="AK36" s="3391"/>
      <c r="AL36" s="2990" t="str">
        <f>IF(AP36&lt;&gt;"",AP36,IF($BY$9="要","要",""))</f>
        <v/>
      </c>
      <c r="AM36" s="2990"/>
      <c r="AN36" s="2990"/>
      <c r="AO36" s="668" t="s">
        <v>34</v>
      </c>
      <c r="AP36" s="3408"/>
      <c r="AQ36" s="3408"/>
      <c r="AR36" s="3408"/>
      <c r="AS36" s="2551"/>
      <c r="AT36" s="3414"/>
      <c r="AU36" s="2551"/>
      <c r="AV36" s="3414"/>
      <c r="AW36" s="2551"/>
      <c r="AX36" s="3414"/>
      <c r="AY36" s="2551"/>
      <c r="AZ36" s="3414"/>
      <c r="BA36" s="2551"/>
      <c r="BB36" s="3414"/>
      <c r="BC36" s="2551"/>
      <c r="BD36" s="3414"/>
      <c r="BE36" s="2551"/>
      <c r="BF36" s="3414"/>
      <c r="BG36" s="2551"/>
      <c r="BH36" s="3414"/>
      <c r="BI36" s="2551"/>
      <c r="BJ36" s="3414"/>
      <c r="BK36" s="2551"/>
      <c r="BL36" s="3414"/>
      <c r="BM36" s="2551"/>
      <c r="BN36" s="3428"/>
      <c r="BO36" s="3414"/>
      <c r="BP36" s="2551"/>
      <c r="BQ36" s="3428"/>
      <c r="BR36" s="3414"/>
      <c r="BS36" s="2551"/>
      <c r="BT36" s="3414"/>
      <c r="BU36" s="19"/>
      <c r="BW36" s="102"/>
      <c r="BY36" s="677">
        <f>IF(CE36=0,0,IF(CE36="=",BY35+BY27+BY45,IF(CE36="-",BY35+BY27,BY35+BY45)))</f>
        <v>75</v>
      </c>
      <c r="BZ36" s="3443" t="str">
        <f>IF(CE36=0,"",IF(BY36*3&lt;=20,"HP 1.2mm- 10Pr",IF(BY36*3&lt;=30,"HP 1.2mm- 15Pr",IF(BY36*3&lt;=40,"HP 1.2mm- 20Pr",IF(BY36*3&lt;=50,"HP 1.2mm- 25Pr",IF(BY36*3&lt;=60,"HP 1.2mm- 30Pr",IF(BY36*3&lt;=80,"HP 1.2mm- 40Pr",IF(BY36*3&lt;=100,"HP 1.2mm- 50Pr",IF(BY36*3&lt;=150,"HP 1.2mm- 75Pr", IF(BY36*3&lt;=200,"HP 1.2mm-100Pr",IF(BY36*3&lt;=400,"HP 1.2mm-200Pr","")))))))))))</f>
        <v>HP 1.2mm-200Pr</v>
      </c>
      <c r="CA36" s="3444"/>
      <c r="CB36" s="3444"/>
      <c r="CC36" s="3445"/>
      <c r="CD36" s="673" t="str">
        <f>IF(LEFT($BG$10,2)=" B",-MID($BG$10,3,1),LEFT($BG$10,3))</f>
        <v xml:space="preserve">  1</v>
      </c>
      <c r="CE36" s="676" t="str">
        <f>IF(CD37=0,0,IF(CD36=CD37,"=",IF(CD36&gt;CD37,"-","+")))</f>
        <v>=</v>
      </c>
      <c r="CF36" s="106" t="s">
        <v>856</v>
      </c>
      <c r="CG36" s="136">
        <f>2*INT((F36-$Y$10/1000-0.25))</f>
        <v>6</v>
      </c>
      <c r="CH36" s="136">
        <f>1+INT((F36-$Y$7/1000-0.25)*CS38)</f>
        <v>1</v>
      </c>
      <c r="CI36" s="136">
        <f>INT((F36-$Y$8/1000-0.25)*SUM(BI35:BL35))</f>
        <v>41</v>
      </c>
      <c r="CJ36" s="675"/>
      <c r="CK36" s="136">
        <v>0</v>
      </c>
      <c r="CL36" s="136" t="str">
        <f>IF(BP35="","",INT((F36-$Y$9/1000-0.25)*BP35))</f>
        <v/>
      </c>
      <c r="CM36" s="136" t="str">
        <f>IF(BS35="","",INT((F36-$Y$9/1000-0.25)*BS35))</f>
        <v/>
      </c>
      <c r="CN36" s="665">
        <f>IF(AA36="",0,IF(AE31="不","",INT(AA36/2)))</f>
        <v>4</v>
      </c>
      <c r="CO36" s="665">
        <f>IF(AN31="不","",INT(AD36/2))</f>
        <v>14</v>
      </c>
      <c r="CP36" s="670" t="s">
        <v>919</v>
      </c>
      <c r="CQ36" s="15"/>
      <c r="CR36" s="106" t="s">
        <v>868</v>
      </c>
      <c r="CS36" s="8">
        <f>SUM(CS34:CS35)</f>
        <v>4</v>
      </c>
      <c r="CT36" s="3483" t="str">
        <f>IF(CV36="","","カットリレー")</f>
        <v/>
      </c>
      <c r="CU36" s="3484"/>
      <c r="CV36" s="88" t="str">
        <f>BS35</f>
        <v/>
      </c>
      <c r="CY36" s="197">
        <f t="shared" si="18"/>
        <v>4</v>
      </c>
      <c r="CZ36" s="197" t="str">
        <f t="shared" si="16"/>
        <v/>
      </c>
      <c r="DB36" s="24"/>
      <c r="DD36" s="516"/>
      <c r="DE36" s="516"/>
      <c r="DH36" s="197">
        <f t="shared" si="19"/>
        <v>4</v>
      </c>
      <c r="DI36" s="197" t="str">
        <f t="shared" si="17"/>
        <v/>
      </c>
      <c r="DK36" s="24"/>
      <c r="DM36" s="516"/>
      <c r="DN36" s="516"/>
      <c r="DQ36" s="197">
        <f t="shared" si="15"/>
        <v>10</v>
      </c>
      <c r="DR36" s="197" t="str">
        <f t="shared" si="13"/>
        <v/>
      </c>
      <c r="DS36" s="10" t="str">
        <f t="shared" si="20"/>
        <v>アッテネータ 6W</v>
      </c>
      <c r="DT36" s="24"/>
      <c r="DU36" s="249" t="str">
        <f>IF(COUNTIF($DS$10:DS35,DS36)&gt;0,"",DS36)</f>
        <v/>
      </c>
      <c r="DV36" s="198">
        <f t="shared" si="21"/>
        <v>2</v>
      </c>
      <c r="DW36" s="514">
        <f t="shared" si="14"/>
        <v>5</v>
      </c>
    </row>
    <row r="37" spans="2:127" ht="11.25" customHeight="1" thickBot="1">
      <c r="B37" s="23"/>
      <c r="C37" s="2300" t="s">
        <v>867</v>
      </c>
      <c r="D37" s="2301"/>
      <c r="E37" s="2301"/>
      <c r="F37" s="2301"/>
      <c r="G37" s="2302"/>
      <c r="H37" s="3422" t="str">
        <f>IF(CE36=0,"",IF(R37&lt;&gt;"",R37,BZ36))</f>
        <v>HP 1.2mm-200Pr</v>
      </c>
      <c r="I37" s="3423"/>
      <c r="J37" s="3423"/>
      <c r="K37" s="3423"/>
      <c r="L37" s="3423"/>
      <c r="M37" s="3423"/>
      <c r="N37" s="3423"/>
      <c r="O37" s="3423"/>
      <c r="P37" s="3424"/>
      <c r="Q37" s="668" t="s">
        <v>68</v>
      </c>
      <c r="R37" s="3362"/>
      <c r="S37" s="3363"/>
      <c r="T37" s="3363"/>
      <c r="U37" s="3363"/>
      <c r="V37" s="3363"/>
      <c r="W37" s="3363"/>
      <c r="X37" s="3363"/>
      <c r="Y37" s="3363"/>
      <c r="Z37" s="3364"/>
      <c r="AA37" s="3345" t="s">
        <v>866</v>
      </c>
      <c r="AB37" s="3346"/>
      <c r="AC37" s="3346"/>
      <c r="AD37" s="3346"/>
      <c r="AE37" s="3347"/>
      <c r="AF37" s="3385">
        <f>IF(CE36=0,"",IF(AK37&lt;&gt;"",AK37,CG38+CI38))</f>
        <v>56.9</v>
      </c>
      <c r="AG37" s="3386"/>
      <c r="AH37" s="3386"/>
      <c r="AI37" s="3387"/>
      <c r="AJ37" s="669" t="s">
        <v>68</v>
      </c>
      <c r="AK37" s="3415"/>
      <c r="AL37" s="3416"/>
      <c r="AM37" s="3416"/>
      <c r="AN37" s="3417"/>
      <c r="AO37" s="2300" t="s">
        <v>865</v>
      </c>
      <c r="AP37" s="2301"/>
      <c r="AQ37" s="2301"/>
      <c r="AR37" s="2301"/>
      <c r="AS37" s="2302"/>
      <c r="AT37" s="3422" t="str">
        <f>IF(CE36=0,"",IF(BA37&lt;&gt;"",BA37,IF(MID(AG34,4,2)="C ","C-"&amp;CA37&amp;"mm",IF(MID(AG34,4,2)="PF","PF-D-"&amp;CB37&amp;"mm",IF(MID(AG34,4,2)="CD","CD-"&amp;CB37&amp;"mm",IF(MID(AG34,4,2)="G ","G-"&amp;CB37&amp;"mm",""))))))</f>
        <v>C-75mm</v>
      </c>
      <c r="AU37" s="3423"/>
      <c r="AV37" s="3423"/>
      <c r="AW37" s="3423"/>
      <c r="AX37" s="3423"/>
      <c r="AY37" s="3424"/>
      <c r="AZ37" s="668" t="s">
        <v>68</v>
      </c>
      <c r="BA37" s="3362"/>
      <c r="BB37" s="3363"/>
      <c r="BC37" s="3363"/>
      <c r="BD37" s="3363"/>
      <c r="BE37" s="3363"/>
      <c r="BF37" s="3364"/>
      <c r="BG37" s="3345" t="s">
        <v>864</v>
      </c>
      <c r="BH37" s="3346"/>
      <c r="BI37" s="3346"/>
      <c r="BJ37" s="3346"/>
      <c r="BK37" s="3347"/>
      <c r="BL37" s="3385">
        <f>IF(CE36=0,"",IF(CM38=0,"",IF(BQ37&lt;&gt;"",BQ37,CK38+CM38)))</f>
        <v>53.9</v>
      </c>
      <c r="BM37" s="3386"/>
      <c r="BN37" s="3386"/>
      <c r="BO37" s="3387"/>
      <c r="BP37" s="668" t="s">
        <v>68</v>
      </c>
      <c r="BQ37" s="3415"/>
      <c r="BR37" s="3416"/>
      <c r="BS37" s="3416"/>
      <c r="BT37" s="3417"/>
      <c r="BU37" s="19"/>
      <c r="BW37" s="102"/>
      <c r="BZ37" s="107" t="str">
        <f>IF(LEN(BZ36)=13,MID(BZ36,10,2),MID(BZ36,10,3))</f>
        <v>200</v>
      </c>
      <c r="CA37" s="674" t="str">
        <f>IF(OR(BZ37=" 10",BZ37=" 15"),"31",IF(OR(BZ37=" 20",BZ37=" 25",BZ37=" 30"),"39",IF(OR(BZ37=" 40",BZ37=" 50"),"51",IF(BZ37="100","63",IF(BZ37&lt;="200","75","")))))</f>
        <v>75</v>
      </c>
      <c r="CB37" s="674" t="str">
        <f>IF(OR(BZ37=" 10",BZ37=" 15"),"28",IF(OR(BZ37=" 20",BZ37=" 25",BZ37=" 30"),"36",IF(OR(BZ37=" 40",BZ37=" 50"),"42",IF(BZ37="100","54",IF(BZ37&lt;="200","70","")))))</f>
        <v>70</v>
      </c>
      <c r="CD37" s="673" t="str">
        <f>IF(C36="",0,IF(LEFT(C36,2)=" B",-MID(C36,3,1),LEFT(C36,3)))</f>
        <v xml:space="preserve">  1</v>
      </c>
      <c r="CF37" s="106"/>
      <c r="CG37" s="90" t="s">
        <v>1001</v>
      </c>
      <c r="CH37" s="64"/>
      <c r="CI37" s="90" t="s">
        <v>1001</v>
      </c>
      <c r="CJ37" s="38"/>
      <c r="CK37" s="90" t="s">
        <v>1001</v>
      </c>
      <c r="CL37" s="64"/>
      <c r="CM37" s="90" t="s">
        <v>1001</v>
      </c>
      <c r="CN37" s="672">
        <f>IF(S36="",0,IF(AE31="不","",INT(S36/150)))</f>
        <v>17</v>
      </c>
      <c r="CO37" s="671"/>
      <c r="CP37" s="670" t="s">
        <v>897</v>
      </c>
      <c r="CQ37" s="2986" t="str">
        <f>IF(CS37="","","プロセニアム・スピーカ 20W")</f>
        <v/>
      </c>
      <c r="CR37" s="3476"/>
      <c r="CS37" s="88" t="str">
        <f>IF(BC35=0,"",BC35)</f>
        <v/>
      </c>
      <c r="CT37" s="9"/>
      <c r="CU37" s="46"/>
      <c r="CY37" s="197">
        <f t="shared" si="18"/>
        <v>4</v>
      </c>
      <c r="CZ37" s="197" t="str">
        <f t="shared" si="16"/>
        <v/>
      </c>
      <c r="DB37" s="24"/>
      <c r="DD37" s="516"/>
      <c r="DE37" s="516"/>
      <c r="DH37" s="197">
        <f t="shared" si="19"/>
        <v>4</v>
      </c>
      <c r="DI37" s="197" t="str">
        <f t="shared" si="17"/>
        <v/>
      </c>
      <c r="DK37" s="24"/>
      <c r="DM37" s="516"/>
      <c r="DN37" s="516"/>
      <c r="DQ37" s="197">
        <f t="shared" si="15"/>
        <v>10</v>
      </c>
      <c r="DR37" s="197" t="str">
        <f t="shared" si="13"/>
        <v/>
      </c>
      <c r="DS37" s="10" t="str">
        <f t="shared" si="20"/>
        <v/>
      </c>
      <c r="DT37" s="24"/>
      <c r="DU37" s="249" t="str">
        <f>IF(COUNTIF($DS$10:DS36,DS37)&gt;0,"",DS37)</f>
        <v/>
      </c>
      <c r="DV37" s="198" t="str">
        <f t="shared" si="21"/>
        <v/>
      </c>
      <c r="DW37" s="514">
        <f t="shared" si="14"/>
        <v>5</v>
      </c>
    </row>
    <row r="38" spans="2:127" ht="11.25" customHeight="1" thickBot="1">
      <c r="B38" s="23"/>
      <c r="C38" s="2300" t="s">
        <v>861</v>
      </c>
      <c r="D38" s="2301"/>
      <c r="E38" s="2301"/>
      <c r="F38" s="2301"/>
      <c r="G38" s="2302"/>
      <c r="H38" s="3422" t="str">
        <f>IF(CE36=0,"",IF(R38&lt;&gt;"",R38,"HP 1.2mm-3C"))</f>
        <v>HP 1.2mm-3C</v>
      </c>
      <c r="I38" s="3423"/>
      <c r="J38" s="3423"/>
      <c r="K38" s="3423"/>
      <c r="L38" s="3423"/>
      <c r="M38" s="3423"/>
      <c r="N38" s="3423"/>
      <c r="O38" s="3423"/>
      <c r="P38" s="3424"/>
      <c r="Q38" s="668" t="s">
        <v>34</v>
      </c>
      <c r="R38" s="3362"/>
      <c r="S38" s="3363"/>
      <c r="T38" s="3363"/>
      <c r="U38" s="3363"/>
      <c r="V38" s="3363"/>
      <c r="W38" s="3363"/>
      <c r="X38" s="3363"/>
      <c r="Y38" s="3363"/>
      <c r="Z38" s="3364"/>
      <c r="AA38" s="3348" t="s">
        <v>113</v>
      </c>
      <c r="AB38" s="3349"/>
      <c r="AC38" s="3349"/>
      <c r="AD38" s="3349"/>
      <c r="AE38" s="3350"/>
      <c r="AF38" s="3385">
        <f>IF(CE36=0,"",IF(AK38&lt;&gt;"",AK38,SUM(CN32:CN33)))</f>
        <v>1340</v>
      </c>
      <c r="AG38" s="3386"/>
      <c r="AH38" s="3386"/>
      <c r="AI38" s="3387"/>
      <c r="AJ38" s="669" t="s">
        <v>34</v>
      </c>
      <c r="AK38" s="3415"/>
      <c r="AL38" s="3416"/>
      <c r="AM38" s="3416"/>
      <c r="AN38" s="3417"/>
      <c r="AO38" s="2300" t="s">
        <v>860</v>
      </c>
      <c r="AP38" s="2301"/>
      <c r="AQ38" s="2301"/>
      <c r="AR38" s="2301"/>
      <c r="AS38" s="2302"/>
      <c r="AT38" s="3422" t="str">
        <f>IF(CE36=0,"",IF(BA38&lt;&gt;"",BA38,IF(MID(AG34,4,2)="C ","C-19mm",IF(MID(AG34,4,2)="PF","PF-D-16mm",IF(MID(AG34,4,2)="CD","CD-16mm",IF(MID(AG34,4,2)="G ","G-16mm","C-19mm"))))))</f>
        <v>C-19mm</v>
      </c>
      <c r="AU38" s="3423"/>
      <c r="AV38" s="3423"/>
      <c r="AW38" s="3423"/>
      <c r="AX38" s="3423"/>
      <c r="AY38" s="3424"/>
      <c r="AZ38" s="668" t="s">
        <v>34</v>
      </c>
      <c r="BA38" s="3362"/>
      <c r="BB38" s="3363"/>
      <c r="BC38" s="3363"/>
      <c r="BD38" s="3363"/>
      <c r="BE38" s="3363"/>
      <c r="BF38" s="3364"/>
      <c r="BG38" s="3348" t="s">
        <v>113</v>
      </c>
      <c r="BH38" s="3349"/>
      <c r="BI38" s="3349"/>
      <c r="BJ38" s="3349"/>
      <c r="BK38" s="3350"/>
      <c r="BL38" s="3385">
        <f>IF(CE36=0,"",IF(BQ38&lt;&gt;"",BQ38,SUM(CO32:CO33)))</f>
        <v>733</v>
      </c>
      <c r="BM38" s="3386"/>
      <c r="BN38" s="3386"/>
      <c r="BO38" s="3387"/>
      <c r="BP38" s="668" t="s">
        <v>34</v>
      </c>
      <c r="BQ38" s="3425"/>
      <c r="BR38" s="3426"/>
      <c r="BS38" s="3426"/>
      <c r="BT38" s="3427"/>
      <c r="BU38" s="19"/>
      <c r="BW38" s="102"/>
      <c r="CF38" s="106" t="s">
        <v>859</v>
      </c>
      <c r="CG38" s="184">
        <f>IF(CE36="=",CD34,0)</f>
        <v>48.9</v>
      </c>
      <c r="CH38" s="667" t="s">
        <v>858</v>
      </c>
      <c r="CI38" s="184">
        <f>F36+2*$AN$7/1000</f>
        <v>8</v>
      </c>
      <c r="CJ38" s="666" t="s">
        <v>857</v>
      </c>
      <c r="CK38" s="184">
        <f>IF(CG34=1,CG38,0)</f>
        <v>48.9</v>
      </c>
      <c r="CL38" s="666" t="s">
        <v>856</v>
      </c>
      <c r="CM38" s="184">
        <f>IF(CG34=1,F36,0)</f>
        <v>5</v>
      </c>
      <c r="CN38" s="665">
        <f>INT(AS35/2)</f>
        <v>9</v>
      </c>
      <c r="CO38" s="665">
        <f>IF(AU35="","",1+INT(AU35/2))</f>
        <v>3</v>
      </c>
      <c r="CP38" s="664" t="s">
        <v>907</v>
      </c>
      <c r="CQ38" s="3477" t="str">
        <f>IF(CS38="","","ソノライン・スピーカ 20W")</f>
        <v>ソノライン・スピーカ 20W</v>
      </c>
      <c r="CR38" s="3478"/>
      <c r="CS38" s="222">
        <f>IF(BE35="",0,BE35)</f>
        <v>0</v>
      </c>
      <c r="CT38" s="155"/>
      <c r="CU38" s="148"/>
      <c r="CV38" s="148"/>
      <c r="CY38" s="197">
        <f t="shared" si="18"/>
        <v>4</v>
      </c>
      <c r="CZ38" s="197" t="str">
        <f t="shared" si="16"/>
        <v/>
      </c>
      <c r="DB38" s="24"/>
      <c r="DD38" s="516"/>
      <c r="DE38" s="516"/>
      <c r="DH38" s="197">
        <f t="shared" si="19"/>
        <v>4</v>
      </c>
      <c r="DI38" s="197" t="str">
        <f t="shared" si="17"/>
        <v/>
      </c>
      <c r="DK38" s="24"/>
      <c r="DM38" s="516"/>
      <c r="DN38" s="516"/>
      <c r="DQ38" s="197">
        <f t="shared" si="15"/>
        <v>10</v>
      </c>
      <c r="DR38" s="197" t="str">
        <f t="shared" si="13"/>
        <v/>
      </c>
      <c r="DS38" s="10" t="str">
        <f t="shared" si="20"/>
        <v/>
      </c>
      <c r="DT38" s="24"/>
      <c r="DU38" s="249" t="str">
        <f>IF(COUNTIF($DS$10:DS37,DS38)&gt;0,"",DS38)</f>
        <v/>
      </c>
      <c r="DV38" s="198" t="str">
        <f t="shared" si="21"/>
        <v/>
      </c>
      <c r="DW38" s="514">
        <f t="shared" si="14"/>
        <v>5</v>
      </c>
    </row>
    <row r="39" spans="2:127" ht="11.25" customHeight="1">
      <c r="B39" s="23"/>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19"/>
      <c r="BW39" s="102"/>
      <c r="CQ39" s="2986" t="str">
        <f>IF(CS39="","","スピーカ 3W S1")</f>
        <v>スピーカ 3W S1</v>
      </c>
      <c r="CR39" s="3476"/>
      <c r="CS39" s="88">
        <f>IF(AS44=0,"",AS44)</f>
        <v>27</v>
      </c>
      <c r="CT39" s="9"/>
      <c r="CX39" s="88">
        <v>4</v>
      </c>
      <c r="CY39" s="204"/>
      <c r="CZ39" s="155"/>
      <c r="DA39" s="45"/>
      <c r="DB39" s="45"/>
      <c r="DC39" s="45" t="s">
        <v>916</v>
      </c>
      <c r="DD39" s="45"/>
      <c r="DE39" s="45" t="s">
        <v>915</v>
      </c>
      <c r="DG39" s="88">
        <v>4</v>
      </c>
      <c r="DH39" s="204"/>
      <c r="DI39" s="155"/>
      <c r="DJ39" s="45"/>
      <c r="DK39" s="45"/>
      <c r="DL39" s="45" t="s">
        <v>916</v>
      </c>
      <c r="DM39" s="45"/>
      <c r="DN39" s="45" t="s">
        <v>915</v>
      </c>
      <c r="DP39" s="8"/>
      <c r="DQ39" s="197">
        <f t="shared" si="15"/>
        <v>10</v>
      </c>
      <c r="DR39" s="197" t="str">
        <f t="shared" si="13"/>
        <v/>
      </c>
      <c r="DS39" s="10" t="str">
        <f t="shared" si="20"/>
        <v/>
      </c>
      <c r="DT39" s="24"/>
      <c r="DU39" s="249" t="str">
        <f>IF(COUNTIF($DS$10:DS38,DS39)&gt;0,"",DS39)</f>
        <v/>
      </c>
      <c r="DV39" s="198" t="str">
        <f t="shared" si="21"/>
        <v/>
      </c>
      <c r="DW39" s="514">
        <f t="shared" si="14"/>
        <v>5</v>
      </c>
    </row>
    <row r="40" spans="2:127" ht="11.25" customHeight="1" thickBot="1">
      <c r="B40" s="23"/>
      <c r="C40" s="2299" t="s">
        <v>16</v>
      </c>
      <c r="D40" s="2299"/>
      <c r="E40" s="2299"/>
      <c r="F40" s="2299" t="s">
        <v>22</v>
      </c>
      <c r="G40" s="2299"/>
      <c r="H40" s="2299"/>
      <c r="I40" s="2299"/>
      <c r="J40" s="2299" t="s">
        <v>5</v>
      </c>
      <c r="K40" s="2299"/>
      <c r="L40" s="2299"/>
      <c r="M40" s="2299"/>
      <c r="N40" s="2299" t="s">
        <v>6</v>
      </c>
      <c r="O40" s="2299"/>
      <c r="P40" s="2299"/>
      <c r="Q40" s="2299"/>
      <c r="R40" s="2299"/>
      <c r="S40" s="2299" t="s">
        <v>938</v>
      </c>
      <c r="T40" s="2299"/>
      <c r="U40" s="2299"/>
      <c r="V40" s="2299"/>
      <c r="W40" s="2299"/>
      <c r="X40" s="2299"/>
      <c r="Y40" s="2299"/>
      <c r="Z40" s="2299"/>
      <c r="AA40" s="3382" t="s">
        <v>7</v>
      </c>
      <c r="AB40" s="3382"/>
      <c r="AC40" s="3382"/>
      <c r="AD40" s="3382"/>
      <c r="AE40" s="2630" t="str">
        <f>IF(S45="","",IF(AH40&lt;&gt;"",AH40,IF(RIGHT($D$10,2)="不要","不","要")))</f>
        <v>要</v>
      </c>
      <c r="AF40" s="2630"/>
      <c r="AG40" s="668" t="s">
        <v>937</v>
      </c>
      <c r="AH40" s="2632"/>
      <c r="AI40" s="2633"/>
      <c r="AJ40" s="3371" t="s">
        <v>913</v>
      </c>
      <c r="AK40" s="3372"/>
      <c r="AL40" s="3372"/>
      <c r="AM40" s="3373"/>
      <c r="AN40" s="3383" t="str">
        <f>IF(W45="","",IF(AQ40&lt;&gt;"",AQ40,IF(RIGHT($D$10,2)="設置","要","不")))</f>
        <v>要</v>
      </c>
      <c r="AO40" s="3384"/>
      <c r="AP40" s="668" t="s">
        <v>937</v>
      </c>
      <c r="AQ40" s="2632"/>
      <c r="AR40" s="2633"/>
      <c r="AS40" s="3399" t="s">
        <v>912</v>
      </c>
      <c r="AT40" s="3412"/>
      <c r="AU40" s="3412"/>
      <c r="AV40" s="3412"/>
      <c r="AW40" s="3412"/>
      <c r="AX40" s="3412"/>
      <c r="AY40" s="3412"/>
      <c r="AZ40" s="3412"/>
      <c r="BA40" s="3412"/>
      <c r="BB40" s="3412"/>
      <c r="BC40" s="3412"/>
      <c r="BD40" s="3412"/>
      <c r="BE40" s="3412"/>
      <c r="BF40" s="3412"/>
      <c r="BG40" s="3412"/>
      <c r="BH40" s="3413"/>
      <c r="BI40" s="3399" t="s">
        <v>934</v>
      </c>
      <c r="BJ40" s="3412"/>
      <c r="BK40" s="3412"/>
      <c r="BL40" s="3413"/>
      <c r="BM40" s="3360" t="s">
        <v>936</v>
      </c>
      <c r="BN40" s="3419"/>
      <c r="BO40" s="3419"/>
      <c r="BP40" s="3419"/>
      <c r="BQ40" s="3419"/>
      <c r="BR40" s="3361"/>
      <c r="BS40" s="3441" t="s">
        <v>935</v>
      </c>
      <c r="BT40" s="3442"/>
      <c r="BU40" s="19"/>
      <c r="BW40" s="102"/>
      <c r="CF40" s="8"/>
      <c r="CG40" s="685" t="s">
        <v>909</v>
      </c>
      <c r="CH40" s="685" t="s">
        <v>908</v>
      </c>
      <c r="CI40" s="685" t="s">
        <v>934</v>
      </c>
      <c r="CJ40" s="686">
        <f>IF($AX$8=0,"",INT(10.7*CD42*CE42/($BF$8/1000)^2))</f>
        <v>283</v>
      </c>
      <c r="CK40" s="685" t="s">
        <v>933</v>
      </c>
      <c r="CL40" s="685" t="s">
        <v>932</v>
      </c>
      <c r="CM40" s="685" t="s">
        <v>931</v>
      </c>
      <c r="CN40" s="550" t="s">
        <v>734</v>
      </c>
      <c r="CO40" s="550" t="s">
        <v>732</v>
      </c>
      <c r="CP40" s="685"/>
      <c r="CQ40" s="2986" t="str">
        <f>IF(CS40="","","スピーカ 3W S3")</f>
        <v>スピーカ 3W S3</v>
      </c>
      <c r="CR40" s="3476"/>
      <c r="CS40" s="88">
        <f>IF(AY44=0,"",AY44)</f>
        <v>19</v>
      </c>
      <c r="CT40" s="3483" t="str">
        <f>IF(CV40="","","マイクロホン")</f>
        <v/>
      </c>
      <c r="CU40" s="3484"/>
      <c r="CV40" s="88" t="str">
        <f>BG44</f>
        <v/>
      </c>
      <c r="CX40" s="8"/>
      <c r="CY40" s="197">
        <f>IF(DC40&lt;&gt;"",CY38+1,CY38)</f>
        <v>5</v>
      </c>
      <c r="CZ40" s="197">
        <f t="shared" ref="CZ40:CZ47" si="22">IF(AND(CY40&lt;&gt;"",DC40&lt;&gt;""),CY40,"")</f>
        <v>5</v>
      </c>
      <c r="DA40" s="10" t="str">
        <f>H46</f>
        <v>HP 1.2mm- 75Pr</v>
      </c>
      <c r="DB40" s="8"/>
      <c r="DC40" s="249" t="str">
        <f>IF(COUNTIF(DA$10:$DA37,DA40)&gt;0,"",DA40)</f>
        <v>HP 1.2mm- 75Pr</v>
      </c>
      <c r="DD40" s="515">
        <f>AF46</f>
        <v>7</v>
      </c>
      <c r="DE40" s="514">
        <f>SUMIF($DA$13:$DA$199,DC40,$DD$13:$DD$199)</f>
        <v>14</v>
      </c>
      <c r="DG40" s="8"/>
      <c r="DH40" s="197">
        <f>IF(DL40&lt;&gt;"",DH38+1,DH38)</f>
        <v>4</v>
      </c>
      <c r="DI40" s="197" t="str">
        <f t="shared" ref="DI40:DI47" si="23">IF(AND(DH40&lt;&gt;"",DL40&lt;&gt;""),DH40,"")</f>
        <v/>
      </c>
      <c r="DJ40" s="10" t="str">
        <f>AT46</f>
        <v>C-75mm</v>
      </c>
      <c r="DK40" s="8"/>
      <c r="DL40" s="249" t="str">
        <f>IF(COUNTIF($DA$10:DJ37,DJ40)&gt;0,"",DJ40)</f>
        <v/>
      </c>
      <c r="DM40" s="515">
        <f>BL46</f>
        <v>4</v>
      </c>
      <c r="DN40" s="514">
        <f>SUMIF($DJ$13:$DJ$199,DL40,$DM$13:$DM$199)</f>
        <v>0</v>
      </c>
      <c r="DP40" s="88">
        <v>3</v>
      </c>
      <c r="DQ40" s="45"/>
      <c r="DR40" s="45"/>
      <c r="DS40" s="45"/>
      <c r="DT40" s="45"/>
      <c r="DU40" s="45"/>
      <c r="DV40" s="45"/>
      <c r="DW40" s="45"/>
    </row>
    <row r="41" spans="2:127" ht="11.25" customHeight="1" thickBot="1">
      <c r="B41" s="23"/>
      <c r="C41" s="2299"/>
      <c r="D41" s="2299"/>
      <c r="E41" s="2299"/>
      <c r="F41" s="2396"/>
      <c r="G41" s="2396"/>
      <c r="H41" s="2396"/>
      <c r="I41" s="2396"/>
      <c r="J41" s="2396"/>
      <c r="K41" s="2396"/>
      <c r="L41" s="2396"/>
      <c r="M41" s="2396"/>
      <c r="N41" s="2396"/>
      <c r="O41" s="2396"/>
      <c r="P41" s="2396"/>
      <c r="Q41" s="2396"/>
      <c r="R41" s="2396"/>
      <c r="S41" s="2396" t="s">
        <v>7</v>
      </c>
      <c r="T41" s="2396"/>
      <c r="U41" s="2396"/>
      <c r="V41" s="2396"/>
      <c r="W41" s="2396" t="s">
        <v>8</v>
      </c>
      <c r="X41" s="2396"/>
      <c r="Y41" s="2396"/>
      <c r="Z41" s="2396"/>
      <c r="AA41" s="2384" t="s">
        <v>9</v>
      </c>
      <c r="AB41" s="2385"/>
      <c r="AC41" s="2386"/>
      <c r="AD41" s="2384" t="s">
        <v>9</v>
      </c>
      <c r="AE41" s="2385"/>
      <c r="AF41" s="2386"/>
      <c r="AG41" s="2384" t="str">
        <f>IF(AN41="","","専部屋面積")</f>
        <v>専部屋面積</v>
      </c>
      <c r="AH41" s="2385"/>
      <c r="AI41" s="2385"/>
      <c r="AJ41" s="2382"/>
      <c r="AK41" s="2382"/>
      <c r="AL41" s="2382"/>
      <c r="AM41" s="3392"/>
      <c r="AN41" s="3365">
        <f>IF(OR(C45="",$B$2=0),"",S45/AA45)</f>
        <v>143.1</v>
      </c>
      <c r="AO41" s="3366"/>
      <c r="AP41" s="3366"/>
      <c r="AQ41" s="3366"/>
      <c r="AR41" s="3367"/>
      <c r="AS41" s="2300" t="s">
        <v>903</v>
      </c>
      <c r="AT41" s="2301"/>
      <c r="AU41" s="2301"/>
      <c r="AV41" s="2301"/>
      <c r="AW41" s="2301"/>
      <c r="AX41" s="2302"/>
      <c r="AY41" s="2300" t="s">
        <v>902</v>
      </c>
      <c r="AZ41" s="2301"/>
      <c r="BA41" s="2301"/>
      <c r="BB41" s="2302"/>
      <c r="BC41" s="2300" t="s">
        <v>902</v>
      </c>
      <c r="BD41" s="2301"/>
      <c r="BE41" s="2301"/>
      <c r="BF41" s="2302"/>
      <c r="BG41" s="2300" t="s">
        <v>743</v>
      </c>
      <c r="BH41" s="2302"/>
      <c r="BI41" s="2300" t="s">
        <v>901</v>
      </c>
      <c r="BJ41" s="2301"/>
      <c r="BK41" s="2301"/>
      <c r="BL41" s="2302"/>
      <c r="BM41" s="2299" t="s">
        <v>930</v>
      </c>
      <c r="BN41" s="2299"/>
      <c r="BO41" s="2299"/>
      <c r="BP41" s="2299" t="s">
        <v>929</v>
      </c>
      <c r="BQ41" s="2299"/>
      <c r="BR41" s="2299"/>
      <c r="BS41" s="3439" t="s">
        <v>928</v>
      </c>
      <c r="BT41" s="3440"/>
      <c r="BU41" s="19"/>
      <c r="BW41" s="102"/>
      <c r="BX41" s="90" t="s">
        <v>889</v>
      </c>
      <c r="BY41" s="100" t="s">
        <v>927</v>
      </c>
      <c r="CC41" s="180">
        <v>34</v>
      </c>
      <c r="CD41" s="55" t="s">
        <v>229</v>
      </c>
      <c r="CE41" s="55" t="s">
        <v>228</v>
      </c>
      <c r="CF41" s="106" t="s">
        <v>859</v>
      </c>
      <c r="CG41" s="184">
        <f>INT((CD43+10)*BY44+CS42*$AN$8/1000+($AN$7/1000)*BY44)</f>
        <v>631</v>
      </c>
      <c r="CH41" s="184">
        <f>INT(CD43*CS47+CS47)</f>
        <v>0</v>
      </c>
      <c r="CI41" s="184">
        <f>8*SUM(BI44:BL44)</f>
        <v>144</v>
      </c>
      <c r="CJ41" s="185">
        <f>IF($AX$8=0,"",2*INT(0.5*CJ40))</f>
        <v>282</v>
      </c>
      <c r="CK41" s="184"/>
      <c r="CL41" s="184" t="str">
        <f>IF(BP44="","",10*BP44)</f>
        <v/>
      </c>
      <c r="CM41" s="184" t="str">
        <f>IF(BP44="","",10*BP44)</f>
        <v/>
      </c>
      <c r="CN41" s="682">
        <f>IF(S45="",0,IF(AE40="不","",(SUM(CG41:CM41)+SUM(CG42:CM42))*S45/N45))</f>
        <v>835.19999999999993</v>
      </c>
      <c r="CO41" s="682">
        <f>IF(S45="",0,IF(AE40="不","",(SUM(CG44:CM44)+SUM(CG45:CM45))*S45/N45))</f>
        <v>469.2</v>
      </c>
      <c r="CP41" s="664" t="s">
        <v>1</v>
      </c>
      <c r="CQ41" s="2986" t="str">
        <f>IF(CS41="","","スピーカ S5")</f>
        <v/>
      </c>
      <c r="CR41" s="3476"/>
      <c r="CS41" s="683" t="str">
        <f>IF(AW44=0,"",AW44)</f>
        <v/>
      </c>
      <c r="CT41" s="3483" t="str">
        <f>IF(CV41="","","アッテネータ 3W")</f>
        <v>アッテネータ 3W</v>
      </c>
      <c r="CU41" s="3484"/>
      <c r="CV41" s="88">
        <f>BI44</f>
        <v>13</v>
      </c>
      <c r="CX41" s="8"/>
      <c r="CY41" s="197">
        <f t="shared" ref="CY41:CY47" si="24">IF(DC41&lt;&gt;"",CY40+1,CY40)</f>
        <v>5</v>
      </c>
      <c r="CZ41" s="197" t="str">
        <f t="shared" si="22"/>
        <v/>
      </c>
      <c r="DA41" s="10" t="str">
        <f>H47</f>
        <v>HP 1.2mm-3C</v>
      </c>
      <c r="DB41" s="8"/>
      <c r="DC41" s="249" t="str">
        <f>IF(COUNTIF(DA$10:$DA38,DA41)&gt;0,"",DA41)</f>
        <v/>
      </c>
      <c r="DD41" s="515">
        <f>AF47</f>
        <v>1392</v>
      </c>
      <c r="DE41" s="514">
        <f>SUMIF($DA$13:$DA$199,DC41,$DD$13:$DD$199)</f>
        <v>0</v>
      </c>
      <c r="DG41" s="8"/>
      <c r="DH41" s="197">
        <f t="shared" ref="DH41:DH47" si="25">IF(DL41&lt;&gt;"",DH40+1,DH40)</f>
        <v>4</v>
      </c>
      <c r="DI41" s="197" t="str">
        <f t="shared" si="23"/>
        <v/>
      </c>
      <c r="DJ41" s="10" t="str">
        <f>AT47</f>
        <v>C-19mm</v>
      </c>
      <c r="DK41" s="8"/>
      <c r="DL41" s="249" t="str">
        <f>IF(COUNTIF($DA$10:DJ38,DJ41)&gt;0,"",DJ41)</f>
        <v/>
      </c>
      <c r="DM41" s="515">
        <f>BL47</f>
        <v>782</v>
      </c>
      <c r="DN41" s="514">
        <f>SUMIF($DJ$13:$DJ$199,DL41,$DM$13:$DM$199)</f>
        <v>0</v>
      </c>
      <c r="DP41" s="8"/>
      <c r="DQ41" s="197">
        <f>IF(DU41&lt;&gt;"",DQ39+1,DQ39)</f>
        <v>10</v>
      </c>
      <c r="DR41" s="197" t="str">
        <f t="shared" ref="DR41:DR53" si="26">IF(AND(DQ41&lt;&gt;"",DU41&lt;&gt;""),DQ41,"")</f>
        <v/>
      </c>
      <c r="DS41" s="10" t="str">
        <f>CQ30</f>
        <v>スピーカ 3W S1</v>
      </c>
      <c r="DT41" s="8"/>
      <c r="DU41" s="249" t="str">
        <f>IF(COUNTIF($DS$10:DS40,DS41)&gt;0,"",DS41)</f>
        <v/>
      </c>
      <c r="DV41" s="198">
        <f>CS30</f>
        <v>18</v>
      </c>
      <c r="DW41" s="514">
        <f t="shared" ref="DW41:DW53" si="27">SUMIF($DS$13:$DS$344,DU41,$DV$13:$DV$344)</f>
        <v>5</v>
      </c>
    </row>
    <row r="42" spans="2:127" ht="11.25" customHeight="1" thickBot="1">
      <c r="B42" s="23"/>
      <c r="C42" s="2396"/>
      <c r="D42" s="2396"/>
      <c r="E42" s="2396"/>
      <c r="F42" s="2397" t="s">
        <v>235</v>
      </c>
      <c r="G42" s="2397"/>
      <c r="H42" s="2397"/>
      <c r="I42" s="2397"/>
      <c r="J42" s="2397" t="s">
        <v>235</v>
      </c>
      <c r="K42" s="2397"/>
      <c r="L42" s="2397"/>
      <c r="M42" s="2397"/>
      <c r="N42" s="2397" t="s">
        <v>128</v>
      </c>
      <c r="O42" s="2397"/>
      <c r="P42" s="2397"/>
      <c r="Q42" s="2397"/>
      <c r="R42" s="2397"/>
      <c r="S42" s="2397" t="s">
        <v>128</v>
      </c>
      <c r="T42" s="2397"/>
      <c r="U42" s="2397"/>
      <c r="V42" s="2397"/>
      <c r="W42" s="2397" t="s">
        <v>128</v>
      </c>
      <c r="X42" s="2397"/>
      <c r="Y42" s="2397"/>
      <c r="Z42" s="2397"/>
      <c r="AA42" s="2397" t="s">
        <v>111</v>
      </c>
      <c r="AB42" s="2397"/>
      <c r="AC42" s="2397"/>
      <c r="AD42" s="2397" t="s">
        <v>110</v>
      </c>
      <c r="AE42" s="2397"/>
      <c r="AF42" s="2397"/>
      <c r="AG42" s="3398" t="str">
        <f>IF(AN42="","","共部屋面積")</f>
        <v>共部屋面積</v>
      </c>
      <c r="AH42" s="2382"/>
      <c r="AI42" s="2382"/>
      <c r="AJ42" s="2382"/>
      <c r="AK42" s="2382"/>
      <c r="AL42" s="2382"/>
      <c r="AM42" s="3392"/>
      <c r="AN42" s="3368">
        <f>IF(OR($B$2=0,C45=""),"",W45/AD45)</f>
        <v>39.138461538461542</v>
      </c>
      <c r="AO42" s="3369"/>
      <c r="AP42" s="3369"/>
      <c r="AQ42" s="3369"/>
      <c r="AR42" s="3370"/>
      <c r="AS42" s="3419" t="s">
        <v>895</v>
      </c>
      <c r="AT42" s="3361"/>
      <c r="AU42" s="3360" t="s">
        <v>894</v>
      </c>
      <c r="AV42" s="3361"/>
      <c r="AW42" s="3360" t="s">
        <v>893</v>
      </c>
      <c r="AX42" s="3361"/>
      <c r="AY42" s="3360" t="s">
        <v>892</v>
      </c>
      <c r="AZ42" s="3361"/>
      <c r="BA42" s="3360" t="s">
        <v>891</v>
      </c>
      <c r="BB42" s="3361"/>
      <c r="BC42" s="3360" t="s">
        <v>890</v>
      </c>
      <c r="BD42" s="3361"/>
      <c r="BE42" s="3360" t="s">
        <v>889</v>
      </c>
      <c r="BF42" s="3361"/>
      <c r="BG42" s="3432" t="s">
        <v>888</v>
      </c>
      <c r="BH42" s="3433"/>
      <c r="BI42" s="3360"/>
      <c r="BJ42" s="3361"/>
      <c r="BK42" s="3360"/>
      <c r="BL42" s="3361"/>
      <c r="BM42" s="3391" t="s">
        <v>887</v>
      </c>
      <c r="BN42" s="3391"/>
      <c r="BO42" s="3391"/>
      <c r="BP42" s="3391" t="s">
        <v>887</v>
      </c>
      <c r="BQ42" s="3391"/>
      <c r="BR42" s="3391"/>
      <c r="BS42" s="3432" t="s">
        <v>744</v>
      </c>
      <c r="BT42" s="3433"/>
      <c r="BU42" s="19"/>
      <c r="BW42" s="102"/>
      <c r="BX42" s="88">
        <f>IF(OR(J43="( 10)",J43="(12)イ",LEFT(J43,4)="(13)"),1,0)</f>
        <v>0</v>
      </c>
      <c r="BY42" s="88" t="str">
        <f>IF(OR(J43="(1) ロ",J43="(2) ロ",J43="(2) ニ",J43="(5) イ",J43="(6) ハ",J43="(6) ニ",J43="( 7 )",J43="( 15)"),"要","")</f>
        <v/>
      </c>
      <c r="CC42" s="46">
        <v>4</v>
      </c>
      <c r="CD42" s="98">
        <f>非誘!BW36</f>
        <v>30</v>
      </c>
      <c r="CE42" s="98">
        <f>非誘!BX36</f>
        <v>31.8</v>
      </c>
      <c r="CF42" s="106" t="s">
        <v>858</v>
      </c>
      <c r="CG42" s="185">
        <f>INT((F45-$Y$10/1000-0.25)*BY44)</f>
        <v>27</v>
      </c>
      <c r="CH42" s="184">
        <f>1+INT((F45-$Y$7/1000-0.25+$AN$8/1000)*CS47)</f>
        <v>1</v>
      </c>
      <c r="CI42" s="184">
        <f>INT((F45-$Y$8/1000-0.25+$AN$9/1000)*SUM(BI44:BL44))</f>
        <v>53</v>
      </c>
      <c r="CJ42" s="185">
        <f>IF($AX$8=0,"",2*INT(CJ40*($AX$8-250)/1000))</f>
        <v>254</v>
      </c>
      <c r="CK42" s="184"/>
      <c r="CL42" s="184" t="str">
        <f>IF(BP44="","",INT((F45-$Y$9/1000-0.25+AN36/1000)*BP44))</f>
        <v/>
      </c>
      <c r="CM42" s="184" t="str">
        <f>IF(BS44="","",INT((F45-$Y$9/1000-0.25+AN36/1000)*BS44))</f>
        <v/>
      </c>
      <c r="CN42" s="682">
        <f>IF(AN40="不","",(SUM(CG41:CM41)+SUM(CG42:CM42))*W45/N45)</f>
        <v>556.80000000000007</v>
      </c>
      <c r="CO42" s="682">
        <f>IF(AN40="不","",(SUM(CG44:CM44)+SUM(CG45:CM45))*W45/N45)</f>
        <v>312.8</v>
      </c>
      <c r="CP42" s="670" t="s">
        <v>877</v>
      </c>
      <c r="CQ42" s="15"/>
      <c r="CR42" s="106" t="s">
        <v>868</v>
      </c>
      <c r="CS42" s="8">
        <f>SUM(CS39:CS41)</f>
        <v>46</v>
      </c>
      <c r="CT42" s="3485" t="str">
        <f>IF(CV42="","","アッテネータ 6W")</f>
        <v>アッテネータ 6W</v>
      </c>
      <c r="CU42" s="3484"/>
      <c r="CV42" s="88">
        <f>BK44</f>
        <v>5</v>
      </c>
      <c r="CX42" s="8"/>
      <c r="CY42" s="197">
        <f t="shared" si="24"/>
        <v>5</v>
      </c>
      <c r="CZ42" s="197" t="str">
        <f t="shared" si="22"/>
        <v/>
      </c>
      <c r="DA42" s="10"/>
      <c r="DB42" s="8"/>
      <c r="DC42" s="249"/>
      <c r="DD42" s="515"/>
      <c r="DE42" s="514"/>
      <c r="DG42" s="8"/>
      <c r="DH42" s="197">
        <f t="shared" si="25"/>
        <v>4</v>
      </c>
      <c r="DI42" s="197" t="str">
        <f t="shared" si="23"/>
        <v/>
      </c>
      <c r="DJ42" s="10"/>
      <c r="DK42" s="8"/>
      <c r="DL42" s="249"/>
      <c r="DM42" s="515"/>
      <c r="DN42" s="514"/>
      <c r="DP42" s="8"/>
      <c r="DQ42" s="197">
        <f t="shared" ref="DQ42:DQ53" si="28">IF(DU42&lt;&gt;"",DQ41+1,DQ41)</f>
        <v>10</v>
      </c>
      <c r="DR42" s="197" t="str">
        <f t="shared" si="26"/>
        <v/>
      </c>
      <c r="DS42" s="10" t="str">
        <f>CQ31</f>
        <v>スピーカ 3W S3</v>
      </c>
      <c r="DT42" s="8"/>
      <c r="DU42" s="249" t="str">
        <f>IF(COUNTIF($DS$10:DS41,DS42)&gt;0,"",DS42)</f>
        <v/>
      </c>
      <c r="DV42" s="198">
        <f>CS31</f>
        <v>14</v>
      </c>
      <c r="DW42" s="514">
        <f t="shared" si="27"/>
        <v>5</v>
      </c>
    </row>
    <row r="43" spans="2:127" ht="11.25" customHeight="1" thickBot="1">
      <c r="B43" s="23"/>
      <c r="C43" s="2299" t="s">
        <v>112</v>
      </c>
      <c r="D43" s="2299"/>
      <c r="E43" s="2299"/>
      <c r="F43" s="2299"/>
      <c r="G43" s="2299"/>
      <c r="H43" s="2299"/>
      <c r="I43" s="3399"/>
      <c r="J43" s="3400" t="str">
        <f>非誘!J34</f>
        <v>(3) イ</v>
      </c>
      <c r="K43" s="3401"/>
      <c r="L43" s="3401"/>
      <c r="M43" s="3402"/>
      <c r="N43" s="3403" t="str">
        <f>非誘!M34</f>
        <v>料理店等</v>
      </c>
      <c r="O43" s="3404"/>
      <c r="P43" s="3404"/>
      <c r="Q43" s="3404"/>
      <c r="R43" s="3404"/>
      <c r="S43" s="3404"/>
      <c r="T43" s="3404"/>
      <c r="U43" s="3404"/>
      <c r="V43" s="3404"/>
      <c r="W43" s="3404"/>
      <c r="X43" s="3404"/>
      <c r="Y43" s="3404"/>
      <c r="Z43" s="3405"/>
      <c r="AA43" s="3406" t="s">
        <v>926</v>
      </c>
      <c r="AB43" s="2301"/>
      <c r="AC43" s="2301"/>
      <c r="AD43" s="2301"/>
      <c r="AE43" s="2301"/>
      <c r="AF43" s="2302"/>
      <c r="AG43" s="3393" t="str">
        <f>IF($B$2=0,"",IF(AN43="","天井(C 管)",AN43))</f>
        <v>天井(C 管)</v>
      </c>
      <c r="AH43" s="2368"/>
      <c r="AI43" s="2368"/>
      <c r="AJ43" s="2368"/>
      <c r="AK43" s="2368"/>
      <c r="AL43" s="3394"/>
      <c r="AM43" s="668" t="s">
        <v>925</v>
      </c>
      <c r="AN43" s="3395"/>
      <c r="AO43" s="3396"/>
      <c r="AP43" s="3396"/>
      <c r="AQ43" s="3396"/>
      <c r="AR43" s="3397"/>
      <c r="AS43" s="3434" t="s">
        <v>881</v>
      </c>
      <c r="AT43" s="3435"/>
      <c r="AU43" s="3436" t="s">
        <v>880</v>
      </c>
      <c r="AV43" s="3437"/>
      <c r="AW43" s="3432"/>
      <c r="AX43" s="3433"/>
      <c r="AY43" s="3432" t="s">
        <v>881</v>
      </c>
      <c r="AZ43" s="3433"/>
      <c r="BA43" s="3436" t="s">
        <v>884</v>
      </c>
      <c r="BB43" s="3437"/>
      <c r="BC43" s="3436" t="s">
        <v>883</v>
      </c>
      <c r="BD43" s="3438"/>
      <c r="BE43" s="3438"/>
      <c r="BF43" s="3437"/>
      <c r="BG43" s="3420" t="s">
        <v>882</v>
      </c>
      <c r="BH43" s="3421"/>
      <c r="BI43" s="3436" t="s">
        <v>881</v>
      </c>
      <c r="BJ43" s="3437"/>
      <c r="BK43" s="3436" t="s">
        <v>880</v>
      </c>
      <c r="BL43" s="3437"/>
      <c r="BM43" s="3407" t="str">
        <f>IF(BM44="","",$BW$12)</f>
        <v/>
      </c>
      <c r="BN43" s="3407"/>
      <c r="BO43" s="3407"/>
      <c r="BP43" s="3407" t="str">
        <f>IF(BP44="","",30)</f>
        <v/>
      </c>
      <c r="BQ43" s="3407"/>
      <c r="BR43" s="3407"/>
      <c r="BS43" s="2384" t="s">
        <v>879</v>
      </c>
      <c r="BT43" s="2386"/>
      <c r="BU43" s="19"/>
      <c r="BW43" s="102"/>
      <c r="CB43" s="90" t="s">
        <v>924</v>
      </c>
      <c r="CC43" s="479" t="str">
        <f>AD44</f>
        <v>⑦</v>
      </c>
      <c r="CD43" s="263">
        <f>IF(C45="","",IF(CC43="①",CD42+CE42+3,IF(CC43="②",CD42*5/8+CE42+3,IF(CC43="③",CD42/2+CE42+3,IF(CC43="④",CD42+CE42*5/8+3,IF(CC43="⑤",(CD42+CE42)*5/8+3,IF(CC43="⑥",CD42/2+CE42*5/8+3,IF(CC43="⑦",CD42+CE42/2+3,IF(CC43="⑧",CD42*5/8+CE42/2+3,IF(CC43="⑨",(CD42+CE42)/2+3))))))))))</f>
        <v>48.9</v>
      </c>
      <c r="CE43" s="8"/>
      <c r="CF43" s="106"/>
      <c r="CG43" s="681">
        <f>IF(AG43="天井ケーブル",0,1)</f>
        <v>1</v>
      </c>
      <c r="CH43" s="394"/>
      <c r="CI43" s="394"/>
      <c r="CJ43" s="59"/>
      <c r="CK43" s="394"/>
      <c r="CL43" s="394"/>
      <c r="CM43" s="394"/>
      <c r="CN43" s="62" t="s">
        <v>1</v>
      </c>
      <c r="CO43" s="62" t="s">
        <v>877</v>
      </c>
      <c r="CP43" s="38"/>
      <c r="CQ43" s="2986" t="str">
        <f>IF(CS43="","","スピーカ 6W S2")</f>
        <v>スピーカ 6W S2</v>
      </c>
      <c r="CR43" s="3476"/>
      <c r="CS43" s="88">
        <f>IF(AU44=0,"",AU44)</f>
        <v>8</v>
      </c>
      <c r="CT43" s="3483" t="str">
        <f>IF(CV43="","","主増幅器")</f>
        <v/>
      </c>
      <c r="CU43" s="3484"/>
      <c r="CV43" s="88" t="str">
        <f>BM44</f>
        <v/>
      </c>
      <c r="CX43" s="8"/>
      <c r="CY43" s="197">
        <f t="shared" si="24"/>
        <v>5</v>
      </c>
      <c r="CZ43" s="197" t="str">
        <f t="shared" si="22"/>
        <v/>
      </c>
      <c r="DA43" s="10"/>
      <c r="DB43" s="8"/>
      <c r="DC43" s="249"/>
      <c r="DD43" s="515"/>
      <c r="DE43" s="514"/>
      <c r="DG43" s="8"/>
      <c r="DH43" s="197">
        <f t="shared" si="25"/>
        <v>4</v>
      </c>
      <c r="DI43" s="197" t="str">
        <f t="shared" si="23"/>
        <v/>
      </c>
      <c r="DJ43" s="10"/>
      <c r="DK43" s="8"/>
      <c r="DL43" s="249"/>
      <c r="DM43" s="515"/>
      <c r="DN43" s="514"/>
      <c r="DP43" s="8"/>
      <c r="DQ43" s="197">
        <f t="shared" si="28"/>
        <v>10</v>
      </c>
      <c r="DR43" s="197" t="str">
        <f t="shared" si="26"/>
        <v/>
      </c>
      <c r="DS43" s="10" t="str">
        <f>CQ32</f>
        <v/>
      </c>
      <c r="DT43" s="8"/>
      <c r="DU43" s="249" t="str">
        <f>IF(COUNTIF($DS$10:DS42,DS43)&gt;0,"",DS43)</f>
        <v/>
      </c>
      <c r="DV43" s="198" t="str">
        <f>CS32</f>
        <v/>
      </c>
      <c r="DW43" s="514">
        <f t="shared" si="27"/>
        <v>5</v>
      </c>
    </row>
    <row r="44" spans="2:127" ht="11.25" customHeight="1" thickBot="1">
      <c r="B44" s="23"/>
      <c r="C44" s="3409" t="s">
        <v>923</v>
      </c>
      <c r="D44" s="3410"/>
      <c r="E44" s="3410"/>
      <c r="F44" s="3410"/>
      <c r="G44" s="3410"/>
      <c r="H44" s="3411"/>
      <c r="I44" s="3430" t="str">
        <f>非誘!AA34</f>
        <v>B1</v>
      </c>
      <c r="J44" s="3430"/>
      <c r="K44" s="3430"/>
      <c r="L44" s="2395" t="s">
        <v>214</v>
      </c>
      <c r="M44" s="2395"/>
      <c r="N44" s="2395"/>
      <c r="O44" s="2395"/>
      <c r="P44" s="2395"/>
      <c r="Q44" s="2395"/>
      <c r="R44" s="2395"/>
      <c r="S44" s="3379">
        <f>非誘!J35</f>
        <v>0.94339622641509435</v>
      </c>
      <c r="T44" s="3380"/>
      <c r="U44" s="3380"/>
      <c r="V44" s="3381"/>
      <c r="W44" s="3399" t="s">
        <v>875</v>
      </c>
      <c r="X44" s="3412"/>
      <c r="Y44" s="3412"/>
      <c r="Z44" s="3412"/>
      <c r="AA44" s="2654"/>
      <c r="AB44" s="2654"/>
      <c r="AC44" s="2655"/>
      <c r="AD44" s="3388" t="str">
        <f>非誘!V35</f>
        <v>⑦</v>
      </c>
      <c r="AE44" s="3389"/>
      <c r="AF44" s="3390"/>
      <c r="AG44" s="3391" t="s">
        <v>874</v>
      </c>
      <c r="AH44" s="3391"/>
      <c r="AI44" s="3391"/>
      <c r="AJ44" s="3391"/>
      <c r="AK44" s="3391"/>
      <c r="AL44" s="2990" t="str">
        <f>IF(AP44&lt;&gt;"",AP44,IF(C45=$BG$10,C45,""))</f>
        <v/>
      </c>
      <c r="AM44" s="2990"/>
      <c r="AN44" s="2990"/>
      <c r="AO44" s="668" t="s">
        <v>34</v>
      </c>
      <c r="AP44" s="3325"/>
      <c r="AQ44" s="3326"/>
      <c r="AR44" s="3327"/>
      <c r="AS44" s="3418">
        <f>IF(CE45=0,"",IF(AS45&lt;&gt;"",AS45,IF(BE44&lt;&gt;"",CN46,SUM(CN44:CO44))))</f>
        <v>27</v>
      </c>
      <c r="AT44" s="3375"/>
      <c r="AU44" s="3418">
        <f>IF(CE45=0,"",IF(AU45&lt;&gt;"",AU45,CN45))</f>
        <v>8</v>
      </c>
      <c r="AV44" s="3375"/>
      <c r="AW44" s="3418"/>
      <c r="AX44" s="3375"/>
      <c r="AY44" s="3418">
        <f>IF(AA45="","",IF(AY45&lt;&gt;"",AY45,CO45))</f>
        <v>19</v>
      </c>
      <c r="AZ44" s="3375"/>
      <c r="BA44" s="3418"/>
      <c r="BB44" s="3375"/>
      <c r="BC44" s="3418" t="str">
        <f>IF(OR(AL45="不",,BP44=""),"",IF(BC45&lt;&gt;"",BC45,BP44*2))</f>
        <v/>
      </c>
      <c r="BD44" s="3375"/>
      <c r="BE44" s="3418" t="str">
        <f>IF(BE45&lt;&gt;"",BE45,IF(BX42=0,"",CN46))</f>
        <v/>
      </c>
      <c r="BF44" s="3375"/>
      <c r="BG44" s="3418" t="str">
        <f>IF(AE40="不","",IF(BG45&lt;&gt;"",BG45,BP44))</f>
        <v/>
      </c>
      <c r="BH44" s="3375"/>
      <c r="BI44" s="3418">
        <f>IF(CE45=0,"",CN47)</f>
        <v>13</v>
      </c>
      <c r="BJ44" s="3375"/>
      <c r="BK44" s="3374">
        <f>IF(CE45=0,"",CO47)</f>
        <v>5</v>
      </c>
      <c r="BL44" s="3375"/>
      <c r="BM44" s="3376" t="str">
        <f>IF(CE45=0,"",IF(BM45&lt;&gt;"",BM45,IF(C45=AL44,1,"")))</f>
        <v/>
      </c>
      <c r="BN44" s="3377"/>
      <c r="BO44" s="3378"/>
      <c r="BP44" s="3376" t="str">
        <f>IF(CE45=0,"",IF(OR(AE40="不",AA45="",S45=""),"",IF(BP45&lt;&gt;"",BP45,IF(AL45="要",1+INT(S45/1000),""))))</f>
        <v/>
      </c>
      <c r="BQ44" s="3377"/>
      <c r="BR44" s="3378"/>
      <c r="BS44" s="3376" t="str">
        <f>IF(BS45&lt;&gt;"",BS45,BP44)</f>
        <v/>
      </c>
      <c r="BT44" s="3378"/>
      <c r="BU44" s="19"/>
      <c r="BW44" s="680">
        <f>IF(AND(CS45=0,CS46=""),CS42*3,CS42*3+CS45*6)</f>
        <v>186</v>
      </c>
      <c r="BX44" s="679">
        <f>BY45</f>
        <v>49</v>
      </c>
      <c r="BY44" s="522">
        <f>1+INT(SUM(S45:Z45)/400)</f>
        <v>10</v>
      </c>
      <c r="BZ44" s="100" t="s">
        <v>873</v>
      </c>
      <c r="CB44" s="678">
        <f>IF(CE45="=",MID(BZ45,10,3),10*(1+INT(BY44*3/10)))</f>
        <v>40</v>
      </c>
      <c r="CC44" s="10" t="s">
        <v>922</v>
      </c>
      <c r="CF44" s="106" t="s">
        <v>857</v>
      </c>
      <c r="CG44" s="136">
        <f>IF(CG43=1,INT(CD43*BY44)+BY44*10,"")</f>
        <v>589</v>
      </c>
      <c r="CH44" s="136">
        <f>IF(CG43=1,INT(CD43*CS47),"")</f>
        <v>0</v>
      </c>
      <c r="CI44" s="136">
        <f>8*SUM(BI44:BL44)</f>
        <v>144</v>
      </c>
      <c r="CJ44" s="134" t="str">
        <f>IF($AX$8=0,INT(10.7*CD42*CE42/($BF$8/1000)^2)*1.5,"")</f>
        <v/>
      </c>
      <c r="CK44" s="136">
        <v>0</v>
      </c>
      <c r="CL44" s="136" t="str">
        <f>IF(BP44="","",10*BP44)</f>
        <v/>
      </c>
      <c r="CM44" s="136" t="str">
        <f>IF(BS44="","",10*BS44)</f>
        <v/>
      </c>
      <c r="CN44" s="665">
        <f>IF(AA45="",0,IF(AE40="不","",INT(AA45/2)))</f>
        <v>8</v>
      </c>
      <c r="CO44" s="665">
        <f>IF(AN40="不","",INT(AD45/2))</f>
        <v>19</v>
      </c>
      <c r="CP44" s="670" t="s">
        <v>921</v>
      </c>
      <c r="CQ44" s="2986" t="str">
        <f>IF(CS44="","","スピーカ 5W S4")</f>
        <v/>
      </c>
      <c r="CR44" s="3476"/>
      <c r="CS44" s="88" t="str">
        <f>IF(BA44=0,"",BA44)</f>
        <v/>
      </c>
      <c r="CT44" s="3483" t="str">
        <f>IF(CV44="","","副増幅器 30W")</f>
        <v/>
      </c>
      <c r="CU44" s="3484"/>
      <c r="CV44" s="88" t="str">
        <f>BP44</f>
        <v/>
      </c>
      <c r="CX44" s="8"/>
      <c r="CY44" s="197">
        <f t="shared" si="24"/>
        <v>5</v>
      </c>
      <c r="CZ44" s="197" t="str">
        <f t="shared" si="22"/>
        <v/>
      </c>
      <c r="DA44" s="10"/>
      <c r="DB44" s="8"/>
      <c r="DC44" s="249"/>
      <c r="DD44" s="515"/>
      <c r="DE44" s="514"/>
      <c r="DG44" s="8"/>
      <c r="DH44" s="197">
        <f t="shared" si="25"/>
        <v>4</v>
      </c>
      <c r="DI44" s="197" t="str">
        <f t="shared" si="23"/>
        <v/>
      </c>
      <c r="DJ44" s="10"/>
      <c r="DK44" s="8"/>
      <c r="DL44" s="249"/>
      <c r="DM44" s="515"/>
      <c r="DN44" s="514"/>
      <c r="DP44" s="8"/>
      <c r="DQ44" s="197">
        <f t="shared" si="28"/>
        <v>10</v>
      </c>
      <c r="DR44" s="197" t="str">
        <f t="shared" si="26"/>
        <v/>
      </c>
      <c r="DS44" s="10" t="str">
        <f>CQ34</f>
        <v>スピーカ 6W S2</v>
      </c>
      <c r="DT44" s="8"/>
      <c r="DU44" s="249" t="str">
        <f>IF(COUNTIF($DS$10:DS43,DS44)&gt;0,"",DS44)</f>
        <v/>
      </c>
      <c r="DV44" s="198">
        <f>CS34</f>
        <v>4</v>
      </c>
      <c r="DW44" s="514">
        <f t="shared" si="27"/>
        <v>5</v>
      </c>
    </row>
    <row r="45" spans="2:127" ht="11.25" customHeight="1" thickBot="1">
      <c r="B45" s="23"/>
      <c r="C45" s="3429" t="str">
        <f>IF($B$2=0,"",非誘!C36)</f>
        <v xml:space="preserve">  2F</v>
      </c>
      <c r="D45" s="3407"/>
      <c r="E45" s="3407"/>
      <c r="F45" s="3430">
        <f>IF($B$2=0,"",非誘!F36)</f>
        <v>4</v>
      </c>
      <c r="G45" s="3430"/>
      <c r="H45" s="3430"/>
      <c r="I45" s="3430"/>
      <c r="J45" s="3430">
        <f>IF($B$2=0,"",非誘!J36)</f>
        <v>3</v>
      </c>
      <c r="K45" s="3430"/>
      <c r="L45" s="3430"/>
      <c r="M45" s="3430"/>
      <c r="N45" s="3407">
        <f>IF($B$2=0,"",非誘!N36)</f>
        <v>3816</v>
      </c>
      <c r="O45" s="3407"/>
      <c r="P45" s="3407"/>
      <c r="Q45" s="3407"/>
      <c r="R45" s="3407"/>
      <c r="S45" s="3431">
        <f>IF($B$2=0,"",非誘!S36)</f>
        <v>2289.6</v>
      </c>
      <c r="T45" s="3431"/>
      <c r="U45" s="3431"/>
      <c r="V45" s="3431"/>
      <c r="W45" s="3431">
        <f>IF($B$2=0,"",非誘!W36)</f>
        <v>1526.4</v>
      </c>
      <c r="X45" s="3431"/>
      <c r="Y45" s="3431"/>
      <c r="Z45" s="3431"/>
      <c r="AA45" s="3407">
        <f>IF($B$2=0,"",非誘!AA36)</f>
        <v>16</v>
      </c>
      <c r="AB45" s="3407"/>
      <c r="AC45" s="3407"/>
      <c r="AD45" s="3407">
        <f>IF($B$2=0,"",非誘!AD36)</f>
        <v>39</v>
      </c>
      <c r="AE45" s="3407"/>
      <c r="AF45" s="3407"/>
      <c r="AG45" s="3391" t="s">
        <v>920</v>
      </c>
      <c r="AH45" s="3391"/>
      <c r="AI45" s="3391"/>
      <c r="AJ45" s="3391"/>
      <c r="AK45" s="3391"/>
      <c r="AL45" s="2990" t="str">
        <f>IF(AP45&lt;&gt;"",AP45,IF($BY$9="要","要",""))</f>
        <v/>
      </c>
      <c r="AM45" s="2990"/>
      <c r="AN45" s="2990"/>
      <c r="AO45" s="668" t="s">
        <v>34</v>
      </c>
      <c r="AP45" s="3408"/>
      <c r="AQ45" s="3408"/>
      <c r="AR45" s="3408"/>
      <c r="AS45" s="2551"/>
      <c r="AT45" s="3414"/>
      <c r="AU45" s="2551"/>
      <c r="AV45" s="3414"/>
      <c r="AW45" s="2551"/>
      <c r="AX45" s="3414"/>
      <c r="AY45" s="2551"/>
      <c r="AZ45" s="3414"/>
      <c r="BA45" s="2551"/>
      <c r="BB45" s="3414"/>
      <c r="BC45" s="2551"/>
      <c r="BD45" s="3414"/>
      <c r="BE45" s="2551"/>
      <c r="BF45" s="3414"/>
      <c r="BG45" s="2551"/>
      <c r="BH45" s="3414"/>
      <c r="BI45" s="2551"/>
      <c r="BJ45" s="3414"/>
      <c r="BK45" s="2551"/>
      <c r="BL45" s="3414"/>
      <c r="BM45" s="2551"/>
      <c r="BN45" s="3428"/>
      <c r="BO45" s="3414"/>
      <c r="BP45" s="2551"/>
      <c r="BQ45" s="3428"/>
      <c r="BR45" s="3414"/>
      <c r="BS45" s="2551"/>
      <c r="BT45" s="3414"/>
      <c r="BU45" s="19"/>
      <c r="BW45" s="102"/>
      <c r="BY45" s="677">
        <f>IF(CE45=0,0,IF(CE45="=",BY44+BY36+BY54,IF(CE45="-",BY44+BY36,BY44+BY54)))</f>
        <v>49</v>
      </c>
      <c r="BZ45" s="3443" t="str">
        <f>IF(CE45=0,"",IF(BY45*3&lt;=20,"HP 1.2mm- 10Pr",IF(BY45*3&lt;=30,"HP 1.2mm- 15Pr",IF(BY45*3&lt;=40,"HP 1.2mm- 20Pr",IF(BY45*3&lt;=50,"HP 1.2mm- 25Pr",IF(BY45*3&lt;=60,"HP 1.2mm- 30Pr",IF(BY45*3&lt;=80,"HP 1.2mm- 40Pr",IF(BY45*3&lt;=100,"HP 1.2mm- 50Pr",IF(BY45*3&lt;=150,"HP 1.2mm- 75Pr", IF(BY45*3&lt;=200,"HP 1.2mm-100Pr",IF(BY45*3&lt;=400,"HP 1.2mm-200Pr","")))))))))))</f>
        <v>HP 1.2mm- 75Pr</v>
      </c>
      <c r="CA45" s="3444"/>
      <c r="CB45" s="3444"/>
      <c r="CC45" s="3445"/>
      <c r="CD45" s="673" t="str">
        <f>IF(LEFT($BG$10,2)=" B",-MID($BG$10,3,1),LEFT($BG$10,3))</f>
        <v xml:space="preserve">  1</v>
      </c>
      <c r="CE45" s="676" t="str">
        <f>IF(CD46=0,0,IF(CD45=CD46,"=",IF(CD45&gt;CD46,"-","+")))</f>
        <v>+</v>
      </c>
      <c r="CF45" s="106" t="s">
        <v>856</v>
      </c>
      <c r="CG45" s="136">
        <f>2*INT((F45-$Y$10/1000-0.25))</f>
        <v>4</v>
      </c>
      <c r="CH45" s="136">
        <f>1+INT((F45-$Y$7/1000-0.25)*CS47)</f>
        <v>1</v>
      </c>
      <c r="CI45" s="136">
        <f>INT((F45-$Y$8/1000-0.25)*SUM(BI44:BL44))</f>
        <v>44</v>
      </c>
      <c r="CJ45" s="675"/>
      <c r="CK45" s="136">
        <v>0</v>
      </c>
      <c r="CL45" s="136" t="str">
        <f>IF(BP44="","",INT((F45-$Y$9/1000-0.25)*BP44))</f>
        <v/>
      </c>
      <c r="CM45" s="136" t="str">
        <f>IF(BS44="","",INT((F45-$Y$9/1000-0.25)*BS44))</f>
        <v/>
      </c>
      <c r="CN45" s="665">
        <f>IF(AA45="",0,IF(AE40="不","",INT(AA45/2)))</f>
        <v>8</v>
      </c>
      <c r="CO45" s="665">
        <f>IF(AN40="不","",INT(AD45/2))</f>
        <v>19</v>
      </c>
      <c r="CP45" s="670" t="s">
        <v>919</v>
      </c>
      <c r="CQ45" s="15"/>
      <c r="CR45" s="106" t="s">
        <v>868</v>
      </c>
      <c r="CS45" s="8">
        <f>SUM(CS43:CS44)</f>
        <v>8</v>
      </c>
      <c r="CT45" s="3483" t="str">
        <f>IF(CV45="","","カットリレー")</f>
        <v/>
      </c>
      <c r="CU45" s="3484"/>
      <c r="CV45" s="88" t="str">
        <f>BS44</f>
        <v/>
      </c>
      <c r="CY45" s="197">
        <f t="shared" si="24"/>
        <v>5</v>
      </c>
      <c r="CZ45" s="197" t="str">
        <f t="shared" si="22"/>
        <v/>
      </c>
      <c r="DB45" s="24"/>
      <c r="DD45" s="516"/>
      <c r="DE45" s="516"/>
      <c r="DH45" s="197">
        <f t="shared" si="25"/>
        <v>4</v>
      </c>
      <c r="DI45" s="197" t="str">
        <f t="shared" si="23"/>
        <v/>
      </c>
      <c r="DK45" s="24"/>
      <c r="DM45" s="516"/>
      <c r="DN45" s="516"/>
      <c r="DP45" s="8"/>
      <c r="DQ45" s="197">
        <f t="shared" si="28"/>
        <v>10</v>
      </c>
      <c r="DR45" s="197" t="str">
        <f t="shared" si="26"/>
        <v/>
      </c>
      <c r="DS45" s="10" t="str">
        <f>CQ35</f>
        <v/>
      </c>
      <c r="DT45" s="8"/>
      <c r="DU45" s="249" t="str">
        <f>IF(COUNTIF($DS$10:DS44,DS45)&gt;0,"",DS45)</f>
        <v/>
      </c>
      <c r="DV45" s="198" t="str">
        <f>CS35</f>
        <v/>
      </c>
      <c r="DW45" s="514">
        <f t="shared" si="27"/>
        <v>5</v>
      </c>
    </row>
    <row r="46" spans="2:127" ht="11.25" customHeight="1" thickBot="1">
      <c r="B46" s="23"/>
      <c r="C46" s="2300" t="s">
        <v>867</v>
      </c>
      <c r="D46" s="2301"/>
      <c r="E46" s="2301"/>
      <c r="F46" s="2301"/>
      <c r="G46" s="2302"/>
      <c r="H46" s="3422" t="str">
        <f>IF(CE45=0,"",IF(R46&lt;&gt;"",R46,BZ45))</f>
        <v>HP 1.2mm- 75Pr</v>
      </c>
      <c r="I46" s="3423"/>
      <c r="J46" s="3423"/>
      <c r="K46" s="3423"/>
      <c r="L46" s="3423"/>
      <c r="M46" s="3423"/>
      <c r="N46" s="3423"/>
      <c r="O46" s="3423"/>
      <c r="P46" s="3424"/>
      <c r="Q46" s="668" t="s">
        <v>34</v>
      </c>
      <c r="R46" s="3362"/>
      <c r="S46" s="3363"/>
      <c r="T46" s="3363"/>
      <c r="U46" s="3363"/>
      <c r="V46" s="3363"/>
      <c r="W46" s="3363"/>
      <c r="X46" s="3363"/>
      <c r="Y46" s="3363"/>
      <c r="Z46" s="3364"/>
      <c r="AA46" s="3345" t="s">
        <v>866</v>
      </c>
      <c r="AB46" s="3346"/>
      <c r="AC46" s="3346"/>
      <c r="AD46" s="3346"/>
      <c r="AE46" s="3347"/>
      <c r="AF46" s="3385">
        <f>IF(CE45=0,"",IF(AK46&lt;&gt;"",AK46,CG47+CI47))</f>
        <v>7</v>
      </c>
      <c r="AG46" s="3386"/>
      <c r="AH46" s="3386"/>
      <c r="AI46" s="3387"/>
      <c r="AJ46" s="669" t="s">
        <v>34</v>
      </c>
      <c r="AK46" s="3415"/>
      <c r="AL46" s="3416"/>
      <c r="AM46" s="3416"/>
      <c r="AN46" s="3417"/>
      <c r="AO46" s="2300" t="s">
        <v>865</v>
      </c>
      <c r="AP46" s="2301"/>
      <c r="AQ46" s="2301"/>
      <c r="AR46" s="2301"/>
      <c r="AS46" s="2302"/>
      <c r="AT46" s="3422" t="str">
        <f>IF(CE45=0,"",IF(BA46&lt;&gt;"",BA46,IF(MID(AG43,4,2)="C ","C-"&amp;CA46&amp;"mm",IF(MID(AG43,4,2)="PF","PF-D-"&amp;CB46&amp;"mm",IF(MID(AG43,4,2)="CD","CD-"&amp;CB46&amp;"mm",IF(MID(AG43,4,2)="G ","G-"&amp;CB46&amp;"mm",""))))))</f>
        <v>C-75mm</v>
      </c>
      <c r="AU46" s="3423"/>
      <c r="AV46" s="3423"/>
      <c r="AW46" s="3423"/>
      <c r="AX46" s="3423"/>
      <c r="AY46" s="3424"/>
      <c r="AZ46" s="668" t="s">
        <v>34</v>
      </c>
      <c r="BA46" s="3362"/>
      <c r="BB46" s="3363"/>
      <c r="BC46" s="3363"/>
      <c r="BD46" s="3363"/>
      <c r="BE46" s="3363"/>
      <c r="BF46" s="3364"/>
      <c r="BG46" s="3345" t="s">
        <v>864</v>
      </c>
      <c r="BH46" s="3346"/>
      <c r="BI46" s="3346"/>
      <c r="BJ46" s="3346"/>
      <c r="BK46" s="3347"/>
      <c r="BL46" s="3385">
        <f>IF(CE45=0,"",IF(CM47=0,"",IF(BQ46&lt;&gt;"",BQ46,CK47+CM47)))</f>
        <v>4</v>
      </c>
      <c r="BM46" s="3386"/>
      <c r="BN46" s="3386"/>
      <c r="BO46" s="3387"/>
      <c r="BP46" s="668" t="s">
        <v>34</v>
      </c>
      <c r="BQ46" s="3415"/>
      <c r="BR46" s="3416"/>
      <c r="BS46" s="3416"/>
      <c r="BT46" s="3417"/>
      <c r="BU46" s="19"/>
      <c r="BW46" s="102"/>
      <c r="BZ46" s="107" t="str">
        <f>IF(LEN(BZ45)=13,MID(BZ45,10,2),MID(BZ45,10,3))</f>
        <v xml:space="preserve"> 75</v>
      </c>
      <c r="CA46" s="674" t="str">
        <f>IF(OR(BZ46=" 10",BZ46=" 15"),"31",IF(OR(BZ46=" 20",BZ46=" 25",BZ46=" 30"),"39",IF(OR(BZ46=" 40",BZ46=" 50"),"51",IF(BZ46="100","63",IF(BZ46&lt;="200","75","")))))</f>
        <v>75</v>
      </c>
      <c r="CB46" s="674" t="str">
        <f>IF(OR(BZ46=" 10",BZ46=" 15"),"28",IF(OR(BZ46=" 20",BZ46=" 25",BZ46=" 30"),"36",IF(OR(BZ46=" 40",BZ46=" 50"),"42",IF(BZ46="100","54",IF(BZ46&lt;="200","70","")))))</f>
        <v>70</v>
      </c>
      <c r="CD46" s="673" t="str">
        <f>IF(C45="",0,IF(LEFT(C45,2)=" B",-MID(C45,3,1),LEFT(C45,3)))</f>
        <v xml:space="preserve">  2</v>
      </c>
      <c r="CF46" s="106"/>
      <c r="CG46" s="90" t="s">
        <v>918</v>
      </c>
      <c r="CH46" s="64"/>
      <c r="CI46" s="90" t="s">
        <v>918</v>
      </c>
      <c r="CJ46" s="38"/>
      <c r="CK46" s="90" t="s">
        <v>918</v>
      </c>
      <c r="CL46" s="64"/>
      <c r="CM46" s="90" t="s">
        <v>918</v>
      </c>
      <c r="CN46" s="672">
        <f>IF(S45="",0,IF(AE40="不","",INT(S45/150)))</f>
        <v>15</v>
      </c>
      <c r="CO46" s="671"/>
      <c r="CP46" s="670" t="s">
        <v>917</v>
      </c>
      <c r="CQ46" s="2986" t="str">
        <f>IF(CS46="","","プロセニアム・スピーカ 20W")</f>
        <v/>
      </c>
      <c r="CR46" s="3476"/>
      <c r="CS46" s="88" t="str">
        <f>IF(BC44=0,"",BC44)</f>
        <v/>
      </c>
      <c r="CT46" s="9"/>
      <c r="CU46" s="54"/>
      <c r="CV46" s="6"/>
      <c r="CY46" s="197">
        <f t="shared" si="24"/>
        <v>5</v>
      </c>
      <c r="CZ46" s="197" t="str">
        <f t="shared" si="22"/>
        <v/>
      </c>
      <c r="DB46" s="24"/>
      <c r="DD46" s="516"/>
      <c r="DE46" s="516"/>
      <c r="DH46" s="197">
        <f t="shared" si="25"/>
        <v>4</v>
      </c>
      <c r="DI46" s="197" t="str">
        <f t="shared" si="23"/>
        <v/>
      </c>
      <c r="DK46" s="24"/>
      <c r="DM46" s="516"/>
      <c r="DN46" s="516"/>
      <c r="DQ46" s="197">
        <f t="shared" si="28"/>
        <v>10</v>
      </c>
      <c r="DR46" s="197" t="str">
        <f t="shared" si="26"/>
        <v/>
      </c>
      <c r="DS46" s="10" t="str">
        <f>CQ37</f>
        <v/>
      </c>
      <c r="DT46" s="24"/>
      <c r="DU46" s="249" t="str">
        <f>IF(COUNTIF($DS$10:DS45,DS46)&gt;0,"",DS46)</f>
        <v/>
      </c>
      <c r="DV46" s="198" t="str">
        <f>CS37</f>
        <v/>
      </c>
      <c r="DW46" s="514">
        <f t="shared" si="27"/>
        <v>5</v>
      </c>
    </row>
    <row r="47" spans="2:127" ht="11.25" customHeight="1" thickBot="1">
      <c r="B47" s="23"/>
      <c r="C47" s="2300" t="s">
        <v>861</v>
      </c>
      <c r="D47" s="2301"/>
      <c r="E47" s="2301"/>
      <c r="F47" s="2301"/>
      <c r="G47" s="2302"/>
      <c r="H47" s="3422" t="str">
        <f>IF(CE45=0,"",IF(R47&lt;&gt;"",R47,"HP 1.2mm-3C"))</f>
        <v>HP 1.2mm-3C</v>
      </c>
      <c r="I47" s="3423"/>
      <c r="J47" s="3423"/>
      <c r="K47" s="3423"/>
      <c r="L47" s="3423"/>
      <c r="M47" s="3423"/>
      <c r="N47" s="3423"/>
      <c r="O47" s="3423"/>
      <c r="P47" s="3424"/>
      <c r="Q47" s="668" t="s">
        <v>34</v>
      </c>
      <c r="R47" s="3362"/>
      <c r="S47" s="3363"/>
      <c r="T47" s="3363"/>
      <c r="U47" s="3363"/>
      <c r="V47" s="3363"/>
      <c r="W47" s="3363"/>
      <c r="X47" s="3363"/>
      <c r="Y47" s="3363"/>
      <c r="Z47" s="3364"/>
      <c r="AA47" s="3348" t="s">
        <v>113</v>
      </c>
      <c r="AB47" s="3349"/>
      <c r="AC47" s="3349"/>
      <c r="AD47" s="3349"/>
      <c r="AE47" s="3350"/>
      <c r="AF47" s="3385">
        <f>IF(CE45=0,"",IF(AK47&lt;&gt;"",AK47,SUM(CN41:CN42)))</f>
        <v>1392</v>
      </c>
      <c r="AG47" s="3386"/>
      <c r="AH47" s="3386"/>
      <c r="AI47" s="3387"/>
      <c r="AJ47" s="669" t="s">
        <v>34</v>
      </c>
      <c r="AK47" s="3415"/>
      <c r="AL47" s="3416"/>
      <c r="AM47" s="3416"/>
      <c r="AN47" s="3417"/>
      <c r="AO47" s="2300" t="s">
        <v>860</v>
      </c>
      <c r="AP47" s="2301"/>
      <c r="AQ47" s="2301"/>
      <c r="AR47" s="2301"/>
      <c r="AS47" s="2302"/>
      <c r="AT47" s="3422" t="str">
        <f>IF(CE45=0,"",IF(BA47&lt;&gt;"",BA47,IF(MID(AG43,4,2)="C ","C-19mm",IF(MID(AG43,4,2)="PF","PF-D-16mm",IF(MID(AG43,4,2)="CD","CD-16mm",IF(MID(AG43,4,2)="G ","G-16mm","C-19mm"))))))</f>
        <v>C-19mm</v>
      </c>
      <c r="AU47" s="3423"/>
      <c r="AV47" s="3423"/>
      <c r="AW47" s="3423"/>
      <c r="AX47" s="3423"/>
      <c r="AY47" s="3424"/>
      <c r="AZ47" s="668" t="s">
        <v>34</v>
      </c>
      <c r="BA47" s="3362"/>
      <c r="BB47" s="3363"/>
      <c r="BC47" s="3363"/>
      <c r="BD47" s="3363"/>
      <c r="BE47" s="3363"/>
      <c r="BF47" s="3364"/>
      <c r="BG47" s="3348" t="s">
        <v>113</v>
      </c>
      <c r="BH47" s="3349"/>
      <c r="BI47" s="3349"/>
      <c r="BJ47" s="3349"/>
      <c r="BK47" s="3350"/>
      <c r="BL47" s="3385">
        <f>IF(CE45=0,"",IF(BQ47&lt;&gt;"",BQ47,SUM(CO41:CO42)))</f>
        <v>782</v>
      </c>
      <c r="BM47" s="3386"/>
      <c r="BN47" s="3386"/>
      <c r="BO47" s="3387"/>
      <c r="BP47" s="668" t="s">
        <v>34</v>
      </c>
      <c r="BQ47" s="3425"/>
      <c r="BR47" s="3426"/>
      <c r="BS47" s="3426"/>
      <c r="BT47" s="3427"/>
      <c r="BU47" s="19"/>
      <c r="BW47" s="102"/>
      <c r="CF47" s="106" t="s">
        <v>859</v>
      </c>
      <c r="CG47" s="184">
        <f>IF(CE45="=",CD43,0)</f>
        <v>0</v>
      </c>
      <c r="CH47" s="667" t="s">
        <v>858</v>
      </c>
      <c r="CI47" s="184">
        <f>F45+2*$AN$7/1000</f>
        <v>7</v>
      </c>
      <c r="CJ47" s="666" t="s">
        <v>857</v>
      </c>
      <c r="CK47" s="184">
        <f>IF(CG43=1,CG47,0)</f>
        <v>0</v>
      </c>
      <c r="CL47" s="666" t="s">
        <v>856</v>
      </c>
      <c r="CM47" s="184">
        <f>IF(CG43=1,F45,0)</f>
        <v>4</v>
      </c>
      <c r="CN47" s="665">
        <f>INT(AS44/2)</f>
        <v>13</v>
      </c>
      <c r="CO47" s="665">
        <f>IF(AU44="","",1+INT(AU44/2))</f>
        <v>5</v>
      </c>
      <c r="CP47" s="664" t="s">
        <v>907</v>
      </c>
      <c r="CQ47" s="3477" t="str">
        <f>IF(CS47="","","ソノライン・スピーカ 20W")</f>
        <v>ソノライン・スピーカ 20W</v>
      </c>
      <c r="CR47" s="3478"/>
      <c r="CS47" s="222">
        <f>IF(BE44="",0,BE44)</f>
        <v>0</v>
      </c>
      <c r="CT47" s="155"/>
      <c r="CU47" s="148"/>
      <c r="CV47" s="148"/>
      <c r="CY47" s="197">
        <f t="shared" si="24"/>
        <v>5</v>
      </c>
      <c r="CZ47" s="197" t="str">
        <f t="shared" si="22"/>
        <v/>
      </c>
      <c r="DB47" s="24"/>
      <c r="DD47" s="516"/>
      <c r="DE47" s="516"/>
      <c r="DH47" s="197">
        <f t="shared" si="25"/>
        <v>4</v>
      </c>
      <c r="DI47" s="197" t="str">
        <f t="shared" si="23"/>
        <v/>
      </c>
      <c r="DK47" s="24"/>
      <c r="DM47" s="516"/>
      <c r="DN47" s="516"/>
      <c r="DQ47" s="197">
        <f t="shared" si="28"/>
        <v>10</v>
      </c>
      <c r="DR47" s="197" t="str">
        <f t="shared" si="26"/>
        <v/>
      </c>
      <c r="DS47" s="201" t="str">
        <f>CQ38</f>
        <v>ソノライン・スピーカ 20W</v>
      </c>
      <c r="DT47" s="24"/>
      <c r="DU47" s="249" t="str">
        <f>IF(COUNTIF($DS$10:DS46,DS47)&gt;0,"",DS47)</f>
        <v/>
      </c>
      <c r="DV47" s="198">
        <f>CS38</f>
        <v>0</v>
      </c>
      <c r="DW47" s="514">
        <f t="shared" si="27"/>
        <v>5</v>
      </c>
    </row>
    <row r="48" spans="2:127" ht="11.25" customHeight="1">
      <c r="B48" s="23"/>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19"/>
      <c r="BW48" s="102"/>
      <c r="CP48" s="6"/>
      <c r="CQ48" s="2986" t="str">
        <f>IF(CS48="","","スピーカ 3W S1")</f>
        <v>スピーカ 3W S1</v>
      </c>
      <c r="CR48" s="3476"/>
      <c r="CS48" s="88">
        <f>IF(AS53=0,"",AS53)</f>
        <v>18</v>
      </c>
      <c r="CT48" s="9"/>
      <c r="CX48" s="88">
        <v>5</v>
      </c>
      <c r="CY48" s="204"/>
      <c r="CZ48" s="155"/>
      <c r="DA48" s="45"/>
      <c r="DB48" s="45"/>
      <c r="DC48" s="45" t="s">
        <v>916</v>
      </c>
      <c r="DD48" s="45"/>
      <c r="DE48" s="45" t="s">
        <v>915</v>
      </c>
      <c r="DG48" s="88">
        <v>5</v>
      </c>
      <c r="DH48" s="204"/>
      <c r="DI48" s="155"/>
      <c r="DJ48" s="45"/>
      <c r="DK48" s="45"/>
      <c r="DL48" s="45" t="s">
        <v>916</v>
      </c>
      <c r="DM48" s="45"/>
      <c r="DN48" s="45" t="s">
        <v>915</v>
      </c>
      <c r="DQ48" s="197">
        <f t="shared" si="28"/>
        <v>10</v>
      </c>
      <c r="DR48" s="197" t="str">
        <f t="shared" si="26"/>
        <v/>
      </c>
      <c r="DS48" s="10" t="str">
        <f t="shared" ref="DS48:DS53" si="29">CT31</f>
        <v/>
      </c>
      <c r="DT48" s="24"/>
      <c r="DU48" s="249" t="str">
        <f>IF(COUNTIF($DS$10:DS47,DS48)&gt;0,"",DS48)</f>
        <v/>
      </c>
      <c r="DV48" s="198" t="str">
        <f t="shared" ref="DV48:DV53" si="30">CV31</f>
        <v/>
      </c>
      <c r="DW48" s="514">
        <f t="shared" si="27"/>
        <v>5</v>
      </c>
    </row>
    <row r="49" spans="2:127" ht="11.25" customHeight="1" thickBot="1">
      <c r="B49" s="23"/>
      <c r="C49" s="2299" t="s">
        <v>16</v>
      </c>
      <c r="D49" s="2299"/>
      <c r="E49" s="2299"/>
      <c r="F49" s="2299" t="s">
        <v>22</v>
      </c>
      <c r="G49" s="2299"/>
      <c r="H49" s="2299"/>
      <c r="I49" s="2299"/>
      <c r="J49" s="2299" t="s">
        <v>5</v>
      </c>
      <c r="K49" s="2299"/>
      <c r="L49" s="2299"/>
      <c r="M49" s="2299"/>
      <c r="N49" s="2299" t="s">
        <v>6</v>
      </c>
      <c r="O49" s="2299"/>
      <c r="P49" s="2299"/>
      <c r="Q49" s="2299"/>
      <c r="R49" s="2299"/>
      <c r="S49" s="2299" t="s">
        <v>1000</v>
      </c>
      <c r="T49" s="2299"/>
      <c r="U49" s="2299"/>
      <c r="V49" s="2299"/>
      <c r="W49" s="2299"/>
      <c r="X49" s="2299"/>
      <c r="Y49" s="2299"/>
      <c r="Z49" s="2299"/>
      <c r="AA49" s="3382" t="s">
        <v>7</v>
      </c>
      <c r="AB49" s="3382"/>
      <c r="AC49" s="3382"/>
      <c r="AD49" s="3382"/>
      <c r="AE49" s="2630" t="str">
        <f>IF(S54="","",IF(AH49&lt;&gt;"",AH49,IF(RIGHT($D$10,2)="不要","不","要")))</f>
        <v>要</v>
      </c>
      <c r="AF49" s="2630"/>
      <c r="AG49" s="668" t="s">
        <v>999</v>
      </c>
      <c r="AH49" s="2632"/>
      <c r="AI49" s="2633"/>
      <c r="AJ49" s="3371" t="s">
        <v>913</v>
      </c>
      <c r="AK49" s="3372"/>
      <c r="AL49" s="3372"/>
      <c r="AM49" s="3373"/>
      <c r="AN49" s="3383" t="str">
        <f>IF(W54="","",IF(AQ49&lt;&gt;"",AQ49,IF(RIGHT($D$10,2)="設置","要","不")))</f>
        <v>要</v>
      </c>
      <c r="AO49" s="3384"/>
      <c r="AP49" s="668" t="s">
        <v>999</v>
      </c>
      <c r="AQ49" s="2632"/>
      <c r="AR49" s="2633"/>
      <c r="AS49" s="3399" t="s">
        <v>912</v>
      </c>
      <c r="AT49" s="3412"/>
      <c r="AU49" s="3412"/>
      <c r="AV49" s="3412"/>
      <c r="AW49" s="3412"/>
      <c r="AX49" s="3412"/>
      <c r="AY49" s="3412"/>
      <c r="AZ49" s="3412"/>
      <c r="BA49" s="3412"/>
      <c r="BB49" s="3412"/>
      <c r="BC49" s="3412"/>
      <c r="BD49" s="3412"/>
      <c r="BE49" s="3412"/>
      <c r="BF49" s="3412"/>
      <c r="BG49" s="3412"/>
      <c r="BH49" s="3413"/>
      <c r="BI49" s="3399" t="s">
        <v>996</v>
      </c>
      <c r="BJ49" s="3412"/>
      <c r="BK49" s="3412"/>
      <c r="BL49" s="3413"/>
      <c r="BM49" s="3360" t="s">
        <v>998</v>
      </c>
      <c r="BN49" s="3419"/>
      <c r="BO49" s="3419"/>
      <c r="BP49" s="3419"/>
      <c r="BQ49" s="3419"/>
      <c r="BR49" s="3361"/>
      <c r="BS49" s="3441" t="s">
        <v>997</v>
      </c>
      <c r="BT49" s="3442"/>
      <c r="BU49" s="19"/>
      <c r="BW49" s="102"/>
      <c r="CF49" s="8"/>
      <c r="CG49" s="685" t="s">
        <v>909</v>
      </c>
      <c r="CH49" s="685" t="s">
        <v>908</v>
      </c>
      <c r="CI49" s="685" t="s">
        <v>996</v>
      </c>
      <c r="CJ49" s="686">
        <f>IF($AX$8=0,"",INT(10.7*CD51*CE51/($BF$8/1000)^2))</f>
        <v>283</v>
      </c>
      <c r="CK49" s="685" t="s">
        <v>995</v>
      </c>
      <c r="CL49" s="685" t="s">
        <v>994</v>
      </c>
      <c r="CM49" s="685" t="s">
        <v>993</v>
      </c>
      <c r="CN49" s="550" t="s">
        <v>734</v>
      </c>
      <c r="CO49" s="550" t="s">
        <v>732</v>
      </c>
      <c r="CP49" s="685"/>
      <c r="CQ49" s="2986" t="str">
        <f>IF(CS49="","","スピーカ 3W S3")</f>
        <v>スピーカ 3W S3</v>
      </c>
      <c r="CR49" s="3476"/>
      <c r="CS49" s="88">
        <f>IF(AY53=0,"",AY53)</f>
        <v>14</v>
      </c>
      <c r="CT49" s="3483" t="str">
        <f>IF(CV49="","","マイクロホン")</f>
        <v/>
      </c>
      <c r="CU49" s="3484"/>
      <c r="CV49" s="88" t="str">
        <f>BG53</f>
        <v/>
      </c>
      <c r="CX49" s="8"/>
      <c r="CY49" s="197">
        <f>IF(DC49&lt;&gt;"",CY47+1,CY47)</f>
        <v>5</v>
      </c>
      <c r="CZ49" s="197" t="str">
        <f t="shared" ref="CZ49:CZ56" si="31">IF(AND(CY49&lt;&gt;"",DC49&lt;&gt;""),CY49,"")</f>
        <v/>
      </c>
      <c r="DA49" s="10" t="str">
        <f>H55</f>
        <v>HP 1.2mm- 75Pr</v>
      </c>
      <c r="DB49" s="8"/>
      <c r="DC49" s="249" t="str">
        <f>IF(COUNTIF(DA$10:$DA46,DA49)&gt;0,"",DA49)</f>
        <v/>
      </c>
      <c r="DD49" s="515">
        <f>AF55</f>
        <v>7</v>
      </c>
      <c r="DE49" s="514">
        <f>SUMIF($DA$13:$DA$199,DC49,$DD$13:$DD$199)</f>
        <v>0</v>
      </c>
      <c r="DG49" s="8"/>
      <c r="DH49" s="197">
        <f>IF(DL49&lt;&gt;"",DH47+1,DH47)</f>
        <v>4</v>
      </c>
      <c r="DI49" s="197" t="str">
        <f t="shared" ref="DI49:DI56" si="32">IF(AND(DH49&lt;&gt;"",DL49&lt;&gt;""),DH49,"")</f>
        <v/>
      </c>
      <c r="DJ49" s="10" t="str">
        <f>AT55</f>
        <v>C-75mm</v>
      </c>
      <c r="DK49" s="8"/>
      <c r="DL49" s="249" t="str">
        <f>IF(COUNTIF($DA$10:DJ46,DJ49)&gt;0,"",DJ49)</f>
        <v/>
      </c>
      <c r="DM49" s="515">
        <f>BL55</f>
        <v>4</v>
      </c>
      <c r="DN49" s="514">
        <f>SUMIF($DJ$13:$DJ$199,DL49,$DM$13:$DM$199)</f>
        <v>0</v>
      </c>
      <c r="DQ49" s="197">
        <f t="shared" si="28"/>
        <v>10</v>
      </c>
      <c r="DR49" s="197" t="str">
        <f t="shared" si="26"/>
        <v/>
      </c>
      <c r="DS49" s="10" t="str">
        <f t="shared" si="29"/>
        <v>アッテネータ 3W</v>
      </c>
      <c r="DT49" s="24"/>
      <c r="DU49" s="249" t="str">
        <f>IF(COUNTIF($DS$10:DS48,DS49)&gt;0,"",DS49)</f>
        <v/>
      </c>
      <c r="DV49" s="198">
        <f t="shared" si="30"/>
        <v>9</v>
      </c>
      <c r="DW49" s="514">
        <f t="shared" si="27"/>
        <v>5</v>
      </c>
    </row>
    <row r="50" spans="2:127" ht="11.25" customHeight="1" thickBot="1">
      <c r="B50" s="23"/>
      <c r="C50" s="2299"/>
      <c r="D50" s="2299"/>
      <c r="E50" s="2299"/>
      <c r="F50" s="2396"/>
      <c r="G50" s="2396"/>
      <c r="H50" s="2396"/>
      <c r="I50" s="2396"/>
      <c r="J50" s="2396"/>
      <c r="K50" s="2396"/>
      <c r="L50" s="2396"/>
      <c r="M50" s="2396"/>
      <c r="N50" s="2396"/>
      <c r="O50" s="2396"/>
      <c r="P50" s="2396"/>
      <c r="Q50" s="2396"/>
      <c r="R50" s="2396"/>
      <c r="S50" s="2396" t="s">
        <v>7</v>
      </c>
      <c r="T50" s="2396"/>
      <c r="U50" s="2396"/>
      <c r="V50" s="2396"/>
      <c r="W50" s="2396" t="s">
        <v>8</v>
      </c>
      <c r="X50" s="2396"/>
      <c r="Y50" s="2396"/>
      <c r="Z50" s="2396"/>
      <c r="AA50" s="2384" t="s">
        <v>9</v>
      </c>
      <c r="AB50" s="2385"/>
      <c r="AC50" s="2386"/>
      <c r="AD50" s="2384" t="s">
        <v>9</v>
      </c>
      <c r="AE50" s="2385"/>
      <c r="AF50" s="2386"/>
      <c r="AG50" s="2384" t="str">
        <f>IF(AN50="","","専部屋面積")</f>
        <v>専部屋面積</v>
      </c>
      <c r="AH50" s="2385"/>
      <c r="AI50" s="2385"/>
      <c r="AJ50" s="2382"/>
      <c r="AK50" s="2382"/>
      <c r="AL50" s="2382"/>
      <c r="AM50" s="3392"/>
      <c r="AN50" s="3365">
        <f>IF(OR(C54="",$B$2=0),"",S54/AA54)</f>
        <v>296.79999999999995</v>
      </c>
      <c r="AO50" s="3366"/>
      <c r="AP50" s="3366"/>
      <c r="AQ50" s="3366"/>
      <c r="AR50" s="3367"/>
      <c r="AS50" s="2300" t="s">
        <v>903</v>
      </c>
      <c r="AT50" s="2301"/>
      <c r="AU50" s="2301"/>
      <c r="AV50" s="2301"/>
      <c r="AW50" s="2301"/>
      <c r="AX50" s="2302"/>
      <c r="AY50" s="2300" t="s">
        <v>902</v>
      </c>
      <c r="AZ50" s="2301"/>
      <c r="BA50" s="2301"/>
      <c r="BB50" s="2302"/>
      <c r="BC50" s="2300" t="s">
        <v>902</v>
      </c>
      <c r="BD50" s="2301"/>
      <c r="BE50" s="2301"/>
      <c r="BF50" s="2302"/>
      <c r="BG50" s="2300" t="s">
        <v>743</v>
      </c>
      <c r="BH50" s="2302"/>
      <c r="BI50" s="2300" t="s">
        <v>901</v>
      </c>
      <c r="BJ50" s="2301"/>
      <c r="BK50" s="2301"/>
      <c r="BL50" s="2302"/>
      <c r="BM50" s="2299" t="s">
        <v>982</v>
      </c>
      <c r="BN50" s="2299"/>
      <c r="BO50" s="2299"/>
      <c r="BP50" s="2299" t="s">
        <v>981</v>
      </c>
      <c r="BQ50" s="2299"/>
      <c r="BR50" s="2299"/>
      <c r="BS50" s="3439" t="s">
        <v>980</v>
      </c>
      <c r="BT50" s="3440"/>
      <c r="BU50" s="19"/>
      <c r="BW50" s="679"/>
      <c r="BX50" s="90" t="s">
        <v>917</v>
      </c>
      <c r="BY50" s="100" t="s">
        <v>905</v>
      </c>
      <c r="CC50" s="180">
        <v>40</v>
      </c>
      <c r="CD50" s="55" t="s">
        <v>101</v>
      </c>
      <c r="CE50" s="55" t="s">
        <v>100</v>
      </c>
      <c r="CF50" s="106" t="s">
        <v>859</v>
      </c>
      <c r="CG50" s="184">
        <f>INT((CD52+10)*BY53+CS51*$AN$8/1000+($AN$7/1000)*BY53)</f>
        <v>623</v>
      </c>
      <c r="CH50" s="184">
        <f>INT(CD52*CS56+CS56)</f>
        <v>0</v>
      </c>
      <c r="CI50" s="184">
        <f>8*SUM(BI53:BL53)</f>
        <v>96</v>
      </c>
      <c r="CJ50" s="185">
        <f>IF($AX$8=0,"",2*INT(0.5*CJ49))</f>
        <v>282</v>
      </c>
      <c r="CK50" s="184"/>
      <c r="CL50" s="184" t="str">
        <f>IF(BP53="","",10*BP53)</f>
        <v/>
      </c>
      <c r="CM50" s="184" t="str">
        <f>IF(BP53="","",10*BP53)</f>
        <v/>
      </c>
      <c r="CN50" s="682">
        <f>IF(S54="",0,IF(AE49="不","",(SUM(CG50:CM50)+SUM(CG51:CM51))*S54/N54))</f>
        <v>922.59999999999991</v>
      </c>
      <c r="CO50" s="682">
        <f>IF(S54="",0,IF(AE49="不","",(SUM(CG53:CM53)+SUM(CG54:CM54))*S54/N54))</f>
        <v>503.29999999999995</v>
      </c>
      <c r="CP50" s="664" t="s">
        <v>1</v>
      </c>
      <c r="CQ50" s="2986" t="str">
        <f>IF(CS50="","","スピーカ S5")</f>
        <v/>
      </c>
      <c r="CR50" s="3476"/>
      <c r="CS50" s="683" t="str">
        <f>IF(AW53=0,"",AW53)</f>
        <v/>
      </c>
      <c r="CT50" s="3483" t="str">
        <f>IF(CV50="","","アッテネータ 3W")</f>
        <v>アッテネータ 3W</v>
      </c>
      <c r="CU50" s="3484"/>
      <c r="CV50" s="88">
        <f>BI53</f>
        <v>9</v>
      </c>
      <c r="CX50" s="8"/>
      <c r="CY50" s="197">
        <f t="shared" ref="CY50:CY56" si="33">IF(DC50&lt;&gt;"",CY49+1,CY49)</f>
        <v>5</v>
      </c>
      <c r="CZ50" s="197" t="str">
        <f t="shared" si="31"/>
        <v/>
      </c>
      <c r="DA50" s="10" t="str">
        <f>H56</f>
        <v>HP 1.2mm-3C</v>
      </c>
      <c r="DB50" s="8"/>
      <c r="DC50" s="249" t="str">
        <f>IF(COUNTIF(DA$10:$DA47,DA50)&gt;0,"",DA50)</f>
        <v/>
      </c>
      <c r="DD50" s="515">
        <f>AF56</f>
        <v>1318</v>
      </c>
      <c r="DE50" s="514">
        <f>SUMIF($DA$13:$DA$199,DC50,$DD$13:$DD$199)</f>
        <v>0</v>
      </c>
      <c r="DG50" s="8"/>
      <c r="DH50" s="197">
        <f t="shared" ref="DH50:DH56" si="34">IF(DL50&lt;&gt;"",DH49+1,DH49)</f>
        <v>4</v>
      </c>
      <c r="DI50" s="197" t="str">
        <f t="shared" si="32"/>
        <v/>
      </c>
      <c r="DJ50" s="10" t="str">
        <f>AT56</f>
        <v>C-19mm</v>
      </c>
      <c r="DK50" s="8"/>
      <c r="DL50" s="249" t="str">
        <f>IF(COUNTIF($DA$10:DJ47,DJ50)&gt;0,"",DJ50)</f>
        <v/>
      </c>
      <c r="DM50" s="515">
        <f>BL56</f>
        <v>719</v>
      </c>
      <c r="DN50" s="514">
        <f>SUMIF($DJ$13:$DJ$199,DL50,$DM$13:$DM$199)</f>
        <v>0</v>
      </c>
      <c r="DQ50" s="197">
        <f t="shared" si="28"/>
        <v>10</v>
      </c>
      <c r="DR50" s="197" t="str">
        <f t="shared" si="26"/>
        <v/>
      </c>
      <c r="DS50" s="10" t="str">
        <f t="shared" si="29"/>
        <v>アッテネータ 6W</v>
      </c>
      <c r="DT50" s="24"/>
      <c r="DU50" s="249" t="str">
        <f>IF(COUNTIF($DS$10:DS49,DS50)&gt;0,"",DS50)</f>
        <v/>
      </c>
      <c r="DV50" s="198">
        <f t="shared" si="30"/>
        <v>3</v>
      </c>
      <c r="DW50" s="514">
        <f t="shared" si="27"/>
        <v>5</v>
      </c>
    </row>
    <row r="51" spans="2:127" ht="11.25" customHeight="1" thickBot="1">
      <c r="B51" s="23"/>
      <c r="C51" s="2396"/>
      <c r="D51" s="2396"/>
      <c r="E51" s="2396"/>
      <c r="F51" s="2397" t="s">
        <v>235</v>
      </c>
      <c r="G51" s="2397"/>
      <c r="H51" s="2397"/>
      <c r="I51" s="2397"/>
      <c r="J51" s="2397" t="s">
        <v>235</v>
      </c>
      <c r="K51" s="2397"/>
      <c r="L51" s="2397"/>
      <c r="M51" s="2397"/>
      <c r="N51" s="2397" t="s">
        <v>128</v>
      </c>
      <c r="O51" s="2397"/>
      <c r="P51" s="2397"/>
      <c r="Q51" s="2397"/>
      <c r="R51" s="2397"/>
      <c r="S51" s="2397" t="s">
        <v>128</v>
      </c>
      <c r="T51" s="2397"/>
      <c r="U51" s="2397"/>
      <c r="V51" s="2397"/>
      <c r="W51" s="2397" t="s">
        <v>128</v>
      </c>
      <c r="X51" s="2397"/>
      <c r="Y51" s="2397"/>
      <c r="Z51" s="2397"/>
      <c r="AA51" s="2397" t="s">
        <v>111</v>
      </c>
      <c r="AB51" s="2397"/>
      <c r="AC51" s="2397"/>
      <c r="AD51" s="2397" t="s">
        <v>110</v>
      </c>
      <c r="AE51" s="2397"/>
      <c r="AF51" s="2397"/>
      <c r="AG51" s="3398" t="str">
        <f>IF(AN51="","","共部屋面積")</f>
        <v>共部屋面積</v>
      </c>
      <c r="AH51" s="2382"/>
      <c r="AI51" s="2382"/>
      <c r="AJ51" s="2382"/>
      <c r="AK51" s="2382"/>
      <c r="AL51" s="2382"/>
      <c r="AM51" s="3392"/>
      <c r="AN51" s="3368">
        <f>IF(OR($B$2=0,C54=""),"",W54/AD54)</f>
        <v>39.475862068965526</v>
      </c>
      <c r="AO51" s="3369"/>
      <c r="AP51" s="3369"/>
      <c r="AQ51" s="3369"/>
      <c r="AR51" s="3370"/>
      <c r="AS51" s="3419" t="s">
        <v>895</v>
      </c>
      <c r="AT51" s="3361"/>
      <c r="AU51" s="3360" t="s">
        <v>894</v>
      </c>
      <c r="AV51" s="3361"/>
      <c r="AW51" s="3360" t="s">
        <v>893</v>
      </c>
      <c r="AX51" s="3361"/>
      <c r="AY51" s="3360" t="s">
        <v>892</v>
      </c>
      <c r="AZ51" s="3361"/>
      <c r="BA51" s="3360" t="s">
        <v>891</v>
      </c>
      <c r="BB51" s="3361"/>
      <c r="BC51" s="3360" t="s">
        <v>890</v>
      </c>
      <c r="BD51" s="3361"/>
      <c r="BE51" s="3360" t="s">
        <v>889</v>
      </c>
      <c r="BF51" s="3361"/>
      <c r="BG51" s="3432" t="s">
        <v>888</v>
      </c>
      <c r="BH51" s="3433"/>
      <c r="BI51" s="3360"/>
      <c r="BJ51" s="3361"/>
      <c r="BK51" s="3360"/>
      <c r="BL51" s="3361"/>
      <c r="BM51" s="3391" t="s">
        <v>887</v>
      </c>
      <c r="BN51" s="3391"/>
      <c r="BO51" s="3391"/>
      <c r="BP51" s="3391" t="s">
        <v>887</v>
      </c>
      <c r="BQ51" s="3391"/>
      <c r="BR51" s="3391"/>
      <c r="BS51" s="3432" t="s">
        <v>744</v>
      </c>
      <c r="BT51" s="3433"/>
      <c r="BU51" s="19"/>
      <c r="BW51" s="102"/>
      <c r="BX51" s="88">
        <f>IF(OR(J52="( 10)",J52="(12)イ",LEFT(J52,4)="(13)"),1,0)</f>
        <v>0</v>
      </c>
      <c r="BY51" s="88" t="str">
        <f>IF(OR(J52="(1) ロ",J52="(2) ロ",J52="(2) ニ",J52="(5) イ",J52="(6) ハ",J52="(6) ニ",J52="( 7 )",J52="( 15)"),"要","")</f>
        <v/>
      </c>
      <c r="CC51" s="46">
        <v>5</v>
      </c>
      <c r="CD51" s="98">
        <f>非誘!BW42</f>
        <v>30</v>
      </c>
      <c r="CE51" s="98">
        <f>非誘!BX42</f>
        <v>31.8</v>
      </c>
      <c r="CF51" s="106" t="s">
        <v>858</v>
      </c>
      <c r="CG51" s="185">
        <f>INT((F54-$Y$10/1000-0.25)*BY53)</f>
        <v>27</v>
      </c>
      <c r="CH51" s="184">
        <f>1+INT((F54-$Y$7/1000-0.25+$AN$8/1000)*CS56)</f>
        <v>1</v>
      </c>
      <c r="CI51" s="184">
        <f>INT((F54-$Y$8/1000-0.25+$AN$9/1000)*SUM(BI53:BL53))</f>
        <v>35</v>
      </c>
      <c r="CJ51" s="185">
        <f>IF($AX$8=0,"",2*INT(CJ49*($AX$8-250)/1000))</f>
        <v>254</v>
      </c>
      <c r="CK51" s="184"/>
      <c r="CL51" s="184" t="str">
        <f>IF(BP53="","",INT((F54-$Y$9/1000-0.25+AN45/1000)*BP53))</f>
        <v/>
      </c>
      <c r="CM51" s="184" t="str">
        <f>IF(BS53="","",INT((F54-$Y$9/1000-0.25+AN45/1000)*BS53))</f>
        <v/>
      </c>
      <c r="CN51" s="682">
        <f>IF(AN49="不","",(SUM(CG50:CM50)+SUM(CG51:CM51))*W54/N54)</f>
        <v>395.40000000000003</v>
      </c>
      <c r="CO51" s="682">
        <f>IF(AN49="不","",(SUM(CG53:CM53)+SUM(CG54:CM54))*W54/N54)</f>
        <v>215.70000000000005</v>
      </c>
      <c r="CP51" s="670" t="s">
        <v>877</v>
      </c>
      <c r="CQ51" s="15"/>
      <c r="CR51" s="106" t="s">
        <v>868</v>
      </c>
      <c r="CS51" s="8">
        <f>SUM(CS48:CS50)</f>
        <v>32</v>
      </c>
      <c r="CT51" s="3485" t="str">
        <f>IF(CV51="","","アッテネータ 6W")</f>
        <v>アッテネータ 6W</v>
      </c>
      <c r="CU51" s="3484"/>
      <c r="CV51" s="88">
        <f>BK53</f>
        <v>3</v>
      </c>
      <c r="CX51" s="8"/>
      <c r="CY51" s="197">
        <f t="shared" si="33"/>
        <v>5</v>
      </c>
      <c r="CZ51" s="197" t="str">
        <f t="shared" si="31"/>
        <v/>
      </c>
      <c r="DA51" s="10"/>
      <c r="DB51" s="8"/>
      <c r="DC51" s="249"/>
      <c r="DD51" s="515"/>
      <c r="DE51" s="514"/>
      <c r="DG51" s="8"/>
      <c r="DH51" s="197">
        <f t="shared" si="34"/>
        <v>4</v>
      </c>
      <c r="DI51" s="197" t="str">
        <f t="shared" si="32"/>
        <v/>
      </c>
      <c r="DJ51" s="10"/>
      <c r="DK51" s="8"/>
      <c r="DL51" s="249"/>
      <c r="DM51" s="515"/>
      <c r="DN51" s="514"/>
      <c r="DQ51" s="197">
        <f t="shared" si="28"/>
        <v>11</v>
      </c>
      <c r="DR51" s="197">
        <f t="shared" si="26"/>
        <v>11</v>
      </c>
      <c r="DS51" s="10" t="str">
        <f t="shared" si="29"/>
        <v>主増幅器</v>
      </c>
      <c r="DT51" s="24"/>
      <c r="DU51" s="249" t="str">
        <f>IF(COUNTIF($DS$10:DS50,DS51)&gt;0,"",DS51)</f>
        <v>主増幅器</v>
      </c>
      <c r="DV51" s="198">
        <f t="shared" si="30"/>
        <v>1</v>
      </c>
      <c r="DW51" s="514">
        <f t="shared" si="27"/>
        <v>1</v>
      </c>
    </row>
    <row r="52" spans="2:127" ht="11.25" customHeight="1" thickBot="1">
      <c r="B52" s="23"/>
      <c r="C52" s="2299" t="s">
        <v>112</v>
      </c>
      <c r="D52" s="2299"/>
      <c r="E52" s="2299"/>
      <c r="F52" s="2299"/>
      <c r="G52" s="2299"/>
      <c r="H52" s="2299"/>
      <c r="I52" s="3399"/>
      <c r="J52" s="3400" t="str">
        <f>非誘!J40</f>
        <v>( 4 )</v>
      </c>
      <c r="K52" s="3401"/>
      <c r="L52" s="3401"/>
      <c r="M52" s="3402"/>
      <c r="N52" s="3403" t="str">
        <f>非誘!M40</f>
        <v>百貨店等</v>
      </c>
      <c r="O52" s="3404"/>
      <c r="P52" s="3404"/>
      <c r="Q52" s="3404"/>
      <c r="R52" s="3404"/>
      <c r="S52" s="3404"/>
      <c r="T52" s="3404"/>
      <c r="U52" s="3404"/>
      <c r="V52" s="3404"/>
      <c r="W52" s="3404"/>
      <c r="X52" s="3404"/>
      <c r="Y52" s="3404"/>
      <c r="Z52" s="3405"/>
      <c r="AA52" s="3406" t="s">
        <v>926</v>
      </c>
      <c r="AB52" s="2301"/>
      <c r="AC52" s="2301"/>
      <c r="AD52" s="2301"/>
      <c r="AE52" s="2301"/>
      <c r="AF52" s="2302"/>
      <c r="AG52" s="3393" t="str">
        <f>IF($B$2=0,"",IF(AN52="","天井(C 管)",AN52))</f>
        <v>天井(C 管)</v>
      </c>
      <c r="AH52" s="2368"/>
      <c r="AI52" s="2368"/>
      <c r="AJ52" s="2368"/>
      <c r="AK52" s="2368"/>
      <c r="AL52" s="3394"/>
      <c r="AM52" s="668" t="s">
        <v>925</v>
      </c>
      <c r="AN52" s="3395"/>
      <c r="AO52" s="3396"/>
      <c r="AP52" s="3396"/>
      <c r="AQ52" s="3396"/>
      <c r="AR52" s="3397"/>
      <c r="AS52" s="3434" t="s">
        <v>881</v>
      </c>
      <c r="AT52" s="3435"/>
      <c r="AU52" s="3436" t="s">
        <v>880</v>
      </c>
      <c r="AV52" s="3437"/>
      <c r="AW52" s="3432"/>
      <c r="AX52" s="3433"/>
      <c r="AY52" s="3432" t="s">
        <v>881</v>
      </c>
      <c r="AZ52" s="3433"/>
      <c r="BA52" s="3436" t="s">
        <v>884</v>
      </c>
      <c r="BB52" s="3437"/>
      <c r="BC52" s="3436" t="s">
        <v>883</v>
      </c>
      <c r="BD52" s="3438"/>
      <c r="BE52" s="3438"/>
      <c r="BF52" s="3437"/>
      <c r="BG52" s="3420" t="s">
        <v>882</v>
      </c>
      <c r="BH52" s="3421"/>
      <c r="BI52" s="3436" t="s">
        <v>881</v>
      </c>
      <c r="BJ52" s="3437"/>
      <c r="BK52" s="3436" t="s">
        <v>880</v>
      </c>
      <c r="BL52" s="3437"/>
      <c r="BM52" s="3407" t="str">
        <f>IF(BM53="","",$BW$12)</f>
        <v/>
      </c>
      <c r="BN52" s="3407"/>
      <c r="BO52" s="3407"/>
      <c r="BP52" s="3407" t="str">
        <f>IF(BP53="","",30)</f>
        <v/>
      </c>
      <c r="BQ52" s="3407"/>
      <c r="BR52" s="3407"/>
      <c r="BS52" s="2384" t="s">
        <v>879</v>
      </c>
      <c r="BT52" s="2386"/>
      <c r="BU52" s="19"/>
      <c r="BW52" s="102"/>
      <c r="CB52" s="90" t="s">
        <v>966</v>
      </c>
      <c r="CC52" s="479" t="str">
        <f>AD53</f>
        <v>⑦</v>
      </c>
      <c r="CD52" s="263">
        <f>IF(C54="","",IF(CC52="①",CD51+CE51+3,IF(CC52="②",CD51*5/8+CE51+3,IF(CC52="③",CD51/2+CE51+3,IF(CC52="④",CD51+CE51*5/8+3,IF(CC52="⑤",(CD51+CE51)*5/8+3,IF(CC52="⑥",CD51/2+CE51*5/8+3,IF(CC52="⑦",CD51+CE51/2+3,IF(CC52="⑧",CD51*5/8+CE51/2+3,IF(CC52="⑨",(CD51+CE51)/2+3))))))))))</f>
        <v>48.9</v>
      </c>
      <c r="CE52" s="8"/>
      <c r="CF52" s="106"/>
      <c r="CG52" s="681">
        <f>IF(AG52="天井ケーブル",0,1)</f>
        <v>1</v>
      </c>
      <c r="CH52" s="394"/>
      <c r="CI52" s="394"/>
      <c r="CJ52" s="59"/>
      <c r="CK52" s="394"/>
      <c r="CL52" s="394"/>
      <c r="CM52" s="394"/>
      <c r="CN52" s="62" t="s">
        <v>1</v>
      </c>
      <c r="CO52" s="62" t="s">
        <v>877</v>
      </c>
      <c r="CP52" s="38"/>
      <c r="CQ52" s="2986" t="str">
        <f>IF(CS52="","","スピーカ 6W S2")</f>
        <v>スピーカ 6W S2</v>
      </c>
      <c r="CR52" s="3476"/>
      <c r="CS52" s="88">
        <f>IF(AU53=0,"",AU53)</f>
        <v>4</v>
      </c>
      <c r="CT52" s="3483" t="str">
        <f>IF(CV52="","","主増幅器")</f>
        <v/>
      </c>
      <c r="CU52" s="3484"/>
      <c r="CV52" s="88" t="str">
        <f>BM53</f>
        <v/>
      </c>
      <c r="CX52" s="8"/>
      <c r="CY52" s="197">
        <f t="shared" si="33"/>
        <v>5</v>
      </c>
      <c r="CZ52" s="197" t="str">
        <f t="shared" si="31"/>
        <v/>
      </c>
      <c r="DA52" s="10"/>
      <c r="DB52" s="8"/>
      <c r="DC52" s="249"/>
      <c r="DD52" s="515"/>
      <c r="DE52" s="514"/>
      <c r="DG52" s="8"/>
      <c r="DH52" s="197">
        <f t="shared" si="34"/>
        <v>4</v>
      </c>
      <c r="DI52" s="197" t="str">
        <f t="shared" si="32"/>
        <v/>
      </c>
      <c r="DJ52" s="10"/>
      <c r="DK52" s="8"/>
      <c r="DL52" s="249"/>
      <c r="DM52" s="515"/>
      <c r="DN52" s="514"/>
      <c r="DQ52" s="197">
        <f t="shared" si="28"/>
        <v>11</v>
      </c>
      <c r="DR52" s="197" t="str">
        <f t="shared" si="26"/>
        <v/>
      </c>
      <c r="DS52" s="10" t="str">
        <f t="shared" si="29"/>
        <v/>
      </c>
      <c r="DT52" s="24"/>
      <c r="DU52" s="249" t="str">
        <f>IF(COUNTIF($DS$10:DS51,DS52)&gt;0,"",DS52)</f>
        <v/>
      </c>
      <c r="DV52" s="198" t="str">
        <f t="shared" si="30"/>
        <v/>
      </c>
      <c r="DW52" s="514">
        <f t="shared" si="27"/>
        <v>5</v>
      </c>
    </row>
    <row r="53" spans="2:127" ht="11.25" customHeight="1" thickBot="1">
      <c r="B53" s="23"/>
      <c r="C53" s="3409" t="s">
        <v>923</v>
      </c>
      <c r="D53" s="3410"/>
      <c r="E53" s="3410"/>
      <c r="F53" s="3410"/>
      <c r="G53" s="3410"/>
      <c r="H53" s="3411"/>
      <c r="I53" s="3430" t="str">
        <f>非誘!AA40</f>
        <v>B1</v>
      </c>
      <c r="J53" s="3430"/>
      <c r="K53" s="3430"/>
      <c r="L53" s="2395" t="s">
        <v>214</v>
      </c>
      <c r="M53" s="2395"/>
      <c r="N53" s="2395"/>
      <c r="O53" s="2395"/>
      <c r="P53" s="2395"/>
      <c r="Q53" s="2395"/>
      <c r="R53" s="2395"/>
      <c r="S53" s="3379">
        <f>非誘!J41</f>
        <v>0.94339622641509435</v>
      </c>
      <c r="T53" s="3380"/>
      <c r="U53" s="3380"/>
      <c r="V53" s="3381"/>
      <c r="W53" s="3399" t="s">
        <v>875</v>
      </c>
      <c r="X53" s="3412"/>
      <c r="Y53" s="3412"/>
      <c r="Z53" s="3412"/>
      <c r="AA53" s="2654"/>
      <c r="AB53" s="2654"/>
      <c r="AC53" s="2655"/>
      <c r="AD53" s="3388" t="str">
        <f>非誘!V41</f>
        <v>⑦</v>
      </c>
      <c r="AE53" s="3389"/>
      <c r="AF53" s="3390"/>
      <c r="AG53" s="3391" t="s">
        <v>874</v>
      </c>
      <c r="AH53" s="3391"/>
      <c r="AI53" s="3391"/>
      <c r="AJ53" s="3391"/>
      <c r="AK53" s="3391"/>
      <c r="AL53" s="2990" t="str">
        <f>IF(AP53&lt;&gt;"",AP53,IF(C54=$BG$10,C54,""))</f>
        <v/>
      </c>
      <c r="AM53" s="2990"/>
      <c r="AN53" s="2990"/>
      <c r="AO53" s="668" t="s">
        <v>34</v>
      </c>
      <c r="AP53" s="3325"/>
      <c r="AQ53" s="3326"/>
      <c r="AR53" s="3327"/>
      <c r="AS53" s="3418">
        <f>IF(CE54=0,"",IF(AS54&lt;&gt;"",AS54,IF(BE53&lt;&gt;"",CN55,SUM(CN53:CO53))))</f>
        <v>18</v>
      </c>
      <c r="AT53" s="3375"/>
      <c r="AU53" s="3418">
        <f>IF(CE54=0,"",IF(AU54&lt;&gt;"",AU54,CN54))</f>
        <v>4</v>
      </c>
      <c r="AV53" s="3375"/>
      <c r="AW53" s="3418"/>
      <c r="AX53" s="3375"/>
      <c r="AY53" s="3418">
        <f>IF(AA54="","",IF(AY54&lt;&gt;"",AY54,CO54))</f>
        <v>14</v>
      </c>
      <c r="AZ53" s="3375"/>
      <c r="BA53" s="3418"/>
      <c r="BB53" s="3375"/>
      <c r="BC53" s="3418" t="str">
        <f>IF(OR(AL54="不",,BP53=""),"",IF(BC54&lt;&gt;"",BC54,BP53*2))</f>
        <v/>
      </c>
      <c r="BD53" s="3375"/>
      <c r="BE53" s="3418" t="str">
        <f>IF(BE54&lt;&gt;"",BE54,IF(BX51=0,"",CN55))</f>
        <v/>
      </c>
      <c r="BF53" s="3375"/>
      <c r="BG53" s="3418" t="str">
        <f>IF(AE49="不","",IF(BG54&lt;&gt;"",BG54,BP53))</f>
        <v/>
      </c>
      <c r="BH53" s="3375"/>
      <c r="BI53" s="3418">
        <f>IF(CE54=0,"",CN56)</f>
        <v>9</v>
      </c>
      <c r="BJ53" s="3375"/>
      <c r="BK53" s="3374">
        <f>IF(CE54=0,"",CO56)</f>
        <v>3</v>
      </c>
      <c r="BL53" s="3375"/>
      <c r="BM53" s="3376" t="str">
        <f>IF(CE54=0,"",IF(BM54&lt;&gt;"",BM54,IF(C54=AL53,1,"")))</f>
        <v/>
      </c>
      <c r="BN53" s="3377"/>
      <c r="BO53" s="3378"/>
      <c r="BP53" s="3376" t="str">
        <f>IF(CE54=0,"",IF(OR(AE49="不",AA54="",S54=""),"",IF(BP54&lt;&gt;"",BP54,IF(AL54="要",1+INT(S54/1000),""))))</f>
        <v/>
      </c>
      <c r="BQ53" s="3377"/>
      <c r="BR53" s="3378"/>
      <c r="BS53" s="3376" t="str">
        <f>IF(BS54&lt;&gt;"",BS54,BP53)</f>
        <v/>
      </c>
      <c r="BT53" s="3378"/>
      <c r="BU53" s="19"/>
      <c r="BW53" s="680">
        <f>IF(AND(CS54=0,CS55=""),CS51*3,CS51*3+CS54*6)</f>
        <v>120</v>
      </c>
      <c r="BX53" s="679">
        <f>BY54</f>
        <v>39</v>
      </c>
      <c r="BY53" s="522">
        <f>1+INT(SUM(S54:Z54)/400)</f>
        <v>10</v>
      </c>
      <c r="BZ53" s="100" t="s">
        <v>873</v>
      </c>
      <c r="CB53" s="678">
        <f>IF(CE54="=",MID(BZ54,10,3),10*(1+INT(BY53*3/10)))</f>
        <v>40</v>
      </c>
      <c r="CC53" s="10" t="s">
        <v>922</v>
      </c>
      <c r="CF53" s="106" t="s">
        <v>857</v>
      </c>
      <c r="CG53" s="136">
        <f>IF(CG52=1,INT(CD52*BY53)+BY53*10,"")</f>
        <v>589</v>
      </c>
      <c r="CH53" s="136">
        <f>IF(CG52=1,INT(CD52*CS56),"")</f>
        <v>0</v>
      </c>
      <c r="CI53" s="136">
        <f>8*SUM(BI53:BL53)</f>
        <v>96</v>
      </c>
      <c r="CJ53" s="134" t="str">
        <f>IF($AX$8=0,INT(10.7*CD51*CE51/($BF$8/1000)^2)*1.5,"")</f>
        <v/>
      </c>
      <c r="CK53" s="136">
        <v>0</v>
      </c>
      <c r="CL53" s="136" t="str">
        <f>IF(BP53="","",10*BP53)</f>
        <v/>
      </c>
      <c r="CM53" s="136" t="str">
        <f>IF(BS53="","",10*BS53)</f>
        <v/>
      </c>
      <c r="CN53" s="665">
        <f>IF(AA54="",0,IF(AE49="不","",INT(AA54/2)))</f>
        <v>4</v>
      </c>
      <c r="CO53" s="665">
        <f>IF(AN49="不","",INT(AD54/2))</f>
        <v>14</v>
      </c>
      <c r="CP53" s="670" t="s">
        <v>921</v>
      </c>
      <c r="CQ53" s="2986" t="str">
        <f>IF(CS53="","","スピーカ 5W S4")</f>
        <v/>
      </c>
      <c r="CR53" s="3476"/>
      <c r="CS53" s="88" t="str">
        <f>IF(BA53=0,"",BA53)</f>
        <v/>
      </c>
      <c r="CT53" s="3483" t="str">
        <f>IF(CV53="","","副増幅器 30W")</f>
        <v/>
      </c>
      <c r="CU53" s="3484"/>
      <c r="CV53" s="88" t="str">
        <f>BP53</f>
        <v/>
      </c>
      <c r="CX53" s="8"/>
      <c r="CY53" s="197">
        <f t="shared" si="33"/>
        <v>5</v>
      </c>
      <c r="CZ53" s="197" t="str">
        <f t="shared" si="31"/>
        <v/>
      </c>
      <c r="DA53" s="10"/>
      <c r="DB53" s="8"/>
      <c r="DC53" s="249"/>
      <c r="DD53" s="515"/>
      <c r="DE53" s="514"/>
      <c r="DG53" s="8"/>
      <c r="DH53" s="197">
        <f t="shared" si="34"/>
        <v>4</v>
      </c>
      <c r="DI53" s="197" t="str">
        <f t="shared" si="32"/>
        <v/>
      </c>
      <c r="DJ53" s="10"/>
      <c r="DK53" s="8"/>
      <c r="DL53" s="249"/>
      <c r="DM53" s="515"/>
      <c r="DN53" s="514"/>
      <c r="DP53" s="8"/>
      <c r="DQ53" s="197">
        <f t="shared" si="28"/>
        <v>11</v>
      </c>
      <c r="DR53" s="197" t="str">
        <f t="shared" si="26"/>
        <v/>
      </c>
      <c r="DS53" s="10" t="str">
        <f t="shared" si="29"/>
        <v/>
      </c>
      <c r="DT53" s="24"/>
      <c r="DU53" s="249" t="str">
        <f>IF(COUNTIF($DS$10:DS52,DS53)&gt;0,"",DS53)</f>
        <v/>
      </c>
      <c r="DV53" s="198" t="str">
        <f t="shared" si="30"/>
        <v/>
      </c>
      <c r="DW53" s="514">
        <f t="shared" si="27"/>
        <v>5</v>
      </c>
    </row>
    <row r="54" spans="2:127" ht="11.25" customHeight="1" thickBot="1">
      <c r="B54" s="23"/>
      <c r="C54" s="3429" t="str">
        <f>IF($B$2=0,"",非誘!C42)</f>
        <v xml:space="preserve">  3F</v>
      </c>
      <c r="D54" s="3407"/>
      <c r="E54" s="3407"/>
      <c r="F54" s="3430">
        <f>IF($B$2=0,"",非誘!F42)</f>
        <v>4</v>
      </c>
      <c r="G54" s="3430"/>
      <c r="H54" s="3430"/>
      <c r="I54" s="3430"/>
      <c r="J54" s="3430">
        <f>IF($B$2=0,"",非誘!J42)</f>
        <v>3</v>
      </c>
      <c r="K54" s="3430"/>
      <c r="L54" s="3430"/>
      <c r="M54" s="3430"/>
      <c r="N54" s="3407">
        <f>IF($B$2=0,"",非誘!N42)</f>
        <v>3816</v>
      </c>
      <c r="O54" s="3407"/>
      <c r="P54" s="3407"/>
      <c r="Q54" s="3407"/>
      <c r="R54" s="3407"/>
      <c r="S54" s="3431">
        <f>IF($B$2=0,"",非誘!S42)</f>
        <v>2671.2</v>
      </c>
      <c r="T54" s="3431"/>
      <c r="U54" s="3431"/>
      <c r="V54" s="3431"/>
      <c r="W54" s="3431">
        <f>IF($B$2=0,"",非誘!W42)</f>
        <v>1144.8000000000002</v>
      </c>
      <c r="X54" s="3431"/>
      <c r="Y54" s="3431"/>
      <c r="Z54" s="3431"/>
      <c r="AA54" s="3407">
        <f>IF($B$2=0,"",非誘!AA42)</f>
        <v>9</v>
      </c>
      <c r="AB54" s="3407"/>
      <c r="AC54" s="3407"/>
      <c r="AD54" s="3407">
        <f>IF($B$2=0,"",非誘!AD42)</f>
        <v>29</v>
      </c>
      <c r="AE54" s="3407"/>
      <c r="AF54" s="3407"/>
      <c r="AG54" s="3391" t="s">
        <v>942</v>
      </c>
      <c r="AH54" s="3391"/>
      <c r="AI54" s="3391"/>
      <c r="AJ54" s="3391"/>
      <c r="AK54" s="3391"/>
      <c r="AL54" s="2990" t="str">
        <f>IF(AP54&lt;&gt;"",AP54,IF($BY$9="要","要",""))</f>
        <v/>
      </c>
      <c r="AM54" s="2990"/>
      <c r="AN54" s="2990"/>
      <c r="AO54" s="668" t="s">
        <v>103</v>
      </c>
      <c r="AP54" s="3408"/>
      <c r="AQ54" s="3408"/>
      <c r="AR54" s="3408"/>
      <c r="AS54" s="2551"/>
      <c r="AT54" s="3414"/>
      <c r="AU54" s="2551"/>
      <c r="AV54" s="3414"/>
      <c r="AW54" s="2551"/>
      <c r="AX54" s="3414"/>
      <c r="AY54" s="2551"/>
      <c r="AZ54" s="3414"/>
      <c r="BA54" s="2551"/>
      <c r="BB54" s="3414"/>
      <c r="BC54" s="2551"/>
      <c r="BD54" s="3414"/>
      <c r="BE54" s="2551"/>
      <c r="BF54" s="3414"/>
      <c r="BG54" s="2551"/>
      <c r="BH54" s="3414"/>
      <c r="BI54" s="2551"/>
      <c r="BJ54" s="3414"/>
      <c r="BK54" s="2551"/>
      <c r="BL54" s="3414"/>
      <c r="BM54" s="2551"/>
      <c r="BN54" s="3428"/>
      <c r="BO54" s="3414"/>
      <c r="BP54" s="2551"/>
      <c r="BQ54" s="3428"/>
      <c r="BR54" s="3414"/>
      <c r="BS54" s="2551"/>
      <c r="BT54" s="3414"/>
      <c r="BU54" s="19"/>
      <c r="BY54" s="677">
        <f>IF(CE54=0,0,IF(CE54="=",BY53+BY45+BY63,IF(CE54="-",BY53+BY45,BY53+BY63)))</f>
        <v>39</v>
      </c>
      <c r="BZ54" s="3443" t="str">
        <f>IF(CE54=0,"",IF(BY54*3&lt;=20,"HP 1.2mm- 10Pr",IF(BY54*3&lt;=30,"HP 1.2mm- 15Pr",IF(BY54*3&lt;=40,"HP 1.2mm- 20Pr",IF(BY54*3&lt;=50,"HP 1.2mm- 25Pr",IF(BY54*3&lt;=60,"HP 1.2mm- 30Pr",IF(BY54*3&lt;=80,"HP 1.2mm- 40Pr",IF(BY54*3&lt;=100,"HP 1.2mm- 50Pr",IF(BY54*3&lt;=150,"HP 1.2mm- 75Pr", IF(BY54*3&lt;=200,"HP 1.2mm-100Pr",IF(BY54*3&lt;=400,"HP 1.2mm-200Pr","")))))))))))</f>
        <v>HP 1.2mm- 75Pr</v>
      </c>
      <c r="CA54" s="3444"/>
      <c r="CB54" s="3444"/>
      <c r="CC54" s="3445"/>
      <c r="CD54" s="673" t="str">
        <f>IF(LEFT($BG$10,2)=" B",-MID($BG$10,3,1),LEFT($BG$10,3))</f>
        <v xml:space="preserve">  1</v>
      </c>
      <c r="CE54" s="676" t="str">
        <f>IF(CD55=0,0,IF(CD54=CD55,"=",IF(CD54&gt;CD55,"-","+")))</f>
        <v>+</v>
      </c>
      <c r="CF54" s="106" t="s">
        <v>856</v>
      </c>
      <c r="CG54" s="136">
        <f>2*INT((F54-$Y$10/1000-0.25))</f>
        <v>4</v>
      </c>
      <c r="CH54" s="136">
        <f>1+INT((F54-$Y$7/1000-0.25)*CS56)</f>
        <v>1</v>
      </c>
      <c r="CI54" s="136">
        <f>INT((F54-$Y$8/1000-0.25)*SUM(BI53:BL53))</f>
        <v>29</v>
      </c>
      <c r="CJ54" s="675"/>
      <c r="CK54" s="136">
        <v>0</v>
      </c>
      <c r="CL54" s="136" t="str">
        <f>IF(BP53="","",INT((F54-$Y$9/1000-0.25)*BP53))</f>
        <v/>
      </c>
      <c r="CM54" s="136" t="str">
        <f>IF(BS53="","",INT((F54-$Y$9/1000-0.25)*BS53))</f>
        <v/>
      </c>
      <c r="CN54" s="665">
        <f>IF(AA54="",0,IF(AE49="不","",INT(AA54/2)))</f>
        <v>4</v>
      </c>
      <c r="CO54" s="665">
        <f>IF(AN49="不","",INT(AD54/2))</f>
        <v>14</v>
      </c>
      <c r="CP54" s="670" t="s">
        <v>941</v>
      </c>
      <c r="CQ54" s="15"/>
      <c r="CR54" s="106" t="s">
        <v>868</v>
      </c>
      <c r="CS54" s="8">
        <f>SUM(CS52:CS53)</f>
        <v>4</v>
      </c>
      <c r="CT54" s="3483" t="str">
        <f>IF(CV54="","","カットリレー")</f>
        <v/>
      </c>
      <c r="CU54" s="3484"/>
      <c r="CV54" s="88" t="str">
        <f>BS53</f>
        <v/>
      </c>
      <c r="CY54" s="197">
        <f t="shared" si="33"/>
        <v>5</v>
      </c>
      <c r="CZ54" s="197" t="str">
        <f t="shared" si="31"/>
        <v/>
      </c>
      <c r="DB54" s="24"/>
      <c r="DD54" s="516"/>
      <c r="DE54" s="516"/>
      <c r="DH54" s="197">
        <f t="shared" si="34"/>
        <v>4</v>
      </c>
      <c r="DI54" s="197" t="str">
        <f t="shared" si="32"/>
        <v/>
      </c>
      <c r="DK54" s="24"/>
      <c r="DM54" s="516"/>
      <c r="DN54" s="516"/>
      <c r="DP54" s="88">
        <v>4</v>
      </c>
      <c r="DQ54" s="45"/>
      <c r="DR54" s="45"/>
      <c r="DS54" s="45"/>
      <c r="DT54" s="45"/>
      <c r="DU54" s="45"/>
      <c r="DV54" s="45"/>
      <c r="DW54" s="45"/>
    </row>
    <row r="55" spans="2:127" ht="11.25" customHeight="1" thickBot="1">
      <c r="B55" s="23"/>
      <c r="C55" s="2300" t="s">
        <v>867</v>
      </c>
      <c r="D55" s="2301"/>
      <c r="E55" s="2301"/>
      <c r="F55" s="2301"/>
      <c r="G55" s="2302"/>
      <c r="H55" s="3422" t="str">
        <f>IF(CE54=0,"",IF(R55&lt;&gt;"",R55,BZ54))</f>
        <v>HP 1.2mm- 75Pr</v>
      </c>
      <c r="I55" s="3423"/>
      <c r="J55" s="3423"/>
      <c r="K55" s="3423"/>
      <c r="L55" s="3423"/>
      <c r="M55" s="3423"/>
      <c r="N55" s="3423"/>
      <c r="O55" s="3423"/>
      <c r="P55" s="3424"/>
      <c r="Q55" s="668" t="s">
        <v>103</v>
      </c>
      <c r="R55" s="3362"/>
      <c r="S55" s="3363"/>
      <c r="T55" s="3363"/>
      <c r="U55" s="3363"/>
      <c r="V55" s="3363"/>
      <c r="W55" s="3363"/>
      <c r="X55" s="3363"/>
      <c r="Y55" s="3363"/>
      <c r="Z55" s="3364"/>
      <c r="AA55" s="3345" t="s">
        <v>866</v>
      </c>
      <c r="AB55" s="3346"/>
      <c r="AC55" s="3346"/>
      <c r="AD55" s="3346"/>
      <c r="AE55" s="3347"/>
      <c r="AF55" s="3385">
        <f>IF(CE54=0,"",IF(AK55&lt;&gt;"",AK55,CG56+CI56))</f>
        <v>7</v>
      </c>
      <c r="AG55" s="3386"/>
      <c r="AH55" s="3386"/>
      <c r="AI55" s="3387"/>
      <c r="AJ55" s="669" t="s">
        <v>103</v>
      </c>
      <c r="AK55" s="3415"/>
      <c r="AL55" s="3416"/>
      <c r="AM55" s="3416"/>
      <c r="AN55" s="3417"/>
      <c r="AO55" s="2300" t="s">
        <v>865</v>
      </c>
      <c r="AP55" s="2301"/>
      <c r="AQ55" s="2301"/>
      <c r="AR55" s="2301"/>
      <c r="AS55" s="2302"/>
      <c r="AT55" s="3422" t="str">
        <f>IF(CE54=0,"",IF(BA55&lt;&gt;"",BA55,IF(MID(AG52,4,2)="C ","C-"&amp;CA55&amp;"mm",IF(MID(AG52,4,2)="PF","PF-D-"&amp;CB55&amp;"mm",IF(MID(AG52,4,2)="CD","CD-"&amp;CB55&amp;"mm",IF(MID(AG52,4,2)="G ","G-"&amp;CB55&amp;"mm",""))))))</f>
        <v>C-75mm</v>
      </c>
      <c r="AU55" s="3423"/>
      <c r="AV55" s="3423"/>
      <c r="AW55" s="3423"/>
      <c r="AX55" s="3423"/>
      <c r="AY55" s="3424"/>
      <c r="AZ55" s="668" t="s">
        <v>103</v>
      </c>
      <c r="BA55" s="3362"/>
      <c r="BB55" s="3363"/>
      <c r="BC55" s="3363"/>
      <c r="BD55" s="3363"/>
      <c r="BE55" s="3363"/>
      <c r="BF55" s="3364"/>
      <c r="BG55" s="3345" t="s">
        <v>864</v>
      </c>
      <c r="BH55" s="3346"/>
      <c r="BI55" s="3346"/>
      <c r="BJ55" s="3346"/>
      <c r="BK55" s="3347"/>
      <c r="BL55" s="3385">
        <f>IF(CE54=0,"",IF(CM56=0,"",IF(BQ55&lt;&gt;"",BQ55,CK56+CM56)))</f>
        <v>4</v>
      </c>
      <c r="BM55" s="3386"/>
      <c r="BN55" s="3386"/>
      <c r="BO55" s="3387"/>
      <c r="BP55" s="668" t="s">
        <v>103</v>
      </c>
      <c r="BQ55" s="3415"/>
      <c r="BR55" s="3416"/>
      <c r="BS55" s="3416"/>
      <c r="BT55" s="3417"/>
      <c r="BU55" s="19"/>
      <c r="BZ55" s="107" t="str">
        <f>IF(LEN(BZ54)=13,MID(BZ54,10,2),MID(BZ54,10,3))</f>
        <v xml:space="preserve"> 75</v>
      </c>
      <c r="CA55" s="674" t="str">
        <f>IF(OR(BZ55=" 10",BZ55=" 15"),"31",IF(OR(BZ55=" 20",BZ55=" 25",BZ55=" 30"),"39",IF(OR(BZ55=" 40",BZ55=" 50"),"51",IF(BZ55="100","63",IF(BZ55&lt;="200","75","")))))</f>
        <v>75</v>
      </c>
      <c r="CB55" s="674" t="str">
        <f>IF(OR(BZ55=" 10",BZ55=" 15"),"28",IF(OR(BZ55=" 20",BZ55=" 25",BZ55=" 30"),"36",IF(OR(BZ55=" 40",BZ55=" 50"),"42",IF(BZ55="100","54",IF(BZ55&lt;="200","70","")))))</f>
        <v>70</v>
      </c>
      <c r="CD55" s="673" t="str">
        <f>IF(C54="",0,IF(LEFT(C54,2)=" B",-MID(C54,3,1),LEFT(C54,3)))</f>
        <v xml:space="preserve">  3</v>
      </c>
      <c r="CF55" s="106"/>
      <c r="CG55" s="90" t="s">
        <v>940</v>
      </c>
      <c r="CH55" s="64"/>
      <c r="CI55" s="90" t="s">
        <v>940</v>
      </c>
      <c r="CJ55" s="38"/>
      <c r="CK55" s="90" t="s">
        <v>940</v>
      </c>
      <c r="CL55" s="64"/>
      <c r="CM55" s="90" t="s">
        <v>940</v>
      </c>
      <c r="CN55" s="672">
        <f>IF(S54="",0,IF(AE49="不","",INT(S54/150)))</f>
        <v>17</v>
      </c>
      <c r="CO55" s="671"/>
      <c r="CP55" s="670" t="s">
        <v>889</v>
      </c>
      <c r="CQ55" s="2986" t="str">
        <f>IF(CS55="","","プロセニアム・スピーカ 20W")</f>
        <v/>
      </c>
      <c r="CR55" s="3476"/>
      <c r="CS55" s="88" t="str">
        <f>IF(BC53=0,"",BC53)</f>
        <v/>
      </c>
      <c r="CT55" s="9"/>
      <c r="CU55" s="46"/>
      <c r="CY55" s="197">
        <f t="shared" si="33"/>
        <v>5</v>
      </c>
      <c r="CZ55" s="197" t="str">
        <f t="shared" si="31"/>
        <v/>
      </c>
      <c r="DB55" s="24"/>
      <c r="DD55" s="516"/>
      <c r="DE55" s="516"/>
      <c r="DH55" s="197">
        <f t="shared" si="34"/>
        <v>4</v>
      </c>
      <c r="DI55" s="197" t="str">
        <f t="shared" si="32"/>
        <v/>
      </c>
      <c r="DK55" s="24"/>
      <c r="DM55" s="516"/>
      <c r="DN55" s="516"/>
      <c r="DP55" s="8"/>
      <c r="DQ55" s="197">
        <f>IF(DU55&lt;&gt;"",DQ53+1,DQ53)</f>
        <v>11</v>
      </c>
      <c r="DR55" s="197" t="str">
        <f t="shared" ref="DR55:DR67" si="35">IF(AND(DQ55&lt;&gt;"",DU55&lt;&gt;""),DQ55,"")</f>
        <v/>
      </c>
      <c r="DS55" s="10" t="str">
        <f>CQ39</f>
        <v>スピーカ 3W S1</v>
      </c>
      <c r="DT55" s="8"/>
      <c r="DU55" s="249" t="str">
        <f>IF(COUNTIF($DS$10:DS54,DS55)&gt;0,"",DS55)</f>
        <v/>
      </c>
      <c r="DV55" s="198">
        <f>CS39</f>
        <v>27</v>
      </c>
      <c r="DW55" s="514">
        <f t="shared" ref="DW55:DW67" si="36">SUMIF($DS$13:$DS$344,DU55,$DV$13:$DV$344)</f>
        <v>5</v>
      </c>
    </row>
    <row r="56" spans="2:127" ht="11.25" customHeight="1" thickBot="1">
      <c r="B56" s="23"/>
      <c r="C56" s="2300" t="s">
        <v>861</v>
      </c>
      <c r="D56" s="2301"/>
      <c r="E56" s="2301"/>
      <c r="F56" s="2301"/>
      <c r="G56" s="2302"/>
      <c r="H56" s="3422" t="str">
        <f>IF(CE54=0,"",IF(R56&lt;&gt;"",R56,"HP 1.2mm-3C"))</f>
        <v>HP 1.2mm-3C</v>
      </c>
      <c r="I56" s="3423"/>
      <c r="J56" s="3423"/>
      <c r="K56" s="3423"/>
      <c r="L56" s="3423"/>
      <c r="M56" s="3423"/>
      <c r="N56" s="3423"/>
      <c r="O56" s="3423"/>
      <c r="P56" s="3424"/>
      <c r="Q56" s="668" t="s">
        <v>103</v>
      </c>
      <c r="R56" s="3362"/>
      <c r="S56" s="3363"/>
      <c r="T56" s="3363"/>
      <c r="U56" s="3363"/>
      <c r="V56" s="3363"/>
      <c r="W56" s="3363"/>
      <c r="X56" s="3363"/>
      <c r="Y56" s="3363"/>
      <c r="Z56" s="3364"/>
      <c r="AA56" s="3348" t="s">
        <v>235</v>
      </c>
      <c r="AB56" s="3349"/>
      <c r="AC56" s="3349"/>
      <c r="AD56" s="3349"/>
      <c r="AE56" s="3350"/>
      <c r="AF56" s="3385">
        <f>IF(CE54=0,"",IF(AK56&lt;&gt;"",AK56,SUM(CN50:CN51)))</f>
        <v>1318</v>
      </c>
      <c r="AG56" s="3386"/>
      <c r="AH56" s="3386"/>
      <c r="AI56" s="3387"/>
      <c r="AJ56" s="669" t="s">
        <v>103</v>
      </c>
      <c r="AK56" s="3415"/>
      <c r="AL56" s="3416"/>
      <c r="AM56" s="3416"/>
      <c r="AN56" s="3417"/>
      <c r="AO56" s="2300" t="s">
        <v>860</v>
      </c>
      <c r="AP56" s="2301"/>
      <c r="AQ56" s="2301"/>
      <c r="AR56" s="2301"/>
      <c r="AS56" s="2302"/>
      <c r="AT56" s="3422" t="str">
        <f>IF(CE54=0,"",IF(BA56&lt;&gt;"",BA56,IF(MID(AG52,4,2)="C ","C-19mm",IF(MID(AG52,4,2)="PF","PF-D-16mm",IF(MID(AG52,4,2)="CD","CD-16mm",IF(MID(AG52,4,2)="G ","G-16mm","C-19mm"))))))</f>
        <v>C-19mm</v>
      </c>
      <c r="AU56" s="3423"/>
      <c r="AV56" s="3423"/>
      <c r="AW56" s="3423"/>
      <c r="AX56" s="3423"/>
      <c r="AY56" s="3424"/>
      <c r="AZ56" s="668" t="s">
        <v>103</v>
      </c>
      <c r="BA56" s="3362"/>
      <c r="BB56" s="3363"/>
      <c r="BC56" s="3363"/>
      <c r="BD56" s="3363"/>
      <c r="BE56" s="3363"/>
      <c r="BF56" s="3364"/>
      <c r="BG56" s="3348" t="s">
        <v>235</v>
      </c>
      <c r="BH56" s="3349"/>
      <c r="BI56" s="3349"/>
      <c r="BJ56" s="3349"/>
      <c r="BK56" s="3350"/>
      <c r="BL56" s="3385">
        <f>IF(CE54=0,"",IF(BQ56&lt;&gt;"",BQ56,SUM(CO50:CO51)))</f>
        <v>719</v>
      </c>
      <c r="BM56" s="3386"/>
      <c r="BN56" s="3386"/>
      <c r="BO56" s="3387"/>
      <c r="BP56" s="668" t="s">
        <v>103</v>
      </c>
      <c r="BQ56" s="3425"/>
      <c r="BR56" s="3426"/>
      <c r="BS56" s="3426"/>
      <c r="BT56" s="3427"/>
      <c r="BU56" s="19"/>
      <c r="CF56" s="106" t="s">
        <v>859</v>
      </c>
      <c r="CG56" s="184">
        <f>IF(CE54="=",CD52,0)</f>
        <v>0</v>
      </c>
      <c r="CH56" s="667" t="s">
        <v>858</v>
      </c>
      <c r="CI56" s="184">
        <f>F54+2*$AN$7/1000</f>
        <v>7</v>
      </c>
      <c r="CJ56" s="666" t="s">
        <v>857</v>
      </c>
      <c r="CK56" s="184">
        <f>IF(CG52=1,CG56,0)</f>
        <v>0</v>
      </c>
      <c r="CL56" s="666" t="s">
        <v>856</v>
      </c>
      <c r="CM56" s="184">
        <f>IF(CG52=1,F54,0)</f>
        <v>4</v>
      </c>
      <c r="CN56" s="665">
        <f>INT(AS53/2)</f>
        <v>9</v>
      </c>
      <c r="CO56" s="665">
        <f>IF(AU53="","",1+INT(AU53/2))</f>
        <v>3</v>
      </c>
      <c r="CP56" s="664" t="s">
        <v>939</v>
      </c>
      <c r="CQ56" s="3477" t="str">
        <f>IF(CS56="","","ソノライン・スピーカ 20W")</f>
        <v>ソノライン・スピーカ 20W</v>
      </c>
      <c r="CR56" s="3478"/>
      <c r="CS56" s="222">
        <f>IF(BE53="",0,BE53)</f>
        <v>0</v>
      </c>
      <c r="CT56" s="155"/>
      <c r="CU56" s="148"/>
      <c r="CV56" s="148"/>
      <c r="CY56" s="197">
        <f t="shared" si="33"/>
        <v>5</v>
      </c>
      <c r="CZ56" s="197" t="str">
        <f t="shared" si="31"/>
        <v/>
      </c>
      <c r="DB56" s="24"/>
      <c r="DD56" s="516"/>
      <c r="DE56" s="516"/>
      <c r="DH56" s="197">
        <f t="shared" si="34"/>
        <v>4</v>
      </c>
      <c r="DI56" s="197" t="str">
        <f t="shared" si="32"/>
        <v/>
      </c>
      <c r="DK56" s="24"/>
      <c r="DM56" s="516"/>
      <c r="DN56" s="516"/>
      <c r="DP56" s="8"/>
      <c r="DQ56" s="197">
        <f t="shared" ref="DQ56:DQ67" si="37">IF(DU56&lt;&gt;"",DQ55+1,DQ55)</f>
        <v>11</v>
      </c>
      <c r="DR56" s="197" t="str">
        <f t="shared" si="35"/>
        <v/>
      </c>
      <c r="DS56" s="10" t="str">
        <f>CQ40</f>
        <v>スピーカ 3W S3</v>
      </c>
      <c r="DT56" s="8"/>
      <c r="DU56" s="249" t="str">
        <f>IF(COUNTIF($DS$10:DS55,DS56)&gt;0,"",DS56)</f>
        <v/>
      </c>
      <c r="DV56" s="198">
        <f>CS40</f>
        <v>19</v>
      </c>
      <c r="DW56" s="514">
        <f t="shared" si="36"/>
        <v>5</v>
      </c>
    </row>
    <row r="57" spans="2:127" ht="11.25" customHeight="1">
      <c r="B57" s="23"/>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19"/>
      <c r="CP57" s="6"/>
      <c r="CQ57" s="2986" t="str">
        <f>IF(CS57="","","スピーカ 3W S1")</f>
        <v>スピーカ 3W S1</v>
      </c>
      <c r="CR57" s="3476"/>
      <c r="CS57" s="88">
        <f>IF(AS62=0,"",AS62)</f>
        <v>5</v>
      </c>
      <c r="CT57" s="9"/>
      <c r="CX57" s="88">
        <v>6</v>
      </c>
      <c r="CY57" s="204"/>
      <c r="CZ57" s="155"/>
      <c r="DA57" s="45"/>
      <c r="DB57" s="45"/>
      <c r="DC57" s="45" t="s">
        <v>109</v>
      </c>
      <c r="DD57" s="45"/>
      <c r="DE57" s="45" t="s">
        <v>108</v>
      </c>
      <c r="DG57" s="88">
        <v>6</v>
      </c>
      <c r="DH57" s="204"/>
      <c r="DI57" s="155"/>
      <c r="DJ57" s="45"/>
      <c r="DK57" s="45"/>
      <c r="DL57" s="45" t="s">
        <v>109</v>
      </c>
      <c r="DM57" s="45"/>
      <c r="DN57" s="45" t="s">
        <v>108</v>
      </c>
      <c r="DP57" s="8"/>
      <c r="DQ57" s="197">
        <f t="shared" si="37"/>
        <v>11</v>
      </c>
      <c r="DR57" s="197" t="str">
        <f t="shared" si="35"/>
        <v/>
      </c>
      <c r="DS57" s="10" t="str">
        <f>CQ41</f>
        <v/>
      </c>
      <c r="DT57" s="8"/>
      <c r="DU57" s="249" t="str">
        <f>IF(COUNTIF($DS$10:DS56,DS57)&gt;0,"",DS57)</f>
        <v/>
      </c>
      <c r="DV57" s="198" t="str">
        <f>CS41</f>
        <v/>
      </c>
      <c r="DW57" s="514">
        <f t="shared" si="36"/>
        <v>5</v>
      </c>
    </row>
    <row r="58" spans="2:127" ht="11.25" customHeight="1" thickBot="1">
      <c r="B58" s="23"/>
      <c r="C58" s="2299" t="s">
        <v>16</v>
      </c>
      <c r="D58" s="2299"/>
      <c r="E58" s="2299"/>
      <c r="F58" s="2299" t="s">
        <v>22</v>
      </c>
      <c r="G58" s="2299"/>
      <c r="H58" s="2299"/>
      <c r="I58" s="2299"/>
      <c r="J58" s="2299" t="s">
        <v>5</v>
      </c>
      <c r="K58" s="2299"/>
      <c r="L58" s="2299"/>
      <c r="M58" s="2299"/>
      <c r="N58" s="2299" t="s">
        <v>6</v>
      </c>
      <c r="O58" s="2299"/>
      <c r="P58" s="2299"/>
      <c r="Q58" s="2299"/>
      <c r="R58" s="2299"/>
      <c r="S58" s="2299" t="s">
        <v>938</v>
      </c>
      <c r="T58" s="2299"/>
      <c r="U58" s="2299"/>
      <c r="V58" s="2299"/>
      <c r="W58" s="2299"/>
      <c r="X58" s="2299"/>
      <c r="Y58" s="2299"/>
      <c r="Z58" s="2299"/>
      <c r="AA58" s="3382" t="s">
        <v>7</v>
      </c>
      <c r="AB58" s="3382"/>
      <c r="AC58" s="3382"/>
      <c r="AD58" s="3382"/>
      <c r="AE58" s="2630" t="str">
        <f>IF(S63="","",IF(AH58&lt;&gt;"",AH58,IF(RIGHT($D$10,2)="不要","不","要")))</f>
        <v>要</v>
      </c>
      <c r="AF58" s="2630"/>
      <c r="AG58" s="668" t="s">
        <v>937</v>
      </c>
      <c r="AH58" s="2632"/>
      <c r="AI58" s="2633"/>
      <c r="AJ58" s="3371" t="s">
        <v>913</v>
      </c>
      <c r="AK58" s="3372"/>
      <c r="AL58" s="3372"/>
      <c r="AM58" s="3373"/>
      <c r="AN58" s="3383" t="str">
        <f>IF(W63="","",IF(AQ58&lt;&gt;"",AQ58,IF(RIGHT($D$10,2)="設置","要","不")))</f>
        <v>要</v>
      </c>
      <c r="AO58" s="3384"/>
      <c r="AP58" s="668" t="s">
        <v>937</v>
      </c>
      <c r="AQ58" s="2632"/>
      <c r="AR58" s="2633"/>
      <c r="AS58" s="3399" t="s">
        <v>912</v>
      </c>
      <c r="AT58" s="3412"/>
      <c r="AU58" s="3412"/>
      <c r="AV58" s="3412"/>
      <c r="AW58" s="3412"/>
      <c r="AX58" s="3412"/>
      <c r="AY58" s="3412"/>
      <c r="AZ58" s="3412"/>
      <c r="BA58" s="3412"/>
      <c r="BB58" s="3412"/>
      <c r="BC58" s="3412"/>
      <c r="BD58" s="3412"/>
      <c r="BE58" s="3412"/>
      <c r="BF58" s="3412"/>
      <c r="BG58" s="3412"/>
      <c r="BH58" s="3413"/>
      <c r="BI58" s="3399" t="s">
        <v>934</v>
      </c>
      <c r="BJ58" s="3412"/>
      <c r="BK58" s="3412"/>
      <c r="BL58" s="3413"/>
      <c r="BM58" s="3360" t="s">
        <v>936</v>
      </c>
      <c r="BN58" s="3419"/>
      <c r="BO58" s="3419"/>
      <c r="BP58" s="3419"/>
      <c r="BQ58" s="3419"/>
      <c r="BR58" s="3361"/>
      <c r="BS58" s="3441" t="s">
        <v>935</v>
      </c>
      <c r="BT58" s="3442"/>
      <c r="BU58" s="19"/>
      <c r="BW58" s="102"/>
      <c r="CF58" s="8"/>
      <c r="CG58" s="685" t="s">
        <v>909</v>
      </c>
      <c r="CH58" s="685" t="s">
        <v>908</v>
      </c>
      <c r="CI58" s="685" t="s">
        <v>934</v>
      </c>
      <c r="CJ58" s="686">
        <f>IF($AX$8=0,"",INT(10.7*CD60*CE60/($BF$8/1000)^2))</f>
        <v>85</v>
      </c>
      <c r="CK58" s="685" t="s">
        <v>933</v>
      </c>
      <c r="CL58" s="685" t="s">
        <v>932</v>
      </c>
      <c r="CM58" s="685" t="s">
        <v>931</v>
      </c>
      <c r="CN58" s="550" t="s">
        <v>734</v>
      </c>
      <c r="CO58" s="550" t="s">
        <v>732</v>
      </c>
      <c r="CP58" s="685"/>
      <c r="CQ58" s="2986" t="str">
        <f>IF(CS58="","","スピーカ 3W S3")</f>
        <v>スピーカ 3W S3</v>
      </c>
      <c r="CR58" s="3476"/>
      <c r="CS58" s="88">
        <f>IF(AY62=0,"",AY62)</f>
        <v>4</v>
      </c>
      <c r="CT58" s="3483" t="str">
        <f>IF(CV58="","","マイクロホン")</f>
        <v/>
      </c>
      <c r="CU58" s="3484"/>
      <c r="CV58" s="88" t="str">
        <f>BG62</f>
        <v/>
      </c>
      <c r="CX58" s="8"/>
      <c r="CY58" s="197">
        <f>IF(DC58&lt;&gt;"",CY56+1,CY56)</f>
        <v>6</v>
      </c>
      <c r="CZ58" s="197">
        <f t="shared" ref="CZ58:CZ65" si="38">IF(AND(CY58&lt;&gt;"",DC58&lt;&gt;""),CY58,"")</f>
        <v>6</v>
      </c>
      <c r="DA58" s="10" t="str">
        <f>H64</f>
        <v>HP 1.2mm- 50Pr</v>
      </c>
      <c r="DB58" s="8"/>
      <c r="DC58" s="249" t="str">
        <f>IF(COUNTIF(DA$10:$DA55,DA58)&gt;0,"",DA58)</f>
        <v>HP 1.2mm- 50Pr</v>
      </c>
      <c r="DD58" s="515">
        <f>AF64</f>
        <v>7</v>
      </c>
      <c r="DE58" s="514">
        <f>SUMIF($DA$13:$DA$199,DC58,$DD$13:$DD$199)</f>
        <v>7</v>
      </c>
      <c r="DG58" s="8"/>
      <c r="DH58" s="197">
        <f>IF(DL58&lt;&gt;"",DH56+1,DH56)</f>
        <v>5</v>
      </c>
      <c r="DI58" s="197">
        <f t="shared" ref="DI58:DI65" si="39">IF(AND(DH58&lt;&gt;"",DL58&lt;&gt;""),DH58,"")</f>
        <v>5</v>
      </c>
      <c r="DJ58" s="10" t="str">
        <f>AT64</f>
        <v>C-51mm</v>
      </c>
      <c r="DK58" s="8"/>
      <c r="DL58" s="249" t="str">
        <f>IF(COUNTIF($DA$10:DJ55,DJ58)&gt;0,"",DJ58)</f>
        <v>C-51mm</v>
      </c>
      <c r="DM58" s="515">
        <f>BL64</f>
        <v>4</v>
      </c>
      <c r="DN58" s="514">
        <f>SUMIF($DJ$13:$DJ$199,DL58,$DM$13:$DM$199)</f>
        <v>12</v>
      </c>
      <c r="DP58" s="8"/>
      <c r="DQ58" s="197">
        <f t="shared" si="37"/>
        <v>11</v>
      </c>
      <c r="DR58" s="197" t="str">
        <f t="shared" si="35"/>
        <v/>
      </c>
      <c r="DS58" s="10" t="str">
        <f>CQ43</f>
        <v>スピーカ 6W S2</v>
      </c>
      <c r="DT58" s="8"/>
      <c r="DU58" s="249" t="str">
        <f>IF(COUNTIF($DS$10:DS57,DS58)&gt;0,"",DS58)</f>
        <v/>
      </c>
      <c r="DV58" s="198">
        <f>CS43</f>
        <v>8</v>
      </c>
      <c r="DW58" s="514">
        <f t="shared" si="36"/>
        <v>5</v>
      </c>
    </row>
    <row r="59" spans="2:127" ht="11.25" customHeight="1" thickBot="1">
      <c r="B59" s="23"/>
      <c r="C59" s="2299"/>
      <c r="D59" s="2299"/>
      <c r="E59" s="2299"/>
      <c r="F59" s="2396"/>
      <c r="G59" s="2396"/>
      <c r="H59" s="2396"/>
      <c r="I59" s="2396"/>
      <c r="J59" s="2396"/>
      <c r="K59" s="2396"/>
      <c r="L59" s="2396"/>
      <c r="M59" s="2396"/>
      <c r="N59" s="2396"/>
      <c r="O59" s="2396"/>
      <c r="P59" s="2396"/>
      <c r="Q59" s="2396"/>
      <c r="R59" s="2396"/>
      <c r="S59" s="2396" t="s">
        <v>7</v>
      </c>
      <c r="T59" s="2396"/>
      <c r="U59" s="2396"/>
      <c r="V59" s="2396"/>
      <c r="W59" s="2396" t="s">
        <v>8</v>
      </c>
      <c r="X59" s="2396"/>
      <c r="Y59" s="2396"/>
      <c r="Z59" s="2396"/>
      <c r="AA59" s="2384" t="s">
        <v>9</v>
      </c>
      <c r="AB59" s="2385"/>
      <c r="AC59" s="2386"/>
      <c r="AD59" s="2384" t="s">
        <v>9</v>
      </c>
      <c r="AE59" s="2385"/>
      <c r="AF59" s="2386"/>
      <c r="AG59" s="2384" t="str">
        <f>IF(AN59="","","専部屋面積")</f>
        <v>専部屋面積</v>
      </c>
      <c r="AH59" s="2385"/>
      <c r="AI59" s="2385"/>
      <c r="AJ59" s="2382"/>
      <c r="AK59" s="2382"/>
      <c r="AL59" s="2382"/>
      <c r="AM59" s="3392"/>
      <c r="AN59" s="3365">
        <f>IF(OR(C63="",$B$2=0),"",S63/AA63)</f>
        <v>268.8</v>
      </c>
      <c r="AO59" s="3366"/>
      <c r="AP59" s="3366"/>
      <c r="AQ59" s="3366"/>
      <c r="AR59" s="3367"/>
      <c r="AS59" s="2300" t="s">
        <v>903</v>
      </c>
      <c r="AT59" s="2301"/>
      <c r="AU59" s="2301"/>
      <c r="AV59" s="2301"/>
      <c r="AW59" s="2301"/>
      <c r="AX59" s="2302"/>
      <c r="AY59" s="2300" t="s">
        <v>902</v>
      </c>
      <c r="AZ59" s="2301"/>
      <c r="BA59" s="2301"/>
      <c r="BB59" s="2302"/>
      <c r="BC59" s="2300" t="s">
        <v>902</v>
      </c>
      <c r="BD59" s="2301"/>
      <c r="BE59" s="2301"/>
      <c r="BF59" s="2302"/>
      <c r="BG59" s="2300" t="s">
        <v>743</v>
      </c>
      <c r="BH59" s="2302"/>
      <c r="BI59" s="2300" t="s">
        <v>901</v>
      </c>
      <c r="BJ59" s="2301"/>
      <c r="BK59" s="2301"/>
      <c r="BL59" s="2302"/>
      <c r="BM59" s="2299" t="s">
        <v>930</v>
      </c>
      <c r="BN59" s="2299"/>
      <c r="BO59" s="2299"/>
      <c r="BP59" s="2299" t="s">
        <v>929</v>
      </c>
      <c r="BQ59" s="2299"/>
      <c r="BR59" s="2299"/>
      <c r="BS59" s="3439" t="s">
        <v>928</v>
      </c>
      <c r="BT59" s="3440"/>
      <c r="BU59" s="19"/>
      <c r="BW59" s="679"/>
      <c r="BX59" s="90" t="s">
        <v>889</v>
      </c>
      <c r="BY59" s="100" t="s">
        <v>927</v>
      </c>
      <c r="CC59" s="180">
        <v>46</v>
      </c>
      <c r="CD59" s="55" t="s">
        <v>229</v>
      </c>
      <c r="CE59" s="55" t="s">
        <v>228</v>
      </c>
      <c r="CF59" s="106" t="s">
        <v>859</v>
      </c>
      <c r="CG59" s="184">
        <f>INT((CD61+10)*BY62+CS60*$AN$8/1000+($AN$7/1000)*BY62)</f>
        <v>120</v>
      </c>
      <c r="CH59" s="184">
        <f>INT(CD61*CS65+CS65)</f>
        <v>0</v>
      </c>
      <c r="CI59" s="184">
        <f>8*SUM(BI62:BL62)</f>
        <v>24</v>
      </c>
      <c r="CJ59" s="185">
        <f>IF($AX$8=0,"",2*INT(0.5*CJ58))</f>
        <v>84</v>
      </c>
      <c r="CK59" s="184"/>
      <c r="CL59" s="184" t="str">
        <f>IF(BP62="","",10*BP62)</f>
        <v/>
      </c>
      <c r="CM59" s="184" t="str">
        <f>IF(BP62="","",10*BP62)</f>
        <v/>
      </c>
      <c r="CN59" s="682">
        <f>IF(S63="",0,IF(AE58="不","",(SUM(CG59:CM59)+SUM(CG60:CM60))*S63/N63))</f>
        <v>224.7</v>
      </c>
      <c r="CO59" s="682">
        <f>IF(S63="",0,IF(AE58="不","",(SUM(CG62:CM62)+SUM(CG63:CM63))*S63/N63))</f>
        <v>102.9</v>
      </c>
      <c r="CP59" s="664" t="s">
        <v>1</v>
      </c>
      <c r="CQ59" s="2986" t="str">
        <f>IF(CS59="","","スピーカ S5")</f>
        <v/>
      </c>
      <c r="CR59" s="3476"/>
      <c r="CS59" s="683" t="str">
        <f>IF(AW62=0,"",AW62)</f>
        <v/>
      </c>
      <c r="CT59" s="3483" t="str">
        <f>IF(CV59="","","アッテネータ 3W")</f>
        <v>アッテネータ 3W</v>
      </c>
      <c r="CU59" s="3484"/>
      <c r="CV59" s="88">
        <f>BI62</f>
        <v>2</v>
      </c>
      <c r="CX59" s="8"/>
      <c r="CY59" s="197">
        <f t="shared" ref="CY59:CY65" si="40">IF(DC59&lt;&gt;"",CY58+1,CY58)</f>
        <v>6</v>
      </c>
      <c r="CZ59" s="197" t="str">
        <f t="shared" si="38"/>
        <v/>
      </c>
      <c r="DA59" s="10" t="str">
        <f>H65</f>
        <v>HP 1.2mm-3C</v>
      </c>
      <c r="DB59" s="8"/>
      <c r="DC59" s="249" t="str">
        <f>IF(COUNTIF(DA$10:$DA56,DA59)&gt;0,"",DA59)</f>
        <v/>
      </c>
      <c r="DD59" s="515">
        <f>AF65</f>
        <v>321</v>
      </c>
      <c r="DE59" s="514">
        <f>SUMIF($DA$13:$DA$199,DC59,$DD$13:$DD$199)</f>
        <v>0</v>
      </c>
      <c r="DG59" s="8"/>
      <c r="DH59" s="197">
        <f t="shared" ref="DH59:DH65" si="41">IF(DL59&lt;&gt;"",DH58+1,DH58)</f>
        <v>5</v>
      </c>
      <c r="DI59" s="197" t="str">
        <f t="shared" si="39"/>
        <v/>
      </c>
      <c r="DJ59" s="10" t="str">
        <f>AT65</f>
        <v>C-19mm</v>
      </c>
      <c r="DK59" s="8"/>
      <c r="DL59" s="249" t="str">
        <f>IF(COUNTIF($DA$10:DJ56,DJ59)&gt;0,"",DJ59)</f>
        <v/>
      </c>
      <c r="DM59" s="515">
        <f>BL65</f>
        <v>147</v>
      </c>
      <c r="DN59" s="514">
        <f>SUMIF($DJ$13:$DJ$199,DL59,$DM$13:$DM$199)</f>
        <v>0</v>
      </c>
      <c r="DP59" s="8"/>
      <c r="DQ59" s="197">
        <f t="shared" si="37"/>
        <v>11</v>
      </c>
      <c r="DR59" s="197" t="str">
        <f t="shared" si="35"/>
        <v/>
      </c>
      <c r="DS59" s="10" t="str">
        <f>CQ44</f>
        <v/>
      </c>
      <c r="DT59" s="8"/>
      <c r="DU59" s="249" t="str">
        <f>IF(COUNTIF($DS$10:DS58,DS59)&gt;0,"",DS59)</f>
        <v/>
      </c>
      <c r="DV59" s="198" t="str">
        <f>CS44</f>
        <v/>
      </c>
      <c r="DW59" s="514">
        <f t="shared" si="36"/>
        <v>5</v>
      </c>
    </row>
    <row r="60" spans="2:127" ht="11.25" customHeight="1" thickBot="1">
      <c r="B60" s="23"/>
      <c r="C60" s="2396"/>
      <c r="D60" s="2396"/>
      <c r="E60" s="2396"/>
      <c r="F60" s="2397" t="s">
        <v>235</v>
      </c>
      <c r="G60" s="2397"/>
      <c r="H60" s="2397"/>
      <c r="I60" s="2397"/>
      <c r="J60" s="2397" t="s">
        <v>235</v>
      </c>
      <c r="K60" s="2397"/>
      <c r="L60" s="2397"/>
      <c r="M60" s="2397"/>
      <c r="N60" s="2397" t="s">
        <v>128</v>
      </c>
      <c r="O60" s="2397"/>
      <c r="P60" s="2397"/>
      <c r="Q60" s="2397"/>
      <c r="R60" s="2397"/>
      <c r="S60" s="2397" t="s">
        <v>128</v>
      </c>
      <c r="T60" s="2397"/>
      <c r="U60" s="2397"/>
      <c r="V60" s="2397"/>
      <c r="W60" s="2397" t="s">
        <v>128</v>
      </c>
      <c r="X60" s="2397"/>
      <c r="Y60" s="2397"/>
      <c r="Z60" s="2397"/>
      <c r="AA60" s="2397" t="s">
        <v>111</v>
      </c>
      <c r="AB60" s="2397"/>
      <c r="AC60" s="2397"/>
      <c r="AD60" s="2397" t="s">
        <v>110</v>
      </c>
      <c r="AE60" s="2397"/>
      <c r="AF60" s="2397"/>
      <c r="AG60" s="3398" t="str">
        <f>IF(AN60="","","共部屋面積")</f>
        <v>共部屋面積</v>
      </c>
      <c r="AH60" s="2382"/>
      <c r="AI60" s="2382"/>
      <c r="AJ60" s="2382"/>
      <c r="AK60" s="2382"/>
      <c r="AL60" s="2382"/>
      <c r="AM60" s="3392"/>
      <c r="AN60" s="3368">
        <f>IF(OR($B$2=0,C63=""),"",W63/AD63)</f>
        <v>38.400000000000006</v>
      </c>
      <c r="AO60" s="3369"/>
      <c r="AP60" s="3369"/>
      <c r="AQ60" s="3369"/>
      <c r="AR60" s="3370"/>
      <c r="AS60" s="3419" t="s">
        <v>895</v>
      </c>
      <c r="AT60" s="3361"/>
      <c r="AU60" s="3360" t="s">
        <v>894</v>
      </c>
      <c r="AV60" s="3361"/>
      <c r="AW60" s="3360" t="s">
        <v>893</v>
      </c>
      <c r="AX60" s="3361"/>
      <c r="AY60" s="3360" t="s">
        <v>892</v>
      </c>
      <c r="AZ60" s="3361"/>
      <c r="BA60" s="3360" t="s">
        <v>891</v>
      </c>
      <c r="BB60" s="3361"/>
      <c r="BC60" s="3360" t="s">
        <v>890</v>
      </c>
      <c r="BD60" s="3361"/>
      <c r="BE60" s="3360" t="s">
        <v>889</v>
      </c>
      <c r="BF60" s="3361"/>
      <c r="BG60" s="3432" t="s">
        <v>888</v>
      </c>
      <c r="BH60" s="3433"/>
      <c r="BI60" s="3360"/>
      <c r="BJ60" s="3361"/>
      <c r="BK60" s="3360"/>
      <c r="BL60" s="3361"/>
      <c r="BM60" s="3391" t="s">
        <v>887</v>
      </c>
      <c r="BN60" s="3391"/>
      <c r="BO60" s="3391"/>
      <c r="BP60" s="3391" t="s">
        <v>887</v>
      </c>
      <c r="BQ60" s="3391"/>
      <c r="BR60" s="3391"/>
      <c r="BS60" s="3432" t="s">
        <v>744</v>
      </c>
      <c r="BT60" s="3433"/>
      <c r="BU60" s="19"/>
      <c r="BW60" s="102"/>
      <c r="BX60" s="88">
        <f>IF(OR(J61="( 10)",J61="(12)イ",LEFT(J61,4)="(13)"),1,0)</f>
        <v>0</v>
      </c>
      <c r="BY60" s="88" t="str">
        <f>IF(OR(J61="(1) ロ",J61="(2) ロ",J61="(2) ニ",J61="(5) イ",J61="(6) ハ",J61="(6) ニ",J61="( 7 )",J61="( 15)"),"要","")</f>
        <v/>
      </c>
      <c r="CC60" s="46">
        <v>6</v>
      </c>
      <c r="CD60" s="98">
        <f>非誘!BW48</f>
        <v>12</v>
      </c>
      <c r="CE60" s="98">
        <f>非誘!BX48</f>
        <v>24</v>
      </c>
      <c r="CF60" s="106" t="s">
        <v>858</v>
      </c>
      <c r="CG60" s="185">
        <f>INT((F63-$Y$10/1000-0.25)*BY62)</f>
        <v>8</v>
      </c>
      <c r="CH60" s="184">
        <f>1+INT((F63-$Y$7/1000-0.25+$AN$8/1000)*CS65)</f>
        <v>1</v>
      </c>
      <c r="CI60" s="184">
        <f>INT((F63-$Y$8/1000-0.25+$AN$9/1000)*SUM(BI62:BL62))</f>
        <v>8</v>
      </c>
      <c r="CJ60" s="185">
        <f>IF($AX$8=0,"",2*INT(CJ58*($AX$8-250)/1000))</f>
        <v>76</v>
      </c>
      <c r="CK60" s="184"/>
      <c r="CL60" s="184" t="str">
        <f>IF(BP62="","",INT((F63-$Y$9/1000-0.25+AN54/1000)*BP62))</f>
        <v/>
      </c>
      <c r="CM60" s="184" t="str">
        <f>IF(BS62="","",INT((F63-$Y$9/1000-0.25+AN54/1000)*BS62))</f>
        <v/>
      </c>
      <c r="CN60" s="682">
        <f>IF(AN58="不","",(SUM(CG59:CM59)+SUM(CG60:CM60))*W63/N63)</f>
        <v>96.300000000000011</v>
      </c>
      <c r="CO60" s="682">
        <f>IF(AN58="不","",(SUM(CG62:CM62)+SUM(CG63:CM63))*W63/N63)</f>
        <v>44.1</v>
      </c>
      <c r="CP60" s="670" t="s">
        <v>877</v>
      </c>
      <c r="CQ60" s="15"/>
      <c r="CR60" s="106" t="s">
        <v>868</v>
      </c>
      <c r="CS60" s="8">
        <f>SUM(CS57:CS59)</f>
        <v>9</v>
      </c>
      <c r="CT60" s="3485" t="str">
        <f>IF(CV60="","","アッテネータ 6W")</f>
        <v>アッテネータ 6W</v>
      </c>
      <c r="CU60" s="3484"/>
      <c r="CV60" s="88">
        <f>BK62</f>
        <v>1</v>
      </c>
      <c r="CX60" s="8"/>
      <c r="CY60" s="197">
        <f t="shared" si="40"/>
        <v>6</v>
      </c>
      <c r="CZ60" s="197" t="str">
        <f t="shared" si="38"/>
        <v/>
      </c>
      <c r="DA60" s="10"/>
      <c r="DB60" s="8"/>
      <c r="DC60" s="249"/>
      <c r="DD60" s="515"/>
      <c r="DE60" s="514"/>
      <c r="DG60" s="8"/>
      <c r="DH60" s="197">
        <f t="shared" si="41"/>
        <v>5</v>
      </c>
      <c r="DI60" s="197" t="str">
        <f t="shared" si="39"/>
        <v/>
      </c>
      <c r="DJ60" s="10"/>
      <c r="DK60" s="8"/>
      <c r="DL60" s="249"/>
      <c r="DM60" s="515"/>
      <c r="DN60" s="514"/>
      <c r="DQ60" s="197">
        <f t="shared" si="37"/>
        <v>11</v>
      </c>
      <c r="DR60" s="197" t="str">
        <f t="shared" si="35"/>
        <v/>
      </c>
      <c r="DS60" s="10" t="str">
        <f>CQ46</f>
        <v/>
      </c>
      <c r="DT60" s="24"/>
      <c r="DU60" s="249" t="str">
        <f>IF(COUNTIF($DS$10:DS59,DS60)&gt;0,"",DS60)</f>
        <v/>
      </c>
      <c r="DV60" s="198" t="str">
        <f>CS46</f>
        <v/>
      </c>
      <c r="DW60" s="514">
        <f t="shared" si="36"/>
        <v>5</v>
      </c>
    </row>
    <row r="61" spans="2:127" ht="11.25" customHeight="1" thickBot="1">
      <c r="B61" s="23"/>
      <c r="C61" s="2299" t="s">
        <v>112</v>
      </c>
      <c r="D61" s="2299"/>
      <c r="E61" s="2299"/>
      <c r="F61" s="2299"/>
      <c r="G61" s="2299"/>
      <c r="H61" s="2299"/>
      <c r="I61" s="3399"/>
      <c r="J61" s="3400" t="str">
        <f>非誘!J46</f>
        <v>( 4 )</v>
      </c>
      <c r="K61" s="3401"/>
      <c r="L61" s="3401"/>
      <c r="M61" s="3402"/>
      <c r="N61" s="3403" t="str">
        <f>非誘!M46</f>
        <v>百貨店等</v>
      </c>
      <c r="O61" s="3404"/>
      <c r="P61" s="3404"/>
      <c r="Q61" s="3404"/>
      <c r="R61" s="3404"/>
      <c r="S61" s="3404"/>
      <c r="T61" s="3404"/>
      <c r="U61" s="3404"/>
      <c r="V61" s="3404"/>
      <c r="W61" s="3404"/>
      <c r="X61" s="3404"/>
      <c r="Y61" s="3404"/>
      <c r="Z61" s="3405"/>
      <c r="AA61" s="3406" t="s">
        <v>926</v>
      </c>
      <c r="AB61" s="2301"/>
      <c r="AC61" s="2301"/>
      <c r="AD61" s="2301"/>
      <c r="AE61" s="2301"/>
      <c r="AF61" s="2302"/>
      <c r="AG61" s="3393" t="str">
        <f>IF($B$2=0,"",IF(AN61="","天井(C 管)",AN61))</f>
        <v>天井(C 管)</v>
      </c>
      <c r="AH61" s="2368"/>
      <c r="AI61" s="2368"/>
      <c r="AJ61" s="2368"/>
      <c r="AK61" s="2368"/>
      <c r="AL61" s="3394"/>
      <c r="AM61" s="668" t="s">
        <v>925</v>
      </c>
      <c r="AN61" s="3395"/>
      <c r="AO61" s="3396"/>
      <c r="AP61" s="3396"/>
      <c r="AQ61" s="3396"/>
      <c r="AR61" s="3397"/>
      <c r="AS61" s="3434" t="s">
        <v>881</v>
      </c>
      <c r="AT61" s="3435"/>
      <c r="AU61" s="3436" t="s">
        <v>880</v>
      </c>
      <c r="AV61" s="3437"/>
      <c r="AW61" s="3432"/>
      <c r="AX61" s="3433"/>
      <c r="AY61" s="3432" t="s">
        <v>881</v>
      </c>
      <c r="AZ61" s="3433"/>
      <c r="BA61" s="3436" t="s">
        <v>884</v>
      </c>
      <c r="BB61" s="3437"/>
      <c r="BC61" s="3436" t="s">
        <v>883</v>
      </c>
      <c r="BD61" s="3438"/>
      <c r="BE61" s="3438"/>
      <c r="BF61" s="3437"/>
      <c r="BG61" s="3420" t="s">
        <v>882</v>
      </c>
      <c r="BH61" s="3421"/>
      <c r="BI61" s="3436" t="s">
        <v>881</v>
      </c>
      <c r="BJ61" s="3437"/>
      <c r="BK61" s="3436" t="s">
        <v>880</v>
      </c>
      <c r="BL61" s="3437"/>
      <c r="BM61" s="3407" t="str">
        <f>IF(BM62="","",$BW$12)</f>
        <v/>
      </c>
      <c r="BN61" s="3407"/>
      <c r="BO61" s="3407"/>
      <c r="BP61" s="3407" t="str">
        <f>IF(BP62="","",30)</f>
        <v/>
      </c>
      <c r="BQ61" s="3407"/>
      <c r="BR61" s="3407"/>
      <c r="BS61" s="2384" t="s">
        <v>879</v>
      </c>
      <c r="BT61" s="2386"/>
      <c r="BU61" s="19"/>
      <c r="BW61" s="102"/>
      <c r="CB61" s="90" t="s">
        <v>924</v>
      </c>
      <c r="CC61" s="479" t="str">
        <f>AD62</f>
        <v>⑦</v>
      </c>
      <c r="CD61" s="263">
        <f>IF(C63="","",IF(CC61="①",CD60+CE60+3,IF(CC61="②",CD60*5/8+CE60+3,IF(CC61="③",CD60/2+CE60+3,IF(CC61="④",CD60+CE60*5/8+3,IF(CC61="⑤",(CD60+CE60)*5/8+3,IF(CC61="⑥",CD60/2+CE60*5/8+3,IF(CC61="⑦",CD60+CE60/2+3,IF(CC61="⑧",CD60*5/8+CE60/2+3,IF(CC61="⑨",(CD60+CE60)/2+3))))))))))</f>
        <v>27</v>
      </c>
      <c r="CE61" s="8"/>
      <c r="CF61" s="106"/>
      <c r="CG61" s="681">
        <f>IF(AG61="天井ケーブル",0,1)</f>
        <v>1</v>
      </c>
      <c r="CH61" s="394"/>
      <c r="CI61" s="394"/>
      <c r="CJ61" s="59"/>
      <c r="CK61" s="394"/>
      <c r="CL61" s="394"/>
      <c r="CM61" s="394"/>
      <c r="CN61" s="62" t="s">
        <v>1</v>
      </c>
      <c r="CO61" s="62" t="s">
        <v>877</v>
      </c>
      <c r="CP61" s="38"/>
      <c r="CQ61" s="2986" t="str">
        <f>IF(CS61="","","スピーカ 6W S2")</f>
        <v>スピーカ 6W S2</v>
      </c>
      <c r="CR61" s="3476"/>
      <c r="CS61" s="88">
        <f>IF(AU62=0,"",AU62)</f>
        <v>1</v>
      </c>
      <c r="CT61" s="3483" t="str">
        <f>IF(CV61="","","主増幅器")</f>
        <v/>
      </c>
      <c r="CU61" s="3484"/>
      <c r="CV61" s="88" t="str">
        <f>BM62</f>
        <v/>
      </c>
      <c r="CX61" s="8"/>
      <c r="CY61" s="197">
        <f t="shared" si="40"/>
        <v>6</v>
      </c>
      <c r="CZ61" s="197" t="str">
        <f t="shared" si="38"/>
        <v/>
      </c>
      <c r="DA61" s="10"/>
      <c r="DB61" s="8"/>
      <c r="DC61" s="249"/>
      <c r="DD61" s="515"/>
      <c r="DE61" s="514"/>
      <c r="DG61" s="8"/>
      <c r="DH61" s="197">
        <f t="shared" si="41"/>
        <v>5</v>
      </c>
      <c r="DI61" s="197" t="str">
        <f t="shared" si="39"/>
        <v/>
      </c>
      <c r="DJ61" s="10"/>
      <c r="DK61" s="8"/>
      <c r="DL61" s="249"/>
      <c r="DM61" s="515"/>
      <c r="DN61" s="514"/>
      <c r="DQ61" s="197">
        <f t="shared" si="37"/>
        <v>11</v>
      </c>
      <c r="DR61" s="197" t="str">
        <f t="shared" si="35"/>
        <v/>
      </c>
      <c r="DS61" s="201" t="str">
        <f>CQ47</f>
        <v>ソノライン・スピーカ 20W</v>
      </c>
      <c r="DT61" s="24"/>
      <c r="DU61" s="249" t="str">
        <f>IF(COUNTIF($DS$10:DS60,DS61)&gt;0,"",DS61)</f>
        <v/>
      </c>
      <c r="DV61" s="198">
        <f>CS47</f>
        <v>0</v>
      </c>
      <c r="DW61" s="514">
        <f t="shared" si="36"/>
        <v>5</v>
      </c>
    </row>
    <row r="62" spans="2:127" ht="11.25" customHeight="1" thickBot="1">
      <c r="B62" s="23"/>
      <c r="C62" s="3409" t="s">
        <v>923</v>
      </c>
      <c r="D62" s="3410"/>
      <c r="E62" s="3410"/>
      <c r="F62" s="3410"/>
      <c r="G62" s="3410"/>
      <c r="H62" s="3411"/>
      <c r="I62" s="3430" t="str">
        <f>非誘!AA46</f>
        <v>A</v>
      </c>
      <c r="J62" s="3430"/>
      <c r="K62" s="3430"/>
      <c r="L62" s="2395" t="s">
        <v>214</v>
      </c>
      <c r="M62" s="2395"/>
      <c r="N62" s="2395"/>
      <c r="O62" s="2395"/>
      <c r="P62" s="2395"/>
      <c r="Q62" s="2395"/>
      <c r="R62" s="2395"/>
      <c r="S62" s="3379">
        <f>非誘!J47</f>
        <v>0.5</v>
      </c>
      <c r="T62" s="3380"/>
      <c r="U62" s="3380"/>
      <c r="V62" s="3381"/>
      <c r="W62" s="3399" t="s">
        <v>875</v>
      </c>
      <c r="X62" s="3412"/>
      <c r="Y62" s="3412"/>
      <c r="Z62" s="3412"/>
      <c r="AA62" s="2654"/>
      <c r="AB62" s="2654"/>
      <c r="AC62" s="2655"/>
      <c r="AD62" s="3388" t="str">
        <f>非誘!V47</f>
        <v>⑦</v>
      </c>
      <c r="AE62" s="3389"/>
      <c r="AF62" s="3390"/>
      <c r="AG62" s="3391" t="s">
        <v>874</v>
      </c>
      <c r="AH62" s="3391"/>
      <c r="AI62" s="3391"/>
      <c r="AJ62" s="3391"/>
      <c r="AK62" s="3391"/>
      <c r="AL62" s="2990" t="str">
        <f>IF(AP62&lt;&gt;"",AP62,IF(C63=$BG$10,C63,""))</f>
        <v/>
      </c>
      <c r="AM62" s="2990"/>
      <c r="AN62" s="2990"/>
      <c r="AO62" s="668" t="s">
        <v>34</v>
      </c>
      <c r="AP62" s="3325"/>
      <c r="AQ62" s="3326"/>
      <c r="AR62" s="3327"/>
      <c r="AS62" s="3418">
        <f>IF(CE63=0,"",IF(AS63&lt;&gt;"",AS63,IF(BE62&lt;&gt;"",CN64,SUM(CN62:CO62))))</f>
        <v>5</v>
      </c>
      <c r="AT62" s="3375"/>
      <c r="AU62" s="3418">
        <f>IF(CE63=0,"",IF(AU63&lt;&gt;"",AU63,CN63))</f>
        <v>1</v>
      </c>
      <c r="AV62" s="3375"/>
      <c r="AW62" s="3418"/>
      <c r="AX62" s="3375"/>
      <c r="AY62" s="3418">
        <f>IF(AA63="","",IF(AY63&lt;&gt;"",AY63,CO63))</f>
        <v>4</v>
      </c>
      <c r="AZ62" s="3375"/>
      <c r="BA62" s="3418"/>
      <c r="BB62" s="3375"/>
      <c r="BC62" s="3418" t="str">
        <f>IF(OR(AL63="不",,BP62=""),"",IF(BC63&lt;&gt;"",BC63,BP62*2))</f>
        <v/>
      </c>
      <c r="BD62" s="3375"/>
      <c r="BE62" s="3418" t="str">
        <f>IF(BE63&lt;&gt;"",BE63,IF(BX60=0,"",CN64))</f>
        <v/>
      </c>
      <c r="BF62" s="3375"/>
      <c r="BG62" s="3418" t="str">
        <f>IF(AE58="不","",IF(BG63&lt;&gt;"",BG63,BP62))</f>
        <v/>
      </c>
      <c r="BH62" s="3375"/>
      <c r="BI62" s="3418">
        <f>IF(CE63=0,"",CN65)</f>
        <v>2</v>
      </c>
      <c r="BJ62" s="3375"/>
      <c r="BK62" s="3374">
        <f>IF(CE63=0,"",CO65)</f>
        <v>1</v>
      </c>
      <c r="BL62" s="3375"/>
      <c r="BM62" s="3376" t="str">
        <f>IF(CE63=0,"",IF(BM63&lt;&gt;"",BM63,IF(C63=AL62,1,"")))</f>
        <v/>
      </c>
      <c r="BN62" s="3377"/>
      <c r="BO62" s="3378"/>
      <c r="BP62" s="3376" t="str">
        <f>IF(CE63=0,"",IF(OR(AE58="不",AA63="",S63=""),"",IF(BP63&lt;&gt;"",BP63,IF(AL63="要",1+INT(S63/1000),""))))</f>
        <v/>
      </c>
      <c r="BQ62" s="3377"/>
      <c r="BR62" s="3378"/>
      <c r="BS62" s="3376" t="str">
        <f>IF(BS63&lt;&gt;"",BS63,BP62)</f>
        <v/>
      </c>
      <c r="BT62" s="3378"/>
      <c r="BU62" s="19"/>
      <c r="BW62" s="680">
        <f>IF(AND(CS63=0,CS64=""),CS60*3,CS60*3+CS63*6)</f>
        <v>33</v>
      </c>
      <c r="BX62" s="102">
        <f>BY63</f>
        <v>29</v>
      </c>
      <c r="BY62" s="522">
        <f>1+INT(SUM(S63:Z63)/400)</f>
        <v>3</v>
      </c>
      <c r="BZ62" s="100" t="s">
        <v>873</v>
      </c>
      <c r="CB62" s="678">
        <f>IF(CE63="=",MID(BZ63,10,3),10*(1+INT(BY62*3/10)))</f>
        <v>10</v>
      </c>
      <c r="CC62" s="10" t="s">
        <v>922</v>
      </c>
      <c r="CF62" s="106" t="s">
        <v>857</v>
      </c>
      <c r="CG62" s="136">
        <f>IF(CG61=1,INT(CD61*BY62)+BY62*10,"")</f>
        <v>111</v>
      </c>
      <c r="CH62" s="136">
        <f>IF(CG61=1,INT(CD61*CS65),"")</f>
        <v>0</v>
      </c>
      <c r="CI62" s="136">
        <f>8*SUM(BI62:BL62)</f>
        <v>24</v>
      </c>
      <c r="CJ62" s="134" t="str">
        <f>IF($AX$8=0,INT(10.7*CD60*CE60/($BF$8/1000)^2)*1.5,"")</f>
        <v/>
      </c>
      <c r="CK62" s="136">
        <v>0</v>
      </c>
      <c r="CL62" s="136" t="str">
        <f>IF(BP62="","",10*BP62)</f>
        <v/>
      </c>
      <c r="CM62" s="136" t="str">
        <f>IF(BS62="","",10*BS62)</f>
        <v/>
      </c>
      <c r="CN62" s="665">
        <f>IF(AA63="",0,IF(AE58="不","",INT(AA63/2)))</f>
        <v>1</v>
      </c>
      <c r="CO62" s="665">
        <f>IF(AN58="不","",INT(AD63/2))</f>
        <v>4</v>
      </c>
      <c r="CP62" s="670" t="s">
        <v>921</v>
      </c>
      <c r="CQ62" s="2986" t="str">
        <f>IF(CS62="","","スピーカ 5W S4")</f>
        <v/>
      </c>
      <c r="CR62" s="3476"/>
      <c r="CS62" s="88" t="str">
        <f>IF(BA62=0,"",BA62)</f>
        <v/>
      </c>
      <c r="CT62" s="3483" t="str">
        <f>IF(CV62="","","副増幅器 30W")</f>
        <v/>
      </c>
      <c r="CU62" s="3484"/>
      <c r="CV62" s="88" t="str">
        <f>BP62</f>
        <v/>
      </c>
      <c r="CX62" s="8"/>
      <c r="CY62" s="197">
        <f t="shared" si="40"/>
        <v>6</v>
      </c>
      <c r="CZ62" s="197" t="str">
        <f t="shared" si="38"/>
        <v/>
      </c>
      <c r="DA62" s="10"/>
      <c r="DB62" s="8"/>
      <c r="DC62" s="249"/>
      <c r="DD62" s="515"/>
      <c r="DE62" s="514"/>
      <c r="DG62" s="8"/>
      <c r="DH62" s="197">
        <f t="shared" si="41"/>
        <v>5</v>
      </c>
      <c r="DI62" s="197" t="str">
        <f t="shared" si="39"/>
        <v/>
      </c>
      <c r="DJ62" s="10"/>
      <c r="DK62" s="8"/>
      <c r="DL62" s="249"/>
      <c r="DM62" s="515"/>
      <c r="DN62" s="514"/>
      <c r="DQ62" s="197">
        <f t="shared" si="37"/>
        <v>11</v>
      </c>
      <c r="DR62" s="197" t="str">
        <f t="shared" si="35"/>
        <v/>
      </c>
      <c r="DS62" s="10" t="str">
        <f t="shared" ref="DS62:DS67" si="42">CT40</f>
        <v/>
      </c>
      <c r="DT62" s="24"/>
      <c r="DU62" s="249" t="str">
        <f>IF(COUNTIF($DS$10:DS61,DS62)&gt;0,"",DS62)</f>
        <v/>
      </c>
      <c r="DV62" s="198" t="str">
        <f t="shared" ref="DV62:DV67" si="43">CV40</f>
        <v/>
      </c>
      <c r="DW62" s="514">
        <f t="shared" si="36"/>
        <v>5</v>
      </c>
    </row>
    <row r="63" spans="2:127" ht="11.25" customHeight="1" thickBot="1">
      <c r="B63" s="23"/>
      <c r="C63" s="3429" t="str">
        <f>IF($B$2=0,"",非誘!C48)</f>
        <v xml:space="preserve">  4F</v>
      </c>
      <c r="D63" s="3407"/>
      <c r="E63" s="3407"/>
      <c r="F63" s="3430">
        <f>IF($B$2=0,"",非誘!F48)</f>
        <v>4</v>
      </c>
      <c r="G63" s="3430"/>
      <c r="H63" s="3430"/>
      <c r="I63" s="3430"/>
      <c r="J63" s="3430">
        <f>IF($B$2=0,"",非誘!J48)</f>
        <v>3</v>
      </c>
      <c r="K63" s="3430"/>
      <c r="L63" s="3430"/>
      <c r="M63" s="3430"/>
      <c r="N63" s="3407">
        <f>IF($B$2=0,"",非誘!N48)</f>
        <v>1152</v>
      </c>
      <c r="O63" s="3407"/>
      <c r="P63" s="3407"/>
      <c r="Q63" s="3407"/>
      <c r="R63" s="3407"/>
      <c r="S63" s="3431">
        <f>IF($B$2=0,"",非誘!S48)</f>
        <v>806.4</v>
      </c>
      <c r="T63" s="3431"/>
      <c r="U63" s="3431"/>
      <c r="V63" s="3431"/>
      <c r="W63" s="3431">
        <f>IF($B$2=0,"",非誘!W48)</f>
        <v>345.6</v>
      </c>
      <c r="X63" s="3431"/>
      <c r="Y63" s="3431"/>
      <c r="Z63" s="3431"/>
      <c r="AA63" s="3407">
        <f>IF($B$2=0,"",非誘!AA48)</f>
        <v>3</v>
      </c>
      <c r="AB63" s="3407"/>
      <c r="AC63" s="3407"/>
      <c r="AD63" s="3407">
        <f>IF($B$2=0,"",非誘!AD48)</f>
        <v>9</v>
      </c>
      <c r="AE63" s="3407"/>
      <c r="AF63" s="3407"/>
      <c r="AG63" s="3391" t="s">
        <v>870</v>
      </c>
      <c r="AH63" s="3391"/>
      <c r="AI63" s="3391"/>
      <c r="AJ63" s="3391"/>
      <c r="AK63" s="3391"/>
      <c r="AL63" s="2990" t="str">
        <f>IF(AP63&lt;&gt;"",AP63,IF($BY$9="要","要",""))</f>
        <v/>
      </c>
      <c r="AM63" s="2990"/>
      <c r="AN63" s="2990"/>
      <c r="AO63" s="668" t="s">
        <v>2</v>
      </c>
      <c r="AP63" s="3408"/>
      <c r="AQ63" s="3408"/>
      <c r="AR63" s="3408"/>
      <c r="AS63" s="2551"/>
      <c r="AT63" s="3414"/>
      <c r="AU63" s="2551"/>
      <c r="AV63" s="3414"/>
      <c r="AW63" s="2551"/>
      <c r="AX63" s="3414"/>
      <c r="AY63" s="2551"/>
      <c r="AZ63" s="3414"/>
      <c r="BA63" s="2551"/>
      <c r="BB63" s="3414"/>
      <c r="BC63" s="2551"/>
      <c r="BD63" s="3414"/>
      <c r="BE63" s="2551"/>
      <c r="BF63" s="3414"/>
      <c r="BG63" s="2551"/>
      <c r="BH63" s="3414"/>
      <c r="BI63" s="2551"/>
      <c r="BJ63" s="3414"/>
      <c r="BK63" s="2551"/>
      <c r="BL63" s="3414"/>
      <c r="BM63" s="2551"/>
      <c r="BN63" s="3428"/>
      <c r="BO63" s="3414"/>
      <c r="BP63" s="2551"/>
      <c r="BQ63" s="3428"/>
      <c r="BR63" s="3414"/>
      <c r="BS63" s="2551"/>
      <c r="BT63" s="3414"/>
      <c r="BU63" s="19"/>
      <c r="BY63" s="677">
        <f>IF(CE63=0,0,IF(CE63="=",BY62+BY54+BY72,IF(CE63="-",BY62+BY54,BY62+BY72)))</f>
        <v>29</v>
      </c>
      <c r="BZ63" s="3443" t="str">
        <f>IF(CE63=0,"",IF(BY63*3&lt;=20,"HP 1.2mm- 10Pr",IF(BY63*3&lt;=30,"HP 1.2mm- 15Pr",IF(BY63*3&lt;=40,"HP 1.2mm- 20Pr",IF(BY63*3&lt;=50,"HP 1.2mm- 25Pr",IF(BY63*3&lt;=60,"HP 1.2mm- 30Pr",IF(BY63*3&lt;=80,"HP 1.2mm- 40Pr",IF(BY63*3&lt;=100,"HP 1.2mm- 50Pr",IF(BY63*3&lt;=150,"HP 1.2mm- 75Pr", IF(BY63*3&lt;=200,"HP 1.2mm-100Pr",IF(BY63*3&lt;=400,"HP 1.2mm-200Pr","")))))))))))</f>
        <v>HP 1.2mm- 50Pr</v>
      </c>
      <c r="CA63" s="3444"/>
      <c r="CB63" s="3444"/>
      <c r="CC63" s="3445"/>
      <c r="CD63" s="673" t="str">
        <f>IF(LEFT($BG$10,2)=" B",-MID($BG$10,3,1),LEFT($BG$10,3))</f>
        <v xml:space="preserve">  1</v>
      </c>
      <c r="CE63" s="676" t="str">
        <f>IF(CD64=0,0,IF(CD63=CD64,"=",IF(CD63&gt;CD64,"-","+")))</f>
        <v>+</v>
      </c>
      <c r="CF63" s="106" t="s">
        <v>856</v>
      </c>
      <c r="CG63" s="136">
        <f>2*INT((F63-$Y$10/1000-0.25))</f>
        <v>4</v>
      </c>
      <c r="CH63" s="136">
        <f>1+INT((F63-$Y$7/1000-0.25)*CS65)</f>
        <v>1</v>
      </c>
      <c r="CI63" s="136">
        <f>INT((F63-$Y$8/1000-0.25)*SUM(BI62:BL62))</f>
        <v>7</v>
      </c>
      <c r="CJ63" s="675"/>
      <c r="CK63" s="136">
        <v>0</v>
      </c>
      <c r="CL63" s="136" t="str">
        <f>IF(BP62="","",INT((F63-$Y$9/1000-0.25)*BP62))</f>
        <v/>
      </c>
      <c r="CM63" s="136" t="str">
        <f>IF(BS62="","",INT((F63-$Y$9/1000-0.25)*BS62))</f>
        <v/>
      </c>
      <c r="CN63" s="665">
        <f>IF(AA63="",0,IF(AE58="不","",INT(AA63/2)))</f>
        <v>1</v>
      </c>
      <c r="CO63" s="665">
        <f>IF(AN58="不","",INT(AD63/2))</f>
        <v>4</v>
      </c>
      <c r="CP63" s="670" t="s">
        <v>869</v>
      </c>
      <c r="CQ63" s="15"/>
      <c r="CR63" s="106" t="s">
        <v>868</v>
      </c>
      <c r="CS63" s="8">
        <f>SUM(CS61:CS62)</f>
        <v>1</v>
      </c>
      <c r="CT63" s="3483" t="str">
        <f>IF(CV63="","","カットリレー")</f>
        <v/>
      </c>
      <c r="CU63" s="3484"/>
      <c r="CV63" s="88" t="str">
        <f>BS62</f>
        <v/>
      </c>
      <c r="CY63" s="197">
        <f t="shared" si="40"/>
        <v>6</v>
      </c>
      <c r="CZ63" s="197" t="str">
        <f t="shared" si="38"/>
        <v/>
      </c>
      <c r="DB63" s="24"/>
      <c r="DD63" s="516"/>
      <c r="DE63" s="516"/>
      <c r="DH63" s="197">
        <f t="shared" si="41"/>
        <v>5</v>
      </c>
      <c r="DI63" s="197" t="str">
        <f t="shared" si="39"/>
        <v/>
      </c>
      <c r="DK63" s="24"/>
      <c r="DM63" s="516"/>
      <c r="DN63" s="516"/>
      <c r="DQ63" s="197">
        <f t="shared" si="37"/>
        <v>11</v>
      </c>
      <c r="DR63" s="197" t="str">
        <f t="shared" si="35"/>
        <v/>
      </c>
      <c r="DS63" s="10" t="str">
        <f t="shared" si="42"/>
        <v>アッテネータ 3W</v>
      </c>
      <c r="DT63" s="24"/>
      <c r="DU63" s="249" t="str">
        <f>IF(COUNTIF($DS$10:DS62,DS63)&gt;0,"",DS63)</f>
        <v/>
      </c>
      <c r="DV63" s="198">
        <f t="shared" si="43"/>
        <v>13</v>
      </c>
      <c r="DW63" s="514">
        <f t="shared" si="36"/>
        <v>5</v>
      </c>
    </row>
    <row r="64" spans="2:127" ht="11.25" customHeight="1" thickBot="1">
      <c r="B64" s="23"/>
      <c r="C64" s="2300" t="s">
        <v>867</v>
      </c>
      <c r="D64" s="2301"/>
      <c r="E64" s="2301"/>
      <c r="F64" s="2301"/>
      <c r="G64" s="2302"/>
      <c r="H64" s="3422" t="str">
        <f>IF(CE63=0,"",IF(R64&lt;&gt;"",R64,BZ63))</f>
        <v>HP 1.2mm- 50Pr</v>
      </c>
      <c r="I64" s="3423"/>
      <c r="J64" s="3423"/>
      <c r="K64" s="3423"/>
      <c r="L64" s="3423"/>
      <c r="M64" s="3423"/>
      <c r="N64" s="3423"/>
      <c r="O64" s="3423"/>
      <c r="P64" s="3424"/>
      <c r="Q64" s="668" t="s">
        <v>2</v>
      </c>
      <c r="R64" s="3362"/>
      <c r="S64" s="3363"/>
      <c r="T64" s="3363"/>
      <c r="U64" s="3363"/>
      <c r="V64" s="3363"/>
      <c r="W64" s="3363"/>
      <c r="X64" s="3363"/>
      <c r="Y64" s="3363"/>
      <c r="Z64" s="3364"/>
      <c r="AA64" s="3345" t="s">
        <v>866</v>
      </c>
      <c r="AB64" s="3346"/>
      <c r="AC64" s="3346"/>
      <c r="AD64" s="3346"/>
      <c r="AE64" s="3347"/>
      <c r="AF64" s="3385">
        <f>IF(CE63=0,"",IF(AK64&lt;&gt;"",AK64,CG65+CI65))</f>
        <v>7</v>
      </c>
      <c r="AG64" s="3386"/>
      <c r="AH64" s="3386"/>
      <c r="AI64" s="3387"/>
      <c r="AJ64" s="669" t="s">
        <v>2</v>
      </c>
      <c r="AK64" s="3415"/>
      <c r="AL64" s="3416"/>
      <c r="AM64" s="3416"/>
      <c r="AN64" s="3417"/>
      <c r="AO64" s="2300" t="s">
        <v>865</v>
      </c>
      <c r="AP64" s="2301"/>
      <c r="AQ64" s="2301"/>
      <c r="AR64" s="2301"/>
      <c r="AS64" s="2302"/>
      <c r="AT64" s="3422" t="str">
        <f>IF(CE63=0,"",IF(BA64&lt;&gt;"",BA64,IF(MID(AG61,4,2)="C ","C-"&amp;CA64&amp;"mm",IF(MID(AG61,4,2)="PF","PF-D-"&amp;CB64&amp;"mm",IF(MID(AG61,4,2)="CD","CD-"&amp;CB64&amp;"mm",IF(MID(AG61,4,2)="G ","G-"&amp;CB64&amp;"mm",""))))))</f>
        <v>C-51mm</v>
      </c>
      <c r="AU64" s="3423"/>
      <c r="AV64" s="3423"/>
      <c r="AW64" s="3423"/>
      <c r="AX64" s="3423"/>
      <c r="AY64" s="3424"/>
      <c r="AZ64" s="668" t="s">
        <v>2</v>
      </c>
      <c r="BA64" s="3362"/>
      <c r="BB64" s="3363"/>
      <c r="BC64" s="3363"/>
      <c r="BD64" s="3363"/>
      <c r="BE64" s="3363"/>
      <c r="BF64" s="3364"/>
      <c r="BG64" s="3345" t="s">
        <v>864</v>
      </c>
      <c r="BH64" s="3346"/>
      <c r="BI64" s="3346"/>
      <c r="BJ64" s="3346"/>
      <c r="BK64" s="3347"/>
      <c r="BL64" s="3385">
        <f>IF(CE63=0,"",IF(CM65=0,"",IF(BQ64&lt;&gt;"",BQ64,CK65+CM65)))</f>
        <v>4</v>
      </c>
      <c r="BM64" s="3386"/>
      <c r="BN64" s="3386"/>
      <c r="BO64" s="3387"/>
      <c r="BP64" s="668" t="s">
        <v>2</v>
      </c>
      <c r="BQ64" s="3415"/>
      <c r="BR64" s="3416"/>
      <c r="BS64" s="3416"/>
      <c r="BT64" s="3417"/>
      <c r="BU64" s="19"/>
      <c r="BZ64" s="107" t="str">
        <f>IF(LEN(BZ63)=13,MID(BZ63,10,2),MID(BZ63,10,3))</f>
        <v xml:space="preserve"> 50</v>
      </c>
      <c r="CA64" s="674" t="str">
        <f>IF(OR(BZ64=" 10",BZ64=" 15"),"31",IF(OR(BZ64=" 20",BZ64=" 25",BZ64=" 30"),"39",IF(OR(BZ64=" 40",BZ64=" 50"),"51",IF(BZ64="100","63",IF(BZ64&lt;="200","75","")))))</f>
        <v>51</v>
      </c>
      <c r="CB64" s="674" t="str">
        <f>IF(OR(BZ64=" 10",BZ64=" 15"),"28",IF(OR(BZ64=" 20",BZ64=" 25",BZ64=" 30"),"36",IF(OR(BZ64=" 40",BZ64=" 50"),"42",IF(BZ64="100","54",IF(BZ64&lt;="200","70","")))))</f>
        <v>42</v>
      </c>
      <c r="CD64" s="673" t="str">
        <f>IF(C63="",0,IF(LEFT(C63,2)=" B",-MID(C63,3,1),LEFT(C63,3)))</f>
        <v xml:space="preserve">  4</v>
      </c>
      <c r="CF64" s="106"/>
      <c r="CG64" s="90" t="s">
        <v>863</v>
      </c>
      <c r="CH64" s="64"/>
      <c r="CI64" s="90" t="s">
        <v>863</v>
      </c>
      <c r="CJ64" s="38"/>
      <c r="CK64" s="90" t="s">
        <v>863</v>
      </c>
      <c r="CL64" s="64"/>
      <c r="CM64" s="90" t="s">
        <v>863</v>
      </c>
      <c r="CN64" s="672">
        <f>IF(S63="",0,IF(AE58="不","",INT(S63/150)))</f>
        <v>5</v>
      </c>
      <c r="CO64" s="671"/>
      <c r="CP64" s="670" t="s">
        <v>862</v>
      </c>
      <c r="CQ64" s="2986" t="str">
        <f>IF(CS64="","","プロセニアム・スピーカ 20W")</f>
        <v/>
      </c>
      <c r="CR64" s="3476"/>
      <c r="CS64" s="88" t="str">
        <f>IF(BC62=0,"",BC62)</f>
        <v/>
      </c>
      <c r="CT64" s="9"/>
      <c r="CU64" s="46"/>
      <c r="CY64" s="197">
        <f t="shared" si="40"/>
        <v>6</v>
      </c>
      <c r="CZ64" s="197" t="str">
        <f t="shared" si="38"/>
        <v/>
      </c>
      <c r="DB64" s="24"/>
      <c r="DD64" s="516"/>
      <c r="DE64" s="516"/>
      <c r="DH64" s="197">
        <f t="shared" si="41"/>
        <v>5</v>
      </c>
      <c r="DI64" s="197" t="str">
        <f t="shared" si="39"/>
        <v/>
      </c>
      <c r="DK64" s="24"/>
      <c r="DM64" s="516"/>
      <c r="DN64" s="516"/>
      <c r="DQ64" s="197">
        <f t="shared" si="37"/>
        <v>11</v>
      </c>
      <c r="DR64" s="197" t="str">
        <f t="shared" si="35"/>
        <v/>
      </c>
      <c r="DS64" s="10" t="str">
        <f t="shared" si="42"/>
        <v>アッテネータ 6W</v>
      </c>
      <c r="DT64" s="24"/>
      <c r="DU64" s="249" t="str">
        <f>IF(COUNTIF($DS$10:DS63,DS64)&gt;0,"",DS64)</f>
        <v/>
      </c>
      <c r="DV64" s="198">
        <f t="shared" si="43"/>
        <v>5</v>
      </c>
      <c r="DW64" s="514">
        <f t="shared" si="36"/>
        <v>5</v>
      </c>
    </row>
    <row r="65" spans="2:127" ht="11.25" customHeight="1" thickBot="1">
      <c r="B65" s="23"/>
      <c r="C65" s="2300" t="s">
        <v>861</v>
      </c>
      <c r="D65" s="2301"/>
      <c r="E65" s="2301"/>
      <c r="F65" s="2301"/>
      <c r="G65" s="2302"/>
      <c r="H65" s="3422" t="str">
        <f>IF(CE63=0,"",IF(R65&lt;&gt;"",R65,"HP 1.2mm-3C"))</f>
        <v>HP 1.2mm-3C</v>
      </c>
      <c r="I65" s="3423"/>
      <c r="J65" s="3423"/>
      <c r="K65" s="3423"/>
      <c r="L65" s="3423"/>
      <c r="M65" s="3423"/>
      <c r="N65" s="3423"/>
      <c r="O65" s="3423"/>
      <c r="P65" s="3424"/>
      <c r="Q65" s="668" t="s">
        <v>34</v>
      </c>
      <c r="R65" s="3362"/>
      <c r="S65" s="3363"/>
      <c r="T65" s="3363"/>
      <c r="U65" s="3363"/>
      <c r="V65" s="3363"/>
      <c r="W65" s="3363"/>
      <c r="X65" s="3363"/>
      <c r="Y65" s="3363"/>
      <c r="Z65" s="3364"/>
      <c r="AA65" s="3348" t="s">
        <v>113</v>
      </c>
      <c r="AB65" s="3349"/>
      <c r="AC65" s="3349"/>
      <c r="AD65" s="3349"/>
      <c r="AE65" s="3350"/>
      <c r="AF65" s="3385">
        <f>IF(CE63=0,"",IF(AK65&lt;&gt;"",AK65,SUM(CN59:CN60)))</f>
        <v>321</v>
      </c>
      <c r="AG65" s="3386"/>
      <c r="AH65" s="3386"/>
      <c r="AI65" s="3387"/>
      <c r="AJ65" s="669" t="s">
        <v>34</v>
      </c>
      <c r="AK65" s="3415"/>
      <c r="AL65" s="3416"/>
      <c r="AM65" s="3416"/>
      <c r="AN65" s="3417"/>
      <c r="AO65" s="2300" t="s">
        <v>860</v>
      </c>
      <c r="AP65" s="2301"/>
      <c r="AQ65" s="2301"/>
      <c r="AR65" s="2301"/>
      <c r="AS65" s="2302"/>
      <c r="AT65" s="3422" t="str">
        <f>IF(CE63=0,"",IF(BA65&lt;&gt;"",BA65,IF(MID(AG61,4,2)="C ","C-19mm",IF(MID(AG61,4,2)="PF","PF-D-16mm",IF(MID(AG61,4,2)="CD","CD-16mm",IF(MID(AG61,4,2)="G ","G-16mm","C-19mm"))))))</f>
        <v>C-19mm</v>
      </c>
      <c r="AU65" s="3423"/>
      <c r="AV65" s="3423"/>
      <c r="AW65" s="3423"/>
      <c r="AX65" s="3423"/>
      <c r="AY65" s="3424"/>
      <c r="AZ65" s="668" t="s">
        <v>34</v>
      </c>
      <c r="BA65" s="3362"/>
      <c r="BB65" s="3363"/>
      <c r="BC65" s="3363"/>
      <c r="BD65" s="3363"/>
      <c r="BE65" s="3363"/>
      <c r="BF65" s="3364"/>
      <c r="BG65" s="3348" t="s">
        <v>113</v>
      </c>
      <c r="BH65" s="3349"/>
      <c r="BI65" s="3349"/>
      <c r="BJ65" s="3349"/>
      <c r="BK65" s="3350"/>
      <c r="BL65" s="3385">
        <f>IF(CE63=0,"",IF(BQ65&lt;&gt;"",BQ65,SUM(CO59:CO60)))</f>
        <v>147</v>
      </c>
      <c r="BM65" s="3386"/>
      <c r="BN65" s="3386"/>
      <c r="BO65" s="3387"/>
      <c r="BP65" s="668" t="s">
        <v>34</v>
      </c>
      <c r="BQ65" s="3425"/>
      <c r="BR65" s="3426"/>
      <c r="BS65" s="3426"/>
      <c r="BT65" s="3427"/>
      <c r="BU65" s="19"/>
      <c r="CF65" s="106" t="s">
        <v>859</v>
      </c>
      <c r="CG65" s="184">
        <f>IF(CE63="=",CD61,0)</f>
        <v>0</v>
      </c>
      <c r="CH65" s="667" t="s">
        <v>858</v>
      </c>
      <c r="CI65" s="184">
        <f>F63+2*$AN$7/1000</f>
        <v>7</v>
      </c>
      <c r="CJ65" s="666" t="s">
        <v>857</v>
      </c>
      <c r="CK65" s="184">
        <f>IF(CG61=1,CG65,0)</f>
        <v>0</v>
      </c>
      <c r="CL65" s="666" t="s">
        <v>856</v>
      </c>
      <c r="CM65" s="184">
        <f>IF(CG61=1,F63,0)</f>
        <v>4</v>
      </c>
      <c r="CN65" s="665">
        <f>INT(AS62/2)</f>
        <v>2</v>
      </c>
      <c r="CO65" s="665">
        <f>IF(AU62="","",1+INT(AU62/2))</f>
        <v>1</v>
      </c>
      <c r="CP65" s="664" t="s">
        <v>907</v>
      </c>
      <c r="CQ65" s="3477" t="str">
        <f>IF(CS65="","","ソノライン・スピーカ 20W")</f>
        <v>ソノライン・スピーカ 20W</v>
      </c>
      <c r="CR65" s="3478"/>
      <c r="CS65" s="222">
        <f>IF(BE62="",0,BE62)</f>
        <v>0</v>
      </c>
      <c r="CT65" s="155"/>
      <c r="CU65" s="148"/>
      <c r="CV65" s="148"/>
      <c r="CY65" s="197">
        <f t="shared" si="40"/>
        <v>6</v>
      </c>
      <c r="CZ65" s="197" t="str">
        <f t="shared" si="38"/>
        <v/>
      </c>
      <c r="DB65" s="24"/>
      <c r="DD65" s="516"/>
      <c r="DE65" s="516"/>
      <c r="DH65" s="197">
        <f t="shared" si="41"/>
        <v>5</v>
      </c>
      <c r="DI65" s="197" t="str">
        <f t="shared" si="39"/>
        <v/>
      </c>
      <c r="DK65" s="24"/>
      <c r="DM65" s="516"/>
      <c r="DN65" s="516"/>
      <c r="DQ65" s="197">
        <f t="shared" si="37"/>
        <v>11</v>
      </c>
      <c r="DR65" s="197" t="str">
        <f t="shared" si="35"/>
        <v/>
      </c>
      <c r="DS65" s="10" t="str">
        <f t="shared" si="42"/>
        <v/>
      </c>
      <c r="DT65" s="24"/>
      <c r="DU65" s="249" t="str">
        <f>IF(COUNTIF($DS$10:DS64,DS65)&gt;0,"",DS65)</f>
        <v/>
      </c>
      <c r="DV65" s="198" t="str">
        <f t="shared" si="43"/>
        <v/>
      </c>
      <c r="DW65" s="514">
        <f t="shared" si="36"/>
        <v>5</v>
      </c>
    </row>
    <row r="66" spans="2:127" ht="11.25" customHeight="1">
      <c r="B66" s="23"/>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19"/>
      <c r="CP66" s="6"/>
      <c r="CQ66" s="2986" t="str">
        <f>IF(CS66="","","スピーカ 3W S1")</f>
        <v>スピーカ 3W S1</v>
      </c>
      <c r="CR66" s="3476"/>
      <c r="CS66" s="88">
        <f>IF(AS71=0,"",AS71)</f>
        <v>5</v>
      </c>
      <c r="CT66" s="9"/>
      <c r="CX66" s="88">
        <v>7</v>
      </c>
      <c r="CY66" s="204"/>
      <c r="CZ66" s="155"/>
      <c r="DA66" s="45"/>
      <c r="DB66" s="45"/>
      <c r="DC66" s="45" t="s">
        <v>234</v>
      </c>
      <c r="DD66" s="45"/>
      <c r="DE66" s="45" t="s">
        <v>233</v>
      </c>
      <c r="DG66" s="88">
        <v>7</v>
      </c>
      <c r="DH66" s="204"/>
      <c r="DI66" s="155"/>
      <c r="DJ66" s="45"/>
      <c r="DK66" s="45"/>
      <c r="DL66" s="45" t="s">
        <v>234</v>
      </c>
      <c r="DM66" s="45"/>
      <c r="DN66" s="45" t="s">
        <v>233</v>
      </c>
      <c r="DQ66" s="197">
        <f t="shared" si="37"/>
        <v>11</v>
      </c>
      <c r="DR66" s="197" t="str">
        <f t="shared" si="35"/>
        <v/>
      </c>
      <c r="DS66" s="10" t="str">
        <f t="shared" si="42"/>
        <v/>
      </c>
      <c r="DT66" s="24"/>
      <c r="DU66" s="249" t="str">
        <f>IF(COUNTIF($DS$10:DS65,DS66)&gt;0,"",DS66)</f>
        <v/>
      </c>
      <c r="DV66" s="198" t="str">
        <f t="shared" si="43"/>
        <v/>
      </c>
      <c r="DW66" s="514">
        <f t="shared" si="36"/>
        <v>5</v>
      </c>
    </row>
    <row r="67" spans="2:127" ht="11.25" customHeight="1" thickBot="1">
      <c r="B67" s="23"/>
      <c r="C67" s="2299" t="s">
        <v>16</v>
      </c>
      <c r="D67" s="2299"/>
      <c r="E67" s="2299"/>
      <c r="F67" s="2299" t="s">
        <v>22</v>
      </c>
      <c r="G67" s="2299"/>
      <c r="H67" s="2299"/>
      <c r="I67" s="2299"/>
      <c r="J67" s="2299" t="s">
        <v>5</v>
      </c>
      <c r="K67" s="2299"/>
      <c r="L67" s="2299"/>
      <c r="M67" s="2299"/>
      <c r="N67" s="2299" t="s">
        <v>6</v>
      </c>
      <c r="O67" s="2299"/>
      <c r="P67" s="2299"/>
      <c r="Q67" s="2299"/>
      <c r="R67" s="2299"/>
      <c r="S67" s="2299" t="s">
        <v>131</v>
      </c>
      <c r="T67" s="2299"/>
      <c r="U67" s="2299"/>
      <c r="V67" s="2299"/>
      <c r="W67" s="2299"/>
      <c r="X67" s="2299"/>
      <c r="Y67" s="2299"/>
      <c r="Z67" s="2299"/>
      <c r="AA67" s="3382" t="s">
        <v>7</v>
      </c>
      <c r="AB67" s="3382"/>
      <c r="AC67" s="3382"/>
      <c r="AD67" s="3382"/>
      <c r="AE67" s="2630" t="str">
        <f>IF(S72="","",IF(AH67&lt;&gt;"",AH67,IF(RIGHT($D$10,2)="不要","不","要")))</f>
        <v>要</v>
      </c>
      <c r="AF67" s="2630"/>
      <c r="AG67" s="668" t="s">
        <v>34</v>
      </c>
      <c r="AH67" s="2632"/>
      <c r="AI67" s="2633"/>
      <c r="AJ67" s="3371" t="s">
        <v>913</v>
      </c>
      <c r="AK67" s="3372"/>
      <c r="AL67" s="3372"/>
      <c r="AM67" s="3373"/>
      <c r="AN67" s="3383" t="str">
        <f>IF(W72="","",IF(AQ67&lt;&gt;"",AQ67,IF(RIGHT($D$10,2)="設置","要","不")))</f>
        <v>要</v>
      </c>
      <c r="AO67" s="3384"/>
      <c r="AP67" s="668" t="s">
        <v>34</v>
      </c>
      <c r="AQ67" s="2632"/>
      <c r="AR67" s="2633"/>
      <c r="AS67" s="3399" t="s">
        <v>912</v>
      </c>
      <c r="AT67" s="3412"/>
      <c r="AU67" s="3412"/>
      <c r="AV67" s="3412"/>
      <c r="AW67" s="3412"/>
      <c r="AX67" s="3412"/>
      <c r="AY67" s="3412"/>
      <c r="AZ67" s="3412"/>
      <c r="BA67" s="3412"/>
      <c r="BB67" s="3412"/>
      <c r="BC67" s="3412"/>
      <c r="BD67" s="3412"/>
      <c r="BE67" s="3412"/>
      <c r="BF67" s="3412"/>
      <c r="BG67" s="3412"/>
      <c r="BH67" s="3413"/>
      <c r="BI67" s="3399" t="s">
        <v>907</v>
      </c>
      <c r="BJ67" s="3412"/>
      <c r="BK67" s="3412"/>
      <c r="BL67" s="3413"/>
      <c r="BM67" s="3360" t="s">
        <v>911</v>
      </c>
      <c r="BN67" s="3419"/>
      <c r="BO67" s="3419"/>
      <c r="BP67" s="3419"/>
      <c r="BQ67" s="3419"/>
      <c r="BR67" s="3361"/>
      <c r="BS67" s="3441" t="s">
        <v>910</v>
      </c>
      <c r="BT67" s="3442"/>
      <c r="BU67" s="19"/>
      <c r="BW67" s="102"/>
      <c r="CF67" s="8"/>
      <c r="CG67" s="685" t="s">
        <v>909</v>
      </c>
      <c r="CH67" s="685" t="s">
        <v>908</v>
      </c>
      <c r="CI67" s="685" t="s">
        <v>907</v>
      </c>
      <c r="CJ67" s="686">
        <f>IF($AX$8=0,"",INT(10.7*CD69*CE69/($BF$8/1000)^2))</f>
        <v>85</v>
      </c>
      <c r="CK67" s="685" t="s">
        <v>906</v>
      </c>
      <c r="CL67" s="685" t="s">
        <v>905</v>
      </c>
      <c r="CM67" s="685" t="s">
        <v>904</v>
      </c>
      <c r="CN67" s="550" t="s">
        <v>734</v>
      </c>
      <c r="CO67" s="550" t="s">
        <v>732</v>
      </c>
      <c r="CP67" s="684"/>
      <c r="CQ67" s="2986" t="str">
        <f>IF(CS67="","","スピーカ 3W S3")</f>
        <v>スピーカ 3W S3</v>
      </c>
      <c r="CR67" s="3476"/>
      <c r="CS67" s="88">
        <f>IF(AY71=0,"",AY71)</f>
        <v>4</v>
      </c>
      <c r="CT67" s="3483" t="str">
        <f>IF(CV67="","","マイクロホン")</f>
        <v/>
      </c>
      <c r="CU67" s="3484"/>
      <c r="CV67" s="88" t="str">
        <f>BG71</f>
        <v/>
      </c>
      <c r="CX67" s="8"/>
      <c r="CY67" s="197">
        <f>IF(DC67&lt;&gt;"",CY65+1,CY65)</f>
        <v>7</v>
      </c>
      <c r="CZ67" s="197">
        <f t="shared" ref="CZ67:CZ77" si="44">IF(AND(CY67&lt;&gt;"",DC67&lt;&gt;""),CY67,"")</f>
        <v>7</v>
      </c>
      <c r="DA67" s="10" t="str">
        <f>H73</f>
        <v>HP 1.2mm- 40Pr</v>
      </c>
      <c r="DB67" s="8"/>
      <c r="DC67" s="249" t="str">
        <f>IF(COUNTIF(DA$10:$DA64,DA67)&gt;0,"",DA67)</f>
        <v>HP 1.2mm- 40Pr</v>
      </c>
      <c r="DD67" s="515">
        <f>AF73</f>
        <v>7</v>
      </c>
      <c r="DE67" s="514">
        <f>SUMIF($DA$13:$DA$199,DC67,$DD$13:$DD$199)</f>
        <v>14</v>
      </c>
      <c r="DG67" s="8"/>
      <c r="DH67" s="197">
        <f>IF(DL67&lt;&gt;"",DH65+1,DH65)</f>
        <v>5</v>
      </c>
      <c r="DI67" s="197" t="str">
        <f t="shared" ref="DI67:DI77" si="45">IF(AND(DH67&lt;&gt;"",DL67&lt;&gt;""),DH67,"")</f>
        <v/>
      </c>
      <c r="DJ67" s="10" t="str">
        <f>AT73</f>
        <v>C-51mm</v>
      </c>
      <c r="DK67" s="8"/>
      <c r="DL67" s="249" t="str">
        <f>IF(COUNTIF($DA$10:DJ64,DJ67)&gt;0,"",DJ67)</f>
        <v/>
      </c>
      <c r="DM67" s="515">
        <f>BL73</f>
        <v>4</v>
      </c>
      <c r="DN67" s="514">
        <f>SUMIF($DJ$13:$DJ$199,DL67,$DM$13:$DM$199)</f>
        <v>0</v>
      </c>
      <c r="DP67" s="8"/>
      <c r="DQ67" s="197">
        <f t="shared" si="37"/>
        <v>11</v>
      </c>
      <c r="DR67" s="197" t="str">
        <f t="shared" si="35"/>
        <v/>
      </c>
      <c r="DS67" s="10" t="str">
        <f t="shared" si="42"/>
        <v/>
      </c>
      <c r="DT67" s="24"/>
      <c r="DU67" s="249" t="str">
        <f>IF(COUNTIF($DS$10:DS66,DS67)&gt;0,"",DS67)</f>
        <v/>
      </c>
      <c r="DV67" s="198" t="str">
        <f t="shared" si="43"/>
        <v/>
      </c>
      <c r="DW67" s="514">
        <f t="shared" si="36"/>
        <v>5</v>
      </c>
    </row>
    <row r="68" spans="2:127" ht="11.25" customHeight="1" thickBot="1">
      <c r="B68" s="23"/>
      <c r="C68" s="2299"/>
      <c r="D68" s="2299"/>
      <c r="E68" s="2299"/>
      <c r="F68" s="2396"/>
      <c r="G68" s="2396"/>
      <c r="H68" s="2396"/>
      <c r="I68" s="2396"/>
      <c r="J68" s="2396"/>
      <c r="K68" s="2396"/>
      <c r="L68" s="2396"/>
      <c r="M68" s="2396"/>
      <c r="N68" s="2396"/>
      <c r="O68" s="2396"/>
      <c r="P68" s="2396"/>
      <c r="Q68" s="2396"/>
      <c r="R68" s="2396"/>
      <c r="S68" s="2396" t="s">
        <v>7</v>
      </c>
      <c r="T68" s="2396"/>
      <c r="U68" s="2396"/>
      <c r="V68" s="2396"/>
      <c r="W68" s="2396" t="s">
        <v>8</v>
      </c>
      <c r="X68" s="2396"/>
      <c r="Y68" s="2396"/>
      <c r="Z68" s="2396"/>
      <c r="AA68" s="2384" t="s">
        <v>9</v>
      </c>
      <c r="AB68" s="2385"/>
      <c r="AC68" s="2386"/>
      <c r="AD68" s="2384" t="s">
        <v>9</v>
      </c>
      <c r="AE68" s="2385"/>
      <c r="AF68" s="2386"/>
      <c r="AG68" s="2384" t="str">
        <f>IF(AN68="","","専部屋面積")</f>
        <v>専部屋面積</v>
      </c>
      <c r="AH68" s="2385"/>
      <c r="AI68" s="2385"/>
      <c r="AJ68" s="2382"/>
      <c r="AK68" s="2382"/>
      <c r="AL68" s="2382"/>
      <c r="AM68" s="3392"/>
      <c r="AN68" s="3365">
        <f>IF(OR(C72="",$B$2=0),"",S72/AA72)</f>
        <v>268.8</v>
      </c>
      <c r="AO68" s="3366"/>
      <c r="AP68" s="3366"/>
      <c r="AQ68" s="3366"/>
      <c r="AR68" s="3367"/>
      <c r="AS68" s="2300" t="s">
        <v>903</v>
      </c>
      <c r="AT68" s="2301"/>
      <c r="AU68" s="2301"/>
      <c r="AV68" s="2301"/>
      <c r="AW68" s="2301"/>
      <c r="AX68" s="2302"/>
      <c r="AY68" s="2300" t="s">
        <v>902</v>
      </c>
      <c r="AZ68" s="2301"/>
      <c r="BA68" s="2301"/>
      <c r="BB68" s="2302"/>
      <c r="BC68" s="2300" t="s">
        <v>902</v>
      </c>
      <c r="BD68" s="2301"/>
      <c r="BE68" s="2301"/>
      <c r="BF68" s="2302"/>
      <c r="BG68" s="2300" t="s">
        <v>743</v>
      </c>
      <c r="BH68" s="2302"/>
      <c r="BI68" s="2300" t="s">
        <v>901</v>
      </c>
      <c r="BJ68" s="2301"/>
      <c r="BK68" s="2301"/>
      <c r="BL68" s="2302"/>
      <c r="BM68" s="2299" t="s">
        <v>930</v>
      </c>
      <c r="BN68" s="2299"/>
      <c r="BO68" s="2299"/>
      <c r="BP68" s="2299" t="s">
        <v>929</v>
      </c>
      <c r="BQ68" s="2299"/>
      <c r="BR68" s="2299"/>
      <c r="BS68" s="3439" t="s">
        <v>928</v>
      </c>
      <c r="BT68" s="3440"/>
      <c r="BU68" s="19"/>
      <c r="BW68" s="679"/>
      <c r="BX68" s="90" t="s">
        <v>889</v>
      </c>
      <c r="BY68" s="100" t="s">
        <v>927</v>
      </c>
      <c r="CC68" s="180">
        <v>52</v>
      </c>
      <c r="CD68" s="55" t="s">
        <v>229</v>
      </c>
      <c r="CE68" s="55" t="s">
        <v>228</v>
      </c>
      <c r="CF68" s="106" t="s">
        <v>859</v>
      </c>
      <c r="CG68" s="184">
        <f>INT((CD70+10)*BY71+CS69*$AN$8/1000+($AN$7/1000)*BY71)</f>
        <v>120</v>
      </c>
      <c r="CH68" s="184">
        <f>INT(CD70*CS74+CS74)</f>
        <v>0</v>
      </c>
      <c r="CI68" s="184">
        <f>8*SUM(BI71:BL71)</f>
        <v>24</v>
      </c>
      <c r="CJ68" s="185">
        <f>IF($AX$8=0,"",2*INT(0.5*CJ67))</f>
        <v>84</v>
      </c>
      <c r="CK68" s="184"/>
      <c r="CL68" s="184" t="str">
        <f>IF(BP71="","",10*BP71)</f>
        <v/>
      </c>
      <c r="CM68" s="184" t="str">
        <f>IF(BP71="","",10*BP71)</f>
        <v/>
      </c>
      <c r="CN68" s="682">
        <f>IF(S72="",0,IF(AE67="不","",(SUM(CG68:CM68)+SUM(CG69:CM69))*S72/N72))</f>
        <v>224.7</v>
      </c>
      <c r="CO68" s="682">
        <f>IF(S72="",0,IF(AE67="不","",(SUM(CG71:CM71)+SUM(CG72:CM72))*S72/N72))</f>
        <v>102.9</v>
      </c>
      <c r="CP68" s="664" t="s">
        <v>1</v>
      </c>
      <c r="CQ68" s="2986" t="str">
        <f>IF(CS68="","","スピーカ S5")</f>
        <v/>
      </c>
      <c r="CR68" s="3476"/>
      <c r="CS68" s="683" t="str">
        <f>IF(AW71=0,"",AW71)</f>
        <v/>
      </c>
      <c r="CT68" s="3483" t="str">
        <f>IF(CV68="","","アッテネータ 3W")</f>
        <v>アッテネータ 3W</v>
      </c>
      <c r="CU68" s="3484"/>
      <c r="CV68" s="88">
        <f>BI71</f>
        <v>2</v>
      </c>
      <c r="CX68" s="8"/>
      <c r="CY68" s="197">
        <f t="shared" ref="CY68:CY77" si="46">IF(DC68&lt;&gt;"",CY67+1,CY67)</f>
        <v>7</v>
      </c>
      <c r="CZ68" s="197" t="str">
        <f t="shared" si="44"/>
        <v/>
      </c>
      <c r="DA68" s="10" t="str">
        <f>H74</f>
        <v>HP 1.2mm-3C</v>
      </c>
      <c r="DB68" s="8"/>
      <c r="DC68" s="249" t="str">
        <f>IF(COUNTIF(DA$10:$DA65,DA68)&gt;0,"",DA68)</f>
        <v/>
      </c>
      <c r="DD68" s="515">
        <f>AF74</f>
        <v>321</v>
      </c>
      <c r="DE68" s="514">
        <f>SUMIF($DA$13:$DA$199,DC68,$DD$13:$DD$199)</f>
        <v>0</v>
      </c>
      <c r="DG68" s="8"/>
      <c r="DH68" s="197">
        <f t="shared" ref="DH68:DH77" si="47">IF(DL68&lt;&gt;"",DH67+1,DH67)</f>
        <v>5</v>
      </c>
      <c r="DI68" s="197" t="str">
        <f t="shared" si="45"/>
        <v/>
      </c>
      <c r="DJ68" s="10" t="str">
        <f>AT74</f>
        <v>C-19mm</v>
      </c>
      <c r="DK68" s="8"/>
      <c r="DL68" s="249" t="str">
        <f>IF(COUNTIF($DA$10:DJ65,DJ68)&gt;0,"",DJ68)</f>
        <v/>
      </c>
      <c r="DM68" s="515">
        <f>BL74</f>
        <v>147</v>
      </c>
      <c r="DN68" s="514">
        <f>SUMIF($DJ$13:$DJ$199,DL68,$DM$13:$DM$199)</f>
        <v>0</v>
      </c>
      <c r="DP68" s="88">
        <v>5</v>
      </c>
      <c r="DQ68" s="45"/>
      <c r="DR68" s="45"/>
      <c r="DS68" s="45"/>
      <c r="DT68" s="45"/>
      <c r="DU68" s="45"/>
      <c r="DV68" s="45"/>
      <c r="DW68" s="45"/>
    </row>
    <row r="69" spans="2:127" ht="11.25" customHeight="1" thickBot="1">
      <c r="B69" s="23"/>
      <c r="C69" s="2396"/>
      <c r="D69" s="2396"/>
      <c r="E69" s="2396"/>
      <c r="F69" s="2397" t="s">
        <v>235</v>
      </c>
      <c r="G69" s="2397"/>
      <c r="H69" s="2397"/>
      <c r="I69" s="2397"/>
      <c r="J69" s="2397" t="s">
        <v>235</v>
      </c>
      <c r="K69" s="2397"/>
      <c r="L69" s="2397"/>
      <c r="M69" s="2397"/>
      <c r="N69" s="2397" t="s">
        <v>128</v>
      </c>
      <c r="O69" s="2397"/>
      <c r="P69" s="2397"/>
      <c r="Q69" s="2397"/>
      <c r="R69" s="2397"/>
      <c r="S69" s="2397" t="s">
        <v>128</v>
      </c>
      <c r="T69" s="2397"/>
      <c r="U69" s="2397"/>
      <c r="V69" s="2397"/>
      <c r="W69" s="2397" t="s">
        <v>128</v>
      </c>
      <c r="X69" s="2397"/>
      <c r="Y69" s="2397"/>
      <c r="Z69" s="2397"/>
      <c r="AA69" s="2397" t="s">
        <v>111</v>
      </c>
      <c r="AB69" s="2397"/>
      <c r="AC69" s="2397"/>
      <c r="AD69" s="2397" t="s">
        <v>110</v>
      </c>
      <c r="AE69" s="2397"/>
      <c r="AF69" s="2397"/>
      <c r="AG69" s="3398" t="str">
        <f>IF(AN69="","","共部屋面積")</f>
        <v>共部屋面積</v>
      </c>
      <c r="AH69" s="2382"/>
      <c r="AI69" s="2382"/>
      <c r="AJ69" s="2382"/>
      <c r="AK69" s="2382"/>
      <c r="AL69" s="2382"/>
      <c r="AM69" s="3392"/>
      <c r="AN69" s="3368">
        <f>IF(OR($B$2=0,C72=""),"",W72/AD72)</f>
        <v>38.400000000000006</v>
      </c>
      <c r="AO69" s="3369"/>
      <c r="AP69" s="3369"/>
      <c r="AQ69" s="3369"/>
      <c r="AR69" s="3370"/>
      <c r="AS69" s="3419" t="s">
        <v>895</v>
      </c>
      <c r="AT69" s="3361"/>
      <c r="AU69" s="3360" t="s">
        <v>894</v>
      </c>
      <c r="AV69" s="3361"/>
      <c r="AW69" s="3360" t="s">
        <v>893</v>
      </c>
      <c r="AX69" s="3361"/>
      <c r="AY69" s="3360" t="s">
        <v>892</v>
      </c>
      <c r="AZ69" s="3361"/>
      <c r="BA69" s="3360" t="s">
        <v>891</v>
      </c>
      <c r="BB69" s="3361"/>
      <c r="BC69" s="3360" t="s">
        <v>890</v>
      </c>
      <c r="BD69" s="3361"/>
      <c r="BE69" s="3360" t="s">
        <v>889</v>
      </c>
      <c r="BF69" s="3361"/>
      <c r="BG69" s="3432" t="s">
        <v>888</v>
      </c>
      <c r="BH69" s="3433"/>
      <c r="BI69" s="3360"/>
      <c r="BJ69" s="3361"/>
      <c r="BK69" s="3360"/>
      <c r="BL69" s="3361"/>
      <c r="BM69" s="3391" t="s">
        <v>887</v>
      </c>
      <c r="BN69" s="3391"/>
      <c r="BO69" s="3391"/>
      <c r="BP69" s="3391" t="s">
        <v>887</v>
      </c>
      <c r="BQ69" s="3391"/>
      <c r="BR69" s="3391"/>
      <c r="BS69" s="3432" t="s">
        <v>744</v>
      </c>
      <c r="BT69" s="3433"/>
      <c r="BU69" s="19"/>
      <c r="BW69" s="102"/>
      <c r="BX69" s="88">
        <f>IF(OR(J70="( 10)",J70="(12)イ",LEFT(J70,4)="(13)"),1,0)</f>
        <v>0</v>
      </c>
      <c r="BY69" s="88" t="str">
        <f>IF(OR(J70="(1) ロ",J70="(2) ロ",J70="(2) ニ",J70="(5) イ",J70="(6) ハ",J70="(6) ニ",J70="( 7 )",J70="( 15)"),"要","")</f>
        <v/>
      </c>
      <c r="CC69" s="46">
        <v>7</v>
      </c>
      <c r="CD69" s="98">
        <f>非誘!BW54</f>
        <v>12</v>
      </c>
      <c r="CE69" s="98">
        <f>非誘!BX54</f>
        <v>24</v>
      </c>
      <c r="CF69" s="106" t="s">
        <v>858</v>
      </c>
      <c r="CG69" s="185">
        <f>INT((F72-$Y$10/1000-0.25)*BY71)</f>
        <v>8</v>
      </c>
      <c r="CH69" s="184">
        <f>1+INT((F72-$Y$7/1000-0.25+$AN$8/1000)*CS74)</f>
        <v>1</v>
      </c>
      <c r="CI69" s="184">
        <f>INT((F72-$Y$8/1000-0.25+$AN$9/1000)*SUM(BI71:BL71))</f>
        <v>8</v>
      </c>
      <c r="CJ69" s="185">
        <f>IF($AX$8=0,"",2*INT(CJ67*($AX$8-250)/1000))</f>
        <v>76</v>
      </c>
      <c r="CK69" s="184"/>
      <c r="CL69" s="184" t="str">
        <f>IF(BP71="","",INT((F72-$Y$9/1000-0.25+AN63/1000)*BP71))</f>
        <v/>
      </c>
      <c r="CM69" s="184" t="str">
        <f>IF(BS71="","",INT((F72-$Y$9/1000-0.25+AN63/1000)*BS71))</f>
        <v/>
      </c>
      <c r="CN69" s="682">
        <f>IF(AN67="不","",(SUM(CG68:CM68)+SUM(CG69:CM69))*W72/N72)</f>
        <v>96.300000000000011</v>
      </c>
      <c r="CO69" s="682">
        <f>IF(AN67="不","",(SUM(CG71:CM71)+SUM(CG72:CM72))*W72/N72)</f>
        <v>44.1</v>
      </c>
      <c r="CP69" s="670" t="s">
        <v>877</v>
      </c>
      <c r="CQ69" s="15"/>
      <c r="CR69" s="106" t="s">
        <v>868</v>
      </c>
      <c r="CS69" s="8">
        <f>SUM(CS66:CS68)</f>
        <v>9</v>
      </c>
      <c r="CT69" s="3485" t="str">
        <f>IF(CV69="","","アッテネータ 6W")</f>
        <v>アッテネータ 6W</v>
      </c>
      <c r="CU69" s="3484"/>
      <c r="CV69" s="88">
        <f>BK71</f>
        <v>1</v>
      </c>
      <c r="CX69" s="8"/>
      <c r="CY69" s="197">
        <f t="shared" si="46"/>
        <v>7</v>
      </c>
      <c r="CZ69" s="197" t="str">
        <f t="shared" si="44"/>
        <v/>
      </c>
      <c r="DA69" s="10"/>
      <c r="DB69" s="8"/>
      <c r="DC69" s="249"/>
      <c r="DD69" s="515"/>
      <c r="DE69" s="514"/>
      <c r="DG69" s="8"/>
      <c r="DH69" s="197">
        <f t="shared" si="47"/>
        <v>5</v>
      </c>
      <c r="DI69" s="197" t="str">
        <f t="shared" si="45"/>
        <v/>
      </c>
      <c r="DJ69" s="10"/>
      <c r="DK69" s="8"/>
      <c r="DL69" s="249"/>
      <c r="DM69" s="515"/>
      <c r="DN69" s="514"/>
      <c r="DP69" s="8"/>
      <c r="DQ69" s="197">
        <f>IF(DU69&lt;&gt;"",DQ67+1,DQ67)</f>
        <v>11</v>
      </c>
      <c r="DR69" s="197" t="str">
        <f t="shared" ref="DR69:DR81" si="48">IF(AND(DQ69&lt;&gt;"",DU69&lt;&gt;""),DQ69,"")</f>
        <v/>
      </c>
      <c r="DS69" s="10" t="str">
        <f>CQ48</f>
        <v>スピーカ 3W S1</v>
      </c>
      <c r="DT69" s="8"/>
      <c r="DU69" s="249" t="str">
        <f>IF(COUNTIF($DS$10:DS68,DS69)&gt;0,"",DS69)</f>
        <v/>
      </c>
      <c r="DV69" s="198">
        <f>CS48</f>
        <v>18</v>
      </c>
      <c r="DW69" s="514">
        <f t="shared" ref="DW69:DW81" si="49">SUMIF($DS$13:$DS$344,DU69,$DV$13:$DV$344)</f>
        <v>5</v>
      </c>
    </row>
    <row r="70" spans="2:127" ht="11.25" customHeight="1" thickBot="1">
      <c r="B70" s="23"/>
      <c r="C70" s="2299" t="s">
        <v>112</v>
      </c>
      <c r="D70" s="2299"/>
      <c r="E70" s="2299"/>
      <c r="F70" s="2299"/>
      <c r="G70" s="2299"/>
      <c r="H70" s="2299"/>
      <c r="I70" s="3399"/>
      <c r="J70" s="3400" t="str">
        <f>非誘!J52</f>
        <v>( 4 )</v>
      </c>
      <c r="K70" s="3401"/>
      <c r="L70" s="3401"/>
      <c r="M70" s="3402"/>
      <c r="N70" s="3403" t="str">
        <f>非誘!M52</f>
        <v>百貨店等</v>
      </c>
      <c r="O70" s="3404"/>
      <c r="P70" s="3404"/>
      <c r="Q70" s="3404"/>
      <c r="R70" s="3404"/>
      <c r="S70" s="3404"/>
      <c r="T70" s="3404"/>
      <c r="U70" s="3404"/>
      <c r="V70" s="3404"/>
      <c r="W70" s="3404"/>
      <c r="X70" s="3404"/>
      <c r="Y70" s="3404"/>
      <c r="Z70" s="3405"/>
      <c r="AA70" s="3406" t="s">
        <v>926</v>
      </c>
      <c r="AB70" s="2301"/>
      <c r="AC70" s="2301"/>
      <c r="AD70" s="2301"/>
      <c r="AE70" s="2301"/>
      <c r="AF70" s="2302"/>
      <c r="AG70" s="3393" t="str">
        <f>IF($B$2=0,"",IF(AN70="","天井(C 管)",AN70))</f>
        <v>天井(C 管)</v>
      </c>
      <c r="AH70" s="2368"/>
      <c r="AI70" s="2368"/>
      <c r="AJ70" s="2368"/>
      <c r="AK70" s="2368"/>
      <c r="AL70" s="3394"/>
      <c r="AM70" s="668" t="s">
        <v>925</v>
      </c>
      <c r="AN70" s="3395"/>
      <c r="AO70" s="3396"/>
      <c r="AP70" s="3396"/>
      <c r="AQ70" s="3396"/>
      <c r="AR70" s="3397"/>
      <c r="AS70" s="3434" t="s">
        <v>881</v>
      </c>
      <c r="AT70" s="3435"/>
      <c r="AU70" s="3436" t="s">
        <v>880</v>
      </c>
      <c r="AV70" s="3437"/>
      <c r="AW70" s="3432"/>
      <c r="AX70" s="3433"/>
      <c r="AY70" s="3432" t="s">
        <v>881</v>
      </c>
      <c r="AZ70" s="3433"/>
      <c r="BA70" s="3436" t="s">
        <v>884</v>
      </c>
      <c r="BB70" s="3437"/>
      <c r="BC70" s="3436" t="s">
        <v>883</v>
      </c>
      <c r="BD70" s="3438"/>
      <c r="BE70" s="3438"/>
      <c r="BF70" s="3437"/>
      <c r="BG70" s="3420" t="s">
        <v>882</v>
      </c>
      <c r="BH70" s="3421"/>
      <c r="BI70" s="3436" t="s">
        <v>881</v>
      </c>
      <c r="BJ70" s="3437"/>
      <c r="BK70" s="3436" t="s">
        <v>880</v>
      </c>
      <c r="BL70" s="3437"/>
      <c r="BM70" s="3407" t="str">
        <f>IF(BM71="","",$BW$12)</f>
        <v/>
      </c>
      <c r="BN70" s="3407"/>
      <c r="BO70" s="3407"/>
      <c r="BP70" s="3407" t="str">
        <f>IF(BP71="","",30)</f>
        <v/>
      </c>
      <c r="BQ70" s="3407"/>
      <c r="BR70" s="3407"/>
      <c r="BS70" s="2384" t="s">
        <v>879</v>
      </c>
      <c r="BT70" s="2386"/>
      <c r="BU70" s="19"/>
      <c r="BW70" s="102"/>
      <c r="CB70" s="90" t="s">
        <v>992</v>
      </c>
      <c r="CC70" s="479" t="str">
        <f>AD71</f>
        <v>⑦</v>
      </c>
      <c r="CD70" s="263">
        <f>IF(C72="","",IF(CC70="①",CD69+CE69+3,IF(CC70="②",CD69*5/8+CE69+3,IF(CC70="③",CD69/2+CE69+3,IF(CC70="④",CD69+CE69*5/8+3,IF(CC70="⑤",(CD69+CE69)*5/8+3,IF(CC70="⑥",CD69/2+CE69*5/8+3,IF(CC70="⑦",CD69+CE69/2+3,IF(CC70="⑧",CD69*5/8+CE69/2+3,IF(CC70="⑨",(CD69+CE69)/2+3))))))))))</f>
        <v>27</v>
      </c>
      <c r="CE70" s="8"/>
      <c r="CF70" s="106"/>
      <c r="CG70" s="681">
        <f>IF(AG70="天井ケーブル",0,1)</f>
        <v>1</v>
      </c>
      <c r="CH70" s="394"/>
      <c r="CI70" s="394"/>
      <c r="CJ70" s="59"/>
      <c r="CK70" s="394"/>
      <c r="CL70" s="394"/>
      <c r="CM70" s="394"/>
      <c r="CN70" s="62" t="s">
        <v>1</v>
      </c>
      <c r="CO70" s="62" t="s">
        <v>877</v>
      </c>
      <c r="CP70" s="38"/>
      <c r="CQ70" s="2986" t="str">
        <f>IF(CS70="","","スピーカ 6W S2")</f>
        <v>スピーカ 6W S2</v>
      </c>
      <c r="CR70" s="3476"/>
      <c r="CS70" s="88">
        <f>IF(AU71=0,"",AU71)</f>
        <v>1</v>
      </c>
      <c r="CT70" s="3483" t="str">
        <f>IF(CV70="","","主増幅器")</f>
        <v/>
      </c>
      <c r="CU70" s="3484"/>
      <c r="CV70" s="88" t="str">
        <f>BM71</f>
        <v/>
      </c>
      <c r="CX70" s="8"/>
      <c r="CY70" s="197">
        <f t="shared" si="46"/>
        <v>7</v>
      </c>
      <c r="CZ70" s="197" t="str">
        <f t="shared" si="44"/>
        <v/>
      </c>
      <c r="DA70" s="10"/>
      <c r="DB70" s="8"/>
      <c r="DC70" s="249"/>
      <c r="DD70" s="515"/>
      <c r="DE70" s="514"/>
      <c r="DG70" s="8"/>
      <c r="DH70" s="197">
        <f t="shared" si="47"/>
        <v>5</v>
      </c>
      <c r="DI70" s="197" t="str">
        <f t="shared" si="45"/>
        <v/>
      </c>
      <c r="DJ70" s="10"/>
      <c r="DK70" s="8"/>
      <c r="DL70" s="249"/>
      <c r="DM70" s="515"/>
      <c r="DN70" s="514"/>
      <c r="DP70" s="8"/>
      <c r="DQ70" s="197">
        <f t="shared" ref="DQ70:DQ81" si="50">IF(DU70&lt;&gt;"",DQ69+1,DQ69)</f>
        <v>11</v>
      </c>
      <c r="DR70" s="197" t="str">
        <f t="shared" si="48"/>
        <v/>
      </c>
      <c r="DS70" s="10" t="str">
        <f>CQ49</f>
        <v>スピーカ 3W S3</v>
      </c>
      <c r="DT70" s="8"/>
      <c r="DU70" s="249" t="str">
        <f>IF(COUNTIF($DS$10:DS69,DS70)&gt;0,"",DS70)</f>
        <v/>
      </c>
      <c r="DV70" s="198">
        <f>CS49</f>
        <v>14</v>
      </c>
      <c r="DW70" s="514">
        <f t="shared" si="49"/>
        <v>5</v>
      </c>
    </row>
    <row r="71" spans="2:127" ht="11.25" customHeight="1" thickBot="1">
      <c r="B71" s="23"/>
      <c r="C71" s="3409" t="s">
        <v>991</v>
      </c>
      <c r="D71" s="3410"/>
      <c r="E71" s="3410"/>
      <c r="F71" s="3410"/>
      <c r="G71" s="3410"/>
      <c r="H71" s="3411"/>
      <c r="I71" s="3430" t="str">
        <f>非誘!AA52</f>
        <v>A</v>
      </c>
      <c r="J71" s="3430"/>
      <c r="K71" s="3430"/>
      <c r="L71" s="2395" t="s">
        <v>214</v>
      </c>
      <c r="M71" s="2395"/>
      <c r="N71" s="2395"/>
      <c r="O71" s="2395"/>
      <c r="P71" s="2395"/>
      <c r="Q71" s="2395"/>
      <c r="R71" s="2395"/>
      <c r="S71" s="3379">
        <f>非誘!J53</f>
        <v>0.5</v>
      </c>
      <c r="T71" s="3380"/>
      <c r="U71" s="3380"/>
      <c r="V71" s="3381"/>
      <c r="W71" s="3399" t="s">
        <v>875</v>
      </c>
      <c r="X71" s="3412"/>
      <c r="Y71" s="3412"/>
      <c r="Z71" s="3412"/>
      <c r="AA71" s="2654"/>
      <c r="AB71" s="2654"/>
      <c r="AC71" s="2655"/>
      <c r="AD71" s="3388" t="str">
        <f>非誘!V53</f>
        <v>⑦</v>
      </c>
      <c r="AE71" s="3389"/>
      <c r="AF71" s="3390"/>
      <c r="AG71" s="3391" t="s">
        <v>874</v>
      </c>
      <c r="AH71" s="3391"/>
      <c r="AI71" s="3391"/>
      <c r="AJ71" s="3391"/>
      <c r="AK71" s="3391"/>
      <c r="AL71" s="2990" t="str">
        <f>IF(AP71&lt;&gt;"",AP71,IF(C72=$BG$10,C72,""))</f>
        <v/>
      </c>
      <c r="AM71" s="2990"/>
      <c r="AN71" s="2990"/>
      <c r="AO71" s="668" t="s">
        <v>951</v>
      </c>
      <c r="AP71" s="3325"/>
      <c r="AQ71" s="3326"/>
      <c r="AR71" s="3327"/>
      <c r="AS71" s="3418">
        <f>IF(CE72=0,"",IF(AS72&lt;&gt;"",AS72,IF(BE71&lt;&gt;"",CN73,SUM(CN71:CO71))))</f>
        <v>5</v>
      </c>
      <c r="AT71" s="3375"/>
      <c r="AU71" s="3418">
        <f>IF(CE72=0,"",IF(AU72&lt;&gt;"",AU72,CN72))</f>
        <v>1</v>
      </c>
      <c r="AV71" s="3375"/>
      <c r="AW71" s="3418"/>
      <c r="AX71" s="3375"/>
      <c r="AY71" s="3418">
        <f>IF(AA72="","",IF(AY72&lt;&gt;"",AY72,CO72))</f>
        <v>4</v>
      </c>
      <c r="AZ71" s="3375"/>
      <c r="BA71" s="3418"/>
      <c r="BB71" s="3375"/>
      <c r="BC71" s="3418" t="str">
        <f>IF(OR(AL72="不",,BP71=""),"",IF(BC72&lt;&gt;"",BC72,BP71*2))</f>
        <v/>
      </c>
      <c r="BD71" s="3375"/>
      <c r="BE71" s="3418" t="str">
        <f>IF(BE72&lt;&gt;"",BE72,IF(BX69=0,"",CN73))</f>
        <v/>
      </c>
      <c r="BF71" s="3375"/>
      <c r="BG71" s="3418" t="str">
        <f>IF(AE67="不","",IF(BG72&lt;&gt;"",BG72,BP71))</f>
        <v/>
      </c>
      <c r="BH71" s="3375"/>
      <c r="BI71" s="3418">
        <f>IF(CE72=0,"",CN74)</f>
        <v>2</v>
      </c>
      <c r="BJ71" s="3375"/>
      <c r="BK71" s="3374">
        <f>IF(CE72=0,"",CO74)</f>
        <v>1</v>
      </c>
      <c r="BL71" s="3375"/>
      <c r="BM71" s="3376" t="str">
        <f>IF(CE72=0,"",IF(BM72&lt;&gt;"",BM72,IF(C72=AL71,1,"")))</f>
        <v/>
      </c>
      <c r="BN71" s="3377"/>
      <c r="BO71" s="3378"/>
      <c r="BP71" s="3376" t="str">
        <f>IF(CE72=0,"",IF(OR(AE67="不",AA72="",S72=""),"",IF(BP72&lt;&gt;"",BP72,IF(AL72="要",1+INT(S72/1000),""))))</f>
        <v/>
      </c>
      <c r="BQ71" s="3377"/>
      <c r="BR71" s="3378"/>
      <c r="BS71" s="3376" t="str">
        <f>IF(BS72&lt;&gt;"",BS72,BP71)</f>
        <v/>
      </c>
      <c r="BT71" s="3378"/>
      <c r="BU71" s="19"/>
      <c r="BW71" s="680">
        <f>IF(AND(CS72=0,CS73=""),CS69*3,CS69*3+CS72*6)</f>
        <v>33</v>
      </c>
      <c r="BX71" s="102">
        <f>BY72</f>
        <v>26</v>
      </c>
      <c r="BY71" s="522">
        <f>1+INT(SUM(S72:Z72)/400)</f>
        <v>3</v>
      </c>
      <c r="BZ71" s="100" t="s">
        <v>873</v>
      </c>
      <c r="CB71" s="678">
        <f>IF(CE72="=",MID(BZ72,10,3),10*(1+INT(BY71*3/10)))</f>
        <v>10</v>
      </c>
      <c r="CC71" s="10" t="s">
        <v>990</v>
      </c>
      <c r="CF71" s="106" t="s">
        <v>857</v>
      </c>
      <c r="CG71" s="136">
        <f>IF(CG70=1,INT(CD70*BY71)+BY71*10,"")</f>
        <v>111</v>
      </c>
      <c r="CH71" s="136">
        <f>IF(CG70=1,INT(CD70*CS74),"")</f>
        <v>0</v>
      </c>
      <c r="CI71" s="136">
        <f>8*SUM(BI71:BL71)</f>
        <v>24</v>
      </c>
      <c r="CJ71" s="134" t="str">
        <f>IF($AX$8=0,INT(10.7*CD69*CE69/($BF$8/1000)^2)*1.5,"")</f>
        <v/>
      </c>
      <c r="CK71" s="136">
        <v>0</v>
      </c>
      <c r="CL71" s="136" t="str">
        <f>IF(BP71="","",10*BP71)</f>
        <v/>
      </c>
      <c r="CM71" s="136" t="str">
        <f>IF(BS71="","",10*BS71)</f>
        <v/>
      </c>
      <c r="CN71" s="665">
        <f>IF(AA72="",0,IF(AE67="不","",INT(AA72/2)))</f>
        <v>1</v>
      </c>
      <c r="CO71" s="665">
        <f>IF(AN67="不","",INT(AD72/2))</f>
        <v>4</v>
      </c>
      <c r="CP71" s="670" t="s">
        <v>989</v>
      </c>
      <c r="CQ71" s="2986" t="str">
        <f>IF(CS71="","","スピーカ 5W S4")</f>
        <v/>
      </c>
      <c r="CR71" s="3476"/>
      <c r="CS71" s="88" t="str">
        <f>IF(BA71=0,"",BA71)</f>
        <v/>
      </c>
      <c r="CT71" s="3483" t="str">
        <f>IF(CV71="","","副増幅器 30W")</f>
        <v/>
      </c>
      <c r="CU71" s="3484"/>
      <c r="CV71" s="88" t="str">
        <f>BP71</f>
        <v/>
      </c>
      <c r="CX71" s="8"/>
      <c r="CY71" s="197">
        <f t="shared" si="46"/>
        <v>7</v>
      </c>
      <c r="CZ71" s="197" t="str">
        <f t="shared" si="44"/>
        <v/>
      </c>
      <c r="DA71" s="10"/>
      <c r="DB71" s="8"/>
      <c r="DC71" s="249"/>
      <c r="DD71" s="515"/>
      <c r="DE71" s="514"/>
      <c r="DG71" s="8"/>
      <c r="DH71" s="197">
        <f t="shared" si="47"/>
        <v>5</v>
      </c>
      <c r="DI71" s="197" t="str">
        <f t="shared" si="45"/>
        <v/>
      </c>
      <c r="DJ71" s="10"/>
      <c r="DK71" s="8"/>
      <c r="DL71" s="249"/>
      <c r="DM71" s="515"/>
      <c r="DN71" s="514"/>
      <c r="DP71" s="8"/>
      <c r="DQ71" s="197">
        <f t="shared" si="50"/>
        <v>11</v>
      </c>
      <c r="DR71" s="197" t="str">
        <f t="shared" si="48"/>
        <v/>
      </c>
      <c r="DS71" s="10" t="str">
        <f>CQ50</f>
        <v/>
      </c>
      <c r="DT71" s="8"/>
      <c r="DU71" s="249" t="str">
        <f>IF(COUNTIF($DS$10:DS70,DS71)&gt;0,"",DS71)</f>
        <v/>
      </c>
      <c r="DV71" s="198" t="str">
        <f>CS50</f>
        <v/>
      </c>
      <c r="DW71" s="514">
        <f t="shared" si="49"/>
        <v>5</v>
      </c>
    </row>
    <row r="72" spans="2:127" ht="11.25" customHeight="1" thickBot="1">
      <c r="B72" s="23"/>
      <c r="C72" s="3429" t="str">
        <f>IF($B$2=0,"",非誘!C54)</f>
        <v xml:space="preserve">  5F</v>
      </c>
      <c r="D72" s="3407"/>
      <c r="E72" s="3407"/>
      <c r="F72" s="3430">
        <f>IF($B$2=0,"",非誘!F54)</f>
        <v>4</v>
      </c>
      <c r="G72" s="3430"/>
      <c r="H72" s="3430"/>
      <c r="I72" s="3430"/>
      <c r="J72" s="3430">
        <f>IF($B$2=0,"",非誘!J54)</f>
        <v>3</v>
      </c>
      <c r="K72" s="3430"/>
      <c r="L72" s="3430"/>
      <c r="M72" s="3430"/>
      <c r="N72" s="3407">
        <f>IF($B$2=0,"",非誘!N54)</f>
        <v>1152</v>
      </c>
      <c r="O72" s="3407"/>
      <c r="P72" s="3407"/>
      <c r="Q72" s="3407"/>
      <c r="R72" s="3407"/>
      <c r="S72" s="3431">
        <f>IF($B$2=0,"",非誘!S54)</f>
        <v>806.4</v>
      </c>
      <c r="T72" s="3431"/>
      <c r="U72" s="3431"/>
      <c r="V72" s="3431"/>
      <c r="W72" s="3431">
        <f>IF($B$2=0,"",非誘!W54)</f>
        <v>345.6</v>
      </c>
      <c r="X72" s="3431"/>
      <c r="Y72" s="3431"/>
      <c r="Z72" s="3431"/>
      <c r="AA72" s="3407">
        <f>IF($B$2=0,"",非誘!AA54)</f>
        <v>3</v>
      </c>
      <c r="AB72" s="3407"/>
      <c r="AC72" s="3407"/>
      <c r="AD72" s="3407">
        <f>IF($B$2=0,"",非誘!AD54)</f>
        <v>9</v>
      </c>
      <c r="AE72" s="3407"/>
      <c r="AF72" s="3407"/>
      <c r="AG72" s="3391" t="s">
        <v>988</v>
      </c>
      <c r="AH72" s="3391"/>
      <c r="AI72" s="3391"/>
      <c r="AJ72" s="3391"/>
      <c r="AK72" s="3391"/>
      <c r="AL72" s="2990" t="str">
        <f>IF(AP72&lt;&gt;"",AP72,IF($BY$9="要","要",""))</f>
        <v/>
      </c>
      <c r="AM72" s="2990"/>
      <c r="AN72" s="2990"/>
      <c r="AO72" s="668" t="s">
        <v>951</v>
      </c>
      <c r="AP72" s="3408"/>
      <c r="AQ72" s="3408"/>
      <c r="AR72" s="3408"/>
      <c r="AS72" s="2551"/>
      <c r="AT72" s="3414"/>
      <c r="AU72" s="2551"/>
      <c r="AV72" s="3414"/>
      <c r="AW72" s="2551"/>
      <c r="AX72" s="3414"/>
      <c r="AY72" s="2551"/>
      <c r="AZ72" s="3414"/>
      <c r="BA72" s="2551"/>
      <c r="BB72" s="3414"/>
      <c r="BC72" s="2551"/>
      <c r="BD72" s="3414"/>
      <c r="BE72" s="2551"/>
      <c r="BF72" s="3414"/>
      <c r="BG72" s="2551"/>
      <c r="BH72" s="3414"/>
      <c r="BI72" s="2551"/>
      <c r="BJ72" s="3414"/>
      <c r="BK72" s="2551"/>
      <c r="BL72" s="3414"/>
      <c r="BM72" s="2551"/>
      <c r="BN72" s="3428"/>
      <c r="BO72" s="3414"/>
      <c r="BP72" s="2551"/>
      <c r="BQ72" s="3428"/>
      <c r="BR72" s="3414"/>
      <c r="BS72" s="2551"/>
      <c r="BT72" s="3414"/>
      <c r="BU72" s="19"/>
      <c r="BY72" s="677">
        <f>IF(CE72=0,0,IF(CE72="=",BY71+BY63+BY84,IF(CE72="-",BY71+BY63,BY71+BY84)))</f>
        <v>26</v>
      </c>
      <c r="BZ72" s="3443" t="str">
        <f>IF(CE72=0,"",IF(BY72*3&lt;=20,"HP 1.2mm- 10Pr",IF(BY72*3&lt;=30,"HP 1.2mm- 15Pr",IF(BY72*3&lt;=40,"HP 1.2mm- 20Pr",IF(BY72*3&lt;=50,"HP 1.2mm- 25Pr",IF(BY72*3&lt;=60,"HP 1.2mm- 30Pr",IF(BY72*3&lt;=80,"HP 1.2mm- 40Pr",IF(BY72*3&lt;=100,"HP 1.2mm- 50Pr",IF(BY72*3&lt;=150,"HP 1.2mm- 75Pr", IF(BY72*3&lt;=200,"HP 1.2mm-100Pr",IF(BY72*3&lt;=400,"HP 1.2mm-200Pr","")))))))))))</f>
        <v>HP 1.2mm- 40Pr</v>
      </c>
      <c r="CA72" s="3444"/>
      <c r="CB72" s="3444"/>
      <c r="CC72" s="3445"/>
      <c r="CD72" s="673" t="str">
        <f>IF(LEFT($BG$10,2)=" B",-MID($BG$10,3,1),LEFT($BG$10,3))</f>
        <v xml:space="preserve">  1</v>
      </c>
      <c r="CE72" s="676" t="str">
        <f>IF(CD73=0,0,IF(CD72=CD73,"=",IF(CD72&gt;CD73,"-","+")))</f>
        <v>+</v>
      </c>
      <c r="CF72" s="106" t="s">
        <v>856</v>
      </c>
      <c r="CG72" s="136">
        <f>2*INT((F72-$Y$10/1000-0.25))</f>
        <v>4</v>
      </c>
      <c r="CH72" s="136">
        <f>1+INT((F72-$Y$7/1000-0.25)*CS74)</f>
        <v>1</v>
      </c>
      <c r="CI72" s="136">
        <f>INT((F72-$Y$8/1000-0.25)*SUM(BI71:BL71))</f>
        <v>7</v>
      </c>
      <c r="CJ72" s="675"/>
      <c r="CK72" s="136">
        <v>0</v>
      </c>
      <c r="CL72" s="136" t="str">
        <f>IF(BP71="","",INT((F72-$Y$9/1000-0.25)*BP71))</f>
        <v/>
      </c>
      <c r="CM72" s="136" t="str">
        <f>IF(BS71="","",INT((F72-$Y$9/1000-0.25)*BS71))</f>
        <v/>
      </c>
      <c r="CN72" s="665">
        <f>IF(AA72="",0,IF(AE67="不","",INT(AA72/2)))</f>
        <v>1</v>
      </c>
      <c r="CO72" s="665">
        <f>IF(AN67="不","",INT(AD72/2))</f>
        <v>4</v>
      </c>
      <c r="CP72" s="670" t="s">
        <v>987</v>
      </c>
      <c r="CQ72" s="15"/>
      <c r="CR72" s="106" t="s">
        <v>868</v>
      </c>
      <c r="CS72" s="8">
        <f>SUM(CS70:CS71)</f>
        <v>1</v>
      </c>
      <c r="CT72" s="3483" t="str">
        <f>IF(CV72="","","カットリレー")</f>
        <v/>
      </c>
      <c r="CU72" s="3484"/>
      <c r="CV72" s="88" t="str">
        <f>BS71</f>
        <v/>
      </c>
      <c r="CY72" s="197">
        <f t="shared" si="46"/>
        <v>7</v>
      </c>
      <c r="CZ72" s="197" t="str">
        <f t="shared" si="44"/>
        <v/>
      </c>
      <c r="DB72" s="24"/>
      <c r="DD72" s="516"/>
      <c r="DE72" s="516"/>
      <c r="DH72" s="197">
        <f t="shared" si="47"/>
        <v>5</v>
      </c>
      <c r="DI72" s="197" t="str">
        <f t="shared" si="45"/>
        <v/>
      </c>
      <c r="DK72" s="24"/>
      <c r="DM72" s="516"/>
      <c r="DN72" s="516"/>
      <c r="DP72" s="8"/>
      <c r="DQ72" s="197">
        <f t="shared" si="50"/>
        <v>11</v>
      </c>
      <c r="DR72" s="197" t="str">
        <f t="shared" si="48"/>
        <v/>
      </c>
      <c r="DS72" s="10" t="str">
        <f>CQ52</f>
        <v>スピーカ 6W S2</v>
      </c>
      <c r="DT72" s="8"/>
      <c r="DU72" s="249" t="str">
        <f>IF(COUNTIF($DS$10:DS71,DS72)&gt;0,"",DS72)</f>
        <v/>
      </c>
      <c r="DV72" s="198">
        <f>CS52</f>
        <v>4</v>
      </c>
      <c r="DW72" s="514">
        <f t="shared" si="49"/>
        <v>5</v>
      </c>
    </row>
    <row r="73" spans="2:127" ht="11.25" customHeight="1" thickBot="1">
      <c r="B73" s="23"/>
      <c r="C73" s="2300" t="s">
        <v>867</v>
      </c>
      <c r="D73" s="2301"/>
      <c r="E73" s="2301"/>
      <c r="F73" s="2301"/>
      <c r="G73" s="2302"/>
      <c r="H73" s="3422" t="str">
        <f>IF(CE72=0,"",IF(R73&lt;&gt;"",R73,BZ72))</f>
        <v>HP 1.2mm- 40Pr</v>
      </c>
      <c r="I73" s="3423"/>
      <c r="J73" s="3423"/>
      <c r="K73" s="3423"/>
      <c r="L73" s="3423"/>
      <c r="M73" s="3423"/>
      <c r="N73" s="3423"/>
      <c r="O73" s="3423"/>
      <c r="P73" s="3424"/>
      <c r="Q73" s="668" t="s">
        <v>951</v>
      </c>
      <c r="R73" s="3362"/>
      <c r="S73" s="3363"/>
      <c r="T73" s="3363"/>
      <c r="U73" s="3363"/>
      <c r="V73" s="3363"/>
      <c r="W73" s="3363"/>
      <c r="X73" s="3363"/>
      <c r="Y73" s="3363"/>
      <c r="Z73" s="3364"/>
      <c r="AA73" s="3345" t="s">
        <v>866</v>
      </c>
      <c r="AB73" s="3346"/>
      <c r="AC73" s="3346"/>
      <c r="AD73" s="3346"/>
      <c r="AE73" s="3347"/>
      <c r="AF73" s="3385">
        <f>IF(CE72=0,"",IF(AK73&lt;&gt;"",AK73,CG74+CI74))</f>
        <v>7</v>
      </c>
      <c r="AG73" s="3386"/>
      <c r="AH73" s="3386"/>
      <c r="AI73" s="3387"/>
      <c r="AJ73" s="669" t="s">
        <v>951</v>
      </c>
      <c r="AK73" s="3415"/>
      <c r="AL73" s="3416"/>
      <c r="AM73" s="3416"/>
      <c r="AN73" s="3417"/>
      <c r="AO73" s="2300" t="s">
        <v>865</v>
      </c>
      <c r="AP73" s="2301"/>
      <c r="AQ73" s="2301"/>
      <c r="AR73" s="2301"/>
      <c r="AS73" s="2302"/>
      <c r="AT73" s="3422" t="str">
        <f>IF(CE72=0,"",IF(BA73&lt;&gt;"",BA73,IF(MID(AG70,4,2)="C ","C-"&amp;CA73&amp;"mm",IF(MID(AG70,4,2)="PF","PF-D-"&amp;CB73&amp;"mm",IF(MID(AG70,4,2)="CD","CD-"&amp;CB73&amp;"mm",IF(MID(AG70,4,2)="G ","G-"&amp;CB73&amp;"mm",""))))))</f>
        <v>C-51mm</v>
      </c>
      <c r="AU73" s="3423"/>
      <c r="AV73" s="3423"/>
      <c r="AW73" s="3423"/>
      <c r="AX73" s="3423"/>
      <c r="AY73" s="3424"/>
      <c r="AZ73" s="668" t="s">
        <v>951</v>
      </c>
      <c r="BA73" s="3362"/>
      <c r="BB73" s="3363"/>
      <c r="BC73" s="3363"/>
      <c r="BD73" s="3363"/>
      <c r="BE73" s="3363"/>
      <c r="BF73" s="3364"/>
      <c r="BG73" s="3345" t="s">
        <v>864</v>
      </c>
      <c r="BH73" s="3346"/>
      <c r="BI73" s="3346"/>
      <c r="BJ73" s="3346"/>
      <c r="BK73" s="3347"/>
      <c r="BL73" s="3385">
        <f>IF(CE72=0,"",IF(CM74=0,"",IF(BQ73&lt;&gt;"",BQ73,CK74+CM74)))</f>
        <v>4</v>
      </c>
      <c r="BM73" s="3386"/>
      <c r="BN73" s="3386"/>
      <c r="BO73" s="3387"/>
      <c r="BP73" s="668" t="s">
        <v>951</v>
      </c>
      <c r="BQ73" s="3415"/>
      <c r="BR73" s="3416"/>
      <c r="BS73" s="3416"/>
      <c r="BT73" s="3417"/>
      <c r="BU73" s="19"/>
      <c r="BZ73" s="107" t="str">
        <f>IF(LEN(BZ72)=13,MID(BZ72,10,2),MID(BZ72,10,3))</f>
        <v xml:space="preserve"> 40</v>
      </c>
      <c r="CA73" s="674" t="str">
        <f>IF(OR(BZ73=" 10",BZ73=" 15"),"31",IF(OR(BZ73=" 20",BZ73=" 25",BZ73=" 30"),"39",IF(OR(BZ73=" 40",BZ73=" 50"),"51",IF(BZ73="100","63",IF(BZ73&lt;="200","75","")))))</f>
        <v>51</v>
      </c>
      <c r="CB73" s="674" t="str">
        <f>IF(OR(BZ73=" 10",BZ73=" 15"),"28",IF(OR(BZ73=" 20",BZ73=" 25",BZ73=" 30"),"36",IF(OR(BZ73=" 40",BZ73=" 50"),"42",IF(BZ73="100","54",IF(BZ73&lt;="200","70","")))))</f>
        <v>42</v>
      </c>
      <c r="CD73" s="673" t="str">
        <f>IF(C72="",0,IF(LEFT(C72,2)=" B",-MID(C72,3,1),LEFT(C72,3)))</f>
        <v xml:space="preserve">  5</v>
      </c>
      <c r="CF73" s="106"/>
      <c r="CG73" s="90" t="s">
        <v>986</v>
      </c>
      <c r="CH73" s="64"/>
      <c r="CI73" s="90" t="s">
        <v>986</v>
      </c>
      <c r="CJ73" s="38"/>
      <c r="CK73" s="90" t="s">
        <v>986</v>
      </c>
      <c r="CL73" s="64"/>
      <c r="CM73" s="90" t="s">
        <v>986</v>
      </c>
      <c r="CN73" s="672">
        <f>IF(S72="",0,IF(AE67="不","",INT(S72/150)))</f>
        <v>5</v>
      </c>
      <c r="CO73" s="671"/>
      <c r="CP73" s="670" t="s">
        <v>985</v>
      </c>
      <c r="CQ73" s="2986" t="str">
        <f>IF(CS73="","","プロセニアム・スピーカ 20W")</f>
        <v/>
      </c>
      <c r="CR73" s="3476"/>
      <c r="CS73" s="88" t="str">
        <f>IF(BC71=0,"",BC71)</f>
        <v/>
      </c>
      <c r="CT73" s="9"/>
      <c r="CU73" s="46"/>
      <c r="CY73" s="197">
        <f t="shared" si="46"/>
        <v>7</v>
      </c>
      <c r="CZ73" s="197" t="str">
        <f t="shared" si="44"/>
        <v/>
      </c>
      <c r="DB73" s="24"/>
      <c r="DD73" s="516"/>
      <c r="DE73" s="516"/>
      <c r="DH73" s="197">
        <f t="shared" si="47"/>
        <v>5</v>
      </c>
      <c r="DI73" s="197" t="str">
        <f t="shared" si="45"/>
        <v/>
      </c>
      <c r="DK73" s="24"/>
      <c r="DM73" s="516"/>
      <c r="DN73" s="516"/>
      <c r="DP73" s="8"/>
      <c r="DQ73" s="197">
        <f t="shared" si="50"/>
        <v>11</v>
      </c>
      <c r="DR73" s="197" t="str">
        <f t="shared" si="48"/>
        <v/>
      </c>
      <c r="DS73" s="10" t="str">
        <f>CQ53</f>
        <v/>
      </c>
      <c r="DT73" s="8"/>
      <c r="DU73" s="249" t="str">
        <f>IF(COUNTIF($DS$10:DS72,DS73)&gt;0,"",DS73)</f>
        <v/>
      </c>
      <c r="DV73" s="198" t="str">
        <f>CS53</f>
        <v/>
      </c>
      <c r="DW73" s="514">
        <f t="shared" si="49"/>
        <v>5</v>
      </c>
    </row>
    <row r="74" spans="2:127" ht="11.25" customHeight="1" thickBot="1">
      <c r="B74" s="23"/>
      <c r="C74" s="2300" t="s">
        <v>861</v>
      </c>
      <c r="D74" s="2301"/>
      <c r="E74" s="2301"/>
      <c r="F74" s="2301"/>
      <c r="G74" s="2302"/>
      <c r="H74" s="3422" t="str">
        <f>IF(CE72=0,"",IF(R74&lt;&gt;"",R74,"HP 1.2mm-3C"))</f>
        <v>HP 1.2mm-3C</v>
      </c>
      <c r="I74" s="3423"/>
      <c r="J74" s="3423"/>
      <c r="K74" s="3423"/>
      <c r="L74" s="3423"/>
      <c r="M74" s="3423"/>
      <c r="N74" s="3423"/>
      <c r="O74" s="3423"/>
      <c r="P74" s="3424"/>
      <c r="Q74" s="668" t="s">
        <v>951</v>
      </c>
      <c r="R74" s="3362"/>
      <c r="S74" s="3363"/>
      <c r="T74" s="3363"/>
      <c r="U74" s="3363"/>
      <c r="V74" s="3363"/>
      <c r="W74" s="3363"/>
      <c r="X74" s="3363"/>
      <c r="Y74" s="3363"/>
      <c r="Z74" s="3364"/>
      <c r="AA74" s="3348" t="s">
        <v>984</v>
      </c>
      <c r="AB74" s="3349"/>
      <c r="AC74" s="3349"/>
      <c r="AD74" s="3349"/>
      <c r="AE74" s="3350"/>
      <c r="AF74" s="3385">
        <f>IF(CE72=0,"",IF(AK74&lt;&gt;"",AK74,SUM(CN68:CN69)))</f>
        <v>321</v>
      </c>
      <c r="AG74" s="3386"/>
      <c r="AH74" s="3386"/>
      <c r="AI74" s="3387"/>
      <c r="AJ74" s="669" t="s">
        <v>951</v>
      </c>
      <c r="AK74" s="3415"/>
      <c r="AL74" s="3416"/>
      <c r="AM74" s="3416"/>
      <c r="AN74" s="3417"/>
      <c r="AO74" s="2300" t="s">
        <v>860</v>
      </c>
      <c r="AP74" s="2301"/>
      <c r="AQ74" s="2301"/>
      <c r="AR74" s="2301"/>
      <c r="AS74" s="2302"/>
      <c r="AT74" s="3422" t="str">
        <f>IF(CE72=0,"",IF(BA74&lt;&gt;"",BA74,IF(MID(AG70,4,2)="C ","C-19mm",IF(MID(AG70,4,2)="PF","PF-D-16mm",IF(MID(AG70,4,2)="CD","CD-16mm",IF(MID(AG70,4,2)="G ","G-16mm","C-19mm"))))))</f>
        <v>C-19mm</v>
      </c>
      <c r="AU74" s="3423"/>
      <c r="AV74" s="3423"/>
      <c r="AW74" s="3423"/>
      <c r="AX74" s="3423"/>
      <c r="AY74" s="3424"/>
      <c r="AZ74" s="668" t="s">
        <v>951</v>
      </c>
      <c r="BA74" s="3362"/>
      <c r="BB74" s="3363"/>
      <c r="BC74" s="3363"/>
      <c r="BD74" s="3363"/>
      <c r="BE74" s="3363"/>
      <c r="BF74" s="3364"/>
      <c r="BG74" s="3348" t="s">
        <v>984</v>
      </c>
      <c r="BH74" s="3349"/>
      <c r="BI74" s="3349"/>
      <c r="BJ74" s="3349"/>
      <c r="BK74" s="3350"/>
      <c r="BL74" s="3385">
        <f>IF(CE72=0,"",IF(BQ74&lt;&gt;"",BQ74,SUM(CO68:CO69)))</f>
        <v>147</v>
      </c>
      <c r="BM74" s="3386"/>
      <c r="BN74" s="3386"/>
      <c r="BO74" s="3387"/>
      <c r="BP74" s="668" t="s">
        <v>951</v>
      </c>
      <c r="BQ74" s="3425"/>
      <c r="BR74" s="3426"/>
      <c r="BS74" s="3426"/>
      <c r="BT74" s="3427"/>
      <c r="BU74" s="19"/>
      <c r="CF74" s="106" t="s">
        <v>859</v>
      </c>
      <c r="CG74" s="184">
        <f>IF(CE72="=",CD70,0)</f>
        <v>0</v>
      </c>
      <c r="CH74" s="667" t="s">
        <v>858</v>
      </c>
      <c r="CI74" s="184">
        <f>F72+2*$AN$7/1000</f>
        <v>7</v>
      </c>
      <c r="CJ74" s="666" t="s">
        <v>857</v>
      </c>
      <c r="CK74" s="184">
        <f>IF(CG70=1,CG74,0)</f>
        <v>0</v>
      </c>
      <c r="CL74" s="666" t="s">
        <v>856</v>
      </c>
      <c r="CM74" s="184">
        <f>IF(CG70=1,F72,0)</f>
        <v>4</v>
      </c>
      <c r="CN74" s="665">
        <f>INT(AS71/2)</f>
        <v>2</v>
      </c>
      <c r="CO74" s="665">
        <f>IF(AU71="","",1+INT(AU71/2))</f>
        <v>1</v>
      </c>
      <c r="CP74" s="664" t="s">
        <v>948</v>
      </c>
      <c r="CQ74" s="3477" t="str">
        <f>IF(CS74="","","ソノライン・スピーカ 20W")</f>
        <v>ソノライン・スピーカ 20W</v>
      </c>
      <c r="CR74" s="3478"/>
      <c r="CS74" s="222">
        <f>IF(BE71="",0,BE71)</f>
        <v>0</v>
      </c>
      <c r="CT74" s="155"/>
      <c r="CU74" s="148"/>
      <c r="CV74" s="148"/>
      <c r="CY74" s="197">
        <f t="shared" si="46"/>
        <v>7</v>
      </c>
      <c r="CZ74" s="197" t="str">
        <f t="shared" si="44"/>
        <v/>
      </c>
      <c r="DB74" s="24"/>
      <c r="DD74" s="516"/>
      <c r="DE74" s="516"/>
      <c r="DH74" s="197">
        <f t="shared" si="47"/>
        <v>5</v>
      </c>
      <c r="DI74" s="197" t="str">
        <f t="shared" si="45"/>
        <v/>
      </c>
      <c r="DK74" s="24"/>
      <c r="DM74" s="516"/>
      <c r="DN74" s="516"/>
      <c r="DQ74" s="197">
        <f t="shared" si="50"/>
        <v>11</v>
      </c>
      <c r="DR74" s="197" t="str">
        <f t="shared" si="48"/>
        <v/>
      </c>
      <c r="DS74" s="10" t="str">
        <f>CQ55</f>
        <v/>
      </c>
      <c r="DT74" s="24"/>
      <c r="DU74" s="249" t="str">
        <f>IF(COUNTIF($DS$10:DS73,DS74)&gt;0,"",DS74)</f>
        <v/>
      </c>
      <c r="DV74" s="198" t="str">
        <f>CS55</f>
        <v/>
      </c>
      <c r="DW74" s="514">
        <f t="shared" si="49"/>
        <v>5</v>
      </c>
    </row>
    <row r="75" spans="2:127" ht="11.25" customHeight="1">
      <c r="B75" s="23"/>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19"/>
      <c r="CY75" s="197">
        <f t="shared" si="46"/>
        <v>7</v>
      </c>
      <c r="CZ75" s="197" t="str">
        <f t="shared" si="44"/>
        <v/>
      </c>
      <c r="DH75" s="197">
        <f t="shared" si="47"/>
        <v>5</v>
      </c>
      <c r="DI75" s="197" t="str">
        <f t="shared" si="45"/>
        <v/>
      </c>
      <c r="DQ75" s="197">
        <f t="shared" si="50"/>
        <v>11</v>
      </c>
      <c r="DR75" s="197" t="str">
        <f t="shared" si="48"/>
        <v/>
      </c>
      <c r="DS75" s="201" t="str">
        <f>CQ56</f>
        <v>ソノライン・スピーカ 20W</v>
      </c>
      <c r="DT75" s="24"/>
      <c r="DU75" s="249" t="str">
        <f>IF(COUNTIF($DS$10:DS74,DS75)&gt;0,"",DS75)</f>
        <v/>
      </c>
      <c r="DV75" s="198">
        <f>CS56</f>
        <v>0</v>
      </c>
      <c r="DW75" s="514">
        <f t="shared" si="49"/>
        <v>5</v>
      </c>
    </row>
    <row r="76" spans="2:127" ht="11.25" customHeight="1">
      <c r="B76" s="23"/>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19"/>
      <c r="CY76" s="197">
        <f t="shared" si="46"/>
        <v>7</v>
      </c>
      <c r="CZ76" s="197" t="str">
        <f t="shared" si="44"/>
        <v/>
      </c>
      <c r="DH76" s="197">
        <f t="shared" si="47"/>
        <v>5</v>
      </c>
      <c r="DI76" s="197" t="str">
        <f t="shared" si="45"/>
        <v/>
      </c>
      <c r="DQ76" s="197">
        <f t="shared" si="50"/>
        <v>11</v>
      </c>
      <c r="DR76" s="197" t="str">
        <f t="shared" si="48"/>
        <v/>
      </c>
      <c r="DS76" s="10" t="str">
        <f t="shared" ref="DS76:DS81" si="51">CT49</f>
        <v/>
      </c>
      <c r="DT76" s="24"/>
      <c r="DU76" s="249" t="str">
        <f>IF(COUNTIF($DS$10:DS75,DS76)&gt;0,"",DS76)</f>
        <v/>
      </c>
      <c r="DV76" s="198" t="str">
        <f t="shared" ref="DV76:DV81" si="52">CV49</f>
        <v/>
      </c>
      <c r="DW76" s="514">
        <f t="shared" si="49"/>
        <v>5</v>
      </c>
    </row>
    <row r="77" spans="2:127" ht="11.25" customHeight="1">
      <c r="B77" s="18"/>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16"/>
      <c r="CY77" s="197">
        <f t="shared" si="46"/>
        <v>7</v>
      </c>
      <c r="CZ77" s="197" t="str">
        <f t="shared" si="44"/>
        <v/>
      </c>
      <c r="DH77" s="197">
        <f t="shared" si="47"/>
        <v>5</v>
      </c>
      <c r="DI77" s="197" t="str">
        <f t="shared" si="45"/>
        <v/>
      </c>
      <c r="DQ77" s="197">
        <f t="shared" si="50"/>
        <v>11</v>
      </c>
      <c r="DR77" s="197" t="str">
        <f t="shared" si="48"/>
        <v/>
      </c>
      <c r="DS77" s="10" t="str">
        <f t="shared" si="51"/>
        <v>アッテネータ 3W</v>
      </c>
      <c r="DT77" s="24"/>
      <c r="DU77" s="249" t="str">
        <f>IF(COUNTIF($DS$10:DS76,DS77)&gt;0,"",DS77)</f>
        <v/>
      </c>
      <c r="DV77" s="198">
        <f t="shared" si="52"/>
        <v>9</v>
      </c>
      <c r="DW77" s="514">
        <f t="shared" si="49"/>
        <v>5</v>
      </c>
    </row>
    <row r="78" spans="2:127" ht="11.25" customHeight="1">
      <c r="B78" s="93"/>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8"/>
      <c r="CQ78" s="2986" t="str">
        <f>IF(CS78="","","スピーカ 3W S1")</f>
        <v>スピーカ 3W S1</v>
      </c>
      <c r="CR78" s="3476"/>
      <c r="CS78" s="88">
        <f>IF(AS83=0,"",AS83)</f>
        <v>5</v>
      </c>
      <c r="CT78" s="9"/>
      <c r="CX78" s="88">
        <v>8</v>
      </c>
      <c r="CY78" s="204"/>
      <c r="CZ78" s="155"/>
      <c r="DA78" s="45"/>
      <c r="DB78" s="45"/>
      <c r="DC78" s="45" t="s">
        <v>916</v>
      </c>
      <c r="DD78" s="45"/>
      <c r="DE78" s="45" t="s">
        <v>915</v>
      </c>
      <c r="DG78" s="88">
        <v>8</v>
      </c>
      <c r="DH78" s="204"/>
      <c r="DI78" s="155"/>
      <c r="DJ78" s="45"/>
      <c r="DK78" s="45"/>
      <c r="DL78" s="45" t="s">
        <v>916</v>
      </c>
      <c r="DM78" s="45"/>
      <c r="DN78" s="45" t="s">
        <v>915</v>
      </c>
      <c r="DQ78" s="197">
        <f t="shared" si="50"/>
        <v>11</v>
      </c>
      <c r="DR78" s="197" t="str">
        <f t="shared" si="48"/>
        <v/>
      </c>
      <c r="DS78" s="10" t="str">
        <f t="shared" si="51"/>
        <v>アッテネータ 6W</v>
      </c>
      <c r="DT78" s="24"/>
      <c r="DU78" s="249" t="str">
        <f>IF(COUNTIF($DS$10:DS77,DS78)&gt;0,"",DS78)</f>
        <v/>
      </c>
      <c r="DV78" s="198">
        <f t="shared" si="52"/>
        <v>3</v>
      </c>
      <c r="DW78" s="514">
        <f t="shared" si="49"/>
        <v>5</v>
      </c>
    </row>
    <row r="79" spans="2:127" ht="11.25" customHeight="1" thickBot="1">
      <c r="B79" s="23"/>
      <c r="C79" s="2299" t="s">
        <v>16</v>
      </c>
      <c r="D79" s="2299"/>
      <c r="E79" s="2299"/>
      <c r="F79" s="2299" t="s">
        <v>22</v>
      </c>
      <c r="G79" s="2299"/>
      <c r="H79" s="2299"/>
      <c r="I79" s="2299"/>
      <c r="J79" s="2299" t="s">
        <v>5</v>
      </c>
      <c r="K79" s="2299"/>
      <c r="L79" s="2299"/>
      <c r="M79" s="2299"/>
      <c r="N79" s="2299" t="s">
        <v>6</v>
      </c>
      <c r="O79" s="2299"/>
      <c r="P79" s="2299"/>
      <c r="Q79" s="2299"/>
      <c r="R79" s="2299"/>
      <c r="S79" s="2299" t="s">
        <v>131</v>
      </c>
      <c r="T79" s="2299"/>
      <c r="U79" s="2299"/>
      <c r="V79" s="2299"/>
      <c r="W79" s="2299"/>
      <c r="X79" s="2299"/>
      <c r="Y79" s="2299"/>
      <c r="Z79" s="2299"/>
      <c r="AA79" s="3382" t="s">
        <v>7</v>
      </c>
      <c r="AB79" s="3382"/>
      <c r="AC79" s="3382"/>
      <c r="AD79" s="3382"/>
      <c r="AE79" s="2630" t="str">
        <f>IF(S84="","",IF(AH79&lt;&gt;"",AH79,IF(RIGHT($D$10,2)="不要","不","要")))</f>
        <v>要</v>
      </c>
      <c r="AF79" s="2630"/>
      <c r="AG79" s="668" t="s">
        <v>34</v>
      </c>
      <c r="AH79" s="2632"/>
      <c r="AI79" s="2633"/>
      <c r="AJ79" s="3371" t="s">
        <v>913</v>
      </c>
      <c r="AK79" s="3372"/>
      <c r="AL79" s="3372"/>
      <c r="AM79" s="3373"/>
      <c r="AN79" s="3383" t="str">
        <f>IF(W84="","",IF(AQ79&lt;&gt;"",AQ79,IF(RIGHT($D$10,2)="設置","要","不")))</f>
        <v>要</v>
      </c>
      <c r="AO79" s="3384"/>
      <c r="AP79" s="668" t="s">
        <v>34</v>
      </c>
      <c r="AQ79" s="2632"/>
      <c r="AR79" s="2633"/>
      <c r="AS79" s="3399" t="s">
        <v>912</v>
      </c>
      <c r="AT79" s="3412"/>
      <c r="AU79" s="3412"/>
      <c r="AV79" s="3412"/>
      <c r="AW79" s="3412"/>
      <c r="AX79" s="3412"/>
      <c r="AY79" s="3412"/>
      <c r="AZ79" s="3412"/>
      <c r="BA79" s="3412"/>
      <c r="BB79" s="3412"/>
      <c r="BC79" s="3412"/>
      <c r="BD79" s="3412"/>
      <c r="BE79" s="3412"/>
      <c r="BF79" s="3412"/>
      <c r="BG79" s="3412"/>
      <c r="BH79" s="3413"/>
      <c r="BI79" s="3399" t="s">
        <v>907</v>
      </c>
      <c r="BJ79" s="3412"/>
      <c r="BK79" s="3412"/>
      <c r="BL79" s="3413"/>
      <c r="BM79" s="3360" t="s">
        <v>911</v>
      </c>
      <c r="BN79" s="3419"/>
      <c r="BO79" s="3419"/>
      <c r="BP79" s="3419"/>
      <c r="BQ79" s="3419"/>
      <c r="BR79" s="3361"/>
      <c r="BS79" s="3441" t="s">
        <v>910</v>
      </c>
      <c r="BT79" s="3442"/>
      <c r="BU79" s="19"/>
      <c r="BW79" s="102"/>
      <c r="CF79" s="8"/>
      <c r="CG79" s="685" t="s">
        <v>909</v>
      </c>
      <c r="CH79" s="685" t="s">
        <v>908</v>
      </c>
      <c r="CI79" s="685" t="s">
        <v>907</v>
      </c>
      <c r="CJ79" s="686">
        <f>IF($AX$8=0,"",INT(10.7*CD81*CE81/($BF$8/1000)^2))</f>
        <v>85</v>
      </c>
      <c r="CK79" s="685" t="s">
        <v>906</v>
      </c>
      <c r="CL79" s="685" t="s">
        <v>905</v>
      </c>
      <c r="CM79" s="685" t="s">
        <v>904</v>
      </c>
      <c r="CN79" s="550" t="s">
        <v>734</v>
      </c>
      <c r="CO79" s="550" t="s">
        <v>732</v>
      </c>
      <c r="CP79" s="684"/>
      <c r="CQ79" s="2986" t="str">
        <f>IF(CS79="","","スピーカ 3W S3")</f>
        <v>スピーカ 3W S3</v>
      </c>
      <c r="CR79" s="3476"/>
      <c r="CS79" s="88">
        <f>IF(AY83=0,"",AY83)</f>
        <v>4</v>
      </c>
      <c r="CT79" s="3483" t="str">
        <f>IF(CV79="","","マイクロホン")</f>
        <v/>
      </c>
      <c r="CU79" s="3484"/>
      <c r="CV79" s="88" t="str">
        <f>BG83</f>
        <v/>
      </c>
      <c r="CX79" s="8"/>
      <c r="CY79" s="197">
        <f>IF(DC79&lt;&gt;"",CY77+1,CY77)</f>
        <v>7</v>
      </c>
      <c r="CZ79" s="197" t="str">
        <f t="shared" ref="CZ79:CZ86" si="53">IF(AND(CY79&lt;&gt;"",DC79&lt;&gt;""),CY79,"")</f>
        <v/>
      </c>
      <c r="DA79" s="10" t="str">
        <f>H85</f>
        <v>HP 1.2mm- 40Pr</v>
      </c>
      <c r="DB79" s="8"/>
      <c r="DC79" s="249" t="str">
        <f>IF(COUNTIF(DA$10:$DA76,DA79)&gt;0,"",DA79)</f>
        <v/>
      </c>
      <c r="DD79" s="515">
        <f>AF85</f>
        <v>7</v>
      </c>
      <c r="DE79" s="514">
        <f>SUMIF($DA$13:$DA$199,DC79,$DD$13:$DD$199)</f>
        <v>0</v>
      </c>
      <c r="DG79" s="8"/>
      <c r="DH79" s="197">
        <f>IF(DL79&lt;&gt;"",DH77+1,DH77)</f>
        <v>5</v>
      </c>
      <c r="DI79" s="197" t="str">
        <f t="shared" ref="DI79:DI86" si="54">IF(AND(DH79&lt;&gt;"",DL79&lt;&gt;""),DH79,"")</f>
        <v/>
      </c>
      <c r="DJ79" s="10" t="str">
        <f>AT85</f>
        <v>C-51mm</v>
      </c>
      <c r="DK79" s="8"/>
      <c r="DL79" s="249" t="str">
        <f>IF(COUNTIF($DA$10:DJ76,DJ79)&gt;0,"",DJ79)</f>
        <v/>
      </c>
      <c r="DM79" s="515">
        <f>BL85</f>
        <v>4</v>
      </c>
      <c r="DN79" s="514">
        <f>SUMIF($DJ$13:$DJ$199,DL79,$DM$13:$DM$199)</f>
        <v>0</v>
      </c>
      <c r="DQ79" s="197">
        <f t="shared" si="50"/>
        <v>11</v>
      </c>
      <c r="DR79" s="197" t="str">
        <f t="shared" si="48"/>
        <v/>
      </c>
      <c r="DS79" s="10" t="str">
        <f t="shared" si="51"/>
        <v/>
      </c>
      <c r="DT79" s="24"/>
      <c r="DU79" s="249" t="str">
        <f>IF(COUNTIF($DS$10:DS78,DS79)&gt;0,"",DS79)</f>
        <v/>
      </c>
      <c r="DV79" s="198" t="str">
        <f t="shared" si="52"/>
        <v/>
      </c>
      <c r="DW79" s="514">
        <f t="shared" si="49"/>
        <v>5</v>
      </c>
    </row>
    <row r="80" spans="2:127" ht="11.25" customHeight="1" thickBot="1">
      <c r="B80" s="23"/>
      <c r="C80" s="2299"/>
      <c r="D80" s="2299"/>
      <c r="E80" s="2299"/>
      <c r="F80" s="2396"/>
      <c r="G80" s="2396"/>
      <c r="H80" s="2396"/>
      <c r="I80" s="2396"/>
      <c r="J80" s="2396"/>
      <c r="K80" s="2396"/>
      <c r="L80" s="2396"/>
      <c r="M80" s="2396"/>
      <c r="N80" s="2396"/>
      <c r="O80" s="2396"/>
      <c r="P80" s="2396"/>
      <c r="Q80" s="2396"/>
      <c r="R80" s="2396"/>
      <c r="S80" s="2396" t="s">
        <v>7</v>
      </c>
      <c r="T80" s="2396"/>
      <c r="U80" s="2396"/>
      <c r="V80" s="2396"/>
      <c r="W80" s="2396" t="s">
        <v>8</v>
      </c>
      <c r="X80" s="2396"/>
      <c r="Y80" s="2396"/>
      <c r="Z80" s="2396"/>
      <c r="AA80" s="2384" t="s">
        <v>9</v>
      </c>
      <c r="AB80" s="2385"/>
      <c r="AC80" s="2386"/>
      <c r="AD80" s="2384" t="s">
        <v>9</v>
      </c>
      <c r="AE80" s="2385"/>
      <c r="AF80" s="2386"/>
      <c r="AG80" s="2384" t="str">
        <f>IF(AN80="","","専部屋面積")</f>
        <v>専部屋面積</v>
      </c>
      <c r="AH80" s="2385"/>
      <c r="AI80" s="2385"/>
      <c r="AJ80" s="2382"/>
      <c r="AK80" s="2382"/>
      <c r="AL80" s="2382"/>
      <c r="AM80" s="3392"/>
      <c r="AN80" s="3365">
        <f>IF(OR(C84="",$B$2=0),"",S84/AA84)</f>
        <v>268.8</v>
      </c>
      <c r="AO80" s="3366"/>
      <c r="AP80" s="3366"/>
      <c r="AQ80" s="3366"/>
      <c r="AR80" s="3367"/>
      <c r="AS80" s="2300" t="s">
        <v>903</v>
      </c>
      <c r="AT80" s="2301"/>
      <c r="AU80" s="2301"/>
      <c r="AV80" s="2301"/>
      <c r="AW80" s="2301"/>
      <c r="AX80" s="2302"/>
      <c r="AY80" s="2300" t="s">
        <v>902</v>
      </c>
      <c r="AZ80" s="2301"/>
      <c r="BA80" s="2301"/>
      <c r="BB80" s="2302"/>
      <c r="BC80" s="2300" t="s">
        <v>902</v>
      </c>
      <c r="BD80" s="2301"/>
      <c r="BE80" s="2301"/>
      <c r="BF80" s="2302"/>
      <c r="BG80" s="2300" t="s">
        <v>743</v>
      </c>
      <c r="BH80" s="2302"/>
      <c r="BI80" s="2300" t="s">
        <v>901</v>
      </c>
      <c r="BJ80" s="2301"/>
      <c r="BK80" s="2301"/>
      <c r="BL80" s="2302"/>
      <c r="BM80" s="2299" t="s">
        <v>982</v>
      </c>
      <c r="BN80" s="2299"/>
      <c r="BO80" s="2299"/>
      <c r="BP80" s="2299" t="s">
        <v>981</v>
      </c>
      <c r="BQ80" s="2299"/>
      <c r="BR80" s="2299"/>
      <c r="BS80" s="3439" t="s">
        <v>980</v>
      </c>
      <c r="BT80" s="3440"/>
      <c r="BU80" s="19"/>
      <c r="BW80" s="679"/>
      <c r="BX80" s="90" t="s">
        <v>917</v>
      </c>
      <c r="BY80" s="100" t="s">
        <v>905</v>
      </c>
      <c r="CC80" s="180">
        <v>58</v>
      </c>
      <c r="CD80" s="55" t="s">
        <v>101</v>
      </c>
      <c r="CE80" s="55" t="s">
        <v>100</v>
      </c>
      <c r="CF80" s="106" t="s">
        <v>859</v>
      </c>
      <c r="CG80" s="184">
        <f>INT((CD82+10)*BY83+CS81*$AN$8/1000+($AN$7/1000)*BY83)</f>
        <v>120</v>
      </c>
      <c r="CH80" s="184">
        <f>INT(CD82*CS86+CS86)</f>
        <v>0</v>
      </c>
      <c r="CI80" s="184">
        <f>8*SUM(BI83:BL83)</f>
        <v>24</v>
      </c>
      <c r="CJ80" s="185">
        <f>IF($AX$8=0,"",2*INT(0.5*CJ79))</f>
        <v>84</v>
      </c>
      <c r="CK80" s="184"/>
      <c r="CL80" s="184" t="str">
        <f>IF(BP83="","",10*BP83)</f>
        <v/>
      </c>
      <c r="CM80" s="184" t="str">
        <f>IF(BP83="","",10*BP83)</f>
        <v/>
      </c>
      <c r="CN80" s="682">
        <f>IF(S84="",0,IF(AE79="不","",(SUM(CG80:CM80)+SUM(CG81:CM81))*S84/N84))</f>
        <v>224.7</v>
      </c>
      <c r="CO80" s="682">
        <f>IF(S84="",0,IF(AE79="不","",(SUM(CG83:CM83)+SUM(CG84:CM84))*S84/N84))</f>
        <v>102.9</v>
      </c>
      <c r="CP80" s="664" t="s">
        <v>1</v>
      </c>
      <c r="CQ80" s="2986" t="str">
        <f>IF(CS80="","","スピーカ S5")</f>
        <v/>
      </c>
      <c r="CR80" s="3476"/>
      <c r="CS80" s="683" t="str">
        <f>IF(AW83=0,"",AW83)</f>
        <v/>
      </c>
      <c r="CT80" s="3483" t="str">
        <f>IF(CV80="","","アッテネータ 3W")</f>
        <v>アッテネータ 3W</v>
      </c>
      <c r="CU80" s="3484"/>
      <c r="CV80" s="88">
        <f>BI83</f>
        <v>2</v>
      </c>
      <c r="CX80" s="8"/>
      <c r="CY80" s="197">
        <f t="shared" ref="CY80:CY86" si="55">IF(DC80&lt;&gt;"",CY79+1,CY79)</f>
        <v>7</v>
      </c>
      <c r="CZ80" s="197" t="str">
        <f t="shared" si="53"/>
        <v/>
      </c>
      <c r="DA80" s="10" t="str">
        <f>H86</f>
        <v>HP 1.2mm-3C</v>
      </c>
      <c r="DB80" s="8"/>
      <c r="DC80" s="249" t="str">
        <f>IF(COUNTIF(DA$10:$DA77,DA80)&gt;0,"",DA80)</f>
        <v/>
      </c>
      <c r="DD80" s="515">
        <f>AF86</f>
        <v>321</v>
      </c>
      <c r="DE80" s="514">
        <f>SUMIF($DA$13:$DA$199,DC80,$DD$13:$DD$199)</f>
        <v>0</v>
      </c>
      <c r="DG80" s="8"/>
      <c r="DH80" s="197">
        <f t="shared" ref="DH80:DH86" si="56">IF(DL80&lt;&gt;"",DH79+1,DH79)</f>
        <v>5</v>
      </c>
      <c r="DI80" s="197" t="str">
        <f t="shared" si="54"/>
        <v/>
      </c>
      <c r="DJ80" s="10" t="str">
        <f>AT86</f>
        <v>C-19mm</v>
      </c>
      <c r="DK80" s="8"/>
      <c r="DL80" s="249" t="str">
        <f>IF(COUNTIF($DA$10:DJ77,DJ80)&gt;0,"",DJ80)</f>
        <v/>
      </c>
      <c r="DM80" s="515">
        <f>BL86</f>
        <v>147</v>
      </c>
      <c r="DN80" s="514">
        <f>SUMIF($DJ$13:$DJ$199,DL80,$DM$13:$DM$199)</f>
        <v>0</v>
      </c>
      <c r="DQ80" s="197">
        <f t="shared" si="50"/>
        <v>11</v>
      </c>
      <c r="DR80" s="197" t="str">
        <f t="shared" si="48"/>
        <v/>
      </c>
      <c r="DS80" s="10" t="str">
        <f t="shared" si="51"/>
        <v/>
      </c>
      <c r="DT80" s="24"/>
      <c r="DU80" s="249" t="str">
        <f>IF(COUNTIF($DS$10:DS79,DS80)&gt;0,"",DS80)</f>
        <v/>
      </c>
      <c r="DV80" s="198" t="str">
        <f t="shared" si="52"/>
        <v/>
      </c>
      <c r="DW80" s="514">
        <f t="shared" si="49"/>
        <v>5</v>
      </c>
    </row>
    <row r="81" spans="2:127" ht="11.25" customHeight="1" thickBot="1">
      <c r="B81" s="23"/>
      <c r="C81" s="2396"/>
      <c r="D81" s="2396"/>
      <c r="E81" s="2396"/>
      <c r="F81" s="2397" t="s">
        <v>235</v>
      </c>
      <c r="G81" s="2397"/>
      <c r="H81" s="2397"/>
      <c r="I81" s="2397"/>
      <c r="J81" s="2397" t="s">
        <v>235</v>
      </c>
      <c r="K81" s="2397"/>
      <c r="L81" s="2397"/>
      <c r="M81" s="2397"/>
      <c r="N81" s="2397" t="s">
        <v>128</v>
      </c>
      <c r="O81" s="2397"/>
      <c r="P81" s="2397"/>
      <c r="Q81" s="2397"/>
      <c r="R81" s="2397"/>
      <c r="S81" s="2397" t="s">
        <v>128</v>
      </c>
      <c r="T81" s="2397"/>
      <c r="U81" s="2397"/>
      <c r="V81" s="2397"/>
      <c r="W81" s="2397" t="s">
        <v>128</v>
      </c>
      <c r="X81" s="2397"/>
      <c r="Y81" s="2397"/>
      <c r="Z81" s="2397"/>
      <c r="AA81" s="2397" t="s">
        <v>111</v>
      </c>
      <c r="AB81" s="2397"/>
      <c r="AC81" s="2397"/>
      <c r="AD81" s="2397" t="s">
        <v>110</v>
      </c>
      <c r="AE81" s="2397"/>
      <c r="AF81" s="2397"/>
      <c r="AG81" s="3398" t="str">
        <f>IF(AN81="","","共部屋面積")</f>
        <v>共部屋面積</v>
      </c>
      <c r="AH81" s="2382"/>
      <c r="AI81" s="2382"/>
      <c r="AJ81" s="2382"/>
      <c r="AK81" s="2382"/>
      <c r="AL81" s="2382"/>
      <c r="AM81" s="3392"/>
      <c r="AN81" s="3368">
        <f>IF(OR($B$2=0,C84=""),"",W84/AD84)</f>
        <v>38.400000000000006</v>
      </c>
      <c r="AO81" s="3369"/>
      <c r="AP81" s="3369"/>
      <c r="AQ81" s="3369"/>
      <c r="AR81" s="3370"/>
      <c r="AS81" s="3419" t="s">
        <v>895</v>
      </c>
      <c r="AT81" s="3361"/>
      <c r="AU81" s="3360" t="s">
        <v>894</v>
      </c>
      <c r="AV81" s="3361"/>
      <c r="AW81" s="3360" t="s">
        <v>893</v>
      </c>
      <c r="AX81" s="3361"/>
      <c r="AY81" s="3360" t="s">
        <v>892</v>
      </c>
      <c r="AZ81" s="3361"/>
      <c r="BA81" s="3360" t="s">
        <v>891</v>
      </c>
      <c r="BB81" s="3361"/>
      <c r="BC81" s="3360" t="s">
        <v>890</v>
      </c>
      <c r="BD81" s="3361"/>
      <c r="BE81" s="3360" t="s">
        <v>889</v>
      </c>
      <c r="BF81" s="3361"/>
      <c r="BG81" s="3432" t="s">
        <v>888</v>
      </c>
      <c r="BH81" s="3433"/>
      <c r="BI81" s="3360"/>
      <c r="BJ81" s="3361"/>
      <c r="BK81" s="3360"/>
      <c r="BL81" s="3361"/>
      <c r="BM81" s="3391" t="s">
        <v>887</v>
      </c>
      <c r="BN81" s="3391"/>
      <c r="BO81" s="3391"/>
      <c r="BP81" s="3391" t="s">
        <v>887</v>
      </c>
      <c r="BQ81" s="3391"/>
      <c r="BR81" s="3391"/>
      <c r="BS81" s="3432" t="s">
        <v>744</v>
      </c>
      <c r="BT81" s="3433"/>
      <c r="BU81" s="19"/>
      <c r="BW81" s="102"/>
      <c r="BX81" s="88">
        <f>IF(OR(J82="( 10)",J82="(12)イ",LEFT(J82,4)="(13)"),1,0)</f>
        <v>0</v>
      </c>
      <c r="BY81" s="88" t="str">
        <f>IF(OR(J82="(1) ロ",J82="(2) ロ",J82="(2) ニ",J82="(5) イ",J82="(6) ハ",J82="(6) ニ",J82="( 7 )",J82="( 15)"),"要","")</f>
        <v/>
      </c>
      <c r="CC81" s="46">
        <v>8</v>
      </c>
      <c r="CD81" s="98">
        <f>非誘!BW60</f>
        <v>12</v>
      </c>
      <c r="CE81" s="98">
        <f>非誘!BX60</f>
        <v>24</v>
      </c>
      <c r="CF81" s="106" t="s">
        <v>858</v>
      </c>
      <c r="CG81" s="185">
        <f>INT((F84-$Y$10/1000-0.25)*BY83)</f>
        <v>8</v>
      </c>
      <c r="CH81" s="184">
        <f>1+INT((F84-$Y$7/1000-0.25+$AN$8/1000)*CS86)</f>
        <v>1</v>
      </c>
      <c r="CI81" s="184">
        <f>INT((F84-$Y$8/1000-0.25+$AN$9/1000)*SUM(BI83:BL83))</f>
        <v>8</v>
      </c>
      <c r="CJ81" s="185">
        <f>IF($AX$8=0,"",2*INT(CJ79*($AX$8-250)/1000))</f>
        <v>76</v>
      </c>
      <c r="CK81" s="184"/>
      <c r="CL81" s="184" t="str">
        <f>IF(BP83="","",INT((F84-$Y$9/1000-0.25+AN75/1000)*BP83))</f>
        <v/>
      </c>
      <c r="CM81" s="184" t="str">
        <f>IF(BS83="","",INT((F84-$Y$9/1000-0.25+AN75/1000)*BS83))</f>
        <v/>
      </c>
      <c r="CN81" s="682">
        <f>IF(AN79="不","",(SUM(CG80:CM80)+SUM(CG81:CM81))*W84/N84)</f>
        <v>96.300000000000011</v>
      </c>
      <c r="CO81" s="682">
        <f>IF(AN79="不","",(SUM(CG83:CM83)+SUM(CG84:CM84))*W84/N84)</f>
        <v>44.1</v>
      </c>
      <c r="CP81" s="670" t="s">
        <v>877</v>
      </c>
      <c r="CQ81" s="15"/>
      <c r="CR81" s="106" t="s">
        <v>868</v>
      </c>
      <c r="CS81" s="8">
        <f>SUM(CS78:CS80)</f>
        <v>9</v>
      </c>
      <c r="CT81" s="3485" t="str">
        <f>IF(CV81="","","アッテネータ 6W")</f>
        <v>アッテネータ 6W</v>
      </c>
      <c r="CU81" s="3484"/>
      <c r="CV81" s="88">
        <f>BK83</f>
        <v>1</v>
      </c>
      <c r="CX81" s="8"/>
      <c r="CY81" s="197">
        <f t="shared" si="55"/>
        <v>7</v>
      </c>
      <c r="CZ81" s="197" t="str">
        <f t="shared" si="53"/>
        <v/>
      </c>
      <c r="DA81" s="10"/>
      <c r="DB81" s="8"/>
      <c r="DC81" s="249"/>
      <c r="DD81" s="515"/>
      <c r="DE81" s="514"/>
      <c r="DG81" s="8"/>
      <c r="DH81" s="197">
        <f t="shared" si="56"/>
        <v>5</v>
      </c>
      <c r="DI81" s="197" t="str">
        <f t="shared" si="54"/>
        <v/>
      </c>
      <c r="DJ81" s="10"/>
      <c r="DK81" s="8"/>
      <c r="DL81" s="249"/>
      <c r="DM81" s="515"/>
      <c r="DN81" s="514"/>
      <c r="DP81" s="8"/>
      <c r="DQ81" s="197">
        <f t="shared" si="50"/>
        <v>11</v>
      </c>
      <c r="DR81" s="197" t="str">
        <f t="shared" si="48"/>
        <v/>
      </c>
      <c r="DS81" s="10" t="str">
        <f t="shared" si="51"/>
        <v/>
      </c>
      <c r="DT81" s="24"/>
      <c r="DU81" s="249" t="str">
        <f>IF(COUNTIF($DS$10:DS80,DS81)&gt;0,"",DS81)</f>
        <v/>
      </c>
      <c r="DV81" s="198" t="str">
        <f t="shared" si="52"/>
        <v/>
      </c>
      <c r="DW81" s="514">
        <f t="shared" si="49"/>
        <v>5</v>
      </c>
    </row>
    <row r="82" spans="2:127" ht="11.25" customHeight="1" thickBot="1">
      <c r="B82" s="23"/>
      <c r="C82" s="2299" t="s">
        <v>112</v>
      </c>
      <c r="D82" s="2299"/>
      <c r="E82" s="2299"/>
      <c r="F82" s="2299"/>
      <c r="G82" s="2299"/>
      <c r="H82" s="2299"/>
      <c r="I82" s="3399"/>
      <c r="J82" s="3400" t="str">
        <f>非誘!J58</f>
        <v>( 4 )</v>
      </c>
      <c r="K82" s="3401"/>
      <c r="L82" s="3401"/>
      <c r="M82" s="3402"/>
      <c r="N82" s="3403" t="str">
        <f>非誘!M58</f>
        <v>百貨店等</v>
      </c>
      <c r="O82" s="3404"/>
      <c r="P82" s="3404"/>
      <c r="Q82" s="3404"/>
      <c r="R82" s="3404"/>
      <c r="S82" s="3404"/>
      <c r="T82" s="3404"/>
      <c r="U82" s="3404"/>
      <c r="V82" s="3404"/>
      <c r="W82" s="3404"/>
      <c r="X82" s="3404"/>
      <c r="Y82" s="3404"/>
      <c r="Z82" s="3405"/>
      <c r="AA82" s="3406" t="s">
        <v>926</v>
      </c>
      <c r="AB82" s="2301"/>
      <c r="AC82" s="2301"/>
      <c r="AD82" s="2301"/>
      <c r="AE82" s="2301"/>
      <c r="AF82" s="2302"/>
      <c r="AG82" s="3393" t="str">
        <f>IF($B$2=0,"",IF(AN82="","天井(C 管)",AN82))</f>
        <v>天井(C 管)</v>
      </c>
      <c r="AH82" s="2368"/>
      <c r="AI82" s="2368"/>
      <c r="AJ82" s="2368"/>
      <c r="AK82" s="2368"/>
      <c r="AL82" s="3394"/>
      <c r="AM82" s="668" t="s">
        <v>925</v>
      </c>
      <c r="AN82" s="3395"/>
      <c r="AO82" s="3396"/>
      <c r="AP82" s="3396"/>
      <c r="AQ82" s="3396"/>
      <c r="AR82" s="3397"/>
      <c r="AS82" s="3434" t="s">
        <v>881</v>
      </c>
      <c r="AT82" s="3435"/>
      <c r="AU82" s="3436" t="s">
        <v>880</v>
      </c>
      <c r="AV82" s="3437"/>
      <c r="AW82" s="3432"/>
      <c r="AX82" s="3433"/>
      <c r="AY82" s="3432" t="s">
        <v>881</v>
      </c>
      <c r="AZ82" s="3433"/>
      <c r="BA82" s="3436" t="s">
        <v>884</v>
      </c>
      <c r="BB82" s="3437"/>
      <c r="BC82" s="3436" t="s">
        <v>883</v>
      </c>
      <c r="BD82" s="3438"/>
      <c r="BE82" s="3438"/>
      <c r="BF82" s="3437"/>
      <c r="BG82" s="3420" t="s">
        <v>882</v>
      </c>
      <c r="BH82" s="3421"/>
      <c r="BI82" s="3436" t="s">
        <v>881</v>
      </c>
      <c r="BJ82" s="3437"/>
      <c r="BK82" s="3436" t="s">
        <v>880</v>
      </c>
      <c r="BL82" s="3437"/>
      <c r="BM82" s="3407" t="str">
        <f>IF(BM83="","",$BW$12)</f>
        <v/>
      </c>
      <c r="BN82" s="3407"/>
      <c r="BO82" s="3407"/>
      <c r="BP82" s="3407" t="str">
        <f>IF(BP83="","",30)</f>
        <v/>
      </c>
      <c r="BQ82" s="3407"/>
      <c r="BR82" s="3407"/>
      <c r="BS82" s="2384" t="s">
        <v>879</v>
      </c>
      <c r="BT82" s="2386"/>
      <c r="BU82" s="19"/>
      <c r="BW82" s="102"/>
      <c r="CB82" s="90" t="s">
        <v>944</v>
      </c>
      <c r="CC82" s="479" t="str">
        <f>AD83</f>
        <v>⑦</v>
      </c>
      <c r="CD82" s="263">
        <f>IF(C84="","",IF(CC82="①",CD81+CE81+3,IF(CC82="②",CD81*5/8+CE81+3,IF(CC82="③",CD81/2+CE81+3,IF(CC82="④",CD81+CE81*5/8+3,IF(CC82="⑤",(CD81+CE81)*5/8+3,IF(CC82="⑥",CD81/2+CE81*5/8+3,IF(CC82="⑦",CD81+CE81/2+3,IF(CC82="⑧",CD81*5/8+CE81/2+3,IF(CC82="⑨",(CD81+CE81)/2+3))))))))))</f>
        <v>27</v>
      </c>
      <c r="CE82" s="8"/>
      <c r="CF82" s="106"/>
      <c r="CG82" s="681">
        <f>IF(AG82="天井ケーブル",0,1)</f>
        <v>1</v>
      </c>
      <c r="CH82" s="394"/>
      <c r="CI82" s="394"/>
      <c r="CJ82" s="59"/>
      <c r="CK82" s="394"/>
      <c r="CL82" s="394"/>
      <c r="CM82" s="394"/>
      <c r="CN82" s="62" t="s">
        <v>1</v>
      </c>
      <c r="CO82" s="62" t="s">
        <v>877</v>
      </c>
      <c r="CP82" s="38"/>
      <c r="CQ82" s="2986" t="str">
        <f>IF(CS82="","","スピーカ 6W S2")</f>
        <v>スピーカ 6W S2</v>
      </c>
      <c r="CR82" s="3476"/>
      <c r="CS82" s="88">
        <f>IF(AU83=0,"",AU83)</f>
        <v>1</v>
      </c>
      <c r="CT82" s="3483" t="str">
        <f>IF(CV82="","","主増幅器")</f>
        <v/>
      </c>
      <c r="CU82" s="3484"/>
      <c r="CV82" s="88" t="str">
        <f>BM83</f>
        <v/>
      </c>
      <c r="CX82" s="8"/>
      <c r="CY82" s="197">
        <f t="shared" si="55"/>
        <v>7</v>
      </c>
      <c r="CZ82" s="197" t="str">
        <f t="shared" si="53"/>
        <v/>
      </c>
      <c r="DA82" s="10"/>
      <c r="DB82" s="8"/>
      <c r="DC82" s="249"/>
      <c r="DD82" s="515"/>
      <c r="DE82" s="514"/>
      <c r="DG82" s="8"/>
      <c r="DH82" s="197">
        <f t="shared" si="56"/>
        <v>5</v>
      </c>
      <c r="DI82" s="197" t="str">
        <f t="shared" si="54"/>
        <v/>
      </c>
      <c r="DJ82" s="10"/>
      <c r="DK82" s="8"/>
      <c r="DL82" s="249"/>
      <c r="DM82" s="515"/>
      <c r="DN82" s="514"/>
      <c r="DP82" s="88">
        <v>6</v>
      </c>
      <c r="DQ82" s="45"/>
      <c r="DR82" s="45"/>
      <c r="DS82" s="45"/>
      <c r="DT82" s="45"/>
      <c r="DU82" s="45"/>
      <c r="DV82" s="45"/>
      <c r="DW82" s="45"/>
    </row>
    <row r="83" spans="2:127" ht="11.25" customHeight="1" thickBot="1">
      <c r="B83" s="23"/>
      <c r="C83" s="3409" t="s">
        <v>232</v>
      </c>
      <c r="D83" s="3410"/>
      <c r="E83" s="3410"/>
      <c r="F83" s="3410"/>
      <c r="G83" s="3410"/>
      <c r="H83" s="3411"/>
      <c r="I83" s="3430" t="str">
        <f>非誘!AA58</f>
        <v>A</v>
      </c>
      <c r="J83" s="3430"/>
      <c r="K83" s="3430"/>
      <c r="L83" s="2395" t="s">
        <v>214</v>
      </c>
      <c r="M83" s="2395"/>
      <c r="N83" s="2395"/>
      <c r="O83" s="2395"/>
      <c r="P83" s="2395"/>
      <c r="Q83" s="2395"/>
      <c r="R83" s="2395"/>
      <c r="S83" s="3379">
        <f>非誘!J59</f>
        <v>0.5</v>
      </c>
      <c r="T83" s="3380"/>
      <c r="U83" s="3380"/>
      <c r="V83" s="3381"/>
      <c r="W83" s="3399" t="s">
        <v>875</v>
      </c>
      <c r="X83" s="3412"/>
      <c r="Y83" s="3412"/>
      <c r="Z83" s="3412"/>
      <c r="AA83" s="2654"/>
      <c r="AB83" s="2654"/>
      <c r="AC83" s="2655"/>
      <c r="AD83" s="3388" t="str">
        <f>非誘!V59</f>
        <v>⑦</v>
      </c>
      <c r="AE83" s="3389"/>
      <c r="AF83" s="3390"/>
      <c r="AG83" s="3391" t="s">
        <v>874</v>
      </c>
      <c r="AH83" s="3391"/>
      <c r="AI83" s="3391"/>
      <c r="AJ83" s="3391"/>
      <c r="AK83" s="3391"/>
      <c r="AL83" s="2990" t="str">
        <f>IF(AP83&lt;&gt;"",AP83,IF(C84=$BG$10,C84,""))</f>
        <v/>
      </c>
      <c r="AM83" s="2990"/>
      <c r="AN83" s="2990"/>
      <c r="AO83" s="668" t="s">
        <v>103</v>
      </c>
      <c r="AP83" s="3325"/>
      <c r="AQ83" s="3326"/>
      <c r="AR83" s="3327"/>
      <c r="AS83" s="3418">
        <f>IF(CE84=0,"",IF(AS84&lt;&gt;"",AS84,IF(BE83&lt;&gt;"",CN85,SUM(CN83:CO83))))</f>
        <v>5</v>
      </c>
      <c r="AT83" s="3375"/>
      <c r="AU83" s="3418">
        <f>IF(CE84=0,"",IF(AU84&lt;&gt;"",AU84,CN84))</f>
        <v>1</v>
      </c>
      <c r="AV83" s="3375"/>
      <c r="AW83" s="3418"/>
      <c r="AX83" s="3375"/>
      <c r="AY83" s="3418">
        <f>IF(AA84="","",IF(AY84&lt;&gt;"",AY84,CO84))</f>
        <v>4</v>
      </c>
      <c r="AZ83" s="3375"/>
      <c r="BA83" s="3418"/>
      <c r="BB83" s="3375"/>
      <c r="BC83" s="3418" t="str">
        <f>IF(OR(AL84="不",,BP83=""),"",IF(BC84&lt;&gt;"",BC84,BP83*2))</f>
        <v/>
      </c>
      <c r="BD83" s="3375"/>
      <c r="BE83" s="3418" t="str">
        <f>IF(BE84&lt;&gt;"",BE84,IF(BX81=0,"",CN85))</f>
        <v/>
      </c>
      <c r="BF83" s="3375"/>
      <c r="BG83" s="3418" t="str">
        <f>IF(AE79="不","",IF(BG84&lt;&gt;"",BG84,BP83))</f>
        <v/>
      </c>
      <c r="BH83" s="3375"/>
      <c r="BI83" s="3418">
        <f>IF(CE84=0,"",CN86)</f>
        <v>2</v>
      </c>
      <c r="BJ83" s="3375"/>
      <c r="BK83" s="3374">
        <f>IF(CE84=0,"",CO86)</f>
        <v>1</v>
      </c>
      <c r="BL83" s="3375"/>
      <c r="BM83" s="3376" t="str">
        <f>IF(CE84=0,"",IF(BM84&lt;&gt;"",BM84,IF(C84=AL83,1,"")))</f>
        <v/>
      </c>
      <c r="BN83" s="3377"/>
      <c r="BO83" s="3378"/>
      <c r="BP83" s="3376" t="str">
        <f>IF(CE84=0,"",IF(OR(AE79="不",AA84="",S84=""),"",IF(BP84&lt;&gt;"",BP84,IF(AL84="要",1+INT(S84/1000),""))))</f>
        <v/>
      </c>
      <c r="BQ83" s="3377"/>
      <c r="BR83" s="3378"/>
      <c r="BS83" s="3376" t="str">
        <f>IF(BS84&lt;&gt;"",BS84,BP83)</f>
        <v/>
      </c>
      <c r="BT83" s="3378"/>
      <c r="BU83" s="19"/>
      <c r="BW83" s="680">
        <f>IF(AND(CS84=0,CS85=""),CS81*3,CS81*3+CS84*6)</f>
        <v>33</v>
      </c>
      <c r="BX83" s="102">
        <f>BY84</f>
        <v>23</v>
      </c>
      <c r="BY83" s="522">
        <f>1+INT(SUM(S84:Z84)/400)</f>
        <v>3</v>
      </c>
      <c r="BZ83" s="100" t="s">
        <v>873</v>
      </c>
      <c r="CB83" s="678">
        <f>IF(CE84="=",MID(BZ84,10,3),10*(1+INT(BY83*3/10)))</f>
        <v>10</v>
      </c>
      <c r="CC83" s="10" t="s">
        <v>943</v>
      </c>
      <c r="CF83" s="106" t="s">
        <v>857</v>
      </c>
      <c r="CG83" s="136">
        <f>IF(CG82=1,INT(CD82*BY83)+BY83*10,"")</f>
        <v>111</v>
      </c>
      <c r="CH83" s="136">
        <f>IF(CG82=1,INT(CD82*CS86),"")</f>
        <v>0</v>
      </c>
      <c r="CI83" s="136">
        <f>8*SUM(BI83:BL83)</f>
        <v>24</v>
      </c>
      <c r="CJ83" s="134" t="str">
        <f>IF($AX$8=0,INT(10.7*CD81*CE81/($BF$8/1000)^2)*1.5,"")</f>
        <v/>
      </c>
      <c r="CK83" s="136">
        <v>0</v>
      </c>
      <c r="CL83" s="136" t="str">
        <f>IF(BP83="","",10*BP83)</f>
        <v/>
      </c>
      <c r="CM83" s="136" t="str">
        <f>IF(BS83="","",10*BS83)</f>
        <v/>
      </c>
      <c r="CN83" s="665">
        <f>IF(AA84="",0,IF(AE79="不","",INT(AA84/2)))</f>
        <v>1</v>
      </c>
      <c r="CO83" s="665">
        <f>IF(AN79="不","",INT(AD84/2))</f>
        <v>4</v>
      </c>
      <c r="CP83" s="670" t="s">
        <v>895</v>
      </c>
      <c r="CQ83" s="2986" t="str">
        <f>IF(CS83="","","スピーカ 5W S4")</f>
        <v/>
      </c>
      <c r="CR83" s="3476"/>
      <c r="CS83" s="88" t="str">
        <f>IF(BA83=0,"",BA83)</f>
        <v/>
      </c>
      <c r="CT83" s="3483" t="str">
        <f>IF(CV83="","","副増幅器 30W")</f>
        <v/>
      </c>
      <c r="CU83" s="3484"/>
      <c r="CV83" s="88" t="str">
        <f>BP83</f>
        <v/>
      </c>
      <c r="CX83" s="8"/>
      <c r="CY83" s="197">
        <f t="shared" si="55"/>
        <v>7</v>
      </c>
      <c r="CZ83" s="197" t="str">
        <f t="shared" si="53"/>
        <v/>
      </c>
      <c r="DA83" s="10"/>
      <c r="DB83" s="8"/>
      <c r="DC83" s="249"/>
      <c r="DD83" s="515"/>
      <c r="DE83" s="514"/>
      <c r="DG83" s="8"/>
      <c r="DH83" s="197">
        <f t="shared" si="56"/>
        <v>5</v>
      </c>
      <c r="DI83" s="197" t="str">
        <f t="shared" si="54"/>
        <v/>
      </c>
      <c r="DJ83" s="10"/>
      <c r="DK83" s="8"/>
      <c r="DL83" s="249"/>
      <c r="DM83" s="515"/>
      <c r="DN83" s="514"/>
      <c r="DP83" s="8"/>
      <c r="DQ83" s="197">
        <f>IF(DU83&lt;&gt;"",DQ81+1,DQ81)</f>
        <v>11</v>
      </c>
      <c r="DR83" s="197" t="str">
        <f t="shared" ref="DR83:DR95" si="57">IF(AND(DQ83&lt;&gt;"",DU83&lt;&gt;""),DQ83,"")</f>
        <v/>
      </c>
      <c r="DS83" s="10" t="str">
        <f>CQ57</f>
        <v>スピーカ 3W S1</v>
      </c>
      <c r="DT83" s="8"/>
      <c r="DU83" s="249" t="str">
        <f>IF(COUNTIF($DS$10:DS82,DS83)&gt;0,"",DS83)</f>
        <v/>
      </c>
      <c r="DV83" s="198">
        <f>CS57</f>
        <v>5</v>
      </c>
      <c r="DW83" s="514">
        <f t="shared" ref="DW83:DW95" si="58">SUMIF($DS$13:$DS$344,DU83,$DV$13:$DV$344)</f>
        <v>5</v>
      </c>
    </row>
    <row r="84" spans="2:127" ht="11.25" customHeight="1" thickBot="1">
      <c r="B84" s="23"/>
      <c r="C84" s="3429" t="str">
        <f>IF($B$2=0,"",非誘!C60)</f>
        <v xml:space="preserve">  6F</v>
      </c>
      <c r="D84" s="3407"/>
      <c r="E84" s="3407"/>
      <c r="F84" s="3430">
        <f>IF($B$2=0,"",非誘!F60)</f>
        <v>4</v>
      </c>
      <c r="G84" s="3430"/>
      <c r="H84" s="3430"/>
      <c r="I84" s="3430"/>
      <c r="J84" s="3430">
        <f>IF($B$2=0,"",非誘!J60)</f>
        <v>3</v>
      </c>
      <c r="K84" s="3430"/>
      <c r="L84" s="3430"/>
      <c r="M84" s="3430"/>
      <c r="N84" s="3407">
        <f>IF($B$2=0,"",非誘!N60)</f>
        <v>1152</v>
      </c>
      <c r="O84" s="3407"/>
      <c r="P84" s="3407"/>
      <c r="Q84" s="3407"/>
      <c r="R84" s="3407"/>
      <c r="S84" s="3431">
        <f>IF($B$2=0,"",非誘!S60)</f>
        <v>806.4</v>
      </c>
      <c r="T84" s="3431"/>
      <c r="U84" s="3431"/>
      <c r="V84" s="3431"/>
      <c r="W84" s="3431">
        <f>IF($B$2=0,"",非誘!W60)</f>
        <v>345.6</v>
      </c>
      <c r="X84" s="3431"/>
      <c r="Y84" s="3431"/>
      <c r="Z84" s="3431"/>
      <c r="AA84" s="3407">
        <f>IF($B$2=0,"",非誘!AA60)</f>
        <v>3</v>
      </c>
      <c r="AB84" s="3407"/>
      <c r="AC84" s="3407"/>
      <c r="AD84" s="3407">
        <f>IF($B$2=0,"",非誘!AD60)</f>
        <v>9</v>
      </c>
      <c r="AE84" s="3407"/>
      <c r="AF84" s="3407"/>
      <c r="AG84" s="3391" t="s">
        <v>942</v>
      </c>
      <c r="AH84" s="3391"/>
      <c r="AI84" s="3391"/>
      <c r="AJ84" s="3391"/>
      <c r="AK84" s="3391"/>
      <c r="AL84" s="2990" t="str">
        <f>IF(AP84&lt;&gt;"",AP84,IF($BY$18="要","要",""))</f>
        <v/>
      </c>
      <c r="AM84" s="2990"/>
      <c r="AN84" s="2990"/>
      <c r="AO84" s="668" t="s">
        <v>103</v>
      </c>
      <c r="AP84" s="3408"/>
      <c r="AQ84" s="3408"/>
      <c r="AR84" s="3408"/>
      <c r="AS84" s="2551"/>
      <c r="AT84" s="3414"/>
      <c r="AU84" s="2551"/>
      <c r="AV84" s="3414"/>
      <c r="AW84" s="2551"/>
      <c r="AX84" s="3414"/>
      <c r="AY84" s="2551"/>
      <c r="AZ84" s="3414"/>
      <c r="BA84" s="2551"/>
      <c r="BB84" s="3414"/>
      <c r="BC84" s="2551"/>
      <c r="BD84" s="3414"/>
      <c r="BE84" s="2551"/>
      <c r="BF84" s="3414"/>
      <c r="BG84" s="2551"/>
      <c r="BH84" s="3414"/>
      <c r="BI84" s="2551"/>
      <c r="BJ84" s="3414"/>
      <c r="BK84" s="2551"/>
      <c r="BL84" s="3414"/>
      <c r="BM84" s="2551"/>
      <c r="BN84" s="3428"/>
      <c r="BO84" s="3414"/>
      <c r="BP84" s="2551"/>
      <c r="BQ84" s="3428"/>
      <c r="BR84" s="3414"/>
      <c r="BS84" s="2551"/>
      <c r="BT84" s="3414"/>
      <c r="BU84" s="19"/>
      <c r="BY84" s="677">
        <f>IF(CE84=0,0,IF(CE84="=",BY83+BY72+BY93,IF(CE84="-",BY83+BY72,BY83+BY93)))</f>
        <v>23</v>
      </c>
      <c r="BZ84" s="3443" t="str">
        <f>IF(CE84=0,"",IF(BY84*3&lt;=20,"HP 1.2mm- 10Pr",IF(BY84*3&lt;=30,"HP 1.2mm- 15Pr",IF(BY84*3&lt;=40,"HP 1.2mm- 20Pr",IF(BY84*3&lt;=50,"HP 1.2mm- 25Pr",IF(BY84*3&lt;=60,"HP 1.2mm- 30Pr",IF(BY84*3&lt;=80,"HP 1.2mm- 40Pr",IF(BY84*3&lt;=100,"HP 1.2mm- 50Pr",IF(BY84*3&lt;=150,"HP 1.2mm- 75Pr", IF(BY84*3&lt;=200,"HP 1.2mm-100Pr",IF(BY84*3&lt;=400,"HP 1.2mm-200Pr","")))))))))))</f>
        <v>HP 1.2mm- 40Pr</v>
      </c>
      <c r="CA84" s="3444"/>
      <c r="CB84" s="3444"/>
      <c r="CC84" s="3445"/>
      <c r="CD84" s="673" t="str">
        <f>IF(LEFT($BG$10,2)=" B",-MID($BG$10,3,1),LEFT($BG$10,3))</f>
        <v xml:space="preserve">  1</v>
      </c>
      <c r="CE84" s="676" t="str">
        <f>IF(CD85=0,0,IF(CD84=CD85,"=",IF(CD84&gt;CD85,"-","+")))</f>
        <v>+</v>
      </c>
      <c r="CF84" s="106" t="s">
        <v>856</v>
      </c>
      <c r="CG84" s="136">
        <f>2*INT((F84-$Y$10/1000-0.25))</f>
        <v>4</v>
      </c>
      <c r="CH84" s="136">
        <f>1+INT((F84-$Y$7/1000-0.25)*CS86)</f>
        <v>1</v>
      </c>
      <c r="CI84" s="136">
        <f>INT((F84-$Y$8/1000-0.25)*SUM(BI83:BL83))</f>
        <v>7</v>
      </c>
      <c r="CJ84" s="675"/>
      <c r="CK84" s="136">
        <v>0</v>
      </c>
      <c r="CL84" s="136" t="str">
        <f>IF(BP83="","",INT((F84-$Y$9/1000-0.25)*BP83))</f>
        <v/>
      </c>
      <c r="CM84" s="136" t="str">
        <f>IF(BS83="","",INT((F84-$Y$9/1000-0.25)*BS83))</f>
        <v/>
      </c>
      <c r="CN84" s="665">
        <f>IF(AA84="",0,IF(AE79="不","",INT(AA84/2)))</f>
        <v>1</v>
      </c>
      <c r="CO84" s="665">
        <f>IF(AN79="不","",INT(AD84/2))</f>
        <v>4</v>
      </c>
      <c r="CP84" s="670" t="s">
        <v>941</v>
      </c>
      <c r="CQ84" s="15"/>
      <c r="CR84" s="106" t="s">
        <v>868</v>
      </c>
      <c r="CS84" s="8">
        <f>SUM(CS82:CS83)</f>
        <v>1</v>
      </c>
      <c r="CT84" s="3483" t="str">
        <f>IF(CV84="","","カットリレー")</f>
        <v/>
      </c>
      <c r="CU84" s="3484"/>
      <c r="CV84" s="88" t="str">
        <f>BS83</f>
        <v/>
      </c>
      <c r="CY84" s="197">
        <f t="shared" si="55"/>
        <v>7</v>
      </c>
      <c r="CZ84" s="197" t="str">
        <f t="shared" si="53"/>
        <v/>
      </c>
      <c r="DB84" s="24"/>
      <c r="DD84" s="516"/>
      <c r="DE84" s="516"/>
      <c r="DH84" s="197">
        <f t="shared" si="56"/>
        <v>5</v>
      </c>
      <c r="DI84" s="197" t="str">
        <f t="shared" si="54"/>
        <v/>
      </c>
      <c r="DK84" s="24"/>
      <c r="DM84" s="516"/>
      <c r="DN84" s="516"/>
      <c r="DP84" s="8"/>
      <c r="DQ84" s="197">
        <f t="shared" ref="DQ84:DQ95" si="59">IF(DU84&lt;&gt;"",DQ83+1,DQ83)</f>
        <v>11</v>
      </c>
      <c r="DR84" s="197" t="str">
        <f t="shared" si="57"/>
        <v/>
      </c>
      <c r="DS84" s="10" t="str">
        <f>CQ58</f>
        <v>スピーカ 3W S3</v>
      </c>
      <c r="DT84" s="8"/>
      <c r="DU84" s="249" t="str">
        <f>IF(COUNTIF($DS$10:DS83,DS84)&gt;0,"",DS84)</f>
        <v/>
      </c>
      <c r="DV84" s="198">
        <f>CS58</f>
        <v>4</v>
      </c>
      <c r="DW84" s="514">
        <f t="shared" si="58"/>
        <v>5</v>
      </c>
    </row>
    <row r="85" spans="2:127" ht="11.25" customHeight="1" thickBot="1">
      <c r="B85" s="23"/>
      <c r="C85" s="2300" t="s">
        <v>867</v>
      </c>
      <c r="D85" s="2301"/>
      <c r="E85" s="2301"/>
      <c r="F85" s="2301"/>
      <c r="G85" s="2302"/>
      <c r="H85" s="3422" t="str">
        <f>IF(CE84=0,"",IF(R85&lt;&gt;"",R85,BZ84))</f>
        <v>HP 1.2mm- 40Pr</v>
      </c>
      <c r="I85" s="3423"/>
      <c r="J85" s="3423"/>
      <c r="K85" s="3423"/>
      <c r="L85" s="3423"/>
      <c r="M85" s="3423"/>
      <c r="N85" s="3423"/>
      <c r="O85" s="3423"/>
      <c r="P85" s="3424"/>
      <c r="Q85" s="668" t="s">
        <v>103</v>
      </c>
      <c r="R85" s="3362"/>
      <c r="S85" s="3363"/>
      <c r="T85" s="3363"/>
      <c r="U85" s="3363"/>
      <c r="V85" s="3363"/>
      <c r="W85" s="3363"/>
      <c r="X85" s="3363"/>
      <c r="Y85" s="3363"/>
      <c r="Z85" s="3364"/>
      <c r="AA85" s="3345" t="s">
        <v>866</v>
      </c>
      <c r="AB85" s="3346"/>
      <c r="AC85" s="3346"/>
      <c r="AD85" s="3346"/>
      <c r="AE85" s="3347"/>
      <c r="AF85" s="3385">
        <f>IF(CE84=0,"",IF(AK85&lt;&gt;"",AK85,CG86+CI86))</f>
        <v>7</v>
      </c>
      <c r="AG85" s="3386"/>
      <c r="AH85" s="3386"/>
      <c r="AI85" s="3387"/>
      <c r="AJ85" s="669" t="s">
        <v>103</v>
      </c>
      <c r="AK85" s="3415"/>
      <c r="AL85" s="3416"/>
      <c r="AM85" s="3416"/>
      <c r="AN85" s="3417"/>
      <c r="AO85" s="2300" t="s">
        <v>865</v>
      </c>
      <c r="AP85" s="2301"/>
      <c r="AQ85" s="2301"/>
      <c r="AR85" s="2301"/>
      <c r="AS85" s="2302"/>
      <c r="AT85" s="3422" t="str">
        <f>IF(CE84=0,"",IF(BA85&lt;&gt;"",BA85,IF(MID(AG82,4,2)="C ","C-"&amp;CA85&amp;"mm",IF(MID(AG82,4,2)="PF","PF-D-"&amp;CB85&amp;"mm",IF(MID(AG82,4,2)="CD","CD-"&amp;CB85&amp;"mm",IF(MID(AG82,4,2)="G ","G-"&amp;CB85&amp;"mm",""))))))</f>
        <v>C-51mm</v>
      </c>
      <c r="AU85" s="3423"/>
      <c r="AV85" s="3423"/>
      <c r="AW85" s="3423"/>
      <c r="AX85" s="3423"/>
      <c r="AY85" s="3424"/>
      <c r="AZ85" s="668" t="s">
        <v>103</v>
      </c>
      <c r="BA85" s="3362"/>
      <c r="BB85" s="3363"/>
      <c r="BC85" s="3363"/>
      <c r="BD85" s="3363"/>
      <c r="BE85" s="3363"/>
      <c r="BF85" s="3364"/>
      <c r="BG85" s="3345" t="s">
        <v>864</v>
      </c>
      <c r="BH85" s="3346"/>
      <c r="BI85" s="3346"/>
      <c r="BJ85" s="3346"/>
      <c r="BK85" s="3347"/>
      <c r="BL85" s="3385">
        <f>IF(CE84=0,"",IF(CM86=0,"",IF(BQ85&lt;&gt;"",BQ85,CK86+CM86)))</f>
        <v>4</v>
      </c>
      <c r="BM85" s="3386"/>
      <c r="BN85" s="3386"/>
      <c r="BO85" s="3387"/>
      <c r="BP85" s="668" t="s">
        <v>103</v>
      </c>
      <c r="BQ85" s="3415"/>
      <c r="BR85" s="3416"/>
      <c r="BS85" s="3416"/>
      <c r="BT85" s="3417"/>
      <c r="BU85" s="19"/>
      <c r="BZ85" s="107" t="str">
        <f>IF(LEN(BZ84)=13,MID(BZ84,10,2),MID(BZ84,10,3))</f>
        <v xml:space="preserve"> 40</v>
      </c>
      <c r="CA85" s="674" t="str">
        <f>IF(OR(BZ85=" 10",BZ85=" 15"),"31",IF(OR(BZ85=" 20",BZ85=" 25",BZ85=" 30"),"39",IF(OR(BZ85=" 40",BZ85=" 50"),"51",IF(BZ85="100","63",IF(BZ85&lt;="200","75","")))))</f>
        <v>51</v>
      </c>
      <c r="CB85" s="674" t="str">
        <f>IF(OR(BZ85=" 10",BZ85=" 15"),"28",IF(OR(BZ85=" 20",BZ85=" 25",BZ85=" 30"),"36",IF(OR(BZ85=" 40",BZ85=" 50"),"42",IF(BZ85="100","54",IF(BZ85&lt;="200","70","")))))</f>
        <v>42</v>
      </c>
      <c r="CD85" s="673" t="str">
        <f>IF(C84="",0,IF(LEFT(C84,2)=" B",-MID(C84,3,1),LEFT(C84,3)))</f>
        <v xml:space="preserve">  6</v>
      </c>
      <c r="CF85" s="106"/>
      <c r="CG85" s="90" t="s">
        <v>940</v>
      </c>
      <c r="CH85" s="64"/>
      <c r="CI85" s="90" t="s">
        <v>940</v>
      </c>
      <c r="CJ85" s="38"/>
      <c r="CK85" s="90" t="s">
        <v>940</v>
      </c>
      <c r="CL85" s="64"/>
      <c r="CM85" s="90" t="s">
        <v>940</v>
      </c>
      <c r="CN85" s="672">
        <f>IF(S84="",0,IF(AE79="不","",INT(S84/150)))</f>
        <v>5</v>
      </c>
      <c r="CO85" s="671"/>
      <c r="CP85" s="670" t="s">
        <v>889</v>
      </c>
      <c r="CQ85" s="2986" t="str">
        <f>IF(CS85="","","プロセニアム・スピーカ 20W")</f>
        <v/>
      </c>
      <c r="CR85" s="3476"/>
      <c r="CS85" s="88" t="str">
        <f>IF(BC83=0,"",BC83)</f>
        <v/>
      </c>
      <c r="CT85" s="9"/>
      <c r="CU85" s="46"/>
      <c r="CY85" s="197">
        <f t="shared" si="55"/>
        <v>7</v>
      </c>
      <c r="CZ85" s="197" t="str">
        <f t="shared" si="53"/>
        <v/>
      </c>
      <c r="DB85" s="24"/>
      <c r="DD85" s="516"/>
      <c r="DE85" s="516"/>
      <c r="DH85" s="197">
        <f t="shared" si="56"/>
        <v>5</v>
      </c>
      <c r="DI85" s="197" t="str">
        <f t="shared" si="54"/>
        <v/>
      </c>
      <c r="DK85" s="24"/>
      <c r="DM85" s="516"/>
      <c r="DN85" s="516"/>
      <c r="DP85" s="8"/>
      <c r="DQ85" s="197">
        <f t="shared" si="59"/>
        <v>11</v>
      </c>
      <c r="DR85" s="197" t="str">
        <f t="shared" si="57"/>
        <v/>
      </c>
      <c r="DS85" s="10" t="str">
        <f>CQ59</f>
        <v/>
      </c>
      <c r="DT85" s="8"/>
      <c r="DU85" s="249" t="str">
        <f>IF(COUNTIF($DS$10:DS84,DS85)&gt;0,"",DS85)</f>
        <v/>
      </c>
      <c r="DV85" s="198" t="str">
        <f>CS59</f>
        <v/>
      </c>
      <c r="DW85" s="514">
        <f t="shared" si="58"/>
        <v>5</v>
      </c>
    </row>
    <row r="86" spans="2:127" ht="11.25" customHeight="1" thickBot="1">
      <c r="B86" s="23"/>
      <c r="C86" s="2300" t="s">
        <v>861</v>
      </c>
      <c r="D86" s="2301"/>
      <c r="E86" s="2301"/>
      <c r="F86" s="2301"/>
      <c r="G86" s="2302"/>
      <c r="H86" s="3422" t="str">
        <f>IF(CE84=0,"",IF(R86&lt;&gt;"",R86,"HP 1.2mm-3C"))</f>
        <v>HP 1.2mm-3C</v>
      </c>
      <c r="I86" s="3423"/>
      <c r="J86" s="3423"/>
      <c r="K86" s="3423"/>
      <c r="L86" s="3423"/>
      <c r="M86" s="3423"/>
      <c r="N86" s="3423"/>
      <c r="O86" s="3423"/>
      <c r="P86" s="3424"/>
      <c r="Q86" s="668" t="s">
        <v>103</v>
      </c>
      <c r="R86" s="3362"/>
      <c r="S86" s="3363"/>
      <c r="T86" s="3363"/>
      <c r="U86" s="3363"/>
      <c r="V86" s="3363"/>
      <c r="W86" s="3363"/>
      <c r="X86" s="3363"/>
      <c r="Y86" s="3363"/>
      <c r="Z86" s="3364"/>
      <c r="AA86" s="3348" t="s">
        <v>235</v>
      </c>
      <c r="AB86" s="3349"/>
      <c r="AC86" s="3349"/>
      <c r="AD86" s="3349"/>
      <c r="AE86" s="3350"/>
      <c r="AF86" s="3385">
        <f>IF(CE84=0,"",IF(AK86&lt;&gt;"",AK86,SUM(CN80:CN81)))</f>
        <v>321</v>
      </c>
      <c r="AG86" s="3386"/>
      <c r="AH86" s="3386"/>
      <c r="AI86" s="3387"/>
      <c r="AJ86" s="669" t="s">
        <v>103</v>
      </c>
      <c r="AK86" s="3415"/>
      <c r="AL86" s="3416"/>
      <c r="AM86" s="3416"/>
      <c r="AN86" s="3417"/>
      <c r="AO86" s="2300" t="s">
        <v>860</v>
      </c>
      <c r="AP86" s="2301"/>
      <c r="AQ86" s="2301"/>
      <c r="AR86" s="2301"/>
      <c r="AS86" s="2302"/>
      <c r="AT86" s="3422" t="str">
        <f>IF(CE84=0,"",IF(BA86&lt;&gt;"",BA86,IF(MID(AG82,4,2)="C ","C-19mm",IF(MID(AG82,4,2)="PF","PF-D-16mm",IF(MID(AG82,4,2)="CD","CD-16mm",IF(MID(AG82,4,2)="G ","G-16mm","C-19mm"))))))</f>
        <v>C-19mm</v>
      </c>
      <c r="AU86" s="3423"/>
      <c r="AV86" s="3423"/>
      <c r="AW86" s="3423"/>
      <c r="AX86" s="3423"/>
      <c r="AY86" s="3424"/>
      <c r="AZ86" s="668" t="s">
        <v>103</v>
      </c>
      <c r="BA86" s="3362"/>
      <c r="BB86" s="3363"/>
      <c r="BC86" s="3363"/>
      <c r="BD86" s="3363"/>
      <c r="BE86" s="3363"/>
      <c r="BF86" s="3364"/>
      <c r="BG86" s="3348" t="s">
        <v>235</v>
      </c>
      <c r="BH86" s="3349"/>
      <c r="BI86" s="3349"/>
      <c r="BJ86" s="3349"/>
      <c r="BK86" s="3350"/>
      <c r="BL86" s="3385">
        <f>IF(CE84=0,"",IF(BQ86&lt;&gt;"",BQ86,SUM(CO80:CO81)))</f>
        <v>147</v>
      </c>
      <c r="BM86" s="3386"/>
      <c r="BN86" s="3386"/>
      <c r="BO86" s="3387"/>
      <c r="BP86" s="668" t="s">
        <v>103</v>
      </c>
      <c r="BQ86" s="3425"/>
      <c r="BR86" s="3426"/>
      <c r="BS86" s="3426"/>
      <c r="BT86" s="3427"/>
      <c r="BU86" s="19"/>
      <c r="CF86" s="106" t="s">
        <v>859</v>
      </c>
      <c r="CG86" s="184">
        <f>IF(CE84="=",CD82,0)</f>
        <v>0</v>
      </c>
      <c r="CH86" s="667" t="s">
        <v>858</v>
      </c>
      <c r="CI86" s="184">
        <f>F84+2*$AN$7/1000</f>
        <v>7</v>
      </c>
      <c r="CJ86" s="666" t="s">
        <v>857</v>
      </c>
      <c r="CK86" s="184">
        <f>IF(CG82=1,CG86,0)</f>
        <v>0</v>
      </c>
      <c r="CL86" s="666" t="s">
        <v>856</v>
      </c>
      <c r="CM86" s="184">
        <f>IF(CG82=1,F84,0)</f>
        <v>4</v>
      </c>
      <c r="CN86" s="665">
        <f>INT(AS83/2)</f>
        <v>2</v>
      </c>
      <c r="CO86" s="665">
        <f>IF(AU83="","",1+INT(AU83/2))</f>
        <v>1</v>
      </c>
      <c r="CP86" s="664" t="s">
        <v>939</v>
      </c>
      <c r="CQ86" s="3477" t="str">
        <f>IF(CS86="","","ソノライン・スピーカ 20W")</f>
        <v>ソノライン・スピーカ 20W</v>
      </c>
      <c r="CR86" s="3478"/>
      <c r="CS86" s="222">
        <f>IF(BE83="",0,BE83)</f>
        <v>0</v>
      </c>
      <c r="CT86" s="155"/>
      <c r="CU86" s="148"/>
      <c r="CV86" s="148"/>
      <c r="CY86" s="197">
        <f t="shared" si="55"/>
        <v>7</v>
      </c>
      <c r="CZ86" s="197" t="str">
        <f t="shared" si="53"/>
        <v/>
      </c>
      <c r="DB86" s="24"/>
      <c r="DD86" s="516"/>
      <c r="DE86" s="516"/>
      <c r="DH86" s="197">
        <f t="shared" si="56"/>
        <v>5</v>
      </c>
      <c r="DI86" s="197" t="str">
        <f t="shared" si="54"/>
        <v/>
      </c>
      <c r="DK86" s="24"/>
      <c r="DM86" s="516"/>
      <c r="DN86" s="516"/>
      <c r="DP86" s="8"/>
      <c r="DQ86" s="197">
        <f t="shared" si="59"/>
        <v>11</v>
      </c>
      <c r="DR86" s="197" t="str">
        <f t="shared" si="57"/>
        <v/>
      </c>
      <c r="DS86" s="10" t="str">
        <f>CQ61</f>
        <v>スピーカ 6W S2</v>
      </c>
      <c r="DT86" s="8"/>
      <c r="DU86" s="249" t="str">
        <f>IF(COUNTIF($DS$10:DS85,DS86)&gt;0,"",DS86)</f>
        <v/>
      </c>
      <c r="DV86" s="198">
        <f>CS61</f>
        <v>1</v>
      </c>
      <c r="DW86" s="514">
        <f t="shared" si="58"/>
        <v>5</v>
      </c>
    </row>
    <row r="87" spans="2:127" ht="11.25" customHeight="1">
      <c r="B87" s="23"/>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19"/>
      <c r="CP87" s="6"/>
      <c r="CQ87" s="2986" t="str">
        <f>IF(CS87="","","スピーカ 3W S1")</f>
        <v>スピーカ 3W S1</v>
      </c>
      <c r="CR87" s="3476"/>
      <c r="CS87" s="88">
        <f>IF(AS92=0,"",AS92)</f>
        <v>5</v>
      </c>
      <c r="CT87" s="9"/>
      <c r="CX87" s="88">
        <v>9</v>
      </c>
      <c r="CY87" s="204"/>
      <c r="CZ87" s="155"/>
      <c r="DA87" s="45"/>
      <c r="DB87" s="45"/>
      <c r="DC87" s="45" t="s">
        <v>109</v>
      </c>
      <c r="DD87" s="45"/>
      <c r="DE87" s="45" t="s">
        <v>108</v>
      </c>
      <c r="DG87" s="88">
        <v>9</v>
      </c>
      <c r="DH87" s="204"/>
      <c r="DI87" s="155"/>
      <c r="DJ87" s="45"/>
      <c r="DK87" s="45"/>
      <c r="DL87" s="45" t="s">
        <v>109</v>
      </c>
      <c r="DM87" s="45"/>
      <c r="DN87" s="45" t="s">
        <v>108</v>
      </c>
      <c r="DP87" s="8"/>
      <c r="DQ87" s="197">
        <f t="shared" si="59"/>
        <v>11</v>
      </c>
      <c r="DR87" s="197" t="str">
        <f t="shared" si="57"/>
        <v/>
      </c>
      <c r="DS87" s="10" t="str">
        <f>CQ62</f>
        <v/>
      </c>
      <c r="DT87" s="8"/>
      <c r="DU87" s="249" t="str">
        <f>IF(COUNTIF($DS$10:DS86,DS87)&gt;0,"",DS87)</f>
        <v/>
      </c>
      <c r="DV87" s="198" t="str">
        <f>CS62</f>
        <v/>
      </c>
      <c r="DW87" s="514">
        <f t="shared" si="58"/>
        <v>5</v>
      </c>
    </row>
    <row r="88" spans="2:127" ht="11.25" customHeight="1" thickBot="1">
      <c r="B88" s="23"/>
      <c r="C88" s="2299" t="s">
        <v>16</v>
      </c>
      <c r="D88" s="2299"/>
      <c r="E88" s="2299"/>
      <c r="F88" s="2299" t="s">
        <v>22</v>
      </c>
      <c r="G88" s="2299"/>
      <c r="H88" s="2299"/>
      <c r="I88" s="2299"/>
      <c r="J88" s="2299" t="s">
        <v>5</v>
      </c>
      <c r="K88" s="2299"/>
      <c r="L88" s="2299"/>
      <c r="M88" s="2299"/>
      <c r="N88" s="2299" t="s">
        <v>6</v>
      </c>
      <c r="O88" s="2299"/>
      <c r="P88" s="2299"/>
      <c r="Q88" s="2299"/>
      <c r="R88" s="2299"/>
      <c r="S88" s="2299" t="s">
        <v>938</v>
      </c>
      <c r="T88" s="2299"/>
      <c r="U88" s="2299"/>
      <c r="V88" s="2299"/>
      <c r="W88" s="2299"/>
      <c r="X88" s="2299"/>
      <c r="Y88" s="2299"/>
      <c r="Z88" s="2299"/>
      <c r="AA88" s="3382" t="s">
        <v>7</v>
      </c>
      <c r="AB88" s="3382"/>
      <c r="AC88" s="3382"/>
      <c r="AD88" s="3382"/>
      <c r="AE88" s="2630" t="str">
        <f>IF(S93="","",IF(AH88&lt;&gt;"",AH88,IF(RIGHT($D$10,2)="不要","不","要")))</f>
        <v>要</v>
      </c>
      <c r="AF88" s="2630"/>
      <c r="AG88" s="668" t="s">
        <v>937</v>
      </c>
      <c r="AH88" s="2632"/>
      <c r="AI88" s="2633"/>
      <c r="AJ88" s="3371" t="s">
        <v>913</v>
      </c>
      <c r="AK88" s="3372"/>
      <c r="AL88" s="3372"/>
      <c r="AM88" s="3373"/>
      <c r="AN88" s="3383" t="str">
        <f>IF(W93="","",IF(AQ88&lt;&gt;"",AQ88,IF(RIGHT($D$10,2)="設置","要","不")))</f>
        <v>要</v>
      </c>
      <c r="AO88" s="3384"/>
      <c r="AP88" s="668" t="s">
        <v>937</v>
      </c>
      <c r="AQ88" s="2632"/>
      <c r="AR88" s="2633"/>
      <c r="AS88" s="3399" t="s">
        <v>912</v>
      </c>
      <c r="AT88" s="3412"/>
      <c r="AU88" s="3412"/>
      <c r="AV88" s="3412"/>
      <c r="AW88" s="3412"/>
      <c r="AX88" s="3412"/>
      <c r="AY88" s="3412"/>
      <c r="AZ88" s="3412"/>
      <c r="BA88" s="3412"/>
      <c r="BB88" s="3412"/>
      <c r="BC88" s="3412"/>
      <c r="BD88" s="3412"/>
      <c r="BE88" s="3412"/>
      <c r="BF88" s="3412"/>
      <c r="BG88" s="3412"/>
      <c r="BH88" s="3413"/>
      <c r="BI88" s="3399" t="s">
        <v>934</v>
      </c>
      <c r="BJ88" s="3412"/>
      <c r="BK88" s="3412"/>
      <c r="BL88" s="3413"/>
      <c r="BM88" s="3360" t="s">
        <v>936</v>
      </c>
      <c r="BN88" s="3419"/>
      <c r="BO88" s="3419"/>
      <c r="BP88" s="3419"/>
      <c r="BQ88" s="3419"/>
      <c r="BR88" s="3361"/>
      <c r="BS88" s="3441" t="s">
        <v>935</v>
      </c>
      <c r="BT88" s="3442"/>
      <c r="BU88" s="19"/>
      <c r="BW88" s="102"/>
      <c r="CF88" s="8"/>
      <c r="CG88" s="685" t="s">
        <v>909</v>
      </c>
      <c r="CH88" s="685" t="s">
        <v>908</v>
      </c>
      <c r="CI88" s="685" t="s">
        <v>934</v>
      </c>
      <c r="CJ88" s="686">
        <f>IF($AX$8=0,"",INT(10.7*CD90*CE90/($BF$8/1000)^2))</f>
        <v>85</v>
      </c>
      <c r="CK88" s="685" t="s">
        <v>933</v>
      </c>
      <c r="CL88" s="685" t="s">
        <v>932</v>
      </c>
      <c r="CM88" s="685" t="s">
        <v>931</v>
      </c>
      <c r="CN88" s="550" t="s">
        <v>734</v>
      </c>
      <c r="CO88" s="550" t="s">
        <v>732</v>
      </c>
      <c r="CP88" s="684"/>
      <c r="CQ88" s="2986" t="str">
        <f>IF(CS88="","","スピーカ 3W S3")</f>
        <v>スピーカ 3W S3</v>
      </c>
      <c r="CR88" s="3476"/>
      <c r="CS88" s="88">
        <f>IF(AY92=0,"",AY92)</f>
        <v>4</v>
      </c>
      <c r="CT88" s="3483" t="str">
        <f>IF(CV88="","","マイクロホン")</f>
        <v/>
      </c>
      <c r="CU88" s="3484"/>
      <c r="CV88" s="88" t="str">
        <f>BG92</f>
        <v/>
      </c>
      <c r="CX88" s="8"/>
      <c r="CY88" s="197">
        <f>IF(DC88&lt;&gt;"",CY86+1,CY86)</f>
        <v>8</v>
      </c>
      <c r="CZ88" s="197">
        <f t="shared" ref="CZ88:CZ95" si="60">IF(AND(CY88&lt;&gt;"",DC88&lt;&gt;""),CY88,"")</f>
        <v>8</v>
      </c>
      <c r="DA88" s="10" t="str">
        <f>H94</f>
        <v>HP 1.2mm- 30Pr</v>
      </c>
      <c r="DB88" s="8"/>
      <c r="DC88" s="249" t="str">
        <f>IF(COUNTIF(DA$10:$DA85,DA88)&gt;0,"",DA88)</f>
        <v>HP 1.2mm- 30Pr</v>
      </c>
      <c r="DD88" s="515">
        <f>AF94</f>
        <v>7</v>
      </c>
      <c r="DE88" s="514">
        <f>SUMIF($DA$13:$DA$199,DC88,$DD$13:$DD$199)</f>
        <v>14</v>
      </c>
      <c r="DG88" s="8"/>
      <c r="DH88" s="197">
        <f>IF(DL88&lt;&gt;"",DH86+1,DH86)</f>
        <v>5</v>
      </c>
      <c r="DI88" s="197" t="str">
        <f t="shared" ref="DI88:DI95" si="61">IF(AND(DH88&lt;&gt;"",DL88&lt;&gt;""),DH88,"")</f>
        <v/>
      </c>
      <c r="DJ88" s="10" t="str">
        <f>AT94</f>
        <v>C-39mm</v>
      </c>
      <c r="DK88" s="8"/>
      <c r="DL88" s="249" t="str">
        <f>IF(COUNTIF($DA$10:DJ85,DJ88)&gt;0,"",DJ88)</f>
        <v/>
      </c>
      <c r="DM88" s="515">
        <f>BL94</f>
        <v>4</v>
      </c>
      <c r="DN88" s="514">
        <f>SUMIF($DJ$13:$DJ$199,DL88,$DM$13:$DM$199)</f>
        <v>0</v>
      </c>
      <c r="DQ88" s="197">
        <f t="shared" si="59"/>
        <v>11</v>
      </c>
      <c r="DR88" s="197" t="str">
        <f t="shared" si="57"/>
        <v/>
      </c>
      <c r="DS88" s="10" t="str">
        <f>CQ64</f>
        <v/>
      </c>
      <c r="DT88" s="24"/>
      <c r="DU88" s="249" t="str">
        <f>IF(COUNTIF($DS$10:DS87,DS88)&gt;0,"",DS88)</f>
        <v/>
      </c>
      <c r="DV88" s="198" t="str">
        <f>CS64</f>
        <v/>
      </c>
      <c r="DW88" s="514">
        <f t="shared" si="58"/>
        <v>5</v>
      </c>
    </row>
    <row r="89" spans="2:127" ht="11.25" customHeight="1" thickBot="1">
      <c r="B89" s="23"/>
      <c r="C89" s="2299"/>
      <c r="D89" s="2299"/>
      <c r="E89" s="2299"/>
      <c r="F89" s="2396"/>
      <c r="G89" s="2396"/>
      <c r="H89" s="2396"/>
      <c r="I89" s="2396"/>
      <c r="J89" s="2396"/>
      <c r="K89" s="2396"/>
      <c r="L89" s="2396"/>
      <c r="M89" s="2396"/>
      <c r="N89" s="2396"/>
      <c r="O89" s="2396"/>
      <c r="P89" s="2396"/>
      <c r="Q89" s="2396"/>
      <c r="R89" s="2396"/>
      <c r="S89" s="2396" t="s">
        <v>7</v>
      </c>
      <c r="T89" s="2396"/>
      <c r="U89" s="2396"/>
      <c r="V89" s="2396"/>
      <c r="W89" s="2396" t="s">
        <v>8</v>
      </c>
      <c r="X89" s="2396"/>
      <c r="Y89" s="2396"/>
      <c r="Z89" s="2396"/>
      <c r="AA89" s="2384" t="s">
        <v>9</v>
      </c>
      <c r="AB89" s="2385"/>
      <c r="AC89" s="2386"/>
      <c r="AD89" s="2384" t="s">
        <v>9</v>
      </c>
      <c r="AE89" s="2385"/>
      <c r="AF89" s="2386"/>
      <c r="AG89" s="2384" t="str">
        <f>IF(AN89="","","専部屋面積")</f>
        <v>専部屋面積</v>
      </c>
      <c r="AH89" s="2385"/>
      <c r="AI89" s="2385"/>
      <c r="AJ89" s="2382"/>
      <c r="AK89" s="2382"/>
      <c r="AL89" s="2382"/>
      <c r="AM89" s="3392"/>
      <c r="AN89" s="3365">
        <f>IF(OR(C93="",$B$2=0),"",S93/AA93)</f>
        <v>268.8</v>
      </c>
      <c r="AO89" s="3366"/>
      <c r="AP89" s="3366"/>
      <c r="AQ89" s="3366"/>
      <c r="AR89" s="3367"/>
      <c r="AS89" s="2300" t="s">
        <v>903</v>
      </c>
      <c r="AT89" s="2301"/>
      <c r="AU89" s="2301"/>
      <c r="AV89" s="2301"/>
      <c r="AW89" s="2301"/>
      <c r="AX89" s="2302"/>
      <c r="AY89" s="2300" t="s">
        <v>902</v>
      </c>
      <c r="AZ89" s="2301"/>
      <c r="BA89" s="2301"/>
      <c r="BB89" s="2302"/>
      <c r="BC89" s="2300" t="s">
        <v>902</v>
      </c>
      <c r="BD89" s="2301"/>
      <c r="BE89" s="2301"/>
      <c r="BF89" s="2302"/>
      <c r="BG89" s="2300" t="s">
        <v>743</v>
      </c>
      <c r="BH89" s="2302"/>
      <c r="BI89" s="2300" t="s">
        <v>901</v>
      </c>
      <c r="BJ89" s="2301"/>
      <c r="BK89" s="2301"/>
      <c r="BL89" s="2302"/>
      <c r="BM89" s="2299" t="s">
        <v>930</v>
      </c>
      <c r="BN89" s="2299"/>
      <c r="BO89" s="2299"/>
      <c r="BP89" s="2299" t="s">
        <v>929</v>
      </c>
      <c r="BQ89" s="2299"/>
      <c r="BR89" s="2299"/>
      <c r="BS89" s="3439" t="s">
        <v>928</v>
      </c>
      <c r="BT89" s="3440"/>
      <c r="BU89" s="19"/>
      <c r="BW89" s="679"/>
      <c r="BX89" s="90" t="s">
        <v>889</v>
      </c>
      <c r="BY89" s="100" t="s">
        <v>927</v>
      </c>
      <c r="CC89" s="180">
        <v>64</v>
      </c>
      <c r="CD89" s="55" t="s">
        <v>229</v>
      </c>
      <c r="CE89" s="55" t="s">
        <v>228</v>
      </c>
      <c r="CF89" s="106" t="s">
        <v>859</v>
      </c>
      <c r="CG89" s="184">
        <f>INT((CD91+10)*BY92+CS90*$AN$8/1000+($AN$7/1000)*BY92)</f>
        <v>120</v>
      </c>
      <c r="CH89" s="184">
        <f>INT(CD91*CS95+CS95)</f>
        <v>0</v>
      </c>
      <c r="CI89" s="184">
        <f>8*SUM(BI92:BL92)</f>
        <v>24</v>
      </c>
      <c r="CJ89" s="185">
        <f>IF($AX$8=0,"",2*INT(0.5*CJ88))</f>
        <v>84</v>
      </c>
      <c r="CK89" s="184"/>
      <c r="CL89" s="184" t="str">
        <f>IF(BP92="","",10*BP92)</f>
        <v/>
      </c>
      <c r="CM89" s="184" t="str">
        <f>IF(BP92="","",10*BP92)</f>
        <v/>
      </c>
      <c r="CN89" s="682">
        <f>IF(S93="",0,IF(AE88="不","",(SUM(CG89:CM89)+SUM(CG90:CM90))*S93/N93))</f>
        <v>224.7</v>
      </c>
      <c r="CO89" s="682">
        <f>IF(S93="",0,IF(AE88="不","",(SUM(CG92:CM92)+SUM(CG93:CM93))*S93/N93))</f>
        <v>102.9</v>
      </c>
      <c r="CP89" s="664" t="s">
        <v>1</v>
      </c>
      <c r="CQ89" s="2986" t="str">
        <f>IF(CS89="","","スピーカ S5")</f>
        <v/>
      </c>
      <c r="CR89" s="3476"/>
      <c r="CS89" s="683" t="str">
        <f>IF(AW92=0,"",AW92)</f>
        <v/>
      </c>
      <c r="CT89" s="3483" t="str">
        <f>IF(CV89="","","アッテネータ 3W")</f>
        <v>アッテネータ 3W</v>
      </c>
      <c r="CU89" s="3484"/>
      <c r="CV89" s="88">
        <f>BI92</f>
        <v>2</v>
      </c>
      <c r="CX89" s="8"/>
      <c r="CY89" s="197">
        <f t="shared" ref="CY89:CY95" si="62">IF(DC89&lt;&gt;"",CY88+1,CY88)</f>
        <v>8</v>
      </c>
      <c r="CZ89" s="197" t="str">
        <f t="shared" si="60"/>
        <v/>
      </c>
      <c r="DA89" s="10" t="str">
        <f>H95</f>
        <v>HP 1.2mm-3C</v>
      </c>
      <c r="DB89" s="8"/>
      <c r="DC89" s="249" t="str">
        <f>IF(COUNTIF(DA$10:$DA86,DA89)&gt;0,"",DA89)</f>
        <v/>
      </c>
      <c r="DD89" s="515">
        <f>AF95</f>
        <v>321</v>
      </c>
      <c r="DE89" s="514">
        <f>SUMIF($DA$13:$DA$199,DC89,$DD$13:$DD$199)</f>
        <v>0</v>
      </c>
      <c r="DG89" s="8"/>
      <c r="DH89" s="197">
        <f t="shared" ref="DH89:DH95" si="63">IF(DL89&lt;&gt;"",DH88+1,DH88)</f>
        <v>5</v>
      </c>
      <c r="DI89" s="197" t="str">
        <f t="shared" si="61"/>
        <v/>
      </c>
      <c r="DJ89" s="10" t="str">
        <f>AT95</f>
        <v>C-19mm</v>
      </c>
      <c r="DK89" s="8"/>
      <c r="DL89" s="249" t="str">
        <f>IF(COUNTIF($DA$10:DJ86,DJ89)&gt;0,"",DJ89)</f>
        <v/>
      </c>
      <c r="DM89" s="515">
        <f>BL95</f>
        <v>147</v>
      </c>
      <c r="DN89" s="514">
        <f>SUMIF($DJ$13:$DJ$199,DL89,$DM$13:$DM$199)</f>
        <v>0</v>
      </c>
      <c r="DQ89" s="197">
        <f t="shared" si="59"/>
        <v>11</v>
      </c>
      <c r="DR89" s="197" t="str">
        <f t="shared" si="57"/>
        <v/>
      </c>
      <c r="DS89" s="201" t="str">
        <f>CQ65</f>
        <v>ソノライン・スピーカ 20W</v>
      </c>
      <c r="DT89" s="24"/>
      <c r="DU89" s="249" t="str">
        <f>IF(COUNTIF($DS$10:DS88,DS89)&gt;0,"",DS89)</f>
        <v/>
      </c>
      <c r="DV89" s="198">
        <f>CS65</f>
        <v>0</v>
      </c>
      <c r="DW89" s="514">
        <f t="shared" si="58"/>
        <v>5</v>
      </c>
    </row>
    <row r="90" spans="2:127" ht="11.25" customHeight="1" thickBot="1">
      <c r="B90" s="23"/>
      <c r="C90" s="2396"/>
      <c r="D90" s="2396"/>
      <c r="E90" s="2396"/>
      <c r="F90" s="2397" t="s">
        <v>235</v>
      </c>
      <c r="G90" s="2397"/>
      <c r="H90" s="2397"/>
      <c r="I90" s="2397"/>
      <c r="J90" s="2397" t="s">
        <v>235</v>
      </c>
      <c r="K90" s="2397"/>
      <c r="L90" s="2397"/>
      <c r="M90" s="2397"/>
      <c r="N90" s="2397" t="s">
        <v>128</v>
      </c>
      <c r="O90" s="2397"/>
      <c r="P90" s="2397"/>
      <c r="Q90" s="2397"/>
      <c r="R90" s="2397"/>
      <c r="S90" s="2397" t="s">
        <v>128</v>
      </c>
      <c r="T90" s="2397"/>
      <c r="U90" s="2397"/>
      <c r="V90" s="2397"/>
      <c r="W90" s="2397" t="s">
        <v>128</v>
      </c>
      <c r="X90" s="2397"/>
      <c r="Y90" s="2397"/>
      <c r="Z90" s="2397"/>
      <c r="AA90" s="2397" t="s">
        <v>111</v>
      </c>
      <c r="AB90" s="2397"/>
      <c r="AC90" s="2397"/>
      <c r="AD90" s="2397" t="s">
        <v>110</v>
      </c>
      <c r="AE90" s="2397"/>
      <c r="AF90" s="2397"/>
      <c r="AG90" s="3398" t="str">
        <f>IF(AN90="","","共部屋面積")</f>
        <v>共部屋面積</v>
      </c>
      <c r="AH90" s="2382"/>
      <c r="AI90" s="2382"/>
      <c r="AJ90" s="2382"/>
      <c r="AK90" s="2382"/>
      <c r="AL90" s="2382"/>
      <c r="AM90" s="3392"/>
      <c r="AN90" s="3368">
        <f>IF(OR($B$2=0,C93=""),"",W93/AD93)</f>
        <v>38.400000000000006</v>
      </c>
      <c r="AO90" s="3369"/>
      <c r="AP90" s="3369"/>
      <c r="AQ90" s="3369"/>
      <c r="AR90" s="3370"/>
      <c r="AS90" s="3419" t="s">
        <v>895</v>
      </c>
      <c r="AT90" s="3361"/>
      <c r="AU90" s="3360" t="s">
        <v>894</v>
      </c>
      <c r="AV90" s="3361"/>
      <c r="AW90" s="3360" t="s">
        <v>893</v>
      </c>
      <c r="AX90" s="3361"/>
      <c r="AY90" s="3360" t="s">
        <v>892</v>
      </c>
      <c r="AZ90" s="3361"/>
      <c r="BA90" s="3360" t="s">
        <v>891</v>
      </c>
      <c r="BB90" s="3361"/>
      <c r="BC90" s="3360" t="s">
        <v>890</v>
      </c>
      <c r="BD90" s="3361"/>
      <c r="BE90" s="3360" t="s">
        <v>889</v>
      </c>
      <c r="BF90" s="3361"/>
      <c r="BG90" s="3432" t="s">
        <v>888</v>
      </c>
      <c r="BH90" s="3433"/>
      <c r="BI90" s="3360"/>
      <c r="BJ90" s="3361"/>
      <c r="BK90" s="3360"/>
      <c r="BL90" s="3361"/>
      <c r="BM90" s="3391" t="s">
        <v>887</v>
      </c>
      <c r="BN90" s="3391"/>
      <c r="BO90" s="3391"/>
      <c r="BP90" s="3391" t="s">
        <v>887</v>
      </c>
      <c r="BQ90" s="3391"/>
      <c r="BR90" s="3391"/>
      <c r="BS90" s="3432" t="s">
        <v>744</v>
      </c>
      <c r="BT90" s="3433"/>
      <c r="BU90" s="19"/>
      <c r="BW90" s="102"/>
      <c r="BX90" s="88">
        <f>IF(OR(J91="( 10)",J91="(12)イ",LEFT(J91,4)="(13)"),1,0)</f>
        <v>0</v>
      </c>
      <c r="BY90" s="88" t="str">
        <f>IF(OR(J91="(1) ロ",J91="(2) ロ",J91="(2) ニ",J91="(5) イ",J91="(6) ハ",J91="(6) ニ",J91="( 7 )",J91="( 15)"),"要","")</f>
        <v/>
      </c>
      <c r="CC90" s="46">
        <v>9</v>
      </c>
      <c r="CD90" s="98">
        <f>非誘!BW66</f>
        <v>12</v>
      </c>
      <c r="CE90" s="98">
        <f>非誘!BX66</f>
        <v>24</v>
      </c>
      <c r="CF90" s="106" t="s">
        <v>858</v>
      </c>
      <c r="CG90" s="185">
        <f>INT((F93-$Y$10/1000-0.25)*BY92)</f>
        <v>8</v>
      </c>
      <c r="CH90" s="184">
        <f>1+INT((F93-$Y$7/1000-0.25+$AN$8/1000)*CS95)</f>
        <v>1</v>
      </c>
      <c r="CI90" s="184">
        <f>INT((F93-$Y$8/1000-0.25+$AN$9/1000)*SUM(BI92:BL92))</f>
        <v>8</v>
      </c>
      <c r="CJ90" s="185">
        <f>IF($AX$8=0,"",2*INT(CJ88*($AX$8-250)/1000))</f>
        <v>76</v>
      </c>
      <c r="CK90" s="184"/>
      <c r="CL90" s="184" t="str">
        <f>IF(BP92="","",INT((F93-$Y$9/1000-0.25+AN84/1000)*BP92))</f>
        <v/>
      </c>
      <c r="CM90" s="184" t="str">
        <f>IF(BS92="","",INT((F93-$Y$9/1000-0.25+AN84/1000)*BS92))</f>
        <v/>
      </c>
      <c r="CN90" s="682">
        <f>IF(AN88="不","",(SUM(CG89:CM89)+SUM(CG90:CM90))*W93/N93)</f>
        <v>96.300000000000011</v>
      </c>
      <c r="CO90" s="682">
        <f>IF(AN88="不","",(SUM(CG92:CM92)+SUM(CG93:CM93))*W93/N93)</f>
        <v>44.1</v>
      </c>
      <c r="CP90" s="670" t="s">
        <v>877</v>
      </c>
      <c r="CQ90" s="15"/>
      <c r="CR90" s="106" t="s">
        <v>868</v>
      </c>
      <c r="CS90" s="8">
        <f>SUM(CS87:CS89)</f>
        <v>9</v>
      </c>
      <c r="CT90" s="3485" t="str">
        <f>IF(CV90="","","アッテネータ 6W")</f>
        <v>アッテネータ 6W</v>
      </c>
      <c r="CU90" s="3484"/>
      <c r="CV90" s="88">
        <f>BK92</f>
        <v>1</v>
      </c>
      <c r="CX90" s="8"/>
      <c r="CY90" s="197">
        <f t="shared" si="62"/>
        <v>8</v>
      </c>
      <c r="CZ90" s="197" t="str">
        <f t="shared" si="60"/>
        <v/>
      </c>
      <c r="DA90" s="10"/>
      <c r="DB90" s="8"/>
      <c r="DC90" s="249"/>
      <c r="DD90" s="515"/>
      <c r="DE90" s="514"/>
      <c r="DG90" s="8"/>
      <c r="DH90" s="197">
        <f t="shared" si="63"/>
        <v>5</v>
      </c>
      <c r="DI90" s="197" t="str">
        <f t="shared" si="61"/>
        <v/>
      </c>
      <c r="DJ90" s="10"/>
      <c r="DK90" s="8"/>
      <c r="DL90" s="249"/>
      <c r="DM90" s="515"/>
      <c r="DN90" s="514"/>
      <c r="DQ90" s="197">
        <f t="shared" si="59"/>
        <v>11</v>
      </c>
      <c r="DR90" s="197" t="str">
        <f t="shared" si="57"/>
        <v/>
      </c>
      <c r="DS90" s="10" t="str">
        <f t="shared" ref="DS90:DS95" si="64">CT58</f>
        <v/>
      </c>
      <c r="DT90" s="24"/>
      <c r="DU90" s="249" t="str">
        <f>IF(COUNTIF($DS$10:DS89,DS90)&gt;0,"",DS90)</f>
        <v/>
      </c>
      <c r="DV90" s="198" t="str">
        <f t="shared" ref="DV90:DV95" si="65">CV58</f>
        <v/>
      </c>
      <c r="DW90" s="514">
        <f t="shared" si="58"/>
        <v>5</v>
      </c>
    </row>
    <row r="91" spans="2:127" ht="11.25" customHeight="1" thickBot="1">
      <c r="B91" s="23"/>
      <c r="C91" s="2299" t="s">
        <v>112</v>
      </c>
      <c r="D91" s="2299"/>
      <c r="E91" s="2299"/>
      <c r="F91" s="2299"/>
      <c r="G91" s="2299"/>
      <c r="H91" s="2299"/>
      <c r="I91" s="3399"/>
      <c r="J91" s="3400" t="str">
        <f>非誘!J64</f>
        <v>( 4 )</v>
      </c>
      <c r="K91" s="3401"/>
      <c r="L91" s="3401"/>
      <c r="M91" s="3402"/>
      <c r="N91" s="3403" t="str">
        <f>非誘!M64</f>
        <v>百貨店等</v>
      </c>
      <c r="O91" s="3404"/>
      <c r="P91" s="3404"/>
      <c r="Q91" s="3404"/>
      <c r="R91" s="3404"/>
      <c r="S91" s="3404"/>
      <c r="T91" s="3404"/>
      <c r="U91" s="3404"/>
      <c r="V91" s="3404"/>
      <c r="W91" s="3404"/>
      <c r="X91" s="3404"/>
      <c r="Y91" s="3404"/>
      <c r="Z91" s="3405"/>
      <c r="AA91" s="3406" t="s">
        <v>926</v>
      </c>
      <c r="AB91" s="2301"/>
      <c r="AC91" s="2301"/>
      <c r="AD91" s="2301"/>
      <c r="AE91" s="2301"/>
      <c r="AF91" s="2302"/>
      <c r="AG91" s="3393" t="str">
        <f>IF($B$2=0,"",IF(AN91="","天井(C 管)",AN91))</f>
        <v>天井(C 管)</v>
      </c>
      <c r="AH91" s="2368"/>
      <c r="AI91" s="2368"/>
      <c r="AJ91" s="2368"/>
      <c r="AK91" s="2368"/>
      <c r="AL91" s="3394"/>
      <c r="AM91" s="668" t="s">
        <v>925</v>
      </c>
      <c r="AN91" s="3395"/>
      <c r="AO91" s="3396"/>
      <c r="AP91" s="3396"/>
      <c r="AQ91" s="3396"/>
      <c r="AR91" s="3397"/>
      <c r="AS91" s="3434" t="s">
        <v>881</v>
      </c>
      <c r="AT91" s="3435"/>
      <c r="AU91" s="3436" t="s">
        <v>880</v>
      </c>
      <c r="AV91" s="3437"/>
      <c r="AW91" s="3432"/>
      <c r="AX91" s="3433"/>
      <c r="AY91" s="3432" t="s">
        <v>881</v>
      </c>
      <c r="AZ91" s="3433"/>
      <c r="BA91" s="3436" t="s">
        <v>884</v>
      </c>
      <c r="BB91" s="3437"/>
      <c r="BC91" s="3436" t="s">
        <v>883</v>
      </c>
      <c r="BD91" s="3438"/>
      <c r="BE91" s="3438"/>
      <c r="BF91" s="3437"/>
      <c r="BG91" s="3420" t="s">
        <v>882</v>
      </c>
      <c r="BH91" s="3421"/>
      <c r="BI91" s="3436" t="s">
        <v>881</v>
      </c>
      <c r="BJ91" s="3437"/>
      <c r="BK91" s="3436" t="s">
        <v>880</v>
      </c>
      <c r="BL91" s="3437"/>
      <c r="BM91" s="3407" t="str">
        <f>IF(BM92="","",$BW$12)</f>
        <v/>
      </c>
      <c r="BN91" s="3407"/>
      <c r="BO91" s="3407"/>
      <c r="BP91" s="3407" t="str">
        <f>IF(BP92="","",30)</f>
        <v/>
      </c>
      <c r="BQ91" s="3407"/>
      <c r="BR91" s="3407"/>
      <c r="BS91" s="2384" t="s">
        <v>879</v>
      </c>
      <c r="BT91" s="2386"/>
      <c r="BU91" s="19"/>
      <c r="BW91" s="102"/>
      <c r="CB91" s="90" t="s">
        <v>924</v>
      </c>
      <c r="CC91" s="479" t="str">
        <f>AD92</f>
        <v>⑦</v>
      </c>
      <c r="CD91" s="263">
        <f>IF(C93="","",IF(CC91="①",CD90+CE90+3,IF(CC91="②",CD90*5/8+CE90+3,IF(CC91="③",CD90/2+CE90+3,IF(CC91="④",CD90+CE90*5/8+3,IF(CC91="⑤",(CD90+CE90)*5/8+3,IF(CC91="⑥",CD90/2+CE90*5/8+3,IF(CC91="⑦",CD90+CE90/2+3,IF(CC91="⑧",CD90*5/8+CE90/2+3,IF(CC91="⑨",(CD90+CE90)/2+3))))))))))</f>
        <v>27</v>
      </c>
      <c r="CE91" s="8"/>
      <c r="CF91" s="106"/>
      <c r="CG91" s="681">
        <f>IF(AG91="天井ケーブル",0,1)</f>
        <v>1</v>
      </c>
      <c r="CH91" s="394"/>
      <c r="CI91" s="394"/>
      <c r="CJ91" s="59"/>
      <c r="CK91" s="394"/>
      <c r="CL91" s="394"/>
      <c r="CM91" s="394"/>
      <c r="CN91" s="62" t="s">
        <v>1</v>
      </c>
      <c r="CO91" s="62" t="s">
        <v>877</v>
      </c>
      <c r="CP91" s="38"/>
      <c r="CQ91" s="2986" t="str">
        <f>IF(CS91="","","スピーカ 6W S2")</f>
        <v>スピーカ 6W S2</v>
      </c>
      <c r="CR91" s="3476"/>
      <c r="CS91" s="88">
        <f>IF(AU92=0,"",AU92)</f>
        <v>1</v>
      </c>
      <c r="CT91" s="3483" t="str">
        <f>IF(CV91="","","主増幅器")</f>
        <v/>
      </c>
      <c r="CU91" s="3484"/>
      <c r="CV91" s="88" t="str">
        <f>BM92</f>
        <v/>
      </c>
      <c r="CX91" s="8"/>
      <c r="CY91" s="197">
        <f t="shared" si="62"/>
        <v>8</v>
      </c>
      <c r="CZ91" s="197" t="str">
        <f t="shared" si="60"/>
        <v/>
      </c>
      <c r="DA91" s="10"/>
      <c r="DB91" s="8"/>
      <c r="DC91" s="249"/>
      <c r="DD91" s="515"/>
      <c r="DE91" s="514"/>
      <c r="DG91" s="8"/>
      <c r="DH91" s="197">
        <f t="shared" si="63"/>
        <v>5</v>
      </c>
      <c r="DI91" s="197" t="str">
        <f t="shared" si="61"/>
        <v/>
      </c>
      <c r="DJ91" s="10"/>
      <c r="DK91" s="8"/>
      <c r="DL91" s="249"/>
      <c r="DM91" s="515"/>
      <c r="DN91" s="514"/>
      <c r="DQ91" s="197">
        <f t="shared" si="59"/>
        <v>11</v>
      </c>
      <c r="DR91" s="197" t="str">
        <f t="shared" si="57"/>
        <v/>
      </c>
      <c r="DS91" s="10" t="str">
        <f t="shared" si="64"/>
        <v>アッテネータ 3W</v>
      </c>
      <c r="DT91" s="24"/>
      <c r="DU91" s="249" t="str">
        <f>IF(COUNTIF($DS$10:DS90,DS91)&gt;0,"",DS91)</f>
        <v/>
      </c>
      <c r="DV91" s="198">
        <f t="shared" si="65"/>
        <v>2</v>
      </c>
      <c r="DW91" s="514">
        <f t="shared" si="58"/>
        <v>5</v>
      </c>
    </row>
    <row r="92" spans="2:127" ht="11.25" customHeight="1" thickBot="1">
      <c r="B92" s="23"/>
      <c r="C92" s="3409" t="s">
        <v>923</v>
      </c>
      <c r="D92" s="3410"/>
      <c r="E92" s="3410"/>
      <c r="F92" s="3410"/>
      <c r="G92" s="3410"/>
      <c r="H92" s="3411"/>
      <c r="I92" s="3430" t="str">
        <f>非誘!AA64</f>
        <v>A</v>
      </c>
      <c r="J92" s="3430"/>
      <c r="K92" s="3430"/>
      <c r="L92" s="2395" t="s">
        <v>214</v>
      </c>
      <c r="M92" s="2395"/>
      <c r="N92" s="2395"/>
      <c r="O92" s="2395"/>
      <c r="P92" s="2395"/>
      <c r="Q92" s="2395"/>
      <c r="R92" s="2395"/>
      <c r="S92" s="3379">
        <f>非誘!J65</f>
        <v>0.5</v>
      </c>
      <c r="T92" s="3380"/>
      <c r="U92" s="3380"/>
      <c r="V92" s="3381"/>
      <c r="W92" s="3399" t="s">
        <v>875</v>
      </c>
      <c r="X92" s="3412"/>
      <c r="Y92" s="3412"/>
      <c r="Z92" s="3412"/>
      <c r="AA92" s="2654"/>
      <c r="AB92" s="2654"/>
      <c r="AC92" s="2655"/>
      <c r="AD92" s="3388" t="str">
        <f>非誘!V65</f>
        <v>⑦</v>
      </c>
      <c r="AE92" s="3389"/>
      <c r="AF92" s="3390"/>
      <c r="AG92" s="3391" t="s">
        <v>874</v>
      </c>
      <c r="AH92" s="3391"/>
      <c r="AI92" s="3391"/>
      <c r="AJ92" s="3391"/>
      <c r="AK92" s="3391"/>
      <c r="AL92" s="2990" t="str">
        <f>IF(AP92&lt;&gt;"",AP92,IF(C93=$BG$10,C93,""))</f>
        <v/>
      </c>
      <c r="AM92" s="2990"/>
      <c r="AN92" s="2990"/>
      <c r="AO92" s="668" t="s">
        <v>34</v>
      </c>
      <c r="AP92" s="3325"/>
      <c r="AQ92" s="3326"/>
      <c r="AR92" s="3327"/>
      <c r="AS92" s="3418">
        <f>IF(CE93=0,"",IF(AS93&lt;&gt;"",AS93,IF(BE92&lt;&gt;"",CN94,SUM(CN92:CO92))))</f>
        <v>5</v>
      </c>
      <c r="AT92" s="3375"/>
      <c r="AU92" s="3418">
        <f>IF(CE93=0,"",IF(AU93&lt;&gt;"",AU93,CN93))</f>
        <v>1</v>
      </c>
      <c r="AV92" s="3375"/>
      <c r="AW92" s="3418"/>
      <c r="AX92" s="3375"/>
      <c r="AY92" s="3418">
        <f>IF(AA93="","",IF(AY93&lt;&gt;"",AY93,CO93))</f>
        <v>4</v>
      </c>
      <c r="AZ92" s="3375"/>
      <c r="BA92" s="3418"/>
      <c r="BB92" s="3375"/>
      <c r="BC92" s="3418" t="str">
        <f>IF(OR(AL93="不",,BP92=""),"",IF(BC93&lt;&gt;"",BC93,BP92*2))</f>
        <v/>
      </c>
      <c r="BD92" s="3375"/>
      <c r="BE92" s="3418" t="str">
        <f>IF(BE93&lt;&gt;"",BE93,IF(BX90=0,"",CN94))</f>
        <v/>
      </c>
      <c r="BF92" s="3375"/>
      <c r="BG92" s="3418" t="str">
        <f>IF(AE88="不","",IF(BG93&lt;&gt;"",BG93,BP92))</f>
        <v/>
      </c>
      <c r="BH92" s="3375"/>
      <c r="BI92" s="3418">
        <f>IF(CE93=0,"",CN95)</f>
        <v>2</v>
      </c>
      <c r="BJ92" s="3375"/>
      <c r="BK92" s="3374">
        <f>IF(CE93=0,"",CO95)</f>
        <v>1</v>
      </c>
      <c r="BL92" s="3375"/>
      <c r="BM92" s="3376" t="str">
        <f>IF(CE93=0,"",IF(BM93&lt;&gt;"",BM93,IF(C93=AL92,1,"")))</f>
        <v/>
      </c>
      <c r="BN92" s="3377"/>
      <c r="BO92" s="3378"/>
      <c r="BP92" s="3376" t="str">
        <f>IF(CE93=0,"",IF(OR(AE88="不",AA93="",S93=""),"",IF(BP93&lt;&gt;"",BP93,IF(AL93="要",1+INT(S93/1000),""))))</f>
        <v/>
      </c>
      <c r="BQ92" s="3377"/>
      <c r="BR92" s="3378"/>
      <c r="BS92" s="3376" t="str">
        <f>IF(BS93&lt;&gt;"",BS93,BP92)</f>
        <v/>
      </c>
      <c r="BT92" s="3378"/>
      <c r="BU92" s="19"/>
      <c r="BW92" s="680">
        <f>IF(AND(CS93=0,CS94=""),CS90*3,CS90*3+CS93*6)</f>
        <v>33</v>
      </c>
      <c r="BX92" s="102">
        <f>BY93</f>
        <v>20</v>
      </c>
      <c r="BY92" s="522">
        <f>1+INT(SUM(S93:Z93)/400)</f>
        <v>3</v>
      </c>
      <c r="BZ92" s="100" t="s">
        <v>873</v>
      </c>
      <c r="CB92" s="678">
        <f>IF(CE93="=",MID(BZ93,10,3),10*(1+INT(BY92*3/10)))</f>
        <v>10</v>
      </c>
      <c r="CC92" s="10" t="s">
        <v>922</v>
      </c>
      <c r="CF92" s="106" t="s">
        <v>857</v>
      </c>
      <c r="CG92" s="136">
        <f>IF(CG91=1,INT(CD91*BY92)+BY92*10,"")</f>
        <v>111</v>
      </c>
      <c r="CH92" s="136">
        <f>IF(CG91=1,INT(CD91*CS95),"")</f>
        <v>0</v>
      </c>
      <c r="CI92" s="136">
        <f>8*SUM(BI92:BL92)</f>
        <v>24</v>
      </c>
      <c r="CJ92" s="134" t="str">
        <f>IF($AX$8=0,INT(10.7*CD90*CE90/($BF$8/1000)^2)*1.5,"")</f>
        <v/>
      </c>
      <c r="CK92" s="136">
        <v>0</v>
      </c>
      <c r="CL92" s="136" t="str">
        <f>IF(BP92="","",10*BP92)</f>
        <v/>
      </c>
      <c r="CM92" s="136" t="str">
        <f>IF(BS92="","",10*BS92)</f>
        <v/>
      </c>
      <c r="CN92" s="665">
        <f>IF(AA93="",0,IF(AE88="不","",INT(AA93/2)))</f>
        <v>1</v>
      </c>
      <c r="CO92" s="665">
        <f>IF(AN88="不","",INT(AD93/2))</f>
        <v>4</v>
      </c>
      <c r="CP92" s="670" t="s">
        <v>921</v>
      </c>
      <c r="CQ92" s="2986" t="str">
        <f>IF(CS92="","","スピーカ 5W S4")</f>
        <v/>
      </c>
      <c r="CR92" s="3476"/>
      <c r="CS92" s="88" t="str">
        <f>IF(BA92=0,"",BA92)</f>
        <v/>
      </c>
      <c r="CT92" s="3483" t="str">
        <f>IF(CV92="","","副増幅器 30W")</f>
        <v/>
      </c>
      <c r="CU92" s="3484"/>
      <c r="CV92" s="88" t="str">
        <f>BP92</f>
        <v/>
      </c>
      <c r="CX92" s="8"/>
      <c r="CY92" s="197">
        <f t="shared" si="62"/>
        <v>8</v>
      </c>
      <c r="CZ92" s="197" t="str">
        <f t="shared" si="60"/>
        <v/>
      </c>
      <c r="DA92" s="10"/>
      <c r="DB92" s="8"/>
      <c r="DC92" s="249"/>
      <c r="DD92" s="515"/>
      <c r="DE92" s="514"/>
      <c r="DG92" s="8"/>
      <c r="DH92" s="197">
        <f t="shared" si="63"/>
        <v>5</v>
      </c>
      <c r="DI92" s="197" t="str">
        <f t="shared" si="61"/>
        <v/>
      </c>
      <c r="DJ92" s="10"/>
      <c r="DK92" s="8"/>
      <c r="DL92" s="249"/>
      <c r="DM92" s="515"/>
      <c r="DN92" s="514"/>
      <c r="DQ92" s="197">
        <f t="shared" si="59"/>
        <v>11</v>
      </c>
      <c r="DR92" s="197" t="str">
        <f t="shared" si="57"/>
        <v/>
      </c>
      <c r="DS92" s="10" t="str">
        <f t="shared" si="64"/>
        <v>アッテネータ 6W</v>
      </c>
      <c r="DT92" s="24"/>
      <c r="DU92" s="249" t="str">
        <f>IF(COUNTIF($DS$10:DS91,DS92)&gt;0,"",DS92)</f>
        <v/>
      </c>
      <c r="DV92" s="198">
        <f t="shared" si="65"/>
        <v>1</v>
      </c>
      <c r="DW92" s="514">
        <f t="shared" si="58"/>
        <v>5</v>
      </c>
    </row>
    <row r="93" spans="2:127" ht="11.25" customHeight="1" thickBot="1">
      <c r="B93" s="23"/>
      <c r="C93" s="3429" t="str">
        <f>IF($B$2=0,"",非誘!C66)</f>
        <v xml:space="preserve">  7F</v>
      </c>
      <c r="D93" s="3407"/>
      <c r="E93" s="3407"/>
      <c r="F93" s="3430">
        <f>IF($B$2=0,"",非誘!F66)</f>
        <v>4</v>
      </c>
      <c r="G93" s="3430"/>
      <c r="H93" s="3430"/>
      <c r="I93" s="3430"/>
      <c r="J93" s="3430">
        <f>IF($B$2=0,"",非誘!J66)</f>
        <v>3</v>
      </c>
      <c r="K93" s="3430"/>
      <c r="L93" s="3430"/>
      <c r="M93" s="3430"/>
      <c r="N93" s="3407">
        <f>IF($B$2=0,"",非誘!N66)</f>
        <v>1152</v>
      </c>
      <c r="O93" s="3407"/>
      <c r="P93" s="3407"/>
      <c r="Q93" s="3407"/>
      <c r="R93" s="3407"/>
      <c r="S93" s="3431">
        <f>IF($B$2=0,"",非誘!S66)</f>
        <v>806.4</v>
      </c>
      <c r="T93" s="3431"/>
      <c r="U93" s="3431"/>
      <c r="V93" s="3431"/>
      <c r="W93" s="3431">
        <f>IF($B$2=0,"",非誘!W66)</f>
        <v>345.6</v>
      </c>
      <c r="X93" s="3431"/>
      <c r="Y93" s="3431"/>
      <c r="Z93" s="3431"/>
      <c r="AA93" s="3407">
        <f>IF($B$2=0,"",非誘!AA66)</f>
        <v>3</v>
      </c>
      <c r="AB93" s="3407"/>
      <c r="AC93" s="3407"/>
      <c r="AD93" s="3407">
        <f>IF($B$2=0,"",非誘!AD66)</f>
        <v>9</v>
      </c>
      <c r="AE93" s="3407"/>
      <c r="AF93" s="3407"/>
      <c r="AG93" s="3391" t="s">
        <v>920</v>
      </c>
      <c r="AH93" s="3391"/>
      <c r="AI93" s="3391"/>
      <c r="AJ93" s="3391"/>
      <c r="AK93" s="3391"/>
      <c r="AL93" s="2990" t="str">
        <f>IF(AP93&lt;&gt;"",AP93,IF($BY$18="要","要",""))</f>
        <v/>
      </c>
      <c r="AM93" s="2990"/>
      <c r="AN93" s="2990"/>
      <c r="AO93" s="668" t="s">
        <v>34</v>
      </c>
      <c r="AP93" s="3408"/>
      <c r="AQ93" s="3408"/>
      <c r="AR93" s="3408"/>
      <c r="AS93" s="2551"/>
      <c r="AT93" s="3414"/>
      <c r="AU93" s="2551"/>
      <c r="AV93" s="3414"/>
      <c r="AW93" s="2551"/>
      <c r="AX93" s="3414"/>
      <c r="AY93" s="2551"/>
      <c r="AZ93" s="3414"/>
      <c r="BA93" s="2551"/>
      <c r="BB93" s="3414"/>
      <c r="BC93" s="2551"/>
      <c r="BD93" s="3414"/>
      <c r="BE93" s="2551"/>
      <c r="BF93" s="3414"/>
      <c r="BG93" s="2551"/>
      <c r="BH93" s="3414"/>
      <c r="BI93" s="2551"/>
      <c r="BJ93" s="3414"/>
      <c r="BK93" s="2551"/>
      <c r="BL93" s="3414"/>
      <c r="BM93" s="2551"/>
      <c r="BN93" s="3428"/>
      <c r="BO93" s="3414"/>
      <c r="BP93" s="2551"/>
      <c r="BQ93" s="3428"/>
      <c r="BR93" s="3414"/>
      <c r="BS93" s="2551"/>
      <c r="BT93" s="3414"/>
      <c r="BU93" s="19"/>
      <c r="BY93" s="677">
        <f>IF(CE93=0,0,IF(CE93="=",BY92+BY84+BY102,IF(CE93="-",BY92+BY84,BY92+BY102)))</f>
        <v>20</v>
      </c>
      <c r="BZ93" s="3443" t="str">
        <f>IF(CE93=0,"",IF(BY93*3&lt;=20,"HP 1.2mm- 10Pr",IF(BY93*3&lt;=30,"HP 1.2mm- 15Pr",IF(BY93*3&lt;=40,"HP 1.2mm- 20Pr",IF(BY93*3&lt;=50,"HP 1.2mm- 25Pr",IF(BY93*3&lt;=60,"HP 1.2mm- 30Pr",IF(BY93*3&lt;=80,"HP 1.2mm- 40Pr",IF(BY93*3&lt;=100,"HP 1.2mm- 50Pr",IF(BY93*3&lt;=150,"HP 1.2mm- 75Pr", IF(BY93*3&lt;=200,"HP 1.2mm-100Pr",IF(BY93*3&lt;=400,"HP 1.2mm-200Pr","")))))))))))</f>
        <v>HP 1.2mm- 30Pr</v>
      </c>
      <c r="CA93" s="3444"/>
      <c r="CB93" s="3444"/>
      <c r="CC93" s="3445"/>
      <c r="CD93" s="673" t="str">
        <f>IF(LEFT($BG$10,2)=" B",-MID($BG$10,3,1),LEFT($BG$10,3))</f>
        <v xml:space="preserve">  1</v>
      </c>
      <c r="CE93" s="676" t="str">
        <f>IF(CD94=0,0,IF(CD93=CD94,"=",IF(CD93&gt;CD94,"-","+")))</f>
        <v>+</v>
      </c>
      <c r="CF93" s="106" t="s">
        <v>856</v>
      </c>
      <c r="CG93" s="136">
        <f>2*INT((F93-$Y$10/1000-0.25))</f>
        <v>4</v>
      </c>
      <c r="CH93" s="136">
        <f>1+INT((F93-$Y$7/1000-0.25)*CS95)</f>
        <v>1</v>
      </c>
      <c r="CI93" s="136">
        <f>INT((F93-$Y$8/1000-0.25)*SUM(BI92:BL92))</f>
        <v>7</v>
      </c>
      <c r="CJ93" s="675"/>
      <c r="CK93" s="136">
        <v>0</v>
      </c>
      <c r="CL93" s="136" t="str">
        <f>IF(BP92="","",INT((F93-$Y$9/1000-0.25)*BP92))</f>
        <v/>
      </c>
      <c r="CM93" s="136" t="str">
        <f>IF(BS92="","",INT((F93-$Y$9/1000-0.25)*BS92))</f>
        <v/>
      </c>
      <c r="CN93" s="665">
        <f>IF(AA93="",0,IF(AE88="不","",INT(AA93/2)))</f>
        <v>1</v>
      </c>
      <c r="CO93" s="665">
        <f>IF(AN88="不","",INT(AD93/2))</f>
        <v>4</v>
      </c>
      <c r="CP93" s="670" t="s">
        <v>919</v>
      </c>
      <c r="CQ93" s="15"/>
      <c r="CR93" s="106" t="s">
        <v>868</v>
      </c>
      <c r="CS93" s="8">
        <f>SUM(CS91:CS92)</f>
        <v>1</v>
      </c>
      <c r="CT93" s="3483" t="str">
        <f>IF(CV93="","","カットリレー")</f>
        <v/>
      </c>
      <c r="CU93" s="3484"/>
      <c r="CV93" s="88" t="str">
        <f>BS92</f>
        <v/>
      </c>
      <c r="CY93" s="197">
        <f t="shared" si="62"/>
        <v>8</v>
      </c>
      <c r="CZ93" s="197" t="str">
        <f t="shared" si="60"/>
        <v/>
      </c>
      <c r="DB93" s="24"/>
      <c r="DD93" s="516"/>
      <c r="DE93" s="516"/>
      <c r="DH93" s="197">
        <f t="shared" si="63"/>
        <v>5</v>
      </c>
      <c r="DI93" s="197" t="str">
        <f t="shared" si="61"/>
        <v/>
      </c>
      <c r="DK93" s="24"/>
      <c r="DM93" s="516"/>
      <c r="DN93" s="516"/>
      <c r="DQ93" s="197">
        <f t="shared" si="59"/>
        <v>11</v>
      </c>
      <c r="DR93" s="197" t="str">
        <f t="shared" si="57"/>
        <v/>
      </c>
      <c r="DS93" s="10" t="str">
        <f t="shared" si="64"/>
        <v/>
      </c>
      <c r="DT93" s="24"/>
      <c r="DU93" s="249" t="str">
        <f>IF(COUNTIF($DS$10:DS92,DS93)&gt;0,"",DS93)</f>
        <v/>
      </c>
      <c r="DV93" s="198" t="str">
        <f t="shared" si="65"/>
        <v/>
      </c>
      <c r="DW93" s="514">
        <f t="shared" si="58"/>
        <v>5</v>
      </c>
    </row>
    <row r="94" spans="2:127" ht="11.25" customHeight="1" thickBot="1">
      <c r="B94" s="23"/>
      <c r="C94" s="2300" t="s">
        <v>867</v>
      </c>
      <c r="D94" s="2301"/>
      <c r="E94" s="2301"/>
      <c r="F94" s="2301"/>
      <c r="G94" s="2302"/>
      <c r="H94" s="3422" t="str">
        <f>IF(CE93=0,"",IF(R94&lt;&gt;"",R94,BZ93))</f>
        <v>HP 1.2mm- 30Pr</v>
      </c>
      <c r="I94" s="3423"/>
      <c r="J94" s="3423"/>
      <c r="K94" s="3423"/>
      <c r="L94" s="3423"/>
      <c r="M94" s="3423"/>
      <c r="N94" s="3423"/>
      <c r="O94" s="3423"/>
      <c r="P94" s="3424"/>
      <c r="Q94" s="668" t="s">
        <v>34</v>
      </c>
      <c r="R94" s="3362"/>
      <c r="S94" s="3363"/>
      <c r="T94" s="3363"/>
      <c r="U94" s="3363"/>
      <c r="V94" s="3363"/>
      <c r="W94" s="3363"/>
      <c r="X94" s="3363"/>
      <c r="Y94" s="3363"/>
      <c r="Z94" s="3364"/>
      <c r="AA94" s="3345" t="s">
        <v>866</v>
      </c>
      <c r="AB94" s="3346"/>
      <c r="AC94" s="3346"/>
      <c r="AD94" s="3346"/>
      <c r="AE94" s="3347"/>
      <c r="AF94" s="3385">
        <f>IF(CE93=0,"",IF(AK94&lt;&gt;"",AK94,CG95+CI95))</f>
        <v>7</v>
      </c>
      <c r="AG94" s="3386"/>
      <c r="AH94" s="3386"/>
      <c r="AI94" s="3387"/>
      <c r="AJ94" s="669" t="s">
        <v>34</v>
      </c>
      <c r="AK94" s="3415"/>
      <c r="AL94" s="3416"/>
      <c r="AM94" s="3416"/>
      <c r="AN94" s="3417"/>
      <c r="AO94" s="2300" t="s">
        <v>865</v>
      </c>
      <c r="AP94" s="2301"/>
      <c r="AQ94" s="2301"/>
      <c r="AR94" s="2301"/>
      <c r="AS94" s="2302"/>
      <c r="AT94" s="3422" t="str">
        <f>IF(CE93=0,"",IF(BA94&lt;&gt;"",BA94,IF(MID(AG91,4,2)="C ","C-"&amp;CA94&amp;"mm",IF(MID(AG91,4,2)="PF","PF-D-"&amp;CB94&amp;"mm",IF(MID(AG91,4,2)="CD","CD-"&amp;CB94&amp;"mm",IF(MID(AG91,4,2)="G ","G-"&amp;CB94&amp;"mm",""))))))</f>
        <v>C-39mm</v>
      </c>
      <c r="AU94" s="3423"/>
      <c r="AV94" s="3423"/>
      <c r="AW94" s="3423"/>
      <c r="AX94" s="3423"/>
      <c r="AY94" s="3424"/>
      <c r="AZ94" s="668" t="s">
        <v>34</v>
      </c>
      <c r="BA94" s="3362"/>
      <c r="BB94" s="3363"/>
      <c r="BC94" s="3363"/>
      <c r="BD94" s="3363"/>
      <c r="BE94" s="3363"/>
      <c r="BF94" s="3364"/>
      <c r="BG94" s="3345" t="s">
        <v>864</v>
      </c>
      <c r="BH94" s="3346"/>
      <c r="BI94" s="3346"/>
      <c r="BJ94" s="3346"/>
      <c r="BK94" s="3347"/>
      <c r="BL94" s="3385">
        <f>IF(CE93=0,"",IF(CM95=0,"",IF(BQ94&lt;&gt;"",BQ94,CK95+CM95)))</f>
        <v>4</v>
      </c>
      <c r="BM94" s="3386"/>
      <c r="BN94" s="3386"/>
      <c r="BO94" s="3387"/>
      <c r="BP94" s="668" t="s">
        <v>34</v>
      </c>
      <c r="BQ94" s="3415"/>
      <c r="BR94" s="3416"/>
      <c r="BS94" s="3416"/>
      <c r="BT94" s="3417"/>
      <c r="BU94" s="19"/>
      <c r="BZ94" s="107" t="str">
        <f>IF(LEN(BZ93)=13,MID(BZ93,10,2),MID(BZ93,10,3))</f>
        <v xml:space="preserve"> 30</v>
      </c>
      <c r="CA94" s="674" t="str">
        <f>IF(OR(BZ94=" 10",BZ94=" 15"),"31",IF(OR(BZ94=" 20",BZ94=" 25",BZ94=" 30"),"39",IF(OR(BZ94=" 40",BZ94=" 50"),"51",IF(BZ94="100","63",IF(BZ94&lt;="200","75","")))))</f>
        <v>39</v>
      </c>
      <c r="CB94" s="674" t="str">
        <f>IF(OR(BZ94=" 10",BZ94=" 15"),"28",IF(OR(BZ94=" 20",BZ94=" 25",BZ94=" 30"),"36",IF(OR(BZ94=" 40",BZ94=" 50"),"42",IF(BZ94="100","54",IF(BZ94&lt;="200","70","")))))</f>
        <v>36</v>
      </c>
      <c r="CD94" s="673" t="str">
        <f>IF(C93="",0,IF(LEFT(C93,2)=" B",-MID(C93,3,1),LEFT(C93,3)))</f>
        <v xml:space="preserve">  7</v>
      </c>
      <c r="CF94" s="106"/>
      <c r="CG94" s="90" t="s">
        <v>918</v>
      </c>
      <c r="CH94" s="64"/>
      <c r="CI94" s="90" t="s">
        <v>918</v>
      </c>
      <c r="CJ94" s="38"/>
      <c r="CK94" s="90" t="s">
        <v>918</v>
      </c>
      <c r="CL94" s="64"/>
      <c r="CM94" s="90" t="s">
        <v>918</v>
      </c>
      <c r="CN94" s="672">
        <f>IF(S93="",0,IF(AE88="不","",INT(S93/150)))</f>
        <v>5</v>
      </c>
      <c r="CO94" s="671"/>
      <c r="CP94" s="670" t="s">
        <v>917</v>
      </c>
      <c r="CQ94" s="2986" t="str">
        <f>IF(CS94="","","プロセニアム・スピーカ 20W")</f>
        <v/>
      </c>
      <c r="CR94" s="3476"/>
      <c r="CS94" s="88" t="str">
        <f>IF(BC92=0,"",BC92)</f>
        <v/>
      </c>
      <c r="CT94" s="9"/>
      <c r="CU94" s="46"/>
      <c r="CY94" s="197">
        <f t="shared" si="62"/>
        <v>8</v>
      </c>
      <c r="CZ94" s="197" t="str">
        <f t="shared" si="60"/>
        <v/>
      </c>
      <c r="DB94" s="24"/>
      <c r="DD94" s="516"/>
      <c r="DE94" s="516"/>
      <c r="DH94" s="197">
        <f t="shared" si="63"/>
        <v>5</v>
      </c>
      <c r="DI94" s="197" t="str">
        <f t="shared" si="61"/>
        <v/>
      </c>
      <c r="DK94" s="24"/>
      <c r="DM94" s="516"/>
      <c r="DN94" s="516"/>
      <c r="DQ94" s="197">
        <f t="shared" si="59"/>
        <v>11</v>
      </c>
      <c r="DR94" s="197" t="str">
        <f t="shared" si="57"/>
        <v/>
      </c>
      <c r="DS94" s="10" t="str">
        <f t="shared" si="64"/>
        <v/>
      </c>
      <c r="DT94" s="24"/>
      <c r="DU94" s="249" t="str">
        <f>IF(COUNTIF($DS$10:DS93,DS94)&gt;0,"",DS94)</f>
        <v/>
      </c>
      <c r="DV94" s="198" t="str">
        <f t="shared" si="65"/>
        <v/>
      </c>
      <c r="DW94" s="514">
        <f t="shared" si="58"/>
        <v>5</v>
      </c>
    </row>
    <row r="95" spans="2:127" ht="11.25" customHeight="1" thickBot="1">
      <c r="B95" s="23"/>
      <c r="C95" s="2300" t="s">
        <v>861</v>
      </c>
      <c r="D95" s="2301"/>
      <c r="E95" s="2301"/>
      <c r="F95" s="2301"/>
      <c r="G95" s="2302"/>
      <c r="H95" s="3422" t="str">
        <f>IF(CE93=0,"",IF(R95&lt;&gt;"",R95,"HP 1.2mm-3C"))</f>
        <v>HP 1.2mm-3C</v>
      </c>
      <c r="I95" s="3423"/>
      <c r="J95" s="3423"/>
      <c r="K95" s="3423"/>
      <c r="L95" s="3423"/>
      <c r="M95" s="3423"/>
      <c r="N95" s="3423"/>
      <c r="O95" s="3423"/>
      <c r="P95" s="3424"/>
      <c r="Q95" s="668" t="s">
        <v>68</v>
      </c>
      <c r="R95" s="3362"/>
      <c r="S95" s="3363"/>
      <c r="T95" s="3363"/>
      <c r="U95" s="3363"/>
      <c r="V95" s="3363"/>
      <c r="W95" s="3363"/>
      <c r="X95" s="3363"/>
      <c r="Y95" s="3363"/>
      <c r="Z95" s="3364"/>
      <c r="AA95" s="3348" t="s">
        <v>420</v>
      </c>
      <c r="AB95" s="3349"/>
      <c r="AC95" s="3349"/>
      <c r="AD95" s="3349"/>
      <c r="AE95" s="3350"/>
      <c r="AF95" s="3385">
        <f>IF(CE93=0,"",IF(AK95&lt;&gt;"",AK95,SUM(CN89:CN90)))</f>
        <v>321</v>
      </c>
      <c r="AG95" s="3386"/>
      <c r="AH95" s="3386"/>
      <c r="AI95" s="3387"/>
      <c r="AJ95" s="669" t="s">
        <v>68</v>
      </c>
      <c r="AK95" s="3415"/>
      <c r="AL95" s="3416"/>
      <c r="AM95" s="3416"/>
      <c r="AN95" s="3417"/>
      <c r="AO95" s="2300" t="s">
        <v>860</v>
      </c>
      <c r="AP95" s="2301"/>
      <c r="AQ95" s="2301"/>
      <c r="AR95" s="2301"/>
      <c r="AS95" s="2302"/>
      <c r="AT95" s="3422" t="str">
        <f>IF(CE93=0,"",IF(BA95&lt;&gt;"",BA95,IF(MID(AG91,4,2)="C ","C-19mm",IF(MID(AG91,4,2)="PF","PF-D-16mm",IF(MID(AG91,4,2)="CD","CD-16mm",IF(MID(AG91,4,2)="G ","G-16mm","C-19mm"))))))</f>
        <v>C-19mm</v>
      </c>
      <c r="AU95" s="3423"/>
      <c r="AV95" s="3423"/>
      <c r="AW95" s="3423"/>
      <c r="AX95" s="3423"/>
      <c r="AY95" s="3424"/>
      <c r="AZ95" s="668" t="s">
        <v>68</v>
      </c>
      <c r="BA95" s="3362"/>
      <c r="BB95" s="3363"/>
      <c r="BC95" s="3363"/>
      <c r="BD95" s="3363"/>
      <c r="BE95" s="3363"/>
      <c r="BF95" s="3364"/>
      <c r="BG95" s="3348" t="s">
        <v>420</v>
      </c>
      <c r="BH95" s="3349"/>
      <c r="BI95" s="3349"/>
      <c r="BJ95" s="3349"/>
      <c r="BK95" s="3350"/>
      <c r="BL95" s="3385">
        <f>IF(CE93=0,"",IF(BQ95&lt;&gt;"",BQ95,SUM(CO89:CO90)))</f>
        <v>147</v>
      </c>
      <c r="BM95" s="3386"/>
      <c r="BN95" s="3386"/>
      <c r="BO95" s="3387"/>
      <c r="BP95" s="668" t="s">
        <v>68</v>
      </c>
      <c r="BQ95" s="3425"/>
      <c r="BR95" s="3426"/>
      <c r="BS95" s="3426"/>
      <c r="BT95" s="3427"/>
      <c r="BU95" s="19"/>
      <c r="CF95" s="106" t="s">
        <v>859</v>
      </c>
      <c r="CG95" s="184">
        <f>IF(CE93="=",CD91,0)</f>
        <v>0</v>
      </c>
      <c r="CH95" s="667" t="s">
        <v>858</v>
      </c>
      <c r="CI95" s="184">
        <f>F93+2*$AN$7/1000</f>
        <v>7</v>
      </c>
      <c r="CJ95" s="666" t="s">
        <v>857</v>
      </c>
      <c r="CK95" s="184">
        <f>IF(CG91=1,CG95,0)</f>
        <v>0</v>
      </c>
      <c r="CL95" s="666" t="s">
        <v>856</v>
      </c>
      <c r="CM95" s="184">
        <f>IF(CG91=1,F93,0)</f>
        <v>4</v>
      </c>
      <c r="CN95" s="665">
        <f>INT(AS92/2)</f>
        <v>2</v>
      </c>
      <c r="CO95" s="665">
        <f>IF(AU92="","",1+INT(AU92/2))</f>
        <v>1</v>
      </c>
      <c r="CP95" s="664" t="s">
        <v>983</v>
      </c>
      <c r="CQ95" s="3477" t="str">
        <f>IF(CS95="","","ソノライン・スピーカ 20W")</f>
        <v>ソノライン・スピーカ 20W</v>
      </c>
      <c r="CR95" s="3478"/>
      <c r="CS95" s="222">
        <f>IF(BE92="",0,BE92)</f>
        <v>0</v>
      </c>
      <c r="CT95" s="155"/>
      <c r="CU95" s="148"/>
      <c r="CV95" s="148"/>
      <c r="CY95" s="197">
        <f t="shared" si="62"/>
        <v>8</v>
      </c>
      <c r="CZ95" s="197" t="str">
        <f t="shared" si="60"/>
        <v/>
      </c>
      <c r="DB95" s="24"/>
      <c r="DD95" s="516"/>
      <c r="DE95" s="516"/>
      <c r="DH95" s="197">
        <f t="shared" si="63"/>
        <v>5</v>
      </c>
      <c r="DI95" s="197" t="str">
        <f t="shared" si="61"/>
        <v/>
      </c>
      <c r="DK95" s="24"/>
      <c r="DM95" s="516"/>
      <c r="DN95" s="516"/>
      <c r="DP95" s="8"/>
      <c r="DQ95" s="197">
        <f t="shared" si="59"/>
        <v>11</v>
      </c>
      <c r="DR95" s="197" t="str">
        <f t="shared" si="57"/>
        <v/>
      </c>
      <c r="DS95" s="10" t="str">
        <f t="shared" si="64"/>
        <v/>
      </c>
      <c r="DT95" s="24"/>
      <c r="DU95" s="249" t="str">
        <f>IF(COUNTIF($DS$10:DS94,DS95)&gt;0,"",DS95)</f>
        <v/>
      </c>
      <c r="DV95" s="198" t="str">
        <f t="shared" si="65"/>
        <v/>
      </c>
      <c r="DW95" s="514">
        <f t="shared" si="58"/>
        <v>5</v>
      </c>
    </row>
    <row r="96" spans="2:127" ht="11.25" customHeight="1">
      <c r="B96" s="23"/>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19"/>
      <c r="CP96" s="6"/>
      <c r="CQ96" s="2986" t="str">
        <f>IF(CS96="","","スピーカ 3W S1")</f>
        <v>スピーカ 3W S1</v>
      </c>
      <c r="CR96" s="3476"/>
      <c r="CS96" s="88">
        <f>IF(AS101=0,"",AS101)</f>
        <v>5</v>
      </c>
      <c r="CT96" s="9"/>
      <c r="CX96" s="88">
        <v>10</v>
      </c>
      <c r="CY96" s="204"/>
      <c r="CZ96" s="155"/>
      <c r="DA96" s="45"/>
      <c r="DB96" s="45"/>
      <c r="DC96" s="45" t="s">
        <v>109</v>
      </c>
      <c r="DD96" s="45"/>
      <c r="DE96" s="45" t="s">
        <v>108</v>
      </c>
      <c r="DG96" s="88">
        <v>10</v>
      </c>
      <c r="DH96" s="204"/>
      <c r="DI96" s="155"/>
      <c r="DJ96" s="45"/>
      <c r="DK96" s="45"/>
      <c r="DL96" s="45" t="s">
        <v>109</v>
      </c>
      <c r="DM96" s="45"/>
      <c r="DN96" s="45" t="s">
        <v>108</v>
      </c>
      <c r="DP96" s="88">
        <v>7</v>
      </c>
      <c r="DQ96" s="45"/>
      <c r="DR96" s="45"/>
      <c r="DS96" s="45"/>
      <c r="DT96" s="45"/>
      <c r="DU96" s="45"/>
      <c r="DV96" s="45"/>
      <c r="DW96" s="45"/>
    </row>
    <row r="97" spans="2:127" ht="11.25" customHeight="1" thickBot="1">
      <c r="B97" s="23"/>
      <c r="C97" s="2299" t="s">
        <v>16</v>
      </c>
      <c r="D97" s="2299"/>
      <c r="E97" s="2299"/>
      <c r="F97" s="2299" t="s">
        <v>22</v>
      </c>
      <c r="G97" s="2299"/>
      <c r="H97" s="2299"/>
      <c r="I97" s="2299"/>
      <c r="J97" s="2299" t="s">
        <v>5</v>
      </c>
      <c r="K97" s="2299"/>
      <c r="L97" s="2299"/>
      <c r="M97" s="2299"/>
      <c r="N97" s="2299" t="s">
        <v>6</v>
      </c>
      <c r="O97" s="2299"/>
      <c r="P97" s="2299"/>
      <c r="Q97" s="2299"/>
      <c r="R97" s="2299"/>
      <c r="S97" s="2299" t="s">
        <v>938</v>
      </c>
      <c r="T97" s="2299"/>
      <c r="U97" s="2299"/>
      <c r="V97" s="2299"/>
      <c r="W97" s="2299"/>
      <c r="X97" s="2299"/>
      <c r="Y97" s="2299"/>
      <c r="Z97" s="2299"/>
      <c r="AA97" s="3382" t="s">
        <v>7</v>
      </c>
      <c r="AB97" s="3382"/>
      <c r="AC97" s="3382"/>
      <c r="AD97" s="3382"/>
      <c r="AE97" s="2630" t="str">
        <f>IF(S102="","",IF(AH97&lt;&gt;"",AH97,IF(RIGHT($D$10,2)="不要","不","要")))</f>
        <v>要</v>
      </c>
      <c r="AF97" s="2630"/>
      <c r="AG97" s="668" t="s">
        <v>937</v>
      </c>
      <c r="AH97" s="2632"/>
      <c r="AI97" s="2633"/>
      <c r="AJ97" s="3371" t="s">
        <v>913</v>
      </c>
      <c r="AK97" s="3372"/>
      <c r="AL97" s="3372"/>
      <c r="AM97" s="3373"/>
      <c r="AN97" s="3383" t="str">
        <f>IF(W102="","",IF(AQ97&lt;&gt;"",AQ97,IF(RIGHT($D$10,2)="設置","要","不")))</f>
        <v>要</v>
      </c>
      <c r="AO97" s="3384"/>
      <c r="AP97" s="668" t="s">
        <v>937</v>
      </c>
      <c r="AQ97" s="2632"/>
      <c r="AR97" s="2633"/>
      <c r="AS97" s="3399" t="s">
        <v>912</v>
      </c>
      <c r="AT97" s="3412"/>
      <c r="AU97" s="3412"/>
      <c r="AV97" s="3412"/>
      <c r="AW97" s="3412"/>
      <c r="AX97" s="3412"/>
      <c r="AY97" s="3412"/>
      <c r="AZ97" s="3412"/>
      <c r="BA97" s="3412"/>
      <c r="BB97" s="3412"/>
      <c r="BC97" s="3412"/>
      <c r="BD97" s="3412"/>
      <c r="BE97" s="3412"/>
      <c r="BF97" s="3412"/>
      <c r="BG97" s="3412"/>
      <c r="BH97" s="3413"/>
      <c r="BI97" s="3399" t="s">
        <v>934</v>
      </c>
      <c r="BJ97" s="3412"/>
      <c r="BK97" s="3412"/>
      <c r="BL97" s="3413"/>
      <c r="BM97" s="3360" t="s">
        <v>936</v>
      </c>
      <c r="BN97" s="3419"/>
      <c r="BO97" s="3419"/>
      <c r="BP97" s="3419"/>
      <c r="BQ97" s="3419"/>
      <c r="BR97" s="3361"/>
      <c r="BS97" s="3441" t="s">
        <v>935</v>
      </c>
      <c r="BT97" s="3442"/>
      <c r="BU97" s="19"/>
      <c r="BW97" s="102"/>
      <c r="CF97" s="8"/>
      <c r="CG97" s="685" t="s">
        <v>909</v>
      </c>
      <c r="CH97" s="685" t="s">
        <v>908</v>
      </c>
      <c r="CI97" s="685" t="s">
        <v>934</v>
      </c>
      <c r="CJ97" s="686">
        <f>IF($AX$8=0,"",INT(10.7*CD99*CE99/($BF$8/1000)^2))</f>
        <v>85</v>
      </c>
      <c r="CK97" s="685" t="s">
        <v>933</v>
      </c>
      <c r="CL97" s="685" t="s">
        <v>932</v>
      </c>
      <c r="CM97" s="685" t="s">
        <v>931</v>
      </c>
      <c r="CN97" s="550" t="s">
        <v>734</v>
      </c>
      <c r="CO97" s="550" t="s">
        <v>732</v>
      </c>
      <c r="CP97" s="684"/>
      <c r="CQ97" s="2986" t="str">
        <f>IF(CS97="","","スピーカ 3W S3")</f>
        <v>スピーカ 3W S3</v>
      </c>
      <c r="CR97" s="3476"/>
      <c r="CS97" s="88">
        <f>IF(AY101=0,"",AY101)</f>
        <v>4</v>
      </c>
      <c r="CT97" s="3483" t="str">
        <f>IF(CV97="","","マイクロホン")</f>
        <v/>
      </c>
      <c r="CU97" s="3484"/>
      <c r="CV97" s="88" t="str">
        <f>BG101</f>
        <v/>
      </c>
      <c r="CX97" s="8"/>
      <c r="CY97" s="197">
        <f>IF(DC97&lt;&gt;"",CY95+1,CY95)</f>
        <v>8</v>
      </c>
      <c r="CZ97" s="197" t="str">
        <f t="shared" ref="CZ97:CZ104" si="66">IF(AND(CY97&lt;&gt;"",DC97&lt;&gt;""),CY97,"")</f>
        <v/>
      </c>
      <c r="DA97" s="10" t="str">
        <f>H103</f>
        <v>HP 1.2mm- 30Pr</v>
      </c>
      <c r="DB97" s="8"/>
      <c r="DC97" s="249" t="str">
        <f>IF(COUNTIF(DA$10:$DA94,DA97)&gt;0,"",DA97)</f>
        <v/>
      </c>
      <c r="DD97" s="515">
        <f>AF103</f>
        <v>7</v>
      </c>
      <c r="DE97" s="514">
        <f>SUMIF($DA$13:$DA$199,DC97,$DD$13:$DD$199)</f>
        <v>0</v>
      </c>
      <c r="DG97" s="8"/>
      <c r="DH97" s="197">
        <f>IF(DL97&lt;&gt;"",DH95+1,DH95)</f>
        <v>5</v>
      </c>
      <c r="DI97" s="197" t="str">
        <f t="shared" ref="DI97:DI104" si="67">IF(AND(DH97&lt;&gt;"",DL97&lt;&gt;""),DH97,"")</f>
        <v/>
      </c>
      <c r="DJ97" s="10" t="str">
        <f>AT103</f>
        <v>C-39mm</v>
      </c>
      <c r="DK97" s="8"/>
      <c r="DL97" s="249" t="str">
        <f>IF(COUNTIF($DA$10:DJ94,DJ97)&gt;0,"",DJ97)</f>
        <v/>
      </c>
      <c r="DM97" s="515">
        <f>BL103</f>
        <v>4</v>
      </c>
      <c r="DN97" s="514">
        <f>SUMIF($DJ$13:$DJ$199,DL97,$DM$13:$DM$199)</f>
        <v>0</v>
      </c>
      <c r="DP97" s="8"/>
      <c r="DQ97" s="197">
        <f>IF(DU97&lt;&gt;"",DQ95+1,DQ95)</f>
        <v>11</v>
      </c>
      <c r="DR97" s="197" t="str">
        <f t="shared" ref="DR97:DR109" si="68">IF(AND(DQ97&lt;&gt;"",DU97&lt;&gt;""),DQ97,"")</f>
        <v/>
      </c>
      <c r="DS97" s="10" t="str">
        <f>CQ66</f>
        <v>スピーカ 3W S1</v>
      </c>
      <c r="DT97" s="8"/>
      <c r="DU97" s="249" t="str">
        <f>IF(COUNTIF($DS$10:DS96,DS97)&gt;0,"",DS97)</f>
        <v/>
      </c>
      <c r="DV97" s="198" t="str">
        <f>CS71</f>
        <v/>
      </c>
      <c r="DW97" s="514">
        <f t="shared" ref="DW97:DW109" si="69">SUMIF($DS$13:$DS$344,DU97,$DV$13:$DV$344)</f>
        <v>5</v>
      </c>
    </row>
    <row r="98" spans="2:127" ht="11.25" customHeight="1" thickBot="1">
      <c r="B98" s="23"/>
      <c r="C98" s="2299"/>
      <c r="D98" s="2299"/>
      <c r="E98" s="2299"/>
      <c r="F98" s="2396"/>
      <c r="G98" s="2396"/>
      <c r="H98" s="2396"/>
      <c r="I98" s="2396"/>
      <c r="J98" s="2396"/>
      <c r="K98" s="2396"/>
      <c r="L98" s="2396"/>
      <c r="M98" s="2396"/>
      <c r="N98" s="2396"/>
      <c r="O98" s="2396"/>
      <c r="P98" s="2396"/>
      <c r="Q98" s="2396"/>
      <c r="R98" s="2396"/>
      <c r="S98" s="2396" t="s">
        <v>7</v>
      </c>
      <c r="T98" s="2396"/>
      <c r="U98" s="2396"/>
      <c r="V98" s="2396"/>
      <c r="W98" s="2396" t="s">
        <v>8</v>
      </c>
      <c r="X98" s="2396"/>
      <c r="Y98" s="2396"/>
      <c r="Z98" s="2396"/>
      <c r="AA98" s="2384" t="s">
        <v>9</v>
      </c>
      <c r="AB98" s="2385"/>
      <c r="AC98" s="2386"/>
      <c r="AD98" s="2384" t="s">
        <v>9</v>
      </c>
      <c r="AE98" s="2385"/>
      <c r="AF98" s="2386"/>
      <c r="AG98" s="2384" t="str">
        <f>IF(AN98="","","専部屋面積")</f>
        <v>専部屋面積</v>
      </c>
      <c r="AH98" s="2385"/>
      <c r="AI98" s="2385"/>
      <c r="AJ98" s="2382"/>
      <c r="AK98" s="2382"/>
      <c r="AL98" s="2382"/>
      <c r="AM98" s="3392"/>
      <c r="AN98" s="3365">
        <f>IF(OR(C102="",$B$2=0),"",S102/AA102)</f>
        <v>268.8</v>
      </c>
      <c r="AO98" s="3366"/>
      <c r="AP98" s="3366"/>
      <c r="AQ98" s="3366"/>
      <c r="AR98" s="3367"/>
      <c r="AS98" s="2300" t="s">
        <v>903</v>
      </c>
      <c r="AT98" s="2301"/>
      <c r="AU98" s="2301"/>
      <c r="AV98" s="2301"/>
      <c r="AW98" s="2301"/>
      <c r="AX98" s="2302"/>
      <c r="AY98" s="2300" t="s">
        <v>902</v>
      </c>
      <c r="AZ98" s="2301"/>
      <c r="BA98" s="2301"/>
      <c r="BB98" s="2302"/>
      <c r="BC98" s="2300" t="s">
        <v>902</v>
      </c>
      <c r="BD98" s="2301"/>
      <c r="BE98" s="2301"/>
      <c r="BF98" s="2302"/>
      <c r="BG98" s="2300" t="s">
        <v>743</v>
      </c>
      <c r="BH98" s="2302"/>
      <c r="BI98" s="2300" t="s">
        <v>901</v>
      </c>
      <c r="BJ98" s="2301"/>
      <c r="BK98" s="2301"/>
      <c r="BL98" s="2302"/>
      <c r="BM98" s="2299" t="s">
        <v>930</v>
      </c>
      <c r="BN98" s="2299"/>
      <c r="BO98" s="2299"/>
      <c r="BP98" s="2299" t="s">
        <v>929</v>
      </c>
      <c r="BQ98" s="2299"/>
      <c r="BR98" s="2299"/>
      <c r="BS98" s="3439" t="s">
        <v>928</v>
      </c>
      <c r="BT98" s="3440"/>
      <c r="BU98" s="19"/>
      <c r="BW98" s="679"/>
      <c r="BX98" s="90" t="s">
        <v>889</v>
      </c>
      <c r="BY98" s="100" t="s">
        <v>927</v>
      </c>
      <c r="CC98" s="180">
        <v>70</v>
      </c>
      <c r="CD98" s="55" t="s">
        <v>229</v>
      </c>
      <c r="CE98" s="55" t="s">
        <v>228</v>
      </c>
      <c r="CF98" s="106" t="s">
        <v>859</v>
      </c>
      <c r="CG98" s="184">
        <f>INT((CD100+10)*BY101+CS99*$AN$8/1000+($AN$7/1000)*BY101)</f>
        <v>120</v>
      </c>
      <c r="CH98" s="184">
        <f>INT(CD100*CS104+CS104)</f>
        <v>0</v>
      </c>
      <c r="CI98" s="184">
        <f>8*SUM(BI101:BL101)</f>
        <v>24</v>
      </c>
      <c r="CJ98" s="185">
        <f>IF($AX$8=0,"",2*INT(0.5*CJ97))</f>
        <v>84</v>
      </c>
      <c r="CK98" s="184"/>
      <c r="CL98" s="184" t="str">
        <f>IF(BP101="","",10*BP101)</f>
        <v/>
      </c>
      <c r="CM98" s="184" t="str">
        <f>IF(BP101="","",10*BP101)</f>
        <v/>
      </c>
      <c r="CN98" s="682">
        <f>IF(S102="",0,IF(AE97="不","",(SUM(CG98:CM98)+SUM(CG99:CM99))*S102/N102))</f>
        <v>224.7</v>
      </c>
      <c r="CO98" s="682">
        <f>IF(S102="",0,IF(AE97="不","",(SUM(CG101:CM101)+SUM(CG102:CM102))*S102/N102))</f>
        <v>102.9</v>
      </c>
      <c r="CP98" s="664" t="s">
        <v>1</v>
      </c>
      <c r="CQ98" s="2986" t="str">
        <f>IF(CS98="","","スピーカ S5")</f>
        <v/>
      </c>
      <c r="CR98" s="3476"/>
      <c r="CS98" s="683" t="str">
        <f>IF(AW101=0,"",AW101)</f>
        <v/>
      </c>
      <c r="CT98" s="3483" t="str">
        <f>IF(CV98="","","アッテネータ 3W")</f>
        <v>アッテネータ 3W</v>
      </c>
      <c r="CU98" s="3484"/>
      <c r="CV98" s="88">
        <f>BI101</f>
        <v>2</v>
      </c>
      <c r="CX98" s="8"/>
      <c r="CY98" s="197">
        <f t="shared" ref="CY98:CY104" si="70">IF(DC98&lt;&gt;"",CY97+1,CY97)</f>
        <v>8</v>
      </c>
      <c r="CZ98" s="197" t="str">
        <f t="shared" si="66"/>
        <v/>
      </c>
      <c r="DA98" s="10" t="str">
        <f>H104</f>
        <v>HP 1.2mm-3C</v>
      </c>
      <c r="DB98" s="8"/>
      <c r="DC98" s="249" t="str">
        <f>IF(COUNTIF(DA$10:$DA95,DA98)&gt;0,"",DA98)</f>
        <v/>
      </c>
      <c r="DD98" s="515">
        <f>AF104</f>
        <v>321</v>
      </c>
      <c r="DE98" s="514">
        <f>SUMIF($DA$13:$DA$199,DC98,$DD$13:$DD$199)</f>
        <v>0</v>
      </c>
      <c r="DG98" s="8"/>
      <c r="DH98" s="197">
        <f t="shared" ref="DH98:DH104" si="71">IF(DL98&lt;&gt;"",DH97+1,DH97)</f>
        <v>5</v>
      </c>
      <c r="DI98" s="197" t="str">
        <f t="shared" si="67"/>
        <v/>
      </c>
      <c r="DJ98" s="10" t="str">
        <f>AT104</f>
        <v>C-19mm</v>
      </c>
      <c r="DK98" s="8"/>
      <c r="DL98" s="249" t="str">
        <f>IF(COUNTIF($DA$10:DJ95,DJ98)&gt;0,"",DJ98)</f>
        <v/>
      </c>
      <c r="DM98" s="515">
        <f>BL104</f>
        <v>147</v>
      </c>
      <c r="DN98" s="514">
        <f>SUMIF($DJ$13:$DJ$199,DL98,$DM$13:$DM$199)</f>
        <v>0</v>
      </c>
      <c r="DP98" s="8"/>
      <c r="DQ98" s="197">
        <f t="shared" ref="DQ98:DQ109" si="72">IF(DU98&lt;&gt;"",DQ97+1,DQ97)</f>
        <v>11</v>
      </c>
      <c r="DR98" s="197" t="str">
        <f t="shared" si="68"/>
        <v/>
      </c>
      <c r="DS98" s="10" t="str">
        <f>CQ67</f>
        <v>スピーカ 3W S3</v>
      </c>
      <c r="DT98" s="8"/>
      <c r="DU98" s="249" t="str">
        <f>IF(COUNTIF($DS$10:DS97,DS98)&gt;0,"",DS98)</f>
        <v/>
      </c>
      <c r="DV98" s="198">
        <f>CS72</f>
        <v>1</v>
      </c>
      <c r="DW98" s="514">
        <f t="shared" si="69"/>
        <v>5</v>
      </c>
    </row>
    <row r="99" spans="2:127" ht="11.25" customHeight="1" thickBot="1">
      <c r="B99" s="23"/>
      <c r="C99" s="2396"/>
      <c r="D99" s="2396"/>
      <c r="E99" s="2396"/>
      <c r="F99" s="2397" t="s">
        <v>235</v>
      </c>
      <c r="G99" s="2397"/>
      <c r="H99" s="2397"/>
      <c r="I99" s="2397"/>
      <c r="J99" s="2397" t="s">
        <v>235</v>
      </c>
      <c r="K99" s="2397"/>
      <c r="L99" s="2397"/>
      <c r="M99" s="2397"/>
      <c r="N99" s="2397" t="s">
        <v>128</v>
      </c>
      <c r="O99" s="2397"/>
      <c r="P99" s="2397"/>
      <c r="Q99" s="2397"/>
      <c r="R99" s="2397"/>
      <c r="S99" s="2397" t="s">
        <v>128</v>
      </c>
      <c r="T99" s="2397"/>
      <c r="U99" s="2397"/>
      <c r="V99" s="2397"/>
      <c r="W99" s="2397" t="s">
        <v>128</v>
      </c>
      <c r="X99" s="2397"/>
      <c r="Y99" s="2397"/>
      <c r="Z99" s="2397"/>
      <c r="AA99" s="2397" t="s">
        <v>111</v>
      </c>
      <c r="AB99" s="2397"/>
      <c r="AC99" s="2397"/>
      <c r="AD99" s="2397" t="s">
        <v>110</v>
      </c>
      <c r="AE99" s="2397"/>
      <c r="AF99" s="2397"/>
      <c r="AG99" s="3398" t="str">
        <f>IF(AN99="","","共部屋面積")</f>
        <v>共部屋面積</v>
      </c>
      <c r="AH99" s="2382"/>
      <c r="AI99" s="2382"/>
      <c r="AJ99" s="2382"/>
      <c r="AK99" s="2382"/>
      <c r="AL99" s="2382"/>
      <c r="AM99" s="3392"/>
      <c r="AN99" s="3368">
        <f>IF(OR($B$2=0,C102=""),"",W102/AD102)</f>
        <v>38.400000000000006</v>
      </c>
      <c r="AO99" s="3369"/>
      <c r="AP99" s="3369"/>
      <c r="AQ99" s="3369"/>
      <c r="AR99" s="3370"/>
      <c r="AS99" s="3419" t="s">
        <v>895</v>
      </c>
      <c r="AT99" s="3361"/>
      <c r="AU99" s="3360" t="s">
        <v>894</v>
      </c>
      <c r="AV99" s="3361"/>
      <c r="AW99" s="3360" t="s">
        <v>893</v>
      </c>
      <c r="AX99" s="3361"/>
      <c r="AY99" s="3360" t="s">
        <v>892</v>
      </c>
      <c r="AZ99" s="3361"/>
      <c r="BA99" s="3360" t="s">
        <v>891</v>
      </c>
      <c r="BB99" s="3361"/>
      <c r="BC99" s="3360" t="s">
        <v>890</v>
      </c>
      <c r="BD99" s="3361"/>
      <c r="BE99" s="3360" t="s">
        <v>889</v>
      </c>
      <c r="BF99" s="3361"/>
      <c r="BG99" s="3432" t="s">
        <v>888</v>
      </c>
      <c r="BH99" s="3433"/>
      <c r="BI99" s="3360"/>
      <c r="BJ99" s="3361"/>
      <c r="BK99" s="3360"/>
      <c r="BL99" s="3361"/>
      <c r="BM99" s="3391" t="s">
        <v>887</v>
      </c>
      <c r="BN99" s="3391"/>
      <c r="BO99" s="3391"/>
      <c r="BP99" s="3391" t="s">
        <v>887</v>
      </c>
      <c r="BQ99" s="3391"/>
      <c r="BR99" s="3391"/>
      <c r="BS99" s="3432" t="s">
        <v>744</v>
      </c>
      <c r="BT99" s="3433"/>
      <c r="BU99" s="19"/>
      <c r="BW99" s="102"/>
      <c r="BX99" s="88">
        <f>IF(OR(J100="( 10)",J100="(12)イ",LEFT(J100,4)="(13)"),1,0)</f>
        <v>0</v>
      </c>
      <c r="BY99" s="88" t="str">
        <f>IF(OR(J100="(1) ロ",J100="(2) ロ",J100="(2) ニ",J100="(5) イ",J100="(6) ハ",J100="(6) ニ",J100="( 7 )",J100="( 15)"),"要","")</f>
        <v/>
      </c>
      <c r="CC99" s="46">
        <v>10</v>
      </c>
      <c r="CD99" s="98">
        <f>非誘!BW72</f>
        <v>12</v>
      </c>
      <c r="CE99" s="98">
        <f>非誘!BX72</f>
        <v>24</v>
      </c>
      <c r="CF99" s="106" t="s">
        <v>858</v>
      </c>
      <c r="CG99" s="185">
        <f>INT((F102-$Y$10/1000-0.25)*BY101)</f>
        <v>8</v>
      </c>
      <c r="CH99" s="184">
        <f>1+INT((F102-$Y$7/1000-0.25+$AN$8/1000)*CS104)</f>
        <v>1</v>
      </c>
      <c r="CI99" s="184">
        <f>INT((F102-$Y$8/1000-0.25+$AN$9/1000)*SUM(BI101:BL101))</f>
        <v>8</v>
      </c>
      <c r="CJ99" s="185">
        <f>IF($AX$8=0,"",2*INT(CJ97*($AX$8-250)/1000))</f>
        <v>76</v>
      </c>
      <c r="CK99" s="184"/>
      <c r="CL99" s="184" t="str">
        <f>IF(BP101="","",INT((F102-$Y$9/1000-0.25+AN93/1000)*BP101))</f>
        <v/>
      </c>
      <c r="CM99" s="184" t="str">
        <f>IF(BS101="","",INT((F102-$Y$9/1000-0.25+AN93/1000)*BS101))</f>
        <v/>
      </c>
      <c r="CN99" s="682">
        <f>IF(AN97="不","",(SUM(CG98:CM98)+SUM(CG99:CM99))*W102/N102)</f>
        <v>96.300000000000011</v>
      </c>
      <c r="CO99" s="682">
        <f>IF(AN97="不","",(SUM(CG101:CM101)+SUM(CG102:CM102))*W102/N102)</f>
        <v>44.1</v>
      </c>
      <c r="CP99" s="670" t="s">
        <v>877</v>
      </c>
      <c r="CQ99" s="15"/>
      <c r="CR99" s="106" t="s">
        <v>868</v>
      </c>
      <c r="CS99" s="8">
        <f>SUM(CS96:CS98)</f>
        <v>9</v>
      </c>
      <c r="CT99" s="3485" t="str">
        <f>IF(CV99="","","アッテネータ 6W")</f>
        <v>アッテネータ 6W</v>
      </c>
      <c r="CU99" s="3484"/>
      <c r="CV99" s="88">
        <f>BK101</f>
        <v>1</v>
      </c>
      <c r="CX99" s="8"/>
      <c r="CY99" s="197">
        <f t="shared" si="70"/>
        <v>8</v>
      </c>
      <c r="CZ99" s="197" t="str">
        <f t="shared" si="66"/>
        <v/>
      </c>
      <c r="DA99" s="10"/>
      <c r="DB99" s="8"/>
      <c r="DC99" s="249"/>
      <c r="DD99" s="515"/>
      <c r="DE99" s="514"/>
      <c r="DG99" s="8"/>
      <c r="DH99" s="197">
        <f t="shared" si="71"/>
        <v>5</v>
      </c>
      <c r="DI99" s="197" t="str">
        <f t="shared" si="67"/>
        <v/>
      </c>
      <c r="DJ99" s="10"/>
      <c r="DK99" s="8"/>
      <c r="DL99" s="249"/>
      <c r="DM99" s="515"/>
      <c r="DN99" s="514"/>
      <c r="DP99" s="8"/>
      <c r="DQ99" s="197">
        <f t="shared" si="72"/>
        <v>11</v>
      </c>
      <c r="DR99" s="197" t="str">
        <f t="shared" si="68"/>
        <v/>
      </c>
      <c r="DS99" s="10" t="str">
        <f>CQ68</f>
        <v/>
      </c>
      <c r="DT99" s="8"/>
      <c r="DU99" s="249" t="str">
        <f>IF(COUNTIF($DS$10:DS98,DS99)&gt;0,"",DS99)</f>
        <v/>
      </c>
      <c r="DV99" s="198" t="str">
        <f>CS73</f>
        <v/>
      </c>
      <c r="DW99" s="514">
        <f t="shared" si="69"/>
        <v>5</v>
      </c>
    </row>
    <row r="100" spans="2:127" ht="11.25" customHeight="1" thickBot="1">
      <c r="B100" s="23"/>
      <c r="C100" s="2299" t="s">
        <v>112</v>
      </c>
      <c r="D100" s="2299"/>
      <c r="E100" s="2299"/>
      <c r="F100" s="2299"/>
      <c r="G100" s="2299"/>
      <c r="H100" s="2299"/>
      <c r="I100" s="3399"/>
      <c r="J100" s="3400" t="str">
        <f>非誘!J70</f>
        <v>( 4 )</v>
      </c>
      <c r="K100" s="3401"/>
      <c r="L100" s="3401"/>
      <c r="M100" s="3402"/>
      <c r="N100" s="3403" t="str">
        <f>非誘!M70</f>
        <v>百貨店等</v>
      </c>
      <c r="O100" s="3404"/>
      <c r="P100" s="3404"/>
      <c r="Q100" s="3404"/>
      <c r="R100" s="3404"/>
      <c r="S100" s="3404"/>
      <c r="T100" s="3404"/>
      <c r="U100" s="3404"/>
      <c r="V100" s="3404"/>
      <c r="W100" s="3404"/>
      <c r="X100" s="3404"/>
      <c r="Y100" s="3404"/>
      <c r="Z100" s="3405"/>
      <c r="AA100" s="3406" t="s">
        <v>926</v>
      </c>
      <c r="AB100" s="2301"/>
      <c r="AC100" s="2301"/>
      <c r="AD100" s="2301"/>
      <c r="AE100" s="2301"/>
      <c r="AF100" s="2302"/>
      <c r="AG100" s="3393" t="str">
        <f>IF($B$2=0,"",IF(AN100="","天井(C 管)",AN100))</f>
        <v>天井(C 管)</v>
      </c>
      <c r="AH100" s="2368"/>
      <c r="AI100" s="2368"/>
      <c r="AJ100" s="2368"/>
      <c r="AK100" s="2368"/>
      <c r="AL100" s="3394"/>
      <c r="AM100" s="668" t="s">
        <v>925</v>
      </c>
      <c r="AN100" s="3395"/>
      <c r="AO100" s="3396"/>
      <c r="AP100" s="3396"/>
      <c r="AQ100" s="3396"/>
      <c r="AR100" s="3397"/>
      <c r="AS100" s="3434" t="s">
        <v>881</v>
      </c>
      <c r="AT100" s="3435"/>
      <c r="AU100" s="3436" t="s">
        <v>880</v>
      </c>
      <c r="AV100" s="3437"/>
      <c r="AW100" s="3432"/>
      <c r="AX100" s="3433"/>
      <c r="AY100" s="3432" t="s">
        <v>881</v>
      </c>
      <c r="AZ100" s="3433"/>
      <c r="BA100" s="3436" t="s">
        <v>884</v>
      </c>
      <c r="BB100" s="3437"/>
      <c r="BC100" s="3436" t="s">
        <v>883</v>
      </c>
      <c r="BD100" s="3438"/>
      <c r="BE100" s="3438"/>
      <c r="BF100" s="3437"/>
      <c r="BG100" s="3420" t="s">
        <v>882</v>
      </c>
      <c r="BH100" s="3421"/>
      <c r="BI100" s="3436" t="s">
        <v>881</v>
      </c>
      <c r="BJ100" s="3437"/>
      <c r="BK100" s="3436" t="s">
        <v>880</v>
      </c>
      <c r="BL100" s="3437"/>
      <c r="BM100" s="3407" t="str">
        <f>IF(BM101="","",$BW$12)</f>
        <v/>
      </c>
      <c r="BN100" s="3407"/>
      <c r="BO100" s="3407"/>
      <c r="BP100" s="3407" t="str">
        <f>IF(BP101="","",30)</f>
        <v/>
      </c>
      <c r="BQ100" s="3407"/>
      <c r="BR100" s="3407"/>
      <c r="BS100" s="2384" t="s">
        <v>879</v>
      </c>
      <c r="BT100" s="2386"/>
      <c r="BU100" s="19"/>
      <c r="BW100" s="102"/>
      <c r="CB100" s="90" t="s">
        <v>924</v>
      </c>
      <c r="CC100" s="479" t="str">
        <f>AD101</f>
        <v>⑦</v>
      </c>
      <c r="CD100" s="263">
        <f>IF(C102="","",IF(CC100="①",CD99+CE99+3,IF(CC100="②",CD99*5/8+CE99+3,IF(CC100="③",CD99/2+CE99+3,IF(CC100="④",CD99+CE99*5/8+3,IF(CC100="⑤",(CD99+CE99)*5/8+3,IF(CC100="⑥",CD99/2+CE99*5/8+3,IF(CC100="⑦",CD99+CE99/2+3,IF(CC100="⑧",CD99*5/8+CE99/2+3,IF(CC100="⑨",(CD99+CE99)/2+3))))))))))</f>
        <v>27</v>
      </c>
      <c r="CE100" s="8"/>
      <c r="CF100" s="106"/>
      <c r="CG100" s="681">
        <f>IF(AG100="天井ケーブル",0,1)</f>
        <v>1</v>
      </c>
      <c r="CH100" s="394"/>
      <c r="CI100" s="394"/>
      <c r="CJ100" s="59"/>
      <c r="CK100" s="394"/>
      <c r="CL100" s="394"/>
      <c r="CM100" s="394"/>
      <c r="CN100" s="62" t="s">
        <v>1</v>
      </c>
      <c r="CO100" s="62" t="s">
        <v>877</v>
      </c>
      <c r="CP100" s="38"/>
      <c r="CQ100" s="2986" t="str">
        <f>IF(CS100="","","スピーカ 6W S2")</f>
        <v>スピーカ 6W S2</v>
      </c>
      <c r="CR100" s="3476"/>
      <c r="CS100" s="88">
        <f>IF(AU101=0,"",AU101)</f>
        <v>1</v>
      </c>
      <c r="CT100" s="3483" t="str">
        <f>IF(CV100="","","主増幅器")</f>
        <v/>
      </c>
      <c r="CU100" s="3484"/>
      <c r="CV100" s="88" t="str">
        <f>BM101</f>
        <v/>
      </c>
      <c r="CX100" s="8"/>
      <c r="CY100" s="197">
        <f t="shared" si="70"/>
        <v>8</v>
      </c>
      <c r="CZ100" s="197" t="str">
        <f t="shared" si="66"/>
        <v/>
      </c>
      <c r="DA100" s="10"/>
      <c r="DB100" s="8"/>
      <c r="DC100" s="249"/>
      <c r="DD100" s="515"/>
      <c r="DE100" s="514"/>
      <c r="DG100" s="8"/>
      <c r="DH100" s="197">
        <f t="shared" si="71"/>
        <v>5</v>
      </c>
      <c r="DI100" s="197" t="str">
        <f t="shared" si="67"/>
        <v/>
      </c>
      <c r="DJ100" s="10"/>
      <c r="DK100" s="8"/>
      <c r="DL100" s="249"/>
      <c r="DM100" s="515"/>
      <c r="DN100" s="514"/>
      <c r="DP100" s="8"/>
      <c r="DQ100" s="197">
        <f t="shared" si="72"/>
        <v>11</v>
      </c>
      <c r="DR100" s="197" t="str">
        <f t="shared" si="68"/>
        <v/>
      </c>
      <c r="DS100" s="10" t="str">
        <f>CQ70</f>
        <v>スピーカ 6W S2</v>
      </c>
      <c r="DT100" s="8"/>
      <c r="DU100" s="249" t="str">
        <f>IF(COUNTIF($DS$10:DS99,DS100)&gt;0,"",DS100)</f>
        <v/>
      </c>
      <c r="DV100" s="198">
        <f>CS75</f>
        <v>0</v>
      </c>
      <c r="DW100" s="514">
        <f t="shared" si="69"/>
        <v>5</v>
      </c>
    </row>
    <row r="101" spans="2:127" ht="11.25" customHeight="1" thickBot="1">
      <c r="B101" s="23"/>
      <c r="C101" s="3409" t="s">
        <v>923</v>
      </c>
      <c r="D101" s="3410"/>
      <c r="E101" s="3410"/>
      <c r="F101" s="3410"/>
      <c r="G101" s="3410"/>
      <c r="H101" s="3411"/>
      <c r="I101" s="3430" t="str">
        <f>非誘!AA70</f>
        <v>A</v>
      </c>
      <c r="J101" s="3430"/>
      <c r="K101" s="3430"/>
      <c r="L101" s="2395" t="s">
        <v>214</v>
      </c>
      <c r="M101" s="2395"/>
      <c r="N101" s="2395"/>
      <c r="O101" s="2395"/>
      <c r="P101" s="2395"/>
      <c r="Q101" s="2395"/>
      <c r="R101" s="2395"/>
      <c r="S101" s="3379">
        <f>非誘!J71</f>
        <v>0.5</v>
      </c>
      <c r="T101" s="3380"/>
      <c r="U101" s="3380"/>
      <c r="V101" s="3381"/>
      <c r="W101" s="3399" t="s">
        <v>875</v>
      </c>
      <c r="X101" s="3412"/>
      <c r="Y101" s="3412"/>
      <c r="Z101" s="3412"/>
      <c r="AA101" s="2654"/>
      <c r="AB101" s="2654"/>
      <c r="AC101" s="2655"/>
      <c r="AD101" s="3388" t="str">
        <f>非誘!V71</f>
        <v>⑦</v>
      </c>
      <c r="AE101" s="3389"/>
      <c r="AF101" s="3390"/>
      <c r="AG101" s="3391" t="s">
        <v>874</v>
      </c>
      <c r="AH101" s="3391"/>
      <c r="AI101" s="3391"/>
      <c r="AJ101" s="3391"/>
      <c r="AK101" s="3391"/>
      <c r="AL101" s="2990" t="str">
        <f>IF(AP101&lt;&gt;"",AP101,IF(C102=$BG$10,C102,""))</f>
        <v/>
      </c>
      <c r="AM101" s="2990"/>
      <c r="AN101" s="2990"/>
      <c r="AO101" s="668" t="s">
        <v>34</v>
      </c>
      <c r="AP101" s="3325"/>
      <c r="AQ101" s="3326"/>
      <c r="AR101" s="3327"/>
      <c r="AS101" s="3418">
        <f>IF(CE102=0,"",IF(AS102&lt;&gt;"",AS102,IF(BE101&lt;&gt;"",CN103,SUM(CN101:CO101))))</f>
        <v>5</v>
      </c>
      <c r="AT101" s="3375"/>
      <c r="AU101" s="3418">
        <f>IF(CE102=0,"",IF(AU102&lt;&gt;"",AU102,CN102))</f>
        <v>1</v>
      </c>
      <c r="AV101" s="3375"/>
      <c r="AW101" s="3418"/>
      <c r="AX101" s="3375"/>
      <c r="AY101" s="3418">
        <f>IF(AA102="","",IF(AY102&lt;&gt;"",AY102,CO102))</f>
        <v>4</v>
      </c>
      <c r="AZ101" s="3375"/>
      <c r="BA101" s="3418"/>
      <c r="BB101" s="3375"/>
      <c r="BC101" s="3418" t="str">
        <f>IF(OR(AL102="不",,BP101=""),"",IF(BC102&lt;&gt;"",BC102,BP101*2))</f>
        <v/>
      </c>
      <c r="BD101" s="3375"/>
      <c r="BE101" s="3418" t="str">
        <f>IF(BE102&lt;&gt;"",BE102,IF(BX99=0,"",CN103))</f>
        <v/>
      </c>
      <c r="BF101" s="3375"/>
      <c r="BG101" s="3418" t="str">
        <f>IF(AE97="不","",IF(BG102&lt;&gt;"",BG102,BP101))</f>
        <v/>
      </c>
      <c r="BH101" s="3375"/>
      <c r="BI101" s="3418">
        <f>IF(CE102=0,"",CN104)</f>
        <v>2</v>
      </c>
      <c r="BJ101" s="3375"/>
      <c r="BK101" s="3374">
        <f>IF(CE102=0,"",CO104)</f>
        <v>1</v>
      </c>
      <c r="BL101" s="3375"/>
      <c r="BM101" s="3376" t="str">
        <f>IF(CE102=0,"",IF(BM102&lt;&gt;"",BM102,IF(C102=AL101,1,"")))</f>
        <v/>
      </c>
      <c r="BN101" s="3377"/>
      <c r="BO101" s="3378"/>
      <c r="BP101" s="3376" t="str">
        <f>IF(CE102=0,"",IF(OR(AE97="不",AA102="",S102=""),"",IF(BP102&lt;&gt;"",BP102,IF(AL102="要",1+INT(S102/1000),""))))</f>
        <v/>
      </c>
      <c r="BQ101" s="3377"/>
      <c r="BR101" s="3378"/>
      <c r="BS101" s="3376" t="str">
        <f>IF(BS102&lt;&gt;"",BS102,BP101)</f>
        <v/>
      </c>
      <c r="BT101" s="3378"/>
      <c r="BU101" s="19"/>
      <c r="BW101" s="680">
        <f>IF(AND(CS102=0,CS103=""),CS99*3,CS99*3+CS102*6)</f>
        <v>33</v>
      </c>
      <c r="BX101" s="102">
        <f>BY102</f>
        <v>17</v>
      </c>
      <c r="BY101" s="522">
        <f>1+INT(SUM(S102:Z102)/400)</f>
        <v>3</v>
      </c>
      <c r="BZ101" s="100" t="s">
        <v>873</v>
      </c>
      <c r="CB101" s="678">
        <f>IF(CE102="=",MID(BZ102,10,3),10*(1+INT(BY101*3/10)))</f>
        <v>10</v>
      </c>
      <c r="CC101" s="10" t="s">
        <v>922</v>
      </c>
      <c r="CF101" s="106" t="s">
        <v>857</v>
      </c>
      <c r="CG101" s="136">
        <f>IF(CG100=1,INT(CD100*BY101)+BY101*10,"")</f>
        <v>111</v>
      </c>
      <c r="CH101" s="136">
        <f>IF(CG100=1,INT(CD100*CS104),"")</f>
        <v>0</v>
      </c>
      <c r="CI101" s="136">
        <f>8*SUM(BI101:BL101)</f>
        <v>24</v>
      </c>
      <c r="CJ101" s="134" t="str">
        <f>IF($AX$8=0,INT(10.7*CD99*CE99/($BF$8/1000)^2)*1.5,"")</f>
        <v/>
      </c>
      <c r="CK101" s="136">
        <v>0</v>
      </c>
      <c r="CL101" s="136" t="str">
        <f>IF(BP101="","",10*BP101)</f>
        <v/>
      </c>
      <c r="CM101" s="136" t="str">
        <f>IF(BS101="","",10*BS101)</f>
        <v/>
      </c>
      <c r="CN101" s="665">
        <f>IF(AA102="",0,IF(AE97="不","",INT(AA102/2)))</f>
        <v>1</v>
      </c>
      <c r="CO101" s="665">
        <f>IF(AN97="不","",INT(AD102/2))</f>
        <v>4</v>
      </c>
      <c r="CP101" s="670" t="s">
        <v>921</v>
      </c>
      <c r="CQ101" s="2986" t="str">
        <f>IF(CS101="","","スピーカ 5W S4")</f>
        <v/>
      </c>
      <c r="CR101" s="3476"/>
      <c r="CS101" s="88" t="str">
        <f>IF(BA101=0,"",BA101)</f>
        <v/>
      </c>
      <c r="CT101" s="3483" t="str">
        <f>IF(CV101="","","副増幅器 30W")</f>
        <v/>
      </c>
      <c r="CU101" s="3484"/>
      <c r="CV101" s="88" t="str">
        <f>BP101</f>
        <v/>
      </c>
      <c r="CX101" s="8"/>
      <c r="CY101" s="197">
        <f t="shared" si="70"/>
        <v>8</v>
      </c>
      <c r="CZ101" s="197" t="str">
        <f t="shared" si="66"/>
        <v/>
      </c>
      <c r="DA101" s="10"/>
      <c r="DB101" s="8"/>
      <c r="DC101" s="249"/>
      <c r="DD101" s="515"/>
      <c r="DE101" s="514"/>
      <c r="DG101" s="8"/>
      <c r="DH101" s="197">
        <f t="shared" si="71"/>
        <v>5</v>
      </c>
      <c r="DI101" s="197" t="str">
        <f t="shared" si="67"/>
        <v/>
      </c>
      <c r="DJ101" s="10"/>
      <c r="DK101" s="8"/>
      <c r="DL101" s="249"/>
      <c r="DM101" s="515"/>
      <c r="DN101" s="514"/>
      <c r="DP101" s="8"/>
      <c r="DQ101" s="197">
        <f t="shared" si="72"/>
        <v>11</v>
      </c>
      <c r="DR101" s="197" t="str">
        <f t="shared" si="68"/>
        <v/>
      </c>
      <c r="DS101" s="10" t="str">
        <f>CQ71</f>
        <v/>
      </c>
      <c r="DT101" s="8"/>
      <c r="DU101" s="249" t="str">
        <f>IF(COUNTIF($DS$10:DS100,DS101)&gt;0,"",DS101)</f>
        <v/>
      </c>
      <c r="DV101" s="198">
        <f>CS76</f>
        <v>0</v>
      </c>
      <c r="DW101" s="514">
        <f t="shared" si="69"/>
        <v>5</v>
      </c>
    </row>
    <row r="102" spans="2:127" ht="11.25" customHeight="1" thickBot="1">
      <c r="B102" s="23"/>
      <c r="C102" s="3429" t="str">
        <f>IF($B$2=0,"",非誘!C72)</f>
        <v xml:space="preserve">  8F</v>
      </c>
      <c r="D102" s="3407"/>
      <c r="E102" s="3407"/>
      <c r="F102" s="3430">
        <f>IF($B$2=0,"",非誘!F72)</f>
        <v>4</v>
      </c>
      <c r="G102" s="3430"/>
      <c r="H102" s="3430"/>
      <c r="I102" s="3430"/>
      <c r="J102" s="3430">
        <f>IF($B$2=0,"",非誘!J72)</f>
        <v>3</v>
      </c>
      <c r="K102" s="3430"/>
      <c r="L102" s="3430"/>
      <c r="M102" s="3430"/>
      <c r="N102" s="3407">
        <f>IF($B$2=0,"",非誘!N72)</f>
        <v>1152</v>
      </c>
      <c r="O102" s="3407"/>
      <c r="P102" s="3407"/>
      <c r="Q102" s="3407"/>
      <c r="R102" s="3407"/>
      <c r="S102" s="3431">
        <f>IF($B$2=0,"",非誘!S72)</f>
        <v>806.4</v>
      </c>
      <c r="T102" s="3431"/>
      <c r="U102" s="3431"/>
      <c r="V102" s="3431"/>
      <c r="W102" s="3431">
        <f>IF($B$2=0,"",非誘!W72)</f>
        <v>345.6</v>
      </c>
      <c r="X102" s="3431"/>
      <c r="Y102" s="3431"/>
      <c r="Z102" s="3431"/>
      <c r="AA102" s="3407">
        <f>IF($B$2=0,"",非誘!AA72)</f>
        <v>3</v>
      </c>
      <c r="AB102" s="3407"/>
      <c r="AC102" s="3407"/>
      <c r="AD102" s="3407">
        <f>IF($B$2=0,"",非誘!AD72)</f>
        <v>9</v>
      </c>
      <c r="AE102" s="3407"/>
      <c r="AF102" s="3407"/>
      <c r="AG102" s="3391" t="s">
        <v>920</v>
      </c>
      <c r="AH102" s="3391"/>
      <c r="AI102" s="3391"/>
      <c r="AJ102" s="3391"/>
      <c r="AK102" s="3391"/>
      <c r="AL102" s="2990" t="str">
        <f>IF(AP102&lt;&gt;"",AP102,IF($BY$18="要","要",""))</f>
        <v/>
      </c>
      <c r="AM102" s="2990"/>
      <c r="AN102" s="2990"/>
      <c r="AO102" s="668" t="s">
        <v>34</v>
      </c>
      <c r="AP102" s="3408"/>
      <c r="AQ102" s="3408"/>
      <c r="AR102" s="3408"/>
      <c r="AS102" s="2551"/>
      <c r="AT102" s="3414"/>
      <c r="AU102" s="2551"/>
      <c r="AV102" s="3414"/>
      <c r="AW102" s="2551"/>
      <c r="AX102" s="3414"/>
      <c r="AY102" s="2551"/>
      <c r="AZ102" s="3414"/>
      <c r="BA102" s="2551"/>
      <c r="BB102" s="3414"/>
      <c r="BC102" s="2551"/>
      <c r="BD102" s="3414"/>
      <c r="BE102" s="2551"/>
      <c r="BF102" s="3414"/>
      <c r="BG102" s="2551"/>
      <c r="BH102" s="3414"/>
      <c r="BI102" s="2551"/>
      <c r="BJ102" s="3414"/>
      <c r="BK102" s="2551"/>
      <c r="BL102" s="3414"/>
      <c r="BM102" s="2551"/>
      <c r="BN102" s="3428"/>
      <c r="BO102" s="3414"/>
      <c r="BP102" s="2551"/>
      <c r="BQ102" s="3428"/>
      <c r="BR102" s="3414"/>
      <c r="BS102" s="2551"/>
      <c r="BT102" s="3414"/>
      <c r="BU102" s="19"/>
      <c r="BY102" s="677">
        <f>IF(CE102=0,0,IF(CE102="=",BY101+BY93+BY111,IF(CE102="-",BY101+BY93,BY101+BY111)))</f>
        <v>17</v>
      </c>
      <c r="BZ102" s="3443" t="str">
        <f>IF(CE102=0,"",IF(BY102*3&lt;=20,"HP 1.2mm- 10Pr",IF(BY102*3&lt;=30,"HP 1.2mm- 15Pr",IF(BY102*3&lt;=40,"HP 1.2mm- 20Pr",IF(BY102*3&lt;=50,"HP 1.2mm- 25Pr",IF(BY102*3&lt;=60,"HP 1.2mm- 30Pr",IF(BY102*3&lt;=80,"HP 1.2mm- 40Pr",IF(BY102*3&lt;=100,"HP 1.2mm- 50Pr",IF(BY102*3&lt;=150,"HP 1.2mm- 75Pr", IF(BY102*3&lt;=200,"HP 1.2mm-100Pr",IF(BY102*3&lt;=400,"HP 1.2mm-200Pr","")))))))))))</f>
        <v>HP 1.2mm- 30Pr</v>
      </c>
      <c r="CA102" s="3444"/>
      <c r="CB102" s="3444"/>
      <c r="CC102" s="3445"/>
      <c r="CD102" s="673" t="str">
        <f>IF(LEFT($BG$10,2)=" B",-MID($BG$10,3,1),LEFT($BG$10,3))</f>
        <v xml:space="preserve">  1</v>
      </c>
      <c r="CE102" s="676" t="str">
        <f>IF(CD103=0,0,IF(CD102=CD103,"=",IF(CD102&gt;CD103,"-","+")))</f>
        <v>+</v>
      </c>
      <c r="CF102" s="106" t="s">
        <v>856</v>
      </c>
      <c r="CG102" s="136">
        <f>2*INT((F102-$Y$10/1000-0.25))</f>
        <v>4</v>
      </c>
      <c r="CH102" s="136">
        <f>1+INT((F102-$Y$7/1000-0.25)*CS104)</f>
        <v>1</v>
      </c>
      <c r="CI102" s="136">
        <f>INT((F102-$Y$8/1000-0.25)*SUM(BI101:BL101))</f>
        <v>7</v>
      </c>
      <c r="CJ102" s="675"/>
      <c r="CK102" s="136">
        <v>0</v>
      </c>
      <c r="CL102" s="136" t="str">
        <f>IF(BP101="","",INT((F102-$Y$9/1000-0.25)*BP101))</f>
        <v/>
      </c>
      <c r="CM102" s="136" t="str">
        <f>IF(BS101="","",INT((F102-$Y$9/1000-0.25)*BS101))</f>
        <v/>
      </c>
      <c r="CN102" s="665">
        <f>IF(AA102="",0,IF(AE97="不","",INT(AA102/2)))</f>
        <v>1</v>
      </c>
      <c r="CO102" s="665">
        <f>IF(AN97="不","",INT(AD102/2))</f>
        <v>4</v>
      </c>
      <c r="CP102" s="670" t="s">
        <v>919</v>
      </c>
      <c r="CQ102" s="15"/>
      <c r="CR102" s="106" t="s">
        <v>868</v>
      </c>
      <c r="CS102" s="8">
        <f>SUM(CS100:CS101)</f>
        <v>1</v>
      </c>
      <c r="CT102" s="3483" t="str">
        <f>IF(CV102="","","カットリレー")</f>
        <v/>
      </c>
      <c r="CU102" s="3484"/>
      <c r="CV102" s="88" t="str">
        <f>BS101</f>
        <v/>
      </c>
      <c r="CY102" s="197">
        <f t="shared" si="70"/>
        <v>8</v>
      </c>
      <c r="CZ102" s="197" t="str">
        <f t="shared" si="66"/>
        <v/>
      </c>
      <c r="DB102" s="24"/>
      <c r="DD102" s="516"/>
      <c r="DE102" s="516"/>
      <c r="DH102" s="197">
        <f t="shared" si="71"/>
        <v>5</v>
      </c>
      <c r="DI102" s="197" t="str">
        <f t="shared" si="67"/>
        <v/>
      </c>
      <c r="DK102" s="24"/>
      <c r="DM102" s="516"/>
      <c r="DN102" s="516"/>
      <c r="DQ102" s="197">
        <f t="shared" si="72"/>
        <v>11</v>
      </c>
      <c r="DR102" s="197" t="str">
        <f t="shared" si="68"/>
        <v/>
      </c>
      <c r="DS102" s="10" t="str">
        <f>CQ73</f>
        <v/>
      </c>
      <c r="DT102" s="24"/>
      <c r="DU102" s="249" t="str">
        <f>IF(COUNTIF($DS$10:DS101,DS102)&gt;0,"",DS102)</f>
        <v/>
      </c>
      <c r="DV102" s="198">
        <f>CS78</f>
        <v>5</v>
      </c>
      <c r="DW102" s="514">
        <f t="shared" si="69"/>
        <v>5</v>
      </c>
    </row>
    <row r="103" spans="2:127" ht="11.25" customHeight="1" thickBot="1">
      <c r="B103" s="23"/>
      <c r="C103" s="2300" t="s">
        <v>867</v>
      </c>
      <c r="D103" s="2301"/>
      <c r="E103" s="2301"/>
      <c r="F103" s="2301"/>
      <c r="G103" s="2302"/>
      <c r="H103" s="3422" t="str">
        <f>IF(CE102=0,"",IF(R103&lt;&gt;"",R103,BZ102))</f>
        <v>HP 1.2mm- 30Pr</v>
      </c>
      <c r="I103" s="3423"/>
      <c r="J103" s="3423"/>
      <c r="K103" s="3423"/>
      <c r="L103" s="3423"/>
      <c r="M103" s="3423"/>
      <c r="N103" s="3423"/>
      <c r="O103" s="3423"/>
      <c r="P103" s="3424"/>
      <c r="Q103" s="668" t="s">
        <v>34</v>
      </c>
      <c r="R103" s="3362"/>
      <c r="S103" s="3363"/>
      <c r="T103" s="3363"/>
      <c r="U103" s="3363"/>
      <c r="V103" s="3363"/>
      <c r="W103" s="3363"/>
      <c r="X103" s="3363"/>
      <c r="Y103" s="3363"/>
      <c r="Z103" s="3364"/>
      <c r="AA103" s="3345" t="s">
        <v>866</v>
      </c>
      <c r="AB103" s="3346"/>
      <c r="AC103" s="3346"/>
      <c r="AD103" s="3346"/>
      <c r="AE103" s="3347"/>
      <c r="AF103" s="3385">
        <f>IF(CE102=0,"",IF(AK103&lt;&gt;"",AK103,CG104+CI104))</f>
        <v>7</v>
      </c>
      <c r="AG103" s="3386"/>
      <c r="AH103" s="3386"/>
      <c r="AI103" s="3387"/>
      <c r="AJ103" s="669" t="s">
        <v>34</v>
      </c>
      <c r="AK103" s="3415"/>
      <c r="AL103" s="3416"/>
      <c r="AM103" s="3416"/>
      <c r="AN103" s="3417"/>
      <c r="AO103" s="2300" t="s">
        <v>865</v>
      </c>
      <c r="AP103" s="2301"/>
      <c r="AQ103" s="2301"/>
      <c r="AR103" s="2301"/>
      <c r="AS103" s="2302"/>
      <c r="AT103" s="3422" t="str">
        <f>IF(CE102=0,"",IF(BA103&lt;&gt;"",BA103,IF(MID(AG100,4,2)="C ","C-"&amp;CA103&amp;"mm",IF(MID(AG100,4,2)="PF","PF-D-"&amp;CB103&amp;"mm",IF(MID(AG100,4,2)="CD","CD-"&amp;CB103&amp;"mm",IF(MID(AG100,4,2)="G ","G-"&amp;CB103&amp;"mm",""))))))</f>
        <v>C-39mm</v>
      </c>
      <c r="AU103" s="3423"/>
      <c r="AV103" s="3423"/>
      <c r="AW103" s="3423"/>
      <c r="AX103" s="3423"/>
      <c r="AY103" s="3424"/>
      <c r="AZ103" s="668" t="s">
        <v>34</v>
      </c>
      <c r="BA103" s="3362"/>
      <c r="BB103" s="3363"/>
      <c r="BC103" s="3363"/>
      <c r="BD103" s="3363"/>
      <c r="BE103" s="3363"/>
      <c r="BF103" s="3364"/>
      <c r="BG103" s="3345" t="s">
        <v>864</v>
      </c>
      <c r="BH103" s="3346"/>
      <c r="BI103" s="3346"/>
      <c r="BJ103" s="3346"/>
      <c r="BK103" s="3347"/>
      <c r="BL103" s="3385">
        <f>IF(CE102=0,"",IF(CM104=0,"",IF(BQ103&lt;&gt;"",BQ103,CK104+CM104)))</f>
        <v>4</v>
      </c>
      <c r="BM103" s="3386"/>
      <c r="BN103" s="3386"/>
      <c r="BO103" s="3387"/>
      <c r="BP103" s="668" t="s">
        <v>34</v>
      </c>
      <c r="BQ103" s="3415"/>
      <c r="BR103" s="3416"/>
      <c r="BS103" s="3416"/>
      <c r="BT103" s="3417"/>
      <c r="BU103" s="19"/>
      <c r="BZ103" s="107" t="str">
        <f>IF(LEN(BZ102)=13,MID(BZ102,10,2),MID(BZ102,10,3))</f>
        <v xml:space="preserve"> 30</v>
      </c>
      <c r="CA103" s="674" t="str">
        <f>IF(OR(BZ103=" 10",BZ103=" 15"),"31",IF(OR(BZ103=" 20",BZ103=" 25",BZ103=" 30"),"39",IF(OR(BZ103=" 40",BZ103=" 50"),"51",IF(BZ103="100","63",IF(BZ103&lt;="200","75","")))))</f>
        <v>39</v>
      </c>
      <c r="CB103" s="674" t="str">
        <f>IF(OR(BZ103=" 10",BZ103=" 15"),"28",IF(OR(BZ103=" 20",BZ103=" 25",BZ103=" 30"),"36",IF(OR(BZ103=" 40",BZ103=" 50"),"42",IF(BZ103="100","54",IF(BZ103&lt;="200","70","")))))</f>
        <v>36</v>
      </c>
      <c r="CD103" s="673" t="str">
        <f>IF(C102="",0,IF(LEFT(C102,2)=" B",-MID(C102,3,1),LEFT(C102,3)))</f>
        <v xml:space="preserve">  8</v>
      </c>
      <c r="CF103" s="106"/>
      <c r="CG103" s="90" t="s">
        <v>918</v>
      </c>
      <c r="CH103" s="64"/>
      <c r="CI103" s="90" t="s">
        <v>918</v>
      </c>
      <c r="CJ103" s="38"/>
      <c r="CK103" s="90" t="s">
        <v>918</v>
      </c>
      <c r="CL103" s="64"/>
      <c r="CM103" s="90" t="s">
        <v>918</v>
      </c>
      <c r="CN103" s="672">
        <f>IF(S102="",0,IF(AE97="不","",INT(S102/150)))</f>
        <v>5</v>
      </c>
      <c r="CO103" s="671"/>
      <c r="CP103" s="670" t="s">
        <v>917</v>
      </c>
      <c r="CQ103" s="2986" t="str">
        <f>IF(CS103="","","プロセニアム・スピーカ 20W")</f>
        <v/>
      </c>
      <c r="CR103" s="3476"/>
      <c r="CS103" s="88" t="str">
        <f>IF(BC101=0,"",BC101)</f>
        <v/>
      </c>
      <c r="CT103" s="9"/>
      <c r="CU103" s="46"/>
      <c r="CY103" s="197">
        <f t="shared" si="70"/>
        <v>8</v>
      </c>
      <c r="CZ103" s="197" t="str">
        <f t="shared" si="66"/>
        <v/>
      </c>
      <c r="DB103" s="24"/>
      <c r="DD103" s="516"/>
      <c r="DE103" s="516"/>
      <c r="DH103" s="197">
        <f t="shared" si="71"/>
        <v>5</v>
      </c>
      <c r="DI103" s="197" t="str">
        <f t="shared" si="67"/>
        <v/>
      </c>
      <c r="DK103" s="24"/>
      <c r="DM103" s="516"/>
      <c r="DN103" s="516"/>
      <c r="DQ103" s="197">
        <f t="shared" si="72"/>
        <v>11</v>
      </c>
      <c r="DR103" s="197" t="str">
        <f t="shared" si="68"/>
        <v/>
      </c>
      <c r="DS103" s="201" t="str">
        <f>CQ74</f>
        <v>ソノライン・スピーカ 20W</v>
      </c>
      <c r="DT103" s="24"/>
      <c r="DU103" s="249" t="str">
        <f>IF(COUNTIF($DS$10:DS102,DS103)&gt;0,"",DS103)</f>
        <v/>
      </c>
      <c r="DV103" s="198">
        <f>CS79</f>
        <v>4</v>
      </c>
      <c r="DW103" s="514">
        <f t="shared" si="69"/>
        <v>5</v>
      </c>
    </row>
    <row r="104" spans="2:127" ht="11.25" customHeight="1" thickBot="1">
      <c r="B104" s="23"/>
      <c r="C104" s="2300" t="s">
        <v>861</v>
      </c>
      <c r="D104" s="2301"/>
      <c r="E104" s="2301"/>
      <c r="F104" s="2301"/>
      <c r="G104" s="2302"/>
      <c r="H104" s="3422" t="str">
        <f>IF(CE102=0,"",IF(R104&lt;&gt;"",R104,"HP 1.2mm-3C"))</f>
        <v>HP 1.2mm-3C</v>
      </c>
      <c r="I104" s="3423"/>
      <c r="J104" s="3423"/>
      <c r="K104" s="3423"/>
      <c r="L104" s="3423"/>
      <c r="M104" s="3423"/>
      <c r="N104" s="3423"/>
      <c r="O104" s="3423"/>
      <c r="P104" s="3424"/>
      <c r="Q104" s="668" t="s">
        <v>34</v>
      </c>
      <c r="R104" s="3362"/>
      <c r="S104" s="3363"/>
      <c r="T104" s="3363"/>
      <c r="U104" s="3363"/>
      <c r="V104" s="3363"/>
      <c r="W104" s="3363"/>
      <c r="X104" s="3363"/>
      <c r="Y104" s="3363"/>
      <c r="Z104" s="3364"/>
      <c r="AA104" s="3348" t="s">
        <v>113</v>
      </c>
      <c r="AB104" s="3349"/>
      <c r="AC104" s="3349"/>
      <c r="AD104" s="3349"/>
      <c r="AE104" s="3350"/>
      <c r="AF104" s="3385">
        <f>IF(CE102=0,"",IF(AK104&lt;&gt;"",AK104,SUM(CN98:CN99)))</f>
        <v>321</v>
      </c>
      <c r="AG104" s="3386"/>
      <c r="AH104" s="3386"/>
      <c r="AI104" s="3387"/>
      <c r="AJ104" s="669" t="s">
        <v>34</v>
      </c>
      <c r="AK104" s="3415"/>
      <c r="AL104" s="3416"/>
      <c r="AM104" s="3416"/>
      <c r="AN104" s="3417"/>
      <c r="AO104" s="2300" t="s">
        <v>860</v>
      </c>
      <c r="AP104" s="2301"/>
      <c r="AQ104" s="2301"/>
      <c r="AR104" s="2301"/>
      <c r="AS104" s="2302"/>
      <c r="AT104" s="3422" t="str">
        <f>IF(CE102=0,"",IF(BA104&lt;&gt;"",BA104,IF(MID(AG100,4,2)="C ","C-19mm",IF(MID(AG100,4,2)="PF","PF-D-16mm",IF(MID(AG100,4,2)="CD","CD-16mm",IF(MID(AG100,4,2)="G ","G-16mm","C-19mm"))))))</f>
        <v>C-19mm</v>
      </c>
      <c r="AU104" s="3423"/>
      <c r="AV104" s="3423"/>
      <c r="AW104" s="3423"/>
      <c r="AX104" s="3423"/>
      <c r="AY104" s="3424"/>
      <c r="AZ104" s="668" t="s">
        <v>34</v>
      </c>
      <c r="BA104" s="3362"/>
      <c r="BB104" s="3363"/>
      <c r="BC104" s="3363"/>
      <c r="BD104" s="3363"/>
      <c r="BE104" s="3363"/>
      <c r="BF104" s="3364"/>
      <c r="BG104" s="3348" t="s">
        <v>113</v>
      </c>
      <c r="BH104" s="3349"/>
      <c r="BI104" s="3349"/>
      <c r="BJ104" s="3349"/>
      <c r="BK104" s="3350"/>
      <c r="BL104" s="3385">
        <f>IF(CE102=0,"",IF(BQ104&lt;&gt;"",BQ104,SUM(CO98:CO99)))</f>
        <v>147</v>
      </c>
      <c r="BM104" s="3386"/>
      <c r="BN104" s="3386"/>
      <c r="BO104" s="3387"/>
      <c r="BP104" s="668" t="s">
        <v>34</v>
      </c>
      <c r="BQ104" s="3425"/>
      <c r="BR104" s="3426"/>
      <c r="BS104" s="3426"/>
      <c r="BT104" s="3427"/>
      <c r="BU104" s="19"/>
      <c r="CF104" s="106" t="s">
        <v>859</v>
      </c>
      <c r="CG104" s="184">
        <f>IF(CE102="=",CD100,0)</f>
        <v>0</v>
      </c>
      <c r="CH104" s="667" t="s">
        <v>858</v>
      </c>
      <c r="CI104" s="184">
        <f>F102+2*$AN$7/1000</f>
        <v>7</v>
      </c>
      <c r="CJ104" s="666" t="s">
        <v>857</v>
      </c>
      <c r="CK104" s="184">
        <f>IF(CG100=1,CG104,0)</f>
        <v>0</v>
      </c>
      <c r="CL104" s="666" t="s">
        <v>856</v>
      </c>
      <c r="CM104" s="184">
        <f>IF(CG100=1,F102,0)</f>
        <v>4</v>
      </c>
      <c r="CN104" s="665">
        <f>INT(AS101/2)</f>
        <v>2</v>
      </c>
      <c r="CO104" s="665">
        <f>IF(AU101="","",1+INT(AU101/2))</f>
        <v>1</v>
      </c>
      <c r="CP104" s="664" t="s">
        <v>907</v>
      </c>
      <c r="CQ104" s="3477" t="str">
        <f>IF(CS104="","","ソノライン・スピーカ 20W")</f>
        <v>ソノライン・スピーカ 20W</v>
      </c>
      <c r="CR104" s="3478"/>
      <c r="CS104" s="222">
        <f>IF(BE101="",0,BE101)</f>
        <v>0</v>
      </c>
      <c r="CT104" s="155"/>
      <c r="CU104" s="148"/>
      <c r="CV104" s="148"/>
      <c r="CY104" s="197">
        <f t="shared" si="70"/>
        <v>8</v>
      </c>
      <c r="CZ104" s="197" t="str">
        <f t="shared" si="66"/>
        <v/>
      </c>
      <c r="DB104" s="24"/>
      <c r="DD104" s="516"/>
      <c r="DE104" s="516"/>
      <c r="DH104" s="197">
        <f t="shared" si="71"/>
        <v>5</v>
      </c>
      <c r="DI104" s="197" t="str">
        <f t="shared" si="67"/>
        <v/>
      </c>
      <c r="DK104" s="24"/>
      <c r="DM104" s="516"/>
      <c r="DN104" s="516"/>
      <c r="DQ104" s="197">
        <f t="shared" si="72"/>
        <v>11</v>
      </c>
      <c r="DR104" s="197" t="str">
        <f t="shared" si="68"/>
        <v/>
      </c>
      <c r="DS104" s="10" t="str">
        <f t="shared" ref="DS104:DS109" si="73">CT67</f>
        <v/>
      </c>
      <c r="DT104" s="24"/>
      <c r="DU104" s="249" t="str">
        <f>IF(COUNTIF($DS$10:DS103,DS104)&gt;0,"",DS104)</f>
        <v/>
      </c>
      <c r="DV104" s="198" t="str">
        <f t="shared" ref="DV104:DV109" si="74">CV72</f>
        <v/>
      </c>
      <c r="DW104" s="514">
        <f t="shared" si="69"/>
        <v>5</v>
      </c>
    </row>
    <row r="105" spans="2:127" ht="11.25" customHeight="1">
      <c r="B105" s="23"/>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19"/>
      <c r="CP105" s="6"/>
      <c r="CQ105" s="2986" t="str">
        <f>IF(CS105="","","スピーカ 3W S1")</f>
        <v>スピーカ 3W S1</v>
      </c>
      <c r="CR105" s="3476"/>
      <c r="CS105" s="88">
        <f>IF(AS110=0,"",AS110)</f>
        <v>5</v>
      </c>
      <c r="CT105" s="9"/>
      <c r="CX105" s="88">
        <v>11</v>
      </c>
      <c r="CY105" s="204"/>
      <c r="CZ105" s="155"/>
      <c r="DA105" s="45"/>
      <c r="DB105" s="45"/>
      <c r="DC105" s="45" t="s">
        <v>916</v>
      </c>
      <c r="DD105" s="45"/>
      <c r="DE105" s="45" t="s">
        <v>915</v>
      </c>
      <c r="DG105" s="88">
        <v>11</v>
      </c>
      <c r="DH105" s="204"/>
      <c r="DI105" s="155"/>
      <c r="DJ105" s="45"/>
      <c r="DK105" s="45"/>
      <c r="DL105" s="45" t="s">
        <v>916</v>
      </c>
      <c r="DM105" s="45"/>
      <c r="DN105" s="45" t="s">
        <v>915</v>
      </c>
      <c r="DQ105" s="197">
        <f t="shared" si="72"/>
        <v>11</v>
      </c>
      <c r="DR105" s="197" t="str">
        <f t="shared" si="68"/>
        <v/>
      </c>
      <c r="DS105" s="10" t="str">
        <f t="shared" si="73"/>
        <v>アッテネータ 3W</v>
      </c>
      <c r="DT105" s="24"/>
      <c r="DU105" s="249" t="str">
        <f>IF(COUNTIF($DS$10:DS104,DS105)&gt;0,"",DS105)</f>
        <v/>
      </c>
      <c r="DV105" s="198">
        <f t="shared" si="74"/>
        <v>0</v>
      </c>
      <c r="DW105" s="514">
        <f t="shared" si="69"/>
        <v>5</v>
      </c>
    </row>
    <row r="106" spans="2:127" ht="11.25" customHeight="1" thickBot="1">
      <c r="B106" s="23"/>
      <c r="C106" s="2299" t="s">
        <v>16</v>
      </c>
      <c r="D106" s="2299"/>
      <c r="E106" s="2299"/>
      <c r="F106" s="2299" t="s">
        <v>22</v>
      </c>
      <c r="G106" s="2299"/>
      <c r="H106" s="2299"/>
      <c r="I106" s="2299"/>
      <c r="J106" s="2299" t="s">
        <v>5</v>
      </c>
      <c r="K106" s="2299"/>
      <c r="L106" s="2299"/>
      <c r="M106" s="2299"/>
      <c r="N106" s="2299" t="s">
        <v>6</v>
      </c>
      <c r="O106" s="2299"/>
      <c r="P106" s="2299"/>
      <c r="Q106" s="2299"/>
      <c r="R106" s="2299"/>
      <c r="S106" s="2299" t="s">
        <v>131</v>
      </c>
      <c r="T106" s="2299"/>
      <c r="U106" s="2299"/>
      <c r="V106" s="2299"/>
      <c r="W106" s="2299"/>
      <c r="X106" s="2299"/>
      <c r="Y106" s="2299"/>
      <c r="Z106" s="2299"/>
      <c r="AA106" s="3382" t="s">
        <v>7</v>
      </c>
      <c r="AB106" s="3382"/>
      <c r="AC106" s="3382"/>
      <c r="AD106" s="3382"/>
      <c r="AE106" s="2630" t="str">
        <f>IF(S111="","",IF(AH106&lt;&gt;"",AH106,IF(RIGHT($D$10,2)="不要","不","要")))</f>
        <v>要</v>
      </c>
      <c r="AF106" s="2630"/>
      <c r="AG106" s="668" t="s">
        <v>34</v>
      </c>
      <c r="AH106" s="2632"/>
      <c r="AI106" s="2633"/>
      <c r="AJ106" s="3371" t="s">
        <v>913</v>
      </c>
      <c r="AK106" s="3372"/>
      <c r="AL106" s="3372"/>
      <c r="AM106" s="3373"/>
      <c r="AN106" s="3383" t="str">
        <f>IF(W111="","",IF(AQ106&lt;&gt;"",AQ106,IF(RIGHT($D$10,2)="設置","要","不")))</f>
        <v>要</v>
      </c>
      <c r="AO106" s="3384"/>
      <c r="AP106" s="668" t="s">
        <v>34</v>
      </c>
      <c r="AQ106" s="2632"/>
      <c r="AR106" s="2633"/>
      <c r="AS106" s="3399" t="s">
        <v>912</v>
      </c>
      <c r="AT106" s="3412"/>
      <c r="AU106" s="3412"/>
      <c r="AV106" s="3412"/>
      <c r="AW106" s="3412"/>
      <c r="AX106" s="3412"/>
      <c r="AY106" s="3412"/>
      <c r="AZ106" s="3412"/>
      <c r="BA106" s="3412"/>
      <c r="BB106" s="3412"/>
      <c r="BC106" s="3412"/>
      <c r="BD106" s="3412"/>
      <c r="BE106" s="3412"/>
      <c r="BF106" s="3412"/>
      <c r="BG106" s="3412"/>
      <c r="BH106" s="3413"/>
      <c r="BI106" s="3399" t="s">
        <v>907</v>
      </c>
      <c r="BJ106" s="3412"/>
      <c r="BK106" s="3412"/>
      <c r="BL106" s="3413"/>
      <c r="BM106" s="3360" t="s">
        <v>911</v>
      </c>
      <c r="BN106" s="3419"/>
      <c r="BO106" s="3419"/>
      <c r="BP106" s="3419"/>
      <c r="BQ106" s="3419"/>
      <c r="BR106" s="3361"/>
      <c r="BS106" s="3441" t="s">
        <v>910</v>
      </c>
      <c r="BT106" s="3442"/>
      <c r="BU106" s="19"/>
      <c r="BW106" s="102"/>
      <c r="CF106" s="8"/>
      <c r="CG106" s="685" t="s">
        <v>909</v>
      </c>
      <c r="CH106" s="685" t="s">
        <v>908</v>
      </c>
      <c r="CI106" s="685" t="s">
        <v>907</v>
      </c>
      <c r="CJ106" s="686">
        <f>IF($AX$8=0,"",INT(10.7*CD108*CE108/($BF$8/1000)^2))</f>
        <v>85</v>
      </c>
      <c r="CK106" s="685" t="s">
        <v>906</v>
      </c>
      <c r="CL106" s="685" t="s">
        <v>905</v>
      </c>
      <c r="CM106" s="685" t="s">
        <v>904</v>
      </c>
      <c r="CN106" s="550" t="s">
        <v>734</v>
      </c>
      <c r="CO106" s="550" t="s">
        <v>732</v>
      </c>
      <c r="CP106" s="684"/>
      <c r="CQ106" s="2986" t="str">
        <f>IF(CS106="","","スピーカ 3W S3")</f>
        <v>スピーカ 3W S3</v>
      </c>
      <c r="CR106" s="3476"/>
      <c r="CS106" s="88">
        <f>IF(AY110=0,"",AY110)</f>
        <v>4</v>
      </c>
      <c r="CT106" s="3483" t="str">
        <f>IF(CV106="","","マイクロホン")</f>
        <v/>
      </c>
      <c r="CU106" s="3484"/>
      <c r="CV106" s="88" t="str">
        <f>BG110</f>
        <v/>
      </c>
      <c r="CX106" s="8"/>
      <c r="CY106" s="197">
        <f>IF(DC106&lt;&gt;"",CY104+1,CY104)</f>
        <v>8</v>
      </c>
      <c r="CZ106" s="197" t="str">
        <f t="shared" ref="CZ106:CZ113" si="75">IF(AND(CY106&lt;&gt;"",DC106&lt;&gt;""),CY106,"")</f>
        <v/>
      </c>
      <c r="DA106" s="10" t="str">
        <f>H112</f>
        <v>HP 1.2mm- 25Pr</v>
      </c>
      <c r="DB106" s="8"/>
      <c r="DC106" s="249" t="str">
        <f>IF(COUNTIF(DA$10:$DA103,DA106)&gt;0,"",DA106)</f>
        <v/>
      </c>
      <c r="DD106" s="515">
        <f>AF112</f>
        <v>7</v>
      </c>
      <c r="DE106" s="514">
        <f>SUMIF($DA$13:$DA$199,DC106,$DD$13:$DD$199)</f>
        <v>0</v>
      </c>
      <c r="DG106" s="8"/>
      <c r="DH106" s="197">
        <f>IF(DL106&lt;&gt;"",DH104+1,DH104)</f>
        <v>5</v>
      </c>
      <c r="DI106" s="197" t="str">
        <f t="shared" ref="DI106:DI113" si="76">IF(AND(DH106&lt;&gt;"",DL106&lt;&gt;""),DH106,"")</f>
        <v/>
      </c>
      <c r="DJ106" s="10" t="str">
        <f>AT112</f>
        <v>C-39mm</v>
      </c>
      <c r="DK106" s="8"/>
      <c r="DL106" s="249" t="str">
        <f>IF(COUNTIF($DA$10:DJ103,DJ106)&gt;0,"",DJ106)</f>
        <v/>
      </c>
      <c r="DM106" s="515">
        <f>BL112</f>
        <v>4</v>
      </c>
      <c r="DN106" s="514">
        <f>SUMIF($DJ$13:$DJ$199,DL106,$DM$13:$DM$199)</f>
        <v>0</v>
      </c>
      <c r="DQ106" s="197">
        <f t="shared" si="72"/>
        <v>11</v>
      </c>
      <c r="DR106" s="197" t="str">
        <f t="shared" si="68"/>
        <v/>
      </c>
      <c r="DS106" s="10" t="str">
        <f t="shared" si="73"/>
        <v>アッテネータ 6W</v>
      </c>
      <c r="DT106" s="24"/>
      <c r="DU106" s="249" t="str">
        <f>IF(COUNTIF($DS$10:DS105,DS106)&gt;0,"",DS106)</f>
        <v/>
      </c>
      <c r="DV106" s="198">
        <f t="shared" si="74"/>
        <v>0</v>
      </c>
      <c r="DW106" s="514">
        <f t="shared" si="69"/>
        <v>5</v>
      </c>
    </row>
    <row r="107" spans="2:127" ht="11.25" customHeight="1" thickBot="1">
      <c r="B107" s="23"/>
      <c r="C107" s="2299"/>
      <c r="D107" s="2299"/>
      <c r="E107" s="2299"/>
      <c r="F107" s="2396"/>
      <c r="G107" s="2396"/>
      <c r="H107" s="2396"/>
      <c r="I107" s="2396"/>
      <c r="J107" s="2396"/>
      <c r="K107" s="2396"/>
      <c r="L107" s="2396"/>
      <c r="M107" s="2396"/>
      <c r="N107" s="2396"/>
      <c r="O107" s="2396"/>
      <c r="P107" s="2396"/>
      <c r="Q107" s="2396"/>
      <c r="R107" s="2396"/>
      <c r="S107" s="2396" t="s">
        <v>7</v>
      </c>
      <c r="T107" s="2396"/>
      <c r="U107" s="2396"/>
      <c r="V107" s="2396"/>
      <c r="W107" s="2396" t="s">
        <v>8</v>
      </c>
      <c r="X107" s="2396"/>
      <c r="Y107" s="2396"/>
      <c r="Z107" s="2396"/>
      <c r="AA107" s="2384" t="s">
        <v>9</v>
      </c>
      <c r="AB107" s="2385"/>
      <c r="AC107" s="2386"/>
      <c r="AD107" s="2384" t="s">
        <v>9</v>
      </c>
      <c r="AE107" s="2385"/>
      <c r="AF107" s="2386"/>
      <c r="AG107" s="2384" t="str">
        <f>IF(AN107="","","専部屋面積")</f>
        <v>専部屋面積</v>
      </c>
      <c r="AH107" s="2385"/>
      <c r="AI107" s="2385"/>
      <c r="AJ107" s="2382"/>
      <c r="AK107" s="2382"/>
      <c r="AL107" s="2382"/>
      <c r="AM107" s="3392"/>
      <c r="AN107" s="3365">
        <f>IF(OR(C111="",$B$2=0),"",S111/AA111)</f>
        <v>268.8</v>
      </c>
      <c r="AO107" s="3366"/>
      <c r="AP107" s="3366"/>
      <c r="AQ107" s="3366"/>
      <c r="AR107" s="3367"/>
      <c r="AS107" s="2300" t="s">
        <v>903</v>
      </c>
      <c r="AT107" s="2301"/>
      <c r="AU107" s="2301"/>
      <c r="AV107" s="2301"/>
      <c r="AW107" s="2301"/>
      <c r="AX107" s="2302"/>
      <c r="AY107" s="2300" t="s">
        <v>902</v>
      </c>
      <c r="AZ107" s="2301"/>
      <c r="BA107" s="2301"/>
      <c r="BB107" s="2302"/>
      <c r="BC107" s="2300" t="s">
        <v>902</v>
      </c>
      <c r="BD107" s="2301"/>
      <c r="BE107" s="2301"/>
      <c r="BF107" s="2302"/>
      <c r="BG107" s="2300" t="s">
        <v>743</v>
      </c>
      <c r="BH107" s="2302"/>
      <c r="BI107" s="2300" t="s">
        <v>901</v>
      </c>
      <c r="BJ107" s="2301"/>
      <c r="BK107" s="2301"/>
      <c r="BL107" s="2302"/>
      <c r="BM107" s="2299" t="s">
        <v>982</v>
      </c>
      <c r="BN107" s="2299"/>
      <c r="BO107" s="2299"/>
      <c r="BP107" s="2299" t="s">
        <v>981</v>
      </c>
      <c r="BQ107" s="2299"/>
      <c r="BR107" s="2299"/>
      <c r="BS107" s="3439" t="s">
        <v>980</v>
      </c>
      <c r="BT107" s="3440"/>
      <c r="BU107" s="19"/>
      <c r="BW107" s="679"/>
      <c r="BX107" s="90" t="s">
        <v>917</v>
      </c>
      <c r="BY107" s="100" t="s">
        <v>905</v>
      </c>
      <c r="CC107" s="180">
        <v>76</v>
      </c>
      <c r="CD107" s="55" t="s">
        <v>101</v>
      </c>
      <c r="CE107" s="55" t="s">
        <v>100</v>
      </c>
      <c r="CF107" s="106" t="s">
        <v>859</v>
      </c>
      <c r="CG107" s="184">
        <f>INT((CD109+10)*BY110+CS108*$AN$8/1000+($AN$7/1000)*BY110)</f>
        <v>120</v>
      </c>
      <c r="CH107" s="184">
        <f>INT(CD109*CS113+CS113)</f>
        <v>0</v>
      </c>
      <c r="CI107" s="184">
        <f>8*SUM(BI110:BL110)</f>
        <v>24</v>
      </c>
      <c r="CJ107" s="185">
        <f>IF($AX$8=0,"",2*INT(0.5*CJ106))</f>
        <v>84</v>
      </c>
      <c r="CK107" s="184"/>
      <c r="CL107" s="184" t="str">
        <f>IF(BP110="","",10*BP110)</f>
        <v/>
      </c>
      <c r="CM107" s="184" t="str">
        <f>IF(BP110="","",10*BP110)</f>
        <v/>
      </c>
      <c r="CN107" s="682">
        <f>IF(S111="",0,IF(AE106="不","",(SUM(CG107:CM107)+SUM(CG108:CM108))*S111/N111))</f>
        <v>224.7</v>
      </c>
      <c r="CO107" s="682">
        <f>IF(S111="",0,IF(AE106="不","",(SUM(CG110:CM110)+SUM(CG111:CM111))*S111/N111))</f>
        <v>102.9</v>
      </c>
      <c r="CP107" s="664" t="s">
        <v>1</v>
      </c>
      <c r="CQ107" s="2986" t="str">
        <f>IF(CS107="","","スピーカ S5")</f>
        <v/>
      </c>
      <c r="CR107" s="3476"/>
      <c r="CS107" s="683" t="str">
        <f>IF(AW110=0,"",AW110)</f>
        <v/>
      </c>
      <c r="CT107" s="3483" t="str">
        <f>IF(CV107="","","アッテネータ 3W")</f>
        <v>アッテネータ 3W</v>
      </c>
      <c r="CU107" s="3484"/>
      <c r="CV107" s="88">
        <f>BI110</f>
        <v>2</v>
      </c>
      <c r="CX107" s="8"/>
      <c r="CY107" s="197">
        <f t="shared" ref="CY107:CY113" si="77">IF(DC107&lt;&gt;"",CY106+1,CY106)</f>
        <v>8</v>
      </c>
      <c r="CZ107" s="197" t="str">
        <f t="shared" si="75"/>
        <v/>
      </c>
      <c r="DA107" s="10" t="str">
        <f>H113</f>
        <v>HP 1.2mm-3C</v>
      </c>
      <c r="DB107" s="8"/>
      <c r="DC107" s="249" t="str">
        <f>IF(COUNTIF(DA$10:$DA104,DA107)&gt;0,"",DA107)</f>
        <v/>
      </c>
      <c r="DD107" s="515">
        <f>AF113</f>
        <v>321</v>
      </c>
      <c r="DE107" s="514">
        <f>SUMIF($DA$13:$DA$199,DC107,$DD$13:$DD$199)</f>
        <v>0</v>
      </c>
      <c r="DG107" s="8"/>
      <c r="DH107" s="197">
        <f t="shared" ref="DH107:DH113" si="78">IF(DL107&lt;&gt;"",DH106+1,DH106)</f>
        <v>5</v>
      </c>
      <c r="DI107" s="197" t="str">
        <f t="shared" si="76"/>
        <v/>
      </c>
      <c r="DJ107" s="10" t="str">
        <f>AT113</f>
        <v>C-19mm</v>
      </c>
      <c r="DK107" s="8"/>
      <c r="DL107" s="249" t="str">
        <f>IF(COUNTIF($DA$10:DJ104,DJ107)&gt;0,"",DJ107)</f>
        <v/>
      </c>
      <c r="DM107" s="515">
        <f>BL113</f>
        <v>147</v>
      </c>
      <c r="DN107" s="514">
        <f>SUMIF($DJ$13:$DJ$199,DL107,$DM$13:$DM$199)</f>
        <v>0</v>
      </c>
      <c r="DQ107" s="197">
        <f t="shared" si="72"/>
        <v>11</v>
      </c>
      <c r="DR107" s="197" t="str">
        <f t="shared" si="68"/>
        <v/>
      </c>
      <c r="DS107" s="10" t="str">
        <f t="shared" si="73"/>
        <v/>
      </c>
      <c r="DT107" s="24"/>
      <c r="DU107" s="249" t="str">
        <f>IF(COUNTIF($DS$10:DS106,DS107)&gt;0,"",DS107)</f>
        <v/>
      </c>
      <c r="DV107" s="198">
        <f t="shared" si="74"/>
        <v>0</v>
      </c>
      <c r="DW107" s="514">
        <f t="shared" si="69"/>
        <v>5</v>
      </c>
    </row>
    <row r="108" spans="2:127" ht="11.25" customHeight="1" thickBot="1">
      <c r="B108" s="23"/>
      <c r="C108" s="2396"/>
      <c r="D108" s="2396"/>
      <c r="E108" s="2396"/>
      <c r="F108" s="2397" t="s">
        <v>235</v>
      </c>
      <c r="G108" s="2397"/>
      <c r="H108" s="2397"/>
      <c r="I108" s="2397"/>
      <c r="J108" s="2397" t="s">
        <v>235</v>
      </c>
      <c r="K108" s="2397"/>
      <c r="L108" s="2397"/>
      <c r="M108" s="2397"/>
      <c r="N108" s="2397" t="s">
        <v>128</v>
      </c>
      <c r="O108" s="2397"/>
      <c r="P108" s="2397"/>
      <c r="Q108" s="2397"/>
      <c r="R108" s="2397"/>
      <c r="S108" s="2397" t="s">
        <v>128</v>
      </c>
      <c r="T108" s="2397"/>
      <c r="U108" s="2397"/>
      <c r="V108" s="2397"/>
      <c r="W108" s="2397" t="s">
        <v>128</v>
      </c>
      <c r="X108" s="2397"/>
      <c r="Y108" s="2397"/>
      <c r="Z108" s="2397"/>
      <c r="AA108" s="2397" t="s">
        <v>111</v>
      </c>
      <c r="AB108" s="2397"/>
      <c r="AC108" s="2397"/>
      <c r="AD108" s="2397" t="s">
        <v>110</v>
      </c>
      <c r="AE108" s="2397"/>
      <c r="AF108" s="2397"/>
      <c r="AG108" s="3398" t="str">
        <f>IF(AN108="","","共部屋面積")</f>
        <v>共部屋面積</v>
      </c>
      <c r="AH108" s="2382"/>
      <c r="AI108" s="2382"/>
      <c r="AJ108" s="2382"/>
      <c r="AK108" s="2382"/>
      <c r="AL108" s="2382"/>
      <c r="AM108" s="3392"/>
      <c r="AN108" s="3368">
        <f>IF(OR($B$2=0,C111=""),"",W111/AD111)</f>
        <v>38.400000000000006</v>
      </c>
      <c r="AO108" s="3369"/>
      <c r="AP108" s="3369"/>
      <c r="AQ108" s="3369"/>
      <c r="AR108" s="3370"/>
      <c r="AS108" s="3419" t="s">
        <v>895</v>
      </c>
      <c r="AT108" s="3361"/>
      <c r="AU108" s="3360" t="s">
        <v>894</v>
      </c>
      <c r="AV108" s="3361"/>
      <c r="AW108" s="3360" t="s">
        <v>893</v>
      </c>
      <c r="AX108" s="3361"/>
      <c r="AY108" s="3360" t="s">
        <v>892</v>
      </c>
      <c r="AZ108" s="3361"/>
      <c r="BA108" s="3360" t="s">
        <v>891</v>
      </c>
      <c r="BB108" s="3361"/>
      <c r="BC108" s="3360" t="s">
        <v>890</v>
      </c>
      <c r="BD108" s="3361"/>
      <c r="BE108" s="3360" t="s">
        <v>889</v>
      </c>
      <c r="BF108" s="3361"/>
      <c r="BG108" s="3432" t="s">
        <v>888</v>
      </c>
      <c r="BH108" s="3433"/>
      <c r="BI108" s="3360"/>
      <c r="BJ108" s="3361"/>
      <c r="BK108" s="3360"/>
      <c r="BL108" s="3361"/>
      <c r="BM108" s="3391" t="s">
        <v>887</v>
      </c>
      <c r="BN108" s="3391"/>
      <c r="BO108" s="3391"/>
      <c r="BP108" s="3391" t="s">
        <v>887</v>
      </c>
      <c r="BQ108" s="3391"/>
      <c r="BR108" s="3391"/>
      <c r="BS108" s="3432" t="s">
        <v>744</v>
      </c>
      <c r="BT108" s="3433"/>
      <c r="BU108" s="19"/>
      <c r="BW108" s="102"/>
      <c r="BX108" s="88">
        <f>IF(OR(J109="( 10)",J109="(12)イ",LEFT(J109,4)="(13)"),1,0)</f>
        <v>0</v>
      </c>
      <c r="BY108" s="88" t="str">
        <f>IF(OR(J109="(1) ロ",J109="(2) ロ",J109="(2) ニ",J109="(5) イ",J109="(6) ハ",J109="(6) ニ",J109="( 7 )",J109="( 15)"),"要","")</f>
        <v/>
      </c>
      <c r="CC108" s="46">
        <v>11</v>
      </c>
      <c r="CD108" s="98">
        <f>非誘!BW78</f>
        <v>12</v>
      </c>
      <c r="CE108" s="98">
        <f>非誘!BX78</f>
        <v>24</v>
      </c>
      <c r="CF108" s="106" t="s">
        <v>858</v>
      </c>
      <c r="CG108" s="185">
        <f>INT((F111-$Y$10/1000-0.25)*BY110)</f>
        <v>8</v>
      </c>
      <c r="CH108" s="184">
        <f>1+INT((F111-$Y$7/1000-0.25+$AN$8/1000)*CS113)</f>
        <v>1</v>
      </c>
      <c r="CI108" s="184">
        <f>INT((F111-$Y$8/1000-0.25+$AN$9/1000)*SUM(BI110:BL110))</f>
        <v>8</v>
      </c>
      <c r="CJ108" s="185">
        <f>IF($AX$8=0,"",2*INT(CJ106*($AX$8-250)/1000))</f>
        <v>76</v>
      </c>
      <c r="CK108" s="184"/>
      <c r="CL108" s="184" t="str">
        <f>IF(BP110="","",INT((F111-$Y$9/1000-0.25+AN102/1000)*BP110))</f>
        <v/>
      </c>
      <c r="CM108" s="184" t="str">
        <f>IF(BS110="","",INT((F111-$Y$9/1000-0.25+AN102/1000)*BS110))</f>
        <v/>
      </c>
      <c r="CN108" s="682">
        <f>IF(AN106="不","",(SUM(CG107:CM107)+SUM(CG108:CM108))*W111/N111)</f>
        <v>96.300000000000011</v>
      </c>
      <c r="CO108" s="682">
        <f>IF(AN106="不","",(SUM(CG110:CM110)+SUM(CG111:CM111))*W111/N111)</f>
        <v>44.1</v>
      </c>
      <c r="CP108" s="670" t="s">
        <v>877</v>
      </c>
      <c r="CQ108" s="15"/>
      <c r="CR108" s="106" t="s">
        <v>868</v>
      </c>
      <c r="CS108" s="8">
        <f>SUM(CS105:CS107)</f>
        <v>9</v>
      </c>
      <c r="CT108" s="3485" t="str">
        <f>IF(CV108="","","アッテネータ 6W")</f>
        <v>アッテネータ 6W</v>
      </c>
      <c r="CU108" s="3484"/>
      <c r="CV108" s="88">
        <f>BK110</f>
        <v>1</v>
      </c>
      <c r="CX108" s="8"/>
      <c r="CY108" s="197">
        <f t="shared" si="77"/>
        <v>8</v>
      </c>
      <c r="CZ108" s="197" t="str">
        <f t="shared" si="75"/>
        <v/>
      </c>
      <c r="DA108" s="10"/>
      <c r="DB108" s="8"/>
      <c r="DC108" s="249"/>
      <c r="DD108" s="515"/>
      <c r="DE108" s="514"/>
      <c r="DG108" s="8"/>
      <c r="DH108" s="197">
        <f t="shared" si="78"/>
        <v>5</v>
      </c>
      <c r="DI108" s="197" t="str">
        <f t="shared" si="76"/>
        <v/>
      </c>
      <c r="DJ108" s="10"/>
      <c r="DK108" s="8"/>
      <c r="DL108" s="249"/>
      <c r="DM108" s="515"/>
      <c r="DN108" s="514"/>
      <c r="DQ108" s="197">
        <f t="shared" si="72"/>
        <v>11</v>
      </c>
      <c r="DR108" s="197" t="str">
        <f t="shared" si="68"/>
        <v/>
      </c>
      <c r="DS108" s="10" t="str">
        <f t="shared" si="73"/>
        <v/>
      </c>
      <c r="DT108" s="24"/>
      <c r="DU108" s="249" t="str">
        <f>IF(COUNTIF($DS$10:DS107,DS108)&gt;0,"",DS108)</f>
        <v/>
      </c>
      <c r="DV108" s="198">
        <f t="shared" si="74"/>
        <v>0</v>
      </c>
      <c r="DW108" s="514">
        <f t="shared" si="69"/>
        <v>5</v>
      </c>
    </row>
    <row r="109" spans="2:127" ht="11.25" customHeight="1" thickBot="1">
      <c r="B109" s="23"/>
      <c r="C109" s="2299" t="s">
        <v>112</v>
      </c>
      <c r="D109" s="2299"/>
      <c r="E109" s="2299"/>
      <c r="F109" s="2299"/>
      <c r="G109" s="2299"/>
      <c r="H109" s="2299"/>
      <c r="I109" s="3399"/>
      <c r="J109" s="3400" t="str">
        <f>非誘!J76</f>
        <v>( 4 )</v>
      </c>
      <c r="K109" s="3401"/>
      <c r="L109" s="3401"/>
      <c r="M109" s="3402"/>
      <c r="N109" s="3403" t="str">
        <f>非誘!M76</f>
        <v>百貨店等</v>
      </c>
      <c r="O109" s="3404"/>
      <c r="P109" s="3404"/>
      <c r="Q109" s="3404"/>
      <c r="R109" s="3404"/>
      <c r="S109" s="3404"/>
      <c r="T109" s="3404"/>
      <c r="U109" s="3404"/>
      <c r="V109" s="3404"/>
      <c r="W109" s="3404"/>
      <c r="X109" s="3404"/>
      <c r="Y109" s="3404"/>
      <c r="Z109" s="3405"/>
      <c r="AA109" s="3406" t="s">
        <v>926</v>
      </c>
      <c r="AB109" s="2301"/>
      <c r="AC109" s="2301"/>
      <c r="AD109" s="2301"/>
      <c r="AE109" s="2301"/>
      <c r="AF109" s="2302"/>
      <c r="AG109" s="3393" t="str">
        <f>IF($B$2=0,"",IF(AN109="","天井(C 管)",AN109))</f>
        <v>天井(C 管)</v>
      </c>
      <c r="AH109" s="2368"/>
      <c r="AI109" s="2368"/>
      <c r="AJ109" s="2368"/>
      <c r="AK109" s="2368"/>
      <c r="AL109" s="3394"/>
      <c r="AM109" s="668" t="s">
        <v>925</v>
      </c>
      <c r="AN109" s="3395"/>
      <c r="AO109" s="3396"/>
      <c r="AP109" s="3396"/>
      <c r="AQ109" s="3396"/>
      <c r="AR109" s="3397"/>
      <c r="AS109" s="3434" t="s">
        <v>881</v>
      </c>
      <c r="AT109" s="3435"/>
      <c r="AU109" s="3436" t="s">
        <v>880</v>
      </c>
      <c r="AV109" s="3437"/>
      <c r="AW109" s="3432"/>
      <c r="AX109" s="3433"/>
      <c r="AY109" s="3432" t="s">
        <v>881</v>
      </c>
      <c r="AZ109" s="3433"/>
      <c r="BA109" s="3436" t="s">
        <v>884</v>
      </c>
      <c r="BB109" s="3437"/>
      <c r="BC109" s="3436" t="s">
        <v>883</v>
      </c>
      <c r="BD109" s="3438"/>
      <c r="BE109" s="3438"/>
      <c r="BF109" s="3437"/>
      <c r="BG109" s="3420" t="s">
        <v>882</v>
      </c>
      <c r="BH109" s="3421"/>
      <c r="BI109" s="3436" t="s">
        <v>881</v>
      </c>
      <c r="BJ109" s="3437"/>
      <c r="BK109" s="3436" t="s">
        <v>880</v>
      </c>
      <c r="BL109" s="3437"/>
      <c r="BM109" s="3407" t="str">
        <f>IF(BM110="","",$BW$12)</f>
        <v/>
      </c>
      <c r="BN109" s="3407"/>
      <c r="BO109" s="3407"/>
      <c r="BP109" s="3407" t="str">
        <f>IF(BP110="","",30)</f>
        <v/>
      </c>
      <c r="BQ109" s="3407"/>
      <c r="BR109" s="3407"/>
      <c r="BS109" s="2384" t="s">
        <v>879</v>
      </c>
      <c r="BT109" s="2386"/>
      <c r="BU109" s="19"/>
      <c r="BW109" s="102"/>
      <c r="CB109" s="90" t="s">
        <v>924</v>
      </c>
      <c r="CC109" s="479" t="str">
        <f>AD110</f>
        <v>⑦</v>
      </c>
      <c r="CD109" s="263">
        <f>IF(C111="","",IF(CC109="①",CD108+CE108+3,IF(CC109="②",CD108*5/8+CE108+3,IF(CC109="③",CD108/2+CE108+3,IF(CC109="④",CD108+CE108*5/8+3,IF(CC109="⑤",(CD108+CE108)*5/8+3,IF(CC109="⑥",CD108/2+CE108*5/8+3,IF(CC109="⑦",CD108+CE108/2+3,IF(CC109="⑧",CD108*5/8+CE108/2+3,IF(CC109="⑨",(CD108+CE108)/2+3))))))))))</f>
        <v>27</v>
      </c>
      <c r="CE109" s="8"/>
      <c r="CF109" s="106"/>
      <c r="CG109" s="681">
        <f>IF(AG109="天井ケーブル",0,1)</f>
        <v>1</v>
      </c>
      <c r="CH109" s="394"/>
      <c r="CI109" s="394"/>
      <c r="CJ109" s="59"/>
      <c r="CK109" s="394"/>
      <c r="CL109" s="394"/>
      <c r="CM109" s="394"/>
      <c r="CN109" s="62" t="s">
        <v>1</v>
      </c>
      <c r="CO109" s="62" t="s">
        <v>877</v>
      </c>
      <c r="CP109" s="38"/>
      <c r="CQ109" s="2986" t="str">
        <f>IF(CS109="","","スピーカ 6W S2")</f>
        <v>スピーカ 6W S2</v>
      </c>
      <c r="CR109" s="3476"/>
      <c r="CS109" s="88">
        <f>IF(AU110=0,"",AU110)</f>
        <v>1</v>
      </c>
      <c r="CT109" s="3483" t="str">
        <f>IF(CV109="","","主増幅器")</f>
        <v/>
      </c>
      <c r="CU109" s="3484"/>
      <c r="CV109" s="88" t="str">
        <f>BM110</f>
        <v/>
      </c>
      <c r="CX109" s="8"/>
      <c r="CY109" s="197">
        <f t="shared" si="77"/>
        <v>8</v>
      </c>
      <c r="CZ109" s="197" t="str">
        <f t="shared" si="75"/>
        <v/>
      </c>
      <c r="DA109" s="10"/>
      <c r="DB109" s="8"/>
      <c r="DC109" s="249"/>
      <c r="DD109" s="515"/>
      <c r="DE109" s="514"/>
      <c r="DG109" s="8"/>
      <c r="DH109" s="197">
        <f t="shared" si="78"/>
        <v>5</v>
      </c>
      <c r="DI109" s="197" t="str">
        <f t="shared" si="76"/>
        <v/>
      </c>
      <c r="DJ109" s="10"/>
      <c r="DK109" s="8"/>
      <c r="DL109" s="249"/>
      <c r="DM109" s="515"/>
      <c r="DN109" s="514"/>
      <c r="DP109" s="8"/>
      <c r="DQ109" s="197">
        <f t="shared" si="72"/>
        <v>11</v>
      </c>
      <c r="DR109" s="197" t="str">
        <f t="shared" si="68"/>
        <v/>
      </c>
      <c r="DS109" s="10" t="str">
        <f t="shared" si="73"/>
        <v/>
      </c>
      <c r="DT109" s="24"/>
      <c r="DU109" s="249" t="str">
        <f>IF(COUNTIF($DS$10:DS108,DS109)&gt;0,"",DS109)</f>
        <v/>
      </c>
      <c r="DV109" s="198">
        <f t="shared" si="74"/>
        <v>0</v>
      </c>
      <c r="DW109" s="514">
        <f t="shared" si="69"/>
        <v>5</v>
      </c>
    </row>
    <row r="110" spans="2:127" ht="11.25" customHeight="1" thickBot="1">
      <c r="B110" s="23"/>
      <c r="C110" s="3409" t="s">
        <v>232</v>
      </c>
      <c r="D110" s="3410"/>
      <c r="E110" s="3410"/>
      <c r="F110" s="3410"/>
      <c r="G110" s="3410"/>
      <c r="H110" s="3411"/>
      <c r="I110" s="3430" t="str">
        <f>非誘!AA76</f>
        <v>A</v>
      </c>
      <c r="J110" s="3430"/>
      <c r="K110" s="3430"/>
      <c r="L110" s="2395" t="s">
        <v>214</v>
      </c>
      <c r="M110" s="2395"/>
      <c r="N110" s="2395"/>
      <c r="O110" s="2395"/>
      <c r="P110" s="2395"/>
      <c r="Q110" s="2395"/>
      <c r="R110" s="2395"/>
      <c r="S110" s="3379">
        <f>非誘!J77</f>
        <v>0.5</v>
      </c>
      <c r="T110" s="3380"/>
      <c r="U110" s="3380"/>
      <c r="V110" s="3381"/>
      <c r="W110" s="3399" t="s">
        <v>875</v>
      </c>
      <c r="X110" s="3412"/>
      <c r="Y110" s="3412"/>
      <c r="Z110" s="3412"/>
      <c r="AA110" s="2654"/>
      <c r="AB110" s="2654"/>
      <c r="AC110" s="2655"/>
      <c r="AD110" s="3388" t="str">
        <f>非誘!V77</f>
        <v>⑦</v>
      </c>
      <c r="AE110" s="3389"/>
      <c r="AF110" s="3390"/>
      <c r="AG110" s="3391" t="s">
        <v>874</v>
      </c>
      <c r="AH110" s="3391"/>
      <c r="AI110" s="3391"/>
      <c r="AJ110" s="3391"/>
      <c r="AK110" s="3391"/>
      <c r="AL110" s="2990" t="str">
        <f>IF(AP110&lt;&gt;"",AP110,IF(C111=$BG$10,C111,""))</f>
        <v/>
      </c>
      <c r="AM110" s="2990"/>
      <c r="AN110" s="2990"/>
      <c r="AO110" s="668" t="s">
        <v>103</v>
      </c>
      <c r="AP110" s="3325"/>
      <c r="AQ110" s="3326"/>
      <c r="AR110" s="3327"/>
      <c r="AS110" s="3418">
        <f>IF(CE111=0,"",IF(AS111&lt;&gt;"",AS111,IF(BE110&lt;&gt;"",CN112,SUM(CN110:CO110))))</f>
        <v>5</v>
      </c>
      <c r="AT110" s="3375"/>
      <c r="AU110" s="3418">
        <f>IF(CE111=0,"",IF(AU111&lt;&gt;"",AU111,CN111))</f>
        <v>1</v>
      </c>
      <c r="AV110" s="3375"/>
      <c r="AW110" s="3418"/>
      <c r="AX110" s="3375"/>
      <c r="AY110" s="3418">
        <f>IF(AA111="","",IF(AY111&lt;&gt;"",AY111,CO111))</f>
        <v>4</v>
      </c>
      <c r="AZ110" s="3375"/>
      <c r="BA110" s="3418"/>
      <c r="BB110" s="3375"/>
      <c r="BC110" s="3418" t="str">
        <f>IF(OR(AL111="不",,BP110=""),"",IF(BC111&lt;&gt;"",BC111,BP110*2))</f>
        <v/>
      </c>
      <c r="BD110" s="3375"/>
      <c r="BE110" s="3418" t="str">
        <f>IF(BE111&lt;&gt;"",BE111,IF(BX108=0,"",CN112))</f>
        <v/>
      </c>
      <c r="BF110" s="3375"/>
      <c r="BG110" s="3418" t="str">
        <f>IF(AE106="不","",IF(BG111&lt;&gt;"",BG111,BP110))</f>
        <v/>
      </c>
      <c r="BH110" s="3375"/>
      <c r="BI110" s="3418">
        <f>IF(CE111=0,"",CN113)</f>
        <v>2</v>
      </c>
      <c r="BJ110" s="3375"/>
      <c r="BK110" s="3374">
        <f>IF(CE111=0,"",CO113)</f>
        <v>1</v>
      </c>
      <c r="BL110" s="3375"/>
      <c r="BM110" s="3376" t="str">
        <f>IF(CE111=0,"",IF(BM111&lt;&gt;"",BM111,IF(C111=AL110,1,"")))</f>
        <v/>
      </c>
      <c r="BN110" s="3377"/>
      <c r="BO110" s="3378"/>
      <c r="BP110" s="3376" t="str">
        <f>IF(CE111=0,"",IF(OR(AE106="不",AA111="",S111=""),"",IF(BP111&lt;&gt;"",BP111,IF(AL111="要",1+INT(S111/1000),""))))</f>
        <v/>
      </c>
      <c r="BQ110" s="3377"/>
      <c r="BR110" s="3378"/>
      <c r="BS110" s="3376" t="str">
        <f>IF(BS111&lt;&gt;"",BS111,BP110)</f>
        <v/>
      </c>
      <c r="BT110" s="3378"/>
      <c r="BU110" s="19"/>
      <c r="BW110" s="680">
        <f>IF(AND(CS111=0,CS112=""),CS108*3,CS108*3+CS111*6)</f>
        <v>33</v>
      </c>
      <c r="BX110" s="102">
        <f>BY111</f>
        <v>14</v>
      </c>
      <c r="BY110" s="522">
        <f>1+INT(SUM(S111:Z111)/400)</f>
        <v>3</v>
      </c>
      <c r="BZ110" s="100" t="s">
        <v>873</v>
      </c>
      <c r="CB110" s="678">
        <f>IF(CE111="=",MID(BZ111,10,3),10*(1+INT(BY110*3/10)))</f>
        <v>10</v>
      </c>
      <c r="CC110" s="10" t="s">
        <v>943</v>
      </c>
      <c r="CF110" s="106" t="s">
        <v>857</v>
      </c>
      <c r="CG110" s="136">
        <f>IF(CG109=1,INT(CD109*BY110)+BY110*10,"")</f>
        <v>111</v>
      </c>
      <c r="CH110" s="136">
        <f>IF(CG109=1,INT(CD109*CS113),"")</f>
        <v>0</v>
      </c>
      <c r="CI110" s="136">
        <f>8*SUM(BI110:BL110)</f>
        <v>24</v>
      </c>
      <c r="CJ110" s="134" t="str">
        <f>IF($AX$8=0,INT(10.7*CD108*CE108/($BF$8/1000)^2)*1.5,"")</f>
        <v/>
      </c>
      <c r="CK110" s="136">
        <v>0</v>
      </c>
      <c r="CL110" s="136" t="str">
        <f>IF(BP110="","",10*BP110)</f>
        <v/>
      </c>
      <c r="CM110" s="136" t="str">
        <f>IF(BS110="","",10*BS110)</f>
        <v/>
      </c>
      <c r="CN110" s="665">
        <f>IF(AA111="",0,IF(AE106="不","",INT(AA111/2)))</f>
        <v>1</v>
      </c>
      <c r="CO110" s="665">
        <f>IF(AN106="不","",INT(AD111/2))</f>
        <v>4</v>
      </c>
      <c r="CP110" s="670" t="s">
        <v>895</v>
      </c>
      <c r="CQ110" s="2986" t="str">
        <f>IF(CS110="","","スピーカ 5W S4")</f>
        <v/>
      </c>
      <c r="CR110" s="3476"/>
      <c r="CS110" s="88" t="str">
        <f>IF(BA110=0,"",BA110)</f>
        <v/>
      </c>
      <c r="CT110" s="3483" t="str">
        <f>IF(CV110="","","副増幅器 30W")</f>
        <v/>
      </c>
      <c r="CU110" s="3484"/>
      <c r="CV110" s="88" t="str">
        <f>BP110</f>
        <v/>
      </c>
      <c r="CX110" s="8"/>
      <c r="CY110" s="197">
        <f t="shared" si="77"/>
        <v>8</v>
      </c>
      <c r="CZ110" s="197" t="str">
        <f t="shared" si="75"/>
        <v/>
      </c>
      <c r="DA110" s="10"/>
      <c r="DB110" s="8"/>
      <c r="DC110" s="249"/>
      <c r="DD110" s="515"/>
      <c r="DE110" s="514"/>
      <c r="DG110" s="8"/>
      <c r="DH110" s="197">
        <f t="shared" si="78"/>
        <v>5</v>
      </c>
      <c r="DI110" s="197" t="str">
        <f t="shared" si="76"/>
        <v/>
      </c>
      <c r="DJ110" s="10"/>
      <c r="DK110" s="8"/>
      <c r="DL110" s="249"/>
      <c r="DM110" s="515"/>
      <c r="DN110" s="514"/>
      <c r="DP110" s="88">
        <v>8</v>
      </c>
      <c r="DQ110" s="45"/>
      <c r="DR110" s="45"/>
      <c r="DS110" s="45"/>
      <c r="DT110" s="45"/>
      <c r="DU110" s="45"/>
      <c r="DV110" s="45"/>
      <c r="DW110" s="45"/>
    </row>
    <row r="111" spans="2:127" ht="11.25" customHeight="1" thickBot="1">
      <c r="B111" s="23"/>
      <c r="C111" s="3429" t="str">
        <f>IF($B$2=0,"",非誘!C78)</f>
        <v xml:space="preserve">  9F</v>
      </c>
      <c r="D111" s="3407"/>
      <c r="E111" s="3407"/>
      <c r="F111" s="3430">
        <f>IF($B$2=0,"",非誘!F78)</f>
        <v>4</v>
      </c>
      <c r="G111" s="3430"/>
      <c r="H111" s="3430"/>
      <c r="I111" s="3430"/>
      <c r="J111" s="3430">
        <f>IF($B$2=0,"",非誘!J78)</f>
        <v>3</v>
      </c>
      <c r="K111" s="3430"/>
      <c r="L111" s="3430"/>
      <c r="M111" s="3430"/>
      <c r="N111" s="3407">
        <f>IF($B$2=0,"",非誘!N78)</f>
        <v>1152</v>
      </c>
      <c r="O111" s="3407"/>
      <c r="P111" s="3407"/>
      <c r="Q111" s="3407"/>
      <c r="R111" s="3407"/>
      <c r="S111" s="3431">
        <f>IF($B$2=0,"",非誘!S78)</f>
        <v>806.4</v>
      </c>
      <c r="T111" s="3431"/>
      <c r="U111" s="3431"/>
      <c r="V111" s="3431"/>
      <c r="W111" s="3431">
        <f>IF($B$2=0,"",非誘!W78)</f>
        <v>345.6</v>
      </c>
      <c r="X111" s="3431"/>
      <c r="Y111" s="3431"/>
      <c r="Z111" s="3431"/>
      <c r="AA111" s="3407">
        <f>IF($B$2=0,"",非誘!AA78)</f>
        <v>3</v>
      </c>
      <c r="AB111" s="3407"/>
      <c r="AC111" s="3407"/>
      <c r="AD111" s="3407">
        <f>IF($B$2=0,"",非誘!AD78)</f>
        <v>9</v>
      </c>
      <c r="AE111" s="3407"/>
      <c r="AF111" s="3407"/>
      <c r="AG111" s="3391" t="s">
        <v>942</v>
      </c>
      <c r="AH111" s="3391"/>
      <c r="AI111" s="3391"/>
      <c r="AJ111" s="3391"/>
      <c r="AK111" s="3391"/>
      <c r="AL111" s="2990" t="str">
        <f>IF(AP111&lt;&gt;"",AP111,IF($BY$18="要","要",""))</f>
        <v/>
      </c>
      <c r="AM111" s="2990"/>
      <c r="AN111" s="2990"/>
      <c r="AO111" s="668" t="s">
        <v>103</v>
      </c>
      <c r="AP111" s="3408"/>
      <c r="AQ111" s="3408"/>
      <c r="AR111" s="3408"/>
      <c r="AS111" s="2551"/>
      <c r="AT111" s="3414"/>
      <c r="AU111" s="2551"/>
      <c r="AV111" s="3414"/>
      <c r="AW111" s="2551"/>
      <c r="AX111" s="3414"/>
      <c r="AY111" s="2551"/>
      <c r="AZ111" s="3414"/>
      <c r="BA111" s="2551"/>
      <c r="BB111" s="3414"/>
      <c r="BC111" s="2551"/>
      <c r="BD111" s="3414"/>
      <c r="BE111" s="2551"/>
      <c r="BF111" s="3414"/>
      <c r="BG111" s="2551"/>
      <c r="BH111" s="3414"/>
      <c r="BI111" s="2551"/>
      <c r="BJ111" s="3414"/>
      <c r="BK111" s="2551"/>
      <c r="BL111" s="3414"/>
      <c r="BM111" s="2551"/>
      <c r="BN111" s="3428"/>
      <c r="BO111" s="3414"/>
      <c r="BP111" s="2551"/>
      <c r="BQ111" s="3428"/>
      <c r="BR111" s="3414"/>
      <c r="BS111" s="2551"/>
      <c r="BT111" s="3414"/>
      <c r="BU111" s="19"/>
      <c r="BY111" s="677">
        <f>IF(CE111=0,0,IF(CE111="=",BY110+BY102+BY120,IF(CE111="-",BY110+BY102,BY110+BY120)))</f>
        <v>14</v>
      </c>
      <c r="BZ111" s="3443" t="str">
        <f>IF(CE111=0,"",IF(BY111*3&lt;=20,"HP 1.2mm- 10Pr",IF(BY111*3&lt;=30,"HP 1.2mm- 15Pr",IF(BY111*3&lt;=40,"HP 1.2mm- 20Pr",IF(BY111*3&lt;=50,"HP 1.2mm- 25Pr",IF(BY111*3&lt;=60,"HP 1.2mm- 30Pr",IF(BY111*3&lt;=80,"HP 1.2mm- 40Pr",IF(BY111*3&lt;=100,"HP 1.2mm- 50Pr",IF(BY111*3&lt;=150,"HP 1.2mm- 75Pr", IF(BY111*3&lt;=200,"HP 1.2mm-100Pr",IF(BY111*3&lt;=400,"HP 1.2mm-200Pr","")))))))))))</f>
        <v>HP 1.2mm- 25Pr</v>
      </c>
      <c r="CA111" s="3444"/>
      <c r="CB111" s="3444"/>
      <c r="CC111" s="3445"/>
      <c r="CD111" s="673" t="str">
        <f>IF(LEFT($BG$10,2)=" B",-MID($BG$10,3,1),LEFT($BG$10,3))</f>
        <v xml:space="preserve">  1</v>
      </c>
      <c r="CE111" s="676" t="str">
        <f>IF(CD112=0,0,IF(CD111=CD112,"=",IF(CD111&gt;CD112,"-","+")))</f>
        <v>+</v>
      </c>
      <c r="CF111" s="106" t="s">
        <v>856</v>
      </c>
      <c r="CG111" s="136">
        <f>2*INT((F111-$Y$10/1000-0.25))</f>
        <v>4</v>
      </c>
      <c r="CH111" s="136">
        <f>1+INT((F111-$Y$7/1000-0.25)*CS113)</f>
        <v>1</v>
      </c>
      <c r="CI111" s="136">
        <f>INT((F111-$Y$8/1000-0.25)*SUM(BI110:BL110))</f>
        <v>7</v>
      </c>
      <c r="CJ111" s="675"/>
      <c r="CK111" s="136">
        <v>0</v>
      </c>
      <c r="CL111" s="136" t="str">
        <f>IF(BP110="","",INT((F111-$Y$9/1000-0.25)*BP110))</f>
        <v/>
      </c>
      <c r="CM111" s="136" t="str">
        <f>IF(BS110="","",INT((F111-$Y$9/1000-0.25)*BS110))</f>
        <v/>
      </c>
      <c r="CN111" s="665">
        <f>IF(AA111="",0,IF(AE106="不","",INT(AA111/2)))</f>
        <v>1</v>
      </c>
      <c r="CO111" s="665">
        <f>IF(AN106="不","",INT(AD111/2))</f>
        <v>4</v>
      </c>
      <c r="CP111" s="670" t="s">
        <v>941</v>
      </c>
      <c r="CQ111" s="15"/>
      <c r="CR111" s="106" t="s">
        <v>868</v>
      </c>
      <c r="CS111" s="8">
        <f>SUM(CS109:CS110)</f>
        <v>1</v>
      </c>
      <c r="CT111" s="3483" t="str">
        <f>IF(CV111="","","カットリレー")</f>
        <v/>
      </c>
      <c r="CU111" s="3484"/>
      <c r="CV111" s="88" t="str">
        <f>BS110</f>
        <v/>
      </c>
      <c r="CY111" s="197">
        <f t="shared" si="77"/>
        <v>8</v>
      </c>
      <c r="CZ111" s="197" t="str">
        <f t="shared" si="75"/>
        <v/>
      </c>
      <c r="DB111" s="24"/>
      <c r="DD111" s="516"/>
      <c r="DE111" s="516"/>
      <c r="DH111" s="197">
        <f t="shared" si="78"/>
        <v>5</v>
      </c>
      <c r="DI111" s="197" t="str">
        <f t="shared" si="76"/>
        <v/>
      </c>
      <c r="DK111" s="24"/>
      <c r="DM111" s="516"/>
      <c r="DN111" s="516"/>
      <c r="DP111" s="8"/>
      <c r="DQ111" s="197">
        <f>IF(DU111&lt;&gt;"",DQ109+1,DQ109)</f>
        <v>11</v>
      </c>
      <c r="DR111" s="197" t="str">
        <f t="shared" ref="DR111:DR123" si="79">IF(AND(DQ111&lt;&gt;"",DU111&lt;&gt;""),DQ111,"")</f>
        <v/>
      </c>
      <c r="DS111" s="10" t="str">
        <f>CQ78</f>
        <v>スピーカ 3W S1</v>
      </c>
      <c r="DT111" s="8"/>
      <c r="DU111" s="249" t="str">
        <f>IF(COUNTIF($DS$10:DS110,DS111)&gt;0,"",DS111)</f>
        <v/>
      </c>
      <c r="DV111" s="198">
        <f>CS78</f>
        <v>5</v>
      </c>
      <c r="DW111" s="514">
        <f t="shared" ref="DW111:DW123" si="80">SUMIF($DS$13:$DS$344,DU111,$DV$13:$DV$344)</f>
        <v>5</v>
      </c>
    </row>
    <row r="112" spans="2:127" ht="11.25" customHeight="1" thickBot="1">
      <c r="B112" s="23"/>
      <c r="C112" s="2300" t="s">
        <v>867</v>
      </c>
      <c r="D112" s="2301"/>
      <c r="E112" s="2301"/>
      <c r="F112" s="2301"/>
      <c r="G112" s="2302"/>
      <c r="H112" s="3422" t="str">
        <f>IF(CE111=0,"",IF(R112&lt;&gt;"",R112,BZ111))</f>
        <v>HP 1.2mm- 25Pr</v>
      </c>
      <c r="I112" s="3423"/>
      <c r="J112" s="3423"/>
      <c r="K112" s="3423"/>
      <c r="L112" s="3423"/>
      <c r="M112" s="3423"/>
      <c r="N112" s="3423"/>
      <c r="O112" s="3423"/>
      <c r="P112" s="3424"/>
      <c r="Q112" s="668" t="s">
        <v>103</v>
      </c>
      <c r="R112" s="3362"/>
      <c r="S112" s="3363"/>
      <c r="T112" s="3363"/>
      <c r="U112" s="3363"/>
      <c r="V112" s="3363"/>
      <c r="W112" s="3363"/>
      <c r="X112" s="3363"/>
      <c r="Y112" s="3363"/>
      <c r="Z112" s="3364"/>
      <c r="AA112" s="3345" t="s">
        <v>866</v>
      </c>
      <c r="AB112" s="3346"/>
      <c r="AC112" s="3346"/>
      <c r="AD112" s="3346"/>
      <c r="AE112" s="3347"/>
      <c r="AF112" s="3385">
        <f>IF(CE111=0,"",IF(AK112&lt;&gt;"",AK112,CG113+CI113))</f>
        <v>7</v>
      </c>
      <c r="AG112" s="3386"/>
      <c r="AH112" s="3386"/>
      <c r="AI112" s="3387"/>
      <c r="AJ112" s="669" t="s">
        <v>103</v>
      </c>
      <c r="AK112" s="3415"/>
      <c r="AL112" s="3416"/>
      <c r="AM112" s="3416"/>
      <c r="AN112" s="3417"/>
      <c r="AO112" s="2300" t="s">
        <v>865</v>
      </c>
      <c r="AP112" s="2301"/>
      <c r="AQ112" s="2301"/>
      <c r="AR112" s="2301"/>
      <c r="AS112" s="2302"/>
      <c r="AT112" s="3422" t="str">
        <f>IF(CE111=0,"",IF(BA112&lt;&gt;"",BA112,IF(MID(AG109,4,2)="C ","C-"&amp;CA112&amp;"mm",IF(MID(AG109,4,2)="PF","PF-D-"&amp;CB112&amp;"mm",IF(MID(AG109,4,2)="CD","CD-"&amp;CB112&amp;"mm",IF(MID(AG109,4,2)="G ","G-"&amp;CB112&amp;"mm",""))))))</f>
        <v>C-39mm</v>
      </c>
      <c r="AU112" s="3423"/>
      <c r="AV112" s="3423"/>
      <c r="AW112" s="3423"/>
      <c r="AX112" s="3423"/>
      <c r="AY112" s="3424"/>
      <c r="AZ112" s="668" t="s">
        <v>103</v>
      </c>
      <c r="BA112" s="3362"/>
      <c r="BB112" s="3363"/>
      <c r="BC112" s="3363"/>
      <c r="BD112" s="3363"/>
      <c r="BE112" s="3363"/>
      <c r="BF112" s="3364"/>
      <c r="BG112" s="3345" t="s">
        <v>864</v>
      </c>
      <c r="BH112" s="3346"/>
      <c r="BI112" s="3346"/>
      <c r="BJ112" s="3346"/>
      <c r="BK112" s="3347"/>
      <c r="BL112" s="3385">
        <f>IF(CE111=0,"",IF(CM113=0,"",IF(BQ112&lt;&gt;"",BQ112,CK113+CM113)))</f>
        <v>4</v>
      </c>
      <c r="BM112" s="3386"/>
      <c r="BN112" s="3386"/>
      <c r="BO112" s="3387"/>
      <c r="BP112" s="668" t="s">
        <v>103</v>
      </c>
      <c r="BQ112" s="3415"/>
      <c r="BR112" s="3416"/>
      <c r="BS112" s="3416"/>
      <c r="BT112" s="3417"/>
      <c r="BU112" s="19"/>
      <c r="BZ112" s="107" t="str">
        <f>IF(LEN(BZ111)=13,MID(BZ111,10,2),MID(BZ111,10,3))</f>
        <v xml:space="preserve"> 25</v>
      </c>
      <c r="CA112" s="674" t="str">
        <f>IF(OR(BZ112=" 10",BZ112=" 15"),"31",IF(OR(BZ112=" 20",BZ112=" 25",BZ112=" 30"),"39",IF(OR(BZ112=" 40",BZ112=" 50"),"51",IF(BZ112="100","63",IF(BZ112&lt;="200","75","")))))</f>
        <v>39</v>
      </c>
      <c r="CB112" s="674" t="str">
        <f>IF(OR(BZ112=" 10",BZ112=" 15"),"28",IF(OR(BZ112=" 20",BZ112=" 25",BZ112=" 30"),"36",IF(OR(BZ112=" 40",BZ112=" 50"),"42",IF(BZ112="100","54",IF(BZ112&lt;="200","70","")))))</f>
        <v>36</v>
      </c>
      <c r="CD112" s="673" t="str">
        <f>IF(C111="",0,IF(LEFT(C111,2)=" B",-MID(C111,3,1),LEFT(C111,3)))</f>
        <v xml:space="preserve">  9</v>
      </c>
      <c r="CF112" s="106"/>
      <c r="CG112" s="90" t="s">
        <v>940</v>
      </c>
      <c r="CH112" s="64"/>
      <c r="CI112" s="90" t="s">
        <v>940</v>
      </c>
      <c r="CJ112" s="38"/>
      <c r="CK112" s="90" t="s">
        <v>940</v>
      </c>
      <c r="CL112" s="64"/>
      <c r="CM112" s="90" t="s">
        <v>940</v>
      </c>
      <c r="CN112" s="672">
        <f>IF(S111="",0,IF(AE106="不","",INT(S111/150)))</f>
        <v>5</v>
      </c>
      <c r="CO112" s="671"/>
      <c r="CP112" s="670" t="s">
        <v>889</v>
      </c>
      <c r="CQ112" s="2986" t="str">
        <f>IF(CS112="","","プロセニアム・スピーカ 20W")</f>
        <v/>
      </c>
      <c r="CR112" s="3476"/>
      <c r="CS112" s="88" t="str">
        <f>IF(BC110=0,"",BC110)</f>
        <v/>
      </c>
      <c r="CT112" s="9"/>
      <c r="CU112" s="46"/>
      <c r="CY112" s="197">
        <f t="shared" si="77"/>
        <v>8</v>
      </c>
      <c r="CZ112" s="197" t="str">
        <f t="shared" si="75"/>
        <v/>
      </c>
      <c r="DB112" s="24"/>
      <c r="DD112" s="516"/>
      <c r="DE112" s="516"/>
      <c r="DH112" s="197">
        <f t="shared" si="78"/>
        <v>5</v>
      </c>
      <c r="DI112" s="197" t="str">
        <f t="shared" si="76"/>
        <v/>
      </c>
      <c r="DK112" s="24"/>
      <c r="DM112" s="516"/>
      <c r="DN112" s="516"/>
      <c r="DP112" s="8"/>
      <c r="DQ112" s="197">
        <f t="shared" ref="DQ112:DQ123" si="81">IF(DU112&lt;&gt;"",DQ111+1,DQ111)</f>
        <v>11</v>
      </c>
      <c r="DR112" s="197" t="str">
        <f t="shared" si="79"/>
        <v/>
      </c>
      <c r="DS112" s="10" t="str">
        <f>CQ79</f>
        <v>スピーカ 3W S3</v>
      </c>
      <c r="DT112" s="8"/>
      <c r="DU112" s="249" t="str">
        <f>IF(COUNTIF($DS$10:DS111,DS112)&gt;0,"",DS112)</f>
        <v/>
      </c>
      <c r="DV112" s="198">
        <f>CS79</f>
        <v>4</v>
      </c>
      <c r="DW112" s="514">
        <f t="shared" si="80"/>
        <v>5</v>
      </c>
    </row>
    <row r="113" spans="2:127" ht="11.25" customHeight="1" thickBot="1">
      <c r="B113" s="23"/>
      <c r="C113" s="2300" t="s">
        <v>861</v>
      </c>
      <c r="D113" s="2301"/>
      <c r="E113" s="2301"/>
      <c r="F113" s="2301"/>
      <c r="G113" s="2302"/>
      <c r="H113" s="3422" t="str">
        <f>IF(CE111=0,"",IF(R113&lt;&gt;"",R113,"HP 1.2mm-3C"))</f>
        <v>HP 1.2mm-3C</v>
      </c>
      <c r="I113" s="3423"/>
      <c r="J113" s="3423"/>
      <c r="K113" s="3423"/>
      <c r="L113" s="3423"/>
      <c r="M113" s="3423"/>
      <c r="N113" s="3423"/>
      <c r="O113" s="3423"/>
      <c r="P113" s="3424"/>
      <c r="Q113" s="668" t="s">
        <v>103</v>
      </c>
      <c r="R113" s="3362"/>
      <c r="S113" s="3363"/>
      <c r="T113" s="3363"/>
      <c r="U113" s="3363"/>
      <c r="V113" s="3363"/>
      <c r="W113" s="3363"/>
      <c r="X113" s="3363"/>
      <c r="Y113" s="3363"/>
      <c r="Z113" s="3364"/>
      <c r="AA113" s="3348" t="s">
        <v>235</v>
      </c>
      <c r="AB113" s="3349"/>
      <c r="AC113" s="3349"/>
      <c r="AD113" s="3349"/>
      <c r="AE113" s="3350"/>
      <c r="AF113" s="3385">
        <f>IF(CE111=0,"",IF(AK113&lt;&gt;"",AK113,SUM(CN107:CN108)))</f>
        <v>321</v>
      </c>
      <c r="AG113" s="3386"/>
      <c r="AH113" s="3386"/>
      <c r="AI113" s="3387"/>
      <c r="AJ113" s="669" t="s">
        <v>103</v>
      </c>
      <c r="AK113" s="3415"/>
      <c r="AL113" s="3416"/>
      <c r="AM113" s="3416"/>
      <c r="AN113" s="3417"/>
      <c r="AO113" s="2300" t="s">
        <v>860</v>
      </c>
      <c r="AP113" s="2301"/>
      <c r="AQ113" s="2301"/>
      <c r="AR113" s="2301"/>
      <c r="AS113" s="2302"/>
      <c r="AT113" s="3422" t="str">
        <f>IF(CE111=0,"",IF(BA113&lt;&gt;"",BA113,IF(MID(AG109,4,2)="C ","C-19mm",IF(MID(AG109,4,2)="PF","PF-D-16mm",IF(MID(AG109,4,2)="CD","CD-16mm",IF(MID(AG109,4,2)="G ","G-16mm","C-19mm"))))))</f>
        <v>C-19mm</v>
      </c>
      <c r="AU113" s="3423"/>
      <c r="AV113" s="3423"/>
      <c r="AW113" s="3423"/>
      <c r="AX113" s="3423"/>
      <c r="AY113" s="3424"/>
      <c r="AZ113" s="668" t="s">
        <v>103</v>
      </c>
      <c r="BA113" s="3362"/>
      <c r="BB113" s="3363"/>
      <c r="BC113" s="3363"/>
      <c r="BD113" s="3363"/>
      <c r="BE113" s="3363"/>
      <c r="BF113" s="3364"/>
      <c r="BG113" s="3348" t="s">
        <v>235</v>
      </c>
      <c r="BH113" s="3349"/>
      <c r="BI113" s="3349"/>
      <c r="BJ113" s="3349"/>
      <c r="BK113" s="3350"/>
      <c r="BL113" s="3385">
        <f>IF(CE111=0,"",IF(BQ113&lt;&gt;"",BQ113,SUM(CO107:CO108)))</f>
        <v>147</v>
      </c>
      <c r="BM113" s="3386"/>
      <c r="BN113" s="3386"/>
      <c r="BO113" s="3387"/>
      <c r="BP113" s="668" t="s">
        <v>103</v>
      </c>
      <c r="BQ113" s="3425"/>
      <c r="BR113" s="3426"/>
      <c r="BS113" s="3426"/>
      <c r="BT113" s="3427"/>
      <c r="BU113" s="19"/>
      <c r="CF113" s="106" t="s">
        <v>859</v>
      </c>
      <c r="CG113" s="184">
        <f>IF(CE111="=",CD109,0)</f>
        <v>0</v>
      </c>
      <c r="CH113" s="667" t="s">
        <v>858</v>
      </c>
      <c r="CI113" s="184">
        <f>F111+2*$AN$7/1000</f>
        <v>7</v>
      </c>
      <c r="CJ113" s="666" t="s">
        <v>857</v>
      </c>
      <c r="CK113" s="184">
        <f>IF(CG109=1,CG113,0)</f>
        <v>0</v>
      </c>
      <c r="CL113" s="666" t="s">
        <v>856</v>
      </c>
      <c r="CM113" s="184">
        <f>IF(CG109=1,F111,0)</f>
        <v>4</v>
      </c>
      <c r="CN113" s="665">
        <f>INT(AS110/2)</f>
        <v>2</v>
      </c>
      <c r="CO113" s="665">
        <f>IF(AU110="","",1+INT(AU110/2))</f>
        <v>1</v>
      </c>
      <c r="CP113" s="664" t="s">
        <v>939</v>
      </c>
      <c r="CQ113" s="3477" t="str">
        <f>IF(CS113="","","ソノライン・スピーカ 20W")</f>
        <v>ソノライン・スピーカ 20W</v>
      </c>
      <c r="CR113" s="3478"/>
      <c r="CS113" s="222">
        <f>IF(BE110="",0,BE110)</f>
        <v>0</v>
      </c>
      <c r="CT113" s="155"/>
      <c r="CU113" s="148"/>
      <c r="CV113" s="148"/>
      <c r="CY113" s="197">
        <f t="shared" si="77"/>
        <v>8</v>
      </c>
      <c r="CZ113" s="197" t="str">
        <f t="shared" si="75"/>
        <v/>
      </c>
      <c r="DB113" s="24"/>
      <c r="DD113" s="516"/>
      <c r="DE113" s="516"/>
      <c r="DH113" s="197">
        <f t="shared" si="78"/>
        <v>5</v>
      </c>
      <c r="DI113" s="197" t="str">
        <f t="shared" si="76"/>
        <v/>
      </c>
      <c r="DK113" s="24"/>
      <c r="DM113" s="516"/>
      <c r="DN113" s="516"/>
      <c r="DP113" s="8"/>
      <c r="DQ113" s="197">
        <f t="shared" si="81"/>
        <v>11</v>
      </c>
      <c r="DR113" s="197" t="str">
        <f t="shared" si="79"/>
        <v/>
      </c>
      <c r="DS113" s="10" t="str">
        <f>CQ80</f>
        <v/>
      </c>
      <c r="DT113" s="8"/>
      <c r="DU113" s="249" t="str">
        <f>IF(COUNTIF($DS$10:DS112,DS113)&gt;0,"",DS113)</f>
        <v/>
      </c>
      <c r="DV113" s="198" t="str">
        <f>CS80</f>
        <v/>
      </c>
      <c r="DW113" s="514">
        <f t="shared" si="80"/>
        <v>5</v>
      </c>
    </row>
    <row r="114" spans="2:127" ht="11.25" customHeight="1">
      <c r="B114" s="23"/>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19"/>
      <c r="CP114" s="6"/>
      <c r="CQ114" s="2986" t="str">
        <f>IF(CS114="","","スピーカ 3W S1")</f>
        <v>スピーカ 3W S1</v>
      </c>
      <c r="CR114" s="3476"/>
      <c r="CS114" s="88">
        <f>IF(AS119=0,"",AS119)</f>
        <v>5</v>
      </c>
      <c r="CT114" s="9"/>
      <c r="CX114" s="88">
        <v>12</v>
      </c>
      <c r="CY114" s="204"/>
      <c r="CZ114" s="155"/>
      <c r="DA114" s="45"/>
      <c r="DB114" s="45"/>
      <c r="DC114" s="45" t="s">
        <v>109</v>
      </c>
      <c r="DD114" s="45"/>
      <c r="DE114" s="45" t="s">
        <v>108</v>
      </c>
      <c r="DG114" s="88">
        <v>12</v>
      </c>
      <c r="DH114" s="204"/>
      <c r="DI114" s="155"/>
      <c r="DJ114" s="45"/>
      <c r="DK114" s="45"/>
      <c r="DL114" s="45" t="s">
        <v>109</v>
      </c>
      <c r="DM114" s="45"/>
      <c r="DN114" s="45" t="s">
        <v>108</v>
      </c>
      <c r="DP114" s="8"/>
      <c r="DQ114" s="197">
        <f t="shared" si="81"/>
        <v>11</v>
      </c>
      <c r="DR114" s="197" t="str">
        <f t="shared" si="79"/>
        <v/>
      </c>
      <c r="DS114" s="10" t="str">
        <f>CQ82</f>
        <v>スピーカ 6W S2</v>
      </c>
      <c r="DT114" s="8"/>
      <c r="DU114" s="249" t="str">
        <f>IF(COUNTIF($DS$10:DS113,DS114)&gt;0,"",DS114)</f>
        <v/>
      </c>
      <c r="DV114" s="198">
        <f>CS82</f>
        <v>1</v>
      </c>
      <c r="DW114" s="514">
        <f t="shared" si="80"/>
        <v>5</v>
      </c>
    </row>
    <row r="115" spans="2:127" ht="11.25" customHeight="1" thickBot="1">
      <c r="B115" s="23"/>
      <c r="C115" s="2299" t="s">
        <v>16</v>
      </c>
      <c r="D115" s="2299"/>
      <c r="E115" s="2299"/>
      <c r="F115" s="2299" t="s">
        <v>22</v>
      </c>
      <c r="G115" s="2299"/>
      <c r="H115" s="2299"/>
      <c r="I115" s="2299"/>
      <c r="J115" s="2299" t="s">
        <v>5</v>
      </c>
      <c r="K115" s="2299"/>
      <c r="L115" s="2299"/>
      <c r="M115" s="2299"/>
      <c r="N115" s="2299" t="s">
        <v>6</v>
      </c>
      <c r="O115" s="2299"/>
      <c r="P115" s="2299"/>
      <c r="Q115" s="2299"/>
      <c r="R115" s="2299"/>
      <c r="S115" s="2299" t="s">
        <v>938</v>
      </c>
      <c r="T115" s="2299"/>
      <c r="U115" s="2299"/>
      <c r="V115" s="2299"/>
      <c r="W115" s="2299"/>
      <c r="X115" s="2299"/>
      <c r="Y115" s="2299"/>
      <c r="Z115" s="2299"/>
      <c r="AA115" s="3382" t="s">
        <v>7</v>
      </c>
      <c r="AB115" s="3382"/>
      <c r="AC115" s="3382"/>
      <c r="AD115" s="3382"/>
      <c r="AE115" s="2630" t="str">
        <f>IF(S120="","",IF(AH115&lt;&gt;"",AH115,IF(RIGHT($D$10,2)="不要","不","要")))</f>
        <v>要</v>
      </c>
      <c r="AF115" s="2630"/>
      <c r="AG115" s="668" t="s">
        <v>937</v>
      </c>
      <c r="AH115" s="2632"/>
      <c r="AI115" s="2633"/>
      <c r="AJ115" s="3371" t="s">
        <v>913</v>
      </c>
      <c r="AK115" s="3372"/>
      <c r="AL115" s="3372"/>
      <c r="AM115" s="3373"/>
      <c r="AN115" s="3383" t="str">
        <f>IF(W120="","",IF(AQ115&lt;&gt;"",AQ115,IF(RIGHT($D$10,2)="設置","要","不")))</f>
        <v>要</v>
      </c>
      <c r="AO115" s="3384"/>
      <c r="AP115" s="668" t="s">
        <v>937</v>
      </c>
      <c r="AQ115" s="2632"/>
      <c r="AR115" s="2633"/>
      <c r="AS115" s="3399" t="s">
        <v>912</v>
      </c>
      <c r="AT115" s="3412"/>
      <c r="AU115" s="3412"/>
      <c r="AV115" s="3412"/>
      <c r="AW115" s="3412"/>
      <c r="AX115" s="3412"/>
      <c r="AY115" s="3412"/>
      <c r="AZ115" s="3412"/>
      <c r="BA115" s="3412"/>
      <c r="BB115" s="3412"/>
      <c r="BC115" s="3412"/>
      <c r="BD115" s="3412"/>
      <c r="BE115" s="3412"/>
      <c r="BF115" s="3412"/>
      <c r="BG115" s="3412"/>
      <c r="BH115" s="3413"/>
      <c r="BI115" s="3399" t="s">
        <v>934</v>
      </c>
      <c r="BJ115" s="3412"/>
      <c r="BK115" s="3412"/>
      <c r="BL115" s="3413"/>
      <c r="BM115" s="3360" t="s">
        <v>936</v>
      </c>
      <c r="BN115" s="3419"/>
      <c r="BO115" s="3419"/>
      <c r="BP115" s="3419"/>
      <c r="BQ115" s="3419"/>
      <c r="BR115" s="3361"/>
      <c r="BS115" s="3441" t="s">
        <v>935</v>
      </c>
      <c r="BT115" s="3442"/>
      <c r="BU115" s="19"/>
      <c r="BW115" s="102"/>
      <c r="CF115" s="8"/>
      <c r="CG115" s="685" t="s">
        <v>909</v>
      </c>
      <c r="CH115" s="685" t="s">
        <v>908</v>
      </c>
      <c r="CI115" s="685" t="s">
        <v>934</v>
      </c>
      <c r="CJ115" s="686">
        <f>IF($AX$8=0,"",INT(10.7*CD117*CE117/($BF$8/1000)^2))</f>
        <v>85</v>
      </c>
      <c r="CK115" s="685" t="s">
        <v>933</v>
      </c>
      <c r="CL115" s="685" t="s">
        <v>932</v>
      </c>
      <c r="CM115" s="685" t="s">
        <v>931</v>
      </c>
      <c r="CN115" s="550" t="s">
        <v>734</v>
      </c>
      <c r="CO115" s="550" t="s">
        <v>732</v>
      </c>
      <c r="CP115" s="684"/>
      <c r="CQ115" s="2986" t="str">
        <f>IF(CS115="","","スピーカ 3W S3")</f>
        <v>スピーカ 3W S3</v>
      </c>
      <c r="CR115" s="3476"/>
      <c r="CS115" s="88">
        <f>IF(AY119=0,"",AY119)</f>
        <v>4</v>
      </c>
      <c r="CT115" s="3483" t="str">
        <f>IF(CV115="","","マイクロホン")</f>
        <v/>
      </c>
      <c r="CU115" s="3484"/>
      <c r="CV115" s="88" t="str">
        <f>BG119</f>
        <v/>
      </c>
      <c r="CX115" s="8"/>
      <c r="CY115" s="197">
        <f>IF(DC115&lt;&gt;"",CY113+1,CY113)</f>
        <v>9</v>
      </c>
      <c r="CZ115" s="197">
        <f t="shared" ref="CZ115:CZ122" si="82">IF(AND(CY115&lt;&gt;"",DC115&lt;&gt;""),CY115,"")</f>
        <v>9</v>
      </c>
      <c r="DA115" s="10" t="str">
        <f>H121</f>
        <v>HP 1.2mm- 20Pr</v>
      </c>
      <c r="DB115" s="8"/>
      <c r="DC115" s="249" t="str">
        <f>IF(COUNTIF(DA$10:$DA112,DA115)&gt;0,"",DA115)</f>
        <v>HP 1.2mm- 20Pr</v>
      </c>
      <c r="DD115" s="515">
        <f>AF121</f>
        <v>7</v>
      </c>
      <c r="DE115" s="514">
        <f>SUMIF($DA$13:$DA$199,DC115,$DD$13:$DD$199)</f>
        <v>7</v>
      </c>
      <c r="DG115" s="8"/>
      <c r="DH115" s="197">
        <f>IF(DL115&lt;&gt;"",DH113+1,DH113)</f>
        <v>5</v>
      </c>
      <c r="DI115" s="197" t="str">
        <f t="shared" ref="DI115:DI122" si="83">IF(AND(DH115&lt;&gt;"",DL115&lt;&gt;""),DH115,"")</f>
        <v/>
      </c>
      <c r="DJ115" s="10" t="str">
        <f>AT121</f>
        <v>C-39mm</v>
      </c>
      <c r="DK115" s="8"/>
      <c r="DL115" s="249" t="str">
        <f>IF(COUNTIF($DA$10:DJ112,DJ115)&gt;0,"",DJ115)</f>
        <v/>
      </c>
      <c r="DM115" s="515">
        <f>BL121</f>
        <v>4</v>
      </c>
      <c r="DN115" s="514">
        <f>SUMIF($DJ$13:$DJ$199,DL115,$DM$13:$DM$199)</f>
        <v>0</v>
      </c>
      <c r="DP115" s="8"/>
      <c r="DQ115" s="197">
        <f t="shared" si="81"/>
        <v>11</v>
      </c>
      <c r="DR115" s="197" t="str">
        <f t="shared" si="79"/>
        <v/>
      </c>
      <c r="DS115" s="10" t="str">
        <f>CQ83</f>
        <v/>
      </c>
      <c r="DT115" s="8"/>
      <c r="DU115" s="249" t="str">
        <f>IF(COUNTIF($DS$10:DS114,DS115)&gt;0,"",DS115)</f>
        <v/>
      </c>
      <c r="DV115" s="198" t="str">
        <f>CS83</f>
        <v/>
      </c>
      <c r="DW115" s="514">
        <f t="shared" si="80"/>
        <v>5</v>
      </c>
    </row>
    <row r="116" spans="2:127" ht="11.25" customHeight="1" thickBot="1">
      <c r="B116" s="23"/>
      <c r="C116" s="2299"/>
      <c r="D116" s="2299"/>
      <c r="E116" s="2299"/>
      <c r="F116" s="2396"/>
      <c r="G116" s="2396"/>
      <c r="H116" s="2396"/>
      <c r="I116" s="2396"/>
      <c r="J116" s="2396"/>
      <c r="K116" s="2396"/>
      <c r="L116" s="2396"/>
      <c r="M116" s="2396"/>
      <c r="N116" s="2396"/>
      <c r="O116" s="2396"/>
      <c r="P116" s="2396"/>
      <c r="Q116" s="2396"/>
      <c r="R116" s="2396"/>
      <c r="S116" s="2396" t="s">
        <v>7</v>
      </c>
      <c r="T116" s="2396"/>
      <c r="U116" s="2396"/>
      <c r="V116" s="2396"/>
      <c r="W116" s="2396" t="s">
        <v>8</v>
      </c>
      <c r="X116" s="2396"/>
      <c r="Y116" s="2396"/>
      <c r="Z116" s="2396"/>
      <c r="AA116" s="2384" t="s">
        <v>9</v>
      </c>
      <c r="AB116" s="2385"/>
      <c r="AC116" s="2386"/>
      <c r="AD116" s="2384" t="s">
        <v>9</v>
      </c>
      <c r="AE116" s="2385"/>
      <c r="AF116" s="2386"/>
      <c r="AG116" s="2384" t="str">
        <f>IF(AN116="","","専部屋面積")</f>
        <v>専部屋面積</v>
      </c>
      <c r="AH116" s="2385"/>
      <c r="AI116" s="2385"/>
      <c r="AJ116" s="2382"/>
      <c r="AK116" s="2382"/>
      <c r="AL116" s="2382"/>
      <c r="AM116" s="3392"/>
      <c r="AN116" s="3365">
        <f>IF(OR(C120="",$B$2=0),"",S120/AA120)</f>
        <v>268.8</v>
      </c>
      <c r="AO116" s="3366"/>
      <c r="AP116" s="3366"/>
      <c r="AQ116" s="3366"/>
      <c r="AR116" s="3367"/>
      <c r="AS116" s="2300" t="s">
        <v>903</v>
      </c>
      <c r="AT116" s="2301"/>
      <c r="AU116" s="2301"/>
      <c r="AV116" s="2301"/>
      <c r="AW116" s="2301"/>
      <c r="AX116" s="2302"/>
      <c r="AY116" s="2300" t="s">
        <v>902</v>
      </c>
      <c r="AZ116" s="2301"/>
      <c r="BA116" s="2301"/>
      <c r="BB116" s="2302"/>
      <c r="BC116" s="2300" t="s">
        <v>902</v>
      </c>
      <c r="BD116" s="2301"/>
      <c r="BE116" s="2301"/>
      <c r="BF116" s="2302"/>
      <c r="BG116" s="2300" t="s">
        <v>743</v>
      </c>
      <c r="BH116" s="2302"/>
      <c r="BI116" s="2300" t="s">
        <v>901</v>
      </c>
      <c r="BJ116" s="2301"/>
      <c r="BK116" s="2301"/>
      <c r="BL116" s="2302"/>
      <c r="BM116" s="2299" t="s">
        <v>930</v>
      </c>
      <c r="BN116" s="2299"/>
      <c r="BO116" s="2299"/>
      <c r="BP116" s="2299" t="s">
        <v>929</v>
      </c>
      <c r="BQ116" s="2299"/>
      <c r="BR116" s="2299"/>
      <c r="BS116" s="3439" t="s">
        <v>928</v>
      </c>
      <c r="BT116" s="3440"/>
      <c r="BU116" s="19"/>
      <c r="BW116" s="679"/>
      <c r="BX116" s="90" t="s">
        <v>889</v>
      </c>
      <c r="BY116" s="100" t="s">
        <v>927</v>
      </c>
      <c r="CC116" s="180">
        <v>87</v>
      </c>
      <c r="CD116" s="55" t="s">
        <v>229</v>
      </c>
      <c r="CE116" s="55" t="s">
        <v>228</v>
      </c>
      <c r="CF116" s="106" t="s">
        <v>859</v>
      </c>
      <c r="CG116" s="184">
        <f>INT((CD118+10)*BY119+CS117*$AN$8/1000+($AN$7/1000)*BY119)</f>
        <v>120</v>
      </c>
      <c r="CH116" s="184">
        <f>INT(CD118*CS122+CS122)</f>
        <v>0</v>
      </c>
      <c r="CI116" s="184">
        <f>8*SUM(BI119:BL119)</f>
        <v>24</v>
      </c>
      <c r="CJ116" s="185">
        <f>IF($AX$8=0,"",2*INT(0.5*CJ115))</f>
        <v>84</v>
      </c>
      <c r="CK116" s="184"/>
      <c r="CL116" s="184" t="str">
        <f>IF(BP119="","",10*BP119)</f>
        <v/>
      </c>
      <c r="CM116" s="184" t="str">
        <f>IF(BP119="","",10*BP119)</f>
        <v/>
      </c>
      <c r="CN116" s="682">
        <f>IF(S120="",0,IF(AE115="不","",(SUM(CG116:CM116)+SUM(CG117:CM117))*S120/N120))</f>
        <v>224.7</v>
      </c>
      <c r="CO116" s="682">
        <f>IF(S120="",0,IF(AE115="不","",(SUM(CG119:CM119)+SUM(CG120:CM120))*S120/N120))</f>
        <v>102.9</v>
      </c>
      <c r="CP116" s="664" t="s">
        <v>1</v>
      </c>
      <c r="CQ116" s="2986" t="str">
        <f>IF(CS116="","","スピーカ S5")</f>
        <v/>
      </c>
      <c r="CR116" s="3476"/>
      <c r="CS116" s="683" t="str">
        <f>IF(AW119=0,"",AW119)</f>
        <v/>
      </c>
      <c r="CT116" s="3483" t="str">
        <f>IF(CV116="","","アッテネータ 3W")</f>
        <v>アッテネータ 3W</v>
      </c>
      <c r="CU116" s="3484"/>
      <c r="CV116" s="88">
        <f>BI119</f>
        <v>2</v>
      </c>
      <c r="CX116" s="8"/>
      <c r="CY116" s="197">
        <f t="shared" ref="CY116:CY122" si="84">IF(DC116&lt;&gt;"",CY115+1,CY115)</f>
        <v>9</v>
      </c>
      <c r="CZ116" s="197" t="str">
        <f t="shared" si="82"/>
        <v/>
      </c>
      <c r="DA116" s="10" t="str">
        <f>H122</f>
        <v>HP 1.2mm-3C</v>
      </c>
      <c r="DB116" s="8"/>
      <c r="DC116" s="249" t="str">
        <f>IF(COUNTIF(DA$10:$DA113,DA116)&gt;0,"",DA116)</f>
        <v/>
      </c>
      <c r="DD116" s="515">
        <f>AF122</f>
        <v>321</v>
      </c>
      <c r="DE116" s="514">
        <f>SUMIF($DA$13:$DA$199,DC116,$DD$13:$DD$199)</f>
        <v>0</v>
      </c>
      <c r="DG116" s="8"/>
      <c r="DH116" s="197">
        <f t="shared" ref="DH116:DH122" si="85">IF(DL116&lt;&gt;"",DH115+1,DH115)</f>
        <v>5</v>
      </c>
      <c r="DI116" s="197" t="str">
        <f t="shared" si="83"/>
        <v/>
      </c>
      <c r="DJ116" s="10" t="str">
        <f>AT122</f>
        <v>C-19mm</v>
      </c>
      <c r="DK116" s="8"/>
      <c r="DL116" s="249" t="str">
        <f>IF(COUNTIF($DA$10:DJ113,DJ116)&gt;0,"",DJ116)</f>
        <v/>
      </c>
      <c r="DM116" s="515">
        <f>BL122</f>
        <v>147</v>
      </c>
      <c r="DN116" s="514">
        <f>SUMIF($DJ$13:$DJ$199,DL116,$DM$13:$DM$199)</f>
        <v>0</v>
      </c>
      <c r="DQ116" s="197">
        <f t="shared" si="81"/>
        <v>11</v>
      </c>
      <c r="DR116" s="197" t="str">
        <f t="shared" si="79"/>
        <v/>
      </c>
      <c r="DS116" s="10" t="str">
        <f>CQ85</f>
        <v/>
      </c>
      <c r="DT116" s="24"/>
      <c r="DU116" s="249" t="str">
        <f>IF(COUNTIF($DS$10:DS115,DS116)&gt;0,"",DS116)</f>
        <v/>
      </c>
      <c r="DV116" s="198" t="str">
        <f>CS85</f>
        <v/>
      </c>
      <c r="DW116" s="514">
        <f t="shared" si="80"/>
        <v>5</v>
      </c>
    </row>
    <row r="117" spans="2:127" ht="11.25" customHeight="1" thickBot="1">
      <c r="B117" s="23"/>
      <c r="C117" s="2396"/>
      <c r="D117" s="2396"/>
      <c r="E117" s="2396"/>
      <c r="F117" s="2397" t="s">
        <v>235</v>
      </c>
      <c r="G117" s="2397"/>
      <c r="H117" s="2397"/>
      <c r="I117" s="2397"/>
      <c r="J117" s="2397" t="s">
        <v>235</v>
      </c>
      <c r="K117" s="2397"/>
      <c r="L117" s="2397"/>
      <c r="M117" s="2397"/>
      <c r="N117" s="2397" t="s">
        <v>128</v>
      </c>
      <c r="O117" s="2397"/>
      <c r="P117" s="2397"/>
      <c r="Q117" s="2397"/>
      <c r="R117" s="2397"/>
      <c r="S117" s="2397" t="s">
        <v>128</v>
      </c>
      <c r="T117" s="2397"/>
      <c r="U117" s="2397"/>
      <c r="V117" s="2397"/>
      <c r="W117" s="2397" t="s">
        <v>128</v>
      </c>
      <c r="X117" s="2397"/>
      <c r="Y117" s="2397"/>
      <c r="Z117" s="2397"/>
      <c r="AA117" s="2397" t="s">
        <v>111</v>
      </c>
      <c r="AB117" s="2397"/>
      <c r="AC117" s="2397"/>
      <c r="AD117" s="2397" t="s">
        <v>110</v>
      </c>
      <c r="AE117" s="2397"/>
      <c r="AF117" s="2397"/>
      <c r="AG117" s="3398" t="str">
        <f>IF(AN117="","","共部屋面積")</f>
        <v>共部屋面積</v>
      </c>
      <c r="AH117" s="2382"/>
      <c r="AI117" s="2382"/>
      <c r="AJ117" s="2382"/>
      <c r="AK117" s="2382"/>
      <c r="AL117" s="2382"/>
      <c r="AM117" s="3392"/>
      <c r="AN117" s="3368">
        <f>IF(OR($B$2=0,C120=""),"",W120/AD120)</f>
        <v>38.400000000000006</v>
      </c>
      <c r="AO117" s="3369"/>
      <c r="AP117" s="3369"/>
      <c r="AQ117" s="3369"/>
      <c r="AR117" s="3370"/>
      <c r="AS117" s="3419" t="s">
        <v>895</v>
      </c>
      <c r="AT117" s="3361"/>
      <c r="AU117" s="3360" t="s">
        <v>894</v>
      </c>
      <c r="AV117" s="3361"/>
      <c r="AW117" s="3360" t="s">
        <v>893</v>
      </c>
      <c r="AX117" s="3361"/>
      <c r="AY117" s="3360" t="s">
        <v>892</v>
      </c>
      <c r="AZ117" s="3361"/>
      <c r="BA117" s="3360" t="s">
        <v>891</v>
      </c>
      <c r="BB117" s="3361"/>
      <c r="BC117" s="3360" t="s">
        <v>890</v>
      </c>
      <c r="BD117" s="3361"/>
      <c r="BE117" s="3360" t="s">
        <v>889</v>
      </c>
      <c r="BF117" s="3361"/>
      <c r="BG117" s="3432" t="s">
        <v>888</v>
      </c>
      <c r="BH117" s="3433"/>
      <c r="BI117" s="3360"/>
      <c r="BJ117" s="3361"/>
      <c r="BK117" s="3360"/>
      <c r="BL117" s="3361"/>
      <c r="BM117" s="3391" t="s">
        <v>887</v>
      </c>
      <c r="BN117" s="3391"/>
      <c r="BO117" s="3391"/>
      <c r="BP117" s="3391" t="s">
        <v>887</v>
      </c>
      <c r="BQ117" s="3391"/>
      <c r="BR117" s="3391"/>
      <c r="BS117" s="3432" t="s">
        <v>744</v>
      </c>
      <c r="BT117" s="3433"/>
      <c r="BU117" s="19"/>
      <c r="BW117" s="102"/>
      <c r="BX117" s="88">
        <f>IF(OR(J118="( 10)",J118="(12)イ",LEFT(J118,4)="(13)"),1,0)</f>
        <v>0</v>
      </c>
      <c r="BY117" s="88" t="str">
        <f>IF(OR(J118="(1) ロ",J118="(2) ロ",J118="(2) ニ",J118="(5) イ",J118="(6) ハ",J118="(6) ニ",J118="( 7 )",J118="( 15)"),"要","")</f>
        <v/>
      </c>
      <c r="CC117" s="46">
        <v>12</v>
      </c>
      <c r="CD117" s="98">
        <f>非誘!BW89</f>
        <v>12</v>
      </c>
      <c r="CE117" s="98">
        <f>非誘!BX89</f>
        <v>24</v>
      </c>
      <c r="CF117" s="106" t="s">
        <v>858</v>
      </c>
      <c r="CG117" s="185">
        <f>INT((F120-$Y$10/1000-0.25)*BY119)</f>
        <v>8</v>
      </c>
      <c r="CH117" s="184">
        <f>1+INT((F120-$Y$7/1000-0.25+$AN$8/1000)*CS122)</f>
        <v>1</v>
      </c>
      <c r="CI117" s="184">
        <f>INT((F120-$Y$8/1000-0.25+$AN$9/1000)*SUM(BI119:BL119))</f>
        <v>8</v>
      </c>
      <c r="CJ117" s="185">
        <f>IF($AX$8=0,"",2*INT(CJ115*($AX$8-250)/1000))</f>
        <v>76</v>
      </c>
      <c r="CK117" s="184"/>
      <c r="CL117" s="184" t="str">
        <f>IF(BP119="","",INT((F120-$Y$9/1000-0.25+AN111/1000)*BP119))</f>
        <v/>
      </c>
      <c r="CM117" s="184" t="str">
        <f>IF(BS119="","",INT((F120-$Y$9/1000-0.25+AN111/1000)*BS119))</f>
        <v/>
      </c>
      <c r="CN117" s="682">
        <f>IF(AN115="不","",(SUM(CG116:CM116)+SUM(CG117:CM117))*W120/N120)</f>
        <v>96.300000000000011</v>
      </c>
      <c r="CO117" s="682">
        <f>IF(AN115="不","",(SUM(CG119:CM119)+SUM(CG120:CM120))*W120/N120)</f>
        <v>44.1</v>
      </c>
      <c r="CP117" s="670" t="s">
        <v>877</v>
      </c>
      <c r="CQ117" s="15"/>
      <c r="CR117" s="106" t="s">
        <v>868</v>
      </c>
      <c r="CS117" s="8">
        <f>SUM(CS114:CS116)</f>
        <v>9</v>
      </c>
      <c r="CT117" s="3485" t="str">
        <f>IF(CV117="","","アッテネータ 6W")</f>
        <v>アッテネータ 6W</v>
      </c>
      <c r="CU117" s="3484"/>
      <c r="CV117" s="88">
        <f>BK119</f>
        <v>1</v>
      </c>
      <c r="CX117" s="8"/>
      <c r="CY117" s="197">
        <f t="shared" si="84"/>
        <v>9</v>
      </c>
      <c r="CZ117" s="197" t="str">
        <f t="shared" si="82"/>
        <v/>
      </c>
      <c r="DA117" s="10"/>
      <c r="DB117" s="8"/>
      <c r="DC117" s="249"/>
      <c r="DD117" s="515"/>
      <c r="DE117" s="514"/>
      <c r="DG117" s="8"/>
      <c r="DH117" s="197">
        <f t="shared" si="85"/>
        <v>5</v>
      </c>
      <c r="DI117" s="197" t="str">
        <f t="shared" si="83"/>
        <v/>
      </c>
      <c r="DJ117" s="10"/>
      <c r="DK117" s="8"/>
      <c r="DL117" s="249"/>
      <c r="DM117" s="515"/>
      <c r="DN117" s="514"/>
      <c r="DQ117" s="197">
        <f t="shared" si="81"/>
        <v>11</v>
      </c>
      <c r="DR117" s="197" t="str">
        <f t="shared" si="79"/>
        <v/>
      </c>
      <c r="DS117" s="201" t="str">
        <f>CQ86</f>
        <v>ソノライン・スピーカ 20W</v>
      </c>
      <c r="DT117" s="24"/>
      <c r="DU117" s="249" t="str">
        <f>IF(COUNTIF($DS$10:DS116,DS117)&gt;0,"",DS117)</f>
        <v/>
      </c>
      <c r="DV117" s="198">
        <f>CS86</f>
        <v>0</v>
      </c>
      <c r="DW117" s="514">
        <f t="shared" si="80"/>
        <v>5</v>
      </c>
    </row>
    <row r="118" spans="2:127" ht="11.25" customHeight="1" thickBot="1">
      <c r="B118" s="23"/>
      <c r="C118" s="2299" t="s">
        <v>112</v>
      </c>
      <c r="D118" s="2299"/>
      <c r="E118" s="2299"/>
      <c r="F118" s="2299"/>
      <c r="G118" s="2299"/>
      <c r="H118" s="2299"/>
      <c r="I118" s="3399"/>
      <c r="J118" s="3400" t="str">
        <f>非誘!J87</f>
        <v>( 4 )</v>
      </c>
      <c r="K118" s="3401"/>
      <c r="L118" s="3401"/>
      <c r="M118" s="3402"/>
      <c r="N118" s="3403" t="str">
        <f>非誘!M87</f>
        <v>百貨店等</v>
      </c>
      <c r="O118" s="3404"/>
      <c r="P118" s="3404"/>
      <c r="Q118" s="3404"/>
      <c r="R118" s="3404"/>
      <c r="S118" s="3404"/>
      <c r="T118" s="3404"/>
      <c r="U118" s="3404"/>
      <c r="V118" s="3404"/>
      <c r="W118" s="3404"/>
      <c r="X118" s="3404"/>
      <c r="Y118" s="3404"/>
      <c r="Z118" s="3405"/>
      <c r="AA118" s="3406" t="s">
        <v>926</v>
      </c>
      <c r="AB118" s="2301"/>
      <c r="AC118" s="2301"/>
      <c r="AD118" s="2301"/>
      <c r="AE118" s="2301"/>
      <c r="AF118" s="2302"/>
      <c r="AG118" s="3393" t="str">
        <f>IF($B$2=0,"",IF(AN118="","天井(C 管)",AN118))</f>
        <v>天井(C 管)</v>
      </c>
      <c r="AH118" s="2368"/>
      <c r="AI118" s="2368"/>
      <c r="AJ118" s="2368"/>
      <c r="AK118" s="2368"/>
      <c r="AL118" s="3394"/>
      <c r="AM118" s="668" t="s">
        <v>925</v>
      </c>
      <c r="AN118" s="3395"/>
      <c r="AO118" s="3396"/>
      <c r="AP118" s="3396"/>
      <c r="AQ118" s="3396"/>
      <c r="AR118" s="3397"/>
      <c r="AS118" s="3434" t="s">
        <v>881</v>
      </c>
      <c r="AT118" s="3435"/>
      <c r="AU118" s="3436" t="s">
        <v>880</v>
      </c>
      <c r="AV118" s="3437"/>
      <c r="AW118" s="3432"/>
      <c r="AX118" s="3433"/>
      <c r="AY118" s="3432" t="s">
        <v>881</v>
      </c>
      <c r="AZ118" s="3433"/>
      <c r="BA118" s="3436" t="s">
        <v>884</v>
      </c>
      <c r="BB118" s="3437"/>
      <c r="BC118" s="3436" t="s">
        <v>883</v>
      </c>
      <c r="BD118" s="3438"/>
      <c r="BE118" s="3438"/>
      <c r="BF118" s="3437"/>
      <c r="BG118" s="3420" t="s">
        <v>882</v>
      </c>
      <c r="BH118" s="3421"/>
      <c r="BI118" s="3436" t="s">
        <v>881</v>
      </c>
      <c r="BJ118" s="3437"/>
      <c r="BK118" s="3436" t="s">
        <v>880</v>
      </c>
      <c r="BL118" s="3437"/>
      <c r="BM118" s="3407" t="str">
        <f>IF(BM119="","",$BW$12)</f>
        <v/>
      </c>
      <c r="BN118" s="3407"/>
      <c r="BO118" s="3407"/>
      <c r="BP118" s="3407" t="str">
        <f>IF(BP119="","",30)</f>
        <v/>
      </c>
      <c r="BQ118" s="3407"/>
      <c r="BR118" s="3407"/>
      <c r="BS118" s="2384" t="s">
        <v>879</v>
      </c>
      <c r="BT118" s="2386"/>
      <c r="BU118" s="19"/>
      <c r="BW118" s="102"/>
      <c r="CB118" s="90" t="s">
        <v>979</v>
      </c>
      <c r="CC118" s="479" t="str">
        <f>AD119</f>
        <v>⑦</v>
      </c>
      <c r="CD118" s="263">
        <f>IF(C120="","",IF(CC118="①",CD117+CE117+3,IF(CC118="②",CD117*5/8+CE117+3,IF(CC118="③",CD117/2+CE117+3,IF(CC118="④",CD117+CE117*5/8+3,IF(CC118="⑤",(CD117+CE117)*5/8+3,IF(CC118="⑥",CD117/2+CE117*5/8+3,IF(CC118="⑦",CD117+CE117/2+3,IF(CC118="⑧",CD117*5/8+CE117/2+3,IF(CC118="⑨",(CD117+CE117)/2+3))))))))))</f>
        <v>27</v>
      </c>
      <c r="CE118" s="8"/>
      <c r="CF118" s="106"/>
      <c r="CG118" s="681">
        <f>IF(AG118="天井ケーブル",0,1)</f>
        <v>1</v>
      </c>
      <c r="CH118" s="394"/>
      <c r="CI118" s="394"/>
      <c r="CJ118" s="59"/>
      <c r="CK118" s="394"/>
      <c r="CL118" s="394"/>
      <c r="CM118" s="394"/>
      <c r="CN118" s="62" t="s">
        <v>1</v>
      </c>
      <c r="CO118" s="62" t="s">
        <v>877</v>
      </c>
      <c r="CP118" s="38"/>
      <c r="CQ118" s="2986" t="str">
        <f>IF(CS118="","","スピーカ 6W S2")</f>
        <v>スピーカ 6W S2</v>
      </c>
      <c r="CR118" s="3476"/>
      <c r="CS118" s="88">
        <f>IF(AU119=0,"",AU119)</f>
        <v>1</v>
      </c>
      <c r="CT118" s="3483" t="str">
        <f>IF(CV118="","","主増幅器")</f>
        <v/>
      </c>
      <c r="CU118" s="3484"/>
      <c r="CV118" s="88" t="str">
        <f>BM119</f>
        <v/>
      </c>
      <c r="CX118" s="8"/>
      <c r="CY118" s="197">
        <f t="shared" si="84"/>
        <v>9</v>
      </c>
      <c r="CZ118" s="197" t="str">
        <f t="shared" si="82"/>
        <v/>
      </c>
      <c r="DA118" s="10"/>
      <c r="DB118" s="8"/>
      <c r="DC118" s="249"/>
      <c r="DD118" s="515"/>
      <c r="DE118" s="514"/>
      <c r="DG118" s="8"/>
      <c r="DH118" s="197">
        <f t="shared" si="85"/>
        <v>5</v>
      </c>
      <c r="DI118" s="197" t="str">
        <f t="shared" si="83"/>
        <v/>
      </c>
      <c r="DJ118" s="10"/>
      <c r="DK118" s="8"/>
      <c r="DL118" s="249"/>
      <c r="DM118" s="515"/>
      <c r="DN118" s="514"/>
      <c r="DQ118" s="197">
        <f t="shared" si="81"/>
        <v>11</v>
      </c>
      <c r="DR118" s="197" t="str">
        <f t="shared" si="79"/>
        <v/>
      </c>
      <c r="DS118" s="10" t="str">
        <f t="shared" ref="DS118:DS123" si="86">CT79</f>
        <v/>
      </c>
      <c r="DT118" s="24"/>
      <c r="DU118" s="249" t="str">
        <f>IF(COUNTIF($DS$10:DS117,DS118)&gt;0,"",DS118)</f>
        <v/>
      </c>
      <c r="DV118" s="198" t="str">
        <f t="shared" ref="DV118:DV123" si="87">CV79</f>
        <v/>
      </c>
      <c r="DW118" s="514">
        <f t="shared" si="80"/>
        <v>5</v>
      </c>
    </row>
    <row r="119" spans="2:127" ht="11.25" customHeight="1" thickBot="1">
      <c r="B119" s="23"/>
      <c r="C119" s="3409" t="s">
        <v>923</v>
      </c>
      <c r="D119" s="3410"/>
      <c r="E119" s="3410"/>
      <c r="F119" s="3410"/>
      <c r="G119" s="3410"/>
      <c r="H119" s="3411"/>
      <c r="I119" s="3430" t="str">
        <f>非誘!AA87</f>
        <v>A</v>
      </c>
      <c r="J119" s="3430"/>
      <c r="K119" s="3430"/>
      <c r="L119" s="2395" t="s">
        <v>214</v>
      </c>
      <c r="M119" s="2395"/>
      <c r="N119" s="2395"/>
      <c r="O119" s="2395"/>
      <c r="P119" s="2395"/>
      <c r="Q119" s="2395"/>
      <c r="R119" s="2395"/>
      <c r="S119" s="3379">
        <f>非誘!J88</f>
        <v>0.5</v>
      </c>
      <c r="T119" s="3380"/>
      <c r="U119" s="3380"/>
      <c r="V119" s="3381"/>
      <c r="W119" s="3399" t="s">
        <v>875</v>
      </c>
      <c r="X119" s="3412"/>
      <c r="Y119" s="3412"/>
      <c r="Z119" s="3412"/>
      <c r="AA119" s="2654"/>
      <c r="AB119" s="2654"/>
      <c r="AC119" s="2655"/>
      <c r="AD119" s="3388" t="str">
        <f>非誘!V88</f>
        <v>⑦</v>
      </c>
      <c r="AE119" s="3389"/>
      <c r="AF119" s="3390"/>
      <c r="AG119" s="3391" t="s">
        <v>874</v>
      </c>
      <c r="AH119" s="3391"/>
      <c r="AI119" s="3391"/>
      <c r="AJ119" s="3391"/>
      <c r="AK119" s="3391"/>
      <c r="AL119" s="2990" t="str">
        <f>IF(AP119&lt;&gt;"",AP119,IF(C120=$BG$10,C120,""))</f>
        <v/>
      </c>
      <c r="AM119" s="2990"/>
      <c r="AN119" s="2990"/>
      <c r="AO119" s="668" t="s">
        <v>34</v>
      </c>
      <c r="AP119" s="3325"/>
      <c r="AQ119" s="3326"/>
      <c r="AR119" s="3327"/>
      <c r="AS119" s="3418">
        <f>IF(CE120=0,"",IF(AS120&lt;&gt;"",AS120,IF(BE119&lt;&gt;"",CN121,SUM(CN119:CO119))))</f>
        <v>5</v>
      </c>
      <c r="AT119" s="3375"/>
      <c r="AU119" s="3418">
        <f>IF(CE120=0,"",IF(AU120&lt;&gt;"",AU120,CN120))</f>
        <v>1</v>
      </c>
      <c r="AV119" s="3375"/>
      <c r="AW119" s="3418"/>
      <c r="AX119" s="3375"/>
      <c r="AY119" s="3418">
        <f>IF(AA120="","",IF(AY120&lt;&gt;"",AY120,CO120))</f>
        <v>4</v>
      </c>
      <c r="AZ119" s="3375"/>
      <c r="BA119" s="3418"/>
      <c r="BB119" s="3375"/>
      <c r="BC119" s="3418" t="str">
        <f>IF(OR(AL120="不",,BP119=""),"",IF(BC120&lt;&gt;"",BC120,BP119*2))</f>
        <v/>
      </c>
      <c r="BD119" s="3375"/>
      <c r="BE119" s="3418" t="str">
        <f>IF(BE120&lt;&gt;"",BE120,IF(BX117=0,"",CN121))</f>
        <v/>
      </c>
      <c r="BF119" s="3375"/>
      <c r="BG119" s="3418" t="str">
        <f>IF(AE115="不","",IF(BG120&lt;&gt;"",BG120,BP119))</f>
        <v/>
      </c>
      <c r="BH119" s="3375"/>
      <c r="BI119" s="3418">
        <f>IF(CE120=0,"",CN122)</f>
        <v>2</v>
      </c>
      <c r="BJ119" s="3375"/>
      <c r="BK119" s="3374">
        <f>IF(CE120=0,"",CO122)</f>
        <v>1</v>
      </c>
      <c r="BL119" s="3375"/>
      <c r="BM119" s="3376" t="str">
        <f>IF(CE120=0,"",IF(BM120&lt;&gt;"",BM120,IF(C120=AL119,1,"")))</f>
        <v/>
      </c>
      <c r="BN119" s="3377"/>
      <c r="BO119" s="3378"/>
      <c r="BP119" s="3376" t="str">
        <f>IF(CE120=0,"",IF(OR(AE115="不",AA120="",S120=""),"",IF(BP120&lt;&gt;"",BP120,IF(AL120="要",1+INT(S120/1000),""))))</f>
        <v/>
      </c>
      <c r="BQ119" s="3377"/>
      <c r="BR119" s="3378"/>
      <c r="BS119" s="3376" t="str">
        <f>IF(BS120&lt;&gt;"",BS120,BP119)</f>
        <v/>
      </c>
      <c r="BT119" s="3378"/>
      <c r="BU119" s="19"/>
      <c r="BW119" s="680">
        <f>IF(AND(CS120=0,CS121=""),CS117*3,CS117*3+CS120*6)</f>
        <v>33</v>
      </c>
      <c r="BX119" s="102">
        <f>BY120</f>
        <v>11</v>
      </c>
      <c r="BY119" s="522">
        <f>1+INT(SUM(S120:Z120)/400)</f>
        <v>3</v>
      </c>
      <c r="BZ119" s="100" t="s">
        <v>873</v>
      </c>
      <c r="CB119" s="678">
        <f>IF(CE120="=",MID(BZ120,10,3),10*(1+INT(BY119*3/10)))</f>
        <v>10</v>
      </c>
      <c r="CC119" s="10" t="s">
        <v>922</v>
      </c>
      <c r="CF119" s="106" t="s">
        <v>857</v>
      </c>
      <c r="CG119" s="136">
        <f>IF(CG118=1,INT(CD118*BY119)+BY119*10,"")</f>
        <v>111</v>
      </c>
      <c r="CH119" s="136">
        <f>IF(CG118=1,INT(CD118*CS122),"")</f>
        <v>0</v>
      </c>
      <c r="CI119" s="136">
        <f>8*SUM(BI119:BL119)</f>
        <v>24</v>
      </c>
      <c r="CJ119" s="134" t="str">
        <f>IF($AX$8=0,INT(10.7*CD117*CE117/($BF$8/1000)^2)*1.5,"")</f>
        <v/>
      </c>
      <c r="CK119" s="136">
        <v>0</v>
      </c>
      <c r="CL119" s="136" t="str">
        <f>IF(BP119="","",10*BP119)</f>
        <v/>
      </c>
      <c r="CM119" s="136" t="str">
        <f>IF(BS119="","",10*BS119)</f>
        <v/>
      </c>
      <c r="CN119" s="665">
        <f>IF(AA120="",0,IF(AE115="不","",INT(AA120/2)))</f>
        <v>1</v>
      </c>
      <c r="CO119" s="665">
        <f>IF(AN115="不","",INT(AD120/2))</f>
        <v>4</v>
      </c>
      <c r="CP119" s="670" t="s">
        <v>921</v>
      </c>
      <c r="CQ119" s="2986" t="str">
        <f>IF(CS119="","","スピーカ 5W S4")</f>
        <v/>
      </c>
      <c r="CR119" s="3476"/>
      <c r="CS119" s="88" t="str">
        <f>IF(BA119=0,"",BA119)</f>
        <v/>
      </c>
      <c r="CT119" s="3483" t="str">
        <f>IF(CV119="","","副増幅器 30W")</f>
        <v/>
      </c>
      <c r="CU119" s="3484"/>
      <c r="CV119" s="88" t="str">
        <f>BP119</f>
        <v/>
      </c>
      <c r="CX119" s="8"/>
      <c r="CY119" s="197">
        <f t="shared" si="84"/>
        <v>9</v>
      </c>
      <c r="CZ119" s="197" t="str">
        <f t="shared" si="82"/>
        <v/>
      </c>
      <c r="DA119" s="10"/>
      <c r="DB119" s="8"/>
      <c r="DC119" s="249"/>
      <c r="DD119" s="515"/>
      <c r="DE119" s="514"/>
      <c r="DG119" s="8"/>
      <c r="DH119" s="197">
        <f t="shared" si="85"/>
        <v>5</v>
      </c>
      <c r="DI119" s="197" t="str">
        <f t="shared" si="83"/>
        <v/>
      </c>
      <c r="DJ119" s="10"/>
      <c r="DK119" s="8"/>
      <c r="DL119" s="249"/>
      <c r="DM119" s="515"/>
      <c r="DN119" s="514"/>
      <c r="DQ119" s="197">
        <f t="shared" si="81"/>
        <v>11</v>
      </c>
      <c r="DR119" s="197" t="str">
        <f t="shared" si="79"/>
        <v/>
      </c>
      <c r="DS119" s="10" t="str">
        <f t="shared" si="86"/>
        <v>アッテネータ 3W</v>
      </c>
      <c r="DT119" s="24"/>
      <c r="DU119" s="249" t="str">
        <f>IF(COUNTIF($DS$10:DS118,DS119)&gt;0,"",DS119)</f>
        <v/>
      </c>
      <c r="DV119" s="198">
        <f t="shared" si="87"/>
        <v>2</v>
      </c>
      <c r="DW119" s="514">
        <f t="shared" si="80"/>
        <v>5</v>
      </c>
    </row>
    <row r="120" spans="2:127" ht="11.25" customHeight="1" thickBot="1">
      <c r="B120" s="23"/>
      <c r="C120" s="3429" t="str">
        <f>IF($B$2=0,"",非誘!C89)</f>
        <v xml:space="preserve"> 10F</v>
      </c>
      <c r="D120" s="3407"/>
      <c r="E120" s="3407"/>
      <c r="F120" s="3430">
        <f>IF($B$2=0,"",非誘!F89)</f>
        <v>4</v>
      </c>
      <c r="G120" s="3430"/>
      <c r="H120" s="3430"/>
      <c r="I120" s="3430"/>
      <c r="J120" s="3430">
        <f>IF($B$2=0,"",非誘!J89)</f>
        <v>3</v>
      </c>
      <c r="K120" s="3430"/>
      <c r="L120" s="3430"/>
      <c r="M120" s="3430"/>
      <c r="N120" s="3407">
        <f>IF($B$2=0,"",非誘!N89)</f>
        <v>1152</v>
      </c>
      <c r="O120" s="3407"/>
      <c r="P120" s="3407"/>
      <c r="Q120" s="3407"/>
      <c r="R120" s="3407"/>
      <c r="S120" s="3431">
        <f>IF($B$2=0,"",非誘!S89)</f>
        <v>806.4</v>
      </c>
      <c r="T120" s="3431"/>
      <c r="U120" s="3431"/>
      <c r="V120" s="3431"/>
      <c r="W120" s="3431">
        <f>IF($B$2=0,"",非誘!W89)</f>
        <v>345.6</v>
      </c>
      <c r="X120" s="3431"/>
      <c r="Y120" s="3431"/>
      <c r="Z120" s="3431"/>
      <c r="AA120" s="3407">
        <f>IF($B$2=0,"",非誘!AA89)</f>
        <v>3</v>
      </c>
      <c r="AB120" s="3407"/>
      <c r="AC120" s="3407"/>
      <c r="AD120" s="3407">
        <f>IF($B$2=0,"",非誘!AD89)</f>
        <v>9</v>
      </c>
      <c r="AE120" s="3407"/>
      <c r="AF120" s="3407"/>
      <c r="AG120" s="3391" t="s">
        <v>920</v>
      </c>
      <c r="AH120" s="3391"/>
      <c r="AI120" s="3391"/>
      <c r="AJ120" s="3391"/>
      <c r="AK120" s="3391"/>
      <c r="AL120" s="2990" t="str">
        <f>IF(AP120&lt;&gt;"",AP120,IF($BY$18="要","要",""))</f>
        <v/>
      </c>
      <c r="AM120" s="2990"/>
      <c r="AN120" s="2990"/>
      <c r="AO120" s="668" t="s">
        <v>34</v>
      </c>
      <c r="AP120" s="3408"/>
      <c r="AQ120" s="3408"/>
      <c r="AR120" s="3408"/>
      <c r="AS120" s="2551"/>
      <c r="AT120" s="3414"/>
      <c r="AU120" s="2551"/>
      <c r="AV120" s="3414"/>
      <c r="AW120" s="2551"/>
      <c r="AX120" s="3414"/>
      <c r="AY120" s="2551"/>
      <c r="AZ120" s="3414"/>
      <c r="BA120" s="2551"/>
      <c r="BB120" s="3414"/>
      <c r="BC120" s="2551"/>
      <c r="BD120" s="3414"/>
      <c r="BE120" s="2551"/>
      <c r="BF120" s="3414"/>
      <c r="BG120" s="2551"/>
      <c r="BH120" s="3414"/>
      <c r="BI120" s="2551"/>
      <c r="BJ120" s="3414"/>
      <c r="BK120" s="2551"/>
      <c r="BL120" s="3414"/>
      <c r="BM120" s="2551"/>
      <c r="BN120" s="3428"/>
      <c r="BO120" s="3414"/>
      <c r="BP120" s="2551"/>
      <c r="BQ120" s="3428"/>
      <c r="BR120" s="3414"/>
      <c r="BS120" s="2551"/>
      <c r="BT120" s="3414"/>
      <c r="BU120" s="19"/>
      <c r="BY120" s="677">
        <f>IF(CE120=0,0,IF(CE120="=",BY119+BY111+BY129,IF(CE120="-",BY119+BY111,BY119+BY129)))</f>
        <v>11</v>
      </c>
      <c r="BZ120" s="3443" t="str">
        <f>IF(CE120=0,"",IF(BY120*3&lt;=20,"HP 1.2mm- 10Pr",IF(BY120*3&lt;=30,"HP 1.2mm- 15Pr",IF(BY120*3&lt;=40,"HP 1.2mm- 20Pr",IF(BY120*3&lt;=50,"HP 1.2mm- 25Pr",IF(BY120*3&lt;=60,"HP 1.2mm- 30Pr",IF(BY120*3&lt;=80,"HP 1.2mm- 40Pr",IF(BY120*3&lt;=100,"HP 1.2mm- 50Pr",IF(BY120*3&lt;=150,"HP 1.2mm- 75Pr", IF(BY120*3&lt;=200,"HP 1.2mm-100Pr",IF(BY120*3&lt;=400,"HP 1.2mm-200Pr","")))))))))))</f>
        <v>HP 1.2mm- 20Pr</v>
      </c>
      <c r="CA120" s="3444"/>
      <c r="CB120" s="3444"/>
      <c r="CC120" s="3445"/>
      <c r="CD120" s="673" t="str">
        <f>IF(LEFT($BG$10,2)=" B",-MID($BG$10,3,1),LEFT($BG$10,3))</f>
        <v xml:space="preserve">  1</v>
      </c>
      <c r="CE120" s="676" t="str">
        <f>IF(CD121=0,0,IF(CD120=CD121,"=",IF(CD120&gt;CD121,"-","+")))</f>
        <v>+</v>
      </c>
      <c r="CF120" s="106" t="s">
        <v>856</v>
      </c>
      <c r="CG120" s="136">
        <f>2*INT((F120-$Y$10/1000-0.25))</f>
        <v>4</v>
      </c>
      <c r="CH120" s="136">
        <f>1+INT((F120-$Y$7/1000-0.25)*CS122)</f>
        <v>1</v>
      </c>
      <c r="CI120" s="136">
        <f>INT((F120-$Y$8/1000-0.25)*SUM(BI119:BL119))</f>
        <v>7</v>
      </c>
      <c r="CJ120" s="675"/>
      <c r="CK120" s="136">
        <v>0</v>
      </c>
      <c r="CL120" s="136" t="str">
        <f>IF(BP119="","",INT((F120-$Y$9/1000-0.25)*BP119))</f>
        <v/>
      </c>
      <c r="CM120" s="136" t="str">
        <f>IF(BS119="","",INT((F120-$Y$9/1000-0.25)*BS119))</f>
        <v/>
      </c>
      <c r="CN120" s="665">
        <f>IF(AA120="",0,IF(AE115="不","",INT(AA120/2)))</f>
        <v>1</v>
      </c>
      <c r="CO120" s="665">
        <f>IF(AN115="不","",INT(AD120/2))</f>
        <v>4</v>
      </c>
      <c r="CP120" s="670" t="s">
        <v>919</v>
      </c>
      <c r="CQ120" s="15"/>
      <c r="CR120" s="106" t="s">
        <v>868</v>
      </c>
      <c r="CS120" s="8">
        <f>SUM(CS118:CS119)</f>
        <v>1</v>
      </c>
      <c r="CT120" s="3483" t="str">
        <f>IF(CV120="","","カットリレー")</f>
        <v/>
      </c>
      <c r="CU120" s="3484"/>
      <c r="CV120" s="88" t="str">
        <f>BS119</f>
        <v/>
      </c>
      <c r="CY120" s="197">
        <f t="shared" si="84"/>
        <v>9</v>
      </c>
      <c r="CZ120" s="197" t="str">
        <f t="shared" si="82"/>
        <v/>
      </c>
      <c r="DB120" s="24"/>
      <c r="DD120" s="516"/>
      <c r="DE120" s="516"/>
      <c r="DH120" s="197">
        <f t="shared" si="85"/>
        <v>5</v>
      </c>
      <c r="DI120" s="197" t="str">
        <f t="shared" si="83"/>
        <v/>
      </c>
      <c r="DK120" s="24"/>
      <c r="DM120" s="516"/>
      <c r="DN120" s="516"/>
      <c r="DQ120" s="197">
        <f t="shared" si="81"/>
        <v>11</v>
      </c>
      <c r="DR120" s="197" t="str">
        <f t="shared" si="79"/>
        <v/>
      </c>
      <c r="DS120" s="10" t="str">
        <f t="shared" si="86"/>
        <v>アッテネータ 6W</v>
      </c>
      <c r="DT120" s="24"/>
      <c r="DU120" s="249" t="str">
        <f>IF(COUNTIF($DS$10:DS119,DS120)&gt;0,"",DS120)</f>
        <v/>
      </c>
      <c r="DV120" s="198">
        <f t="shared" si="87"/>
        <v>1</v>
      </c>
      <c r="DW120" s="514">
        <f t="shared" si="80"/>
        <v>5</v>
      </c>
    </row>
    <row r="121" spans="2:127" ht="11.25" customHeight="1" thickBot="1">
      <c r="B121" s="23"/>
      <c r="C121" s="2300" t="s">
        <v>867</v>
      </c>
      <c r="D121" s="2301"/>
      <c r="E121" s="2301"/>
      <c r="F121" s="2301"/>
      <c r="G121" s="2302"/>
      <c r="H121" s="3422" t="str">
        <f>IF(CE120=0,"",IF(R121&lt;&gt;"",R121,BZ120))</f>
        <v>HP 1.2mm- 20Pr</v>
      </c>
      <c r="I121" s="3423"/>
      <c r="J121" s="3423"/>
      <c r="K121" s="3423"/>
      <c r="L121" s="3423"/>
      <c r="M121" s="3423"/>
      <c r="N121" s="3423"/>
      <c r="O121" s="3423"/>
      <c r="P121" s="3424"/>
      <c r="Q121" s="668" t="s">
        <v>2</v>
      </c>
      <c r="R121" s="3362"/>
      <c r="S121" s="3363"/>
      <c r="T121" s="3363"/>
      <c r="U121" s="3363"/>
      <c r="V121" s="3363"/>
      <c r="W121" s="3363"/>
      <c r="X121" s="3363"/>
      <c r="Y121" s="3363"/>
      <c r="Z121" s="3364"/>
      <c r="AA121" s="3345" t="s">
        <v>866</v>
      </c>
      <c r="AB121" s="3346"/>
      <c r="AC121" s="3346"/>
      <c r="AD121" s="3346"/>
      <c r="AE121" s="3347"/>
      <c r="AF121" s="3385">
        <f>IF(CE120=0,"",IF(AK121&lt;&gt;"",AK121,CG122+CI122))</f>
        <v>7</v>
      </c>
      <c r="AG121" s="3386"/>
      <c r="AH121" s="3386"/>
      <c r="AI121" s="3387"/>
      <c r="AJ121" s="669" t="s">
        <v>2</v>
      </c>
      <c r="AK121" s="3415"/>
      <c r="AL121" s="3416"/>
      <c r="AM121" s="3416"/>
      <c r="AN121" s="3417"/>
      <c r="AO121" s="2300" t="s">
        <v>865</v>
      </c>
      <c r="AP121" s="2301"/>
      <c r="AQ121" s="2301"/>
      <c r="AR121" s="2301"/>
      <c r="AS121" s="2302"/>
      <c r="AT121" s="3422" t="str">
        <f>IF(CE120=0,"",IF(BA121&lt;&gt;"",BA121,IF(MID(AG118,4,2)="C ","C-"&amp;CA121&amp;"mm",IF(MID(AG118,4,2)="PF","PF-D-"&amp;CB121&amp;"mm",IF(MID(AG118,4,2)="CD","CD-"&amp;CB121&amp;"mm",IF(MID(AG118,4,2)="G ","G-"&amp;CB121&amp;"mm",""))))))</f>
        <v>C-39mm</v>
      </c>
      <c r="AU121" s="3423"/>
      <c r="AV121" s="3423"/>
      <c r="AW121" s="3423"/>
      <c r="AX121" s="3423"/>
      <c r="AY121" s="3424"/>
      <c r="AZ121" s="668" t="s">
        <v>2</v>
      </c>
      <c r="BA121" s="3362"/>
      <c r="BB121" s="3363"/>
      <c r="BC121" s="3363"/>
      <c r="BD121" s="3363"/>
      <c r="BE121" s="3363"/>
      <c r="BF121" s="3364"/>
      <c r="BG121" s="3345" t="s">
        <v>864</v>
      </c>
      <c r="BH121" s="3346"/>
      <c r="BI121" s="3346"/>
      <c r="BJ121" s="3346"/>
      <c r="BK121" s="3347"/>
      <c r="BL121" s="3385">
        <f>IF(CE120=0,"",IF(CM122=0,"",IF(BQ121&lt;&gt;"",BQ121,CK122+CM122)))</f>
        <v>4</v>
      </c>
      <c r="BM121" s="3386"/>
      <c r="BN121" s="3386"/>
      <c r="BO121" s="3387"/>
      <c r="BP121" s="668" t="s">
        <v>2</v>
      </c>
      <c r="BQ121" s="3415"/>
      <c r="BR121" s="3416"/>
      <c r="BS121" s="3416"/>
      <c r="BT121" s="3417"/>
      <c r="BU121" s="19"/>
      <c r="BZ121" s="107" t="str">
        <f>IF(LEN(BZ120)=13,MID(BZ120,10,2),MID(BZ120,10,3))</f>
        <v xml:space="preserve"> 20</v>
      </c>
      <c r="CA121" s="674" t="str">
        <f>IF(OR(BZ121=" 10",BZ121=" 15"),"31",IF(OR(BZ121=" 20",BZ121=" 25",BZ121=" 30"),"39",IF(OR(BZ121=" 40",BZ121=" 50"),"51",IF(BZ121="100","63",IF(BZ121&lt;="200","75","")))))</f>
        <v>39</v>
      </c>
      <c r="CB121" s="674" t="str">
        <f>IF(OR(BZ121=" 10",BZ121=" 15"),"28",IF(OR(BZ121=" 20",BZ121=" 25",BZ121=" 30"),"36",IF(OR(BZ121=" 40",BZ121=" 50"),"42",IF(BZ121="100","54",IF(BZ121&lt;="200","70","")))))</f>
        <v>36</v>
      </c>
      <c r="CD121" s="673" t="str">
        <f>IF(C120="",0,IF(LEFT(C120,2)=" B",-MID(C120,3,1),LEFT(C120,3)))</f>
        <v xml:space="preserve"> 10</v>
      </c>
      <c r="CF121" s="106"/>
      <c r="CG121" s="90" t="s">
        <v>863</v>
      </c>
      <c r="CH121" s="64"/>
      <c r="CI121" s="90" t="s">
        <v>863</v>
      </c>
      <c r="CJ121" s="38"/>
      <c r="CK121" s="90" t="s">
        <v>863</v>
      </c>
      <c r="CL121" s="64"/>
      <c r="CM121" s="90" t="s">
        <v>863</v>
      </c>
      <c r="CN121" s="672">
        <f>IF(S120="",0,IF(AE115="不","",INT(S120/150)))</f>
        <v>5</v>
      </c>
      <c r="CO121" s="671"/>
      <c r="CP121" s="670" t="s">
        <v>862</v>
      </c>
      <c r="CQ121" s="2986" t="str">
        <f>IF(CS121="","","プロセニアム・スピーカ 20W")</f>
        <v/>
      </c>
      <c r="CR121" s="3476"/>
      <c r="CS121" s="88" t="str">
        <f>IF(BC119=0,"",BC119)</f>
        <v/>
      </c>
      <c r="CT121" s="9"/>
      <c r="CU121" s="46"/>
      <c r="CY121" s="197">
        <f t="shared" si="84"/>
        <v>9</v>
      </c>
      <c r="CZ121" s="197" t="str">
        <f t="shared" si="82"/>
        <v/>
      </c>
      <c r="DB121" s="24"/>
      <c r="DD121" s="516"/>
      <c r="DE121" s="516"/>
      <c r="DH121" s="197">
        <f t="shared" si="85"/>
        <v>5</v>
      </c>
      <c r="DI121" s="197" t="str">
        <f t="shared" si="83"/>
        <v/>
      </c>
      <c r="DK121" s="24"/>
      <c r="DM121" s="516"/>
      <c r="DN121" s="516"/>
      <c r="DQ121" s="197">
        <f t="shared" si="81"/>
        <v>11</v>
      </c>
      <c r="DR121" s="197" t="str">
        <f t="shared" si="79"/>
        <v/>
      </c>
      <c r="DS121" s="10" t="str">
        <f t="shared" si="86"/>
        <v/>
      </c>
      <c r="DT121" s="24"/>
      <c r="DU121" s="249" t="str">
        <f>IF(COUNTIF($DS$10:DS120,DS121)&gt;0,"",DS121)</f>
        <v/>
      </c>
      <c r="DV121" s="198" t="str">
        <f t="shared" si="87"/>
        <v/>
      </c>
      <c r="DW121" s="514">
        <f t="shared" si="80"/>
        <v>5</v>
      </c>
    </row>
    <row r="122" spans="2:127" ht="11.25" customHeight="1" thickBot="1">
      <c r="B122" s="23"/>
      <c r="C122" s="2300" t="s">
        <v>861</v>
      </c>
      <c r="D122" s="2301"/>
      <c r="E122" s="2301"/>
      <c r="F122" s="2301"/>
      <c r="G122" s="2302"/>
      <c r="H122" s="3422" t="str">
        <f>IF(CE120=0,"",IF(R122&lt;&gt;"",R122,"HP 1.2mm-3C"))</f>
        <v>HP 1.2mm-3C</v>
      </c>
      <c r="I122" s="3423"/>
      <c r="J122" s="3423"/>
      <c r="K122" s="3423"/>
      <c r="L122" s="3423"/>
      <c r="M122" s="3423"/>
      <c r="N122" s="3423"/>
      <c r="O122" s="3423"/>
      <c r="P122" s="3424"/>
      <c r="Q122" s="668" t="s">
        <v>2</v>
      </c>
      <c r="R122" s="3362"/>
      <c r="S122" s="3363"/>
      <c r="T122" s="3363"/>
      <c r="U122" s="3363"/>
      <c r="V122" s="3363"/>
      <c r="W122" s="3363"/>
      <c r="X122" s="3363"/>
      <c r="Y122" s="3363"/>
      <c r="Z122" s="3364"/>
      <c r="AA122" s="3348" t="s">
        <v>17</v>
      </c>
      <c r="AB122" s="3349"/>
      <c r="AC122" s="3349"/>
      <c r="AD122" s="3349"/>
      <c r="AE122" s="3350"/>
      <c r="AF122" s="3385">
        <f>IF(CE120=0,"",IF(AK122&lt;&gt;"",AK122,SUM(CN116:CN117)))</f>
        <v>321</v>
      </c>
      <c r="AG122" s="3386"/>
      <c r="AH122" s="3386"/>
      <c r="AI122" s="3387"/>
      <c r="AJ122" s="669" t="s">
        <v>2</v>
      </c>
      <c r="AK122" s="3415"/>
      <c r="AL122" s="3416"/>
      <c r="AM122" s="3416"/>
      <c r="AN122" s="3417"/>
      <c r="AO122" s="2300" t="s">
        <v>860</v>
      </c>
      <c r="AP122" s="2301"/>
      <c r="AQ122" s="2301"/>
      <c r="AR122" s="2301"/>
      <c r="AS122" s="2302"/>
      <c r="AT122" s="3422" t="str">
        <f>IF(CE120=0,"",IF(BA122&lt;&gt;"",BA122,IF(MID(AG118,4,2)="C ","C-19mm",IF(MID(AG118,4,2)="PF","PF-D-16mm",IF(MID(AG118,4,2)="CD","CD-16mm",IF(MID(AG118,4,2)="G ","G-16mm","C-19mm"))))))</f>
        <v>C-19mm</v>
      </c>
      <c r="AU122" s="3423"/>
      <c r="AV122" s="3423"/>
      <c r="AW122" s="3423"/>
      <c r="AX122" s="3423"/>
      <c r="AY122" s="3424"/>
      <c r="AZ122" s="668" t="s">
        <v>2</v>
      </c>
      <c r="BA122" s="3362"/>
      <c r="BB122" s="3363"/>
      <c r="BC122" s="3363"/>
      <c r="BD122" s="3363"/>
      <c r="BE122" s="3363"/>
      <c r="BF122" s="3364"/>
      <c r="BG122" s="3348" t="s">
        <v>17</v>
      </c>
      <c r="BH122" s="3349"/>
      <c r="BI122" s="3349"/>
      <c r="BJ122" s="3349"/>
      <c r="BK122" s="3350"/>
      <c r="BL122" s="3385">
        <f>IF(CE120=0,"",IF(BQ122&lt;&gt;"",BQ122,SUM(CO116:CO117)))</f>
        <v>147</v>
      </c>
      <c r="BM122" s="3386"/>
      <c r="BN122" s="3386"/>
      <c r="BO122" s="3387"/>
      <c r="BP122" s="668" t="s">
        <v>2</v>
      </c>
      <c r="BQ122" s="3425"/>
      <c r="BR122" s="3426"/>
      <c r="BS122" s="3426"/>
      <c r="BT122" s="3427"/>
      <c r="BU122" s="19"/>
      <c r="CF122" s="106" t="s">
        <v>859</v>
      </c>
      <c r="CG122" s="184">
        <f>IF(CE120="=",CD118,0)</f>
        <v>0</v>
      </c>
      <c r="CH122" s="667" t="s">
        <v>858</v>
      </c>
      <c r="CI122" s="184">
        <f>F120+2*$AN$7/1000</f>
        <v>7</v>
      </c>
      <c r="CJ122" s="666" t="s">
        <v>857</v>
      </c>
      <c r="CK122" s="184">
        <f>IF(CG118=1,CG122,0)</f>
        <v>0</v>
      </c>
      <c r="CL122" s="666" t="s">
        <v>856</v>
      </c>
      <c r="CM122" s="184">
        <f>IF(CG118=1,F120,0)</f>
        <v>4</v>
      </c>
      <c r="CN122" s="665">
        <f>INT(AS119/2)</f>
        <v>2</v>
      </c>
      <c r="CO122" s="665">
        <f>IF(AU119="","",1+INT(AU119/2))</f>
        <v>1</v>
      </c>
      <c r="CP122" s="664" t="s">
        <v>855</v>
      </c>
      <c r="CQ122" s="3477" t="str">
        <f>IF(CS122="","","ソノライン・スピーカ 20W")</f>
        <v>ソノライン・スピーカ 20W</v>
      </c>
      <c r="CR122" s="3478"/>
      <c r="CS122" s="222">
        <f>IF(BE119="",0,BE119)</f>
        <v>0</v>
      </c>
      <c r="CT122" s="155"/>
      <c r="CU122" s="148"/>
      <c r="CV122" s="148"/>
      <c r="CY122" s="197">
        <f t="shared" si="84"/>
        <v>9</v>
      </c>
      <c r="CZ122" s="197" t="str">
        <f t="shared" si="82"/>
        <v/>
      </c>
      <c r="DB122" s="24"/>
      <c r="DD122" s="516"/>
      <c r="DE122" s="516"/>
      <c r="DH122" s="197">
        <f t="shared" si="85"/>
        <v>5</v>
      </c>
      <c r="DI122" s="197" t="str">
        <f t="shared" si="83"/>
        <v/>
      </c>
      <c r="DK122" s="24"/>
      <c r="DM122" s="516"/>
      <c r="DN122" s="516"/>
      <c r="DQ122" s="197">
        <f t="shared" si="81"/>
        <v>11</v>
      </c>
      <c r="DR122" s="197" t="str">
        <f t="shared" si="79"/>
        <v/>
      </c>
      <c r="DS122" s="10" t="str">
        <f t="shared" si="86"/>
        <v/>
      </c>
      <c r="DT122" s="24"/>
      <c r="DU122" s="249" t="str">
        <f>IF(COUNTIF($DS$10:DS121,DS122)&gt;0,"",DS122)</f>
        <v/>
      </c>
      <c r="DV122" s="198" t="str">
        <f t="shared" si="87"/>
        <v/>
      </c>
      <c r="DW122" s="514">
        <f t="shared" si="80"/>
        <v>5</v>
      </c>
    </row>
    <row r="123" spans="2:127" ht="11.25" customHeight="1">
      <c r="B123" s="23"/>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19"/>
      <c r="CP123" s="6"/>
      <c r="CQ123" s="2986" t="str">
        <f>IF(CS123="","","スピーカ 3W S1")</f>
        <v>スピーカ 3W S1</v>
      </c>
      <c r="CR123" s="3476"/>
      <c r="CS123" s="88">
        <f>IF(AS128=0,"",AS128)</f>
        <v>5</v>
      </c>
      <c r="CT123" s="9"/>
      <c r="CX123" s="88">
        <v>13</v>
      </c>
      <c r="CY123" s="204"/>
      <c r="CZ123" s="155"/>
      <c r="DA123" s="45"/>
      <c r="DB123" s="45"/>
      <c r="DC123" s="45" t="s">
        <v>234</v>
      </c>
      <c r="DD123" s="45"/>
      <c r="DE123" s="45" t="s">
        <v>233</v>
      </c>
      <c r="DG123" s="88">
        <v>13</v>
      </c>
      <c r="DH123" s="204"/>
      <c r="DI123" s="155"/>
      <c r="DJ123" s="45"/>
      <c r="DK123" s="45"/>
      <c r="DL123" s="45" t="s">
        <v>234</v>
      </c>
      <c r="DM123" s="45"/>
      <c r="DN123" s="45" t="s">
        <v>233</v>
      </c>
      <c r="DP123" s="8"/>
      <c r="DQ123" s="197">
        <f t="shared" si="81"/>
        <v>11</v>
      </c>
      <c r="DR123" s="197" t="str">
        <f t="shared" si="79"/>
        <v/>
      </c>
      <c r="DS123" s="10" t="str">
        <f t="shared" si="86"/>
        <v/>
      </c>
      <c r="DT123" s="24"/>
      <c r="DU123" s="249" t="str">
        <f>IF(COUNTIF($DS$10:DS122,DS123)&gt;0,"",DS123)</f>
        <v/>
      </c>
      <c r="DV123" s="198" t="str">
        <f t="shared" si="87"/>
        <v/>
      </c>
      <c r="DW123" s="514">
        <f t="shared" si="80"/>
        <v>5</v>
      </c>
    </row>
    <row r="124" spans="2:127" ht="11.25" customHeight="1" thickBot="1">
      <c r="B124" s="23"/>
      <c r="C124" s="2299" t="s">
        <v>16</v>
      </c>
      <c r="D124" s="2299"/>
      <c r="E124" s="2299"/>
      <c r="F124" s="2299" t="s">
        <v>22</v>
      </c>
      <c r="G124" s="2299"/>
      <c r="H124" s="2299"/>
      <c r="I124" s="2299"/>
      <c r="J124" s="2299" t="s">
        <v>5</v>
      </c>
      <c r="K124" s="2299"/>
      <c r="L124" s="2299"/>
      <c r="M124" s="2299"/>
      <c r="N124" s="2299" t="s">
        <v>6</v>
      </c>
      <c r="O124" s="2299"/>
      <c r="P124" s="2299"/>
      <c r="Q124" s="2299"/>
      <c r="R124" s="2299"/>
      <c r="S124" s="2299" t="s">
        <v>938</v>
      </c>
      <c r="T124" s="2299"/>
      <c r="U124" s="2299"/>
      <c r="V124" s="2299"/>
      <c r="W124" s="2299"/>
      <c r="X124" s="2299"/>
      <c r="Y124" s="2299"/>
      <c r="Z124" s="2299"/>
      <c r="AA124" s="3382" t="s">
        <v>7</v>
      </c>
      <c r="AB124" s="3382"/>
      <c r="AC124" s="3382"/>
      <c r="AD124" s="3382"/>
      <c r="AE124" s="2630" t="str">
        <f>IF(S129="","",IF(AH124&lt;&gt;"",AH124,IF(RIGHT($D$10,2)="不要","不","要")))</f>
        <v>要</v>
      </c>
      <c r="AF124" s="2630"/>
      <c r="AG124" s="668" t="s">
        <v>937</v>
      </c>
      <c r="AH124" s="2632"/>
      <c r="AI124" s="2633"/>
      <c r="AJ124" s="3371" t="s">
        <v>913</v>
      </c>
      <c r="AK124" s="3372"/>
      <c r="AL124" s="3372"/>
      <c r="AM124" s="3373"/>
      <c r="AN124" s="3383" t="str">
        <f>IF(W129="","",IF(AQ124&lt;&gt;"",AQ124,IF(RIGHT($D$10,2)="設置","要","不")))</f>
        <v>要</v>
      </c>
      <c r="AO124" s="3384"/>
      <c r="AP124" s="668" t="s">
        <v>937</v>
      </c>
      <c r="AQ124" s="2632"/>
      <c r="AR124" s="2633"/>
      <c r="AS124" s="3399" t="s">
        <v>912</v>
      </c>
      <c r="AT124" s="3412"/>
      <c r="AU124" s="3412"/>
      <c r="AV124" s="3412"/>
      <c r="AW124" s="3412"/>
      <c r="AX124" s="3412"/>
      <c r="AY124" s="3412"/>
      <c r="AZ124" s="3412"/>
      <c r="BA124" s="3412"/>
      <c r="BB124" s="3412"/>
      <c r="BC124" s="3412"/>
      <c r="BD124" s="3412"/>
      <c r="BE124" s="3412"/>
      <c r="BF124" s="3412"/>
      <c r="BG124" s="3412"/>
      <c r="BH124" s="3413"/>
      <c r="BI124" s="3399" t="s">
        <v>934</v>
      </c>
      <c r="BJ124" s="3412"/>
      <c r="BK124" s="3412"/>
      <c r="BL124" s="3413"/>
      <c r="BM124" s="3360" t="s">
        <v>936</v>
      </c>
      <c r="BN124" s="3419"/>
      <c r="BO124" s="3419"/>
      <c r="BP124" s="3419"/>
      <c r="BQ124" s="3419"/>
      <c r="BR124" s="3361"/>
      <c r="BS124" s="3441" t="s">
        <v>935</v>
      </c>
      <c r="BT124" s="3442"/>
      <c r="BU124" s="19"/>
      <c r="BW124" s="102"/>
      <c r="CF124" s="8"/>
      <c r="CG124" s="685" t="s">
        <v>909</v>
      </c>
      <c r="CH124" s="685" t="s">
        <v>908</v>
      </c>
      <c r="CI124" s="685" t="s">
        <v>934</v>
      </c>
      <c r="CJ124" s="686">
        <f>IF($AX$8=0,"",INT(10.7*CD126*CE126/($BF$8/1000)^2))</f>
        <v>85</v>
      </c>
      <c r="CK124" s="685" t="s">
        <v>933</v>
      </c>
      <c r="CL124" s="685" t="s">
        <v>932</v>
      </c>
      <c r="CM124" s="685" t="s">
        <v>931</v>
      </c>
      <c r="CN124" s="550" t="s">
        <v>734</v>
      </c>
      <c r="CO124" s="550" t="s">
        <v>732</v>
      </c>
      <c r="CP124" s="684"/>
      <c r="CQ124" s="2986" t="str">
        <f>IF(CS124="","","スピーカ 3W S3")</f>
        <v>スピーカ 3W S3</v>
      </c>
      <c r="CR124" s="3476"/>
      <c r="CS124" s="88">
        <f>IF(AY128=0,"",AY128)</f>
        <v>4</v>
      </c>
      <c r="CT124" s="3483" t="str">
        <f>IF(CV124="","","マイクロホン")</f>
        <v/>
      </c>
      <c r="CU124" s="3484"/>
      <c r="CV124" s="88" t="str">
        <f>BG128</f>
        <v/>
      </c>
      <c r="CX124" s="8"/>
      <c r="CY124" s="197">
        <f>IF(DC124&lt;&gt;"",CY122+1,CY122)</f>
        <v>9</v>
      </c>
      <c r="CZ124" s="197" t="str">
        <f t="shared" ref="CZ124:CZ131" si="88">IF(AND(CY124&lt;&gt;"",DC124&lt;&gt;""),CY124,"")</f>
        <v/>
      </c>
      <c r="DA124" s="10" t="str">
        <f>H130</f>
        <v>HP 1.2mm- 15Pr</v>
      </c>
      <c r="DB124" s="8"/>
      <c r="DC124" s="249" t="str">
        <f>IF(COUNTIF(DA$10:$DA121,DA124)&gt;0,"",DA124)</f>
        <v/>
      </c>
      <c r="DD124" s="515">
        <f>AF130</f>
        <v>7</v>
      </c>
      <c r="DE124" s="514">
        <f>SUMIF($DA$13:$DA$199,DC124,$DD$13:$DD$199)</f>
        <v>0</v>
      </c>
      <c r="DG124" s="8"/>
      <c r="DH124" s="197">
        <f>IF(DL124&lt;&gt;"",DH122+1,DH122)</f>
        <v>5</v>
      </c>
      <c r="DI124" s="197" t="str">
        <f t="shared" ref="DI124:DI131" si="89">IF(AND(DH124&lt;&gt;"",DL124&lt;&gt;""),DH124,"")</f>
        <v/>
      </c>
      <c r="DJ124" s="10" t="str">
        <f>AT130</f>
        <v>C-31mm</v>
      </c>
      <c r="DK124" s="8"/>
      <c r="DL124" s="249" t="str">
        <f>IF(COUNTIF($DA$10:DJ121,DJ124)&gt;0,"",DJ124)</f>
        <v/>
      </c>
      <c r="DM124" s="515">
        <f>BL130</f>
        <v>4</v>
      </c>
      <c r="DN124" s="514">
        <f>SUMIF($DJ$13:$DJ$199,DL124,$DM$13:$DM$199)</f>
        <v>0</v>
      </c>
      <c r="DP124" s="88">
        <v>9</v>
      </c>
      <c r="DQ124" s="45"/>
      <c r="DR124" s="45"/>
      <c r="DS124" s="45"/>
      <c r="DT124" s="45"/>
      <c r="DU124" s="45"/>
      <c r="DV124" s="45"/>
      <c r="DW124" s="45"/>
    </row>
    <row r="125" spans="2:127" ht="11.25" customHeight="1" thickBot="1">
      <c r="B125" s="23"/>
      <c r="C125" s="2299"/>
      <c r="D125" s="2299"/>
      <c r="E125" s="2299"/>
      <c r="F125" s="2396"/>
      <c r="G125" s="2396"/>
      <c r="H125" s="2396"/>
      <c r="I125" s="2396"/>
      <c r="J125" s="2396"/>
      <c r="K125" s="2396"/>
      <c r="L125" s="2396"/>
      <c r="M125" s="2396"/>
      <c r="N125" s="2396"/>
      <c r="O125" s="2396"/>
      <c r="P125" s="2396"/>
      <c r="Q125" s="2396"/>
      <c r="R125" s="2396"/>
      <c r="S125" s="2396" t="s">
        <v>7</v>
      </c>
      <c r="T125" s="2396"/>
      <c r="U125" s="2396"/>
      <c r="V125" s="2396"/>
      <c r="W125" s="2396" t="s">
        <v>8</v>
      </c>
      <c r="X125" s="2396"/>
      <c r="Y125" s="2396"/>
      <c r="Z125" s="2396"/>
      <c r="AA125" s="2384" t="s">
        <v>9</v>
      </c>
      <c r="AB125" s="2385"/>
      <c r="AC125" s="2386"/>
      <c r="AD125" s="2384" t="s">
        <v>9</v>
      </c>
      <c r="AE125" s="2385"/>
      <c r="AF125" s="2386"/>
      <c r="AG125" s="2384" t="str">
        <f>IF(AN125="","","専部屋面積")</f>
        <v>専部屋面積</v>
      </c>
      <c r="AH125" s="2385"/>
      <c r="AI125" s="2385"/>
      <c r="AJ125" s="2382"/>
      <c r="AK125" s="2382"/>
      <c r="AL125" s="2382"/>
      <c r="AM125" s="3392"/>
      <c r="AN125" s="3365">
        <f>IF(OR(C129="",$B$2=0),"",S129/AA129)</f>
        <v>268.8</v>
      </c>
      <c r="AO125" s="3366"/>
      <c r="AP125" s="3366"/>
      <c r="AQ125" s="3366"/>
      <c r="AR125" s="3367"/>
      <c r="AS125" s="2300" t="s">
        <v>903</v>
      </c>
      <c r="AT125" s="2301"/>
      <c r="AU125" s="2301"/>
      <c r="AV125" s="2301"/>
      <c r="AW125" s="2301"/>
      <c r="AX125" s="2302"/>
      <c r="AY125" s="2300" t="s">
        <v>902</v>
      </c>
      <c r="AZ125" s="2301"/>
      <c r="BA125" s="2301"/>
      <c r="BB125" s="2302"/>
      <c r="BC125" s="2300" t="s">
        <v>902</v>
      </c>
      <c r="BD125" s="2301"/>
      <c r="BE125" s="2301"/>
      <c r="BF125" s="2302"/>
      <c r="BG125" s="2300" t="s">
        <v>743</v>
      </c>
      <c r="BH125" s="2302"/>
      <c r="BI125" s="2300" t="s">
        <v>901</v>
      </c>
      <c r="BJ125" s="2301"/>
      <c r="BK125" s="2301"/>
      <c r="BL125" s="2302"/>
      <c r="BM125" s="2299" t="s">
        <v>930</v>
      </c>
      <c r="BN125" s="2299"/>
      <c r="BO125" s="2299"/>
      <c r="BP125" s="2299" t="s">
        <v>929</v>
      </c>
      <c r="BQ125" s="2299"/>
      <c r="BR125" s="2299"/>
      <c r="BS125" s="3439" t="s">
        <v>928</v>
      </c>
      <c r="BT125" s="3440"/>
      <c r="BU125" s="19"/>
      <c r="BW125" s="679"/>
      <c r="BX125" s="90" t="s">
        <v>889</v>
      </c>
      <c r="BY125" s="100" t="s">
        <v>927</v>
      </c>
      <c r="CC125" s="180">
        <v>93</v>
      </c>
      <c r="CD125" s="55" t="s">
        <v>229</v>
      </c>
      <c r="CE125" s="55" t="s">
        <v>228</v>
      </c>
      <c r="CF125" s="106" t="s">
        <v>859</v>
      </c>
      <c r="CG125" s="184">
        <f>INT((CD127+10)*BY128+CS126*$AN$8/1000+($AN$7/1000)*BY128)</f>
        <v>120</v>
      </c>
      <c r="CH125" s="184">
        <f>INT(CD127*CS131+CS131)</f>
        <v>0</v>
      </c>
      <c r="CI125" s="184">
        <f>8*SUM(BI128:BL128)</f>
        <v>24</v>
      </c>
      <c r="CJ125" s="185">
        <f>IF($AX$8=0,"",2*INT(0.5*CJ124))</f>
        <v>84</v>
      </c>
      <c r="CK125" s="184"/>
      <c r="CL125" s="184" t="str">
        <f>IF(BP128="","",10*BP128)</f>
        <v/>
      </c>
      <c r="CM125" s="184" t="str">
        <f>IF(BP128="","",10*BP128)</f>
        <v/>
      </c>
      <c r="CN125" s="682">
        <f>IF(S129="",0,IF(AE124="不","",(SUM(CG125:CM125)+SUM(CG126:CM126))*S129/N129))</f>
        <v>224.7</v>
      </c>
      <c r="CO125" s="682">
        <f>IF(S129="",0,IF(AE124="不","",(SUM(CG128:CM128)+SUM(CG129:CM129))*S129/N129))</f>
        <v>102.9</v>
      </c>
      <c r="CP125" s="664" t="s">
        <v>1</v>
      </c>
      <c r="CQ125" s="2986" t="str">
        <f>IF(CS125="","","スピーカ S5")</f>
        <v/>
      </c>
      <c r="CR125" s="3476"/>
      <c r="CS125" s="683" t="str">
        <f>IF(AW128=0,"",AW128)</f>
        <v/>
      </c>
      <c r="CT125" s="3483" t="str">
        <f>IF(CV125="","","アッテネータ 3W")</f>
        <v>アッテネータ 3W</v>
      </c>
      <c r="CU125" s="3484"/>
      <c r="CV125" s="88">
        <f>BI128</f>
        <v>2</v>
      </c>
      <c r="CX125" s="8"/>
      <c r="CY125" s="197">
        <f t="shared" ref="CY125:CY131" si="90">IF(DC125&lt;&gt;"",CY124+1,CY124)</f>
        <v>9</v>
      </c>
      <c r="CZ125" s="197" t="str">
        <f t="shared" si="88"/>
        <v/>
      </c>
      <c r="DA125" s="10" t="str">
        <f>H131</f>
        <v>HP 1.2mm-3C</v>
      </c>
      <c r="DB125" s="8"/>
      <c r="DC125" s="249" t="str">
        <f>IF(COUNTIF(DA$10:$DA122,DA125)&gt;0,"",DA125)</f>
        <v/>
      </c>
      <c r="DD125" s="515">
        <f>AF131</f>
        <v>321</v>
      </c>
      <c r="DE125" s="514">
        <f>SUMIF($DA$13:$DA$199,DC125,$DD$13:$DD$199)</f>
        <v>0</v>
      </c>
      <c r="DG125" s="8"/>
      <c r="DH125" s="197">
        <f t="shared" ref="DH125:DH131" si="91">IF(DL125&lt;&gt;"",DH124+1,DH124)</f>
        <v>5</v>
      </c>
      <c r="DI125" s="197" t="str">
        <f t="shared" si="89"/>
        <v/>
      </c>
      <c r="DJ125" s="10" t="str">
        <f>AT131</f>
        <v>C-19mm</v>
      </c>
      <c r="DK125" s="8"/>
      <c r="DL125" s="249" t="str">
        <f>IF(COUNTIF($DA$10:DJ122,DJ125)&gt;0,"",DJ125)</f>
        <v/>
      </c>
      <c r="DM125" s="515">
        <f>BL131</f>
        <v>147</v>
      </c>
      <c r="DN125" s="514">
        <f>SUMIF($DJ$13:$DJ$199,DL125,$DM$13:$DM$199)</f>
        <v>0</v>
      </c>
      <c r="DP125" s="8"/>
      <c r="DQ125" s="197">
        <f>IF(DU125&lt;&gt;"",DQ123+1,DQ123)</f>
        <v>11</v>
      </c>
      <c r="DR125" s="197" t="str">
        <f t="shared" ref="DR125:DR137" si="92">IF(AND(DQ125&lt;&gt;"",DU125&lt;&gt;""),DQ125,"")</f>
        <v/>
      </c>
      <c r="DS125" s="10" t="str">
        <f>CQ87</f>
        <v>スピーカ 3W S1</v>
      </c>
      <c r="DT125" s="8"/>
      <c r="DU125" s="249" t="str">
        <f>IF(COUNTIF($DS$10:DS124,DS125)&gt;0,"",DS125)</f>
        <v/>
      </c>
      <c r="DV125" s="198">
        <f>CS87</f>
        <v>5</v>
      </c>
      <c r="DW125" s="514">
        <f t="shared" ref="DW125:DW137" si="93">SUMIF($DS$13:$DS$344,DU125,$DV$13:$DV$344)</f>
        <v>5</v>
      </c>
    </row>
    <row r="126" spans="2:127" ht="11.25" customHeight="1" thickBot="1">
      <c r="B126" s="23"/>
      <c r="C126" s="2396"/>
      <c r="D126" s="2396"/>
      <c r="E126" s="2396"/>
      <c r="F126" s="2397" t="s">
        <v>235</v>
      </c>
      <c r="G126" s="2397"/>
      <c r="H126" s="2397"/>
      <c r="I126" s="2397"/>
      <c r="J126" s="2397" t="s">
        <v>235</v>
      </c>
      <c r="K126" s="2397"/>
      <c r="L126" s="2397"/>
      <c r="M126" s="2397"/>
      <c r="N126" s="2397" t="s">
        <v>128</v>
      </c>
      <c r="O126" s="2397"/>
      <c r="P126" s="2397"/>
      <c r="Q126" s="2397"/>
      <c r="R126" s="2397"/>
      <c r="S126" s="2397" t="s">
        <v>128</v>
      </c>
      <c r="T126" s="2397"/>
      <c r="U126" s="2397"/>
      <c r="V126" s="2397"/>
      <c r="W126" s="2397" t="s">
        <v>128</v>
      </c>
      <c r="X126" s="2397"/>
      <c r="Y126" s="2397"/>
      <c r="Z126" s="2397"/>
      <c r="AA126" s="2397" t="s">
        <v>111</v>
      </c>
      <c r="AB126" s="2397"/>
      <c r="AC126" s="2397"/>
      <c r="AD126" s="2397" t="s">
        <v>110</v>
      </c>
      <c r="AE126" s="2397"/>
      <c r="AF126" s="2397"/>
      <c r="AG126" s="3398" t="str">
        <f>IF(AN126="","","共部屋面積")</f>
        <v>共部屋面積</v>
      </c>
      <c r="AH126" s="2382"/>
      <c r="AI126" s="2382"/>
      <c r="AJ126" s="2382"/>
      <c r="AK126" s="2382"/>
      <c r="AL126" s="2382"/>
      <c r="AM126" s="3392"/>
      <c r="AN126" s="3368">
        <f>IF(OR($B$2=0,C129=""),"",W129/AD129)</f>
        <v>38.400000000000006</v>
      </c>
      <c r="AO126" s="3369"/>
      <c r="AP126" s="3369"/>
      <c r="AQ126" s="3369"/>
      <c r="AR126" s="3370"/>
      <c r="AS126" s="3419" t="s">
        <v>895</v>
      </c>
      <c r="AT126" s="3361"/>
      <c r="AU126" s="3360" t="s">
        <v>894</v>
      </c>
      <c r="AV126" s="3361"/>
      <c r="AW126" s="3360" t="s">
        <v>893</v>
      </c>
      <c r="AX126" s="3361"/>
      <c r="AY126" s="3360" t="s">
        <v>892</v>
      </c>
      <c r="AZ126" s="3361"/>
      <c r="BA126" s="3360" t="s">
        <v>891</v>
      </c>
      <c r="BB126" s="3361"/>
      <c r="BC126" s="3360" t="s">
        <v>890</v>
      </c>
      <c r="BD126" s="3361"/>
      <c r="BE126" s="3360" t="s">
        <v>889</v>
      </c>
      <c r="BF126" s="3361"/>
      <c r="BG126" s="3432" t="s">
        <v>888</v>
      </c>
      <c r="BH126" s="3433"/>
      <c r="BI126" s="3360"/>
      <c r="BJ126" s="3361"/>
      <c r="BK126" s="3360"/>
      <c r="BL126" s="3361"/>
      <c r="BM126" s="3391" t="s">
        <v>887</v>
      </c>
      <c r="BN126" s="3391"/>
      <c r="BO126" s="3391"/>
      <c r="BP126" s="3391" t="s">
        <v>887</v>
      </c>
      <c r="BQ126" s="3391"/>
      <c r="BR126" s="3391"/>
      <c r="BS126" s="3432" t="s">
        <v>744</v>
      </c>
      <c r="BT126" s="3433"/>
      <c r="BU126" s="19"/>
      <c r="BW126" s="102"/>
      <c r="BX126" s="88">
        <f>IF(OR(J127="( 10)",J127="(12)イ",LEFT(J127,4)="(13)"),1,0)</f>
        <v>0</v>
      </c>
      <c r="BY126" s="88" t="str">
        <f>IF(OR(J127="(1) ロ",J127="(2) ロ",J127="(2) ニ",J127="(5) イ",J127="(6) ハ",J127="(6) ニ",J127="( 7 )",J127="( 15)"),"要","")</f>
        <v/>
      </c>
      <c r="CC126" s="46">
        <v>13</v>
      </c>
      <c r="CD126" s="98">
        <f>非誘!BW95</f>
        <v>12</v>
      </c>
      <c r="CE126" s="98">
        <f>非誘!BX95</f>
        <v>24</v>
      </c>
      <c r="CF126" s="106" t="s">
        <v>858</v>
      </c>
      <c r="CG126" s="185">
        <f>INT((F129-$Y$10/1000-0.25)*BY128)</f>
        <v>8</v>
      </c>
      <c r="CH126" s="184">
        <f>1+INT((F129-$Y$7/1000-0.25+$AN$8/1000)*CS131)</f>
        <v>1</v>
      </c>
      <c r="CI126" s="184">
        <f>INT((F129-$Y$8/1000-0.25+$AN$9/1000)*SUM(BI128:BL128))</f>
        <v>8</v>
      </c>
      <c r="CJ126" s="185">
        <f>IF($AX$8=0,"",2*INT(CJ124*($AX$8-250)/1000))</f>
        <v>76</v>
      </c>
      <c r="CK126" s="184"/>
      <c r="CL126" s="184" t="str">
        <f>IF(BP128="","",INT((F129-$Y$9/1000-0.25+AN120/1000)*BP128))</f>
        <v/>
      </c>
      <c r="CM126" s="184" t="str">
        <f>IF(BS128="","",INT((F129-$Y$9/1000-0.25+AN120/1000)*BS128))</f>
        <v/>
      </c>
      <c r="CN126" s="682">
        <f>IF(AN124="不","",(SUM(CG125:CM125)+SUM(CG126:CM126))*W129/N129)</f>
        <v>96.300000000000011</v>
      </c>
      <c r="CO126" s="682">
        <f>IF(AN124="不","",(SUM(CG128:CM128)+SUM(CG129:CM129))*W129/N129)</f>
        <v>44.1</v>
      </c>
      <c r="CP126" s="670" t="s">
        <v>877</v>
      </c>
      <c r="CQ126" s="15"/>
      <c r="CR126" s="106" t="s">
        <v>868</v>
      </c>
      <c r="CS126" s="8">
        <f>SUM(CS123:CS125)</f>
        <v>9</v>
      </c>
      <c r="CT126" s="3485" t="str">
        <f>IF(CV126="","","アッテネータ 6W")</f>
        <v>アッテネータ 6W</v>
      </c>
      <c r="CU126" s="3484"/>
      <c r="CV126" s="88">
        <f>BK128</f>
        <v>1</v>
      </c>
      <c r="CX126" s="8"/>
      <c r="CY126" s="197">
        <f t="shared" si="90"/>
        <v>9</v>
      </c>
      <c r="CZ126" s="197" t="str">
        <f t="shared" si="88"/>
        <v/>
      </c>
      <c r="DA126" s="10"/>
      <c r="DB126" s="8"/>
      <c r="DC126" s="249"/>
      <c r="DD126" s="515"/>
      <c r="DE126" s="514"/>
      <c r="DG126" s="8"/>
      <c r="DH126" s="197">
        <f t="shared" si="91"/>
        <v>5</v>
      </c>
      <c r="DI126" s="197" t="str">
        <f t="shared" si="89"/>
        <v/>
      </c>
      <c r="DJ126" s="10"/>
      <c r="DK126" s="8"/>
      <c r="DL126" s="249"/>
      <c r="DM126" s="515"/>
      <c r="DN126" s="514"/>
      <c r="DP126" s="8"/>
      <c r="DQ126" s="197">
        <f t="shared" ref="DQ126:DQ137" si="94">IF(DU126&lt;&gt;"",DQ125+1,DQ125)</f>
        <v>11</v>
      </c>
      <c r="DR126" s="197" t="str">
        <f t="shared" si="92"/>
        <v/>
      </c>
      <c r="DS126" s="10" t="str">
        <f>CQ88</f>
        <v>スピーカ 3W S3</v>
      </c>
      <c r="DT126" s="8"/>
      <c r="DU126" s="249" t="str">
        <f>IF(COUNTIF($DS$10:DS125,DS126)&gt;0,"",DS126)</f>
        <v/>
      </c>
      <c r="DV126" s="198">
        <f>CS88</f>
        <v>4</v>
      </c>
      <c r="DW126" s="514">
        <f t="shared" si="93"/>
        <v>5</v>
      </c>
    </row>
    <row r="127" spans="2:127" ht="11.25" customHeight="1" thickBot="1">
      <c r="B127" s="23"/>
      <c r="C127" s="2299" t="s">
        <v>112</v>
      </c>
      <c r="D127" s="2299"/>
      <c r="E127" s="2299"/>
      <c r="F127" s="2299"/>
      <c r="G127" s="2299"/>
      <c r="H127" s="2299"/>
      <c r="I127" s="3399"/>
      <c r="J127" s="3400" t="str">
        <f>非誘!J93</f>
        <v>( 4 )</v>
      </c>
      <c r="K127" s="3401"/>
      <c r="L127" s="3401"/>
      <c r="M127" s="3402"/>
      <c r="N127" s="3403" t="str">
        <f>非誘!M93</f>
        <v>百貨店等</v>
      </c>
      <c r="O127" s="3404"/>
      <c r="P127" s="3404"/>
      <c r="Q127" s="3404"/>
      <c r="R127" s="3404"/>
      <c r="S127" s="3404"/>
      <c r="T127" s="3404"/>
      <c r="U127" s="3404"/>
      <c r="V127" s="3404"/>
      <c r="W127" s="3404"/>
      <c r="X127" s="3404"/>
      <c r="Y127" s="3404"/>
      <c r="Z127" s="3405"/>
      <c r="AA127" s="3406" t="s">
        <v>926</v>
      </c>
      <c r="AB127" s="2301"/>
      <c r="AC127" s="2301"/>
      <c r="AD127" s="2301"/>
      <c r="AE127" s="2301"/>
      <c r="AF127" s="2302"/>
      <c r="AG127" s="3393" t="str">
        <f>IF($B$2=0,"",IF(AN127="","天井(C 管)",AN127))</f>
        <v>天井(C 管)</v>
      </c>
      <c r="AH127" s="2368"/>
      <c r="AI127" s="2368"/>
      <c r="AJ127" s="2368"/>
      <c r="AK127" s="2368"/>
      <c r="AL127" s="3394"/>
      <c r="AM127" s="668" t="s">
        <v>925</v>
      </c>
      <c r="AN127" s="3395"/>
      <c r="AO127" s="3396"/>
      <c r="AP127" s="3396"/>
      <c r="AQ127" s="3396"/>
      <c r="AR127" s="3397"/>
      <c r="AS127" s="3434" t="s">
        <v>881</v>
      </c>
      <c r="AT127" s="3435"/>
      <c r="AU127" s="3436" t="s">
        <v>880</v>
      </c>
      <c r="AV127" s="3437"/>
      <c r="AW127" s="3432"/>
      <c r="AX127" s="3433"/>
      <c r="AY127" s="3432" t="s">
        <v>881</v>
      </c>
      <c r="AZ127" s="3433"/>
      <c r="BA127" s="3436" t="s">
        <v>884</v>
      </c>
      <c r="BB127" s="3437"/>
      <c r="BC127" s="3436" t="s">
        <v>883</v>
      </c>
      <c r="BD127" s="3438"/>
      <c r="BE127" s="3438"/>
      <c r="BF127" s="3437"/>
      <c r="BG127" s="3420" t="s">
        <v>882</v>
      </c>
      <c r="BH127" s="3421"/>
      <c r="BI127" s="3436" t="s">
        <v>881</v>
      </c>
      <c r="BJ127" s="3437"/>
      <c r="BK127" s="3436" t="s">
        <v>880</v>
      </c>
      <c r="BL127" s="3437"/>
      <c r="BM127" s="3407" t="str">
        <f>IF(BM128="","",$BW$12)</f>
        <v/>
      </c>
      <c r="BN127" s="3407"/>
      <c r="BO127" s="3407"/>
      <c r="BP127" s="3407" t="str">
        <f>IF(BP128="","",30)</f>
        <v/>
      </c>
      <c r="BQ127" s="3407"/>
      <c r="BR127" s="3407"/>
      <c r="BS127" s="2384" t="s">
        <v>879</v>
      </c>
      <c r="BT127" s="2386"/>
      <c r="BU127" s="19"/>
      <c r="BW127" s="102"/>
      <c r="CB127" s="90" t="s">
        <v>944</v>
      </c>
      <c r="CC127" s="479" t="str">
        <f>AD128</f>
        <v>⑦</v>
      </c>
      <c r="CD127" s="263">
        <f>IF(C129="","",IF(CC127="①",CD126+CE126+3,IF(CC127="②",CD126*5/8+CE126+3,IF(CC127="③",CD126/2+CE126+3,IF(CC127="④",CD126+CE126*5/8+3,IF(CC127="⑤",(CD126+CE126)*5/8+3,IF(CC127="⑥",CD126/2+CE126*5/8+3,IF(CC127="⑦",CD126+CE126/2+3,IF(CC127="⑧",CD126*5/8+CE126/2+3,IF(CC127="⑨",(CD126+CE126)/2+3))))))))))</f>
        <v>27</v>
      </c>
      <c r="CE127" s="8"/>
      <c r="CF127" s="106"/>
      <c r="CG127" s="681">
        <f>IF(AG127="天井ケーブル",0,1)</f>
        <v>1</v>
      </c>
      <c r="CH127" s="394"/>
      <c r="CI127" s="394"/>
      <c r="CJ127" s="59"/>
      <c r="CK127" s="394"/>
      <c r="CL127" s="394"/>
      <c r="CM127" s="394"/>
      <c r="CN127" s="62" t="s">
        <v>1</v>
      </c>
      <c r="CO127" s="62" t="s">
        <v>877</v>
      </c>
      <c r="CP127" s="38"/>
      <c r="CQ127" s="2986" t="str">
        <f>IF(CS127="","","スピーカ 6W S2")</f>
        <v>スピーカ 6W S2</v>
      </c>
      <c r="CR127" s="3476"/>
      <c r="CS127" s="88">
        <f>IF(AU128=0,"",AU128)</f>
        <v>1</v>
      </c>
      <c r="CT127" s="3483" t="str">
        <f>IF(CV127="","","主増幅器")</f>
        <v/>
      </c>
      <c r="CU127" s="3484"/>
      <c r="CV127" s="88" t="str">
        <f>BM128</f>
        <v/>
      </c>
      <c r="CX127" s="8"/>
      <c r="CY127" s="197">
        <f t="shared" si="90"/>
        <v>9</v>
      </c>
      <c r="CZ127" s="197" t="str">
        <f t="shared" si="88"/>
        <v/>
      </c>
      <c r="DA127" s="10"/>
      <c r="DB127" s="8"/>
      <c r="DC127" s="249"/>
      <c r="DD127" s="515"/>
      <c r="DE127" s="514"/>
      <c r="DG127" s="8"/>
      <c r="DH127" s="197">
        <f t="shared" si="91"/>
        <v>5</v>
      </c>
      <c r="DI127" s="197" t="str">
        <f t="shared" si="89"/>
        <v/>
      </c>
      <c r="DJ127" s="10"/>
      <c r="DK127" s="8"/>
      <c r="DL127" s="249"/>
      <c r="DM127" s="515"/>
      <c r="DN127" s="514"/>
      <c r="DP127" s="8"/>
      <c r="DQ127" s="197">
        <f t="shared" si="94"/>
        <v>11</v>
      </c>
      <c r="DR127" s="197" t="str">
        <f t="shared" si="92"/>
        <v/>
      </c>
      <c r="DS127" s="10" t="str">
        <f>CQ89</f>
        <v/>
      </c>
      <c r="DT127" s="8"/>
      <c r="DU127" s="249" t="str">
        <f>IF(COUNTIF($DS$10:DS126,DS127)&gt;0,"",DS127)</f>
        <v/>
      </c>
      <c r="DV127" s="198" t="str">
        <f>CS89</f>
        <v/>
      </c>
      <c r="DW127" s="514">
        <f t="shared" si="93"/>
        <v>5</v>
      </c>
    </row>
    <row r="128" spans="2:127" ht="11.25" customHeight="1" thickBot="1">
      <c r="B128" s="23"/>
      <c r="C128" s="3409" t="s">
        <v>232</v>
      </c>
      <c r="D128" s="3410"/>
      <c r="E128" s="3410"/>
      <c r="F128" s="3410"/>
      <c r="G128" s="3410"/>
      <c r="H128" s="3411"/>
      <c r="I128" s="3430" t="str">
        <f>非誘!AA93</f>
        <v>A</v>
      </c>
      <c r="J128" s="3430"/>
      <c r="K128" s="3430"/>
      <c r="L128" s="2395" t="s">
        <v>214</v>
      </c>
      <c r="M128" s="2395"/>
      <c r="N128" s="2395"/>
      <c r="O128" s="2395"/>
      <c r="P128" s="2395"/>
      <c r="Q128" s="2395"/>
      <c r="R128" s="2395"/>
      <c r="S128" s="3379">
        <f>非誘!J94</f>
        <v>0.5</v>
      </c>
      <c r="T128" s="3380"/>
      <c r="U128" s="3380"/>
      <c r="V128" s="3381"/>
      <c r="W128" s="3399" t="s">
        <v>875</v>
      </c>
      <c r="X128" s="3412"/>
      <c r="Y128" s="3412"/>
      <c r="Z128" s="3412"/>
      <c r="AA128" s="2654"/>
      <c r="AB128" s="2654"/>
      <c r="AC128" s="2655"/>
      <c r="AD128" s="3388" t="str">
        <f>非誘!V94</f>
        <v>⑦</v>
      </c>
      <c r="AE128" s="3389"/>
      <c r="AF128" s="3390"/>
      <c r="AG128" s="3391" t="s">
        <v>874</v>
      </c>
      <c r="AH128" s="3391"/>
      <c r="AI128" s="3391"/>
      <c r="AJ128" s="3391"/>
      <c r="AK128" s="3391"/>
      <c r="AL128" s="2990" t="str">
        <f>IF(AP128&lt;&gt;"",AP128,IF(C129=$BG$10,C129,""))</f>
        <v/>
      </c>
      <c r="AM128" s="2990"/>
      <c r="AN128" s="2990"/>
      <c r="AO128" s="668" t="s">
        <v>103</v>
      </c>
      <c r="AP128" s="3325"/>
      <c r="AQ128" s="3326"/>
      <c r="AR128" s="3327"/>
      <c r="AS128" s="3418">
        <f>IF(CE129=0,"",IF(AS129&lt;&gt;"",AS129,IF(BE128&lt;&gt;"",CN130,SUM(CN128:CO128))))</f>
        <v>5</v>
      </c>
      <c r="AT128" s="3375"/>
      <c r="AU128" s="3418">
        <f>IF(CE129=0,"",IF(AU129&lt;&gt;"",AU129,CN129))</f>
        <v>1</v>
      </c>
      <c r="AV128" s="3375"/>
      <c r="AW128" s="3418"/>
      <c r="AX128" s="3375"/>
      <c r="AY128" s="3418">
        <f>IF(AA129="","",IF(AY129&lt;&gt;"",AY129,CO129))</f>
        <v>4</v>
      </c>
      <c r="AZ128" s="3375"/>
      <c r="BA128" s="3418"/>
      <c r="BB128" s="3375"/>
      <c r="BC128" s="3418" t="str">
        <f>IF(OR(AL129="不",,BP128=""),"",IF(BC129&lt;&gt;"",BC129,BP128*2))</f>
        <v/>
      </c>
      <c r="BD128" s="3375"/>
      <c r="BE128" s="3418" t="str">
        <f>IF(BE129&lt;&gt;"",BE129,IF(BX126=0,"",CN130))</f>
        <v/>
      </c>
      <c r="BF128" s="3375"/>
      <c r="BG128" s="3418" t="str">
        <f>IF(AE124="不","",IF(BG129&lt;&gt;"",BG129,BP128))</f>
        <v/>
      </c>
      <c r="BH128" s="3375"/>
      <c r="BI128" s="3418">
        <f>IF(CE129=0,"",CN131)</f>
        <v>2</v>
      </c>
      <c r="BJ128" s="3375"/>
      <c r="BK128" s="3374">
        <f>IF(CE129=0,"",CO131)</f>
        <v>1</v>
      </c>
      <c r="BL128" s="3375"/>
      <c r="BM128" s="3376" t="str">
        <f>IF(CE129=0,"",IF(BM129&lt;&gt;"",BM129,IF(C129=AL128,1,"")))</f>
        <v/>
      </c>
      <c r="BN128" s="3377"/>
      <c r="BO128" s="3378"/>
      <c r="BP128" s="3376" t="str">
        <f>IF(CE129=0,"",IF(OR(AE124="不",AA129="",S129=""),"",IF(BP129&lt;&gt;"",BP129,IF(AL129="要",1+INT(S129/1000),""))))</f>
        <v/>
      </c>
      <c r="BQ128" s="3377"/>
      <c r="BR128" s="3378"/>
      <c r="BS128" s="3376" t="str">
        <f>IF(BS129&lt;&gt;"",BS129,BP128)</f>
        <v/>
      </c>
      <c r="BT128" s="3378"/>
      <c r="BU128" s="19"/>
      <c r="BW128" s="680">
        <f>IF(AND(CS129=0,CS130=""),CS126*3,CS126*3+CS129*6)</f>
        <v>33</v>
      </c>
      <c r="BX128" s="102">
        <f>BY129</f>
        <v>8</v>
      </c>
      <c r="BY128" s="522">
        <f>1+INT(SUM(S129:Z129)/400)</f>
        <v>3</v>
      </c>
      <c r="BZ128" s="100" t="s">
        <v>873</v>
      </c>
      <c r="CB128" s="678">
        <f>IF(CE129="=",MID(BZ129,10,3),10*(1+INT(BY128*3/10)))</f>
        <v>10</v>
      </c>
      <c r="CC128" s="10" t="s">
        <v>943</v>
      </c>
      <c r="CF128" s="106" t="s">
        <v>857</v>
      </c>
      <c r="CG128" s="136">
        <f>IF(CG127=1,INT(CD127*BY128)+BY128*10,"")</f>
        <v>111</v>
      </c>
      <c r="CH128" s="136">
        <f>IF(CG127=1,INT(CD127*CS131),"")</f>
        <v>0</v>
      </c>
      <c r="CI128" s="136">
        <f>8*SUM(BI128:BL128)</f>
        <v>24</v>
      </c>
      <c r="CJ128" s="134" t="str">
        <f>IF($AX$8=0,INT(10.7*CD126*CE126/($BF$8/1000)^2)*1.5,"")</f>
        <v/>
      </c>
      <c r="CK128" s="136">
        <v>0</v>
      </c>
      <c r="CL128" s="136" t="str">
        <f>IF(BP128="","",10*BP128)</f>
        <v/>
      </c>
      <c r="CM128" s="136" t="str">
        <f>IF(BS128="","",10*BS128)</f>
        <v/>
      </c>
      <c r="CN128" s="665">
        <f>IF(AA129="",0,IF(AE124="不","",INT(AA129/2)))</f>
        <v>1</v>
      </c>
      <c r="CO128" s="665">
        <f>IF(AN124="不","",INT(AD129/2))</f>
        <v>4</v>
      </c>
      <c r="CP128" s="670" t="s">
        <v>895</v>
      </c>
      <c r="CQ128" s="2986" t="str">
        <f>IF(CS128="","","スピーカ 5W S4")</f>
        <v/>
      </c>
      <c r="CR128" s="3476"/>
      <c r="CS128" s="88" t="str">
        <f>IF(BA128=0,"",BA128)</f>
        <v/>
      </c>
      <c r="CT128" s="3483" t="str">
        <f>IF(CV128="","","副増幅器 30W")</f>
        <v/>
      </c>
      <c r="CU128" s="3484"/>
      <c r="CV128" s="88" t="str">
        <f>BP128</f>
        <v/>
      </c>
      <c r="CX128" s="8"/>
      <c r="CY128" s="197">
        <f t="shared" si="90"/>
        <v>9</v>
      </c>
      <c r="CZ128" s="197" t="str">
        <f t="shared" si="88"/>
        <v/>
      </c>
      <c r="DA128" s="10"/>
      <c r="DB128" s="8"/>
      <c r="DC128" s="249"/>
      <c r="DD128" s="515"/>
      <c r="DE128" s="514"/>
      <c r="DG128" s="8"/>
      <c r="DH128" s="197">
        <f t="shared" si="91"/>
        <v>5</v>
      </c>
      <c r="DI128" s="197" t="str">
        <f t="shared" si="89"/>
        <v/>
      </c>
      <c r="DJ128" s="10"/>
      <c r="DK128" s="8"/>
      <c r="DL128" s="249"/>
      <c r="DM128" s="515"/>
      <c r="DN128" s="514"/>
      <c r="DP128" s="8"/>
      <c r="DQ128" s="197">
        <f t="shared" si="94"/>
        <v>11</v>
      </c>
      <c r="DR128" s="197" t="str">
        <f t="shared" si="92"/>
        <v/>
      </c>
      <c r="DS128" s="10" t="str">
        <f>CQ91</f>
        <v>スピーカ 6W S2</v>
      </c>
      <c r="DT128" s="8"/>
      <c r="DU128" s="249" t="str">
        <f>IF(COUNTIF($DS$10:DS127,DS128)&gt;0,"",DS128)</f>
        <v/>
      </c>
      <c r="DV128" s="198">
        <f>CS91</f>
        <v>1</v>
      </c>
      <c r="DW128" s="514">
        <f t="shared" si="93"/>
        <v>5</v>
      </c>
    </row>
    <row r="129" spans="2:127" ht="11.25" customHeight="1" thickBot="1">
      <c r="B129" s="23"/>
      <c r="C129" s="3429" t="str">
        <f>IF($B$2=0,"",非誘!C95)</f>
        <v xml:space="preserve"> 11F</v>
      </c>
      <c r="D129" s="3407"/>
      <c r="E129" s="3407"/>
      <c r="F129" s="3430">
        <f>IF($B$2=0,"",非誘!F95)</f>
        <v>4</v>
      </c>
      <c r="G129" s="3430"/>
      <c r="H129" s="3430"/>
      <c r="I129" s="3430"/>
      <c r="J129" s="3430">
        <f>IF($B$2=0,"",非誘!J95)</f>
        <v>3</v>
      </c>
      <c r="K129" s="3430"/>
      <c r="L129" s="3430"/>
      <c r="M129" s="3430"/>
      <c r="N129" s="3407">
        <f>IF($B$2=0,"",非誘!N95)</f>
        <v>1152</v>
      </c>
      <c r="O129" s="3407"/>
      <c r="P129" s="3407"/>
      <c r="Q129" s="3407"/>
      <c r="R129" s="3407"/>
      <c r="S129" s="3431">
        <f>IF($B$2=0,"",非誘!S95)</f>
        <v>806.4</v>
      </c>
      <c r="T129" s="3431"/>
      <c r="U129" s="3431"/>
      <c r="V129" s="3431"/>
      <c r="W129" s="3431">
        <f>IF($B$2=0,"",非誘!W95)</f>
        <v>345.6</v>
      </c>
      <c r="X129" s="3431"/>
      <c r="Y129" s="3431"/>
      <c r="Z129" s="3431"/>
      <c r="AA129" s="3407">
        <f>IF($B$2=0,"",非誘!AA95)</f>
        <v>3</v>
      </c>
      <c r="AB129" s="3407"/>
      <c r="AC129" s="3407"/>
      <c r="AD129" s="3407">
        <f>IF($B$2=0,"",非誘!AD95)</f>
        <v>9</v>
      </c>
      <c r="AE129" s="3407"/>
      <c r="AF129" s="3407"/>
      <c r="AG129" s="3391" t="s">
        <v>942</v>
      </c>
      <c r="AH129" s="3391"/>
      <c r="AI129" s="3391"/>
      <c r="AJ129" s="3391"/>
      <c r="AK129" s="3391"/>
      <c r="AL129" s="2990" t="str">
        <f>IF(AP129&lt;&gt;"",AP129,IF($BY$18="要","要",""))</f>
        <v/>
      </c>
      <c r="AM129" s="2990"/>
      <c r="AN129" s="2990"/>
      <c r="AO129" s="668" t="s">
        <v>103</v>
      </c>
      <c r="AP129" s="3408"/>
      <c r="AQ129" s="3408"/>
      <c r="AR129" s="3408"/>
      <c r="AS129" s="2551"/>
      <c r="AT129" s="3414"/>
      <c r="AU129" s="2551"/>
      <c r="AV129" s="3414"/>
      <c r="AW129" s="2551"/>
      <c r="AX129" s="3414"/>
      <c r="AY129" s="2551"/>
      <c r="AZ129" s="3414"/>
      <c r="BA129" s="2551"/>
      <c r="BB129" s="3414"/>
      <c r="BC129" s="2551"/>
      <c r="BD129" s="3414"/>
      <c r="BE129" s="2551"/>
      <c r="BF129" s="3414"/>
      <c r="BG129" s="2551"/>
      <c r="BH129" s="3414"/>
      <c r="BI129" s="2551"/>
      <c r="BJ129" s="3414"/>
      <c r="BK129" s="2551"/>
      <c r="BL129" s="3414"/>
      <c r="BM129" s="2551"/>
      <c r="BN129" s="3428"/>
      <c r="BO129" s="3414"/>
      <c r="BP129" s="2551"/>
      <c r="BQ129" s="3428"/>
      <c r="BR129" s="3414"/>
      <c r="BS129" s="2551"/>
      <c r="BT129" s="3414"/>
      <c r="BU129" s="19"/>
      <c r="BY129" s="677">
        <f>IF(CE129=0,0,IF(CE129="=",BY128+BY120+BY138,IF(CE129="-",BY128+BY120,BY128+BY138)))</f>
        <v>8</v>
      </c>
      <c r="BZ129" s="3443" t="str">
        <f>IF(CE129=0,"",IF(BY129*3&lt;=20,"HP 1.2mm- 10Pr",IF(BY129*3&lt;=30,"HP 1.2mm- 15Pr",IF(BY129*3&lt;=40,"HP 1.2mm- 20Pr",IF(BY129*3&lt;=50,"HP 1.2mm- 25Pr",IF(BY129*3&lt;=60,"HP 1.2mm- 30Pr",IF(BY129*3&lt;=80,"HP 1.2mm- 40Pr",IF(BY129*3&lt;=100,"HP 1.2mm- 50Pr",IF(BY129*3&lt;=150,"HP 1.2mm- 75Pr", IF(BY129*3&lt;=200,"HP 1.2mm-100Pr",IF(BY129*3&lt;=400,"HP 1.2mm-200Pr","")))))))))))</f>
        <v>HP 1.2mm- 15Pr</v>
      </c>
      <c r="CA129" s="3444"/>
      <c r="CB129" s="3444"/>
      <c r="CC129" s="3445"/>
      <c r="CD129" s="673" t="str">
        <f>IF(LEFT($BG$10,2)=" B",-MID($BG$10,3,1),LEFT($BG$10,3))</f>
        <v xml:space="preserve">  1</v>
      </c>
      <c r="CE129" s="676" t="str">
        <f>IF(CD130=0,0,IF(CD129=CD130,"=",IF(CD129&gt;CD130,"-","+")))</f>
        <v>+</v>
      </c>
      <c r="CF129" s="106" t="s">
        <v>856</v>
      </c>
      <c r="CG129" s="136">
        <f>2*INT((F129-$Y$10/1000-0.25))</f>
        <v>4</v>
      </c>
      <c r="CH129" s="136">
        <f>1+INT((F129-$Y$7/1000-0.25)*CS131)</f>
        <v>1</v>
      </c>
      <c r="CI129" s="136">
        <f>INT((F129-$Y$8/1000-0.25)*SUM(BI128:BL128))</f>
        <v>7</v>
      </c>
      <c r="CJ129" s="675"/>
      <c r="CK129" s="136">
        <v>0</v>
      </c>
      <c r="CL129" s="136" t="str">
        <f>IF(BP128="","",INT((F129-$Y$9/1000-0.25)*BP128))</f>
        <v/>
      </c>
      <c r="CM129" s="136" t="str">
        <f>IF(BS128="","",INT((F129-$Y$9/1000-0.25)*BS128))</f>
        <v/>
      </c>
      <c r="CN129" s="665">
        <f>IF(AA129="",0,IF(AE124="不","",INT(AA129/2)))</f>
        <v>1</v>
      </c>
      <c r="CO129" s="665">
        <f>IF(AN124="不","",INT(AD129/2))</f>
        <v>4</v>
      </c>
      <c r="CP129" s="670" t="s">
        <v>941</v>
      </c>
      <c r="CQ129" s="15"/>
      <c r="CR129" s="106" t="s">
        <v>868</v>
      </c>
      <c r="CS129" s="8">
        <f>SUM(CS127:CS128)</f>
        <v>1</v>
      </c>
      <c r="CT129" s="3483" t="str">
        <f>IF(CV129="","","カットリレー")</f>
        <v/>
      </c>
      <c r="CU129" s="3484"/>
      <c r="CV129" s="88" t="str">
        <f>BS128</f>
        <v/>
      </c>
      <c r="CY129" s="197">
        <f t="shared" si="90"/>
        <v>9</v>
      </c>
      <c r="CZ129" s="197" t="str">
        <f t="shared" si="88"/>
        <v/>
      </c>
      <c r="DB129" s="24"/>
      <c r="DD129" s="516"/>
      <c r="DE129" s="516"/>
      <c r="DH129" s="197">
        <f t="shared" si="91"/>
        <v>5</v>
      </c>
      <c r="DI129" s="197" t="str">
        <f t="shared" si="89"/>
        <v/>
      </c>
      <c r="DK129" s="24"/>
      <c r="DM129" s="516"/>
      <c r="DN129" s="516"/>
      <c r="DP129" s="8"/>
      <c r="DQ129" s="197">
        <f t="shared" si="94"/>
        <v>11</v>
      </c>
      <c r="DR129" s="197" t="str">
        <f t="shared" si="92"/>
        <v/>
      </c>
      <c r="DS129" s="10" t="str">
        <f>CQ92</f>
        <v/>
      </c>
      <c r="DT129" s="8"/>
      <c r="DU129" s="249" t="str">
        <f>IF(COUNTIF($DS$10:DS128,DS129)&gt;0,"",DS129)</f>
        <v/>
      </c>
      <c r="DV129" s="198" t="str">
        <f>CS92</f>
        <v/>
      </c>
      <c r="DW129" s="514">
        <f t="shared" si="93"/>
        <v>5</v>
      </c>
    </row>
    <row r="130" spans="2:127" ht="11.25" customHeight="1" thickBot="1">
      <c r="B130" s="23"/>
      <c r="C130" s="2300" t="s">
        <v>867</v>
      </c>
      <c r="D130" s="2301"/>
      <c r="E130" s="2301"/>
      <c r="F130" s="2301"/>
      <c r="G130" s="2302"/>
      <c r="H130" s="3422" t="str">
        <f>IF(CE129=0,"",IF(R130&lt;&gt;"",R130,BZ129))</f>
        <v>HP 1.2mm- 15Pr</v>
      </c>
      <c r="I130" s="3423"/>
      <c r="J130" s="3423"/>
      <c r="K130" s="3423"/>
      <c r="L130" s="3423"/>
      <c r="M130" s="3423"/>
      <c r="N130" s="3423"/>
      <c r="O130" s="3423"/>
      <c r="P130" s="3424"/>
      <c r="Q130" s="668" t="s">
        <v>103</v>
      </c>
      <c r="R130" s="3362"/>
      <c r="S130" s="3363"/>
      <c r="T130" s="3363"/>
      <c r="U130" s="3363"/>
      <c r="V130" s="3363"/>
      <c r="W130" s="3363"/>
      <c r="X130" s="3363"/>
      <c r="Y130" s="3363"/>
      <c r="Z130" s="3364"/>
      <c r="AA130" s="3345" t="s">
        <v>866</v>
      </c>
      <c r="AB130" s="3346"/>
      <c r="AC130" s="3346"/>
      <c r="AD130" s="3346"/>
      <c r="AE130" s="3347"/>
      <c r="AF130" s="3385">
        <f>IF(CE129=0,"",IF(AK130&lt;&gt;"",AK130,CG131+CI131))</f>
        <v>7</v>
      </c>
      <c r="AG130" s="3386"/>
      <c r="AH130" s="3386"/>
      <c r="AI130" s="3387"/>
      <c r="AJ130" s="669" t="s">
        <v>103</v>
      </c>
      <c r="AK130" s="3415"/>
      <c r="AL130" s="3416"/>
      <c r="AM130" s="3416"/>
      <c r="AN130" s="3417"/>
      <c r="AO130" s="2300" t="s">
        <v>865</v>
      </c>
      <c r="AP130" s="2301"/>
      <c r="AQ130" s="2301"/>
      <c r="AR130" s="2301"/>
      <c r="AS130" s="2302"/>
      <c r="AT130" s="3422" t="str">
        <f>IF(CE129=0,"",IF(BA130&lt;&gt;"",BA130,IF(MID(AG127,4,2)="C ","C-"&amp;CA130&amp;"mm",IF(MID(AG127,4,2)="PF","PF-D-"&amp;CB130&amp;"mm",IF(MID(AG127,4,2)="CD","CD-"&amp;CB130&amp;"mm",IF(MID(AG127,4,2)="G ","G-"&amp;CB130&amp;"mm",""))))))</f>
        <v>C-31mm</v>
      </c>
      <c r="AU130" s="3423"/>
      <c r="AV130" s="3423"/>
      <c r="AW130" s="3423"/>
      <c r="AX130" s="3423"/>
      <c r="AY130" s="3424"/>
      <c r="AZ130" s="668" t="s">
        <v>103</v>
      </c>
      <c r="BA130" s="3362"/>
      <c r="BB130" s="3363"/>
      <c r="BC130" s="3363"/>
      <c r="BD130" s="3363"/>
      <c r="BE130" s="3363"/>
      <c r="BF130" s="3364"/>
      <c r="BG130" s="3345" t="s">
        <v>864</v>
      </c>
      <c r="BH130" s="3346"/>
      <c r="BI130" s="3346"/>
      <c r="BJ130" s="3346"/>
      <c r="BK130" s="3347"/>
      <c r="BL130" s="3385">
        <f>IF(CE129=0,"",IF(CM131=0,"",IF(BQ130&lt;&gt;"",BQ130,CK131+CM131)))</f>
        <v>4</v>
      </c>
      <c r="BM130" s="3386"/>
      <c r="BN130" s="3386"/>
      <c r="BO130" s="3387"/>
      <c r="BP130" s="668" t="s">
        <v>103</v>
      </c>
      <c r="BQ130" s="3415"/>
      <c r="BR130" s="3416"/>
      <c r="BS130" s="3416"/>
      <c r="BT130" s="3417"/>
      <c r="BU130" s="19"/>
      <c r="BZ130" s="107" t="str">
        <f>IF(LEN(BZ129)=13,MID(BZ129,10,2),MID(BZ129,10,3))</f>
        <v xml:space="preserve"> 15</v>
      </c>
      <c r="CA130" s="674" t="str">
        <f>IF(OR(BZ130=" 10",BZ130=" 15"),"31",IF(OR(BZ130=" 20",BZ130=" 25",BZ130=" 30"),"39",IF(OR(BZ130=" 40",BZ130=" 50"),"51",IF(BZ130="100","63",IF(BZ130&lt;="200","75","")))))</f>
        <v>31</v>
      </c>
      <c r="CB130" s="674" t="str">
        <f>IF(OR(BZ130=" 10",BZ130=" 15"),"28",IF(OR(BZ130=" 20",BZ130=" 25",BZ130=" 30"),"36",IF(OR(BZ130=" 40",BZ130=" 50"),"42",IF(BZ130="100","54",IF(BZ130&lt;="200","70","")))))</f>
        <v>28</v>
      </c>
      <c r="CD130" s="673" t="str">
        <f>IF(C129="",0,IF(LEFT(C129,2)=" B",-MID(C129,3,1),LEFT(C129,3)))</f>
        <v xml:space="preserve"> 11</v>
      </c>
      <c r="CF130" s="106"/>
      <c r="CG130" s="90" t="s">
        <v>940</v>
      </c>
      <c r="CH130" s="64"/>
      <c r="CI130" s="90" t="s">
        <v>940</v>
      </c>
      <c r="CJ130" s="38"/>
      <c r="CK130" s="90" t="s">
        <v>940</v>
      </c>
      <c r="CL130" s="64"/>
      <c r="CM130" s="90" t="s">
        <v>940</v>
      </c>
      <c r="CN130" s="672">
        <f>IF(S129="",0,IF(AE124="不","",INT(S129/150)))</f>
        <v>5</v>
      </c>
      <c r="CO130" s="671"/>
      <c r="CP130" s="670" t="s">
        <v>889</v>
      </c>
      <c r="CQ130" s="2986" t="str">
        <f>IF(CS130="","","プロセニアム・スピーカ 20W")</f>
        <v/>
      </c>
      <c r="CR130" s="3476"/>
      <c r="CS130" s="88" t="str">
        <f>IF(BC128=0,"",BC128)</f>
        <v/>
      </c>
      <c r="CT130" s="9"/>
      <c r="CU130" s="46"/>
      <c r="CY130" s="197">
        <f t="shared" si="90"/>
        <v>9</v>
      </c>
      <c r="CZ130" s="197" t="str">
        <f t="shared" si="88"/>
        <v/>
      </c>
      <c r="DB130" s="24"/>
      <c r="DD130" s="516"/>
      <c r="DE130" s="516"/>
      <c r="DH130" s="197">
        <f t="shared" si="91"/>
        <v>5</v>
      </c>
      <c r="DI130" s="197" t="str">
        <f t="shared" si="89"/>
        <v/>
      </c>
      <c r="DK130" s="24"/>
      <c r="DM130" s="516"/>
      <c r="DN130" s="516"/>
      <c r="DQ130" s="197">
        <f t="shared" si="94"/>
        <v>11</v>
      </c>
      <c r="DR130" s="197" t="str">
        <f t="shared" si="92"/>
        <v/>
      </c>
      <c r="DS130" s="10" t="str">
        <f>CQ94</f>
        <v/>
      </c>
      <c r="DT130" s="24"/>
      <c r="DU130" s="249" t="str">
        <f>IF(COUNTIF($DS$10:DS129,DS130)&gt;0,"",DS130)</f>
        <v/>
      </c>
      <c r="DV130" s="198" t="str">
        <f>CS94</f>
        <v/>
      </c>
      <c r="DW130" s="514">
        <f t="shared" si="93"/>
        <v>5</v>
      </c>
    </row>
    <row r="131" spans="2:127" ht="11.25" customHeight="1" thickBot="1">
      <c r="B131" s="23"/>
      <c r="C131" s="2300" t="s">
        <v>861</v>
      </c>
      <c r="D131" s="2301"/>
      <c r="E131" s="2301"/>
      <c r="F131" s="2301"/>
      <c r="G131" s="2302"/>
      <c r="H131" s="3422" t="str">
        <f>IF(CE129=0,"",IF(R131&lt;&gt;"",R131,"HP 1.2mm-3C"))</f>
        <v>HP 1.2mm-3C</v>
      </c>
      <c r="I131" s="3423"/>
      <c r="J131" s="3423"/>
      <c r="K131" s="3423"/>
      <c r="L131" s="3423"/>
      <c r="M131" s="3423"/>
      <c r="N131" s="3423"/>
      <c r="O131" s="3423"/>
      <c r="P131" s="3424"/>
      <c r="Q131" s="668" t="s">
        <v>103</v>
      </c>
      <c r="R131" s="3362"/>
      <c r="S131" s="3363"/>
      <c r="T131" s="3363"/>
      <c r="U131" s="3363"/>
      <c r="V131" s="3363"/>
      <c r="W131" s="3363"/>
      <c r="X131" s="3363"/>
      <c r="Y131" s="3363"/>
      <c r="Z131" s="3364"/>
      <c r="AA131" s="3348" t="s">
        <v>235</v>
      </c>
      <c r="AB131" s="3349"/>
      <c r="AC131" s="3349"/>
      <c r="AD131" s="3349"/>
      <c r="AE131" s="3350"/>
      <c r="AF131" s="3385">
        <f>IF(CE129=0,"",IF(AK131&lt;&gt;"",AK131,SUM(CN125:CN126)))</f>
        <v>321</v>
      </c>
      <c r="AG131" s="3386"/>
      <c r="AH131" s="3386"/>
      <c r="AI131" s="3387"/>
      <c r="AJ131" s="669" t="s">
        <v>103</v>
      </c>
      <c r="AK131" s="3415"/>
      <c r="AL131" s="3416"/>
      <c r="AM131" s="3416"/>
      <c r="AN131" s="3417"/>
      <c r="AO131" s="2300" t="s">
        <v>860</v>
      </c>
      <c r="AP131" s="2301"/>
      <c r="AQ131" s="2301"/>
      <c r="AR131" s="2301"/>
      <c r="AS131" s="2302"/>
      <c r="AT131" s="3422" t="str">
        <f>IF(CE129=0,"",IF(BA131&lt;&gt;"",BA131,IF(MID(AG127,4,2)="C ","C-19mm",IF(MID(AG127,4,2)="PF","PF-D-16mm",IF(MID(AG127,4,2)="CD","CD-16mm",IF(MID(AG127,4,2)="G ","G-16mm","C-19mm"))))))</f>
        <v>C-19mm</v>
      </c>
      <c r="AU131" s="3423"/>
      <c r="AV131" s="3423"/>
      <c r="AW131" s="3423"/>
      <c r="AX131" s="3423"/>
      <c r="AY131" s="3424"/>
      <c r="AZ131" s="668" t="s">
        <v>103</v>
      </c>
      <c r="BA131" s="3362"/>
      <c r="BB131" s="3363"/>
      <c r="BC131" s="3363"/>
      <c r="BD131" s="3363"/>
      <c r="BE131" s="3363"/>
      <c r="BF131" s="3364"/>
      <c r="BG131" s="3348" t="s">
        <v>235</v>
      </c>
      <c r="BH131" s="3349"/>
      <c r="BI131" s="3349"/>
      <c r="BJ131" s="3349"/>
      <c r="BK131" s="3350"/>
      <c r="BL131" s="3385">
        <f>IF(CE129=0,"",IF(BQ131&lt;&gt;"",BQ131,SUM(CO125:CO126)))</f>
        <v>147</v>
      </c>
      <c r="BM131" s="3386"/>
      <c r="BN131" s="3386"/>
      <c r="BO131" s="3387"/>
      <c r="BP131" s="668" t="s">
        <v>103</v>
      </c>
      <c r="BQ131" s="3425"/>
      <c r="BR131" s="3426"/>
      <c r="BS131" s="3426"/>
      <c r="BT131" s="3427"/>
      <c r="BU131" s="19"/>
      <c r="CF131" s="106" t="s">
        <v>859</v>
      </c>
      <c r="CG131" s="184">
        <f>IF(CE129="=",CD127,0)</f>
        <v>0</v>
      </c>
      <c r="CH131" s="667" t="s">
        <v>858</v>
      </c>
      <c r="CI131" s="184">
        <f>F129+2*$AN$7/1000</f>
        <v>7</v>
      </c>
      <c r="CJ131" s="666" t="s">
        <v>857</v>
      </c>
      <c r="CK131" s="184">
        <f>IF(CG127=1,CG131,0)</f>
        <v>0</v>
      </c>
      <c r="CL131" s="666" t="s">
        <v>856</v>
      </c>
      <c r="CM131" s="184">
        <f>IF(CG127=1,F129,0)</f>
        <v>4</v>
      </c>
      <c r="CN131" s="665">
        <f>INT(AS128/2)</f>
        <v>2</v>
      </c>
      <c r="CO131" s="665">
        <f>IF(AU128="","",1+INT(AU128/2))</f>
        <v>1</v>
      </c>
      <c r="CP131" s="664" t="s">
        <v>939</v>
      </c>
      <c r="CQ131" s="3477" t="str">
        <f>IF(CS131="","","ソノライン・スピーカ 20W")</f>
        <v>ソノライン・スピーカ 20W</v>
      </c>
      <c r="CR131" s="3478"/>
      <c r="CS131" s="222">
        <f>IF(BE128="",0,BE128)</f>
        <v>0</v>
      </c>
      <c r="CT131" s="155"/>
      <c r="CU131" s="148"/>
      <c r="CV131" s="148"/>
      <c r="CY131" s="197">
        <f t="shared" si="90"/>
        <v>9</v>
      </c>
      <c r="CZ131" s="197" t="str">
        <f t="shared" si="88"/>
        <v/>
      </c>
      <c r="DB131" s="24"/>
      <c r="DD131" s="516"/>
      <c r="DE131" s="516"/>
      <c r="DH131" s="197">
        <f t="shared" si="91"/>
        <v>5</v>
      </c>
      <c r="DI131" s="197" t="str">
        <f t="shared" si="89"/>
        <v/>
      </c>
      <c r="DK131" s="24"/>
      <c r="DM131" s="516"/>
      <c r="DN131" s="516"/>
      <c r="DQ131" s="197">
        <f t="shared" si="94"/>
        <v>11</v>
      </c>
      <c r="DR131" s="197" t="str">
        <f t="shared" si="92"/>
        <v/>
      </c>
      <c r="DS131" s="201" t="str">
        <f>CQ95</f>
        <v>ソノライン・スピーカ 20W</v>
      </c>
      <c r="DT131" s="24"/>
      <c r="DU131" s="249" t="str">
        <f>IF(COUNTIF($DS$10:DS130,DS131)&gt;0,"",DS131)</f>
        <v/>
      </c>
      <c r="DV131" s="198">
        <f>CS95</f>
        <v>0</v>
      </c>
      <c r="DW131" s="514">
        <f t="shared" si="93"/>
        <v>5</v>
      </c>
    </row>
    <row r="132" spans="2:127" ht="11.25" customHeight="1">
      <c r="B132" s="23"/>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19"/>
      <c r="CP132" s="6"/>
      <c r="CQ132" s="2986" t="str">
        <f>IF(CS132="","","スピーカ 3W S1")</f>
        <v>スピーカ 3W S1</v>
      </c>
      <c r="CR132" s="3476"/>
      <c r="CS132" s="88">
        <f>IF(AS137=0,"",AS137)</f>
        <v>8</v>
      </c>
      <c r="CT132" s="9"/>
      <c r="CX132" s="88">
        <v>14</v>
      </c>
      <c r="CY132" s="204"/>
      <c r="CZ132" s="155"/>
      <c r="DA132" s="45"/>
      <c r="DB132" s="45"/>
      <c r="DC132" s="45" t="s">
        <v>109</v>
      </c>
      <c r="DD132" s="45"/>
      <c r="DE132" s="45" t="s">
        <v>108</v>
      </c>
      <c r="DG132" s="88">
        <v>14</v>
      </c>
      <c r="DH132" s="204"/>
      <c r="DI132" s="155"/>
      <c r="DJ132" s="45"/>
      <c r="DK132" s="45"/>
      <c r="DL132" s="45" t="s">
        <v>109</v>
      </c>
      <c r="DM132" s="45"/>
      <c r="DN132" s="45" t="s">
        <v>108</v>
      </c>
      <c r="DQ132" s="197">
        <f t="shared" si="94"/>
        <v>11</v>
      </c>
      <c r="DR132" s="197" t="str">
        <f t="shared" si="92"/>
        <v/>
      </c>
      <c r="DS132" s="10" t="str">
        <f t="shared" ref="DS132:DS137" si="95">CT88</f>
        <v/>
      </c>
      <c r="DT132" s="24"/>
      <c r="DU132" s="249" t="str">
        <f>IF(COUNTIF($DS$10:DS131,DS132)&gt;0,"",DS132)</f>
        <v/>
      </c>
      <c r="DV132" s="198" t="str">
        <f t="shared" ref="DV132:DV137" si="96">CV88</f>
        <v/>
      </c>
      <c r="DW132" s="514">
        <f t="shared" si="93"/>
        <v>5</v>
      </c>
    </row>
    <row r="133" spans="2:127" ht="11.25" customHeight="1" thickBot="1">
      <c r="B133" s="23"/>
      <c r="C133" s="2299" t="s">
        <v>16</v>
      </c>
      <c r="D133" s="2299"/>
      <c r="E133" s="2299"/>
      <c r="F133" s="2299" t="s">
        <v>22</v>
      </c>
      <c r="G133" s="2299"/>
      <c r="H133" s="2299"/>
      <c r="I133" s="2299"/>
      <c r="J133" s="2299" t="s">
        <v>5</v>
      </c>
      <c r="K133" s="2299"/>
      <c r="L133" s="2299"/>
      <c r="M133" s="2299"/>
      <c r="N133" s="2299" t="s">
        <v>6</v>
      </c>
      <c r="O133" s="2299"/>
      <c r="P133" s="2299"/>
      <c r="Q133" s="2299"/>
      <c r="R133" s="2299"/>
      <c r="S133" s="2299" t="s">
        <v>223</v>
      </c>
      <c r="T133" s="2299"/>
      <c r="U133" s="2299"/>
      <c r="V133" s="2299"/>
      <c r="W133" s="2299"/>
      <c r="X133" s="2299"/>
      <c r="Y133" s="2299"/>
      <c r="Z133" s="2299"/>
      <c r="AA133" s="3382" t="s">
        <v>7</v>
      </c>
      <c r="AB133" s="3382"/>
      <c r="AC133" s="3382"/>
      <c r="AD133" s="3382"/>
      <c r="AE133" s="2630" t="str">
        <f>IF(S138="","",IF(AH133&lt;&gt;"",AH133,IF(RIGHT($D$10,2)="不要","不","要")))</f>
        <v>要</v>
      </c>
      <c r="AF133" s="2630"/>
      <c r="AG133" s="668" t="s">
        <v>2</v>
      </c>
      <c r="AH133" s="2632"/>
      <c r="AI133" s="2633"/>
      <c r="AJ133" s="3371" t="s">
        <v>913</v>
      </c>
      <c r="AK133" s="3372"/>
      <c r="AL133" s="3372"/>
      <c r="AM133" s="3373"/>
      <c r="AN133" s="3383" t="str">
        <f>IF(W138="","",IF(AQ133&lt;&gt;"",AQ133,IF(RIGHT($D$10,2)="設置","要","不")))</f>
        <v>要</v>
      </c>
      <c r="AO133" s="3384"/>
      <c r="AP133" s="668" t="s">
        <v>2</v>
      </c>
      <c r="AQ133" s="2632"/>
      <c r="AR133" s="2633"/>
      <c r="AS133" s="3399" t="s">
        <v>912</v>
      </c>
      <c r="AT133" s="3412"/>
      <c r="AU133" s="3412"/>
      <c r="AV133" s="3412"/>
      <c r="AW133" s="3412"/>
      <c r="AX133" s="3412"/>
      <c r="AY133" s="3412"/>
      <c r="AZ133" s="3412"/>
      <c r="BA133" s="3412"/>
      <c r="BB133" s="3412"/>
      <c r="BC133" s="3412"/>
      <c r="BD133" s="3412"/>
      <c r="BE133" s="3412"/>
      <c r="BF133" s="3412"/>
      <c r="BG133" s="3412"/>
      <c r="BH133" s="3413"/>
      <c r="BI133" s="3399" t="s">
        <v>855</v>
      </c>
      <c r="BJ133" s="3412"/>
      <c r="BK133" s="3412"/>
      <c r="BL133" s="3413"/>
      <c r="BM133" s="3360" t="s">
        <v>978</v>
      </c>
      <c r="BN133" s="3419"/>
      <c r="BO133" s="3419"/>
      <c r="BP133" s="3419"/>
      <c r="BQ133" s="3419"/>
      <c r="BR133" s="3361"/>
      <c r="BS133" s="3441" t="s">
        <v>977</v>
      </c>
      <c r="BT133" s="3442"/>
      <c r="BU133" s="19"/>
      <c r="BW133" s="102"/>
      <c r="CF133" s="8"/>
      <c r="CG133" s="685" t="s">
        <v>909</v>
      </c>
      <c r="CH133" s="685" t="s">
        <v>908</v>
      </c>
      <c r="CI133" s="685" t="s">
        <v>855</v>
      </c>
      <c r="CJ133" s="686">
        <f>IF($AX$8=0,"",INT(10.7*CD135*CE135/($BF$8/1000)^2))</f>
        <v>85</v>
      </c>
      <c r="CK133" s="685" t="s">
        <v>976</v>
      </c>
      <c r="CL133" s="685" t="s">
        <v>975</v>
      </c>
      <c r="CM133" s="685" t="s">
        <v>974</v>
      </c>
      <c r="CN133" s="550" t="s">
        <v>734</v>
      </c>
      <c r="CO133" s="550" t="s">
        <v>732</v>
      </c>
      <c r="CP133" s="684"/>
      <c r="CQ133" s="2986" t="str">
        <f>IF(CS133="","","スピーカ 3W S3")</f>
        <v>スピーカ 3W S3</v>
      </c>
      <c r="CR133" s="3476"/>
      <c r="CS133" s="88">
        <f>IF(AY137=0,"",AY137)</f>
        <v>6</v>
      </c>
      <c r="CT133" s="3483" t="str">
        <f>IF(CV133="","","マイクロホン")</f>
        <v/>
      </c>
      <c r="CU133" s="3484"/>
      <c r="CV133" s="88" t="str">
        <f>BG137</f>
        <v/>
      </c>
      <c r="CX133" s="8"/>
      <c r="CY133" s="197">
        <f>IF(DC133&lt;&gt;"",CY131+1,CY131)</f>
        <v>10</v>
      </c>
      <c r="CZ133" s="197">
        <f t="shared" ref="CZ133:CZ140" si="97">IF(AND(CY133&lt;&gt;"",DC133&lt;&gt;""),CY133,"")</f>
        <v>10</v>
      </c>
      <c r="DA133" s="10" t="str">
        <f>H139</f>
        <v>HP 1.2mm- 10Pr</v>
      </c>
      <c r="DB133" s="8"/>
      <c r="DC133" s="249" t="str">
        <f>IF(COUNTIF(DA$10:$DA130,DA133)&gt;0,"",DA133)</f>
        <v>HP 1.2mm- 10Pr</v>
      </c>
      <c r="DD133" s="515">
        <f>AF139</f>
        <v>7</v>
      </c>
      <c r="DE133" s="514">
        <f>SUMIF($DA$13:$DA$199,DC133,$DD$13:$DD$199)</f>
        <v>21</v>
      </c>
      <c r="DG133" s="8"/>
      <c r="DH133" s="197">
        <f>IF(DL133&lt;&gt;"",DH131+1,DH131)</f>
        <v>5</v>
      </c>
      <c r="DI133" s="197" t="str">
        <f t="shared" ref="DI133:DI140" si="98">IF(AND(DH133&lt;&gt;"",DL133&lt;&gt;""),DH133,"")</f>
        <v/>
      </c>
      <c r="DJ133" s="10" t="str">
        <f>AT139</f>
        <v>C-31mm</v>
      </c>
      <c r="DK133" s="8"/>
      <c r="DL133" s="249" t="str">
        <f>IF(COUNTIF($DA$10:DJ130,DJ133)&gt;0,"",DJ133)</f>
        <v/>
      </c>
      <c r="DM133" s="515">
        <f>BL139</f>
        <v>4</v>
      </c>
      <c r="DN133" s="514">
        <f>SUMIF($DJ$13:$DJ$199,DL133,$DM$13:$DM$199)</f>
        <v>0</v>
      </c>
      <c r="DQ133" s="197">
        <f t="shared" si="94"/>
        <v>11</v>
      </c>
      <c r="DR133" s="197" t="str">
        <f t="shared" si="92"/>
        <v/>
      </c>
      <c r="DS133" s="10" t="str">
        <f t="shared" si="95"/>
        <v>アッテネータ 3W</v>
      </c>
      <c r="DT133" s="24"/>
      <c r="DU133" s="249" t="str">
        <f>IF(COUNTIF($DS$10:DS132,DS133)&gt;0,"",DS133)</f>
        <v/>
      </c>
      <c r="DV133" s="198">
        <f t="shared" si="96"/>
        <v>2</v>
      </c>
      <c r="DW133" s="514">
        <f t="shared" si="93"/>
        <v>5</v>
      </c>
    </row>
    <row r="134" spans="2:127" ht="11.25" customHeight="1" thickBot="1">
      <c r="B134" s="23"/>
      <c r="C134" s="2299"/>
      <c r="D134" s="2299"/>
      <c r="E134" s="2299"/>
      <c r="F134" s="2396"/>
      <c r="G134" s="2396"/>
      <c r="H134" s="2396"/>
      <c r="I134" s="2396"/>
      <c r="J134" s="2396"/>
      <c r="K134" s="2396"/>
      <c r="L134" s="2396"/>
      <c r="M134" s="2396"/>
      <c r="N134" s="2396"/>
      <c r="O134" s="2396"/>
      <c r="P134" s="2396"/>
      <c r="Q134" s="2396"/>
      <c r="R134" s="2396"/>
      <c r="S134" s="2396" t="s">
        <v>7</v>
      </c>
      <c r="T134" s="2396"/>
      <c r="U134" s="2396"/>
      <c r="V134" s="2396"/>
      <c r="W134" s="2396" t="s">
        <v>8</v>
      </c>
      <c r="X134" s="2396"/>
      <c r="Y134" s="2396"/>
      <c r="Z134" s="2396"/>
      <c r="AA134" s="2384" t="s">
        <v>9</v>
      </c>
      <c r="AB134" s="2385"/>
      <c r="AC134" s="2386"/>
      <c r="AD134" s="2384" t="s">
        <v>9</v>
      </c>
      <c r="AE134" s="2385"/>
      <c r="AF134" s="2386"/>
      <c r="AG134" s="2384" t="str">
        <f>IF(AN134="","","専部屋面積")</f>
        <v>専部屋面積</v>
      </c>
      <c r="AH134" s="2385"/>
      <c r="AI134" s="2385"/>
      <c r="AJ134" s="2382"/>
      <c r="AK134" s="2382"/>
      <c r="AL134" s="2382"/>
      <c r="AM134" s="3392"/>
      <c r="AN134" s="3365">
        <f>IF(OR(C138="",$B$2=0),"",S138/AA138)</f>
        <v>138.24</v>
      </c>
      <c r="AO134" s="3366"/>
      <c r="AP134" s="3366"/>
      <c r="AQ134" s="3366"/>
      <c r="AR134" s="3367"/>
      <c r="AS134" s="2300" t="s">
        <v>903</v>
      </c>
      <c r="AT134" s="2301"/>
      <c r="AU134" s="2301"/>
      <c r="AV134" s="2301"/>
      <c r="AW134" s="2301"/>
      <c r="AX134" s="2302"/>
      <c r="AY134" s="2300" t="s">
        <v>902</v>
      </c>
      <c r="AZ134" s="2301"/>
      <c r="BA134" s="2301"/>
      <c r="BB134" s="2302"/>
      <c r="BC134" s="2300" t="s">
        <v>902</v>
      </c>
      <c r="BD134" s="2301"/>
      <c r="BE134" s="2301"/>
      <c r="BF134" s="2302"/>
      <c r="BG134" s="2300" t="s">
        <v>743</v>
      </c>
      <c r="BH134" s="2302"/>
      <c r="BI134" s="2300" t="s">
        <v>901</v>
      </c>
      <c r="BJ134" s="2301"/>
      <c r="BK134" s="2301"/>
      <c r="BL134" s="2302"/>
      <c r="BM134" s="2299" t="s">
        <v>973</v>
      </c>
      <c r="BN134" s="2299"/>
      <c r="BO134" s="2299"/>
      <c r="BP134" s="2299" t="s">
        <v>972</v>
      </c>
      <c r="BQ134" s="2299"/>
      <c r="BR134" s="2299"/>
      <c r="BS134" s="3439" t="s">
        <v>971</v>
      </c>
      <c r="BT134" s="3440"/>
      <c r="BU134" s="19"/>
      <c r="BW134" s="679"/>
      <c r="BX134" s="90" t="s">
        <v>970</v>
      </c>
      <c r="BY134" s="100" t="s">
        <v>969</v>
      </c>
      <c r="CC134" s="180">
        <v>99</v>
      </c>
      <c r="CD134" s="55" t="s">
        <v>968</v>
      </c>
      <c r="CE134" s="55" t="s">
        <v>967</v>
      </c>
      <c r="CF134" s="106" t="s">
        <v>859</v>
      </c>
      <c r="CG134" s="184">
        <f>INT((CD136+10)*BY137+CS135*$AN$8/1000+($AN$7/1000)*BY137)</f>
        <v>123</v>
      </c>
      <c r="CH134" s="184">
        <f>INT(CD136*CS140+CS140)</f>
        <v>0</v>
      </c>
      <c r="CI134" s="184">
        <f>8*SUM(BI137:BL137)</f>
        <v>48</v>
      </c>
      <c r="CJ134" s="185">
        <f>IF($AX$8=0,"",2*INT(0.5*CJ133))</f>
        <v>84</v>
      </c>
      <c r="CK134" s="184"/>
      <c r="CL134" s="184" t="str">
        <f>IF(BP137="","",10*BP137)</f>
        <v/>
      </c>
      <c r="CM134" s="184" t="str">
        <f>IF(BP137="","",10*BP137)</f>
        <v/>
      </c>
      <c r="CN134" s="682">
        <f>IF(S138="",0,IF(AE133="不","",(SUM(CG134:CM134)+SUM(CG135:CM135))*S138/N138))</f>
        <v>214.20000000000002</v>
      </c>
      <c r="CO134" s="682">
        <f>IF(S138="",0,IF(AE133="不","",(SUM(CG137:CM137)+SUM(CG138:CM138))*S138/N138))</f>
        <v>106.80000000000001</v>
      </c>
      <c r="CP134" s="664" t="s">
        <v>1</v>
      </c>
      <c r="CQ134" s="2986" t="str">
        <f>IF(CS134="","","スピーカ S5")</f>
        <v/>
      </c>
      <c r="CR134" s="3476"/>
      <c r="CS134" s="683" t="str">
        <f>IF(AW137=0,"",AW137)</f>
        <v/>
      </c>
      <c r="CT134" s="3483" t="str">
        <f>IF(CV134="","","アッテネータ 3W")</f>
        <v>アッテネータ 3W</v>
      </c>
      <c r="CU134" s="3484"/>
      <c r="CV134" s="88">
        <f>BI137</f>
        <v>4</v>
      </c>
      <c r="CX134" s="8"/>
      <c r="CY134" s="197">
        <f t="shared" ref="CY134:CY140" si="99">IF(DC134&lt;&gt;"",CY133+1,CY133)</f>
        <v>10</v>
      </c>
      <c r="CZ134" s="197" t="str">
        <f t="shared" si="97"/>
        <v/>
      </c>
      <c r="DA134" s="10" t="str">
        <f>H140</f>
        <v>HP 1.2mm-3C</v>
      </c>
      <c r="DB134" s="8"/>
      <c r="DC134" s="249" t="str">
        <f>IF(COUNTIF(DA$10:$DA131,DA134)&gt;0,"",DA134)</f>
        <v/>
      </c>
      <c r="DD134" s="515">
        <f>AF140</f>
        <v>357</v>
      </c>
      <c r="DE134" s="514">
        <f>SUMIF($DA$13:$DA$199,DC134,$DD$13:$DD$199)</f>
        <v>0</v>
      </c>
      <c r="DG134" s="8"/>
      <c r="DH134" s="197">
        <f t="shared" ref="DH134:DH140" si="100">IF(DL134&lt;&gt;"",DH133+1,DH133)</f>
        <v>5</v>
      </c>
      <c r="DI134" s="197" t="str">
        <f t="shared" si="98"/>
        <v/>
      </c>
      <c r="DJ134" s="10" t="str">
        <f>AT140</f>
        <v>C-19mm</v>
      </c>
      <c r="DK134" s="8"/>
      <c r="DL134" s="249" t="str">
        <f>IF(COUNTIF($DA$10:DJ131,DJ134)&gt;0,"",DJ134)</f>
        <v/>
      </c>
      <c r="DM134" s="515">
        <f>BL140</f>
        <v>178</v>
      </c>
      <c r="DN134" s="514">
        <f>SUMIF($DJ$13:$DJ$199,DL134,$DM$13:$DM$199)</f>
        <v>0</v>
      </c>
      <c r="DQ134" s="197">
        <f t="shared" si="94"/>
        <v>11</v>
      </c>
      <c r="DR134" s="197" t="str">
        <f t="shared" si="92"/>
        <v/>
      </c>
      <c r="DS134" s="10" t="str">
        <f t="shared" si="95"/>
        <v>アッテネータ 6W</v>
      </c>
      <c r="DT134" s="24"/>
      <c r="DU134" s="249" t="str">
        <f>IF(COUNTIF($DS$10:DS133,DS134)&gt;0,"",DS134)</f>
        <v/>
      </c>
      <c r="DV134" s="198">
        <f t="shared" si="96"/>
        <v>1</v>
      </c>
      <c r="DW134" s="514">
        <f t="shared" si="93"/>
        <v>5</v>
      </c>
    </row>
    <row r="135" spans="2:127" ht="11.25" customHeight="1" thickBot="1">
      <c r="B135" s="23"/>
      <c r="C135" s="2396"/>
      <c r="D135" s="2396"/>
      <c r="E135" s="2396"/>
      <c r="F135" s="2397" t="s">
        <v>235</v>
      </c>
      <c r="G135" s="2397"/>
      <c r="H135" s="2397"/>
      <c r="I135" s="2397"/>
      <c r="J135" s="2397" t="s">
        <v>235</v>
      </c>
      <c r="K135" s="2397"/>
      <c r="L135" s="2397"/>
      <c r="M135" s="2397"/>
      <c r="N135" s="2397" t="s">
        <v>128</v>
      </c>
      <c r="O135" s="2397"/>
      <c r="P135" s="2397"/>
      <c r="Q135" s="2397"/>
      <c r="R135" s="2397"/>
      <c r="S135" s="2397" t="s">
        <v>128</v>
      </c>
      <c r="T135" s="2397"/>
      <c r="U135" s="2397"/>
      <c r="V135" s="2397"/>
      <c r="W135" s="2397" t="s">
        <v>128</v>
      </c>
      <c r="X135" s="2397"/>
      <c r="Y135" s="2397"/>
      <c r="Z135" s="2397"/>
      <c r="AA135" s="2397" t="s">
        <v>111</v>
      </c>
      <c r="AB135" s="2397"/>
      <c r="AC135" s="2397"/>
      <c r="AD135" s="2397" t="s">
        <v>110</v>
      </c>
      <c r="AE135" s="2397"/>
      <c r="AF135" s="2397"/>
      <c r="AG135" s="3398" t="str">
        <f>IF(AN135="","","共部屋面積")</f>
        <v>共部屋面積</v>
      </c>
      <c r="AH135" s="2382"/>
      <c r="AI135" s="2382"/>
      <c r="AJ135" s="2382"/>
      <c r="AK135" s="2382"/>
      <c r="AL135" s="2382"/>
      <c r="AM135" s="3392"/>
      <c r="AN135" s="3368">
        <f>IF(OR($B$2=0,C138=""),"",W138/AD138)</f>
        <v>38.4</v>
      </c>
      <c r="AO135" s="3369"/>
      <c r="AP135" s="3369"/>
      <c r="AQ135" s="3369"/>
      <c r="AR135" s="3370"/>
      <c r="AS135" s="3419" t="s">
        <v>895</v>
      </c>
      <c r="AT135" s="3361"/>
      <c r="AU135" s="3360" t="s">
        <v>894</v>
      </c>
      <c r="AV135" s="3361"/>
      <c r="AW135" s="3360" t="s">
        <v>893</v>
      </c>
      <c r="AX135" s="3361"/>
      <c r="AY135" s="3360" t="s">
        <v>892</v>
      </c>
      <c r="AZ135" s="3361"/>
      <c r="BA135" s="3360" t="s">
        <v>891</v>
      </c>
      <c r="BB135" s="3361"/>
      <c r="BC135" s="3360" t="s">
        <v>890</v>
      </c>
      <c r="BD135" s="3361"/>
      <c r="BE135" s="3360" t="s">
        <v>889</v>
      </c>
      <c r="BF135" s="3361"/>
      <c r="BG135" s="3432" t="s">
        <v>888</v>
      </c>
      <c r="BH135" s="3433"/>
      <c r="BI135" s="3360"/>
      <c r="BJ135" s="3361"/>
      <c r="BK135" s="3360"/>
      <c r="BL135" s="3361"/>
      <c r="BM135" s="3391" t="s">
        <v>887</v>
      </c>
      <c r="BN135" s="3391"/>
      <c r="BO135" s="3391"/>
      <c r="BP135" s="3391" t="s">
        <v>887</v>
      </c>
      <c r="BQ135" s="3391"/>
      <c r="BR135" s="3391"/>
      <c r="BS135" s="3432" t="s">
        <v>744</v>
      </c>
      <c r="BT135" s="3433"/>
      <c r="BU135" s="19"/>
      <c r="BW135" s="102"/>
      <c r="BX135" s="88">
        <f>IF(OR(J136="( 10)",J136="(12)イ",LEFT(J136,4)="(13)"),1,0)</f>
        <v>0</v>
      </c>
      <c r="BY135" s="88" t="str">
        <f>IF(OR(J136="(1) ロ",J136="(2) ロ",J136="(2) ニ",J136="(5) イ",J136="(6) ハ",J136="(6) ニ",J136="( 7 )",J136="( 15)"),"要","")</f>
        <v/>
      </c>
      <c r="CC135" s="46">
        <v>14</v>
      </c>
      <c r="CD135" s="98">
        <f>非誘!BW101</f>
        <v>12</v>
      </c>
      <c r="CE135" s="98">
        <f>非誘!BX101</f>
        <v>24</v>
      </c>
      <c r="CF135" s="106" t="s">
        <v>858</v>
      </c>
      <c r="CG135" s="185">
        <f>INT((F138-$Y$10/1000-0.25)*BY137)</f>
        <v>8</v>
      </c>
      <c r="CH135" s="184">
        <f>1+INT((F138-$Y$7/1000-0.25+$AN$8/1000)*CS140)</f>
        <v>1</v>
      </c>
      <c r="CI135" s="184">
        <f>INT((F138-$Y$8/1000-0.25+$AN$9/1000)*SUM(BI137:BL137))</f>
        <v>17</v>
      </c>
      <c r="CJ135" s="185">
        <f>IF($AX$8=0,"",2*INT(CJ133*($AX$8-250)/1000))</f>
        <v>76</v>
      </c>
      <c r="CK135" s="184"/>
      <c r="CL135" s="184" t="str">
        <f>IF(BP137="","",INT((F138-$Y$9/1000-0.25+AN129/1000)*BP137))</f>
        <v/>
      </c>
      <c r="CM135" s="184" t="str">
        <f>IF(BS137="","",INT((F138-$Y$9/1000-0.25+AN129/1000)*BS137))</f>
        <v/>
      </c>
      <c r="CN135" s="682">
        <f>IF(AN133="不","",(SUM(CG134:CM134)+SUM(CG135:CM135))*W138/N138)</f>
        <v>142.79999999999998</v>
      </c>
      <c r="CO135" s="682">
        <f>IF(AN133="不","",(SUM(CG137:CM137)+SUM(CG138:CM138))*W138/N138)</f>
        <v>71.199999999999989</v>
      </c>
      <c r="CP135" s="670" t="s">
        <v>877</v>
      </c>
      <c r="CQ135" s="15"/>
      <c r="CR135" s="106" t="s">
        <v>868</v>
      </c>
      <c r="CS135" s="8">
        <f>SUM(CS132:CS134)</f>
        <v>14</v>
      </c>
      <c r="CT135" s="3485" t="str">
        <f>IF(CV135="","","アッテネータ 6W")</f>
        <v>アッテネータ 6W</v>
      </c>
      <c r="CU135" s="3484"/>
      <c r="CV135" s="88">
        <f>BK137</f>
        <v>2</v>
      </c>
      <c r="CX135" s="8"/>
      <c r="CY135" s="197">
        <f t="shared" si="99"/>
        <v>10</v>
      </c>
      <c r="CZ135" s="197" t="str">
        <f t="shared" si="97"/>
        <v/>
      </c>
      <c r="DA135" s="10"/>
      <c r="DB135" s="8"/>
      <c r="DC135" s="249"/>
      <c r="DD135" s="515"/>
      <c r="DE135" s="514"/>
      <c r="DG135" s="8"/>
      <c r="DH135" s="197">
        <f t="shared" si="100"/>
        <v>5</v>
      </c>
      <c r="DI135" s="197" t="str">
        <f t="shared" si="98"/>
        <v/>
      </c>
      <c r="DJ135" s="10"/>
      <c r="DK135" s="8"/>
      <c r="DL135" s="249"/>
      <c r="DM135" s="515"/>
      <c r="DN135" s="514"/>
      <c r="DQ135" s="197">
        <f t="shared" si="94"/>
        <v>11</v>
      </c>
      <c r="DR135" s="197" t="str">
        <f t="shared" si="92"/>
        <v/>
      </c>
      <c r="DS135" s="10" t="str">
        <f t="shared" si="95"/>
        <v/>
      </c>
      <c r="DT135" s="24"/>
      <c r="DU135" s="249" t="str">
        <f>IF(COUNTIF($DS$10:DS134,DS135)&gt;0,"",DS135)</f>
        <v/>
      </c>
      <c r="DV135" s="198" t="str">
        <f t="shared" si="96"/>
        <v/>
      </c>
      <c r="DW135" s="514">
        <f t="shared" si="93"/>
        <v>5</v>
      </c>
    </row>
    <row r="136" spans="2:127" ht="11.25" customHeight="1" thickBot="1">
      <c r="B136" s="23"/>
      <c r="C136" s="2299" t="s">
        <v>112</v>
      </c>
      <c r="D136" s="2299"/>
      <c r="E136" s="2299"/>
      <c r="F136" s="2299"/>
      <c r="G136" s="2299"/>
      <c r="H136" s="2299"/>
      <c r="I136" s="3399"/>
      <c r="J136" s="3400" t="str">
        <f>非誘!J99</f>
        <v>(3) イ</v>
      </c>
      <c r="K136" s="3401"/>
      <c r="L136" s="3401"/>
      <c r="M136" s="3402"/>
      <c r="N136" s="3403" t="str">
        <f>非誘!M99</f>
        <v>料理店等</v>
      </c>
      <c r="O136" s="3404"/>
      <c r="P136" s="3404"/>
      <c r="Q136" s="3404"/>
      <c r="R136" s="3404"/>
      <c r="S136" s="3404"/>
      <c r="T136" s="3404"/>
      <c r="U136" s="3404"/>
      <c r="V136" s="3404"/>
      <c r="W136" s="3404"/>
      <c r="X136" s="3404"/>
      <c r="Y136" s="3404"/>
      <c r="Z136" s="3405"/>
      <c r="AA136" s="3406" t="s">
        <v>926</v>
      </c>
      <c r="AB136" s="2301"/>
      <c r="AC136" s="2301"/>
      <c r="AD136" s="2301"/>
      <c r="AE136" s="2301"/>
      <c r="AF136" s="2302"/>
      <c r="AG136" s="3393" t="str">
        <f>IF($B$2=0,"",IF(AN136="","天井(C 管)",AN136))</f>
        <v>天井(C 管)</v>
      </c>
      <c r="AH136" s="2368"/>
      <c r="AI136" s="2368"/>
      <c r="AJ136" s="2368"/>
      <c r="AK136" s="2368"/>
      <c r="AL136" s="3394"/>
      <c r="AM136" s="668" t="s">
        <v>925</v>
      </c>
      <c r="AN136" s="3395"/>
      <c r="AO136" s="3396"/>
      <c r="AP136" s="3396"/>
      <c r="AQ136" s="3396"/>
      <c r="AR136" s="3397"/>
      <c r="AS136" s="3434" t="s">
        <v>881</v>
      </c>
      <c r="AT136" s="3435"/>
      <c r="AU136" s="3436" t="s">
        <v>880</v>
      </c>
      <c r="AV136" s="3437"/>
      <c r="AW136" s="3432"/>
      <c r="AX136" s="3433"/>
      <c r="AY136" s="3432" t="s">
        <v>881</v>
      </c>
      <c r="AZ136" s="3433"/>
      <c r="BA136" s="3436" t="s">
        <v>884</v>
      </c>
      <c r="BB136" s="3437"/>
      <c r="BC136" s="3436" t="s">
        <v>883</v>
      </c>
      <c r="BD136" s="3438"/>
      <c r="BE136" s="3438"/>
      <c r="BF136" s="3437"/>
      <c r="BG136" s="3420" t="s">
        <v>882</v>
      </c>
      <c r="BH136" s="3421"/>
      <c r="BI136" s="3436" t="s">
        <v>881</v>
      </c>
      <c r="BJ136" s="3437"/>
      <c r="BK136" s="3436" t="s">
        <v>880</v>
      </c>
      <c r="BL136" s="3437"/>
      <c r="BM136" s="3407" t="str">
        <f>IF(BM137="","",$BW$12)</f>
        <v/>
      </c>
      <c r="BN136" s="3407"/>
      <c r="BO136" s="3407"/>
      <c r="BP136" s="3407" t="str">
        <f>IF(BP137="","",30)</f>
        <v/>
      </c>
      <c r="BQ136" s="3407"/>
      <c r="BR136" s="3407"/>
      <c r="BS136" s="2384" t="s">
        <v>879</v>
      </c>
      <c r="BT136" s="2386"/>
      <c r="BU136" s="19"/>
      <c r="BW136" s="102"/>
      <c r="CB136" s="90" t="s">
        <v>966</v>
      </c>
      <c r="CC136" s="479" t="str">
        <f>AD137</f>
        <v>⑦</v>
      </c>
      <c r="CD136" s="263">
        <f>IF(C138="","",IF(CC136="①",CD135+CE135+3,IF(CC136="②",CD135*5/8+CE135+3,IF(CC136="③",CD135/2+CE135+3,IF(CC136="④",CD135+CE135*5/8+3,IF(CC136="⑤",(CD135+CE135)*5/8+3,IF(CC136="⑥",CD135/2+CE135*5/8+3,IF(CC136="⑦",CD135+CE135/2+3,IF(CC136="⑧",CD135*5/8+CE135/2+3,IF(CC136="⑨",(CD135+CE135)/2+3))))))))))</f>
        <v>27</v>
      </c>
      <c r="CE136" s="8"/>
      <c r="CF136" s="106"/>
      <c r="CG136" s="681">
        <f>IF(AG136="天井ケーブル",0,1)</f>
        <v>1</v>
      </c>
      <c r="CH136" s="394"/>
      <c r="CI136" s="394"/>
      <c r="CJ136" s="59"/>
      <c r="CK136" s="394"/>
      <c r="CL136" s="394"/>
      <c r="CM136" s="394"/>
      <c r="CN136" s="62" t="s">
        <v>1</v>
      </c>
      <c r="CO136" s="62" t="s">
        <v>877</v>
      </c>
      <c r="CP136" s="38"/>
      <c r="CQ136" s="2986" t="str">
        <f>IF(CS136="","","スピーカ 6W S2")</f>
        <v>スピーカ 6W S2</v>
      </c>
      <c r="CR136" s="3476"/>
      <c r="CS136" s="88">
        <f>IF(AU137=0,"",AU137)</f>
        <v>2</v>
      </c>
      <c r="CT136" s="3483" t="str">
        <f>IF(CV136="","","主増幅器")</f>
        <v/>
      </c>
      <c r="CU136" s="3484"/>
      <c r="CV136" s="88" t="str">
        <f>BM137</f>
        <v/>
      </c>
      <c r="CX136" s="8"/>
      <c r="CY136" s="197">
        <f t="shared" si="99"/>
        <v>10</v>
      </c>
      <c r="CZ136" s="197" t="str">
        <f t="shared" si="97"/>
        <v/>
      </c>
      <c r="DA136" s="10"/>
      <c r="DB136" s="8"/>
      <c r="DC136" s="249"/>
      <c r="DD136" s="515"/>
      <c r="DE136" s="514"/>
      <c r="DG136" s="8"/>
      <c r="DH136" s="197">
        <f t="shared" si="100"/>
        <v>5</v>
      </c>
      <c r="DI136" s="197" t="str">
        <f t="shared" si="98"/>
        <v/>
      </c>
      <c r="DJ136" s="10"/>
      <c r="DK136" s="8"/>
      <c r="DL136" s="249"/>
      <c r="DM136" s="515"/>
      <c r="DN136" s="514"/>
      <c r="DQ136" s="197">
        <f t="shared" si="94"/>
        <v>11</v>
      </c>
      <c r="DR136" s="197" t="str">
        <f t="shared" si="92"/>
        <v/>
      </c>
      <c r="DS136" s="10" t="str">
        <f t="shared" si="95"/>
        <v/>
      </c>
      <c r="DT136" s="24"/>
      <c r="DU136" s="249" t="str">
        <f>IF(COUNTIF($DS$10:DS135,DS136)&gt;0,"",DS136)</f>
        <v/>
      </c>
      <c r="DV136" s="198" t="str">
        <f t="shared" si="96"/>
        <v/>
      </c>
      <c r="DW136" s="514">
        <f t="shared" si="93"/>
        <v>5</v>
      </c>
    </row>
    <row r="137" spans="2:127" ht="11.25" customHeight="1" thickBot="1">
      <c r="B137" s="23"/>
      <c r="C137" s="3409" t="s">
        <v>965</v>
      </c>
      <c r="D137" s="3410"/>
      <c r="E137" s="3410"/>
      <c r="F137" s="3410"/>
      <c r="G137" s="3410"/>
      <c r="H137" s="3411"/>
      <c r="I137" s="3430" t="str">
        <f>非誘!AA99</f>
        <v>A</v>
      </c>
      <c r="J137" s="3430"/>
      <c r="K137" s="3430"/>
      <c r="L137" s="2395" t="s">
        <v>214</v>
      </c>
      <c r="M137" s="2395"/>
      <c r="N137" s="2395"/>
      <c r="O137" s="2395"/>
      <c r="P137" s="2395"/>
      <c r="Q137" s="2395"/>
      <c r="R137" s="2395"/>
      <c r="S137" s="3379">
        <f>非誘!J100</f>
        <v>0.5</v>
      </c>
      <c r="T137" s="3380"/>
      <c r="U137" s="3380"/>
      <c r="V137" s="3381"/>
      <c r="W137" s="3399" t="s">
        <v>875</v>
      </c>
      <c r="X137" s="3412"/>
      <c r="Y137" s="3412"/>
      <c r="Z137" s="3412"/>
      <c r="AA137" s="2654"/>
      <c r="AB137" s="2654"/>
      <c r="AC137" s="2655"/>
      <c r="AD137" s="3388" t="str">
        <f>非誘!V100</f>
        <v>⑦</v>
      </c>
      <c r="AE137" s="3389"/>
      <c r="AF137" s="3390"/>
      <c r="AG137" s="3391" t="s">
        <v>874</v>
      </c>
      <c r="AH137" s="3391"/>
      <c r="AI137" s="3391"/>
      <c r="AJ137" s="3391"/>
      <c r="AK137" s="3391"/>
      <c r="AL137" s="2990" t="str">
        <f>IF(AP137&lt;&gt;"",AP137,IF(C138=$BG$10,C138,""))</f>
        <v/>
      </c>
      <c r="AM137" s="2990"/>
      <c r="AN137" s="2990"/>
      <c r="AO137" s="668" t="s">
        <v>2</v>
      </c>
      <c r="AP137" s="3325"/>
      <c r="AQ137" s="3326"/>
      <c r="AR137" s="3327"/>
      <c r="AS137" s="3418">
        <f>IF(CE138=0,"",IF(AS138&lt;&gt;"",AS138,IF(BE137&lt;&gt;"",CN139,SUM(CN137:CO137))))</f>
        <v>8</v>
      </c>
      <c r="AT137" s="3375"/>
      <c r="AU137" s="3418">
        <f>IF(CE138=0,"",IF(AU138&lt;&gt;"",AU138,CN138))</f>
        <v>2</v>
      </c>
      <c r="AV137" s="3375"/>
      <c r="AW137" s="3418"/>
      <c r="AX137" s="3375"/>
      <c r="AY137" s="3418">
        <f>IF(AA138="","",IF(AY138&lt;&gt;"",AY138,CO138))</f>
        <v>6</v>
      </c>
      <c r="AZ137" s="3375"/>
      <c r="BA137" s="3418"/>
      <c r="BB137" s="3375"/>
      <c r="BC137" s="3418" t="str">
        <f>IF(OR(AL138="不",,BP137=""),"",IF(BC138&lt;&gt;"",BC138,BP137*2))</f>
        <v/>
      </c>
      <c r="BD137" s="3375"/>
      <c r="BE137" s="3418" t="str">
        <f>IF(BE138&lt;&gt;"",BE138,IF(BX135=0,"",CN139))</f>
        <v/>
      </c>
      <c r="BF137" s="3375"/>
      <c r="BG137" s="3418" t="str">
        <f>IF(AE133="不","",IF(BG138&lt;&gt;"",BG138,BP137))</f>
        <v/>
      </c>
      <c r="BH137" s="3375"/>
      <c r="BI137" s="3418">
        <f>IF(CE138=0,"",CN140)</f>
        <v>4</v>
      </c>
      <c r="BJ137" s="3375"/>
      <c r="BK137" s="3374">
        <f>IF(CE138=0,"",CO140)</f>
        <v>2</v>
      </c>
      <c r="BL137" s="3375"/>
      <c r="BM137" s="3376" t="str">
        <f>IF(CE138=0,"",IF(BM138&lt;&gt;"",BM138,IF(C138=AL137,1,"")))</f>
        <v/>
      </c>
      <c r="BN137" s="3377"/>
      <c r="BO137" s="3378"/>
      <c r="BP137" s="3376" t="str">
        <f>IF(CE138=0,"",IF(OR(AE133="不",AA138="",S138=""),"",IF(BP138&lt;&gt;"",BP138,IF(AL138="要",1+INT(S138/1000),""))))</f>
        <v/>
      </c>
      <c r="BQ137" s="3377"/>
      <c r="BR137" s="3378"/>
      <c r="BS137" s="3376" t="str">
        <f>IF(BS138&lt;&gt;"",BS138,BP137)</f>
        <v/>
      </c>
      <c r="BT137" s="3378"/>
      <c r="BU137" s="19"/>
      <c r="BW137" s="680">
        <f>IF(AND(CS138=0,CS139=""),CS135*3,CS135*3+CS138*6)</f>
        <v>54</v>
      </c>
      <c r="BX137" s="687">
        <f>BY138</f>
        <v>5</v>
      </c>
      <c r="BY137" s="522">
        <f>1+INT(SUM(S138:Z138)/400)</f>
        <v>3</v>
      </c>
      <c r="BZ137" s="100" t="s">
        <v>873</v>
      </c>
      <c r="CB137" s="678">
        <f>IF(CE138="=",MID(BZ138,10,3),10*(1+INT(BY137*3/10)))</f>
        <v>10</v>
      </c>
      <c r="CC137" s="10" t="s">
        <v>964</v>
      </c>
      <c r="CF137" s="106" t="s">
        <v>857</v>
      </c>
      <c r="CG137" s="136">
        <f>IF(CG136=1,INT(CD136*BY137)+BY137*10,"")</f>
        <v>111</v>
      </c>
      <c r="CH137" s="136">
        <f>IF(CG136=1,INT(CD136*CS140),"")</f>
        <v>0</v>
      </c>
      <c r="CI137" s="136">
        <f>8*SUM(BI137:BL137)</f>
        <v>48</v>
      </c>
      <c r="CJ137" s="134" t="str">
        <f>IF($AX$8=0,INT(10.7*CD135*CE135/($BF$8/1000)^2)*1.5,"")</f>
        <v/>
      </c>
      <c r="CK137" s="136">
        <v>0</v>
      </c>
      <c r="CL137" s="136" t="str">
        <f>IF(BP137="","",10*BP137)</f>
        <v/>
      </c>
      <c r="CM137" s="136" t="str">
        <f>IF(BS137="","",10*BS137)</f>
        <v/>
      </c>
      <c r="CN137" s="665">
        <f>IF(AA138="",0,IF(AE133="不","",INT(AA138/2)))</f>
        <v>2</v>
      </c>
      <c r="CO137" s="665">
        <f>IF(AN133="不","",INT(AD138/2))</f>
        <v>6</v>
      </c>
      <c r="CP137" s="670" t="s">
        <v>963</v>
      </c>
      <c r="CQ137" s="2986" t="str">
        <f>IF(CS137="","","スピーカ 5W S4")</f>
        <v/>
      </c>
      <c r="CR137" s="3476"/>
      <c r="CS137" s="88" t="str">
        <f>IF(BA137=0,"",BA137)</f>
        <v/>
      </c>
      <c r="CT137" s="3483" t="str">
        <f>IF(CV137="","","副増幅器 30W")</f>
        <v/>
      </c>
      <c r="CU137" s="3484"/>
      <c r="CV137" s="88" t="str">
        <f>BP137</f>
        <v/>
      </c>
      <c r="CX137" s="8"/>
      <c r="CY137" s="197">
        <f t="shared" si="99"/>
        <v>10</v>
      </c>
      <c r="CZ137" s="197" t="str">
        <f t="shared" si="97"/>
        <v/>
      </c>
      <c r="DA137" s="10"/>
      <c r="DB137" s="8"/>
      <c r="DC137" s="249"/>
      <c r="DD137" s="515"/>
      <c r="DE137" s="514"/>
      <c r="DG137" s="8"/>
      <c r="DH137" s="197">
        <f t="shared" si="100"/>
        <v>5</v>
      </c>
      <c r="DI137" s="197" t="str">
        <f t="shared" si="98"/>
        <v/>
      </c>
      <c r="DJ137" s="10"/>
      <c r="DK137" s="8"/>
      <c r="DL137" s="249"/>
      <c r="DM137" s="515"/>
      <c r="DN137" s="514"/>
      <c r="DP137" s="8"/>
      <c r="DQ137" s="197">
        <f t="shared" si="94"/>
        <v>11</v>
      </c>
      <c r="DR137" s="197" t="str">
        <f t="shared" si="92"/>
        <v/>
      </c>
      <c r="DS137" s="10" t="str">
        <f t="shared" si="95"/>
        <v/>
      </c>
      <c r="DT137" s="24"/>
      <c r="DU137" s="249" t="str">
        <f>IF(COUNTIF($DS$10:DS136,DS137)&gt;0,"",DS137)</f>
        <v/>
      </c>
      <c r="DV137" s="198" t="str">
        <f t="shared" si="96"/>
        <v/>
      </c>
      <c r="DW137" s="514">
        <f t="shared" si="93"/>
        <v>5</v>
      </c>
    </row>
    <row r="138" spans="2:127" ht="11.25" customHeight="1" thickBot="1">
      <c r="B138" s="23"/>
      <c r="C138" s="3429" t="str">
        <f>IF($B$2=0,"",非誘!C101)</f>
        <v xml:space="preserve"> 12F</v>
      </c>
      <c r="D138" s="3407"/>
      <c r="E138" s="3407"/>
      <c r="F138" s="3430">
        <f>IF($B$2=0,"",非誘!F101)</f>
        <v>4</v>
      </c>
      <c r="G138" s="3430"/>
      <c r="H138" s="3430"/>
      <c r="I138" s="3430"/>
      <c r="J138" s="3430">
        <f>IF($B$2=0,"",非誘!J101)</f>
        <v>3</v>
      </c>
      <c r="K138" s="3430"/>
      <c r="L138" s="3430"/>
      <c r="M138" s="3430"/>
      <c r="N138" s="3407">
        <f>IF($B$2=0,"",非誘!N101)</f>
        <v>1152</v>
      </c>
      <c r="O138" s="3407"/>
      <c r="P138" s="3407"/>
      <c r="Q138" s="3407"/>
      <c r="R138" s="3407"/>
      <c r="S138" s="3431">
        <f>IF($B$2=0,"",非誘!S101)</f>
        <v>691.2</v>
      </c>
      <c r="T138" s="3431"/>
      <c r="U138" s="3431"/>
      <c r="V138" s="3431"/>
      <c r="W138" s="3431">
        <f>IF($B$2=0,"",非誘!W101)</f>
        <v>460.79999999999995</v>
      </c>
      <c r="X138" s="3431"/>
      <c r="Y138" s="3431"/>
      <c r="Z138" s="3431"/>
      <c r="AA138" s="3407">
        <f>IF($B$2=0,"",非誘!AA101)</f>
        <v>5</v>
      </c>
      <c r="AB138" s="3407"/>
      <c r="AC138" s="3407"/>
      <c r="AD138" s="3407">
        <f>IF($B$2=0,"",非誘!AD101)</f>
        <v>12</v>
      </c>
      <c r="AE138" s="3407"/>
      <c r="AF138" s="3407"/>
      <c r="AG138" s="3391" t="s">
        <v>942</v>
      </c>
      <c r="AH138" s="3391"/>
      <c r="AI138" s="3391"/>
      <c r="AJ138" s="3391"/>
      <c r="AK138" s="3391"/>
      <c r="AL138" s="2990" t="str">
        <f>IF(AP138&lt;&gt;"",AP138,IF($BY$18="要","要",""))</f>
        <v/>
      </c>
      <c r="AM138" s="2990"/>
      <c r="AN138" s="2990"/>
      <c r="AO138" s="668" t="s">
        <v>103</v>
      </c>
      <c r="AP138" s="3408"/>
      <c r="AQ138" s="3408"/>
      <c r="AR138" s="3408"/>
      <c r="AS138" s="2551"/>
      <c r="AT138" s="3414"/>
      <c r="AU138" s="2551"/>
      <c r="AV138" s="3414"/>
      <c r="AW138" s="2551"/>
      <c r="AX138" s="3414"/>
      <c r="AY138" s="2551"/>
      <c r="AZ138" s="3414"/>
      <c r="BA138" s="2551"/>
      <c r="BB138" s="3414"/>
      <c r="BC138" s="2551"/>
      <c r="BD138" s="3414"/>
      <c r="BE138" s="2551"/>
      <c r="BF138" s="3414"/>
      <c r="BG138" s="2551"/>
      <c r="BH138" s="3414"/>
      <c r="BI138" s="2551"/>
      <c r="BJ138" s="3414"/>
      <c r="BK138" s="2551"/>
      <c r="BL138" s="3414"/>
      <c r="BM138" s="2551"/>
      <c r="BN138" s="3428"/>
      <c r="BO138" s="3414"/>
      <c r="BP138" s="2551"/>
      <c r="BQ138" s="3428"/>
      <c r="BR138" s="3414"/>
      <c r="BS138" s="2551"/>
      <c r="BT138" s="3414"/>
      <c r="BU138" s="19"/>
      <c r="BY138" s="677">
        <f>IF(CE138=0,0,IF(CE138="=",BY137+BY129+BY147,IF(CE138="-",BY137+BY129,BY137+BY147)))</f>
        <v>5</v>
      </c>
      <c r="BZ138" s="3443" t="str">
        <f>IF(CE138=0,"",IF(BY138*3&lt;=20,"HP 1.2mm- 10Pr",IF(BY138*3&lt;=30,"HP 1.2mm- 15Pr",IF(BY138*3&lt;=40,"HP 1.2mm- 20Pr",IF(BY138*3&lt;=50,"HP 1.2mm- 25Pr",IF(BY138*3&lt;=60,"HP 1.2mm- 30Pr",IF(BY138*3&lt;=80,"HP 1.2mm- 40Pr",IF(BY138*3&lt;=100,"HP 1.2mm- 50Pr",IF(BY138*3&lt;=150,"HP 1.2mm- 75Pr", IF(BY138*3&lt;=200,"HP 1.2mm-100Pr",IF(BY138*3&lt;=400,"HP 1.2mm-200Pr","")))))))))))</f>
        <v>HP 1.2mm- 10Pr</v>
      </c>
      <c r="CA138" s="3444"/>
      <c r="CB138" s="3444"/>
      <c r="CC138" s="3445"/>
      <c r="CD138" s="673" t="str">
        <f>IF(LEFT($BG$10,2)=" B",-MID($BG$10,3,1),LEFT($BG$10,3))</f>
        <v xml:space="preserve">  1</v>
      </c>
      <c r="CE138" s="676" t="str">
        <f>IF(CD139=0,0,IF(CD138=CD139,"=",IF(CD138&gt;CD139,"-","+")))</f>
        <v>+</v>
      </c>
      <c r="CF138" s="106" t="s">
        <v>856</v>
      </c>
      <c r="CG138" s="136">
        <f>2*INT((F138-$Y$10/1000-0.25))</f>
        <v>4</v>
      </c>
      <c r="CH138" s="136">
        <f>1+INT((F138-$Y$7/1000-0.25)*CS140)</f>
        <v>1</v>
      </c>
      <c r="CI138" s="136">
        <f>INT((F138-$Y$8/1000-0.25)*SUM(BI137:BL137))</f>
        <v>14</v>
      </c>
      <c r="CJ138" s="675"/>
      <c r="CK138" s="136">
        <v>0</v>
      </c>
      <c r="CL138" s="136" t="str">
        <f>IF(BP137="","",INT((F138-$Y$9/1000-0.25)*BP137))</f>
        <v/>
      </c>
      <c r="CM138" s="136" t="str">
        <f>IF(BS137="","",INT((F138-$Y$9/1000-0.25)*BS137))</f>
        <v/>
      </c>
      <c r="CN138" s="665">
        <f>IF(AA138="",0,IF(AE133="不","",INT(AA138/2)))</f>
        <v>2</v>
      </c>
      <c r="CO138" s="665">
        <f>IF(AN133="不","",INT(AD138/2))</f>
        <v>6</v>
      </c>
      <c r="CP138" s="670" t="s">
        <v>941</v>
      </c>
      <c r="CQ138" s="15"/>
      <c r="CR138" s="106" t="s">
        <v>868</v>
      </c>
      <c r="CS138" s="8">
        <f>SUM(CS136:CS137)</f>
        <v>2</v>
      </c>
      <c r="CT138" s="3483" t="str">
        <f>IF(CV138="","","カットリレー")</f>
        <v/>
      </c>
      <c r="CU138" s="3484"/>
      <c r="CV138" s="88" t="str">
        <f>BS137</f>
        <v/>
      </c>
      <c r="CY138" s="197">
        <f t="shared" si="99"/>
        <v>10</v>
      </c>
      <c r="CZ138" s="197" t="str">
        <f t="shared" si="97"/>
        <v/>
      </c>
      <c r="DB138" s="24"/>
      <c r="DD138" s="516"/>
      <c r="DE138" s="516"/>
      <c r="DH138" s="197">
        <f t="shared" si="100"/>
        <v>5</v>
      </c>
      <c r="DI138" s="197" t="str">
        <f t="shared" si="98"/>
        <v/>
      </c>
      <c r="DK138" s="24"/>
      <c r="DM138" s="516"/>
      <c r="DN138" s="516"/>
      <c r="DP138" s="88">
        <v>10</v>
      </c>
      <c r="DQ138" s="45"/>
      <c r="DR138" s="45"/>
      <c r="DS138" s="45"/>
      <c r="DT138" s="45"/>
      <c r="DU138" s="45"/>
      <c r="DV138" s="45"/>
      <c r="DW138" s="45"/>
    </row>
    <row r="139" spans="2:127" ht="11.25" customHeight="1" thickBot="1">
      <c r="B139" s="23"/>
      <c r="C139" s="2300" t="s">
        <v>867</v>
      </c>
      <c r="D139" s="2301"/>
      <c r="E139" s="2301"/>
      <c r="F139" s="2301"/>
      <c r="G139" s="2302"/>
      <c r="H139" s="3422" t="str">
        <f>IF(CE138=0,"",IF(R139&lt;&gt;"",R139,BZ138))</f>
        <v>HP 1.2mm- 10Pr</v>
      </c>
      <c r="I139" s="3423"/>
      <c r="J139" s="3423"/>
      <c r="K139" s="3423"/>
      <c r="L139" s="3423"/>
      <c r="M139" s="3423"/>
      <c r="N139" s="3423"/>
      <c r="O139" s="3423"/>
      <c r="P139" s="3424"/>
      <c r="Q139" s="668" t="s">
        <v>103</v>
      </c>
      <c r="R139" s="3362"/>
      <c r="S139" s="3363"/>
      <c r="T139" s="3363"/>
      <c r="U139" s="3363"/>
      <c r="V139" s="3363"/>
      <c r="W139" s="3363"/>
      <c r="X139" s="3363"/>
      <c r="Y139" s="3363"/>
      <c r="Z139" s="3364"/>
      <c r="AA139" s="3345" t="s">
        <v>866</v>
      </c>
      <c r="AB139" s="3346"/>
      <c r="AC139" s="3346"/>
      <c r="AD139" s="3346"/>
      <c r="AE139" s="3347"/>
      <c r="AF139" s="3385">
        <f>IF(CE138=0,"",IF(AK139&lt;&gt;"",AK139,CG140+CI140))</f>
        <v>7</v>
      </c>
      <c r="AG139" s="3386"/>
      <c r="AH139" s="3386"/>
      <c r="AI139" s="3387"/>
      <c r="AJ139" s="669" t="s">
        <v>103</v>
      </c>
      <c r="AK139" s="3415"/>
      <c r="AL139" s="3416"/>
      <c r="AM139" s="3416"/>
      <c r="AN139" s="3417"/>
      <c r="AO139" s="2300" t="s">
        <v>865</v>
      </c>
      <c r="AP139" s="2301"/>
      <c r="AQ139" s="2301"/>
      <c r="AR139" s="2301"/>
      <c r="AS139" s="2302"/>
      <c r="AT139" s="3422" t="str">
        <f>IF(CE138=0,"",IF(BA139&lt;&gt;"",BA139,IF(MID(AG136,4,2)="C ","C-"&amp;CA139&amp;"mm",IF(MID(AG136,4,2)="PF","PF-D-"&amp;CB139&amp;"mm",IF(MID(AG136,4,2)="CD","CD-"&amp;CB139&amp;"mm",IF(MID(AG136,4,2)="G ","G-"&amp;CB139&amp;"mm",""))))))</f>
        <v>C-31mm</v>
      </c>
      <c r="AU139" s="3423"/>
      <c r="AV139" s="3423"/>
      <c r="AW139" s="3423"/>
      <c r="AX139" s="3423"/>
      <c r="AY139" s="3424"/>
      <c r="AZ139" s="668" t="s">
        <v>103</v>
      </c>
      <c r="BA139" s="3362"/>
      <c r="BB139" s="3363"/>
      <c r="BC139" s="3363"/>
      <c r="BD139" s="3363"/>
      <c r="BE139" s="3363"/>
      <c r="BF139" s="3364"/>
      <c r="BG139" s="3345" t="s">
        <v>864</v>
      </c>
      <c r="BH139" s="3346"/>
      <c r="BI139" s="3346"/>
      <c r="BJ139" s="3346"/>
      <c r="BK139" s="3347"/>
      <c r="BL139" s="3385">
        <f>IF(CE138=0,"",IF(CM140=0,"",IF(BQ139&lt;&gt;"",BQ139,CK140+CM140)))</f>
        <v>4</v>
      </c>
      <c r="BM139" s="3386"/>
      <c r="BN139" s="3386"/>
      <c r="BO139" s="3387"/>
      <c r="BP139" s="668" t="s">
        <v>103</v>
      </c>
      <c r="BQ139" s="3415"/>
      <c r="BR139" s="3416"/>
      <c r="BS139" s="3416"/>
      <c r="BT139" s="3417"/>
      <c r="BU139" s="19"/>
      <c r="BZ139" s="107" t="str">
        <f>IF(LEN(BZ138)=13,MID(BZ138,10,2),MID(BZ138,10,3))</f>
        <v xml:space="preserve"> 10</v>
      </c>
      <c r="CA139" s="674" t="str">
        <f>IF(OR(BZ139=" 10",BZ139=" 15"),"31",IF(OR(BZ139=" 20",BZ139=" 25",BZ139=" 30"),"39",IF(OR(BZ139=" 40",BZ139=" 50"),"51",IF(BZ139="100","63",IF(BZ139&lt;="200","75","")))))</f>
        <v>31</v>
      </c>
      <c r="CB139" s="674" t="str">
        <f>IF(OR(BZ139=" 10",BZ139=" 15"),"28",IF(OR(BZ139=" 20",BZ139=" 25",BZ139=" 30"),"36",IF(OR(BZ139=" 40",BZ139=" 50"),"42",IF(BZ139="100","54",IF(BZ139&lt;="200","70","")))))</f>
        <v>28</v>
      </c>
      <c r="CD139" s="673" t="str">
        <f>IF(C138="",0,IF(LEFT(C138,2)=" B",-MID(C138,3,1),LEFT(C138,3)))</f>
        <v xml:space="preserve"> 12</v>
      </c>
      <c r="CF139" s="106"/>
      <c r="CG139" s="90" t="s">
        <v>940</v>
      </c>
      <c r="CH139" s="64"/>
      <c r="CI139" s="90" t="s">
        <v>940</v>
      </c>
      <c r="CJ139" s="38"/>
      <c r="CK139" s="90" t="s">
        <v>940</v>
      </c>
      <c r="CL139" s="64"/>
      <c r="CM139" s="90" t="s">
        <v>940</v>
      </c>
      <c r="CN139" s="672">
        <f>IF(S138="",0,IF(AE133="不","",INT(S138/150)))</f>
        <v>4</v>
      </c>
      <c r="CO139" s="671"/>
      <c r="CP139" s="670" t="s">
        <v>889</v>
      </c>
      <c r="CQ139" s="2986" t="str">
        <f>IF(CS139="","","プロセニアム・スピーカ 20W")</f>
        <v/>
      </c>
      <c r="CR139" s="3476"/>
      <c r="CS139" s="88" t="str">
        <f>IF(BC137=0,"",BC137)</f>
        <v/>
      </c>
      <c r="CT139" s="9"/>
      <c r="CU139" s="46"/>
      <c r="CY139" s="197">
        <f t="shared" si="99"/>
        <v>10</v>
      </c>
      <c r="CZ139" s="197" t="str">
        <f t="shared" si="97"/>
        <v/>
      </c>
      <c r="DB139" s="24"/>
      <c r="DD139" s="516"/>
      <c r="DE139" s="516"/>
      <c r="DH139" s="197">
        <f t="shared" si="100"/>
        <v>5</v>
      </c>
      <c r="DI139" s="197" t="str">
        <f t="shared" si="98"/>
        <v/>
      </c>
      <c r="DK139" s="24"/>
      <c r="DM139" s="516"/>
      <c r="DN139" s="516"/>
      <c r="DP139" s="8"/>
      <c r="DQ139" s="197">
        <f>IF(DU139&lt;&gt;"",DQ137+1,DQ137)</f>
        <v>11</v>
      </c>
      <c r="DR139" s="197" t="str">
        <f t="shared" ref="DR139:DR151" si="101">IF(AND(DQ139&lt;&gt;"",DU139&lt;&gt;""),DQ139,"")</f>
        <v/>
      </c>
      <c r="DS139" s="10" t="str">
        <f>CQ96</f>
        <v>スピーカ 3W S1</v>
      </c>
      <c r="DT139" s="8"/>
      <c r="DU139" s="249" t="str">
        <f>IF(COUNTIF($DS$10:DS138,DS139)&gt;0,"",DS139)</f>
        <v/>
      </c>
      <c r="DV139" s="198">
        <f>CS96</f>
        <v>5</v>
      </c>
      <c r="DW139" s="514">
        <f t="shared" ref="DW139:DW151" si="102">SUMIF($DS$13:$DS$344,DU139,$DV$13:$DV$344)</f>
        <v>5</v>
      </c>
    </row>
    <row r="140" spans="2:127" ht="11.25" customHeight="1" thickBot="1">
      <c r="B140" s="23"/>
      <c r="C140" s="2300" t="s">
        <v>861</v>
      </c>
      <c r="D140" s="2301"/>
      <c r="E140" s="2301"/>
      <c r="F140" s="2301"/>
      <c r="G140" s="2302"/>
      <c r="H140" s="3422" t="str">
        <f>IF(CE138=0,"",IF(R140&lt;&gt;"",R140,"HP 1.2mm-3C"))</f>
        <v>HP 1.2mm-3C</v>
      </c>
      <c r="I140" s="3423"/>
      <c r="J140" s="3423"/>
      <c r="K140" s="3423"/>
      <c r="L140" s="3423"/>
      <c r="M140" s="3423"/>
      <c r="N140" s="3423"/>
      <c r="O140" s="3423"/>
      <c r="P140" s="3424"/>
      <c r="Q140" s="668" t="s">
        <v>103</v>
      </c>
      <c r="R140" s="3362"/>
      <c r="S140" s="3363"/>
      <c r="T140" s="3363"/>
      <c r="U140" s="3363"/>
      <c r="V140" s="3363"/>
      <c r="W140" s="3363"/>
      <c r="X140" s="3363"/>
      <c r="Y140" s="3363"/>
      <c r="Z140" s="3364"/>
      <c r="AA140" s="3348" t="s">
        <v>235</v>
      </c>
      <c r="AB140" s="3349"/>
      <c r="AC140" s="3349"/>
      <c r="AD140" s="3349"/>
      <c r="AE140" s="3350"/>
      <c r="AF140" s="3385">
        <f>IF(CE138=0,"",IF(AK140&lt;&gt;"",AK140,SUM(CN134:CN135)))</f>
        <v>357</v>
      </c>
      <c r="AG140" s="3386"/>
      <c r="AH140" s="3386"/>
      <c r="AI140" s="3387"/>
      <c r="AJ140" s="669" t="s">
        <v>103</v>
      </c>
      <c r="AK140" s="3415"/>
      <c r="AL140" s="3416"/>
      <c r="AM140" s="3416"/>
      <c r="AN140" s="3417"/>
      <c r="AO140" s="2300" t="s">
        <v>860</v>
      </c>
      <c r="AP140" s="2301"/>
      <c r="AQ140" s="2301"/>
      <c r="AR140" s="2301"/>
      <c r="AS140" s="2302"/>
      <c r="AT140" s="3422" t="str">
        <f>IF(CE138=0,"",IF(BA140&lt;&gt;"",BA140,IF(MID(AG136,4,2)="C ","C-19mm",IF(MID(AG136,4,2)="PF","PF-D-16mm",IF(MID(AG136,4,2)="CD","CD-16mm",IF(MID(AG136,4,2)="G ","G-16mm","C-19mm"))))))</f>
        <v>C-19mm</v>
      </c>
      <c r="AU140" s="3423"/>
      <c r="AV140" s="3423"/>
      <c r="AW140" s="3423"/>
      <c r="AX140" s="3423"/>
      <c r="AY140" s="3424"/>
      <c r="AZ140" s="668" t="s">
        <v>103</v>
      </c>
      <c r="BA140" s="3362"/>
      <c r="BB140" s="3363"/>
      <c r="BC140" s="3363"/>
      <c r="BD140" s="3363"/>
      <c r="BE140" s="3363"/>
      <c r="BF140" s="3364"/>
      <c r="BG140" s="3348" t="s">
        <v>235</v>
      </c>
      <c r="BH140" s="3349"/>
      <c r="BI140" s="3349"/>
      <c r="BJ140" s="3349"/>
      <c r="BK140" s="3350"/>
      <c r="BL140" s="3385">
        <f>IF(CE138=0,"",IF(BQ140&lt;&gt;"",BQ140,SUM(CO134:CO135)))</f>
        <v>178</v>
      </c>
      <c r="BM140" s="3386"/>
      <c r="BN140" s="3386"/>
      <c r="BO140" s="3387"/>
      <c r="BP140" s="668" t="s">
        <v>103</v>
      </c>
      <c r="BQ140" s="3425"/>
      <c r="BR140" s="3426"/>
      <c r="BS140" s="3426"/>
      <c r="BT140" s="3427"/>
      <c r="BU140" s="19"/>
      <c r="CF140" s="106" t="s">
        <v>859</v>
      </c>
      <c r="CG140" s="184">
        <f>IF(CE138="=",CD136,0)</f>
        <v>0</v>
      </c>
      <c r="CH140" s="667" t="s">
        <v>858</v>
      </c>
      <c r="CI140" s="184">
        <f>F138+2*$AN$7/1000</f>
        <v>7</v>
      </c>
      <c r="CJ140" s="666" t="s">
        <v>857</v>
      </c>
      <c r="CK140" s="184">
        <f>IF(CG136=1,CG140,0)</f>
        <v>0</v>
      </c>
      <c r="CL140" s="666" t="s">
        <v>856</v>
      </c>
      <c r="CM140" s="184">
        <f>IF(CG136=1,F138,0)</f>
        <v>4</v>
      </c>
      <c r="CN140" s="665">
        <f>INT(AS137/2)</f>
        <v>4</v>
      </c>
      <c r="CO140" s="665">
        <f>IF(AU137="","",1+INT(AU137/2))</f>
        <v>2</v>
      </c>
      <c r="CP140" s="664" t="s">
        <v>939</v>
      </c>
      <c r="CQ140" s="3477" t="str">
        <f>IF(CS140="","","ソノライン・スピーカ 20W")</f>
        <v>ソノライン・スピーカ 20W</v>
      </c>
      <c r="CR140" s="3478"/>
      <c r="CS140" s="222">
        <f>IF(BE137="",0,BE137)</f>
        <v>0</v>
      </c>
      <c r="CT140" s="155"/>
      <c r="CU140" s="148"/>
      <c r="CV140" s="148"/>
      <c r="CY140" s="197">
        <f t="shared" si="99"/>
        <v>10</v>
      </c>
      <c r="CZ140" s="197" t="str">
        <f t="shared" si="97"/>
        <v/>
      </c>
      <c r="DB140" s="24"/>
      <c r="DD140" s="516"/>
      <c r="DE140" s="516"/>
      <c r="DH140" s="197">
        <f t="shared" si="100"/>
        <v>5</v>
      </c>
      <c r="DI140" s="197" t="str">
        <f t="shared" si="98"/>
        <v/>
      </c>
      <c r="DK140" s="24"/>
      <c r="DM140" s="516"/>
      <c r="DN140" s="516"/>
      <c r="DP140" s="8"/>
      <c r="DQ140" s="197">
        <f t="shared" ref="DQ140:DQ151" si="103">IF(DU140&lt;&gt;"",DQ139+1,DQ139)</f>
        <v>11</v>
      </c>
      <c r="DR140" s="197" t="str">
        <f t="shared" si="101"/>
        <v/>
      </c>
      <c r="DS140" s="10" t="str">
        <f>CQ97</f>
        <v>スピーカ 3W S3</v>
      </c>
      <c r="DT140" s="8"/>
      <c r="DU140" s="249" t="str">
        <f>IF(COUNTIF($DS$10:DS139,DS140)&gt;0,"",DS140)</f>
        <v/>
      </c>
      <c r="DV140" s="198">
        <f>CS97</f>
        <v>4</v>
      </c>
      <c r="DW140" s="514">
        <f t="shared" si="102"/>
        <v>5</v>
      </c>
    </row>
    <row r="141" spans="2:127" ht="11.25" customHeight="1">
      <c r="B141" s="23"/>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19"/>
      <c r="CP141" s="6"/>
      <c r="CQ141" s="2986" t="str">
        <f>IF(CS141="","","スピーカ 3W S1")</f>
        <v>スピーカ 3W S1</v>
      </c>
      <c r="CR141" s="3476"/>
      <c r="CS141" s="88">
        <f>IF(AS146=0,"",AS146)</f>
        <v>4</v>
      </c>
      <c r="CT141" s="9"/>
      <c r="CX141" s="88">
        <v>15</v>
      </c>
      <c r="CY141" s="204"/>
      <c r="CZ141" s="155"/>
      <c r="DA141" s="45"/>
      <c r="DB141" s="45"/>
      <c r="DC141" s="45" t="s">
        <v>109</v>
      </c>
      <c r="DD141" s="45"/>
      <c r="DE141" s="45" t="s">
        <v>108</v>
      </c>
      <c r="DG141" s="88">
        <v>15</v>
      </c>
      <c r="DH141" s="204"/>
      <c r="DI141" s="155"/>
      <c r="DJ141" s="45"/>
      <c r="DK141" s="45"/>
      <c r="DL141" s="45" t="s">
        <v>109</v>
      </c>
      <c r="DM141" s="45"/>
      <c r="DN141" s="45" t="s">
        <v>108</v>
      </c>
      <c r="DP141" s="8"/>
      <c r="DQ141" s="197">
        <f t="shared" si="103"/>
        <v>11</v>
      </c>
      <c r="DR141" s="197" t="str">
        <f t="shared" si="101"/>
        <v/>
      </c>
      <c r="DS141" s="10" t="str">
        <f>CQ98</f>
        <v/>
      </c>
      <c r="DT141" s="8"/>
      <c r="DU141" s="249" t="str">
        <f>IF(COUNTIF($DS$10:DS140,DS141)&gt;0,"",DS141)</f>
        <v/>
      </c>
      <c r="DV141" s="198" t="str">
        <f>CS98</f>
        <v/>
      </c>
      <c r="DW141" s="514">
        <f t="shared" si="102"/>
        <v>5</v>
      </c>
    </row>
    <row r="142" spans="2:127" ht="11.25" customHeight="1" thickBot="1">
      <c r="B142" s="23"/>
      <c r="C142" s="2299" t="s">
        <v>16</v>
      </c>
      <c r="D142" s="2299"/>
      <c r="E142" s="2299"/>
      <c r="F142" s="2299" t="s">
        <v>22</v>
      </c>
      <c r="G142" s="2299"/>
      <c r="H142" s="2299"/>
      <c r="I142" s="2299"/>
      <c r="J142" s="2299" t="s">
        <v>5</v>
      </c>
      <c r="K142" s="2299"/>
      <c r="L142" s="2299"/>
      <c r="M142" s="2299"/>
      <c r="N142" s="2299" t="s">
        <v>6</v>
      </c>
      <c r="O142" s="2299"/>
      <c r="P142" s="2299"/>
      <c r="Q142" s="2299"/>
      <c r="R142" s="2299"/>
      <c r="S142" s="2299" t="s">
        <v>938</v>
      </c>
      <c r="T142" s="2299"/>
      <c r="U142" s="2299"/>
      <c r="V142" s="2299"/>
      <c r="W142" s="2299"/>
      <c r="X142" s="2299"/>
      <c r="Y142" s="2299"/>
      <c r="Z142" s="2299"/>
      <c r="AA142" s="3382" t="s">
        <v>7</v>
      </c>
      <c r="AB142" s="3382"/>
      <c r="AC142" s="3382"/>
      <c r="AD142" s="3382"/>
      <c r="AE142" s="2630" t="str">
        <f>IF(S147="","",IF(AH142&lt;&gt;"",AH142,IF(RIGHT($D$10,2)="不要","不","要")))</f>
        <v/>
      </c>
      <c r="AF142" s="2630"/>
      <c r="AG142" s="668" t="s">
        <v>937</v>
      </c>
      <c r="AH142" s="2632"/>
      <c r="AI142" s="2633"/>
      <c r="AJ142" s="3371" t="s">
        <v>913</v>
      </c>
      <c r="AK142" s="3372"/>
      <c r="AL142" s="3372"/>
      <c r="AM142" s="3373"/>
      <c r="AN142" s="3383" t="str">
        <f>IF(W147="","",IF(AQ142&lt;&gt;"",AQ142,IF(RIGHT($D$10,2)="設置","要","不")))</f>
        <v>要</v>
      </c>
      <c r="AO142" s="3384"/>
      <c r="AP142" s="668" t="s">
        <v>937</v>
      </c>
      <c r="AQ142" s="2632"/>
      <c r="AR142" s="2633"/>
      <c r="AS142" s="3399" t="s">
        <v>912</v>
      </c>
      <c r="AT142" s="3412"/>
      <c r="AU142" s="3412"/>
      <c r="AV142" s="3412"/>
      <c r="AW142" s="3412"/>
      <c r="AX142" s="3412"/>
      <c r="AY142" s="3412"/>
      <c r="AZ142" s="3412"/>
      <c r="BA142" s="3412"/>
      <c r="BB142" s="3412"/>
      <c r="BC142" s="3412"/>
      <c r="BD142" s="3412"/>
      <c r="BE142" s="3412"/>
      <c r="BF142" s="3412"/>
      <c r="BG142" s="3412"/>
      <c r="BH142" s="3413"/>
      <c r="BI142" s="3399" t="s">
        <v>934</v>
      </c>
      <c r="BJ142" s="3412"/>
      <c r="BK142" s="3412"/>
      <c r="BL142" s="3413"/>
      <c r="BM142" s="3360" t="s">
        <v>936</v>
      </c>
      <c r="BN142" s="3419"/>
      <c r="BO142" s="3419"/>
      <c r="BP142" s="3419"/>
      <c r="BQ142" s="3419"/>
      <c r="BR142" s="3361"/>
      <c r="BS142" s="3441" t="s">
        <v>935</v>
      </c>
      <c r="BT142" s="3442"/>
      <c r="BU142" s="19"/>
      <c r="BW142" s="102"/>
      <c r="CF142" s="8"/>
      <c r="CG142" s="685" t="s">
        <v>909</v>
      </c>
      <c r="CH142" s="685" t="s">
        <v>908</v>
      </c>
      <c r="CI142" s="685" t="s">
        <v>934</v>
      </c>
      <c r="CJ142" s="686">
        <f>IF($AX$8=0,"",INT(10.7*CD144*CE144/($BF$8/1000)^2))</f>
        <v>10</v>
      </c>
      <c r="CK142" s="685" t="s">
        <v>933</v>
      </c>
      <c r="CL142" s="685" t="s">
        <v>932</v>
      </c>
      <c r="CM142" s="685" t="s">
        <v>931</v>
      </c>
      <c r="CN142" s="550" t="s">
        <v>734</v>
      </c>
      <c r="CO142" s="550" t="s">
        <v>732</v>
      </c>
      <c r="CP142" s="684"/>
      <c r="CQ142" s="2986" t="str">
        <f>IF(CS142="","","スピーカ 3W S3")</f>
        <v/>
      </c>
      <c r="CR142" s="3476"/>
      <c r="CS142" s="88" t="str">
        <f>IF(AY146=0,"",AY146)</f>
        <v/>
      </c>
      <c r="CT142" s="3483" t="str">
        <f>IF(CV142="","","マイクロホン")</f>
        <v/>
      </c>
      <c r="CU142" s="3484"/>
      <c r="CV142" s="88" t="str">
        <f>BG146</f>
        <v/>
      </c>
      <c r="CX142" s="8"/>
      <c r="CY142" s="197">
        <f>IF(DC142&lt;&gt;"",CY140+1,CY140)</f>
        <v>10</v>
      </c>
      <c r="CZ142" s="197" t="str">
        <f t="shared" ref="CZ142:CZ152" si="104">IF(AND(CY142&lt;&gt;"",DC142&lt;&gt;""),CY142,"")</f>
        <v/>
      </c>
      <c r="DA142" s="10" t="str">
        <f>H148</f>
        <v>HP 1.2mm- 10Pr</v>
      </c>
      <c r="DB142" s="8"/>
      <c r="DC142" s="249" t="str">
        <f>IF(COUNTIF(DA$10:$DA139,DA142)&gt;0,"",DA142)</f>
        <v/>
      </c>
      <c r="DD142" s="515">
        <f>AF148</f>
        <v>7</v>
      </c>
      <c r="DE142" s="514">
        <f t="shared" ref="DE142:DE152" si="105">SUMIF($DA$13:$DA$199,DC142,$DD$13:$DD$199)</f>
        <v>0</v>
      </c>
      <c r="DG142" s="8"/>
      <c r="DH142" s="197">
        <f>IF(DL142&lt;&gt;"",DH140+1,DH140)</f>
        <v>5</v>
      </c>
      <c r="DI142" s="197" t="str">
        <f t="shared" ref="DI142:DI152" si="106">IF(AND(DH142&lt;&gt;"",DL142&lt;&gt;""),DH142,"")</f>
        <v/>
      </c>
      <c r="DJ142" s="10" t="str">
        <f>AT148</f>
        <v>C-31mm</v>
      </c>
      <c r="DK142" s="8"/>
      <c r="DL142" s="249" t="str">
        <f>IF(COUNTIF($DA$10:DJ139,DJ142)&gt;0,"",DJ142)</f>
        <v/>
      </c>
      <c r="DM142" s="515">
        <f>BL148</f>
        <v>4</v>
      </c>
      <c r="DN142" s="514">
        <f>SUMIF($DJ$13:$DJ$199,DL142,$DM$13:$DM$199)</f>
        <v>0</v>
      </c>
      <c r="DP142" s="8"/>
      <c r="DQ142" s="197">
        <f t="shared" si="103"/>
        <v>11</v>
      </c>
      <c r="DR142" s="197" t="str">
        <f t="shared" si="101"/>
        <v/>
      </c>
      <c r="DS142" s="10" t="str">
        <f>CQ100</f>
        <v>スピーカ 6W S2</v>
      </c>
      <c r="DT142" s="8"/>
      <c r="DU142" s="249" t="str">
        <f>IF(COUNTIF($DS$10:DS141,DS142)&gt;0,"",DS142)</f>
        <v/>
      </c>
      <c r="DV142" s="198">
        <f>CS100</f>
        <v>1</v>
      </c>
      <c r="DW142" s="514">
        <f t="shared" si="102"/>
        <v>5</v>
      </c>
    </row>
    <row r="143" spans="2:127" ht="11.25" customHeight="1" thickBot="1">
      <c r="B143" s="23"/>
      <c r="C143" s="2299"/>
      <c r="D143" s="2299"/>
      <c r="E143" s="2299"/>
      <c r="F143" s="2396"/>
      <c r="G143" s="2396"/>
      <c r="H143" s="2396"/>
      <c r="I143" s="2396"/>
      <c r="J143" s="2396"/>
      <c r="K143" s="2396"/>
      <c r="L143" s="2396"/>
      <c r="M143" s="2396"/>
      <c r="N143" s="2396"/>
      <c r="O143" s="2396"/>
      <c r="P143" s="2396"/>
      <c r="Q143" s="2396"/>
      <c r="R143" s="2396"/>
      <c r="S143" s="2396" t="s">
        <v>7</v>
      </c>
      <c r="T143" s="2396"/>
      <c r="U143" s="2396"/>
      <c r="V143" s="2396"/>
      <c r="W143" s="2396" t="s">
        <v>8</v>
      </c>
      <c r="X143" s="2396"/>
      <c r="Y143" s="2396"/>
      <c r="Z143" s="2396"/>
      <c r="AA143" s="2384" t="s">
        <v>9</v>
      </c>
      <c r="AB143" s="2385"/>
      <c r="AC143" s="2386"/>
      <c r="AD143" s="2384" t="s">
        <v>9</v>
      </c>
      <c r="AE143" s="2385"/>
      <c r="AF143" s="2386"/>
      <c r="AG143" s="2384" t="str">
        <f>IF(AN143="","","専部屋面積")</f>
        <v/>
      </c>
      <c r="AH143" s="2385"/>
      <c r="AI143" s="2385"/>
      <c r="AJ143" s="2382"/>
      <c r="AK143" s="2382"/>
      <c r="AL143" s="2382"/>
      <c r="AM143" s="3392"/>
      <c r="AN143" s="3365" t="str">
        <f>IF(OR(S147="",$B$2=0),"",S147/AA147)</f>
        <v/>
      </c>
      <c r="AO143" s="3366"/>
      <c r="AP143" s="3366"/>
      <c r="AQ143" s="3366"/>
      <c r="AR143" s="3367"/>
      <c r="AS143" s="2300" t="s">
        <v>903</v>
      </c>
      <c r="AT143" s="2301"/>
      <c r="AU143" s="2301"/>
      <c r="AV143" s="2301"/>
      <c r="AW143" s="2301"/>
      <c r="AX143" s="2302"/>
      <c r="AY143" s="2300" t="s">
        <v>902</v>
      </c>
      <c r="AZ143" s="2301"/>
      <c r="BA143" s="2301"/>
      <c r="BB143" s="2302"/>
      <c r="BC143" s="2300" t="s">
        <v>902</v>
      </c>
      <c r="BD143" s="2301"/>
      <c r="BE143" s="2301"/>
      <c r="BF143" s="2302"/>
      <c r="BG143" s="2300" t="s">
        <v>743</v>
      </c>
      <c r="BH143" s="2302"/>
      <c r="BI143" s="2300" t="s">
        <v>901</v>
      </c>
      <c r="BJ143" s="2301"/>
      <c r="BK143" s="2301"/>
      <c r="BL143" s="2302"/>
      <c r="BM143" s="2299" t="s">
        <v>930</v>
      </c>
      <c r="BN143" s="2299"/>
      <c r="BO143" s="2299"/>
      <c r="BP143" s="2299" t="s">
        <v>929</v>
      </c>
      <c r="BQ143" s="2299"/>
      <c r="BR143" s="2299"/>
      <c r="BS143" s="3439" t="s">
        <v>928</v>
      </c>
      <c r="BT143" s="3440"/>
      <c r="BU143" s="19"/>
      <c r="BW143" s="679"/>
      <c r="BX143" s="90" t="s">
        <v>889</v>
      </c>
      <c r="BY143" s="100" t="s">
        <v>927</v>
      </c>
      <c r="CC143" s="180">
        <v>105</v>
      </c>
      <c r="CD143" s="55" t="s">
        <v>229</v>
      </c>
      <c r="CE143" s="55" t="s">
        <v>228</v>
      </c>
      <c r="CF143" s="106" t="s">
        <v>859</v>
      </c>
      <c r="CG143" s="184">
        <f>INT((CD145+10)*BY146+CS144*$AN$8/1000+($AN$7/1000)*BY146)</f>
        <v>25</v>
      </c>
      <c r="CH143" s="184">
        <f>INT(CD145*CS149+CS149)</f>
        <v>0</v>
      </c>
      <c r="CI143" s="184">
        <f>8*SUM(BI146:BL146)</f>
        <v>24</v>
      </c>
      <c r="CJ143" s="185">
        <f>IF($AX$8=0,"",2*INT(0.5*CJ142))</f>
        <v>10</v>
      </c>
      <c r="CK143" s="184"/>
      <c r="CL143" s="184" t="str">
        <f>IF(BP146="","",10*BP146)</f>
        <v/>
      </c>
      <c r="CM143" s="184" t="str">
        <f>IF(BP146="","",10*BP146)</f>
        <v/>
      </c>
      <c r="CN143" s="682">
        <f>IF(S147="",0,IF(AE142="不","",(SUM(CG143:CM143)+SUM(CG144:CM144))*S147/N147))</f>
        <v>0</v>
      </c>
      <c r="CO143" s="682">
        <f>IF(S147="",0,IF(AE142="不","",(SUM(CG146:CM146)+SUM(CG147:CM147))*S147/N147))</f>
        <v>0</v>
      </c>
      <c r="CP143" s="664" t="s">
        <v>1</v>
      </c>
      <c r="CQ143" s="2986" t="str">
        <f>IF(CS143="","","スピーカ S5")</f>
        <v/>
      </c>
      <c r="CR143" s="3476"/>
      <c r="CS143" s="683" t="str">
        <f>IF(AW146=0,"",AW146)</f>
        <v/>
      </c>
      <c r="CT143" s="3483" t="str">
        <f>IF(CV143="","","アッテネータ 3W")</f>
        <v>アッテネータ 3W</v>
      </c>
      <c r="CU143" s="3484"/>
      <c r="CV143" s="88">
        <f>BI146</f>
        <v>2</v>
      </c>
      <c r="CX143" s="8"/>
      <c r="CY143" s="197">
        <f t="shared" ref="CY143:CY152" si="107">IF(DC143&lt;&gt;"",CY142+1,CY142)</f>
        <v>10</v>
      </c>
      <c r="CZ143" s="197" t="str">
        <f t="shared" si="104"/>
        <v/>
      </c>
      <c r="DA143" s="10" t="str">
        <f>H149</f>
        <v>HP 1.2mm-3C</v>
      </c>
      <c r="DB143" s="8"/>
      <c r="DC143" s="249" t="str">
        <f>IF(COUNTIF(DA$10:$DA140,DA143)&gt;0,"",DA143)</f>
        <v/>
      </c>
      <c r="DD143" s="515">
        <f>AF149</f>
        <v>78</v>
      </c>
      <c r="DE143" s="514">
        <f t="shared" si="105"/>
        <v>0</v>
      </c>
      <c r="DG143" s="8"/>
      <c r="DH143" s="197">
        <f t="shared" ref="DH143:DH152" si="108">IF(DL143&lt;&gt;"",DH142+1,DH142)</f>
        <v>5</v>
      </c>
      <c r="DI143" s="197" t="str">
        <f t="shared" si="106"/>
        <v/>
      </c>
      <c r="DJ143" s="10" t="str">
        <f>AT149</f>
        <v>C-19mm</v>
      </c>
      <c r="DK143" s="8"/>
      <c r="DL143" s="249" t="str">
        <f>IF(COUNTIF($DA$10:DJ140,DJ143)&gt;0,"",DJ143)</f>
        <v/>
      </c>
      <c r="DM143" s="515">
        <f>BL149</f>
        <v>57</v>
      </c>
      <c r="DN143" s="514">
        <f>SUMIF($DJ$13:$DJ$199,DL143,$DM$13:$DM$199)</f>
        <v>0</v>
      </c>
      <c r="DP143" s="8"/>
      <c r="DQ143" s="197">
        <f t="shared" si="103"/>
        <v>11</v>
      </c>
      <c r="DR143" s="197" t="str">
        <f t="shared" si="101"/>
        <v/>
      </c>
      <c r="DS143" s="10" t="str">
        <f>CQ101</f>
        <v/>
      </c>
      <c r="DT143" s="8"/>
      <c r="DU143" s="249" t="str">
        <f>IF(COUNTIF($DS$10:DS142,DS143)&gt;0,"",DS143)</f>
        <v/>
      </c>
      <c r="DV143" s="198" t="str">
        <f>CS101</f>
        <v/>
      </c>
      <c r="DW143" s="514">
        <f t="shared" si="102"/>
        <v>5</v>
      </c>
    </row>
    <row r="144" spans="2:127" ht="11.25" customHeight="1" thickBot="1">
      <c r="B144" s="23"/>
      <c r="C144" s="2396"/>
      <c r="D144" s="2396"/>
      <c r="E144" s="2396"/>
      <c r="F144" s="2397" t="s">
        <v>235</v>
      </c>
      <c r="G144" s="2397"/>
      <c r="H144" s="2397"/>
      <c r="I144" s="2397"/>
      <c r="J144" s="2397" t="s">
        <v>235</v>
      </c>
      <c r="K144" s="2397"/>
      <c r="L144" s="2397"/>
      <c r="M144" s="2397"/>
      <c r="N144" s="2397" t="s">
        <v>128</v>
      </c>
      <c r="O144" s="2397"/>
      <c r="P144" s="2397"/>
      <c r="Q144" s="2397"/>
      <c r="R144" s="2397"/>
      <c r="S144" s="2397" t="s">
        <v>128</v>
      </c>
      <c r="T144" s="2397"/>
      <c r="U144" s="2397"/>
      <c r="V144" s="2397"/>
      <c r="W144" s="2397" t="s">
        <v>128</v>
      </c>
      <c r="X144" s="2397"/>
      <c r="Y144" s="2397"/>
      <c r="Z144" s="2397"/>
      <c r="AA144" s="2397" t="s">
        <v>111</v>
      </c>
      <c r="AB144" s="2397"/>
      <c r="AC144" s="2397"/>
      <c r="AD144" s="2397" t="s">
        <v>110</v>
      </c>
      <c r="AE144" s="2397"/>
      <c r="AF144" s="2397"/>
      <c r="AG144" s="3398" t="str">
        <f>IF(AN144="","","共部屋面積")</f>
        <v>共部屋面積</v>
      </c>
      <c r="AH144" s="2382"/>
      <c r="AI144" s="2382"/>
      <c r="AJ144" s="2382"/>
      <c r="AK144" s="2382"/>
      <c r="AL144" s="2382"/>
      <c r="AM144" s="3392"/>
      <c r="AN144" s="3368">
        <f>IF(OR($B$2=0,C147=""),"",W147/AD147)</f>
        <v>17.5</v>
      </c>
      <c r="AO144" s="3369"/>
      <c r="AP144" s="3369"/>
      <c r="AQ144" s="3369"/>
      <c r="AR144" s="3370"/>
      <c r="AS144" s="3419" t="s">
        <v>895</v>
      </c>
      <c r="AT144" s="3361"/>
      <c r="AU144" s="3360" t="s">
        <v>894</v>
      </c>
      <c r="AV144" s="3361"/>
      <c r="AW144" s="3360" t="s">
        <v>893</v>
      </c>
      <c r="AX144" s="3361"/>
      <c r="AY144" s="3360" t="s">
        <v>892</v>
      </c>
      <c r="AZ144" s="3361"/>
      <c r="BA144" s="3360" t="s">
        <v>891</v>
      </c>
      <c r="BB144" s="3361"/>
      <c r="BC144" s="3360" t="s">
        <v>890</v>
      </c>
      <c r="BD144" s="3361"/>
      <c r="BE144" s="3360" t="s">
        <v>889</v>
      </c>
      <c r="BF144" s="3361"/>
      <c r="BG144" s="3432" t="s">
        <v>888</v>
      </c>
      <c r="BH144" s="3433"/>
      <c r="BI144" s="3360"/>
      <c r="BJ144" s="3361"/>
      <c r="BK144" s="3360"/>
      <c r="BL144" s="3361"/>
      <c r="BM144" s="3391" t="s">
        <v>887</v>
      </c>
      <c r="BN144" s="3391"/>
      <c r="BO144" s="3391"/>
      <c r="BP144" s="3391" t="s">
        <v>887</v>
      </c>
      <c r="BQ144" s="3391"/>
      <c r="BR144" s="3391"/>
      <c r="BS144" s="3432" t="s">
        <v>744</v>
      </c>
      <c r="BT144" s="3433"/>
      <c r="BU144" s="19"/>
      <c r="BW144" s="102"/>
      <c r="BX144" s="88">
        <f>IF(OR(J145="( 10)",J145="(12)イ",LEFT(J145,4)="(13)"),1,0)</f>
        <v>0</v>
      </c>
      <c r="BY144" s="88" t="str">
        <f>IF(OR(J145="(1) ロ",J145="(2) ロ",J145="(2) ニ",J145="(5) イ",J145="(6) ハ",J145="(6) ニ",J145="( 7 )",J145="( 15)"),"要","")</f>
        <v>要</v>
      </c>
      <c r="CC144" s="46">
        <v>15</v>
      </c>
      <c r="CD144" s="98">
        <f>非誘!BW107</f>
        <v>5</v>
      </c>
      <c r="CE144" s="98">
        <f>非誘!BX107</f>
        <v>7</v>
      </c>
      <c r="CF144" s="106" t="s">
        <v>858</v>
      </c>
      <c r="CG144" s="185">
        <f>INT((F147-$Y$10/1000-0.25)*BY146)</f>
        <v>2</v>
      </c>
      <c r="CH144" s="184">
        <f>1+INT((F147-$Y$7/1000-0.25+$AN$8/1000)*CS149)</f>
        <v>1</v>
      </c>
      <c r="CI144" s="184">
        <f>INT((F147-$Y$8/1000-0.25+$AN$9/1000)*SUM(BI146:BL146))</f>
        <v>8</v>
      </c>
      <c r="CJ144" s="185">
        <f>IF($AX$8=0,"",2*INT(CJ142*($AX$8-250)/1000))</f>
        <v>8</v>
      </c>
      <c r="CK144" s="184"/>
      <c r="CL144" s="184" t="str">
        <f>IF(BP146="","",INT((F147-$Y$9/1000-0.25+AN138/1000)*BP146))</f>
        <v/>
      </c>
      <c r="CM144" s="184" t="str">
        <f>IF(BS146="","",INT((F147-$Y$9/1000-0.25+AN138/1000)*BS146))</f>
        <v/>
      </c>
      <c r="CN144" s="682">
        <f>IF(AN142="不","",(SUM(CG143:CM143)+SUM(CG144:CM144))*W147/N147)</f>
        <v>78</v>
      </c>
      <c r="CO144" s="682">
        <f>IF(AN142="不","",(SUM(CG146:CM146)+SUM(CG147:CM147))*W147/N147)</f>
        <v>57</v>
      </c>
      <c r="CP144" s="670" t="s">
        <v>877</v>
      </c>
      <c r="CQ144" s="15"/>
      <c r="CR144" s="106" t="s">
        <v>868</v>
      </c>
      <c r="CS144" s="8">
        <f>SUM(CS141:CS143)</f>
        <v>4</v>
      </c>
      <c r="CT144" s="3485" t="str">
        <f>IF(CV144="","","アッテネータ 6W")</f>
        <v>アッテネータ 6W</v>
      </c>
      <c r="CU144" s="3484"/>
      <c r="CV144" s="88">
        <f>BK146</f>
        <v>1</v>
      </c>
      <c r="CX144" s="8"/>
      <c r="CY144" s="197">
        <f t="shared" si="107"/>
        <v>10</v>
      </c>
      <c r="CZ144" s="197" t="str">
        <f t="shared" si="104"/>
        <v/>
      </c>
      <c r="DA144" s="10"/>
      <c r="DB144" s="8"/>
      <c r="DC144" s="249"/>
      <c r="DD144" s="515"/>
      <c r="DE144" s="514">
        <f t="shared" si="105"/>
        <v>0</v>
      </c>
      <c r="DG144" s="8"/>
      <c r="DH144" s="197">
        <f t="shared" si="108"/>
        <v>5</v>
      </c>
      <c r="DI144" s="197" t="str">
        <f t="shared" si="106"/>
        <v/>
      </c>
      <c r="DJ144" s="10"/>
      <c r="DK144" s="8"/>
      <c r="DL144" s="249"/>
      <c r="DM144" s="515"/>
      <c r="DN144" s="514"/>
      <c r="DQ144" s="197">
        <f t="shared" si="103"/>
        <v>11</v>
      </c>
      <c r="DR144" s="197" t="str">
        <f t="shared" si="101"/>
        <v/>
      </c>
      <c r="DS144" s="10" t="str">
        <f>CQ103</f>
        <v/>
      </c>
      <c r="DT144" s="24"/>
      <c r="DU144" s="249" t="str">
        <f>IF(COUNTIF($DS$10:DS143,DS144)&gt;0,"",DS144)</f>
        <v/>
      </c>
      <c r="DV144" s="198" t="str">
        <f>CS103</f>
        <v/>
      </c>
      <c r="DW144" s="514">
        <f t="shared" si="102"/>
        <v>5</v>
      </c>
    </row>
    <row r="145" spans="2:127" ht="11.25" customHeight="1" thickBot="1">
      <c r="B145" s="23"/>
      <c r="C145" s="2299" t="s">
        <v>112</v>
      </c>
      <c r="D145" s="2299"/>
      <c r="E145" s="2299"/>
      <c r="F145" s="2299"/>
      <c r="G145" s="2299"/>
      <c r="H145" s="2299"/>
      <c r="I145" s="3399"/>
      <c r="J145" s="3400" t="str">
        <f>非誘!J105</f>
        <v>( 15)</v>
      </c>
      <c r="K145" s="3401"/>
      <c r="L145" s="3401"/>
      <c r="M145" s="3402"/>
      <c r="N145" s="3403" t="str">
        <f>非誘!M105</f>
        <v>前各項以外</v>
      </c>
      <c r="O145" s="3404"/>
      <c r="P145" s="3404"/>
      <c r="Q145" s="3404"/>
      <c r="R145" s="3404"/>
      <c r="S145" s="3404"/>
      <c r="T145" s="3404"/>
      <c r="U145" s="3404"/>
      <c r="V145" s="3404"/>
      <c r="W145" s="3404"/>
      <c r="X145" s="3404"/>
      <c r="Y145" s="3404"/>
      <c r="Z145" s="3405"/>
      <c r="AA145" s="3406" t="s">
        <v>926</v>
      </c>
      <c r="AB145" s="2301"/>
      <c r="AC145" s="2301"/>
      <c r="AD145" s="2301"/>
      <c r="AE145" s="2301"/>
      <c r="AF145" s="2302"/>
      <c r="AG145" s="3393" t="str">
        <f>IF($B$2=0,"",IF(AN145="","天井(C 管)",AN145))</f>
        <v>天井(C 管)</v>
      </c>
      <c r="AH145" s="2368"/>
      <c r="AI145" s="2368"/>
      <c r="AJ145" s="2368"/>
      <c r="AK145" s="2368"/>
      <c r="AL145" s="3394"/>
      <c r="AM145" s="668" t="s">
        <v>925</v>
      </c>
      <c r="AN145" s="3395"/>
      <c r="AO145" s="3396"/>
      <c r="AP145" s="3396"/>
      <c r="AQ145" s="3396"/>
      <c r="AR145" s="3397"/>
      <c r="AS145" s="3434" t="s">
        <v>881</v>
      </c>
      <c r="AT145" s="3435"/>
      <c r="AU145" s="3436" t="s">
        <v>880</v>
      </c>
      <c r="AV145" s="3437"/>
      <c r="AW145" s="3432"/>
      <c r="AX145" s="3433"/>
      <c r="AY145" s="3432" t="s">
        <v>881</v>
      </c>
      <c r="AZ145" s="3433"/>
      <c r="BA145" s="3436" t="s">
        <v>884</v>
      </c>
      <c r="BB145" s="3437"/>
      <c r="BC145" s="3436" t="s">
        <v>883</v>
      </c>
      <c r="BD145" s="3438"/>
      <c r="BE145" s="3438"/>
      <c r="BF145" s="3437"/>
      <c r="BG145" s="3420" t="s">
        <v>882</v>
      </c>
      <c r="BH145" s="3421"/>
      <c r="BI145" s="3436" t="s">
        <v>881</v>
      </c>
      <c r="BJ145" s="3437"/>
      <c r="BK145" s="3436" t="s">
        <v>880</v>
      </c>
      <c r="BL145" s="3437"/>
      <c r="BM145" s="3407" t="str">
        <f>IF(BM146="","",$BW$12)</f>
        <v/>
      </c>
      <c r="BN145" s="3407"/>
      <c r="BO145" s="3407"/>
      <c r="BP145" s="3407" t="str">
        <f>IF(BP146="","",30)</f>
        <v/>
      </c>
      <c r="BQ145" s="3407"/>
      <c r="BR145" s="3407"/>
      <c r="BS145" s="2384" t="s">
        <v>879</v>
      </c>
      <c r="BT145" s="2386"/>
      <c r="BU145" s="19"/>
      <c r="BW145" s="102"/>
      <c r="CB145" s="90" t="s">
        <v>966</v>
      </c>
      <c r="CC145" s="479" t="str">
        <f>AD146</f>
        <v>⑦</v>
      </c>
      <c r="CD145" s="263">
        <f>IF(C147="","",IF(CC145="①",CD144+CE144+3,IF(CC145="②",CD144*5/8+CE144+3,IF(CC145="③",CD144/2+CE144+3,IF(CC145="④",CD144+CE144*5/8+3,IF(CC145="⑤",(CD144+CE144)*5/8+3,IF(CC145="⑥",CD144/2+CE144*5/8+3,IF(CC145="⑦",CD144+CE144/2+3,IF(CC145="⑧",CD144*5/8+CE144/2+3,IF(CC145="⑨",(CD144+CE144)/2+3))))))))))</f>
        <v>11.5</v>
      </c>
      <c r="CE145" s="8"/>
      <c r="CF145" s="106"/>
      <c r="CG145" s="681">
        <f>IF(AG145="天井ケーブル",0,1)</f>
        <v>1</v>
      </c>
      <c r="CH145" s="394"/>
      <c r="CI145" s="394"/>
      <c r="CJ145" s="59"/>
      <c r="CK145" s="394"/>
      <c r="CL145" s="394"/>
      <c r="CM145" s="394"/>
      <c r="CN145" s="62" t="s">
        <v>1</v>
      </c>
      <c r="CO145" s="62" t="s">
        <v>877</v>
      </c>
      <c r="CP145" s="38"/>
      <c r="CQ145" s="2986" t="str">
        <f>IF(CS145="","","スピーカ 6W S2")</f>
        <v/>
      </c>
      <c r="CR145" s="3476"/>
      <c r="CS145" s="88" t="str">
        <f>IF(AU146=0,"",AU146)</f>
        <v/>
      </c>
      <c r="CT145" s="3483" t="str">
        <f>IF(CV145="","","主増幅器")</f>
        <v/>
      </c>
      <c r="CU145" s="3484"/>
      <c r="CV145" s="88" t="str">
        <f>BM146</f>
        <v/>
      </c>
      <c r="CX145" s="8"/>
      <c r="CY145" s="197">
        <f t="shared" si="107"/>
        <v>10</v>
      </c>
      <c r="CZ145" s="197" t="str">
        <f t="shared" si="104"/>
        <v/>
      </c>
      <c r="DA145" s="10"/>
      <c r="DB145" s="8"/>
      <c r="DC145" s="249"/>
      <c r="DD145" s="515"/>
      <c r="DE145" s="514">
        <f t="shared" si="105"/>
        <v>0</v>
      </c>
      <c r="DG145" s="8"/>
      <c r="DH145" s="197">
        <f t="shared" si="108"/>
        <v>5</v>
      </c>
      <c r="DI145" s="197" t="str">
        <f t="shared" si="106"/>
        <v/>
      </c>
      <c r="DJ145" s="10"/>
      <c r="DK145" s="8"/>
      <c r="DL145" s="249"/>
      <c r="DM145" s="515"/>
      <c r="DN145" s="514"/>
      <c r="DQ145" s="197">
        <f t="shared" si="103"/>
        <v>11</v>
      </c>
      <c r="DR145" s="197" t="str">
        <f t="shared" si="101"/>
        <v/>
      </c>
      <c r="DS145" s="201" t="str">
        <f>CQ104</f>
        <v>ソノライン・スピーカ 20W</v>
      </c>
      <c r="DT145" s="24"/>
      <c r="DU145" s="249" t="str">
        <f>IF(COUNTIF($DS$10:DS144,DS145)&gt;0,"",DS145)</f>
        <v/>
      </c>
      <c r="DV145" s="198">
        <f>CS104</f>
        <v>0</v>
      </c>
      <c r="DW145" s="514">
        <f t="shared" si="102"/>
        <v>5</v>
      </c>
    </row>
    <row r="146" spans="2:127" ht="11.25" customHeight="1" thickBot="1">
      <c r="B146" s="23"/>
      <c r="C146" s="3409" t="s">
        <v>965</v>
      </c>
      <c r="D146" s="3410"/>
      <c r="E146" s="3410"/>
      <c r="F146" s="3410"/>
      <c r="G146" s="3410"/>
      <c r="H146" s="3411"/>
      <c r="I146" s="3430" t="str">
        <f>非誘!AA105</f>
        <v>A</v>
      </c>
      <c r="J146" s="3430"/>
      <c r="K146" s="3430"/>
      <c r="L146" s="2395" t="s">
        <v>214</v>
      </c>
      <c r="M146" s="2395"/>
      <c r="N146" s="2395"/>
      <c r="O146" s="2395"/>
      <c r="P146" s="2395"/>
      <c r="Q146" s="2395"/>
      <c r="R146" s="2395"/>
      <c r="S146" s="3379">
        <f>非誘!J106</f>
        <v>0.7142857142857143</v>
      </c>
      <c r="T146" s="3380"/>
      <c r="U146" s="3380"/>
      <c r="V146" s="3381"/>
      <c r="W146" s="3399" t="s">
        <v>875</v>
      </c>
      <c r="X146" s="3412"/>
      <c r="Y146" s="3412"/>
      <c r="Z146" s="3412"/>
      <c r="AA146" s="2654"/>
      <c r="AB146" s="2654"/>
      <c r="AC146" s="2655"/>
      <c r="AD146" s="3388" t="str">
        <f>非誘!V106</f>
        <v>⑦</v>
      </c>
      <c r="AE146" s="3389"/>
      <c r="AF146" s="3390"/>
      <c r="AG146" s="3391" t="s">
        <v>874</v>
      </c>
      <c r="AH146" s="3391"/>
      <c r="AI146" s="3391"/>
      <c r="AJ146" s="3391"/>
      <c r="AK146" s="3391"/>
      <c r="AL146" s="2990" t="str">
        <f>IF(AP146&lt;&gt;"",AP146,IF(C147=$BG$10,C147,""))</f>
        <v/>
      </c>
      <c r="AM146" s="2990"/>
      <c r="AN146" s="2990"/>
      <c r="AO146" s="668" t="s">
        <v>2</v>
      </c>
      <c r="AP146" s="3325"/>
      <c r="AQ146" s="3326"/>
      <c r="AR146" s="3327"/>
      <c r="AS146" s="3418">
        <f>IF(CE147=0,"",IF(AS147&lt;&gt;"",AS147,IF(BE146&lt;&gt;"",CN148,SUM(CN146:CO146))))</f>
        <v>4</v>
      </c>
      <c r="AT146" s="3375"/>
      <c r="AU146" s="3418">
        <f>IF(CE147=0,"",IF(AU147&lt;&gt;"",AU147,CN147))</f>
        <v>0</v>
      </c>
      <c r="AV146" s="3375"/>
      <c r="AW146" s="3418"/>
      <c r="AX146" s="3375"/>
      <c r="AY146" s="3418" t="str">
        <f>IF(AA147="","",IF(AY147&lt;&gt;"",AY147,CO147))</f>
        <v/>
      </c>
      <c r="AZ146" s="3375"/>
      <c r="BA146" s="3418"/>
      <c r="BB146" s="3375"/>
      <c r="BC146" s="3418" t="str">
        <f>IF(OR(AL147="不",,BP146=""),"",IF(BC147&lt;&gt;"",BC147,BP146*2))</f>
        <v/>
      </c>
      <c r="BD146" s="3375"/>
      <c r="BE146" s="3418" t="str">
        <f>IF(BE147&lt;&gt;"",BE147,IF(BX144=0,"",CN148))</f>
        <v/>
      </c>
      <c r="BF146" s="3375"/>
      <c r="BG146" s="3418" t="str">
        <f>IF(AE142="不","",IF(BG147&lt;&gt;"",BG147,BP146))</f>
        <v/>
      </c>
      <c r="BH146" s="3375"/>
      <c r="BI146" s="3418">
        <f>IF(CE147=0,"",CN149)</f>
        <v>2</v>
      </c>
      <c r="BJ146" s="3375"/>
      <c r="BK146" s="3374">
        <f>IF(CE147=0,"",CO149)</f>
        <v>1</v>
      </c>
      <c r="BL146" s="3375"/>
      <c r="BM146" s="3376" t="str">
        <f>IF(CE147=0,"",IF(BM147&lt;&gt;"",BM147,IF(C147=AL146,1,"")))</f>
        <v/>
      </c>
      <c r="BN146" s="3377"/>
      <c r="BO146" s="3378"/>
      <c r="BP146" s="3376" t="str">
        <f>IF(CE147=0,"",IF(OR(AE142="不",AA147="",S147=""),"",IF(BP147&lt;&gt;"",BP147,IF(AL147="要",1+INT(S147/1000),""))))</f>
        <v/>
      </c>
      <c r="BQ146" s="3377"/>
      <c r="BR146" s="3378"/>
      <c r="BS146" s="3376" t="str">
        <f>IF(BS147&lt;&gt;"",BS147,BP146)</f>
        <v/>
      </c>
      <c r="BT146" s="3378"/>
      <c r="BU146" s="19"/>
      <c r="BW146" s="680">
        <f>IF(AND(CS147=0,CS148=""),CS144*3,CS144*3+CS147*6)</f>
        <v>12</v>
      </c>
      <c r="BX146" s="102">
        <f>BY147</f>
        <v>2</v>
      </c>
      <c r="BY146" s="522">
        <f>1+INT(SUM(S147:Z147)/400)</f>
        <v>1</v>
      </c>
      <c r="BZ146" s="100" t="s">
        <v>873</v>
      </c>
      <c r="CB146" s="678">
        <f>IF(CE147="=",MID(BZ147,10,3),10*(1+INT(BY146*3/10)))</f>
        <v>10</v>
      </c>
      <c r="CC146" s="10" t="s">
        <v>964</v>
      </c>
      <c r="CF146" s="106" t="s">
        <v>857</v>
      </c>
      <c r="CG146" s="136">
        <f>IF(CG145=1,INT(CD145*BY146)+BY146*10,"")</f>
        <v>21</v>
      </c>
      <c r="CH146" s="136">
        <f>IF(CG145=1,INT(CD145*CS149),"")</f>
        <v>0</v>
      </c>
      <c r="CI146" s="136">
        <f>8*SUM(BI146:BL146)</f>
        <v>24</v>
      </c>
      <c r="CJ146" s="134" t="str">
        <f>IF($AX$8=0,INT(10.7*CD144*CE144/($BF$8/1000)^2)*1.5,"")</f>
        <v/>
      </c>
      <c r="CK146" s="136">
        <v>0</v>
      </c>
      <c r="CL146" s="136" t="str">
        <f>IF(BP146="","",10*BP146)</f>
        <v/>
      </c>
      <c r="CM146" s="136" t="str">
        <f>IF(BS146="","",10*BS146)</f>
        <v/>
      </c>
      <c r="CN146" s="665">
        <f>IF(AA147="",0,IF(AE142="不","",INT(AA147/2)))</f>
        <v>0</v>
      </c>
      <c r="CO146" s="665">
        <f>IF(AN142="不","",INT(AD147/2))</f>
        <v>4</v>
      </c>
      <c r="CP146" s="670" t="s">
        <v>963</v>
      </c>
      <c r="CQ146" s="2986" t="str">
        <f>IF(CS146="","","スピーカ 5W S4")</f>
        <v/>
      </c>
      <c r="CR146" s="3476"/>
      <c r="CS146" s="88" t="str">
        <f>IF(BA146=0,"",BA146)</f>
        <v/>
      </c>
      <c r="CT146" s="3483" t="str">
        <f>IF(CV146="","","副増幅器 30W")</f>
        <v/>
      </c>
      <c r="CU146" s="3484"/>
      <c r="CV146" s="88" t="str">
        <f>BP146</f>
        <v/>
      </c>
      <c r="CX146" s="8"/>
      <c r="CY146" s="197">
        <f t="shared" si="107"/>
        <v>10</v>
      </c>
      <c r="CZ146" s="197" t="str">
        <f t="shared" si="104"/>
        <v/>
      </c>
      <c r="DA146" s="10"/>
      <c r="DB146" s="8"/>
      <c r="DC146" s="249"/>
      <c r="DD146" s="515"/>
      <c r="DE146" s="514">
        <f t="shared" si="105"/>
        <v>0</v>
      </c>
      <c r="DG146" s="8"/>
      <c r="DH146" s="197">
        <f t="shared" si="108"/>
        <v>5</v>
      </c>
      <c r="DI146" s="197" t="str">
        <f t="shared" si="106"/>
        <v/>
      </c>
      <c r="DJ146" s="10"/>
      <c r="DK146" s="8"/>
      <c r="DL146" s="249"/>
      <c r="DM146" s="515"/>
      <c r="DN146" s="514"/>
      <c r="DQ146" s="197">
        <f t="shared" si="103"/>
        <v>11</v>
      </c>
      <c r="DR146" s="197" t="str">
        <f t="shared" si="101"/>
        <v/>
      </c>
      <c r="DS146" s="10" t="str">
        <f t="shared" ref="DS146:DS151" si="109">CT97</f>
        <v/>
      </c>
      <c r="DT146" s="24"/>
      <c r="DU146" s="249" t="str">
        <f>IF(COUNTIF($DS$10:DS145,DS146)&gt;0,"",DS146)</f>
        <v/>
      </c>
      <c r="DV146" s="198" t="str">
        <f t="shared" ref="DV146:DV151" si="110">CV97</f>
        <v/>
      </c>
      <c r="DW146" s="514">
        <f t="shared" si="102"/>
        <v>5</v>
      </c>
    </row>
    <row r="147" spans="2:127" ht="11.25" customHeight="1" thickBot="1">
      <c r="B147" s="23"/>
      <c r="C147" s="3429" t="str">
        <f>IF($B$2=0,"",非誘!C107)</f>
        <v>PH1F</v>
      </c>
      <c r="D147" s="3407"/>
      <c r="E147" s="3407"/>
      <c r="F147" s="3430">
        <f>IF($B$2=0,"",非誘!F107)</f>
        <v>4</v>
      </c>
      <c r="G147" s="3430"/>
      <c r="H147" s="3430"/>
      <c r="I147" s="3430"/>
      <c r="J147" s="3430" t="str">
        <f>IF($B$2=0,"",非誘!J107)</f>
        <v>直天</v>
      </c>
      <c r="K147" s="3430"/>
      <c r="L147" s="3430"/>
      <c r="M147" s="3430"/>
      <c r="N147" s="3407">
        <f>IF($B$2=0,"",非誘!N107)</f>
        <v>140</v>
      </c>
      <c r="O147" s="3407"/>
      <c r="P147" s="3407"/>
      <c r="Q147" s="3407"/>
      <c r="R147" s="3407"/>
      <c r="S147" s="3431" t="str">
        <f>IF($B$2=0,"",非誘!S107)</f>
        <v/>
      </c>
      <c r="T147" s="3431"/>
      <c r="U147" s="3431"/>
      <c r="V147" s="3431"/>
      <c r="W147" s="3431">
        <f>IF($B$2=0,"",非誘!W107)</f>
        <v>140</v>
      </c>
      <c r="X147" s="3431"/>
      <c r="Y147" s="3431"/>
      <c r="Z147" s="3431"/>
      <c r="AA147" s="3407" t="str">
        <f>IF($B$2=0,"",非誘!AA107)</f>
        <v/>
      </c>
      <c r="AB147" s="3407"/>
      <c r="AC147" s="3407"/>
      <c r="AD147" s="3407">
        <f>IF($B$2=0,"",非誘!AD107)</f>
        <v>8</v>
      </c>
      <c r="AE147" s="3407"/>
      <c r="AF147" s="3407"/>
      <c r="AG147" s="3391" t="s">
        <v>870</v>
      </c>
      <c r="AH147" s="3391"/>
      <c r="AI147" s="3391"/>
      <c r="AJ147" s="3391"/>
      <c r="AK147" s="3391"/>
      <c r="AL147" s="2990" t="str">
        <f>IF(AP147&lt;&gt;"",AP147,IF($BY$18="要","要",""))</f>
        <v/>
      </c>
      <c r="AM147" s="2990"/>
      <c r="AN147" s="2990"/>
      <c r="AO147" s="668" t="s">
        <v>2</v>
      </c>
      <c r="AP147" s="3408"/>
      <c r="AQ147" s="3408"/>
      <c r="AR147" s="3408"/>
      <c r="AS147" s="2551"/>
      <c r="AT147" s="3414"/>
      <c r="AU147" s="2551"/>
      <c r="AV147" s="3414"/>
      <c r="AW147" s="2551"/>
      <c r="AX147" s="3414"/>
      <c r="AY147" s="2551"/>
      <c r="AZ147" s="3414"/>
      <c r="BA147" s="2551"/>
      <c r="BB147" s="3414"/>
      <c r="BC147" s="2551"/>
      <c r="BD147" s="3414"/>
      <c r="BE147" s="2551"/>
      <c r="BF147" s="3414"/>
      <c r="BG147" s="2551"/>
      <c r="BH147" s="3414"/>
      <c r="BI147" s="2551"/>
      <c r="BJ147" s="3414"/>
      <c r="BK147" s="2551"/>
      <c r="BL147" s="3414"/>
      <c r="BM147" s="2551"/>
      <c r="BN147" s="3428"/>
      <c r="BO147" s="3414"/>
      <c r="BP147" s="2551"/>
      <c r="BQ147" s="3428"/>
      <c r="BR147" s="3414"/>
      <c r="BS147" s="2551"/>
      <c r="BT147" s="3414"/>
      <c r="BU147" s="19"/>
      <c r="BY147" s="677">
        <f>IF(CE147=0,0,IF(CE147="=",BY146+BY138+BY159,IF(CE147="-",BY146+BY138,BY146+BY159)))</f>
        <v>2</v>
      </c>
      <c r="BZ147" s="3443" t="str">
        <f>IF(CE147=0,"",IF(BY147*3&lt;=20,"HP 1.2mm- 10Pr",IF(BY147*3&lt;=30,"HP 1.2mm- 15Pr",IF(BY147*3&lt;=40,"HP 1.2mm- 20Pr",IF(BY147*3&lt;=50,"HP 1.2mm- 25Pr",IF(BY147*3&lt;=60,"HP 1.2mm- 30Pr",IF(BY147*3&lt;=80,"HP 1.2mm- 40Pr",IF(BY147*3&lt;=100,"HP 1.2mm- 50Pr",IF(BY147*3&lt;=150,"HP 1.2mm- 75Pr", IF(BY147*3&lt;=200,"HP 1.2mm-100Pr",IF(BY147*3&lt;=400,"HP 1.2mm-200Pr","")))))))))))</f>
        <v>HP 1.2mm- 10Pr</v>
      </c>
      <c r="CA147" s="3444"/>
      <c r="CB147" s="3444"/>
      <c r="CC147" s="3445"/>
      <c r="CD147" s="673" t="str">
        <f>IF(LEFT($BG$10,2)=" B",-MID($BG$10,3,1),LEFT($BG$10,3))</f>
        <v xml:space="preserve">  1</v>
      </c>
      <c r="CE147" s="676" t="str">
        <f>IF(CD148=0,0,IF(CD147=CD148,"=",IF(CD147&gt;CD148,"-","+")))</f>
        <v>+</v>
      </c>
      <c r="CF147" s="106" t="s">
        <v>856</v>
      </c>
      <c r="CG147" s="136">
        <f>2*INT((F147-$Y$10/1000-0.25))</f>
        <v>4</v>
      </c>
      <c r="CH147" s="136">
        <f>1+INT((F147-$Y$7/1000-0.25)*CS149)</f>
        <v>1</v>
      </c>
      <c r="CI147" s="136">
        <f>INT((F147-$Y$8/1000-0.25)*SUM(BI146:BL146))</f>
        <v>7</v>
      </c>
      <c r="CJ147" s="675"/>
      <c r="CK147" s="136">
        <v>0</v>
      </c>
      <c r="CL147" s="136" t="str">
        <f>IF(BP146="","",INT((F147-$Y$9/1000-0.25)*BP146))</f>
        <v/>
      </c>
      <c r="CM147" s="136" t="str">
        <f>IF(BS146="","",INT((F147-$Y$9/1000-0.25)*BS146))</f>
        <v/>
      </c>
      <c r="CN147" s="665">
        <f>IF(AA147="",0,IF(AE142="不","",INT(AA147/2)))</f>
        <v>0</v>
      </c>
      <c r="CO147" s="665">
        <f>IF(AN142="不","",INT(AD147/2))</f>
        <v>4</v>
      </c>
      <c r="CP147" s="670" t="s">
        <v>869</v>
      </c>
      <c r="CQ147" s="15"/>
      <c r="CR147" s="106" t="s">
        <v>868</v>
      </c>
      <c r="CS147" s="8">
        <f>SUM(CS145:CS146)</f>
        <v>0</v>
      </c>
      <c r="CT147" s="3483" t="str">
        <f>IF(CV147="","","カットリレー")</f>
        <v/>
      </c>
      <c r="CU147" s="3484"/>
      <c r="CV147" s="88" t="str">
        <f>BS146</f>
        <v/>
      </c>
      <c r="CY147" s="197">
        <f t="shared" si="107"/>
        <v>10</v>
      </c>
      <c r="CZ147" s="197" t="str">
        <f t="shared" si="104"/>
        <v/>
      </c>
      <c r="DB147" s="24"/>
      <c r="DD147" s="516"/>
      <c r="DE147" s="514">
        <f t="shared" si="105"/>
        <v>0</v>
      </c>
      <c r="DH147" s="197">
        <f t="shared" si="108"/>
        <v>5</v>
      </c>
      <c r="DI147" s="197" t="str">
        <f t="shared" si="106"/>
        <v/>
      </c>
      <c r="DK147" s="24"/>
      <c r="DM147" s="516"/>
      <c r="DN147" s="516"/>
      <c r="DQ147" s="197">
        <f t="shared" si="103"/>
        <v>11</v>
      </c>
      <c r="DR147" s="197" t="str">
        <f t="shared" si="101"/>
        <v/>
      </c>
      <c r="DS147" s="10" t="str">
        <f t="shared" si="109"/>
        <v>アッテネータ 3W</v>
      </c>
      <c r="DT147" s="24"/>
      <c r="DU147" s="249" t="str">
        <f>IF(COUNTIF($DS$10:DS146,DS147)&gt;0,"",DS147)</f>
        <v/>
      </c>
      <c r="DV147" s="198">
        <f t="shared" si="110"/>
        <v>2</v>
      </c>
      <c r="DW147" s="514">
        <f t="shared" si="102"/>
        <v>5</v>
      </c>
    </row>
    <row r="148" spans="2:127" ht="11.25" customHeight="1" thickBot="1">
      <c r="B148" s="23"/>
      <c r="C148" s="2300" t="s">
        <v>867</v>
      </c>
      <c r="D148" s="2301"/>
      <c r="E148" s="2301"/>
      <c r="F148" s="2301"/>
      <c r="G148" s="2302"/>
      <c r="H148" s="3422" t="str">
        <f>IF(CE147=0,"",IF(R148&lt;&gt;"",R148,BZ147))</f>
        <v>HP 1.2mm- 10Pr</v>
      </c>
      <c r="I148" s="3423"/>
      <c r="J148" s="3423"/>
      <c r="K148" s="3423"/>
      <c r="L148" s="3423"/>
      <c r="M148" s="3423"/>
      <c r="N148" s="3423"/>
      <c r="O148" s="3423"/>
      <c r="P148" s="3424"/>
      <c r="Q148" s="668" t="s">
        <v>2</v>
      </c>
      <c r="R148" s="3362"/>
      <c r="S148" s="3363"/>
      <c r="T148" s="3363"/>
      <c r="U148" s="3363"/>
      <c r="V148" s="3363"/>
      <c r="W148" s="3363"/>
      <c r="X148" s="3363"/>
      <c r="Y148" s="3363"/>
      <c r="Z148" s="3364"/>
      <c r="AA148" s="3345" t="s">
        <v>866</v>
      </c>
      <c r="AB148" s="3346"/>
      <c r="AC148" s="3346"/>
      <c r="AD148" s="3346"/>
      <c r="AE148" s="3347"/>
      <c r="AF148" s="3385">
        <f>IF(CE147=0,"",IF(AK148&lt;&gt;"",AK148,CG149+CI149))</f>
        <v>7</v>
      </c>
      <c r="AG148" s="3386"/>
      <c r="AH148" s="3386"/>
      <c r="AI148" s="3387"/>
      <c r="AJ148" s="669" t="s">
        <v>2</v>
      </c>
      <c r="AK148" s="3415"/>
      <c r="AL148" s="3416"/>
      <c r="AM148" s="3416"/>
      <c r="AN148" s="3417"/>
      <c r="AO148" s="2300" t="s">
        <v>865</v>
      </c>
      <c r="AP148" s="2301"/>
      <c r="AQ148" s="2301"/>
      <c r="AR148" s="2301"/>
      <c r="AS148" s="2302"/>
      <c r="AT148" s="3422" t="str">
        <f>IF(CE147=0,"",IF(BA148&lt;&gt;"",BA148,IF(MID(AG145,4,2)="C ","C-"&amp;CA148&amp;"mm",IF(MID(AG145,4,2)="PF","PF-D-"&amp;CB148&amp;"mm",IF(MID(AG145,4,2)="CD","CD-"&amp;CB148&amp;"mm",IF(MID(AG145,4,2)="G ","G-"&amp;CB148&amp;"mm",""))))))</f>
        <v>C-31mm</v>
      </c>
      <c r="AU148" s="3423"/>
      <c r="AV148" s="3423"/>
      <c r="AW148" s="3423"/>
      <c r="AX148" s="3423"/>
      <c r="AY148" s="3424"/>
      <c r="AZ148" s="668" t="s">
        <v>2</v>
      </c>
      <c r="BA148" s="3362"/>
      <c r="BB148" s="3363"/>
      <c r="BC148" s="3363"/>
      <c r="BD148" s="3363"/>
      <c r="BE148" s="3363"/>
      <c r="BF148" s="3364"/>
      <c r="BG148" s="3345" t="s">
        <v>864</v>
      </c>
      <c r="BH148" s="3346"/>
      <c r="BI148" s="3346"/>
      <c r="BJ148" s="3346"/>
      <c r="BK148" s="3347"/>
      <c r="BL148" s="3385">
        <f>IF(CE147=0,"",IF(CM149=0,"",IF(BQ148&lt;&gt;"",BQ148,CK149+CM149)))</f>
        <v>4</v>
      </c>
      <c r="BM148" s="3386"/>
      <c r="BN148" s="3386"/>
      <c r="BO148" s="3387"/>
      <c r="BP148" s="668" t="s">
        <v>2</v>
      </c>
      <c r="BQ148" s="3415"/>
      <c r="BR148" s="3416"/>
      <c r="BS148" s="3416"/>
      <c r="BT148" s="3417"/>
      <c r="BU148" s="19"/>
      <c r="BZ148" s="107" t="str">
        <f>IF(LEN(BZ147)=13,MID(BZ147,10,2),MID(BZ147,10,3))</f>
        <v xml:space="preserve"> 10</v>
      </c>
      <c r="CA148" s="674" t="str">
        <f>IF(OR(BZ148=" 10",BZ148=" 15"),"31",IF(OR(BZ148=" 20",BZ148=" 25",BZ148=" 30"),"39",IF(OR(BZ148=" 40",BZ148=" 50"),"51",IF(BZ148="100","63",IF(BZ148&lt;="200","75","")))))</f>
        <v>31</v>
      </c>
      <c r="CB148" s="674" t="str">
        <f>IF(OR(BZ148=" 10",BZ148=" 15"),"28",IF(OR(BZ148=" 20",BZ148=" 25",BZ148=" 30"),"36",IF(OR(BZ148=" 40",BZ148=" 50"),"42",IF(BZ148="100","54",IF(BZ148&lt;="200","70","")))))</f>
        <v>28</v>
      </c>
      <c r="CD148" s="673" t="str">
        <f>IF(C147="",0,IF(LEFT(C147,2)=" B",-MID(C147,3,1),LEFT(C147,3)))</f>
        <v>PH1</v>
      </c>
      <c r="CF148" s="106"/>
      <c r="CG148" s="90" t="s">
        <v>863</v>
      </c>
      <c r="CH148" s="64"/>
      <c r="CI148" s="90" t="s">
        <v>863</v>
      </c>
      <c r="CJ148" s="38"/>
      <c r="CK148" s="90" t="s">
        <v>863</v>
      </c>
      <c r="CL148" s="64"/>
      <c r="CM148" s="90" t="s">
        <v>863</v>
      </c>
      <c r="CN148" s="672">
        <f>IF(S147="",0,IF(AE142="不","",INT(S147/150)))</f>
        <v>0</v>
      </c>
      <c r="CO148" s="671"/>
      <c r="CP148" s="670" t="s">
        <v>862</v>
      </c>
      <c r="CQ148" s="2986" t="str">
        <f>IF(CS148="","","プロセニアム・スピーカ 20W")</f>
        <v/>
      </c>
      <c r="CR148" s="3476"/>
      <c r="CS148" s="88" t="str">
        <f>IF(BC146=0,"",BC146)</f>
        <v/>
      </c>
      <c r="CT148" s="9"/>
      <c r="CU148" s="46"/>
      <c r="CY148" s="197">
        <f t="shared" si="107"/>
        <v>10</v>
      </c>
      <c r="CZ148" s="197" t="str">
        <f t="shared" si="104"/>
        <v/>
      </c>
      <c r="DB148" s="24"/>
      <c r="DD148" s="516"/>
      <c r="DE148" s="514">
        <f t="shared" si="105"/>
        <v>0</v>
      </c>
      <c r="DH148" s="197">
        <f t="shared" si="108"/>
        <v>5</v>
      </c>
      <c r="DI148" s="197" t="str">
        <f t="shared" si="106"/>
        <v/>
      </c>
      <c r="DK148" s="24"/>
      <c r="DM148" s="516"/>
      <c r="DN148" s="516"/>
      <c r="DQ148" s="197">
        <f t="shared" si="103"/>
        <v>11</v>
      </c>
      <c r="DR148" s="197" t="str">
        <f t="shared" si="101"/>
        <v/>
      </c>
      <c r="DS148" s="10" t="str">
        <f t="shared" si="109"/>
        <v>アッテネータ 6W</v>
      </c>
      <c r="DT148" s="24"/>
      <c r="DU148" s="249" t="str">
        <f>IF(COUNTIF($DS$10:DS147,DS148)&gt;0,"",DS148)</f>
        <v/>
      </c>
      <c r="DV148" s="198">
        <f t="shared" si="110"/>
        <v>1</v>
      </c>
      <c r="DW148" s="514">
        <f t="shared" si="102"/>
        <v>5</v>
      </c>
    </row>
    <row r="149" spans="2:127" ht="11.25" customHeight="1" thickBot="1">
      <c r="B149" s="23"/>
      <c r="C149" s="2300" t="s">
        <v>861</v>
      </c>
      <c r="D149" s="2301"/>
      <c r="E149" s="2301"/>
      <c r="F149" s="2301"/>
      <c r="G149" s="2302"/>
      <c r="H149" s="3422" t="str">
        <f>IF(CE147=0,"",IF(R149&lt;&gt;"",R149,"HP 1.2mm-3C"))</f>
        <v>HP 1.2mm-3C</v>
      </c>
      <c r="I149" s="3423"/>
      <c r="J149" s="3423"/>
      <c r="K149" s="3423"/>
      <c r="L149" s="3423"/>
      <c r="M149" s="3423"/>
      <c r="N149" s="3423"/>
      <c r="O149" s="3423"/>
      <c r="P149" s="3424"/>
      <c r="Q149" s="668" t="s">
        <v>961</v>
      </c>
      <c r="R149" s="3362"/>
      <c r="S149" s="3363"/>
      <c r="T149" s="3363"/>
      <c r="U149" s="3363"/>
      <c r="V149" s="3363"/>
      <c r="W149" s="3363"/>
      <c r="X149" s="3363"/>
      <c r="Y149" s="3363"/>
      <c r="Z149" s="3364"/>
      <c r="AA149" s="3348" t="s">
        <v>962</v>
      </c>
      <c r="AB149" s="3349"/>
      <c r="AC149" s="3349"/>
      <c r="AD149" s="3349"/>
      <c r="AE149" s="3350"/>
      <c r="AF149" s="3385">
        <f>IF(CE147=0,"",IF(AK149&lt;&gt;"",AK149,SUM(CN143:CN144)))</f>
        <v>78</v>
      </c>
      <c r="AG149" s="3386"/>
      <c r="AH149" s="3386"/>
      <c r="AI149" s="3387"/>
      <c r="AJ149" s="669" t="s">
        <v>961</v>
      </c>
      <c r="AK149" s="3415"/>
      <c r="AL149" s="3416"/>
      <c r="AM149" s="3416"/>
      <c r="AN149" s="3417"/>
      <c r="AO149" s="2300" t="s">
        <v>860</v>
      </c>
      <c r="AP149" s="2301"/>
      <c r="AQ149" s="2301"/>
      <c r="AR149" s="2301"/>
      <c r="AS149" s="2302"/>
      <c r="AT149" s="3422" t="str">
        <f>IF(CE147=0,"",IF(BA149&lt;&gt;"",BA149,IF(MID(AG145,4,2)="C ","C-19mm",IF(MID(AG145,4,2)="PF","PF-D-16mm",IF(MID(AG145,4,2)="CD","CD-16mm",IF(MID(AG145,4,2)="G ","G-16mm","C-19mm"))))))</f>
        <v>C-19mm</v>
      </c>
      <c r="AU149" s="3423"/>
      <c r="AV149" s="3423"/>
      <c r="AW149" s="3423"/>
      <c r="AX149" s="3423"/>
      <c r="AY149" s="3424"/>
      <c r="AZ149" s="668" t="s">
        <v>961</v>
      </c>
      <c r="BA149" s="3362"/>
      <c r="BB149" s="3363"/>
      <c r="BC149" s="3363"/>
      <c r="BD149" s="3363"/>
      <c r="BE149" s="3363"/>
      <c r="BF149" s="3364"/>
      <c r="BG149" s="3348" t="s">
        <v>962</v>
      </c>
      <c r="BH149" s="3349"/>
      <c r="BI149" s="3349"/>
      <c r="BJ149" s="3349"/>
      <c r="BK149" s="3350"/>
      <c r="BL149" s="3385">
        <f>IF(CE147=0,"",IF(BQ149&lt;&gt;"",BQ149,SUM(CO143:CO144)))</f>
        <v>57</v>
      </c>
      <c r="BM149" s="3386"/>
      <c r="BN149" s="3386"/>
      <c r="BO149" s="3387"/>
      <c r="BP149" s="668" t="s">
        <v>961</v>
      </c>
      <c r="BQ149" s="3425"/>
      <c r="BR149" s="3426"/>
      <c r="BS149" s="3426"/>
      <c r="BT149" s="3427"/>
      <c r="BU149" s="19"/>
      <c r="CF149" s="106" t="s">
        <v>859</v>
      </c>
      <c r="CG149" s="184">
        <f>IF(CE147="=",CD145,0)</f>
        <v>0</v>
      </c>
      <c r="CH149" s="667" t="s">
        <v>858</v>
      </c>
      <c r="CI149" s="184">
        <f>F147+2*$AN$7/1000</f>
        <v>7</v>
      </c>
      <c r="CJ149" s="666" t="s">
        <v>857</v>
      </c>
      <c r="CK149" s="184">
        <f>IF(CG145=1,CG149,0)</f>
        <v>0</v>
      </c>
      <c r="CL149" s="666" t="s">
        <v>856</v>
      </c>
      <c r="CM149" s="184">
        <f>IF(CG145=1,F147,0)</f>
        <v>4</v>
      </c>
      <c r="CN149" s="665">
        <f>INT(AS146/2)</f>
        <v>2</v>
      </c>
      <c r="CO149" s="665">
        <f>IF(AU146="","",1+INT(AU146/2))</f>
        <v>1</v>
      </c>
      <c r="CP149" s="664" t="s">
        <v>960</v>
      </c>
      <c r="CQ149" s="3477" t="str">
        <f>IF(CS149="","","ソノライン・スピーカ 20W")</f>
        <v>ソノライン・スピーカ 20W</v>
      </c>
      <c r="CR149" s="3478"/>
      <c r="CS149" s="222">
        <f>IF(BE146="",0,BE146)</f>
        <v>0</v>
      </c>
      <c r="CT149" s="155"/>
      <c r="CU149" s="148"/>
      <c r="CV149" s="148"/>
      <c r="CY149" s="197">
        <f t="shared" si="107"/>
        <v>10</v>
      </c>
      <c r="CZ149" s="197" t="str">
        <f t="shared" si="104"/>
        <v/>
      </c>
      <c r="DB149" s="24"/>
      <c r="DD149" s="516"/>
      <c r="DE149" s="514">
        <f t="shared" si="105"/>
        <v>0</v>
      </c>
      <c r="DH149" s="197">
        <f t="shared" si="108"/>
        <v>5</v>
      </c>
      <c r="DI149" s="197" t="str">
        <f t="shared" si="106"/>
        <v/>
      </c>
      <c r="DK149" s="24"/>
      <c r="DM149" s="516"/>
      <c r="DN149" s="516"/>
      <c r="DQ149" s="197">
        <f t="shared" si="103"/>
        <v>11</v>
      </c>
      <c r="DR149" s="197" t="str">
        <f t="shared" si="101"/>
        <v/>
      </c>
      <c r="DS149" s="10" t="str">
        <f t="shared" si="109"/>
        <v/>
      </c>
      <c r="DT149" s="24"/>
      <c r="DU149" s="249" t="str">
        <f>IF(COUNTIF($DS$10:DS148,DS149)&gt;0,"",DS149)</f>
        <v/>
      </c>
      <c r="DV149" s="198" t="str">
        <f t="shared" si="110"/>
        <v/>
      </c>
      <c r="DW149" s="514">
        <f t="shared" si="102"/>
        <v>5</v>
      </c>
    </row>
    <row r="150" spans="2:127" ht="11.25" customHeight="1">
      <c r="B150" s="23"/>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19"/>
      <c r="CP150" s="6"/>
      <c r="CY150" s="197">
        <f t="shared" si="107"/>
        <v>10</v>
      </c>
      <c r="CZ150" s="197" t="str">
        <f t="shared" si="104"/>
        <v/>
      </c>
      <c r="DE150" s="514">
        <f t="shared" si="105"/>
        <v>0</v>
      </c>
      <c r="DH150" s="197">
        <f t="shared" si="108"/>
        <v>5</v>
      </c>
      <c r="DI150" s="197" t="str">
        <f t="shared" si="106"/>
        <v/>
      </c>
      <c r="DQ150" s="197">
        <f t="shared" si="103"/>
        <v>11</v>
      </c>
      <c r="DR150" s="197" t="str">
        <f t="shared" si="101"/>
        <v/>
      </c>
      <c r="DS150" s="10" t="str">
        <f t="shared" si="109"/>
        <v/>
      </c>
      <c r="DT150" s="24"/>
      <c r="DU150" s="249" t="str">
        <f>IF(COUNTIF($DS$10:DS149,DS150)&gt;0,"",DS150)</f>
        <v/>
      </c>
      <c r="DV150" s="198" t="str">
        <f t="shared" si="110"/>
        <v/>
      </c>
      <c r="DW150" s="514">
        <f t="shared" si="102"/>
        <v>5</v>
      </c>
    </row>
    <row r="151" spans="2:127" ht="11.25" customHeight="1">
      <c r="B151" s="23"/>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19"/>
      <c r="CP151" s="6"/>
      <c r="CY151" s="197">
        <f t="shared" si="107"/>
        <v>10</v>
      </c>
      <c r="CZ151" s="197" t="str">
        <f t="shared" si="104"/>
        <v/>
      </c>
      <c r="DE151" s="514">
        <f t="shared" si="105"/>
        <v>0</v>
      </c>
      <c r="DH151" s="197">
        <f t="shared" si="108"/>
        <v>5</v>
      </c>
      <c r="DI151" s="197" t="str">
        <f t="shared" si="106"/>
        <v/>
      </c>
      <c r="DP151" s="8"/>
      <c r="DQ151" s="197">
        <f t="shared" si="103"/>
        <v>11</v>
      </c>
      <c r="DR151" s="197" t="str">
        <f t="shared" si="101"/>
        <v/>
      </c>
      <c r="DS151" s="10" t="str">
        <f t="shared" si="109"/>
        <v/>
      </c>
      <c r="DT151" s="24"/>
      <c r="DU151" s="249" t="str">
        <f>IF(COUNTIF($DS$10:DS150,DS151)&gt;0,"",DS151)</f>
        <v/>
      </c>
      <c r="DV151" s="198" t="str">
        <f t="shared" si="110"/>
        <v/>
      </c>
      <c r="DW151" s="514">
        <f t="shared" si="102"/>
        <v>5</v>
      </c>
    </row>
    <row r="152" spans="2:127" ht="11.25" customHeight="1">
      <c r="B152" s="18"/>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16"/>
      <c r="CP152" s="6"/>
      <c r="CY152" s="197">
        <f t="shared" si="107"/>
        <v>10</v>
      </c>
      <c r="CZ152" s="197" t="str">
        <f t="shared" si="104"/>
        <v/>
      </c>
      <c r="DE152" s="514">
        <f t="shared" si="105"/>
        <v>0</v>
      </c>
      <c r="DH152" s="197">
        <f t="shared" si="108"/>
        <v>5</v>
      </c>
      <c r="DI152" s="197" t="str">
        <f t="shared" si="106"/>
        <v/>
      </c>
      <c r="DP152" s="88">
        <v>11</v>
      </c>
      <c r="DQ152" s="45"/>
      <c r="DR152" s="45"/>
      <c r="DS152" s="45"/>
      <c r="DT152" s="45"/>
      <c r="DU152" s="45"/>
      <c r="DV152" s="45"/>
      <c r="DW152" s="45"/>
    </row>
    <row r="153" spans="2:127" ht="11.25" customHeight="1">
      <c r="B153" s="93"/>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8"/>
      <c r="CP153" s="6"/>
      <c r="CQ153" s="2986" t="str">
        <f>IF(CS153="","","スピーカ 3W S1")</f>
        <v>スピーカ 3W S1</v>
      </c>
      <c r="CR153" s="3476"/>
      <c r="CS153" s="88">
        <f>IF(AS158=0,"",AS158)</f>
        <v>4</v>
      </c>
      <c r="CT153" s="9"/>
      <c r="CX153" s="88">
        <v>16</v>
      </c>
      <c r="CY153" s="204"/>
      <c r="CZ153" s="155"/>
      <c r="DA153" s="45"/>
      <c r="DB153" s="45"/>
      <c r="DC153" s="45" t="s">
        <v>109</v>
      </c>
      <c r="DD153" s="45"/>
      <c r="DE153" s="45" t="s">
        <v>108</v>
      </c>
      <c r="DG153" s="88">
        <v>16</v>
      </c>
      <c r="DH153" s="204"/>
      <c r="DI153" s="155"/>
      <c r="DJ153" s="45"/>
      <c r="DK153" s="45"/>
      <c r="DL153" s="45" t="s">
        <v>109</v>
      </c>
      <c r="DM153" s="45"/>
      <c r="DN153" s="45" t="s">
        <v>108</v>
      </c>
      <c r="DP153" s="8"/>
      <c r="DQ153" s="197">
        <f>IF(DU153&lt;&gt;"",DQ151+1,DQ151)</f>
        <v>11</v>
      </c>
      <c r="DR153" s="197" t="str">
        <f t="shared" ref="DR153:DR165" si="111">IF(AND(DQ153&lt;&gt;"",DU153&lt;&gt;""),DQ153,"")</f>
        <v/>
      </c>
      <c r="DS153" s="10" t="str">
        <f>CQ105</f>
        <v>スピーカ 3W S1</v>
      </c>
      <c r="DT153" s="8"/>
      <c r="DU153" s="249" t="str">
        <f>IF(COUNTIF($DS$10:DS152,DS153)&gt;0,"",DS153)</f>
        <v/>
      </c>
      <c r="DV153" s="198">
        <f>CS105</f>
        <v>5</v>
      </c>
      <c r="DW153" s="514">
        <f t="shared" ref="DW153:DW165" si="112">SUMIF($DS$13:$DS$344,DU153,$DV$13:$DV$344)</f>
        <v>5</v>
      </c>
    </row>
    <row r="154" spans="2:127" ht="11.25" customHeight="1" thickBot="1">
      <c r="B154" s="23"/>
      <c r="C154" s="2299" t="s">
        <v>16</v>
      </c>
      <c r="D154" s="2299"/>
      <c r="E154" s="2299"/>
      <c r="F154" s="2299" t="s">
        <v>22</v>
      </c>
      <c r="G154" s="2299"/>
      <c r="H154" s="2299"/>
      <c r="I154" s="2299"/>
      <c r="J154" s="2299" t="s">
        <v>5</v>
      </c>
      <c r="K154" s="2299"/>
      <c r="L154" s="2299"/>
      <c r="M154" s="2299"/>
      <c r="N154" s="2299" t="s">
        <v>6</v>
      </c>
      <c r="O154" s="2299"/>
      <c r="P154" s="2299"/>
      <c r="Q154" s="2299"/>
      <c r="R154" s="2299"/>
      <c r="S154" s="2299" t="s">
        <v>938</v>
      </c>
      <c r="T154" s="2299"/>
      <c r="U154" s="2299"/>
      <c r="V154" s="2299"/>
      <c r="W154" s="2299"/>
      <c r="X154" s="2299"/>
      <c r="Y154" s="2299"/>
      <c r="Z154" s="2299"/>
      <c r="AA154" s="3382" t="s">
        <v>7</v>
      </c>
      <c r="AB154" s="3382"/>
      <c r="AC154" s="3382"/>
      <c r="AD154" s="3382"/>
      <c r="AE154" s="2630" t="str">
        <f>IF(S159="","",IF(AH154&lt;&gt;"",AH154,IF(RIGHT($D$10,2)="不要","不","要")))</f>
        <v/>
      </c>
      <c r="AF154" s="2630"/>
      <c r="AG154" s="668" t="s">
        <v>937</v>
      </c>
      <c r="AH154" s="2632"/>
      <c r="AI154" s="2633"/>
      <c r="AJ154" s="3371" t="s">
        <v>913</v>
      </c>
      <c r="AK154" s="3372"/>
      <c r="AL154" s="3372"/>
      <c r="AM154" s="3373"/>
      <c r="AN154" s="3383" t="str">
        <f>IF(W159="","",IF(AQ154&lt;&gt;"",AQ154,IF(RIGHT($D$10,2)="設置","要","不")))</f>
        <v>要</v>
      </c>
      <c r="AO154" s="3384"/>
      <c r="AP154" s="668" t="s">
        <v>937</v>
      </c>
      <c r="AQ154" s="2632"/>
      <c r="AR154" s="2633"/>
      <c r="AS154" s="3399" t="s">
        <v>912</v>
      </c>
      <c r="AT154" s="3412"/>
      <c r="AU154" s="3412"/>
      <c r="AV154" s="3412"/>
      <c r="AW154" s="3412"/>
      <c r="AX154" s="3412"/>
      <c r="AY154" s="3412"/>
      <c r="AZ154" s="3412"/>
      <c r="BA154" s="3412"/>
      <c r="BB154" s="3412"/>
      <c r="BC154" s="3412"/>
      <c r="BD154" s="3412"/>
      <c r="BE154" s="3412"/>
      <c r="BF154" s="3412"/>
      <c r="BG154" s="3412"/>
      <c r="BH154" s="3413"/>
      <c r="BI154" s="3399" t="s">
        <v>934</v>
      </c>
      <c r="BJ154" s="3412"/>
      <c r="BK154" s="3412"/>
      <c r="BL154" s="3413"/>
      <c r="BM154" s="3360" t="s">
        <v>936</v>
      </c>
      <c r="BN154" s="3419"/>
      <c r="BO154" s="3419"/>
      <c r="BP154" s="3419"/>
      <c r="BQ154" s="3419"/>
      <c r="BR154" s="3361"/>
      <c r="BS154" s="3441" t="s">
        <v>935</v>
      </c>
      <c r="BT154" s="3442"/>
      <c r="BU154" s="19"/>
      <c r="BW154" s="102"/>
      <c r="CF154" s="8"/>
      <c r="CG154" s="685" t="s">
        <v>909</v>
      </c>
      <c r="CH154" s="685" t="s">
        <v>908</v>
      </c>
      <c r="CI154" s="685" t="s">
        <v>934</v>
      </c>
      <c r="CJ154" s="686">
        <f>IF($AX$8=0,"",INT(10.7*CD156*CE156/($BF$8/1000)^2))</f>
        <v>10</v>
      </c>
      <c r="CK154" s="685" t="s">
        <v>933</v>
      </c>
      <c r="CL154" s="685" t="s">
        <v>932</v>
      </c>
      <c r="CM154" s="685" t="s">
        <v>931</v>
      </c>
      <c r="CN154" s="550" t="s">
        <v>734</v>
      </c>
      <c r="CO154" s="550" t="s">
        <v>732</v>
      </c>
      <c r="CP154" s="684"/>
      <c r="CQ154" s="2986" t="str">
        <f>IF(CS154="","","スピーカ 3W S3")</f>
        <v/>
      </c>
      <c r="CR154" s="3476"/>
      <c r="CS154" s="88" t="str">
        <f>IF(AY158=0,"",AY158)</f>
        <v/>
      </c>
      <c r="CT154" s="3483" t="str">
        <f>IF(CV154="","","マイクロホン")</f>
        <v/>
      </c>
      <c r="CU154" s="3484"/>
      <c r="CV154" s="88" t="str">
        <f>BG158</f>
        <v/>
      </c>
      <c r="CX154" s="8"/>
      <c r="CY154" s="197">
        <f>IF(DC154&lt;&gt;"",CY152+1,CY152)</f>
        <v>10</v>
      </c>
      <c r="CZ154" s="197" t="str">
        <f t="shared" ref="CZ154:CZ161" si="113">IF(AND(CY154&lt;&gt;"",DC154&lt;&gt;""),CY154,"")</f>
        <v/>
      </c>
      <c r="DA154" s="10" t="str">
        <f>H160</f>
        <v>HP 1.2mm- 10Pr</v>
      </c>
      <c r="DB154" s="8"/>
      <c r="DC154" s="249" t="str">
        <f>IF(COUNTIF(DA$10:$DA151,DA154)&gt;0,"",DA154)</f>
        <v/>
      </c>
      <c r="DD154" s="515">
        <f>AF160</f>
        <v>7</v>
      </c>
      <c r="DE154" s="514">
        <f>SUMIF($DA$13:$DA$199,DC154,$DD$13:$DD$199)</f>
        <v>0</v>
      </c>
      <c r="DG154" s="8"/>
      <c r="DH154" s="197">
        <f>IF(DL154&lt;&gt;"",DH152+1,DH152)</f>
        <v>5</v>
      </c>
      <c r="DI154" s="197" t="str">
        <f t="shared" ref="DI154:DI161" si="114">IF(AND(DH154&lt;&gt;"",DL154&lt;&gt;""),DH154,"")</f>
        <v/>
      </c>
      <c r="DJ154" s="10" t="str">
        <f>AT160</f>
        <v>C-31mm</v>
      </c>
      <c r="DK154" s="8"/>
      <c r="DL154" s="249" t="str">
        <f>IF(COUNTIF($DA$10:DJ151,DJ154)&gt;0,"",DJ154)</f>
        <v/>
      </c>
      <c r="DM154" s="515">
        <f>BL160</f>
        <v>4</v>
      </c>
      <c r="DN154" s="514">
        <f>SUMIF($DJ$13:$DJ$199,DL154,$DM$13:$DM$199)</f>
        <v>0</v>
      </c>
      <c r="DP154" s="8"/>
      <c r="DQ154" s="197">
        <f t="shared" ref="DQ154:DQ165" si="115">IF(DU154&lt;&gt;"",DQ153+1,DQ153)</f>
        <v>11</v>
      </c>
      <c r="DR154" s="197" t="str">
        <f t="shared" si="111"/>
        <v/>
      </c>
      <c r="DS154" s="10" t="str">
        <f>CQ106</f>
        <v>スピーカ 3W S3</v>
      </c>
      <c r="DT154" s="8"/>
      <c r="DU154" s="249" t="str">
        <f>IF(COUNTIF($DS$10:DS153,DS154)&gt;0,"",DS154)</f>
        <v/>
      </c>
      <c r="DV154" s="198">
        <f>CS106</f>
        <v>4</v>
      </c>
      <c r="DW154" s="514">
        <f t="shared" si="112"/>
        <v>5</v>
      </c>
    </row>
    <row r="155" spans="2:127" ht="11.25" customHeight="1" thickBot="1">
      <c r="B155" s="23"/>
      <c r="C155" s="2299"/>
      <c r="D155" s="2299"/>
      <c r="E155" s="2299"/>
      <c r="F155" s="2396"/>
      <c r="G155" s="2396"/>
      <c r="H155" s="2396"/>
      <c r="I155" s="2396"/>
      <c r="J155" s="2396"/>
      <c r="K155" s="2396"/>
      <c r="L155" s="2396"/>
      <c r="M155" s="2396"/>
      <c r="N155" s="2396"/>
      <c r="O155" s="2396"/>
      <c r="P155" s="2396"/>
      <c r="Q155" s="2396"/>
      <c r="R155" s="2396"/>
      <c r="S155" s="2396" t="s">
        <v>7</v>
      </c>
      <c r="T155" s="2396"/>
      <c r="U155" s="2396"/>
      <c r="V155" s="2396"/>
      <c r="W155" s="2396" t="s">
        <v>8</v>
      </c>
      <c r="X155" s="2396"/>
      <c r="Y155" s="2396"/>
      <c r="Z155" s="2396"/>
      <c r="AA155" s="2384" t="s">
        <v>9</v>
      </c>
      <c r="AB155" s="2385"/>
      <c r="AC155" s="2386"/>
      <c r="AD155" s="2384" t="s">
        <v>9</v>
      </c>
      <c r="AE155" s="2385"/>
      <c r="AF155" s="2386"/>
      <c r="AG155" s="2384" t="str">
        <f>IF(AN155="","","専部屋面積")</f>
        <v/>
      </c>
      <c r="AH155" s="2385"/>
      <c r="AI155" s="2385"/>
      <c r="AJ155" s="2382"/>
      <c r="AK155" s="2382"/>
      <c r="AL155" s="2382"/>
      <c r="AM155" s="3392"/>
      <c r="AN155" s="3365" t="str">
        <f>IF(OR(S159="",$B$2=0),"",S159/AA159)</f>
        <v/>
      </c>
      <c r="AO155" s="3366"/>
      <c r="AP155" s="3366"/>
      <c r="AQ155" s="3366"/>
      <c r="AR155" s="3367"/>
      <c r="AS155" s="2300" t="s">
        <v>903</v>
      </c>
      <c r="AT155" s="2301"/>
      <c r="AU155" s="2301"/>
      <c r="AV155" s="2301"/>
      <c r="AW155" s="2301"/>
      <c r="AX155" s="2302"/>
      <c r="AY155" s="2300" t="s">
        <v>902</v>
      </c>
      <c r="AZ155" s="2301"/>
      <c r="BA155" s="2301"/>
      <c r="BB155" s="2302"/>
      <c r="BC155" s="2300" t="s">
        <v>902</v>
      </c>
      <c r="BD155" s="2301"/>
      <c r="BE155" s="2301"/>
      <c r="BF155" s="2302"/>
      <c r="BG155" s="2300" t="s">
        <v>743</v>
      </c>
      <c r="BH155" s="2302"/>
      <c r="BI155" s="2300" t="s">
        <v>901</v>
      </c>
      <c r="BJ155" s="2301"/>
      <c r="BK155" s="2301"/>
      <c r="BL155" s="2302"/>
      <c r="BM155" s="2299" t="s">
        <v>930</v>
      </c>
      <c r="BN155" s="2299"/>
      <c r="BO155" s="2299"/>
      <c r="BP155" s="2299" t="s">
        <v>929</v>
      </c>
      <c r="BQ155" s="2299"/>
      <c r="BR155" s="2299"/>
      <c r="BS155" s="3439" t="s">
        <v>928</v>
      </c>
      <c r="BT155" s="3440"/>
      <c r="BU155" s="19"/>
      <c r="BW155" s="679"/>
      <c r="BX155" s="90" t="s">
        <v>889</v>
      </c>
      <c r="BY155" s="100" t="s">
        <v>927</v>
      </c>
      <c r="CC155" s="180">
        <v>111</v>
      </c>
      <c r="CD155" s="55" t="s">
        <v>229</v>
      </c>
      <c r="CE155" s="55" t="s">
        <v>228</v>
      </c>
      <c r="CF155" s="106" t="s">
        <v>859</v>
      </c>
      <c r="CG155" s="184">
        <f>INT((CD157+10)*BY158+CS156*$AN$8/1000+($AN$7/1000)*BY158)</f>
        <v>25</v>
      </c>
      <c r="CH155" s="184">
        <f>INT(CD157*CS161+CS161)</f>
        <v>0</v>
      </c>
      <c r="CI155" s="184">
        <f>8*SUM(BI158:BL158)</f>
        <v>24</v>
      </c>
      <c r="CJ155" s="185">
        <f>IF($AX$8=0,"",2*INT(0.5*CJ154))</f>
        <v>10</v>
      </c>
      <c r="CK155" s="184"/>
      <c r="CL155" s="184" t="str">
        <f>IF(BP158="","",10*BP158)</f>
        <v/>
      </c>
      <c r="CM155" s="184" t="str">
        <f>IF(BP158="","",10*BP158)</f>
        <v/>
      </c>
      <c r="CN155" s="682">
        <f>IF(S159="",0,IF(AE154="不","",(SUM(CG155:CM155)+SUM(CG156:CM156))*S159/N159))</f>
        <v>0</v>
      </c>
      <c r="CO155" s="682">
        <f>IF(S159="",0,IF(AE154="不","",(SUM(CG158:CM158)+SUM(CG159:CM159))*S159/N159))</f>
        <v>0</v>
      </c>
      <c r="CP155" s="664" t="s">
        <v>1</v>
      </c>
      <c r="CQ155" s="2986" t="str">
        <f>IF(CS155="","","スピーカ S5")</f>
        <v/>
      </c>
      <c r="CR155" s="3476"/>
      <c r="CS155" s="683" t="str">
        <f>IF(AW158=0,"",AW158)</f>
        <v/>
      </c>
      <c r="CT155" s="3483" t="str">
        <f>IF(CV155="","","アッテネータ 3W")</f>
        <v>アッテネータ 3W</v>
      </c>
      <c r="CU155" s="3484"/>
      <c r="CV155" s="88">
        <f>BI158</f>
        <v>2</v>
      </c>
      <c r="CX155" s="8"/>
      <c r="CY155" s="197">
        <f t="shared" ref="CY155:CY161" si="116">IF(DC155&lt;&gt;"",CY154+1,CY154)</f>
        <v>10</v>
      </c>
      <c r="CZ155" s="197" t="str">
        <f t="shared" si="113"/>
        <v/>
      </c>
      <c r="DA155" s="10" t="str">
        <f>H161</f>
        <v>HP 1.2mm-3C</v>
      </c>
      <c r="DB155" s="8"/>
      <c r="DC155" s="249" t="str">
        <f>IF(COUNTIF(DA$10:$DA152,DA155)&gt;0,"",DA155)</f>
        <v/>
      </c>
      <c r="DD155" s="515">
        <f>AF161</f>
        <v>78</v>
      </c>
      <c r="DE155" s="514">
        <f>SUMIF($DA$13:$DA$199,DC155,$DD$13:$DD$199)</f>
        <v>0</v>
      </c>
      <c r="DG155" s="8"/>
      <c r="DH155" s="197">
        <f t="shared" ref="DH155:DH161" si="117">IF(DL155&lt;&gt;"",DH154+1,DH154)</f>
        <v>5</v>
      </c>
      <c r="DI155" s="197" t="str">
        <f t="shared" si="114"/>
        <v/>
      </c>
      <c r="DJ155" s="10" t="str">
        <f>AT161</f>
        <v>C-19mm</v>
      </c>
      <c r="DK155" s="8"/>
      <c r="DL155" s="249" t="str">
        <f>IF(COUNTIF($DA$10:DJ152,DJ155)&gt;0,"",DJ155)</f>
        <v/>
      </c>
      <c r="DM155" s="515">
        <f>BL161</f>
        <v>57</v>
      </c>
      <c r="DN155" s="514">
        <f>SUMIF($DJ$13:$DJ$199,DL155,$DM$13:$DM$199)</f>
        <v>0</v>
      </c>
      <c r="DP155" s="8"/>
      <c r="DQ155" s="197">
        <f t="shared" si="115"/>
        <v>11</v>
      </c>
      <c r="DR155" s="197" t="str">
        <f t="shared" si="111"/>
        <v/>
      </c>
      <c r="DS155" s="10" t="str">
        <f>CQ107</f>
        <v/>
      </c>
      <c r="DT155" s="8"/>
      <c r="DU155" s="249" t="str">
        <f>IF(COUNTIF($DS$10:DS154,DS155)&gt;0,"",DS155)</f>
        <v/>
      </c>
      <c r="DV155" s="198" t="str">
        <f>CS107</f>
        <v/>
      </c>
      <c r="DW155" s="514">
        <f t="shared" si="112"/>
        <v>5</v>
      </c>
    </row>
    <row r="156" spans="2:127" ht="11.25" customHeight="1" thickBot="1">
      <c r="B156" s="23"/>
      <c r="C156" s="2396"/>
      <c r="D156" s="2396"/>
      <c r="E156" s="2396"/>
      <c r="F156" s="2397" t="s">
        <v>235</v>
      </c>
      <c r="G156" s="2397"/>
      <c r="H156" s="2397"/>
      <c r="I156" s="2397"/>
      <c r="J156" s="2397" t="s">
        <v>235</v>
      </c>
      <c r="K156" s="2397"/>
      <c r="L156" s="2397"/>
      <c r="M156" s="2397"/>
      <c r="N156" s="2397" t="s">
        <v>128</v>
      </c>
      <c r="O156" s="2397"/>
      <c r="P156" s="2397"/>
      <c r="Q156" s="2397"/>
      <c r="R156" s="2397"/>
      <c r="S156" s="2397" t="s">
        <v>128</v>
      </c>
      <c r="T156" s="2397"/>
      <c r="U156" s="2397"/>
      <c r="V156" s="2397"/>
      <c r="W156" s="2397" t="s">
        <v>128</v>
      </c>
      <c r="X156" s="2397"/>
      <c r="Y156" s="2397"/>
      <c r="Z156" s="2397"/>
      <c r="AA156" s="2397" t="s">
        <v>111</v>
      </c>
      <c r="AB156" s="2397"/>
      <c r="AC156" s="2397"/>
      <c r="AD156" s="2397" t="s">
        <v>110</v>
      </c>
      <c r="AE156" s="2397"/>
      <c r="AF156" s="2397"/>
      <c r="AG156" s="3398" t="str">
        <f>IF(AN156="","","共部屋面積")</f>
        <v>共部屋面積</v>
      </c>
      <c r="AH156" s="2382"/>
      <c r="AI156" s="2382"/>
      <c r="AJ156" s="2382"/>
      <c r="AK156" s="2382"/>
      <c r="AL156" s="2382"/>
      <c r="AM156" s="3392"/>
      <c r="AN156" s="3368">
        <f>IF(OR($B$2=0,C159=""),"",W159/AD159)</f>
        <v>17.5</v>
      </c>
      <c r="AO156" s="3369"/>
      <c r="AP156" s="3369"/>
      <c r="AQ156" s="3369"/>
      <c r="AR156" s="3370"/>
      <c r="AS156" s="3419" t="s">
        <v>895</v>
      </c>
      <c r="AT156" s="3361"/>
      <c r="AU156" s="3360" t="s">
        <v>894</v>
      </c>
      <c r="AV156" s="3361"/>
      <c r="AW156" s="3360" t="s">
        <v>893</v>
      </c>
      <c r="AX156" s="3361"/>
      <c r="AY156" s="3360" t="s">
        <v>892</v>
      </c>
      <c r="AZ156" s="3361"/>
      <c r="BA156" s="3360" t="s">
        <v>891</v>
      </c>
      <c r="BB156" s="3361"/>
      <c r="BC156" s="3360" t="s">
        <v>890</v>
      </c>
      <c r="BD156" s="3361"/>
      <c r="BE156" s="3360" t="s">
        <v>889</v>
      </c>
      <c r="BF156" s="3361"/>
      <c r="BG156" s="3432" t="s">
        <v>888</v>
      </c>
      <c r="BH156" s="3433"/>
      <c r="BI156" s="3360"/>
      <c r="BJ156" s="3361"/>
      <c r="BK156" s="3360"/>
      <c r="BL156" s="3361"/>
      <c r="BM156" s="3391" t="s">
        <v>887</v>
      </c>
      <c r="BN156" s="3391"/>
      <c r="BO156" s="3391"/>
      <c r="BP156" s="3391" t="s">
        <v>887</v>
      </c>
      <c r="BQ156" s="3391"/>
      <c r="BR156" s="3391"/>
      <c r="BS156" s="3432" t="s">
        <v>744</v>
      </c>
      <c r="BT156" s="3433"/>
      <c r="BU156" s="19"/>
      <c r="BW156" s="102"/>
      <c r="BX156" s="88">
        <f>IF(OR(J157="( 10)",J157="(12)イ",LEFT(J157,4)="(13)"),1,0)</f>
        <v>0</v>
      </c>
      <c r="BY156" s="88" t="str">
        <f>IF(OR(J157="(1) ロ",J157="(2) ロ",J157="(2) ニ",J157="(5) イ",J157="(6) ハ",J157="(6) ニ",J157="( 7 )",J157="( 15)"),"要","")</f>
        <v>要</v>
      </c>
      <c r="CC156" s="46">
        <v>16</v>
      </c>
      <c r="CD156" s="98">
        <f>非誘!BW113</f>
        <v>5</v>
      </c>
      <c r="CE156" s="98">
        <f>非誘!BX113</f>
        <v>7</v>
      </c>
      <c r="CF156" s="106" t="s">
        <v>858</v>
      </c>
      <c r="CG156" s="185">
        <f>INT((F159-$Y$10/1000-0.25)*BY158)</f>
        <v>2</v>
      </c>
      <c r="CH156" s="184">
        <f>1+INT((F159-$Y$7/1000-0.25+$AN$8/1000)*CS161)</f>
        <v>1</v>
      </c>
      <c r="CI156" s="184">
        <f>INT((F159-$Y$8/1000-0.25+$AN$9/1000)*SUM(BI158:BL158))</f>
        <v>8</v>
      </c>
      <c r="CJ156" s="185">
        <f>IF($AX$8=0,"",2*INT(CJ154*($AX$8-250)/1000))</f>
        <v>8</v>
      </c>
      <c r="CK156" s="184"/>
      <c r="CL156" s="184" t="str">
        <f>IF(BP158="","",INT((F159-$Y$9/1000-0.25+AN150/1000)*BP158))</f>
        <v/>
      </c>
      <c r="CM156" s="184" t="str">
        <f>IF(BS158="","",INT((F159-$Y$9/1000-0.25+AN150/1000)*BS158))</f>
        <v/>
      </c>
      <c r="CN156" s="682">
        <f>IF(AN154="不","",(SUM(CG155:CM155)+SUM(CG156:CM156))*W159/N159)</f>
        <v>78</v>
      </c>
      <c r="CO156" s="682">
        <f>IF(AN154="不","",(SUM(CG158:CM158)+SUM(CG159:CM159))*W159/N159)</f>
        <v>57</v>
      </c>
      <c r="CP156" s="670" t="s">
        <v>877</v>
      </c>
      <c r="CQ156" s="15"/>
      <c r="CR156" s="106" t="s">
        <v>868</v>
      </c>
      <c r="CS156" s="8">
        <f>SUM(CS153:CS155)</f>
        <v>4</v>
      </c>
      <c r="CT156" s="3485" t="str">
        <f>IF(CV156="","","アッテネータ 6W")</f>
        <v>アッテネータ 6W</v>
      </c>
      <c r="CU156" s="3484"/>
      <c r="CV156" s="88">
        <f>BK158</f>
        <v>1</v>
      </c>
      <c r="CX156" s="8"/>
      <c r="CY156" s="197">
        <f t="shared" si="116"/>
        <v>10</v>
      </c>
      <c r="CZ156" s="197" t="str">
        <f t="shared" si="113"/>
        <v/>
      </c>
      <c r="DA156" s="10"/>
      <c r="DB156" s="8"/>
      <c r="DC156" s="249"/>
      <c r="DD156" s="515"/>
      <c r="DE156" s="514"/>
      <c r="DG156" s="8"/>
      <c r="DH156" s="197">
        <f t="shared" si="117"/>
        <v>5</v>
      </c>
      <c r="DI156" s="197" t="str">
        <f t="shared" si="114"/>
        <v/>
      </c>
      <c r="DJ156" s="10"/>
      <c r="DK156" s="8"/>
      <c r="DL156" s="249"/>
      <c r="DM156" s="515"/>
      <c r="DN156" s="514"/>
      <c r="DP156" s="8"/>
      <c r="DQ156" s="197">
        <f t="shared" si="115"/>
        <v>11</v>
      </c>
      <c r="DR156" s="197" t="str">
        <f t="shared" si="111"/>
        <v/>
      </c>
      <c r="DS156" s="10" t="str">
        <f>CQ109</f>
        <v>スピーカ 6W S2</v>
      </c>
      <c r="DT156" s="8"/>
      <c r="DU156" s="249" t="str">
        <f>IF(COUNTIF($DS$10:DS155,DS156)&gt;0,"",DS156)</f>
        <v/>
      </c>
      <c r="DV156" s="198">
        <f>CS109</f>
        <v>1</v>
      </c>
      <c r="DW156" s="514">
        <f t="shared" si="112"/>
        <v>5</v>
      </c>
    </row>
    <row r="157" spans="2:127" ht="11.25" customHeight="1" thickBot="1">
      <c r="B157" s="23"/>
      <c r="C157" s="2299" t="s">
        <v>112</v>
      </c>
      <c r="D157" s="2299"/>
      <c r="E157" s="2299"/>
      <c r="F157" s="2299"/>
      <c r="G157" s="2299"/>
      <c r="H157" s="2299"/>
      <c r="I157" s="3399"/>
      <c r="J157" s="3400" t="str">
        <f>非誘!J111</f>
        <v>( 15)</v>
      </c>
      <c r="K157" s="3401"/>
      <c r="L157" s="3401"/>
      <c r="M157" s="3402"/>
      <c r="N157" s="3403" t="str">
        <f>非誘!M111</f>
        <v>前各項以外</v>
      </c>
      <c r="O157" s="3404"/>
      <c r="P157" s="3404"/>
      <c r="Q157" s="3404"/>
      <c r="R157" s="3404"/>
      <c r="S157" s="3404"/>
      <c r="T157" s="3404"/>
      <c r="U157" s="3404"/>
      <c r="V157" s="3404"/>
      <c r="W157" s="3404"/>
      <c r="X157" s="3404"/>
      <c r="Y157" s="3404"/>
      <c r="Z157" s="3405"/>
      <c r="AA157" s="3406" t="s">
        <v>926</v>
      </c>
      <c r="AB157" s="2301"/>
      <c r="AC157" s="2301"/>
      <c r="AD157" s="2301"/>
      <c r="AE157" s="2301"/>
      <c r="AF157" s="2302"/>
      <c r="AG157" s="3393" t="str">
        <f>IF($B$2=0,"",IF(AN157="","天井(C 管)",AN157))</f>
        <v>天井(C 管)</v>
      </c>
      <c r="AH157" s="2368"/>
      <c r="AI157" s="2368"/>
      <c r="AJ157" s="2368"/>
      <c r="AK157" s="2368"/>
      <c r="AL157" s="3394"/>
      <c r="AM157" s="668" t="s">
        <v>925</v>
      </c>
      <c r="AN157" s="3395"/>
      <c r="AO157" s="3396"/>
      <c r="AP157" s="3396"/>
      <c r="AQ157" s="3396"/>
      <c r="AR157" s="3397"/>
      <c r="AS157" s="3434" t="s">
        <v>881</v>
      </c>
      <c r="AT157" s="3435"/>
      <c r="AU157" s="3436" t="s">
        <v>880</v>
      </c>
      <c r="AV157" s="3437"/>
      <c r="AW157" s="3432"/>
      <c r="AX157" s="3433"/>
      <c r="AY157" s="3432" t="s">
        <v>881</v>
      </c>
      <c r="AZ157" s="3433"/>
      <c r="BA157" s="3436" t="s">
        <v>884</v>
      </c>
      <c r="BB157" s="3437"/>
      <c r="BC157" s="3436" t="s">
        <v>883</v>
      </c>
      <c r="BD157" s="3438"/>
      <c r="BE157" s="3438"/>
      <c r="BF157" s="3437"/>
      <c r="BG157" s="3420" t="s">
        <v>882</v>
      </c>
      <c r="BH157" s="3421"/>
      <c r="BI157" s="3436" t="s">
        <v>881</v>
      </c>
      <c r="BJ157" s="3437"/>
      <c r="BK157" s="3436" t="s">
        <v>880</v>
      </c>
      <c r="BL157" s="3437"/>
      <c r="BM157" s="3407" t="str">
        <f>IF(BM158="","",$BW$12)</f>
        <v/>
      </c>
      <c r="BN157" s="3407"/>
      <c r="BO157" s="3407"/>
      <c r="BP157" s="3407" t="str">
        <f>IF(BP158="","",30)</f>
        <v/>
      </c>
      <c r="BQ157" s="3407"/>
      <c r="BR157" s="3407"/>
      <c r="BS157" s="2384" t="s">
        <v>879</v>
      </c>
      <c r="BT157" s="2386"/>
      <c r="BU157" s="19"/>
      <c r="BW157" s="102"/>
      <c r="CB157" s="90" t="s">
        <v>878</v>
      </c>
      <c r="CC157" s="479" t="str">
        <f>AD158</f>
        <v>⑦</v>
      </c>
      <c r="CD157" s="263">
        <f>IF(C159="","",IF(CC157="①",CD156+CE156+3,IF(CC157="②",CD156*5/8+CE156+3,IF(CC157="③",CD156/2+CE156+3,IF(CC157="④",CD156+CE156*5/8+3,IF(CC157="⑤",(CD156+CE156)*5/8+3,IF(CC157="⑥",CD156/2+CE156*5/8+3,IF(CC157="⑦",CD156+CE156/2+3,IF(CC157="⑧",CD156*5/8+CE156/2+3,IF(CC157="⑨",(CD156+CE156)/2+3))))))))))</f>
        <v>11.5</v>
      </c>
      <c r="CE157" s="8"/>
      <c r="CF157" s="106"/>
      <c r="CG157" s="681">
        <f>IF(AG157="天井ケーブル",0,1)</f>
        <v>1</v>
      </c>
      <c r="CH157" s="394"/>
      <c r="CI157" s="394"/>
      <c r="CJ157" s="59"/>
      <c r="CK157" s="394"/>
      <c r="CL157" s="394"/>
      <c r="CM157" s="394"/>
      <c r="CN157" s="62" t="s">
        <v>1</v>
      </c>
      <c r="CO157" s="62" t="s">
        <v>877</v>
      </c>
      <c r="CP157" s="38"/>
      <c r="CQ157" s="2986" t="str">
        <f>IF(CS157="","","スピーカ 6W S2")</f>
        <v/>
      </c>
      <c r="CR157" s="3476"/>
      <c r="CS157" s="88" t="str">
        <f>IF(AU158=0,"",AU158)</f>
        <v/>
      </c>
      <c r="CT157" s="3483" t="str">
        <f>IF(CV157="","","主増幅器")</f>
        <v/>
      </c>
      <c r="CU157" s="3484"/>
      <c r="CV157" s="88" t="str">
        <f>BM158</f>
        <v/>
      </c>
      <c r="CX157" s="8"/>
      <c r="CY157" s="197">
        <f t="shared" si="116"/>
        <v>10</v>
      </c>
      <c r="CZ157" s="197" t="str">
        <f t="shared" si="113"/>
        <v/>
      </c>
      <c r="DA157" s="10"/>
      <c r="DB157" s="8"/>
      <c r="DC157" s="249"/>
      <c r="DD157" s="515"/>
      <c r="DE157" s="514"/>
      <c r="DG157" s="8"/>
      <c r="DH157" s="197">
        <f t="shared" si="117"/>
        <v>5</v>
      </c>
      <c r="DI157" s="197" t="str">
        <f t="shared" si="114"/>
        <v/>
      </c>
      <c r="DJ157" s="10"/>
      <c r="DK157" s="8"/>
      <c r="DL157" s="249"/>
      <c r="DM157" s="515"/>
      <c r="DN157" s="514"/>
      <c r="DP157" s="8"/>
      <c r="DQ157" s="197">
        <f t="shared" si="115"/>
        <v>11</v>
      </c>
      <c r="DR157" s="197" t="str">
        <f t="shared" si="111"/>
        <v/>
      </c>
      <c r="DS157" s="10" t="str">
        <f>CQ110</f>
        <v/>
      </c>
      <c r="DT157" s="8"/>
      <c r="DU157" s="249" t="str">
        <f>IF(COUNTIF($DS$10:DS156,DS157)&gt;0,"",DS157)</f>
        <v/>
      </c>
      <c r="DV157" s="198" t="str">
        <f>CS110</f>
        <v/>
      </c>
      <c r="DW157" s="514">
        <f t="shared" si="112"/>
        <v>5</v>
      </c>
    </row>
    <row r="158" spans="2:127" ht="11.25" customHeight="1" thickBot="1">
      <c r="B158" s="23"/>
      <c r="C158" s="3409" t="s">
        <v>959</v>
      </c>
      <c r="D158" s="3410"/>
      <c r="E158" s="3410"/>
      <c r="F158" s="3410"/>
      <c r="G158" s="3410"/>
      <c r="H158" s="3411"/>
      <c r="I158" s="3430" t="str">
        <f>非誘!AA111</f>
        <v>A</v>
      </c>
      <c r="J158" s="3430"/>
      <c r="K158" s="3430"/>
      <c r="L158" s="2395" t="s">
        <v>214</v>
      </c>
      <c r="M158" s="2395"/>
      <c r="N158" s="2395"/>
      <c r="O158" s="2395"/>
      <c r="P158" s="2395"/>
      <c r="Q158" s="2395"/>
      <c r="R158" s="2395"/>
      <c r="S158" s="3379">
        <f>非誘!J112</f>
        <v>0.7142857142857143</v>
      </c>
      <c r="T158" s="3380"/>
      <c r="U158" s="3380"/>
      <c r="V158" s="3381"/>
      <c r="W158" s="3399" t="s">
        <v>875</v>
      </c>
      <c r="X158" s="3412"/>
      <c r="Y158" s="3412"/>
      <c r="Z158" s="3412"/>
      <c r="AA158" s="2654"/>
      <c r="AB158" s="2654"/>
      <c r="AC158" s="2655"/>
      <c r="AD158" s="3388" t="str">
        <f>非誘!V112</f>
        <v>⑦</v>
      </c>
      <c r="AE158" s="3389"/>
      <c r="AF158" s="3390"/>
      <c r="AG158" s="3391" t="s">
        <v>874</v>
      </c>
      <c r="AH158" s="3391"/>
      <c r="AI158" s="3391"/>
      <c r="AJ158" s="3391"/>
      <c r="AK158" s="3391"/>
      <c r="AL158" s="2990" t="str">
        <f>IF(AP158&lt;&gt;"",AP158,IF(C159=$BG$10,C159,""))</f>
        <v/>
      </c>
      <c r="AM158" s="2990"/>
      <c r="AN158" s="2990"/>
      <c r="AO158" s="668" t="s">
        <v>86</v>
      </c>
      <c r="AP158" s="3325"/>
      <c r="AQ158" s="3326"/>
      <c r="AR158" s="3327"/>
      <c r="AS158" s="3418">
        <f>IF(CE159=0,"",IF(AS159&lt;&gt;"",AS159,IF(BE158&lt;&gt;"",CN160,SUM(CN158:CO158))))</f>
        <v>4</v>
      </c>
      <c r="AT158" s="3375"/>
      <c r="AU158" s="3418">
        <f>IF(CE159=0,"",IF(AU159&lt;&gt;"",AU159,CN159))</f>
        <v>0</v>
      </c>
      <c r="AV158" s="3375"/>
      <c r="AW158" s="3418"/>
      <c r="AX158" s="3375"/>
      <c r="AY158" s="3418" t="str">
        <f>IF(AA159="","",IF(AY159&lt;&gt;"",AY159,CO159))</f>
        <v/>
      </c>
      <c r="AZ158" s="3375"/>
      <c r="BA158" s="3418"/>
      <c r="BB158" s="3375"/>
      <c r="BC158" s="3418" t="str">
        <f>IF(OR(AL159="不",,BP158=""),"",IF(BC159&lt;&gt;"",BC159,BP158*2))</f>
        <v/>
      </c>
      <c r="BD158" s="3375"/>
      <c r="BE158" s="3418" t="str">
        <f>IF(BE159&lt;&gt;"",BE159,IF(BX156=0,"",CN160))</f>
        <v/>
      </c>
      <c r="BF158" s="3375"/>
      <c r="BG158" s="3418" t="str">
        <f>IF(AE154="不","",IF(BG159&lt;&gt;"",BG159,BP158))</f>
        <v/>
      </c>
      <c r="BH158" s="3375"/>
      <c r="BI158" s="3418">
        <f>IF(CE159=0,"",CN161)</f>
        <v>2</v>
      </c>
      <c r="BJ158" s="3375"/>
      <c r="BK158" s="3374">
        <f>IF(CE159=0,"",CO161)</f>
        <v>1</v>
      </c>
      <c r="BL158" s="3375"/>
      <c r="BM158" s="3376" t="str">
        <f>IF(CE159=0,"",IF(BM159&lt;&gt;"",BM159,IF(C159=AL158,1,"")))</f>
        <v/>
      </c>
      <c r="BN158" s="3377"/>
      <c r="BO158" s="3378"/>
      <c r="BP158" s="3376" t="str">
        <f>IF(CE159=0,"",IF(OR(AE154="不",AA159="",S159=""),"",IF(BP159&lt;&gt;"",BP159,IF(AL159="要",1+INT(S159/1000),""))))</f>
        <v/>
      </c>
      <c r="BQ158" s="3377"/>
      <c r="BR158" s="3378"/>
      <c r="BS158" s="3376" t="str">
        <f>IF(BS159&lt;&gt;"",BS159,BP158)</f>
        <v/>
      </c>
      <c r="BT158" s="3378"/>
      <c r="BU158" s="19"/>
      <c r="BW158" s="680">
        <f>IF(AND(CS159=0,CS160=""),CS156*3,CS156*3+CS159*6)</f>
        <v>12</v>
      </c>
      <c r="BX158" s="102">
        <f>BY159</f>
        <v>1</v>
      </c>
      <c r="BY158" s="522">
        <f>1+INT(SUM(S159:Z159)/400)</f>
        <v>1</v>
      </c>
      <c r="BZ158" s="100" t="s">
        <v>873</v>
      </c>
      <c r="CB158" s="678">
        <f>IF(CE159="=",MID(BZ159,10,3),10*(1+INT(BY158*3/10)))</f>
        <v>10</v>
      </c>
      <c r="CC158" s="10" t="s">
        <v>958</v>
      </c>
      <c r="CF158" s="106" t="s">
        <v>857</v>
      </c>
      <c r="CG158" s="136">
        <f>IF(CG157=1,INT(CD157*BY158)+BY158*10,"")</f>
        <v>21</v>
      </c>
      <c r="CH158" s="136">
        <f>IF(CG157=1,INT(CD157*CS161),"")</f>
        <v>0</v>
      </c>
      <c r="CI158" s="136">
        <f>8*SUM(BI158:BL158)</f>
        <v>24</v>
      </c>
      <c r="CJ158" s="134" t="str">
        <f>IF($AX$8=0,INT(10.7*CD156*CE156/($BF$8/1000)^2)*1.5,"")</f>
        <v/>
      </c>
      <c r="CK158" s="136">
        <v>0</v>
      </c>
      <c r="CL158" s="136" t="str">
        <f>IF(BP158="","",10*BP158)</f>
        <v/>
      </c>
      <c r="CM158" s="136" t="str">
        <f>IF(BS158="","",10*BS158)</f>
        <v/>
      </c>
      <c r="CN158" s="665">
        <f>IF(AA159="",0,IF(AE154="不","",INT(AA159/2)))</f>
        <v>0</v>
      </c>
      <c r="CO158" s="665">
        <f>IF(AN154="不","",INT(AD159/2))</f>
        <v>4</v>
      </c>
      <c r="CP158" s="670" t="s">
        <v>957</v>
      </c>
      <c r="CQ158" s="2986" t="str">
        <f>IF(CS158="","","スピーカ 5W S4")</f>
        <v/>
      </c>
      <c r="CR158" s="3476"/>
      <c r="CS158" s="88" t="str">
        <f>IF(BA158=0,"",BA158)</f>
        <v/>
      </c>
      <c r="CT158" s="3483" t="str">
        <f>IF(CV158="","","副増幅器 30W")</f>
        <v/>
      </c>
      <c r="CU158" s="3484"/>
      <c r="CV158" s="88" t="str">
        <f>BP158</f>
        <v/>
      </c>
      <c r="CX158" s="8"/>
      <c r="CY158" s="197">
        <f t="shared" si="116"/>
        <v>10</v>
      </c>
      <c r="CZ158" s="197" t="str">
        <f t="shared" si="113"/>
        <v/>
      </c>
      <c r="DA158" s="10"/>
      <c r="DB158" s="8"/>
      <c r="DC158" s="249"/>
      <c r="DD158" s="515"/>
      <c r="DE158" s="514"/>
      <c r="DG158" s="8"/>
      <c r="DH158" s="197">
        <f t="shared" si="117"/>
        <v>5</v>
      </c>
      <c r="DI158" s="197" t="str">
        <f t="shared" si="114"/>
        <v/>
      </c>
      <c r="DJ158" s="10"/>
      <c r="DK158" s="8"/>
      <c r="DL158" s="249"/>
      <c r="DM158" s="515"/>
      <c r="DN158" s="514"/>
      <c r="DQ158" s="197">
        <f t="shared" si="115"/>
        <v>11</v>
      </c>
      <c r="DR158" s="197" t="str">
        <f t="shared" si="111"/>
        <v/>
      </c>
      <c r="DS158" s="10" t="str">
        <f>CQ112</f>
        <v/>
      </c>
      <c r="DT158" s="24"/>
      <c r="DU158" s="249" t="str">
        <f>IF(COUNTIF($DS$10:DS157,DS158)&gt;0,"",DS158)</f>
        <v/>
      </c>
      <c r="DV158" s="198" t="str">
        <f>CS112</f>
        <v/>
      </c>
      <c r="DW158" s="514">
        <f t="shared" si="112"/>
        <v>5</v>
      </c>
    </row>
    <row r="159" spans="2:127" ht="11.25" customHeight="1" thickBot="1">
      <c r="B159" s="23"/>
      <c r="C159" s="3429" t="str">
        <f>IF($B$2=0,"",非誘!C113)</f>
        <v>PH2F</v>
      </c>
      <c r="D159" s="3407"/>
      <c r="E159" s="3407"/>
      <c r="F159" s="3430">
        <f>IF($B$2=0,"",非誘!F113)</f>
        <v>4</v>
      </c>
      <c r="G159" s="3430"/>
      <c r="H159" s="3430"/>
      <c r="I159" s="3430"/>
      <c r="J159" s="3430" t="str">
        <f>IF($B$2=0,"",非誘!J113)</f>
        <v>直天</v>
      </c>
      <c r="K159" s="3430"/>
      <c r="L159" s="3430"/>
      <c r="M159" s="3430"/>
      <c r="N159" s="3407">
        <f>IF($B$2=0,"",非誘!N113)</f>
        <v>140</v>
      </c>
      <c r="O159" s="3407"/>
      <c r="P159" s="3407"/>
      <c r="Q159" s="3407"/>
      <c r="R159" s="3407"/>
      <c r="S159" s="3431" t="str">
        <f>IF($B$2=0,"",非誘!S113)</f>
        <v/>
      </c>
      <c r="T159" s="3431"/>
      <c r="U159" s="3431"/>
      <c r="V159" s="3431"/>
      <c r="W159" s="3431">
        <f>IF($B$2=0,"",非誘!W113)</f>
        <v>140</v>
      </c>
      <c r="X159" s="3431"/>
      <c r="Y159" s="3431"/>
      <c r="Z159" s="3431"/>
      <c r="AA159" s="3407" t="str">
        <f>IF($B$2=0,"",非誘!AA113)</f>
        <v/>
      </c>
      <c r="AB159" s="3407"/>
      <c r="AC159" s="3407"/>
      <c r="AD159" s="3407">
        <f>IF($B$2=0,"",非誘!AD113)</f>
        <v>8</v>
      </c>
      <c r="AE159" s="3407"/>
      <c r="AF159" s="3407"/>
      <c r="AG159" s="3391" t="s">
        <v>956</v>
      </c>
      <c r="AH159" s="3391"/>
      <c r="AI159" s="3391"/>
      <c r="AJ159" s="3391"/>
      <c r="AK159" s="3391"/>
      <c r="AL159" s="2990" t="str">
        <f>IF(AP159&lt;&gt;"",AP159,IF($BY$18="要","要",""))</f>
        <v/>
      </c>
      <c r="AM159" s="2990"/>
      <c r="AN159" s="2990"/>
      <c r="AO159" s="668" t="s">
        <v>86</v>
      </c>
      <c r="AP159" s="3408"/>
      <c r="AQ159" s="3408"/>
      <c r="AR159" s="3408"/>
      <c r="AS159" s="2551"/>
      <c r="AT159" s="3414"/>
      <c r="AU159" s="2551"/>
      <c r="AV159" s="3414"/>
      <c r="AW159" s="2551"/>
      <c r="AX159" s="3414"/>
      <c r="AY159" s="2551"/>
      <c r="AZ159" s="3414"/>
      <c r="BA159" s="2551"/>
      <c r="BB159" s="3414"/>
      <c r="BC159" s="2551"/>
      <c r="BD159" s="3414"/>
      <c r="BE159" s="2551"/>
      <c r="BF159" s="3414"/>
      <c r="BG159" s="2551"/>
      <c r="BH159" s="3414"/>
      <c r="BI159" s="2551"/>
      <c r="BJ159" s="3414"/>
      <c r="BK159" s="2551"/>
      <c r="BL159" s="3414"/>
      <c r="BM159" s="2551"/>
      <c r="BN159" s="3428"/>
      <c r="BO159" s="3414"/>
      <c r="BP159" s="2551"/>
      <c r="BQ159" s="3428"/>
      <c r="BR159" s="3414"/>
      <c r="BS159" s="2551"/>
      <c r="BT159" s="3414"/>
      <c r="BU159" s="19"/>
      <c r="BY159" s="677">
        <f>IF(CE159=0,0,IF(CE159="=",BY158+BY147+BY168,IF(CE159="-",BY158+BY147,BY158+BY168)))</f>
        <v>1</v>
      </c>
      <c r="BZ159" s="3443" t="str">
        <f>IF(CE159=0,"",IF(BY159*3&lt;=20,"HP 1.2mm- 10Pr",IF(BY159*3&lt;=30,"HP 1.2mm- 15Pr",IF(BY159*3&lt;=40,"HP 1.2mm- 20Pr",IF(BY159*3&lt;=50,"HP 1.2mm- 25Pr",IF(BY159*3&lt;=60,"HP 1.2mm- 30Pr",IF(BY159*3&lt;=80,"HP 1.2mm- 40Pr",IF(BY159*3&lt;=100,"HP 1.2mm- 50Pr",IF(BY159*3&lt;=150,"HP 1.2mm- 75Pr", IF(BY159*3&lt;=200,"HP 1.2mm-100Pr",IF(BY159*3&lt;=400,"HP 1.2mm-200Pr","")))))))))))</f>
        <v>HP 1.2mm- 10Pr</v>
      </c>
      <c r="CA159" s="3444"/>
      <c r="CB159" s="3444"/>
      <c r="CC159" s="3445"/>
      <c r="CD159" s="673" t="str">
        <f>IF(LEFT($BG$10,2)=" B",-MID($BG$10,3,1),LEFT($BG$10,3))</f>
        <v xml:space="preserve">  1</v>
      </c>
      <c r="CE159" s="676" t="str">
        <f>IF(CD160=0,0,IF(CD159=CD160,"=",IF(CD159&gt;CD160,"-","+")))</f>
        <v>+</v>
      </c>
      <c r="CF159" s="106" t="s">
        <v>856</v>
      </c>
      <c r="CG159" s="136">
        <f>2*INT((F159-$Y$10/1000-0.25))</f>
        <v>4</v>
      </c>
      <c r="CH159" s="136">
        <f>1+INT((F159-$Y$7/1000-0.25)*CS161)</f>
        <v>1</v>
      </c>
      <c r="CI159" s="136">
        <f>INT((F159-$Y$8/1000-0.25)*SUM(BI158:BL158))</f>
        <v>7</v>
      </c>
      <c r="CJ159" s="675"/>
      <c r="CK159" s="136">
        <v>0</v>
      </c>
      <c r="CL159" s="136" t="str">
        <f>IF(BP158="","",INT((F159-$Y$9/1000-0.25)*BP158))</f>
        <v/>
      </c>
      <c r="CM159" s="136" t="str">
        <f>IF(BS158="","",INT((F159-$Y$9/1000-0.25)*BS158))</f>
        <v/>
      </c>
      <c r="CN159" s="665">
        <f>IF(AA159="",0,IF(AE154="不","",INT(AA159/2)))</f>
        <v>0</v>
      </c>
      <c r="CO159" s="665">
        <f>IF(AN154="不","",INT(AD159/2))</f>
        <v>4</v>
      </c>
      <c r="CP159" s="670" t="s">
        <v>955</v>
      </c>
      <c r="CQ159" s="15"/>
      <c r="CR159" s="106" t="s">
        <v>868</v>
      </c>
      <c r="CS159" s="8">
        <f>SUM(CS157:CS158)</f>
        <v>0</v>
      </c>
      <c r="CT159" s="3483" t="str">
        <f>IF(CV159="","","カットリレー")</f>
        <v/>
      </c>
      <c r="CU159" s="3484"/>
      <c r="CV159" s="88" t="str">
        <f>BS158</f>
        <v/>
      </c>
      <c r="CY159" s="197">
        <f t="shared" si="116"/>
        <v>10</v>
      </c>
      <c r="CZ159" s="197" t="str">
        <f t="shared" si="113"/>
        <v/>
      </c>
      <c r="DB159" s="24"/>
      <c r="DD159" s="516"/>
      <c r="DE159" s="516"/>
      <c r="DH159" s="197">
        <f t="shared" si="117"/>
        <v>5</v>
      </c>
      <c r="DI159" s="197" t="str">
        <f t="shared" si="114"/>
        <v/>
      </c>
      <c r="DK159" s="24"/>
      <c r="DM159" s="516"/>
      <c r="DN159" s="516"/>
      <c r="DQ159" s="197">
        <f t="shared" si="115"/>
        <v>11</v>
      </c>
      <c r="DR159" s="197" t="str">
        <f t="shared" si="111"/>
        <v/>
      </c>
      <c r="DS159" s="201" t="str">
        <f>CQ113</f>
        <v>ソノライン・スピーカ 20W</v>
      </c>
      <c r="DT159" s="24"/>
      <c r="DU159" s="249" t="str">
        <f>IF(COUNTIF($DS$10:DS158,DS159)&gt;0,"",DS159)</f>
        <v/>
      </c>
      <c r="DV159" s="198">
        <f>CS113</f>
        <v>0</v>
      </c>
      <c r="DW159" s="514">
        <f t="shared" si="112"/>
        <v>5</v>
      </c>
    </row>
    <row r="160" spans="2:127" ht="11.25" customHeight="1" thickBot="1">
      <c r="B160" s="23"/>
      <c r="C160" s="2300" t="s">
        <v>867</v>
      </c>
      <c r="D160" s="2301"/>
      <c r="E160" s="2301"/>
      <c r="F160" s="2301"/>
      <c r="G160" s="2302"/>
      <c r="H160" s="3422" t="str">
        <f>IF(CE159=0,"",IF(R160&lt;&gt;"",R160,BZ159))</f>
        <v>HP 1.2mm- 10Pr</v>
      </c>
      <c r="I160" s="3423"/>
      <c r="J160" s="3423"/>
      <c r="K160" s="3423"/>
      <c r="L160" s="3423"/>
      <c r="M160" s="3423"/>
      <c r="N160" s="3423"/>
      <c r="O160" s="3423"/>
      <c r="P160" s="3424"/>
      <c r="Q160" s="668" t="s">
        <v>86</v>
      </c>
      <c r="R160" s="3362"/>
      <c r="S160" s="3363"/>
      <c r="T160" s="3363"/>
      <c r="U160" s="3363"/>
      <c r="V160" s="3363"/>
      <c r="W160" s="3363"/>
      <c r="X160" s="3363"/>
      <c r="Y160" s="3363"/>
      <c r="Z160" s="3364"/>
      <c r="AA160" s="3345" t="s">
        <v>866</v>
      </c>
      <c r="AB160" s="3346"/>
      <c r="AC160" s="3346"/>
      <c r="AD160" s="3346"/>
      <c r="AE160" s="3347"/>
      <c r="AF160" s="3385">
        <f>IF(CE159=0,"",IF(AK160&lt;&gt;"",AK160,CG161+CI161))</f>
        <v>7</v>
      </c>
      <c r="AG160" s="3386"/>
      <c r="AH160" s="3386"/>
      <c r="AI160" s="3387"/>
      <c r="AJ160" s="669" t="s">
        <v>86</v>
      </c>
      <c r="AK160" s="3415"/>
      <c r="AL160" s="3416"/>
      <c r="AM160" s="3416"/>
      <c r="AN160" s="3417"/>
      <c r="AO160" s="2300" t="s">
        <v>865</v>
      </c>
      <c r="AP160" s="2301"/>
      <c r="AQ160" s="2301"/>
      <c r="AR160" s="2301"/>
      <c r="AS160" s="2302"/>
      <c r="AT160" s="3422" t="str">
        <f>IF(CE159=0,"",IF(BA160&lt;&gt;"",BA160,IF(MID(AG157,4,2)="C ","C-"&amp;CA160&amp;"mm",IF(MID(AG157,4,2)="PF","PF-D-"&amp;CB160&amp;"mm",IF(MID(AG157,4,2)="CD","CD-"&amp;CB160&amp;"mm",IF(MID(AG157,4,2)="G ","G-"&amp;CB160&amp;"mm",""))))))</f>
        <v>C-31mm</v>
      </c>
      <c r="AU160" s="3423"/>
      <c r="AV160" s="3423"/>
      <c r="AW160" s="3423"/>
      <c r="AX160" s="3423"/>
      <c r="AY160" s="3424"/>
      <c r="AZ160" s="668" t="s">
        <v>86</v>
      </c>
      <c r="BA160" s="3362"/>
      <c r="BB160" s="3363"/>
      <c r="BC160" s="3363"/>
      <c r="BD160" s="3363"/>
      <c r="BE160" s="3363"/>
      <c r="BF160" s="3364"/>
      <c r="BG160" s="3345" t="s">
        <v>864</v>
      </c>
      <c r="BH160" s="3346"/>
      <c r="BI160" s="3346"/>
      <c r="BJ160" s="3346"/>
      <c r="BK160" s="3347"/>
      <c r="BL160" s="3385">
        <f>IF(CE159=0,"",IF(CM161=0,"",IF(BQ160&lt;&gt;"",BQ160,CK161+CM161)))</f>
        <v>4</v>
      </c>
      <c r="BM160" s="3386"/>
      <c r="BN160" s="3386"/>
      <c r="BO160" s="3387"/>
      <c r="BP160" s="668" t="s">
        <v>86</v>
      </c>
      <c r="BQ160" s="3415"/>
      <c r="BR160" s="3416"/>
      <c r="BS160" s="3416"/>
      <c r="BT160" s="3417"/>
      <c r="BU160" s="19"/>
      <c r="BZ160" s="107" t="str">
        <f>IF(LEN(BZ159)=13,MID(BZ159,10,2),MID(BZ159,10,3))</f>
        <v xml:space="preserve"> 10</v>
      </c>
      <c r="CA160" s="674" t="str">
        <f>IF(OR(BZ160=" 10",BZ160=" 15"),"31",IF(OR(BZ160=" 20",BZ160=" 25",BZ160=" 30"),"39",IF(OR(BZ160=" 40",BZ160=" 50"),"51",IF(BZ160="100","63",IF(BZ160&lt;="200","75","")))))</f>
        <v>31</v>
      </c>
      <c r="CB160" s="674" t="str">
        <f>IF(OR(BZ160=" 10",BZ160=" 15"),"28",IF(OR(BZ160=" 20",BZ160=" 25",BZ160=" 30"),"36",IF(OR(BZ160=" 40",BZ160=" 50"),"42",IF(BZ160="100","54",IF(BZ160&lt;="200","70","")))))</f>
        <v>28</v>
      </c>
      <c r="CD160" s="673" t="str">
        <f>IF(C159="",0,IF(LEFT(C159,2)=" B",-MID(C159,3,1),LEFT(C159,3)))</f>
        <v>PH2</v>
      </c>
      <c r="CF160" s="106"/>
      <c r="CG160" s="90" t="s">
        <v>954</v>
      </c>
      <c r="CH160" s="64"/>
      <c r="CI160" s="90" t="s">
        <v>954</v>
      </c>
      <c r="CJ160" s="38"/>
      <c r="CK160" s="90" t="s">
        <v>954</v>
      </c>
      <c r="CL160" s="64"/>
      <c r="CM160" s="90" t="s">
        <v>954</v>
      </c>
      <c r="CN160" s="672">
        <f>IF(S159="",0,IF(AE154="不","",INT(S159/150)))</f>
        <v>0</v>
      </c>
      <c r="CO160" s="671"/>
      <c r="CP160" s="670" t="s">
        <v>953</v>
      </c>
      <c r="CQ160" s="2986" t="str">
        <f>IF(CS160="","","プロセニアム・スピーカ 20W")</f>
        <v/>
      </c>
      <c r="CR160" s="3476"/>
      <c r="CS160" s="88" t="str">
        <f>IF(BC158=0,"",BC158)</f>
        <v/>
      </c>
      <c r="CT160" s="9"/>
      <c r="CU160" s="46"/>
      <c r="CY160" s="197">
        <f t="shared" si="116"/>
        <v>10</v>
      </c>
      <c r="CZ160" s="197" t="str">
        <f t="shared" si="113"/>
        <v/>
      </c>
      <c r="DB160" s="24"/>
      <c r="DD160" s="516"/>
      <c r="DE160" s="516"/>
      <c r="DH160" s="197">
        <f t="shared" si="117"/>
        <v>5</v>
      </c>
      <c r="DI160" s="197" t="str">
        <f t="shared" si="114"/>
        <v/>
      </c>
      <c r="DK160" s="24"/>
      <c r="DM160" s="516"/>
      <c r="DN160" s="516"/>
      <c r="DQ160" s="197">
        <f t="shared" si="115"/>
        <v>11</v>
      </c>
      <c r="DR160" s="197" t="str">
        <f t="shared" si="111"/>
        <v/>
      </c>
      <c r="DS160" s="10" t="str">
        <f t="shared" ref="DS160:DS165" si="118">CT106</f>
        <v/>
      </c>
      <c r="DT160" s="24"/>
      <c r="DU160" s="249" t="str">
        <f>IF(COUNTIF($DS$10:DS159,DS160)&gt;0,"",DS160)</f>
        <v/>
      </c>
      <c r="DV160" s="198" t="str">
        <f t="shared" ref="DV160:DV165" si="119">CV106</f>
        <v/>
      </c>
      <c r="DW160" s="514">
        <f t="shared" si="112"/>
        <v>5</v>
      </c>
    </row>
    <row r="161" spans="2:127" ht="11.25" customHeight="1" thickBot="1">
      <c r="B161" s="23"/>
      <c r="C161" s="2300" t="s">
        <v>861</v>
      </c>
      <c r="D161" s="2301"/>
      <c r="E161" s="2301"/>
      <c r="F161" s="2301"/>
      <c r="G161" s="2302"/>
      <c r="H161" s="3422" t="str">
        <f>IF(CE159=0,"",IF(R161&lt;&gt;"",R161,"HP 1.2mm-3C"))</f>
        <v>HP 1.2mm-3C</v>
      </c>
      <c r="I161" s="3423"/>
      <c r="J161" s="3423"/>
      <c r="K161" s="3423"/>
      <c r="L161" s="3423"/>
      <c r="M161" s="3423"/>
      <c r="N161" s="3423"/>
      <c r="O161" s="3423"/>
      <c r="P161" s="3424"/>
      <c r="Q161" s="668" t="s">
        <v>2</v>
      </c>
      <c r="R161" s="3362"/>
      <c r="S161" s="3363"/>
      <c r="T161" s="3363"/>
      <c r="U161" s="3363"/>
      <c r="V161" s="3363"/>
      <c r="W161" s="3363"/>
      <c r="X161" s="3363"/>
      <c r="Y161" s="3363"/>
      <c r="Z161" s="3364"/>
      <c r="AA161" s="3348" t="s">
        <v>17</v>
      </c>
      <c r="AB161" s="3349"/>
      <c r="AC161" s="3349"/>
      <c r="AD161" s="3349"/>
      <c r="AE161" s="3350"/>
      <c r="AF161" s="3385">
        <f>IF(CE159=0,"",IF(AK161&lt;&gt;"",AK161,SUM(CN155:CN156)))</f>
        <v>78</v>
      </c>
      <c r="AG161" s="3386"/>
      <c r="AH161" s="3386"/>
      <c r="AI161" s="3387"/>
      <c r="AJ161" s="669" t="s">
        <v>2</v>
      </c>
      <c r="AK161" s="3415"/>
      <c r="AL161" s="3416"/>
      <c r="AM161" s="3416"/>
      <c r="AN161" s="3417"/>
      <c r="AO161" s="2300" t="s">
        <v>860</v>
      </c>
      <c r="AP161" s="2301"/>
      <c r="AQ161" s="2301"/>
      <c r="AR161" s="2301"/>
      <c r="AS161" s="2302"/>
      <c r="AT161" s="3422" t="str">
        <f>IF(CE159=0,"",IF(BA161&lt;&gt;"",BA161,IF(MID(AG157,4,2)="C ","C-19mm",IF(MID(AG157,4,2)="PF","PF-D-16mm",IF(MID(AG157,4,2)="CD","CD-16mm",IF(MID(AG157,4,2)="G ","G-16mm","C-19mm"))))))</f>
        <v>C-19mm</v>
      </c>
      <c r="AU161" s="3423"/>
      <c r="AV161" s="3423"/>
      <c r="AW161" s="3423"/>
      <c r="AX161" s="3423"/>
      <c r="AY161" s="3424"/>
      <c r="AZ161" s="668" t="s">
        <v>2</v>
      </c>
      <c r="BA161" s="3362"/>
      <c r="BB161" s="3363"/>
      <c r="BC161" s="3363"/>
      <c r="BD161" s="3363"/>
      <c r="BE161" s="3363"/>
      <c r="BF161" s="3364"/>
      <c r="BG161" s="3348" t="s">
        <v>17</v>
      </c>
      <c r="BH161" s="3349"/>
      <c r="BI161" s="3349"/>
      <c r="BJ161" s="3349"/>
      <c r="BK161" s="3350"/>
      <c r="BL161" s="3385">
        <f>IF(CE159=0,"",IF(BQ161&lt;&gt;"",BQ161,SUM(CO155:CO156)))</f>
        <v>57</v>
      </c>
      <c r="BM161" s="3386"/>
      <c r="BN161" s="3386"/>
      <c r="BO161" s="3387"/>
      <c r="BP161" s="668" t="s">
        <v>2</v>
      </c>
      <c r="BQ161" s="3425"/>
      <c r="BR161" s="3426"/>
      <c r="BS161" s="3426"/>
      <c r="BT161" s="3427"/>
      <c r="BU161" s="19"/>
      <c r="CF161" s="106" t="s">
        <v>859</v>
      </c>
      <c r="CG161" s="184">
        <f>IF(CE159="=",CD157,0)</f>
        <v>0</v>
      </c>
      <c r="CH161" s="667" t="s">
        <v>858</v>
      </c>
      <c r="CI161" s="184">
        <f>F159+2*$AN$7/1000</f>
        <v>7</v>
      </c>
      <c r="CJ161" s="666" t="s">
        <v>857</v>
      </c>
      <c r="CK161" s="184">
        <f>IF(CG157=1,CG161,0)</f>
        <v>0</v>
      </c>
      <c r="CL161" s="666" t="s">
        <v>856</v>
      </c>
      <c r="CM161" s="184">
        <f>IF(CG157=1,F159,0)</f>
        <v>4</v>
      </c>
      <c r="CN161" s="665">
        <f>INT(AS158/2)</f>
        <v>2</v>
      </c>
      <c r="CO161" s="665">
        <f>IF(AU158="","",1+INT(AU158/2))</f>
        <v>1</v>
      </c>
      <c r="CP161" s="664" t="s">
        <v>855</v>
      </c>
      <c r="CQ161" s="3477" t="str">
        <f>IF(CS161="","","ソノライン・スピーカ 20W")</f>
        <v>ソノライン・スピーカ 20W</v>
      </c>
      <c r="CR161" s="3478"/>
      <c r="CS161" s="222">
        <f>IF(BE158="",0,BE158)</f>
        <v>0</v>
      </c>
      <c r="CT161" s="155"/>
      <c r="CU161" s="148"/>
      <c r="CV161" s="148"/>
      <c r="CY161" s="197">
        <f t="shared" si="116"/>
        <v>10</v>
      </c>
      <c r="CZ161" s="197" t="str">
        <f t="shared" si="113"/>
        <v/>
      </c>
      <c r="DB161" s="24"/>
      <c r="DD161" s="516"/>
      <c r="DE161" s="516"/>
      <c r="DH161" s="197">
        <f t="shared" si="117"/>
        <v>5</v>
      </c>
      <c r="DI161" s="197" t="str">
        <f t="shared" si="114"/>
        <v/>
      </c>
      <c r="DK161" s="24"/>
      <c r="DM161" s="516"/>
      <c r="DN161" s="516"/>
      <c r="DQ161" s="197">
        <f t="shared" si="115"/>
        <v>11</v>
      </c>
      <c r="DR161" s="197" t="str">
        <f t="shared" si="111"/>
        <v/>
      </c>
      <c r="DS161" s="10" t="str">
        <f t="shared" si="118"/>
        <v>アッテネータ 3W</v>
      </c>
      <c r="DT161" s="24"/>
      <c r="DU161" s="249" t="str">
        <f>IF(COUNTIF($DS$10:DS160,DS161)&gt;0,"",DS161)</f>
        <v/>
      </c>
      <c r="DV161" s="198">
        <f t="shared" si="119"/>
        <v>2</v>
      </c>
      <c r="DW161" s="514">
        <f t="shared" si="112"/>
        <v>5</v>
      </c>
    </row>
    <row r="162" spans="2:127" ht="11.25" customHeight="1">
      <c r="B162" s="23"/>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19"/>
      <c r="CP162" s="6"/>
      <c r="CQ162" s="2986" t="str">
        <f>IF(CS162="","","スピーカ 3W S1")</f>
        <v/>
      </c>
      <c r="CR162" s="3476"/>
      <c r="CS162" s="88" t="str">
        <f>IF(AS167=0,"",AS167)</f>
        <v/>
      </c>
      <c r="CT162" s="9"/>
      <c r="CX162" s="88">
        <v>17</v>
      </c>
      <c r="CY162" s="204"/>
      <c r="CZ162" s="155"/>
      <c r="DA162" s="45"/>
      <c r="DB162" s="45"/>
      <c r="DC162" s="45" t="s">
        <v>916</v>
      </c>
      <c r="DD162" s="45"/>
      <c r="DE162" s="45" t="s">
        <v>915</v>
      </c>
      <c r="DG162" s="88">
        <v>17</v>
      </c>
      <c r="DH162" s="204"/>
      <c r="DI162" s="155"/>
      <c r="DJ162" s="45"/>
      <c r="DK162" s="45"/>
      <c r="DL162" s="45" t="s">
        <v>916</v>
      </c>
      <c r="DM162" s="45"/>
      <c r="DN162" s="45" t="s">
        <v>915</v>
      </c>
      <c r="DQ162" s="197">
        <f t="shared" si="115"/>
        <v>11</v>
      </c>
      <c r="DR162" s="197" t="str">
        <f t="shared" si="111"/>
        <v/>
      </c>
      <c r="DS162" s="10" t="str">
        <f t="shared" si="118"/>
        <v>アッテネータ 6W</v>
      </c>
      <c r="DT162" s="24"/>
      <c r="DU162" s="249" t="str">
        <f>IF(COUNTIF($DS$10:DS161,DS162)&gt;0,"",DS162)</f>
        <v/>
      </c>
      <c r="DV162" s="198">
        <f t="shared" si="119"/>
        <v>1</v>
      </c>
      <c r="DW162" s="514">
        <f t="shared" si="112"/>
        <v>5</v>
      </c>
    </row>
    <row r="163" spans="2:127" ht="11.25" customHeight="1" thickBot="1">
      <c r="B163" s="23"/>
      <c r="C163" s="2299" t="s">
        <v>16</v>
      </c>
      <c r="D163" s="2299"/>
      <c r="E163" s="2299"/>
      <c r="F163" s="2299" t="s">
        <v>22</v>
      </c>
      <c r="G163" s="2299"/>
      <c r="H163" s="2299"/>
      <c r="I163" s="2299"/>
      <c r="J163" s="2299" t="s">
        <v>5</v>
      </c>
      <c r="K163" s="2299"/>
      <c r="L163" s="2299"/>
      <c r="M163" s="2299"/>
      <c r="N163" s="2299" t="s">
        <v>6</v>
      </c>
      <c r="O163" s="2299"/>
      <c r="P163" s="2299"/>
      <c r="Q163" s="2299"/>
      <c r="R163" s="2299"/>
      <c r="S163" s="2299" t="s">
        <v>952</v>
      </c>
      <c r="T163" s="2299"/>
      <c r="U163" s="2299"/>
      <c r="V163" s="2299"/>
      <c r="W163" s="2299"/>
      <c r="X163" s="2299"/>
      <c r="Y163" s="2299"/>
      <c r="Z163" s="2299"/>
      <c r="AA163" s="3382" t="s">
        <v>7</v>
      </c>
      <c r="AB163" s="3382"/>
      <c r="AC163" s="3382"/>
      <c r="AD163" s="3382"/>
      <c r="AE163" s="2630" t="str">
        <f>IF(S168="","",IF(AH163&lt;&gt;"",AH163,IF(RIGHT($D$10,2)="不要","不","要")))</f>
        <v/>
      </c>
      <c r="AF163" s="2630"/>
      <c r="AG163" s="668" t="s">
        <v>951</v>
      </c>
      <c r="AH163" s="2632"/>
      <c r="AI163" s="2633"/>
      <c r="AJ163" s="3371" t="s">
        <v>913</v>
      </c>
      <c r="AK163" s="3372"/>
      <c r="AL163" s="3372"/>
      <c r="AM163" s="3373"/>
      <c r="AN163" s="3383" t="str">
        <f>IF(W168="","",IF(AQ163&lt;&gt;"",AQ163,IF(RIGHT($D$10,2)="設置","要","不")))</f>
        <v/>
      </c>
      <c r="AO163" s="3384"/>
      <c r="AP163" s="668" t="s">
        <v>951</v>
      </c>
      <c r="AQ163" s="2632"/>
      <c r="AR163" s="2633"/>
      <c r="AS163" s="3399" t="s">
        <v>912</v>
      </c>
      <c r="AT163" s="3412"/>
      <c r="AU163" s="3412"/>
      <c r="AV163" s="3412"/>
      <c r="AW163" s="3412"/>
      <c r="AX163" s="3412"/>
      <c r="AY163" s="3412"/>
      <c r="AZ163" s="3412"/>
      <c r="BA163" s="3412"/>
      <c r="BB163" s="3412"/>
      <c r="BC163" s="3412"/>
      <c r="BD163" s="3412"/>
      <c r="BE163" s="3412"/>
      <c r="BF163" s="3412"/>
      <c r="BG163" s="3412"/>
      <c r="BH163" s="3413"/>
      <c r="BI163" s="3399" t="s">
        <v>948</v>
      </c>
      <c r="BJ163" s="3412"/>
      <c r="BK163" s="3412"/>
      <c r="BL163" s="3413"/>
      <c r="BM163" s="3360" t="s">
        <v>950</v>
      </c>
      <c r="BN163" s="3419"/>
      <c r="BO163" s="3419"/>
      <c r="BP163" s="3419"/>
      <c r="BQ163" s="3419"/>
      <c r="BR163" s="3361"/>
      <c r="BS163" s="3441" t="s">
        <v>949</v>
      </c>
      <c r="BT163" s="3442"/>
      <c r="BU163" s="19"/>
      <c r="BW163" s="102"/>
      <c r="CF163" s="8"/>
      <c r="CG163" s="685" t="s">
        <v>909</v>
      </c>
      <c r="CH163" s="685" t="s">
        <v>908</v>
      </c>
      <c r="CI163" s="685" t="s">
        <v>948</v>
      </c>
      <c r="CJ163" s="686">
        <f>IF($AX$8=0,"",INT(10.7*CD165*CE165/($BF$8/1000)^2))</f>
        <v>0</v>
      </c>
      <c r="CK163" s="685" t="s">
        <v>947</v>
      </c>
      <c r="CL163" s="685" t="s">
        <v>946</v>
      </c>
      <c r="CM163" s="685" t="s">
        <v>945</v>
      </c>
      <c r="CN163" s="550" t="s">
        <v>734</v>
      </c>
      <c r="CO163" s="550" t="s">
        <v>732</v>
      </c>
      <c r="CP163" s="684"/>
      <c r="CQ163" s="2986" t="str">
        <f>IF(CS163="","","スピーカ 3W S3")</f>
        <v/>
      </c>
      <c r="CR163" s="3476"/>
      <c r="CS163" s="88" t="str">
        <f>IF(AY167=0,"",AY167)</f>
        <v/>
      </c>
      <c r="CT163" s="3483" t="str">
        <f>IF(CV163="","","マイクロホン")</f>
        <v/>
      </c>
      <c r="CU163" s="3484"/>
      <c r="CV163" s="88" t="str">
        <f>BG167</f>
        <v/>
      </c>
      <c r="CX163" s="8"/>
      <c r="CY163" s="197">
        <f>IF(DC163&lt;&gt;"",CY161+1,CY161)</f>
        <v>10</v>
      </c>
      <c r="CZ163" s="197" t="str">
        <f t="shared" ref="CZ163:CZ170" si="120">IF(AND(CY163&lt;&gt;"",DC163&lt;&gt;""),CY163,"")</f>
        <v/>
      </c>
      <c r="DA163" s="10" t="str">
        <f>H169</f>
        <v/>
      </c>
      <c r="DB163" s="8"/>
      <c r="DC163" s="249" t="str">
        <f>IF(COUNTIF(DA$10:$DA160,DA163)&gt;0,"",DA163)</f>
        <v/>
      </c>
      <c r="DD163" s="515" t="str">
        <f>AF169</f>
        <v/>
      </c>
      <c r="DE163" s="514">
        <f>SUMIF($DA$13:$DA$199,DC163,$DD$13:$DD$199)</f>
        <v>0</v>
      </c>
      <c r="DG163" s="8"/>
      <c r="DH163" s="197">
        <f>IF(DL163&lt;&gt;"",DH161+1,DH161)</f>
        <v>5</v>
      </c>
      <c r="DI163" s="197" t="str">
        <f t="shared" ref="DI163:DI170" si="121">IF(AND(DH163&lt;&gt;"",DL163&lt;&gt;""),DH163,"")</f>
        <v/>
      </c>
      <c r="DJ163" s="10" t="str">
        <f>AT169</f>
        <v/>
      </c>
      <c r="DK163" s="8"/>
      <c r="DL163" s="249" t="str">
        <f>IF(COUNTIF($DA$10:DJ160,DJ163)&gt;0,"",DJ163)</f>
        <v/>
      </c>
      <c r="DM163" s="515" t="str">
        <f>BL169</f>
        <v/>
      </c>
      <c r="DN163" s="514">
        <f>SUMIF($DJ$13:$DJ$199,DL163,$DM$13:$DM$199)</f>
        <v>0</v>
      </c>
      <c r="DQ163" s="197">
        <f t="shared" si="115"/>
        <v>11</v>
      </c>
      <c r="DR163" s="197" t="str">
        <f t="shared" si="111"/>
        <v/>
      </c>
      <c r="DS163" s="10" t="str">
        <f t="shared" si="118"/>
        <v/>
      </c>
      <c r="DT163" s="24"/>
      <c r="DU163" s="249" t="str">
        <f>IF(COUNTIF($DS$10:DS162,DS163)&gt;0,"",DS163)</f>
        <v/>
      </c>
      <c r="DV163" s="198" t="str">
        <f t="shared" si="119"/>
        <v/>
      </c>
      <c r="DW163" s="514">
        <f t="shared" si="112"/>
        <v>5</v>
      </c>
    </row>
    <row r="164" spans="2:127" ht="11.25" customHeight="1" thickBot="1">
      <c r="B164" s="23"/>
      <c r="C164" s="2299"/>
      <c r="D164" s="2299"/>
      <c r="E164" s="2299"/>
      <c r="F164" s="2396"/>
      <c r="G164" s="2396"/>
      <c r="H164" s="2396"/>
      <c r="I164" s="2396"/>
      <c r="J164" s="2396"/>
      <c r="K164" s="2396"/>
      <c r="L164" s="2396"/>
      <c r="M164" s="2396"/>
      <c r="N164" s="2396"/>
      <c r="O164" s="2396"/>
      <c r="P164" s="2396"/>
      <c r="Q164" s="2396"/>
      <c r="R164" s="2396"/>
      <c r="S164" s="2396" t="s">
        <v>7</v>
      </c>
      <c r="T164" s="2396"/>
      <c r="U164" s="2396"/>
      <c r="V164" s="2396"/>
      <c r="W164" s="2396" t="s">
        <v>8</v>
      </c>
      <c r="X164" s="2396"/>
      <c r="Y164" s="2396"/>
      <c r="Z164" s="2396"/>
      <c r="AA164" s="2384" t="s">
        <v>9</v>
      </c>
      <c r="AB164" s="2385"/>
      <c r="AC164" s="2386"/>
      <c r="AD164" s="2384" t="s">
        <v>9</v>
      </c>
      <c r="AE164" s="2385"/>
      <c r="AF164" s="2386"/>
      <c r="AG164" s="2384" t="str">
        <f>IF(AN164="","","専部屋面積")</f>
        <v/>
      </c>
      <c r="AH164" s="2385"/>
      <c r="AI164" s="2385"/>
      <c r="AJ164" s="2382"/>
      <c r="AK164" s="2382"/>
      <c r="AL164" s="2382"/>
      <c r="AM164" s="3392"/>
      <c r="AN164" s="3365" t="str">
        <f>IF(OR(S168="",$B$2=0),"",S168/AA168)</f>
        <v/>
      </c>
      <c r="AO164" s="3366"/>
      <c r="AP164" s="3366"/>
      <c r="AQ164" s="3366"/>
      <c r="AR164" s="3367"/>
      <c r="AS164" s="2300" t="s">
        <v>903</v>
      </c>
      <c r="AT164" s="2301"/>
      <c r="AU164" s="2301"/>
      <c r="AV164" s="2301"/>
      <c r="AW164" s="2301"/>
      <c r="AX164" s="2302"/>
      <c r="AY164" s="2300" t="s">
        <v>902</v>
      </c>
      <c r="AZ164" s="2301"/>
      <c r="BA164" s="2301"/>
      <c r="BB164" s="2302"/>
      <c r="BC164" s="2300" t="s">
        <v>902</v>
      </c>
      <c r="BD164" s="2301"/>
      <c r="BE164" s="2301"/>
      <c r="BF164" s="2302"/>
      <c r="BG164" s="2300" t="s">
        <v>743</v>
      </c>
      <c r="BH164" s="2302"/>
      <c r="BI164" s="2300" t="s">
        <v>901</v>
      </c>
      <c r="BJ164" s="2301"/>
      <c r="BK164" s="2301"/>
      <c r="BL164" s="2302"/>
      <c r="BM164" s="2299" t="s">
        <v>900</v>
      </c>
      <c r="BN164" s="2299"/>
      <c r="BO164" s="2299"/>
      <c r="BP164" s="2299" t="s">
        <v>899</v>
      </c>
      <c r="BQ164" s="2299"/>
      <c r="BR164" s="2299"/>
      <c r="BS164" s="3439" t="s">
        <v>898</v>
      </c>
      <c r="BT164" s="3440"/>
      <c r="BU164" s="19"/>
      <c r="BW164" s="679"/>
      <c r="BX164" s="90" t="s">
        <v>897</v>
      </c>
      <c r="BY164" s="100" t="s">
        <v>896</v>
      </c>
      <c r="CC164" s="180">
        <v>117</v>
      </c>
      <c r="CD164" s="55" t="s">
        <v>73</v>
      </c>
      <c r="CE164" s="55" t="s">
        <v>72</v>
      </c>
      <c r="CF164" s="106" t="s">
        <v>859</v>
      </c>
      <c r="CG164" s="184" t="e">
        <f>INT((CD166+10)*BY167+CS165*$AN$8/1000+($AN$7/1000)*BY167)</f>
        <v>#VALUE!</v>
      </c>
      <c r="CH164" s="184" t="e">
        <f>INT(CD166*CS170+CS170)</f>
        <v>#VALUE!</v>
      </c>
      <c r="CI164" s="184">
        <f>8*SUM(BI167:BL167)</f>
        <v>0</v>
      </c>
      <c r="CJ164" s="185">
        <f>IF($AX$8=0,"",2*INT(0.5*CJ163))</f>
        <v>0</v>
      </c>
      <c r="CK164" s="184"/>
      <c r="CL164" s="184" t="str">
        <f>IF(BP167="","",10*BP167)</f>
        <v/>
      </c>
      <c r="CM164" s="184" t="str">
        <f>IF(BP167="","",10*BP167)</f>
        <v/>
      </c>
      <c r="CN164" s="682">
        <f>IF(S168="",0,IF(AE163="不","",(SUM(CG164:CM164)+SUM(CG165:CM165))*S168/N168))</f>
        <v>0</v>
      </c>
      <c r="CO164" s="682">
        <f>IF(S168="",0,IF(AE163="不","",(SUM(CG167:CM167)+SUM(CG168:CM168))*S168/N168))</f>
        <v>0</v>
      </c>
      <c r="CP164" s="664" t="s">
        <v>1</v>
      </c>
      <c r="CQ164" s="2986" t="str">
        <f>IF(CS164="","","スピーカ S5")</f>
        <v/>
      </c>
      <c r="CR164" s="3476"/>
      <c r="CS164" s="683" t="str">
        <f>IF(AW167=0,"",AW167)</f>
        <v/>
      </c>
      <c r="CT164" s="3483" t="str">
        <f>IF(CV164="","","アッテネータ 3W")</f>
        <v/>
      </c>
      <c r="CU164" s="3484"/>
      <c r="CV164" s="88" t="str">
        <f>BI167</f>
        <v/>
      </c>
      <c r="CX164" s="8"/>
      <c r="CY164" s="197">
        <f t="shared" ref="CY164:CY170" si="122">IF(DC164&lt;&gt;"",CY163+1,CY163)</f>
        <v>10</v>
      </c>
      <c r="CZ164" s="197" t="str">
        <f t="shared" si="120"/>
        <v/>
      </c>
      <c r="DA164" s="10" t="str">
        <f>H170</f>
        <v/>
      </c>
      <c r="DB164" s="8"/>
      <c r="DC164" s="249" t="str">
        <f>IF(COUNTIF(DA$10:$DA161,DA164)&gt;0,"",DA164)</f>
        <v/>
      </c>
      <c r="DD164" s="515" t="str">
        <f>AF170</f>
        <v/>
      </c>
      <c r="DE164" s="514">
        <f>SUMIF($DA$13:$DA$199,DC164,$DD$13:$DD$199)</f>
        <v>0</v>
      </c>
      <c r="DG164" s="8"/>
      <c r="DH164" s="197">
        <f t="shared" ref="DH164:DH170" si="123">IF(DL164&lt;&gt;"",DH163+1,DH163)</f>
        <v>5</v>
      </c>
      <c r="DI164" s="197" t="str">
        <f t="shared" si="121"/>
        <v/>
      </c>
      <c r="DJ164" s="10" t="str">
        <f>AT170</f>
        <v/>
      </c>
      <c r="DK164" s="8"/>
      <c r="DL164" s="249" t="str">
        <f>IF(COUNTIF($DA$10:DJ161,DJ164)&gt;0,"",DJ164)</f>
        <v/>
      </c>
      <c r="DM164" s="515" t="str">
        <f>BL170</f>
        <v/>
      </c>
      <c r="DN164" s="514">
        <f>SUMIF($DJ$13:$DJ$199,DL164,$DM$13:$DM$199)</f>
        <v>0</v>
      </c>
      <c r="DQ164" s="197">
        <f t="shared" si="115"/>
        <v>11</v>
      </c>
      <c r="DR164" s="197" t="str">
        <f t="shared" si="111"/>
        <v/>
      </c>
      <c r="DS164" s="10" t="str">
        <f t="shared" si="118"/>
        <v/>
      </c>
      <c r="DT164" s="24"/>
      <c r="DU164" s="249" t="str">
        <f>IF(COUNTIF($DS$10:DS163,DS164)&gt;0,"",DS164)</f>
        <v/>
      </c>
      <c r="DV164" s="198" t="str">
        <f t="shared" si="119"/>
        <v/>
      </c>
      <c r="DW164" s="514">
        <f t="shared" si="112"/>
        <v>5</v>
      </c>
    </row>
    <row r="165" spans="2:127" ht="11.25" customHeight="1" thickBot="1">
      <c r="B165" s="23"/>
      <c r="C165" s="2396"/>
      <c r="D165" s="2396"/>
      <c r="E165" s="2396"/>
      <c r="F165" s="2397" t="s">
        <v>235</v>
      </c>
      <c r="G165" s="2397"/>
      <c r="H165" s="2397"/>
      <c r="I165" s="2397"/>
      <c r="J165" s="2397" t="s">
        <v>235</v>
      </c>
      <c r="K165" s="2397"/>
      <c r="L165" s="2397"/>
      <c r="M165" s="2397"/>
      <c r="N165" s="2397" t="s">
        <v>128</v>
      </c>
      <c r="O165" s="2397"/>
      <c r="P165" s="2397"/>
      <c r="Q165" s="2397"/>
      <c r="R165" s="2397"/>
      <c r="S165" s="2397" t="s">
        <v>128</v>
      </c>
      <c r="T165" s="2397"/>
      <c r="U165" s="2397"/>
      <c r="V165" s="2397"/>
      <c r="W165" s="2397" t="s">
        <v>128</v>
      </c>
      <c r="X165" s="2397"/>
      <c r="Y165" s="2397"/>
      <c r="Z165" s="2397"/>
      <c r="AA165" s="2397" t="s">
        <v>111</v>
      </c>
      <c r="AB165" s="2397"/>
      <c r="AC165" s="2397"/>
      <c r="AD165" s="2397" t="s">
        <v>110</v>
      </c>
      <c r="AE165" s="2397"/>
      <c r="AF165" s="2397"/>
      <c r="AG165" s="3398" t="str">
        <f>IF(AN165="","","共部屋面積")</f>
        <v/>
      </c>
      <c r="AH165" s="2382"/>
      <c r="AI165" s="2382"/>
      <c r="AJ165" s="2382"/>
      <c r="AK165" s="2382"/>
      <c r="AL165" s="2382"/>
      <c r="AM165" s="3392"/>
      <c r="AN165" s="3368" t="str">
        <f>IF(OR($B$2=0,C168=""),"",W168/AD168)</f>
        <v/>
      </c>
      <c r="AO165" s="3369"/>
      <c r="AP165" s="3369"/>
      <c r="AQ165" s="3369"/>
      <c r="AR165" s="3370"/>
      <c r="AS165" s="3419" t="s">
        <v>895</v>
      </c>
      <c r="AT165" s="3361"/>
      <c r="AU165" s="3360" t="s">
        <v>894</v>
      </c>
      <c r="AV165" s="3361"/>
      <c r="AW165" s="3360" t="s">
        <v>893</v>
      </c>
      <c r="AX165" s="3361"/>
      <c r="AY165" s="3360" t="s">
        <v>892</v>
      </c>
      <c r="AZ165" s="3361"/>
      <c r="BA165" s="3360" t="s">
        <v>891</v>
      </c>
      <c r="BB165" s="3361"/>
      <c r="BC165" s="3360" t="s">
        <v>890</v>
      </c>
      <c r="BD165" s="3361"/>
      <c r="BE165" s="3360" t="s">
        <v>889</v>
      </c>
      <c r="BF165" s="3361"/>
      <c r="BG165" s="3432" t="s">
        <v>888</v>
      </c>
      <c r="BH165" s="3433"/>
      <c r="BI165" s="3360"/>
      <c r="BJ165" s="3361"/>
      <c r="BK165" s="3360"/>
      <c r="BL165" s="3361"/>
      <c r="BM165" s="3391" t="s">
        <v>887</v>
      </c>
      <c r="BN165" s="3391"/>
      <c r="BO165" s="3391"/>
      <c r="BP165" s="3391" t="s">
        <v>887</v>
      </c>
      <c r="BQ165" s="3391"/>
      <c r="BR165" s="3391"/>
      <c r="BS165" s="3432" t="s">
        <v>744</v>
      </c>
      <c r="BT165" s="3433"/>
      <c r="BU165" s="19"/>
      <c r="BW165" s="102"/>
      <c r="BX165" s="88">
        <f>IF(OR(J166="( 10)",J166="(12)イ",LEFT(J166,4)="(13)"),1,0)</f>
        <v>0</v>
      </c>
      <c r="BY165" s="88" t="str">
        <f>IF(OR(J166="(1) ロ",J166="(2) ロ",J166="(2) ニ",J166="(5) イ",J166="(6) ハ",J166="(6) ニ",J166="( 7 )",J166="( 15)"),"要","")</f>
        <v/>
      </c>
      <c r="CC165" s="46">
        <v>17</v>
      </c>
      <c r="CD165" s="98">
        <f>非誘!BW119</f>
        <v>0</v>
      </c>
      <c r="CE165" s="98">
        <f>非誘!BX119</f>
        <v>0</v>
      </c>
      <c r="CF165" s="106" t="s">
        <v>858</v>
      </c>
      <c r="CG165" s="185" t="e">
        <f>INT((F168-$Y$10/1000-0.25)*BY167)</f>
        <v>#VALUE!</v>
      </c>
      <c r="CH165" s="184" t="e">
        <f>1+INT((F168-$Y$7/1000-0.25+$AN$8/1000)*CS170)</f>
        <v>#VALUE!</v>
      </c>
      <c r="CI165" s="184" t="e">
        <f>INT((F168-$Y$8/1000-0.25+$AN$9/1000)*SUM(BI167:BL167))</f>
        <v>#VALUE!</v>
      </c>
      <c r="CJ165" s="185">
        <f>IF($AX$8=0,"",2*INT(CJ163*($AX$8-250)/1000))</f>
        <v>0</v>
      </c>
      <c r="CK165" s="184"/>
      <c r="CL165" s="184" t="str">
        <f>IF(BP167="","",INT((F168-$Y$9/1000-0.25+AN159/1000)*BP167))</f>
        <v/>
      </c>
      <c r="CM165" s="184" t="str">
        <f>IF(BS167="","",INT((F168-$Y$9/1000-0.25+AN159/1000)*BS167))</f>
        <v/>
      </c>
      <c r="CN165" s="682" t="e">
        <f>IF(AN163="不","",(SUM(CG164:CM164)+SUM(CG165:CM165))*W168/N168)</f>
        <v>#VALUE!</v>
      </c>
      <c r="CO165" s="682" t="e">
        <f>IF(AN163="不","",(SUM(CG167:CM167)+SUM(CG168:CM168))*W168/N168)</f>
        <v>#VALUE!</v>
      </c>
      <c r="CP165" s="670" t="s">
        <v>877</v>
      </c>
      <c r="CQ165" s="15"/>
      <c r="CR165" s="106" t="s">
        <v>868</v>
      </c>
      <c r="CS165" s="8">
        <f>SUM(CS162:CS164)</f>
        <v>0</v>
      </c>
      <c r="CT165" s="3485" t="str">
        <f>IF(CV165="","","アッテネータ 6W")</f>
        <v/>
      </c>
      <c r="CU165" s="3484"/>
      <c r="CV165" s="88" t="str">
        <f>BK167</f>
        <v/>
      </c>
      <c r="CX165" s="8"/>
      <c r="CY165" s="197">
        <f t="shared" si="122"/>
        <v>10</v>
      </c>
      <c r="CZ165" s="197" t="str">
        <f t="shared" si="120"/>
        <v/>
      </c>
      <c r="DA165" s="10"/>
      <c r="DB165" s="8"/>
      <c r="DC165" s="249"/>
      <c r="DD165" s="515"/>
      <c r="DE165" s="514"/>
      <c r="DG165" s="8"/>
      <c r="DH165" s="197">
        <f t="shared" si="123"/>
        <v>5</v>
      </c>
      <c r="DI165" s="197" t="str">
        <f t="shared" si="121"/>
        <v/>
      </c>
      <c r="DJ165" s="10"/>
      <c r="DK165" s="8"/>
      <c r="DL165" s="249"/>
      <c r="DM165" s="515"/>
      <c r="DN165" s="514"/>
      <c r="DP165" s="8"/>
      <c r="DQ165" s="197">
        <f t="shared" si="115"/>
        <v>11</v>
      </c>
      <c r="DR165" s="197" t="str">
        <f t="shared" si="111"/>
        <v/>
      </c>
      <c r="DS165" s="10" t="str">
        <f t="shared" si="118"/>
        <v/>
      </c>
      <c r="DT165" s="24"/>
      <c r="DU165" s="249" t="str">
        <f>IF(COUNTIF($DS$10:DS164,DS165)&gt;0,"",DS165)</f>
        <v/>
      </c>
      <c r="DV165" s="198" t="str">
        <f t="shared" si="119"/>
        <v/>
      </c>
      <c r="DW165" s="514">
        <f t="shared" si="112"/>
        <v>5</v>
      </c>
    </row>
    <row r="166" spans="2:127" ht="11.25" customHeight="1" thickBot="1">
      <c r="B166" s="23"/>
      <c r="C166" s="2299" t="s">
        <v>112</v>
      </c>
      <c r="D166" s="2299"/>
      <c r="E166" s="2299"/>
      <c r="F166" s="2299"/>
      <c r="G166" s="2299"/>
      <c r="H166" s="2299"/>
      <c r="I166" s="3399"/>
      <c r="J166" s="3400" t="str">
        <f>非誘!J117</f>
        <v/>
      </c>
      <c r="K166" s="3401"/>
      <c r="L166" s="3401"/>
      <c r="M166" s="3402"/>
      <c r="N166" s="3403" t="str">
        <f>非誘!M117</f>
        <v/>
      </c>
      <c r="O166" s="3404"/>
      <c r="P166" s="3404"/>
      <c r="Q166" s="3404"/>
      <c r="R166" s="3404"/>
      <c r="S166" s="3404"/>
      <c r="T166" s="3404"/>
      <c r="U166" s="3404"/>
      <c r="V166" s="3404"/>
      <c r="W166" s="3404"/>
      <c r="X166" s="3404"/>
      <c r="Y166" s="3404"/>
      <c r="Z166" s="3405"/>
      <c r="AA166" s="3406" t="s">
        <v>926</v>
      </c>
      <c r="AB166" s="2301"/>
      <c r="AC166" s="2301"/>
      <c r="AD166" s="2301"/>
      <c r="AE166" s="2301"/>
      <c r="AF166" s="2302"/>
      <c r="AG166" s="3393" t="str">
        <f>IF($B$2=0,"",IF(AN166="","天井(C 管)",AN166))</f>
        <v>天井(C 管)</v>
      </c>
      <c r="AH166" s="2368"/>
      <c r="AI166" s="2368"/>
      <c r="AJ166" s="2368"/>
      <c r="AK166" s="2368"/>
      <c r="AL166" s="3394"/>
      <c r="AM166" s="668" t="s">
        <v>925</v>
      </c>
      <c r="AN166" s="3395"/>
      <c r="AO166" s="3396"/>
      <c r="AP166" s="3396"/>
      <c r="AQ166" s="3396"/>
      <c r="AR166" s="3397"/>
      <c r="AS166" s="3434" t="s">
        <v>881</v>
      </c>
      <c r="AT166" s="3435"/>
      <c r="AU166" s="3436" t="s">
        <v>880</v>
      </c>
      <c r="AV166" s="3437"/>
      <c r="AW166" s="3432"/>
      <c r="AX166" s="3433"/>
      <c r="AY166" s="3432" t="s">
        <v>881</v>
      </c>
      <c r="AZ166" s="3433"/>
      <c r="BA166" s="3436" t="s">
        <v>884</v>
      </c>
      <c r="BB166" s="3437"/>
      <c r="BC166" s="3436" t="s">
        <v>883</v>
      </c>
      <c r="BD166" s="3438"/>
      <c r="BE166" s="3438"/>
      <c r="BF166" s="3437"/>
      <c r="BG166" s="3420" t="s">
        <v>882</v>
      </c>
      <c r="BH166" s="3421"/>
      <c r="BI166" s="3436" t="s">
        <v>881</v>
      </c>
      <c r="BJ166" s="3437"/>
      <c r="BK166" s="3436" t="s">
        <v>880</v>
      </c>
      <c r="BL166" s="3437"/>
      <c r="BM166" s="3407" t="str">
        <f>IF(BM167="","",$BW$12)</f>
        <v/>
      </c>
      <c r="BN166" s="3407"/>
      <c r="BO166" s="3407"/>
      <c r="BP166" s="3407" t="str">
        <f>IF(BP167="","",30)</f>
        <v/>
      </c>
      <c r="BQ166" s="3407"/>
      <c r="BR166" s="3407"/>
      <c r="BS166" s="2384" t="s">
        <v>879</v>
      </c>
      <c r="BT166" s="2386"/>
      <c r="BU166" s="19"/>
      <c r="BW166" s="102"/>
      <c r="CB166" s="90" t="s">
        <v>944</v>
      </c>
      <c r="CC166" s="479" t="str">
        <f>AD167</f>
        <v/>
      </c>
      <c r="CD166" s="263" t="str">
        <f>IF(C168="","",IF(CC166="①",CD165+CE165+3,IF(CC166="②",CD165*5/8+CE165+3,IF(CC166="③",CD165/2+CE165+3,IF(CC166="④",CD165+CE165*5/8+3,IF(CC166="⑤",(CD165+CE165)*5/8+3,IF(CC166="⑥",CD165/2+CE165*5/8+3,IF(CC166="⑦",CD165+CE165/2+3,IF(CC166="⑧",CD165*5/8+CE165/2+3,IF(CC166="⑨",(CD165+CE165)/2+3))))))))))</f>
        <v/>
      </c>
      <c r="CE166" s="8"/>
      <c r="CF166" s="106"/>
      <c r="CG166" s="681">
        <f>IF(AG166="天井ケーブル",0,1)</f>
        <v>1</v>
      </c>
      <c r="CH166" s="394"/>
      <c r="CI166" s="394"/>
      <c r="CJ166" s="59"/>
      <c r="CK166" s="394"/>
      <c r="CL166" s="394"/>
      <c r="CM166" s="394"/>
      <c r="CN166" s="62" t="s">
        <v>1</v>
      </c>
      <c r="CO166" s="62" t="s">
        <v>877</v>
      </c>
      <c r="CP166" s="38"/>
      <c r="CQ166" s="2986" t="str">
        <f>IF(CS166="","","スピーカ 6W S2")</f>
        <v/>
      </c>
      <c r="CR166" s="3476"/>
      <c r="CS166" s="88" t="str">
        <f>IF(AU167=0,"",AU167)</f>
        <v/>
      </c>
      <c r="CT166" s="3483" t="str">
        <f>IF(CV166="","","主増幅器")</f>
        <v/>
      </c>
      <c r="CU166" s="3484"/>
      <c r="CV166" s="88" t="str">
        <f>BM167</f>
        <v/>
      </c>
      <c r="CX166" s="8"/>
      <c r="CY166" s="197">
        <f t="shared" si="122"/>
        <v>10</v>
      </c>
      <c r="CZ166" s="197" t="str">
        <f t="shared" si="120"/>
        <v/>
      </c>
      <c r="DA166" s="10"/>
      <c r="DB166" s="8"/>
      <c r="DC166" s="249"/>
      <c r="DD166" s="515"/>
      <c r="DE166" s="514"/>
      <c r="DG166" s="8"/>
      <c r="DH166" s="197">
        <f t="shared" si="123"/>
        <v>5</v>
      </c>
      <c r="DI166" s="197" t="str">
        <f t="shared" si="121"/>
        <v/>
      </c>
      <c r="DJ166" s="10"/>
      <c r="DK166" s="8"/>
      <c r="DL166" s="249"/>
      <c r="DM166" s="515"/>
      <c r="DN166" s="514"/>
      <c r="DP166" s="88">
        <v>12</v>
      </c>
      <c r="DQ166" s="45"/>
      <c r="DR166" s="45"/>
      <c r="DS166" s="45"/>
      <c r="DT166" s="45"/>
      <c r="DU166" s="45"/>
      <c r="DV166" s="45"/>
      <c r="DW166" s="45"/>
    </row>
    <row r="167" spans="2:127" ht="11.25" customHeight="1" thickBot="1">
      <c r="B167" s="23"/>
      <c r="C167" s="3409" t="s">
        <v>232</v>
      </c>
      <c r="D167" s="3410"/>
      <c r="E167" s="3410"/>
      <c r="F167" s="3410"/>
      <c r="G167" s="3410"/>
      <c r="H167" s="3411"/>
      <c r="I167" s="3430" t="str">
        <f>非誘!AA117</f>
        <v/>
      </c>
      <c r="J167" s="3430"/>
      <c r="K167" s="3430"/>
      <c r="L167" s="2395" t="s">
        <v>214</v>
      </c>
      <c r="M167" s="2395"/>
      <c r="N167" s="2395"/>
      <c r="O167" s="2395"/>
      <c r="P167" s="2395"/>
      <c r="Q167" s="2395"/>
      <c r="R167" s="2395"/>
      <c r="S167" s="3379" t="str">
        <f>非誘!J118</f>
        <v/>
      </c>
      <c r="T167" s="3380"/>
      <c r="U167" s="3380"/>
      <c r="V167" s="3381"/>
      <c r="W167" s="3399" t="s">
        <v>875</v>
      </c>
      <c r="X167" s="3412"/>
      <c r="Y167" s="3412"/>
      <c r="Z167" s="3412"/>
      <c r="AA167" s="2654"/>
      <c r="AB167" s="2654"/>
      <c r="AC167" s="2655"/>
      <c r="AD167" s="3388" t="str">
        <f>非誘!V118</f>
        <v/>
      </c>
      <c r="AE167" s="3389"/>
      <c r="AF167" s="3390"/>
      <c r="AG167" s="3391" t="s">
        <v>874</v>
      </c>
      <c r="AH167" s="3391"/>
      <c r="AI167" s="3391"/>
      <c r="AJ167" s="3391"/>
      <c r="AK167" s="3391"/>
      <c r="AL167" s="2990" t="str">
        <f>IF(AP167&lt;&gt;"",AP167,IF(C168=$BG$10,C168,""))</f>
        <v/>
      </c>
      <c r="AM167" s="2990"/>
      <c r="AN167" s="2990"/>
      <c r="AO167" s="668" t="s">
        <v>103</v>
      </c>
      <c r="AP167" s="3325"/>
      <c r="AQ167" s="3326"/>
      <c r="AR167" s="3327"/>
      <c r="AS167" s="3418" t="str">
        <f>IF(CE168=0,"",IF(AS168&lt;&gt;"",AS168,IF(BE167&lt;&gt;"",CN169,SUM(CN167:CO167))))</f>
        <v/>
      </c>
      <c r="AT167" s="3375"/>
      <c r="AU167" s="3418" t="str">
        <f>IF(CE168=0,"",IF(AU168&lt;&gt;"",AU168,CN168))</f>
        <v/>
      </c>
      <c r="AV167" s="3375"/>
      <c r="AW167" s="3418"/>
      <c r="AX167" s="3375"/>
      <c r="AY167" s="3418" t="str">
        <f>IF(AA168="","",IF(AY168&lt;&gt;"",AY168,CO168))</f>
        <v/>
      </c>
      <c r="AZ167" s="3375"/>
      <c r="BA167" s="3418"/>
      <c r="BB167" s="3375"/>
      <c r="BC167" s="3418" t="str">
        <f>IF(OR(AL168="不",,BP167=""),"",IF(BC168&lt;&gt;"",BC168,BP167*2))</f>
        <v/>
      </c>
      <c r="BD167" s="3375"/>
      <c r="BE167" s="3418" t="str">
        <f>IF(BE168&lt;&gt;"",BE168,IF(BX165=0,"",CN169))</f>
        <v/>
      </c>
      <c r="BF167" s="3375"/>
      <c r="BG167" s="3418" t="str">
        <f>IF(AE163="不","",IF(BG168&lt;&gt;"",BG168,BP167))</f>
        <v/>
      </c>
      <c r="BH167" s="3375"/>
      <c r="BI167" s="3418" t="str">
        <f>IF(CE168=0,"",CN170)</f>
        <v/>
      </c>
      <c r="BJ167" s="3375"/>
      <c r="BK167" s="3374" t="str">
        <f>IF(CE168=0,"",CO170)</f>
        <v/>
      </c>
      <c r="BL167" s="3375"/>
      <c r="BM167" s="3376" t="str">
        <f>IF(CE168=0,"",IF(BM168&lt;&gt;"",BM168,IF(C168=AL167,1,"")))</f>
        <v/>
      </c>
      <c r="BN167" s="3377"/>
      <c r="BO167" s="3378"/>
      <c r="BP167" s="3376" t="str">
        <f>IF(CE168=0,"",IF(OR(AE163="不",AA168="",S168=""),"",IF(BP168&lt;&gt;"",BP168,IF(AL168="要",1+INT(S168/1000),""))))</f>
        <v/>
      </c>
      <c r="BQ167" s="3377"/>
      <c r="BR167" s="3378"/>
      <c r="BS167" s="3376" t="str">
        <f>IF(BS168&lt;&gt;"",BS168,BP167)</f>
        <v/>
      </c>
      <c r="BT167" s="3378"/>
      <c r="BU167" s="19"/>
      <c r="BW167" s="680">
        <f>IF(AND(CS168=0,CS169=""),CS165*3,CS165*3+CS168*6)</f>
        <v>0</v>
      </c>
      <c r="BX167" s="102">
        <f>BY168</f>
        <v>0</v>
      </c>
      <c r="BY167" s="522">
        <f>1+INT(SUM(S168:Z168)/400)</f>
        <v>1</v>
      </c>
      <c r="BZ167" s="100" t="s">
        <v>873</v>
      </c>
      <c r="CB167" s="678" t="str">
        <f>IF(CE168=0,"",IF(CE168="=",MID(BZ168,10,3),10*(1+INT(BY167*3/10))))</f>
        <v/>
      </c>
      <c r="CC167" s="10" t="s">
        <v>943</v>
      </c>
      <c r="CF167" s="106" t="s">
        <v>857</v>
      </c>
      <c r="CG167" s="136" t="e">
        <f>IF(CG166=1,INT(CD166*BY167)+BY167*10,"")</f>
        <v>#VALUE!</v>
      </c>
      <c r="CH167" s="136" t="e">
        <f>IF(CG166=1,INT(CD166*CS170),"")</f>
        <v>#VALUE!</v>
      </c>
      <c r="CI167" s="136">
        <f>8*SUM(BI167:BL167)</f>
        <v>0</v>
      </c>
      <c r="CJ167" s="134" t="str">
        <f>IF($AX$8=0,INT(10.7*CD165*CE165/($BF$8/1000)^2)*1.5,"")</f>
        <v/>
      </c>
      <c r="CK167" s="136">
        <v>0</v>
      </c>
      <c r="CL167" s="136" t="str">
        <f>IF(BP167="","",10*BP167)</f>
        <v/>
      </c>
      <c r="CM167" s="136" t="str">
        <f>IF(BS167="","",10*BS167)</f>
        <v/>
      </c>
      <c r="CN167" s="665">
        <f>IF(AA168="",0,IF(AE163="不","",INT(AA168/2)))</f>
        <v>0</v>
      </c>
      <c r="CO167" s="665" t="e">
        <f>IF(AN163="不","",INT(AD168/2))</f>
        <v>#VALUE!</v>
      </c>
      <c r="CP167" s="670" t="s">
        <v>895</v>
      </c>
      <c r="CQ167" s="2986" t="str">
        <f>IF(CS167="","","スピーカ 5W S4")</f>
        <v/>
      </c>
      <c r="CR167" s="3476"/>
      <c r="CS167" s="88" t="str">
        <f>IF(BA167=0,"",BA167)</f>
        <v/>
      </c>
      <c r="CT167" s="3483" t="str">
        <f>IF(CV167="","","副増幅器 30W")</f>
        <v/>
      </c>
      <c r="CU167" s="3484"/>
      <c r="CV167" s="88" t="str">
        <f>BP167</f>
        <v/>
      </c>
      <c r="CX167" s="8"/>
      <c r="CY167" s="197">
        <f t="shared" si="122"/>
        <v>10</v>
      </c>
      <c r="CZ167" s="197" t="str">
        <f t="shared" si="120"/>
        <v/>
      </c>
      <c r="DA167" s="10"/>
      <c r="DB167" s="8"/>
      <c r="DC167" s="249"/>
      <c r="DD167" s="515"/>
      <c r="DE167" s="514"/>
      <c r="DG167" s="8"/>
      <c r="DH167" s="197">
        <f t="shared" si="123"/>
        <v>5</v>
      </c>
      <c r="DI167" s="197" t="str">
        <f t="shared" si="121"/>
        <v/>
      </c>
      <c r="DJ167" s="10"/>
      <c r="DK167" s="8"/>
      <c r="DL167" s="249"/>
      <c r="DM167" s="515"/>
      <c r="DN167" s="514"/>
      <c r="DP167" s="8"/>
      <c r="DQ167" s="197">
        <f>IF(DU167&lt;&gt;"",DQ165+1,DQ165)</f>
        <v>11</v>
      </c>
      <c r="DR167" s="197" t="str">
        <f t="shared" ref="DR167:DR179" si="124">IF(AND(DQ167&lt;&gt;"",DU167&lt;&gt;""),DQ167,"")</f>
        <v/>
      </c>
      <c r="DS167" s="10" t="str">
        <f>CQ114</f>
        <v>スピーカ 3W S1</v>
      </c>
      <c r="DT167" s="8"/>
      <c r="DU167" s="249" t="str">
        <f>IF(COUNTIF($DS$10:DS166,DS167)&gt;0,"",DS167)</f>
        <v/>
      </c>
      <c r="DV167" s="198">
        <f>CS114</f>
        <v>5</v>
      </c>
      <c r="DW167" s="514">
        <f t="shared" ref="DW167:DW179" si="125">SUMIF($DS$13:$DS$344,DU167,$DV$13:$DV$344)</f>
        <v>5</v>
      </c>
    </row>
    <row r="168" spans="2:127" ht="11.25" customHeight="1" thickBot="1">
      <c r="B168" s="23"/>
      <c r="C168" s="3429" t="str">
        <f>IF($B$2=0,"",非誘!C119)</f>
        <v/>
      </c>
      <c r="D168" s="3407"/>
      <c r="E168" s="3407"/>
      <c r="F168" s="3430" t="str">
        <f>IF($B$2=0,"",非誘!F119)</f>
        <v/>
      </c>
      <c r="G168" s="3430"/>
      <c r="H168" s="3430"/>
      <c r="I168" s="3430"/>
      <c r="J168" s="3430" t="str">
        <f>IF($B$2=0,"",非誘!J119)</f>
        <v/>
      </c>
      <c r="K168" s="3430"/>
      <c r="L168" s="3430"/>
      <c r="M168" s="3430"/>
      <c r="N168" s="3407" t="str">
        <f>IF($B$2=0,"",非誘!N119)</f>
        <v/>
      </c>
      <c r="O168" s="3407"/>
      <c r="P168" s="3407"/>
      <c r="Q168" s="3407"/>
      <c r="R168" s="3407"/>
      <c r="S168" s="3431" t="str">
        <f>IF($B$2=0,"",非誘!S119)</f>
        <v/>
      </c>
      <c r="T168" s="3431"/>
      <c r="U168" s="3431"/>
      <c r="V168" s="3431"/>
      <c r="W168" s="3431" t="str">
        <f>IF($B$2=0,"",非誘!W119)</f>
        <v/>
      </c>
      <c r="X168" s="3431"/>
      <c r="Y168" s="3431"/>
      <c r="Z168" s="3431"/>
      <c r="AA168" s="3407" t="str">
        <f>IF($B$2=0,"",非誘!AA119)</f>
        <v/>
      </c>
      <c r="AB168" s="3407"/>
      <c r="AC168" s="3407"/>
      <c r="AD168" s="3407" t="str">
        <f>IF($B$2=0,"",非誘!AD119)</f>
        <v/>
      </c>
      <c r="AE168" s="3407"/>
      <c r="AF168" s="3407"/>
      <c r="AG168" s="3391" t="s">
        <v>942</v>
      </c>
      <c r="AH168" s="3391"/>
      <c r="AI168" s="3391"/>
      <c r="AJ168" s="3391"/>
      <c r="AK168" s="3391"/>
      <c r="AL168" s="2990" t="str">
        <f>IF(AP168&lt;&gt;"",AP168,IF($BY$18="要","要",""))</f>
        <v/>
      </c>
      <c r="AM168" s="2990"/>
      <c r="AN168" s="2990"/>
      <c r="AO168" s="668" t="s">
        <v>103</v>
      </c>
      <c r="AP168" s="3408"/>
      <c r="AQ168" s="3408"/>
      <c r="AR168" s="3408"/>
      <c r="AS168" s="2551"/>
      <c r="AT168" s="3414"/>
      <c r="AU168" s="2551"/>
      <c r="AV168" s="3414"/>
      <c r="AW168" s="2551"/>
      <c r="AX168" s="3414"/>
      <c r="AY168" s="2551"/>
      <c r="AZ168" s="3414"/>
      <c r="BA168" s="2551"/>
      <c r="BB168" s="3414"/>
      <c r="BC168" s="2551"/>
      <c r="BD168" s="3414"/>
      <c r="BE168" s="2551"/>
      <c r="BF168" s="3414"/>
      <c r="BG168" s="2551"/>
      <c r="BH168" s="3414"/>
      <c r="BI168" s="2551"/>
      <c r="BJ168" s="3414"/>
      <c r="BK168" s="2551"/>
      <c r="BL168" s="3414"/>
      <c r="BM168" s="2551"/>
      <c r="BN168" s="3428"/>
      <c r="BO168" s="3414"/>
      <c r="BP168" s="2551"/>
      <c r="BQ168" s="3428"/>
      <c r="BR168" s="3414"/>
      <c r="BS168" s="2551"/>
      <c r="BT168" s="3414"/>
      <c r="BU168" s="19"/>
      <c r="BY168" s="677">
        <f>IF(CE168=0,0,IF(CE168="=",BY167+BY159+BY177,IF(CE168="-",BY167+BY159,BY167+BY177)))</f>
        <v>0</v>
      </c>
      <c r="BZ168" s="3443" t="str">
        <f>IF(CE168=0,"",IF(BY168*3&lt;=20,"HP 1.2mm- 10Pr",IF(BY168*3&lt;=30,"HP 1.2mm- 15Pr",IF(BY168*3&lt;=40,"HP 1.2mm- 20Pr",IF(BY168*3&lt;=50,"HP 1.2mm- 25Pr",IF(BY168*3&lt;=60,"HP 1.2mm- 30Pr",IF(BY168*3&lt;=80,"HP 1.2mm- 40Pr",IF(BY168*3&lt;=100,"HP 1.2mm- 50Pr",IF(BY168*3&lt;=150,"HP 1.2mm- 75Pr", IF(BY168*3&lt;=200,"HP 1.2mm-100Pr",IF(BY168*3&lt;=400,"HP 1.2mm-200Pr","")))))))))))</f>
        <v/>
      </c>
      <c r="CA168" s="3444"/>
      <c r="CB168" s="3444"/>
      <c r="CC168" s="3445"/>
      <c r="CD168" s="673" t="str">
        <f>IF(LEFT($BG$10,2)=" B",-MID($BG$10,3,1),LEFT($BG$10,3))</f>
        <v xml:space="preserve">  1</v>
      </c>
      <c r="CE168" s="676">
        <f>IF(CD169=0,0,IF(CD168=CD169,"=",IF(CD168&gt;CD169,"-","+")))</f>
        <v>0</v>
      </c>
      <c r="CF168" s="106" t="s">
        <v>856</v>
      </c>
      <c r="CG168" s="136" t="e">
        <f>2*INT((F168-$Y$10/1000-0.25))</f>
        <v>#VALUE!</v>
      </c>
      <c r="CH168" s="136" t="e">
        <f>1+INT((F168-$Y$7/1000-0.25)*CS170)</f>
        <v>#VALUE!</v>
      </c>
      <c r="CI168" s="136" t="e">
        <f>INT((F168-$Y$8/1000-0.25)*SUM(BI167:BL167))</f>
        <v>#VALUE!</v>
      </c>
      <c r="CJ168" s="675"/>
      <c r="CK168" s="136">
        <v>0</v>
      </c>
      <c r="CL168" s="136" t="str">
        <f>IF(BP167="","",INT((F168-$Y$9/1000-0.25)*BP167))</f>
        <v/>
      </c>
      <c r="CM168" s="136" t="str">
        <f>IF(BS167="","",INT((F168-$Y$9/1000-0.25)*BS167))</f>
        <v/>
      </c>
      <c r="CN168" s="665">
        <f>IF(AA168="",0,IF(AE163="不","",INT(AA168/2)))</f>
        <v>0</v>
      </c>
      <c r="CO168" s="665" t="e">
        <f>IF(AN163="不","",INT(AD168/2))</f>
        <v>#VALUE!</v>
      </c>
      <c r="CP168" s="670" t="s">
        <v>941</v>
      </c>
      <c r="CQ168" s="15"/>
      <c r="CR168" s="106" t="s">
        <v>868</v>
      </c>
      <c r="CS168" s="8">
        <f>SUM(CS166:CS167)</f>
        <v>0</v>
      </c>
      <c r="CT168" s="3483" t="str">
        <f>IF(CV168="","","カットリレー")</f>
        <v/>
      </c>
      <c r="CU168" s="3484"/>
      <c r="CV168" s="88" t="str">
        <f>BS167</f>
        <v/>
      </c>
      <c r="CY168" s="197">
        <f t="shared" si="122"/>
        <v>10</v>
      </c>
      <c r="CZ168" s="197" t="str">
        <f t="shared" si="120"/>
        <v/>
      </c>
      <c r="DB168" s="24"/>
      <c r="DD168" s="516"/>
      <c r="DE168" s="516"/>
      <c r="DH168" s="197">
        <f t="shared" si="123"/>
        <v>5</v>
      </c>
      <c r="DI168" s="197" t="str">
        <f t="shared" si="121"/>
        <v/>
      </c>
      <c r="DK168" s="24"/>
      <c r="DM168" s="516"/>
      <c r="DN168" s="516"/>
      <c r="DP168" s="8"/>
      <c r="DQ168" s="197">
        <f t="shared" ref="DQ168:DQ179" si="126">IF(DU168&lt;&gt;"",DQ167+1,DQ167)</f>
        <v>11</v>
      </c>
      <c r="DR168" s="197" t="str">
        <f t="shared" si="124"/>
        <v/>
      </c>
      <c r="DS168" s="10" t="str">
        <f>CQ115</f>
        <v>スピーカ 3W S3</v>
      </c>
      <c r="DT168" s="8"/>
      <c r="DU168" s="249" t="str">
        <f>IF(COUNTIF($DS$10:DS167,DS168)&gt;0,"",DS168)</f>
        <v/>
      </c>
      <c r="DV168" s="198">
        <f>CS115</f>
        <v>4</v>
      </c>
      <c r="DW168" s="514">
        <f t="shared" si="125"/>
        <v>5</v>
      </c>
    </row>
    <row r="169" spans="2:127" ht="11.25" customHeight="1" thickBot="1">
      <c r="B169" s="23"/>
      <c r="C169" s="2300" t="s">
        <v>867</v>
      </c>
      <c r="D169" s="2301"/>
      <c r="E169" s="2301"/>
      <c r="F169" s="2301"/>
      <c r="G169" s="2302"/>
      <c r="H169" s="3422" t="str">
        <f>IF(CE168=0,"",IF(R169&lt;&gt;"",R169,BZ168))</f>
        <v/>
      </c>
      <c r="I169" s="3423"/>
      <c r="J169" s="3423"/>
      <c r="K169" s="3423"/>
      <c r="L169" s="3423"/>
      <c r="M169" s="3423"/>
      <c r="N169" s="3423"/>
      <c r="O169" s="3423"/>
      <c r="P169" s="3424"/>
      <c r="Q169" s="668" t="s">
        <v>103</v>
      </c>
      <c r="R169" s="3362"/>
      <c r="S169" s="3363"/>
      <c r="T169" s="3363"/>
      <c r="U169" s="3363"/>
      <c r="V169" s="3363"/>
      <c r="W169" s="3363"/>
      <c r="X169" s="3363"/>
      <c r="Y169" s="3363"/>
      <c r="Z169" s="3364"/>
      <c r="AA169" s="3345" t="s">
        <v>866</v>
      </c>
      <c r="AB169" s="3346"/>
      <c r="AC169" s="3346"/>
      <c r="AD169" s="3346"/>
      <c r="AE169" s="3347"/>
      <c r="AF169" s="3385" t="str">
        <f>IF(CE168=0,"",IF(AK169&lt;&gt;"",AK169,CG170+CI170))</f>
        <v/>
      </c>
      <c r="AG169" s="3386"/>
      <c r="AH169" s="3386"/>
      <c r="AI169" s="3387"/>
      <c r="AJ169" s="669" t="s">
        <v>103</v>
      </c>
      <c r="AK169" s="3415"/>
      <c r="AL169" s="3416"/>
      <c r="AM169" s="3416"/>
      <c r="AN169" s="3417"/>
      <c r="AO169" s="2300" t="s">
        <v>865</v>
      </c>
      <c r="AP169" s="2301"/>
      <c r="AQ169" s="2301"/>
      <c r="AR169" s="2301"/>
      <c r="AS169" s="2302"/>
      <c r="AT169" s="3422" t="str">
        <f>IF(CE168=0,"",IF(BA169&lt;&gt;"",BA169,IF(MID(AG166,4,2)="C ","C-"&amp;CA169&amp;"mm",IF(MID(AG166,4,2)="PF","PF-D-"&amp;CB169&amp;"mm",IF(MID(AG166,4,2)="CD","CD-"&amp;CB169&amp;"mm",IF(MID(AG166,4,2)="G ","G-"&amp;CB169&amp;"mm",""))))))</f>
        <v/>
      </c>
      <c r="AU169" s="3423"/>
      <c r="AV169" s="3423"/>
      <c r="AW169" s="3423"/>
      <c r="AX169" s="3423"/>
      <c r="AY169" s="3424"/>
      <c r="AZ169" s="668" t="s">
        <v>103</v>
      </c>
      <c r="BA169" s="3362"/>
      <c r="BB169" s="3363"/>
      <c r="BC169" s="3363"/>
      <c r="BD169" s="3363"/>
      <c r="BE169" s="3363"/>
      <c r="BF169" s="3364"/>
      <c r="BG169" s="3345" t="s">
        <v>864</v>
      </c>
      <c r="BH169" s="3346"/>
      <c r="BI169" s="3346"/>
      <c r="BJ169" s="3346"/>
      <c r="BK169" s="3347"/>
      <c r="BL169" s="3385" t="str">
        <f>IF(CE168=0,"",IF(CM170=0,"",IF(BQ169&lt;&gt;"",BQ169,CK170+CM170)))</f>
        <v/>
      </c>
      <c r="BM169" s="3386"/>
      <c r="BN169" s="3386"/>
      <c r="BO169" s="3387"/>
      <c r="BP169" s="668" t="s">
        <v>103</v>
      </c>
      <c r="BQ169" s="3415"/>
      <c r="BR169" s="3416"/>
      <c r="BS169" s="3416"/>
      <c r="BT169" s="3417"/>
      <c r="BU169" s="19"/>
      <c r="BZ169" s="107" t="str">
        <f>IF(LEN(BZ168)=13,MID(BZ168,10,2),MID(BZ168,10,3))</f>
        <v/>
      </c>
      <c r="CA169" s="674" t="str">
        <f>IF(OR(BZ169=" 10",BZ169=" 15"),"31",IF(OR(BZ169=" 20",BZ169=" 25",BZ169=" 30"),"39",IF(OR(BZ169=" 40",BZ169=" 50"),"51",IF(BZ169="100","63",IF(BZ169&lt;="200","75","")))))</f>
        <v>75</v>
      </c>
      <c r="CB169" s="674" t="str">
        <f>IF(OR(BZ169=" 10",BZ169=" 15"),"28",IF(OR(BZ169=" 20",BZ169=" 25",BZ169=" 30"),"36",IF(OR(BZ169=" 40",BZ169=" 50"),"42",IF(BZ169="100","54",IF(BZ169&lt;="200","70","")))))</f>
        <v>70</v>
      </c>
      <c r="CD169" s="673">
        <f>IF(C168="",0,IF(LEFT(C168,2)=" B",-MID(C168,3,1),LEFT(C168,3)))</f>
        <v>0</v>
      </c>
      <c r="CF169" s="106"/>
      <c r="CG169" s="90" t="s">
        <v>940</v>
      </c>
      <c r="CH169" s="64"/>
      <c r="CI169" s="90" t="s">
        <v>940</v>
      </c>
      <c r="CJ169" s="38"/>
      <c r="CK169" s="90" t="s">
        <v>940</v>
      </c>
      <c r="CL169" s="64"/>
      <c r="CM169" s="90" t="s">
        <v>940</v>
      </c>
      <c r="CN169" s="672">
        <f>IF(S168="",0,IF(AE163="不","",INT(S168/150)))</f>
        <v>0</v>
      </c>
      <c r="CO169" s="671"/>
      <c r="CP169" s="670" t="s">
        <v>889</v>
      </c>
      <c r="CQ169" s="2986" t="str">
        <f>IF(CS169="","","プロセニアム・スピーカ 20W")</f>
        <v/>
      </c>
      <c r="CR169" s="3476"/>
      <c r="CS169" s="88" t="str">
        <f>IF(BC167=0,"",BC167)</f>
        <v/>
      </c>
      <c r="CT169" s="9"/>
      <c r="CU169" s="46"/>
      <c r="CY169" s="197">
        <f t="shared" si="122"/>
        <v>10</v>
      </c>
      <c r="CZ169" s="197" t="str">
        <f t="shared" si="120"/>
        <v/>
      </c>
      <c r="DB169" s="24"/>
      <c r="DD169" s="516"/>
      <c r="DE169" s="516"/>
      <c r="DH169" s="197">
        <f t="shared" si="123"/>
        <v>5</v>
      </c>
      <c r="DI169" s="197" t="str">
        <f t="shared" si="121"/>
        <v/>
      </c>
      <c r="DK169" s="24"/>
      <c r="DM169" s="516"/>
      <c r="DN169" s="516"/>
      <c r="DP169" s="8"/>
      <c r="DQ169" s="197">
        <f t="shared" si="126"/>
        <v>11</v>
      </c>
      <c r="DR169" s="197" t="str">
        <f t="shared" si="124"/>
        <v/>
      </c>
      <c r="DS169" s="10" t="str">
        <f>CQ116</f>
        <v/>
      </c>
      <c r="DT169" s="8"/>
      <c r="DU169" s="249" t="str">
        <f>IF(COUNTIF($DS$10:DS168,DS169)&gt;0,"",DS169)</f>
        <v/>
      </c>
      <c r="DV169" s="198" t="str">
        <f>CS116</f>
        <v/>
      </c>
      <c r="DW169" s="514">
        <f t="shared" si="125"/>
        <v>5</v>
      </c>
    </row>
    <row r="170" spans="2:127" ht="11.25" customHeight="1" thickBot="1">
      <c r="B170" s="23"/>
      <c r="C170" s="2300" t="s">
        <v>861</v>
      </c>
      <c r="D170" s="2301"/>
      <c r="E170" s="2301"/>
      <c r="F170" s="2301"/>
      <c r="G170" s="2302"/>
      <c r="H170" s="3422" t="str">
        <f>IF(CE168=0,"",IF(R170&lt;&gt;"",R170,"HP 1.2mm-3C"))</f>
        <v/>
      </c>
      <c r="I170" s="3423"/>
      <c r="J170" s="3423"/>
      <c r="K170" s="3423"/>
      <c r="L170" s="3423"/>
      <c r="M170" s="3423"/>
      <c r="N170" s="3423"/>
      <c r="O170" s="3423"/>
      <c r="P170" s="3424"/>
      <c r="Q170" s="668" t="s">
        <v>103</v>
      </c>
      <c r="R170" s="3362"/>
      <c r="S170" s="3363"/>
      <c r="T170" s="3363"/>
      <c r="U170" s="3363"/>
      <c r="V170" s="3363"/>
      <c r="W170" s="3363"/>
      <c r="X170" s="3363"/>
      <c r="Y170" s="3363"/>
      <c r="Z170" s="3364"/>
      <c r="AA170" s="3348" t="s">
        <v>235</v>
      </c>
      <c r="AB170" s="3349"/>
      <c r="AC170" s="3349"/>
      <c r="AD170" s="3349"/>
      <c r="AE170" s="3350"/>
      <c r="AF170" s="3385" t="str">
        <f>IF(CE168=0,"",IF(AK170&lt;&gt;"",AK170,SUM(CN164:CN165)))</f>
        <v/>
      </c>
      <c r="AG170" s="3386"/>
      <c r="AH170" s="3386"/>
      <c r="AI170" s="3387"/>
      <c r="AJ170" s="669" t="s">
        <v>103</v>
      </c>
      <c r="AK170" s="3415"/>
      <c r="AL170" s="3416"/>
      <c r="AM170" s="3416"/>
      <c r="AN170" s="3417"/>
      <c r="AO170" s="2300" t="s">
        <v>860</v>
      </c>
      <c r="AP170" s="2301"/>
      <c r="AQ170" s="2301"/>
      <c r="AR170" s="2301"/>
      <c r="AS170" s="2302"/>
      <c r="AT170" s="3422" t="str">
        <f>IF(CE168=0,"",IF(BA170&lt;&gt;"",BA170,IF(MID(AG166,4,2)="C ","C-19mm",IF(MID(AG166,4,2)="PF","PF-D-16mm",IF(MID(AG166,4,2)="CD","CD-16mm",IF(MID(AG166,4,2)="G ","G-16mm","C-19mm"))))))</f>
        <v/>
      </c>
      <c r="AU170" s="3423"/>
      <c r="AV170" s="3423"/>
      <c r="AW170" s="3423"/>
      <c r="AX170" s="3423"/>
      <c r="AY170" s="3424"/>
      <c r="AZ170" s="668" t="s">
        <v>103</v>
      </c>
      <c r="BA170" s="3362"/>
      <c r="BB170" s="3363"/>
      <c r="BC170" s="3363"/>
      <c r="BD170" s="3363"/>
      <c r="BE170" s="3363"/>
      <c r="BF170" s="3364"/>
      <c r="BG170" s="3348" t="s">
        <v>235</v>
      </c>
      <c r="BH170" s="3349"/>
      <c r="BI170" s="3349"/>
      <c r="BJ170" s="3349"/>
      <c r="BK170" s="3350"/>
      <c r="BL170" s="3385" t="str">
        <f>IF(CE168=0,"",IF(BQ170&lt;&gt;"",BQ170,SUM(CO164:CO165)))</f>
        <v/>
      </c>
      <c r="BM170" s="3386"/>
      <c r="BN170" s="3386"/>
      <c r="BO170" s="3387"/>
      <c r="BP170" s="668" t="s">
        <v>103</v>
      </c>
      <c r="BQ170" s="3425"/>
      <c r="BR170" s="3426"/>
      <c r="BS170" s="3426"/>
      <c r="BT170" s="3427"/>
      <c r="BU170" s="19"/>
      <c r="CF170" s="106" t="s">
        <v>859</v>
      </c>
      <c r="CG170" s="184">
        <f>IF(CE168="=",CD166,0)</f>
        <v>0</v>
      </c>
      <c r="CH170" s="667" t="s">
        <v>858</v>
      </c>
      <c r="CI170" s="184" t="e">
        <f>F168+2*$AN$7/1000</f>
        <v>#VALUE!</v>
      </c>
      <c r="CJ170" s="666" t="s">
        <v>857</v>
      </c>
      <c r="CK170" s="184">
        <f>IF(CG166=1,CG170,0)</f>
        <v>0</v>
      </c>
      <c r="CL170" s="666" t="s">
        <v>856</v>
      </c>
      <c r="CM170" s="184" t="str">
        <f>IF(CG166=1,F168,0)</f>
        <v/>
      </c>
      <c r="CN170" s="665" t="e">
        <f>INT(AS167/2)</f>
        <v>#VALUE!</v>
      </c>
      <c r="CO170" s="665" t="str">
        <f>IF(AU167="","",1+INT(AU167/2))</f>
        <v/>
      </c>
      <c r="CP170" s="664" t="s">
        <v>939</v>
      </c>
      <c r="CQ170" s="3477" t="str">
        <f>IF(CS170="","","ソノライン・スピーカ 20W")</f>
        <v>ソノライン・スピーカ 20W</v>
      </c>
      <c r="CR170" s="3478"/>
      <c r="CS170" s="222">
        <f>IF(BE167="",0,BE167)</f>
        <v>0</v>
      </c>
      <c r="CT170" s="155"/>
      <c r="CU170" s="148"/>
      <c r="CV170" s="148"/>
      <c r="CY170" s="197">
        <f t="shared" si="122"/>
        <v>10</v>
      </c>
      <c r="CZ170" s="197" t="str">
        <f t="shared" si="120"/>
        <v/>
      </c>
      <c r="DB170" s="24"/>
      <c r="DD170" s="516"/>
      <c r="DE170" s="516"/>
      <c r="DH170" s="197">
        <f t="shared" si="123"/>
        <v>5</v>
      </c>
      <c r="DI170" s="197" t="str">
        <f t="shared" si="121"/>
        <v/>
      </c>
      <c r="DK170" s="24"/>
      <c r="DM170" s="516"/>
      <c r="DN170" s="516"/>
      <c r="DP170" s="8"/>
      <c r="DQ170" s="197">
        <f t="shared" si="126"/>
        <v>11</v>
      </c>
      <c r="DR170" s="197" t="str">
        <f t="shared" si="124"/>
        <v/>
      </c>
      <c r="DS170" s="10" t="str">
        <f>CQ118</f>
        <v>スピーカ 6W S2</v>
      </c>
      <c r="DT170" s="8"/>
      <c r="DU170" s="249" t="str">
        <f>IF(COUNTIF($DS$10:DS169,DS170)&gt;0,"",DS170)</f>
        <v/>
      </c>
      <c r="DV170" s="198">
        <f>CS118</f>
        <v>1</v>
      </c>
      <c r="DW170" s="514">
        <f t="shared" si="125"/>
        <v>5</v>
      </c>
    </row>
    <row r="171" spans="2:127" ht="11.25" customHeight="1">
      <c r="B171" s="23"/>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19"/>
      <c r="CP171" s="6"/>
      <c r="CQ171" s="2986" t="str">
        <f>IF(CS171="","","スピーカ 3W S1")</f>
        <v/>
      </c>
      <c r="CR171" s="3476"/>
      <c r="CS171" s="88" t="str">
        <f>IF(AS176=0,"",AS176)</f>
        <v/>
      </c>
      <c r="CT171" s="9"/>
      <c r="CX171" s="88">
        <v>18</v>
      </c>
      <c r="CY171" s="204"/>
      <c r="CZ171" s="155"/>
      <c r="DA171" s="45"/>
      <c r="DB171" s="45"/>
      <c r="DC171" s="45" t="s">
        <v>109</v>
      </c>
      <c r="DD171" s="45"/>
      <c r="DE171" s="45" t="s">
        <v>108</v>
      </c>
      <c r="DG171" s="88">
        <v>18</v>
      </c>
      <c r="DH171" s="204"/>
      <c r="DI171" s="155"/>
      <c r="DJ171" s="45"/>
      <c r="DK171" s="45"/>
      <c r="DL171" s="45" t="s">
        <v>109</v>
      </c>
      <c r="DM171" s="45"/>
      <c r="DN171" s="45" t="s">
        <v>108</v>
      </c>
      <c r="DP171" s="8"/>
      <c r="DQ171" s="197">
        <f t="shared" si="126"/>
        <v>11</v>
      </c>
      <c r="DR171" s="197" t="str">
        <f t="shared" si="124"/>
        <v/>
      </c>
      <c r="DS171" s="10" t="str">
        <f>CQ119</f>
        <v/>
      </c>
      <c r="DT171" s="8"/>
      <c r="DU171" s="249" t="str">
        <f>IF(COUNTIF($DS$10:DS170,DS171)&gt;0,"",DS171)</f>
        <v/>
      </c>
      <c r="DV171" s="198" t="str">
        <f>CS119</f>
        <v/>
      </c>
      <c r="DW171" s="514">
        <f t="shared" si="125"/>
        <v>5</v>
      </c>
    </row>
    <row r="172" spans="2:127" ht="11.25" customHeight="1" thickBot="1">
      <c r="B172" s="23"/>
      <c r="C172" s="2299" t="s">
        <v>16</v>
      </c>
      <c r="D172" s="2299"/>
      <c r="E172" s="2299"/>
      <c r="F172" s="2299" t="s">
        <v>22</v>
      </c>
      <c r="G172" s="2299"/>
      <c r="H172" s="2299"/>
      <c r="I172" s="2299"/>
      <c r="J172" s="2299" t="s">
        <v>5</v>
      </c>
      <c r="K172" s="2299"/>
      <c r="L172" s="2299"/>
      <c r="M172" s="2299"/>
      <c r="N172" s="2299" t="s">
        <v>6</v>
      </c>
      <c r="O172" s="2299"/>
      <c r="P172" s="2299"/>
      <c r="Q172" s="2299"/>
      <c r="R172" s="2299"/>
      <c r="S172" s="2299" t="s">
        <v>938</v>
      </c>
      <c r="T172" s="2299"/>
      <c r="U172" s="2299"/>
      <c r="V172" s="2299"/>
      <c r="W172" s="2299"/>
      <c r="X172" s="2299"/>
      <c r="Y172" s="2299"/>
      <c r="Z172" s="2299"/>
      <c r="AA172" s="3382" t="s">
        <v>7</v>
      </c>
      <c r="AB172" s="3382"/>
      <c r="AC172" s="3382"/>
      <c r="AD172" s="3382"/>
      <c r="AE172" s="2630" t="str">
        <f>IF(S177="","",IF(AH172&lt;&gt;"",AH172,IF(RIGHT($D$10,2)="不要","不","要")))</f>
        <v/>
      </c>
      <c r="AF172" s="2630"/>
      <c r="AG172" s="668" t="s">
        <v>937</v>
      </c>
      <c r="AH172" s="2632"/>
      <c r="AI172" s="2633"/>
      <c r="AJ172" s="3371" t="s">
        <v>913</v>
      </c>
      <c r="AK172" s="3372"/>
      <c r="AL172" s="3372"/>
      <c r="AM172" s="3373"/>
      <c r="AN172" s="3383" t="str">
        <f>IF(W177="","",IF(AQ172&lt;&gt;"",AQ172,IF(RIGHT($D$10,2)="設置","要","不")))</f>
        <v/>
      </c>
      <c r="AO172" s="3384"/>
      <c r="AP172" s="668" t="s">
        <v>937</v>
      </c>
      <c r="AQ172" s="2632"/>
      <c r="AR172" s="2633"/>
      <c r="AS172" s="3399" t="s">
        <v>912</v>
      </c>
      <c r="AT172" s="3412"/>
      <c r="AU172" s="3412"/>
      <c r="AV172" s="3412"/>
      <c r="AW172" s="3412"/>
      <c r="AX172" s="3412"/>
      <c r="AY172" s="3412"/>
      <c r="AZ172" s="3412"/>
      <c r="BA172" s="3412"/>
      <c r="BB172" s="3412"/>
      <c r="BC172" s="3412"/>
      <c r="BD172" s="3412"/>
      <c r="BE172" s="3412"/>
      <c r="BF172" s="3412"/>
      <c r="BG172" s="3412"/>
      <c r="BH172" s="3413"/>
      <c r="BI172" s="3399" t="s">
        <v>934</v>
      </c>
      <c r="BJ172" s="3412"/>
      <c r="BK172" s="3412"/>
      <c r="BL172" s="3413"/>
      <c r="BM172" s="3360" t="s">
        <v>936</v>
      </c>
      <c r="BN172" s="3419"/>
      <c r="BO172" s="3419"/>
      <c r="BP172" s="3419"/>
      <c r="BQ172" s="3419"/>
      <c r="BR172" s="3361"/>
      <c r="BS172" s="3441" t="s">
        <v>935</v>
      </c>
      <c r="BT172" s="3442"/>
      <c r="BU172" s="19"/>
      <c r="BW172" s="102"/>
      <c r="CF172" s="8"/>
      <c r="CG172" s="685" t="s">
        <v>909</v>
      </c>
      <c r="CH172" s="685" t="s">
        <v>908</v>
      </c>
      <c r="CI172" s="685" t="s">
        <v>934</v>
      </c>
      <c r="CJ172" s="686">
        <f>IF($AX$8=0,"",INT(10.7*CD174*CE174/($BF$8/1000)^2))</f>
        <v>0</v>
      </c>
      <c r="CK172" s="685" t="s">
        <v>933</v>
      </c>
      <c r="CL172" s="685" t="s">
        <v>932</v>
      </c>
      <c r="CM172" s="685" t="s">
        <v>931</v>
      </c>
      <c r="CN172" s="550" t="s">
        <v>734</v>
      </c>
      <c r="CO172" s="550" t="s">
        <v>732</v>
      </c>
      <c r="CP172" s="684"/>
      <c r="CQ172" s="2986" t="str">
        <f>IF(CS172="","","スピーカ 3W S3")</f>
        <v/>
      </c>
      <c r="CR172" s="3476"/>
      <c r="CS172" s="88" t="str">
        <f>IF(AY176=0,"",AY176)</f>
        <v/>
      </c>
      <c r="CT172" s="3483" t="str">
        <f>IF(CV172="","","マイクロホン")</f>
        <v/>
      </c>
      <c r="CU172" s="3484"/>
      <c r="CV172" s="88" t="str">
        <f>BG176</f>
        <v/>
      </c>
      <c r="CX172" s="8"/>
      <c r="CY172" s="197">
        <f>IF(DC172&lt;&gt;"",CY170+1,CY170)</f>
        <v>10</v>
      </c>
      <c r="CZ172" s="197" t="str">
        <f t="shared" ref="CZ172:CZ179" si="127">IF(AND(CY172&lt;&gt;"",DC172&lt;&gt;""),CY172,"")</f>
        <v/>
      </c>
      <c r="DA172" s="10" t="str">
        <f>H178</f>
        <v/>
      </c>
      <c r="DB172" s="8"/>
      <c r="DC172" s="249" t="str">
        <f>IF(COUNTIF(DA$10:$DA169,DA172)&gt;0,"",DA172)</f>
        <v/>
      </c>
      <c r="DD172" s="515" t="str">
        <f>AF178</f>
        <v/>
      </c>
      <c r="DE172" s="514">
        <f>SUMIF($DA$13:$DA$199,DC172,$DD$13:$DD$199)</f>
        <v>0</v>
      </c>
      <c r="DG172" s="8"/>
      <c r="DH172" s="197">
        <f>IF(DL172&lt;&gt;"",DH170+1,DH170)</f>
        <v>5</v>
      </c>
      <c r="DI172" s="197" t="str">
        <f t="shared" ref="DI172:DI179" si="128">IF(AND(DH172&lt;&gt;"",DL172&lt;&gt;""),DH172,"")</f>
        <v/>
      </c>
      <c r="DJ172" s="10" t="str">
        <f>AT178</f>
        <v/>
      </c>
      <c r="DK172" s="8"/>
      <c r="DL172" s="249" t="str">
        <f>IF(COUNTIF($DA$10:DJ169,DJ172)&gt;0,"",DJ172)</f>
        <v/>
      </c>
      <c r="DM172" s="515" t="str">
        <f>BL178</f>
        <v/>
      </c>
      <c r="DN172" s="514">
        <f>SUMIF($DJ$13:$DJ$199,DL172,$DM$13:$DM$199)</f>
        <v>0</v>
      </c>
      <c r="DQ172" s="197">
        <f t="shared" si="126"/>
        <v>11</v>
      </c>
      <c r="DR172" s="197" t="str">
        <f t="shared" si="124"/>
        <v/>
      </c>
      <c r="DS172" s="10" t="str">
        <f>CQ121</f>
        <v/>
      </c>
      <c r="DT172" s="24"/>
      <c r="DU172" s="249" t="str">
        <f>IF(COUNTIF($DS$10:DS171,DS172)&gt;0,"",DS172)</f>
        <v/>
      </c>
      <c r="DV172" s="198" t="str">
        <f>CS121</f>
        <v/>
      </c>
      <c r="DW172" s="514">
        <f t="shared" si="125"/>
        <v>5</v>
      </c>
    </row>
    <row r="173" spans="2:127" ht="11.25" customHeight="1" thickBot="1">
      <c r="B173" s="23"/>
      <c r="C173" s="2299"/>
      <c r="D173" s="2299"/>
      <c r="E173" s="2299"/>
      <c r="F173" s="2396"/>
      <c r="G173" s="2396"/>
      <c r="H173" s="2396"/>
      <c r="I173" s="2396"/>
      <c r="J173" s="2396"/>
      <c r="K173" s="2396"/>
      <c r="L173" s="2396"/>
      <c r="M173" s="2396"/>
      <c r="N173" s="2396"/>
      <c r="O173" s="2396"/>
      <c r="P173" s="2396"/>
      <c r="Q173" s="2396"/>
      <c r="R173" s="2396"/>
      <c r="S173" s="2396" t="s">
        <v>7</v>
      </c>
      <c r="T173" s="2396"/>
      <c r="U173" s="2396"/>
      <c r="V173" s="2396"/>
      <c r="W173" s="2396" t="s">
        <v>8</v>
      </c>
      <c r="X173" s="2396"/>
      <c r="Y173" s="2396"/>
      <c r="Z173" s="2396"/>
      <c r="AA173" s="2384" t="s">
        <v>9</v>
      </c>
      <c r="AB173" s="2385"/>
      <c r="AC173" s="2386"/>
      <c r="AD173" s="2384" t="s">
        <v>9</v>
      </c>
      <c r="AE173" s="2385"/>
      <c r="AF173" s="2386"/>
      <c r="AG173" s="2384" t="str">
        <f>IF(AN173="","","専部屋面積")</f>
        <v/>
      </c>
      <c r="AH173" s="2385"/>
      <c r="AI173" s="2385"/>
      <c r="AJ173" s="2382"/>
      <c r="AK173" s="2382"/>
      <c r="AL173" s="2382"/>
      <c r="AM173" s="3392"/>
      <c r="AN173" s="3365" t="str">
        <f>IF(OR(S177="",$B$2=0),"",S177/AA177)</f>
        <v/>
      </c>
      <c r="AO173" s="3366"/>
      <c r="AP173" s="3366"/>
      <c r="AQ173" s="3366"/>
      <c r="AR173" s="3367"/>
      <c r="AS173" s="2300" t="s">
        <v>903</v>
      </c>
      <c r="AT173" s="2301"/>
      <c r="AU173" s="2301"/>
      <c r="AV173" s="2301"/>
      <c r="AW173" s="2301"/>
      <c r="AX173" s="2302"/>
      <c r="AY173" s="2300" t="s">
        <v>902</v>
      </c>
      <c r="AZ173" s="2301"/>
      <c r="BA173" s="2301"/>
      <c r="BB173" s="2302"/>
      <c r="BC173" s="2300" t="s">
        <v>902</v>
      </c>
      <c r="BD173" s="2301"/>
      <c r="BE173" s="2301"/>
      <c r="BF173" s="2302"/>
      <c r="BG173" s="2300" t="s">
        <v>743</v>
      </c>
      <c r="BH173" s="2302"/>
      <c r="BI173" s="2300" t="s">
        <v>901</v>
      </c>
      <c r="BJ173" s="2301"/>
      <c r="BK173" s="2301"/>
      <c r="BL173" s="2302"/>
      <c r="BM173" s="2299" t="s">
        <v>930</v>
      </c>
      <c r="BN173" s="2299"/>
      <c r="BO173" s="2299"/>
      <c r="BP173" s="2299" t="s">
        <v>929</v>
      </c>
      <c r="BQ173" s="2299"/>
      <c r="BR173" s="2299"/>
      <c r="BS173" s="3439" t="s">
        <v>928</v>
      </c>
      <c r="BT173" s="3440"/>
      <c r="BU173" s="19"/>
      <c r="BW173" s="679"/>
      <c r="BX173" s="90" t="s">
        <v>889</v>
      </c>
      <c r="BY173" s="100" t="s">
        <v>927</v>
      </c>
      <c r="CC173" s="180">
        <v>123</v>
      </c>
      <c r="CD173" s="55" t="s">
        <v>229</v>
      </c>
      <c r="CE173" s="55" t="s">
        <v>228</v>
      </c>
      <c r="CF173" s="106" t="s">
        <v>859</v>
      </c>
      <c r="CG173" s="184" t="e">
        <f>INT((CD175+10)*BY176+CS174*$AN$8/1000+($AN$7/1000)*BY176)</f>
        <v>#VALUE!</v>
      </c>
      <c r="CH173" s="184" t="e">
        <f>INT(CD175*CS179+CS179)</f>
        <v>#VALUE!</v>
      </c>
      <c r="CI173" s="184">
        <f>8*SUM(BI176:BL176)</f>
        <v>0</v>
      </c>
      <c r="CJ173" s="185">
        <f>IF($AX$8=0,"",2*INT(0.5*CJ172))</f>
        <v>0</v>
      </c>
      <c r="CK173" s="184"/>
      <c r="CL173" s="184" t="str">
        <f>IF(BP176="","",10*BP176)</f>
        <v/>
      </c>
      <c r="CM173" s="184" t="str">
        <f>IF(BP176="","",10*BP176)</f>
        <v/>
      </c>
      <c r="CN173" s="682">
        <f>IF(S177="",0,IF(AE172="不","",(SUM(CG173:CM173)+SUM(CG174:CM174))*S177/N177))</f>
        <v>0</v>
      </c>
      <c r="CO173" s="682">
        <f>IF(S177="",0,IF(AE172="不","",(SUM(CG176:CM176)+SUM(CG177:CM177))*S177/N177))</f>
        <v>0</v>
      </c>
      <c r="CP173" s="664" t="s">
        <v>1</v>
      </c>
      <c r="CQ173" s="2986" t="str">
        <f>IF(CS173="","","スピーカ S5")</f>
        <v/>
      </c>
      <c r="CR173" s="3476"/>
      <c r="CS173" s="683" t="str">
        <f>IF(AW176=0,"",AW176)</f>
        <v/>
      </c>
      <c r="CT173" s="3483" t="str">
        <f>IF(CV173="","","アッテネータ 3W")</f>
        <v/>
      </c>
      <c r="CU173" s="3484"/>
      <c r="CV173" s="88" t="str">
        <f>BI176</f>
        <v/>
      </c>
      <c r="CX173" s="8"/>
      <c r="CY173" s="197">
        <f t="shared" ref="CY173:CY179" si="129">IF(DC173&lt;&gt;"",CY172+1,CY172)</f>
        <v>10</v>
      </c>
      <c r="CZ173" s="197" t="str">
        <f t="shared" si="127"/>
        <v/>
      </c>
      <c r="DA173" s="10" t="str">
        <f>H179</f>
        <v/>
      </c>
      <c r="DB173" s="8"/>
      <c r="DC173" s="249" t="str">
        <f>IF(COUNTIF(DA$10:$DA170,DA173)&gt;0,"",DA173)</f>
        <v/>
      </c>
      <c r="DD173" s="515" t="str">
        <f>AF179</f>
        <v/>
      </c>
      <c r="DE173" s="514">
        <f>SUMIF($DA$13:$DA$199,DC173,$DD$13:$DD$199)</f>
        <v>0</v>
      </c>
      <c r="DG173" s="8"/>
      <c r="DH173" s="197">
        <f t="shared" ref="DH173:DH179" si="130">IF(DL173&lt;&gt;"",DH172+1,DH172)</f>
        <v>5</v>
      </c>
      <c r="DI173" s="197" t="str">
        <f t="shared" si="128"/>
        <v/>
      </c>
      <c r="DJ173" s="10" t="str">
        <f>AT179</f>
        <v/>
      </c>
      <c r="DK173" s="8"/>
      <c r="DL173" s="249" t="str">
        <f>IF(COUNTIF($DA$10:DJ170,DJ173)&gt;0,"",DJ173)</f>
        <v/>
      </c>
      <c r="DM173" s="515" t="str">
        <f>BL179</f>
        <v/>
      </c>
      <c r="DN173" s="514">
        <f>SUMIF($DJ$13:$DJ$199,DL173,$DM$13:$DM$199)</f>
        <v>0</v>
      </c>
      <c r="DQ173" s="197">
        <f t="shared" si="126"/>
        <v>11</v>
      </c>
      <c r="DR173" s="197" t="str">
        <f t="shared" si="124"/>
        <v/>
      </c>
      <c r="DS173" s="201" t="str">
        <f>CQ122</f>
        <v>ソノライン・スピーカ 20W</v>
      </c>
      <c r="DT173" s="24"/>
      <c r="DU173" s="249" t="str">
        <f>IF(COUNTIF($DS$10:DS172,DS173)&gt;0,"",DS173)</f>
        <v/>
      </c>
      <c r="DV173" s="198">
        <f>CS122</f>
        <v>0</v>
      </c>
      <c r="DW173" s="514">
        <f t="shared" si="125"/>
        <v>5</v>
      </c>
    </row>
    <row r="174" spans="2:127" ht="11.25" customHeight="1" thickBot="1">
      <c r="B174" s="23"/>
      <c r="C174" s="2396"/>
      <c r="D174" s="2396"/>
      <c r="E174" s="2396"/>
      <c r="F174" s="2397" t="s">
        <v>235</v>
      </c>
      <c r="G174" s="2397"/>
      <c r="H174" s="2397"/>
      <c r="I174" s="2397"/>
      <c r="J174" s="2397" t="s">
        <v>235</v>
      </c>
      <c r="K174" s="2397"/>
      <c r="L174" s="2397"/>
      <c r="M174" s="2397"/>
      <c r="N174" s="2397" t="s">
        <v>128</v>
      </c>
      <c r="O174" s="2397"/>
      <c r="P174" s="2397"/>
      <c r="Q174" s="2397"/>
      <c r="R174" s="2397"/>
      <c r="S174" s="2397" t="s">
        <v>128</v>
      </c>
      <c r="T174" s="2397"/>
      <c r="U174" s="2397"/>
      <c r="V174" s="2397"/>
      <c r="W174" s="2397" t="s">
        <v>128</v>
      </c>
      <c r="X174" s="2397"/>
      <c r="Y174" s="2397"/>
      <c r="Z174" s="2397"/>
      <c r="AA174" s="2397" t="s">
        <v>111</v>
      </c>
      <c r="AB174" s="2397"/>
      <c r="AC174" s="2397"/>
      <c r="AD174" s="2397" t="s">
        <v>110</v>
      </c>
      <c r="AE174" s="2397"/>
      <c r="AF174" s="2397"/>
      <c r="AG174" s="3398" t="str">
        <f>IF(AN174="","","共部屋面積")</f>
        <v/>
      </c>
      <c r="AH174" s="2382"/>
      <c r="AI174" s="2382"/>
      <c r="AJ174" s="2382"/>
      <c r="AK174" s="2382"/>
      <c r="AL174" s="2382"/>
      <c r="AM174" s="3392"/>
      <c r="AN174" s="3368" t="str">
        <f>IF(OR($B$2=0,C177=""),"",W177/AD177)</f>
        <v/>
      </c>
      <c r="AO174" s="3369"/>
      <c r="AP174" s="3369"/>
      <c r="AQ174" s="3369"/>
      <c r="AR174" s="3370"/>
      <c r="AS174" s="3419" t="s">
        <v>895</v>
      </c>
      <c r="AT174" s="3361"/>
      <c r="AU174" s="3360" t="s">
        <v>894</v>
      </c>
      <c r="AV174" s="3361"/>
      <c r="AW174" s="3360" t="s">
        <v>893</v>
      </c>
      <c r="AX174" s="3361"/>
      <c r="AY174" s="3360" t="s">
        <v>892</v>
      </c>
      <c r="AZ174" s="3361"/>
      <c r="BA174" s="3360" t="s">
        <v>891</v>
      </c>
      <c r="BB174" s="3361"/>
      <c r="BC174" s="3360" t="s">
        <v>890</v>
      </c>
      <c r="BD174" s="3361"/>
      <c r="BE174" s="3360" t="s">
        <v>889</v>
      </c>
      <c r="BF174" s="3361"/>
      <c r="BG174" s="3432" t="s">
        <v>888</v>
      </c>
      <c r="BH174" s="3433"/>
      <c r="BI174" s="3360"/>
      <c r="BJ174" s="3361"/>
      <c r="BK174" s="3360"/>
      <c r="BL174" s="3361"/>
      <c r="BM174" s="3391" t="s">
        <v>887</v>
      </c>
      <c r="BN174" s="3391"/>
      <c r="BO174" s="3391"/>
      <c r="BP174" s="3391" t="s">
        <v>887</v>
      </c>
      <c r="BQ174" s="3391"/>
      <c r="BR174" s="3391"/>
      <c r="BS174" s="3432" t="s">
        <v>744</v>
      </c>
      <c r="BT174" s="3433"/>
      <c r="BU174" s="19"/>
      <c r="BW174" s="102"/>
      <c r="BX174" s="88">
        <f>IF(OR(J175="( 10)",J175="(12)イ",LEFT(J175,4)="(13)"),1,0)</f>
        <v>0</v>
      </c>
      <c r="BY174" s="88" t="str">
        <f>IF(OR(J175="(1) ロ",J175="(2) ロ",J175="(2) ニ",J175="(5) イ",J175="(6) ハ",J175="(6) ニ",J175="( 7 )",J175="( 15)"),"要","")</f>
        <v/>
      </c>
      <c r="CC174" s="46">
        <v>18</v>
      </c>
      <c r="CD174" s="98">
        <f>非誘!BW125</f>
        <v>0</v>
      </c>
      <c r="CE174" s="98">
        <f>非誘!BX125</f>
        <v>0</v>
      </c>
      <c r="CF174" s="106" t="s">
        <v>858</v>
      </c>
      <c r="CG174" s="185" t="e">
        <f>INT((F177-$Y$10/1000-0.25)*BY176)</f>
        <v>#VALUE!</v>
      </c>
      <c r="CH174" s="184" t="e">
        <f>1+INT((F177-$Y$7/1000-0.25+$AN$8/1000)*CS179)</f>
        <v>#VALUE!</v>
      </c>
      <c r="CI174" s="184" t="e">
        <f>INT((F177-$Y$8/1000-0.25+$AN$9/1000)*SUM(BI176:BL176))</f>
        <v>#VALUE!</v>
      </c>
      <c r="CJ174" s="185">
        <f>IF($AX$8=0,"",2*INT(CJ172*($AX$8-250)/1000))</f>
        <v>0</v>
      </c>
      <c r="CK174" s="184"/>
      <c r="CL174" s="184" t="str">
        <f>IF(BP176="","",INT((F177-$Y$9/1000-0.25+AN168/1000)*BP176))</f>
        <v/>
      </c>
      <c r="CM174" s="184" t="str">
        <f>IF(BS176="","",INT((F177-$Y$9/1000-0.25+AN168/1000)*BS176))</f>
        <v/>
      </c>
      <c r="CN174" s="682" t="e">
        <f>IF(AN172="不","",(SUM(CG173:CM173)+SUM(CG174:CM174))*W177/N177)</f>
        <v>#VALUE!</v>
      </c>
      <c r="CO174" s="682" t="e">
        <f>IF(AN172="不","",(SUM(CG176:CM176)+SUM(CG177:CM177))*W177/N177)</f>
        <v>#VALUE!</v>
      </c>
      <c r="CP174" s="670" t="s">
        <v>877</v>
      </c>
      <c r="CQ174" s="15"/>
      <c r="CR174" s="106" t="s">
        <v>868</v>
      </c>
      <c r="CS174" s="8">
        <f>SUM(CS171:CS173)</f>
        <v>0</v>
      </c>
      <c r="CT174" s="3485" t="str">
        <f>IF(CV174="","","アッテネータ 6W")</f>
        <v/>
      </c>
      <c r="CU174" s="3484"/>
      <c r="CV174" s="88" t="str">
        <f>BK176</f>
        <v/>
      </c>
      <c r="CX174" s="8"/>
      <c r="CY174" s="197">
        <f t="shared" si="129"/>
        <v>10</v>
      </c>
      <c r="CZ174" s="197" t="str">
        <f t="shared" si="127"/>
        <v/>
      </c>
      <c r="DA174" s="10"/>
      <c r="DB174" s="8"/>
      <c r="DC174" s="249"/>
      <c r="DD174" s="515"/>
      <c r="DE174" s="514"/>
      <c r="DG174" s="8"/>
      <c r="DH174" s="197">
        <f t="shared" si="130"/>
        <v>5</v>
      </c>
      <c r="DI174" s="197" t="str">
        <f t="shared" si="128"/>
        <v/>
      </c>
      <c r="DJ174" s="10"/>
      <c r="DK174" s="8"/>
      <c r="DL174" s="249"/>
      <c r="DM174" s="515"/>
      <c r="DN174" s="514"/>
      <c r="DQ174" s="197">
        <f t="shared" si="126"/>
        <v>11</v>
      </c>
      <c r="DR174" s="197" t="str">
        <f t="shared" si="124"/>
        <v/>
      </c>
      <c r="DS174" s="10" t="str">
        <f t="shared" ref="DS174:DS179" si="131">CT115</f>
        <v/>
      </c>
      <c r="DT174" s="24"/>
      <c r="DU174" s="249" t="str">
        <f>IF(COUNTIF($DS$10:DS173,DS174)&gt;0,"",DS174)</f>
        <v/>
      </c>
      <c r="DV174" s="198" t="str">
        <f t="shared" ref="DV174:DV179" si="132">CV115</f>
        <v/>
      </c>
      <c r="DW174" s="514">
        <f t="shared" si="125"/>
        <v>5</v>
      </c>
    </row>
    <row r="175" spans="2:127" ht="11.25" customHeight="1" thickBot="1">
      <c r="B175" s="23"/>
      <c r="C175" s="2299" t="s">
        <v>112</v>
      </c>
      <c r="D175" s="2299"/>
      <c r="E175" s="2299"/>
      <c r="F175" s="2299"/>
      <c r="G175" s="2299"/>
      <c r="H175" s="2299"/>
      <c r="I175" s="3399"/>
      <c r="J175" s="3400" t="str">
        <f>非誘!J123</f>
        <v/>
      </c>
      <c r="K175" s="3401"/>
      <c r="L175" s="3401"/>
      <c r="M175" s="3402"/>
      <c r="N175" s="3403" t="str">
        <f>非誘!M123</f>
        <v/>
      </c>
      <c r="O175" s="3404"/>
      <c r="P175" s="3404"/>
      <c r="Q175" s="3404"/>
      <c r="R175" s="3404"/>
      <c r="S175" s="3404"/>
      <c r="T175" s="3404"/>
      <c r="U175" s="3404"/>
      <c r="V175" s="3404"/>
      <c r="W175" s="3404"/>
      <c r="X175" s="3404"/>
      <c r="Y175" s="3404"/>
      <c r="Z175" s="3405"/>
      <c r="AA175" s="3406" t="s">
        <v>926</v>
      </c>
      <c r="AB175" s="2301"/>
      <c r="AC175" s="2301"/>
      <c r="AD175" s="2301"/>
      <c r="AE175" s="2301"/>
      <c r="AF175" s="2302"/>
      <c r="AG175" s="3393" t="str">
        <f>IF($B$2=0,"",IF(AN175="","天井(C 管)",AN175))</f>
        <v>天井(C 管)</v>
      </c>
      <c r="AH175" s="2368"/>
      <c r="AI175" s="2368"/>
      <c r="AJ175" s="2368"/>
      <c r="AK175" s="2368"/>
      <c r="AL175" s="3394"/>
      <c r="AM175" s="668" t="s">
        <v>925</v>
      </c>
      <c r="AN175" s="3395"/>
      <c r="AO175" s="3396"/>
      <c r="AP175" s="3396"/>
      <c r="AQ175" s="3396"/>
      <c r="AR175" s="3397"/>
      <c r="AS175" s="3434" t="s">
        <v>881</v>
      </c>
      <c r="AT175" s="3435"/>
      <c r="AU175" s="3436" t="s">
        <v>880</v>
      </c>
      <c r="AV175" s="3437"/>
      <c r="AW175" s="3432"/>
      <c r="AX175" s="3433"/>
      <c r="AY175" s="3432" t="s">
        <v>881</v>
      </c>
      <c r="AZ175" s="3433"/>
      <c r="BA175" s="3436" t="s">
        <v>884</v>
      </c>
      <c r="BB175" s="3437"/>
      <c r="BC175" s="3436" t="s">
        <v>883</v>
      </c>
      <c r="BD175" s="3438"/>
      <c r="BE175" s="3438"/>
      <c r="BF175" s="3437"/>
      <c r="BG175" s="3420" t="s">
        <v>882</v>
      </c>
      <c r="BH175" s="3421"/>
      <c r="BI175" s="3436" t="s">
        <v>881</v>
      </c>
      <c r="BJ175" s="3437"/>
      <c r="BK175" s="3436" t="s">
        <v>880</v>
      </c>
      <c r="BL175" s="3437"/>
      <c r="BM175" s="3407" t="str">
        <f>IF(BM176="","",$BW$12)</f>
        <v/>
      </c>
      <c r="BN175" s="3407"/>
      <c r="BO175" s="3407"/>
      <c r="BP175" s="3407" t="str">
        <f>IF(BP176="","",30)</f>
        <v/>
      </c>
      <c r="BQ175" s="3407"/>
      <c r="BR175" s="3407"/>
      <c r="BS175" s="2384" t="s">
        <v>879</v>
      </c>
      <c r="BT175" s="2386"/>
      <c r="BU175" s="19"/>
      <c r="BW175" s="102"/>
      <c r="CB175" s="90" t="s">
        <v>924</v>
      </c>
      <c r="CC175" s="479" t="str">
        <f>AD176</f>
        <v/>
      </c>
      <c r="CD175" s="263" t="str">
        <f>IF(C177="","",IF(CC175="①",CD174+CE174+3,IF(CC175="②",CD174*5/8+CE174+3,IF(CC175="③",CD174/2+CE174+3,IF(CC175="④",CD174+CE174*5/8+3,IF(CC175="⑤",(CD174+CE174)*5/8+3,IF(CC175="⑥",CD174/2+CE174*5/8+3,IF(CC175="⑦",CD174+CE174/2+3,IF(CC175="⑧",CD174*5/8+CE174/2+3,IF(CC175="⑨",(CD174+CE174)/2+3))))))))))</f>
        <v/>
      </c>
      <c r="CE175" s="8"/>
      <c r="CF175" s="106"/>
      <c r="CG175" s="681">
        <f>IF(AG175="天井ケーブル",0,1)</f>
        <v>1</v>
      </c>
      <c r="CH175" s="394"/>
      <c r="CI175" s="394"/>
      <c r="CJ175" s="59"/>
      <c r="CK175" s="394"/>
      <c r="CL175" s="394"/>
      <c r="CM175" s="394"/>
      <c r="CN175" s="62" t="s">
        <v>1</v>
      </c>
      <c r="CO175" s="62" t="s">
        <v>877</v>
      </c>
      <c r="CP175" s="38"/>
      <c r="CQ175" s="2986" t="str">
        <f>IF(CS175="","","スピーカ 6W S2")</f>
        <v/>
      </c>
      <c r="CR175" s="3476"/>
      <c r="CS175" s="88" t="str">
        <f>IF(AU176=0,"",AU176)</f>
        <v/>
      </c>
      <c r="CT175" s="3483" t="str">
        <f>IF(CV175="","","主増幅器")</f>
        <v/>
      </c>
      <c r="CU175" s="3484"/>
      <c r="CV175" s="88" t="str">
        <f>BM176</f>
        <v/>
      </c>
      <c r="CX175" s="8"/>
      <c r="CY175" s="197">
        <f t="shared" si="129"/>
        <v>10</v>
      </c>
      <c r="CZ175" s="197" t="str">
        <f t="shared" si="127"/>
        <v/>
      </c>
      <c r="DA175" s="10"/>
      <c r="DB175" s="8"/>
      <c r="DC175" s="249"/>
      <c r="DD175" s="515"/>
      <c r="DE175" s="514"/>
      <c r="DG175" s="8"/>
      <c r="DH175" s="197">
        <f t="shared" si="130"/>
        <v>5</v>
      </c>
      <c r="DI175" s="197" t="str">
        <f t="shared" si="128"/>
        <v/>
      </c>
      <c r="DJ175" s="10"/>
      <c r="DK175" s="8"/>
      <c r="DL175" s="249"/>
      <c r="DM175" s="515"/>
      <c r="DN175" s="514"/>
      <c r="DQ175" s="197">
        <f t="shared" si="126"/>
        <v>11</v>
      </c>
      <c r="DR175" s="197" t="str">
        <f t="shared" si="124"/>
        <v/>
      </c>
      <c r="DS175" s="10" t="str">
        <f t="shared" si="131"/>
        <v>アッテネータ 3W</v>
      </c>
      <c r="DT175" s="24"/>
      <c r="DU175" s="249" t="str">
        <f>IF(COUNTIF($DS$10:DS174,DS175)&gt;0,"",DS175)</f>
        <v/>
      </c>
      <c r="DV175" s="198">
        <f t="shared" si="132"/>
        <v>2</v>
      </c>
      <c r="DW175" s="514">
        <f t="shared" si="125"/>
        <v>5</v>
      </c>
    </row>
    <row r="176" spans="2:127" ht="11.25" customHeight="1" thickBot="1">
      <c r="B176" s="23"/>
      <c r="C176" s="3409" t="s">
        <v>923</v>
      </c>
      <c r="D176" s="3410"/>
      <c r="E176" s="3410"/>
      <c r="F176" s="3410"/>
      <c r="G176" s="3410"/>
      <c r="H176" s="3411"/>
      <c r="I176" s="3430" t="str">
        <f>非誘!AA123</f>
        <v/>
      </c>
      <c r="J176" s="3430"/>
      <c r="K176" s="3430"/>
      <c r="L176" s="2395" t="s">
        <v>214</v>
      </c>
      <c r="M176" s="2395"/>
      <c r="N176" s="2395"/>
      <c r="O176" s="2395"/>
      <c r="P176" s="2395"/>
      <c r="Q176" s="2395"/>
      <c r="R176" s="2395"/>
      <c r="S176" s="3379" t="str">
        <f>非誘!J124</f>
        <v/>
      </c>
      <c r="T176" s="3380"/>
      <c r="U176" s="3380"/>
      <c r="V176" s="3381"/>
      <c r="W176" s="3399" t="s">
        <v>875</v>
      </c>
      <c r="X176" s="3412"/>
      <c r="Y176" s="3412"/>
      <c r="Z176" s="3412"/>
      <c r="AA176" s="2654"/>
      <c r="AB176" s="2654"/>
      <c r="AC176" s="2655"/>
      <c r="AD176" s="3388" t="str">
        <f>非誘!V124</f>
        <v/>
      </c>
      <c r="AE176" s="3389"/>
      <c r="AF176" s="3390"/>
      <c r="AG176" s="3391" t="s">
        <v>874</v>
      </c>
      <c r="AH176" s="3391"/>
      <c r="AI176" s="3391"/>
      <c r="AJ176" s="3391"/>
      <c r="AK176" s="3391"/>
      <c r="AL176" s="2990" t="str">
        <f>IF(AP176&lt;&gt;"",AP176,IF(C177=$BG$10,C177,""))</f>
        <v/>
      </c>
      <c r="AM176" s="2990"/>
      <c r="AN176" s="2990"/>
      <c r="AO176" s="668" t="s">
        <v>34</v>
      </c>
      <c r="AP176" s="3325"/>
      <c r="AQ176" s="3326"/>
      <c r="AR176" s="3327"/>
      <c r="AS176" s="3418" t="str">
        <f>IF(CE177=0,"",IF(AS177&lt;&gt;"",AS177,IF(BE176&lt;&gt;"",CN178,SUM(CN176:CO176))))</f>
        <v/>
      </c>
      <c r="AT176" s="3375"/>
      <c r="AU176" s="3418" t="str">
        <f>IF(CE177=0,"",IF(AU177&lt;&gt;"",AU177,CN177))</f>
        <v/>
      </c>
      <c r="AV176" s="3375"/>
      <c r="AW176" s="3418"/>
      <c r="AX176" s="3375"/>
      <c r="AY176" s="3418" t="str">
        <f>IF(AA177="","",IF(AY177&lt;&gt;"",AY177,CO177))</f>
        <v/>
      </c>
      <c r="AZ176" s="3375"/>
      <c r="BA176" s="3418"/>
      <c r="BB176" s="3375"/>
      <c r="BC176" s="3418" t="str">
        <f>IF(OR(AL177="不",,BP176=""),"",IF(BC177&lt;&gt;"",BC177,BP176*2))</f>
        <v/>
      </c>
      <c r="BD176" s="3375"/>
      <c r="BE176" s="3418" t="str">
        <f>IF(BE177&lt;&gt;"",BE177,IF(BX174=0,"",CN178))</f>
        <v/>
      </c>
      <c r="BF176" s="3375"/>
      <c r="BG176" s="3418" t="str">
        <f>IF(AE172="不","",IF(BG177&lt;&gt;"",BG177,BP176))</f>
        <v/>
      </c>
      <c r="BH176" s="3375"/>
      <c r="BI176" s="3418" t="str">
        <f>IF(CE177=0,"",CN179)</f>
        <v/>
      </c>
      <c r="BJ176" s="3375"/>
      <c r="BK176" s="3374" t="str">
        <f>IF(CE177=0,"",CO179)</f>
        <v/>
      </c>
      <c r="BL176" s="3375"/>
      <c r="BM176" s="3376" t="str">
        <f>IF(CE177=0,"",IF(BM177&lt;&gt;"",BM177,IF(C177=AL176,1,"")))</f>
        <v/>
      </c>
      <c r="BN176" s="3377"/>
      <c r="BO176" s="3378"/>
      <c r="BP176" s="3376" t="str">
        <f>IF(CE177=0,"",IF(OR(AE172="不",AA177="",S177=""),"",IF(BP177&lt;&gt;"",BP177,IF(AL177="要",1+INT(S177/1000),""))))</f>
        <v/>
      </c>
      <c r="BQ176" s="3377"/>
      <c r="BR176" s="3378"/>
      <c r="BS176" s="3376" t="str">
        <f>IF(BS177&lt;&gt;"",BS177,BP176)</f>
        <v/>
      </c>
      <c r="BT176" s="3378"/>
      <c r="BU176" s="19"/>
      <c r="BW176" s="680">
        <f>IF(AND(CS177=0,CS178=""),CS174*3,CS174*3+CS177*6)</f>
        <v>0</v>
      </c>
      <c r="BX176" s="102">
        <f>BY177</f>
        <v>0</v>
      </c>
      <c r="BY176" s="522">
        <f>1+INT(SUM(S177:Z177)/400)</f>
        <v>1</v>
      </c>
      <c r="BZ176" s="100" t="s">
        <v>873</v>
      </c>
      <c r="CB176" s="678" t="str">
        <f>IF(CE177=0,"",IF(CE177="=",MID(BZ177,10,3),10*(1+INT(BY176*3/10))))</f>
        <v/>
      </c>
      <c r="CC176" s="10" t="s">
        <v>922</v>
      </c>
      <c r="CF176" s="106" t="s">
        <v>857</v>
      </c>
      <c r="CG176" s="136" t="e">
        <f>IF(CG175=1,INT(CD175*BY176)+BY176*10,"")</f>
        <v>#VALUE!</v>
      </c>
      <c r="CH176" s="136" t="e">
        <f>IF(CG175=1,INT(CD175*CS179),"")</f>
        <v>#VALUE!</v>
      </c>
      <c r="CI176" s="136">
        <f>8*SUM(BI176:BL176)</f>
        <v>0</v>
      </c>
      <c r="CJ176" s="134" t="str">
        <f>IF($AX$8=0,INT(10.7*CD174*CE174/($BF$8/1000)^2)*1.5,"")</f>
        <v/>
      </c>
      <c r="CK176" s="136">
        <v>0</v>
      </c>
      <c r="CL176" s="136" t="str">
        <f>IF(BP176="","",10*BP176)</f>
        <v/>
      </c>
      <c r="CM176" s="136" t="str">
        <f>IF(BS176="","",10*BS176)</f>
        <v/>
      </c>
      <c r="CN176" s="665">
        <f>IF(AA177="",0,IF(AE172="不","",INT(AA177/2)))</f>
        <v>0</v>
      </c>
      <c r="CO176" s="665" t="e">
        <f>IF(AN172="不","",INT(AD177/2))</f>
        <v>#VALUE!</v>
      </c>
      <c r="CP176" s="670" t="s">
        <v>921</v>
      </c>
      <c r="CQ176" s="2986" t="str">
        <f>IF(CS176="","","スピーカ 5W S4")</f>
        <v/>
      </c>
      <c r="CR176" s="3476"/>
      <c r="CS176" s="88" t="str">
        <f>IF(BA176=0,"",BA176)</f>
        <v/>
      </c>
      <c r="CT176" s="3483" t="str">
        <f>IF(CV176="","","副増幅器 30W")</f>
        <v/>
      </c>
      <c r="CU176" s="3484"/>
      <c r="CV176" s="88" t="str">
        <f>BP176</f>
        <v/>
      </c>
      <c r="CX176" s="8"/>
      <c r="CY176" s="197">
        <f t="shared" si="129"/>
        <v>10</v>
      </c>
      <c r="CZ176" s="197" t="str">
        <f t="shared" si="127"/>
        <v/>
      </c>
      <c r="DA176" s="10"/>
      <c r="DB176" s="8"/>
      <c r="DC176" s="249"/>
      <c r="DD176" s="515"/>
      <c r="DE176" s="514"/>
      <c r="DG176" s="8"/>
      <c r="DH176" s="197">
        <f t="shared" si="130"/>
        <v>5</v>
      </c>
      <c r="DI176" s="197" t="str">
        <f t="shared" si="128"/>
        <v/>
      </c>
      <c r="DJ176" s="10"/>
      <c r="DK176" s="8"/>
      <c r="DL176" s="249"/>
      <c r="DM176" s="515"/>
      <c r="DN176" s="514"/>
      <c r="DQ176" s="197">
        <f t="shared" si="126"/>
        <v>11</v>
      </c>
      <c r="DR176" s="197" t="str">
        <f t="shared" si="124"/>
        <v/>
      </c>
      <c r="DS176" s="10" t="str">
        <f t="shared" si="131"/>
        <v>アッテネータ 6W</v>
      </c>
      <c r="DT176" s="24"/>
      <c r="DU176" s="249" t="str">
        <f>IF(COUNTIF($DS$10:DS175,DS176)&gt;0,"",DS176)</f>
        <v/>
      </c>
      <c r="DV176" s="198">
        <f t="shared" si="132"/>
        <v>1</v>
      </c>
      <c r="DW176" s="514">
        <f t="shared" si="125"/>
        <v>5</v>
      </c>
    </row>
    <row r="177" spans="2:127" ht="11.25" customHeight="1" thickBot="1">
      <c r="B177" s="23"/>
      <c r="C177" s="3429" t="str">
        <f>IF($B$2=0,"",非誘!C125)</f>
        <v/>
      </c>
      <c r="D177" s="3407"/>
      <c r="E177" s="3407"/>
      <c r="F177" s="3430" t="str">
        <f>IF($B$2=0,"",非誘!F125)</f>
        <v/>
      </c>
      <c r="G177" s="3430"/>
      <c r="H177" s="3430"/>
      <c r="I177" s="3430"/>
      <c r="J177" s="3430" t="str">
        <f>IF($B$2=0,"",非誘!J125)</f>
        <v/>
      </c>
      <c r="K177" s="3430"/>
      <c r="L177" s="3430"/>
      <c r="M177" s="3430"/>
      <c r="N177" s="3407" t="str">
        <f>IF($B$2=0,"",非誘!N125)</f>
        <v/>
      </c>
      <c r="O177" s="3407"/>
      <c r="P177" s="3407"/>
      <c r="Q177" s="3407"/>
      <c r="R177" s="3407"/>
      <c r="S177" s="3431" t="str">
        <f>IF($B$2=0,"",非誘!S125)</f>
        <v/>
      </c>
      <c r="T177" s="3431"/>
      <c r="U177" s="3431"/>
      <c r="V177" s="3431"/>
      <c r="W177" s="3431" t="str">
        <f>IF($B$2=0,"",非誘!W125)</f>
        <v/>
      </c>
      <c r="X177" s="3431"/>
      <c r="Y177" s="3431"/>
      <c r="Z177" s="3431"/>
      <c r="AA177" s="3407" t="str">
        <f>IF($B$2=0,"",非誘!AA125)</f>
        <v/>
      </c>
      <c r="AB177" s="3407"/>
      <c r="AC177" s="3407"/>
      <c r="AD177" s="3407" t="str">
        <f>IF($B$2=0,"",非誘!AD125)</f>
        <v/>
      </c>
      <c r="AE177" s="3407"/>
      <c r="AF177" s="3407"/>
      <c r="AG177" s="3391" t="s">
        <v>920</v>
      </c>
      <c r="AH177" s="3391"/>
      <c r="AI177" s="3391"/>
      <c r="AJ177" s="3391"/>
      <c r="AK177" s="3391"/>
      <c r="AL177" s="2990" t="str">
        <f>IF(AP177&lt;&gt;"",AP177,IF($BY$18="要","要",""))</f>
        <v/>
      </c>
      <c r="AM177" s="2990"/>
      <c r="AN177" s="2990"/>
      <c r="AO177" s="668" t="s">
        <v>34</v>
      </c>
      <c r="AP177" s="3408"/>
      <c r="AQ177" s="3408"/>
      <c r="AR177" s="3408"/>
      <c r="AS177" s="2551"/>
      <c r="AT177" s="3414"/>
      <c r="AU177" s="2551"/>
      <c r="AV177" s="3414"/>
      <c r="AW177" s="2551"/>
      <c r="AX177" s="3414"/>
      <c r="AY177" s="2551"/>
      <c r="AZ177" s="3414"/>
      <c r="BA177" s="2551"/>
      <c r="BB177" s="3414"/>
      <c r="BC177" s="2551"/>
      <c r="BD177" s="3414"/>
      <c r="BE177" s="2551"/>
      <c r="BF177" s="3414"/>
      <c r="BG177" s="2551"/>
      <c r="BH177" s="3414"/>
      <c r="BI177" s="2551"/>
      <c r="BJ177" s="3414"/>
      <c r="BK177" s="2551"/>
      <c r="BL177" s="3414"/>
      <c r="BM177" s="2551"/>
      <c r="BN177" s="3428"/>
      <c r="BO177" s="3414"/>
      <c r="BP177" s="2551"/>
      <c r="BQ177" s="3428"/>
      <c r="BR177" s="3414"/>
      <c r="BS177" s="2551"/>
      <c r="BT177" s="3414"/>
      <c r="BU177" s="19"/>
      <c r="BY177" s="677">
        <f>IF(CE177=0,0,IF(CE177="=",BY176+BY168+BY186,IF(CE177="-",BY176+BY168,BY176+BY186)))</f>
        <v>0</v>
      </c>
      <c r="BZ177" s="3443" t="str">
        <f>IF(CE177=0,"",IF(BY177*3&lt;=20,"HP 1.2mm- 10Pr",IF(BY177*3&lt;=30,"HP 1.2mm- 15Pr",IF(BY177*3&lt;=40,"HP 1.2mm- 20Pr",IF(BY177*3&lt;=50,"HP 1.2mm- 25Pr",IF(BY177*3&lt;=60,"HP 1.2mm- 30Pr",IF(BY177*3&lt;=80,"HP 1.2mm- 40Pr",IF(BY177*3&lt;=100,"HP 1.2mm- 50Pr",IF(BY177*3&lt;=150,"HP 1.2mm- 75Pr", IF(BY177*3&lt;=200,"HP 1.2mm-100Pr",IF(BY177*3&lt;=400,"HP 1.2mm-200Pr","")))))))))))</f>
        <v/>
      </c>
      <c r="CA177" s="3444"/>
      <c r="CB177" s="3444"/>
      <c r="CC177" s="3445"/>
      <c r="CD177" s="673" t="str">
        <f>IF(LEFT($BG$10,2)=" B",-MID($BG$10,3,1),LEFT($BG$10,3))</f>
        <v xml:space="preserve">  1</v>
      </c>
      <c r="CE177" s="676">
        <f>IF(CD178=0,0,IF(CD177=CD178,"=",IF(CD177&gt;CD178,"-","+")))</f>
        <v>0</v>
      </c>
      <c r="CF177" s="106" t="s">
        <v>856</v>
      </c>
      <c r="CG177" s="136" t="e">
        <f>2*INT((F177-$Y$10/1000-0.25))</f>
        <v>#VALUE!</v>
      </c>
      <c r="CH177" s="136" t="e">
        <f>1+INT((F177-$Y$7/1000-0.25)*CS179)</f>
        <v>#VALUE!</v>
      </c>
      <c r="CI177" s="136" t="e">
        <f>INT((F177-$Y$8/1000-0.25)*SUM(BI176:BL176))</f>
        <v>#VALUE!</v>
      </c>
      <c r="CJ177" s="675"/>
      <c r="CK177" s="136">
        <v>0</v>
      </c>
      <c r="CL177" s="136" t="str">
        <f>IF(BP176="","",INT((F177-$Y$9/1000-0.25)*BP176))</f>
        <v/>
      </c>
      <c r="CM177" s="136" t="str">
        <f>IF(BS176="","",INT((F177-$Y$9/1000-0.25)*BS176))</f>
        <v/>
      </c>
      <c r="CN177" s="665">
        <f>IF(AA177="",0,IF(AE172="不","",INT(AA177/2)))</f>
        <v>0</v>
      </c>
      <c r="CO177" s="665" t="e">
        <f>IF(AN172="不","",INT(AD177/2))</f>
        <v>#VALUE!</v>
      </c>
      <c r="CP177" s="670" t="s">
        <v>919</v>
      </c>
      <c r="CQ177" s="15"/>
      <c r="CR177" s="106" t="s">
        <v>868</v>
      </c>
      <c r="CS177" s="8">
        <f>SUM(CS175:CS176)</f>
        <v>0</v>
      </c>
      <c r="CT177" s="3483" t="str">
        <f>IF(CV177="","","カットリレー")</f>
        <v/>
      </c>
      <c r="CU177" s="3484"/>
      <c r="CV177" s="88" t="str">
        <f>BS176</f>
        <v/>
      </c>
      <c r="CY177" s="197">
        <f t="shared" si="129"/>
        <v>10</v>
      </c>
      <c r="CZ177" s="197" t="str">
        <f t="shared" si="127"/>
        <v/>
      </c>
      <c r="DB177" s="24"/>
      <c r="DD177" s="516"/>
      <c r="DE177" s="516"/>
      <c r="DH177" s="197">
        <f t="shared" si="130"/>
        <v>5</v>
      </c>
      <c r="DI177" s="197" t="str">
        <f t="shared" si="128"/>
        <v/>
      </c>
      <c r="DK177" s="24"/>
      <c r="DM177" s="516"/>
      <c r="DN177" s="516"/>
      <c r="DQ177" s="197">
        <f t="shared" si="126"/>
        <v>11</v>
      </c>
      <c r="DR177" s="197" t="str">
        <f t="shared" si="124"/>
        <v/>
      </c>
      <c r="DS177" s="10" t="str">
        <f t="shared" si="131"/>
        <v/>
      </c>
      <c r="DT177" s="24"/>
      <c r="DU177" s="249" t="str">
        <f>IF(COUNTIF($DS$10:DS176,DS177)&gt;0,"",DS177)</f>
        <v/>
      </c>
      <c r="DV177" s="198" t="str">
        <f t="shared" si="132"/>
        <v/>
      </c>
      <c r="DW177" s="514">
        <f t="shared" si="125"/>
        <v>5</v>
      </c>
    </row>
    <row r="178" spans="2:127" ht="11.25" customHeight="1" thickBot="1">
      <c r="B178" s="23"/>
      <c r="C178" s="2300" t="s">
        <v>867</v>
      </c>
      <c r="D178" s="2301"/>
      <c r="E178" s="2301"/>
      <c r="F178" s="2301"/>
      <c r="G178" s="2302"/>
      <c r="H178" s="3422" t="str">
        <f>IF(CE177=0,"",IF(R178&lt;&gt;"",R178,BZ177))</f>
        <v/>
      </c>
      <c r="I178" s="3423"/>
      <c r="J178" s="3423"/>
      <c r="K178" s="3423"/>
      <c r="L178" s="3423"/>
      <c r="M178" s="3423"/>
      <c r="N178" s="3423"/>
      <c r="O178" s="3423"/>
      <c r="P178" s="3424"/>
      <c r="Q178" s="668" t="s">
        <v>2</v>
      </c>
      <c r="R178" s="3362"/>
      <c r="S178" s="3363"/>
      <c r="T178" s="3363"/>
      <c r="U178" s="3363"/>
      <c r="V178" s="3363"/>
      <c r="W178" s="3363"/>
      <c r="X178" s="3363"/>
      <c r="Y178" s="3363"/>
      <c r="Z178" s="3364"/>
      <c r="AA178" s="3345" t="s">
        <v>866</v>
      </c>
      <c r="AB178" s="3346"/>
      <c r="AC178" s="3346"/>
      <c r="AD178" s="3346"/>
      <c r="AE178" s="3347"/>
      <c r="AF178" s="3385" t="str">
        <f>IF(CE177=0,"",IF(AK178&lt;&gt;"",AK178,CG179+CI179))</f>
        <v/>
      </c>
      <c r="AG178" s="3386"/>
      <c r="AH178" s="3386"/>
      <c r="AI178" s="3387"/>
      <c r="AJ178" s="669" t="s">
        <v>2</v>
      </c>
      <c r="AK178" s="3415"/>
      <c r="AL178" s="3416"/>
      <c r="AM178" s="3416"/>
      <c r="AN178" s="3417"/>
      <c r="AO178" s="2300" t="s">
        <v>865</v>
      </c>
      <c r="AP178" s="2301"/>
      <c r="AQ178" s="2301"/>
      <c r="AR178" s="2301"/>
      <c r="AS178" s="2302"/>
      <c r="AT178" s="3422" t="str">
        <f>IF(CE177=0,"",IF(BA178&lt;&gt;"",BA178,IF(MID(AG175,4,2)="C ","C-"&amp;CA178&amp;"mm",IF(MID(AG175,4,2)="PF","PF-D-"&amp;CB178&amp;"mm",IF(MID(AG175,4,2)="CD","CD-"&amp;CB178&amp;"mm",IF(MID(AG175,4,2)="G ","G-"&amp;CB178&amp;"mm",""))))))</f>
        <v/>
      </c>
      <c r="AU178" s="3423"/>
      <c r="AV178" s="3423"/>
      <c r="AW178" s="3423"/>
      <c r="AX178" s="3423"/>
      <c r="AY178" s="3424"/>
      <c r="AZ178" s="668" t="s">
        <v>2</v>
      </c>
      <c r="BA178" s="3362"/>
      <c r="BB178" s="3363"/>
      <c r="BC178" s="3363"/>
      <c r="BD178" s="3363"/>
      <c r="BE178" s="3363"/>
      <c r="BF178" s="3364"/>
      <c r="BG178" s="3345" t="s">
        <v>864</v>
      </c>
      <c r="BH178" s="3346"/>
      <c r="BI178" s="3346"/>
      <c r="BJ178" s="3346"/>
      <c r="BK178" s="3347"/>
      <c r="BL178" s="3385" t="str">
        <f>IF(CE177=0,"",IF(CM179=0,"",IF(BQ178&lt;&gt;"",BQ178,CK179+CM179)))</f>
        <v/>
      </c>
      <c r="BM178" s="3386"/>
      <c r="BN178" s="3386"/>
      <c r="BO178" s="3387"/>
      <c r="BP178" s="668" t="s">
        <v>2</v>
      </c>
      <c r="BQ178" s="3415"/>
      <c r="BR178" s="3416"/>
      <c r="BS178" s="3416"/>
      <c r="BT178" s="3417"/>
      <c r="BU178" s="19"/>
      <c r="BZ178" s="107" t="str">
        <f>IF(LEN(BZ177)=13,MID(BZ177,10,2),MID(BZ177,10,3))</f>
        <v/>
      </c>
      <c r="CA178" s="674" t="str">
        <f>IF(OR(BZ178=" 10",BZ178=" 15"),"31",IF(OR(BZ178=" 20",BZ178=" 25",BZ178=" 30"),"39",IF(OR(BZ178=" 40",BZ178=" 50"),"51",IF(BZ178="100","63",IF(BZ178&lt;="200","75","")))))</f>
        <v>75</v>
      </c>
      <c r="CB178" s="674" t="str">
        <f>IF(OR(BZ178=" 10",BZ178=" 15"),"28",IF(OR(BZ178=" 20",BZ178=" 25",BZ178=" 30"),"36",IF(OR(BZ178=" 40",BZ178=" 50"),"42",IF(BZ178="100","54",IF(BZ178&lt;="200","70","")))))</f>
        <v>70</v>
      </c>
      <c r="CD178" s="673">
        <f>IF(C177="",0,IF(LEFT(C177,2)=" B",-MID(C177,3,1),LEFT(C177,3)))</f>
        <v>0</v>
      </c>
      <c r="CF178" s="106"/>
      <c r="CG178" s="90" t="s">
        <v>863</v>
      </c>
      <c r="CH178" s="64"/>
      <c r="CI178" s="90" t="s">
        <v>863</v>
      </c>
      <c r="CJ178" s="38"/>
      <c r="CK178" s="90" t="s">
        <v>863</v>
      </c>
      <c r="CL178" s="64"/>
      <c r="CM178" s="90" t="s">
        <v>863</v>
      </c>
      <c r="CN178" s="672">
        <f>IF(S177="",0,IF(AE172="不","",INT(S177/150)))</f>
        <v>0</v>
      </c>
      <c r="CO178" s="671"/>
      <c r="CP178" s="670" t="s">
        <v>862</v>
      </c>
      <c r="CQ178" s="2986" t="str">
        <f>IF(CS178="","","プロセニアム・スピーカ 20W")</f>
        <v/>
      </c>
      <c r="CR178" s="3476"/>
      <c r="CS178" s="88" t="str">
        <f>IF(BC176=0,"",BC176)</f>
        <v/>
      </c>
      <c r="CT178" s="9"/>
      <c r="CU178" s="46"/>
      <c r="CY178" s="197">
        <f t="shared" si="129"/>
        <v>10</v>
      </c>
      <c r="CZ178" s="197" t="str">
        <f t="shared" si="127"/>
        <v/>
      </c>
      <c r="DB178" s="24"/>
      <c r="DD178" s="516"/>
      <c r="DE178" s="516"/>
      <c r="DH178" s="197">
        <f t="shared" si="130"/>
        <v>5</v>
      </c>
      <c r="DI178" s="197" t="str">
        <f t="shared" si="128"/>
        <v/>
      </c>
      <c r="DK178" s="24"/>
      <c r="DM178" s="516"/>
      <c r="DN178" s="516"/>
      <c r="DQ178" s="197">
        <f t="shared" si="126"/>
        <v>11</v>
      </c>
      <c r="DR178" s="197" t="str">
        <f t="shared" si="124"/>
        <v/>
      </c>
      <c r="DS178" s="10" t="str">
        <f t="shared" si="131"/>
        <v/>
      </c>
      <c r="DT178" s="24"/>
      <c r="DU178" s="249" t="str">
        <f>IF(COUNTIF($DS$10:DS177,DS178)&gt;0,"",DS178)</f>
        <v/>
      </c>
      <c r="DV178" s="198" t="str">
        <f t="shared" si="132"/>
        <v/>
      </c>
      <c r="DW178" s="514">
        <f t="shared" si="125"/>
        <v>5</v>
      </c>
    </row>
    <row r="179" spans="2:127" ht="11.25" customHeight="1" thickBot="1">
      <c r="B179" s="23"/>
      <c r="C179" s="2300" t="s">
        <v>861</v>
      </c>
      <c r="D179" s="2301"/>
      <c r="E179" s="2301"/>
      <c r="F179" s="2301"/>
      <c r="G179" s="2302"/>
      <c r="H179" s="3422" t="str">
        <f>IF(CE177=0,"",IF(R179&lt;&gt;"",R179,"HP 1.2mm-3C"))</f>
        <v/>
      </c>
      <c r="I179" s="3423"/>
      <c r="J179" s="3423"/>
      <c r="K179" s="3423"/>
      <c r="L179" s="3423"/>
      <c r="M179" s="3423"/>
      <c r="N179" s="3423"/>
      <c r="O179" s="3423"/>
      <c r="P179" s="3424"/>
      <c r="Q179" s="668" t="s">
        <v>34</v>
      </c>
      <c r="R179" s="3362"/>
      <c r="S179" s="3363"/>
      <c r="T179" s="3363"/>
      <c r="U179" s="3363"/>
      <c r="V179" s="3363"/>
      <c r="W179" s="3363"/>
      <c r="X179" s="3363"/>
      <c r="Y179" s="3363"/>
      <c r="Z179" s="3364"/>
      <c r="AA179" s="3348" t="s">
        <v>113</v>
      </c>
      <c r="AB179" s="3349"/>
      <c r="AC179" s="3349"/>
      <c r="AD179" s="3349"/>
      <c r="AE179" s="3350"/>
      <c r="AF179" s="3385" t="str">
        <f>IF(CE177=0,"",IF(AK179&lt;&gt;"",AK179,SUM(CN173:CN174)))</f>
        <v/>
      </c>
      <c r="AG179" s="3386"/>
      <c r="AH179" s="3386"/>
      <c r="AI179" s="3387"/>
      <c r="AJ179" s="669" t="s">
        <v>34</v>
      </c>
      <c r="AK179" s="3415"/>
      <c r="AL179" s="3416"/>
      <c r="AM179" s="3416"/>
      <c r="AN179" s="3417"/>
      <c r="AO179" s="2300" t="s">
        <v>860</v>
      </c>
      <c r="AP179" s="2301"/>
      <c r="AQ179" s="2301"/>
      <c r="AR179" s="2301"/>
      <c r="AS179" s="2302"/>
      <c r="AT179" s="3422" t="str">
        <f>IF(CE177=0,"",IF(BA179&lt;&gt;"",BA179,IF(MID(AG175,4,2)="C ","C-19mm",IF(MID(AG175,4,2)="PF","PF-D-16mm",IF(MID(AG175,4,2)="CD","CD-16mm",IF(MID(AG175,4,2)="G ","G-16mm","C-19mm"))))))</f>
        <v/>
      </c>
      <c r="AU179" s="3423"/>
      <c r="AV179" s="3423"/>
      <c r="AW179" s="3423"/>
      <c r="AX179" s="3423"/>
      <c r="AY179" s="3424"/>
      <c r="AZ179" s="668" t="s">
        <v>34</v>
      </c>
      <c r="BA179" s="3362"/>
      <c r="BB179" s="3363"/>
      <c r="BC179" s="3363"/>
      <c r="BD179" s="3363"/>
      <c r="BE179" s="3363"/>
      <c r="BF179" s="3364"/>
      <c r="BG179" s="3348" t="s">
        <v>113</v>
      </c>
      <c r="BH179" s="3349"/>
      <c r="BI179" s="3349"/>
      <c r="BJ179" s="3349"/>
      <c r="BK179" s="3350"/>
      <c r="BL179" s="3385" t="str">
        <f>IF(CE177=0,"",IF(BQ179&lt;&gt;"",BQ179,SUM(CO173:CO174)))</f>
        <v/>
      </c>
      <c r="BM179" s="3386"/>
      <c r="BN179" s="3386"/>
      <c r="BO179" s="3387"/>
      <c r="BP179" s="668" t="s">
        <v>34</v>
      </c>
      <c r="BQ179" s="3425"/>
      <c r="BR179" s="3426"/>
      <c r="BS179" s="3426"/>
      <c r="BT179" s="3427"/>
      <c r="BU179" s="19"/>
      <c r="CF179" s="106" t="s">
        <v>859</v>
      </c>
      <c r="CG179" s="184">
        <f>IF(CE177="=",CD175,0)</f>
        <v>0</v>
      </c>
      <c r="CH179" s="667" t="s">
        <v>858</v>
      </c>
      <c r="CI179" s="184" t="e">
        <f>F177+2*$AN$7/1000</f>
        <v>#VALUE!</v>
      </c>
      <c r="CJ179" s="666" t="s">
        <v>857</v>
      </c>
      <c r="CK179" s="184">
        <f>IF(CG175=1,CG179,0)</f>
        <v>0</v>
      </c>
      <c r="CL179" s="666" t="s">
        <v>856</v>
      </c>
      <c r="CM179" s="184" t="str">
        <f>IF(CG175=1,F177,0)</f>
        <v/>
      </c>
      <c r="CN179" s="665" t="e">
        <f>INT(AS176/2)</f>
        <v>#VALUE!</v>
      </c>
      <c r="CO179" s="665" t="str">
        <f>IF(AU176="","",1+INT(AU176/2))</f>
        <v/>
      </c>
      <c r="CP179" s="664" t="s">
        <v>907</v>
      </c>
      <c r="CQ179" s="3477" t="str">
        <f>IF(CS179="","","ソノライン・スピーカ 20W")</f>
        <v>ソノライン・スピーカ 20W</v>
      </c>
      <c r="CR179" s="3478"/>
      <c r="CS179" s="222">
        <f>IF(BE176="",0,BE176)</f>
        <v>0</v>
      </c>
      <c r="CT179" s="155"/>
      <c r="CU179" s="148"/>
      <c r="CV179" s="148"/>
      <c r="CY179" s="197">
        <f t="shared" si="129"/>
        <v>10</v>
      </c>
      <c r="CZ179" s="197" t="str">
        <f t="shared" si="127"/>
        <v/>
      </c>
      <c r="DB179" s="24"/>
      <c r="DD179" s="516"/>
      <c r="DE179" s="516"/>
      <c r="DH179" s="197">
        <f t="shared" si="130"/>
        <v>5</v>
      </c>
      <c r="DI179" s="197" t="str">
        <f t="shared" si="128"/>
        <v/>
      </c>
      <c r="DK179" s="24"/>
      <c r="DM179" s="516"/>
      <c r="DN179" s="516"/>
      <c r="DP179" s="8"/>
      <c r="DQ179" s="197">
        <f t="shared" si="126"/>
        <v>11</v>
      </c>
      <c r="DR179" s="197" t="str">
        <f t="shared" si="124"/>
        <v/>
      </c>
      <c r="DS179" s="10" t="str">
        <f t="shared" si="131"/>
        <v/>
      </c>
      <c r="DT179" s="24"/>
      <c r="DU179" s="249" t="str">
        <f>IF(COUNTIF($DS$10:DS178,DS179)&gt;0,"",DS179)</f>
        <v/>
      </c>
      <c r="DV179" s="198" t="str">
        <f t="shared" si="132"/>
        <v/>
      </c>
      <c r="DW179" s="514">
        <f t="shared" si="125"/>
        <v>5</v>
      </c>
    </row>
    <row r="180" spans="2:127" ht="11.25" customHeight="1">
      <c r="B180" s="23"/>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19"/>
      <c r="CP180" s="6"/>
      <c r="CQ180" s="2986" t="str">
        <f>IF(CS180="","","スピーカ 3W S1")</f>
        <v/>
      </c>
      <c r="CR180" s="3476"/>
      <c r="CS180" s="88" t="str">
        <f>IF(AS185=0,"",AS185)</f>
        <v/>
      </c>
      <c r="CT180" s="9"/>
      <c r="CX180" s="88">
        <v>19</v>
      </c>
      <c r="CY180" s="204"/>
      <c r="CZ180" s="155"/>
      <c r="DA180" s="45"/>
      <c r="DB180" s="45"/>
      <c r="DC180" s="45" t="s">
        <v>109</v>
      </c>
      <c r="DD180" s="45"/>
      <c r="DE180" s="45" t="s">
        <v>108</v>
      </c>
      <c r="DG180" s="88">
        <v>19</v>
      </c>
      <c r="DH180" s="204"/>
      <c r="DI180" s="155"/>
      <c r="DJ180" s="45"/>
      <c r="DK180" s="45"/>
      <c r="DL180" s="45" t="s">
        <v>109</v>
      </c>
      <c r="DM180" s="45"/>
      <c r="DN180" s="45" t="s">
        <v>108</v>
      </c>
      <c r="DP180" s="88">
        <v>13</v>
      </c>
      <c r="DQ180" s="45"/>
      <c r="DR180" s="45"/>
      <c r="DS180" s="45"/>
      <c r="DT180" s="45"/>
      <c r="DU180" s="45"/>
      <c r="DV180" s="45"/>
      <c r="DW180" s="45"/>
    </row>
    <row r="181" spans="2:127" ht="11.25" customHeight="1" thickBot="1">
      <c r="B181" s="23"/>
      <c r="C181" s="2299" t="s">
        <v>16</v>
      </c>
      <c r="D181" s="2299"/>
      <c r="E181" s="2299"/>
      <c r="F181" s="2299" t="s">
        <v>22</v>
      </c>
      <c r="G181" s="2299"/>
      <c r="H181" s="2299"/>
      <c r="I181" s="2299"/>
      <c r="J181" s="2299" t="s">
        <v>5</v>
      </c>
      <c r="K181" s="2299"/>
      <c r="L181" s="2299"/>
      <c r="M181" s="2299"/>
      <c r="N181" s="2299" t="s">
        <v>6</v>
      </c>
      <c r="O181" s="2299"/>
      <c r="P181" s="2299"/>
      <c r="Q181" s="2299"/>
      <c r="R181" s="2299"/>
      <c r="S181" s="2299" t="s">
        <v>938</v>
      </c>
      <c r="T181" s="2299"/>
      <c r="U181" s="2299"/>
      <c r="V181" s="2299"/>
      <c r="W181" s="2299"/>
      <c r="X181" s="2299"/>
      <c r="Y181" s="2299"/>
      <c r="Z181" s="2299"/>
      <c r="AA181" s="3382" t="s">
        <v>7</v>
      </c>
      <c r="AB181" s="3382"/>
      <c r="AC181" s="3382"/>
      <c r="AD181" s="3382"/>
      <c r="AE181" s="2630" t="str">
        <f>IF(S186="","",IF(AH181&lt;&gt;"",AH181,IF(RIGHT($D$10,2)="不要","不","要")))</f>
        <v/>
      </c>
      <c r="AF181" s="2630"/>
      <c r="AG181" s="668" t="s">
        <v>937</v>
      </c>
      <c r="AH181" s="2632"/>
      <c r="AI181" s="2633"/>
      <c r="AJ181" s="3371" t="s">
        <v>913</v>
      </c>
      <c r="AK181" s="3372"/>
      <c r="AL181" s="3372"/>
      <c r="AM181" s="3373"/>
      <c r="AN181" s="3383" t="str">
        <f>IF(W186="","",IF(AQ181&lt;&gt;"",AQ181,IF(RIGHT($D$10,2)="設置","要","不")))</f>
        <v/>
      </c>
      <c r="AO181" s="3384"/>
      <c r="AP181" s="668" t="s">
        <v>937</v>
      </c>
      <c r="AQ181" s="2632"/>
      <c r="AR181" s="2633"/>
      <c r="AS181" s="3399" t="s">
        <v>912</v>
      </c>
      <c r="AT181" s="3412"/>
      <c r="AU181" s="3412"/>
      <c r="AV181" s="3412"/>
      <c r="AW181" s="3412"/>
      <c r="AX181" s="3412"/>
      <c r="AY181" s="3412"/>
      <c r="AZ181" s="3412"/>
      <c r="BA181" s="3412"/>
      <c r="BB181" s="3412"/>
      <c r="BC181" s="3412"/>
      <c r="BD181" s="3412"/>
      <c r="BE181" s="3412"/>
      <c r="BF181" s="3412"/>
      <c r="BG181" s="3412"/>
      <c r="BH181" s="3413"/>
      <c r="BI181" s="3399" t="s">
        <v>934</v>
      </c>
      <c r="BJ181" s="3412"/>
      <c r="BK181" s="3412"/>
      <c r="BL181" s="3413"/>
      <c r="BM181" s="3360" t="s">
        <v>936</v>
      </c>
      <c r="BN181" s="3419"/>
      <c r="BO181" s="3419"/>
      <c r="BP181" s="3419"/>
      <c r="BQ181" s="3419"/>
      <c r="BR181" s="3361"/>
      <c r="BS181" s="3441" t="s">
        <v>935</v>
      </c>
      <c r="BT181" s="3442"/>
      <c r="BU181" s="19"/>
      <c r="BW181" s="102"/>
      <c r="CF181" s="8"/>
      <c r="CG181" s="685" t="s">
        <v>909</v>
      </c>
      <c r="CH181" s="685" t="s">
        <v>908</v>
      </c>
      <c r="CI181" s="685" t="s">
        <v>934</v>
      </c>
      <c r="CJ181" s="686">
        <f>IF($AX$8=0,"",INT(10.7*CD183*CE183/($BF$8/1000)^2))</f>
        <v>0</v>
      </c>
      <c r="CK181" s="685" t="s">
        <v>933</v>
      </c>
      <c r="CL181" s="685" t="s">
        <v>932</v>
      </c>
      <c r="CM181" s="685" t="s">
        <v>931</v>
      </c>
      <c r="CN181" s="550" t="s">
        <v>734</v>
      </c>
      <c r="CO181" s="550" t="s">
        <v>732</v>
      </c>
      <c r="CP181" s="684"/>
      <c r="CQ181" s="2986" t="str">
        <f>IF(CS181="","","スピーカ 3W S3")</f>
        <v/>
      </c>
      <c r="CR181" s="3476"/>
      <c r="CS181" s="88" t="str">
        <f>IF(AY185=0,"",AY185)</f>
        <v/>
      </c>
      <c r="CT181" s="3483" t="str">
        <f>IF(CV181="","","マイクロホン")</f>
        <v/>
      </c>
      <c r="CU181" s="3484"/>
      <c r="CV181" s="88" t="str">
        <f>BG185</f>
        <v/>
      </c>
      <c r="CX181" s="8"/>
      <c r="CY181" s="197">
        <f>IF(DC181&lt;&gt;"",CY179+1,CY179)</f>
        <v>10</v>
      </c>
      <c r="CZ181" s="197" t="str">
        <f t="shared" ref="CZ181:CZ188" si="133">IF(AND(CY181&lt;&gt;"",DC181&lt;&gt;""),CY181,"")</f>
        <v/>
      </c>
      <c r="DA181" s="10" t="str">
        <f>H187</f>
        <v/>
      </c>
      <c r="DB181" s="8"/>
      <c r="DC181" s="249" t="str">
        <f>IF(COUNTIF(DA$10:$DA178,DA181)&gt;0,"",DA181)</f>
        <v/>
      </c>
      <c r="DD181" s="515" t="str">
        <f>AF187</f>
        <v/>
      </c>
      <c r="DE181" s="514">
        <f>SUMIF($DA$13:$DA$199,DC181,$DD$13:$DD$199)</f>
        <v>0</v>
      </c>
      <c r="DG181" s="8"/>
      <c r="DH181" s="197">
        <f>IF(DL181&lt;&gt;"",DH179+1,DH179)</f>
        <v>5</v>
      </c>
      <c r="DI181" s="197" t="str">
        <f t="shared" ref="DI181:DI188" si="134">IF(AND(DH181&lt;&gt;"",DL181&lt;&gt;""),DH181,"")</f>
        <v/>
      </c>
      <c r="DJ181" s="10" t="str">
        <f>AT187</f>
        <v/>
      </c>
      <c r="DK181" s="8"/>
      <c r="DL181" s="249" t="str">
        <f>IF(COUNTIF($DA$10:DJ178,DJ181)&gt;0,"",DJ181)</f>
        <v/>
      </c>
      <c r="DM181" s="515" t="str">
        <f>BL187</f>
        <v/>
      </c>
      <c r="DN181" s="514">
        <f>SUMIF($DJ$13:$DJ$199,DL181,$DM$13:$DM$199)</f>
        <v>0</v>
      </c>
      <c r="DP181" s="8"/>
      <c r="DQ181" s="197">
        <f>IF(DU181&lt;&gt;"",DQ179+1,DQ179)</f>
        <v>11</v>
      </c>
      <c r="DR181" s="197" t="str">
        <f t="shared" ref="DR181:DR193" si="135">IF(AND(DQ181&lt;&gt;"",DU181&lt;&gt;""),DQ181,"")</f>
        <v/>
      </c>
      <c r="DS181" s="10" t="str">
        <f>CQ123</f>
        <v>スピーカ 3W S1</v>
      </c>
      <c r="DT181" s="8"/>
      <c r="DU181" s="249" t="str">
        <f>IF(COUNTIF($DS$10:DS180,DS181)&gt;0,"",DS181)</f>
        <v/>
      </c>
      <c r="DV181" s="198">
        <f>CS123</f>
        <v>5</v>
      </c>
      <c r="DW181" s="514">
        <f t="shared" ref="DW181:DW193" si="136">SUMIF($DS$13:$DS$344,DU181,$DV$13:$DV$344)</f>
        <v>5</v>
      </c>
    </row>
    <row r="182" spans="2:127" ht="11.25" customHeight="1" thickBot="1">
      <c r="B182" s="23"/>
      <c r="C182" s="2299"/>
      <c r="D182" s="2299"/>
      <c r="E182" s="2299"/>
      <c r="F182" s="2396"/>
      <c r="G182" s="2396"/>
      <c r="H182" s="2396"/>
      <c r="I182" s="2396"/>
      <c r="J182" s="2396"/>
      <c r="K182" s="2396"/>
      <c r="L182" s="2396"/>
      <c r="M182" s="2396"/>
      <c r="N182" s="2396"/>
      <c r="O182" s="2396"/>
      <c r="P182" s="2396"/>
      <c r="Q182" s="2396"/>
      <c r="R182" s="2396"/>
      <c r="S182" s="2396" t="s">
        <v>7</v>
      </c>
      <c r="T182" s="2396"/>
      <c r="U182" s="2396"/>
      <c r="V182" s="2396"/>
      <c r="W182" s="2396" t="s">
        <v>8</v>
      </c>
      <c r="X182" s="2396"/>
      <c r="Y182" s="2396"/>
      <c r="Z182" s="2396"/>
      <c r="AA182" s="2384" t="s">
        <v>9</v>
      </c>
      <c r="AB182" s="2385"/>
      <c r="AC182" s="2386"/>
      <c r="AD182" s="2384" t="s">
        <v>9</v>
      </c>
      <c r="AE182" s="2385"/>
      <c r="AF182" s="2386"/>
      <c r="AG182" s="2384" t="str">
        <f>IF(AN182="","","専部屋面積")</f>
        <v/>
      </c>
      <c r="AH182" s="2385"/>
      <c r="AI182" s="2385"/>
      <c r="AJ182" s="2382"/>
      <c r="AK182" s="2382"/>
      <c r="AL182" s="2382"/>
      <c r="AM182" s="3392"/>
      <c r="AN182" s="3365" t="str">
        <f>IF(OR(S186="",$B$2=0),"",S186/AA186)</f>
        <v/>
      </c>
      <c r="AO182" s="3366"/>
      <c r="AP182" s="3366"/>
      <c r="AQ182" s="3366"/>
      <c r="AR182" s="3367"/>
      <c r="AS182" s="2300" t="s">
        <v>903</v>
      </c>
      <c r="AT182" s="2301"/>
      <c r="AU182" s="2301"/>
      <c r="AV182" s="2301"/>
      <c r="AW182" s="2301"/>
      <c r="AX182" s="2302"/>
      <c r="AY182" s="2300" t="s">
        <v>902</v>
      </c>
      <c r="AZ182" s="2301"/>
      <c r="BA182" s="2301"/>
      <c r="BB182" s="2302"/>
      <c r="BC182" s="2300" t="s">
        <v>902</v>
      </c>
      <c r="BD182" s="2301"/>
      <c r="BE182" s="2301"/>
      <c r="BF182" s="2302"/>
      <c r="BG182" s="2300" t="s">
        <v>743</v>
      </c>
      <c r="BH182" s="2302"/>
      <c r="BI182" s="2300" t="s">
        <v>901</v>
      </c>
      <c r="BJ182" s="2301"/>
      <c r="BK182" s="2301"/>
      <c r="BL182" s="2302"/>
      <c r="BM182" s="2299" t="s">
        <v>930</v>
      </c>
      <c r="BN182" s="2299"/>
      <c r="BO182" s="2299"/>
      <c r="BP182" s="2299" t="s">
        <v>929</v>
      </c>
      <c r="BQ182" s="2299"/>
      <c r="BR182" s="2299"/>
      <c r="BS182" s="3439" t="s">
        <v>928</v>
      </c>
      <c r="BT182" s="3440"/>
      <c r="BU182" s="19"/>
      <c r="BW182" s="679"/>
      <c r="BX182" s="90" t="s">
        <v>889</v>
      </c>
      <c r="BY182" s="100" t="s">
        <v>927</v>
      </c>
      <c r="CC182" s="180">
        <v>129</v>
      </c>
      <c r="CD182" s="55" t="s">
        <v>229</v>
      </c>
      <c r="CE182" s="55" t="s">
        <v>228</v>
      </c>
      <c r="CF182" s="106" t="s">
        <v>859</v>
      </c>
      <c r="CG182" s="184" t="e">
        <f>INT((CD184+10)*BY185+CS183*$AN$8/1000+($AN$7/1000)*BY185)</f>
        <v>#VALUE!</v>
      </c>
      <c r="CH182" s="184" t="e">
        <f>INT(CD184*CS188+CS188)</f>
        <v>#VALUE!</v>
      </c>
      <c r="CI182" s="184">
        <f>8*SUM(BI185:BL185)</f>
        <v>0</v>
      </c>
      <c r="CJ182" s="185">
        <f>IF($AX$8=0,"",2*INT(0.5*CJ181))</f>
        <v>0</v>
      </c>
      <c r="CK182" s="184"/>
      <c r="CL182" s="184" t="str">
        <f>IF(BP185="","",10*BP185)</f>
        <v/>
      </c>
      <c r="CM182" s="184" t="str">
        <f>IF(BP185="","",10*BP185)</f>
        <v/>
      </c>
      <c r="CN182" s="682">
        <f>IF(S186="",0,IF(AE181="不","",(SUM(CG182:CM182)+SUM(CG183:CM183))*S186/N186))</f>
        <v>0</v>
      </c>
      <c r="CO182" s="682">
        <f>IF(S186="",0,IF(AE181="不","",(SUM(CG185:CM185)+SUM(CG186:CM186))*S186/N186))</f>
        <v>0</v>
      </c>
      <c r="CP182" s="664" t="s">
        <v>1</v>
      </c>
      <c r="CQ182" s="2986" t="str">
        <f>IF(CS182="","","スピーカ S5")</f>
        <v/>
      </c>
      <c r="CR182" s="3476"/>
      <c r="CS182" s="683" t="str">
        <f>IF(AW185=0,"",AW185)</f>
        <v/>
      </c>
      <c r="CT182" s="3483" t="str">
        <f>IF(CV182="","","アッテネータ 3W")</f>
        <v/>
      </c>
      <c r="CU182" s="3484"/>
      <c r="CV182" s="88" t="str">
        <f>BI185</f>
        <v/>
      </c>
      <c r="CX182" s="8"/>
      <c r="CY182" s="197">
        <f t="shared" ref="CY182:CY188" si="137">IF(DC182&lt;&gt;"",CY181+1,CY181)</f>
        <v>10</v>
      </c>
      <c r="CZ182" s="197" t="str">
        <f t="shared" si="133"/>
        <v/>
      </c>
      <c r="DA182" s="10" t="str">
        <f>H188</f>
        <v/>
      </c>
      <c r="DB182" s="8"/>
      <c r="DC182" s="249" t="str">
        <f>IF(COUNTIF(DA$10:$DA179,DA182)&gt;0,"",DA182)</f>
        <v/>
      </c>
      <c r="DD182" s="515" t="str">
        <f>AF188</f>
        <v/>
      </c>
      <c r="DE182" s="514">
        <f>SUMIF($DA$13:$DA$199,DC182,$DD$13:$DD$199)</f>
        <v>0</v>
      </c>
      <c r="DG182" s="8"/>
      <c r="DH182" s="197">
        <f t="shared" ref="DH182:DH188" si="138">IF(DL182&lt;&gt;"",DH181+1,DH181)</f>
        <v>5</v>
      </c>
      <c r="DI182" s="197" t="str">
        <f t="shared" si="134"/>
        <v/>
      </c>
      <c r="DJ182" s="10" t="str">
        <f>AT188</f>
        <v/>
      </c>
      <c r="DK182" s="8"/>
      <c r="DL182" s="249" t="str">
        <f>IF(COUNTIF($DA$10:DJ179,DJ182)&gt;0,"",DJ182)</f>
        <v/>
      </c>
      <c r="DM182" s="515" t="str">
        <f>BL188</f>
        <v/>
      </c>
      <c r="DN182" s="514">
        <f>SUMIF($DJ$13:$DJ$199,DL182,$DM$13:$DM$199)</f>
        <v>0</v>
      </c>
      <c r="DP182" s="8"/>
      <c r="DQ182" s="197">
        <f t="shared" ref="DQ182:DQ193" si="139">IF(DU182&lt;&gt;"",DQ181+1,DQ181)</f>
        <v>11</v>
      </c>
      <c r="DR182" s="197" t="str">
        <f t="shared" si="135"/>
        <v/>
      </c>
      <c r="DS182" s="10" t="str">
        <f>CQ124</f>
        <v>スピーカ 3W S3</v>
      </c>
      <c r="DT182" s="8"/>
      <c r="DU182" s="249" t="str">
        <f>IF(COUNTIF($DS$10:DS181,DS182)&gt;0,"",DS182)</f>
        <v/>
      </c>
      <c r="DV182" s="198">
        <f>CS124</f>
        <v>4</v>
      </c>
      <c r="DW182" s="514">
        <f t="shared" si="136"/>
        <v>5</v>
      </c>
    </row>
    <row r="183" spans="2:127" ht="11.25" customHeight="1" thickBot="1">
      <c r="B183" s="23"/>
      <c r="C183" s="2396"/>
      <c r="D183" s="2396"/>
      <c r="E183" s="2396"/>
      <c r="F183" s="2397" t="s">
        <v>235</v>
      </c>
      <c r="G183" s="2397"/>
      <c r="H183" s="2397"/>
      <c r="I183" s="2397"/>
      <c r="J183" s="2397" t="s">
        <v>235</v>
      </c>
      <c r="K183" s="2397"/>
      <c r="L183" s="2397"/>
      <c r="M183" s="2397"/>
      <c r="N183" s="2397" t="s">
        <v>128</v>
      </c>
      <c r="O183" s="2397"/>
      <c r="P183" s="2397"/>
      <c r="Q183" s="2397"/>
      <c r="R183" s="2397"/>
      <c r="S183" s="2397" t="s">
        <v>128</v>
      </c>
      <c r="T183" s="2397"/>
      <c r="U183" s="2397"/>
      <c r="V183" s="2397"/>
      <c r="W183" s="2397" t="s">
        <v>128</v>
      </c>
      <c r="X183" s="2397"/>
      <c r="Y183" s="2397"/>
      <c r="Z183" s="2397"/>
      <c r="AA183" s="2397" t="s">
        <v>111</v>
      </c>
      <c r="AB183" s="2397"/>
      <c r="AC183" s="2397"/>
      <c r="AD183" s="2397" t="s">
        <v>110</v>
      </c>
      <c r="AE183" s="2397"/>
      <c r="AF183" s="2397"/>
      <c r="AG183" s="3398" t="str">
        <f>IF(AN183="","","共部屋面積")</f>
        <v/>
      </c>
      <c r="AH183" s="2382"/>
      <c r="AI183" s="2382"/>
      <c r="AJ183" s="2382"/>
      <c r="AK183" s="2382"/>
      <c r="AL183" s="2382"/>
      <c r="AM183" s="3392"/>
      <c r="AN183" s="3368" t="str">
        <f>IF(OR($B$2=0,C186=""),"",W186/AD186)</f>
        <v/>
      </c>
      <c r="AO183" s="3369"/>
      <c r="AP183" s="3369"/>
      <c r="AQ183" s="3369"/>
      <c r="AR183" s="3370"/>
      <c r="AS183" s="3419" t="s">
        <v>895</v>
      </c>
      <c r="AT183" s="3361"/>
      <c r="AU183" s="3360" t="s">
        <v>894</v>
      </c>
      <c r="AV183" s="3361"/>
      <c r="AW183" s="3360" t="s">
        <v>893</v>
      </c>
      <c r="AX183" s="3361"/>
      <c r="AY183" s="3360" t="s">
        <v>892</v>
      </c>
      <c r="AZ183" s="3361"/>
      <c r="BA183" s="3360" t="s">
        <v>891</v>
      </c>
      <c r="BB183" s="3361"/>
      <c r="BC183" s="3360" t="s">
        <v>890</v>
      </c>
      <c r="BD183" s="3361"/>
      <c r="BE183" s="3360" t="s">
        <v>889</v>
      </c>
      <c r="BF183" s="3361"/>
      <c r="BG183" s="3432" t="s">
        <v>888</v>
      </c>
      <c r="BH183" s="3433"/>
      <c r="BI183" s="3360"/>
      <c r="BJ183" s="3361"/>
      <c r="BK183" s="3360"/>
      <c r="BL183" s="3361"/>
      <c r="BM183" s="3391" t="s">
        <v>887</v>
      </c>
      <c r="BN183" s="3391"/>
      <c r="BO183" s="3391"/>
      <c r="BP183" s="3391" t="s">
        <v>887</v>
      </c>
      <c r="BQ183" s="3391"/>
      <c r="BR183" s="3391"/>
      <c r="BS183" s="3432" t="s">
        <v>744</v>
      </c>
      <c r="BT183" s="3433"/>
      <c r="BU183" s="19"/>
      <c r="BW183" s="102"/>
      <c r="BX183" s="88">
        <f>IF(OR(J184="( 10)",J184="(12)イ",LEFT(J184,4)="(13)"),1,0)</f>
        <v>0</v>
      </c>
      <c r="BY183" s="88" t="str">
        <f>IF(OR(J184="(1) ロ",J184="(2) ロ",J184="(2) ニ",J184="(5) イ",J184="(6) ハ",J184="(6) ニ",J184="( 7 )",J184="( 15)"),"要","")</f>
        <v/>
      </c>
      <c r="CC183" s="46">
        <v>19</v>
      </c>
      <c r="CD183" s="98">
        <f>非誘!BW131</f>
        <v>0</v>
      </c>
      <c r="CE183" s="98">
        <f>非誘!BX131</f>
        <v>0</v>
      </c>
      <c r="CF183" s="106" t="s">
        <v>858</v>
      </c>
      <c r="CG183" s="185" t="e">
        <f>INT((F186-$Y$10/1000-0.25)*BY185)</f>
        <v>#VALUE!</v>
      </c>
      <c r="CH183" s="184" t="e">
        <f>1+INT((F186-$Y$7/1000-0.25+$AN$8/1000)*CS188)</f>
        <v>#VALUE!</v>
      </c>
      <c r="CI183" s="184" t="e">
        <f>INT((F186-$Y$8/1000-0.25+$AN$9/1000)*SUM(BI185:BL185))</f>
        <v>#VALUE!</v>
      </c>
      <c r="CJ183" s="185">
        <f>IF($AX$8=0,"",2*INT(CJ181*($AX$8-250)/1000))</f>
        <v>0</v>
      </c>
      <c r="CK183" s="184"/>
      <c r="CL183" s="184" t="str">
        <f>IF(BP185="","",INT((F186-$Y$9/1000-0.25+AN177/1000)*BP185))</f>
        <v/>
      </c>
      <c r="CM183" s="184" t="str">
        <f>IF(BS185="","",INT((F186-$Y$9/1000-0.25+AN177/1000)*BS185))</f>
        <v/>
      </c>
      <c r="CN183" s="682" t="e">
        <f>IF(AN181="不","",(SUM(CG182:CM182)+SUM(CG183:CM183))*W186/N186)</f>
        <v>#VALUE!</v>
      </c>
      <c r="CO183" s="682" t="e">
        <f>IF(AN181="不","",(SUM(CG185:CM185)+SUM(CG186:CM186))*W186/N186)</f>
        <v>#VALUE!</v>
      </c>
      <c r="CP183" s="670" t="s">
        <v>877</v>
      </c>
      <c r="CQ183" s="15"/>
      <c r="CR183" s="106" t="s">
        <v>868</v>
      </c>
      <c r="CS183" s="8">
        <f>SUM(CS180:CS182)</f>
        <v>0</v>
      </c>
      <c r="CT183" s="3485" t="str">
        <f>IF(CV183="","","アッテネータ 6W")</f>
        <v/>
      </c>
      <c r="CU183" s="3484"/>
      <c r="CV183" s="88" t="str">
        <f>BK185</f>
        <v/>
      </c>
      <c r="CX183" s="8"/>
      <c r="CY183" s="197">
        <f t="shared" si="137"/>
        <v>10</v>
      </c>
      <c r="CZ183" s="197" t="str">
        <f t="shared" si="133"/>
        <v/>
      </c>
      <c r="DA183" s="10"/>
      <c r="DB183" s="8"/>
      <c r="DC183" s="249"/>
      <c r="DD183" s="515"/>
      <c r="DE183" s="514"/>
      <c r="DG183" s="8"/>
      <c r="DH183" s="197">
        <f t="shared" si="138"/>
        <v>5</v>
      </c>
      <c r="DI183" s="197" t="str">
        <f t="shared" si="134"/>
        <v/>
      </c>
      <c r="DJ183" s="10"/>
      <c r="DK183" s="8"/>
      <c r="DL183" s="249"/>
      <c r="DM183" s="515"/>
      <c r="DN183" s="514"/>
      <c r="DP183" s="8"/>
      <c r="DQ183" s="197">
        <f t="shared" si="139"/>
        <v>11</v>
      </c>
      <c r="DR183" s="197" t="str">
        <f t="shared" si="135"/>
        <v/>
      </c>
      <c r="DS183" s="10" t="str">
        <f>CQ125</f>
        <v/>
      </c>
      <c r="DT183" s="8"/>
      <c r="DU183" s="249" t="str">
        <f>IF(COUNTIF($DS$10:DS182,DS183)&gt;0,"",DS183)</f>
        <v/>
      </c>
      <c r="DV183" s="198" t="str">
        <f>CS125</f>
        <v/>
      </c>
      <c r="DW183" s="514">
        <f t="shared" si="136"/>
        <v>5</v>
      </c>
    </row>
    <row r="184" spans="2:127" ht="11.25" customHeight="1" thickBot="1">
      <c r="B184" s="23"/>
      <c r="C184" s="2299" t="s">
        <v>112</v>
      </c>
      <c r="D184" s="2299"/>
      <c r="E184" s="2299"/>
      <c r="F184" s="2299"/>
      <c r="G184" s="2299"/>
      <c r="H184" s="2299"/>
      <c r="I184" s="3399"/>
      <c r="J184" s="3400" t="str">
        <f>非誘!J129</f>
        <v/>
      </c>
      <c r="K184" s="3401"/>
      <c r="L184" s="3401"/>
      <c r="M184" s="3402"/>
      <c r="N184" s="3403" t="str">
        <f>非誘!M129</f>
        <v/>
      </c>
      <c r="O184" s="3404"/>
      <c r="P184" s="3404"/>
      <c r="Q184" s="3404"/>
      <c r="R184" s="3404"/>
      <c r="S184" s="3404"/>
      <c r="T184" s="3404"/>
      <c r="U184" s="3404"/>
      <c r="V184" s="3404"/>
      <c r="W184" s="3404"/>
      <c r="X184" s="3404"/>
      <c r="Y184" s="3404"/>
      <c r="Z184" s="3405"/>
      <c r="AA184" s="3406" t="s">
        <v>926</v>
      </c>
      <c r="AB184" s="2301"/>
      <c r="AC184" s="2301"/>
      <c r="AD184" s="2301"/>
      <c r="AE184" s="2301"/>
      <c r="AF184" s="2302"/>
      <c r="AG184" s="3393" t="str">
        <f>IF($B$2=0,"",IF(AN184="","天井(C 管)",AN184))</f>
        <v>天井(C 管)</v>
      </c>
      <c r="AH184" s="2368"/>
      <c r="AI184" s="2368"/>
      <c r="AJ184" s="2368"/>
      <c r="AK184" s="2368"/>
      <c r="AL184" s="3394"/>
      <c r="AM184" s="668" t="s">
        <v>925</v>
      </c>
      <c r="AN184" s="3395"/>
      <c r="AO184" s="3396"/>
      <c r="AP184" s="3396"/>
      <c r="AQ184" s="3396"/>
      <c r="AR184" s="3397"/>
      <c r="AS184" s="3434" t="s">
        <v>881</v>
      </c>
      <c r="AT184" s="3435"/>
      <c r="AU184" s="3436" t="s">
        <v>880</v>
      </c>
      <c r="AV184" s="3437"/>
      <c r="AW184" s="3432"/>
      <c r="AX184" s="3433"/>
      <c r="AY184" s="3432" t="s">
        <v>881</v>
      </c>
      <c r="AZ184" s="3433"/>
      <c r="BA184" s="3436" t="s">
        <v>884</v>
      </c>
      <c r="BB184" s="3437"/>
      <c r="BC184" s="3436" t="s">
        <v>883</v>
      </c>
      <c r="BD184" s="3438"/>
      <c r="BE184" s="3438"/>
      <c r="BF184" s="3437"/>
      <c r="BG184" s="3420" t="s">
        <v>882</v>
      </c>
      <c r="BH184" s="3421"/>
      <c r="BI184" s="3436" t="s">
        <v>881</v>
      </c>
      <c r="BJ184" s="3437"/>
      <c r="BK184" s="3436" t="s">
        <v>880</v>
      </c>
      <c r="BL184" s="3437"/>
      <c r="BM184" s="3407" t="str">
        <f>IF(BM185="","",$BW$12)</f>
        <v/>
      </c>
      <c r="BN184" s="3407"/>
      <c r="BO184" s="3407"/>
      <c r="BP184" s="3407" t="str">
        <f>IF(BP185="","",30)</f>
        <v/>
      </c>
      <c r="BQ184" s="3407"/>
      <c r="BR184" s="3407"/>
      <c r="BS184" s="2384" t="s">
        <v>879</v>
      </c>
      <c r="BT184" s="2386"/>
      <c r="BU184" s="19"/>
      <c r="BW184" s="102"/>
      <c r="CB184" s="90" t="s">
        <v>924</v>
      </c>
      <c r="CC184" s="479" t="str">
        <f>AD185</f>
        <v/>
      </c>
      <c r="CD184" s="263" t="str">
        <f>IF(C186="","",IF(CC184="①",CD183+CE183+3,IF(CC184="②",CD183*5/8+CE183+3,IF(CC184="③",CD183/2+CE183+3,IF(CC184="④",CD183+CE183*5/8+3,IF(CC184="⑤",(CD183+CE183)*5/8+3,IF(CC184="⑥",CD183/2+CE183*5/8+3,IF(CC184="⑦",CD183+CE183/2+3,IF(CC184="⑧",CD183*5/8+CE183/2+3,IF(CC184="⑨",(CD183+CE183)/2+3))))))))))</f>
        <v/>
      </c>
      <c r="CE184" s="8"/>
      <c r="CF184" s="106"/>
      <c r="CG184" s="681">
        <f>IF(AG184="天井ケーブル",0,1)</f>
        <v>1</v>
      </c>
      <c r="CH184" s="394"/>
      <c r="CI184" s="394"/>
      <c r="CJ184" s="59"/>
      <c r="CK184" s="394"/>
      <c r="CL184" s="394"/>
      <c r="CM184" s="394"/>
      <c r="CN184" s="62" t="s">
        <v>1</v>
      </c>
      <c r="CO184" s="62" t="s">
        <v>877</v>
      </c>
      <c r="CP184" s="38"/>
      <c r="CQ184" s="2986" t="str">
        <f>IF(CS184="","","スピーカ 6W S2")</f>
        <v/>
      </c>
      <c r="CR184" s="3476"/>
      <c r="CS184" s="88" t="str">
        <f>IF(AU185=0,"",AU185)</f>
        <v/>
      </c>
      <c r="CT184" s="3483" t="str">
        <f>IF(CV184="","","主増幅器")</f>
        <v/>
      </c>
      <c r="CU184" s="3484"/>
      <c r="CV184" s="88" t="str">
        <f>BM185</f>
        <v/>
      </c>
      <c r="CX184" s="8"/>
      <c r="CY184" s="197">
        <f t="shared" si="137"/>
        <v>10</v>
      </c>
      <c r="CZ184" s="197" t="str">
        <f t="shared" si="133"/>
        <v/>
      </c>
      <c r="DA184" s="10"/>
      <c r="DB184" s="8"/>
      <c r="DC184" s="249"/>
      <c r="DD184" s="515"/>
      <c r="DE184" s="514"/>
      <c r="DG184" s="8"/>
      <c r="DH184" s="197">
        <f t="shared" si="138"/>
        <v>5</v>
      </c>
      <c r="DI184" s="197" t="str">
        <f t="shared" si="134"/>
        <v/>
      </c>
      <c r="DJ184" s="10"/>
      <c r="DK184" s="8"/>
      <c r="DL184" s="249"/>
      <c r="DM184" s="515"/>
      <c r="DN184" s="514"/>
      <c r="DP184" s="8"/>
      <c r="DQ184" s="197">
        <f t="shared" si="139"/>
        <v>11</v>
      </c>
      <c r="DR184" s="197" t="str">
        <f t="shared" si="135"/>
        <v/>
      </c>
      <c r="DS184" s="10" t="str">
        <f>CQ127</f>
        <v>スピーカ 6W S2</v>
      </c>
      <c r="DT184" s="8"/>
      <c r="DU184" s="249" t="str">
        <f>IF(COUNTIF($DS$10:DS183,DS184)&gt;0,"",DS184)</f>
        <v/>
      </c>
      <c r="DV184" s="198">
        <f>CS127</f>
        <v>1</v>
      </c>
      <c r="DW184" s="514">
        <f t="shared" si="136"/>
        <v>5</v>
      </c>
    </row>
    <row r="185" spans="2:127" ht="11.25" customHeight="1" thickBot="1">
      <c r="B185" s="23"/>
      <c r="C185" s="3409" t="s">
        <v>923</v>
      </c>
      <c r="D185" s="3410"/>
      <c r="E185" s="3410"/>
      <c r="F185" s="3410"/>
      <c r="G185" s="3410"/>
      <c r="H185" s="3411"/>
      <c r="I185" s="3430" t="str">
        <f>非誘!AA129</f>
        <v/>
      </c>
      <c r="J185" s="3430"/>
      <c r="K185" s="3430"/>
      <c r="L185" s="2395" t="s">
        <v>214</v>
      </c>
      <c r="M185" s="2395"/>
      <c r="N185" s="2395"/>
      <c r="O185" s="2395"/>
      <c r="P185" s="2395"/>
      <c r="Q185" s="2395"/>
      <c r="R185" s="2395"/>
      <c r="S185" s="3379" t="str">
        <f>非誘!J130</f>
        <v/>
      </c>
      <c r="T185" s="3380"/>
      <c r="U185" s="3380"/>
      <c r="V185" s="3381"/>
      <c r="W185" s="3399" t="s">
        <v>875</v>
      </c>
      <c r="X185" s="3412"/>
      <c r="Y185" s="3412"/>
      <c r="Z185" s="3412"/>
      <c r="AA185" s="2654"/>
      <c r="AB185" s="2654"/>
      <c r="AC185" s="2655"/>
      <c r="AD185" s="3388" t="str">
        <f>非誘!V130</f>
        <v/>
      </c>
      <c r="AE185" s="3389"/>
      <c r="AF185" s="3390"/>
      <c r="AG185" s="3391" t="s">
        <v>874</v>
      </c>
      <c r="AH185" s="3391"/>
      <c r="AI185" s="3391"/>
      <c r="AJ185" s="3391"/>
      <c r="AK185" s="3391"/>
      <c r="AL185" s="2990" t="str">
        <f>IF(AP185&lt;&gt;"",AP185,IF(C186=$BG$10,C186,""))</f>
        <v/>
      </c>
      <c r="AM185" s="2990"/>
      <c r="AN185" s="2990"/>
      <c r="AO185" s="668" t="s">
        <v>34</v>
      </c>
      <c r="AP185" s="3325"/>
      <c r="AQ185" s="3326"/>
      <c r="AR185" s="3327"/>
      <c r="AS185" s="3418" t="str">
        <f>IF(CE186=0,"",IF(AS186&lt;&gt;"",AS186,IF(BE185&lt;&gt;"",CN187,SUM(CN185:CO185))))</f>
        <v/>
      </c>
      <c r="AT185" s="3375"/>
      <c r="AU185" s="3418" t="str">
        <f>IF(CE186=0,"",IF(AU186&lt;&gt;"",AU186,CN186))</f>
        <v/>
      </c>
      <c r="AV185" s="3375"/>
      <c r="AW185" s="3418"/>
      <c r="AX185" s="3375"/>
      <c r="AY185" s="3418" t="str">
        <f>IF(AA186="","",IF(AY186&lt;&gt;"",AY186,CO186))</f>
        <v/>
      </c>
      <c r="AZ185" s="3375"/>
      <c r="BA185" s="3418"/>
      <c r="BB185" s="3375"/>
      <c r="BC185" s="3418" t="str">
        <f>IF(OR(AL186="不",,BP185=""),"",IF(BC186&lt;&gt;"",BC186,BP185*2))</f>
        <v/>
      </c>
      <c r="BD185" s="3375"/>
      <c r="BE185" s="3418" t="str">
        <f>IF(BE186&lt;&gt;"",BE186,IF(BX183=0,"",CN187))</f>
        <v/>
      </c>
      <c r="BF185" s="3375"/>
      <c r="BG185" s="3418" t="str">
        <f>IF(AE181="不","",IF(BG186&lt;&gt;"",BG186,BP185))</f>
        <v/>
      </c>
      <c r="BH185" s="3375"/>
      <c r="BI185" s="3418" t="str">
        <f>IF(CE186=0,"",CN188)</f>
        <v/>
      </c>
      <c r="BJ185" s="3375"/>
      <c r="BK185" s="3374" t="str">
        <f>IF(CE186=0,"",CO188)</f>
        <v/>
      </c>
      <c r="BL185" s="3375"/>
      <c r="BM185" s="3376" t="str">
        <f>IF(CE186=0,"",IF(BM186&lt;&gt;"",BM186,IF(C186=AL185,1,"")))</f>
        <v/>
      </c>
      <c r="BN185" s="3377"/>
      <c r="BO185" s="3378"/>
      <c r="BP185" s="3376" t="str">
        <f>IF(CE186=0,"",IF(OR(AE181="不",AA186="",S186=""),"",IF(BP186&lt;&gt;"",BP186,IF(AL186="要",1+INT(S186/1000),""))))</f>
        <v/>
      </c>
      <c r="BQ185" s="3377"/>
      <c r="BR185" s="3378"/>
      <c r="BS185" s="3376" t="str">
        <f>IF(BS186&lt;&gt;"",BS186,BP185)</f>
        <v/>
      </c>
      <c r="BT185" s="3378"/>
      <c r="BU185" s="19"/>
      <c r="BW185" s="680">
        <f>IF(AND(CS186=0,CS187=""),CS183*3,CS183*3+CS186*6)</f>
        <v>0</v>
      </c>
      <c r="BX185" s="102">
        <f>BY186</f>
        <v>0</v>
      </c>
      <c r="BY185" s="522">
        <f>1+INT(SUM(S186:Z186)/400)</f>
        <v>1</v>
      </c>
      <c r="BZ185" s="100" t="s">
        <v>873</v>
      </c>
      <c r="CB185" s="678" t="str">
        <f>IF(CE186=0,"",IF(CE186="=",MID(BZ186,10,3),10*(1+INT(BY185*3/10))))</f>
        <v/>
      </c>
      <c r="CC185" s="10" t="s">
        <v>922</v>
      </c>
      <c r="CF185" s="106" t="s">
        <v>857</v>
      </c>
      <c r="CG185" s="136" t="e">
        <f>IF(CG184=1,INT(CD184*BY185)+BY185*10,"")</f>
        <v>#VALUE!</v>
      </c>
      <c r="CH185" s="136" t="e">
        <f>IF(CG184=1,INT(CD184*CS188),"")</f>
        <v>#VALUE!</v>
      </c>
      <c r="CI185" s="136">
        <f>8*SUM(BI185:BL185)</f>
        <v>0</v>
      </c>
      <c r="CJ185" s="134" t="str">
        <f>IF($AX$8=0,INT(10.7*CD183*CE183/($BF$8/1000)^2)*1.5,"")</f>
        <v/>
      </c>
      <c r="CK185" s="136">
        <v>0</v>
      </c>
      <c r="CL185" s="136" t="str">
        <f>IF(BP185="","",10*BP185)</f>
        <v/>
      </c>
      <c r="CM185" s="136" t="str">
        <f>IF(BS185="","",10*BS185)</f>
        <v/>
      </c>
      <c r="CN185" s="665">
        <f>IF(AA186="",0,IF(AE181="不","",INT(AA186/2)))</f>
        <v>0</v>
      </c>
      <c r="CO185" s="665" t="e">
        <f>IF(AN181="不","",INT(AD186/2))</f>
        <v>#VALUE!</v>
      </c>
      <c r="CP185" s="670" t="s">
        <v>921</v>
      </c>
      <c r="CQ185" s="2986" t="str">
        <f>IF(CS185="","","スピーカ 5W S4")</f>
        <v/>
      </c>
      <c r="CR185" s="3476"/>
      <c r="CS185" s="88" t="str">
        <f>IF(BA185=0,"",BA185)</f>
        <v/>
      </c>
      <c r="CT185" s="3483" t="str">
        <f>IF(CV185="","","副増幅器 30W")</f>
        <v/>
      </c>
      <c r="CU185" s="3484"/>
      <c r="CV185" s="88" t="str">
        <f>BP185</f>
        <v/>
      </c>
      <c r="CX185" s="8"/>
      <c r="CY185" s="197">
        <f t="shared" si="137"/>
        <v>10</v>
      </c>
      <c r="CZ185" s="197" t="str">
        <f t="shared" si="133"/>
        <v/>
      </c>
      <c r="DA185" s="10"/>
      <c r="DB185" s="8"/>
      <c r="DC185" s="249"/>
      <c r="DD185" s="515"/>
      <c r="DE185" s="514"/>
      <c r="DG185" s="8"/>
      <c r="DH185" s="197">
        <f t="shared" si="138"/>
        <v>5</v>
      </c>
      <c r="DI185" s="197" t="str">
        <f t="shared" si="134"/>
        <v/>
      </c>
      <c r="DJ185" s="10"/>
      <c r="DK185" s="8"/>
      <c r="DL185" s="249"/>
      <c r="DM185" s="515"/>
      <c r="DN185" s="514"/>
      <c r="DP185" s="8"/>
      <c r="DQ185" s="197">
        <f t="shared" si="139"/>
        <v>11</v>
      </c>
      <c r="DR185" s="197" t="str">
        <f t="shared" si="135"/>
        <v/>
      </c>
      <c r="DS185" s="10" t="str">
        <f>CQ128</f>
        <v/>
      </c>
      <c r="DT185" s="8"/>
      <c r="DU185" s="249" t="str">
        <f>IF(COUNTIF($DS$10:DS184,DS185)&gt;0,"",DS185)</f>
        <v/>
      </c>
      <c r="DV185" s="198" t="str">
        <f>CS128</f>
        <v/>
      </c>
      <c r="DW185" s="514">
        <f t="shared" si="136"/>
        <v>5</v>
      </c>
    </row>
    <row r="186" spans="2:127" ht="11.25" customHeight="1" thickBot="1">
      <c r="B186" s="23"/>
      <c r="C186" s="3429" t="str">
        <f>IF($B$2=0,"",非誘!C131)</f>
        <v/>
      </c>
      <c r="D186" s="3407"/>
      <c r="E186" s="3407"/>
      <c r="F186" s="3430" t="str">
        <f>IF($B$2=0,"",非誘!F131)</f>
        <v/>
      </c>
      <c r="G186" s="3430"/>
      <c r="H186" s="3430"/>
      <c r="I186" s="3430"/>
      <c r="J186" s="3430" t="str">
        <f>IF($B$2=0,"",非誘!J131)</f>
        <v/>
      </c>
      <c r="K186" s="3430"/>
      <c r="L186" s="3430"/>
      <c r="M186" s="3430"/>
      <c r="N186" s="3407" t="str">
        <f>IF($B$2=0,"",非誘!N131)</f>
        <v/>
      </c>
      <c r="O186" s="3407"/>
      <c r="P186" s="3407"/>
      <c r="Q186" s="3407"/>
      <c r="R186" s="3407"/>
      <c r="S186" s="3431" t="str">
        <f>IF($B$2=0,"",非誘!S131)</f>
        <v/>
      </c>
      <c r="T186" s="3431"/>
      <c r="U186" s="3431"/>
      <c r="V186" s="3431"/>
      <c r="W186" s="3431" t="str">
        <f>IF($B$2=0,"",非誘!W131)</f>
        <v/>
      </c>
      <c r="X186" s="3431"/>
      <c r="Y186" s="3431"/>
      <c r="Z186" s="3431"/>
      <c r="AA186" s="3407" t="str">
        <f>IF($B$2=0,"",非誘!AA131)</f>
        <v/>
      </c>
      <c r="AB186" s="3407"/>
      <c r="AC186" s="3407"/>
      <c r="AD186" s="3407" t="str">
        <f>IF($B$2=0,"",非誘!AD131)</f>
        <v/>
      </c>
      <c r="AE186" s="3407"/>
      <c r="AF186" s="3407"/>
      <c r="AG186" s="3391" t="s">
        <v>920</v>
      </c>
      <c r="AH186" s="3391"/>
      <c r="AI186" s="3391"/>
      <c r="AJ186" s="3391"/>
      <c r="AK186" s="3391"/>
      <c r="AL186" s="2990" t="str">
        <f>IF(AP186&lt;&gt;"",AP186,IF($BY$18="要","要",""))</f>
        <v/>
      </c>
      <c r="AM186" s="2990"/>
      <c r="AN186" s="2990"/>
      <c r="AO186" s="668" t="s">
        <v>34</v>
      </c>
      <c r="AP186" s="3408"/>
      <c r="AQ186" s="3408"/>
      <c r="AR186" s="3408"/>
      <c r="AS186" s="2551"/>
      <c r="AT186" s="3414"/>
      <c r="AU186" s="2551"/>
      <c r="AV186" s="3414"/>
      <c r="AW186" s="2551"/>
      <c r="AX186" s="3414"/>
      <c r="AY186" s="2551"/>
      <c r="AZ186" s="3414"/>
      <c r="BA186" s="2551"/>
      <c r="BB186" s="3414"/>
      <c r="BC186" s="2551"/>
      <c r="BD186" s="3414"/>
      <c r="BE186" s="2551"/>
      <c r="BF186" s="3414"/>
      <c r="BG186" s="2551"/>
      <c r="BH186" s="3414"/>
      <c r="BI186" s="2551"/>
      <c r="BJ186" s="3414"/>
      <c r="BK186" s="2551"/>
      <c r="BL186" s="3414"/>
      <c r="BM186" s="2551"/>
      <c r="BN186" s="3428"/>
      <c r="BO186" s="3414"/>
      <c r="BP186" s="2551"/>
      <c r="BQ186" s="3428"/>
      <c r="BR186" s="3414"/>
      <c r="BS186" s="2551"/>
      <c r="BT186" s="3414"/>
      <c r="BU186" s="19"/>
      <c r="BY186" s="677">
        <f>IF(CE186=0,0,IF(CE186="=",BY185+BY177+BY195,IF(CE186="-",BY185+BY177,BY185+BY195)))</f>
        <v>0</v>
      </c>
      <c r="BZ186" s="3443" t="str">
        <f>IF(CE186=0,"",IF(BY186*3&lt;=20,"HP 1.2mm- 10Pr",IF(BY186*3&lt;=30,"HP 1.2mm- 15Pr",IF(BY186*3&lt;=40,"HP 1.2mm- 20Pr",IF(BY186*3&lt;=50,"HP 1.2mm- 25Pr",IF(BY186*3&lt;=60,"HP 1.2mm- 30Pr",IF(BY186*3&lt;=80,"HP 1.2mm- 40Pr",IF(BY186*3&lt;=100,"HP 1.2mm- 50Pr",IF(BY186*3&lt;=150,"HP 1.2mm- 75Pr", IF(BY186*3&lt;=200,"HP 1.2mm-100Pr",IF(BY186*3&lt;=400,"HP 1.2mm-200Pr","")))))))))))</f>
        <v/>
      </c>
      <c r="CA186" s="3444"/>
      <c r="CB186" s="3444"/>
      <c r="CC186" s="3445"/>
      <c r="CD186" s="673" t="str">
        <f>IF(LEFT($BG$10,2)=" B",-MID($BG$10,3,1),LEFT($BG$10,3))</f>
        <v xml:space="preserve">  1</v>
      </c>
      <c r="CE186" s="676">
        <f>IF(CD187=0,0,IF(CD186=CD187,"=",IF(CD186&gt;CD187,"-","+")))</f>
        <v>0</v>
      </c>
      <c r="CF186" s="106" t="s">
        <v>856</v>
      </c>
      <c r="CG186" s="136" t="e">
        <f>2*INT((F186-$Y$10/1000-0.25))</f>
        <v>#VALUE!</v>
      </c>
      <c r="CH186" s="136" t="e">
        <f>1+INT((F186-$Y$7/1000-0.25)*CS188)</f>
        <v>#VALUE!</v>
      </c>
      <c r="CI186" s="136" t="e">
        <f>INT((F186-$Y$8/1000-0.25)*SUM(BI185:BL185))</f>
        <v>#VALUE!</v>
      </c>
      <c r="CJ186" s="675"/>
      <c r="CK186" s="136">
        <v>0</v>
      </c>
      <c r="CL186" s="136" t="str">
        <f>IF(BP185="","",INT((F186-$Y$9/1000-0.25)*BP185))</f>
        <v/>
      </c>
      <c r="CM186" s="136" t="str">
        <f>IF(BS185="","",INT((F186-$Y$9/1000-0.25)*BS185))</f>
        <v/>
      </c>
      <c r="CN186" s="665">
        <f>IF(AA186="",0,IF(AE181="不","",INT(AA186/2)))</f>
        <v>0</v>
      </c>
      <c r="CO186" s="665" t="e">
        <f>IF(AN181="不","",INT(AD186/2))</f>
        <v>#VALUE!</v>
      </c>
      <c r="CP186" s="670" t="s">
        <v>919</v>
      </c>
      <c r="CQ186" s="15"/>
      <c r="CR186" s="106" t="s">
        <v>868</v>
      </c>
      <c r="CS186" s="8">
        <f>SUM(CS184:CS185)</f>
        <v>0</v>
      </c>
      <c r="CT186" s="3483" t="str">
        <f>IF(CV186="","","カットリレー")</f>
        <v/>
      </c>
      <c r="CU186" s="3484"/>
      <c r="CV186" s="88" t="str">
        <f>BS185</f>
        <v/>
      </c>
      <c r="CY186" s="197">
        <f t="shared" si="137"/>
        <v>10</v>
      </c>
      <c r="CZ186" s="197" t="str">
        <f t="shared" si="133"/>
        <v/>
      </c>
      <c r="DB186" s="24"/>
      <c r="DD186" s="516"/>
      <c r="DE186" s="516"/>
      <c r="DH186" s="197">
        <f t="shared" si="138"/>
        <v>5</v>
      </c>
      <c r="DI186" s="197" t="str">
        <f t="shared" si="134"/>
        <v/>
      </c>
      <c r="DK186" s="24"/>
      <c r="DM186" s="516"/>
      <c r="DN186" s="516"/>
      <c r="DQ186" s="197">
        <f t="shared" si="139"/>
        <v>11</v>
      </c>
      <c r="DR186" s="197" t="str">
        <f t="shared" si="135"/>
        <v/>
      </c>
      <c r="DS186" s="10" t="str">
        <f>CQ130</f>
        <v/>
      </c>
      <c r="DT186" s="24"/>
      <c r="DU186" s="249" t="str">
        <f>IF(COUNTIF($DS$10:DS185,DS186)&gt;0,"",DS186)</f>
        <v/>
      </c>
      <c r="DV186" s="198" t="str">
        <f>CS130</f>
        <v/>
      </c>
      <c r="DW186" s="514">
        <f t="shared" si="136"/>
        <v>5</v>
      </c>
    </row>
    <row r="187" spans="2:127" ht="11.25" customHeight="1" thickBot="1">
      <c r="B187" s="23"/>
      <c r="C187" s="2300" t="s">
        <v>867</v>
      </c>
      <c r="D187" s="2301"/>
      <c r="E187" s="2301"/>
      <c r="F187" s="2301"/>
      <c r="G187" s="2302"/>
      <c r="H187" s="3422" t="str">
        <f>IF(CE186=0,"",IF(R187&lt;&gt;"",R187,BZ186))</f>
        <v/>
      </c>
      <c r="I187" s="3423"/>
      <c r="J187" s="3423"/>
      <c r="K187" s="3423"/>
      <c r="L187" s="3423"/>
      <c r="M187" s="3423"/>
      <c r="N187" s="3423"/>
      <c r="O187" s="3423"/>
      <c r="P187" s="3424"/>
      <c r="Q187" s="668" t="s">
        <v>34</v>
      </c>
      <c r="R187" s="3362"/>
      <c r="S187" s="3363"/>
      <c r="T187" s="3363"/>
      <c r="U187" s="3363"/>
      <c r="V187" s="3363"/>
      <c r="W187" s="3363"/>
      <c r="X187" s="3363"/>
      <c r="Y187" s="3363"/>
      <c r="Z187" s="3364"/>
      <c r="AA187" s="3345" t="s">
        <v>866</v>
      </c>
      <c r="AB187" s="3346"/>
      <c r="AC187" s="3346"/>
      <c r="AD187" s="3346"/>
      <c r="AE187" s="3347"/>
      <c r="AF187" s="3385" t="str">
        <f>IF(CE186=0,"",IF(AK187&lt;&gt;"",AK187,CG188+CI188))</f>
        <v/>
      </c>
      <c r="AG187" s="3386"/>
      <c r="AH187" s="3386"/>
      <c r="AI187" s="3387"/>
      <c r="AJ187" s="669" t="s">
        <v>34</v>
      </c>
      <c r="AK187" s="3415"/>
      <c r="AL187" s="3416"/>
      <c r="AM187" s="3416"/>
      <c r="AN187" s="3417"/>
      <c r="AO187" s="2300" t="s">
        <v>865</v>
      </c>
      <c r="AP187" s="2301"/>
      <c r="AQ187" s="2301"/>
      <c r="AR187" s="2301"/>
      <c r="AS187" s="2302"/>
      <c r="AT187" s="3422" t="str">
        <f>IF(CE186=0,"",IF(BA187&lt;&gt;"",BA187,IF(MID(AG184,4,2)="C ","C-"&amp;CA187&amp;"mm",IF(MID(AG184,4,2)="PF","PF-D-"&amp;CB187&amp;"mm",IF(MID(AG184,4,2)="CD","CD-"&amp;CB187&amp;"mm",IF(MID(AG184,4,2)="G ","G-"&amp;CB187&amp;"mm",""))))))</f>
        <v/>
      </c>
      <c r="AU187" s="3423"/>
      <c r="AV187" s="3423"/>
      <c r="AW187" s="3423"/>
      <c r="AX187" s="3423"/>
      <c r="AY187" s="3424"/>
      <c r="AZ187" s="668" t="s">
        <v>34</v>
      </c>
      <c r="BA187" s="3362"/>
      <c r="BB187" s="3363"/>
      <c r="BC187" s="3363"/>
      <c r="BD187" s="3363"/>
      <c r="BE187" s="3363"/>
      <c r="BF187" s="3364"/>
      <c r="BG187" s="3345" t="s">
        <v>864</v>
      </c>
      <c r="BH187" s="3346"/>
      <c r="BI187" s="3346"/>
      <c r="BJ187" s="3346"/>
      <c r="BK187" s="3347"/>
      <c r="BL187" s="3385" t="str">
        <f>IF(CE186=0,"",IF(CM188=0,"",IF(BQ187&lt;&gt;"",BQ187,CK188+CM188)))</f>
        <v/>
      </c>
      <c r="BM187" s="3386"/>
      <c r="BN187" s="3386"/>
      <c r="BO187" s="3387"/>
      <c r="BP187" s="668" t="s">
        <v>34</v>
      </c>
      <c r="BQ187" s="3415"/>
      <c r="BR187" s="3416"/>
      <c r="BS187" s="3416"/>
      <c r="BT187" s="3417"/>
      <c r="BU187" s="19"/>
      <c r="BZ187" s="107" t="str">
        <f>IF(LEN(BZ186)=13,MID(BZ186,10,2),MID(BZ186,10,3))</f>
        <v/>
      </c>
      <c r="CA187" s="674" t="str">
        <f>IF(OR(BZ187=" 10",BZ187=" 15"),"31",IF(OR(BZ187=" 20",BZ187=" 25",BZ187=" 30"),"39",IF(OR(BZ187=" 40",BZ187=" 50"),"51",IF(BZ187="100","63",IF(BZ187&lt;="200","75","")))))</f>
        <v>75</v>
      </c>
      <c r="CB187" s="674" t="str">
        <f>IF(OR(BZ187=" 10",BZ187=" 15"),"28",IF(OR(BZ187=" 20",BZ187=" 25",BZ187=" 30"),"36",IF(OR(BZ187=" 40",BZ187=" 50"),"42",IF(BZ187="100","54",IF(BZ187&lt;="200","70","")))))</f>
        <v>70</v>
      </c>
      <c r="CD187" s="673">
        <f>IF(C186="",0,IF(LEFT(C186,2)=" B",-MID(C186,3,1),LEFT(C186,3)))</f>
        <v>0</v>
      </c>
      <c r="CF187" s="106"/>
      <c r="CG187" s="90" t="s">
        <v>918</v>
      </c>
      <c r="CH187" s="64"/>
      <c r="CI187" s="90" t="s">
        <v>918</v>
      </c>
      <c r="CJ187" s="38"/>
      <c r="CK187" s="90" t="s">
        <v>918</v>
      </c>
      <c r="CL187" s="64"/>
      <c r="CM187" s="90" t="s">
        <v>918</v>
      </c>
      <c r="CN187" s="672">
        <f>IF(S186="",0,IF(AE181="不","",INT(S186/150)))</f>
        <v>0</v>
      </c>
      <c r="CO187" s="671"/>
      <c r="CP187" s="670" t="s">
        <v>917</v>
      </c>
      <c r="CQ187" s="2986" t="str">
        <f>IF(CS187="","","プロセニアム・スピーカ 20W")</f>
        <v/>
      </c>
      <c r="CR187" s="3476"/>
      <c r="CS187" s="88" t="str">
        <f>IF(BC185=0,"",BC185)</f>
        <v/>
      </c>
      <c r="CT187" s="9"/>
      <c r="CU187" s="46"/>
      <c r="CY187" s="197">
        <f t="shared" si="137"/>
        <v>10</v>
      </c>
      <c r="CZ187" s="197" t="str">
        <f t="shared" si="133"/>
        <v/>
      </c>
      <c r="DB187" s="24"/>
      <c r="DD187" s="516"/>
      <c r="DE187" s="516"/>
      <c r="DH187" s="197">
        <f t="shared" si="138"/>
        <v>5</v>
      </c>
      <c r="DI187" s="197" t="str">
        <f t="shared" si="134"/>
        <v/>
      </c>
      <c r="DK187" s="24"/>
      <c r="DM187" s="516"/>
      <c r="DN187" s="516"/>
      <c r="DQ187" s="197">
        <f t="shared" si="139"/>
        <v>11</v>
      </c>
      <c r="DR187" s="197" t="str">
        <f t="shared" si="135"/>
        <v/>
      </c>
      <c r="DS187" s="201" t="str">
        <f>CQ131</f>
        <v>ソノライン・スピーカ 20W</v>
      </c>
      <c r="DT187" s="24"/>
      <c r="DU187" s="249" t="str">
        <f>IF(COUNTIF($DS$10:DS186,DS187)&gt;0,"",DS187)</f>
        <v/>
      </c>
      <c r="DV187" s="198">
        <f>CS131</f>
        <v>0</v>
      </c>
      <c r="DW187" s="514">
        <f t="shared" si="136"/>
        <v>5</v>
      </c>
    </row>
    <row r="188" spans="2:127" ht="11.25" customHeight="1" thickBot="1">
      <c r="B188" s="23"/>
      <c r="C188" s="2300" t="s">
        <v>861</v>
      </c>
      <c r="D188" s="2301"/>
      <c r="E188" s="2301"/>
      <c r="F188" s="2301"/>
      <c r="G188" s="2302"/>
      <c r="H188" s="3422" t="str">
        <f>IF(CE186=0,"",IF(R188&lt;&gt;"",R188,"HP 1.2mm-3C"))</f>
        <v/>
      </c>
      <c r="I188" s="3423"/>
      <c r="J188" s="3423"/>
      <c r="K188" s="3423"/>
      <c r="L188" s="3423"/>
      <c r="M188" s="3423"/>
      <c r="N188" s="3423"/>
      <c r="O188" s="3423"/>
      <c r="P188" s="3424"/>
      <c r="Q188" s="668" t="s">
        <v>34</v>
      </c>
      <c r="R188" s="3362"/>
      <c r="S188" s="3363"/>
      <c r="T188" s="3363"/>
      <c r="U188" s="3363"/>
      <c r="V188" s="3363"/>
      <c r="W188" s="3363"/>
      <c r="X188" s="3363"/>
      <c r="Y188" s="3363"/>
      <c r="Z188" s="3364"/>
      <c r="AA188" s="3348" t="s">
        <v>113</v>
      </c>
      <c r="AB188" s="3349"/>
      <c r="AC188" s="3349"/>
      <c r="AD188" s="3349"/>
      <c r="AE188" s="3350"/>
      <c r="AF188" s="3385" t="str">
        <f>IF(CE186=0,"",IF(AK188&lt;&gt;"",AK188,SUM(CN182:CN183)))</f>
        <v/>
      </c>
      <c r="AG188" s="3386"/>
      <c r="AH188" s="3386"/>
      <c r="AI188" s="3387"/>
      <c r="AJ188" s="669" t="s">
        <v>34</v>
      </c>
      <c r="AK188" s="3415"/>
      <c r="AL188" s="3416"/>
      <c r="AM188" s="3416"/>
      <c r="AN188" s="3417"/>
      <c r="AO188" s="2300" t="s">
        <v>860</v>
      </c>
      <c r="AP188" s="2301"/>
      <c r="AQ188" s="2301"/>
      <c r="AR188" s="2301"/>
      <c r="AS188" s="2302"/>
      <c r="AT188" s="3422" t="str">
        <f>IF(CE186=0,"",IF(BA188&lt;&gt;"",BA188,IF(MID(AG184,4,2)="C ","C-19mm",IF(MID(AG184,4,2)="PF","PF-D-16mm",IF(MID(AG184,4,2)="CD","CD-16mm",IF(MID(AG184,4,2)="G ","G-16mm","C-19mm"))))))</f>
        <v/>
      </c>
      <c r="AU188" s="3423"/>
      <c r="AV188" s="3423"/>
      <c r="AW188" s="3423"/>
      <c r="AX188" s="3423"/>
      <c r="AY188" s="3424"/>
      <c r="AZ188" s="668" t="s">
        <v>34</v>
      </c>
      <c r="BA188" s="3362"/>
      <c r="BB188" s="3363"/>
      <c r="BC188" s="3363"/>
      <c r="BD188" s="3363"/>
      <c r="BE188" s="3363"/>
      <c r="BF188" s="3364"/>
      <c r="BG188" s="3348" t="s">
        <v>113</v>
      </c>
      <c r="BH188" s="3349"/>
      <c r="BI188" s="3349"/>
      <c r="BJ188" s="3349"/>
      <c r="BK188" s="3350"/>
      <c r="BL188" s="3385" t="str">
        <f>IF(CE186=0,"",IF(BQ188&lt;&gt;"",BQ188,SUM(CO182:CO183)))</f>
        <v/>
      </c>
      <c r="BM188" s="3386"/>
      <c r="BN188" s="3386"/>
      <c r="BO188" s="3387"/>
      <c r="BP188" s="668" t="s">
        <v>34</v>
      </c>
      <c r="BQ188" s="3425"/>
      <c r="BR188" s="3426"/>
      <c r="BS188" s="3426"/>
      <c r="BT188" s="3427"/>
      <c r="BU188" s="19"/>
      <c r="CF188" s="106" t="s">
        <v>859</v>
      </c>
      <c r="CG188" s="184">
        <f>IF(CE186="=",CD184,0)</f>
        <v>0</v>
      </c>
      <c r="CH188" s="667" t="s">
        <v>858</v>
      </c>
      <c r="CI188" s="184" t="e">
        <f>F186+2*$AN$7/1000</f>
        <v>#VALUE!</v>
      </c>
      <c r="CJ188" s="666" t="s">
        <v>857</v>
      </c>
      <c r="CK188" s="184">
        <f>IF(CG184=1,CG188,0)</f>
        <v>0</v>
      </c>
      <c r="CL188" s="666" t="s">
        <v>856</v>
      </c>
      <c r="CM188" s="184" t="str">
        <f>IF(CG184=1,F186,0)</f>
        <v/>
      </c>
      <c r="CN188" s="665" t="e">
        <f>INT(AS185/2)</f>
        <v>#VALUE!</v>
      </c>
      <c r="CO188" s="665" t="str">
        <f>IF(AU185="","",1+INT(AU185/2))</f>
        <v/>
      </c>
      <c r="CP188" s="664" t="s">
        <v>907</v>
      </c>
      <c r="CQ188" s="3477" t="str">
        <f>IF(CS188="","","ソノライン・スピーカ 20W")</f>
        <v>ソノライン・スピーカ 20W</v>
      </c>
      <c r="CR188" s="3478"/>
      <c r="CS188" s="222">
        <f>IF(BE185="",0,BE185)</f>
        <v>0</v>
      </c>
      <c r="CT188" s="155"/>
      <c r="CU188" s="148"/>
      <c r="CV188" s="148"/>
      <c r="CY188" s="197">
        <f t="shared" si="137"/>
        <v>10</v>
      </c>
      <c r="CZ188" s="197" t="str">
        <f t="shared" si="133"/>
        <v/>
      </c>
      <c r="DB188" s="24"/>
      <c r="DD188" s="516"/>
      <c r="DE188" s="516"/>
      <c r="DH188" s="197">
        <f t="shared" si="138"/>
        <v>5</v>
      </c>
      <c r="DI188" s="197" t="str">
        <f t="shared" si="134"/>
        <v/>
      </c>
      <c r="DK188" s="24"/>
      <c r="DM188" s="516"/>
      <c r="DN188" s="516"/>
      <c r="DQ188" s="197">
        <f t="shared" si="139"/>
        <v>11</v>
      </c>
      <c r="DR188" s="197" t="str">
        <f t="shared" si="135"/>
        <v/>
      </c>
      <c r="DS188" s="10" t="str">
        <f t="shared" ref="DS188:DS193" si="140">CT124</f>
        <v/>
      </c>
      <c r="DT188" s="24"/>
      <c r="DU188" s="249" t="str">
        <f>IF(COUNTIF($DS$10:DS187,DS188)&gt;0,"",DS188)</f>
        <v/>
      </c>
      <c r="DV188" s="198" t="str">
        <f t="shared" ref="DV188:DV193" si="141">CV124</f>
        <v/>
      </c>
      <c r="DW188" s="514">
        <f t="shared" si="136"/>
        <v>5</v>
      </c>
    </row>
    <row r="189" spans="2:127" ht="11.25" customHeight="1">
      <c r="B189" s="23"/>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19"/>
      <c r="CP189" s="6"/>
      <c r="CQ189" s="2986" t="str">
        <f>IF(CS189="","","スピーカ 3W S1")</f>
        <v/>
      </c>
      <c r="CR189" s="3476"/>
      <c r="CS189" s="88" t="str">
        <f>IF(AS194=0,"",AS194)</f>
        <v/>
      </c>
      <c r="CT189" s="9"/>
      <c r="CX189" s="88">
        <v>20</v>
      </c>
      <c r="CY189" s="204"/>
      <c r="CZ189" s="155"/>
      <c r="DA189" s="45"/>
      <c r="DB189" s="45"/>
      <c r="DC189" s="45" t="s">
        <v>916</v>
      </c>
      <c r="DD189" s="45"/>
      <c r="DE189" s="45" t="s">
        <v>915</v>
      </c>
      <c r="DG189" s="88">
        <v>20</v>
      </c>
      <c r="DH189" s="204"/>
      <c r="DI189" s="155"/>
      <c r="DJ189" s="45"/>
      <c r="DK189" s="45"/>
      <c r="DL189" s="45" t="s">
        <v>916</v>
      </c>
      <c r="DM189" s="45"/>
      <c r="DN189" s="45" t="s">
        <v>915</v>
      </c>
      <c r="DQ189" s="197">
        <f t="shared" si="139"/>
        <v>11</v>
      </c>
      <c r="DR189" s="197" t="str">
        <f t="shared" si="135"/>
        <v/>
      </c>
      <c r="DS189" s="10" t="str">
        <f t="shared" si="140"/>
        <v>アッテネータ 3W</v>
      </c>
      <c r="DT189" s="24"/>
      <c r="DU189" s="249" t="str">
        <f>IF(COUNTIF($DS$10:DS188,DS189)&gt;0,"",DS189)</f>
        <v/>
      </c>
      <c r="DV189" s="198">
        <f t="shared" si="141"/>
        <v>2</v>
      </c>
      <c r="DW189" s="514">
        <f t="shared" si="136"/>
        <v>5</v>
      </c>
    </row>
    <row r="190" spans="2:127" ht="11.25" customHeight="1" thickBot="1">
      <c r="B190" s="23"/>
      <c r="C190" s="2299" t="s">
        <v>16</v>
      </c>
      <c r="D190" s="2299"/>
      <c r="E190" s="2299"/>
      <c r="F190" s="2299" t="s">
        <v>22</v>
      </c>
      <c r="G190" s="2299"/>
      <c r="H190" s="2299"/>
      <c r="I190" s="2299"/>
      <c r="J190" s="2299" t="s">
        <v>5</v>
      </c>
      <c r="K190" s="2299"/>
      <c r="L190" s="2299"/>
      <c r="M190" s="2299"/>
      <c r="N190" s="2299" t="s">
        <v>6</v>
      </c>
      <c r="O190" s="2299"/>
      <c r="P190" s="2299"/>
      <c r="Q190" s="2299"/>
      <c r="R190" s="2299"/>
      <c r="S190" s="2299" t="s">
        <v>914</v>
      </c>
      <c r="T190" s="2299"/>
      <c r="U190" s="2299"/>
      <c r="V190" s="2299"/>
      <c r="W190" s="2299"/>
      <c r="X190" s="2299"/>
      <c r="Y190" s="2299"/>
      <c r="Z190" s="2299"/>
      <c r="AA190" s="3382" t="s">
        <v>7</v>
      </c>
      <c r="AB190" s="3382"/>
      <c r="AC190" s="3382"/>
      <c r="AD190" s="3382"/>
      <c r="AE190" s="2630" t="str">
        <f>IF(S195="","",IF(AH190&lt;&gt;"",AH190,IF(RIGHT($D$10,2)="不要","不","要")))</f>
        <v/>
      </c>
      <c r="AF190" s="2630"/>
      <c r="AG190" s="668" t="s">
        <v>68</v>
      </c>
      <c r="AH190" s="2632"/>
      <c r="AI190" s="2633"/>
      <c r="AJ190" s="3371" t="s">
        <v>913</v>
      </c>
      <c r="AK190" s="3372"/>
      <c r="AL190" s="3372"/>
      <c r="AM190" s="3373"/>
      <c r="AN190" s="3383" t="str">
        <f>IF(W195="","",IF(AQ190&lt;&gt;"",AQ190,IF(RIGHT($D$10,2)="設置","要","不")))</f>
        <v/>
      </c>
      <c r="AO190" s="3384"/>
      <c r="AP190" s="668" t="s">
        <v>34</v>
      </c>
      <c r="AQ190" s="2632"/>
      <c r="AR190" s="2633"/>
      <c r="AS190" s="3399" t="s">
        <v>912</v>
      </c>
      <c r="AT190" s="3412"/>
      <c r="AU190" s="3412"/>
      <c r="AV190" s="3412"/>
      <c r="AW190" s="3412"/>
      <c r="AX190" s="3412"/>
      <c r="AY190" s="3412"/>
      <c r="AZ190" s="3412"/>
      <c r="BA190" s="3412"/>
      <c r="BB190" s="3412"/>
      <c r="BC190" s="3412"/>
      <c r="BD190" s="3412"/>
      <c r="BE190" s="3412"/>
      <c r="BF190" s="3412"/>
      <c r="BG190" s="3412"/>
      <c r="BH190" s="3413"/>
      <c r="BI190" s="3399" t="s">
        <v>907</v>
      </c>
      <c r="BJ190" s="3412"/>
      <c r="BK190" s="3412"/>
      <c r="BL190" s="3413"/>
      <c r="BM190" s="3360" t="s">
        <v>911</v>
      </c>
      <c r="BN190" s="3419"/>
      <c r="BO190" s="3419"/>
      <c r="BP190" s="3419"/>
      <c r="BQ190" s="3419"/>
      <c r="BR190" s="3361"/>
      <c r="BS190" s="3441" t="s">
        <v>910</v>
      </c>
      <c r="BT190" s="3442"/>
      <c r="BU190" s="19"/>
      <c r="BW190" s="102"/>
      <c r="CF190" s="8"/>
      <c r="CG190" s="685" t="s">
        <v>909</v>
      </c>
      <c r="CH190" s="685" t="s">
        <v>908</v>
      </c>
      <c r="CI190" s="685" t="s">
        <v>907</v>
      </c>
      <c r="CJ190" s="686">
        <f>IF($AX$8=0,"",INT(10.7*CD192*CE192/($BF$8/1000)^2))</f>
        <v>0</v>
      </c>
      <c r="CK190" s="685" t="s">
        <v>906</v>
      </c>
      <c r="CL190" s="685" t="s">
        <v>905</v>
      </c>
      <c r="CM190" s="685" t="s">
        <v>904</v>
      </c>
      <c r="CN190" s="550" t="s">
        <v>734</v>
      </c>
      <c r="CO190" s="550" t="s">
        <v>732</v>
      </c>
      <c r="CP190" s="684"/>
      <c r="CQ190" s="2986" t="str">
        <f>IF(CS190="","","スピーカ 3W S3")</f>
        <v/>
      </c>
      <c r="CR190" s="3476"/>
      <c r="CS190" s="88" t="str">
        <f>IF(AY194=0,"",AY194)</f>
        <v/>
      </c>
      <c r="CT190" s="3483" t="str">
        <f>IF(CV190="","","マイクロホン")</f>
        <v/>
      </c>
      <c r="CU190" s="3484"/>
      <c r="CV190" s="88" t="str">
        <f>BG194</f>
        <v/>
      </c>
      <c r="CX190" s="8"/>
      <c r="CY190" s="197">
        <f>IF(DC190&lt;&gt;"",CY188+1,CY188)</f>
        <v>10</v>
      </c>
      <c r="CZ190" s="197" t="str">
        <f t="shared" ref="CZ190:CZ197" si="142">IF(AND(CY190&lt;&gt;"",DC190&lt;&gt;""),CY190,"")</f>
        <v/>
      </c>
      <c r="DA190" s="10" t="str">
        <f>H196</f>
        <v/>
      </c>
      <c r="DB190" s="8"/>
      <c r="DC190" s="249" t="str">
        <f>IF(COUNTIF(DA$10:$DA187,DA190)&gt;0,"",DA190)</f>
        <v/>
      </c>
      <c r="DD190" s="515" t="str">
        <f>AF196</f>
        <v/>
      </c>
      <c r="DE190" s="514">
        <f>SUMIF($DA$13:$DA$199,DC190,$DD$13:$DD$199)</f>
        <v>0</v>
      </c>
      <c r="DG190" s="8"/>
      <c r="DH190" s="197">
        <f>IF(DL190&lt;&gt;"",DH188+1,DH188)</f>
        <v>5</v>
      </c>
      <c r="DI190" s="197" t="str">
        <f t="shared" ref="DI190:DI197" si="143">IF(AND(DH190&lt;&gt;"",DL190&lt;&gt;""),DH190,"")</f>
        <v/>
      </c>
      <c r="DJ190" s="10" t="str">
        <f>AT196</f>
        <v/>
      </c>
      <c r="DK190" s="8"/>
      <c r="DL190" s="249" t="str">
        <f>IF(COUNTIF($DA$10:DJ187,DJ190)&gt;0,"",DJ190)</f>
        <v/>
      </c>
      <c r="DM190" s="515" t="str">
        <f>BL196</f>
        <v/>
      </c>
      <c r="DN190" s="514">
        <f>SUMIF($DJ$13:$DJ$199,DL190,$DM$13:$DM$199)</f>
        <v>0</v>
      </c>
      <c r="DQ190" s="197">
        <f t="shared" si="139"/>
        <v>11</v>
      </c>
      <c r="DR190" s="197" t="str">
        <f t="shared" si="135"/>
        <v/>
      </c>
      <c r="DS190" s="10" t="str">
        <f t="shared" si="140"/>
        <v>アッテネータ 6W</v>
      </c>
      <c r="DT190" s="24"/>
      <c r="DU190" s="249" t="str">
        <f>IF(COUNTIF($DS$10:DS189,DS190)&gt;0,"",DS190)</f>
        <v/>
      </c>
      <c r="DV190" s="198">
        <f t="shared" si="141"/>
        <v>1</v>
      </c>
      <c r="DW190" s="514">
        <f t="shared" si="136"/>
        <v>5</v>
      </c>
    </row>
    <row r="191" spans="2:127" ht="11.25" customHeight="1" thickBot="1">
      <c r="B191" s="23"/>
      <c r="C191" s="2299"/>
      <c r="D191" s="2299"/>
      <c r="E191" s="2299"/>
      <c r="F191" s="2396"/>
      <c r="G191" s="2396"/>
      <c r="H191" s="2396"/>
      <c r="I191" s="2396"/>
      <c r="J191" s="2396"/>
      <c r="K191" s="2396"/>
      <c r="L191" s="2396"/>
      <c r="M191" s="2396"/>
      <c r="N191" s="2396"/>
      <c r="O191" s="2396"/>
      <c r="P191" s="2396"/>
      <c r="Q191" s="2396"/>
      <c r="R191" s="2396"/>
      <c r="S191" s="2396" t="s">
        <v>7</v>
      </c>
      <c r="T191" s="2396"/>
      <c r="U191" s="2396"/>
      <c r="V191" s="2396"/>
      <c r="W191" s="2396" t="s">
        <v>8</v>
      </c>
      <c r="X191" s="2396"/>
      <c r="Y191" s="2396"/>
      <c r="Z191" s="2396"/>
      <c r="AA191" s="2384" t="s">
        <v>9</v>
      </c>
      <c r="AB191" s="2385"/>
      <c r="AC191" s="2386"/>
      <c r="AD191" s="2384" t="s">
        <v>9</v>
      </c>
      <c r="AE191" s="2385"/>
      <c r="AF191" s="2386"/>
      <c r="AG191" s="2384" t="str">
        <f>IF(AN191="","","専部屋面積")</f>
        <v/>
      </c>
      <c r="AH191" s="2385"/>
      <c r="AI191" s="2385"/>
      <c r="AJ191" s="2382"/>
      <c r="AK191" s="2382"/>
      <c r="AL191" s="2382"/>
      <c r="AM191" s="3392"/>
      <c r="AN191" s="3365" t="str">
        <f>IF(OR(S195="",$B$2=0),"",S195/AA195)</f>
        <v/>
      </c>
      <c r="AO191" s="3366"/>
      <c r="AP191" s="3366"/>
      <c r="AQ191" s="3366"/>
      <c r="AR191" s="3367"/>
      <c r="AS191" s="2300" t="s">
        <v>903</v>
      </c>
      <c r="AT191" s="2301"/>
      <c r="AU191" s="2301"/>
      <c r="AV191" s="2301"/>
      <c r="AW191" s="2301"/>
      <c r="AX191" s="2302"/>
      <c r="AY191" s="2300" t="s">
        <v>902</v>
      </c>
      <c r="AZ191" s="2301"/>
      <c r="BA191" s="2301"/>
      <c r="BB191" s="2302"/>
      <c r="BC191" s="2300" t="s">
        <v>902</v>
      </c>
      <c r="BD191" s="2301"/>
      <c r="BE191" s="2301"/>
      <c r="BF191" s="2302"/>
      <c r="BG191" s="2300" t="s">
        <v>743</v>
      </c>
      <c r="BH191" s="2302"/>
      <c r="BI191" s="2300" t="s">
        <v>901</v>
      </c>
      <c r="BJ191" s="2301"/>
      <c r="BK191" s="2301"/>
      <c r="BL191" s="2302"/>
      <c r="BM191" s="2299" t="s">
        <v>900</v>
      </c>
      <c r="BN191" s="2299"/>
      <c r="BO191" s="2299"/>
      <c r="BP191" s="2299" t="s">
        <v>899</v>
      </c>
      <c r="BQ191" s="2299"/>
      <c r="BR191" s="2299"/>
      <c r="BS191" s="3439" t="s">
        <v>898</v>
      </c>
      <c r="BT191" s="3440"/>
      <c r="BU191" s="19"/>
      <c r="BW191" s="679"/>
      <c r="BX191" s="90" t="s">
        <v>897</v>
      </c>
      <c r="BY191" s="100" t="s">
        <v>896</v>
      </c>
      <c r="CC191" s="180">
        <v>135</v>
      </c>
      <c r="CD191" s="55" t="s">
        <v>73</v>
      </c>
      <c r="CE191" s="55" t="s">
        <v>72</v>
      </c>
      <c r="CF191" s="106" t="s">
        <v>859</v>
      </c>
      <c r="CG191" s="184" t="e">
        <f>INT((CD193+10)*BY194+CS192*$AN$8/1000+($AN$7/1000)*BY194)</f>
        <v>#VALUE!</v>
      </c>
      <c r="CH191" s="184" t="e">
        <f>INT(CD193*CS197+CS197)</f>
        <v>#VALUE!</v>
      </c>
      <c r="CI191" s="184">
        <f>8*SUM(BI194:BL194)</f>
        <v>0</v>
      </c>
      <c r="CJ191" s="185">
        <f>IF($AX$8=0,"",2*INT(0.5*CJ190))</f>
        <v>0</v>
      </c>
      <c r="CK191" s="184"/>
      <c r="CL191" s="184" t="str">
        <f>IF(BP194="","",10*BP194)</f>
        <v/>
      </c>
      <c r="CM191" s="184" t="str">
        <f>IF(BP194="","",10*BP194)</f>
        <v/>
      </c>
      <c r="CN191" s="682">
        <f>IF(S195="",0,IF(AE190="不","",(SUM(CG191:CM191)+SUM(CG192:CM192))*S195/N195))</f>
        <v>0</v>
      </c>
      <c r="CO191" s="682">
        <f>IF(S195="",0,IF(AE190="不","",(SUM(CG194:CM194)+SUM(CG195:CM195))*S195/N195))</f>
        <v>0</v>
      </c>
      <c r="CP191" s="664" t="s">
        <v>1</v>
      </c>
      <c r="CQ191" s="2986" t="str">
        <f>IF(CS191="","","スピーカ S5")</f>
        <v/>
      </c>
      <c r="CR191" s="3476"/>
      <c r="CS191" s="683" t="str">
        <f>IF(AW194=0,"",AW194)</f>
        <v/>
      </c>
      <c r="CT191" s="3483" t="str">
        <f>IF(CV191="","","アッテネータ 3W")</f>
        <v/>
      </c>
      <c r="CU191" s="3484"/>
      <c r="CV191" s="88" t="str">
        <f>BI194</f>
        <v/>
      </c>
      <c r="CX191" s="8"/>
      <c r="CY191" s="197">
        <f t="shared" ref="CY191:CY197" si="144">IF(DC191&lt;&gt;"",CY190+1,CY190)</f>
        <v>10</v>
      </c>
      <c r="CZ191" s="197" t="str">
        <f t="shared" si="142"/>
        <v/>
      </c>
      <c r="DA191" s="10" t="str">
        <f>H197</f>
        <v/>
      </c>
      <c r="DB191" s="8"/>
      <c r="DC191" s="249" t="str">
        <f>IF(COUNTIF(DA$10:$DA188,DA191)&gt;0,"",DA191)</f>
        <v/>
      </c>
      <c r="DD191" s="515" t="str">
        <f>AF197</f>
        <v/>
      </c>
      <c r="DE191" s="514">
        <f>SUMIF($DA$13:$DA$199,DC191,$DD$13:$DD$199)</f>
        <v>0</v>
      </c>
      <c r="DG191" s="8"/>
      <c r="DH191" s="197">
        <f t="shared" ref="DH191:DH197" si="145">IF(DL191&lt;&gt;"",DH190+1,DH190)</f>
        <v>5</v>
      </c>
      <c r="DI191" s="197" t="str">
        <f t="shared" si="143"/>
        <v/>
      </c>
      <c r="DJ191" s="10" t="str">
        <f>AT197</f>
        <v/>
      </c>
      <c r="DK191" s="8"/>
      <c r="DL191" s="249" t="str">
        <f>IF(COUNTIF($DA$10:DJ188,DJ191)&gt;0,"",DJ191)</f>
        <v/>
      </c>
      <c r="DM191" s="515" t="str">
        <f>BL197</f>
        <v/>
      </c>
      <c r="DN191" s="514">
        <f>SUMIF($DJ$13:$DJ$199,DL191,$DM$13:$DM$199)</f>
        <v>0</v>
      </c>
      <c r="DQ191" s="197">
        <f t="shared" si="139"/>
        <v>11</v>
      </c>
      <c r="DR191" s="197" t="str">
        <f t="shared" si="135"/>
        <v/>
      </c>
      <c r="DS191" s="10" t="str">
        <f t="shared" si="140"/>
        <v/>
      </c>
      <c r="DT191" s="24"/>
      <c r="DU191" s="249" t="str">
        <f>IF(COUNTIF($DS$10:DS190,DS191)&gt;0,"",DS191)</f>
        <v/>
      </c>
      <c r="DV191" s="198" t="str">
        <f t="shared" si="141"/>
        <v/>
      </c>
      <c r="DW191" s="514">
        <f t="shared" si="136"/>
        <v>5</v>
      </c>
    </row>
    <row r="192" spans="2:127" ht="11.25" customHeight="1" thickBot="1">
      <c r="B192" s="23"/>
      <c r="C192" s="2396"/>
      <c r="D192" s="2396"/>
      <c r="E192" s="2396"/>
      <c r="F192" s="2397" t="s">
        <v>235</v>
      </c>
      <c r="G192" s="2397"/>
      <c r="H192" s="2397"/>
      <c r="I192" s="2397"/>
      <c r="J192" s="2397" t="s">
        <v>235</v>
      </c>
      <c r="K192" s="2397"/>
      <c r="L192" s="2397"/>
      <c r="M192" s="2397"/>
      <c r="N192" s="2397" t="s">
        <v>128</v>
      </c>
      <c r="O192" s="2397"/>
      <c r="P192" s="2397"/>
      <c r="Q192" s="2397"/>
      <c r="R192" s="2397"/>
      <c r="S192" s="2397" t="s">
        <v>128</v>
      </c>
      <c r="T192" s="2397"/>
      <c r="U192" s="2397"/>
      <c r="V192" s="2397"/>
      <c r="W192" s="2397" t="s">
        <v>128</v>
      </c>
      <c r="X192" s="2397"/>
      <c r="Y192" s="2397"/>
      <c r="Z192" s="2397"/>
      <c r="AA192" s="2397" t="s">
        <v>111</v>
      </c>
      <c r="AB192" s="2397"/>
      <c r="AC192" s="2397"/>
      <c r="AD192" s="2397" t="s">
        <v>110</v>
      </c>
      <c r="AE192" s="2397"/>
      <c r="AF192" s="2397"/>
      <c r="AG192" s="3398" t="str">
        <f>IF(AN192="","","共部屋面積")</f>
        <v/>
      </c>
      <c r="AH192" s="2382"/>
      <c r="AI192" s="2382"/>
      <c r="AJ192" s="2382"/>
      <c r="AK192" s="2382"/>
      <c r="AL192" s="2382"/>
      <c r="AM192" s="3392"/>
      <c r="AN192" s="3368" t="str">
        <f>IF(OR($B$2=0,C195=""),"",W195/AD195)</f>
        <v/>
      </c>
      <c r="AO192" s="3369"/>
      <c r="AP192" s="3369"/>
      <c r="AQ192" s="3369"/>
      <c r="AR192" s="3370"/>
      <c r="AS192" s="3419" t="s">
        <v>895</v>
      </c>
      <c r="AT192" s="3361"/>
      <c r="AU192" s="3360" t="s">
        <v>894</v>
      </c>
      <c r="AV192" s="3361"/>
      <c r="AW192" s="3360" t="s">
        <v>893</v>
      </c>
      <c r="AX192" s="3361"/>
      <c r="AY192" s="3360" t="s">
        <v>892</v>
      </c>
      <c r="AZ192" s="3361"/>
      <c r="BA192" s="3360" t="s">
        <v>891</v>
      </c>
      <c r="BB192" s="3361"/>
      <c r="BC192" s="3360" t="s">
        <v>890</v>
      </c>
      <c r="BD192" s="3361"/>
      <c r="BE192" s="3360" t="s">
        <v>889</v>
      </c>
      <c r="BF192" s="3361"/>
      <c r="BG192" s="3432" t="s">
        <v>888</v>
      </c>
      <c r="BH192" s="3433"/>
      <c r="BI192" s="3360"/>
      <c r="BJ192" s="3361"/>
      <c r="BK192" s="3360"/>
      <c r="BL192" s="3361"/>
      <c r="BM192" s="3391" t="s">
        <v>887</v>
      </c>
      <c r="BN192" s="3391"/>
      <c r="BO192" s="3391"/>
      <c r="BP192" s="3391" t="s">
        <v>887</v>
      </c>
      <c r="BQ192" s="3391"/>
      <c r="BR192" s="3391"/>
      <c r="BS192" s="3432" t="s">
        <v>744</v>
      </c>
      <c r="BT192" s="3433"/>
      <c r="BU192" s="19"/>
      <c r="BW192" s="102"/>
      <c r="BX192" s="88">
        <f>IF(OR(J193="( 10)",J193="(12)イ",LEFT(J193,4)="(13)"),1,0)</f>
        <v>0</v>
      </c>
      <c r="BY192" s="88" t="str">
        <f>IF(OR(J193="(1) ロ",J193="(2) ロ",J193="(2) ニ",J193="(5) イ",J193="(6) ハ",J193="(6) ニ",J193="( 7 )",J193="( 15)"),"要","")</f>
        <v/>
      </c>
      <c r="CC192" s="46">
        <v>20</v>
      </c>
      <c r="CD192" s="98">
        <f>非誘!BW137</f>
        <v>0</v>
      </c>
      <c r="CE192" s="98">
        <f>非誘!BX137</f>
        <v>0</v>
      </c>
      <c r="CF192" s="106" t="s">
        <v>858</v>
      </c>
      <c r="CG192" s="185" t="e">
        <f>INT((F195-$Y$10/1000-0.25)*BY194)</f>
        <v>#VALUE!</v>
      </c>
      <c r="CH192" s="184" t="e">
        <f>1+INT((F195-$Y$7/1000-0.25+$AN$8/1000)*CS197)</f>
        <v>#VALUE!</v>
      </c>
      <c r="CI192" s="184" t="e">
        <f>INT((F195-$Y$8/1000-0.25+$AN$9/1000)*SUM(BI194:BL194))</f>
        <v>#VALUE!</v>
      </c>
      <c r="CJ192" s="185">
        <f>IF($AX$8=0,"",2*INT(CJ190*($AX$8-250)/1000))</f>
        <v>0</v>
      </c>
      <c r="CK192" s="184"/>
      <c r="CL192" s="184" t="str">
        <f>IF(BP194="","",INT((F195-$Y$9/1000-0.25+AN186/1000)*BP194))</f>
        <v/>
      </c>
      <c r="CM192" s="184" t="str">
        <f>IF(BS194="","",INT((F195-$Y$9/1000-0.25+AN186/1000)*BS194))</f>
        <v/>
      </c>
      <c r="CN192" s="682" t="e">
        <f>IF(AN190="不","",(SUM(CG191:CM191)+SUM(CG192:CM192))*W195/N195)</f>
        <v>#VALUE!</v>
      </c>
      <c r="CO192" s="682" t="e">
        <f>IF(AN190="不","",(SUM(CG194:CM194)+SUM(CG195:CM195))*W195/N195)</f>
        <v>#VALUE!</v>
      </c>
      <c r="CP192" s="670" t="s">
        <v>877</v>
      </c>
      <c r="CQ192" s="15"/>
      <c r="CR192" s="106" t="s">
        <v>868</v>
      </c>
      <c r="CS192" s="8">
        <f>SUM(CS189:CS191)</f>
        <v>0</v>
      </c>
      <c r="CT192" s="3485" t="str">
        <f>IF(CV192="","","アッテネータ 6W")</f>
        <v/>
      </c>
      <c r="CU192" s="3484"/>
      <c r="CV192" s="88" t="str">
        <f>BK194</f>
        <v/>
      </c>
      <c r="CX192" s="8"/>
      <c r="CY192" s="197">
        <f t="shared" si="144"/>
        <v>10</v>
      </c>
      <c r="CZ192" s="197" t="str">
        <f t="shared" si="142"/>
        <v/>
      </c>
      <c r="DA192" s="10"/>
      <c r="DB192" s="8"/>
      <c r="DC192" s="249"/>
      <c r="DD192" s="515"/>
      <c r="DE192" s="514"/>
      <c r="DG192" s="8"/>
      <c r="DH192" s="197">
        <f t="shared" si="145"/>
        <v>5</v>
      </c>
      <c r="DI192" s="197" t="str">
        <f t="shared" si="143"/>
        <v/>
      </c>
      <c r="DJ192" s="10"/>
      <c r="DK192" s="8"/>
      <c r="DL192" s="249"/>
      <c r="DM192" s="515"/>
      <c r="DN192" s="514"/>
      <c r="DQ192" s="197">
        <f t="shared" si="139"/>
        <v>11</v>
      </c>
      <c r="DR192" s="197" t="str">
        <f t="shared" si="135"/>
        <v/>
      </c>
      <c r="DS192" s="10" t="str">
        <f t="shared" si="140"/>
        <v/>
      </c>
      <c r="DT192" s="24"/>
      <c r="DU192" s="249" t="str">
        <f>IF(COUNTIF($DS$10:DS191,DS192)&gt;0,"",DS192)</f>
        <v/>
      </c>
      <c r="DV192" s="198" t="str">
        <f t="shared" si="141"/>
        <v/>
      </c>
      <c r="DW192" s="514">
        <f t="shared" si="136"/>
        <v>5</v>
      </c>
    </row>
    <row r="193" spans="2:127" ht="11.25" customHeight="1" thickBot="1">
      <c r="B193" s="23"/>
      <c r="C193" s="2299" t="s">
        <v>112</v>
      </c>
      <c r="D193" s="2299"/>
      <c r="E193" s="2299"/>
      <c r="F193" s="2299"/>
      <c r="G193" s="2299"/>
      <c r="H193" s="2299"/>
      <c r="I193" s="3399"/>
      <c r="J193" s="3400" t="str">
        <f>非誘!J135</f>
        <v/>
      </c>
      <c r="K193" s="3401"/>
      <c r="L193" s="3401"/>
      <c r="M193" s="3402"/>
      <c r="N193" s="3403" t="str">
        <f>非誘!M135</f>
        <v/>
      </c>
      <c r="O193" s="3404"/>
      <c r="P193" s="3404"/>
      <c r="Q193" s="3404"/>
      <c r="R193" s="3404"/>
      <c r="S193" s="3404"/>
      <c r="T193" s="3404"/>
      <c r="U193" s="3404"/>
      <c r="V193" s="3404"/>
      <c r="W193" s="3404"/>
      <c r="X193" s="3404"/>
      <c r="Y193" s="3404"/>
      <c r="Z193" s="3405"/>
      <c r="AA193" s="3406" t="s">
        <v>886</v>
      </c>
      <c r="AB193" s="2301"/>
      <c r="AC193" s="2301"/>
      <c r="AD193" s="2301"/>
      <c r="AE193" s="2301"/>
      <c r="AF193" s="2302"/>
      <c r="AG193" s="3393" t="str">
        <f>IF($B$2=0,"",IF(AN193="","天井(C 管)",AN193))</f>
        <v>天井(C 管)</v>
      </c>
      <c r="AH193" s="2368"/>
      <c r="AI193" s="2368"/>
      <c r="AJ193" s="2368"/>
      <c r="AK193" s="2368"/>
      <c r="AL193" s="3394"/>
      <c r="AM193" s="668" t="s">
        <v>68</v>
      </c>
      <c r="AN193" s="3395"/>
      <c r="AO193" s="3396"/>
      <c r="AP193" s="3396"/>
      <c r="AQ193" s="3396"/>
      <c r="AR193" s="3397"/>
      <c r="AS193" s="3434" t="s">
        <v>885</v>
      </c>
      <c r="AT193" s="3435"/>
      <c r="AU193" s="3436" t="s">
        <v>880</v>
      </c>
      <c r="AV193" s="3437"/>
      <c r="AW193" s="3432"/>
      <c r="AX193" s="3433"/>
      <c r="AY193" s="3432" t="s">
        <v>881</v>
      </c>
      <c r="AZ193" s="3433"/>
      <c r="BA193" s="3436" t="s">
        <v>884</v>
      </c>
      <c r="BB193" s="3437"/>
      <c r="BC193" s="3436" t="s">
        <v>883</v>
      </c>
      <c r="BD193" s="3438"/>
      <c r="BE193" s="3438"/>
      <c r="BF193" s="3437"/>
      <c r="BG193" s="3420" t="s">
        <v>882</v>
      </c>
      <c r="BH193" s="3421"/>
      <c r="BI193" s="3436" t="s">
        <v>881</v>
      </c>
      <c r="BJ193" s="3437"/>
      <c r="BK193" s="3436" t="s">
        <v>880</v>
      </c>
      <c r="BL193" s="3437"/>
      <c r="BM193" s="3407" t="str">
        <f>IF(BM194="","",$BW$12)</f>
        <v/>
      </c>
      <c r="BN193" s="3407"/>
      <c r="BO193" s="3407"/>
      <c r="BP193" s="3407" t="str">
        <f>IF(BP194="","",30)</f>
        <v/>
      </c>
      <c r="BQ193" s="3407"/>
      <c r="BR193" s="3407"/>
      <c r="BS193" s="2384" t="s">
        <v>879</v>
      </c>
      <c r="BT193" s="2386"/>
      <c r="BU193" s="19"/>
      <c r="BW193" s="102"/>
      <c r="CB193" s="90" t="s">
        <v>878</v>
      </c>
      <c r="CC193" s="479" t="str">
        <f>AD194</f>
        <v/>
      </c>
      <c r="CD193" s="263" t="str">
        <f>IF(C195="","",IF(CC193="①",CD192+CE192+3,IF(CC193="②",CD192*5/8+CE192+3,IF(CC193="③",CD192/2+CE192+3,IF(CC193="④",CD192+CE192*5/8+3,IF(CC193="⑤",(CD192+CE192)*5/8+3,IF(CC193="⑥",CD192/2+CE192*5/8+3,IF(CC193="⑦",CD192+CE192/2+3,IF(CC193="⑧",CD192*5/8+CE192/2+3,IF(CC193="⑨",(CD192+CE192)/2+3))))))))))</f>
        <v/>
      </c>
      <c r="CE193" s="8"/>
      <c r="CF193" s="106"/>
      <c r="CG193" s="681">
        <f>IF(AG193="天井ケーブル",0,1)</f>
        <v>1</v>
      </c>
      <c r="CH193" s="394"/>
      <c r="CI193" s="394"/>
      <c r="CJ193" s="59"/>
      <c r="CK193" s="394"/>
      <c r="CL193" s="394"/>
      <c r="CM193" s="394"/>
      <c r="CN193" s="62" t="s">
        <v>1</v>
      </c>
      <c r="CO193" s="62" t="s">
        <v>877</v>
      </c>
      <c r="CP193" s="38"/>
      <c r="CQ193" s="2986" t="str">
        <f>IF(CS193="","","スピーカ 6W S2")</f>
        <v/>
      </c>
      <c r="CR193" s="3476"/>
      <c r="CS193" s="88" t="str">
        <f>IF(AU194=0,"",AU194)</f>
        <v/>
      </c>
      <c r="CT193" s="3483" t="str">
        <f>IF(CV193="","","主増幅器")</f>
        <v/>
      </c>
      <c r="CU193" s="3484"/>
      <c r="CV193" s="88" t="str">
        <f>BM194</f>
        <v/>
      </c>
      <c r="CX193" s="8"/>
      <c r="CY193" s="197">
        <f t="shared" si="144"/>
        <v>10</v>
      </c>
      <c r="CZ193" s="197" t="str">
        <f t="shared" si="142"/>
        <v/>
      </c>
      <c r="DA193" s="10"/>
      <c r="DB193" s="8"/>
      <c r="DC193" s="249"/>
      <c r="DD193" s="515"/>
      <c r="DE193" s="514"/>
      <c r="DG193" s="8"/>
      <c r="DH193" s="197">
        <f t="shared" si="145"/>
        <v>5</v>
      </c>
      <c r="DI193" s="197" t="str">
        <f t="shared" si="143"/>
        <v/>
      </c>
      <c r="DJ193" s="10"/>
      <c r="DK193" s="8"/>
      <c r="DL193" s="249"/>
      <c r="DM193" s="515"/>
      <c r="DN193" s="514"/>
      <c r="DP193" s="8"/>
      <c r="DQ193" s="197">
        <f t="shared" si="139"/>
        <v>11</v>
      </c>
      <c r="DR193" s="197" t="str">
        <f t="shared" si="135"/>
        <v/>
      </c>
      <c r="DS193" s="10" t="str">
        <f t="shared" si="140"/>
        <v/>
      </c>
      <c r="DT193" s="24"/>
      <c r="DU193" s="249" t="str">
        <f>IF(COUNTIF($DS$10:DS192,DS193)&gt;0,"",DS193)</f>
        <v/>
      </c>
      <c r="DV193" s="198" t="str">
        <f t="shared" si="141"/>
        <v/>
      </c>
      <c r="DW193" s="514">
        <f t="shared" si="136"/>
        <v>5</v>
      </c>
    </row>
    <row r="194" spans="2:127" ht="11.25" customHeight="1" thickBot="1">
      <c r="B194" s="23"/>
      <c r="C194" s="3409" t="s">
        <v>876</v>
      </c>
      <c r="D194" s="3410"/>
      <c r="E194" s="3410"/>
      <c r="F194" s="3410"/>
      <c r="G194" s="3410"/>
      <c r="H194" s="3411"/>
      <c r="I194" s="3430" t="str">
        <f>非誘!AA135</f>
        <v/>
      </c>
      <c r="J194" s="3430"/>
      <c r="K194" s="3430"/>
      <c r="L194" s="2395" t="s">
        <v>214</v>
      </c>
      <c r="M194" s="2395"/>
      <c r="N194" s="2395"/>
      <c r="O194" s="2395"/>
      <c r="P194" s="2395"/>
      <c r="Q194" s="2395"/>
      <c r="R194" s="2395"/>
      <c r="S194" s="3379" t="str">
        <f>非誘!J136</f>
        <v/>
      </c>
      <c r="T194" s="3380"/>
      <c r="U194" s="3380"/>
      <c r="V194" s="3381"/>
      <c r="W194" s="3399" t="s">
        <v>875</v>
      </c>
      <c r="X194" s="3412"/>
      <c r="Y194" s="3412"/>
      <c r="Z194" s="3412"/>
      <c r="AA194" s="2654"/>
      <c r="AB194" s="2654"/>
      <c r="AC194" s="2655"/>
      <c r="AD194" s="3388" t="str">
        <f>非誘!V136</f>
        <v/>
      </c>
      <c r="AE194" s="3389"/>
      <c r="AF194" s="3390"/>
      <c r="AG194" s="3391" t="s">
        <v>874</v>
      </c>
      <c r="AH194" s="3391"/>
      <c r="AI194" s="3391"/>
      <c r="AJ194" s="3391"/>
      <c r="AK194" s="3391"/>
      <c r="AL194" s="2990" t="str">
        <f>IF(AP194&lt;&gt;"",AP194,IF(C195=$BG$10,C195,""))</f>
        <v/>
      </c>
      <c r="AM194" s="2990"/>
      <c r="AN194" s="2990"/>
      <c r="AO194" s="668" t="s">
        <v>68</v>
      </c>
      <c r="AP194" s="3325"/>
      <c r="AQ194" s="3326"/>
      <c r="AR194" s="3327"/>
      <c r="AS194" s="3418" t="str">
        <f>IF(CE195=0,"",IF(AS195&lt;&gt;"",AS195,IF(BE194&lt;&gt;"",CN196,SUM(CN194:CO194))))</f>
        <v/>
      </c>
      <c r="AT194" s="3375"/>
      <c r="AU194" s="3418" t="str">
        <f>IF(CE195=0,"",IF(AU195&lt;&gt;"",AU195,CN195))</f>
        <v/>
      </c>
      <c r="AV194" s="3375"/>
      <c r="AW194" s="3418"/>
      <c r="AX194" s="3375"/>
      <c r="AY194" s="3418" t="str">
        <f>IF(AA195="","",IF(AY195&lt;&gt;"",AY195,CO195))</f>
        <v/>
      </c>
      <c r="AZ194" s="3375"/>
      <c r="BA194" s="3418"/>
      <c r="BB194" s="3375"/>
      <c r="BC194" s="3418" t="str">
        <f>IF(OR(AL195="不",,BP194=""),"",IF(BC195&lt;&gt;"",BC195,BP194*2))</f>
        <v/>
      </c>
      <c r="BD194" s="3375"/>
      <c r="BE194" s="3418" t="str">
        <f>IF(BE195&lt;&gt;"",BE195,IF(BX192=0,"",CN196))</f>
        <v/>
      </c>
      <c r="BF194" s="3375"/>
      <c r="BG194" s="3418" t="str">
        <f>IF(AE190="不","",IF(BG195&lt;&gt;"",BG195,BP194))</f>
        <v/>
      </c>
      <c r="BH194" s="3375"/>
      <c r="BI194" s="3418" t="str">
        <f>IF(CE195=0,"",CN197)</f>
        <v/>
      </c>
      <c r="BJ194" s="3375"/>
      <c r="BK194" s="3374" t="str">
        <f>IF(CE195=0,"",CO197)</f>
        <v/>
      </c>
      <c r="BL194" s="3375"/>
      <c r="BM194" s="3376" t="str">
        <f>IF(CE195=0,"",IF(BM195&lt;&gt;"",BM195,IF(C195=AL194,1,"")))</f>
        <v/>
      </c>
      <c r="BN194" s="3377"/>
      <c r="BO194" s="3378"/>
      <c r="BP194" s="3376" t="str">
        <f>IF(CE195=0,"",IF(OR(AE190="不",AA195="",S195=""),"",IF(BP195&lt;&gt;"",BP195,IF(AL195="要",1+INT(S195/1000),""))))</f>
        <v/>
      </c>
      <c r="BQ194" s="3377"/>
      <c r="BR194" s="3378"/>
      <c r="BS194" s="3376" t="str">
        <f>IF(BS195&lt;&gt;"",BS195,BP194)</f>
        <v/>
      </c>
      <c r="BT194" s="3378"/>
      <c r="BU194" s="19"/>
      <c r="BW194" s="680">
        <f>IF(AND(CS195=0,CS196=""),CS192*3,CS192*3+CS195*6)</f>
        <v>0</v>
      </c>
      <c r="BX194" s="679">
        <f>BY195</f>
        <v>0</v>
      </c>
      <c r="BY194" s="522">
        <f>1+INT(SUM(S195:Z195)/400)</f>
        <v>1</v>
      </c>
      <c r="BZ194" s="100" t="s">
        <v>873</v>
      </c>
      <c r="CB194" s="678" t="str">
        <f>IF(CE195=0,"",IF(CE195="=",MID(BZ195,10,3),10*(1+INT(BY194*3/10))))</f>
        <v/>
      </c>
      <c r="CC194" s="10" t="s">
        <v>872</v>
      </c>
      <c r="CF194" s="106" t="s">
        <v>857</v>
      </c>
      <c r="CG194" s="136" t="e">
        <f>IF(CG193=1,INT(CD193*BY194)+BY194*10,"")</f>
        <v>#VALUE!</v>
      </c>
      <c r="CH194" s="136" t="e">
        <f>IF(CG193=1,INT(CD193*CS197),"")</f>
        <v>#VALUE!</v>
      </c>
      <c r="CI194" s="136">
        <f>8*SUM(BI194:BL194)</f>
        <v>0</v>
      </c>
      <c r="CJ194" s="134" t="str">
        <f>IF($AX$8=0,INT(10.7*CD192*CE192/($BF$8/1000)^2)*1.5,"")</f>
        <v/>
      </c>
      <c r="CK194" s="136">
        <v>0</v>
      </c>
      <c r="CL194" s="136" t="str">
        <f>IF(BP194="","",10*BP194)</f>
        <v/>
      </c>
      <c r="CM194" s="136" t="str">
        <f>IF(BS194="","",10*BS194)</f>
        <v/>
      </c>
      <c r="CN194" s="665">
        <f>IF(AA195="",0,IF(AE190="不","",INT(AA195/2)))</f>
        <v>0</v>
      </c>
      <c r="CO194" s="665" t="e">
        <f>IF(AN190="不","",INT(AD195/2))</f>
        <v>#VALUE!</v>
      </c>
      <c r="CP194" s="670" t="s">
        <v>871</v>
      </c>
      <c r="CQ194" s="2986" t="str">
        <f>IF(CS194="","","スピーカ 5W S4")</f>
        <v/>
      </c>
      <c r="CR194" s="3476"/>
      <c r="CS194" s="88" t="str">
        <f>IF(BA194=0,"",BA194)</f>
        <v/>
      </c>
      <c r="CT194" s="3483" t="str">
        <f>IF(CV194="","","副増幅器 30W")</f>
        <v/>
      </c>
      <c r="CU194" s="3484"/>
      <c r="CV194" s="88" t="str">
        <f>BP194</f>
        <v/>
      </c>
      <c r="CX194" s="8"/>
      <c r="CY194" s="197">
        <f t="shared" si="144"/>
        <v>10</v>
      </c>
      <c r="CZ194" s="197" t="str">
        <f t="shared" si="142"/>
        <v/>
      </c>
      <c r="DA194" s="10"/>
      <c r="DB194" s="8"/>
      <c r="DC194" s="249"/>
      <c r="DD194" s="515"/>
      <c r="DE194" s="514"/>
      <c r="DG194" s="8"/>
      <c r="DH194" s="197">
        <f t="shared" si="145"/>
        <v>5</v>
      </c>
      <c r="DI194" s="197" t="str">
        <f t="shared" si="143"/>
        <v/>
      </c>
      <c r="DJ194" s="10"/>
      <c r="DK194" s="8"/>
      <c r="DL194" s="249"/>
      <c r="DM194" s="515"/>
      <c r="DN194" s="514"/>
      <c r="DP194" s="88">
        <v>14</v>
      </c>
      <c r="DQ194" s="45"/>
      <c r="DR194" s="45"/>
      <c r="DS194" s="45"/>
      <c r="DT194" s="45"/>
      <c r="DU194" s="45"/>
      <c r="DV194" s="45"/>
      <c r="DW194" s="45"/>
    </row>
    <row r="195" spans="2:127" ht="11.25" customHeight="1" thickBot="1">
      <c r="B195" s="23"/>
      <c r="C195" s="3429" t="str">
        <f>IF($B$2=0,"",非誘!C137)</f>
        <v/>
      </c>
      <c r="D195" s="3407"/>
      <c r="E195" s="3407"/>
      <c r="F195" s="3430" t="str">
        <f>IF($B$2=0,"",非誘!F137)</f>
        <v/>
      </c>
      <c r="G195" s="3430"/>
      <c r="H195" s="3430"/>
      <c r="I195" s="3430"/>
      <c r="J195" s="3430" t="str">
        <f>IF($B$2=0,"",非誘!J137)</f>
        <v/>
      </c>
      <c r="K195" s="3430"/>
      <c r="L195" s="3430"/>
      <c r="M195" s="3430"/>
      <c r="N195" s="3407" t="str">
        <f>IF($B$2=0,"",非誘!N137)</f>
        <v/>
      </c>
      <c r="O195" s="3407"/>
      <c r="P195" s="3407"/>
      <c r="Q195" s="3407"/>
      <c r="R195" s="3407"/>
      <c r="S195" s="3431" t="str">
        <f>IF($B$2=0,"",非誘!S137)</f>
        <v/>
      </c>
      <c r="T195" s="3431"/>
      <c r="U195" s="3431"/>
      <c r="V195" s="3431"/>
      <c r="W195" s="3431" t="str">
        <f>IF($B$2=0,"",非誘!W137)</f>
        <v/>
      </c>
      <c r="X195" s="3431"/>
      <c r="Y195" s="3431"/>
      <c r="Z195" s="3431"/>
      <c r="AA195" s="3407" t="str">
        <f>IF($B$2=0,"",非誘!AA137)</f>
        <v/>
      </c>
      <c r="AB195" s="3407"/>
      <c r="AC195" s="3407"/>
      <c r="AD195" s="3407" t="str">
        <f>IF($B$2=0,"",非誘!AD137)</f>
        <v/>
      </c>
      <c r="AE195" s="3407"/>
      <c r="AF195" s="3407"/>
      <c r="AG195" s="3391" t="s">
        <v>870</v>
      </c>
      <c r="AH195" s="3391"/>
      <c r="AI195" s="3391"/>
      <c r="AJ195" s="3391"/>
      <c r="AK195" s="3391"/>
      <c r="AL195" s="2990" t="str">
        <f>IF(AP195&lt;&gt;"",AP195,IF($BY$18="要","要",""))</f>
        <v/>
      </c>
      <c r="AM195" s="2990"/>
      <c r="AN195" s="2990"/>
      <c r="AO195" s="668" t="s">
        <v>2</v>
      </c>
      <c r="AP195" s="3408"/>
      <c r="AQ195" s="3408"/>
      <c r="AR195" s="3408"/>
      <c r="AS195" s="2551"/>
      <c r="AT195" s="3414"/>
      <c r="AU195" s="2551"/>
      <c r="AV195" s="3414"/>
      <c r="AW195" s="2551"/>
      <c r="AX195" s="3414"/>
      <c r="AY195" s="2551"/>
      <c r="AZ195" s="3414"/>
      <c r="BA195" s="2551"/>
      <c r="BB195" s="3414"/>
      <c r="BC195" s="2551"/>
      <c r="BD195" s="3414"/>
      <c r="BE195" s="2551"/>
      <c r="BF195" s="3414"/>
      <c r="BG195" s="2551"/>
      <c r="BH195" s="3414"/>
      <c r="BI195" s="2551"/>
      <c r="BJ195" s="3414"/>
      <c r="BK195" s="2551"/>
      <c r="BL195" s="3414"/>
      <c r="BM195" s="2551"/>
      <c r="BN195" s="3428"/>
      <c r="BO195" s="3414"/>
      <c r="BP195" s="2551"/>
      <c r="BQ195" s="3428"/>
      <c r="BR195" s="3414"/>
      <c r="BS195" s="2551"/>
      <c r="BT195" s="3414"/>
      <c r="BU195" s="19"/>
      <c r="BY195" s="677">
        <f>IF(CE195=0,0,IF(CE195="=",BY194+BY186+BY204,IF(CE195="-",BY194+BY186,BY194+BY204)))</f>
        <v>0</v>
      </c>
      <c r="BZ195" s="3443" t="str">
        <f>IF(CE195=0,"",IF(BY195*3&lt;=20,"HP 1.2mm- 10Pr",IF(BY195*3&lt;=30,"HP 1.2mm- 15Pr",IF(BY195*3&lt;=40,"HP 1.2mm- 20Pr",IF(BY195*3&lt;=50,"HP 1.2mm- 25Pr",IF(BY195*3&lt;=60,"HP 1.2mm- 30Pr",IF(BY195*3&lt;=80,"HP 1.2mm- 40Pr",IF(BY195*3&lt;=100,"HP 1.2mm- 50Pr",IF(BY195*3&lt;=150,"HP 1.2mm- 75Pr", IF(BY195*3&lt;=200,"HP 1.2mm-100Pr",IF(BY195*3&lt;=400,"HP 1.2mm-200Pr","")))))))))))</f>
        <v/>
      </c>
      <c r="CA195" s="3444"/>
      <c r="CB195" s="3444"/>
      <c r="CC195" s="3445"/>
      <c r="CD195" s="673" t="str">
        <f>IF(LEFT($BG$10,2)=" B",-MID($BG$10,3,1),LEFT($BG$10,3))</f>
        <v xml:space="preserve">  1</v>
      </c>
      <c r="CE195" s="676">
        <f>IF(CD196=0,0,IF(CD195=CD196,"=",IF(CD195&gt;CD196,"-","+")))</f>
        <v>0</v>
      </c>
      <c r="CF195" s="106" t="s">
        <v>856</v>
      </c>
      <c r="CG195" s="136" t="e">
        <f>2*INT((F195-$Y$10/1000-0.25))</f>
        <v>#VALUE!</v>
      </c>
      <c r="CH195" s="136" t="e">
        <f>1+INT((F195-$Y$7/1000-0.25)*CS197)</f>
        <v>#VALUE!</v>
      </c>
      <c r="CI195" s="136" t="e">
        <f>INT((F195-$Y$8/1000-0.25)*SUM(BI194:BL194))</f>
        <v>#VALUE!</v>
      </c>
      <c r="CJ195" s="675"/>
      <c r="CK195" s="136">
        <v>0</v>
      </c>
      <c r="CL195" s="136" t="str">
        <f>IF(BP194="","",INT((F195-$Y$9/1000-0.25)*BP194))</f>
        <v/>
      </c>
      <c r="CM195" s="136" t="str">
        <f>IF(BS194="","",INT((F195-$Y$9/1000-0.25)*BS194))</f>
        <v/>
      </c>
      <c r="CN195" s="665">
        <f>IF(AA195="",0,IF(AE190="不","",INT(AA195/2)))</f>
        <v>0</v>
      </c>
      <c r="CO195" s="665" t="e">
        <f>IF(AN190="不","",INT(AD195/2))</f>
        <v>#VALUE!</v>
      </c>
      <c r="CP195" s="670" t="s">
        <v>869</v>
      </c>
      <c r="CQ195" s="15"/>
      <c r="CR195" s="106" t="s">
        <v>868</v>
      </c>
      <c r="CS195" s="8">
        <f>SUM(CS193:CS194)</f>
        <v>0</v>
      </c>
      <c r="CT195" s="3483" t="str">
        <f>IF(CV195="","","カットリレー")</f>
        <v/>
      </c>
      <c r="CU195" s="3484"/>
      <c r="CV195" s="88" t="str">
        <f>BS194</f>
        <v/>
      </c>
      <c r="CY195" s="197">
        <f t="shared" si="144"/>
        <v>10</v>
      </c>
      <c r="CZ195" s="197" t="str">
        <f t="shared" si="142"/>
        <v/>
      </c>
      <c r="DB195" s="24"/>
      <c r="DD195" s="516"/>
      <c r="DE195" s="516"/>
      <c r="DH195" s="197">
        <f t="shared" si="145"/>
        <v>5</v>
      </c>
      <c r="DI195" s="197" t="str">
        <f t="shared" si="143"/>
        <v/>
      </c>
      <c r="DK195" s="24"/>
      <c r="DM195" s="516"/>
      <c r="DN195" s="516"/>
      <c r="DP195" s="8"/>
      <c r="DQ195" s="197">
        <f>IF(DU195&lt;&gt;"",DQ193+1,DQ193)</f>
        <v>11</v>
      </c>
      <c r="DR195" s="197" t="str">
        <f t="shared" ref="DR195:DR207" si="146">IF(AND(DQ195&lt;&gt;"",DU195&lt;&gt;""),DQ195,"")</f>
        <v/>
      </c>
      <c r="DS195" s="10" t="str">
        <f>CQ132</f>
        <v>スピーカ 3W S1</v>
      </c>
      <c r="DT195" s="8"/>
      <c r="DU195" s="249" t="str">
        <f>IF(COUNTIF($DS$10:DS194,DS195)&gt;0,"",DS195)</f>
        <v/>
      </c>
      <c r="DV195" s="198">
        <f>CS132</f>
        <v>8</v>
      </c>
      <c r="DW195" s="514">
        <f t="shared" ref="DW195:DW207" si="147">SUMIF($DS$13:$DS$344,DU195,$DV$13:$DV$344)</f>
        <v>5</v>
      </c>
    </row>
    <row r="196" spans="2:127" ht="11.25" customHeight="1" thickBot="1">
      <c r="B196" s="23"/>
      <c r="C196" s="2300" t="s">
        <v>867</v>
      </c>
      <c r="D196" s="2301"/>
      <c r="E196" s="2301"/>
      <c r="F196" s="2301"/>
      <c r="G196" s="2302"/>
      <c r="H196" s="3422" t="str">
        <f>IF(CE195=0,"",IF(R196&lt;&gt;"",R196,BZ195))</f>
        <v/>
      </c>
      <c r="I196" s="3423"/>
      <c r="J196" s="3423"/>
      <c r="K196" s="3423"/>
      <c r="L196" s="3423"/>
      <c r="M196" s="3423"/>
      <c r="N196" s="3423"/>
      <c r="O196" s="3423"/>
      <c r="P196" s="3424"/>
      <c r="Q196" s="668" t="s">
        <v>2</v>
      </c>
      <c r="R196" s="3362"/>
      <c r="S196" s="3363"/>
      <c r="T196" s="3363"/>
      <c r="U196" s="3363"/>
      <c r="V196" s="3363"/>
      <c r="W196" s="3363"/>
      <c r="X196" s="3363"/>
      <c r="Y196" s="3363"/>
      <c r="Z196" s="3364"/>
      <c r="AA196" s="3345" t="s">
        <v>866</v>
      </c>
      <c r="AB196" s="3346"/>
      <c r="AC196" s="3346"/>
      <c r="AD196" s="3346"/>
      <c r="AE196" s="3347"/>
      <c r="AF196" s="3385" t="str">
        <f>IF(CE195=0,"",IF(AK196&lt;&gt;"",AK196,CG197+CI197))</f>
        <v/>
      </c>
      <c r="AG196" s="3386"/>
      <c r="AH196" s="3386"/>
      <c r="AI196" s="3387"/>
      <c r="AJ196" s="669" t="s">
        <v>2</v>
      </c>
      <c r="AK196" s="3415"/>
      <c r="AL196" s="3416"/>
      <c r="AM196" s="3416"/>
      <c r="AN196" s="3417"/>
      <c r="AO196" s="2300" t="s">
        <v>865</v>
      </c>
      <c r="AP196" s="2301"/>
      <c r="AQ196" s="2301"/>
      <c r="AR196" s="2301"/>
      <c r="AS196" s="2302"/>
      <c r="AT196" s="3422" t="str">
        <f>IF(CE195=0,"",IF(BA196&lt;&gt;"",BA196,IF(MID(AG193,4,2)="C ","C-"&amp;CA196&amp;"mm",IF(MID(AG193,4,2)="PF","PF-D-"&amp;CB196&amp;"mm",IF(MID(AG193,4,2)="CD","CD-"&amp;CB196&amp;"mm",IF(MID(AG193,4,2)="G ","G-"&amp;CB196&amp;"mm",""))))))</f>
        <v/>
      </c>
      <c r="AU196" s="3423"/>
      <c r="AV196" s="3423"/>
      <c r="AW196" s="3423"/>
      <c r="AX196" s="3423"/>
      <c r="AY196" s="3424"/>
      <c r="AZ196" s="668" t="s">
        <v>2</v>
      </c>
      <c r="BA196" s="3362"/>
      <c r="BB196" s="3363"/>
      <c r="BC196" s="3363"/>
      <c r="BD196" s="3363"/>
      <c r="BE196" s="3363"/>
      <c r="BF196" s="3364"/>
      <c r="BG196" s="3345" t="s">
        <v>864</v>
      </c>
      <c r="BH196" s="3346"/>
      <c r="BI196" s="3346"/>
      <c r="BJ196" s="3346"/>
      <c r="BK196" s="3347"/>
      <c r="BL196" s="3385" t="str">
        <f>IF(CE195=0,"",IF(CM197=0,"",IF(BQ196&lt;&gt;"",BQ196,CK197+CM197)))</f>
        <v/>
      </c>
      <c r="BM196" s="3386"/>
      <c r="BN196" s="3386"/>
      <c r="BO196" s="3387"/>
      <c r="BP196" s="668" t="s">
        <v>2</v>
      </c>
      <c r="BQ196" s="3415"/>
      <c r="BR196" s="3416"/>
      <c r="BS196" s="3416"/>
      <c r="BT196" s="3417"/>
      <c r="BU196" s="19"/>
      <c r="BZ196" s="107" t="str">
        <f>IF(LEN(BZ195)=13,MID(BZ195,10,2),MID(BZ195,10,3))</f>
        <v/>
      </c>
      <c r="CA196" s="674" t="str">
        <f>IF(OR(BZ196=" 10",BZ196=" 15"),"31",IF(OR(BZ196=" 20",BZ196=" 25",BZ196=" 30"),"39",IF(OR(BZ196=" 40",BZ196=" 50"),"51",IF(BZ196="100","63",IF(BZ196&lt;="200","75","")))))</f>
        <v>75</v>
      </c>
      <c r="CB196" s="674" t="str">
        <f>IF(OR(BZ196=" 10",BZ196=" 15"),"28",IF(OR(BZ196=" 20",BZ196=" 25",BZ196=" 30"),"36",IF(OR(BZ196=" 40",BZ196=" 50"),"42",IF(BZ196="100","54",IF(BZ196&lt;="200","70","")))))</f>
        <v>70</v>
      </c>
      <c r="CD196" s="673">
        <f>IF(C195="",0,IF(LEFT(C195,2)=" B",-MID(C195,3,1),LEFT(C195,3)))</f>
        <v>0</v>
      </c>
      <c r="CF196" s="106"/>
      <c r="CG196" s="90" t="s">
        <v>863</v>
      </c>
      <c r="CH196" s="64"/>
      <c r="CI196" s="90" t="s">
        <v>863</v>
      </c>
      <c r="CJ196" s="38"/>
      <c r="CK196" s="90" t="s">
        <v>863</v>
      </c>
      <c r="CL196" s="64"/>
      <c r="CM196" s="90" t="s">
        <v>863</v>
      </c>
      <c r="CN196" s="672">
        <f>IF(S195="",0,IF(AE190="不","",INT(S195/150)))</f>
        <v>0</v>
      </c>
      <c r="CO196" s="671"/>
      <c r="CP196" s="670" t="s">
        <v>862</v>
      </c>
      <c r="CQ196" s="2986" t="str">
        <f>IF(CS196="","","プロセニアム・スピーカ 20W")</f>
        <v/>
      </c>
      <c r="CR196" s="3476"/>
      <c r="CS196" s="88" t="str">
        <f>IF(BC194=0,"",BC194)</f>
        <v/>
      </c>
      <c r="CT196" s="9"/>
      <c r="CU196" s="46"/>
      <c r="CY196" s="197">
        <f t="shared" si="144"/>
        <v>10</v>
      </c>
      <c r="CZ196" s="197" t="str">
        <f t="shared" si="142"/>
        <v/>
      </c>
      <c r="DB196" s="24"/>
      <c r="DD196" s="516"/>
      <c r="DE196" s="516"/>
      <c r="DH196" s="197">
        <f t="shared" si="145"/>
        <v>5</v>
      </c>
      <c r="DI196" s="197" t="str">
        <f t="shared" si="143"/>
        <v/>
      </c>
      <c r="DK196" s="24"/>
      <c r="DM196" s="516"/>
      <c r="DN196" s="516"/>
      <c r="DP196" s="8"/>
      <c r="DQ196" s="197">
        <f t="shared" ref="DQ196:DQ207" si="148">IF(DU196&lt;&gt;"",DQ195+1,DQ195)</f>
        <v>11</v>
      </c>
      <c r="DR196" s="197" t="str">
        <f t="shared" si="146"/>
        <v/>
      </c>
      <c r="DS196" s="10" t="str">
        <f>CQ133</f>
        <v>スピーカ 3W S3</v>
      </c>
      <c r="DT196" s="8"/>
      <c r="DU196" s="249" t="str">
        <f>IF(COUNTIF($DS$10:DS195,DS196)&gt;0,"",DS196)</f>
        <v/>
      </c>
      <c r="DV196" s="198">
        <f>CS133</f>
        <v>6</v>
      </c>
      <c r="DW196" s="514">
        <f t="shared" si="147"/>
        <v>5</v>
      </c>
    </row>
    <row r="197" spans="2:127" ht="11.25" customHeight="1" thickBot="1">
      <c r="B197" s="23"/>
      <c r="C197" s="2300" t="s">
        <v>861</v>
      </c>
      <c r="D197" s="2301"/>
      <c r="E197" s="2301"/>
      <c r="F197" s="2301"/>
      <c r="G197" s="2302"/>
      <c r="H197" s="3422" t="str">
        <f>IF(CE195=0,"",IF(R197&lt;&gt;"",R197,"HP 1.2mm-3C"))</f>
        <v/>
      </c>
      <c r="I197" s="3423"/>
      <c r="J197" s="3423"/>
      <c r="K197" s="3423"/>
      <c r="L197" s="3423"/>
      <c r="M197" s="3423"/>
      <c r="N197" s="3423"/>
      <c r="O197" s="3423"/>
      <c r="P197" s="3424"/>
      <c r="Q197" s="668" t="s">
        <v>2</v>
      </c>
      <c r="R197" s="3362"/>
      <c r="S197" s="3363"/>
      <c r="T197" s="3363"/>
      <c r="U197" s="3363"/>
      <c r="V197" s="3363"/>
      <c r="W197" s="3363"/>
      <c r="X197" s="3363"/>
      <c r="Y197" s="3363"/>
      <c r="Z197" s="3364"/>
      <c r="AA197" s="3348" t="s">
        <v>17</v>
      </c>
      <c r="AB197" s="3349"/>
      <c r="AC197" s="3349"/>
      <c r="AD197" s="3349"/>
      <c r="AE197" s="3350"/>
      <c r="AF197" s="3385" t="str">
        <f>IF(CE195=0,"",IF(AK197&lt;&gt;"",AK197,SUM(CN191:CN192)))</f>
        <v/>
      </c>
      <c r="AG197" s="3386"/>
      <c r="AH197" s="3386"/>
      <c r="AI197" s="3387"/>
      <c r="AJ197" s="669" t="s">
        <v>2</v>
      </c>
      <c r="AK197" s="3415"/>
      <c r="AL197" s="3416"/>
      <c r="AM197" s="3416"/>
      <c r="AN197" s="3417"/>
      <c r="AO197" s="2300" t="s">
        <v>860</v>
      </c>
      <c r="AP197" s="2301"/>
      <c r="AQ197" s="2301"/>
      <c r="AR197" s="2301"/>
      <c r="AS197" s="2302"/>
      <c r="AT197" s="3422" t="str">
        <f>IF(CE195=0,"",IF(BA197&lt;&gt;"",BA197,IF(MID(AG193,4,2)="C ","C-19mm",IF(MID(AG193,4,2)="PF","PF-D-16mm",IF(MID(AG193,4,2)="CD","CD-16mm",IF(MID(AG193,4,2)="G ","G-16mm","C-19mm"))))))</f>
        <v/>
      </c>
      <c r="AU197" s="3423"/>
      <c r="AV197" s="3423"/>
      <c r="AW197" s="3423"/>
      <c r="AX197" s="3423"/>
      <c r="AY197" s="3424"/>
      <c r="AZ197" s="668" t="s">
        <v>2</v>
      </c>
      <c r="BA197" s="3362"/>
      <c r="BB197" s="3363"/>
      <c r="BC197" s="3363"/>
      <c r="BD197" s="3363"/>
      <c r="BE197" s="3363"/>
      <c r="BF197" s="3364"/>
      <c r="BG197" s="3348" t="s">
        <v>17</v>
      </c>
      <c r="BH197" s="3349"/>
      <c r="BI197" s="3349"/>
      <c r="BJ197" s="3349"/>
      <c r="BK197" s="3350"/>
      <c r="BL197" s="3385" t="str">
        <f>IF(CE195=0,"",IF(BQ197&lt;&gt;"",BQ197,SUM(CO191:CO192)))</f>
        <v/>
      </c>
      <c r="BM197" s="3386"/>
      <c r="BN197" s="3386"/>
      <c r="BO197" s="3387"/>
      <c r="BP197" s="668" t="s">
        <v>2</v>
      </c>
      <c r="BQ197" s="3425"/>
      <c r="BR197" s="3426"/>
      <c r="BS197" s="3426"/>
      <c r="BT197" s="3427"/>
      <c r="BU197" s="19"/>
      <c r="CF197" s="106" t="s">
        <v>859</v>
      </c>
      <c r="CG197" s="184">
        <f>IF(CE195="=",CD193,0)</f>
        <v>0</v>
      </c>
      <c r="CH197" s="667" t="s">
        <v>858</v>
      </c>
      <c r="CI197" s="184" t="e">
        <f>F195+2*$AN$7/1000</f>
        <v>#VALUE!</v>
      </c>
      <c r="CJ197" s="666" t="s">
        <v>857</v>
      </c>
      <c r="CK197" s="184">
        <f>IF(CG193=1,CG197,0)</f>
        <v>0</v>
      </c>
      <c r="CL197" s="666" t="s">
        <v>856</v>
      </c>
      <c r="CM197" s="184" t="str">
        <f>IF(CG193=1,F195,0)</f>
        <v/>
      </c>
      <c r="CN197" s="665" t="e">
        <f>INT(AS194/2)</f>
        <v>#VALUE!</v>
      </c>
      <c r="CO197" s="665" t="str">
        <f>IF(AU194="","",1+INT(AU194/2))</f>
        <v/>
      </c>
      <c r="CP197" s="664" t="s">
        <v>855</v>
      </c>
      <c r="CQ197" s="3477" t="str">
        <f>IF(CS197="","","ソノライン・スピーカ 20W")</f>
        <v>ソノライン・スピーカ 20W</v>
      </c>
      <c r="CR197" s="3478"/>
      <c r="CS197" s="222">
        <f>IF(BE194="",0,BE194)</f>
        <v>0</v>
      </c>
      <c r="CT197" s="155"/>
      <c r="CU197" s="148"/>
      <c r="CV197" s="148"/>
      <c r="CY197" s="197">
        <f t="shared" si="144"/>
        <v>10</v>
      </c>
      <c r="CZ197" s="197" t="str">
        <f t="shared" si="142"/>
        <v/>
      </c>
      <c r="DB197" s="24"/>
      <c r="DD197" s="516"/>
      <c r="DE197" s="516"/>
      <c r="DH197" s="197">
        <f t="shared" si="145"/>
        <v>5</v>
      </c>
      <c r="DI197" s="197" t="str">
        <f t="shared" si="143"/>
        <v/>
      </c>
      <c r="DK197" s="24"/>
      <c r="DM197" s="516"/>
      <c r="DN197" s="516"/>
      <c r="DP197" s="8"/>
      <c r="DQ197" s="197">
        <f t="shared" si="148"/>
        <v>11</v>
      </c>
      <c r="DR197" s="197" t="str">
        <f t="shared" si="146"/>
        <v/>
      </c>
      <c r="DS197" s="10" t="str">
        <f>CQ134</f>
        <v/>
      </c>
      <c r="DT197" s="8"/>
      <c r="DU197" s="249" t="str">
        <f>IF(COUNTIF($DS$10:DS196,DS197)&gt;0,"",DS197)</f>
        <v/>
      </c>
      <c r="DV197" s="198" t="str">
        <f>CS134</f>
        <v/>
      </c>
      <c r="DW197" s="514">
        <f t="shared" si="147"/>
        <v>5</v>
      </c>
    </row>
    <row r="198" spans="2:127" ht="11.25" customHeight="1">
      <c r="B198" s="23"/>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19"/>
      <c r="DP198" s="8"/>
      <c r="DQ198" s="197">
        <f t="shared" si="148"/>
        <v>11</v>
      </c>
      <c r="DR198" s="197" t="str">
        <f t="shared" si="146"/>
        <v/>
      </c>
      <c r="DS198" s="10" t="str">
        <f>CQ136</f>
        <v>スピーカ 6W S2</v>
      </c>
      <c r="DT198" s="8"/>
      <c r="DU198" s="249" t="str">
        <f>IF(COUNTIF($DS$10:DS197,DS198)&gt;0,"",DS198)</f>
        <v/>
      </c>
      <c r="DV198" s="198">
        <f>CS136</f>
        <v>2</v>
      </c>
      <c r="DW198" s="514">
        <f t="shared" si="147"/>
        <v>5</v>
      </c>
    </row>
    <row r="199" spans="2:127" ht="11.25" customHeight="1">
      <c r="B199" s="23"/>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19"/>
      <c r="DP199" s="8"/>
      <c r="DQ199" s="197">
        <f t="shared" si="148"/>
        <v>11</v>
      </c>
      <c r="DR199" s="197" t="str">
        <f t="shared" si="146"/>
        <v/>
      </c>
      <c r="DS199" s="10" t="str">
        <f>CQ137</f>
        <v/>
      </c>
      <c r="DT199" s="8"/>
      <c r="DU199" s="249" t="str">
        <f>IF(COUNTIF($DS$10:DS198,DS199)&gt;0,"",DS199)</f>
        <v/>
      </c>
      <c r="DV199" s="198" t="str">
        <f>CS137</f>
        <v/>
      </c>
      <c r="DW199" s="514">
        <f t="shared" si="147"/>
        <v>5</v>
      </c>
    </row>
    <row r="200" spans="2:127" ht="11.25" customHeight="1">
      <c r="B200" s="23"/>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19"/>
      <c r="DQ200" s="197">
        <f t="shared" si="148"/>
        <v>11</v>
      </c>
      <c r="DR200" s="197" t="str">
        <f t="shared" si="146"/>
        <v/>
      </c>
      <c r="DS200" s="10" t="str">
        <f>CQ139</f>
        <v/>
      </c>
      <c r="DT200" s="24"/>
      <c r="DU200" s="249" t="str">
        <f>IF(COUNTIF($DS$10:DS199,DS200)&gt;0,"",DS200)</f>
        <v/>
      </c>
      <c r="DV200" s="198" t="str">
        <f>CS139</f>
        <v/>
      </c>
      <c r="DW200" s="514">
        <f t="shared" si="147"/>
        <v>5</v>
      </c>
    </row>
    <row r="201" spans="2:127" ht="11.25" customHeight="1">
      <c r="B201" s="23"/>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19"/>
      <c r="DQ201" s="197">
        <f t="shared" si="148"/>
        <v>11</v>
      </c>
      <c r="DR201" s="197" t="str">
        <f t="shared" si="146"/>
        <v/>
      </c>
      <c r="DS201" s="201" t="str">
        <f>CQ140</f>
        <v>ソノライン・スピーカ 20W</v>
      </c>
      <c r="DT201" s="24"/>
      <c r="DU201" s="249" t="str">
        <f>IF(COUNTIF($DS$10:DS200,DS201)&gt;0,"",DS201)</f>
        <v/>
      </c>
      <c r="DV201" s="198">
        <f>CS140</f>
        <v>0</v>
      </c>
      <c r="DW201" s="514">
        <f t="shared" si="147"/>
        <v>5</v>
      </c>
    </row>
    <row r="202" spans="2:127" ht="11.25" customHeight="1">
      <c r="B202" s="23"/>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19"/>
      <c r="BY202" s="5" t="s">
        <v>42</v>
      </c>
      <c r="BZ202" s="5" t="s">
        <v>331</v>
      </c>
      <c r="CA202" s="5" t="s">
        <v>854</v>
      </c>
      <c r="DQ202" s="197">
        <f t="shared" si="148"/>
        <v>11</v>
      </c>
      <c r="DR202" s="197" t="str">
        <f t="shared" si="146"/>
        <v/>
      </c>
      <c r="DS202" s="10" t="str">
        <f t="shared" ref="DS202:DS207" si="149">CT133</f>
        <v/>
      </c>
      <c r="DT202" s="24"/>
      <c r="DU202" s="249" t="str">
        <f>IF(COUNTIF($DS$10:DS201,DS202)&gt;0,"",DS202)</f>
        <v/>
      </c>
      <c r="DV202" s="198" t="str">
        <f t="shared" ref="DV202:DV207" si="150">CV133</f>
        <v/>
      </c>
      <c r="DW202" s="514">
        <f t="shared" si="147"/>
        <v>5</v>
      </c>
    </row>
    <row r="203" spans="2:127" ht="11.25" customHeight="1">
      <c r="B203" s="23"/>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19"/>
      <c r="BY203" s="5" t="s">
        <v>853</v>
      </c>
      <c r="BZ203" s="5" t="s">
        <v>330</v>
      </c>
      <c r="CA203" s="5" t="s">
        <v>332</v>
      </c>
      <c r="DQ203" s="197">
        <f t="shared" si="148"/>
        <v>11</v>
      </c>
      <c r="DR203" s="197" t="str">
        <f t="shared" si="146"/>
        <v/>
      </c>
      <c r="DS203" s="10" t="str">
        <f t="shared" si="149"/>
        <v>アッテネータ 3W</v>
      </c>
      <c r="DT203" s="24"/>
      <c r="DU203" s="249" t="str">
        <f>IF(COUNTIF($DS$10:DS202,DS203)&gt;0,"",DS203)</f>
        <v/>
      </c>
      <c r="DV203" s="198">
        <f t="shared" si="150"/>
        <v>4</v>
      </c>
      <c r="DW203" s="514">
        <f t="shared" si="147"/>
        <v>5</v>
      </c>
    </row>
    <row r="204" spans="2:127" ht="11.25" customHeight="1">
      <c r="B204" s="23"/>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19"/>
      <c r="BY204" s="5" t="s">
        <v>852</v>
      </c>
      <c r="BZ204" s="5" t="s">
        <v>329</v>
      </c>
      <c r="CA204" s="5" t="s">
        <v>330</v>
      </c>
      <c r="DQ204" s="197">
        <f t="shared" si="148"/>
        <v>11</v>
      </c>
      <c r="DR204" s="197" t="str">
        <f t="shared" si="146"/>
        <v/>
      </c>
      <c r="DS204" s="10" t="str">
        <f t="shared" si="149"/>
        <v>アッテネータ 6W</v>
      </c>
      <c r="DT204" s="24"/>
      <c r="DU204" s="249" t="str">
        <f>IF(COUNTIF($DS$10:DS203,DS204)&gt;0,"",DS204)</f>
        <v/>
      </c>
      <c r="DV204" s="198">
        <f t="shared" si="150"/>
        <v>2</v>
      </c>
      <c r="DW204" s="514">
        <f t="shared" si="147"/>
        <v>5</v>
      </c>
    </row>
    <row r="205" spans="2:127" ht="11.25" customHeight="1">
      <c r="B205" s="23"/>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19"/>
      <c r="BY205" s="5" t="s">
        <v>851</v>
      </c>
      <c r="BZ205" s="5" t="s">
        <v>848</v>
      </c>
      <c r="CA205" s="5" t="s">
        <v>329</v>
      </c>
      <c r="DQ205" s="197">
        <f t="shared" si="148"/>
        <v>11</v>
      </c>
      <c r="DR205" s="197" t="str">
        <f t="shared" si="146"/>
        <v/>
      </c>
      <c r="DS205" s="10" t="str">
        <f t="shared" si="149"/>
        <v/>
      </c>
      <c r="DT205" s="24"/>
      <c r="DU205" s="249" t="str">
        <f>IF(COUNTIF($DS$10:DS204,DS205)&gt;0,"",DS205)</f>
        <v/>
      </c>
      <c r="DV205" s="198" t="str">
        <f t="shared" si="150"/>
        <v/>
      </c>
      <c r="DW205" s="514">
        <f t="shared" si="147"/>
        <v>5</v>
      </c>
    </row>
    <row r="206" spans="2:127" ht="11.25" customHeight="1">
      <c r="B206" s="23"/>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19"/>
      <c r="BY206" s="5" t="s">
        <v>850</v>
      </c>
      <c r="BZ206" s="5" t="s">
        <v>849</v>
      </c>
      <c r="CA206" s="5" t="s">
        <v>848</v>
      </c>
      <c r="DQ206" s="197">
        <f t="shared" si="148"/>
        <v>11</v>
      </c>
      <c r="DR206" s="197" t="str">
        <f t="shared" si="146"/>
        <v/>
      </c>
      <c r="DS206" s="10" t="str">
        <f t="shared" si="149"/>
        <v/>
      </c>
      <c r="DT206" s="24"/>
      <c r="DU206" s="249" t="str">
        <f>IF(COUNTIF($DS$10:DS205,DS206)&gt;0,"",DS206)</f>
        <v/>
      </c>
      <c r="DV206" s="198" t="str">
        <f t="shared" si="150"/>
        <v/>
      </c>
      <c r="DW206" s="514">
        <f t="shared" si="147"/>
        <v>5</v>
      </c>
    </row>
    <row r="207" spans="2:127" ht="11.25" customHeight="1">
      <c r="B207" s="23"/>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19"/>
      <c r="BY207" s="5" t="s">
        <v>41</v>
      </c>
      <c r="BZ207" s="5" t="s">
        <v>847</v>
      </c>
      <c r="DP207" s="8"/>
      <c r="DQ207" s="197">
        <f t="shared" si="148"/>
        <v>11</v>
      </c>
      <c r="DR207" s="197" t="str">
        <f t="shared" si="146"/>
        <v/>
      </c>
      <c r="DS207" s="10" t="str">
        <f t="shared" si="149"/>
        <v/>
      </c>
      <c r="DT207" s="24"/>
      <c r="DU207" s="249" t="str">
        <f>IF(COUNTIF($DS$10:DS206,DS207)&gt;0,"",DS207)</f>
        <v/>
      </c>
      <c r="DV207" s="198" t="str">
        <f t="shared" si="150"/>
        <v/>
      </c>
      <c r="DW207" s="514">
        <f t="shared" si="147"/>
        <v>5</v>
      </c>
    </row>
    <row r="208" spans="2:127" ht="11.25" customHeight="1">
      <c r="B208" s="23"/>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19"/>
      <c r="BY208" s="5" t="s">
        <v>40</v>
      </c>
      <c r="BZ208" s="5" t="s">
        <v>846</v>
      </c>
      <c r="CA208" s="5" t="s">
        <v>845</v>
      </c>
      <c r="DP208" s="88">
        <v>15</v>
      </c>
      <c r="DQ208" s="45"/>
      <c r="DR208" s="45"/>
      <c r="DS208" s="45"/>
      <c r="DT208" s="45"/>
      <c r="DU208" s="45"/>
      <c r="DV208" s="45"/>
      <c r="DW208" s="45"/>
    </row>
    <row r="209" spans="2:127" ht="11.25" customHeight="1">
      <c r="B209" s="23"/>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19"/>
      <c r="BY209" s="5" t="s">
        <v>39</v>
      </c>
      <c r="BZ209" s="5" t="s">
        <v>844</v>
      </c>
      <c r="CA209" s="5" t="s">
        <v>843</v>
      </c>
      <c r="DP209" s="8"/>
      <c r="DQ209" s="197">
        <f>IF(DU209&lt;&gt;"",DQ207+1,DQ207)</f>
        <v>11</v>
      </c>
      <c r="DR209" s="197" t="str">
        <f t="shared" ref="DR209:DR221" si="151">IF(AND(DQ209&lt;&gt;"",DU209&lt;&gt;""),DQ209,"")</f>
        <v/>
      </c>
      <c r="DS209" s="10" t="str">
        <f>CQ141</f>
        <v>スピーカ 3W S1</v>
      </c>
      <c r="DT209" s="8"/>
      <c r="DU209" s="249" t="str">
        <f>IF(COUNTIF($DS$10:DS208,DS209)&gt;0,"",DS209)</f>
        <v/>
      </c>
      <c r="DV209" s="198">
        <f>CS141</f>
        <v>4</v>
      </c>
      <c r="DW209" s="514">
        <f t="shared" ref="DW209:DW221" si="152">SUMIF($DS$13:$DS$344,DU209,$DV$13:$DV$344)</f>
        <v>5</v>
      </c>
    </row>
    <row r="210" spans="2:127" ht="11.25" customHeight="1">
      <c r="B210" s="23"/>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19"/>
      <c r="BY210" s="5" t="s">
        <v>38</v>
      </c>
      <c r="BZ210" s="5" t="s">
        <v>842</v>
      </c>
      <c r="CA210" s="5" t="s">
        <v>841</v>
      </c>
      <c r="DP210" s="8"/>
      <c r="DQ210" s="197">
        <f t="shared" ref="DQ210:DQ221" si="153">IF(DU210&lt;&gt;"",DQ209+1,DQ209)</f>
        <v>11</v>
      </c>
      <c r="DR210" s="197" t="str">
        <f t="shared" si="151"/>
        <v/>
      </c>
      <c r="DS210" s="10" t="str">
        <f>CQ142</f>
        <v/>
      </c>
      <c r="DT210" s="8"/>
      <c r="DU210" s="249" t="str">
        <f>IF(COUNTIF($DS$10:DS209,DS210)&gt;0,"",DS210)</f>
        <v/>
      </c>
      <c r="DV210" s="198" t="str">
        <f>CS142</f>
        <v/>
      </c>
      <c r="DW210" s="514">
        <f t="shared" si="152"/>
        <v>5</v>
      </c>
    </row>
    <row r="211" spans="2:127" ht="11.25" customHeight="1">
      <c r="B211" s="23"/>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19"/>
      <c r="BY211" s="5" t="s">
        <v>37</v>
      </c>
      <c r="BZ211" s="5" t="s">
        <v>840</v>
      </c>
      <c r="CA211" s="5" t="s">
        <v>839</v>
      </c>
      <c r="DP211" s="8"/>
      <c r="DQ211" s="197">
        <f t="shared" si="153"/>
        <v>11</v>
      </c>
      <c r="DR211" s="197" t="str">
        <f t="shared" si="151"/>
        <v/>
      </c>
      <c r="DS211" s="10" t="str">
        <f>CQ143</f>
        <v/>
      </c>
      <c r="DT211" s="8"/>
      <c r="DU211" s="249" t="str">
        <f>IF(COUNTIF($DS$10:DS210,DS211)&gt;0,"",DS211)</f>
        <v/>
      </c>
      <c r="DV211" s="198" t="str">
        <f>CS143</f>
        <v/>
      </c>
      <c r="DW211" s="514">
        <f t="shared" si="152"/>
        <v>5</v>
      </c>
    </row>
    <row r="212" spans="2:127" ht="11.25" customHeight="1">
      <c r="B212" s="23"/>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19"/>
      <c r="BY212" s="5" t="s">
        <v>36</v>
      </c>
      <c r="BZ212" s="5" t="s">
        <v>838</v>
      </c>
      <c r="CA212" s="5" t="s">
        <v>837</v>
      </c>
      <c r="DP212" s="8"/>
      <c r="DQ212" s="197">
        <f t="shared" si="153"/>
        <v>11</v>
      </c>
      <c r="DR212" s="197" t="str">
        <f t="shared" si="151"/>
        <v/>
      </c>
      <c r="DS212" s="10" t="str">
        <f>CQ145</f>
        <v/>
      </c>
      <c r="DT212" s="8"/>
      <c r="DU212" s="249" t="str">
        <f>IF(COUNTIF($DS$10:DS211,DS212)&gt;0,"",DS212)</f>
        <v/>
      </c>
      <c r="DV212" s="198" t="str">
        <f>CS145</f>
        <v/>
      </c>
      <c r="DW212" s="514">
        <f t="shared" si="152"/>
        <v>5</v>
      </c>
    </row>
    <row r="213" spans="2:127" ht="11.25" customHeight="1">
      <c r="B213" s="23"/>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19"/>
      <c r="BY213" s="5" t="s">
        <v>35</v>
      </c>
      <c r="BZ213" s="5" t="s">
        <v>836</v>
      </c>
      <c r="DP213" s="8"/>
      <c r="DQ213" s="197">
        <f t="shared" si="153"/>
        <v>11</v>
      </c>
      <c r="DR213" s="197" t="str">
        <f t="shared" si="151"/>
        <v/>
      </c>
      <c r="DS213" s="10" t="str">
        <f>CQ146</f>
        <v/>
      </c>
      <c r="DT213" s="8"/>
      <c r="DU213" s="249" t="str">
        <f>IF(COUNTIF($DS$10:DS212,DS213)&gt;0,"",DS213)</f>
        <v/>
      </c>
      <c r="DV213" s="198" t="str">
        <f>CS146</f>
        <v/>
      </c>
      <c r="DW213" s="514">
        <f t="shared" si="152"/>
        <v>5</v>
      </c>
    </row>
    <row r="214" spans="2:127" ht="11.25" customHeight="1">
      <c r="B214" s="23"/>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19"/>
      <c r="BY214" s="5" t="s">
        <v>31</v>
      </c>
      <c r="BZ214" s="5" t="s">
        <v>835</v>
      </c>
      <c r="DQ214" s="197">
        <f t="shared" si="153"/>
        <v>11</v>
      </c>
      <c r="DR214" s="197" t="str">
        <f t="shared" si="151"/>
        <v/>
      </c>
      <c r="DS214" s="10" t="str">
        <f>CQ148</f>
        <v/>
      </c>
      <c r="DT214" s="24"/>
      <c r="DU214" s="249" t="str">
        <f>IF(COUNTIF($DS$10:DS213,DS214)&gt;0,"",DS214)</f>
        <v/>
      </c>
      <c r="DV214" s="198" t="str">
        <f>CS148</f>
        <v/>
      </c>
      <c r="DW214" s="514">
        <f t="shared" si="152"/>
        <v>5</v>
      </c>
    </row>
    <row r="215" spans="2:127" ht="11.25" customHeight="1">
      <c r="B215" s="23"/>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19"/>
      <c r="BY215" s="5" t="s">
        <v>30</v>
      </c>
      <c r="BZ215" s="5" t="s">
        <v>834</v>
      </c>
      <c r="DQ215" s="197">
        <f t="shared" si="153"/>
        <v>11</v>
      </c>
      <c r="DR215" s="197" t="str">
        <f t="shared" si="151"/>
        <v/>
      </c>
      <c r="DS215" s="201" t="str">
        <f>CQ149</f>
        <v>ソノライン・スピーカ 20W</v>
      </c>
      <c r="DT215" s="24"/>
      <c r="DU215" s="249" t="str">
        <f>IF(COUNTIF($DS$10:DS214,DS215)&gt;0,"",DS215)</f>
        <v/>
      </c>
      <c r="DV215" s="198">
        <f>CS149</f>
        <v>0</v>
      </c>
      <c r="DW215" s="514">
        <f t="shared" si="152"/>
        <v>5</v>
      </c>
    </row>
    <row r="216" spans="2:127" ht="11.25" customHeight="1">
      <c r="B216" s="23"/>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19"/>
      <c r="BY216" s="5" t="s">
        <v>29</v>
      </c>
      <c r="BZ216" s="5" t="s">
        <v>833</v>
      </c>
      <c r="DQ216" s="197">
        <f t="shared" si="153"/>
        <v>11</v>
      </c>
      <c r="DR216" s="197" t="str">
        <f t="shared" si="151"/>
        <v/>
      </c>
      <c r="DS216" s="10" t="str">
        <f t="shared" ref="DS216:DS221" si="154">CT142</f>
        <v/>
      </c>
      <c r="DT216" s="24"/>
      <c r="DU216" s="249" t="str">
        <f>IF(COUNTIF($DS$10:DS215,DS216)&gt;0,"",DS216)</f>
        <v/>
      </c>
      <c r="DV216" s="198" t="str">
        <f t="shared" ref="DV216:DV221" si="155">CV142</f>
        <v/>
      </c>
      <c r="DW216" s="514">
        <f t="shared" si="152"/>
        <v>5</v>
      </c>
    </row>
    <row r="217" spans="2:127" ht="11.25" customHeight="1">
      <c r="B217" s="23"/>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19"/>
      <c r="BY217" s="5" t="s">
        <v>28</v>
      </c>
      <c r="BZ217" s="5" t="s">
        <v>832</v>
      </c>
      <c r="DQ217" s="197">
        <f t="shared" si="153"/>
        <v>11</v>
      </c>
      <c r="DR217" s="197" t="str">
        <f t="shared" si="151"/>
        <v/>
      </c>
      <c r="DS217" s="10" t="str">
        <f t="shared" si="154"/>
        <v>アッテネータ 3W</v>
      </c>
      <c r="DT217" s="24"/>
      <c r="DU217" s="249" t="str">
        <f>IF(COUNTIF($DS$10:DS216,DS217)&gt;0,"",DS217)</f>
        <v/>
      </c>
      <c r="DV217" s="198">
        <f t="shared" si="155"/>
        <v>2</v>
      </c>
      <c r="DW217" s="514">
        <f t="shared" si="152"/>
        <v>5</v>
      </c>
    </row>
    <row r="218" spans="2:127" ht="11.25" customHeight="1">
      <c r="B218" s="23"/>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19"/>
      <c r="BY218" s="5" t="s">
        <v>26</v>
      </c>
      <c r="BZ218" s="5" t="s">
        <v>831</v>
      </c>
      <c r="DQ218" s="197">
        <f t="shared" si="153"/>
        <v>11</v>
      </c>
      <c r="DR218" s="197" t="str">
        <f t="shared" si="151"/>
        <v/>
      </c>
      <c r="DS218" s="10" t="str">
        <f t="shared" si="154"/>
        <v>アッテネータ 6W</v>
      </c>
      <c r="DT218" s="24"/>
      <c r="DU218" s="249" t="str">
        <f>IF(COUNTIF($DS$10:DS217,DS218)&gt;0,"",DS218)</f>
        <v/>
      </c>
      <c r="DV218" s="198">
        <f t="shared" si="155"/>
        <v>1</v>
      </c>
      <c r="DW218" s="514">
        <f t="shared" si="152"/>
        <v>5</v>
      </c>
    </row>
    <row r="219" spans="2:127" ht="11.25" customHeight="1">
      <c r="B219" s="23"/>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19"/>
      <c r="BY219" s="5" t="s">
        <v>830</v>
      </c>
      <c r="BZ219" s="5" t="s">
        <v>829</v>
      </c>
      <c r="DQ219" s="197">
        <f t="shared" si="153"/>
        <v>11</v>
      </c>
      <c r="DR219" s="197" t="str">
        <f t="shared" si="151"/>
        <v/>
      </c>
      <c r="DS219" s="10" t="str">
        <f t="shared" si="154"/>
        <v/>
      </c>
      <c r="DT219" s="24"/>
      <c r="DU219" s="249" t="str">
        <f>IF(COUNTIF($DS$10:DS218,DS219)&gt;0,"",DS219)</f>
        <v/>
      </c>
      <c r="DV219" s="198" t="str">
        <f t="shared" si="155"/>
        <v/>
      </c>
      <c r="DW219" s="514">
        <f t="shared" si="152"/>
        <v>5</v>
      </c>
    </row>
    <row r="220" spans="2:127" ht="11.25" customHeight="1">
      <c r="B220" s="23"/>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19"/>
      <c r="BY220" s="5" t="s">
        <v>828</v>
      </c>
      <c r="BZ220" s="5" t="s">
        <v>827</v>
      </c>
      <c r="DQ220" s="197">
        <f t="shared" si="153"/>
        <v>11</v>
      </c>
      <c r="DR220" s="197" t="str">
        <f t="shared" si="151"/>
        <v/>
      </c>
      <c r="DS220" s="10" t="str">
        <f t="shared" si="154"/>
        <v/>
      </c>
      <c r="DT220" s="24"/>
      <c r="DU220" s="249" t="str">
        <f>IF(COUNTIF($DS$10:DS219,DS220)&gt;0,"",DS220)</f>
        <v/>
      </c>
      <c r="DV220" s="198" t="str">
        <f t="shared" si="155"/>
        <v/>
      </c>
      <c r="DW220" s="514">
        <f t="shared" si="152"/>
        <v>5</v>
      </c>
    </row>
    <row r="221" spans="2:127" ht="11.25" customHeight="1">
      <c r="B221" s="23"/>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19"/>
      <c r="BY221" s="5" t="s">
        <v>826</v>
      </c>
      <c r="DP221" s="8"/>
      <c r="DQ221" s="197">
        <f t="shared" si="153"/>
        <v>11</v>
      </c>
      <c r="DR221" s="197" t="str">
        <f t="shared" si="151"/>
        <v/>
      </c>
      <c r="DS221" s="10" t="str">
        <f t="shared" si="154"/>
        <v/>
      </c>
      <c r="DT221" s="24"/>
      <c r="DU221" s="249" t="str">
        <f>IF(COUNTIF($DS$10:DS220,DS221)&gt;0,"",DS221)</f>
        <v/>
      </c>
      <c r="DV221" s="198" t="str">
        <f t="shared" si="155"/>
        <v/>
      </c>
      <c r="DW221" s="514">
        <f t="shared" si="152"/>
        <v>5</v>
      </c>
    </row>
    <row r="222" spans="2:127" ht="11.25" customHeight="1">
      <c r="B222" s="23"/>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19"/>
      <c r="BY222" s="5" t="s">
        <v>825</v>
      </c>
      <c r="BZ222" s="5" t="s">
        <v>824</v>
      </c>
      <c r="DP222" s="88">
        <v>16</v>
      </c>
      <c r="DQ222" s="45"/>
      <c r="DR222" s="45"/>
      <c r="DS222" s="45"/>
      <c r="DT222" s="45"/>
      <c r="DU222" s="45"/>
      <c r="DV222" s="45"/>
      <c r="DW222" s="45"/>
    </row>
    <row r="223" spans="2:127" ht="11.25" customHeight="1">
      <c r="B223" s="23"/>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19"/>
      <c r="BY223" s="25" t="s">
        <v>823</v>
      </c>
      <c r="BZ223" s="5" t="s">
        <v>822</v>
      </c>
      <c r="DP223" s="8"/>
      <c r="DQ223" s="197">
        <f>IF(DU223&lt;&gt;"",DQ221+1,DQ221)</f>
        <v>11</v>
      </c>
      <c r="DR223" s="197" t="str">
        <f t="shared" ref="DR223:DR235" si="156">IF(AND(DQ223&lt;&gt;"",DU223&lt;&gt;""),DQ223,"")</f>
        <v/>
      </c>
      <c r="DS223" s="10" t="str">
        <f>CQ153</f>
        <v>スピーカ 3W S1</v>
      </c>
      <c r="DT223" s="8"/>
      <c r="DU223" s="249" t="str">
        <f>IF(COUNTIF($DS$10:DS222,DS223)&gt;0,"",DS223)</f>
        <v/>
      </c>
      <c r="DV223" s="198">
        <f>CS153</f>
        <v>4</v>
      </c>
      <c r="DW223" s="514">
        <f t="shared" ref="DW223:DW235" si="157">SUMIF($DS$13:$DS$344,DU223,$DV$13:$DV$344)</f>
        <v>5</v>
      </c>
    </row>
    <row r="224" spans="2:127" ht="11.25" customHeight="1">
      <c r="B224" s="23"/>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19"/>
      <c r="BY224" s="25" t="s">
        <v>821</v>
      </c>
      <c r="BZ224" s="5" t="s">
        <v>820</v>
      </c>
      <c r="DP224" s="8"/>
      <c r="DQ224" s="197">
        <f t="shared" ref="DQ224:DQ235" si="158">IF(DU224&lt;&gt;"",DQ223+1,DQ223)</f>
        <v>11</v>
      </c>
      <c r="DR224" s="197" t="str">
        <f t="shared" si="156"/>
        <v/>
      </c>
      <c r="DS224" s="10" t="str">
        <f>CQ154</f>
        <v/>
      </c>
      <c r="DT224" s="8"/>
      <c r="DU224" s="249" t="str">
        <f>IF(COUNTIF($DS$10:DS223,DS224)&gt;0,"",DS224)</f>
        <v/>
      </c>
      <c r="DV224" s="198" t="str">
        <f>CS154</f>
        <v/>
      </c>
      <c r="DW224" s="514">
        <f t="shared" si="157"/>
        <v>5</v>
      </c>
    </row>
    <row r="225" spans="1:127" ht="11.25" customHeight="1">
      <c r="B225" s="23"/>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19"/>
      <c r="BY225" s="5" t="s">
        <v>551</v>
      </c>
      <c r="BZ225" s="5" t="s">
        <v>819</v>
      </c>
      <c r="DP225" s="8"/>
      <c r="DQ225" s="197">
        <f t="shared" si="158"/>
        <v>11</v>
      </c>
      <c r="DR225" s="197" t="str">
        <f t="shared" si="156"/>
        <v/>
      </c>
      <c r="DS225" s="10" t="str">
        <f>CQ155</f>
        <v/>
      </c>
      <c r="DT225" s="8"/>
      <c r="DU225" s="249" t="str">
        <f>IF(COUNTIF($DS$10:DS224,DS225)&gt;0,"",DS225)</f>
        <v/>
      </c>
      <c r="DV225" s="198" t="str">
        <f>CS155</f>
        <v/>
      </c>
      <c r="DW225" s="514">
        <f t="shared" si="157"/>
        <v>5</v>
      </c>
    </row>
    <row r="226" spans="1:127" ht="11.25" customHeight="1">
      <c r="B226" s="23"/>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19"/>
      <c r="BY226" s="5" t="s">
        <v>549</v>
      </c>
      <c r="BZ226" s="5" t="s">
        <v>818</v>
      </c>
      <c r="DP226" s="8"/>
      <c r="DQ226" s="197">
        <f t="shared" si="158"/>
        <v>11</v>
      </c>
      <c r="DR226" s="197" t="str">
        <f t="shared" si="156"/>
        <v/>
      </c>
      <c r="DS226" s="10" t="str">
        <f>CQ157</f>
        <v/>
      </c>
      <c r="DT226" s="8"/>
      <c r="DU226" s="249" t="str">
        <f>IF(COUNTIF($DS$10:DS225,DS226)&gt;0,"",DS226)</f>
        <v/>
      </c>
      <c r="DV226" s="198" t="str">
        <f>CS157</f>
        <v/>
      </c>
      <c r="DW226" s="514">
        <f t="shared" si="157"/>
        <v>5</v>
      </c>
    </row>
    <row r="227" spans="1:127" ht="11.25" customHeight="1">
      <c r="B227" s="18"/>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16"/>
      <c r="BY227" s="5" t="s">
        <v>548</v>
      </c>
      <c r="BZ227" s="5" t="s">
        <v>817</v>
      </c>
      <c r="DP227" s="8"/>
      <c r="DQ227" s="197">
        <f t="shared" si="158"/>
        <v>11</v>
      </c>
      <c r="DR227" s="197" t="str">
        <f t="shared" si="156"/>
        <v/>
      </c>
      <c r="DS227" s="10" t="str">
        <f>CQ158</f>
        <v/>
      </c>
      <c r="DT227" s="8"/>
      <c r="DU227" s="249" t="str">
        <f>IF(COUNTIF($DS$10:DS226,DS227)&gt;0,"",DS227)</f>
        <v/>
      </c>
      <c r="DV227" s="198" t="str">
        <f>CS158</f>
        <v/>
      </c>
      <c r="DW227" s="514">
        <f t="shared" si="157"/>
        <v>5</v>
      </c>
    </row>
    <row r="228" spans="1:127" ht="11.25" customHeight="1">
      <c r="A228" s="3337"/>
      <c r="B228" s="93"/>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8"/>
      <c r="BY228" s="5" t="s">
        <v>547</v>
      </c>
      <c r="BZ228" s="5" t="s">
        <v>816</v>
      </c>
      <c r="DQ228" s="197">
        <f t="shared" si="158"/>
        <v>11</v>
      </c>
      <c r="DR228" s="197" t="str">
        <f t="shared" si="156"/>
        <v/>
      </c>
      <c r="DS228" s="10" t="str">
        <f>CQ160</f>
        <v/>
      </c>
      <c r="DT228" s="24"/>
      <c r="DU228" s="249" t="str">
        <f>IF(COUNTIF($DS$10:DS227,DS228)&gt;0,"",DS228)</f>
        <v/>
      </c>
      <c r="DV228" s="198" t="str">
        <f>CS160</f>
        <v/>
      </c>
      <c r="DW228" s="514">
        <f t="shared" si="157"/>
        <v>5</v>
      </c>
    </row>
    <row r="229" spans="1:127" ht="11.25" customHeight="1">
      <c r="A229" s="3337"/>
      <c r="B229" s="23"/>
      <c r="C229" s="2261" t="str">
        <f>"集 計 表"</f>
        <v>集 計 表</v>
      </c>
      <c r="D229" s="2261"/>
      <c r="E229" s="2261"/>
      <c r="F229" s="2261"/>
      <c r="G229" s="2261"/>
      <c r="H229" s="2261"/>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19"/>
      <c r="BY229" s="25" t="s">
        <v>815</v>
      </c>
      <c r="BZ229" s="5" t="s">
        <v>814</v>
      </c>
      <c r="DQ229" s="197">
        <f t="shared" si="158"/>
        <v>11</v>
      </c>
      <c r="DR229" s="197" t="str">
        <f t="shared" si="156"/>
        <v/>
      </c>
      <c r="DS229" s="201" t="str">
        <f>CQ161</f>
        <v>ソノライン・スピーカ 20W</v>
      </c>
      <c r="DT229" s="24"/>
      <c r="DU229" s="249" t="str">
        <f>IF(COUNTIF($DS$10:DS228,DS229)&gt;0,"",DS229)</f>
        <v/>
      </c>
      <c r="DV229" s="198">
        <f>CS161</f>
        <v>0</v>
      </c>
      <c r="DW229" s="514">
        <f t="shared" si="157"/>
        <v>5</v>
      </c>
    </row>
    <row r="230" spans="1:127" ht="11.25" customHeight="1">
      <c r="A230" s="3337"/>
      <c r="B230" s="23"/>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19"/>
      <c r="BY230" s="25" t="s">
        <v>813</v>
      </c>
      <c r="BZ230" s="5" t="s">
        <v>812</v>
      </c>
      <c r="DQ230" s="197">
        <f t="shared" si="158"/>
        <v>11</v>
      </c>
      <c r="DR230" s="197" t="str">
        <f t="shared" si="156"/>
        <v/>
      </c>
      <c r="DS230" s="10" t="str">
        <f t="shared" ref="DS230:DS235" si="159">CT154</f>
        <v/>
      </c>
      <c r="DT230" s="24"/>
      <c r="DU230" s="249" t="str">
        <f>IF(COUNTIF($DS$10:DS229,DS230)&gt;0,"",DS230)</f>
        <v/>
      </c>
      <c r="DV230" s="198" t="str">
        <f t="shared" ref="DV230:DV235" si="160">CV154</f>
        <v/>
      </c>
      <c r="DW230" s="514">
        <f t="shared" si="157"/>
        <v>5</v>
      </c>
    </row>
    <row r="231" spans="1:127" ht="11.25" customHeight="1" thickBot="1">
      <c r="A231" s="3337"/>
      <c r="B231" s="23"/>
      <c r="C231" s="2261" t="s">
        <v>93</v>
      </c>
      <c r="D231" s="2261"/>
      <c r="E231" s="2261"/>
      <c r="F231" s="2261"/>
      <c r="G231" s="2261"/>
      <c r="H231" s="2261"/>
      <c r="I231" s="2261"/>
      <c r="J231" s="2261"/>
      <c r="K231" s="2261"/>
      <c r="L231" s="2327" t="s">
        <v>92</v>
      </c>
      <c r="M231" s="2328"/>
      <c r="N231" s="2328"/>
      <c r="O231" s="2328"/>
      <c r="P231" s="2329"/>
      <c r="Q231" s="2261" t="s">
        <v>15</v>
      </c>
      <c r="R231" s="2261"/>
      <c r="S231" s="2261"/>
      <c r="T231" s="2327" t="s">
        <v>119</v>
      </c>
      <c r="U231" s="2328"/>
      <c r="V231" s="2328"/>
      <c r="W231" s="2328"/>
      <c r="X231" s="2328"/>
      <c r="Y231" s="2329"/>
      <c r="Z231" s="2327" t="s">
        <v>118</v>
      </c>
      <c r="AA231" s="2328"/>
      <c r="AB231" s="2328"/>
      <c r="AC231" s="2328"/>
      <c r="AD231" s="2328"/>
      <c r="AE231" s="2328"/>
      <c r="AF231" s="2328"/>
      <c r="AG231" s="2329"/>
      <c r="AH231" s="21">
        <f>IF(BN245="北海道",4,IF(BN245="東北",6,IF(BN245="関東",8,IF(BN245="中部",10,IF(BN245="近畿",12,IF(BN245="北陸",14,IF(BN245="中国",16,IF(BN245="四国",18,IF(BN245="九州",20,IF(BN245="沖縄",22,RIGHT(AZ245,1)+21))))))))))</f>
        <v>12</v>
      </c>
      <c r="AI231" s="2327" t="s">
        <v>117</v>
      </c>
      <c r="AJ231" s="2328"/>
      <c r="AK231" s="2328"/>
      <c r="AL231" s="2329"/>
      <c r="AM231" s="2327" t="s">
        <v>43</v>
      </c>
      <c r="AN231" s="2328"/>
      <c r="AO231" s="2328"/>
      <c r="AP231" s="2328"/>
      <c r="AQ231" s="2329"/>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19"/>
      <c r="BY231" s="5" t="s">
        <v>811</v>
      </c>
      <c r="BZ231" s="5" t="s">
        <v>810</v>
      </c>
      <c r="DQ231" s="197">
        <f t="shared" si="158"/>
        <v>11</v>
      </c>
      <c r="DR231" s="197" t="str">
        <f t="shared" si="156"/>
        <v/>
      </c>
      <c r="DS231" s="10" t="str">
        <f t="shared" si="159"/>
        <v>アッテネータ 3W</v>
      </c>
      <c r="DT231" s="24"/>
      <c r="DU231" s="249" t="str">
        <f>IF(COUNTIF($DS$10:DS230,DS231)&gt;0,"",DS231)</f>
        <v/>
      </c>
      <c r="DV231" s="198">
        <f t="shared" si="160"/>
        <v>2</v>
      </c>
      <c r="DW231" s="514">
        <f t="shared" si="157"/>
        <v>5</v>
      </c>
    </row>
    <row r="232" spans="1:127" ht="11.25" customHeight="1" thickBot="1">
      <c r="A232" s="3337"/>
      <c r="B232" s="23"/>
      <c r="C232" s="3331" t="str">
        <f t="shared" ref="C232:C246" si="161">IF(OR($B$2=0,L232=""),"",VLOOKUP(BW232,放W,2,FALSE))</f>
        <v>HP 1.2mm- 15Pr</v>
      </c>
      <c r="D232" s="3332"/>
      <c r="E232" s="3332"/>
      <c r="F232" s="3332"/>
      <c r="G232" s="3332"/>
      <c r="H232" s="3332"/>
      <c r="I232" s="3332"/>
      <c r="J232" s="3332"/>
      <c r="K232" s="3333"/>
      <c r="L232" s="2755">
        <f t="shared" ref="L232:L246" si="162">IF(ISNA(VLOOKUP(BW232,放W,6,FALSE)),"",VLOOKUP(BW232,放W,6,FALSE))</f>
        <v>15</v>
      </c>
      <c r="M232" s="2756"/>
      <c r="N232" s="2756"/>
      <c r="O232" s="2756"/>
      <c r="P232" s="2757"/>
      <c r="Q232" s="2542" t="str">
        <f>IF(C232="","",VLOOKUP(C232,[7]建物1802!$E$5:$AL$3275,2,FALSE))</f>
        <v>ｍ</v>
      </c>
      <c r="R232" s="2542"/>
      <c r="S232" s="2542"/>
      <c r="T232" s="2755">
        <f>IF(C232="","",VLOOKUP(C232,[7]建物1802!$E$5:$AL$3275,$AH$231,FALSE))</f>
        <v>621</v>
      </c>
      <c r="U232" s="2756"/>
      <c r="V232" s="2756"/>
      <c r="W232" s="2756"/>
      <c r="X232" s="2756"/>
      <c r="Y232" s="2756"/>
      <c r="Z232" s="3316">
        <f t="shared" ref="Z232:Z276" si="163">IF(C232="","",INT(L232*T232))</f>
        <v>9315</v>
      </c>
      <c r="AA232" s="3317"/>
      <c r="AB232" s="3317"/>
      <c r="AC232" s="3317"/>
      <c r="AD232" s="3317"/>
      <c r="AE232" s="3317"/>
      <c r="AF232" s="3317"/>
      <c r="AG232" s="3318"/>
      <c r="AH232" s="250">
        <f>RIGHT(AZ246,1)+25</f>
        <v>26</v>
      </c>
      <c r="AI232" s="3328">
        <f>IF(C232="","",VLOOKUP(C232,[7]建物1802!$E$5:$AL$3275,$AH$232,FALSE))</f>
        <v>3.4000000000000002E-2</v>
      </c>
      <c r="AJ232" s="3329"/>
      <c r="AK232" s="3329"/>
      <c r="AL232" s="3330"/>
      <c r="AM232" s="2768">
        <f t="shared" ref="AM232:AM276" si="164">IF(AI232="","",L232*AI232)</f>
        <v>0.51</v>
      </c>
      <c r="AN232" s="2769"/>
      <c r="AO232" s="2769"/>
      <c r="AP232" s="2769"/>
      <c r="AQ232" s="2770"/>
      <c r="AR232" s="20"/>
      <c r="AS232" s="20"/>
      <c r="AT232" s="2271" t="str">
        <f>IF(B2=0,"","電工単価")</f>
        <v>電工単価</v>
      </c>
      <c r="AU232" s="2272"/>
      <c r="AV232" s="2272"/>
      <c r="AW232" s="2272"/>
      <c r="AX232" s="2272"/>
      <c r="AY232" s="2273"/>
      <c r="AZ232" s="2209">
        <f>IF($B$2=0,"",IF(BG232="",[6]原価!$AD$44,BG232))</f>
        <v>6000</v>
      </c>
      <c r="BA232" s="2210"/>
      <c r="BB232" s="2210"/>
      <c r="BC232" s="2210"/>
      <c r="BD232" s="2210"/>
      <c r="BE232" s="2211"/>
      <c r="BF232" s="31" t="s">
        <v>68</v>
      </c>
      <c r="BG232" s="2265"/>
      <c r="BH232" s="2266"/>
      <c r="BI232" s="2266"/>
      <c r="BJ232" s="2266"/>
      <c r="BK232" s="2266"/>
      <c r="BL232" s="2267"/>
      <c r="BM232" s="20"/>
      <c r="BN232" s="3334" t="s">
        <v>295</v>
      </c>
      <c r="BO232" s="3335"/>
      <c r="BP232" s="3336"/>
      <c r="BQ232" s="20"/>
      <c r="BR232" s="20"/>
      <c r="BS232" s="20"/>
      <c r="BT232" s="20"/>
      <c r="BU232" s="19"/>
      <c r="BW232" s="8">
        <v>1</v>
      </c>
      <c r="BY232" s="5" t="s">
        <v>809</v>
      </c>
      <c r="BZ232" s="5" t="s">
        <v>808</v>
      </c>
      <c r="DQ232" s="197">
        <f t="shared" si="158"/>
        <v>11</v>
      </c>
      <c r="DR232" s="197" t="str">
        <f t="shared" si="156"/>
        <v/>
      </c>
      <c r="DS232" s="10" t="str">
        <f t="shared" si="159"/>
        <v>アッテネータ 6W</v>
      </c>
      <c r="DT232" s="24"/>
      <c r="DU232" s="249" t="str">
        <f>IF(COUNTIF($DS$10:DS231,DS232)&gt;0,"",DS232)</f>
        <v/>
      </c>
      <c r="DV232" s="198">
        <f t="shared" si="160"/>
        <v>1</v>
      </c>
      <c r="DW232" s="514">
        <f t="shared" si="157"/>
        <v>5</v>
      </c>
    </row>
    <row r="233" spans="1:127" ht="11.25" customHeight="1">
      <c r="A233" s="3337"/>
      <c r="B233" s="23"/>
      <c r="C233" s="3331" t="str">
        <f t="shared" si="161"/>
        <v>HP 1.2mm-3C</v>
      </c>
      <c r="D233" s="3332"/>
      <c r="E233" s="3332"/>
      <c r="F233" s="3332"/>
      <c r="G233" s="3332"/>
      <c r="H233" s="3332"/>
      <c r="I233" s="3332"/>
      <c r="J233" s="3332"/>
      <c r="K233" s="3333"/>
      <c r="L233" s="2755">
        <f t="shared" si="162"/>
        <v>10424</v>
      </c>
      <c r="M233" s="2756"/>
      <c r="N233" s="2756"/>
      <c r="O233" s="2756"/>
      <c r="P233" s="2757"/>
      <c r="Q233" s="2542" t="str">
        <f>IF(C233="","",VLOOKUP(C233,[7]建物1802!$E$5:$AL$3275,2,FALSE))</f>
        <v>ｍ</v>
      </c>
      <c r="R233" s="2542"/>
      <c r="S233" s="2542"/>
      <c r="T233" s="2755">
        <f>IF(C233="","",VLOOKUP(C233,[7]建物1802!$E$5:$AL$3275,$AH$231,FALSE))</f>
        <v>66.599999999999994</v>
      </c>
      <c r="U233" s="2756"/>
      <c r="V233" s="2756"/>
      <c r="W233" s="2756"/>
      <c r="X233" s="2756"/>
      <c r="Y233" s="2756"/>
      <c r="Z233" s="3316">
        <f t="shared" si="163"/>
        <v>694238</v>
      </c>
      <c r="AA233" s="3317"/>
      <c r="AB233" s="3317"/>
      <c r="AC233" s="3317"/>
      <c r="AD233" s="3317"/>
      <c r="AE233" s="3317"/>
      <c r="AF233" s="3317"/>
      <c r="AG233" s="3318"/>
      <c r="AH233" s="250"/>
      <c r="AI233" s="3328">
        <f>IF(C233="","",VLOOKUP(C233,[7]建物1802!$E$5:$AL$3275,$AH$232,FALSE))</f>
        <v>1.7000000000000001E-2</v>
      </c>
      <c r="AJ233" s="3329"/>
      <c r="AK233" s="3329"/>
      <c r="AL233" s="3330"/>
      <c r="AM233" s="2768">
        <f t="shared" si="164"/>
        <v>177.20800000000003</v>
      </c>
      <c r="AN233" s="2769"/>
      <c r="AO233" s="2769"/>
      <c r="AP233" s="2769"/>
      <c r="AQ233" s="2770"/>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19"/>
      <c r="BW233" s="8">
        <v>2</v>
      </c>
      <c r="BY233" s="5" t="s">
        <v>807</v>
      </c>
      <c r="BZ233" s="5" t="s">
        <v>806</v>
      </c>
      <c r="DQ233" s="197">
        <f t="shared" si="158"/>
        <v>11</v>
      </c>
      <c r="DR233" s="197" t="str">
        <f t="shared" si="156"/>
        <v/>
      </c>
      <c r="DS233" s="10" t="str">
        <f t="shared" si="159"/>
        <v/>
      </c>
      <c r="DT233" s="24"/>
      <c r="DU233" s="249" t="str">
        <f>IF(COUNTIF($DS$10:DS232,DS233)&gt;0,"",DS233)</f>
        <v/>
      </c>
      <c r="DV233" s="198" t="str">
        <f t="shared" si="160"/>
        <v/>
      </c>
      <c r="DW233" s="514">
        <f t="shared" si="157"/>
        <v>5</v>
      </c>
    </row>
    <row r="234" spans="1:127" ht="11.25" customHeight="1">
      <c r="A234" s="3337"/>
      <c r="B234" s="23"/>
      <c r="C234" s="3331" t="str">
        <f t="shared" si="161"/>
        <v>HP 1.2mm- 25Pr</v>
      </c>
      <c r="D234" s="3332"/>
      <c r="E234" s="3332"/>
      <c r="F234" s="3332"/>
      <c r="G234" s="3332"/>
      <c r="H234" s="3332"/>
      <c r="I234" s="3332"/>
      <c r="J234" s="3332"/>
      <c r="K234" s="3333"/>
      <c r="L234" s="2755">
        <f t="shared" si="162"/>
        <v>15</v>
      </c>
      <c r="M234" s="2756"/>
      <c r="N234" s="2756"/>
      <c r="O234" s="2756"/>
      <c r="P234" s="2757"/>
      <c r="Q234" s="2542" t="str">
        <f>IF(C234="","",VLOOKUP(C234,[7]建物1802!$E$5:$AL$3275,2,FALSE))</f>
        <v>ｍ</v>
      </c>
      <c r="R234" s="2542"/>
      <c r="S234" s="2542"/>
      <c r="T234" s="2755">
        <f>IF(C234="","",VLOOKUP(C234,[7]建物1802!$E$5:$AL$3275,$AH$231,FALSE))</f>
        <v>1016</v>
      </c>
      <c r="U234" s="2756"/>
      <c r="V234" s="2756"/>
      <c r="W234" s="2756"/>
      <c r="X234" s="2756"/>
      <c r="Y234" s="2756"/>
      <c r="Z234" s="3316">
        <f t="shared" si="163"/>
        <v>15240</v>
      </c>
      <c r="AA234" s="3317"/>
      <c r="AB234" s="3317"/>
      <c r="AC234" s="3317"/>
      <c r="AD234" s="3317"/>
      <c r="AE234" s="3317"/>
      <c r="AF234" s="3317"/>
      <c r="AG234" s="3318"/>
      <c r="AH234" s="250"/>
      <c r="AI234" s="3328">
        <f>IF(C234="","",VLOOKUP(C234,[7]建物1802!$E$5:$AL$3275,$AH$232,FALSE))</f>
        <v>4.2999999999999997E-2</v>
      </c>
      <c r="AJ234" s="3329"/>
      <c r="AK234" s="3329"/>
      <c r="AL234" s="3330"/>
      <c r="AM234" s="2768">
        <f t="shared" si="164"/>
        <v>0.64499999999999991</v>
      </c>
      <c r="AN234" s="2769"/>
      <c r="AO234" s="2769"/>
      <c r="AP234" s="2769"/>
      <c r="AQ234" s="2770"/>
      <c r="AR234" s="42"/>
      <c r="AS234" s="42"/>
      <c r="AT234" s="2261">
        <f>B3</f>
        <v>12</v>
      </c>
      <c r="AU234" s="2261"/>
      <c r="AV234" s="2261"/>
      <c r="AW234" s="2274" t="str">
        <f>E3</f>
        <v xml:space="preserve"> 構内放送設備工事</v>
      </c>
      <c r="AX234" s="2274"/>
      <c r="AY234" s="2274"/>
      <c r="AZ234" s="2274"/>
      <c r="BA234" s="2274"/>
      <c r="BB234" s="2274"/>
      <c r="BC234" s="2274"/>
      <c r="BD234" s="2274"/>
      <c r="BE234" s="2274"/>
      <c r="BF234" s="2274"/>
      <c r="BG234" s="2274"/>
      <c r="BH234" s="2274"/>
      <c r="BI234" s="2274"/>
      <c r="BJ234" s="2274"/>
      <c r="BK234" s="2274"/>
      <c r="BL234" s="2274"/>
      <c r="BM234" s="244"/>
      <c r="BN234" s="244"/>
      <c r="BO234" s="244"/>
      <c r="BP234" s="244"/>
      <c r="BQ234" s="244"/>
      <c r="BR234" s="42"/>
      <c r="BS234" s="42"/>
      <c r="BT234" s="42"/>
      <c r="BU234" s="19"/>
      <c r="BW234" s="8">
        <v>3</v>
      </c>
      <c r="BY234" s="5" t="s">
        <v>805</v>
      </c>
      <c r="BZ234" s="5" t="s">
        <v>804</v>
      </c>
      <c r="DQ234" s="197">
        <f t="shared" si="158"/>
        <v>11</v>
      </c>
      <c r="DR234" s="197" t="str">
        <f t="shared" si="156"/>
        <v/>
      </c>
      <c r="DS234" s="10" t="str">
        <f t="shared" si="159"/>
        <v/>
      </c>
      <c r="DT234" s="24"/>
      <c r="DU234" s="249" t="str">
        <f>IF(COUNTIF($DS$10:DS233,DS234)&gt;0,"",DS234)</f>
        <v/>
      </c>
      <c r="DV234" s="198" t="str">
        <f t="shared" si="160"/>
        <v/>
      </c>
      <c r="DW234" s="514">
        <f t="shared" si="157"/>
        <v>5</v>
      </c>
    </row>
    <row r="235" spans="1:127" ht="11.25" customHeight="1">
      <c r="A235" s="3337"/>
      <c r="B235" s="23"/>
      <c r="C235" s="3331" t="str">
        <f t="shared" si="161"/>
        <v>HP 1.2mm-200Pr</v>
      </c>
      <c r="D235" s="3332"/>
      <c r="E235" s="3332"/>
      <c r="F235" s="3332"/>
      <c r="G235" s="3332"/>
      <c r="H235" s="3332"/>
      <c r="I235" s="3332"/>
      <c r="J235" s="3332"/>
      <c r="K235" s="3333"/>
      <c r="L235" s="2755">
        <f t="shared" si="162"/>
        <v>56.9</v>
      </c>
      <c r="M235" s="2756"/>
      <c r="N235" s="2756"/>
      <c r="O235" s="2756"/>
      <c r="P235" s="2757"/>
      <c r="Q235" s="2542" t="str">
        <f>IF(C235="","",VLOOKUP(C235,[7]建物1802!$E$5:$AL$3275,2,FALSE))</f>
        <v>ｍ</v>
      </c>
      <c r="R235" s="2542"/>
      <c r="S235" s="2542"/>
      <c r="T235" s="2755">
        <f>IF(C235="","",VLOOKUP(C235,[7]建物1802!$E$5:$AL$3275,$AH$231,FALSE))</f>
        <v>8080</v>
      </c>
      <c r="U235" s="2756"/>
      <c r="V235" s="2756"/>
      <c r="W235" s="2756"/>
      <c r="X235" s="2756"/>
      <c r="Y235" s="2756"/>
      <c r="Z235" s="3316">
        <f t="shared" si="163"/>
        <v>459752</v>
      </c>
      <c r="AA235" s="3317"/>
      <c r="AB235" s="3317"/>
      <c r="AC235" s="3317"/>
      <c r="AD235" s="3317"/>
      <c r="AE235" s="3317"/>
      <c r="AF235" s="3317"/>
      <c r="AG235" s="3318"/>
      <c r="AH235" s="250"/>
      <c r="AI235" s="3328">
        <f>IF(C235="","",VLOOKUP(C235,[7]建物1802!$E$5:$AL$3275,$AH$232,FALSE))</f>
        <v>0.151</v>
      </c>
      <c r="AJ235" s="3329"/>
      <c r="AK235" s="3329"/>
      <c r="AL235" s="3330"/>
      <c r="AM235" s="2768">
        <f t="shared" si="164"/>
        <v>8.591899999999999</v>
      </c>
      <c r="AN235" s="2769"/>
      <c r="AO235" s="2769"/>
      <c r="AP235" s="2769"/>
      <c r="AQ235" s="2770"/>
      <c r="AR235" s="244"/>
      <c r="AS235" s="244"/>
      <c r="AT235" s="2261" t="str">
        <f>IF(B2=0,"","配　線　材　料")</f>
        <v>配　線　材　料</v>
      </c>
      <c r="AU235" s="2261"/>
      <c r="AV235" s="2261"/>
      <c r="AW235" s="2261"/>
      <c r="AX235" s="2261"/>
      <c r="AY235" s="2261"/>
      <c r="AZ235" s="2261"/>
      <c r="BA235" s="2261"/>
      <c r="BB235" s="2261"/>
      <c r="BC235" s="2261"/>
      <c r="BD235" s="3358">
        <f>IF($B$2=0,"",IF(BI241="",1000*INT(Z278*1.3/1000),1000*INT(Z278*1.3*(1+BI241/100)/1000)))</f>
        <v>1676000</v>
      </c>
      <c r="BE235" s="3359"/>
      <c r="BF235" s="3359"/>
      <c r="BG235" s="3359"/>
      <c r="BH235" s="3359"/>
      <c r="BI235" s="3359"/>
      <c r="BJ235" s="3359"/>
      <c r="BK235" s="3359"/>
      <c r="BL235" s="3359"/>
      <c r="BM235" s="244"/>
      <c r="BN235" s="244"/>
      <c r="BO235" s="244"/>
      <c r="BP235" s="244"/>
      <c r="BQ235" s="244"/>
      <c r="BR235" s="244"/>
      <c r="BS235" s="244"/>
      <c r="BT235" s="244"/>
      <c r="BU235" s="19"/>
      <c r="BW235" s="8">
        <v>4</v>
      </c>
      <c r="BY235" s="25" t="s">
        <v>803</v>
      </c>
      <c r="BZ235" s="5" t="s">
        <v>802</v>
      </c>
      <c r="DP235" s="8"/>
      <c r="DQ235" s="197">
        <f t="shared" si="158"/>
        <v>11</v>
      </c>
      <c r="DR235" s="197" t="str">
        <f t="shared" si="156"/>
        <v/>
      </c>
      <c r="DS235" s="10" t="str">
        <f t="shared" si="159"/>
        <v/>
      </c>
      <c r="DT235" s="24"/>
      <c r="DU235" s="249" t="str">
        <f>IF(COUNTIF($DS$10:DS234,DS235)&gt;0,"",DS235)</f>
        <v/>
      </c>
      <c r="DV235" s="198" t="str">
        <f t="shared" si="160"/>
        <v/>
      </c>
      <c r="DW235" s="514">
        <f t="shared" si="157"/>
        <v>5</v>
      </c>
    </row>
    <row r="236" spans="1:127" ht="11.25" customHeight="1">
      <c r="A236" s="3337"/>
      <c r="B236" s="23"/>
      <c r="C236" s="3331" t="str">
        <f t="shared" si="161"/>
        <v>HP 1.2mm- 75Pr</v>
      </c>
      <c r="D236" s="3332"/>
      <c r="E236" s="3332"/>
      <c r="F236" s="3332"/>
      <c r="G236" s="3332"/>
      <c r="H236" s="3332"/>
      <c r="I236" s="3332"/>
      <c r="J236" s="3332"/>
      <c r="K236" s="3333"/>
      <c r="L236" s="2755">
        <f t="shared" si="162"/>
        <v>14</v>
      </c>
      <c r="M236" s="2756"/>
      <c r="N236" s="2756"/>
      <c r="O236" s="2756"/>
      <c r="P236" s="2757"/>
      <c r="Q236" s="2542" t="str">
        <f>IF(C236="","",VLOOKUP(C236,[7]建物1802!$E$5:$AL$3275,2,FALSE))</f>
        <v>ｍ</v>
      </c>
      <c r="R236" s="2542"/>
      <c r="S236" s="2542"/>
      <c r="T236" s="2755">
        <f>IF(C236="","",VLOOKUP(C236,[7]建物1802!$E$5:$AL$3275,$AH$231,FALSE))</f>
        <v>3004</v>
      </c>
      <c r="U236" s="2756"/>
      <c r="V236" s="2756"/>
      <c r="W236" s="2756"/>
      <c r="X236" s="2756"/>
      <c r="Y236" s="2756"/>
      <c r="Z236" s="3316">
        <f t="shared" si="163"/>
        <v>42056</v>
      </c>
      <c r="AA236" s="3317"/>
      <c r="AB236" s="3317"/>
      <c r="AC236" s="3317"/>
      <c r="AD236" s="3317"/>
      <c r="AE236" s="3317"/>
      <c r="AF236" s="3317"/>
      <c r="AG236" s="3318"/>
      <c r="AH236" s="250"/>
      <c r="AI236" s="3328">
        <f>IF(C236="","",VLOOKUP(C236,[7]建物1802!$E$5:$AL$3275,$AH$232,FALSE))</f>
        <v>8.2000000000000003E-2</v>
      </c>
      <c r="AJ236" s="3329"/>
      <c r="AK236" s="3329"/>
      <c r="AL236" s="3330"/>
      <c r="AM236" s="2768">
        <f t="shared" si="164"/>
        <v>1.1480000000000001</v>
      </c>
      <c r="AN236" s="2769"/>
      <c r="AO236" s="2769"/>
      <c r="AP236" s="2769"/>
      <c r="AQ236" s="2770"/>
      <c r="AR236" s="244"/>
      <c r="AS236" s="244"/>
      <c r="AT236" s="2261" t="str">
        <f>IF(B2=0,"","配　管　材　料")</f>
        <v>配　管　材　料</v>
      </c>
      <c r="AU236" s="2261"/>
      <c r="AV236" s="2261"/>
      <c r="AW236" s="2261"/>
      <c r="AX236" s="2261"/>
      <c r="AY236" s="2261"/>
      <c r="AZ236" s="2261"/>
      <c r="BA236" s="2261"/>
      <c r="BB236" s="2261"/>
      <c r="BC236" s="2261"/>
      <c r="BD236" s="3358">
        <f>IF($B$2=0,"",IF(BI242="",1000*INT(Z279*1.3/1000),1000*INT(Z279*1.3*(1+BI242/100)/1000)))</f>
        <v>1336000</v>
      </c>
      <c r="BE236" s="3359"/>
      <c r="BF236" s="3359"/>
      <c r="BG236" s="3359"/>
      <c r="BH236" s="3359"/>
      <c r="BI236" s="3359"/>
      <c r="BJ236" s="3359"/>
      <c r="BK236" s="3359"/>
      <c r="BL236" s="3359"/>
      <c r="BM236" s="244"/>
      <c r="BN236" s="244"/>
      <c r="BO236" s="244"/>
      <c r="BP236" s="244"/>
      <c r="BQ236" s="244"/>
      <c r="BR236" s="244"/>
      <c r="BS236" s="244"/>
      <c r="BT236" s="244"/>
      <c r="BU236" s="19"/>
      <c r="BW236" s="8">
        <v>5</v>
      </c>
      <c r="BY236" s="25" t="s">
        <v>801</v>
      </c>
      <c r="DP236" s="88">
        <v>17</v>
      </c>
      <c r="DQ236" s="45"/>
      <c r="DR236" s="45"/>
      <c r="DS236" s="45"/>
      <c r="DT236" s="45"/>
      <c r="DU236" s="45"/>
      <c r="DV236" s="45"/>
      <c r="DW236" s="45"/>
    </row>
    <row r="237" spans="1:127" ht="11.25" customHeight="1">
      <c r="A237" s="3337"/>
      <c r="B237" s="23"/>
      <c r="C237" s="3331" t="str">
        <f t="shared" si="161"/>
        <v>HP 1.2mm- 50Pr</v>
      </c>
      <c r="D237" s="3332"/>
      <c r="E237" s="3332"/>
      <c r="F237" s="3332"/>
      <c r="G237" s="3332"/>
      <c r="H237" s="3332"/>
      <c r="I237" s="3332"/>
      <c r="J237" s="3332"/>
      <c r="K237" s="3333"/>
      <c r="L237" s="2755">
        <f t="shared" si="162"/>
        <v>7</v>
      </c>
      <c r="M237" s="2756"/>
      <c r="N237" s="2756"/>
      <c r="O237" s="2756"/>
      <c r="P237" s="2757"/>
      <c r="Q237" s="2542" t="str">
        <f>IF(C237="","",VLOOKUP(C237,[7]建物1802!$E$5:$AL$3275,2,FALSE))</f>
        <v>ｍ</v>
      </c>
      <c r="R237" s="2542"/>
      <c r="S237" s="2542"/>
      <c r="T237" s="2755">
        <f>IF(C237="","",VLOOKUP(C237,[7]建物1802!$E$5:$AL$3275,$AH$231,FALSE))</f>
        <v>2033</v>
      </c>
      <c r="U237" s="2756"/>
      <c r="V237" s="2756"/>
      <c r="W237" s="2756"/>
      <c r="X237" s="2756"/>
      <c r="Y237" s="2756"/>
      <c r="Z237" s="3316">
        <f t="shared" si="163"/>
        <v>14231</v>
      </c>
      <c r="AA237" s="3317"/>
      <c r="AB237" s="3317"/>
      <c r="AC237" s="3317"/>
      <c r="AD237" s="3317"/>
      <c r="AE237" s="3317"/>
      <c r="AF237" s="3317"/>
      <c r="AG237" s="3318"/>
      <c r="AH237" s="250"/>
      <c r="AI237" s="3328">
        <f>IF(C237="","",VLOOKUP(C237,[7]建物1802!$E$5:$AL$3275,$AH$232,FALSE))</f>
        <v>6.2E-2</v>
      </c>
      <c r="AJ237" s="3329"/>
      <c r="AK237" s="3329"/>
      <c r="AL237" s="3330"/>
      <c r="AM237" s="2768">
        <f t="shared" si="164"/>
        <v>0.434</v>
      </c>
      <c r="AN237" s="2769"/>
      <c r="AO237" s="2769"/>
      <c r="AP237" s="2769"/>
      <c r="AQ237" s="2770"/>
      <c r="AR237" s="244"/>
      <c r="AS237" s="244"/>
      <c r="AT237" s="2261" t="str">
        <f>IF(B2=0,"","放　送　機　器")</f>
        <v>放　送　機　器</v>
      </c>
      <c r="AU237" s="2261"/>
      <c r="AV237" s="2261"/>
      <c r="AW237" s="2261"/>
      <c r="AX237" s="2261"/>
      <c r="AY237" s="2261"/>
      <c r="AZ237" s="2261"/>
      <c r="BA237" s="2261"/>
      <c r="BB237" s="2261"/>
      <c r="BC237" s="2261"/>
      <c r="BD237" s="3358">
        <f>IF($B$2=0,"",IF(BI243="",1000*INT(Z280/1000),1000*INT((1+BI243/100)*Z280/1000)))</f>
        <v>5554000</v>
      </c>
      <c r="BE237" s="3359"/>
      <c r="BF237" s="3359"/>
      <c r="BG237" s="3359"/>
      <c r="BH237" s="3359"/>
      <c r="BI237" s="3359"/>
      <c r="BJ237" s="3359"/>
      <c r="BK237" s="3359"/>
      <c r="BL237" s="3359"/>
      <c r="BM237" s="244"/>
      <c r="BN237" s="244"/>
      <c r="BO237" s="244"/>
      <c r="BP237" s="244"/>
      <c r="BQ237" s="244"/>
      <c r="BR237" s="244"/>
      <c r="BS237" s="244"/>
      <c r="BT237" s="244"/>
      <c r="BU237" s="19"/>
      <c r="BW237" s="8">
        <v>6</v>
      </c>
      <c r="DP237" s="8"/>
      <c r="DQ237" s="197">
        <f>IF(DU237&lt;&gt;"",DQ235+1,DQ235)</f>
        <v>11</v>
      </c>
      <c r="DR237" s="197" t="str">
        <f t="shared" ref="DR237:DR249" si="165">IF(AND(DQ237&lt;&gt;"",DU237&lt;&gt;""),DQ237,"")</f>
        <v/>
      </c>
      <c r="DS237" s="10" t="str">
        <f>CQ162</f>
        <v/>
      </c>
      <c r="DT237" s="8"/>
      <c r="DU237" s="249" t="str">
        <f>IF(COUNTIF($DS$10:DS236,DS237)&gt;0,"",DS237)</f>
        <v/>
      </c>
      <c r="DV237" s="198" t="str">
        <f>CS162</f>
        <v/>
      </c>
      <c r="DW237" s="514">
        <f t="shared" ref="DW237:DW249" si="166">SUMIF($DS$13:$DS$344,DU237,$DV$13:$DV$344)</f>
        <v>5</v>
      </c>
    </row>
    <row r="238" spans="1:127" ht="11.25" customHeight="1">
      <c r="A238" s="3337"/>
      <c r="B238" s="23"/>
      <c r="C238" s="3331" t="str">
        <f t="shared" si="161"/>
        <v>HP 1.2mm- 40Pr</v>
      </c>
      <c r="D238" s="3332"/>
      <c r="E238" s="3332"/>
      <c r="F238" s="3332"/>
      <c r="G238" s="3332"/>
      <c r="H238" s="3332"/>
      <c r="I238" s="3332"/>
      <c r="J238" s="3332"/>
      <c r="K238" s="3333"/>
      <c r="L238" s="2755">
        <f t="shared" si="162"/>
        <v>14</v>
      </c>
      <c r="M238" s="2756"/>
      <c r="N238" s="2756"/>
      <c r="O238" s="2756"/>
      <c r="P238" s="2757"/>
      <c r="Q238" s="2542" t="str">
        <f>IF(C238="","",VLOOKUP(C238,[7]建物1802!$E$5:$AL$3275,2,FALSE))</f>
        <v>ｍ</v>
      </c>
      <c r="R238" s="2542"/>
      <c r="S238" s="2542"/>
      <c r="T238" s="2755">
        <f>IF(C238="","",VLOOKUP(C238,[7]建物1802!$E$5:$AL$3275,$AH$231,FALSE))</f>
        <v>1627</v>
      </c>
      <c r="U238" s="2756"/>
      <c r="V238" s="2756"/>
      <c r="W238" s="2756"/>
      <c r="X238" s="2756"/>
      <c r="Y238" s="2756"/>
      <c r="Z238" s="3316">
        <f t="shared" si="163"/>
        <v>22778</v>
      </c>
      <c r="AA238" s="3317"/>
      <c r="AB238" s="3317"/>
      <c r="AC238" s="3317"/>
      <c r="AD238" s="3317"/>
      <c r="AE238" s="3317"/>
      <c r="AF238" s="3317"/>
      <c r="AG238" s="3318"/>
      <c r="AH238" s="250"/>
      <c r="AI238" s="3328">
        <f>IF(C238="","",VLOOKUP(C238,[7]建物1802!$E$5:$AL$3275,$AH$232,FALSE))</f>
        <v>5.3999999999999999E-2</v>
      </c>
      <c r="AJ238" s="3329"/>
      <c r="AK238" s="3329"/>
      <c r="AL238" s="3330"/>
      <c r="AM238" s="2768">
        <f t="shared" si="164"/>
        <v>0.75600000000000001</v>
      </c>
      <c r="AN238" s="2769"/>
      <c r="AO238" s="2769"/>
      <c r="AP238" s="2769"/>
      <c r="AQ238" s="2770"/>
      <c r="AR238" s="244"/>
      <c r="AS238" s="244"/>
      <c r="AT238" s="2261" t="str">
        <f>IF(B2=0,"","電 　　工　　費")</f>
        <v>電 　　工　　費</v>
      </c>
      <c r="AU238" s="2261"/>
      <c r="AV238" s="2261"/>
      <c r="AW238" s="2261"/>
      <c r="AX238" s="2261"/>
      <c r="AY238" s="2261"/>
      <c r="AZ238" s="2261"/>
      <c r="BA238" s="2261"/>
      <c r="BB238" s="2261"/>
      <c r="BC238" s="2261"/>
      <c r="BD238" s="3358">
        <f>IF($B$2=0,"",1000*INT(1.15*AK278*AZ232/1000))</f>
        <v>4614000</v>
      </c>
      <c r="BE238" s="3359"/>
      <c r="BF238" s="3359"/>
      <c r="BG238" s="3359"/>
      <c r="BH238" s="3359"/>
      <c r="BI238" s="3359"/>
      <c r="BJ238" s="3359"/>
      <c r="BK238" s="3359"/>
      <c r="BL238" s="3359"/>
      <c r="BM238" s="244"/>
      <c r="BN238" s="244"/>
      <c r="BO238" s="244"/>
      <c r="BP238" s="244"/>
      <c r="BQ238" s="244"/>
      <c r="BR238" s="244"/>
      <c r="BS238" s="244"/>
      <c r="BT238" s="244"/>
      <c r="BU238" s="19"/>
      <c r="BW238" s="8">
        <v>7</v>
      </c>
      <c r="DP238" s="8"/>
      <c r="DQ238" s="197">
        <f t="shared" ref="DQ238:DQ249" si="167">IF(DU238&lt;&gt;"",DQ237+1,DQ237)</f>
        <v>11</v>
      </c>
      <c r="DR238" s="197" t="str">
        <f t="shared" si="165"/>
        <v/>
      </c>
      <c r="DS238" s="10" t="str">
        <f>CQ163</f>
        <v/>
      </c>
      <c r="DT238" s="8"/>
      <c r="DU238" s="249" t="str">
        <f>IF(COUNTIF($DS$10:DS237,DS238)&gt;0,"",DS238)</f>
        <v/>
      </c>
      <c r="DV238" s="198" t="str">
        <f>CS163</f>
        <v/>
      </c>
      <c r="DW238" s="514">
        <f t="shared" si="166"/>
        <v>5</v>
      </c>
    </row>
    <row r="239" spans="1:127" ht="11.25" customHeight="1">
      <c r="A239" s="3337"/>
      <c r="B239" s="23"/>
      <c r="C239" s="3331" t="str">
        <f t="shared" si="161"/>
        <v>HP 1.2mm- 30Pr</v>
      </c>
      <c r="D239" s="3332"/>
      <c r="E239" s="3332"/>
      <c r="F239" s="3332"/>
      <c r="G239" s="3332"/>
      <c r="H239" s="3332"/>
      <c r="I239" s="3332"/>
      <c r="J239" s="3332"/>
      <c r="K239" s="3333"/>
      <c r="L239" s="2755">
        <f t="shared" si="162"/>
        <v>14</v>
      </c>
      <c r="M239" s="2756"/>
      <c r="N239" s="2756"/>
      <c r="O239" s="2756"/>
      <c r="P239" s="2757"/>
      <c r="Q239" s="2542" t="str">
        <f>IF(C239="","",VLOOKUP(C239,[7]建物1802!$E$5:$AL$3275,2,FALSE))</f>
        <v>ｍ</v>
      </c>
      <c r="R239" s="2542"/>
      <c r="S239" s="2542"/>
      <c r="T239" s="2755">
        <f>IF(C239="","",VLOOKUP(C239,[7]建物1802!$E$5:$AL$3275,$AH$231,FALSE))</f>
        <v>1232</v>
      </c>
      <c r="U239" s="2756"/>
      <c r="V239" s="2756"/>
      <c r="W239" s="2756"/>
      <c r="X239" s="2756"/>
      <c r="Y239" s="2756"/>
      <c r="Z239" s="3316">
        <f t="shared" si="163"/>
        <v>17248</v>
      </c>
      <c r="AA239" s="3317"/>
      <c r="AB239" s="3317"/>
      <c r="AC239" s="3317"/>
      <c r="AD239" s="3317"/>
      <c r="AE239" s="3317"/>
      <c r="AF239" s="3317"/>
      <c r="AG239" s="3318"/>
      <c r="AH239" s="250"/>
      <c r="AI239" s="3328">
        <f>IF(C239="","",VLOOKUP(C239,[7]建物1802!$E$5:$AL$3275,$AH$232,FALSE))</f>
        <v>4.5999999999999999E-2</v>
      </c>
      <c r="AJ239" s="3329"/>
      <c r="AK239" s="3329"/>
      <c r="AL239" s="3330"/>
      <c r="AM239" s="2768">
        <f t="shared" si="164"/>
        <v>0.64400000000000002</v>
      </c>
      <c r="AN239" s="2769"/>
      <c r="AO239" s="2769"/>
      <c r="AP239" s="2769"/>
      <c r="AQ239" s="2770"/>
      <c r="AR239" s="244"/>
      <c r="AS239" s="244"/>
      <c r="AT239" s="2261">
        <f>AT234</f>
        <v>12</v>
      </c>
      <c r="AU239" s="2261"/>
      <c r="AV239" s="2261"/>
      <c r="AW239" s="2274" t="str">
        <f>IF(AT239="","","　の 計")</f>
        <v>　の 計</v>
      </c>
      <c r="AX239" s="2274"/>
      <c r="AY239" s="2274"/>
      <c r="AZ239" s="2274"/>
      <c r="BA239" s="2274"/>
      <c r="BB239" s="2274"/>
      <c r="BC239" s="2274"/>
      <c r="BD239" s="3358">
        <f>IF($B$2=0,"",SUM(BD235:BL238))</f>
        <v>13180000</v>
      </c>
      <c r="BE239" s="3359"/>
      <c r="BF239" s="3359"/>
      <c r="BG239" s="3359"/>
      <c r="BH239" s="3359"/>
      <c r="BI239" s="3359"/>
      <c r="BJ239" s="3359"/>
      <c r="BK239" s="3359"/>
      <c r="BL239" s="3359"/>
      <c r="BM239" s="244"/>
      <c r="BN239" s="244"/>
      <c r="BO239" s="244"/>
      <c r="BP239" s="244"/>
      <c r="BQ239" s="244"/>
      <c r="BR239" s="244"/>
      <c r="BS239" s="244"/>
      <c r="BT239" s="244"/>
      <c r="BU239" s="19"/>
      <c r="BW239" s="8">
        <v>8</v>
      </c>
      <c r="DP239" s="8"/>
      <c r="DQ239" s="197">
        <f t="shared" si="167"/>
        <v>11</v>
      </c>
      <c r="DR239" s="197" t="str">
        <f t="shared" si="165"/>
        <v/>
      </c>
      <c r="DS239" s="10" t="str">
        <f>CQ164</f>
        <v/>
      </c>
      <c r="DT239" s="8"/>
      <c r="DU239" s="249" t="str">
        <f>IF(COUNTIF($DS$10:DS238,DS239)&gt;0,"",DS239)</f>
        <v/>
      </c>
      <c r="DV239" s="198" t="str">
        <f>CS164</f>
        <v/>
      </c>
      <c r="DW239" s="514">
        <f t="shared" si="166"/>
        <v>5</v>
      </c>
    </row>
    <row r="240" spans="1:127" ht="11.25" customHeight="1">
      <c r="A240" s="3337"/>
      <c r="B240" s="23"/>
      <c r="C240" s="3331" t="str">
        <f t="shared" si="161"/>
        <v>HP 1.2mm- 20Pr</v>
      </c>
      <c r="D240" s="3332"/>
      <c r="E240" s="3332"/>
      <c r="F240" s="3332"/>
      <c r="G240" s="3332"/>
      <c r="H240" s="3332"/>
      <c r="I240" s="3332"/>
      <c r="J240" s="3332"/>
      <c r="K240" s="3333"/>
      <c r="L240" s="2755">
        <f t="shared" si="162"/>
        <v>7</v>
      </c>
      <c r="M240" s="2756"/>
      <c r="N240" s="2756"/>
      <c r="O240" s="2756"/>
      <c r="P240" s="2757"/>
      <c r="Q240" s="2542" t="str">
        <f>IF(C240="","",VLOOKUP(C240,[7]建物1802!$E$5:$AL$3275,2,FALSE))</f>
        <v>ｍ</v>
      </c>
      <c r="R240" s="2542"/>
      <c r="S240" s="2542"/>
      <c r="T240" s="2755">
        <f>IF(C240="","",VLOOKUP(C240,[7]建物1802!$E$5:$AL$3275,$AH$231,FALSE))</f>
        <v>831</v>
      </c>
      <c r="U240" s="2756"/>
      <c r="V240" s="2756"/>
      <c r="W240" s="2756"/>
      <c r="X240" s="2756"/>
      <c r="Y240" s="2756"/>
      <c r="Z240" s="3316">
        <f t="shared" si="163"/>
        <v>5817</v>
      </c>
      <c r="AA240" s="3317"/>
      <c r="AB240" s="3317"/>
      <c r="AC240" s="3317"/>
      <c r="AD240" s="3317"/>
      <c r="AE240" s="3317"/>
      <c r="AF240" s="3317"/>
      <c r="AG240" s="3318"/>
      <c r="AH240" s="250"/>
      <c r="AI240" s="3328">
        <f>IF(C240="","",VLOOKUP(C240,[7]建物1802!$E$5:$AL$3275,$AH$232,FALSE))</f>
        <v>3.9E-2</v>
      </c>
      <c r="AJ240" s="3329"/>
      <c r="AK240" s="3329"/>
      <c r="AL240" s="3330"/>
      <c r="AM240" s="2768">
        <f t="shared" si="164"/>
        <v>0.27300000000000002</v>
      </c>
      <c r="AN240" s="2769"/>
      <c r="AO240" s="2769"/>
      <c r="AP240" s="2769"/>
      <c r="AQ240" s="2770"/>
      <c r="AR240" s="244"/>
      <c r="AS240" s="244"/>
      <c r="AT240" s="244"/>
      <c r="AU240" s="244"/>
      <c r="AV240" s="244"/>
      <c r="AW240" s="244"/>
      <c r="AX240" s="244"/>
      <c r="AY240" s="244"/>
      <c r="AZ240" s="244"/>
      <c r="BA240" s="244"/>
      <c r="BB240" s="244"/>
      <c r="BC240" s="244"/>
      <c r="BD240" s="244"/>
      <c r="BE240" s="244"/>
      <c r="BF240" s="244"/>
      <c r="BG240" s="244"/>
      <c r="BH240" s="244"/>
      <c r="BI240" s="244"/>
      <c r="BJ240" s="244"/>
      <c r="BK240" s="244"/>
      <c r="BL240" s="244"/>
      <c r="BM240" s="244"/>
      <c r="BN240" s="244"/>
      <c r="BO240" s="244"/>
      <c r="BP240" s="244"/>
      <c r="BQ240" s="244"/>
      <c r="BR240" s="244"/>
      <c r="BS240" s="244"/>
      <c r="BT240" s="244"/>
      <c r="BU240" s="19"/>
      <c r="BW240" s="8">
        <v>9</v>
      </c>
      <c r="DP240" s="8"/>
      <c r="DQ240" s="197">
        <f t="shared" si="167"/>
        <v>11</v>
      </c>
      <c r="DR240" s="197" t="str">
        <f t="shared" si="165"/>
        <v/>
      </c>
      <c r="DS240" s="10" t="str">
        <f>CQ166</f>
        <v/>
      </c>
      <c r="DT240" s="8"/>
      <c r="DU240" s="249" t="str">
        <f>IF(COUNTIF($DS$10:DS239,DS240)&gt;0,"",DS240)</f>
        <v/>
      </c>
      <c r="DV240" s="198" t="str">
        <f>CS166</f>
        <v/>
      </c>
      <c r="DW240" s="514">
        <f t="shared" si="166"/>
        <v>5</v>
      </c>
    </row>
    <row r="241" spans="1:127" ht="11.25" customHeight="1">
      <c r="A241" s="3337"/>
      <c r="B241" s="23"/>
      <c r="C241" s="3331" t="str">
        <f t="shared" si="161"/>
        <v>HP 1.2mm- 10Pr</v>
      </c>
      <c r="D241" s="3332"/>
      <c r="E241" s="3332"/>
      <c r="F241" s="3332"/>
      <c r="G241" s="3332"/>
      <c r="H241" s="3332"/>
      <c r="I241" s="3332"/>
      <c r="J241" s="3332"/>
      <c r="K241" s="3333"/>
      <c r="L241" s="2755">
        <f t="shared" si="162"/>
        <v>21</v>
      </c>
      <c r="M241" s="2756"/>
      <c r="N241" s="2756"/>
      <c r="O241" s="2756"/>
      <c r="P241" s="2757"/>
      <c r="Q241" s="2542" t="str">
        <f>IF(C241="","",VLOOKUP(C241,[7]建物1802!$E$5:$AL$3275,2,FALSE))</f>
        <v>ｍ</v>
      </c>
      <c r="R241" s="2542"/>
      <c r="S241" s="2542"/>
      <c r="T241" s="2755">
        <f>IF(C241="","",VLOOKUP(C241,[7]建物1802!$E$5:$AL$3275,$AH$231,FALSE))</f>
        <v>422</v>
      </c>
      <c r="U241" s="2756"/>
      <c r="V241" s="2756"/>
      <c r="W241" s="2756"/>
      <c r="X241" s="2756"/>
      <c r="Y241" s="2756"/>
      <c r="Z241" s="3316">
        <f t="shared" si="163"/>
        <v>8862</v>
      </c>
      <c r="AA241" s="3317"/>
      <c r="AB241" s="3317"/>
      <c r="AC241" s="3317"/>
      <c r="AD241" s="3317"/>
      <c r="AE241" s="3317"/>
      <c r="AF241" s="3317"/>
      <c r="AG241" s="3318"/>
      <c r="AH241" s="250"/>
      <c r="AI241" s="3328">
        <f>IF(C241="","",VLOOKUP(C241,[7]建物1802!$E$5:$AL$3275,$AH$232,FALSE))</f>
        <v>3.1E-2</v>
      </c>
      <c r="AJ241" s="3329"/>
      <c r="AK241" s="3329"/>
      <c r="AL241" s="3330"/>
      <c r="AM241" s="2768">
        <f t="shared" si="164"/>
        <v>0.65100000000000002</v>
      </c>
      <c r="AN241" s="2769"/>
      <c r="AO241" s="2769"/>
      <c r="AP241" s="2769"/>
      <c r="AQ241" s="2770"/>
      <c r="AR241" s="244"/>
      <c r="AS241" s="244"/>
      <c r="AT241" s="2261" t="str">
        <f>IF(B2=0,"",AT235)</f>
        <v>配　線　材　料</v>
      </c>
      <c r="AU241" s="2261"/>
      <c r="AV241" s="2261"/>
      <c r="AW241" s="2261"/>
      <c r="AX241" s="2261"/>
      <c r="AY241" s="2261"/>
      <c r="AZ241" s="2261"/>
      <c r="BA241" s="2261"/>
      <c r="BB241" s="2261"/>
      <c r="BC241" s="2261"/>
      <c r="BD241" s="31" t="s">
        <v>68</v>
      </c>
      <c r="BE241" s="2262" t="str">
        <f>IF(B2=0,"","掛率％")</f>
        <v>掛率％</v>
      </c>
      <c r="BF241" s="2262"/>
      <c r="BG241" s="2262"/>
      <c r="BH241" s="2262"/>
      <c r="BI241" s="2754"/>
      <c r="BJ241" s="2754"/>
      <c r="BK241" s="2754"/>
      <c r="BL241" s="2754"/>
      <c r="BM241" s="3358" t="str">
        <f>IF(BI241="","",1000*INT(1.3*Z278/1000))</f>
        <v/>
      </c>
      <c r="BN241" s="3358"/>
      <c r="BO241" s="3358"/>
      <c r="BP241" s="3358"/>
      <c r="BQ241" s="3358"/>
      <c r="BR241" s="3358"/>
      <c r="BS241" s="3358"/>
      <c r="BT241" s="3358"/>
      <c r="BU241" s="19"/>
      <c r="BW241" s="8">
        <v>10</v>
      </c>
      <c r="DP241" s="8"/>
      <c r="DQ241" s="197">
        <f t="shared" si="167"/>
        <v>11</v>
      </c>
      <c r="DR241" s="197" t="str">
        <f t="shared" si="165"/>
        <v/>
      </c>
      <c r="DS241" s="10" t="str">
        <f>CQ167</f>
        <v/>
      </c>
      <c r="DT241" s="8"/>
      <c r="DU241" s="249" t="str">
        <f>IF(COUNTIF($DS$10:DS240,DS241)&gt;0,"",DS241)</f>
        <v/>
      </c>
      <c r="DV241" s="198" t="str">
        <f>CS167</f>
        <v/>
      </c>
      <c r="DW241" s="514">
        <f t="shared" si="166"/>
        <v>5</v>
      </c>
    </row>
    <row r="242" spans="1:127" ht="11.25" customHeight="1">
      <c r="A242" s="3337"/>
      <c r="B242" s="23"/>
      <c r="C242" s="3331" t="str">
        <f t="shared" si="161"/>
        <v/>
      </c>
      <c r="D242" s="3332"/>
      <c r="E242" s="3332"/>
      <c r="F242" s="3332"/>
      <c r="G242" s="3332"/>
      <c r="H242" s="3332"/>
      <c r="I242" s="3332"/>
      <c r="J242" s="3332"/>
      <c r="K242" s="3333"/>
      <c r="L242" s="2755" t="str">
        <f t="shared" si="162"/>
        <v/>
      </c>
      <c r="M242" s="2756"/>
      <c r="N242" s="2756"/>
      <c r="O242" s="2756"/>
      <c r="P242" s="2757"/>
      <c r="Q242" s="2542" t="str">
        <f>IF(C242="","",VLOOKUP(C242,[7]建物1802!$E$5:$AL$3275,2,FALSE))</f>
        <v/>
      </c>
      <c r="R242" s="2542"/>
      <c r="S242" s="2542"/>
      <c r="T242" s="2755" t="str">
        <f>IF(C242="","",VLOOKUP(C242,[7]建物1802!$E$5:$AL$3275,$AH$231,FALSE))</f>
        <v/>
      </c>
      <c r="U242" s="2756"/>
      <c r="V242" s="2756"/>
      <c r="W242" s="2756"/>
      <c r="X242" s="2756"/>
      <c r="Y242" s="2756"/>
      <c r="Z242" s="3316" t="str">
        <f t="shared" si="163"/>
        <v/>
      </c>
      <c r="AA242" s="3317"/>
      <c r="AB242" s="3317"/>
      <c r="AC242" s="3317"/>
      <c r="AD242" s="3317"/>
      <c r="AE242" s="3317"/>
      <c r="AF242" s="3317"/>
      <c r="AG242" s="3318"/>
      <c r="AH242" s="250"/>
      <c r="AI242" s="3328" t="str">
        <f>IF(C242="","",VLOOKUP(C242,[7]建物1802!$E$5:$AL$3275,$AH$232,FALSE))</f>
        <v/>
      </c>
      <c r="AJ242" s="3329"/>
      <c r="AK242" s="3329"/>
      <c r="AL242" s="3330"/>
      <c r="AM242" s="2768" t="str">
        <f t="shared" si="164"/>
        <v/>
      </c>
      <c r="AN242" s="2769"/>
      <c r="AO242" s="2769"/>
      <c r="AP242" s="2769"/>
      <c r="AQ242" s="2770"/>
      <c r="AR242" s="244"/>
      <c r="AS242" s="244"/>
      <c r="AT242" s="2261" t="str">
        <f>IF(B2=0,"",AT236)</f>
        <v>配　管　材　料</v>
      </c>
      <c r="AU242" s="2261"/>
      <c r="AV242" s="2261"/>
      <c r="AW242" s="2261"/>
      <c r="AX242" s="2261"/>
      <c r="AY242" s="2261"/>
      <c r="AZ242" s="2261"/>
      <c r="BA242" s="2261"/>
      <c r="BB242" s="2261"/>
      <c r="BC242" s="2261"/>
      <c r="BD242" s="36" t="s">
        <v>68</v>
      </c>
      <c r="BE242" s="2262" t="str">
        <f>IF(B2=0,"","掛率％")</f>
        <v>掛率％</v>
      </c>
      <c r="BF242" s="2262"/>
      <c r="BG242" s="2262"/>
      <c r="BH242" s="2262"/>
      <c r="BI242" s="2754"/>
      <c r="BJ242" s="2754"/>
      <c r="BK242" s="2754"/>
      <c r="BL242" s="2754"/>
      <c r="BM242" s="3358" t="str">
        <f>IF(BI242="","",1000*INT(Z279/1000))</f>
        <v/>
      </c>
      <c r="BN242" s="3358"/>
      <c r="BO242" s="3358"/>
      <c r="BP242" s="3358"/>
      <c r="BQ242" s="3358"/>
      <c r="BR242" s="3358"/>
      <c r="BS242" s="3358"/>
      <c r="BT242" s="3358"/>
      <c r="BU242" s="19"/>
      <c r="BW242" s="8">
        <v>11</v>
      </c>
      <c r="DQ242" s="197">
        <f t="shared" si="167"/>
        <v>11</v>
      </c>
      <c r="DR242" s="197" t="str">
        <f t="shared" si="165"/>
        <v/>
      </c>
      <c r="DS242" s="10" t="str">
        <f>CQ169</f>
        <v/>
      </c>
      <c r="DT242" s="24"/>
      <c r="DU242" s="249" t="str">
        <f>IF(COUNTIF($DS$10:DS241,DS242)&gt;0,"",DS242)</f>
        <v/>
      </c>
      <c r="DV242" s="198" t="str">
        <f>CS169</f>
        <v/>
      </c>
      <c r="DW242" s="514">
        <f t="shared" si="166"/>
        <v>5</v>
      </c>
    </row>
    <row r="243" spans="1:127" ht="11.25" customHeight="1">
      <c r="A243" s="3337"/>
      <c r="B243" s="23"/>
      <c r="C243" s="3331" t="str">
        <f t="shared" si="161"/>
        <v/>
      </c>
      <c r="D243" s="3332"/>
      <c r="E243" s="3332"/>
      <c r="F243" s="3332"/>
      <c r="G243" s="3332"/>
      <c r="H243" s="3332"/>
      <c r="I243" s="3332"/>
      <c r="J243" s="3332"/>
      <c r="K243" s="3333"/>
      <c r="L243" s="2755" t="str">
        <f t="shared" si="162"/>
        <v/>
      </c>
      <c r="M243" s="2756"/>
      <c r="N243" s="2756"/>
      <c r="O243" s="2756"/>
      <c r="P243" s="2757"/>
      <c r="Q243" s="2542" t="str">
        <f>IF(C243="","",VLOOKUP(C243,[7]建物1802!$E$5:$AL$3275,2,FALSE))</f>
        <v/>
      </c>
      <c r="R243" s="2542"/>
      <c r="S243" s="2542"/>
      <c r="T243" s="2755" t="str">
        <f>IF(C243="","",VLOOKUP(C243,[7]建物1802!$E$5:$AL$3275,$AH$231,FALSE))</f>
        <v/>
      </c>
      <c r="U243" s="2756"/>
      <c r="V243" s="2756"/>
      <c r="W243" s="2756"/>
      <c r="X243" s="2756"/>
      <c r="Y243" s="2756"/>
      <c r="Z243" s="3316" t="str">
        <f t="shared" si="163"/>
        <v/>
      </c>
      <c r="AA243" s="3317"/>
      <c r="AB243" s="3317"/>
      <c r="AC243" s="3317"/>
      <c r="AD243" s="3317"/>
      <c r="AE243" s="3317"/>
      <c r="AF243" s="3317"/>
      <c r="AG243" s="3318"/>
      <c r="AH243" s="250"/>
      <c r="AI243" s="3328" t="str">
        <f>IF(C243="","",VLOOKUP(C243,[7]建物1802!$E$5:$AL$3275,$AH$232,FALSE))</f>
        <v/>
      </c>
      <c r="AJ243" s="3329"/>
      <c r="AK243" s="3329"/>
      <c r="AL243" s="3330"/>
      <c r="AM243" s="2768" t="str">
        <f t="shared" si="164"/>
        <v/>
      </c>
      <c r="AN243" s="2769"/>
      <c r="AO243" s="2769"/>
      <c r="AP243" s="2769"/>
      <c r="AQ243" s="2770"/>
      <c r="AR243" s="244"/>
      <c r="AS243" s="244"/>
      <c r="AT243" s="2261" t="str">
        <f>IF(B2=0,"",AT237)</f>
        <v>放　送　機　器</v>
      </c>
      <c r="AU243" s="2261"/>
      <c r="AV243" s="2261"/>
      <c r="AW243" s="2261"/>
      <c r="AX243" s="2261"/>
      <c r="AY243" s="2261"/>
      <c r="AZ243" s="2261"/>
      <c r="BA243" s="2261"/>
      <c r="BB243" s="2261"/>
      <c r="BC243" s="2261"/>
      <c r="BD243" s="36" t="s">
        <v>68</v>
      </c>
      <c r="BE243" s="2262" t="str">
        <f>IF(B2=0,"","掛率％")</f>
        <v>掛率％</v>
      </c>
      <c r="BF243" s="2262"/>
      <c r="BG243" s="2262"/>
      <c r="BH243" s="2262"/>
      <c r="BI243" s="3489"/>
      <c r="BJ243" s="3490"/>
      <c r="BK243" s="3490"/>
      <c r="BL243" s="3491"/>
      <c r="BM243" s="3358" t="str">
        <f>IF(BI243="","",1000*INT(Z280/1000))</f>
        <v/>
      </c>
      <c r="BN243" s="3358"/>
      <c r="BO243" s="3358"/>
      <c r="BP243" s="3358"/>
      <c r="BQ243" s="3358"/>
      <c r="BR243" s="3358"/>
      <c r="BS243" s="3358"/>
      <c r="BT243" s="3358"/>
      <c r="BU243" s="19"/>
      <c r="BW243" s="8">
        <v>12</v>
      </c>
      <c r="DQ243" s="197">
        <f t="shared" si="167"/>
        <v>11</v>
      </c>
      <c r="DR243" s="197" t="str">
        <f t="shared" si="165"/>
        <v/>
      </c>
      <c r="DS243" s="201" t="str">
        <f>CQ170</f>
        <v>ソノライン・スピーカ 20W</v>
      </c>
      <c r="DT243" s="24"/>
      <c r="DU243" s="249" t="str">
        <f>IF(COUNTIF($DS$10:DS242,DS243)&gt;0,"",DS243)</f>
        <v/>
      </c>
      <c r="DV243" s="198">
        <f>CS170</f>
        <v>0</v>
      </c>
      <c r="DW243" s="514">
        <f t="shared" si="166"/>
        <v>5</v>
      </c>
    </row>
    <row r="244" spans="1:127" ht="11.25" customHeight="1" thickBot="1">
      <c r="A244" s="3337"/>
      <c r="B244" s="23"/>
      <c r="C244" s="3331" t="str">
        <f t="shared" si="161"/>
        <v/>
      </c>
      <c r="D244" s="3332"/>
      <c r="E244" s="3332"/>
      <c r="F244" s="3332"/>
      <c r="G244" s="3332"/>
      <c r="H244" s="3332"/>
      <c r="I244" s="3332"/>
      <c r="J244" s="3332"/>
      <c r="K244" s="3333"/>
      <c r="L244" s="2755" t="str">
        <f t="shared" si="162"/>
        <v/>
      </c>
      <c r="M244" s="2756"/>
      <c r="N244" s="2756"/>
      <c r="O244" s="2756"/>
      <c r="P244" s="2757"/>
      <c r="Q244" s="2542" t="str">
        <f>IF(C244="","",VLOOKUP(C244,[7]建物1802!$E$5:$AL$3275,2,FALSE))</f>
        <v/>
      </c>
      <c r="R244" s="2542"/>
      <c r="S244" s="2542"/>
      <c r="T244" s="2755" t="str">
        <f>IF(C244="","",VLOOKUP(C244,[7]建物1802!$E$5:$AL$3275,$AH$231,FALSE))</f>
        <v/>
      </c>
      <c r="U244" s="2756"/>
      <c r="V244" s="2756"/>
      <c r="W244" s="2756"/>
      <c r="X244" s="2756"/>
      <c r="Y244" s="2756"/>
      <c r="Z244" s="3316" t="str">
        <f t="shared" si="163"/>
        <v/>
      </c>
      <c r="AA244" s="3317"/>
      <c r="AB244" s="3317"/>
      <c r="AC244" s="3317"/>
      <c r="AD244" s="3317"/>
      <c r="AE244" s="3317"/>
      <c r="AF244" s="3317"/>
      <c r="AG244" s="3318"/>
      <c r="AH244" s="250"/>
      <c r="AI244" s="3328" t="str">
        <f>IF(C244="","",VLOOKUP(C244,[7]建物1802!$E$5:$AL$3275,$AH$232,FALSE))</f>
        <v/>
      </c>
      <c r="AJ244" s="3329"/>
      <c r="AK244" s="3329"/>
      <c r="AL244" s="3330"/>
      <c r="AM244" s="2768" t="str">
        <f t="shared" si="164"/>
        <v/>
      </c>
      <c r="AN244" s="2769"/>
      <c r="AO244" s="2769"/>
      <c r="AP244" s="2769"/>
      <c r="AQ244" s="2770"/>
      <c r="AR244" s="244"/>
      <c r="AS244" s="244"/>
      <c r="AT244" s="28"/>
      <c r="AU244" s="28"/>
      <c r="AV244" s="28"/>
      <c r="AW244" s="28"/>
      <c r="AX244" s="28"/>
      <c r="AY244" s="28"/>
      <c r="AZ244" s="28"/>
      <c r="BA244" s="28"/>
      <c r="BB244" s="28"/>
      <c r="BC244" s="28"/>
      <c r="BD244" s="28"/>
      <c r="BE244" s="28"/>
      <c r="BF244" s="28"/>
      <c r="BG244" s="28"/>
      <c r="BH244" s="28"/>
      <c r="BI244" s="28"/>
      <c r="BJ244" s="28"/>
      <c r="BK244" s="28"/>
      <c r="BL244" s="28"/>
      <c r="BM244" s="244"/>
      <c r="BN244" s="28"/>
      <c r="BO244" s="28"/>
      <c r="BP244" s="28"/>
      <c r="BQ244" s="28"/>
      <c r="BR244" s="28"/>
      <c r="BS244" s="28"/>
      <c r="BT244" s="244"/>
      <c r="BU244" s="19"/>
      <c r="BW244" s="8">
        <v>13</v>
      </c>
      <c r="DQ244" s="197">
        <f t="shared" si="167"/>
        <v>11</v>
      </c>
      <c r="DR244" s="197" t="str">
        <f t="shared" si="165"/>
        <v/>
      </c>
      <c r="DS244" s="10" t="str">
        <f t="shared" ref="DS244:DS249" si="168">CT163</f>
        <v/>
      </c>
      <c r="DT244" s="24"/>
      <c r="DU244" s="249" t="str">
        <f>IF(COUNTIF($DS$10:DS243,DS244)&gt;0,"",DS244)</f>
        <v/>
      </c>
      <c r="DV244" s="198" t="str">
        <f t="shared" ref="DV244:DV249" si="169">CV163</f>
        <v/>
      </c>
      <c r="DW244" s="514">
        <f t="shared" si="166"/>
        <v>5</v>
      </c>
    </row>
    <row r="245" spans="1:127" ht="11.25" customHeight="1" thickTop="1" thickBot="1">
      <c r="A245" s="3337"/>
      <c r="B245" s="23"/>
      <c r="C245" s="3331" t="str">
        <f t="shared" si="161"/>
        <v/>
      </c>
      <c r="D245" s="3332"/>
      <c r="E245" s="3332"/>
      <c r="F245" s="3332"/>
      <c r="G245" s="3332"/>
      <c r="H245" s="3332"/>
      <c r="I245" s="3332"/>
      <c r="J245" s="3332"/>
      <c r="K245" s="3333"/>
      <c r="L245" s="2755" t="str">
        <f t="shared" si="162"/>
        <v/>
      </c>
      <c r="M245" s="2756"/>
      <c r="N245" s="2756"/>
      <c r="O245" s="2756"/>
      <c r="P245" s="2757"/>
      <c r="Q245" s="2542" t="str">
        <f>IF(C245="","",VLOOKUP(C245,[7]建物1802!$E$5:$AL$3275,2,FALSE))</f>
        <v/>
      </c>
      <c r="R245" s="2542"/>
      <c r="S245" s="2542"/>
      <c r="T245" s="2755" t="str">
        <f>IF(C245="","",VLOOKUP(C245,[7]建物1802!$E$5:$AL$3275,$AH$231,FALSE))</f>
        <v/>
      </c>
      <c r="U245" s="2756"/>
      <c r="V245" s="2756"/>
      <c r="W245" s="2756"/>
      <c r="X245" s="2756"/>
      <c r="Y245" s="2756"/>
      <c r="Z245" s="3316" t="str">
        <f t="shared" si="163"/>
        <v/>
      </c>
      <c r="AA245" s="3317"/>
      <c r="AB245" s="3317"/>
      <c r="AC245" s="3317"/>
      <c r="AD245" s="3317"/>
      <c r="AE245" s="3317"/>
      <c r="AF245" s="3317"/>
      <c r="AG245" s="3318"/>
      <c r="AH245" s="250"/>
      <c r="AI245" s="3328" t="str">
        <f>IF(C245="","",VLOOKUP(C245,[7]建物1802!$E$5:$AL$3275,$AH$232,FALSE))</f>
        <v/>
      </c>
      <c r="AJ245" s="3329"/>
      <c r="AK245" s="3329"/>
      <c r="AL245" s="3330"/>
      <c r="AM245" s="2768" t="str">
        <f t="shared" si="164"/>
        <v/>
      </c>
      <c r="AN245" s="2769"/>
      <c r="AO245" s="2769"/>
      <c r="AP245" s="2769"/>
      <c r="AQ245" s="2770"/>
      <c r="AR245" s="244"/>
      <c r="AS245" s="244"/>
      <c r="AT245" s="2253" t="str">
        <f>IF(B2=0,"","単価設定")</f>
        <v>単価設定</v>
      </c>
      <c r="AU245" s="2254"/>
      <c r="AV245" s="2254"/>
      <c r="AW245" s="2254"/>
      <c r="AX245" s="2254"/>
      <c r="AY245" s="2254"/>
      <c r="AZ245" s="2255" t="str">
        <f>IF(B2=0,"",IF(BG245="",[6]原価!$AD$42,BG245))</f>
        <v>単価-1</v>
      </c>
      <c r="BA245" s="2255"/>
      <c r="BB245" s="2255"/>
      <c r="BC245" s="2255"/>
      <c r="BD245" s="2255"/>
      <c r="BE245" s="2255"/>
      <c r="BF245" s="27" t="s">
        <v>68</v>
      </c>
      <c r="BG245" s="2256"/>
      <c r="BH245" s="2256"/>
      <c r="BI245" s="2256"/>
      <c r="BJ245" s="2256"/>
      <c r="BK245" s="2256"/>
      <c r="BL245" s="2256"/>
      <c r="BM245" s="663" t="str">
        <f>IF(B70=0,"","建設物価")</f>
        <v/>
      </c>
      <c r="BN245" s="2233" t="str">
        <f>IF(B2=0,"",IF(AND(AZ245="単価-1",AZ246="歩掛-1"),[6]Top!$BH$15,"User"))</f>
        <v>近畿</v>
      </c>
      <c r="BO245" s="2233"/>
      <c r="BP245" s="2233"/>
      <c r="BQ245" s="2233"/>
      <c r="BR245" s="41"/>
      <c r="BS245" s="244"/>
      <c r="BT245" s="244"/>
      <c r="BU245" s="19"/>
      <c r="BW245" s="8">
        <v>14</v>
      </c>
      <c r="DQ245" s="197">
        <f t="shared" si="167"/>
        <v>11</v>
      </c>
      <c r="DR245" s="197" t="str">
        <f t="shared" si="165"/>
        <v/>
      </c>
      <c r="DS245" s="10" t="str">
        <f t="shared" si="168"/>
        <v/>
      </c>
      <c r="DT245" s="24"/>
      <c r="DU245" s="249" t="str">
        <f>IF(COUNTIF($DS$10:DS244,DS245)&gt;0,"",DS245)</f>
        <v/>
      </c>
      <c r="DV245" s="198" t="str">
        <f t="shared" si="169"/>
        <v/>
      </c>
      <c r="DW245" s="514">
        <f t="shared" si="166"/>
        <v>5</v>
      </c>
    </row>
    <row r="246" spans="1:127" ht="11.25" customHeight="1" thickTop="1" thickBot="1">
      <c r="A246" s="3337"/>
      <c r="B246" s="23"/>
      <c r="C246" s="3338" t="str">
        <f t="shared" si="161"/>
        <v/>
      </c>
      <c r="D246" s="3339"/>
      <c r="E246" s="3339"/>
      <c r="F246" s="3339"/>
      <c r="G246" s="3339"/>
      <c r="H246" s="3339"/>
      <c r="I246" s="3339"/>
      <c r="J246" s="3339"/>
      <c r="K246" s="3340"/>
      <c r="L246" s="3341" t="str">
        <f t="shared" si="162"/>
        <v/>
      </c>
      <c r="M246" s="3342"/>
      <c r="N246" s="3342"/>
      <c r="O246" s="3342"/>
      <c r="P246" s="3343"/>
      <c r="Q246" s="3351" t="str">
        <f>IF(C246="","",VLOOKUP(C246,[7]建物1802!$E$5:$AL$3275,2,FALSE))</f>
        <v/>
      </c>
      <c r="R246" s="3351"/>
      <c r="S246" s="3351"/>
      <c r="T246" s="3341" t="str">
        <f>IF(C246="","",VLOOKUP(C246,[7]建物1802!$E$5:$AL$3275,$AH$231,FALSE))</f>
        <v/>
      </c>
      <c r="U246" s="3342"/>
      <c r="V246" s="3342"/>
      <c r="W246" s="3342"/>
      <c r="X246" s="3342"/>
      <c r="Y246" s="3342"/>
      <c r="Z246" s="3316" t="str">
        <f t="shared" si="163"/>
        <v/>
      </c>
      <c r="AA246" s="3317"/>
      <c r="AB246" s="3317"/>
      <c r="AC246" s="3317"/>
      <c r="AD246" s="3317"/>
      <c r="AE246" s="3317"/>
      <c r="AF246" s="3317"/>
      <c r="AG246" s="3318"/>
      <c r="AH246" s="250"/>
      <c r="AI246" s="3352" t="str">
        <f>IF(C246="","",VLOOKUP(C246,[7]建物1802!$E$5:$AL$3275,$AH$232,FALSE))</f>
        <v/>
      </c>
      <c r="AJ246" s="3353"/>
      <c r="AK246" s="3353"/>
      <c r="AL246" s="3354"/>
      <c r="AM246" s="3355" t="str">
        <f t="shared" si="164"/>
        <v/>
      </c>
      <c r="AN246" s="3356"/>
      <c r="AO246" s="3356"/>
      <c r="AP246" s="3356"/>
      <c r="AQ246" s="3357"/>
      <c r="AR246" s="244"/>
      <c r="AS246" s="244"/>
      <c r="AT246" s="2253" t="str">
        <f>IF(B2=0,"","歩掛設定")</f>
        <v>歩掛設定</v>
      </c>
      <c r="AU246" s="2254"/>
      <c r="AV246" s="2254"/>
      <c r="AW246" s="2254"/>
      <c r="AX246" s="2254"/>
      <c r="AY246" s="2254"/>
      <c r="AZ246" s="2255" t="str">
        <f>IF(B2=0,"",IF(BG246="",[6]原価!$AD$43,BG246))</f>
        <v>歩掛-1</v>
      </c>
      <c r="BA246" s="2255"/>
      <c r="BB246" s="2255"/>
      <c r="BC246" s="2255"/>
      <c r="BD246" s="2255"/>
      <c r="BE246" s="2255"/>
      <c r="BF246" s="27" t="s">
        <v>68</v>
      </c>
      <c r="BG246" s="2256"/>
      <c r="BH246" s="2256"/>
      <c r="BI246" s="2256"/>
      <c r="BJ246" s="2256"/>
      <c r="BK246" s="2256"/>
      <c r="BL246" s="2256"/>
      <c r="BM246" s="244"/>
      <c r="BN246" s="3344" t="str">
        <f>IF(B2=0,"","建設物価")</f>
        <v>建設物価</v>
      </c>
      <c r="BO246" s="3344"/>
      <c r="BP246" s="3344"/>
      <c r="BQ246" s="3344"/>
      <c r="BR246" s="3344"/>
      <c r="BS246" s="3344"/>
      <c r="BT246" s="244"/>
      <c r="BU246" s="19"/>
      <c r="BW246" s="8">
        <v>15</v>
      </c>
      <c r="DQ246" s="197">
        <f t="shared" si="167"/>
        <v>11</v>
      </c>
      <c r="DR246" s="197" t="str">
        <f t="shared" si="165"/>
        <v/>
      </c>
      <c r="DS246" s="10" t="str">
        <f t="shared" si="168"/>
        <v/>
      </c>
      <c r="DT246" s="24"/>
      <c r="DU246" s="249" t="str">
        <f>IF(COUNTIF($DS$10:DS245,DS246)&gt;0,"",DS246)</f>
        <v/>
      </c>
      <c r="DV246" s="198" t="str">
        <f t="shared" si="169"/>
        <v/>
      </c>
      <c r="DW246" s="514">
        <f t="shared" si="166"/>
        <v>5</v>
      </c>
    </row>
    <row r="247" spans="1:127" ht="11.25" customHeight="1" thickTop="1">
      <c r="A247" s="3337"/>
      <c r="B247" s="23"/>
      <c r="C247" s="3309" t="str">
        <f t="shared" ref="C247:C260" si="170">IF(OR($B$2=0,L247=""),"",VLOOKUP(BW247,放P,2,FALSE))</f>
        <v>C-31mm</v>
      </c>
      <c r="D247" s="3310"/>
      <c r="E247" s="3310"/>
      <c r="F247" s="3310"/>
      <c r="G247" s="3310"/>
      <c r="H247" s="3310"/>
      <c r="I247" s="3310"/>
      <c r="J247" s="3310"/>
      <c r="K247" s="3311"/>
      <c r="L247" s="3312">
        <f t="shared" ref="L247:L260" si="171">IF(ISNA(VLOOKUP(BW247,放P,6,FALSE)),"",1.1*(VLOOKUP(BW247,放P,6,FALSE)))</f>
        <v>23.1</v>
      </c>
      <c r="M247" s="3313"/>
      <c r="N247" s="3313"/>
      <c r="O247" s="3313"/>
      <c r="P247" s="3314"/>
      <c r="Q247" s="3315" t="str">
        <f>IF(C247="","",VLOOKUP(C247,[7]建物1802!$E$5:$AL$3275,2,FALSE))</f>
        <v>ｍ</v>
      </c>
      <c r="R247" s="3315"/>
      <c r="S247" s="3315"/>
      <c r="T247" s="3312">
        <f>IF(C247="","",VLOOKUP(C247,[7]建物1802!$E$5:$AL$3275,$AH$231,FALSE))</f>
        <v>252</v>
      </c>
      <c r="U247" s="3313"/>
      <c r="V247" s="3313"/>
      <c r="W247" s="3313"/>
      <c r="X247" s="3313"/>
      <c r="Y247" s="3313"/>
      <c r="Z247" s="3316">
        <f t="shared" si="163"/>
        <v>5821</v>
      </c>
      <c r="AA247" s="3317"/>
      <c r="AB247" s="3317"/>
      <c r="AC247" s="3317"/>
      <c r="AD247" s="3317"/>
      <c r="AE247" s="3317"/>
      <c r="AF247" s="3317"/>
      <c r="AG247" s="3318"/>
      <c r="AH247" s="250"/>
      <c r="AI247" s="3319">
        <f>IF(C247="","",VLOOKUP(C247,[7]建物1802!$E$5:$AL$3275,$AH$232,FALSE))</f>
        <v>8.8999999999999996E-2</v>
      </c>
      <c r="AJ247" s="3320"/>
      <c r="AK247" s="3320"/>
      <c r="AL247" s="3321"/>
      <c r="AM247" s="3322">
        <f t="shared" si="164"/>
        <v>2.0558999999999998</v>
      </c>
      <c r="AN247" s="3323"/>
      <c r="AO247" s="3323"/>
      <c r="AP247" s="3323"/>
      <c r="AQ247" s="3324"/>
      <c r="AR247" s="244"/>
      <c r="AS247" s="244"/>
      <c r="AT247" s="244"/>
      <c r="AU247" s="244"/>
      <c r="AV247" s="244"/>
      <c r="AW247" s="244"/>
      <c r="AX247" s="244"/>
      <c r="AY247" s="244"/>
      <c r="AZ247" s="244"/>
      <c r="BA247" s="244"/>
      <c r="BB247" s="43"/>
      <c r="BC247" s="43"/>
      <c r="BD247" s="158"/>
      <c r="BE247" s="158"/>
      <c r="BF247" s="158"/>
      <c r="BG247" s="244"/>
      <c r="BH247" s="244"/>
      <c r="BI247" s="244"/>
      <c r="BJ247" s="244"/>
      <c r="BK247" s="244"/>
      <c r="BL247" s="244"/>
      <c r="BM247" s="244"/>
      <c r="BN247" s="244"/>
      <c r="BO247" s="244"/>
      <c r="BP247" s="244"/>
      <c r="BQ247" s="244"/>
      <c r="BR247" s="244"/>
      <c r="BS247" s="244"/>
      <c r="BT247" s="244"/>
      <c r="BU247" s="19"/>
      <c r="BW247" s="8">
        <v>1</v>
      </c>
      <c r="DQ247" s="197">
        <f t="shared" si="167"/>
        <v>11</v>
      </c>
      <c r="DR247" s="197" t="str">
        <f t="shared" si="165"/>
        <v/>
      </c>
      <c r="DS247" s="10" t="str">
        <f t="shared" si="168"/>
        <v/>
      </c>
      <c r="DT247" s="24"/>
      <c r="DU247" s="249" t="str">
        <f>IF(COUNTIF($DS$10:DS246,DS247)&gt;0,"",DS247)</f>
        <v/>
      </c>
      <c r="DV247" s="198" t="str">
        <f t="shared" si="169"/>
        <v/>
      </c>
      <c r="DW247" s="514">
        <f t="shared" si="166"/>
        <v>5</v>
      </c>
    </row>
    <row r="248" spans="1:127" ht="11.25" customHeight="1">
      <c r="A248" s="3337"/>
      <c r="B248" s="23"/>
      <c r="C248" s="3309" t="str">
        <f t="shared" si="170"/>
        <v>C-19mm</v>
      </c>
      <c r="D248" s="3310"/>
      <c r="E248" s="3310"/>
      <c r="F248" s="3310"/>
      <c r="G248" s="3310"/>
      <c r="H248" s="3310"/>
      <c r="I248" s="3310"/>
      <c r="J248" s="3310"/>
      <c r="K248" s="3311"/>
      <c r="L248" s="3312">
        <f t="shared" si="171"/>
        <v>6532.9000000000005</v>
      </c>
      <c r="M248" s="3313"/>
      <c r="N248" s="3313"/>
      <c r="O248" s="3313"/>
      <c r="P248" s="3314"/>
      <c r="Q248" s="3315" t="str">
        <f>IF(C248="","",VLOOKUP(C248,[7]建物1802!$E$5:$AL$3275,2,FALSE))</f>
        <v>ｍ</v>
      </c>
      <c r="R248" s="3315"/>
      <c r="S248" s="3315"/>
      <c r="T248" s="3312">
        <f>IF(C248="","",VLOOKUP(C248,[7]建物1802!$E$5:$AL$3275,$AH$231,FALSE))</f>
        <v>135</v>
      </c>
      <c r="U248" s="3313"/>
      <c r="V248" s="3313"/>
      <c r="W248" s="3313"/>
      <c r="X248" s="3313"/>
      <c r="Y248" s="3313"/>
      <c r="Z248" s="3316">
        <f t="shared" si="163"/>
        <v>881941</v>
      </c>
      <c r="AA248" s="3317"/>
      <c r="AB248" s="3317"/>
      <c r="AC248" s="3317"/>
      <c r="AD248" s="3317"/>
      <c r="AE248" s="3317"/>
      <c r="AF248" s="3317"/>
      <c r="AG248" s="3318"/>
      <c r="AH248" s="250"/>
      <c r="AI248" s="3319">
        <f>IF(C248="","",VLOOKUP(C248,[7]建物1802!$E$5:$AL$3275,$AH$232,FALSE))</f>
        <v>5.1999999999999998E-2</v>
      </c>
      <c r="AJ248" s="3320"/>
      <c r="AK248" s="3320"/>
      <c r="AL248" s="3321"/>
      <c r="AM248" s="3322">
        <f t="shared" si="164"/>
        <v>339.71080000000001</v>
      </c>
      <c r="AN248" s="3323"/>
      <c r="AO248" s="3323"/>
      <c r="AP248" s="3323"/>
      <c r="AQ248" s="3324"/>
      <c r="AR248" s="20"/>
      <c r="AS248" s="20"/>
      <c r="AT248" s="42"/>
      <c r="AU248" s="42"/>
      <c r="AV248" s="42"/>
      <c r="AW248" s="42"/>
      <c r="AX248" s="42"/>
      <c r="AY248" s="42"/>
      <c r="AZ248" s="248"/>
      <c r="BA248" s="248"/>
      <c r="BB248" s="248"/>
      <c r="BC248" s="248"/>
      <c r="BD248" s="248"/>
      <c r="BE248" s="248"/>
      <c r="BF248" s="248"/>
      <c r="BG248" s="248"/>
      <c r="BH248" s="248"/>
      <c r="BI248" s="28"/>
      <c r="BJ248" s="28"/>
      <c r="BK248" s="28"/>
      <c r="BL248" s="28"/>
      <c r="BM248" s="28"/>
      <c r="BN248" s="28"/>
      <c r="BO248" s="28"/>
      <c r="BP248" s="28"/>
      <c r="BQ248" s="28"/>
      <c r="BR248" s="28"/>
      <c r="BS248" s="28"/>
      <c r="BT248" s="28"/>
      <c r="BU248" s="19"/>
      <c r="BW248" s="8">
        <v>2</v>
      </c>
      <c r="DQ248" s="197">
        <f t="shared" si="167"/>
        <v>11</v>
      </c>
      <c r="DR248" s="197" t="str">
        <f t="shared" si="165"/>
        <v/>
      </c>
      <c r="DS248" s="10" t="str">
        <f t="shared" si="168"/>
        <v/>
      </c>
      <c r="DT248" s="24"/>
      <c r="DU248" s="249" t="str">
        <f>IF(COUNTIF($DS$10:DS247,DS248)&gt;0,"",DS248)</f>
        <v/>
      </c>
      <c r="DV248" s="198" t="str">
        <f t="shared" si="169"/>
        <v/>
      </c>
      <c r="DW248" s="514">
        <f t="shared" si="166"/>
        <v>5</v>
      </c>
    </row>
    <row r="249" spans="1:127" ht="11.25" customHeight="1">
      <c r="A249" s="3337"/>
      <c r="B249" s="23"/>
      <c r="C249" s="3309" t="str">
        <f t="shared" si="170"/>
        <v>C-39mm</v>
      </c>
      <c r="D249" s="3310"/>
      <c r="E249" s="3310"/>
      <c r="F249" s="3310"/>
      <c r="G249" s="3310"/>
      <c r="H249" s="3310"/>
      <c r="I249" s="3310"/>
      <c r="J249" s="3310"/>
      <c r="K249" s="3311"/>
      <c r="L249" s="3312">
        <f t="shared" si="171"/>
        <v>23.1</v>
      </c>
      <c r="M249" s="3313"/>
      <c r="N249" s="3313"/>
      <c r="O249" s="3313"/>
      <c r="P249" s="3314"/>
      <c r="Q249" s="3315" t="str">
        <f>IF(C249="","",VLOOKUP(C249,[7]建物1802!$E$5:$AL$3275,2,FALSE))</f>
        <v>ｍ</v>
      </c>
      <c r="R249" s="3315"/>
      <c r="S249" s="3315"/>
      <c r="T249" s="3312">
        <f>IF(C249="","",VLOOKUP(C249,[7]建物1802!$E$5:$AL$3275,$AH$231,FALSE))</f>
        <v>292</v>
      </c>
      <c r="U249" s="3313"/>
      <c r="V249" s="3313"/>
      <c r="W249" s="3313"/>
      <c r="X249" s="3313"/>
      <c r="Y249" s="3313"/>
      <c r="Z249" s="3316">
        <f t="shared" si="163"/>
        <v>6745</v>
      </c>
      <c r="AA249" s="3317"/>
      <c r="AB249" s="3317"/>
      <c r="AC249" s="3317"/>
      <c r="AD249" s="3317"/>
      <c r="AE249" s="3317"/>
      <c r="AF249" s="3317"/>
      <c r="AG249" s="3318"/>
      <c r="AH249" s="250"/>
      <c r="AI249" s="3319">
        <f>IF(C249="","",VLOOKUP(C249,[7]建物1802!$E$5:$AL$3275,$AH$232,FALSE))</f>
        <v>0.109</v>
      </c>
      <c r="AJ249" s="3320"/>
      <c r="AK249" s="3320"/>
      <c r="AL249" s="3321"/>
      <c r="AM249" s="3322">
        <f t="shared" si="164"/>
        <v>2.5179</v>
      </c>
      <c r="AN249" s="3323"/>
      <c r="AO249" s="3323"/>
      <c r="AP249" s="3323"/>
      <c r="AQ249" s="3324"/>
      <c r="AR249" s="20"/>
      <c r="AS249" s="20"/>
      <c r="AT249" s="42"/>
      <c r="AU249" s="42"/>
      <c r="AV249" s="42"/>
      <c r="AW249" s="42"/>
      <c r="AX249" s="42"/>
      <c r="AY249" s="42"/>
      <c r="AZ249" s="248"/>
      <c r="BA249" s="248"/>
      <c r="BB249" s="248"/>
      <c r="BC249" s="248"/>
      <c r="BD249" s="248"/>
      <c r="BE249" s="248"/>
      <c r="BF249" s="248"/>
      <c r="BG249" s="248"/>
      <c r="BH249" s="248"/>
      <c r="BI249" s="28"/>
      <c r="BJ249" s="28"/>
      <c r="BK249" s="28"/>
      <c r="BL249" s="28"/>
      <c r="BM249" s="28"/>
      <c r="BN249" s="28"/>
      <c r="BO249" s="28"/>
      <c r="BP249" s="28"/>
      <c r="BQ249" s="28"/>
      <c r="BR249" s="28"/>
      <c r="BS249" s="28"/>
      <c r="BT249" s="28"/>
      <c r="BU249" s="19"/>
      <c r="BW249" s="8">
        <v>3</v>
      </c>
      <c r="DP249" s="8"/>
      <c r="DQ249" s="197">
        <f t="shared" si="167"/>
        <v>11</v>
      </c>
      <c r="DR249" s="197" t="str">
        <f t="shared" si="165"/>
        <v/>
      </c>
      <c r="DS249" s="10" t="str">
        <f t="shared" si="168"/>
        <v/>
      </c>
      <c r="DT249" s="24"/>
      <c r="DU249" s="249" t="str">
        <f>IF(COUNTIF($DS$10:DS248,DS249)&gt;0,"",DS249)</f>
        <v/>
      </c>
      <c r="DV249" s="198" t="str">
        <f t="shared" si="169"/>
        <v/>
      </c>
      <c r="DW249" s="514">
        <f t="shared" si="166"/>
        <v>5</v>
      </c>
    </row>
    <row r="250" spans="1:127" ht="11.25" customHeight="1">
      <c r="A250" s="3337"/>
      <c r="B250" s="23"/>
      <c r="C250" s="3309" t="str">
        <f t="shared" si="170"/>
        <v>C-75mm</v>
      </c>
      <c r="D250" s="3310"/>
      <c r="E250" s="3310"/>
      <c r="F250" s="3310"/>
      <c r="G250" s="3310"/>
      <c r="H250" s="3310"/>
      <c r="I250" s="3310"/>
      <c r="J250" s="3310"/>
      <c r="K250" s="3311"/>
      <c r="L250" s="3312">
        <f t="shared" si="171"/>
        <v>68.09</v>
      </c>
      <c r="M250" s="3313"/>
      <c r="N250" s="3313"/>
      <c r="O250" s="3313"/>
      <c r="P250" s="3314"/>
      <c r="Q250" s="3315" t="str">
        <f>IF(C250="","",VLOOKUP(C250,[7]建物1802!$E$5:$AL$3275,2,FALSE))</f>
        <v>ｍ</v>
      </c>
      <c r="R250" s="3315"/>
      <c r="S250" s="3315"/>
      <c r="T250" s="3312">
        <f>IF(C250="","",VLOOKUP(C250,[7]建物1802!$E$5:$AL$3275,$AH$231,FALSE))</f>
        <v>814</v>
      </c>
      <c r="U250" s="3313"/>
      <c r="V250" s="3313"/>
      <c r="W250" s="3313"/>
      <c r="X250" s="3313"/>
      <c r="Y250" s="3313"/>
      <c r="Z250" s="3316">
        <f t="shared" si="163"/>
        <v>55425</v>
      </c>
      <c r="AA250" s="3317"/>
      <c r="AB250" s="3317"/>
      <c r="AC250" s="3317"/>
      <c r="AD250" s="3317"/>
      <c r="AE250" s="3317"/>
      <c r="AF250" s="3317"/>
      <c r="AG250" s="3318"/>
      <c r="AH250" s="250"/>
      <c r="AI250" s="3319">
        <f>IF(C250="","",VLOOKUP(C250,[7]建物1802!$E$5:$AL$3275,$AH$232,FALSE))</f>
        <v>0.23100000000000001</v>
      </c>
      <c r="AJ250" s="3320"/>
      <c r="AK250" s="3320"/>
      <c r="AL250" s="3321"/>
      <c r="AM250" s="3322">
        <f t="shared" si="164"/>
        <v>15.728790000000002</v>
      </c>
      <c r="AN250" s="3323"/>
      <c r="AO250" s="3323"/>
      <c r="AP250" s="3323"/>
      <c r="AQ250" s="3324"/>
      <c r="AR250" s="20"/>
      <c r="AS250" s="20"/>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19"/>
      <c r="BW250" s="8">
        <v>4</v>
      </c>
      <c r="DP250" s="88">
        <v>18</v>
      </c>
      <c r="DQ250" s="45"/>
      <c r="DR250" s="45"/>
      <c r="DS250" s="45"/>
      <c r="DT250" s="45"/>
      <c r="DU250" s="45"/>
      <c r="DV250" s="45"/>
      <c r="DW250" s="45"/>
    </row>
    <row r="251" spans="1:127" ht="11.25" customHeight="1">
      <c r="A251" s="3337"/>
      <c r="B251" s="23"/>
      <c r="C251" s="3309" t="str">
        <f t="shared" si="170"/>
        <v>C-51mm</v>
      </c>
      <c r="D251" s="3310"/>
      <c r="E251" s="3310"/>
      <c r="F251" s="3310"/>
      <c r="G251" s="3310"/>
      <c r="H251" s="3310"/>
      <c r="I251" s="3310"/>
      <c r="J251" s="3310"/>
      <c r="K251" s="3311"/>
      <c r="L251" s="3312">
        <f t="shared" si="171"/>
        <v>13.200000000000001</v>
      </c>
      <c r="M251" s="3313"/>
      <c r="N251" s="3313"/>
      <c r="O251" s="3313"/>
      <c r="P251" s="3314"/>
      <c r="Q251" s="3315" t="str">
        <f>IF(C251="","",VLOOKUP(C251,[7]建物1802!$E$5:$AL$3275,2,FALSE))</f>
        <v>ｍ</v>
      </c>
      <c r="R251" s="3315"/>
      <c r="S251" s="3315"/>
      <c r="T251" s="3312">
        <f>IF(C251="","",VLOOKUP(C251,[7]建物1802!$E$5:$AL$3275,$AH$231,FALSE))</f>
        <v>431</v>
      </c>
      <c r="U251" s="3313"/>
      <c r="V251" s="3313"/>
      <c r="W251" s="3313"/>
      <c r="X251" s="3313"/>
      <c r="Y251" s="3313"/>
      <c r="Z251" s="3316">
        <f t="shared" si="163"/>
        <v>5689</v>
      </c>
      <c r="AA251" s="3317"/>
      <c r="AB251" s="3317"/>
      <c r="AC251" s="3317"/>
      <c r="AD251" s="3317"/>
      <c r="AE251" s="3317"/>
      <c r="AF251" s="3317"/>
      <c r="AG251" s="3318"/>
      <c r="AH251" s="250"/>
      <c r="AI251" s="3319">
        <f>IF(C251="","",VLOOKUP(C251,[7]建物1802!$E$5:$AL$3275,$AH$232,FALSE))</f>
        <v>0.14699999999999999</v>
      </c>
      <c r="AJ251" s="3320"/>
      <c r="AK251" s="3320"/>
      <c r="AL251" s="3321"/>
      <c r="AM251" s="3322">
        <f t="shared" si="164"/>
        <v>1.9404000000000001</v>
      </c>
      <c r="AN251" s="3323"/>
      <c r="AO251" s="3323"/>
      <c r="AP251" s="3323"/>
      <c r="AQ251" s="3324"/>
      <c r="AR251" s="20"/>
      <c r="AS251" s="20"/>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19"/>
      <c r="BW251" s="8">
        <v>5</v>
      </c>
      <c r="DP251" s="8"/>
      <c r="DQ251" s="197">
        <f>IF(DU251&lt;&gt;"",DQ249+1,DQ249)</f>
        <v>11</v>
      </c>
      <c r="DR251" s="197" t="str">
        <f t="shared" ref="DR251:DR263" si="172">IF(AND(DQ251&lt;&gt;"",DU251&lt;&gt;""),DQ251,"")</f>
        <v/>
      </c>
      <c r="DS251" s="10" t="str">
        <f>CQ171</f>
        <v/>
      </c>
      <c r="DT251" s="8"/>
      <c r="DU251" s="249" t="str">
        <f>IF(COUNTIF($DS$10:DS250,DS251)&gt;0,"",DS251)</f>
        <v/>
      </c>
      <c r="DV251" s="198" t="str">
        <f>CS171</f>
        <v/>
      </c>
      <c r="DW251" s="514">
        <f t="shared" ref="DW251:DW263" si="173">SUMIF($DS$13:$DS$344,DU251,$DV$13:$DV$344)</f>
        <v>5</v>
      </c>
    </row>
    <row r="252" spans="1:127" ht="11.25" customHeight="1">
      <c r="A252" s="3337"/>
      <c r="B252" s="23"/>
      <c r="C252" s="3309" t="str">
        <f t="shared" si="170"/>
        <v/>
      </c>
      <c r="D252" s="3310"/>
      <c r="E252" s="3310"/>
      <c r="F252" s="3310"/>
      <c r="G252" s="3310"/>
      <c r="H252" s="3310"/>
      <c r="I252" s="3310"/>
      <c r="J252" s="3310"/>
      <c r="K252" s="3311"/>
      <c r="L252" s="3312" t="str">
        <f t="shared" si="171"/>
        <v/>
      </c>
      <c r="M252" s="3313"/>
      <c r="N252" s="3313"/>
      <c r="O252" s="3313"/>
      <c r="P252" s="3314"/>
      <c r="Q252" s="3315" t="str">
        <f>IF(C252="","",VLOOKUP(C252,[7]建物1802!$E$5:$AL$3275,2,FALSE))</f>
        <v/>
      </c>
      <c r="R252" s="3315"/>
      <c r="S252" s="3315"/>
      <c r="T252" s="3312" t="str">
        <f>IF(C252="","",VLOOKUP(C252,[7]建物1802!$E$5:$AL$3275,$AH$231,FALSE))</f>
        <v/>
      </c>
      <c r="U252" s="3313"/>
      <c r="V252" s="3313"/>
      <c r="W252" s="3313"/>
      <c r="X252" s="3313"/>
      <c r="Y252" s="3313"/>
      <c r="Z252" s="3316" t="str">
        <f t="shared" si="163"/>
        <v/>
      </c>
      <c r="AA252" s="3317"/>
      <c r="AB252" s="3317"/>
      <c r="AC252" s="3317"/>
      <c r="AD252" s="3317"/>
      <c r="AE252" s="3317"/>
      <c r="AF252" s="3317"/>
      <c r="AG252" s="3318"/>
      <c r="AH252" s="250"/>
      <c r="AI252" s="3319" t="str">
        <f>IF(C252="","",VLOOKUP(C252,[7]建物1802!$E$5:$AL$3275,$AH$232,FALSE))</f>
        <v/>
      </c>
      <c r="AJ252" s="3320"/>
      <c r="AK252" s="3320"/>
      <c r="AL252" s="3321"/>
      <c r="AM252" s="3322" t="str">
        <f t="shared" si="164"/>
        <v/>
      </c>
      <c r="AN252" s="3323"/>
      <c r="AO252" s="3323"/>
      <c r="AP252" s="3323"/>
      <c r="AQ252" s="3324"/>
      <c r="AR252" s="20"/>
      <c r="AS252" s="20"/>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19"/>
      <c r="BW252" s="8">
        <v>6</v>
      </c>
      <c r="DP252" s="8"/>
      <c r="DQ252" s="197">
        <f t="shared" ref="DQ252:DQ263" si="174">IF(DU252&lt;&gt;"",DQ251+1,DQ251)</f>
        <v>11</v>
      </c>
      <c r="DR252" s="197" t="str">
        <f t="shared" si="172"/>
        <v/>
      </c>
      <c r="DS252" s="10" t="str">
        <f>CQ172</f>
        <v/>
      </c>
      <c r="DT252" s="8"/>
      <c r="DU252" s="249" t="str">
        <f>IF(COUNTIF($DS$10:DS201,DS252)&gt;0,"",DS252)</f>
        <v/>
      </c>
      <c r="DV252" s="198" t="str">
        <f>CS172</f>
        <v/>
      </c>
      <c r="DW252" s="514">
        <f t="shared" si="173"/>
        <v>5</v>
      </c>
    </row>
    <row r="253" spans="1:127" ht="11.25" customHeight="1">
      <c r="A253" s="3337"/>
      <c r="B253" s="23"/>
      <c r="C253" s="3309" t="str">
        <f t="shared" si="170"/>
        <v/>
      </c>
      <c r="D253" s="3310"/>
      <c r="E253" s="3310"/>
      <c r="F253" s="3310"/>
      <c r="G253" s="3310"/>
      <c r="H253" s="3310"/>
      <c r="I253" s="3310"/>
      <c r="J253" s="3310"/>
      <c r="K253" s="3311"/>
      <c r="L253" s="3312" t="str">
        <f t="shared" si="171"/>
        <v/>
      </c>
      <c r="M253" s="3313"/>
      <c r="N253" s="3313"/>
      <c r="O253" s="3313"/>
      <c r="P253" s="3314"/>
      <c r="Q253" s="3315" t="str">
        <f>IF(C253="","",VLOOKUP(C253,[7]建物1802!$E$5:$AL$3275,2,FALSE))</f>
        <v/>
      </c>
      <c r="R253" s="3315"/>
      <c r="S253" s="3315"/>
      <c r="T253" s="3312" t="str">
        <f>IF(C253="","",VLOOKUP(C253,[7]建物1802!$E$5:$AL$3275,$AH$231,FALSE))</f>
        <v/>
      </c>
      <c r="U253" s="3313"/>
      <c r="V253" s="3313"/>
      <c r="W253" s="3313"/>
      <c r="X253" s="3313"/>
      <c r="Y253" s="3313"/>
      <c r="Z253" s="3316" t="str">
        <f t="shared" si="163"/>
        <v/>
      </c>
      <c r="AA253" s="3317"/>
      <c r="AB253" s="3317"/>
      <c r="AC253" s="3317"/>
      <c r="AD253" s="3317"/>
      <c r="AE253" s="3317"/>
      <c r="AF253" s="3317"/>
      <c r="AG253" s="3318"/>
      <c r="AH253" s="250"/>
      <c r="AI253" s="3319" t="str">
        <f>IF(C253="","",VLOOKUP(C253,[7]建物1802!$E$5:$AL$3275,$AH$232,FALSE))</f>
        <v/>
      </c>
      <c r="AJ253" s="3320"/>
      <c r="AK253" s="3320"/>
      <c r="AL253" s="3321"/>
      <c r="AM253" s="3322" t="str">
        <f t="shared" si="164"/>
        <v/>
      </c>
      <c r="AN253" s="3323"/>
      <c r="AO253" s="3323"/>
      <c r="AP253" s="3323"/>
      <c r="AQ253" s="3324"/>
      <c r="AR253" s="20"/>
      <c r="AS253" s="20"/>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19"/>
      <c r="BW253" s="8">
        <v>7</v>
      </c>
      <c r="DP253" s="8"/>
      <c r="DQ253" s="197">
        <f t="shared" si="174"/>
        <v>11</v>
      </c>
      <c r="DR253" s="197" t="str">
        <f t="shared" si="172"/>
        <v/>
      </c>
      <c r="DS253" s="10" t="str">
        <f>CQ173</f>
        <v/>
      </c>
      <c r="DT253" s="8"/>
      <c r="DU253" s="249" t="str">
        <f>IF(COUNTIF($DS$10:DS250,DS253)&gt;0,"",DS253)</f>
        <v/>
      </c>
      <c r="DV253" s="198" t="str">
        <f>CS173</f>
        <v/>
      </c>
      <c r="DW253" s="514">
        <f t="shared" si="173"/>
        <v>5</v>
      </c>
    </row>
    <row r="254" spans="1:127" ht="11.25" customHeight="1">
      <c r="A254" s="3337"/>
      <c r="B254" s="23"/>
      <c r="C254" s="3309" t="str">
        <f t="shared" si="170"/>
        <v/>
      </c>
      <c r="D254" s="3310"/>
      <c r="E254" s="3310"/>
      <c r="F254" s="3310"/>
      <c r="G254" s="3310"/>
      <c r="H254" s="3310"/>
      <c r="I254" s="3310"/>
      <c r="J254" s="3310"/>
      <c r="K254" s="3311"/>
      <c r="L254" s="3312" t="str">
        <f t="shared" si="171"/>
        <v/>
      </c>
      <c r="M254" s="3313"/>
      <c r="N254" s="3313"/>
      <c r="O254" s="3313"/>
      <c r="P254" s="3314"/>
      <c r="Q254" s="3315" t="str">
        <f>IF(C254="","",VLOOKUP(C254,[7]建物1802!$E$5:$AL$3275,2,FALSE))</f>
        <v/>
      </c>
      <c r="R254" s="3315"/>
      <c r="S254" s="3315"/>
      <c r="T254" s="3312" t="str">
        <f>IF(C254="","",VLOOKUP(C254,[7]建物1802!$E$5:$AL$3275,$AH$231,FALSE))</f>
        <v/>
      </c>
      <c r="U254" s="3313"/>
      <c r="V254" s="3313"/>
      <c r="W254" s="3313"/>
      <c r="X254" s="3313"/>
      <c r="Y254" s="3313"/>
      <c r="Z254" s="3316" t="str">
        <f t="shared" si="163"/>
        <v/>
      </c>
      <c r="AA254" s="3317"/>
      <c r="AB254" s="3317"/>
      <c r="AC254" s="3317"/>
      <c r="AD254" s="3317"/>
      <c r="AE254" s="3317"/>
      <c r="AF254" s="3317"/>
      <c r="AG254" s="3318"/>
      <c r="AH254" s="250"/>
      <c r="AI254" s="3319" t="str">
        <f>IF(C254="","",VLOOKUP(C254,[7]建物1802!$E$5:$AL$3275,$AH$232,FALSE))</f>
        <v/>
      </c>
      <c r="AJ254" s="3320"/>
      <c r="AK254" s="3320"/>
      <c r="AL254" s="3321"/>
      <c r="AM254" s="3322" t="str">
        <f t="shared" si="164"/>
        <v/>
      </c>
      <c r="AN254" s="3323"/>
      <c r="AO254" s="3323"/>
      <c r="AP254" s="3323"/>
      <c r="AQ254" s="3324"/>
      <c r="AR254" s="20"/>
      <c r="AS254" s="20"/>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19"/>
      <c r="BW254" s="8">
        <v>8</v>
      </c>
      <c r="DP254" s="8"/>
      <c r="DQ254" s="197">
        <f t="shared" si="174"/>
        <v>11</v>
      </c>
      <c r="DR254" s="197" t="str">
        <f t="shared" si="172"/>
        <v/>
      </c>
      <c r="DS254" s="10" t="str">
        <f>CQ175</f>
        <v/>
      </c>
      <c r="DT254" s="8"/>
      <c r="DU254" s="249" t="str">
        <f>IF(COUNTIF($DS$10:DS253,DS254)&gt;0,"",DS254)</f>
        <v/>
      </c>
      <c r="DV254" s="198" t="str">
        <f>CS175</f>
        <v/>
      </c>
      <c r="DW254" s="514">
        <f t="shared" si="173"/>
        <v>5</v>
      </c>
    </row>
    <row r="255" spans="1:127" ht="11.25" customHeight="1">
      <c r="A255" s="3337"/>
      <c r="B255" s="23"/>
      <c r="C255" s="3309" t="str">
        <f t="shared" si="170"/>
        <v/>
      </c>
      <c r="D255" s="3310"/>
      <c r="E255" s="3310"/>
      <c r="F255" s="3310"/>
      <c r="G255" s="3310"/>
      <c r="H255" s="3310"/>
      <c r="I255" s="3310"/>
      <c r="J255" s="3310"/>
      <c r="K255" s="3311"/>
      <c r="L255" s="3312" t="str">
        <f t="shared" si="171"/>
        <v/>
      </c>
      <c r="M255" s="3313"/>
      <c r="N255" s="3313"/>
      <c r="O255" s="3313"/>
      <c r="P255" s="3314"/>
      <c r="Q255" s="3315" t="str">
        <f>IF(C255="","",VLOOKUP(C255,[7]建物1802!$E$5:$AL$3275,2,FALSE))</f>
        <v/>
      </c>
      <c r="R255" s="3315"/>
      <c r="S255" s="3315"/>
      <c r="T255" s="3312" t="str">
        <f>IF(C255="","",VLOOKUP(C255,[7]建物1802!$E$5:$AL$3275,$AH$231,FALSE))</f>
        <v/>
      </c>
      <c r="U255" s="3313"/>
      <c r="V255" s="3313"/>
      <c r="W255" s="3313"/>
      <c r="X255" s="3313"/>
      <c r="Y255" s="3313"/>
      <c r="Z255" s="3316" t="str">
        <f t="shared" si="163"/>
        <v/>
      </c>
      <c r="AA255" s="3317"/>
      <c r="AB255" s="3317"/>
      <c r="AC255" s="3317"/>
      <c r="AD255" s="3317"/>
      <c r="AE255" s="3317"/>
      <c r="AF255" s="3317"/>
      <c r="AG255" s="3318"/>
      <c r="AH255" s="250"/>
      <c r="AI255" s="3319" t="str">
        <f>IF(C255="","",VLOOKUP(C255,[7]建物1802!$E$5:$AL$3275,$AH$232,FALSE))</f>
        <v/>
      </c>
      <c r="AJ255" s="3320"/>
      <c r="AK255" s="3320"/>
      <c r="AL255" s="3321"/>
      <c r="AM255" s="3322" t="str">
        <f t="shared" si="164"/>
        <v/>
      </c>
      <c r="AN255" s="3323"/>
      <c r="AO255" s="3323"/>
      <c r="AP255" s="3323"/>
      <c r="AQ255" s="3324"/>
      <c r="AR255" s="20"/>
      <c r="AS255" s="20"/>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19"/>
      <c r="BW255" s="8">
        <v>9</v>
      </c>
      <c r="DP255" s="8"/>
      <c r="DQ255" s="197">
        <f t="shared" si="174"/>
        <v>11</v>
      </c>
      <c r="DR255" s="197" t="str">
        <f t="shared" si="172"/>
        <v/>
      </c>
      <c r="DS255" s="10" t="str">
        <f>CQ176</f>
        <v/>
      </c>
      <c r="DT255" s="8"/>
      <c r="DU255" s="249" t="str">
        <f>IF(COUNTIF($DS$10:DS254,DS255)&gt;0,"",DS255)</f>
        <v/>
      </c>
      <c r="DV255" s="198" t="str">
        <f>CS176</f>
        <v/>
      </c>
      <c r="DW255" s="514">
        <f t="shared" si="173"/>
        <v>5</v>
      </c>
    </row>
    <row r="256" spans="1:127" ht="11.25" customHeight="1">
      <c r="A256" s="3337"/>
      <c r="B256" s="23"/>
      <c r="C256" s="3309" t="str">
        <f t="shared" si="170"/>
        <v/>
      </c>
      <c r="D256" s="3310"/>
      <c r="E256" s="3310"/>
      <c r="F256" s="3310"/>
      <c r="G256" s="3310"/>
      <c r="H256" s="3310"/>
      <c r="I256" s="3310"/>
      <c r="J256" s="3310"/>
      <c r="K256" s="3311"/>
      <c r="L256" s="3312" t="str">
        <f t="shared" si="171"/>
        <v/>
      </c>
      <c r="M256" s="3313"/>
      <c r="N256" s="3313"/>
      <c r="O256" s="3313"/>
      <c r="P256" s="3314"/>
      <c r="Q256" s="3315" t="str">
        <f>IF(C256="","",VLOOKUP(C256,[7]建物1802!$E$5:$AL$3275,2,FALSE))</f>
        <v/>
      </c>
      <c r="R256" s="3315"/>
      <c r="S256" s="3315"/>
      <c r="T256" s="3312" t="str">
        <f>IF(C256="","",VLOOKUP(C256,[7]建物1802!$E$5:$AL$3275,$AH$231,FALSE))</f>
        <v/>
      </c>
      <c r="U256" s="3313"/>
      <c r="V256" s="3313"/>
      <c r="W256" s="3313"/>
      <c r="X256" s="3313"/>
      <c r="Y256" s="3313"/>
      <c r="Z256" s="3316" t="str">
        <f t="shared" si="163"/>
        <v/>
      </c>
      <c r="AA256" s="3317"/>
      <c r="AB256" s="3317"/>
      <c r="AC256" s="3317"/>
      <c r="AD256" s="3317"/>
      <c r="AE256" s="3317"/>
      <c r="AF256" s="3317"/>
      <c r="AG256" s="3318"/>
      <c r="AH256" s="250"/>
      <c r="AI256" s="3319" t="str">
        <f>IF(C256="","",VLOOKUP(C256,[7]建物1802!$E$5:$AL$3275,$AH$232,FALSE))</f>
        <v/>
      </c>
      <c r="AJ256" s="3320"/>
      <c r="AK256" s="3320"/>
      <c r="AL256" s="3321"/>
      <c r="AM256" s="3322" t="str">
        <f t="shared" si="164"/>
        <v/>
      </c>
      <c r="AN256" s="3323"/>
      <c r="AO256" s="3323"/>
      <c r="AP256" s="3323"/>
      <c r="AQ256" s="3324"/>
      <c r="AR256" s="20"/>
      <c r="AS256" s="20"/>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19"/>
      <c r="BW256" s="8">
        <v>10</v>
      </c>
      <c r="DQ256" s="197">
        <f t="shared" si="174"/>
        <v>11</v>
      </c>
      <c r="DR256" s="197" t="str">
        <f t="shared" si="172"/>
        <v/>
      </c>
      <c r="DS256" s="10" t="str">
        <f>CQ178</f>
        <v/>
      </c>
      <c r="DT256" s="24"/>
      <c r="DU256" s="249" t="str">
        <f>IF(COUNTIF($DS$10:DS255,DS256)&gt;0,"",DS256)</f>
        <v/>
      </c>
      <c r="DV256" s="198" t="str">
        <f>CS178</f>
        <v/>
      </c>
      <c r="DW256" s="514">
        <f t="shared" si="173"/>
        <v>5</v>
      </c>
    </row>
    <row r="257" spans="1:127" ht="11.25" customHeight="1">
      <c r="A257" s="3337"/>
      <c r="B257" s="23"/>
      <c r="C257" s="3309" t="str">
        <f t="shared" si="170"/>
        <v/>
      </c>
      <c r="D257" s="3310"/>
      <c r="E257" s="3310"/>
      <c r="F257" s="3310"/>
      <c r="G257" s="3310"/>
      <c r="H257" s="3310"/>
      <c r="I257" s="3310"/>
      <c r="J257" s="3310"/>
      <c r="K257" s="3311"/>
      <c r="L257" s="3312" t="str">
        <f t="shared" si="171"/>
        <v/>
      </c>
      <c r="M257" s="3313"/>
      <c r="N257" s="3313"/>
      <c r="O257" s="3313"/>
      <c r="P257" s="3314"/>
      <c r="Q257" s="3315" t="str">
        <f>IF(C257="","",VLOOKUP(C257,[7]建物1802!$E$5:$AL$3275,2,FALSE))</f>
        <v/>
      </c>
      <c r="R257" s="3315"/>
      <c r="S257" s="3315"/>
      <c r="T257" s="3312" t="str">
        <f>IF(C257="","",VLOOKUP(C257,[7]建物1802!$E$5:$AL$3275,$AH$231,FALSE))</f>
        <v/>
      </c>
      <c r="U257" s="3313"/>
      <c r="V257" s="3313"/>
      <c r="W257" s="3313"/>
      <c r="X257" s="3313"/>
      <c r="Y257" s="3313"/>
      <c r="Z257" s="3316" t="str">
        <f t="shared" si="163"/>
        <v/>
      </c>
      <c r="AA257" s="3317"/>
      <c r="AB257" s="3317"/>
      <c r="AC257" s="3317"/>
      <c r="AD257" s="3317"/>
      <c r="AE257" s="3317"/>
      <c r="AF257" s="3317"/>
      <c r="AG257" s="3318"/>
      <c r="AH257" s="250"/>
      <c r="AI257" s="3319" t="str">
        <f>IF(C257="","",VLOOKUP(C257,[7]建物1802!$E$5:$AL$3275,$AH$232,FALSE))</f>
        <v/>
      </c>
      <c r="AJ257" s="3320"/>
      <c r="AK257" s="3320"/>
      <c r="AL257" s="3321"/>
      <c r="AM257" s="3322" t="str">
        <f t="shared" si="164"/>
        <v/>
      </c>
      <c r="AN257" s="3323"/>
      <c r="AO257" s="3323"/>
      <c r="AP257" s="3323"/>
      <c r="AQ257" s="3324"/>
      <c r="AR257" s="20"/>
      <c r="AS257" s="20"/>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19"/>
      <c r="BW257" s="8">
        <v>11</v>
      </c>
      <c r="DQ257" s="197">
        <f t="shared" si="174"/>
        <v>11</v>
      </c>
      <c r="DR257" s="197" t="str">
        <f t="shared" si="172"/>
        <v/>
      </c>
      <c r="DS257" s="201" t="str">
        <f>CQ179</f>
        <v>ソノライン・スピーカ 20W</v>
      </c>
      <c r="DT257" s="24"/>
      <c r="DU257" s="249" t="str">
        <f>IF(COUNTIF($DS$10:DS256,DS257)&gt;0,"",DS257)</f>
        <v/>
      </c>
      <c r="DV257" s="198">
        <f>CS179</f>
        <v>0</v>
      </c>
      <c r="DW257" s="514">
        <f t="shared" si="173"/>
        <v>5</v>
      </c>
    </row>
    <row r="258" spans="1:127" ht="11.25" customHeight="1">
      <c r="A258" s="3337"/>
      <c r="B258" s="23"/>
      <c r="C258" s="3309" t="str">
        <f t="shared" si="170"/>
        <v/>
      </c>
      <c r="D258" s="3310"/>
      <c r="E258" s="3310"/>
      <c r="F258" s="3310"/>
      <c r="G258" s="3310"/>
      <c r="H258" s="3310"/>
      <c r="I258" s="3310"/>
      <c r="J258" s="3310"/>
      <c r="K258" s="3311"/>
      <c r="L258" s="3312" t="str">
        <f t="shared" si="171"/>
        <v/>
      </c>
      <c r="M258" s="3313"/>
      <c r="N258" s="3313"/>
      <c r="O258" s="3313"/>
      <c r="P258" s="3314"/>
      <c r="Q258" s="3315" t="str">
        <f>IF(C258="","",VLOOKUP(C258,[7]建物1802!$E$5:$AL$3275,2,FALSE))</f>
        <v/>
      </c>
      <c r="R258" s="3315"/>
      <c r="S258" s="3315"/>
      <c r="T258" s="3312" t="str">
        <f>IF(C258="","",VLOOKUP(C258,[7]建物1802!$E$5:$AL$3275,$AH$231,FALSE))</f>
        <v/>
      </c>
      <c r="U258" s="3313"/>
      <c r="V258" s="3313"/>
      <c r="W258" s="3313"/>
      <c r="X258" s="3313"/>
      <c r="Y258" s="3313"/>
      <c r="Z258" s="3316" t="str">
        <f t="shared" si="163"/>
        <v/>
      </c>
      <c r="AA258" s="3317"/>
      <c r="AB258" s="3317"/>
      <c r="AC258" s="3317"/>
      <c r="AD258" s="3317"/>
      <c r="AE258" s="3317"/>
      <c r="AF258" s="3317"/>
      <c r="AG258" s="3318"/>
      <c r="AH258" s="250"/>
      <c r="AI258" s="3319" t="str">
        <f>IF(C258="","",VLOOKUP(C258,[7]建物1802!$E$5:$AL$3275,$AH$232,FALSE))</f>
        <v/>
      </c>
      <c r="AJ258" s="3320"/>
      <c r="AK258" s="3320"/>
      <c r="AL258" s="3321"/>
      <c r="AM258" s="3322" t="str">
        <f t="shared" si="164"/>
        <v/>
      </c>
      <c r="AN258" s="3323"/>
      <c r="AO258" s="3323"/>
      <c r="AP258" s="3323"/>
      <c r="AQ258" s="3324"/>
      <c r="AR258" s="20"/>
      <c r="AS258" s="20"/>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19"/>
      <c r="BW258" s="8">
        <v>12</v>
      </c>
      <c r="DQ258" s="197">
        <f t="shared" si="174"/>
        <v>11</v>
      </c>
      <c r="DR258" s="197" t="str">
        <f t="shared" si="172"/>
        <v/>
      </c>
      <c r="DS258" s="10" t="str">
        <f t="shared" ref="DS258:DS263" si="175">CT172</f>
        <v/>
      </c>
      <c r="DT258" s="24"/>
      <c r="DU258" s="249" t="str">
        <f>IF(COUNTIF($DS$10:DS257,DS258)&gt;0,"",DS258)</f>
        <v/>
      </c>
      <c r="DV258" s="198" t="str">
        <f t="shared" ref="DV258:DV263" si="176">CV172</f>
        <v/>
      </c>
      <c r="DW258" s="514">
        <f t="shared" si="173"/>
        <v>5</v>
      </c>
    </row>
    <row r="259" spans="1:127" ht="11.25" customHeight="1">
      <c r="A259" s="3337"/>
      <c r="B259" s="23"/>
      <c r="C259" s="3309" t="str">
        <f t="shared" si="170"/>
        <v/>
      </c>
      <c r="D259" s="3310"/>
      <c r="E259" s="3310"/>
      <c r="F259" s="3310"/>
      <c r="G259" s="3310"/>
      <c r="H259" s="3310"/>
      <c r="I259" s="3310"/>
      <c r="J259" s="3310"/>
      <c r="K259" s="3311"/>
      <c r="L259" s="3312" t="str">
        <f t="shared" si="171"/>
        <v/>
      </c>
      <c r="M259" s="3313"/>
      <c r="N259" s="3313"/>
      <c r="O259" s="3313"/>
      <c r="P259" s="3314"/>
      <c r="Q259" s="3315" t="str">
        <f>IF(C259="","",VLOOKUP(C259,[7]建物1802!$E$5:$AL$3275,2,FALSE))</f>
        <v/>
      </c>
      <c r="R259" s="3315"/>
      <c r="S259" s="3315"/>
      <c r="T259" s="3312" t="str">
        <f>IF(C259="","",VLOOKUP(C259,[7]建物1802!$E$5:$AL$3275,$AH$231,FALSE))</f>
        <v/>
      </c>
      <c r="U259" s="3313"/>
      <c r="V259" s="3313"/>
      <c r="W259" s="3313"/>
      <c r="X259" s="3313"/>
      <c r="Y259" s="3313"/>
      <c r="Z259" s="3316" t="str">
        <f t="shared" si="163"/>
        <v/>
      </c>
      <c r="AA259" s="3317"/>
      <c r="AB259" s="3317"/>
      <c r="AC259" s="3317"/>
      <c r="AD259" s="3317"/>
      <c r="AE259" s="3317"/>
      <c r="AF259" s="3317"/>
      <c r="AG259" s="3318"/>
      <c r="AH259" s="250"/>
      <c r="AI259" s="3319" t="str">
        <f>IF(C259="","",VLOOKUP(C259,[7]建物1802!$E$5:$AL$3275,$AH$232,FALSE))</f>
        <v/>
      </c>
      <c r="AJ259" s="3320"/>
      <c r="AK259" s="3320"/>
      <c r="AL259" s="3321"/>
      <c r="AM259" s="3322" t="str">
        <f t="shared" si="164"/>
        <v/>
      </c>
      <c r="AN259" s="3323"/>
      <c r="AO259" s="3323"/>
      <c r="AP259" s="3323"/>
      <c r="AQ259" s="3324"/>
      <c r="AR259" s="20"/>
      <c r="AS259" s="20"/>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19"/>
      <c r="BW259" s="8">
        <v>13</v>
      </c>
      <c r="DQ259" s="197">
        <f t="shared" si="174"/>
        <v>11</v>
      </c>
      <c r="DR259" s="197" t="str">
        <f t="shared" si="172"/>
        <v/>
      </c>
      <c r="DS259" s="10" t="str">
        <f t="shared" si="175"/>
        <v/>
      </c>
      <c r="DT259" s="24"/>
      <c r="DU259" s="249" t="str">
        <f>IF(COUNTIF($DS$10:DS258,DS259)&gt;0,"",DS259)</f>
        <v/>
      </c>
      <c r="DV259" s="198" t="str">
        <f t="shared" si="176"/>
        <v/>
      </c>
      <c r="DW259" s="514">
        <f t="shared" si="173"/>
        <v>5</v>
      </c>
    </row>
    <row r="260" spans="1:127" ht="11.25" customHeight="1">
      <c r="A260" s="3337"/>
      <c r="B260" s="23"/>
      <c r="C260" s="3309" t="str">
        <f t="shared" si="170"/>
        <v/>
      </c>
      <c r="D260" s="3310"/>
      <c r="E260" s="3310"/>
      <c r="F260" s="3310"/>
      <c r="G260" s="3310"/>
      <c r="H260" s="3310"/>
      <c r="I260" s="3310"/>
      <c r="J260" s="3310"/>
      <c r="K260" s="3311"/>
      <c r="L260" s="3312" t="str">
        <f t="shared" si="171"/>
        <v/>
      </c>
      <c r="M260" s="3313"/>
      <c r="N260" s="3313"/>
      <c r="O260" s="3313"/>
      <c r="P260" s="3314"/>
      <c r="Q260" s="3315" t="str">
        <f>IF(C260="","",VLOOKUP(C260,[7]建物1802!$E$5:$AL$3275,2,FALSE))</f>
        <v/>
      </c>
      <c r="R260" s="3315"/>
      <c r="S260" s="3315"/>
      <c r="T260" s="3312" t="str">
        <f>IF(C260="","",VLOOKUP(C260,[7]建物1802!$E$5:$AL$3275,$AH$231,FALSE))</f>
        <v/>
      </c>
      <c r="U260" s="3313"/>
      <c r="V260" s="3313"/>
      <c r="W260" s="3313"/>
      <c r="X260" s="3313"/>
      <c r="Y260" s="3313"/>
      <c r="Z260" s="3316" t="str">
        <f t="shared" si="163"/>
        <v/>
      </c>
      <c r="AA260" s="3317"/>
      <c r="AB260" s="3317"/>
      <c r="AC260" s="3317"/>
      <c r="AD260" s="3317"/>
      <c r="AE260" s="3317"/>
      <c r="AF260" s="3317"/>
      <c r="AG260" s="3318"/>
      <c r="AH260" s="250"/>
      <c r="AI260" s="3319" t="str">
        <f>IF(C260="","",VLOOKUP(C260,[7]建物1802!$E$5:$AL$3275,$AH$232,FALSE))</f>
        <v/>
      </c>
      <c r="AJ260" s="3320"/>
      <c r="AK260" s="3320"/>
      <c r="AL260" s="3321"/>
      <c r="AM260" s="3322" t="str">
        <f t="shared" si="164"/>
        <v/>
      </c>
      <c r="AN260" s="3323"/>
      <c r="AO260" s="3323"/>
      <c r="AP260" s="3323"/>
      <c r="AQ260" s="3324"/>
      <c r="AR260" s="20"/>
      <c r="AS260" s="20"/>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19"/>
      <c r="BW260" s="8">
        <v>14</v>
      </c>
      <c r="DQ260" s="197">
        <f t="shared" si="174"/>
        <v>11</v>
      </c>
      <c r="DR260" s="197" t="str">
        <f t="shared" si="172"/>
        <v/>
      </c>
      <c r="DS260" s="10" t="str">
        <f t="shared" si="175"/>
        <v/>
      </c>
      <c r="DT260" s="24"/>
      <c r="DU260" s="249" t="str">
        <f>IF(COUNTIF($DS$10:DS259,DS260)&gt;0,"",DS260)</f>
        <v/>
      </c>
      <c r="DV260" s="198" t="str">
        <f t="shared" si="176"/>
        <v/>
      </c>
      <c r="DW260" s="514">
        <f t="shared" si="173"/>
        <v>5</v>
      </c>
    </row>
    <row r="261" spans="1:127" ht="11.25" customHeight="1">
      <c r="A261" s="3337"/>
      <c r="B261" s="23"/>
      <c r="C261" s="3338" t="str">
        <f>IF($B$2=0,"",IF(L261&lt;&gt;"","C-OBox4角中深",""))</f>
        <v>C-OBox4角中深</v>
      </c>
      <c r="D261" s="3339"/>
      <c r="E261" s="3339"/>
      <c r="F261" s="3339"/>
      <c r="G261" s="3339"/>
      <c r="H261" s="3339"/>
      <c r="I261" s="3339"/>
      <c r="J261" s="3339"/>
      <c r="K261" s="3340"/>
      <c r="L261" s="3341">
        <f>IF($B$2=0,"",SUM(L262:P276))</f>
        <v>467</v>
      </c>
      <c r="M261" s="3342"/>
      <c r="N261" s="3342"/>
      <c r="O261" s="3342"/>
      <c r="P261" s="3343"/>
      <c r="Q261" s="3351" t="str">
        <f>IF(C261="","",VLOOKUP(C261,[7]建物1802!$E$5:$AL$3275,2,FALSE))</f>
        <v>個</v>
      </c>
      <c r="R261" s="3351"/>
      <c r="S261" s="3351"/>
      <c r="T261" s="3341">
        <f>IF(C261="","",VLOOKUP(C261,[7]建物1802!$E$5:$AL$3275,$AH$231,FALSE))</f>
        <v>155</v>
      </c>
      <c r="U261" s="3342"/>
      <c r="V261" s="3342"/>
      <c r="W261" s="3342"/>
      <c r="X261" s="3342"/>
      <c r="Y261" s="3342"/>
      <c r="Z261" s="3473">
        <f t="shared" si="163"/>
        <v>72385</v>
      </c>
      <c r="AA261" s="3474"/>
      <c r="AB261" s="3474"/>
      <c r="AC261" s="3474"/>
      <c r="AD261" s="3474"/>
      <c r="AE261" s="3474"/>
      <c r="AF261" s="3474"/>
      <c r="AG261" s="3475"/>
      <c r="AH261" s="39"/>
      <c r="AI261" s="3352">
        <f>IF(C261="","",VLOOKUP(C261,[7]建物1802!$E$5:$AL$3275,$AH$232,FALSE))</f>
        <v>0.1</v>
      </c>
      <c r="AJ261" s="3353"/>
      <c r="AK261" s="3353"/>
      <c r="AL261" s="3354"/>
      <c r="AM261" s="3355">
        <f t="shared" si="164"/>
        <v>46.7</v>
      </c>
      <c r="AN261" s="3356"/>
      <c r="AO261" s="3356"/>
      <c r="AP261" s="3356"/>
      <c r="AQ261" s="3357"/>
      <c r="AR261" s="20"/>
      <c r="AS261" s="20"/>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19"/>
      <c r="BW261" s="8">
        <v>15</v>
      </c>
      <c r="DQ261" s="197">
        <f t="shared" si="174"/>
        <v>11</v>
      </c>
      <c r="DR261" s="197" t="str">
        <f t="shared" si="172"/>
        <v/>
      </c>
      <c r="DS261" s="10" t="str">
        <f t="shared" si="175"/>
        <v/>
      </c>
      <c r="DT261" s="24"/>
      <c r="DU261" s="249" t="str">
        <f>IF(COUNTIF($DS$10:DS260,DS261)&gt;0,"",DS261)</f>
        <v/>
      </c>
      <c r="DV261" s="198" t="str">
        <f t="shared" si="176"/>
        <v/>
      </c>
      <c r="DW261" s="514">
        <f t="shared" si="173"/>
        <v>5</v>
      </c>
    </row>
    <row r="262" spans="1:127" ht="11.25" customHeight="1">
      <c r="A262" s="3337"/>
      <c r="B262" s="23"/>
      <c r="C262" s="3309" t="str">
        <f t="shared" ref="C262:C276" si="177">IF(OR($B$2=0,L262=""),"",VLOOKUP(BW262,放機,2,FALSE))</f>
        <v>スピーカ 3W S1</v>
      </c>
      <c r="D262" s="3310"/>
      <c r="E262" s="3310"/>
      <c r="F262" s="3310"/>
      <c r="G262" s="3310"/>
      <c r="H262" s="3310"/>
      <c r="I262" s="3310"/>
      <c r="J262" s="3310"/>
      <c r="K262" s="3311"/>
      <c r="L262" s="3312">
        <f>IF($B$2=0,"",IF(ISNA(VLOOKUP(BW262,放機,6,FALSE)),"",VLOOKUP(BW262,放機,6,FALSE)))</f>
        <v>166</v>
      </c>
      <c r="M262" s="3313"/>
      <c r="N262" s="3313"/>
      <c r="O262" s="3313"/>
      <c r="P262" s="3314"/>
      <c r="Q262" s="3315" t="str">
        <f>IF(C262="","",VLOOKUP(C262,[7]建物1802!$E$5:$AL$3275,2,FALSE))</f>
        <v>個</v>
      </c>
      <c r="R262" s="3315"/>
      <c r="S262" s="3315"/>
      <c r="T262" s="3312">
        <f>IF(C262="主増幅器",BF262,IF(C262="","",VLOOKUP(C262,[7]建物1802!$E$5:$AL$3275,$AH$231,FALSE)))</f>
        <v>5330</v>
      </c>
      <c r="U262" s="3313"/>
      <c r="V262" s="3313"/>
      <c r="W262" s="3313"/>
      <c r="X262" s="3313"/>
      <c r="Y262" s="3313"/>
      <c r="Z262" s="3316">
        <f t="shared" si="163"/>
        <v>884780</v>
      </c>
      <c r="AA262" s="3317"/>
      <c r="AB262" s="3317"/>
      <c r="AC262" s="3317"/>
      <c r="AD262" s="3317"/>
      <c r="AE262" s="3317"/>
      <c r="AF262" s="3317"/>
      <c r="AG262" s="3318"/>
      <c r="AH262" s="250"/>
      <c r="AI262" s="3319">
        <f>IF(C262="","",VLOOKUP(C262,[7]建物1802!$E$5:$AL$3275,$AH$232,FALSE))</f>
        <v>0.19500000000000001</v>
      </c>
      <c r="AJ262" s="3320"/>
      <c r="AK262" s="3320"/>
      <c r="AL262" s="3321"/>
      <c r="AM262" s="3322">
        <f t="shared" si="164"/>
        <v>32.370000000000005</v>
      </c>
      <c r="AN262" s="3323"/>
      <c r="AO262" s="3323"/>
      <c r="AP262" s="3323"/>
      <c r="AQ262" s="3324"/>
      <c r="AR262" s="20"/>
      <c r="AS262" s="20"/>
      <c r="AT262" s="2974" t="str">
        <f>IF(B2=0,"","主増幅器")</f>
        <v>主増幅器</v>
      </c>
      <c r="AU262" s="2975"/>
      <c r="AV262" s="2975"/>
      <c r="AW262" s="2975"/>
      <c r="AX262" s="2975"/>
      <c r="AY262" s="2976"/>
      <c r="AZ262" s="662"/>
      <c r="BA262" s="2788" t="str">
        <f>IF($B$2=0,"",IF(BH262&lt;&gt;"",BH262,IF(BI263&lt;=120,"卓上型",IF(BI263&lt;=600,"壁掛型","自立型"))))</f>
        <v>壁掛型</v>
      </c>
      <c r="BB262" s="2789"/>
      <c r="BC262" s="2789"/>
      <c r="BD262" s="2789"/>
      <c r="BE262" s="2789"/>
      <c r="BF262" s="2790"/>
      <c r="BG262" s="661" t="s">
        <v>68</v>
      </c>
      <c r="BH262" s="3498"/>
      <c r="BI262" s="3499"/>
      <c r="BJ262" s="3499"/>
      <c r="BK262" s="3499"/>
      <c r="BL262" s="3499"/>
      <c r="BM262" s="3500"/>
      <c r="BN262" s="28"/>
      <c r="BO262" s="28"/>
      <c r="BP262" s="28"/>
      <c r="BQ262" s="28"/>
      <c r="BR262" s="28"/>
      <c r="BS262" s="28"/>
      <c r="BT262" s="28"/>
      <c r="BU262" s="19"/>
      <c r="BW262" s="8">
        <v>1</v>
      </c>
      <c r="DQ262" s="197">
        <f t="shared" si="174"/>
        <v>11</v>
      </c>
      <c r="DR262" s="197" t="str">
        <f t="shared" si="172"/>
        <v/>
      </c>
      <c r="DS262" s="10" t="str">
        <f t="shared" si="175"/>
        <v/>
      </c>
      <c r="DT262" s="24"/>
      <c r="DU262" s="249" t="str">
        <f>IF(COUNTIF($DS$10:DS261,DS262)&gt;0,"",DS262)</f>
        <v/>
      </c>
      <c r="DV262" s="198" t="str">
        <f t="shared" si="176"/>
        <v/>
      </c>
      <c r="DW262" s="514">
        <f t="shared" si="173"/>
        <v>5</v>
      </c>
    </row>
    <row r="263" spans="1:127" ht="11.25" customHeight="1">
      <c r="A263" s="3337"/>
      <c r="B263" s="23"/>
      <c r="C263" s="3309" t="str">
        <f t="shared" si="177"/>
        <v>スピーカ 3W S3</v>
      </c>
      <c r="D263" s="3310"/>
      <c r="E263" s="3310"/>
      <c r="F263" s="3310"/>
      <c r="G263" s="3310"/>
      <c r="H263" s="3310"/>
      <c r="I263" s="3310"/>
      <c r="J263" s="3310"/>
      <c r="K263" s="3311"/>
      <c r="L263" s="3312">
        <f t="shared" ref="L263:L276" si="178">IF(ISNA(VLOOKUP(BW263,放機,6,FALSE)),"",VLOOKUP(BW263,放機,6,FALSE))</f>
        <v>106</v>
      </c>
      <c r="M263" s="3313"/>
      <c r="N263" s="3313"/>
      <c r="O263" s="3313"/>
      <c r="P263" s="3314"/>
      <c r="Q263" s="2542" t="str">
        <f>IF(C263="","",VLOOKUP(C263,[7]建物1802!$E$5:$AL$3275,2,FALSE))</f>
        <v>個</v>
      </c>
      <c r="R263" s="2542"/>
      <c r="S263" s="2542"/>
      <c r="T263" s="3312">
        <f>IF(C263="主増幅器",BF263,IF(C263="","",VLOOKUP(C263,[7]建物1802!$E$5:$AL$3275,$AH$231,FALSE)))</f>
        <v>4870</v>
      </c>
      <c r="U263" s="3313"/>
      <c r="V263" s="3313"/>
      <c r="W263" s="3313"/>
      <c r="X263" s="3313"/>
      <c r="Y263" s="3313"/>
      <c r="Z263" s="3316">
        <f t="shared" si="163"/>
        <v>516220</v>
      </c>
      <c r="AA263" s="3317"/>
      <c r="AB263" s="3317"/>
      <c r="AC263" s="3317"/>
      <c r="AD263" s="3317"/>
      <c r="AE263" s="3317"/>
      <c r="AF263" s="3317"/>
      <c r="AG263" s="3318"/>
      <c r="AH263" s="39"/>
      <c r="AI263" s="3319">
        <f>IF(C263="","",VLOOKUP(C263,[7]建物1802!$E$5:$AL$3275,$AH$232,FALSE))</f>
        <v>9.7000000000000003E-2</v>
      </c>
      <c r="AJ263" s="3320"/>
      <c r="AK263" s="3320"/>
      <c r="AL263" s="3321"/>
      <c r="AM263" s="3470">
        <f t="shared" si="164"/>
        <v>10.282</v>
      </c>
      <c r="AN263" s="3471"/>
      <c r="AO263" s="3471"/>
      <c r="AP263" s="3471"/>
      <c r="AQ263" s="3472"/>
      <c r="AR263" s="20"/>
      <c r="AS263" s="20"/>
      <c r="AT263" s="28"/>
      <c r="AU263" s="28"/>
      <c r="AV263" s="28"/>
      <c r="AW263" s="28"/>
      <c r="AX263" s="28"/>
      <c r="AY263" s="28"/>
      <c r="AZ263" s="28"/>
      <c r="BA263" s="2974" t="str">
        <f>IF(BI263="","","必要出力 (W)")</f>
        <v>必要出力 (W)</v>
      </c>
      <c r="BB263" s="2975"/>
      <c r="BC263" s="2975"/>
      <c r="BD263" s="2975"/>
      <c r="BE263" s="2975"/>
      <c r="BF263" s="2975"/>
      <c r="BG263" s="2975"/>
      <c r="BH263" s="2976"/>
      <c r="BI263" s="2943">
        <f>IF($B$2=0,"",IF(BW12&lt;30,30,IF(BW12&lt;60,60,IF(BW12&lt;120,120,BW12))))</f>
        <v>577</v>
      </c>
      <c r="BJ263" s="2944"/>
      <c r="BK263" s="2944"/>
      <c r="BL263" s="2944"/>
      <c r="BM263" s="2945"/>
      <c r="BN263" s="28"/>
      <c r="BO263" s="28"/>
      <c r="BP263" s="28"/>
      <c r="BQ263" s="28"/>
      <c r="BR263" s="28"/>
      <c r="BS263" s="28"/>
      <c r="BT263" s="28"/>
      <c r="BU263" s="19"/>
      <c r="BW263" s="8">
        <v>2</v>
      </c>
      <c r="DP263" s="8"/>
      <c r="DQ263" s="197">
        <f t="shared" si="174"/>
        <v>11</v>
      </c>
      <c r="DR263" s="197" t="str">
        <f t="shared" si="172"/>
        <v/>
      </c>
      <c r="DS263" s="10" t="str">
        <f t="shared" si="175"/>
        <v/>
      </c>
      <c r="DT263" s="24"/>
      <c r="DU263" s="249" t="str">
        <f>IF(COUNTIF($DS$10:DS262,DS263)&gt;0,"",DS263)</f>
        <v/>
      </c>
      <c r="DV263" s="198" t="str">
        <f t="shared" si="176"/>
        <v/>
      </c>
      <c r="DW263" s="514">
        <f t="shared" si="173"/>
        <v>5</v>
      </c>
    </row>
    <row r="264" spans="1:127" ht="11.25" customHeight="1">
      <c r="A264" s="3337"/>
      <c r="B264" s="23"/>
      <c r="C264" s="3309" t="str">
        <f t="shared" si="177"/>
        <v>スピーカ 6W S2</v>
      </c>
      <c r="D264" s="3310"/>
      <c r="E264" s="3310"/>
      <c r="F264" s="3310"/>
      <c r="G264" s="3310"/>
      <c r="H264" s="3310"/>
      <c r="I264" s="3310"/>
      <c r="J264" s="3310"/>
      <c r="K264" s="3311"/>
      <c r="L264" s="3312">
        <f t="shared" si="178"/>
        <v>45</v>
      </c>
      <c r="M264" s="3313"/>
      <c r="N264" s="3313"/>
      <c r="O264" s="3313"/>
      <c r="P264" s="3314"/>
      <c r="Q264" s="2542" t="str">
        <f>IF(C264="","",VLOOKUP(C264,[7]建物1802!$E$5:$AL$3275,2,FALSE))</f>
        <v>個</v>
      </c>
      <c r="R264" s="2542"/>
      <c r="S264" s="2542"/>
      <c r="T264" s="3312">
        <f>IF(C264="主増幅器",BF264,IF(C264="","",VLOOKUP(C264,[7]建物1802!$E$5:$AL$3275,$AH$231,FALSE)))</f>
        <v>5330</v>
      </c>
      <c r="U264" s="3313"/>
      <c r="V264" s="3313"/>
      <c r="W264" s="3313"/>
      <c r="X264" s="3313"/>
      <c r="Y264" s="3313"/>
      <c r="Z264" s="3316">
        <f t="shared" si="163"/>
        <v>239850</v>
      </c>
      <c r="AA264" s="3317"/>
      <c r="AB264" s="3317"/>
      <c r="AC264" s="3317"/>
      <c r="AD264" s="3317"/>
      <c r="AE264" s="3317"/>
      <c r="AF264" s="3317"/>
      <c r="AG264" s="3318"/>
      <c r="AH264" s="39"/>
      <c r="AI264" s="3319">
        <f>IF(C264="","",VLOOKUP(C264,[7]建物1802!$E$5:$AL$3275,$AH$232,FALSE))</f>
        <v>0.19500000000000001</v>
      </c>
      <c r="AJ264" s="3320"/>
      <c r="AK264" s="3320"/>
      <c r="AL264" s="3321"/>
      <c r="AM264" s="3470">
        <f t="shared" si="164"/>
        <v>8.7750000000000004</v>
      </c>
      <c r="AN264" s="3471"/>
      <c r="AO264" s="3471"/>
      <c r="AP264" s="3471"/>
      <c r="AQ264" s="3472"/>
      <c r="AR264" s="20"/>
      <c r="AS264" s="20"/>
      <c r="AT264" s="28"/>
      <c r="AU264" s="28"/>
      <c r="AV264" s="28"/>
      <c r="AW264" s="28"/>
      <c r="AX264" s="28"/>
      <c r="AY264" s="28"/>
      <c r="AZ264" s="28"/>
      <c r="BA264" s="2974" t="str">
        <f>IF($B$2=0,"",IF(BI263&lt;120,BI263&amp;" W アンプ","120W アンプ"))</f>
        <v>120W アンプ</v>
      </c>
      <c r="BB264" s="2975"/>
      <c r="BC264" s="2975"/>
      <c r="BD264" s="2975"/>
      <c r="BE264" s="2975"/>
      <c r="BF264" s="2975"/>
      <c r="BG264" s="2975"/>
      <c r="BH264" s="2976"/>
      <c r="BI264" s="3228">
        <f>IF($B$2=0,"",IF(BL264="",1+INT(BI263/120),BL264))</f>
        <v>5</v>
      </c>
      <c r="BJ264" s="3230"/>
      <c r="BK264" s="661" t="s">
        <v>68</v>
      </c>
      <c r="BL264" s="3487"/>
      <c r="BM264" s="3488"/>
      <c r="BN264" s="28"/>
      <c r="BO264" s="28"/>
      <c r="BP264" s="28"/>
      <c r="BQ264" s="28"/>
      <c r="BR264" s="28"/>
      <c r="BS264" s="28"/>
      <c r="BT264" s="28"/>
      <c r="BU264" s="19"/>
      <c r="BW264" s="8">
        <v>3</v>
      </c>
      <c r="DP264" s="88">
        <v>19</v>
      </c>
      <c r="DQ264" s="45"/>
      <c r="DR264" s="45"/>
      <c r="DS264" s="45"/>
      <c r="DT264" s="45"/>
      <c r="DU264" s="45"/>
      <c r="DV264" s="45"/>
      <c r="DW264" s="45"/>
    </row>
    <row r="265" spans="1:127" ht="11.25" customHeight="1">
      <c r="A265" s="3337"/>
      <c r="B265" s="23"/>
      <c r="C265" s="3309" t="str">
        <f t="shared" si="177"/>
        <v>プロセニアム・スピーカ 20W</v>
      </c>
      <c r="D265" s="3310"/>
      <c r="E265" s="3310"/>
      <c r="F265" s="3310"/>
      <c r="G265" s="3310"/>
      <c r="H265" s="3310"/>
      <c r="I265" s="3310"/>
      <c r="J265" s="3310"/>
      <c r="K265" s="3311"/>
      <c r="L265" s="3312">
        <f t="shared" si="178"/>
        <v>6</v>
      </c>
      <c r="M265" s="3313"/>
      <c r="N265" s="3313"/>
      <c r="O265" s="3313"/>
      <c r="P265" s="3314"/>
      <c r="Q265" s="2542" t="str">
        <f>IF(C265="","",VLOOKUP(C265,[7]建物1802!$E$5:$AL$3275,2,FALSE))</f>
        <v>個</v>
      </c>
      <c r="R265" s="2542"/>
      <c r="S265" s="2542"/>
      <c r="T265" s="3312">
        <f>IF(C265="主増幅器",BF265,IF(C265="","",VLOOKUP(C265,[7]建物1802!$E$5:$AL$3275,$AH$231,FALSE)))</f>
        <v>50000</v>
      </c>
      <c r="U265" s="3313"/>
      <c r="V265" s="3313"/>
      <c r="W265" s="3313"/>
      <c r="X265" s="3313"/>
      <c r="Y265" s="3313"/>
      <c r="Z265" s="3316">
        <f t="shared" si="163"/>
        <v>300000</v>
      </c>
      <c r="AA265" s="3317"/>
      <c r="AB265" s="3317"/>
      <c r="AC265" s="3317"/>
      <c r="AD265" s="3317"/>
      <c r="AE265" s="3317"/>
      <c r="AF265" s="3317"/>
      <c r="AG265" s="3318"/>
      <c r="AH265" s="39"/>
      <c r="AI265" s="3319">
        <f>IF(C265="","",VLOOKUP(C265,[7]建物1802!$E$5:$AL$3275,$AH$232,FALSE))</f>
        <v>0.3</v>
      </c>
      <c r="AJ265" s="3320"/>
      <c r="AK265" s="3320"/>
      <c r="AL265" s="3321"/>
      <c r="AM265" s="3470">
        <f t="shared" si="164"/>
        <v>1.7999999999999998</v>
      </c>
      <c r="AN265" s="3471"/>
      <c r="AO265" s="3471"/>
      <c r="AP265" s="3471"/>
      <c r="AQ265" s="3472"/>
      <c r="AR265" s="20"/>
      <c r="AS265" s="20"/>
      <c r="AT265" s="28"/>
      <c r="AU265" s="28"/>
      <c r="AV265" s="28"/>
      <c r="AW265" s="28"/>
      <c r="AX265" s="28"/>
      <c r="AY265" s="28"/>
      <c r="AZ265" s="28"/>
      <c r="BA265" s="2974" t="str">
        <f>IF(BJ265="","","端 子 盤 (Pr)")</f>
        <v>端 子 盤 (Pr)</v>
      </c>
      <c r="BB265" s="2975"/>
      <c r="BC265" s="2975"/>
      <c r="BD265" s="2975"/>
      <c r="BE265" s="2975"/>
      <c r="BF265" s="2975"/>
      <c r="BG265" s="2975"/>
      <c r="BH265" s="2975"/>
      <c r="BI265" s="2976"/>
      <c r="BJ265" s="3480" t="str">
        <f>BY12</f>
        <v>200</v>
      </c>
      <c r="BK265" s="3481"/>
      <c r="BL265" s="3481"/>
      <c r="BM265" s="3482"/>
      <c r="BN265" s="28"/>
      <c r="BO265" s="28"/>
      <c r="BP265" s="28"/>
      <c r="BQ265" s="28"/>
      <c r="BR265" s="28"/>
      <c r="BS265" s="28"/>
      <c r="BT265" s="28"/>
      <c r="BU265" s="19"/>
      <c r="BW265" s="8">
        <v>4</v>
      </c>
      <c r="DP265" s="8"/>
      <c r="DQ265" s="197">
        <f>IF(DU265&lt;&gt;"",DQ263+1,DQ263)</f>
        <v>11</v>
      </c>
      <c r="DR265" s="197" t="str">
        <f t="shared" ref="DR265:DR277" si="179">IF(AND(DQ265&lt;&gt;"",DU265&lt;&gt;""),DQ265,"")</f>
        <v/>
      </c>
      <c r="DS265" s="10" t="str">
        <f>CQ180</f>
        <v/>
      </c>
      <c r="DT265" s="8"/>
      <c r="DU265" s="249" t="str">
        <f>IF(COUNTIF($DS$10:DS264,DS265)&gt;0,"",DS265)</f>
        <v/>
      </c>
      <c r="DV265" s="198" t="str">
        <f>CS180</f>
        <v/>
      </c>
      <c r="DW265" s="514">
        <f t="shared" ref="DW265:DW277" si="180">SUMIF($DS$13:$DS$344,DU265,$DV$13:$DV$344)</f>
        <v>5</v>
      </c>
    </row>
    <row r="266" spans="1:127" ht="11.25" customHeight="1">
      <c r="A266" s="3337"/>
      <c r="B266" s="23"/>
      <c r="C266" s="3309" t="str">
        <f t="shared" si="177"/>
        <v>ソノライン・スピーカ 20W</v>
      </c>
      <c r="D266" s="3310"/>
      <c r="E266" s="3310"/>
      <c r="F266" s="3310"/>
      <c r="G266" s="3310"/>
      <c r="H266" s="3310"/>
      <c r="I266" s="3310"/>
      <c r="J266" s="3310"/>
      <c r="K266" s="3311"/>
      <c r="L266" s="3312">
        <f t="shared" si="178"/>
        <v>23</v>
      </c>
      <c r="M266" s="3313"/>
      <c r="N266" s="3313"/>
      <c r="O266" s="3313"/>
      <c r="P266" s="3314"/>
      <c r="Q266" s="2542" t="str">
        <f>IF(C266="","",VLOOKUP(C266,[7]建物1802!$E$5:$AL$3275,2,FALSE))</f>
        <v>個</v>
      </c>
      <c r="R266" s="2542"/>
      <c r="S266" s="2542"/>
      <c r="T266" s="3312">
        <f>IF(C266="主増幅器",BF266,IF(C266="","",VLOOKUP(C266,[7]建物1802!$E$5:$AL$3275,$AH$231,FALSE)))</f>
        <v>45000</v>
      </c>
      <c r="U266" s="3313"/>
      <c r="V266" s="3313"/>
      <c r="W266" s="3313"/>
      <c r="X266" s="3313"/>
      <c r="Y266" s="3313"/>
      <c r="Z266" s="3316">
        <f t="shared" si="163"/>
        <v>1035000</v>
      </c>
      <c r="AA266" s="3317"/>
      <c r="AB266" s="3317"/>
      <c r="AC266" s="3317"/>
      <c r="AD266" s="3317"/>
      <c r="AE266" s="3317"/>
      <c r="AF266" s="3317"/>
      <c r="AG266" s="3318"/>
      <c r="AH266" s="39"/>
      <c r="AI266" s="3319">
        <f>IF(C266="","",VLOOKUP(C266,[7]建物1802!$E$5:$AL$3275,$AH$232,FALSE))</f>
        <v>0.2</v>
      </c>
      <c r="AJ266" s="3320"/>
      <c r="AK266" s="3320"/>
      <c r="AL266" s="3321"/>
      <c r="AM266" s="3470">
        <f t="shared" si="164"/>
        <v>4.6000000000000005</v>
      </c>
      <c r="AN266" s="3471"/>
      <c r="AO266" s="3471"/>
      <c r="AP266" s="3471"/>
      <c r="AQ266" s="3472"/>
      <c r="AR266" s="20"/>
      <c r="AS266" s="20"/>
      <c r="AT266" s="28"/>
      <c r="AU266" s="28"/>
      <c r="AV266" s="28"/>
      <c r="AW266" s="28"/>
      <c r="AX266" s="28"/>
      <c r="AY266" s="28"/>
      <c r="AZ266" s="28"/>
      <c r="BA266" s="2974" t="str">
        <f>IF(OR(AT262="",BA262="卓上型"),"","函体形状")</f>
        <v>函体形状</v>
      </c>
      <c r="BB266" s="2975"/>
      <c r="BC266" s="2975"/>
      <c r="BD266" s="2975"/>
      <c r="BE266" s="2975"/>
      <c r="BF266" s="2976"/>
      <c r="BG266" s="2788" t="str">
        <f>IF(BA262="卓上型","",IF(BK266&lt;&gt;"",BK266,IF(BA262="壁掛型","壁掛",IF(BA262="自立型","自立",""))))</f>
        <v>壁掛</v>
      </c>
      <c r="BH266" s="2789"/>
      <c r="BI266" s="2790"/>
      <c r="BJ266" s="661" t="s">
        <v>68</v>
      </c>
      <c r="BK266" s="3498"/>
      <c r="BL266" s="3499"/>
      <c r="BM266" s="3500"/>
      <c r="BN266" s="28"/>
      <c r="BO266" s="28"/>
      <c r="BP266" s="28"/>
      <c r="BQ266" s="28"/>
      <c r="BR266" s="28"/>
      <c r="BS266" s="28"/>
      <c r="BT266" s="28"/>
      <c r="BU266" s="19"/>
      <c r="BW266" s="8">
        <v>5</v>
      </c>
      <c r="DP266" s="8"/>
      <c r="DQ266" s="197">
        <f t="shared" ref="DQ266:DQ277" si="181">IF(DU266&lt;&gt;"",DQ265+1,DQ265)</f>
        <v>11</v>
      </c>
      <c r="DR266" s="197" t="str">
        <f t="shared" si="179"/>
        <v/>
      </c>
      <c r="DS266" s="10" t="str">
        <f>CQ181</f>
        <v/>
      </c>
      <c r="DT266" s="8"/>
      <c r="DU266" s="249" t="str">
        <f>IF(COUNTIF($DS$10:DS265,DS266)&gt;0,"",DS266)</f>
        <v/>
      </c>
      <c r="DV266" s="198" t="str">
        <f>CS181</f>
        <v/>
      </c>
      <c r="DW266" s="514">
        <f t="shared" si="180"/>
        <v>5</v>
      </c>
    </row>
    <row r="267" spans="1:127" ht="11.25" customHeight="1">
      <c r="A267" s="3337"/>
      <c r="B267" s="23"/>
      <c r="C267" s="3309" t="str">
        <f t="shared" si="177"/>
        <v>マイクロホン</v>
      </c>
      <c r="D267" s="3310"/>
      <c r="E267" s="3310"/>
      <c r="F267" s="3310"/>
      <c r="G267" s="3310"/>
      <c r="H267" s="3310"/>
      <c r="I267" s="3310"/>
      <c r="J267" s="3310"/>
      <c r="K267" s="3311"/>
      <c r="L267" s="3312">
        <f t="shared" si="178"/>
        <v>3</v>
      </c>
      <c r="M267" s="3313"/>
      <c r="N267" s="3313"/>
      <c r="O267" s="3313"/>
      <c r="P267" s="3314"/>
      <c r="Q267" s="2542" t="str">
        <f>IF(C267="","",VLOOKUP(C267,[7]建物1802!$E$5:$AL$3275,2,FALSE))</f>
        <v>個</v>
      </c>
      <c r="R267" s="2542"/>
      <c r="S267" s="2542"/>
      <c r="T267" s="3312">
        <f>IF(C267="主増幅器",BF267,IF(C267="","",VLOOKUP(C267,[7]建物1802!$E$5:$AL$3275,$AH$231,FALSE)))</f>
        <v>15000</v>
      </c>
      <c r="U267" s="3313"/>
      <c r="V267" s="3313"/>
      <c r="W267" s="3313"/>
      <c r="X267" s="3313"/>
      <c r="Y267" s="3313"/>
      <c r="Z267" s="3316">
        <f t="shared" si="163"/>
        <v>45000</v>
      </c>
      <c r="AA267" s="3317"/>
      <c r="AB267" s="3317"/>
      <c r="AC267" s="3317"/>
      <c r="AD267" s="3317"/>
      <c r="AE267" s="3317"/>
      <c r="AF267" s="3317"/>
      <c r="AG267" s="3318"/>
      <c r="AH267" s="39"/>
      <c r="AI267" s="3319">
        <f>IF(C267="","",VLOOKUP(C267,[7]建物1802!$E$5:$AL$3275,$AH$232,FALSE))</f>
        <v>0.15</v>
      </c>
      <c r="AJ267" s="3320"/>
      <c r="AK267" s="3320"/>
      <c r="AL267" s="3321"/>
      <c r="AM267" s="3470">
        <f t="shared" si="164"/>
        <v>0.44999999999999996</v>
      </c>
      <c r="AN267" s="3471"/>
      <c r="AO267" s="3471"/>
      <c r="AP267" s="3471"/>
      <c r="AQ267" s="3472"/>
      <c r="AR267" s="20"/>
      <c r="AS267" s="20"/>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19"/>
      <c r="BW267" s="8">
        <v>6</v>
      </c>
      <c r="DP267" s="8"/>
      <c r="DQ267" s="197">
        <f t="shared" si="181"/>
        <v>11</v>
      </c>
      <c r="DR267" s="197" t="str">
        <f t="shared" si="179"/>
        <v/>
      </c>
      <c r="DS267" s="10" t="str">
        <f>CQ182</f>
        <v/>
      </c>
      <c r="DT267" s="8"/>
      <c r="DU267" s="249" t="str">
        <f>IF(COUNTIF($DS$10:DS266,DS267)&gt;0,"",DS267)</f>
        <v/>
      </c>
      <c r="DV267" s="198" t="str">
        <f>CS182</f>
        <v/>
      </c>
      <c r="DW267" s="514">
        <f t="shared" si="180"/>
        <v>5</v>
      </c>
    </row>
    <row r="268" spans="1:127" ht="11.25" customHeight="1">
      <c r="A268" s="3337"/>
      <c r="B268" s="23"/>
      <c r="C268" s="3309" t="str">
        <f t="shared" si="177"/>
        <v>アッテネータ 3W</v>
      </c>
      <c r="D268" s="3310"/>
      <c r="E268" s="3310"/>
      <c r="F268" s="3310"/>
      <c r="G268" s="3310"/>
      <c r="H268" s="3310"/>
      <c r="I268" s="3310"/>
      <c r="J268" s="3310"/>
      <c r="K268" s="3311"/>
      <c r="L268" s="3312">
        <f t="shared" si="178"/>
        <v>78</v>
      </c>
      <c r="M268" s="3313"/>
      <c r="N268" s="3313"/>
      <c r="O268" s="3313"/>
      <c r="P268" s="3314"/>
      <c r="Q268" s="2542" t="str">
        <f>IF(C268="","",VLOOKUP(C268,[7]建物1802!$E$5:$AL$3275,2,FALSE))</f>
        <v>個</v>
      </c>
      <c r="R268" s="2542"/>
      <c r="S268" s="2542"/>
      <c r="T268" s="3312">
        <f>IF(C268="主増幅器",BF268,IF(C268="","",VLOOKUP(C268,[7]建物1802!$E$5:$AL$3275,$AH$231,FALSE)))</f>
        <v>2500</v>
      </c>
      <c r="U268" s="3313"/>
      <c r="V268" s="3313"/>
      <c r="W268" s="3313"/>
      <c r="X268" s="3313"/>
      <c r="Y268" s="3313"/>
      <c r="Z268" s="3316">
        <f t="shared" si="163"/>
        <v>195000</v>
      </c>
      <c r="AA268" s="3317"/>
      <c r="AB268" s="3317"/>
      <c r="AC268" s="3317"/>
      <c r="AD268" s="3317"/>
      <c r="AE268" s="3317"/>
      <c r="AF268" s="3317"/>
      <c r="AG268" s="3318"/>
      <c r="AH268" s="39"/>
      <c r="AI268" s="3319">
        <f>IF(C268="","",VLOOKUP(C268,[7]建物1802!$E$5:$AL$3275,$AH$232,FALSE))</f>
        <v>5.2999999999999999E-2</v>
      </c>
      <c r="AJ268" s="3320"/>
      <c r="AK268" s="3320"/>
      <c r="AL268" s="3321"/>
      <c r="AM268" s="3470">
        <f t="shared" si="164"/>
        <v>4.1339999999999995</v>
      </c>
      <c r="AN268" s="3471"/>
      <c r="AO268" s="3471"/>
      <c r="AP268" s="3471"/>
      <c r="AQ268" s="3472"/>
      <c r="AR268" s="20"/>
      <c r="AS268" s="20"/>
      <c r="AT268" s="28"/>
      <c r="AU268" s="28"/>
      <c r="AV268" s="28"/>
      <c r="AW268" s="28"/>
      <c r="AX268" s="28"/>
      <c r="AY268" s="2974" t="str">
        <f>IF(BA266&lt;&gt;"","函体 "&amp;BG266,"")</f>
        <v>函体 壁掛</v>
      </c>
      <c r="AZ268" s="2975"/>
      <c r="BA268" s="2975"/>
      <c r="BB268" s="2975"/>
      <c r="BC268" s="2975"/>
      <c r="BD268" s="2975"/>
      <c r="BE268" s="2976"/>
      <c r="BF268" s="3492">
        <f>IF($B$2=0,"",IF(BA262="卓上型","",IF(BN268&lt;&gt;"",BN268,IF(BG266="壁掛",1000*INT(BI263/1.5),IF(BG266="自立",1000*INT(BI263/1.1))))))</f>
        <v>384000</v>
      </c>
      <c r="BG268" s="3493"/>
      <c r="BH268" s="3493"/>
      <c r="BI268" s="3493"/>
      <c r="BJ268" s="3493"/>
      <c r="BK268" s="3493"/>
      <c r="BL268" s="3494"/>
      <c r="BM268" s="661" t="s">
        <v>68</v>
      </c>
      <c r="BN268" s="3495"/>
      <c r="BO268" s="3496"/>
      <c r="BP268" s="3496"/>
      <c r="BQ268" s="3496"/>
      <c r="BR268" s="3496"/>
      <c r="BS268" s="3496"/>
      <c r="BT268" s="3497"/>
      <c r="BU268" s="19"/>
      <c r="BW268" s="8">
        <v>7</v>
      </c>
      <c r="DP268" s="8"/>
      <c r="DQ268" s="197">
        <f t="shared" si="181"/>
        <v>11</v>
      </c>
      <c r="DR268" s="197" t="str">
        <f t="shared" si="179"/>
        <v/>
      </c>
      <c r="DS268" s="10" t="str">
        <f>CQ184</f>
        <v/>
      </c>
      <c r="DT268" s="8"/>
      <c r="DU268" s="249" t="str">
        <f>IF(COUNTIF($DS$10:DS267,DS268)&gt;0,"",DS268)</f>
        <v/>
      </c>
      <c r="DV268" s="198" t="str">
        <f>CS184</f>
        <v/>
      </c>
      <c r="DW268" s="514">
        <f t="shared" si="180"/>
        <v>5</v>
      </c>
    </row>
    <row r="269" spans="1:127" ht="11.25" customHeight="1">
      <c r="A269" s="3337"/>
      <c r="B269" s="23"/>
      <c r="C269" s="3309" t="str">
        <f t="shared" si="177"/>
        <v>アッテネータ 6W</v>
      </c>
      <c r="D269" s="3310"/>
      <c r="E269" s="3310"/>
      <c r="F269" s="3310"/>
      <c r="G269" s="3310"/>
      <c r="H269" s="3310"/>
      <c r="I269" s="3310"/>
      <c r="J269" s="3310"/>
      <c r="K269" s="3311"/>
      <c r="L269" s="3312">
        <f t="shared" si="178"/>
        <v>33</v>
      </c>
      <c r="M269" s="3313"/>
      <c r="N269" s="3313"/>
      <c r="O269" s="3313"/>
      <c r="P269" s="3314"/>
      <c r="Q269" s="2542" t="str">
        <f>IF(C269="","",VLOOKUP(C269,[7]建物1802!$E$5:$AL$3275,2,FALSE))</f>
        <v>個</v>
      </c>
      <c r="R269" s="2542"/>
      <c r="S269" s="2542"/>
      <c r="T269" s="3312">
        <f>IF(C269="主増幅器",BF269,IF(C269="","",VLOOKUP(C269,[7]建物1802!$E$5:$AL$3275,$AH$231,FALSE)))</f>
        <v>2800</v>
      </c>
      <c r="U269" s="3313"/>
      <c r="V269" s="3313"/>
      <c r="W269" s="3313"/>
      <c r="X269" s="3313"/>
      <c r="Y269" s="3313"/>
      <c r="Z269" s="3316">
        <f t="shared" si="163"/>
        <v>92400</v>
      </c>
      <c r="AA269" s="3317"/>
      <c r="AB269" s="3317"/>
      <c r="AC269" s="3317"/>
      <c r="AD269" s="3317"/>
      <c r="AE269" s="3317"/>
      <c r="AF269" s="3317"/>
      <c r="AG269" s="3318"/>
      <c r="AH269" s="39"/>
      <c r="AI269" s="3319">
        <f>IF(C269="","",VLOOKUP(C269,[7]建物1802!$E$5:$AL$3275,$AH$232,FALSE))</f>
        <v>5.2999999999999999E-2</v>
      </c>
      <c r="AJ269" s="3320"/>
      <c r="AK269" s="3320"/>
      <c r="AL269" s="3321"/>
      <c r="AM269" s="3470">
        <f t="shared" si="164"/>
        <v>1.7489999999999999</v>
      </c>
      <c r="AN269" s="3471"/>
      <c r="AO269" s="3471"/>
      <c r="AP269" s="3471"/>
      <c r="AQ269" s="3472"/>
      <c r="AR269" s="20"/>
      <c r="AS269" s="20"/>
      <c r="AT269" s="28"/>
      <c r="AU269" s="28"/>
      <c r="AV269" s="28"/>
      <c r="AW269" s="28"/>
      <c r="AX269" s="28"/>
      <c r="AY269" s="2974" t="str">
        <f>IF(BA264&lt;&gt;"",BA264,"")</f>
        <v>120W アンプ</v>
      </c>
      <c r="AZ269" s="2975"/>
      <c r="BA269" s="2975"/>
      <c r="BB269" s="2975"/>
      <c r="BC269" s="2975"/>
      <c r="BD269" s="2975"/>
      <c r="BE269" s="2976"/>
      <c r="BF269" s="3492">
        <f>IF(BN269&lt;&gt;"",BN269,IF(LEFT(AY269,3)="30 ",1000*INT(1.5*84),IF(LEFT(AY269,3)="60 ",1000*INT(1.5*93),IF(LEFT(AY269,3)="120",1000*INT(1.5*111)*BI264,""))))</f>
        <v>830000</v>
      </c>
      <c r="BG269" s="3493"/>
      <c r="BH269" s="3493"/>
      <c r="BI269" s="3493"/>
      <c r="BJ269" s="3493"/>
      <c r="BK269" s="3493"/>
      <c r="BL269" s="3494"/>
      <c r="BM269" s="661" t="s">
        <v>68</v>
      </c>
      <c r="BN269" s="3495"/>
      <c r="BO269" s="3496"/>
      <c r="BP269" s="3496"/>
      <c r="BQ269" s="3496"/>
      <c r="BR269" s="3496"/>
      <c r="BS269" s="3496"/>
      <c r="BT269" s="3497"/>
      <c r="BU269" s="19"/>
      <c r="BW269" s="8">
        <v>8</v>
      </c>
      <c r="DP269" s="8"/>
      <c r="DQ269" s="197">
        <f t="shared" si="181"/>
        <v>11</v>
      </c>
      <c r="DR269" s="197" t="str">
        <f t="shared" si="179"/>
        <v/>
      </c>
      <c r="DS269" s="10" t="str">
        <f>CQ185</f>
        <v/>
      </c>
      <c r="DT269" s="8"/>
      <c r="DU269" s="249" t="str">
        <f>IF(COUNTIF($DS$10:DS268,DS269)&gt;0,"",DS269)</f>
        <v/>
      </c>
      <c r="DV269" s="198" t="str">
        <f>CS185</f>
        <v/>
      </c>
      <c r="DW269" s="514">
        <f t="shared" si="180"/>
        <v>5</v>
      </c>
    </row>
    <row r="270" spans="1:127" ht="11.25" customHeight="1">
      <c r="A270" s="3337"/>
      <c r="B270" s="23"/>
      <c r="C270" s="3309" t="str">
        <f t="shared" si="177"/>
        <v>副増幅器 30W</v>
      </c>
      <c r="D270" s="3310"/>
      <c r="E270" s="3310"/>
      <c r="F270" s="3310"/>
      <c r="G270" s="3310"/>
      <c r="H270" s="3310"/>
      <c r="I270" s="3310"/>
      <c r="J270" s="3310"/>
      <c r="K270" s="3311"/>
      <c r="L270" s="3312">
        <f t="shared" si="178"/>
        <v>3</v>
      </c>
      <c r="M270" s="3313"/>
      <c r="N270" s="3313"/>
      <c r="O270" s="3313"/>
      <c r="P270" s="3314"/>
      <c r="Q270" s="2542" t="str">
        <f>IF(C270="","",VLOOKUP(C270,[7]建物1802!$E$5:$AL$3275,2,FALSE))</f>
        <v>台</v>
      </c>
      <c r="R270" s="2542"/>
      <c r="S270" s="2542"/>
      <c r="T270" s="3312">
        <f>IF(C270="主増幅器",BF270,IF(C270="","",VLOOKUP(C270,[7]建物1802!$E$5:$AL$3275,$AH$231,FALSE)))</f>
        <v>250000</v>
      </c>
      <c r="U270" s="3313"/>
      <c r="V270" s="3313"/>
      <c r="W270" s="3313"/>
      <c r="X270" s="3313"/>
      <c r="Y270" s="3313"/>
      <c r="Z270" s="3316">
        <f t="shared" si="163"/>
        <v>750000</v>
      </c>
      <c r="AA270" s="3317"/>
      <c r="AB270" s="3317"/>
      <c r="AC270" s="3317"/>
      <c r="AD270" s="3317"/>
      <c r="AE270" s="3317"/>
      <c r="AF270" s="3317"/>
      <c r="AG270" s="3318"/>
      <c r="AH270" s="39"/>
      <c r="AI270" s="3319">
        <f>IF(C270="","",VLOOKUP(C270,[7]建物1802!$E$5:$AL$3275,$AH$232,FALSE))</f>
        <v>1.51</v>
      </c>
      <c r="AJ270" s="3320"/>
      <c r="AK270" s="3320"/>
      <c r="AL270" s="3321"/>
      <c r="AM270" s="3470">
        <f t="shared" si="164"/>
        <v>4.53</v>
      </c>
      <c r="AN270" s="3471"/>
      <c r="AO270" s="3471"/>
      <c r="AP270" s="3471"/>
      <c r="AQ270" s="3472"/>
      <c r="AR270" s="20"/>
      <c r="AS270" s="20"/>
      <c r="AT270" s="28"/>
      <c r="AU270" s="28"/>
      <c r="AV270" s="28"/>
      <c r="AW270" s="28"/>
      <c r="AX270" s="28"/>
      <c r="AY270" s="2974" t="str">
        <f>IF(BA265&lt;&gt;"","端子盤"&amp;BJ265&amp;"Pr","")</f>
        <v>端子盤200Pr</v>
      </c>
      <c r="AZ270" s="2975"/>
      <c r="BA270" s="2975"/>
      <c r="BB270" s="2975"/>
      <c r="BC270" s="2975"/>
      <c r="BD270" s="2975"/>
      <c r="BE270" s="2976"/>
      <c r="BF270" s="3492">
        <f>IF($B$2=0,"",IF(BN270&lt;&gt;"",BN270,1000*INT(BJ265*1234/1000)))</f>
        <v>246000</v>
      </c>
      <c r="BG270" s="3493"/>
      <c r="BH270" s="3493"/>
      <c r="BI270" s="3493"/>
      <c r="BJ270" s="3493"/>
      <c r="BK270" s="3493"/>
      <c r="BL270" s="3494"/>
      <c r="BM270" s="661" t="s">
        <v>68</v>
      </c>
      <c r="BN270" s="3495"/>
      <c r="BO270" s="3496"/>
      <c r="BP270" s="3496"/>
      <c r="BQ270" s="3496"/>
      <c r="BR270" s="3496"/>
      <c r="BS270" s="3496"/>
      <c r="BT270" s="3497"/>
      <c r="BU270" s="19"/>
      <c r="BW270" s="8">
        <v>9</v>
      </c>
      <c r="DQ270" s="197">
        <f t="shared" si="181"/>
        <v>11</v>
      </c>
      <c r="DR270" s="197" t="str">
        <f t="shared" si="179"/>
        <v/>
      </c>
      <c r="DS270" s="10" t="str">
        <f>CQ187</f>
        <v/>
      </c>
      <c r="DT270" s="24"/>
      <c r="DU270" s="249" t="str">
        <f>IF(COUNTIF($DS$10:DS269,DS270)&gt;0,"",DS270)</f>
        <v/>
      </c>
      <c r="DV270" s="198" t="str">
        <f>CS187</f>
        <v/>
      </c>
      <c r="DW270" s="514">
        <f t="shared" si="180"/>
        <v>5</v>
      </c>
    </row>
    <row r="271" spans="1:127" ht="11.25" customHeight="1">
      <c r="A271" s="3337"/>
      <c r="B271" s="23"/>
      <c r="C271" s="3309" t="str">
        <f t="shared" si="177"/>
        <v>カットリレー</v>
      </c>
      <c r="D271" s="3310"/>
      <c r="E271" s="3310"/>
      <c r="F271" s="3310"/>
      <c r="G271" s="3310"/>
      <c r="H271" s="3310"/>
      <c r="I271" s="3310"/>
      <c r="J271" s="3310"/>
      <c r="K271" s="3311"/>
      <c r="L271" s="3312">
        <f t="shared" si="178"/>
        <v>3</v>
      </c>
      <c r="M271" s="3313"/>
      <c r="N271" s="3313"/>
      <c r="O271" s="3313"/>
      <c r="P271" s="3314"/>
      <c r="Q271" s="2542" t="str">
        <f>IF(C271="","",VLOOKUP(C271,[7]建物1802!$E$5:$AL$3275,2,FALSE))</f>
        <v>個</v>
      </c>
      <c r="R271" s="2542"/>
      <c r="S271" s="2542"/>
      <c r="T271" s="3312">
        <f>IF(C271="主増幅器",BF271,IF(C271="","",VLOOKUP(C271,[7]建物1802!$E$5:$AL$3275,$AH$231,FALSE)))</f>
        <v>12000</v>
      </c>
      <c r="U271" s="3313"/>
      <c r="V271" s="3313"/>
      <c r="W271" s="3313"/>
      <c r="X271" s="3313"/>
      <c r="Y271" s="3313"/>
      <c r="Z271" s="3316">
        <f t="shared" si="163"/>
        <v>36000</v>
      </c>
      <c r="AA271" s="3317"/>
      <c r="AB271" s="3317"/>
      <c r="AC271" s="3317"/>
      <c r="AD271" s="3317"/>
      <c r="AE271" s="3317"/>
      <c r="AF271" s="3317"/>
      <c r="AG271" s="3318"/>
      <c r="AH271" s="39"/>
      <c r="AI271" s="3319">
        <f>IF(C271="","",VLOOKUP(C271,[7]建物1802!$E$5:$AL$3275,$AH$232,FALSE))</f>
        <v>0.2</v>
      </c>
      <c r="AJ271" s="3320"/>
      <c r="AK271" s="3320"/>
      <c r="AL271" s="3321"/>
      <c r="AM271" s="3470">
        <f t="shared" si="164"/>
        <v>0.60000000000000009</v>
      </c>
      <c r="AN271" s="3471"/>
      <c r="AO271" s="3471"/>
      <c r="AP271" s="3471"/>
      <c r="AQ271" s="3472"/>
      <c r="AR271" s="20"/>
      <c r="AS271" s="20"/>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19"/>
      <c r="BW271" s="8">
        <v>10</v>
      </c>
      <c r="DQ271" s="197">
        <f t="shared" si="181"/>
        <v>11</v>
      </c>
      <c r="DR271" s="197" t="str">
        <f t="shared" si="179"/>
        <v/>
      </c>
      <c r="DS271" s="201" t="str">
        <f>CQ188</f>
        <v>ソノライン・スピーカ 20W</v>
      </c>
      <c r="DT271" s="24"/>
      <c r="DU271" s="249" t="str">
        <f>IF(COUNTIF($DS$10:DS270,DS271)&gt;0,"",DS271)</f>
        <v/>
      </c>
      <c r="DV271" s="198">
        <f>CS188</f>
        <v>0</v>
      </c>
      <c r="DW271" s="514">
        <f t="shared" si="180"/>
        <v>5</v>
      </c>
    </row>
    <row r="272" spans="1:127" ht="11.25" customHeight="1">
      <c r="A272" s="3337"/>
      <c r="B272" s="23"/>
      <c r="C272" s="3309" t="str">
        <f t="shared" si="177"/>
        <v>主増幅器</v>
      </c>
      <c r="D272" s="3310"/>
      <c r="E272" s="3310"/>
      <c r="F272" s="3310"/>
      <c r="G272" s="3310"/>
      <c r="H272" s="3310"/>
      <c r="I272" s="3310"/>
      <c r="J272" s="3310"/>
      <c r="K272" s="3311"/>
      <c r="L272" s="3312">
        <f t="shared" si="178"/>
        <v>1</v>
      </c>
      <c r="M272" s="3313"/>
      <c r="N272" s="3313"/>
      <c r="O272" s="3313"/>
      <c r="P272" s="3314"/>
      <c r="Q272" s="2542" t="str">
        <f>IF(C272="","",VLOOKUP(C272,[7]建物1802!$E$5:$AL$3275,2,FALSE))</f>
        <v>台</v>
      </c>
      <c r="R272" s="2542"/>
      <c r="S272" s="2542"/>
      <c r="T272" s="3479">
        <f>IF(C272="主増幅器",BF272,IF(C272="","",VLOOKUP(C272,[7]建物1802!$E$5:$AL$3275,$AH$231,FALSE)))</f>
        <v>1460000</v>
      </c>
      <c r="U272" s="3313"/>
      <c r="V272" s="3313"/>
      <c r="W272" s="3313"/>
      <c r="X272" s="3313"/>
      <c r="Y272" s="3313"/>
      <c r="Z272" s="3316">
        <f t="shared" si="163"/>
        <v>1460000</v>
      </c>
      <c r="AA272" s="3317"/>
      <c r="AB272" s="3317"/>
      <c r="AC272" s="3317"/>
      <c r="AD272" s="3317"/>
      <c r="AE272" s="3317"/>
      <c r="AF272" s="3317"/>
      <c r="AG272" s="3318"/>
      <c r="AH272" s="39"/>
      <c r="AI272" s="3319">
        <f>IF(C272="","",VLOOKUP(C272,[7]建物1802!$E$5:$AL$3275,$AH$232,FALSE))</f>
        <v>0</v>
      </c>
      <c r="AJ272" s="3320"/>
      <c r="AK272" s="3320"/>
      <c r="AL272" s="3321"/>
      <c r="AM272" s="3470">
        <f t="shared" si="164"/>
        <v>0</v>
      </c>
      <c r="AN272" s="3471"/>
      <c r="AO272" s="3471"/>
      <c r="AP272" s="3471"/>
      <c r="AQ272" s="3472"/>
      <c r="AR272" s="20"/>
      <c r="AS272" s="20"/>
      <c r="AT272" s="2788" t="str">
        <f>IF(B2=0,"",BA262&amp;" 業務・防災 アンプ")</f>
        <v>壁掛型 業務・防災 アンプ</v>
      </c>
      <c r="AU272" s="2789"/>
      <c r="AV272" s="2789"/>
      <c r="AW272" s="2789"/>
      <c r="AX272" s="2789"/>
      <c r="AY272" s="2789"/>
      <c r="AZ272" s="2789"/>
      <c r="BA272" s="2789"/>
      <c r="BB272" s="2789"/>
      <c r="BC272" s="2789"/>
      <c r="BD272" s="2789"/>
      <c r="BE272" s="2790"/>
      <c r="BF272" s="3492">
        <f>IF($B$2=0,"",IF(BN272&lt;&gt;"",BN272,SUM(BF268:BL270)))</f>
        <v>1460000</v>
      </c>
      <c r="BG272" s="3493"/>
      <c r="BH272" s="3493"/>
      <c r="BI272" s="3493"/>
      <c r="BJ272" s="3493"/>
      <c r="BK272" s="3493"/>
      <c r="BL272" s="3494"/>
      <c r="BM272" s="661" t="s">
        <v>68</v>
      </c>
      <c r="BN272" s="3495"/>
      <c r="BO272" s="3496"/>
      <c r="BP272" s="3496"/>
      <c r="BQ272" s="3496"/>
      <c r="BR272" s="3496"/>
      <c r="BS272" s="3496"/>
      <c r="BT272" s="3497"/>
      <c r="BU272" s="19"/>
      <c r="BW272" s="8">
        <v>11</v>
      </c>
      <c r="DQ272" s="197">
        <f t="shared" si="181"/>
        <v>11</v>
      </c>
      <c r="DR272" s="197" t="str">
        <f t="shared" si="179"/>
        <v/>
      </c>
      <c r="DS272" s="10" t="str">
        <f t="shared" ref="DS272:DS277" si="182">CT181</f>
        <v/>
      </c>
      <c r="DT272" s="24"/>
      <c r="DU272" s="249" t="str">
        <f>IF(COUNTIF($DS$10:DS271,DS272)&gt;0,"",DS272)</f>
        <v/>
      </c>
      <c r="DV272" s="198" t="str">
        <f t="shared" ref="DV272:DV277" si="183">CV181</f>
        <v/>
      </c>
      <c r="DW272" s="514">
        <f t="shared" si="180"/>
        <v>5</v>
      </c>
    </row>
    <row r="273" spans="1:127" ht="11.25" customHeight="1">
      <c r="A273" s="3337"/>
      <c r="B273" s="23"/>
      <c r="C273" s="3309" t="str">
        <f t="shared" si="177"/>
        <v/>
      </c>
      <c r="D273" s="3310"/>
      <c r="E273" s="3310"/>
      <c r="F273" s="3310"/>
      <c r="G273" s="3310"/>
      <c r="H273" s="3310"/>
      <c r="I273" s="3310"/>
      <c r="J273" s="3310"/>
      <c r="K273" s="3311"/>
      <c r="L273" s="3312" t="str">
        <f t="shared" si="178"/>
        <v/>
      </c>
      <c r="M273" s="3313"/>
      <c r="N273" s="3313"/>
      <c r="O273" s="3313"/>
      <c r="P273" s="3314"/>
      <c r="Q273" s="2542" t="str">
        <f>IF(C273="","",VLOOKUP(C273,[7]建物1802!$E$5:$AL$3275,2,FALSE))</f>
        <v/>
      </c>
      <c r="R273" s="2542"/>
      <c r="S273" s="2542"/>
      <c r="T273" s="3312" t="str">
        <f>IF(C273="主増幅器",BF273,IF(C273="","",VLOOKUP(C273,[7]建物1802!$E$5:$AL$3275,$AH$231,FALSE)))</f>
        <v/>
      </c>
      <c r="U273" s="3313"/>
      <c r="V273" s="3313"/>
      <c r="W273" s="3313"/>
      <c r="X273" s="3313"/>
      <c r="Y273" s="3313"/>
      <c r="Z273" s="3316" t="str">
        <f t="shared" si="163"/>
        <v/>
      </c>
      <c r="AA273" s="3317"/>
      <c r="AB273" s="3317"/>
      <c r="AC273" s="3317"/>
      <c r="AD273" s="3317"/>
      <c r="AE273" s="3317"/>
      <c r="AF273" s="3317"/>
      <c r="AG273" s="3318"/>
      <c r="AH273" s="39"/>
      <c r="AI273" s="3319" t="str">
        <f>IF(C273="","",VLOOKUP(C273,[7]建物1802!$E$5:$AL$3275,$AH$232,FALSE))</f>
        <v/>
      </c>
      <c r="AJ273" s="3320"/>
      <c r="AK273" s="3320"/>
      <c r="AL273" s="3321"/>
      <c r="AM273" s="3470" t="str">
        <f t="shared" si="164"/>
        <v/>
      </c>
      <c r="AN273" s="3471"/>
      <c r="AO273" s="3471"/>
      <c r="AP273" s="3471"/>
      <c r="AQ273" s="3472"/>
      <c r="AR273" s="20"/>
      <c r="AS273" s="20"/>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19"/>
      <c r="BW273" s="8">
        <v>12</v>
      </c>
      <c r="BX273" s="660"/>
      <c r="DQ273" s="197">
        <f t="shared" si="181"/>
        <v>11</v>
      </c>
      <c r="DR273" s="197" t="str">
        <f t="shared" si="179"/>
        <v/>
      </c>
      <c r="DS273" s="10" t="str">
        <f t="shared" si="182"/>
        <v/>
      </c>
      <c r="DT273" s="24"/>
      <c r="DU273" s="249" t="str">
        <f>IF(COUNTIF($DS$10:DS272,DS273)&gt;0,"",DS273)</f>
        <v/>
      </c>
      <c r="DV273" s="198" t="str">
        <f t="shared" si="183"/>
        <v/>
      </c>
      <c r="DW273" s="514">
        <f t="shared" si="180"/>
        <v>5</v>
      </c>
    </row>
    <row r="274" spans="1:127" ht="11.25" customHeight="1">
      <c r="A274" s="3337"/>
      <c r="B274" s="23"/>
      <c r="C274" s="3309" t="str">
        <f t="shared" si="177"/>
        <v/>
      </c>
      <c r="D274" s="3310"/>
      <c r="E274" s="3310"/>
      <c r="F274" s="3310"/>
      <c r="G274" s="3310"/>
      <c r="H274" s="3310"/>
      <c r="I274" s="3310"/>
      <c r="J274" s="3310"/>
      <c r="K274" s="3311"/>
      <c r="L274" s="3312" t="str">
        <f t="shared" si="178"/>
        <v/>
      </c>
      <c r="M274" s="3313"/>
      <c r="N274" s="3313"/>
      <c r="O274" s="3313"/>
      <c r="P274" s="3314"/>
      <c r="Q274" s="2542" t="str">
        <f>IF(C274="","",VLOOKUP(C274,[7]建物1802!$E$5:$AL$3275,2,FALSE))</f>
        <v/>
      </c>
      <c r="R274" s="2542"/>
      <c r="S274" s="2542"/>
      <c r="T274" s="3312" t="str">
        <f>IF(C274="主増幅器",BF274,IF(C274="","",VLOOKUP(C274,[7]建物1802!$E$5:$AL$3275,$AH$231,FALSE)))</f>
        <v/>
      </c>
      <c r="U274" s="3313"/>
      <c r="V274" s="3313"/>
      <c r="W274" s="3313"/>
      <c r="X274" s="3313"/>
      <c r="Y274" s="3313"/>
      <c r="Z274" s="3316" t="str">
        <f t="shared" si="163"/>
        <v/>
      </c>
      <c r="AA274" s="3317"/>
      <c r="AB274" s="3317"/>
      <c r="AC274" s="3317"/>
      <c r="AD274" s="3317"/>
      <c r="AE274" s="3317"/>
      <c r="AF274" s="3317"/>
      <c r="AG274" s="3318"/>
      <c r="AH274" s="39"/>
      <c r="AI274" s="3319" t="str">
        <f>IF(C274="","",VLOOKUP(C274,[7]建物1802!$E$5:$AL$3275,$AH$232,FALSE))</f>
        <v/>
      </c>
      <c r="AJ274" s="3320"/>
      <c r="AK274" s="3320"/>
      <c r="AL274" s="3321"/>
      <c r="AM274" s="3470" t="str">
        <f t="shared" si="164"/>
        <v/>
      </c>
      <c r="AN274" s="3471"/>
      <c r="AO274" s="3471"/>
      <c r="AP274" s="3471"/>
      <c r="AQ274" s="3472"/>
      <c r="AR274" s="20"/>
      <c r="AS274" s="20"/>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19"/>
      <c r="BW274" s="8">
        <v>13</v>
      </c>
      <c r="DQ274" s="197">
        <f t="shared" si="181"/>
        <v>11</v>
      </c>
      <c r="DR274" s="197" t="str">
        <f t="shared" si="179"/>
        <v/>
      </c>
      <c r="DS274" s="10" t="str">
        <f t="shared" si="182"/>
        <v/>
      </c>
      <c r="DT274" s="24"/>
      <c r="DU274" s="249" t="str">
        <f>IF(COUNTIF($DS$10:DS273,DS274)&gt;0,"",DS274)</f>
        <v/>
      </c>
      <c r="DV274" s="198" t="str">
        <f t="shared" si="183"/>
        <v/>
      </c>
      <c r="DW274" s="514">
        <f t="shared" si="180"/>
        <v>5</v>
      </c>
    </row>
    <row r="275" spans="1:127" ht="11.25" customHeight="1">
      <c r="B275" s="23"/>
      <c r="C275" s="3309" t="str">
        <f t="shared" si="177"/>
        <v/>
      </c>
      <c r="D275" s="3310"/>
      <c r="E275" s="3310"/>
      <c r="F275" s="3310"/>
      <c r="G275" s="3310"/>
      <c r="H275" s="3310"/>
      <c r="I275" s="3310"/>
      <c r="J275" s="3310"/>
      <c r="K275" s="3311"/>
      <c r="L275" s="3312" t="str">
        <f t="shared" si="178"/>
        <v/>
      </c>
      <c r="M275" s="3313"/>
      <c r="N275" s="3313"/>
      <c r="O275" s="3313"/>
      <c r="P275" s="3314"/>
      <c r="Q275" s="2542" t="str">
        <f>IF(C275="","",VLOOKUP(C275,[7]建物1802!$E$5:$AL$3275,2,FALSE))</f>
        <v/>
      </c>
      <c r="R275" s="2542"/>
      <c r="S275" s="2542"/>
      <c r="T275" s="3312" t="str">
        <f>IF(C275="主増幅器",BF275,IF(C275="","",VLOOKUP(C275,[7]建物1802!$E$5:$AL$3275,$AH$231,FALSE)))</f>
        <v/>
      </c>
      <c r="U275" s="3313"/>
      <c r="V275" s="3313"/>
      <c r="W275" s="3313"/>
      <c r="X275" s="3313"/>
      <c r="Y275" s="3313"/>
      <c r="Z275" s="3316" t="str">
        <f t="shared" si="163"/>
        <v/>
      </c>
      <c r="AA275" s="3317"/>
      <c r="AB275" s="3317"/>
      <c r="AC275" s="3317"/>
      <c r="AD275" s="3317"/>
      <c r="AE275" s="3317"/>
      <c r="AF275" s="3317"/>
      <c r="AG275" s="3318"/>
      <c r="AH275" s="39"/>
      <c r="AI275" s="3319" t="str">
        <f>IF(C275="","",VLOOKUP(C275,[7]建物1802!$E$5:$AL$3275,$AH$232,FALSE))</f>
        <v/>
      </c>
      <c r="AJ275" s="3320"/>
      <c r="AK275" s="3320"/>
      <c r="AL275" s="3321"/>
      <c r="AM275" s="3470" t="str">
        <f t="shared" si="164"/>
        <v/>
      </c>
      <c r="AN275" s="3471"/>
      <c r="AO275" s="3471"/>
      <c r="AP275" s="3471"/>
      <c r="AQ275" s="3472"/>
      <c r="AR275" s="20"/>
      <c r="AS275" s="20"/>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19"/>
      <c r="BW275" s="8">
        <v>14</v>
      </c>
      <c r="DQ275" s="197">
        <f t="shared" si="181"/>
        <v>11</v>
      </c>
      <c r="DR275" s="197" t="str">
        <f t="shared" si="179"/>
        <v/>
      </c>
      <c r="DS275" s="10" t="str">
        <f t="shared" si="182"/>
        <v/>
      </c>
      <c r="DT275" s="24"/>
      <c r="DU275" s="249" t="str">
        <f>IF(COUNTIF($DS$10:DS274,DS275)&gt;0,"",DS275)</f>
        <v/>
      </c>
      <c r="DV275" s="198" t="str">
        <f t="shared" si="183"/>
        <v/>
      </c>
      <c r="DW275" s="514">
        <f t="shared" si="180"/>
        <v>5</v>
      </c>
    </row>
    <row r="276" spans="1:127" ht="11.25" customHeight="1">
      <c r="B276" s="23"/>
      <c r="C276" s="3309" t="str">
        <f t="shared" si="177"/>
        <v/>
      </c>
      <c r="D276" s="3310"/>
      <c r="E276" s="3310"/>
      <c r="F276" s="3310"/>
      <c r="G276" s="3310"/>
      <c r="H276" s="3310"/>
      <c r="I276" s="3310"/>
      <c r="J276" s="3310"/>
      <c r="K276" s="3311"/>
      <c r="L276" s="3312" t="str">
        <f t="shared" si="178"/>
        <v/>
      </c>
      <c r="M276" s="3313"/>
      <c r="N276" s="3313"/>
      <c r="O276" s="3313"/>
      <c r="P276" s="3314"/>
      <c r="Q276" s="2542" t="str">
        <f>IF(C276="","",VLOOKUP(C276,[7]建物1802!$E$5:$AL$3275,2,FALSE))</f>
        <v/>
      </c>
      <c r="R276" s="2542"/>
      <c r="S276" s="2542"/>
      <c r="T276" s="3312" t="str">
        <f>IF(C276="主増幅器",BF276,IF(C276="","",VLOOKUP(C276,[7]建物1802!$E$5:$AL$3275,$AH$231,FALSE)))</f>
        <v/>
      </c>
      <c r="U276" s="3313"/>
      <c r="V276" s="3313"/>
      <c r="W276" s="3313"/>
      <c r="X276" s="3313"/>
      <c r="Y276" s="3313"/>
      <c r="Z276" s="3316" t="str">
        <f t="shared" si="163"/>
        <v/>
      </c>
      <c r="AA276" s="3317"/>
      <c r="AB276" s="3317"/>
      <c r="AC276" s="3317"/>
      <c r="AD276" s="3317"/>
      <c r="AE276" s="3317"/>
      <c r="AF276" s="3317"/>
      <c r="AG276" s="3318"/>
      <c r="AH276" s="39"/>
      <c r="AI276" s="3319" t="str">
        <f>IF(C276="","",VLOOKUP(C276,[7]建物1802!$E$5:$AL$3275,$AH$232,FALSE))</f>
        <v/>
      </c>
      <c r="AJ276" s="3320"/>
      <c r="AK276" s="3320"/>
      <c r="AL276" s="3321"/>
      <c r="AM276" s="3470" t="str">
        <f t="shared" si="164"/>
        <v/>
      </c>
      <c r="AN276" s="3471"/>
      <c r="AO276" s="3471"/>
      <c r="AP276" s="3471"/>
      <c r="AQ276" s="3472"/>
      <c r="AR276" s="20"/>
      <c r="AS276" s="20"/>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19"/>
      <c r="BW276" s="8">
        <v>15</v>
      </c>
      <c r="DQ276" s="197">
        <f t="shared" si="181"/>
        <v>11</v>
      </c>
      <c r="DR276" s="197" t="str">
        <f t="shared" si="179"/>
        <v/>
      </c>
      <c r="DS276" s="10" t="str">
        <f t="shared" si="182"/>
        <v/>
      </c>
      <c r="DT276" s="24"/>
      <c r="DU276" s="249" t="str">
        <f>IF(COUNTIF($DS$10:DS275,DS276)&gt;0,"",DS276)</f>
        <v/>
      </c>
      <c r="DV276" s="198" t="str">
        <f t="shared" si="183"/>
        <v/>
      </c>
      <c r="DW276" s="514">
        <f t="shared" si="180"/>
        <v>5</v>
      </c>
    </row>
    <row r="277" spans="1:127" ht="11.25" customHeight="1" thickBot="1">
      <c r="B277" s="23"/>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0"/>
      <c r="AS277" s="20"/>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19"/>
      <c r="BW277" s="8"/>
      <c r="DP277" s="8"/>
      <c r="DQ277" s="197">
        <f t="shared" si="181"/>
        <v>11</v>
      </c>
      <c r="DR277" s="197" t="str">
        <f t="shared" si="179"/>
        <v/>
      </c>
      <c r="DS277" s="10" t="str">
        <f t="shared" si="182"/>
        <v/>
      </c>
      <c r="DT277" s="24"/>
      <c r="DU277" s="249" t="str">
        <f>IF(COUNTIF($DS$10:DS276,DS277)&gt;0,"",DS277)</f>
        <v/>
      </c>
      <c r="DV277" s="198" t="str">
        <f t="shared" si="183"/>
        <v/>
      </c>
      <c r="DW277" s="514">
        <f t="shared" si="180"/>
        <v>5</v>
      </c>
    </row>
    <row r="278" spans="1:127" ht="11.25" customHeight="1" thickBot="1">
      <c r="B278" s="23"/>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762">
        <f>IF($B$2=0,"",SUM(Z232:AG246))</f>
        <v>1289537</v>
      </c>
      <c r="AA278" s="2763"/>
      <c r="AB278" s="2763"/>
      <c r="AC278" s="2763"/>
      <c r="AD278" s="2763"/>
      <c r="AE278" s="2763"/>
      <c r="AF278" s="2763"/>
      <c r="AG278" s="2764"/>
      <c r="AH278" s="28"/>
      <c r="AI278" s="28"/>
      <c r="AJ278" s="28"/>
      <c r="AK278" s="3486">
        <f>IF($B$2=0,"",SUM(AM232:AQ276))</f>
        <v>668.80469000000016</v>
      </c>
      <c r="AL278" s="3486"/>
      <c r="AM278" s="3486"/>
      <c r="AN278" s="3486"/>
      <c r="AO278" s="3486"/>
      <c r="AP278" s="3486"/>
      <c r="AQ278" s="3486"/>
      <c r="AR278" s="20"/>
      <c r="AS278" s="20"/>
      <c r="AT278" s="28"/>
      <c r="AU278" s="28"/>
      <c r="AV278" s="28"/>
      <c r="AW278" s="28"/>
      <c r="AX278" s="28"/>
      <c r="AY278" s="28"/>
      <c r="AZ278" s="28"/>
      <c r="BA278" s="28"/>
      <c r="BB278" s="28"/>
      <c r="BC278" s="28"/>
      <c r="BD278" s="28"/>
      <c r="BE278" s="28"/>
      <c r="BF278" s="28"/>
      <c r="BG278" s="28"/>
      <c r="BH278" s="28"/>
      <c r="BI278" s="28"/>
      <c r="BJ278" s="28"/>
      <c r="BK278" s="28"/>
      <c r="BL278" s="28"/>
      <c r="BM278" s="28"/>
      <c r="BN278" s="3334" t="s">
        <v>295</v>
      </c>
      <c r="BO278" s="3335"/>
      <c r="BP278" s="3336"/>
      <c r="BQ278" s="28"/>
      <c r="BR278" s="28"/>
      <c r="BS278" s="28"/>
      <c r="BT278" s="28"/>
      <c r="BU278" s="19"/>
      <c r="BW278" s="8"/>
      <c r="DP278" s="88">
        <v>20</v>
      </c>
      <c r="DQ278" s="45"/>
      <c r="DR278" s="45"/>
      <c r="DS278" s="45"/>
      <c r="DT278" s="45"/>
      <c r="DU278" s="45"/>
      <c r="DV278" s="45"/>
      <c r="DW278" s="45"/>
    </row>
    <row r="279" spans="1:127" ht="11.25" customHeight="1">
      <c r="B279" s="23"/>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762">
        <f>IF($B$2=0,"",SUM(Z247:AG261))</f>
        <v>1028006</v>
      </c>
      <c r="AA279" s="2763"/>
      <c r="AB279" s="2763"/>
      <c r="AC279" s="2763"/>
      <c r="AD279" s="2763"/>
      <c r="AE279" s="2763"/>
      <c r="AF279" s="2763"/>
      <c r="AG279" s="2764"/>
      <c r="AH279" s="28"/>
      <c r="AI279" s="28"/>
      <c r="AJ279" s="28"/>
      <c r="AK279" s="28"/>
      <c r="AL279" s="28"/>
      <c r="AM279" s="28"/>
      <c r="AN279" s="28"/>
      <c r="AO279" s="28"/>
      <c r="AP279" s="28"/>
      <c r="AQ279" s="28"/>
      <c r="AR279" s="20"/>
      <c r="AS279" s="20"/>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19"/>
      <c r="BW279" s="8"/>
      <c r="DP279" s="8"/>
      <c r="DQ279" s="197">
        <f>IF(DU279&lt;&gt;"",DQ277+1,DQ277)</f>
        <v>11</v>
      </c>
      <c r="DR279" s="197" t="str">
        <f t="shared" ref="DR279:DR291" si="184">IF(AND(DQ279&lt;&gt;"",DU279&lt;&gt;""),DQ279,"")</f>
        <v/>
      </c>
      <c r="DS279" s="10" t="str">
        <f>CQ189</f>
        <v/>
      </c>
      <c r="DT279" s="8"/>
      <c r="DU279" s="249" t="str">
        <f>IF(COUNTIF($DS$10:DS278,DS279)&gt;0,"",DS279)</f>
        <v/>
      </c>
      <c r="DV279" s="198" t="str">
        <f>CS189</f>
        <v/>
      </c>
      <c r="DW279" s="514">
        <f t="shared" ref="DW279:DW291" si="185">SUMIF($DS$13:$DS$344,DU279,$DV$13:$DV$344)</f>
        <v>5</v>
      </c>
    </row>
    <row r="280" spans="1:127" ht="11.25" customHeight="1">
      <c r="B280" s="23"/>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762">
        <f>IF($B$2=0,"",1000*INT(SUM(Z262:AG276)/1000))</f>
        <v>5554000</v>
      </c>
      <c r="AA280" s="2763"/>
      <c r="AB280" s="2763"/>
      <c r="AC280" s="2763"/>
      <c r="AD280" s="2763"/>
      <c r="AE280" s="2763"/>
      <c r="AF280" s="2763"/>
      <c r="AG280" s="2764"/>
      <c r="AH280" s="28"/>
      <c r="AI280" s="28"/>
      <c r="AJ280" s="28"/>
      <c r="AK280" s="28"/>
      <c r="AL280" s="28"/>
      <c r="AM280" s="28"/>
      <c r="AN280" s="28"/>
      <c r="AO280" s="28"/>
      <c r="AP280" s="28"/>
      <c r="AQ280" s="28"/>
      <c r="AR280" s="20"/>
      <c r="AS280" s="20"/>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19"/>
      <c r="BW280" s="8"/>
      <c r="DP280" s="8"/>
      <c r="DQ280" s="197">
        <f t="shared" ref="DQ280:DQ291" si="186">IF(DU280&lt;&gt;"",DQ279+1,DQ279)</f>
        <v>11</v>
      </c>
      <c r="DR280" s="197" t="str">
        <f t="shared" si="184"/>
        <v/>
      </c>
      <c r="DS280" s="10" t="str">
        <f>CQ190</f>
        <v/>
      </c>
      <c r="DT280" s="8"/>
      <c r="DU280" s="249" t="str">
        <f>IF(COUNTIF($DS$10:DS279,DS280)&gt;0,"",DS280)</f>
        <v/>
      </c>
      <c r="DV280" s="198" t="str">
        <f>CS190</f>
        <v/>
      </c>
      <c r="DW280" s="514">
        <f t="shared" si="185"/>
        <v>5</v>
      </c>
    </row>
    <row r="281" spans="1:127" ht="11.25" customHeight="1">
      <c r="B281" s="23"/>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0"/>
      <c r="AS281" s="20"/>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19"/>
      <c r="BW281" s="8"/>
      <c r="DP281" s="8"/>
      <c r="DQ281" s="197">
        <f t="shared" si="186"/>
        <v>11</v>
      </c>
      <c r="DR281" s="197" t="str">
        <f t="shared" si="184"/>
        <v/>
      </c>
      <c r="DS281" s="10" t="str">
        <f>CQ191</f>
        <v/>
      </c>
      <c r="DT281" s="8"/>
      <c r="DU281" s="249" t="str">
        <f>IF(COUNTIF($DS$10:DS280,DS281)&gt;0,"",DS281)</f>
        <v/>
      </c>
      <c r="DV281" s="198" t="str">
        <f>CS191</f>
        <v/>
      </c>
      <c r="DW281" s="514">
        <f t="shared" si="185"/>
        <v>5</v>
      </c>
    </row>
    <row r="282" spans="1:127" ht="11.25" customHeight="1">
      <c r="B282" s="23"/>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0"/>
      <c r="AS282" s="20"/>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19"/>
      <c r="BW282" s="8"/>
      <c r="DP282" s="8"/>
      <c r="DQ282" s="197">
        <f t="shared" si="186"/>
        <v>11</v>
      </c>
      <c r="DR282" s="197" t="str">
        <f t="shared" si="184"/>
        <v/>
      </c>
      <c r="DS282" s="10" t="str">
        <f>CQ193</f>
        <v/>
      </c>
      <c r="DT282" s="8"/>
      <c r="DU282" s="249" t="str">
        <f>IF(COUNTIF($DS$10:DS281,DS282)&gt;0,"",DS282)</f>
        <v/>
      </c>
      <c r="DV282" s="198" t="str">
        <f>CS193</f>
        <v/>
      </c>
      <c r="DW282" s="514">
        <f t="shared" si="185"/>
        <v>5</v>
      </c>
    </row>
    <row r="283" spans="1:127" ht="11.25" customHeight="1">
      <c r="B283" s="23"/>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0"/>
      <c r="AS283" s="20"/>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19"/>
      <c r="BW283" s="8"/>
      <c r="DP283" s="8"/>
      <c r="DQ283" s="197">
        <f t="shared" si="186"/>
        <v>11</v>
      </c>
      <c r="DR283" s="197" t="str">
        <f t="shared" si="184"/>
        <v/>
      </c>
      <c r="DS283" s="10" t="str">
        <f>CQ194</f>
        <v/>
      </c>
      <c r="DT283" s="8"/>
      <c r="DU283" s="249" t="str">
        <f>IF(COUNTIF($DS$10:DS282,DS283)&gt;0,"",DS283)</f>
        <v/>
      </c>
      <c r="DV283" s="198" t="str">
        <f>CS194</f>
        <v/>
      </c>
      <c r="DW283" s="514">
        <f t="shared" si="185"/>
        <v>5</v>
      </c>
    </row>
    <row r="284" spans="1:127" ht="11.25" customHeight="1">
      <c r="B284" s="23"/>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0"/>
      <c r="AS284" s="20"/>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19"/>
      <c r="BW284" s="8"/>
      <c r="DQ284" s="197">
        <f t="shared" si="186"/>
        <v>11</v>
      </c>
      <c r="DR284" s="197" t="str">
        <f t="shared" si="184"/>
        <v/>
      </c>
      <c r="DS284" s="10" t="str">
        <f>CQ196</f>
        <v/>
      </c>
      <c r="DT284" s="24"/>
      <c r="DU284" s="249" t="str">
        <f>IF(COUNTIF($DS$10:DS283,DS284)&gt;0,"",DS284)</f>
        <v/>
      </c>
      <c r="DV284" s="198" t="str">
        <f>CS196</f>
        <v/>
      </c>
      <c r="DW284" s="514">
        <f t="shared" si="185"/>
        <v>5</v>
      </c>
    </row>
    <row r="285" spans="1:127" ht="11.25" customHeight="1">
      <c r="B285" s="23"/>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0"/>
      <c r="AS285" s="20"/>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19"/>
      <c r="BW285" s="8"/>
      <c r="DQ285" s="197">
        <f t="shared" si="186"/>
        <v>11</v>
      </c>
      <c r="DR285" s="197" t="str">
        <f t="shared" si="184"/>
        <v/>
      </c>
      <c r="DS285" s="201" t="str">
        <f>CQ197</f>
        <v>ソノライン・スピーカ 20W</v>
      </c>
      <c r="DT285" s="24"/>
      <c r="DU285" s="249" t="str">
        <f>IF(COUNTIF($DS$10:DS284,DS285)&gt;0,"",DS285)</f>
        <v/>
      </c>
      <c r="DV285" s="198">
        <f>CS197</f>
        <v>0</v>
      </c>
      <c r="DW285" s="514">
        <f t="shared" si="185"/>
        <v>5</v>
      </c>
    </row>
    <row r="286" spans="1:127" ht="11.25" customHeight="1">
      <c r="B286" s="23"/>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0"/>
      <c r="AS286" s="20"/>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19"/>
      <c r="BW286" s="8"/>
      <c r="DQ286" s="197">
        <f t="shared" si="186"/>
        <v>11</v>
      </c>
      <c r="DR286" s="197" t="str">
        <f t="shared" si="184"/>
        <v/>
      </c>
      <c r="DS286" s="10" t="str">
        <f t="shared" ref="DS286:DS291" si="187">CT190</f>
        <v/>
      </c>
      <c r="DT286" s="24"/>
      <c r="DU286" s="249" t="str">
        <f>IF(COUNTIF($DS$10:DS285,DS286)&gt;0,"",DS286)</f>
        <v/>
      </c>
      <c r="DV286" s="198" t="str">
        <f t="shared" ref="DV286:DV291" si="188">CV190</f>
        <v/>
      </c>
      <c r="DW286" s="514">
        <f t="shared" si="185"/>
        <v>5</v>
      </c>
    </row>
    <row r="287" spans="1:127" ht="11.25" customHeight="1">
      <c r="B287" s="23"/>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0"/>
      <c r="AS287" s="20"/>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19"/>
      <c r="BW287" s="8"/>
      <c r="DQ287" s="197">
        <f t="shared" si="186"/>
        <v>11</v>
      </c>
      <c r="DR287" s="197" t="str">
        <f t="shared" si="184"/>
        <v/>
      </c>
      <c r="DS287" s="10" t="str">
        <f t="shared" si="187"/>
        <v/>
      </c>
      <c r="DT287" s="24"/>
      <c r="DU287" s="249" t="str">
        <f>IF(COUNTIF($DS$10:DS286,DS287)&gt;0,"",DS287)</f>
        <v/>
      </c>
      <c r="DV287" s="198" t="str">
        <f t="shared" si="188"/>
        <v/>
      </c>
      <c r="DW287" s="514">
        <f t="shared" si="185"/>
        <v>5</v>
      </c>
    </row>
    <row r="288" spans="1:127" ht="11.25" customHeight="1">
      <c r="B288" s="23"/>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0"/>
      <c r="AS288" s="20"/>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19"/>
      <c r="BW288" s="8"/>
      <c r="DQ288" s="197">
        <f t="shared" si="186"/>
        <v>11</v>
      </c>
      <c r="DR288" s="197" t="str">
        <f t="shared" si="184"/>
        <v/>
      </c>
      <c r="DS288" s="10" t="str">
        <f t="shared" si="187"/>
        <v/>
      </c>
      <c r="DT288" s="24"/>
      <c r="DU288" s="249" t="str">
        <f>IF(COUNTIF($DS$10:DS287,DS288)&gt;0,"",DS288)</f>
        <v/>
      </c>
      <c r="DV288" s="198" t="str">
        <f t="shared" si="188"/>
        <v/>
      </c>
      <c r="DW288" s="514">
        <f t="shared" si="185"/>
        <v>5</v>
      </c>
    </row>
    <row r="289" spans="2:127" ht="11.25" customHeight="1">
      <c r="B289" s="23"/>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0"/>
      <c r="AS289" s="20"/>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19"/>
      <c r="BW289" s="8"/>
      <c r="DQ289" s="197">
        <f t="shared" si="186"/>
        <v>11</v>
      </c>
      <c r="DR289" s="197" t="str">
        <f t="shared" si="184"/>
        <v/>
      </c>
      <c r="DS289" s="10" t="str">
        <f t="shared" si="187"/>
        <v/>
      </c>
      <c r="DT289" s="24"/>
      <c r="DU289" s="249" t="str">
        <f>IF(COUNTIF($DS$10:DS288,DS289)&gt;0,"",DS289)</f>
        <v/>
      </c>
      <c r="DV289" s="198" t="str">
        <f t="shared" si="188"/>
        <v/>
      </c>
      <c r="DW289" s="514">
        <f t="shared" si="185"/>
        <v>5</v>
      </c>
    </row>
    <row r="290" spans="2:127" ht="11.25" customHeight="1">
      <c r="B290" s="23"/>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0"/>
      <c r="AS290" s="20"/>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19"/>
      <c r="BW290" s="8"/>
      <c r="DQ290" s="197">
        <f t="shared" si="186"/>
        <v>11</v>
      </c>
      <c r="DR290" s="197" t="str">
        <f t="shared" si="184"/>
        <v/>
      </c>
      <c r="DS290" s="10" t="str">
        <f t="shared" si="187"/>
        <v/>
      </c>
      <c r="DT290" s="24"/>
      <c r="DU290" s="249" t="str">
        <f>IF(COUNTIF($DS$10:DS289,DS290)&gt;0,"",DS290)</f>
        <v/>
      </c>
      <c r="DV290" s="198" t="str">
        <f t="shared" si="188"/>
        <v/>
      </c>
      <c r="DW290" s="514">
        <f t="shared" si="185"/>
        <v>5</v>
      </c>
    </row>
    <row r="291" spans="2:127" ht="11.25" customHeight="1">
      <c r="B291" s="23"/>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0"/>
      <c r="AS291" s="20"/>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19"/>
      <c r="BW291" s="8"/>
      <c r="DP291" s="8"/>
      <c r="DQ291" s="197">
        <f t="shared" si="186"/>
        <v>11</v>
      </c>
      <c r="DR291" s="197" t="str">
        <f t="shared" si="184"/>
        <v/>
      </c>
      <c r="DS291" s="10" t="str">
        <f t="shared" si="187"/>
        <v/>
      </c>
      <c r="DT291" s="24"/>
      <c r="DU291" s="249" t="str">
        <f>IF(COUNTIF($DS$10:DS290,DS291)&gt;0,"",DS291)</f>
        <v/>
      </c>
      <c r="DV291" s="198" t="str">
        <f t="shared" si="188"/>
        <v/>
      </c>
      <c r="DW291" s="514">
        <f t="shared" si="185"/>
        <v>5</v>
      </c>
    </row>
    <row r="292" spans="2:127" ht="11.25" customHeight="1">
      <c r="B292" s="23"/>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0"/>
      <c r="AS292" s="20"/>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19"/>
      <c r="BW292" s="8"/>
    </row>
    <row r="293" spans="2:127" ht="11.25" customHeight="1">
      <c r="B293" s="23"/>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0"/>
      <c r="AS293" s="20"/>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19"/>
      <c r="BW293" s="8"/>
    </row>
    <row r="294" spans="2:127" ht="11.25" customHeight="1">
      <c r="B294" s="23"/>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0"/>
      <c r="AS294" s="20"/>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19"/>
      <c r="BW294" s="8"/>
    </row>
    <row r="295" spans="2:127" ht="11.25" customHeight="1">
      <c r="B295" s="23"/>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0"/>
      <c r="AS295" s="20"/>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19"/>
      <c r="BW295" s="8"/>
    </row>
    <row r="296" spans="2:127" ht="11.25" customHeight="1">
      <c r="B296" s="23"/>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0"/>
      <c r="AS296" s="20"/>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19"/>
      <c r="BW296" s="8"/>
    </row>
    <row r="297" spans="2:127" ht="11.25" customHeight="1">
      <c r="B297" s="23"/>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0"/>
      <c r="AS297" s="20"/>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19"/>
      <c r="BW297" s="8"/>
    </row>
    <row r="298" spans="2:127" ht="11.25" customHeight="1">
      <c r="B298" s="23"/>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0"/>
      <c r="AS298" s="20"/>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19"/>
      <c r="BW298" s="8"/>
    </row>
    <row r="299" spans="2:127" ht="11.25" customHeight="1">
      <c r="B299" s="23"/>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0"/>
      <c r="AS299" s="20"/>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19"/>
      <c r="BW299" s="8"/>
    </row>
    <row r="300" spans="2:127" ht="11.25" customHeight="1">
      <c r="B300" s="23"/>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0"/>
      <c r="AS300" s="20"/>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19"/>
      <c r="BW300" s="8"/>
    </row>
    <row r="301" spans="2:127" ht="11.25" customHeight="1">
      <c r="B301" s="23"/>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0"/>
      <c r="AS301" s="20"/>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19"/>
      <c r="BW301" s="8"/>
    </row>
    <row r="302" spans="2:127" ht="11.25" customHeight="1">
      <c r="B302" s="18"/>
      <c r="C302" s="206"/>
      <c r="D302" s="206"/>
      <c r="E302" s="206"/>
      <c r="F302" s="206"/>
      <c r="G302" s="206"/>
      <c r="H302" s="206"/>
      <c r="I302" s="206"/>
      <c r="J302" s="206"/>
      <c r="K302" s="206"/>
      <c r="L302" s="206"/>
      <c r="M302" s="206"/>
      <c r="N302" s="206"/>
      <c r="O302" s="206"/>
      <c r="P302" s="206"/>
      <c r="Q302" s="206"/>
      <c r="R302" s="206"/>
      <c r="S302" s="206"/>
      <c r="T302" s="206"/>
      <c r="U302" s="206"/>
      <c r="V302" s="206"/>
      <c r="W302" s="206"/>
      <c r="X302" s="206"/>
      <c r="Y302" s="206"/>
      <c r="Z302" s="206"/>
      <c r="AA302" s="206"/>
      <c r="AB302" s="206"/>
      <c r="AC302" s="206"/>
      <c r="AD302" s="206"/>
      <c r="AE302" s="206"/>
      <c r="AF302" s="206"/>
      <c r="AG302" s="206"/>
      <c r="AH302" s="206"/>
      <c r="AI302" s="206"/>
      <c r="AJ302" s="206"/>
      <c r="AK302" s="206"/>
      <c r="AL302" s="206"/>
      <c r="AM302" s="206"/>
      <c r="AN302" s="206"/>
      <c r="AO302" s="206"/>
      <c r="AP302" s="206"/>
      <c r="AQ302" s="206"/>
      <c r="AR302" s="17"/>
      <c r="AS302" s="17"/>
      <c r="AT302" s="206"/>
      <c r="AU302" s="206"/>
      <c r="AV302" s="206"/>
      <c r="AW302" s="206"/>
      <c r="AX302" s="206"/>
      <c r="AY302" s="206"/>
      <c r="AZ302" s="206"/>
      <c r="BA302" s="206"/>
      <c r="BB302" s="206"/>
      <c r="BC302" s="206"/>
      <c r="BD302" s="206"/>
      <c r="BE302" s="206"/>
      <c r="BF302" s="206"/>
      <c r="BG302" s="206"/>
      <c r="BH302" s="206"/>
      <c r="BI302" s="206"/>
      <c r="BJ302" s="206"/>
      <c r="BK302" s="206"/>
      <c r="BL302" s="206"/>
      <c r="BM302" s="206"/>
      <c r="BN302" s="206"/>
      <c r="BO302" s="206"/>
      <c r="BP302" s="206"/>
      <c r="BQ302" s="206"/>
      <c r="BR302" s="206"/>
      <c r="BS302" s="206"/>
      <c r="BT302" s="206"/>
      <c r="BU302" s="16"/>
      <c r="BW302" s="8"/>
    </row>
    <row r="303" spans="2:127" ht="11.25" customHeight="1">
      <c r="B303" s="35"/>
      <c r="C303" s="659"/>
      <c r="D303" s="659"/>
      <c r="E303" s="659"/>
      <c r="F303" s="659"/>
      <c r="G303" s="659"/>
      <c r="H303" s="659"/>
      <c r="I303" s="659"/>
      <c r="J303" s="659"/>
      <c r="K303" s="659"/>
      <c r="L303" s="657"/>
      <c r="M303" s="657"/>
      <c r="N303" s="657"/>
      <c r="O303" s="657"/>
      <c r="P303" s="657"/>
      <c r="Q303" s="658"/>
      <c r="R303" s="658"/>
      <c r="S303" s="658"/>
      <c r="T303" s="657"/>
      <c r="U303" s="657"/>
      <c r="V303" s="657"/>
      <c r="W303" s="657"/>
      <c r="X303" s="657"/>
      <c r="Y303" s="657"/>
      <c r="Z303" s="656"/>
      <c r="AA303" s="656"/>
      <c r="AB303" s="656"/>
      <c r="AC303" s="656"/>
      <c r="AD303" s="656"/>
      <c r="AE303" s="656"/>
      <c r="AF303" s="656"/>
      <c r="AG303" s="656"/>
      <c r="AH303" s="20"/>
      <c r="AI303" s="655"/>
      <c r="AJ303" s="655"/>
      <c r="AK303" s="655"/>
      <c r="AL303" s="655"/>
      <c r="AM303" s="654"/>
      <c r="AN303" s="654"/>
      <c r="AO303" s="654"/>
      <c r="AP303" s="654"/>
      <c r="AQ303" s="654"/>
      <c r="AR303" s="20"/>
      <c r="AS303" s="20"/>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35"/>
    </row>
    <row r="304" spans="2:127" ht="11.25" customHeight="1">
      <c r="B304" s="35"/>
      <c r="C304" s="659"/>
      <c r="D304" s="659"/>
      <c r="E304" s="659"/>
      <c r="F304" s="659"/>
      <c r="G304" s="659"/>
      <c r="H304" s="659"/>
      <c r="I304" s="659"/>
      <c r="J304" s="659"/>
      <c r="K304" s="659"/>
      <c r="L304" s="657"/>
      <c r="M304" s="657"/>
      <c r="N304" s="657"/>
      <c r="O304" s="657"/>
      <c r="P304" s="657"/>
      <c r="Q304" s="658"/>
      <c r="R304" s="658"/>
      <c r="S304" s="658"/>
      <c r="T304" s="657"/>
      <c r="U304" s="657"/>
      <c r="V304" s="657"/>
      <c r="W304" s="657"/>
      <c r="X304" s="657"/>
      <c r="Y304" s="657"/>
      <c r="Z304" s="656"/>
      <c r="AA304" s="656"/>
      <c r="AB304" s="656"/>
      <c r="AC304" s="656"/>
      <c r="AD304" s="656"/>
      <c r="AE304" s="656"/>
      <c r="AF304" s="656"/>
      <c r="AG304" s="656"/>
      <c r="AH304" s="20"/>
      <c r="AI304" s="655"/>
      <c r="AJ304" s="655"/>
      <c r="AK304" s="655"/>
      <c r="AL304" s="655"/>
      <c r="AM304" s="654"/>
      <c r="AN304" s="654"/>
      <c r="AO304" s="654"/>
      <c r="AP304" s="654"/>
      <c r="AQ304" s="654"/>
      <c r="AR304" s="20"/>
      <c r="AS304" s="20"/>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35"/>
    </row>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sheetData>
  <sheetProtection password="8220" sheet="1" objects="1" scenarios="1"/>
  <mergeCells count="3501">
    <mergeCell ref="D10:H10"/>
    <mergeCell ref="J10:N10"/>
    <mergeCell ref="D8:N8"/>
    <mergeCell ref="D6:N6"/>
    <mergeCell ref="BY4:BZ4"/>
    <mergeCell ref="BF268:BL268"/>
    <mergeCell ref="BN268:BT268"/>
    <mergeCell ref="AT239:AV239"/>
    <mergeCell ref="AW239:BC239"/>
    <mergeCell ref="BD239:BL239"/>
    <mergeCell ref="BA265:BI265"/>
    <mergeCell ref="BK266:BM266"/>
    <mergeCell ref="BG266:BI266"/>
    <mergeCell ref="BA266:BF266"/>
    <mergeCell ref="AS158:AT158"/>
    <mergeCell ref="AU158:AV158"/>
    <mergeCell ref="AW158:AX158"/>
    <mergeCell ref="AY158:AZ158"/>
    <mergeCell ref="BA158:BB158"/>
    <mergeCell ref="BC158:BD158"/>
    <mergeCell ref="BM158:BO158"/>
    <mergeCell ref="BP158:BR158"/>
    <mergeCell ref="BS158:BT158"/>
    <mergeCell ref="BE158:BF158"/>
    <mergeCell ref="BS181:BT181"/>
    <mergeCell ref="BI185:BJ185"/>
    <mergeCell ref="L268:P268"/>
    <mergeCell ref="Q268:S268"/>
    <mergeCell ref="T268:Y268"/>
    <mergeCell ref="Z268:AG268"/>
    <mergeCell ref="AI268:AL268"/>
    <mergeCell ref="L267:P267"/>
    <mergeCell ref="CQ196:CR196"/>
    <mergeCell ref="CQ197:CR197"/>
    <mergeCell ref="CT181:CU181"/>
    <mergeCell ref="CT182:CU182"/>
    <mergeCell ref="CT183:CU183"/>
    <mergeCell ref="CT184:CU184"/>
    <mergeCell ref="CT185:CU185"/>
    <mergeCell ref="AT241:BC241"/>
    <mergeCell ref="BE241:BH241"/>
    <mergeCell ref="BI241:BL241"/>
    <mergeCell ref="BM241:BT241"/>
    <mergeCell ref="AT245:AY245"/>
    <mergeCell ref="AZ245:BE245"/>
    <mergeCell ref="BG245:BL245"/>
    <mergeCell ref="BE243:BH243"/>
    <mergeCell ref="BA262:BF262"/>
    <mergeCell ref="BF269:BL269"/>
    <mergeCell ref="BN269:BT269"/>
    <mergeCell ref="AY268:BE268"/>
    <mergeCell ref="AY269:BE269"/>
    <mergeCell ref="CQ188:CR188"/>
    <mergeCell ref="CQ189:CR189"/>
    <mergeCell ref="CQ190:CR190"/>
    <mergeCell ref="CQ191:CR191"/>
    <mergeCell ref="CT195:CU195"/>
    <mergeCell ref="BM183:BO183"/>
    <mergeCell ref="BP183:BR183"/>
    <mergeCell ref="BS183:BT183"/>
    <mergeCell ref="BC184:BF184"/>
    <mergeCell ref="AS181:BH181"/>
    <mergeCell ref="BI181:BL181"/>
    <mergeCell ref="BM181:BR181"/>
    <mergeCell ref="CT186:CU186"/>
    <mergeCell ref="CT190:CU190"/>
    <mergeCell ref="CT191:CU191"/>
    <mergeCell ref="CT192:CU192"/>
    <mergeCell ref="CT193:CU193"/>
    <mergeCell ref="CT194:CU194"/>
    <mergeCell ref="Z278:AG278"/>
    <mergeCell ref="Z279:AG279"/>
    <mergeCell ref="Z280:AG280"/>
    <mergeCell ref="AK278:AQ278"/>
    <mergeCell ref="BL264:BM264"/>
    <mergeCell ref="BI264:BJ264"/>
    <mergeCell ref="BA264:BH264"/>
    <mergeCell ref="BA263:BH263"/>
    <mergeCell ref="BI263:BM263"/>
    <mergeCell ref="AT243:BC243"/>
    <mergeCell ref="BI243:BL243"/>
    <mergeCell ref="BF272:BL272"/>
    <mergeCell ref="BN272:BT272"/>
    <mergeCell ref="AT272:BE272"/>
    <mergeCell ref="AT242:BC242"/>
    <mergeCell ref="BE242:BH242"/>
    <mergeCell ref="BI242:BL242"/>
    <mergeCell ref="BM242:BT242"/>
    <mergeCell ref="BG246:BL246"/>
    <mergeCell ref="AT262:AY262"/>
    <mergeCell ref="BH262:BM262"/>
    <mergeCell ref="AY270:BE270"/>
    <mergeCell ref="BF270:BL270"/>
    <mergeCell ref="BN270:BT270"/>
    <mergeCell ref="AM275:AQ275"/>
    <mergeCell ref="Z273:AG273"/>
    <mergeCell ref="CT158:CU158"/>
    <mergeCell ref="CT159:CU159"/>
    <mergeCell ref="CT163:CU163"/>
    <mergeCell ref="CT164:CU164"/>
    <mergeCell ref="CT165:CU165"/>
    <mergeCell ref="CT166:CU166"/>
    <mergeCell ref="CQ163:CR163"/>
    <mergeCell ref="CQ164:CR164"/>
    <mergeCell ref="CQ166:CR166"/>
    <mergeCell ref="CQ167:CR167"/>
    <mergeCell ref="CQ169:CR169"/>
    <mergeCell ref="CQ170:CR170"/>
    <mergeCell ref="BI158:BJ158"/>
    <mergeCell ref="BG166:BH166"/>
    <mergeCell ref="BI166:BJ166"/>
    <mergeCell ref="BZ168:CC168"/>
    <mergeCell ref="CQ193:CR193"/>
    <mergeCell ref="CQ180:CR180"/>
    <mergeCell ref="CQ181:CR181"/>
    <mergeCell ref="CQ182:CR182"/>
    <mergeCell ref="CQ184:CR184"/>
    <mergeCell ref="CQ185:CR185"/>
    <mergeCell ref="CQ187:CR187"/>
    <mergeCell ref="BM159:BO159"/>
    <mergeCell ref="BG161:BK161"/>
    <mergeCell ref="BL161:BO161"/>
    <mergeCell ref="BG159:BH159"/>
    <mergeCell ref="BI159:BJ159"/>
    <mergeCell ref="BM176:BO176"/>
    <mergeCell ref="CQ173:CR173"/>
    <mergeCell ref="CQ175:CR175"/>
    <mergeCell ref="CQ176:CR176"/>
    <mergeCell ref="CT177:CU177"/>
    <mergeCell ref="CQ153:CR153"/>
    <mergeCell ref="CQ154:CR154"/>
    <mergeCell ref="CQ155:CR155"/>
    <mergeCell ref="CQ157:CR157"/>
    <mergeCell ref="CQ158:CR158"/>
    <mergeCell ref="CQ160:CR160"/>
    <mergeCell ref="CQ161:CR161"/>
    <mergeCell ref="CQ162:CR162"/>
    <mergeCell ref="BQ161:BT161"/>
    <mergeCell ref="BK167:BL167"/>
    <mergeCell ref="BM165:BO165"/>
    <mergeCell ref="BP165:BR165"/>
    <mergeCell ref="BS165:BT165"/>
    <mergeCell ref="BM167:BO167"/>
    <mergeCell ref="BP167:BR167"/>
    <mergeCell ref="BM163:BR163"/>
    <mergeCell ref="CT154:CU154"/>
    <mergeCell ref="CT155:CU155"/>
    <mergeCell ref="BM156:BO156"/>
    <mergeCell ref="BP156:BR156"/>
    <mergeCell ref="BS156:BT156"/>
    <mergeCell ref="BL160:BO160"/>
    <mergeCell ref="BQ160:BT160"/>
    <mergeCell ref="BM164:BO164"/>
    <mergeCell ref="BP164:BR164"/>
    <mergeCell ref="BS164:BT164"/>
    <mergeCell ref="BS163:BT163"/>
    <mergeCell ref="BK166:BL166"/>
    <mergeCell ref="BM166:BO166"/>
    <mergeCell ref="BP166:BR166"/>
    <mergeCell ref="BS166:BT166"/>
    <mergeCell ref="CT138:CU138"/>
    <mergeCell ref="CQ114:CR114"/>
    <mergeCell ref="CQ115:CR115"/>
    <mergeCell ref="CQ116:CR116"/>
    <mergeCell ref="CQ118:CR118"/>
    <mergeCell ref="CQ119:CR119"/>
    <mergeCell ref="CQ121:CR121"/>
    <mergeCell ref="CQ122:CR122"/>
    <mergeCell ref="CT142:CU142"/>
    <mergeCell ref="CT143:CU143"/>
    <mergeCell ref="CT144:CU144"/>
    <mergeCell ref="CT145:CU145"/>
    <mergeCell ref="CT146:CU146"/>
    <mergeCell ref="CT147:CU147"/>
    <mergeCell ref="CT176:CU176"/>
    <mergeCell ref="CQ139:CR139"/>
    <mergeCell ref="CQ140:CR140"/>
    <mergeCell ref="CQ141:CR141"/>
    <mergeCell ref="CQ142:CR142"/>
    <mergeCell ref="CQ143:CR143"/>
    <mergeCell ref="CQ145:CR145"/>
    <mergeCell ref="CQ146:CR146"/>
    <mergeCell ref="CQ148:CR148"/>
    <mergeCell ref="CQ149:CR149"/>
    <mergeCell ref="CT167:CU167"/>
    <mergeCell ref="CT168:CU168"/>
    <mergeCell ref="CT172:CU172"/>
    <mergeCell ref="CT173:CU173"/>
    <mergeCell ref="CT174:CU174"/>
    <mergeCell ref="CT175:CU175"/>
    <mergeCell ref="CT156:CU156"/>
    <mergeCell ref="CT157:CU157"/>
    <mergeCell ref="CT100:CU100"/>
    <mergeCell ref="CT101:CU101"/>
    <mergeCell ref="CQ100:CR100"/>
    <mergeCell ref="CQ101:CR101"/>
    <mergeCell ref="CQ103:CR103"/>
    <mergeCell ref="CQ104:CR104"/>
    <mergeCell ref="CQ105:CR105"/>
    <mergeCell ref="CQ106:CR106"/>
    <mergeCell ref="CT133:CU133"/>
    <mergeCell ref="CT134:CU134"/>
    <mergeCell ref="CT135:CU135"/>
    <mergeCell ref="CT136:CU136"/>
    <mergeCell ref="CT137:CU137"/>
    <mergeCell ref="CQ94:CR94"/>
    <mergeCell ref="CQ95:CR95"/>
    <mergeCell ref="CQ96:CR96"/>
    <mergeCell ref="CQ97:CR97"/>
    <mergeCell ref="CQ98:CR98"/>
    <mergeCell ref="CT124:CU124"/>
    <mergeCell ref="CT125:CU125"/>
    <mergeCell ref="CT126:CU126"/>
    <mergeCell ref="CT127:CU127"/>
    <mergeCell ref="CT128:CU128"/>
    <mergeCell ref="CT129:CU129"/>
    <mergeCell ref="CT115:CU115"/>
    <mergeCell ref="CT116:CU116"/>
    <mergeCell ref="CT117:CU117"/>
    <mergeCell ref="CT118:CU118"/>
    <mergeCell ref="CT119:CU119"/>
    <mergeCell ref="CT120:CU120"/>
    <mergeCell ref="CQ131:CR131"/>
    <mergeCell ref="CQ132:CR132"/>
    <mergeCell ref="CT91:CU91"/>
    <mergeCell ref="CT92:CU92"/>
    <mergeCell ref="CT93:CU93"/>
    <mergeCell ref="CQ78:CR78"/>
    <mergeCell ref="CQ79:CR79"/>
    <mergeCell ref="CQ80:CR80"/>
    <mergeCell ref="CQ82:CR82"/>
    <mergeCell ref="CQ83:CR83"/>
    <mergeCell ref="CQ85:CR85"/>
    <mergeCell ref="CQ86:CR86"/>
    <mergeCell ref="CT111:CU111"/>
    <mergeCell ref="CT79:CU79"/>
    <mergeCell ref="CT80:CU80"/>
    <mergeCell ref="CT81:CU81"/>
    <mergeCell ref="CT82:CU82"/>
    <mergeCell ref="CT83:CU83"/>
    <mergeCell ref="CT84:CU84"/>
    <mergeCell ref="CT88:CU88"/>
    <mergeCell ref="CT89:CU89"/>
    <mergeCell ref="CT90:CU90"/>
    <mergeCell ref="CT102:CU102"/>
    <mergeCell ref="CT106:CU106"/>
    <mergeCell ref="CT107:CU107"/>
    <mergeCell ref="CT108:CU108"/>
    <mergeCell ref="CT109:CU109"/>
    <mergeCell ref="CT110:CU110"/>
    <mergeCell ref="CQ107:CR107"/>
    <mergeCell ref="CQ109:CR109"/>
    <mergeCell ref="CQ110:CR110"/>
    <mergeCell ref="CT97:CU97"/>
    <mergeCell ref="CT98:CU98"/>
    <mergeCell ref="CT99:CU99"/>
    <mergeCell ref="CT31:CU31"/>
    <mergeCell ref="CT32:CU32"/>
    <mergeCell ref="CT33:CU33"/>
    <mergeCell ref="CT34:CU34"/>
    <mergeCell ref="CT35:CU35"/>
    <mergeCell ref="CQ48:CR48"/>
    <mergeCell ref="CQ49:CR49"/>
    <mergeCell ref="CQ50:CR50"/>
    <mergeCell ref="CQ52:CR52"/>
    <mergeCell ref="CQ53:CR53"/>
    <mergeCell ref="CQ55:CR55"/>
    <mergeCell ref="CT70:CU70"/>
    <mergeCell ref="CT71:CU71"/>
    <mergeCell ref="CT72:CU72"/>
    <mergeCell ref="CT49:CU49"/>
    <mergeCell ref="CT50:CU50"/>
    <mergeCell ref="CT51:CU51"/>
    <mergeCell ref="CT52:CU52"/>
    <mergeCell ref="CT53:CU53"/>
    <mergeCell ref="CT54:CU54"/>
    <mergeCell ref="CT58:CU58"/>
    <mergeCell ref="CT59:CU59"/>
    <mergeCell ref="CT60:CU60"/>
    <mergeCell ref="CT61:CU61"/>
    <mergeCell ref="CT62:CU62"/>
    <mergeCell ref="CT63:CU63"/>
    <mergeCell ref="CT67:CU67"/>
    <mergeCell ref="CT68:CU68"/>
    <mergeCell ref="CT69:CU69"/>
    <mergeCell ref="CQ67:CR67"/>
    <mergeCell ref="CQ68:CR68"/>
    <mergeCell ref="CQ70:CR70"/>
    <mergeCell ref="CT40:CU40"/>
    <mergeCell ref="CT41:CU41"/>
    <mergeCell ref="CT42:CU42"/>
    <mergeCell ref="CT43:CU43"/>
    <mergeCell ref="CT44:CU44"/>
    <mergeCell ref="CT45:CU45"/>
    <mergeCell ref="CT36:CU36"/>
    <mergeCell ref="CQ39:CR39"/>
    <mergeCell ref="CQ40:CR40"/>
    <mergeCell ref="CQ41:CR41"/>
    <mergeCell ref="CQ43:CR43"/>
    <mergeCell ref="CQ44:CR44"/>
    <mergeCell ref="CQ37:CR37"/>
    <mergeCell ref="CQ38:CR38"/>
    <mergeCell ref="CQ56:CR56"/>
    <mergeCell ref="CQ57:CR57"/>
    <mergeCell ref="CQ58:CR58"/>
    <mergeCell ref="CT22:CU22"/>
    <mergeCell ref="CT23:CU23"/>
    <mergeCell ref="CT24:CU24"/>
    <mergeCell ref="CT25:CU25"/>
    <mergeCell ref="CT26:CU26"/>
    <mergeCell ref="CT27:CU27"/>
    <mergeCell ref="CQ21:CR21"/>
    <mergeCell ref="CQ22:CR22"/>
    <mergeCell ref="CQ23:CR23"/>
    <mergeCell ref="CQ25:CR25"/>
    <mergeCell ref="CQ26:CR26"/>
    <mergeCell ref="CQ28:CR28"/>
    <mergeCell ref="CT13:CU13"/>
    <mergeCell ref="CT14:CU14"/>
    <mergeCell ref="CT15:CU15"/>
    <mergeCell ref="CT16:CU16"/>
    <mergeCell ref="CT17:CU17"/>
    <mergeCell ref="CT18:CU18"/>
    <mergeCell ref="CQ14:CR14"/>
    <mergeCell ref="C276:K276"/>
    <mergeCell ref="L276:P276"/>
    <mergeCell ref="Q276:S276"/>
    <mergeCell ref="T276:Y276"/>
    <mergeCell ref="Z276:AG276"/>
    <mergeCell ref="AI276:AL276"/>
    <mergeCell ref="AM276:AQ276"/>
    <mergeCell ref="C275:K275"/>
    <mergeCell ref="L275:P275"/>
    <mergeCell ref="Q275:S275"/>
    <mergeCell ref="T275:Y275"/>
    <mergeCell ref="Z275:AG275"/>
    <mergeCell ref="AI275:AL275"/>
    <mergeCell ref="CQ29:CR29"/>
    <mergeCell ref="CQ46:CR46"/>
    <mergeCell ref="CQ47:CR47"/>
    <mergeCell ref="CQ59:CR59"/>
    <mergeCell ref="CQ61:CR61"/>
    <mergeCell ref="CQ74:CR74"/>
    <mergeCell ref="CQ87:CR87"/>
    <mergeCell ref="CQ88:CR88"/>
    <mergeCell ref="CQ89:CR89"/>
    <mergeCell ref="CQ91:CR91"/>
    <mergeCell ref="CQ92:CR92"/>
    <mergeCell ref="CQ71:CR71"/>
    <mergeCell ref="CQ73:CR73"/>
    <mergeCell ref="BG158:BH158"/>
    <mergeCell ref="BP159:BR159"/>
    <mergeCell ref="BS159:BT159"/>
    <mergeCell ref="BN245:BQ245"/>
    <mergeCell ref="CQ194:CR194"/>
    <mergeCell ref="CQ112:CR112"/>
    <mergeCell ref="CQ113:CR113"/>
    <mergeCell ref="CQ133:CR133"/>
    <mergeCell ref="CQ134:CR134"/>
    <mergeCell ref="CQ136:CR136"/>
    <mergeCell ref="CQ137:CR137"/>
    <mergeCell ref="CQ123:CR123"/>
    <mergeCell ref="CQ124:CR124"/>
    <mergeCell ref="CQ125:CR125"/>
    <mergeCell ref="CQ127:CR127"/>
    <mergeCell ref="CQ128:CR128"/>
    <mergeCell ref="CQ130:CR130"/>
    <mergeCell ref="CQ171:CR171"/>
    <mergeCell ref="CQ172:CR172"/>
    <mergeCell ref="AU184:AV184"/>
    <mergeCell ref="CQ12:CR12"/>
    <mergeCell ref="CQ13:CR13"/>
    <mergeCell ref="CQ16:CR16"/>
    <mergeCell ref="CQ17:CR17"/>
    <mergeCell ref="CQ19:CR19"/>
    <mergeCell ref="AT160:AY160"/>
    <mergeCell ref="BA160:BF160"/>
    <mergeCell ref="BE159:BF159"/>
    <mergeCell ref="AW165:AX165"/>
    <mergeCell ref="AY165:AZ165"/>
    <mergeCell ref="BA165:BB165"/>
    <mergeCell ref="BC165:BD165"/>
    <mergeCell ref="AS166:AT166"/>
    <mergeCell ref="AU166:AV166"/>
    <mergeCell ref="AW166:AX166"/>
    <mergeCell ref="AY166:AZ166"/>
    <mergeCell ref="BK26:BL26"/>
    <mergeCell ref="AY24:AZ24"/>
    <mergeCell ref="AI273:AL273"/>
    <mergeCell ref="AM273:AQ273"/>
    <mergeCell ref="AI271:AL271"/>
    <mergeCell ref="AM271:AQ271"/>
    <mergeCell ref="CQ62:CR62"/>
    <mergeCell ref="CQ64:CR64"/>
    <mergeCell ref="CQ65:CR65"/>
    <mergeCell ref="CQ66:CR66"/>
    <mergeCell ref="C272:K272"/>
    <mergeCell ref="L272:P272"/>
    <mergeCell ref="Q272:S272"/>
    <mergeCell ref="T272:Y272"/>
    <mergeCell ref="Z272:AG272"/>
    <mergeCell ref="AI272:AL272"/>
    <mergeCell ref="CQ20:CR20"/>
    <mergeCell ref="CQ30:CR30"/>
    <mergeCell ref="CQ31:CR31"/>
    <mergeCell ref="CQ32:CR32"/>
    <mergeCell ref="CQ34:CR34"/>
    <mergeCell ref="CQ35:CR35"/>
    <mergeCell ref="BM243:BT243"/>
    <mergeCell ref="BZ195:CC195"/>
    <mergeCell ref="BP195:BR195"/>
    <mergeCell ref="BJ265:BM265"/>
    <mergeCell ref="BA166:BB166"/>
    <mergeCell ref="BC166:BF166"/>
    <mergeCell ref="CQ178:CR178"/>
    <mergeCell ref="CQ179:CR179"/>
    <mergeCell ref="AW184:AX184"/>
    <mergeCell ref="AS184:AT184"/>
    <mergeCell ref="BK184:BL184"/>
    <mergeCell ref="Q270:S270"/>
    <mergeCell ref="T270:Y270"/>
    <mergeCell ref="Z270:AG270"/>
    <mergeCell ref="AI270:AL270"/>
    <mergeCell ref="AM270:AQ270"/>
    <mergeCell ref="C271:K271"/>
    <mergeCell ref="L271:P271"/>
    <mergeCell ref="Q271:S271"/>
    <mergeCell ref="T271:Y271"/>
    <mergeCell ref="Z271:AG271"/>
    <mergeCell ref="AM268:AQ268"/>
    <mergeCell ref="AM274:AQ274"/>
    <mergeCell ref="C269:K269"/>
    <mergeCell ref="L269:P269"/>
    <mergeCell ref="Q269:S269"/>
    <mergeCell ref="T269:Y269"/>
    <mergeCell ref="Z269:AG269"/>
    <mergeCell ref="AI269:AL269"/>
    <mergeCell ref="AM269:AQ269"/>
    <mergeCell ref="C270:K270"/>
    <mergeCell ref="L270:P270"/>
    <mergeCell ref="C274:K274"/>
    <mergeCell ref="L274:P274"/>
    <mergeCell ref="Q274:S274"/>
    <mergeCell ref="T274:Y274"/>
    <mergeCell ref="Z274:AG274"/>
    <mergeCell ref="AI274:AL274"/>
    <mergeCell ref="AM272:AQ272"/>
    <mergeCell ref="C273:K273"/>
    <mergeCell ref="L273:P273"/>
    <mergeCell ref="Q273:S273"/>
    <mergeCell ref="T273:Y273"/>
    <mergeCell ref="C268:K268"/>
    <mergeCell ref="Q267:S267"/>
    <mergeCell ref="T267:Y267"/>
    <mergeCell ref="Z267:AG267"/>
    <mergeCell ref="AI267:AL267"/>
    <mergeCell ref="AM267:AQ267"/>
    <mergeCell ref="AI265:AL265"/>
    <mergeCell ref="AM265:AQ265"/>
    <mergeCell ref="C266:K266"/>
    <mergeCell ref="L266:P266"/>
    <mergeCell ref="Q266:S266"/>
    <mergeCell ref="T266:Y266"/>
    <mergeCell ref="Z266:AG266"/>
    <mergeCell ref="AI266:AL266"/>
    <mergeCell ref="AM266:AQ266"/>
    <mergeCell ref="C267:K267"/>
    <mergeCell ref="Q264:S264"/>
    <mergeCell ref="T264:Y264"/>
    <mergeCell ref="Z264:AG264"/>
    <mergeCell ref="AI264:AL264"/>
    <mergeCell ref="AM264:AQ264"/>
    <mergeCell ref="C265:K265"/>
    <mergeCell ref="L265:P265"/>
    <mergeCell ref="Q265:S265"/>
    <mergeCell ref="T265:Y265"/>
    <mergeCell ref="Z265:AG265"/>
    <mergeCell ref="AM262:AQ262"/>
    <mergeCell ref="C263:K263"/>
    <mergeCell ref="L263:P263"/>
    <mergeCell ref="Q263:S263"/>
    <mergeCell ref="T263:Y263"/>
    <mergeCell ref="Z263:AG263"/>
    <mergeCell ref="AI263:AL263"/>
    <mergeCell ref="AM263:AQ263"/>
    <mergeCell ref="C264:K264"/>
    <mergeCell ref="L264:P264"/>
    <mergeCell ref="C262:K262"/>
    <mergeCell ref="L262:P262"/>
    <mergeCell ref="Q262:S262"/>
    <mergeCell ref="T262:Y262"/>
    <mergeCell ref="Z262:AG262"/>
    <mergeCell ref="AI262:AL262"/>
    <mergeCell ref="L261:P261"/>
    <mergeCell ref="Q261:S261"/>
    <mergeCell ref="T261:Y261"/>
    <mergeCell ref="Z261:AG261"/>
    <mergeCell ref="AI261:AL261"/>
    <mergeCell ref="AM261:AQ261"/>
    <mergeCell ref="AI259:AL259"/>
    <mergeCell ref="AM259:AQ259"/>
    <mergeCell ref="C260:K260"/>
    <mergeCell ref="L260:P260"/>
    <mergeCell ref="Q260:S260"/>
    <mergeCell ref="T260:Y260"/>
    <mergeCell ref="Z260:AG260"/>
    <mergeCell ref="AI260:AL260"/>
    <mergeCell ref="AM260:AQ260"/>
    <mergeCell ref="C261:K261"/>
    <mergeCell ref="Q258:S258"/>
    <mergeCell ref="T258:Y258"/>
    <mergeCell ref="Z258:AG258"/>
    <mergeCell ref="AI258:AL258"/>
    <mergeCell ref="AM258:AQ258"/>
    <mergeCell ref="C259:K259"/>
    <mergeCell ref="L259:P259"/>
    <mergeCell ref="Q259:S259"/>
    <mergeCell ref="T259:Y259"/>
    <mergeCell ref="Z259:AG259"/>
    <mergeCell ref="AM256:AQ256"/>
    <mergeCell ref="C257:K257"/>
    <mergeCell ref="L257:P257"/>
    <mergeCell ref="Q257:S257"/>
    <mergeCell ref="T257:Y257"/>
    <mergeCell ref="Z257:AG257"/>
    <mergeCell ref="AI257:AL257"/>
    <mergeCell ref="AM257:AQ257"/>
    <mergeCell ref="C258:K258"/>
    <mergeCell ref="L258:P258"/>
    <mergeCell ref="C253:K253"/>
    <mergeCell ref="L253:P253"/>
    <mergeCell ref="Q253:S253"/>
    <mergeCell ref="T253:Y253"/>
    <mergeCell ref="Z253:AG253"/>
    <mergeCell ref="AI253:AL253"/>
    <mergeCell ref="AM253:AQ253"/>
    <mergeCell ref="C256:K256"/>
    <mergeCell ref="L256:P256"/>
    <mergeCell ref="Q256:S256"/>
    <mergeCell ref="T256:Y256"/>
    <mergeCell ref="Z256:AG256"/>
    <mergeCell ref="AI256:AL256"/>
    <mergeCell ref="L255:P255"/>
    <mergeCell ref="Q255:S255"/>
    <mergeCell ref="T255:Y255"/>
    <mergeCell ref="Z255:AG255"/>
    <mergeCell ref="AI255:AL255"/>
    <mergeCell ref="AM255:AQ255"/>
    <mergeCell ref="C254:K254"/>
    <mergeCell ref="L254:P254"/>
    <mergeCell ref="Q254:S254"/>
    <mergeCell ref="T254:Y254"/>
    <mergeCell ref="Z254:AG254"/>
    <mergeCell ref="AI254:AL254"/>
    <mergeCell ref="AM254:AQ254"/>
    <mergeCell ref="C255:K255"/>
    <mergeCell ref="AI252:AL252"/>
    <mergeCell ref="AM252:AQ252"/>
    <mergeCell ref="AT19:AY19"/>
    <mergeCell ref="S17:V17"/>
    <mergeCell ref="H19:P19"/>
    <mergeCell ref="R19:Z19"/>
    <mergeCell ref="H20:P20"/>
    <mergeCell ref="R20:Z20"/>
    <mergeCell ref="AF20:AI20"/>
    <mergeCell ref="AY184:AZ184"/>
    <mergeCell ref="C17:H17"/>
    <mergeCell ref="C252:K252"/>
    <mergeCell ref="L252:P252"/>
    <mergeCell ref="Q252:S252"/>
    <mergeCell ref="T252:Y252"/>
    <mergeCell ref="Z252:AG252"/>
    <mergeCell ref="C20:G20"/>
    <mergeCell ref="C26:H26"/>
    <mergeCell ref="I26:K26"/>
    <mergeCell ref="L26:R26"/>
    <mergeCell ref="F18:I18"/>
    <mergeCell ref="J18:M18"/>
    <mergeCell ref="N18:R18"/>
    <mergeCell ref="S18:V18"/>
    <mergeCell ref="W18:Z18"/>
    <mergeCell ref="AA18:AC18"/>
    <mergeCell ref="AU18:AV18"/>
    <mergeCell ref="AD18:AF18"/>
    <mergeCell ref="AY17:AZ17"/>
    <mergeCell ref="AY18:AZ18"/>
    <mergeCell ref="AD17:AF17"/>
    <mergeCell ref="AT238:BC238"/>
    <mergeCell ref="AT246:AY246"/>
    <mergeCell ref="AZ246:BE246"/>
    <mergeCell ref="BC18:BD18"/>
    <mergeCell ref="BE17:BF17"/>
    <mergeCell ref="BE18:BF18"/>
    <mergeCell ref="AU17:AV17"/>
    <mergeCell ref="BA19:BF19"/>
    <mergeCell ref="AU25:AV25"/>
    <mergeCell ref="AW25:AX25"/>
    <mergeCell ref="C16:I16"/>
    <mergeCell ref="J16:M16"/>
    <mergeCell ref="C18:E18"/>
    <mergeCell ref="AK20:AN20"/>
    <mergeCell ref="AO20:AS20"/>
    <mergeCell ref="AT20:AY20"/>
    <mergeCell ref="C19:G19"/>
    <mergeCell ref="AF19:AI19"/>
    <mergeCell ref="AG17:AK17"/>
    <mergeCell ref="AL18:AN18"/>
    <mergeCell ref="BA18:BB18"/>
    <mergeCell ref="BA161:BF161"/>
    <mergeCell ref="BA184:BB184"/>
    <mergeCell ref="BA159:BB159"/>
    <mergeCell ref="BC159:BD159"/>
    <mergeCell ref="BA20:BF20"/>
    <mergeCell ref="AD23:AF23"/>
    <mergeCell ref="AF28:AI28"/>
    <mergeCell ref="BQ19:BT19"/>
    <mergeCell ref="BL19:BO19"/>
    <mergeCell ref="BM18:BO18"/>
    <mergeCell ref="BP18:BR18"/>
    <mergeCell ref="BS17:BT17"/>
    <mergeCell ref="BS18:BT18"/>
    <mergeCell ref="BS15:BT15"/>
    <mergeCell ref="AS16:AT16"/>
    <mergeCell ref="AU16:AV16"/>
    <mergeCell ref="AL17:AN17"/>
    <mergeCell ref="AY16:AZ16"/>
    <mergeCell ref="BS16:BT16"/>
    <mergeCell ref="BM16:BO16"/>
    <mergeCell ref="BP16:BR16"/>
    <mergeCell ref="BM17:BO17"/>
    <mergeCell ref="BP17:BR17"/>
    <mergeCell ref="BC17:BD17"/>
    <mergeCell ref="AG16:AL16"/>
    <mergeCell ref="AN16:AR16"/>
    <mergeCell ref="AS18:AT18"/>
    <mergeCell ref="AS17:AT17"/>
    <mergeCell ref="AK19:AN19"/>
    <mergeCell ref="AO19:AS19"/>
    <mergeCell ref="AW16:AX16"/>
    <mergeCell ref="AW18:AX18"/>
    <mergeCell ref="AP18:AR18"/>
    <mergeCell ref="B3:D3"/>
    <mergeCell ref="Y3:AC3"/>
    <mergeCell ref="AE3:AI3"/>
    <mergeCell ref="E3:T3"/>
    <mergeCell ref="C13:E15"/>
    <mergeCell ref="F13:I14"/>
    <mergeCell ref="AY15:AZ15"/>
    <mergeCell ref="BA15:BB15"/>
    <mergeCell ref="BI14:BL14"/>
    <mergeCell ref="AW17:AX17"/>
    <mergeCell ref="AG18:AK18"/>
    <mergeCell ref="N16:Z16"/>
    <mergeCell ref="AA16:AF16"/>
    <mergeCell ref="AA15:AC15"/>
    <mergeCell ref="L17:R17"/>
    <mergeCell ref="W17:AC17"/>
    <mergeCell ref="BP15:BR15"/>
    <mergeCell ref="BM15:BO15"/>
    <mergeCell ref="BM13:BR13"/>
    <mergeCell ref="AN14:AR14"/>
    <mergeCell ref="AG14:AM14"/>
    <mergeCell ref="AJ13:AM13"/>
    <mergeCell ref="AS13:BH13"/>
    <mergeCell ref="BI13:BL13"/>
    <mergeCell ref="AW15:AX15"/>
    <mergeCell ref="AS14:AX14"/>
    <mergeCell ref="AY14:BB14"/>
    <mergeCell ref="BC14:BF14"/>
    <mergeCell ref="BG14:BH14"/>
    <mergeCell ref="AS15:AT15"/>
    <mergeCell ref="AU15:AV15"/>
    <mergeCell ref="BC15:BD15"/>
    <mergeCell ref="J13:M14"/>
    <mergeCell ref="N13:R14"/>
    <mergeCell ref="Q10:X10"/>
    <mergeCell ref="Q9:X9"/>
    <mergeCell ref="I17:K17"/>
    <mergeCell ref="F15:I15"/>
    <mergeCell ref="J15:M15"/>
    <mergeCell ref="N15:R15"/>
    <mergeCell ref="S15:V15"/>
    <mergeCell ref="W15:Z15"/>
    <mergeCell ref="BF7:BI7"/>
    <mergeCell ref="BJ7:BM7"/>
    <mergeCell ref="Q7:X7"/>
    <mergeCell ref="Y7:AB7"/>
    <mergeCell ref="AC7:AF7"/>
    <mergeCell ref="AI7:AM7"/>
    <mergeCell ref="AN7:AQ7"/>
    <mergeCell ref="AR7:AU7"/>
    <mergeCell ref="AX7:BA7"/>
    <mergeCell ref="BB7:BE7"/>
    <mergeCell ref="AE13:AF13"/>
    <mergeCell ref="AN15:AR15"/>
    <mergeCell ref="AG15:AM15"/>
    <mergeCell ref="AA13:AD13"/>
    <mergeCell ref="BE15:BF15"/>
    <mergeCell ref="BI15:BJ15"/>
    <mergeCell ref="BI17:BJ17"/>
    <mergeCell ref="BK17:BL17"/>
    <mergeCell ref="BI16:BJ16"/>
    <mergeCell ref="AA14:AC14"/>
    <mergeCell ref="AD14:AF14"/>
    <mergeCell ref="AD15:AF15"/>
    <mergeCell ref="BO6:BS6"/>
    <mergeCell ref="Q8:X8"/>
    <mergeCell ref="Y8:AB8"/>
    <mergeCell ref="AC8:AF8"/>
    <mergeCell ref="AI8:AM8"/>
    <mergeCell ref="AN8:AQ8"/>
    <mergeCell ref="AR8:AU8"/>
    <mergeCell ref="AX8:BA8"/>
    <mergeCell ref="BB8:BE8"/>
    <mergeCell ref="BF8:BI8"/>
    <mergeCell ref="Y10:AB10"/>
    <mergeCell ref="S14:V14"/>
    <mergeCell ref="W14:Z14"/>
    <mergeCell ref="AC6:AF6"/>
    <mergeCell ref="AR6:AU6"/>
    <mergeCell ref="AW6:BF6"/>
    <mergeCell ref="S13:Z13"/>
    <mergeCell ref="AC10:AF10"/>
    <mergeCell ref="Y9:AB9"/>
    <mergeCell ref="AC9:AF9"/>
    <mergeCell ref="BS14:BT14"/>
    <mergeCell ref="BS13:BT13"/>
    <mergeCell ref="BM14:BO14"/>
    <mergeCell ref="BP14:BR14"/>
    <mergeCell ref="BJ8:BM8"/>
    <mergeCell ref="AI10:AM10"/>
    <mergeCell ref="AN10:AQ10"/>
    <mergeCell ref="AR10:AU10"/>
    <mergeCell ref="AR9:AU9"/>
    <mergeCell ref="AX10:BF10"/>
    <mergeCell ref="BG10:BI10"/>
    <mergeCell ref="BK10:BM10"/>
    <mergeCell ref="AI9:AM9"/>
    <mergeCell ref="AN9:AQ9"/>
    <mergeCell ref="BI18:BJ18"/>
    <mergeCell ref="BK18:BL18"/>
    <mergeCell ref="BK15:BL15"/>
    <mergeCell ref="BG15:BH15"/>
    <mergeCell ref="BG17:BH17"/>
    <mergeCell ref="BG18:BH18"/>
    <mergeCell ref="BA16:BB16"/>
    <mergeCell ref="BG16:BH16"/>
    <mergeCell ref="BA17:BB17"/>
    <mergeCell ref="BC16:BF16"/>
    <mergeCell ref="BK16:BL16"/>
    <mergeCell ref="BM25:BO25"/>
    <mergeCell ref="AQ13:AR13"/>
    <mergeCell ref="AN13:AO13"/>
    <mergeCell ref="AH13:AI13"/>
    <mergeCell ref="BL20:BO20"/>
    <mergeCell ref="BG23:BH23"/>
    <mergeCell ref="BI23:BL23"/>
    <mergeCell ref="BM23:BO23"/>
    <mergeCell ref="AG23:AM23"/>
    <mergeCell ref="AN23:AR23"/>
    <mergeCell ref="AS23:AX23"/>
    <mergeCell ref="AY23:BB23"/>
    <mergeCell ref="BC23:BF23"/>
    <mergeCell ref="BQ20:BT20"/>
    <mergeCell ref="C22:E24"/>
    <mergeCell ref="F22:I23"/>
    <mergeCell ref="J22:M23"/>
    <mergeCell ref="N22:R23"/>
    <mergeCell ref="S22:Z22"/>
    <mergeCell ref="AJ22:AM22"/>
    <mergeCell ref="AS22:BH22"/>
    <mergeCell ref="BI22:BL22"/>
    <mergeCell ref="BM22:BR22"/>
    <mergeCell ref="BM24:BO24"/>
    <mergeCell ref="BP24:BR24"/>
    <mergeCell ref="BS24:BT24"/>
    <mergeCell ref="AH22:AI22"/>
    <mergeCell ref="AN22:AO22"/>
    <mergeCell ref="AQ22:AR22"/>
    <mergeCell ref="BK24:BL24"/>
    <mergeCell ref="S23:V23"/>
    <mergeCell ref="W23:Z23"/>
    <mergeCell ref="AA23:AC23"/>
    <mergeCell ref="BS25:BT25"/>
    <mergeCell ref="BP23:BR23"/>
    <mergeCell ref="BS23:BT23"/>
    <mergeCell ref="W24:Z24"/>
    <mergeCell ref="AA24:AC24"/>
    <mergeCell ref="AD24:AF24"/>
    <mergeCell ref="AG24:AM24"/>
    <mergeCell ref="AN24:AR24"/>
    <mergeCell ref="AS24:AT24"/>
    <mergeCell ref="AU24:AV24"/>
    <mergeCell ref="AW24:AX24"/>
    <mergeCell ref="BS22:BT22"/>
    <mergeCell ref="BC24:BD24"/>
    <mergeCell ref="BE24:BF24"/>
    <mergeCell ref="S26:V26"/>
    <mergeCell ref="W26:AC26"/>
    <mergeCell ref="AD26:AF26"/>
    <mergeCell ref="AG26:AK26"/>
    <mergeCell ref="AL26:AN26"/>
    <mergeCell ref="AP26:AR26"/>
    <mergeCell ref="AY25:AZ25"/>
    <mergeCell ref="BA25:BB25"/>
    <mergeCell ref="BC25:BF25"/>
    <mergeCell ref="BG25:BH25"/>
    <mergeCell ref="BI25:BJ25"/>
    <mergeCell ref="BK25:BL25"/>
    <mergeCell ref="BG24:BH24"/>
    <mergeCell ref="BI24:BJ24"/>
    <mergeCell ref="BI26:BJ26"/>
    <mergeCell ref="AA22:AD22"/>
    <mergeCell ref="AE22:AF22"/>
    <mergeCell ref="AK28:AN28"/>
    <mergeCell ref="AS25:AT25"/>
    <mergeCell ref="S24:V24"/>
    <mergeCell ref="BK27:BL27"/>
    <mergeCell ref="BM27:BO27"/>
    <mergeCell ref="BP27:BR27"/>
    <mergeCell ref="BS27:BT27"/>
    <mergeCell ref="BM26:BO26"/>
    <mergeCell ref="BP26:BR26"/>
    <mergeCell ref="BS26:BT26"/>
    <mergeCell ref="AA27:AC27"/>
    <mergeCell ref="C25:I25"/>
    <mergeCell ref="J25:M25"/>
    <mergeCell ref="N25:Z25"/>
    <mergeCell ref="AA25:AF25"/>
    <mergeCell ref="AG25:AL25"/>
    <mergeCell ref="AN25:AR25"/>
    <mergeCell ref="BG27:BH27"/>
    <mergeCell ref="BI27:BJ27"/>
    <mergeCell ref="AS26:AT26"/>
    <mergeCell ref="AU26:AV26"/>
    <mergeCell ref="AW26:AX26"/>
    <mergeCell ref="AY26:AZ26"/>
    <mergeCell ref="BA26:BB26"/>
    <mergeCell ref="BC26:BD26"/>
    <mergeCell ref="BE26:BF26"/>
    <mergeCell ref="BG26:BH26"/>
    <mergeCell ref="F24:I24"/>
    <mergeCell ref="J24:M24"/>
    <mergeCell ref="N24:R24"/>
    <mergeCell ref="BA24:BB24"/>
    <mergeCell ref="BP25:BR25"/>
    <mergeCell ref="BZ18:CC18"/>
    <mergeCell ref="BZ27:CC27"/>
    <mergeCell ref="C31:E33"/>
    <mergeCell ref="F31:I32"/>
    <mergeCell ref="J31:M32"/>
    <mergeCell ref="N31:R32"/>
    <mergeCell ref="S31:Z31"/>
    <mergeCell ref="AJ31:AM31"/>
    <mergeCell ref="AS31:BH31"/>
    <mergeCell ref="BI31:BL31"/>
    <mergeCell ref="AD27:AF27"/>
    <mergeCell ref="AG27:AK27"/>
    <mergeCell ref="AL27:AN27"/>
    <mergeCell ref="AP27:AR27"/>
    <mergeCell ref="AS27:AT27"/>
    <mergeCell ref="AU27:AV27"/>
    <mergeCell ref="C27:E27"/>
    <mergeCell ref="F27:I27"/>
    <mergeCell ref="J27:M27"/>
    <mergeCell ref="N27:R27"/>
    <mergeCell ref="S27:V27"/>
    <mergeCell ref="W27:Z27"/>
    <mergeCell ref="AO28:AS28"/>
    <mergeCell ref="AT28:AY28"/>
    <mergeCell ref="BA28:BF28"/>
    <mergeCell ref="BG28:BK28"/>
    <mergeCell ref="BL28:BO28"/>
    <mergeCell ref="BQ28:BT28"/>
    <mergeCell ref="C28:G28"/>
    <mergeCell ref="H28:P28"/>
    <mergeCell ref="R28:Z28"/>
    <mergeCell ref="AA28:AE28"/>
    <mergeCell ref="J33:M33"/>
    <mergeCell ref="N33:R33"/>
    <mergeCell ref="S33:V33"/>
    <mergeCell ref="W33:Z33"/>
    <mergeCell ref="AA33:AC33"/>
    <mergeCell ref="AO29:AS29"/>
    <mergeCell ref="AT29:AY29"/>
    <mergeCell ref="BI32:BL32"/>
    <mergeCell ref="BM32:BO32"/>
    <mergeCell ref="BP32:BR32"/>
    <mergeCell ref="BS32:BT32"/>
    <mergeCell ref="BC32:BF32"/>
    <mergeCell ref="BG29:BK29"/>
    <mergeCell ref="BL29:BO29"/>
    <mergeCell ref="BQ29:BT29"/>
    <mergeCell ref="C29:G29"/>
    <mergeCell ref="H29:P29"/>
    <mergeCell ref="R29:Z29"/>
    <mergeCell ref="AA29:AE29"/>
    <mergeCell ref="AF29:AI29"/>
    <mergeCell ref="AK29:AN29"/>
    <mergeCell ref="BM31:BR31"/>
    <mergeCell ref="BS31:BT31"/>
    <mergeCell ref="S32:V32"/>
    <mergeCell ref="W32:Z32"/>
    <mergeCell ref="AA32:AC32"/>
    <mergeCell ref="AD32:AF32"/>
    <mergeCell ref="AG32:AM32"/>
    <mergeCell ref="AN32:AR32"/>
    <mergeCell ref="AS32:AX32"/>
    <mergeCell ref="AY32:BB32"/>
    <mergeCell ref="BM33:BO33"/>
    <mergeCell ref="BP33:BR33"/>
    <mergeCell ref="BS33:BT33"/>
    <mergeCell ref="C34:I34"/>
    <mergeCell ref="J34:M34"/>
    <mergeCell ref="N34:Z34"/>
    <mergeCell ref="AA34:AF34"/>
    <mergeCell ref="AG34:AL34"/>
    <mergeCell ref="AN34:AR34"/>
    <mergeCell ref="BK33:BL33"/>
    <mergeCell ref="BI35:BJ35"/>
    <mergeCell ref="C35:H35"/>
    <mergeCell ref="I35:K35"/>
    <mergeCell ref="L35:R35"/>
    <mergeCell ref="S35:V35"/>
    <mergeCell ref="W35:AC35"/>
    <mergeCell ref="AD35:AF35"/>
    <mergeCell ref="AG35:AK35"/>
    <mergeCell ref="AL35:AN35"/>
    <mergeCell ref="AY33:AZ33"/>
    <mergeCell ref="BA33:BB33"/>
    <mergeCell ref="BC33:BD33"/>
    <mergeCell ref="BE33:BF33"/>
    <mergeCell ref="BG33:BH33"/>
    <mergeCell ref="BI33:BJ33"/>
    <mergeCell ref="AD33:AF33"/>
    <mergeCell ref="AG33:AM33"/>
    <mergeCell ref="AN33:AR33"/>
    <mergeCell ref="AS33:AT33"/>
    <mergeCell ref="AU33:AV33"/>
    <mergeCell ref="AW33:AX33"/>
    <mergeCell ref="F33:I33"/>
    <mergeCell ref="BM35:BO35"/>
    <mergeCell ref="BP35:BR35"/>
    <mergeCell ref="BS35:BT35"/>
    <mergeCell ref="C36:E36"/>
    <mergeCell ref="F36:I36"/>
    <mergeCell ref="J36:M36"/>
    <mergeCell ref="N36:R36"/>
    <mergeCell ref="S36:V36"/>
    <mergeCell ref="W36:Z36"/>
    <mergeCell ref="BG34:BH34"/>
    <mergeCell ref="BI34:BJ34"/>
    <mergeCell ref="BK34:BL34"/>
    <mergeCell ref="BM34:BO34"/>
    <mergeCell ref="BP34:BR34"/>
    <mergeCell ref="BS34:BT34"/>
    <mergeCell ref="AS34:AT34"/>
    <mergeCell ref="AU34:AV34"/>
    <mergeCell ref="AW34:AX34"/>
    <mergeCell ref="AY34:AZ34"/>
    <mergeCell ref="BA34:BB34"/>
    <mergeCell ref="BC34:BF34"/>
    <mergeCell ref="AP35:AR35"/>
    <mergeCell ref="BM36:BO36"/>
    <mergeCell ref="BP36:BR36"/>
    <mergeCell ref="BS36:BT36"/>
    <mergeCell ref="BZ36:CC36"/>
    <mergeCell ref="C37:G37"/>
    <mergeCell ref="H37:P37"/>
    <mergeCell ref="R37:Z37"/>
    <mergeCell ref="AA37:AE37"/>
    <mergeCell ref="AF37:AI37"/>
    <mergeCell ref="AK37:AN37"/>
    <mergeCell ref="AO37:AS37"/>
    <mergeCell ref="AT37:AY37"/>
    <mergeCell ref="BG36:BH36"/>
    <mergeCell ref="BI36:BJ36"/>
    <mergeCell ref="AS35:AT35"/>
    <mergeCell ref="AU35:AV35"/>
    <mergeCell ref="AW35:AX35"/>
    <mergeCell ref="AY35:AZ35"/>
    <mergeCell ref="BA35:BB35"/>
    <mergeCell ref="BC35:BD35"/>
    <mergeCell ref="BE35:BF35"/>
    <mergeCell ref="BG35:BH35"/>
    <mergeCell ref="AU36:AV36"/>
    <mergeCell ref="AW36:AX36"/>
    <mergeCell ref="AY36:AZ36"/>
    <mergeCell ref="BA36:BB36"/>
    <mergeCell ref="BC36:BD36"/>
    <mergeCell ref="BE36:BF36"/>
    <mergeCell ref="AA36:AC36"/>
    <mergeCell ref="AD36:AF36"/>
    <mergeCell ref="AG36:AK36"/>
    <mergeCell ref="AL36:AN36"/>
    <mergeCell ref="AP36:AR36"/>
    <mergeCell ref="AS36:AT36"/>
    <mergeCell ref="BK35:BL35"/>
    <mergeCell ref="C38:G38"/>
    <mergeCell ref="H38:P38"/>
    <mergeCell ref="R38:Z38"/>
    <mergeCell ref="AA38:AE38"/>
    <mergeCell ref="AF38:AI38"/>
    <mergeCell ref="AK38:AN38"/>
    <mergeCell ref="BA37:BF37"/>
    <mergeCell ref="BG37:BK37"/>
    <mergeCell ref="BL37:BO37"/>
    <mergeCell ref="BQ37:BT37"/>
    <mergeCell ref="BG38:BK38"/>
    <mergeCell ref="BL38:BO38"/>
    <mergeCell ref="BQ38:BT38"/>
    <mergeCell ref="BK36:BL36"/>
    <mergeCell ref="C40:E42"/>
    <mergeCell ref="F40:I41"/>
    <mergeCell ref="J40:M41"/>
    <mergeCell ref="N40:R41"/>
    <mergeCell ref="S40:Z40"/>
    <mergeCell ref="AA40:AD40"/>
    <mergeCell ref="BS40:BT40"/>
    <mergeCell ref="S41:V41"/>
    <mergeCell ref="BM42:BO42"/>
    <mergeCell ref="BP42:BR42"/>
    <mergeCell ref="BS42:BT42"/>
    <mergeCell ref="BS41:BT41"/>
    <mergeCell ref="AJ40:AM40"/>
    <mergeCell ref="BM40:BR40"/>
    <mergeCell ref="BI40:BL40"/>
    <mergeCell ref="AN42:AR42"/>
    <mergeCell ref="AS42:AT42"/>
    <mergeCell ref="AU42:AV42"/>
    <mergeCell ref="BS44:BT44"/>
    <mergeCell ref="BI44:BJ44"/>
    <mergeCell ref="C44:H44"/>
    <mergeCell ref="I44:K44"/>
    <mergeCell ref="L44:R44"/>
    <mergeCell ref="S44:V44"/>
    <mergeCell ref="W44:AC44"/>
    <mergeCell ref="AD44:AF44"/>
    <mergeCell ref="AO38:AS38"/>
    <mergeCell ref="AT38:AY38"/>
    <mergeCell ref="BA38:BF38"/>
    <mergeCell ref="W41:Z41"/>
    <mergeCell ref="AA41:AC41"/>
    <mergeCell ref="AD41:AF41"/>
    <mergeCell ref="AG41:AM41"/>
    <mergeCell ref="AN41:AR41"/>
    <mergeCell ref="AS41:AX41"/>
    <mergeCell ref="AE40:AF40"/>
    <mergeCell ref="AH40:AI40"/>
    <mergeCell ref="AN40:AO40"/>
    <mergeCell ref="AQ40:AR40"/>
    <mergeCell ref="BM43:BO43"/>
    <mergeCell ref="BP43:BR43"/>
    <mergeCell ref="AY41:BB41"/>
    <mergeCell ref="BC41:BF41"/>
    <mergeCell ref="BG41:BH41"/>
    <mergeCell ref="BI41:BL41"/>
    <mergeCell ref="BS43:BT43"/>
    <mergeCell ref="W42:Z42"/>
    <mergeCell ref="AA42:AC42"/>
    <mergeCell ref="AD42:AF42"/>
    <mergeCell ref="AG42:AM42"/>
    <mergeCell ref="AW42:AX42"/>
    <mergeCell ref="AY42:AZ42"/>
    <mergeCell ref="BA42:BB42"/>
    <mergeCell ref="BC43:BF43"/>
    <mergeCell ref="BG43:BH43"/>
    <mergeCell ref="BI43:BJ43"/>
    <mergeCell ref="BK43:BL43"/>
    <mergeCell ref="BG42:BH42"/>
    <mergeCell ref="BI42:BJ42"/>
    <mergeCell ref="BK42:BL42"/>
    <mergeCell ref="BC42:BD42"/>
    <mergeCell ref="BE42:BF42"/>
    <mergeCell ref="BM41:BO41"/>
    <mergeCell ref="BP41:BR41"/>
    <mergeCell ref="AG43:AL43"/>
    <mergeCell ref="AN43:AR43"/>
    <mergeCell ref="AS43:AT43"/>
    <mergeCell ref="AU43:AV43"/>
    <mergeCell ref="AW43:AX43"/>
    <mergeCell ref="AY43:AZ43"/>
    <mergeCell ref="BA43:BB43"/>
    <mergeCell ref="C43:I43"/>
    <mergeCell ref="J43:M43"/>
    <mergeCell ref="N43:Z43"/>
    <mergeCell ref="BZ45:CC45"/>
    <mergeCell ref="C46:G46"/>
    <mergeCell ref="H46:P46"/>
    <mergeCell ref="R46:Z46"/>
    <mergeCell ref="AA46:AE46"/>
    <mergeCell ref="AF46:AI46"/>
    <mergeCell ref="BG44:BH44"/>
    <mergeCell ref="BK45:BL45"/>
    <mergeCell ref="BM45:BO45"/>
    <mergeCell ref="BP45:BR45"/>
    <mergeCell ref="BM44:BO44"/>
    <mergeCell ref="BP44:BR44"/>
    <mergeCell ref="F42:I42"/>
    <mergeCell ref="J42:M42"/>
    <mergeCell ref="BI45:BJ45"/>
    <mergeCell ref="AS44:AT44"/>
    <mergeCell ref="AU44:AV44"/>
    <mergeCell ref="AW44:AX44"/>
    <mergeCell ref="AY44:AZ44"/>
    <mergeCell ref="BA44:BB44"/>
    <mergeCell ref="BC44:BD44"/>
    <mergeCell ref="BE44:BF44"/>
    <mergeCell ref="AA43:AF43"/>
    <mergeCell ref="N42:R42"/>
    <mergeCell ref="S42:V42"/>
    <mergeCell ref="AG44:AK44"/>
    <mergeCell ref="AL44:AN44"/>
    <mergeCell ref="AP44:AR44"/>
    <mergeCell ref="BK44:BL44"/>
    <mergeCell ref="BE45:BF45"/>
    <mergeCell ref="BG45:BH45"/>
    <mergeCell ref="BG47:BK47"/>
    <mergeCell ref="BL47:BO47"/>
    <mergeCell ref="AL45:AN45"/>
    <mergeCell ref="AP45:AR45"/>
    <mergeCell ref="AS45:AT45"/>
    <mergeCell ref="AU45:AV45"/>
    <mergeCell ref="AW45:AX45"/>
    <mergeCell ref="AY45:AZ45"/>
    <mergeCell ref="BQ46:BT46"/>
    <mergeCell ref="C45:E45"/>
    <mergeCell ref="F45:I45"/>
    <mergeCell ref="J45:M45"/>
    <mergeCell ref="N45:R45"/>
    <mergeCell ref="S45:V45"/>
    <mergeCell ref="W45:Z45"/>
    <mergeCell ref="AA45:AC45"/>
    <mergeCell ref="AD45:AF45"/>
    <mergeCell ref="AG45:AK45"/>
    <mergeCell ref="AK46:AN46"/>
    <mergeCell ref="AO46:AS46"/>
    <mergeCell ref="AT46:AY46"/>
    <mergeCell ref="BA46:BF46"/>
    <mergeCell ref="BG46:BK46"/>
    <mergeCell ref="BL46:BO46"/>
    <mergeCell ref="BS45:BT45"/>
    <mergeCell ref="S50:V50"/>
    <mergeCell ref="W50:Z50"/>
    <mergeCell ref="AA50:AC50"/>
    <mergeCell ref="AD50:AF50"/>
    <mergeCell ref="AG50:AM50"/>
    <mergeCell ref="AN50:AR50"/>
    <mergeCell ref="C49:E51"/>
    <mergeCell ref="F49:I50"/>
    <mergeCell ref="J49:M50"/>
    <mergeCell ref="N49:R50"/>
    <mergeCell ref="S49:Z49"/>
    <mergeCell ref="AJ49:AM49"/>
    <mergeCell ref="AA51:AC51"/>
    <mergeCell ref="AD51:AF51"/>
    <mergeCell ref="AG51:AM51"/>
    <mergeCell ref="BQ47:BT47"/>
    <mergeCell ref="C47:G47"/>
    <mergeCell ref="H47:P47"/>
    <mergeCell ref="R47:Z47"/>
    <mergeCell ref="AA47:AE47"/>
    <mergeCell ref="AF47:AI47"/>
    <mergeCell ref="AK47:AN47"/>
    <mergeCell ref="AO47:AS47"/>
    <mergeCell ref="AT47:AY47"/>
    <mergeCell ref="BA47:BF47"/>
    <mergeCell ref="F51:I51"/>
    <mergeCell ref="J51:M51"/>
    <mergeCell ref="N51:R51"/>
    <mergeCell ref="S51:V51"/>
    <mergeCell ref="W51:Z51"/>
    <mergeCell ref="AS50:AX50"/>
    <mergeCell ref="AY50:BB50"/>
    <mergeCell ref="BC50:BF50"/>
    <mergeCell ref="BG50:BH50"/>
    <mergeCell ref="BK52:BL52"/>
    <mergeCell ref="BM52:BO52"/>
    <mergeCell ref="BC51:BD51"/>
    <mergeCell ref="BE51:BF51"/>
    <mergeCell ref="BG51:BH51"/>
    <mergeCell ref="BI51:BJ51"/>
    <mergeCell ref="AS49:BH49"/>
    <mergeCell ref="BI49:BL49"/>
    <mergeCell ref="BM49:BR49"/>
    <mergeCell ref="BM51:BO51"/>
    <mergeCell ref="BP51:BR51"/>
    <mergeCell ref="BS51:BT51"/>
    <mergeCell ref="BA53:BB53"/>
    <mergeCell ref="BC53:BD53"/>
    <mergeCell ref="BE53:BF53"/>
    <mergeCell ref="BG53:BH53"/>
    <mergeCell ref="BI53:BJ53"/>
    <mergeCell ref="BG52:BH52"/>
    <mergeCell ref="BI52:BJ52"/>
    <mergeCell ref="BS49:BT49"/>
    <mergeCell ref="AN51:AR51"/>
    <mergeCell ref="AS51:AT51"/>
    <mergeCell ref="AU51:AV51"/>
    <mergeCell ref="AW51:AX51"/>
    <mergeCell ref="AY51:AZ51"/>
    <mergeCell ref="BA51:BB51"/>
    <mergeCell ref="BP52:BR52"/>
    <mergeCell ref="BI50:BL50"/>
    <mergeCell ref="BM50:BO50"/>
    <mergeCell ref="BP50:BR50"/>
    <mergeCell ref="BS50:BT50"/>
    <mergeCell ref="BZ54:CC54"/>
    <mergeCell ref="C55:G55"/>
    <mergeCell ref="H55:P55"/>
    <mergeCell ref="R55:Z55"/>
    <mergeCell ref="AA55:AE55"/>
    <mergeCell ref="AF55:AI55"/>
    <mergeCell ref="AK55:AN55"/>
    <mergeCell ref="AO55:AS55"/>
    <mergeCell ref="AT55:AY55"/>
    <mergeCell ref="AS52:AT52"/>
    <mergeCell ref="AU52:AV52"/>
    <mergeCell ref="AW52:AX52"/>
    <mergeCell ref="AY52:AZ52"/>
    <mergeCell ref="BA52:BB52"/>
    <mergeCell ref="BC52:BF52"/>
    <mergeCell ref="C52:I52"/>
    <mergeCell ref="J52:M52"/>
    <mergeCell ref="N52:Z52"/>
    <mergeCell ref="AA52:AF52"/>
    <mergeCell ref="AG52:AL52"/>
    <mergeCell ref="AN52:AR52"/>
    <mergeCell ref="C54:E54"/>
    <mergeCell ref="F54:I54"/>
    <mergeCell ref="J54:M54"/>
    <mergeCell ref="N54:R54"/>
    <mergeCell ref="AW54:AX54"/>
    <mergeCell ref="AY54:AZ54"/>
    <mergeCell ref="AG54:AK54"/>
    <mergeCell ref="AL54:AN54"/>
    <mergeCell ref="AP54:AR54"/>
    <mergeCell ref="BA55:BF55"/>
    <mergeCell ref="BG55:BK55"/>
    <mergeCell ref="BL55:BO55"/>
    <mergeCell ref="BQ55:BT55"/>
    <mergeCell ref="BK53:BL53"/>
    <mergeCell ref="BM53:BO53"/>
    <mergeCell ref="BP53:BR53"/>
    <mergeCell ref="BS53:BT53"/>
    <mergeCell ref="BA54:BB54"/>
    <mergeCell ref="BC54:BD54"/>
    <mergeCell ref="C53:H53"/>
    <mergeCell ref="I53:K53"/>
    <mergeCell ref="L53:R53"/>
    <mergeCell ref="S53:V53"/>
    <mergeCell ref="S54:V54"/>
    <mergeCell ref="BS58:BT58"/>
    <mergeCell ref="S59:V59"/>
    <mergeCell ref="W59:Z59"/>
    <mergeCell ref="AA59:AC59"/>
    <mergeCell ref="AD59:AF59"/>
    <mergeCell ref="AG59:AM59"/>
    <mergeCell ref="AN59:AR59"/>
    <mergeCell ref="AS59:AX59"/>
    <mergeCell ref="AA58:AD58"/>
    <mergeCell ref="AE58:AF58"/>
    <mergeCell ref="BV10:BX11"/>
    <mergeCell ref="C58:E60"/>
    <mergeCell ref="F58:I59"/>
    <mergeCell ref="J58:M59"/>
    <mergeCell ref="N58:R59"/>
    <mergeCell ref="S58:Z58"/>
    <mergeCell ref="AJ58:AM58"/>
    <mergeCell ref="AS58:BH58"/>
    <mergeCell ref="BI58:BL58"/>
    <mergeCell ref="BM58:BR58"/>
    <mergeCell ref="BE54:BF54"/>
    <mergeCell ref="BG54:BH54"/>
    <mergeCell ref="BI54:BJ54"/>
    <mergeCell ref="AS53:AT53"/>
    <mergeCell ref="AU53:AV53"/>
    <mergeCell ref="AW53:AX53"/>
    <mergeCell ref="AY53:AZ53"/>
    <mergeCell ref="BS54:BT54"/>
    <mergeCell ref="BS52:BT52"/>
    <mergeCell ref="R56:Z56"/>
    <mergeCell ref="AA56:AE56"/>
    <mergeCell ref="AF56:AI56"/>
    <mergeCell ref="AK56:AN56"/>
    <mergeCell ref="AO56:AS56"/>
    <mergeCell ref="AT56:AY56"/>
    <mergeCell ref="BA56:BF56"/>
    <mergeCell ref="BK54:BL54"/>
    <mergeCell ref="W53:AC53"/>
    <mergeCell ref="AD53:AF53"/>
    <mergeCell ref="AG53:AK53"/>
    <mergeCell ref="AL53:AN53"/>
    <mergeCell ref="AP53:AR53"/>
    <mergeCell ref="BP54:BR54"/>
    <mergeCell ref="BM54:BO54"/>
    <mergeCell ref="W54:Z54"/>
    <mergeCell ref="AA54:AC54"/>
    <mergeCell ref="AD54:AF54"/>
    <mergeCell ref="AS54:AT54"/>
    <mergeCell ref="AU54:AV54"/>
    <mergeCell ref="BL56:BO56"/>
    <mergeCell ref="BQ56:BT56"/>
    <mergeCell ref="F60:I60"/>
    <mergeCell ref="J60:M60"/>
    <mergeCell ref="N60:R60"/>
    <mergeCell ref="S60:V60"/>
    <mergeCell ref="W60:Z60"/>
    <mergeCell ref="AA60:AC60"/>
    <mergeCell ref="AD60:AF60"/>
    <mergeCell ref="BS61:BT61"/>
    <mergeCell ref="AY59:BB59"/>
    <mergeCell ref="BC59:BF59"/>
    <mergeCell ref="BG59:BH59"/>
    <mergeCell ref="BI59:BL59"/>
    <mergeCell ref="BM59:BO59"/>
    <mergeCell ref="BP59:BR59"/>
    <mergeCell ref="BS59:BT59"/>
    <mergeCell ref="BA60:BB60"/>
    <mergeCell ref="BC60:BD60"/>
    <mergeCell ref="AG60:AM60"/>
    <mergeCell ref="AN60:AR60"/>
    <mergeCell ref="C56:G56"/>
    <mergeCell ref="H56:P56"/>
    <mergeCell ref="BS60:BT60"/>
    <mergeCell ref="C61:I61"/>
    <mergeCell ref="J61:M61"/>
    <mergeCell ref="N61:Z61"/>
    <mergeCell ref="AA61:AF61"/>
    <mergeCell ref="AG61:AL61"/>
    <mergeCell ref="AN61:AR61"/>
    <mergeCell ref="AS61:AT61"/>
    <mergeCell ref="AU61:AV61"/>
    <mergeCell ref="AW61:AX61"/>
    <mergeCell ref="AL62:AN62"/>
    <mergeCell ref="AP62:AR62"/>
    <mergeCell ref="BI60:BJ60"/>
    <mergeCell ref="BK60:BL60"/>
    <mergeCell ref="BM60:BO60"/>
    <mergeCell ref="BP60:BR60"/>
    <mergeCell ref="AY61:AZ61"/>
    <mergeCell ref="BA61:BB61"/>
    <mergeCell ref="BC61:BF61"/>
    <mergeCell ref="BG61:BH61"/>
    <mergeCell ref="BE60:BF60"/>
    <mergeCell ref="BG60:BH60"/>
    <mergeCell ref="BI62:BJ62"/>
    <mergeCell ref="C62:H62"/>
    <mergeCell ref="I62:K62"/>
    <mergeCell ref="L62:R62"/>
    <mergeCell ref="S62:V62"/>
    <mergeCell ref="W62:AC62"/>
    <mergeCell ref="AD62:AF62"/>
    <mergeCell ref="AG62:AK62"/>
    <mergeCell ref="C63:E63"/>
    <mergeCell ref="F63:I63"/>
    <mergeCell ref="J63:M63"/>
    <mergeCell ref="N63:R63"/>
    <mergeCell ref="S63:V63"/>
    <mergeCell ref="W63:Z63"/>
    <mergeCell ref="AA63:AC63"/>
    <mergeCell ref="AD63:AF63"/>
    <mergeCell ref="AG63:AK63"/>
    <mergeCell ref="BI61:BJ61"/>
    <mergeCell ref="BK61:BL61"/>
    <mergeCell ref="BM61:BO61"/>
    <mergeCell ref="BP61:BR61"/>
    <mergeCell ref="BK62:BL62"/>
    <mergeCell ref="BM62:BO62"/>
    <mergeCell ref="BP62:BR62"/>
    <mergeCell ref="BS63:BT63"/>
    <mergeCell ref="BZ63:CC63"/>
    <mergeCell ref="C64:G64"/>
    <mergeCell ref="H64:P64"/>
    <mergeCell ref="R64:Z64"/>
    <mergeCell ref="AA64:AE64"/>
    <mergeCell ref="AF64:AI64"/>
    <mergeCell ref="AK64:AN64"/>
    <mergeCell ref="AO64:AS64"/>
    <mergeCell ref="AT64:AY64"/>
    <mergeCell ref="BC62:BD62"/>
    <mergeCell ref="BE62:BF62"/>
    <mergeCell ref="BG62:BH62"/>
    <mergeCell ref="BK63:BL63"/>
    <mergeCell ref="BM63:BO63"/>
    <mergeCell ref="BP63:BR63"/>
    <mergeCell ref="BA63:BB63"/>
    <mergeCell ref="BC63:BD63"/>
    <mergeCell ref="BE63:BF63"/>
    <mergeCell ref="BG63:BH63"/>
    <mergeCell ref="BI63:BJ63"/>
    <mergeCell ref="AS62:AT62"/>
    <mergeCell ref="AU62:AV62"/>
    <mergeCell ref="AW62:AX62"/>
    <mergeCell ref="AY62:AZ62"/>
    <mergeCell ref="BA62:BB62"/>
    <mergeCell ref="AL63:AN63"/>
    <mergeCell ref="AP63:AR63"/>
    <mergeCell ref="AS63:AT63"/>
    <mergeCell ref="AU63:AV63"/>
    <mergeCell ref="AW63:AX63"/>
    <mergeCell ref="AY63:AZ63"/>
    <mergeCell ref="BS62:BT62"/>
    <mergeCell ref="BA64:BF64"/>
    <mergeCell ref="BG64:BK64"/>
    <mergeCell ref="BL64:BO64"/>
    <mergeCell ref="BQ64:BT64"/>
    <mergeCell ref="BG65:BK65"/>
    <mergeCell ref="BL65:BO65"/>
    <mergeCell ref="BQ65:BT65"/>
    <mergeCell ref="BP68:BR68"/>
    <mergeCell ref="BS68:BT68"/>
    <mergeCell ref="F69:I69"/>
    <mergeCell ref="J69:M69"/>
    <mergeCell ref="N69:R69"/>
    <mergeCell ref="S69:V69"/>
    <mergeCell ref="W69:Z69"/>
    <mergeCell ref="AA69:AC69"/>
    <mergeCell ref="AD69:AF69"/>
    <mergeCell ref="AG69:AM69"/>
    <mergeCell ref="AT65:AY65"/>
    <mergeCell ref="BA65:BF65"/>
    <mergeCell ref="C65:G65"/>
    <mergeCell ref="H65:P65"/>
    <mergeCell ref="R65:Z65"/>
    <mergeCell ref="AA65:AE65"/>
    <mergeCell ref="AF65:AI65"/>
    <mergeCell ref="AK65:AN65"/>
    <mergeCell ref="AO65:AS65"/>
    <mergeCell ref="AS67:BH67"/>
    <mergeCell ref="BI67:BL67"/>
    <mergeCell ref="BM69:BO69"/>
    <mergeCell ref="AH67:AI67"/>
    <mergeCell ref="AN67:AO67"/>
    <mergeCell ref="AQ67:AR67"/>
    <mergeCell ref="C67:E69"/>
    <mergeCell ref="F67:I68"/>
    <mergeCell ref="J67:M68"/>
    <mergeCell ref="N67:R68"/>
    <mergeCell ref="S67:Z67"/>
    <mergeCell ref="AJ67:AM67"/>
    <mergeCell ref="AY69:AZ69"/>
    <mergeCell ref="BA69:BB69"/>
    <mergeCell ref="BG68:BH68"/>
    <mergeCell ref="BK71:BL71"/>
    <mergeCell ref="BI68:BL68"/>
    <mergeCell ref="BM68:BO68"/>
    <mergeCell ref="BC69:BD69"/>
    <mergeCell ref="BE69:BF69"/>
    <mergeCell ref="BG69:BH69"/>
    <mergeCell ref="BI69:BJ69"/>
    <mergeCell ref="AS68:AX68"/>
    <mergeCell ref="AY68:BB68"/>
    <mergeCell ref="BC68:BF68"/>
    <mergeCell ref="C71:H71"/>
    <mergeCell ref="I71:K71"/>
    <mergeCell ref="L71:R71"/>
    <mergeCell ref="S71:V71"/>
    <mergeCell ref="BP69:BR69"/>
    <mergeCell ref="BS69:BT69"/>
    <mergeCell ref="AS70:AT70"/>
    <mergeCell ref="AU70:AV70"/>
    <mergeCell ref="AW70:AX70"/>
    <mergeCell ref="AY70:AZ70"/>
    <mergeCell ref="BK69:BL69"/>
    <mergeCell ref="BG71:BH71"/>
    <mergeCell ref="BK72:BL72"/>
    <mergeCell ref="BI71:BJ71"/>
    <mergeCell ref="BM67:BR67"/>
    <mergeCell ref="BP71:BR71"/>
    <mergeCell ref="BS67:BT67"/>
    <mergeCell ref="S68:V68"/>
    <mergeCell ref="W68:Z68"/>
    <mergeCell ref="AA68:AC68"/>
    <mergeCell ref="AD68:AF68"/>
    <mergeCell ref="AG68:AM68"/>
    <mergeCell ref="AN68:AR68"/>
    <mergeCell ref="AN69:AR69"/>
    <mergeCell ref="AS69:AT69"/>
    <mergeCell ref="AU69:AV69"/>
    <mergeCell ref="AW69:AX69"/>
    <mergeCell ref="BP72:BR72"/>
    <mergeCell ref="BS72:BT72"/>
    <mergeCell ref="AP72:AR72"/>
    <mergeCell ref="AS72:AT72"/>
    <mergeCell ref="BM71:BO71"/>
    <mergeCell ref="AA72:AC72"/>
    <mergeCell ref="AD72:AF72"/>
    <mergeCell ref="AG72:AK72"/>
    <mergeCell ref="AL72:AN72"/>
    <mergeCell ref="BP70:BR70"/>
    <mergeCell ref="BS70:BT70"/>
    <mergeCell ref="BS71:BT71"/>
    <mergeCell ref="AU72:AV72"/>
    <mergeCell ref="AW72:AX72"/>
    <mergeCell ref="AY72:AZ72"/>
    <mergeCell ref="BA70:BB70"/>
    <mergeCell ref="BC70:BF70"/>
    <mergeCell ref="BG70:BH70"/>
    <mergeCell ref="BI70:BJ70"/>
    <mergeCell ref="BK70:BL70"/>
    <mergeCell ref="BM70:BO70"/>
    <mergeCell ref="C70:I70"/>
    <mergeCell ref="J70:M70"/>
    <mergeCell ref="N70:Z70"/>
    <mergeCell ref="AA70:AF70"/>
    <mergeCell ref="BG72:BH72"/>
    <mergeCell ref="BI72:BJ72"/>
    <mergeCell ref="AG70:AL70"/>
    <mergeCell ref="AN70:AR70"/>
    <mergeCell ref="AG71:AK71"/>
    <mergeCell ref="AL71:AN71"/>
    <mergeCell ref="AP71:AR71"/>
    <mergeCell ref="BC72:BD72"/>
    <mergeCell ref="BE72:BF72"/>
    <mergeCell ref="BM72:BO72"/>
    <mergeCell ref="BS79:BT79"/>
    <mergeCell ref="S80:V80"/>
    <mergeCell ref="W80:Z80"/>
    <mergeCell ref="AA80:AC80"/>
    <mergeCell ref="AD80:AF80"/>
    <mergeCell ref="AG80:AM80"/>
    <mergeCell ref="AN80:AR80"/>
    <mergeCell ref="BS80:BT80"/>
    <mergeCell ref="W71:AC71"/>
    <mergeCell ref="AD71:AF71"/>
    <mergeCell ref="AS71:AT71"/>
    <mergeCell ref="AU71:AV71"/>
    <mergeCell ref="AW71:AX71"/>
    <mergeCell ref="AY71:AZ71"/>
    <mergeCell ref="BA71:BB71"/>
    <mergeCell ref="C72:E72"/>
    <mergeCell ref="F72:I72"/>
    <mergeCell ref="J72:M72"/>
    <mergeCell ref="N72:R72"/>
    <mergeCell ref="S72:V72"/>
    <mergeCell ref="W72:Z72"/>
    <mergeCell ref="C79:E81"/>
    <mergeCell ref="F79:I80"/>
    <mergeCell ref="J79:M80"/>
    <mergeCell ref="N79:R80"/>
    <mergeCell ref="S79:Z79"/>
    <mergeCell ref="AJ79:AM79"/>
    <mergeCell ref="AY80:BB80"/>
    <mergeCell ref="BC80:BF80"/>
    <mergeCell ref="BS81:BT81"/>
    <mergeCell ref="AA81:AC81"/>
    <mergeCell ref="AD81:AF81"/>
    <mergeCell ref="BZ72:CC72"/>
    <mergeCell ref="C73:G73"/>
    <mergeCell ref="H73:P73"/>
    <mergeCell ref="R73:Z73"/>
    <mergeCell ref="AA73:AE73"/>
    <mergeCell ref="AF73:AI73"/>
    <mergeCell ref="AK73:AN73"/>
    <mergeCell ref="AO73:AS73"/>
    <mergeCell ref="AT73:AY73"/>
    <mergeCell ref="BA73:BF73"/>
    <mergeCell ref="C74:G74"/>
    <mergeCell ref="BQ74:BT74"/>
    <mergeCell ref="H74:P74"/>
    <mergeCell ref="R74:Z74"/>
    <mergeCell ref="AT74:AY74"/>
    <mergeCell ref="BA74:BF74"/>
    <mergeCell ref="BQ73:BT73"/>
    <mergeCell ref="BG74:BK74"/>
    <mergeCell ref="BL74:BO74"/>
    <mergeCell ref="AS79:BH79"/>
    <mergeCell ref="BI79:BL79"/>
    <mergeCell ref="BM81:BO81"/>
    <mergeCell ref="AW81:AX81"/>
    <mergeCell ref="AY81:AZ81"/>
    <mergeCell ref="BA81:BB81"/>
    <mergeCell ref="BC81:BD81"/>
    <mergeCell ref="BE81:BF81"/>
    <mergeCell ref="BG82:BH82"/>
    <mergeCell ref="AN82:AR82"/>
    <mergeCell ref="AS82:AT82"/>
    <mergeCell ref="AU82:AV82"/>
    <mergeCell ref="AW82:AX82"/>
    <mergeCell ref="AY82:AZ82"/>
    <mergeCell ref="BA82:BB82"/>
    <mergeCell ref="AS80:AX80"/>
    <mergeCell ref="BM79:BR79"/>
    <mergeCell ref="BP81:BR81"/>
    <mergeCell ref="BG80:BH80"/>
    <mergeCell ref="BI80:BL80"/>
    <mergeCell ref="BM80:BO80"/>
    <mergeCell ref="BP80:BR80"/>
    <mergeCell ref="AG81:AM81"/>
    <mergeCell ref="C83:H83"/>
    <mergeCell ref="I83:K83"/>
    <mergeCell ref="L83:R83"/>
    <mergeCell ref="S83:V83"/>
    <mergeCell ref="W83:AC83"/>
    <mergeCell ref="AD83:AF83"/>
    <mergeCell ref="BG81:BH81"/>
    <mergeCell ref="BI81:BJ81"/>
    <mergeCell ref="BK81:BL81"/>
    <mergeCell ref="BM83:BO83"/>
    <mergeCell ref="BP83:BR83"/>
    <mergeCell ref="BI83:BJ83"/>
    <mergeCell ref="BI82:BJ82"/>
    <mergeCell ref="BK82:BL82"/>
    <mergeCell ref="BM82:BO82"/>
    <mergeCell ref="F81:I81"/>
    <mergeCell ref="AN81:AR81"/>
    <mergeCell ref="AS81:AT81"/>
    <mergeCell ref="AU81:AV81"/>
    <mergeCell ref="C82:I82"/>
    <mergeCell ref="J82:M82"/>
    <mergeCell ref="N82:Z82"/>
    <mergeCell ref="AA82:AF82"/>
    <mergeCell ref="AG82:AL82"/>
    <mergeCell ref="BC82:BF82"/>
    <mergeCell ref="J81:M81"/>
    <mergeCell ref="N81:R81"/>
    <mergeCell ref="S81:V81"/>
    <mergeCell ref="W81:Z81"/>
    <mergeCell ref="BZ84:CC84"/>
    <mergeCell ref="C85:G85"/>
    <mergeCell ref="H85:P85"/>
    <mergeCell ref="R85:Z85"/>
    <mergeCell ref="AA85:AE85"/>
    <mergeCell ref="AF85:AI85"/>
    <mergeCell ref="AK85:AN85"/>
    <mergeCell ref="AO85:AS85"/>
    <mergeCell ref="AT85:AY85"/>
    <mergeCell ref="BA85:BF85"/>
    <mergeCell ref="BE83:BF83"/>
    <mergeCell ref="BG83:BH83"/>
    <mergeCell ref="BK84:BL84"/>
    <mergeCell ref="BM84:BO84"/>
    <mergeCell ref="BP84:BR84"/>
    <mergeCell ref="BS84:BT84"/>
    <mergeCell ref="BP82:BR82"/>
    <mergeCell ref="BE84:BF84"/>
    <mergeCell ref="BG84:BH84"/>
    <mergeCell ref="BI84:BJ84"/>
    <mergeCell ref="AS83:AT83"/>
    <mergeCell ref="AU83:AV83"/>
    <mergeCell ref="AW83:AX83"/>
    <mergeCell ref="AY83:AZ83"/>
    <mergeCell ref="BA83:BB83"/>
    <mergeCell ref="BC83:BD83"/>
    <mergeCell ref="AG83:AK83"/>
    <mergeCell ref="AL83:AN83"/>
    <mergeCell ref="AP83:AR83"/>
    <mergeCell ref="BK83:BL83"/>
    <mergeCell ref="BS83:BT83"/>
    <mergeCell ref="BS82:BT82"/>
    <mergeCell ref="BQ86:BT86"/>
    <mergeCell ref="C86:G86"/>
    <mergeCell ref="H86:P86"/>
    <mergeCell ref="R86:Z86"/>
    <mergeCell ref="AA86:AE86"/>
    <mergeCell ref="AF86:AI86"/>
    <mergeCell ref="AK86:AN86"/>
    <mergeCell ref="AO86:AS86"/>
    <mergeCell ref="AT86:AY86"/>
    <mergeCell ref="BA86:BF86"/>
    <mergeCell ref="AW84:AX84"/>
    <mergeCell ref="AY84:AZ84"/>
    <mergeCell ref="BA84:BB84"/>
    <mergeCell ref="BC84:BD84"/>
    <mergeCell ref="BG86:BK86"/>
    <mergeCell ref="BL86:BO86"/>
    <mergeCell ref="AD84:AF84"/>
    <mergeCell ref="AG84:AK84"/>
    <mergeCell ref="AL84:AN84"/>
    <mergeCell ref="AP84:AR84"/>
    <mergeCell ref="AS84:AT84"/>
    <mergeCell ref="AU84:AV84"/>
    <mergeCell ref="BG85:BK85"/>
    <mergeCell ref="BL85:BO85"/>
    <mergeCell ref="BQ85:BT85"/>
    <mergeCell ref="C84:E84"/>
    <mergeCell ref="F84:I84"/>
    <mergeCell ref="J84:M84"/>
    <mergeCell ref="N84:R84"/>
    <mergeCell ref="S84:V84"/>
    <mergeCell ref="W84:Z84"/>
    <mergeCell ref="AA84:AC84"/>
    <mergeCell ref="BG89:BH89"/>
    <mergeCell ref="BI89:BL89"/>
    <mergeCell ref="BM89:BO89"/>
    <mergeCell ref="BP89:BR89"/>
    <mergeCell ref="BS89:BT89"/>
    <mergeCell ref="BM88:BR88"/>
    <mergeCell ref="BS88:BT88"/>
    <mergeCell ref="S89:V89"/>
    <mergeCell ref="W89:Z89"/>
    <mergeCell ref="AA89:AC89"/>
    <mergeCell ref="AD89:AF89"/>
    <mergeCell ref="AG89:AM89"/>
    <mergeCell ref="AN89:AR89"/>
    <mergeCell ref="AS89:AX89"/>
    <mergeCell ref="AY89:BB89"/>
    <mergeCell ref="AJ88:AM88"/>
    <mergeCell ref="AS88:BH88"/>
    <mergeCell ref="BI88:BL88"/>
    <mergeCell ref="AQ88:AR88"/>
    <mergeCell ref="BC90:BD90"/>
    <mergeCell ref="BE90:BF90"/>
    <mergeCell ref="BG90:BH90"/>
    <mergeCell ref="BI90:BJ90"/>
    <mergeCell ref="BK92:BL92"/>
    <mergeCell ref="C88:E90"/>
    <mergeCell ref="F88:I89"/>
    <mergeCell ref="J88:M89"/>
    <mergeCell ref="N88:R89"/>
    <mergeCell ref="S88:Z88"/>
    <mergeCell ref="AL92:AN92"/>
    <mergeCell ref="AP92:AR92"/>
    <mergeCell ref="AU90:AV90"/>
    <mergeCell ref="AW90:AX90"/>
    <mergeCell ref="AY90:AZ90"/>
    <mergeCell ref="BA90:BB90"/>
    <mergeCell ref="AS91:AT91"/>
    <mergeCell ref="AU91:AV91"/>
    <mergeCell ref="AW91:AX91"/>
    <mergeCell ref="AY91:AZ91"/>
    <mergeCell ref="AD90:AF90"/>
    <mergeCell ref="AG90:AM90"/>
    <mergeCell ref="BI92:BJ92"/>
    <mergeCell ref="C92:H92"/>
    <mergeCell ref="I92:K92"/>
    <mergeCell ref="AA88:AD88"/>
    <mergeCell ref="AE88:AF88"/>
    <mergeCell ref="AH88:AI88"/>
    <mergeCell ref="AN88:AO88"/>
    <mergeCell ref="F90:I90"/>
    <mergeCell ref="J90:M90"/>
    <mergeCell ref="BC89:BF89"/>
    <mergeCell ref="BP91:BR91"/>
    <mergeCell ref="BS91:BT91"/>
    <mergeCell ref="AN90:AR90"/>
    <mergeCell ref="AS90:AT90"/>
    <mergeCell ref="BK90:BL90"/>
    <mergeCell ref="BM92:BO92"/>
    <mergeCell ref="BP92:BR92"/>
    <mergeCell ref="BS92:BT92"/>
    <mergeCell ref="BA91:BB91"/>
    <mergeCell ref="BC91:BF91"/>
    <mergeCell ref="BG91:BH91"/>
    <mergeCell ref="BI91:BJ91"/>
    <mergeCell ref="BK91:BL91"/>
    <mergeCell ref="BM91:BO91"/>
    <mergeCell ref="C91:I91"/>
    <mergeCell ref="J91:M91"/>
    <mergeCell ref="N91:Z91"/>
    <mergeCell ref="AA91:AF91"/>
    <mergeCell ref="AG91:AL91"/>
    <mergeCell ref="AN91:AR91"/>
    <mergeCell ref="L92:R92"/>
    <mergeCell ref="S92:V92"/>
    <mergeCell ref="W92:AC92"/>
    <mergeCell ref="AD92:AF92"/>
    <mergeCell ref="AG92:AK92"/>
    <mergeCell ref="N90:R90"/>
    <mergeCell ref="S90:V90"/>
    <mergeCell ref="W90:Z90"/>
    <mergeCell ref="AA90:AC90"/>
    <mergeCell ref="BM90:BO90"/>
    <mergeCell ref="BP90:BR90"/>
    <mergeCell ref="BS90:BT90"/>
    <mergeCell ref="BZ93:CC93"/>
    <mergeCell ref="C94:G94"/>
    <mergeCell ref="H94:P94"/>
    <mergeCell ref="R94:Z94"/>
    <mergeCell ref="AA94:AE94"/>
    <mergeCell ref="AF94:AI94"/>
    <mergeCell ref="BG93:BH93"/>
    <mergeCell ref="BI93:BJ93"/>
    <mergeCell ref="AS92:AT92"/>
    <mergeCell ref="AU92:AV92"/>
    <mergeCell ref="AW92:AX92"/>
    <mergeCell ref="AY92:AZ92"/>
    <mergeCell ref="BA92:BB92"/>
    <mergeCell ref="BC92:BD92"/>
    <mergeCell ref="BE92:BF92"/>
    <mergeCell ref="BG92:BH92"/>
    <mergeCell ref="AU93:AV93"/>
    <mergeCell ref="AW93:AX93"/>
    <mergeCell ref="AY93:AZ93"/>
    <mergeCell ref="BA93:BB93"/>
    <mergeCell ref="BC93:BD93"/>
    <mergeCell ref="BE93:BF93"/>
    <mergeCell ref="AA93:AC93"/>
    <mergeCell ref="AD93:AF93"/>
    <mergeCell ref="AG93:AK93"/>
    <mergeCell ref="AL93:AN93"/>
    <mergeCell ref="AP93:AR93"/>
    <mergeCell ref="AS93:AT93"/>
    <mergeCell ref="C93:E93"/>
    <mergeCell ref="F93:I93"/>
    <mergeCell ref="J93:M93"/>
    <mergeCell ref="N93:R93"/>
    <mergeCell ref="C95:G95"/>
    <mergeCell ref="H95:P95"/>
    <mergeCell ref="R95:Z95"/>
    <mergeCell ref="AA95:AE95"/>
    <mergeCell ref="AF95:AI95"/>
    <mergeCell ref="AK95:AN95"/>
    <mergeCell ref="AK94:AN94"/>
    <mergeCell ref="AO94:AS94"/>
    <mergeCell ref="AT94:AY94"/>
    <mergeCell ref="BA94:BF94"/>
    <mergeCell ref="BG94:BK94"/>
    <mergeCell ref="BL94:BO94"/>
    <mergeCell ref="BK93:BL93"/>
    <mergeCell ref="BM93:BO93"/>
    <mergeCell ref="BP93:BR93"/>
    <mergeCell ref="BS93:BT93"/>
    <mergeCell ref="S93:V93"/>
    <mergeCell ref="W93:Z93"/>
    <mergeCell ref="AO95:AS95"/>
    <mergeCell ref="AT95:AY95"/>
    <mergeCell ref="BA95:BF95"/>
    <mergeCell ref="BM97:BR97"/>
    <mergeCell ref="BS97:BT97"/>
    <mergeCell ref="S98:V98"/>
    <mergeCell ref="W98:Z98"/>
    <mergeCell ref="AA98:AC98"/>
    <mergeCell ref="AD98:AF98"/>
    <mergeCell ref="AG98:AM98"/>
    <mergeCell ref="AS97:BH97"/>
    <mergeCell ref="BI97:BL97"/>
    <mergeCell ref="BM99:BO99"/>
    <mergeCell ref="BP99:BR99"/>
    <mergeCell ref="BS99:BT99"/>
    <mergeCell ref="BQ94:BT94"/>
    <mergeCell ref="BG95:BK95"/>
    <mergeCell ref="BL95:BO95"/>
    <mergeCell ref="BQ95:BT95"/>
    <mergeCell ref="AQ97:AR97"/>
    <mergeCell ref="BM98:BO98"/>
    <mergeCell ref="BP98:BR98"/>
    <mergeCell ref="BS98:BT98"/>
    <mergeCell ref="AY99:AZ99"/>
    <mergeCell ref="BA99:BB99"/>
    <mergeCell ref="BC99:BD99"/>
    <mergeCell ref="F99:I99"/>
    <mergeCell ref="J99:M99"/>
    <mergeCell ref="N99:R99"/>
    <mergeCell ref="S99:V99"/>
    <mergeCell ref="W99:Z99"/>
    <mergeCell ref="AA99:AC99"/>
    <mergeCell ref="AD99:AF99"/>
    <mergeCell ref="AN98:AR98"/>
    <mergeCell ref="AS98:AX98"/>
    <mergeCell ref="AY98:BB98"/>
    <mergeCell ref="BC98:BF98"/>
    <mergeCell ref="BG98:BH98"/>
    <mergeCell ref="BI98:BL98"/>
    <mergeCell ref="BP102:BR102"/>
    <mergeCell ref="C100:I100"/>
    <mergeCell ref="J100:M100"/>
    <mergeCell ref="N100:Z100"/>
    <mergeCell ref="AA100:AF100"/>
    <mergeCell ref="AG100:AL100"/>
    <mergeCell ref="BE99:BF99"/>
    <mergeCell ref="BG99:BH99"/>
    <mergeCell ref="BI99:BJ99"/>
    <mergeCell ref="BK101:BL101"/>
    <mergeCell ref="C97:E99"/>
    <mergeCell ref="F97:I98"/>
    <mergeCell ref="J97:M98"/>
    <mergeCell ref="N97:R98"/>
    <mergeCell ref="S97:Z97"/>
    <mergeCell ref="AJ97:AM97"/>
    <mergeCell ref="AP101:AR101"/>
    <mergeCell ref="AU99:AV99"/>
    <mergeCell ref="AW99:AX99"/>
    <mergeCell ref="AN100:AR100"/>
    <mergeCell ref="AS100:AT100"/>
    <mergeCell ref="AU100:AV100"/>
    <mergeCell ref="AW100:AX100"/>
    <mergeCell ref="AG99:AM99"/>
    <mergeCell ref="BI101:BJ101"/>
    <mergeCell ref="AA97:AD97"/>
    <mergeCell ref="AE97:AF97"/>
    <mergeCell ref="AH97:AI97"/>
    <mergeCell ref="AN97:AO97"/>
    <mergeCell ref="BM101:BO101"/>
    <mergeCell ref="BP101:BR101"/>
    <mergeCell ref="BS101:BT101"/>
    <mergeCell ref="C102:E102"/>
    <mergeCell ref="F102:I102"/>
    <mergeCell ref="J102:M102"/>
    <mergeCell ref="N102:R102"/>
    <mergeCell ref="S102:V102"/>
    <mergeCell ref="W102:Z102"/>
    <mergeCell ref="AA102:AC102"/>
    <mergeCell ref="BM100:BO100"/>
    <mergeCell ref="BP100:BR100"/>
    <mergeCell ref="BS100:BT100"/>
    <mergeCell ref="AN99:AR99"/>
    <mergeCell ref="AS99:AT99"/>
    <mergeCell ref="BK99:BL99"/>
    <mergeCell ref="AY100:AZ100"/>
    <mergeCell ref="BA100:BB100"/>
    <mergeCell ref="BC100:BF100"/>
    <mergeCell ref="BG100:BH100"/>
    <mergeCell ref="BI100:BJ100"/>
    <mergeCell ref="BK100:BL100"/>
    <mergeCell ref="C101:H101"/>
    <mergeCell ref="I101:K101"/>
    <mergeCell ref="L101:R101"/>
    <mergeCell ref="S101:V101"/>
    <mergeCell ref="W101:AC101"/>
    <mergeCell ref="AD101:AF101"/>
    <mergeCell ref="AG101:AK101"/>
    <mergeCell ref="AL101:AN101"/>
    <mergeCell ref="BK102:BL102"/>
    <mergeCell ref="BM102:BO102"/>
    <mergeCell ref="AJ106:AM106"/>
    <mergeCell ref="AA106:AD106"/>
    <mergeCell ref="AE106:AF106"/>
    <mergeCell ref="AH106:AI106"/>
    <mergeCell ref="BS102:BT102"/>
    <mergeCell ref="BZ102:CC102"/>
    <mergeCell ref="C103:G103"/>
    <mergeCell ref="H103:P103"/>
    <mergeCell ref="R103:Z103"/>
    <mergeCell ref="AA103:AE103"/>
    <mergeCell ref="AF103:AI103"/>
    <mergeCell ref="BI102:BJ102"/>
    <mergeCell ref="AS101:AT101"/>
    <mergeCell ref="AU101:AV101"/>
    <mergeCell ref="AW101:AX101"/>
    <mergeCell ref="AY101:AZ101"/>
    <mergeCell ref="BA101:BB101"/>
    <mergeCell ref="BC101:BD101"/>
    <mergeCell ref="BE101:BF101"/>
    <mergeCell ref="BG101:BH101"/>
    <mergeCell ref="AW102:AX102"/>
    <mergeCell ref="AY102:AZ102"/>
    <mergeCell ref="BA102:BB102"/>
    <mergeCell ref="BC102:BD102"/>
    <mergeCell ref="BE102:BF102"/>
    <mergeCell ref="BG102:BH102"/>
    <mergeCell ref="AD102:AF102"/>
    <mergeCell ref="AG102:AK102"/>
    <mergeCell ref="AL102:AN102"/>
    <mergeCell ref="AP102:AR102"/>
    <mergeCell ref="AS102:AT102"/>
    <mergeCell ref="AU102:AV102"/>
    <mergeCell ref="BK110:BL110"/>
    <mergeCell ref="C106:E108"/>
    <mergeCell ref="F106:I107"/>
    <mergeCell ref="J106:M107"/>
    <mergeCell ref="N106:R107"/>
    <mergeCell ref="AO104:AS104"/>
    <mergeCell ref="AT104:AY104"/>
    <mergeCell ref="BA104:BF104"/>
    <mergeCell ref="AP110:AR110"/>
    <mergeCell ref="AU108:AV108"/>
    <mergeCell ref="AW108:AX108"/>
    <mergeCell ref="AY108:AZ108"/>
    <mergeCell ref="BA108:BB108"/>
    <mergeCell ref="BC108:BD108"/>
    <mergeCell ref="AN109:AR109"/>
    <mergeCell ref="AS109:AT109"/>
    <mergeCell ref="AU109:AV109"/>
    <mergeCell ref="AW109:AX109"/>
    <mergeCell ref="AG108:AM108"/>
    <mergeCell ref="BI110:BJ110"/>
    <mergeCell ref="C110:H110"/>
    <mergeCell ref="I110:K110"/>
    <mergeCell ref="BS106:BT106"/>
    <mergeCell ref="S107:V107"/>
    <mergeCell ref="W107:Z107"/>
    <mergeCell ref="AA107:AC107"/>
    <mergeCell ref="AD107:AF107"/>
    <mergeCell ref="AG107:AM107"/>
    <mergeCell ref="BQ103:BT103"/>
    <mergeCell ref="BG104:BK104"/>
    <mergeCell ref="BL104:BO104"/>
    <mergeCell ref="BQ104:BT104"/>
    <mergeCell ref="C104:G104"/>
    <mergeCell ref="H104:P104"/>
    <mergeCell ref="R104:Z104"/>
    <mergeCell ref="AA104:AE104"/>
    <mergeCell ref="AF104:AI104"/>
    <mergeCell ref="AK104:AN104"/>
    <mergeCell ref="AK103:AN103"/>
    <mergeCell ref="AO103:AS103"/>
    <mergeCell ref="AT103:AY103"/>
    <mergeCell ref="BA103:BF103"/>
    <mergeCell ref="BG103:BK103"/>
    <mergeCell ref="BL103:BO103"/>
    <mergeCell ref="S106:Z106"/>
    <mergeCell ref="L110:R110"/>
    <mergeCell ref="S110:V110"/>
    <mergeCell ref="W110:AC110"/>
    <mergeCell ref="AD110:AF110"/>
    <mergeCell ref="AG110:AK110"/>
    <mergeCell ref="AL110:AN110"/>
    <mergeCell ref="F108:I108"/>
    <mergeCell ref="J108:M108"/>
    <mergeCell ref="N108:R108"/>
    <mergeCell ref="S108:V108"/>
    <mergeCell ref="W108:Z108"/>
    <mergeCell ref="AA108:AC108"/>
    <mergeCell ref="AD108:AF108"/>
    <mergeCell ref="C109:I109"/>
    <mergeCell ref="J109:M109"/>
    <mergeCell ref="N109:Z109"/>
    <mergeCell ref="AA109:AF109"/>
    <mergeCell ref="AG109:AL109"/>
    <mergeCell ref="BM109:BO109"/>
    <mergeCell ref="BP109:BR109"/>
    <mergeCell ref="BS109:BT109"/>
    <mergeCell ref="AN108:AR108"/>
    <mergeCell ref="AS108:AT108"/>
    <mergeCell ref="BK108:BL108"/>
    <mergeCell ref="AY109:AZ109"/>
    <mergeCell ref="BA109:BB109"/>
    <mergeCell ref="BC109:BF109"/>
    <mergeCell ref="BG109:BH109"/>
    <mergeCell ref="BI109:BJ109"/>
    <mergeCell ref="BK109:BL109"/>
    <mergeCell ref="AS106:BH106"/>
    <mergeCell ref="BI106:BL106"/>
    <mergeCell ref="BM108:BO108"/>
    <mergeCell ref="BP108:BR108"/>
    <mergeCell ref="BS108:BT108"/>
    <mergeCell ref="AN106:AO106"/>
    <mergeCell ref="AQ106:AR106"/>
    <mergeCell ref="BM107:BO107"/>
    <mergeCell ref="BP107:BR107"/>
    <mergeCell ref="BS107:BT107"/>
    <mergeCell ref="AN107:AR107"/>
    <mergeCell ref="AS107:AX107"/>
    <mergeCell ref="AY107:BB107"/>
    <mergeCell ref="BC107:BF107"/>
    <mergeCell ref="BG107:BH107"/>
    <mergeCell ref="BI107:BL107"/>
    <mergeCell ref="BE108:BF108"/>
    <mergeCell ref="BG108:BH108"/>
    <mergeCell ref="BI108:BJ108"/>
    <mergeCell ref="BM106:BR106"/>
    <mergeCell ref="BZ111:CC111"/>
    <mergeCell ref="C112:G112"/>
    <mergeCell ref="H112:P112"/>
    <mergeCell ref="R112:Z112"/>
    <mergeCell ref="AA112:AE112"/>
    <mergeCell ref="AF112:AI112"/>
    <mergeCell ref="BI111:BJ111"/>
    <mergeCell ref="AS110:AT110"/>
    <mergeCell ref="AU110:AV110"/>
    <mergeCell ref="AW110:AX110"/>
    <mergeCell ref="AY110:AZ110"/>
    <mergeCell ref="BA110:BB110"/>
    <mergeCell ref="BC110:BD110"/>
    <mergeCell ref="BE110:BF110"/>
    <mergeCell ref="BG110:BH110"/>
    <mergeCell ref="AW111:AX111"/>
    <mergeCell ref="AY111:AZ111"/>
    <mergeCell ref="BA111:BB111"/>
    <mergeCell ref="BC111:BD111"/>
    <mergeCell ref="BE111:BF111"/>
    <mergeCell ref="BG111:BH111"/>
    <mergeCell ref="AD111:AF111"/>
    <mergeCell ref="AG111:AK111"/>
    <mergeCell ref="AL111:AN111"/>
    <mergeCell ref="AP111:AR111"/>
    <mergeCell ref="AS111:AT111"/>
    <mergeCell ref="AU111:AV111"/>
    <mergeCell ref="BM110:BO110"/>
    <mergeCell ref="BP110:BR110"/>
    <mergeCell ref="BS110:BT110"/>
    <mergeCell ref="C111:E111"/>
    <mergeCell ref="F111:I111"/>
    <mergeCell ref="BQ112:BT112"/>
    <mergeCell ref="BG113:BK113"/>
    <mergeCell ref="BL113:BO113"/>
    <mergeCell ref="BQ113:BT113"/>
    <mergeCell ref="C113:G113"/>
    <mergeCell ref="H113:P113"/>
    <mergeCell ref="R113:Z113"/>
    <mergeCell ref="AA113:AE113"/>
    <mergeCell ref="AF113:AI113"/>
    <mergeCell ref="AK113:AN113"/>
    <mergeCell ref="AK112:AN112"/>
    <mergeCell ref="AO112:AS112"/>
    <mergeCell ref="AT112:AY112"/>
    <mergeCell ref="BA112:BF112"/>
    <mergeCell ref="BG112:BK112"/>
    <mergeCell ref="BL112:BO112"/>
    <mergeCell ref="BK111:BL111"/>
    <mergeCell ref="BM111:BO111"/>
    <mergeCell ref="BP111:BR111"/>
    <mergeCell ref="BS111:BT111"/>
    <mergeCell ref="J111:M111"/>
    <mergeCell ref="N111:R111"/>
    <mergeCell ref="S111:V111"/>
    <mergeCell ref="W111:Z111"/>
    <mergeCell ref="AA111:AC111"/>
    <mergeCell ref="F117:I117"/>
    <mergeCell ref="J117:M117"/>
    <mergeCell ref="N117:R117"/>
    <mergeCell ref="S117:V117"/>
    <mergeCell ref="W117:Z117"/>
    <mergeCell ref="AA117:AC117"/>
    <mergeCell ref="AD117:AF117"/>
    <mergeCell ref="AN116:AR116"/>
    <mergeCell ref="AS116:AX116"/>
    <mergeCell ref="AY116:BB116"/>
    <mergeCell ref="BC116:BF116"/>
    <mergeCell ref="BG116:BH116"/>
    <mergeCell ref="BI116:BL116"/>
    <mergeCell ref="AO113:AS113"/>
    <mergeCell ref="AT113:AY113"/>
    <mergeCell ref="BA113:BF113"/>
    <mergeCell ref="BM115:BR115"/>
    <mergeCell ref="S116:V116"/>
    <mergeCell ref="W116:Z116"/>
    <mergeCell ref="AA116:AC116"/>
    <mergeCell ref="AD116:AF116"/>
    <mergeCell ref="AG116:AM116"/>
    <mergeCell ref="AA115:AD115"/>
    <mergeCell ref="AE115:AF115"/>
    <mergeCell ref="AH115:AI115"/>
    <mergeCell ref="C118:I118"/>
    <mergeCell ref="J118:M118"/>
    <mergeCell ref="N118:Z118"/>
    <mergeCell ref="AA118:AF118"/>
    <mergeCell ref="AG118:AL118"/>
    <mergeCell ref="BE117:BF117"/>
    <mergeCell ref="BG117:BH117"/>
    <mergeCell ref="BI117:BJ117"/>
    <mergeCell ref="BK119:BL119"/>
    <mergeCell ref="C115:E117"/>
    <mergeCell ref="F115:I116"/>
    <mergeCell ref="J115:M116"/>
    <mergeCell ref="N115:R116"/>
    <mergeCell ref="S115:Z115"/>
    <mergeCell ref="AJ115:AM115"/>
    <mergeCell ref="AP119:AR119"/>
    <mergeCell ref="AU117:AV117"/>
    <mergeCell ref="AW117:AX117"/>
    <mergeCell ref="AY117:AZ117"/>
    <mergeCell ref="BA117:BB117"/>
    <mergeCell ref="BC117:BD117"/>
    <mergeCell ref="AN118:AR118"/>
    <mergeCell ref="AS118:AT118"/>
    <mergeCell ref="AU118:AV118"/>
    <mergeCell ref="AW118:AX118"/>
    <mergeCell ref="AG117:AM117"/>
    <mergeCell ref="BI119:BJ119"/>
    <mergeCell ref="C119:H119"/>
    <mergeCell ref="I119:K119"/>
    <mergeCell ref="L119:R119"/>
    <mergeCell ref="S119:V119"/>
    <mergeCell ref="W119:AC119"/>
    <mergeCell ref="BM118:BO118"/>
    <mergeCell ref="BP118:BR118"/>
    <mergeCell ref="BS118:BT118"/>
    <mergeCell ref="AN117:AR117"/>
    <mergeCell ref="AS117:AT117"/>
    <mergeCell ref="BK117:BL117"/>
    <mergeCell ref="AY118:AZ118"/>
    <mergeCell ref="BA118:BB118"/>
    <mergeCell ref="BC118:BF118"/>
    <mergeCell ref="BG118:BH118"/>
    <mergeCell ref="BI118:BJ118"/>
    <mergeCell ref="BK118:BL118"/>
    <mergeCell ref="AS115:BH115"/>
    <mergeCell ref="BI115:BL115"/>
    <mergeCell ref="BM117:BO117"/>
    <mergeCell ref="BP117:BR117"/>
    <mergeCell ref="BS117:BT117"/>
    <mergeCell ref="BM116:BO116"/>
    <mergeCell ref="BP116:BR116"/>
    <mergeCell ref="BS116:BT116"/>
    <mergeCell ref="BS115:BT115"/>
    <mergeCell ref="AN115:AO115"/>
    <mergeCell ref="AQ115:AR115"/>
    <mergeCell ref="BZ120:CC120"/>
    <mergeCell ref="C121:G121"/>
    <mergeCell ref="H121:P121"/>
    <mergeCell ref="R121:Z121"/>
    <mergeCell ref="AA121:AE121"/>
    <mergeCell ref="AF121:AI121"/>
    <mergeCell ref="BI120:BJ120"/>
    <mergeCell ref="AS119:AT119"/>
    <mergeCell ref="AU119:AV119"/>
    <mergeCell ref="AW119:AX119"/>
    <mergeCell ref="AY119:AZ119"/>
    <mergeCell ref="BA119:BB119"/>
    <mergeCell ref="BC119:BD119"/>
    <mergeCell ref="BE119:BF119"/>
    <mergeCell ref="BG119:BH119"/>
    <mergeCell ref="AW120:AX120"/>
    <mergeCell ref="AY120:AZ120"/>
    <mergeCell ref="BA120:BB120"/>
    <mergeCell ref="BC120:BD120"/>
    <mergeCell ref="BE120:BF120"/>
    <mergeCell ref="BG120:BH120"/>
    <mergeCell ref="AD120:AF120"/>
    <mergeCell ref="AG120:AK120"/>
    <mergeCell ref="AL120:AN120"/>
    <mergeCell ref="AP120:AR120"/>
    <mergeCell ref="AS120:AT120"/>
    <mergeCell ref="AU120:AV120"/>
    <mergeCell ref="BM119:BO119"/>
    <mergeCell ref="BP119:BR119"/>
    <mergeCell ref="BS119:BT119"/>
    <mergeCell ref="C120:E120"/>
    <mergeCell ref="F120:I120"/>
    <mergeCell ref="BQ121:BT121"/>
    <mergeCell ref="BG122:BK122"/>
    <mergeCell ref="BL122:BO122"/>
    <mergeCell ref="BQ122:BT122"/>
    <mergeCell ref="C122:G122"/>
    <mergeCell ref="H122:P122"/>
    <mergeCell ref="R122:Z122"/>
    <mergeCell ref="AA122:AE122"/>
    <mergeCell ref="AF122:AI122"/>
    <mergeCell ref="AK122:AN122"/>
    <mergeCell ref="AK121:AN121"/>
    <mergeCell ref="AO121:AS121"/>
    <mergeCell ref="AT121:AY121"/>
    <mergeCell ref="BA121:BF121"/>
    <mergeCell ref="BG121:BK121"/>
    <mergeCell ref="BL121:BO121"/>
    <mergeCell ref="BK120:BL120"/>
    <mergeCell ref="BM120:BO120"/>
    <mergeCell ref="BP120:BR120"/>
    <mergeCell ref="BS120:BT120"/>
    <mergeCell ref="J120:M120"/>
    <mergeCell ref="N120:R120"/>
    <mergeCell ref="S120:V120"/>
    <mergeCell ref="W120:Z120"/>
    <mergeCell ref="AA120:AC120"/>
    <mergeCell ref="F126:I126"/>
    <mergeCell ref="J126:M126"/>
    <mergeCell ref="N126:R126"/>
    <mergeCell ref="S126:V126"/>
    <mergeCell ref="W126:Z126"/>
    <mergeCell ref="AA126:AC126"/>
    <mergeCell ref="AD126:AF126"/>
    <mergeCell ref="AN125:AR125"/>
    <mergeCell ref="AS125:AX125"/>
    <mergeCell ref="AY125:BB125"/>
    <mergeCell ref="BC125:BF125"/>
    <mergeCell ref="BG125:BH125"/>
    <mergeCell ref="BI125:BL125"/>
    <mergeCell ref="AO122:AS122"/>
    <mergeCell ref="AT122:AY122"/>
    <mergeCell ref="BA122:BF122"/>
    <mergeCell ref="BM124:BR124"/>
    <mergeCell ref="S125:V125"/>
    <mergeCell ref="W125:Z125"/>
    <mergeCell ref="AA125:AC125"/>
    <mergeCell ref="AD125:AF125"/>
    <mergeCell ref="AG125:AM125"/>
    <mergeCell ref="AA124:AD124"/>
    <mergeCell ref="AE124:AF124"/>
    <mergeCell ref="AH124:AI124"/>
    <mergeCell ref="C127:I127"/>
    <mergeCell ref="J127:M127"/>
    <mergeCell ref="N127:Z127"/>
    <mergeCell ref="AA127:AF127"/>
    <mergeCell ref="AG127:AL127"/>
    <mergeCell ref="BE126:BF126"/>
    <mergeCell ref="BG126:BH126"/>
    <mergeCell ref="BI126:BJ126"/>
    <mergeCell ref="BK128:BL128"/>
    <mergeCell ref="C124:E126"/>
    <mergeCell ref="F124:I125"/>
    <mergeCell ref="J124:M125"/>
    <mergeCell ref="N124:R125"/>
    <mergeCell ref="S124:Z124"/>
    <mergeCell ref="AJ124:AM124"/>
    <mergeCell ref="AP128:AR128"/>
    <mergeCell ref="AU126:AV126"/>
    <mergeCell ref="AW126:AX126"/>
    <mergeCell ref="AY126:AZ126"/>
    <mergeCell ref="BA126:BB126"/>
    <mergeCell ref="BC126:BD126"/>
    <mergeCell ref="AN127:AR127"/>
    <mergeCell ref="AS127:AT127"/>
    <mergeCell ref="AU127:AV127"/>
    <mergeCell ref="AW127:AX127"/>
    <mergeCell ref="AG126:AM126"/>
    <mergeCell ref="BI128:BJ128"/>
    <mergeCell ref="C128:H128"/>
    <mergeCell ref="I128:K128"/>
    <mergeCell ref="L128:R128"/>
    <mergeCell ref="S128:V128"/>
    <mergeCell ref="W128:AC128"/>
    <mergeCell ref="BM127:BO127"/>
    <mergeCell ref="BP127:BR127"/>
    <mergeCell ref="BS127:BT127"/>
    <mergeCell ref="AN126:AR126"/>
    <mergeCell ref="AS126:AT126"/>
    <mergeCell ref="BK126:BL126"/>
    <mergeCell ref="AY127:AZ127"/>
    <mergeCell ref="BA127:BB127"/>
    <mergeCell ref="BC127:BF127"/>
    <mergeCell ref="BG127:BH127"/>
    <mergeCell ref="BI127:BJ127"/>
    <mergeCell ref="BK127:BL127"/>
    <mergeCell ref="AS124:BH124"/>
    <mergeCell ref="BI124:BL124"/>
    <mergeCell ref="BM126:BO126"/>
    <mergeCell ref="BP126:BR126"/>
    <mergeCell ref="BS126:BT126"/>
    <mergeCell ref="BM125:BO125"/>
    <mergeCell ref="BP125:BR125"/>
    <mergeCell ref="BS125:BT125"/>
    <mergeCell ref="BS124:BT124"/>
    <mergeCell ref="AN124:AO124"/>
    <mergeCell ref="AQ124:AR124"/>
    <mergeCell ref="BZ129:CC129"/>
    <mergeCell ref="C130:G130"/>
    <mergeCell ref="H130:P130"/>
    <mergeCell ref="R130:Z130"/>
    <mergeCell ref="AA130:AE130"/>
    <mergeCell ref="AF130:AI130"/>
    <mergeCell ref="BI129:BJ129"/>
    <mergeCell ref="AS128:AT128"/>
    <mergeCell ref="AU128:AV128"/>
    <mergeCell ref="AW128:AX128"/>
    <mergeCell ref="AY128:AZ128"/>
    <mergeCell ref="BA128:BB128"/>
    <mergeCell ref="BC128:BD128"/>
    <mergeCell ref="BE128:BF128"/>
    <mergeCell ref="BG128:BH128"/>
    <mergeCell ref="AW129:AX129"/>
    <mergeCell ref="AY129:AZ129"/>
    <mergeCell ref="BA129:BB129"/>
    <mergeCell ref="BC129:BD129"/>
    <mergeCell ref="BE129:BF129"/>
    <mergeCell ref="BG129:BH129"/>
    <mergeCell ref="AD129:AF129"/>
    <mergeCell ref="AG129:AK129"/>
    <mergeCell ref="AL129:AN129"/>
    <mergeCell ref="AP129:AR129"/>
    <mergeCell ref="AS129:AT129"/>
    <mergeCell ref="AU129:AV129"/>
    <mergeCell ref="BM128:BO128"/>
    <mergeCell ref="BP128:BR128"/>
    <mergeCell ref="BS128:BT128"/>
    <mergeCell ref="C129:E129"/>
    <mergeCell ref="F129:I129"/>
    <mergeCell ref="BQ130:BT130"/>
    <mergeCell ref="BG131:BK131"/>
    <mergeCell ref="BL131:BO131"/>
    <mergeCell ref="BQ131:BT131"/>
    <mergeCell ref="C131:G131"/>
    <mergeCell ref="H131:P131"/>
    <mergeCell ref="R131:Z131"/>
    <mergeCell ref="AA131:AE131"/>
    <mergeCell ref="AF131:AI131"/>
    <mergeCell ref="AK131:AN131"/>
    <mergeCell ref="AK130:AN130"/>
    <mergeCell ref="AO130:AS130"/>
    <mergeCell ref="AT130:AY130"/>
    <mergeCell ref="BA130:BF130"/>
    <mergeCell ref="BG130:BK130"/>
    <mergeCell ref="BL130:BO130"/>
    <mergeCell ref="BK129:BL129"/>
    <mergeCell ref="BM129:BO129"/>
    <mergeCell ref="BP129:BR129"/>
    <mergeCell ref="BS129:BT129"/>
    <mergeCell ref="J129:M129"/>
    <mergeCell ref="N129:R129"/>
    <mergeCell ref="S129:V129"/>
    <mergeCell ref="W129:Z129"/>
    <mergeCell ref="AA129:AC129"/>
    <mergeCell ref="BM134:BO134"/>
    <mergeCell ref="BP134:BR134"/>
    <mergeCell ref="BS134:BT134"/>
    <mergeCell ref="AA133:AD133"/>
    <mergeCell ref="AE133:AF133"/>
    <mergeCell ref="AH133:AI133"/>
    <mergeCell ref="AN133:AO133"/>
    <mergeCell ref="AJ133:AM133"/>
    <mergeCell ref="AS133:BH133"/>
    <mergeCell ref="BI133:BL133"/>
    <mergeCell ref="AN134:AR134"/>
    <mergeCell ref="AS134:AX134"/>
    <mergeCell ref="AY134:BB134"/>
    <mergeCell ref="BC134:BF134"/>
    <mergeCell ref="BG134:BH134"/>
    <mergeCell ref="BI134:BL134"/>
    <mergeCell ref="AO131:AS131"/>
    <mergeCell ref="AT131:AY131"/>
    <mergeCell ref="BA131:BF131"/>
    <mergeCell ref="BM133:BR133"/>
    <mergeCell ref="BS133:BT133"/>
    <mergeCell ref="AA134:AC134"/>
    <mergeCell ref="AD134:AF134"/>
    <mergeCell ref="AG134:AM134"/>
    <mergeCell ref="S133:Z133"/>
    <mergeCell ref="AL137:AN137"/>
    <mergeCell ref="AP137:AR137"/>
    <mergeCell ref="AU135:AV135"/>
    <mergeCell ref="AW135:AX135"/>
    <mergeCell ref="AY135:AZ135"/>
    <mergeCell ref="BA135:BB135"/>
    <mergeCell ref="AU136:AV136"/>
    <mergeCell ref="AW136:AX136"/>
    <mergeCell ref="AY136:AZ136"/>
    <mergeCell ref="BA136:BB136"/>
    <mergeCell ref="AD135:AF135"/>
    <mergeCell ref="AG135:AM135"/>
    <mergeCell ref="BI137:BJ137"/>
    <mergeCell ref="C137:H137"/>
    <mergeCell ref="I137:K137"/>
    <mergeCell ref="L137:R137"/>
    <mergeCell ref="S137:V137"/>
    <mergeCell ref="W137:AC137"/>
    <mergeCell ref="AD137:AF137"/>
    <mergeCell ref="AG137:AK137"/>
    <mergeCell ref="F135:I135"/>
    <mergeCell ref="J135:M135"/>
    <mergeCell ref="N135:R135"/>
    <mergeCell ref="S135:V135"/>
    <mergeCell ref="W135:Z135"/>
    <mergeCell ref="AA135:AC135"/>
    <mergeCell ref="S134:V134"/>
    <mergeCell ref="W134:Z134"/>
    <mergeCell ref="AQ133:AR133"/>
    <mergeCell ref="BS136:BT136"/>
    <mergeCell ref="AN135:AR135"/>
    <mergeCell ref="AS135:AT135"/>
    <mergeCell ref="BK135:BL135"/>
    <mergeCell ref="BM137:BO137"/>
    <mergeCell ref="BP137:BR137"/>
    <mergeCell ref="BS137:BT137"/>
    <mergeCell ref="BC136:BF136"/>
    <mergeCell ref="BG136:BH136"/>
    <mergeCell ref="BI136:BJ136"/>
    <mergeCell ref="BK136:BL136"/>
    <mergeCell ref="BM136:BO136"/>
    <mergeCell ref="BP136:BR136"/>
    <mergeCell ref="BM135:BO135"/>
    <mergeCell ref="BP135:BR135"/>
    <mergeCell ref="BS135:BT135"/>
    <mergeCell ref="C136:I136"/>
    <mergeCell ref="J136:M136"/>
    <mergeCell ref="N136:Z136"/>
    <mergeCell ref="AA136:AF136"/>
    <mergeCell ref="AG136:AL136"/>
    <mergeCell ref="AN136:AR136"/>
    <mergeCell ref="AS136:AT136"/>
    <mergeCell ref="BC135:BD135"/>
    <mergeCell ref="BE135:BF135"/>
    <mergeCell ref="BG135:BH135"/>
    <mergeCell ref="BI135:BJ135"/>
    <mergeCell ref="BK137:BL137"/>
    <mergeCell ref="C133:E135"/>
    <mergeCell ref="F133:I134"/>
    <mergeCell ref="J133:M134"/>
    <mergeCell ref="N133:R134"/>
    <mergeCell ref="BZ138:CC138"/>
    <mergeCell ref="C139:G139"/>
    <mergeCell ref="H139:P139"/>
    <mergeCell ref="R139:Z139"/>
    <mergeCell ref="AA139:AE139"/>
    <mergeCell ref="AF139:AI139"/>
    <mergeCell ref="BG138:BH138"/>
    <mergeCell ref="BI138:BJ138"/>
    <mergeCell ref="AS137:AT137"/>
    <mergeCell ref="AU137:AV137"/>
    <mergeCell ref="AW137:AX137"/>
    <mergeCell ref="AY137:AZ137"/>
    <mergeCell ref="BA137:BB137"/>
    <mergeCell ref="BC137:BD137"/>
    <mergeCell ref="BE137:BF137"/>
    <mergeCell ref="BG137:BH137"/>
    <mergeCell ref="AU138:AV138"/>
    <mergeCell ref="AW138:AX138"/>
    <mergeCell ref="AY138:AZ138"/>
    <mergeCell ref="BA138:BB138"/>
    <mergeCell ref="BC138:BD138"/>
    <mergeCell ref="BE138:BF138"/>
    <mergeCell ref="AA138:AC138"/>
    <mergeCell ref="AD138:AF138"/>
    <mergeCell ref="AG138:AK138"/>
    <mergeCell ref="AL138:AN138"/>
    <mergeCell ref="AP138:AR138"/>
    <mergeCell ref="AS138:AT138"/>
    <mergeCell ref="C138:E138"/>
    <mergeCell ref="F138:I138"/>
    <mergeCell ref="J138:M138"/>
    <mergeCell ref="N138:R138"/>
    <mergeCell ref="BQ139:BT139"/>
    <mergeCell ref="BG140:BK140"/>
    <mergeCell ref="BL140:BO140"/>
    <mergeCell ref="BQ140:BT140"/>
    <mergeCell ref="C140:G140"/>
    <mergeCell ref="H140:P140"/>
    <mergeCell ref="R140:Z140"/>
    <mergeCell ref="AA140:AE140"/>
    <mergeCell ref="AF140:AI140"/>
    <mergeCell ref="AK140:AN140"/>
    <mergeCell ref="AK139:AN139"/>
    <mergeCell ref="AO139:AS139"/>
    <mergeCell ref="AT139:AY139"/>
    <mergeCell ref="BA139:BF139"/>
    <mergeCell ref="BG139:BK139"/>
    <mergeCell ref="BL139:BO139"/>
    <mergeCell ref="BK138:BL138"/>
    <mergeCell ref="BM138:BO138"/>
    <mergeCell ref="BP138:BR138"/>
    <mergeCell ref="BS138:BT138"/>
    <mergeCell ref="S138:V138"/>
    <mergeCell ref="W138:Z138"/>
    <mergeCell ref="BM143:BO143"/>
    <mergeCell ref="BP143:BR143"/>
    <mergeCell ref="BS143:BT143"/>
    <mergeCell ref="F144:I144"/>
    <mergeCell ref="J144:M144"/>
    <mergeCell ref="N144:R144"/>
    <mergeCell ref="S144:V144"/>
    <mergeCell ref="W144:Z144"/>
    <mergeCell ref="AA144:AC144"/>
    <mergeCell ref="AD144:AF144"/>
    <mergeCell ref="AN143:AR143"/>
    <mergeCell ref="AS143:AX143"/>
    <mergeCell ref="AY143:BB143"/>
    <mergeCell ref="BC143:BF143"/>
    <mergeCell ref="BG143:BH143"/>
    <mergeCell ref="BI143:BL143"/>
    <mergeCell ref="AO140:AS140"/>
    <mergeCell ref="AT140:AY140"/>
    <mergeCell ref="BA140:BF140"/>
    <mergeCell ref="BM142:BR142"/>
    <mergeCell ref="BS142:BT142"/>
    <mergeCell ref="S143:V143"/>
    <mergeCell ref="W143:Z143"/>
    <mergeCell ref="AA143:AC143"/>
    <mergeCell ref="AD143:AF143"/>
    <mergeCell ref="AG143:AM143"/>
    <mergeCell ref="AS142:BH142"/>
    <mergeCell ref="BI142:BL142"/>
    <mergeCell ref="BM144:BO144"/>
    <mergeCell ref="BP144:BR144"/>
    <mergeCell ref="BS144:BT144"/>
    <mergeCell ref="AA145:AF145"/>
    <mergeCell ref="AG145:AL145"/>
    <mergeCell ref="BE144:BF144"/>
    <mergeCell ref="BG144:BH144"/>
    <mergeCell ref="BI144:BJ144"/>
    <mergeCell ref="BK146:BL146"/>
    <mergeCell ref="C142:E144"/>
    <mergeCell ref="F142:I143"/>
    <mergeCell ref="J142:M143"/>
    <mergeCell ref="N142:R143"/>
    <mergeCell ref="S142:Z142"/>
    <mergeCell ref="AJ142:AM142"/>
    <mergeCell ref="AP146:AR146"/>
    <mergeCell ref="AU144:AV144"/>
    <mergeCell ref="AW144:AX144"/>
    <mergeCell ref="AY144:AZ144"/>
    <mergeCell ref="BA144:BB144"/>
    <mergeCell ref="BC144:BD144"/>
    <mergeCell ref="AN145:AR145"/>
    <mergeCell ref="AS145:AT145"/>
    <mergeCell ref="AU145:AV145"/>
    <mergeCell ref="AW145:AX145"/>
    <mergeCell ref="AG144:AM144"/>
    <mergeCell ref="BI146:BJ146"/>
    <mergeCell ref="AA142:AD142"/>
    <mergeCell ref="AE142:AF142"/>
    <mergeCell ref="AH142:AI142"/>
    <mergeCell ref="AN142:AO142"/>
    <mergeCell ref="AQ142:AR142"/>
    <mergeCell ref="F147:I147"/>
    <mergeCell ref="J147:M147"/>
    <mergeCell ref="N147:R147"/>
    <mergeCell ref="S147:V147"/>
    <mergeCell ref="W147:Z147"/>
    <mergeCell ref="AA147:AC147"/>
    <mergeCell ref="BM145:BO145"/>
    <mergeCell ref="BP145:BR145"/>
    <mergeCell ref="BS145:BT145"/>
    <mergeCell ref="AN144:AR144"/>
    <mergeCell ref="AS144:AT144"/>
    <mergeCell ref="BK144:BL144"/>
    <mergeCell ref="AY145:AZ145"/>
    <mergeCell ref="BA145:BB145"/>
    <mergeCell ref="BC145:BF145"/>
    <mergeCell ref="BG145:BH145"/>
    <mergeCell ref="BI145:BJ145"/>
    <mergeCell ref="BK145:BL145"/>
    <mergeCell ref="C146:H146"/>
    <mergeCell ref="I146:K146"/>
    <mergeCell ref="L146:R146"/>
    <mergeCell ref="S146:V146"/>
    <mergeCell ref="W146:AC146"/>
    <mergeCell ref="AD146:AF146"/>
    <mergeCell ref="AG146:AK146"/>
    <mergeCell ref="AL146:AN146"/>
    <mergeCell ref="BK147:BL147"/>
    <mergeCell ref="BM147:BO147"/>
    <mergeCell ref="BP147:BR147"/>
    <mergeCell ref="C145:I145"/>
    <mergeCell ref="J145:M145"/>
    <mergeCell ref="N145:Z145"/>
    <mergeCell ref="BS147:BT147"/>
    <mergeCell ref="BZ147:CC147"/>
    <mergeCell ref="C148:G148"/>
    <mergeCell ref="H148:P148"/>
    <mergeCell ref="R148:Z148"/>
    <mergeCell ref="AA148:AE148"/>
    <mergeCell ref="AF148:AI148"/>
    <mergeCell ref="BI147:BJ147"/>
    <mergeCell ref="AS146:AT146"/>
    <mergeCell ref="AU146:AV146"/>
    <mergeCell ref="AW146:AX146"/>
    <mergeCell ref="AY146:AZ146"/>
    <mergeCell ref="BA146:BB146"/>
    <mergeCell ref="BC146:BD146"/>
    <mergeCell ref="BE146:BF146"/>
    <mergeCell ref="BG146:BH146"/>
    <mergeCell ref="AW147:AX147"/>
    <mergeCell ref="AY147:AZ147"/>
    <mergeCell ref="BA147:BB147"/>
    <mergeCell ref="BC147:BD147"/>
    <mergeCell ref="BE147:BF147"/>
    <mergeCell ref="BG147:BH147"/>
    <mergeCell ref="AD147:AF147"/>
    <mergeCell ref="AG147:AK147"/>
    <mergeCell ref="AL147:AN147"/>
    <mergeCell ref="AP147:AR147"/>
    <mergeCell ref="AS147:AT147"/>
    <mergeCell ref="AU147:AV147"/>
    <mergeCell ref="BM146:BO146"/>
    <mergeCell ref="BP146:BR146"/>
    <mergeCell ref="BS146:BT146"/>
    <mergeCell ref="C147:E147"/>
    <mergeCell ref="BM154:BR154"/>
    <mergeCell ref="BS154:BT154"/>
    <mergeCell ref="S155:V155"/>
    <mergeCell ref="W155:Z155"/>
    <mergeCell ref="AA155:AC155"/>
    <mergeCell ref="AD155:AF155"/>
    <mergeCell ref="AG155:AM155"/>
    <mergeCell ref="BQ148:BT148"/>
    <mergeCell ref="BG149:BK149"/>
    <mergeCell ref="BL149:BO149"/>
    <mergeCell ref="BQ149:BT149"/>
    <mergeCell ref="C149:G149"/>
    <mergeCell ref="H149:P149"/>
    <mergeCell ref="R149:Z149"/>
    <mergeCell ref="AA149:AE149"/>
    <mergeCell ref="AF149:AI149"/>
    <mergeCell ref="AK149:AN149"/>
    <mergeCell ref="AK148:AN148"/>
    <mergeCell ref="AO148:AS148"/>
    <mergeCell ref="AT148:AY148"/>
    <mergeCell ref="BA148:BF148"/>
    <mergeCell ref="BG148:BK148"/>
    <mergeCell ref="BL148:BO148"/>
    <mergeCell ref="BM155:BO155"/>
    <mergeCell ref="BP155:BR155"/>
    <mergeCell ref="BS155:BT155"/>
    <mergeCell ref="AA154:AD154"/>
    <mergeCell ref="AE154:AF154"/>
    <mergeCell ref="AN154:AO154"/>
    <mergeCell ref="BC156:BD156"/>
    <mergeCell ref="BE156:BF156"/>
    <mergeCell ref="BG156:BH156"/>
    <mergeCell ref="BI156:BJ156"/>
    <mergeCell ref="C154:E156"/>
    <mergeCell ref="F154:I155"/>
    <mergeCell ref="J154:M155"/>
    <mergeCell ref="N154:R155"/>
    <mergeCell ref="S154:Z154"/>
    <mergeCell ref="AG158:AK158"/>
    <mergeCell ref="C158:H158"/>
    <mergeCell ref="AO149:AS149"/>
    <mergeCell ref="AT149:AY149"/>
    <mergeCell ref="BA149:BF149"/>
    <mergeCell ref="L158:R158"/>
    <mergeCell ref="S158:V158"/>
    <mergeCell ref="W158:AC158"/>
    <mergeCell ref="AD158:AF158"/>
    <mergeCell ref="AH154:AI154"/>
    <mergeCell ref="C159:E159"/>
    <mergeCell ref="F159:I159"/>
    <mergeCell ref="J159:M159"/>
    <mergeCell ref="N159:R159"/>
    <mergeCell ref="S159:V159"/>
    <mergeCell ref="W159:Z159"/>
    <mergeCell ref="AA159:AC159"/>
    <mergeCell ref="AD156:AF156"/>
    <mergeCell ref="AG156:AM156"/>
    <mergeCell ref="AJ154:AM154"/>
    <mergeCell ref="BZ159:CC159"/>
    <mergeCell ref="AS154:BH154"/>
    <mergeCell ref="BI154:BL154"/>
    <mergeCell ref="AN155:AR155"/>
    <mergeCell ref="AS155:AX155"/>
    <mergeCell ref="AY155:BB155"/>
    <mergeCell ref="BC155:BF155"/>
    <mergeCell ref="BG155:BH155"/>
    <mergeCell ref="BI155:BL155"/>
    <mergeCell ref="BA157:BB157"/>
    <mergeCell ref="BC157:BF157"/>
    <mergeCell ref="BG157:BH157"/>
    <mergeCell ref="BI157:BJ157"/>
    <mergeCell ref="BK157:BL157"/>
    <mergeCell ref="AQ154:AR154"/>
    <mergeCell ref="BK158:BL158"/>
    <mergeCell ref="C157:I157"/>
    <mergeCell ref="J157:M157"/>
    <mergeCell ref="N157:Z157"/>
    <mergeCell ref="AA157:AF157"/>
    <mergeCell ref="AG157:AL157"/>
    <mergeCell ref="BA156:BB156"/>
    <mergeCell ref="C160:G160"/>
    <mergeCell ref="H160:P160"/>
    <mergeCell ref="R160:Z160"/>
    <mergeCell ref="AA160:AE160"/>
    <mergeCell ref="AF160:AI160"/>
    <mergeCell ref="AK160:AN160"/>
    <mergeCell ref="AO160:AS160"/>
    <mergeCell ref="F156:I156"/>
    <mergeCell ref="J156:M156"/>
    <mergeCell ref="N156:R156"/>
    <mergeCell ref="S156:V156"/>
    <mergeCell ref="W156:Z156"/>
    <mergeCell ref="AA156:AC156"/>
    <mergeCell ref="BM157:BO157"/>
    <mergeCell ref="BP157:BR157"/>
    <mergeCell ref="BS157:BT157"/>
    <mergeCell ref="AN156:AR156"/>
    <mergeCell ref="AS156:AT156"/>
    <mergeCell ref="BK156:BL156"/>
    <mergeCell ref="AY157:AZ157"/>
    <mergeCell ref="AW159:AX159"/>
    <mergeCell ref="AY159:AZ159"/>
    <mergeCell ref="AL158:AN158"/>
    <mergeCell ref="AP158:AR158"/>
    <mergeCell ref="AU156:AV156"/>
    <mergeCell ref="AW156:AX156"/>
    <mergeCell ref="AY156:AZ156"/>
    <mergeCell ref="AN157:AR157"/>
    <mergeCell ref="AS157:AT157"/>
    <mergeCell ref="AU157:AV157"/>
    <mergeCell ref="AW157:AX157"/>
    <mergeCell ref="I158:K158"/>
    <mergeCell ref="C161:G161"/>
    <mergeCell ref="H161:P161"/>
    <mergeCell ref="R161:Z161"/>
    <mergeCell ref="AA161:AE161"/>
    <mergeCell ref="AF161:AI161"/>
    <mergeCell ref="AK161:AN161"/>
    <mergeCell ref="AO161:AS161"/>
    <mergeCell ref="AT161:AY161"/>
    <mergeCell ref="AD159:AF159"/>
    <mergeCell ref="AG159:AK159"/>
    <mergeCell ref="AL159:AN159"/>
    <mergeCell ref="AP159:AR159"/>
    <mergeCell ref="AS159:AT159"/>
    <mergeCell ref="AU159:AV159"/>
    <mergeCell ref="BG160:BK160"/>
    <mergeCell ref="BK159:BL159"/>
    <mergeCell ref="BG164:BH164"/>
    <mergeCell ref="BI164:BL164"/>
    <mergeCell ref="AA163:AD163"/>
    <mergeCell ref="AE163:AF163"/>
    <mergeCell ref="AH163:AI163"/>
    <mergeCell ref="AN163:AO163"/>
    <mergeCell ref="AQ163:AR163"/>
    <mergeCell ref="S164:V164"/>
    <mergeCell ref="W164:Z164"/>
    <mergeCell ref="AA164:AC164"/>
    <mergeCell ref="AD164:AF164"/>
    <mergeCell ref="AG164:AM164"/>
    <mergeCell ref="AN164:AR164"/>
    <mergeCell ref="AS164:AX164"/>
    <mergeCell ref="AY164:BB164"/>
    <mergeCell ref="BC164:BF164"/>
    <mergeCell ref="C166:I166"/>
    <mergeCell ref="J166:M166"/>
    <mergeCell ref="N166:Z166"/>
    <mergeCell ref="AA166:AF166"/>
    <mergeCell ref="AG166:AL166"/>
    <mergeCell ref="AN166:AR166"/>
    <mergeCell ref="BI165:BJ165"/>
    <mergeCell ref="C163:E165"/>
    <mergeCell ref="F163:I164"/>
    <mergeCell ref="J163:M164"/>
    <mergeCell ref="N163:R164"/>
    <mergeCell ref="S163:Z163"/>
    <mergeCell ref="AJ163:AM163"/>
    <mergeCell ref="AS163:BH163"/>
    <mergeCell ref="BI163:BL163"/>
    <mergeCell ref="AN165:AR165"/>
    <mergeCell ref="BE165:BF165"/>
    <mergeCell ref="BG165:BH165"/>
    <mergeCell ref="C167:H167"/>
    <mergeCell ref="I167:K167"/>
    <mergeCell ref="AS173:AX173"/>
    <mergeCell ref="AY173:BB173"/>
    <mergeCell ref="BC173:BF173"/>
    <mergeCell ref="BG173:BH173"/>
    <mergeCell ref="AL168:AN168"/>
    <mergeCell ref="AP168:AR168"/>
    <mergeCell ref="W167:AC167"/>
    <mergeCell ref="AD167:AF167"/>
    <mergeCell ref="AG167:AK167"/>
    <mergeCell ref="AL167:AN167"/>
    <mergeCell ref="AP167:AR167"/>
    <mergeCell ref="AU165:AV165"/>
    <mergeCell ref="BS167:BT167"/>
    <mergeCell ref="AS167:AT167"/>
    <mergeCell ref="AU167:AV167"/>
    <mergeCell ref="AW167:AX167"/>
    <mergeCell ref="AY167:AZ167"/>
    <mergeCell ref="BA167:BB167"/>
    <mergeCell ref="BC167:BD167"/>
    <mergeCell ref="BE167:BF167"/>
    <mergeCell ref="BG167:BH167"/>
    <mergeCell ref="BI167:BJ167"/>
    <mergeCell ref="AS165:AT165"/>
    <mergeCell ref="BK165:BL165"/>
    <mergeCell ref="W165:Z165"/>
    <mergeCell ref="AA165:AC165"/>
    <mergeCell ref="AD165:AF165"/>
    <mergeCell ref="AG165:AM165"/>
    <mergeCell ref="C169:G169"/>
    <mergeCell ref="H169:P169"/>
    <mergeCell ref="F174:I174"/>
    <mergeCell ref="J174:M174"/>
    <mergeCell ref="AS168:AT168"/>
    <mergeCell ref="AU168:AV168"/>
    <mergeCell ref="AW168:AX168"/>
    <mergeCell ref="AY168:AZ168"/>
    <mergeCell ref="BA168:BB168"/>
    <mergeCell ref="BI173:BL173"/>
    <mergeCell ref="C168:E168"/>
    <mergeCell ref="F168:I168"/>
    <mergeCell ref="J168:M168"/>
    <mergeCell ref="N168:R168"/>
    <mergeCell ref="S168:V168"/>
    <mergeCell ref="W168:Z168"/>
    <mergeCell ref="AA168:AC168"/>
    <mergeCell ref="AD168:AF168"/>
    <mergeCell ref="AG168:AK168"/>
    <mergeCell ref="BP176:BR176"/>
    <mergeCell ref="S176:V176"/>
    <mergeCell ref="W176:AC176"/>
    <mergeCell ref="AD176:AF176"/>
    <mergeCell ref="AG176:AK176"/>
    <mergeCell ref="AL176:AN176"/>
    <mergeCell ref="AP176:AR176"/>
    <mergeCell ref="BK176:BL176"/>
    <mergeCell ref="BI176:BJ176"/>
    <mergeCell ref="BQ169:BT169"/>
    <mergeCell ref="AS172:BH172"/>
    <mergeCell ref="BI172:BL172"/>
    <mergeCell ref="AS174:AT174"/>
    <mergeCell ref="BE168:BF168"/>
    <mergeCell ref="BG168:BH168"/>
    <mergeCell ref="BI168:BJ168"/>
    <mergeCell ref="BC168:BD168"/>
    <mergeCell ref="BI174:BJ174"/>
    <mergeCell ref="BK174:BL174"/>
    <mergeCell ref="AK169:AN169"/>
    <mergeCell ref="AO169:AS169"/>
    <mergeCell ref="AT169:AY169"/>
    <mergeCell ref="BA169:BF169"/>
    <mergeCell ref="BG169:BK169"/>
    <mergeCell ref="BL169:BO169"/>
    <mergeCell ref="BK168:BL168"/>
    <mergeCell ref="BM168:BO168"/>
    <mergeCell ref="BP168:BR168"/>
    <mergeCell ref="BS168:BT168"/>
    <mergeCell ref="BM174:BO174"/>
    <mergeCell ref="BP174:BR174"/>
    <mergeCell ref="BS174:BT174"/>
    <mergeCell ref="C175:I175"/>
    <mergeCell ref="J175:M175"/>
    <mergeCell ref="N175:Z175"/>
    <mergeCell ref="AA175:AF175"/>
    <mergeCell ref="AG175:AL175"/>
    <mergeCell ref="AO170:AS170"/>
    <mergeCell ref="AT170:AY170"/>
    <mergeCell ref="BA170:BF170"/>
    <mergeCell ref="BM172:BR172"/>
    <mergeCell ref="BS172:BT172"/>
    <mergeCell ref="S173:V173"/>
    <mergeCell ref="W173:Z173"/>
    <mergeCell ref="AA173:AC173"/>
    <mergeCell ref="AD173:AF173"/>
    <mergeCell ref="AG173:AM173"/>
    <mergeCell ref="BG170:BK170"/>
    <mergeCell ref="BL170:BO170"/>
    <mergeCell ref="BQ170:BT170"/>
    <mergeCell ref="C170:G170"/>
    <mergeCell ref="H170:P170"/>
    <mergeCell ref="R170:Z170"/>
    <mergeCell ref="AA170:AE170"/>
    <mergeCell ref="AF170:AI170"/>
    <mergeCell ref="AK170:AN170"/>
    <mergeCell ref="BM173:BO173"/>
    <mergeCell ref="BP173:BR173"/>
    <mergeCell ref="BS173:BT173"/>
    <mergeCell ref="C172:E174"/>
    <mergeCell ref="F172:I173"/>
    <mergeCell ref="J172:M173"/>
    <mergeCell ref="N172:R173"/>
    <mergeCell ref="AN174:AR174"/>
    <mergeCell ref="AS177:AT177"/>
    <mergeCell ref="AU174:AV174"/>
    <mergeCell ref="BA179:BF179"/>
    <mergeCell ref="BK177:BL177"/>
    <mergeCell ref="BS176:BT176"/>
    <mergeCell ref="C177:E177"/>
    <mergeCell ref="F177:I177"/>
    <mergeCell ref="J177:M177"/>
    <mergeCell ref="N177:R177"/>
    <mergeCell ref="S177:V177"/>
    <mergeCell ref="W177:Z177"/>
    <mergeCell ref="BS175:BT175"/>
    <mergeCell ref="AW174:AX174"/>
    <mergeCell ref="AY174:AZ174"/>
    <mergeCell ref="BA174:BB174"/>
    <mergeCell ref="BC174:BD174"/>
    <mergeCell ref="BE174:BF174"/>
    <mergeCell ref="BG174:BH174"/>
    <mergeCell ref="BC175:BF175"/>
    <mergeCell ref="BG175:BH175"/>
    <mergeCell ref="BI175:BJ175"/>
    <mergeCell ref="BK175:BL175"/>
    <mergeCell ref="BM175:BO175"/>
    <mergeCell ref="BP175:BR175"/>
    <mergeCell ref="AN175:AR175"/>
    <mergeCell ref="AS175:AT175"/>
    <mergeCell ref="AU175:AV175"/>
    <mergeCell ref="AW175:AX175"/>
    <mergeCell ref="AY175:AZ175"/>
    <mergeCell ref="BA175:BB175"/>
    <mergeCell ref="BM177:BO177"/>
    <mergeCell ref="BP177:BR177"/>
    <mergeCell ref="BS177:BT177"/>
    <mergeCell ref="BZ177:CC177"/>
    <mergeCell ref="C178:G178"/>
    <mergeCell ref="H178:P178"/>
    <mergeCell ref="R178:Z178"/>
    <mergeCell ref="AA178:AE178"/>
    <mergeCell ref="AF178:AI178"/>
    <mergeCell ref="AK178:AN178"/>
    <mergeCell ref="I176:K176"/>
    <mergeCell ref="S183:V183"/>
    <mergeCell ref="W183:Z183"/>
    <mergeCell ref="AA183:AC183"/>
    <mergeCell ref="AD183:AF183"/>
    <mergeCell ref="AG183:AM183"/>
    <mergeCell ref="L176:R176"/>
    <mergeCell ref="BG177:BH177"/>
    <mergeCell ref="BI177:BJ177"/>
    <mergeCell ref="AS176:AT176"/>
    <mergeCell ref="AU176:AV176"/>
    <mergeCell ref="AW176:AX176"/>
    <mergeCell ref="AY176:AZ176"/>
    <mergeCell ref="BA176:BB176"/>
    <mergeCell ref="BC176:BD176"/>
    <mergeCell ref="BE176:BF176"/>
    <mergeCell ref="BG176:BH176"/>
    <mergeCell ref="AU177:AV177"/>
    <mergeCell ref="AW177:AX177"/>
    <mergeCell ref="AY177:AZ177"/>
    <mergeCell ref="BA177:BB177"/>
    <mergeCell ref="BC177:BD177"/>
    <mergeCell ref="BE177:BF177"/>
    <mergeCell ref="AA177:AC177"/>
    <mergeCell ref="AT179:AY179"/>
    <mergeCell ref="AN182:AR182"/>
    <mergeCell ref="AS182:AX182"/>
    <mergeCell ref="AY182:BB182"/>
    <mergeCell ref="BC182:BF182"/>
    <mergeCell ref="BG182:BH182"/>
    <mergeCell ref="BG179:BK179"/>
    <mergeCell ref="BL179:BO179"/>
    <mergeCell ref="BQ179:BT179"/>
    <mergeCell ref="C179:G179"/>
    <mergeCell ref="H179:P179"/>
    <mergeCell ref="R179:Z179"/>
    <mergeCell ref="AA179:AE179"/>
    <mergeCell ref="AF179:AI179"/>
    <mergeCell ref="AK179:AN179"/>
    <mergeCell ref="AO179:AS179"/>
    <mergeCell ref="AO178:AS178"/>
    <mergeCell ref="AT178:AY178"/>
    <mergeCell ref="BA178:BF178"/>
    <mergeCell ref="BG178:BK178"/>
    <mergeCell ref="BL178:BO178"/>
    <mergeCell ref="BQ178:BT178"/>
    <mergeCell ref="BS184:BT184"/>
    <mergeCell ref="BK185:BL185"/>
    <mergeCell ref="BM185:BO185"/>
    <mergeCell ref="BP185:BR185"/>
    <mergeCell ref="BS185:BT185"/>
    <mergeCell ref="C186:E186"/>
    <mergeCell ref="F186:I186"/>
    <mergeCell ref="J186:M186"/>
    <mergeCell ref="N186:R186"/>
    <mergeCell ref="S186:V186"/>
    <mergeCell ref="BE183:BF183"/>
    <mergeCell ref="BG183:BH183"/>
    <mergeCell ref="BI183:BJ183"/>
    <mergeCell ref="BK183:BL183"/>
    <mergeCell ref="BM184:BO184"/>
    <mergeCell ref="BP184:BR184"/>
    <mergeCell ref="BI182:BL182"/>
    <mergeCell ref="BM182:BO182"/>
    <mergeCell ref="BP182:BR182"/>
    <mergeCell ref="BS182:BT182"/>
    <mergeCell ref="AS183:AT183"/>
    <mergeCell ref="AU183:AV183"/>
    <mergeCell ref="AW183:AX183"/>
    <mergeCell ref="AY183:AZ183"/>
    <mergeCell ref="BA183:BB183"/>
    <mergeCell ref="BC183:BD183"/>
    <mergeCell ref="BG184:BH184"/>
    <mergeCell ref="BI184:BJ184"/>
    <mergeCell ref="W185:AC185"/>
    <mergeCell ref="AD185:AF185"/>
    <mergeCell ref="AG185:AK185"/>
    <mergeCell ref="AL185:AN185"/>
    <mergeCell ref="BZ186:CC186"/>
    <mergeCell ref="C187:G187"/>
    <mergeCell ref="H187:P187"/>
    <mergeCell ref="R187:Z187"/>
    <mergeCell ref="AA187:AE187"/>
    <mergeCell ref="AF187:AI187"/>
    <mergeCell ref="BE186:BF186"/>
    <mergeCell ref="BG186:BH186"/>
    <mergeCell ref="BI186:BJ186"/>
    <mergeCell ref="AS185:AT185"/>
    <mergeCell ref="C185:H185"/>
    <mergeCell ref="AY185:AZ185"/>
    <mergeCell ref="BA185:BB185"/>
    <mergeCell ref="BC185:BD185"/>
    <mergeCell ref="BE185:BF185"/>
    <mergeCell ref="BG185:BH185"/>
    <mergeCell ref="AS186:AT186"/>
    <mergeCell ref="AU186:AV186"/>
    <mergeCell ref="AW186:AX186"/>
    <mergeCell ref="AY186:AZ186"/>
    <mergeCell ref="BA186:BB186"/>
    <mergeCell ref="BC186:BD186"/>
    <mergeCell ref="W186:Z186"/>
    <mergeCell ref="AA186:AC186"/>
    <mergeCell ref="AD186:AF186"/>
    <mergeCell ref="AG186:AK186"/>
    <mergeCell ref="AL186:AN186"/>
    <mergeCell ref="AP186:AR186"/>
    <mergeCell ref="BQ187:BT187"/>
    <mergeCell ref="I185:K185"/>
    <mergeCell ref="L185:R185"/>
    <mergeCell ref="S185:V185"/>
    <mergeCell ref="AU185:AV185"/>
    <mergeCell ref="AK187:AN187"/>
    <mergeCell ref="AO187:AS187"/>
    <mergeCell ref="AT187:AY187"/>
    <mergeCell ref="BA187:BF187"/>
    <mergeCell ref="BG187:BK187"/>
    <mergeCell ref="BL187:BO187"/>
    <mergeCell ref="BK186:BL186"/>
    <mergeCell ref="BM186:BO186"/>
    <mergeCell ref="BP186:BR186"/>
    <mergeCell ref="BS186:BT186"/>
    <mergeCell ref="BS191:BT191"/>
    <mergeCell ref="AY191:BB191"/>
    <mergeCell ref="BC191:BF191"/>
    <mergeCell ref="C188:G188"/>
    <mergeCell ref="H188:P188"/>
    <mergeCell ref="R188:Z188"/>
    <mergeCell ref="AA188:AE188"/>
    <mergeCell ref="AF188:AI188"/>
    <mergeCell ref="AK188:AN188"/>
    <mergeCell ref="AO188:AS188"/>
    <mergeCell ref="AT188:AY188"/>
    <mergeCell ref="BI190:BL190"/>
    <mergeCell ref="BM190:BR190"/>
    <mergeCell ref="BS190:BT190"/>
    <mergeCell ref="S191:V191"/>
    <mergeCell ref="W191:Z191"/>
    <mergeCell ref="AA191:AC191"/>
    <mergeCell ref="AD191:AF191"/>
    <mergeCell ref="AG191:AM191"/>
    <mergeCell ref="AN191:AR191"/>
    <mergeCell ref="AW185:AX185"/>
    <mergeCell ref="BC192:BD192"/>
    <mergeCell ref="BE192:BF192"/>
    <mergeCell ref="BG192:BH192"/>
    <mergeCell ref="BS194:BT194"/>
    <mergeCell ref="S192:V192"/>
    <mergeCell ref="W192:Z192"/>
    <mergeCell ref="AA192:AC192"/>
    <mergeCell ref="AS191:AX191"/>
    <mergeCell ref="BG188:BK188"/>
    <mergeCell ref="BL188:BO188"/>
    <mergeCell ref="BQ188:BT188"/>
    <mergeCell ref="C190:E192"/>
    <mergeCell ref="F190:I191"/>
    <mergeCell ref="J190:M191"/>
    <mergeCell ref="N190:R191"/>
    <mergeCell ref="S190:Z190"/>
    <mergeCell ref="AJ190:AM190"/>
    <mergeCell ref="AS190:BH190"/>
    <mergeCell ref="BS193:BT193"/>
    <mergeCell ref="AS193:AT193"/>
    <mergeCell ref="AU193:AV193"/>
    <mergeCell ref="AW193:AX193"/>
    <mergeCell ref="AY193:AZ193"/>
    <mergeCell ref="BA193:BB193"/>
    <mergeCell ref="BC193:BF193"/>
    <mergeCell ref="BE194:BF194"/>
    <mergeCell ref="BG194:BH194"/>
    <mergeCell ref="BP194:BR194"/>
    <mergeCell ref="BI193:BJ193"/>
    <mergeCell ref="BK193:BL193"/>
    <mergeCell ref="BM193:BO193"/>
    <mergeCell ref="BP193:BR193"/>
    <mergeCell ref="BG196:BK196"/>
    <mergeCell ref="BL196:BO196"/>
    <mergeCell ref="BQ196:BT196"/>
    <mergeCell ref="C196:G196"/>
    <mergeCell ref="H196:P196"/>
    <mergeCell ref="R196:Z196"/>
    <mergeCell ref="AA196:AE196"/>
    <mergeCell ref="AF196:AI196"/>
    <mergeCell ref="AK196:AN196"/>
    <mergeCell ref="BS195:BT195"/>
    <mergeCell ref="BA195:BB195"/>
    <mergeCell ref="BC195:BD195"/>
    <mergeCell ref="BE195:BF195"/>
    <mergeCell ref="BG195:BH195"/>
    <mergeCell ref="BI195:BJ195"/>
    <mergeCell ref="AP194:AR194"/>
    <mergeCell ref="BM192:BO192"/>
    <mergeCell ref="BP192:BR192"/>
    <mergeCell ref="BS192:BT192"/>
    <mergeCell ref="C193:I193"/>
    <mergeCell ref="J193:M193"/>
    <mergeCell ref="N193:Z193"/>
    <mergeCell ref="AA193:AF193"/>
    <mergeCell ref="AG193:AL193"/>
    <mergeCell ref="AN193:AR193"/>
    <mergeCell ref="BK192:BL192"/>
    <mergeCell ref="BI194:BJ194"/>
    <mergeCell ref="C194:H194"/>
    <mergeCell ref="I194:K194"/>
    <mergeCell ref="L194:R194"/>
    <mergeCell ref="S194:V194"/>
    <mergeCell ref="W194:AC194"/>
    <mergeCell ref="C197:G197"/>
    <mergeCell ref="H197:P197"/>
    <mergeCell ref="R197:Z197"/>
    <mergeCell ref="AA197:AE197"/>
    <mergeCell ref="AF197:AI197"/>
    <mergeCell ref="AK197:AN197"/>
    <mergeCell ref="AO197:AS197"/>
    <mergeCell ref="AU195:AV195"/>
    <mergeCell ref="AW195:AX195"/>
    <mergeCell ref="AY195:AZ195"/>
    <mergeCell ref="BG197:BK197"/>
    <mergeCell ref="BL197:BO197"/>
    <mergeCell ref="BQ197:BT197"/>
    <mergeCell ref="AT197:AY197"/>
    <mergeCell ref="BA197:BF197"/>
    <mergeCell ref="BK195:BL195"/>
    <mergeCell ref="BM195:BO195"/>
    <mergeCell ref="AA195:AC195"/>
    <mergeCell ref="AD195:AF195"/>
    <mergeCell ref="AG195:AK195"/>
    <mergeCell ref="AL195:AN195"/>
    <mergeCell ref="AP195:AR195"/>
    <mergeCell ref="AS195:AT195"/>
    <mergeCell ref="C195:E195"/>
    <mergeCell ref="F195:I195"/>
    <mergeCell ref="J195:M195"/>
    <mergeCell ref="N195:R195"/>
    <mergeCell ref="S195:V195"/>
    <mergeCell ref="W195:Z195"/>
    <mergeCell ref="AO196:AS196"/>
    <mergeCell ref="AT196:AY196"/>
    <mergeCell ref="BA196:BF196"/>
    <mergeCell ref="AA49:AD49"/>
    <mergeCell ref="AE49:AF49"/>
    <mergeCell ref="AH49:AI49"/>
    <mergeCell ref="AN49:AO49"/>
    <mergeCell ref="AQ49:AR49"/>
    <mergeCell ref="AA79:AD79"/>
    <mergeCell ref="AE79:AF79"/>
    <mergeCell ref="AH79:AI79"/>
    <mergeCell ref="AS194:AT194"/>
    <mergeCell ref="AU194:AV194"/>
    <mergeCell ref="AW194:AX194"/>
    <mergeCell ref="AY194:AZ194"/>
    <mergeCell ref="BA194:BB194"/>
    <mergeCell ref="BC194:BD194"/>
    <mergeCell ref="BG193:BH193"/>
    <mergeCell ref="AD192:AF192"/>
    <mergeCell ref="AG192:AM192"/>
    <mergeCell ref="AN192:AR192"/>
    <mergeCell ref="AS192:AT192"/>
    <mergeCell ref="AU192:AV192"/>
    <mergeCell ref="AH58:AI58"/>
    <mergeCell ref="AN58:AO58"/>
    <mergeCell ref="AQ58:AR58"/>
    <mergeCell ref="AA67:AD67"/>
    <mergeCell ref="AE67:AF67"/>
    <mergeCell ref="AD194:AF194"/>
    <mergeCell ref="AG194:AK194"/>
    <mergeCell ref="AL194:AN194"/>
    <mergeCell ref="AY192:AZ192"/>
    <mergeCell ref="BA192:BB192"/>
    <mergeCell ref="AD128:AF128"/>
    <mergeCell ref="AG128:AK128"/>
    <mergeCell ref="AS40:BH40"/>
    <mergeCell ref="BG32:BH32"/>
    <mergeCell ref="BA29:BF29"/>
    <mergeCell ref="AW27:AX27"/>
    <mergeCell ref="AY27:AZ27"/>
    <mergeCell ref="BA27:BB27"/>
    <mergeCell ref="BC27:BD27"/>
    <mergeCell ref="BE27:BF27"/>
    <mergeCell ref="AN79:AO79"/>
    <mergeCell ref="AQ79:AR79"/>
    <mergeCell ref="AA74:AE74"/>
    <mergeCell ref="AF74:AI74"/>
    <mergeCell ref="AK74:AN74"/>
    <mergeCell ref="AO74:AS74"/>
    <mergeCell ref="BC71:BD71"/>
    <mergeCell ref="BE71:BF71"/>
    <mergeCell ref="AS60:AT60"/>
    <mergeCell ref="AU60:AV60"/>
    <mergeCell ref="AW60:AX60"/>
    <mergeCell ref="AY60:AZ60"/>
    <mergeCell ref="BG56:BK56"/>
    <mergeCell ref="BK51:BL51"/>
    <mergeCell ref="BA45:BB45"/>
    <mergeCell ref="BC45:BD45"/>
    <mergeCell ref="AA31:AD31"/>
    <mergeCell ref="AE31:AF31"/>
    <mergeCell ref="AH31:AI31"/>
    <mergeCell ref="AN31:AO31"/>
    <mergeCell ref="AQ31:AR31"/>
    <mergeCell ref="BG73:BK73"/>
    <mergeCell ref="BL73:BO73"/>
    <mergeCell ref="BA72:BB72"/>
    <mergeCell ref="AL128:AN128"/>
    <mergeCell ref="AD119:AF119"/>
    <mergeCell ref="AG119:AK119"/>
    <mergeCell ref="AL119:AN119"/>
    <mergeCell ref="F165:I165"/>
    <mergeCell ref="J165:M165"/>
    <mergeCell ref="N165:R165"/>
    <mergeCell ref="S165:V165"/>
    <mergeCell ref="S182:V182"/>
    <mergeCell ref="W182:Z182"/>
    <mergeCell ref="AA182:AC182"/>
    <mergeCell ref="AD182:AF182"/>
    <mergeCell ref="AG182:AM182"/>
    <mergeCell ref="AG184:AL184"/>
    <mergeCell ref="AN184:AR184"/>
    <mergeCell ref="S172:Z172"/>
    <mergeCell ref="AJ172:AM172"/>
    <mergeCell ref="N174:R174"/>
    <mergeCell ref="S174:V174"/>
    <mergeCell ref="W174:Z174"/>
    <mergeCell ref="AA174:AC174"/>
    <mergeCell ref="AD174:AF174"/>
    <mergeCell ref="AG174:AM174"/>
    <mergeCell ref="C184:I184"/>
    <mergeCell ref="J184:M184"/>
    <mergeCell ref="N184:Z184"/>
    <mergeCell ref="AA184:AF184"/>
    <mergeCell ref="AD177:AF177"/>
    <mergeCell ref="AG177:AK177"/>
    <mergeCell ref="AL177:AN177"/>
    <mergeCell ref="AP177:AR177"/>
    <mergeCell ref="C176:H176"/>
    <mergeCell ref="L167:R167"/>
    <mergeCell ref="S167:V167"/>
    <mergeCell ref="AA172:AD172"/>
    <mergeCell ref="AE172:AF172"/>
    <mergeCell ref="AH172:AI172"/>
    <mergeCell ref="AN172:AO172"/>
    <mergeCell ref="AQ172:AR172"/>
    <mergeCell ref="AA181:AD181"/>
    <mergeCell ref="AE181:AF181"/>
    <mergeCell ref="AH181:AI181"/>
    <mergeCell ref="AN181:AO181"/>
    <mergeCell ref="AQ181:AR181"/>
    <mergeCell ref="AM231:AQ231"/>
    <mergeCell ref="AA190:AD190"/>
    <mergeCell ref="AE190:AF190"/>
    <mergeCell ref="AH190:AI190"/>
    <mergeCell ref="AN190:AO190"/>
    <mergeCell ref="AQ190:AR190"/>
    <mergeCell ref="AP185:AR185"/>
    <mergeCell ref="R169:Z169"/>
    <mergeCell ref="AA169:AE169"/>
    <mergeCell ref="AF169:AI169"/>
    <mergeCell ref="C231:K231"/>
    <mergeCell ref="L231:P231"/>
    <mergeCell ref="Q231:S231"/>
    <mergeCell ref="T231:Y231"/>
    <mergeCell ref="Z231:AG231"/>
    <mergeCell ref="AI231:AL231"/>
    <mergeCell ref="AN173:AR173"/>
    <mergeCell ref="C229:H229"/>
    <mergeCell ref="C181:E183"/>
    <mergeCell ref="F192:I192"/>
    <mergeCell ref="J192:M192"/>
    <mergeCell ref="N192:R192"/>
    <mergeCell ref="BN232:BP232"/>
    <mergeCell ref="C233:K233"/>
    <mergeCell ref="L233:P233"/>
    <mergeCell ref="Q233:S233"/>
    <mergeCell ref="T233:Y233"/>
    <mergeCell ref="Z233:AG233"/>
    <mergeCell ref="AI233:AL233"/>
    <mergeCell ref="AM233:AQ233"/>
    <mergeCell ref="C232:K232"/>
    <mergeCell ref="AN183:AR183"/>
    <mergeCell ref="F181:I182"/>
    <mergeCell ref="J181:M182"/>
    <mergeCell ref="N181:R182"/>
    <mergeCell ref="S181:Z181"/>
    <mergeCell ref="AJ181:AM181"/>
    <mergeCell ref="F183:I183"/>
    <mergeCell ref="J183:M183"/>
    <mergeCell ref="N183:R183"/>
    <mergeCell ref="BK194:BL194"/>
    <mergeCell ref="BM194:BO194"/>
    <mergeCell ref="BI192:BJ192"/>
    <mergeCell ref="AW192:AX192"/>
    <mergeCell ref="BA188:BF188"/>
    <mergeCell ref="BG191:BH191"/>
    <mergeCell ref="BI191:BL191"/>
    <mergeCell ref="BM191:BO191"/>
    <mergeCell ref="BP191:BR191"/>
    <mergeCell ref="BD235:BL235"/>
    <mergeCell ref="C234:K234"/>
    <mergeCell ref="L234:P234"/>
    <mergeCell ref="Q234:S234"/>
    <mergeCell ref="T234:Y234"/>
    <mergeCell ref="Z234:AG234"/>
    <mergeCell ref="AI234:AL234"/>
    <mergeCell ref="AM234:AQ234"/>
    <mergeCell ref="AT234:AV234"/>
    <mergeCell ref="AW234:BL234"/>
    <mergeCell ref="AT232:AY232"/>
    <mergeCell ref="AZ232:BE232"/>
    <mergeCell ref="C235:K235"/>
    <mergeCell ref="L235:P235"/>
    <mergeCell ref="Q235:S235"/>
    <mergeCell ref="T235:Y235"/>
    <mergeCell ref="Z235:AG235"/>
    <mergeCell ref="AI235:AL235"/>
    <mergeCell ref="AM235:AQ235"/>
    <mergeCell ref="AT235:BC235"/>
    <mergeCell ref="L232:P232"/>
    <mergeCell ref="Q232:S232"/>
    <mergeCell ref="T232:Y232"/>
    <mergeCell ref="Z232:AG232"/>
    <mergeCell ref="AI232:AL232"/>
    <mergeCell ref="AM232:AQ232"/>
    <mergeCell ref="BG232:BL232"/>
    <mergeCell ref="Q239:S239"/>
    <mergeCell ref="T239:Y239"/>
    <mergeCell ref="Z239:AG239"/>
    <mergeCell ref="AI239:AL239"/>
    <mergeCell ref="AT236:BC236"/>
    <mergeCell ref="BD236:BL236"/>
    <mergeCell ref="C241:K241"/>
    <mergeCell ref="L241:P241"/>
    <mergeCell ref="Q241:S241"/>
    <mergeCell ref="T241:Y241"/>
    <mergeCell ref="Z241:AG241"/>
    <mergeCell ref="AI241:AL241"/>
    <mergeCell ref="AM241:AQ241"/>
    <mergeCell ref="BD238:BL238"/>
    <mergeCell ref="AM237:AQ237"/>
    <mergeCell ref="AT237:BC237"/>
    <mergeCell ref="BD237:BL237"/>
    <mergeCell ref="C236:K236"/>
    <mergeCell ref="L236:P236"/>
    <mergeCell ref="Q236:S236"/>
    <mergeCell ref="T236:Y236"/>
    <mergeCell ref="Z236:AG236"/>
    <mergeCell ref="AI236:AL236"/>
    <mergeCell ref="AM236:AQ236"/>
    <mergeCell ref="C237:K237"/>
    <mergeCell ref="L237:P237"/>
    <mergeCell ref="Q237:S237"/>
    <mergeCell ref="T237:Y237"/>
    <mergeCell ref="Z237:AG237"/>
    <mergeCell ref="AI237:AL237"/>
    <mergeCell ref="AM242:AQ242"/>
    <mergeCell ref="C243:K243"/>
    <mergeCell ref="L243:P243"/>
    <mergeCell ref="Q243:S243"/>
    <mergeCell ref="T243:Y243"/>
    <mergeCell ref="Z243:AG243"/>
    <mergeCell ref="AM238:AQ238"/>
    <mergeCell ref="C245:K245"/>
    <mergeCell ref="L245:P245"/>
    <mergeCell ref="Q245:S245"/>
    <mergeCell ref="T245:Y245"/>
    <mergeCell ref="Z245:AG245"/>
    <mergeCell ref="AI245:AL245"/>
    <mergeCell ref="AM245:AQ245"/>
    <mergeCell ref="C242:K242"/>
    <mergeCell ref="L242:P242"/>
    <mergeCell ref="C238:K238"/>
    <mergeCell ref="L238:P238"/>
    <mergeCell ref="Q238:S238"/>
    <mergeCell ref="T238:Y238"/>
    <mergeCell ref="Z238:AG238"/>
    <mergeCell ref="AI238:AL238"/>
    <mergeCell ref="AM239:AQ239"/>
    <mergeCell ref="C240:K240"/>
    <mergeCell ref="L240:P240"/>
    <mergeCell ref="Q240:S240"/>
    <mergeCell ref="T240:Y240"/>
    <mergeCell ref="Z240:AG240"/>
    <mergeCell ref="AI240:AL240"/>
    <mergeCell ref="AM240:AQ240"/>
    <mergeCell ref="C239:K239"/>
    <mergeCell ref="L239:P239"/>
    <mergeCell ref="BN278:BP278"/>
    <mergeCell ref="AL3:AP3"/>
    <mergeCell ref="A228:A274"/>
    <mergeCell ref="C250:K250"/>
    <mergeCell ref="L250:P250"/>
    <mergeCell ref="Q250:S250"/>
    <mergeCell ref="T250:Y250"/>
    <mergeCell ref="Z250:AG250"/>
    <mergeCell ref="AI250:AL250"/>
    <mergeCell ref="C246:K246"/>
    <mergeCell ref="L246:P246"/>
    <mergeCell ref="BN246:BS246"/>
    <mergeCell ref="AA19:AE19"/>
    <mergeCell ref="AA20:AE20"/>
    <mergeCell ref="BG19:BK19"/>
    <mergeCell ref="BG20:BK20"/>
    <mergeCell ref="AI247:AL247"/>
    <mergeCell ref="AM247:AQ247"/>
    <mergeCell ref="Q249:S249"/>
    <mergeCell ref="T249:Y249"/>
    <mergeCell ref="Z249:AG249"/>
    <mergeCell ref="AI249:AL249"/>
    <mergeCell ref="AM249:AQ249"/>
    <mergeCell ref="AM248:AQ248"/>
    <mergeCell ref="Q246:S246"/>
    <mergeCell ref="T246:Y246"/>
    <mergeCell ref="Z246:AG246"/>
    <mergeCell ref="AI246:AL246"/>
    <mergeCell ref="AM246:AQ246"/>
    <mergeCell ref="C247:K247"/>
    <mergeCell ref="L247:P247"/>
    <mergeCell ref="Q247:S247"/>
    <mergeCell ref="C249:K249"/>
    <mergeCell ref="L249:P249"/>
    <mergeCell ref="C248:K248"/>
    <mergeCell ref="L248:P248"/>
    <mergeCell ref="Q248:S248"/>
    <mergeCell ref="T248:Y248"/>
    <mergeCell ref="Z248:AG248"/>
    <mergeCell ref="AI248:AL248"/>
    <mergeCell ref="AM250:AQ250"/>
    <mergeCell ref="C251:K251"/>
    <mergeCell ref="L251:P251"/>
    <mergeCell ref="Q251:S251"/>
    <mergeCell ref="T251:Y251"/>
    <mergeCell ref="Z251:AG251"/>
    <mergeCell ref="AI251:AL251"/>
    <mergeCell ref="AM251:AQ251"/>
    <mergeCell ref="AP17:AR17"/>
    <mergeCell ref="T247:Y247"/>
    <mergeCell ref="Z247:AG247"/>
    <mergeCell ref="AI243:AL243"/>
    <mergeCell ref="AM243:AQ243"/>
    <mergeCell ref="C244:K244"/>
    <mergeCell ref="L244:P244"/>
    <mergeCell ref="Q244:S244"/>
    <mergeCell ref="T244:Y244"/>
    <mergeCell ref="Z244:AG244"/>
    <mergeCell ref="AI244:AL244"/>
    <mergeCell ref="AM244:AQ244"/>
    <mergeCell ref="Q242:S242"/>
    <mergeCell ref="T242:Y242"/>
    <mergeCell ref="Z242:AG242"/>
    <mergeCell ref="AI242:AL242"/>
  </mergeCells>
  <phoneticPr fontId="1"/>
  <dataValidations count="13">
    <dataValidation type="list" allowBlank="1" showInputMessage="1" showErrorMessage="1" sqref="AP185:AR185 AP176:AR176 AP167:AR167 AP158:AR158 AP146:AR146 AP137:AR137 AP128:AR128 AP119:AR119 AP110:AR110 AP101:AR101 AP92:AR92 AP83:AR83 AP71:AR71 AP62:AR62 AP53:AR53 AP44:AR44 AP35:AR35">
      <formula1>$CF$189:$CF$208</formula1>
    </dataValidation>
    <dataValidation type="list" allowBlank="1" showInputMessage="1" showErrorMessage="1" sqref="BK266:BM266">
      <formula1>"壁掛,自立"</formula1>
    </dataValidation>
    <dataValidation type="list" allowBlank="1" showInputMessage="1" showErrorMessage="1" sqref="BH262:BM262">
      <formula1>"卓上型,壁掛型,自立型"</formula1>
    </dataValidation>
    <dataValidation type="list" allowBlank="1" showInputMessage="1" showErrorMessage="1" sqref="BG245:BL245">
      <formula1>"単価-1,単価-2,単価-3,単価-4"</formula1>
    </dataValidation>
    <dataValidation type="list" allowBlank="1" showInputMessage="1" showErrorMessage="1" sqref="BG246:BL246">
      <formula1>"歩掛-1,歩掛-2,歩掛-3"</formula1>
    </dataValidation>
    <dataValidation type="list" allowBlank="1" showInputMessage="1" showErrorMessage="1" sqref="AQ13:AR13 AH22:AI22 AP18:AR18 AQ22:AR22 AH31:AI31 AQ31:AR31 AH40:AI40 AQ40:AR40 AH49:AI49 AQ49:AR49 AH58:AI58 AQ58:AR58 AH67:AI67 AQ67:AR67 AH79:AI79 AQ79:AR79 AH88:AI88 AQ88:AR88 AH97:AI97 AQ97:AR97 AH106:AI106 AQ106:AR106 AH115:AI115 AQ115:AR115 AH124:AI124 AQ124:AR124 AH133:AI133 AQ133:AR133 AH142:AI142 AQ142:AR142 AH190:AI190 AQ154:AR154 AH181:AI181 AQ163:AR163 AH172:AI172 AQ172:AR172 AH154:AI154 AQ181:AR181 AH163:AI163 AQ190:AR190 AH13:AI13">
      <formula1>"要,不"</formula1>
    </dataValidation>
    <dataValidation type="list" allowBlank="1" showInputMessage="1" showErrorMessage="1" sqref="R20:Z20 R188:Z188 R29:Z29 R38:Z38 R47:Z47 R56:Z56 R65:Z65 R74:Z74 R86:Z86 R95:Z95 R104:Z104 R113:Z113 R122:Z122 R131:Z131 R140:Z140 R149:Z149 R161:Z161 R170:Z170 R179:Z179 R197:Z197">
      <formula1>$CA$202:$CA$212</formula1>
    </dataValidation>
    <dataValidation type="list" allowBlank="1" showInputMessage="1" showErrorMessage="1" sqref="R19:Z19 R187:Z187 R28:Z28 R37:Z37 R46:Z46 R55:Z55 R64:Z64 R73:Z73 R85:Z85 R94:Z94 R103:Z103 R112:Z112 R121:Z121 R130:Z130 R139:Z139 R148:Z148 R160:Z160 R169:Z169 R178:Z178 R196:Z196">
      <formula1>$BZ$202:$BZ$235</formula1>
    </dataValidation>
    <dataValidation type="list" allowBlank="1" showInputMessage="1" showErrorMessage="1" sqref="AS16 AS25 AS34 AS43 AS52 AS61 AS70 AS82 AS91 AS100 AS109 AS118 AS127 AS136 AS145 AS157 AS166 AS175 AS184 AS193">
      <formula1>#REF!</formula1>
    </dataValidation>
    <dataValidation type="list" allowBlank="1" showInputMessage="1" showErrorMessage="1" sqref="BA19:BA20 BA187:BA188 BA28:BA29 BA37:BA38 BA46:BA47 BA55:BA56 BA64:BA65 BA73:BA74 BA85:BA86 BA94:BA95 BA103:BA104 BA112:BA113 BA121:BA122 BA130:BA131 BA139:BA140 BA148:BA149 BA160:BA161 BA169:BA170 BA178:BA179 BA196:BA197">
      <formula1>$BY$202:$BY$236</formula1>
    </dataValidation>
    <dataValidation type="list" allowBlank="1" showInputMessage="1" showErrorMessage="1" sqref="AP195:AR195 AP27:AR27 AP36:AR36 AP45:AR45 AP54:AR54 AP63:AR63 AP72:AR72 AP84:AR84 AP93:AR93 AP102:AR102 AP111:AR111 AP120:AR120 AP129:AR129 AP138:AR138 AP147:AR147 AP159:AR159 AP168:AR168 AP177:AR177 AP186:AR186">
      <formula1>"要,不要"</formula1>
    </dataValidation>
    <dataValidation type="list" allowBlank="1" showInputMessage="1" showErrorMessage="1" sqref="AN16 AN25 AN34 AN43 AN52 AN61 AN70 AN82 AN91 AN100 AN109 AN118 AN127 AN136 AN145 AN157 AN166 AN175 AN184 AN193">
      <formula1>$CB$6:$CB$10</formula1>
    </dataValidation>
    <dataValidation type="list" allowBlank="1" showInputMessage="1" showErrorMessage="1" sqref="J10">
      <formula1>"任意設置,設置不要"</formula1>
    </dataValidation>
  </dataValidations>
  <hyperlinks>
    <hyperlink ref="BN232:BP232" location="放送!A1" display="Top"/>
    <hyperlink ref="AL3:AP3" location="放送!A228" display="集 計 表"/>
    <hyperlink ref="BN278:BP278" location="放送!A1" display="Top"/>
    <hyperlink ref="AE3:AI3" r:id="rId1" location="Help!A1533" display="Help"/>
    <hyperlink ref="Y3:AC3" r:id="rId2" location="Top!A43" display="TopPage"/>
  </hyperlinks>
  <pageMargins left="0.78740157480314965" right="0.39370078740157483" top="0.47244094488188981" bottom="0.39370078740157483" header="0.31496062992125984" footer="0.31496062992125984"/>
  <pageSetup paperSize="9" scale="96" fitToHeight="0" orientation="portrait" r:id="rId3"/>
  <rowBreaks count="3" manualBreakCount="3">
    <brk id="77" max="16383" man="1"/>
    <brk id="152" max="16383" man="1"/>
    <brk id="227" max="16383" man="1"/>
  </rowBreaks>
  <colBreaks count="1" manualBreakCount="1">
    <brk id="73" max="301" man="1"/>
  </colBreaks>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火煙!#REF!</xm:f>
          </x14:formula1>
          <xm:sqref>BK10:BM10</xm:sqref>
        </x14:dataValidation>
        <x14:dataValidation type="list" allowBlank="1" showInputMessage="1" showErrorMessage="1">
          <x14:formula1>
            <xm:f>火煙!#REF!</xm:f>
          </x14:formula1>
          <xm:sqref>AP194:AR194 AP17:AS17 AP26:AR26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I378"/>
  <sheetViews>
    <sheetView view="pageBreakPreview" zoomScale="140" zoomScaleSheetLayoutView="140" workbookViewId="0"/>
  </sheetViews>
  <sheetFormatPr defaultRowHeight="14.25"/>
  <cols>
    <col min="1" max="1" width="2.28515625" style="4" customWidth="1"/>
    <col min="2" max="2" width="0.85546875" style="4" customWidth="1"/>
    <col min="3" max="22" width="1.42578125" style="4" customWidth="1"/>
    <col min="23" max="26" width="1.7109375" style="4" customWidth="1"/>
    <col min="27" max="72" width="1.42578125" style="4" customWidth="1"/>
    <col min="73" max="73" width="1.7109375" style="4" customWidth="1"/>
    <col min="74" max="74" width="1.7109375" style="4" hidden="1" customWidth="1"/>
    <col min="75" max="165" width="3.7109375" style="4" hidden="1" customWidth="1"/>
    <col min="166" max="166" width="1.7109375" style="4" customWidth="1"/>
    <col min="167" max="180" width="2.85546875" style="4" customWidth="1"/>
    <col min="181" max="16384" width="9.140625" style="4"/>
  </cols>
  <sheetData>
    <row r="1" spans="2:165" ht="12" customHeight="1">
      <c r="Y1" s="81"/>
    </row>
    <row r="2" spans="2:165" ht="9.75" customHeight="1" thickBot="1">
      <c r="B2" s="93">
        <v>1</v>
      </c>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10" t="s">
        <v>1364</v>
      </c>
      <c r="DC2" s="8"/>
      <c r="DD2" s="8"/>
      <c r="DE2" s="8"/>
      <c r="DF2" s="8"/>
      <c r="DG2" s="108" t="s">
        <v>116</v>
      </c>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row>
    <row r="3" spans="2:165" ht="12" customHeight="1" thickBot="1">
      <c r="B3" s="2221">
        <f>[3]Top!$AV$90</f>
        <v>13</v>
      </c>
      <c r="C3" s="2221"/>
      <c r="D3" s="2221"/>
      <c r="E3" s="2440" t="str">
        <f>IF(B2=0,"",[3]Top!$BA$90)</f>
        <v xml:space="preserve"> テレビ共聴設備工事</v>
      </c>
      <c r="F3" s="2441"/>
      <c r="G3" s="2441"/>
      <c r="H3" s="2441"/>
      <c r="I3" s="2441"/>
      <c r="J3" s="2441"/>
      <c r="K3" s="2441"/>
      <c r="L3" s="2441"/>
      <c r="M3" s="2441"/>
      <c r="N3" s="2441"/>
      <c r="O3" s="2441"/>
      <c r="P3" s="2441"/>
      <c r="Q3" s="2441"/>
      <c r="R3" s="2441"/>
      <c r="S3" s="2441"/>
      <c r="T3" s="2441"/>
      <c r="U3" s="2441"/>
      <c r="V3" s="2441"/>
      <c r="W3" s="2441"/>
      <c r="X3" s="73"/>
      <c r="Y3" s="2432" t="s">
        <v>1363</v>
      </c>
      <c r="Z3" s="2433"/>
      <c r="AA3" s="2433"/>
      <c r="AB3" s="2433"/>
      <c r="AC3" s="2434"/>
      <c r="AD3" s="35"/>
      <c r="AE3" s="3591" t="s">
        <v>1022</v>
      </c>
      <c r="AF3" s="3592"/>
      <c r="AG3" s="3592"/>
      <c r="AH3" s="3592"/>
      <c r="AI3" s="3593"/>
      <c r="AJ3" s="35"/>
      <c r="AK3" s="3591" t="s">
        <v>107</v>
      </c>
      <c r="AL3" s="3592"/>
      <c r="AM3" s="3592"/>
      <c r="AN3" s="3592"/>
      <c r="AO3" s="3593"/>
      <c r="AP3" s="35"/>
      <c r="AQ3" s="2432" t="s">
        <v>1362</v>
      </c>
      <c r="AR3" s="2433"/>
      <c r="AS3" s="2433"/>
      <c r="AT3" s="2433"/>
      <c r="AU3" s="2434"/>
      <c r="AV3" s="35"/>
      <c r="AW3" s="35"/>
      <c r="AX3" s="35"/>
      <c r="AY3" s="35"/>
      <c r="AZ3" s="35"/>
      <c r="BA3" s="35"/>
      <c r="BB3" s="35"/>
      <c r="BC3" s="35"/>
      <c r="BD3" s="35"/>
      <c r="BE3" s="35"/>
      <c r="BF3" s="35"/>
      <c r="BG3" s="863"/>
      <c r="BH3" s="863"/>
      <c r="BI3" s="863"/>
      <c r="BJ3" s="863"/>
      <c r="BK3" s="863"/>
      <c r="BL3" s="863"/>
      <c r="BM3" s="4024" t="s">
        <v>1361</v>
      </c>
      <c r="BN3" s="3092"/>
      <c r="BO3" s="3092"/>
      <c r="BP3" s="3092"/>
      <c r="BQ3" s="3092"/>
      <c r="BR3" s="3092"/>
      <c r="BS3" s="3093"/>
      <c r="BT3" s="35"/>
      <c r="BU3" s="19"/>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10" t="s">
        <v>1360</v>
      </c>
      <c r="DC3" s="8"/>
      <c r="DD3" s="8"/>
      <c r="DE3" s="8"/>
      <c r="DF3" s="8"/>
      <c r="DG3" s="108" t="s">
        <v>1359</v>
      </c>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row>
    <row r="4" spans="2:165" ht="6" customHeight="1" thickBot="1">
      <c r="B4" s="71"/>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863"/>
      <c r="BH4" s="863"/>
      <c r="BI4" s="863"/>
      <c r="BJ4" s="863"/>
      <c r="BK4" s="863"/>
      <c r="BL4" s="863"/>
      <c r="BM4" s="35"/>
      <c r="BN4" s="862"/>
      <c r="BO4" s="862"/>
      <c r="BP4" s="862"/>
      <c r="BQ4" s="862"/>
      <c r="BR4" s="862"/>
      <c r="BS4" s="862"/>
      <c r="BT4" s="35"/>
      <c r="BU4" s="19"/>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10" t="s">
        <v>1358</v>
      </c>
      <c r="DC4" s="8"/>
      <c r="DD4" s="8"/>
      <c r="DE4" s="8"/>
      <c r="DF4" s="8"/>
      <c r="DG4" s="108" t="s">
        <v>1357</v>
      </c>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row>
    <row r="5" spans="2:165" ht="3.75" customHeight="1">
      <c r="B5" s="23"/>
      <c r="C5" s="35"/>
      <c r="D5" s="491"/>
      <c r="E5" s="490"/>
      <c r="F5" s="490"/>
      <c r="G5" s="490"/>
      <c r="H5" s="490"/>
      <c r="I5" s="490"/>
      <c r="J5" s="490"/>
      <c r="K5" s="490"/>
      <c r="L5" s="490"/>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0"/>
      <c r="BF5" s="35"/>
      <c r="BG5" s="859"/>
      <c r="BH5" s="858"/>
      <c r="BI5" s="858"/>
      <c r="BJ5" s="858"/>
      <c r="BK5" s="858"/>
      <c r="BL5" s="858"/>
      <c r="BM5" s="857"/>
      <c r="BN5" s="3541" t="s">
        <v>21</v>
      </c>
      <c r="BO5" s="3541"/>
      <c r="BP5" s="3541"/>
      <c r="BQ5" s="3541"/>
      <c r="BR5" s="3541"/>
      <c r="BS5" s="3542"/>
      <c r="BT5" s="35"/>
      <c r="BU5" s="19"/>
      <c r="BV5" s="8"/>
      <c r="BW5" s="852"/>
      <c r="BX5" s="852"/>
      <c r="BY5" s="852"/>
      <c r="BZ5" s="852"/>
      <c r="CA5" s="852"/>
      <c r="CB5" s="852"/>
      <c r="CC5" s="856"/>
      <c r="CD5" s="851"/>
      <c r="CE5" s="851"/>
      <c r="CF5" s="851"/>
      <c r="CG5" s="851"/>
      <c r="CH5" s="851"/>
      <c r="CI5" s="851"/>
      <c r="CJ5" s="8"/>
      <c r="CK5" s="8"/>
      <c r="CL5" s="8"/>
      <c r="CM5" s="8"/>
      <c r="CN5" s="8"/>
      <c r="CO5" s="8"/>
      <c r="CP5" s="8"/>
      <c r="CQ5" s="8"/>
      <c r="CR5" s="8"/>
      <c r="CS5" s="8"/>
      <c r="CT5" s="8"/>
      <c r="CU5" s="8"/>
      <c r="CV5" s="8"/>
      <c r="CW5" s="8"/>
      <c r="CX5" s="8"/>
      <c r="CY5" s="8"/>
      <c r="CZ5" s="8"/>
      <c r="DA5" s="8"/>
      <c r="DB5" s="10"/>
      <c r="DC5" s="8"/>
      <c r="DD5" s="8"/>
      <c r="DE5" s="8"/>
      <c r="DF5" s="8"/>
      <c r="DG5" s="10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row>
    <row r="6" spans="2:165" ht="12" customHeight="1">
      <c r="B6" s="23"/>
      <c r="C6" s="35"/>
      <c r="D6" s="841"/>
      <c r="E6" s="103"/>
      <c r="F6" s="103"/>
      <c r="G6" s="103"/>
      <c r="H6" s="103"/>
      <c r="I6" s="103"/>
      <c r="J6" s="103"/>
      <c r="K6" s="103"/>
      <c r="L6" s="412"/>
      <c r="M6" s="840"/>
      <c r="N6" s="840"/>
      <c r="O6" s="2861"/>
      <c r="P6" s="2861"/>
      <c r="Q6" s="2861"/>
      <c r="R6" s="2861"/>
      <c r="S6" s="299"/>
      <c r="T6" s="236"/>
      <c r="U6" s="236"/>
      <c r="V6" s="236"/>
      <c r="W6" s="236"/>
      <c r="X6" s="236"/>
      <c r="Y6" s="236"/>
      <c r="Z6" s="236"/>
      <c r="AA6" s="236"/>
      <c r="AB6" s="235" t="s">
        <v>1356</v>
      </c>
      <c r="AC6" s="2399" t="s">
        <v>1343</v>
      </c>
      <c r="AD6" s="2399"/>
      <c r="AE6" s="2399"/>
      <c r="AF6" s="2399"/>
      <c r="AG6" s="2399"/>
      <c r="AH6" s="236"/>
      <c r="AI6" s="236"/>
      <c r="AJ6" s="236"/>
      <c r="AK6" s="236"/>
      <c r="AL6" s="236"/>
      <c r="AM6" s="236"/>
      <c r="AN6" s="236"/>
      <c r="AO6" s="236"/>
      <c r="AP6" s="236"/>
      <c r="AQ6" s="235" t="s">
        <v>1355</v>
      </c>
      <c r="AR6" s="2399" t="s">
        <v>1343</v>
      </c>
      <c r="AS6" s="2399"/>
      <c r="AT6" s="2399"/>
      <c r="AU6" s="2399"/>
      <c r="AV6" s="4025" t="s">
        <v>1354</v>
      </c>
      <c r="AW6" s="4025"/>
      <c r="AX6" s="4025"/>
      <c r="AY6" s="4025"/>
      <c r="AZ6" s="4025"/>
      <c r="BA6" s="4025"/>
      <c r="BB6" s="4025"/>
      <c r="BC6" s="4025"/>
      <c r="BD6" s="4025"/>
      <c r="BE6" s="837"/>
      <c r="BF6" s="35"/>
      <c r="BG6" s="483"/>
      <c r="BH6" s="482"/>
      <c r="BI6" s="482"/>
      <c r="BJ6" s="482"/>
      <c r="BK6" s="482"/>
      <c r="BL6" s="482"/>
      <c r="BM6" s="658"/>
      <c r="BN6" s="3543"/>
      <c r="BO6" s="3543"/>
      <c r="BP6" s="3543"/>
      <c r="BQ6" s="3543"/>
      <c r="BR6" s="3543"/>
      <c r="BS6" s="3544"/>
      <c r="BT6" s="35"/>
      <c r="BU6" s="19"/>
      <c r="BV6" s="9"/>
      <c r="BW6" s="852"/>
      <c r="BX6" s="852"/>
      <c r="BY6" s="852"/>
      <c r="BZ6" s="852"/>
      <c r="CA6" s="852"/>
      <c r="CB6" s="855"/>
      <c r="CC6" s="855"/>
      <c r="CD6" s="855"/>
      <c r="CE6" s="855"/>
      <c r="CF6" s="855"/>
      <c r="CG6" s="854"/>
      <c r="CH6" s="854"/>
      <c r="CI6" s="854"/>
      <c r="CJ6" s="9"/>
      <c r="CK6" s="9"/>
      <c r="CL6" s="9"/>
      <c r="CM6" s="9"/>
      <c r="CN6" s="9"/>
      <c r="CO6" s="9"/>
      <c r="CP6" s="9"/>
      <c r="CQ6" s="9"/>
      <c r="CR6" s="9"/>
      <c r="CS6" s="9"/>
      <c r="CT6" s="9"/>
      <c r="CU6" s="9"/>
      <c r="CV6" s="9"/>
      <c r="CW6" s="9"/>
      <c r="CX6" s="9"/>
      <c r="CY6" s="9"/>
      <c r="CZ6" s="9"/>
      <c r="DA6" s="9"/>
      <c r="DB6" s="10" t="s">
        <v>1353</v>
      </c>
      <c r="DC6" s="8"/>
      <c r="DD6" s="8"/>
      <c r="DE6" s="8"/>
      <c r="DF6" s="8"/>
      <c r="DG6" s="108" t="s">
        <v>1352</v>
      </c>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row>
    <row r="7" spans="2:165" ht="11.25" customHeight="1">
      <c r="B7" s="23"/>
      <c r="C7" s="850"/>
      <c r="D7" s="849"/>
      <c r="E7" s="4021" t="s">
        <v>1351</v>
      </c>
      <c r="F7" s="4021"/>
      <c r="G7" s="4021"/>
      <c r="H7" s="4021"/>
      <c r="I7" s="4021"/>
      <c r="J7" s="4021"/>
      <c r="K7" s="4021"/>
      <c r="L7" s="4021"/>
      <c r="M7" s="840"/>
      <c r="N7" s="3993" t="s">
        <v>1350</v>
      </c>
      <c r="O7" s="3994"/>
      <c r="P7" s="3994"/>
      <c r="Q7" s="3994"/>
      <c r="R7" s="3994"/>
      <c r="S7" s="3994"/>
      <c r="T7" s="3994"/>
      <c r="U7" s="3994"/>
      <c r="V7" s="3994"/>
      <c r="W7" s="3995"/>
      <c r="X7" s="3966">
        <f>IF(B2=0,"",IF(AB7="",1500,AB7))</f>
        <v>1500</v>
      </c>
      <c r="Y7" s="3967"/>
      <c r="Z7" s="3967"/>
      <c r="AA7" s="3968"/>
      <c r="AB7" s="3997"/>
      <c r="AC7" s="3998"/>
      <c r="AD7" s="3998"/>
      <c r="AE7" s="3998"/>
      <c r="AF7" s="3999"/>
      <c r="AG7" s="236"/>
      <c r="AH7" s="3963" t="s">
        <v>1349</v>
      </c>
      <c r="AI7" s="3964"/>
      <c r="AJ7" s="3964"/>
      <c r="AK7" s="3964"/>
      <c r="AL7" s="3965"/>
      <c r="AM7" s="3966">
        <f>IF(B2=0,"",IF(AR7="",1500,AR7))</f>
        <v>1500</v>
      </c>
      <c r="AN7" s="3967"/>
      <c r="AO7" s="3967"/>
      <c r="AP7" s="3968"/>
      <c r="AQ7" s="839" t="s">
        <v>1236</v>
      </c>
      <c r="AR7" s="3990"/>
      <c r="AS7" s="3991"/>
      <c r="AT7" s="3991"/>
      <c r="AU7" s="3992"/>
      <c r="AV7" s="103"/>
      <c r="AW7" s="2418" t="s">
        <v>142</v>
      </c>
      <c r="AX7" s="2418"/>
      <c r="AY7" s="2418"/>
      <c r="AZ7" s="2418"/>
      <c r="BA7" s="2418" t="s">
        <v>1343</v>
      </c>
      <c r="BB7" s="2418"/>
      <c r="BC7" s="2418"/>
      <c r="BD7" s="2418"/>
      <c r="BE7" s="837"/>
      <c r="BF7" s="35"/>
      <c r="BG7" s="483"/>
      <c r="BH7" s="482"/>
      <c r="BI7" s="482"/>
      <c r="BJ7" s="3545" t="str">
        <f>IF(B2=0,"","敷地形状")</f>
        <v>敷地形状</v>
      </c>
      <c r="BK7" s="3546"/>
      <c r="BL7" s="3546"/>
      <c r="BM7" s="3546"/>
      <c r="BN7" s="3546"/>
      <c r="BO7" s="3547">
        <f>IF(B2=0,"",[6]Top!$AB$18)</f>
        <v>1.4</v>
      </c>
      <c r="BP7" s="3547"/>
      <c r="BQ7" s="3548"/>
      <c r="BR7" s="482"/>
      <c r="BS7" s="853"/>
      <c r="BT7" s="35"/>
      <c r="BU7" s="19"/>
      <c r="BV7" s="9"/>
      <c r="BW7" s="852"/>
      <c r="BX7" s="852"/>
      <c r="BY7" s="852"/>
      <c r="BZ7" s="852"/>
      <c r="CA7" s="852"/>
      <c r="CB7" s="852"/>
      <c r="CC7" s="831"/>
      <c r="CD7" s="851"/>
      <c r="CE7" s="851"/>
      <c r="CF7" s="851"/>
      <c r="CG7" s="851"/>
      <c r="CH7" s="851"/>
      <c r="CI7" s="851"/>
      <c r="CJ7" s="9"/>
      <c r="CK7" s="9"/>
      <c r="CL7" s="9"/>
      <c r="CM7" s="9"/>
      <c r="CN7" s="9"/>
      <c r="CO7" s="9"/>
      <c r="CP7" s="9"/>
      <c r="CQ7" s="9"/>
      <c r="CR7" s="9"/>
      <c r="CS7" s="9"/>
      <c r="CT7" s="9"/>
      <c r="CU7" s="9"/>
      <c r="CV7" s="9"/>
      <c r="CW7" s="9"/>
      <c r="CX7" s="9"/>
      <c r="CY7" s="9"/>
      <c r="CZ7" s="9"/>
      <c r="DA7" s="9"/>
      <c r="DB7" s="10" t="s">
        <v>1348</v>
      </c>
      <c r="DC7" s="8"/>
      <c r="DD7" s="8"/>
      <c r="DE7" s="8"/>
      <c r="DF7" s="8"/>
      <c r="DG7" s="108" t="s">
        <v>1347</v>
      </c>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row>
    <row r="8" spans="2:165" ht="11.25" customHeight="1">
      <c r="B8" s="23"/>
      <c r="C8" s="850"/>
      <c r="D8" s="849"/>
      <c r="E8" s="848"/>
      <c r="F8" s="848"/>
      <c r="G8" s="848"/>
      <c r="H8" s="848"/>
      <c r="I8" s="848"/>
      <c r="J8" s="848"/>
      <c r="K8" s="848"/>
      <c r="L8" s="848"/>
      <c r="M8" s="840"/>
      <c r="N8" s="3993" t="s">
        <v>789</v>
      </c>
      <c r="O8" s="3994"/>
      <c r="P8" s="3994"/>
      <c r="Q8" s="3994"/>
      <c r="R8" s="3994"/>
      <c r="S8" s="3994"/>
      <c r="T8" s="3994"/>
      <c r="U8" s="3994"/>
      <c r="V8" s="3994"/>
      <c r="W8" s="3995"/>
      <c r="X8" s="3966">
        <f>IF(B2=0,"",IF(AB8="",500,AB8))</f>
        <v>500</v>
      </c>
      <c r="Y8" s="3967"/>
      <c r="Z8" s="3967"/>
      <c r="AA8" s="3968"/>
      <c r="AB8" s="3997"/>
      <c r="AC8" s="3998"/>
      <c r="AD8" s="3998"/>
      <c r="AE8" s="3998"/>
      <c r="AF8" s="3999"/>
      <c r="AG8" s="236"/>
      <c r="AH8" s="3963" t="s">
        <v>1346</v>
      </c>
      <c r="AI8" s="3964"/>
      <c r="AJ8" s="3964"/>
      <c r="AK8" s="3964"/>
      <c r="AL8" s="3965"/>
      <c r="AM8" s="3966">
        <f>IF(B2=0,"",IF(AR8="",1000,AR8))</f>
        <v>1000</v>
      </c>
      <c r="AN8" s="3967"/>
      <c r="AO8" s="3967"/>
      <c r="AP8" s="3968"/>
      <c r="AQ8" s="839" t="s">
        <v>1236</v>
      </c>
      <c r="AR8" s="4026"/>
      <c r="AS8" s="4027"/>
      <c r="AT8" s="4027"/>
      <c r="AU8" s="4028"/>
      <c r="AV8" s="103"/>
      <c r="AW8" s="2694">
        <f>IF(B2=0,"",IF(BA8="",700,BA8))</f>
        <v>700</v>
      </c>
      <c r="AX8" s="2681"/>
      <c r="AY8" s="2681"/>
      <c r="AZ8" s="2682"/>
      <c r="BA8" s="3990"/>
      <c r="BB8" s="3991"/>
      <c r="BC8" s="3991"/>
      <c r="BD8" s="3992"/>
      <c r="BE8" s="837"/>
      <c r="BF8" s="35"/>
      <c r="BG8" s="483"/>
      <c r="BH8" s="482"/>
      <c r="BI8" s="482"/>
      <c r="BJ8" s="482"/>
      <c r="BK8" s="482"/>
      <c r="BL8" s="482"/>
      <c r="BM8" s="658"/>
      <c r="BN8" s="482"/>
      <c r="BO8" s="482"/>
      <c r="BP8" s="482"/>
      <c r="BQ8" s="482"/>
      <c r="BR8" s="482"/>
      <c r="BS8" s="853"/>
      <c r="BT8" s="35"/>
      <c r="BU8" s="19"/>
      <c r="BV8" s="9"/>
      <c r="BW8" s="852"/>
      <c r="BX8" s="852"/>
      <c r="BY8" s="852"/>
      <c r="BZ8" s="852"/>
      <c r="CA8" s="852"/>
      <c r="CB8" s="852"/>
      <c r="CC8" s="831"/>
      <c r="CD8" s="851"/>
      <c r="CE8" s="851"/>
      <c r="CF8" s="851"/>
      <c r="CG8" s="851"/>
      <c r="CH8" s="851"/>
      <c r="CI8" s="851"/>
      <c r="CJ8" s="9"/>
      <c r="CK8" s="9"/>
      <c r="CL8" s="9"/>
      <c r="CM8" s="9"/>
      <c r="CN8" s="9"/>
      <c r="CO8" s="9"/>
      <c r="CP8" s="9"/>
      <c r="CQ8" s="9"/>
      <c r="CR8" s="9"/>
      <c r="CS8" s="9"/>
      <c r="CT8" s="9"/>
      <c r="CU8" s="9"/>
      <c r="CV8" s="9"/>
      <c r="CW8" s="9"/>
      <c r="CX8" s="9"/>
      <c r="CY8" s="9"/>
      <c r="CZ8" s="9"/>
      <c r="DA8" s="9"/>
      <c r="DB8" s="10" t="s">
        <v>1345</v>
      </c>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row>
    <row r="9" spans="2:165" ht="11.25" customHeight="1">
      <c r="B9" s="23"/>
      <c r="C9" s="850"/>
      <c r="D9" s="849"/>
      <c r="E9" s="848"/>
      <c r="F9" s="848"/>
      <c r="G9" s="848"/>
      <c r="H9" s="848"/>
      <c r="I9" s="848"/>
      <c r="J9" s="848"/>
      <c r="K9" s="848"/>
      <c r="L9" s="848"/>
      <c r="M9" s="840"/>
      <c r="N9" s="3971" t="s">
        <v>1344</v>
      </c>
      <c r="O9" s="3972"/>
      <c r="P9" s="3972"/>
      <c r="Q9" s="3972"/>
      <c r="R9" s="3972"/>
      <c r="S9" s="3972"/>
      <c r="T9" s="3972"/>
      <c r="U9" s="3972"/>
      <c r="V9" s="3972"/>
      <c r="W9" s="3973"/>
      <c r="X9" s="3966">
        <f>IF(B2=0,"",IF(AC9="",150,AC9))</f>
        <v>150</v>
      </c>
      <c r="Y9" s="3967"/>
      <c r="Z9" s="3967"/>
      <c r="AA9" s="3968"/>
      <c r="AB9" s="3997"/>
      <c r="AC9" s="3998"/>
      <c r="AD9" s="3998"/>
      <c r="AE9" s="3998"/>
      <c r="AF9" s="3999"/>
      <c r="AG9" s="236"/>
      <c r="AH9" s="3963" t="s">
        <v>1344</v>
      </c>
      <c r="AI9" s="3964"/>
      <c r="AJ9" s="3964"/>
      <c r="AK9" s="3964"/>
      <c r="AL9" s="3965"/>
      <c r="AM9" s="3966">
        <f>IF(B2=0,"",IF(AR9="",300,AR9))</f>
        <v>300</v>
      </c>
      <c r="AN9" s="3967"/>
      <c r="AO9" s="3967"/>
      <c r="AP9" s="3968"/>
      <c r="AQ9" s="839" t="s">
        <v>1236</v>
      </c>
      <c r="AR9" s="4026"/>
      <c r="AS9" s="4027"/>
      <c r="AT9" s="4027"/>
      <c r="AU9" s="4028"/>
      <c r="AV9" s="103"/>
      <c r="AW9" s="2418" t="s">
        <v>140</v>
      </c>
      <c r="AX9" s="2418"/>
      <c r="AY9" s="2418"/>
      <c r="AZ9" s="2418"/>
      <c r="BA9" s="2418" t="s">
        <v>1343</v>
      </c>
      <c r="BB9" s="2418"/>
      <c r="BC9" s="2418"/>
      <c r="BD9" s="2418"/>
      <c r="BE9" s="837"/>
      <c r="BF9" s="35"/>
      <c r="BG9" s="847" t="s">
        <v>1340</v>
      </c>
      <c r="BH9" s="471" t="s">
        <v>1342</v>
      </c>
      <c r="BI9" s="461"/>
      <c r="BJ9" s="846" t="s">
        <v>1340</v>
      </c>
      <c r="BK9" s="471" t="s">
        <v>1341</v>
      </c>
      <c r="BL9" s="461"/>
      <c r="BM9" s="846" t="s">
        <v>1340</v>
      </c>
      <c r="BN9" s="292" t="s">
        <v>1339</v>
      </c>
      <c r="BO9" s="58"/>
      <c r="BP9" s="58"/>
      <c r="BQ9" s="58"/>
      <c r="BR9" s="58"/>
      <c r="BS9" s="291"/>
      <c r="BT9" s="35"/>
      <c r="BU9" s="19"/>
      <c r="BV9" s="9"/>
      <c r="BW9" s="845"/>
      <c r="BX9" s="832"/>
      <c r="BY9" s="831"/>
      <c r="BZ9" s="845"/>
      <c r="CA9" s="832"/>
      <c r="CB9" s="831"/>
      <c r="CC9" s="845"/>
      <c r="CD9" s="832"/>
      <c r="CE9" s="831"/>
      <c r="CF9" s="831"/>
      <c r="CG9" s="831"/>
      <c r="CH9" s="831"/>
      <c r="CI9" s="831"/>
      <c r="CJ9" s="9"/>
      <c r="CK9" s="9"/>
      <c r="CL9" s="9"/>
      <c r="CM9" s="9"/>
      <c r="CN9" s="9"/>
      <c r="CO9" s="9"/>
      <c r="CP9" s="9"/>
      <c r="CQ9" s="9"/>
      <c r="CR9" s="9"/>
      <c r="CS9" s="9"/>
      <c r="CT9" s="9"/>
      <c r="CU9" s="9"/>
      <c r="CV9" s="9"/>
      <c r="CW9" s="9"/>
      <c r="CX9" s="9"/>
      <c r="CY9" s="9"/>
      <c r="CZ9" s="9"/>
      <c r="DA9" s="9"/>
      <c r="DB9" s="10" t="s">
        <v>1338</v>
      </c>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row>
    <row r="10" spans="2:165" ht="11.25" customHeight="1">
      <c r="B10" s="23"/>
      <c r="C10" s="35"/>
      <c r="D10" s="841"/>
      <c r="E10" s="103"/>
      <c r="F10" s="103"/>
      <c r="G10" s="103"/>
      <c r="H10" s="103"/>
      <c r="I10" s="103"/>
      <c r="J10" s="103"/>
      <c r="K10" s="103"/>
      <c r="L10" s="103"/>
      <c r="M10" s="840"/>
      <c r="N10" s="3974" t="str">
        <f>IF(H17="共聴アンテナ","共聴アンテナ設置階",IF(H17="ＣＡＴＶ","CATV引込階",""))</f>
        <v>共聴アンテナ設置階</v>
      </c>
      <c r="O10" s="3975"/>
      <c r="P10" s="3975"/>
      <c r="Q10" s="3975"/>
      <c r="R10" s="3975"/>
      <c r="S10" s="3975"/>
      <c r="T10" s="3975"/>
      <c r="U10" s="3975"/>
      <c r="V10" s="3975"/>
      <c r="W10" s="3976"/>
      <c r="X10" s="3977" t="str">
        <f>IF(B2=0,"",IF(H17="ＣＡＴＶ","  2F",IF(AC10&lt;&gt;"",AC10,IF(AND(H17="共聴アンテナ",BY11&lt;&gt;""),BX11,""))))</f>
        <v>PH2F</v>
      </c>
      <c r="Y10" s="3978"/>
      <c r="Z10" s="3978"/>
      <c r="AA10" s="3979"/>
      <c r="AB10" s="844" t="s">
        <v>1236</v>
      </c>
      <c r="AC10" s="3959"/>
      <c r="AD10" s="3960"/>
      <c r="AE10" s="3960"/>
      <c r="AF10" s="3960"/>
      <c r="AG10" s="103"/>
      <c r="AH10" s="4003" t="s">
        <v>1337</v>
      </c>
      <c r="AI10" s="4004"/>
      <c r="AJ10" s="4004"/>
      <c r="AK10" s="4005"/>
      <c r="AL10" s="4006" t="str">
        <f>IF(B2=0,"",IF(AR10="","nC-FB",AR10))</f>
        <v>nC-FB</v>
      </c>
      <c r="AM10" s="4006"/>
      <c r="AN10" s="4007"/>
      <c r="AO10" s="4007"/>
      <c r="AP10" s="4007"/>
      <c r="AQ10" s="839" t="s">
        <v>1236</v>
      </c>
      <c r="AR10" s="4000"/>
      <c r="AS10" s="4001"/>
      <c r="AT10" s="4001"/>
      <c r="AU10" s="4002"/>
      <c r="AV10" s="103"/>
      <c r="AW10" s="2694">
        <f>IF(B2=0,"",IF(BA10="",6000,BA10))</f>
        <v>6000</v>
      </c>
      <c r="AX10" s="2681"/>
      <c r="AY10" s="2681"/>
      <c r="AZ10" s="2682"/>
      <c r="BA10" s="3990"/>
      <c r="BB10" s="3991"/>
      <c r="BC10" s="3991"/>
      <c r="BD10" s="3992"/>
      <c r="BE10" s="837"/>
      <c r="BF10" s="35"/>
      <c r="BG10" s="843" t="s">
        <v>242</v>
      </c>
      <c r="BH10" s="471" t="s">
        <v>1336</v>
      </c>
      <c r="BI10" s="461"/>
      <c r="BJ10" s="842" t="s">
        <v>242</v>
      </c>
      <c r="BK10" s="471" t="s">
        <v>1335</v>
      </c>
      <c r="BL10" s="461"/>
      <c r="BM10" s="842" t="s">
        <v>242</v>
      </c>
      <c r="BN10" s="292" t="s">
        <v>1334</v>
      </c>
      <c r="BO10" s="58"/>
      <c r="BP10" s="58"/>
      <c r="BQ10" s="58"/>
      <c r="BR10" s="58"/>
      <c r="BS10" s="291"/>
      <c r="BT10" s="35"/>
      <c r="BU10" s="19"/>
      <c r="BV10" s="9"/>
      <c r="BW10" s="831"/>
      <c r="BX10" s="833" t="str">
        <f>IF(B2=0,"",[6]Top!$AE$130)</f>
        <v xml:space="preserve"> 12F</v>
      </c>
      <c r="BY10" s="4022">
        <f>IF(B2=0,"",[6]Top!$Y$130)</f>
        <v>49.75</v>
      </c>
      <c r="BZ10" s="4023"/>
      <c r="CA10" s="832"/>
      <c r="CB10" s="831"/>
      <c r="CC10" s="831"/>
      <c r="CD10" s="832"/>
      <c r="CE10" s="831"/>
      <c r="CF10" s="831"/>
      <c r="CG10" s="831"/>
      <c r="CH10" s="831"/>
      <c r="CI10" s="831"/>
      <c r="CJ10" s="9"/>
      <c r="CK10" s="9"/>
      <c r="CL10" s="9"/>
      <c r="CM10" s="9"/>
      <c r="CN10" s="9"/>
      <c r="CO10" s="9"/>
      <c r="CP10" s="9"/>
      <c r="CQ10" s="9"/>
      <c r="CR10" s="9"/>
      <c r="CS10" s="9"/>
      <c r="CT10" s="9"/>
      <c r="CU10" s="9"/>
      <c r="CV10" s="9"/>
      <c r="CW10" s="9"/>
      <c r="CX10" s="9"/>
      <c r="CY10" s="9"/>
      <c r="CZ10" s="9"/>
      <c r="DA10" s="9"/>
      <c r="DB10" s="10" t="s">
        <v>1333</v>
      </c>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row>
    <row r="11" spans="2:165" ht="11.25" customHeight="1">
      <c r="B11" s="23"/>
      <c r="C11" s="35"/>
      <c r="D11" s="841"/>
      <c r="E11" s="103"/>
      <c r="F11" s="103"/>
      <c r="G11" s="103"/>
      <c r="H11" s="103"/>
      <c r="I11" s="103"/>
      <c r="J11" s="103"/>
      <c r="K11" s="103"/>
      <c r="L11" s="103"/>
      <c r="M11" s="840"/>
      <c r="N11" s="3974" t="str">
        <f>IF(B2="","","直列ユニット")</f>
        <v>直列ユニット</v>
      </c>
      <c r="O11" s="3975"/>
      <c r="P11" s="3975"/>
      <c r="Q11" s="3975"/>
      <c r="R11" s="3975"/>
      <c r="S11" s="3975"/>
      <c r="T11" s="3975"/>
      <c r="U11" s="3975"/>
      <c r="V11" s="3975"/>
      <c r="W11" s="3976"/>
      <c r="X11" s="3980" t="str">
        <f>IF(B2=0,"",IF(AC11&lt;&gt;"",AC11,"1端子"))</f>
        <v>1端子</v>
      </c>
      <c r="Y11" s="3981"/>
      <c r="Z11" s="3981"/>
      <c r="AA11" s="3982"/>
      <c r="AB11" s="839" t="s">
        <v>1236</v>
      </c>
      <c r="AC11" s="3961"/>
      <c r="AD11" s="3962"/>
      <c r="AE11" s="3962"/>
      <c r="AF11" s="3962"/>
      <c r="AG11" s="103"/>
      <c r="AH11" s="2404" t="s">
        <v>1332</v>
      </c>
      <c r="AI11" s="2405"/>
      <c r="AJ11" s="2405"/>
      <c r="AK11" s="2405"/>
      <c r="AL11" s="2405"/>
      <c r="AM11" s="2406"/>
      <c r="AN11" s="4029" t="str">
        <f>IF(B2=0,"",IF(AR11&lt;&gt;"",AR11,IF(AD19="外壁取付","③","⑦")))</f>
        <v>⑦</v>
      </c>
      <c r="AO11" s="4030"/>
      <c r="AP11" s="4030"/>
      <c r="AQ11" s="839" t="s">
        <v>68</v>
      </c>
      <c r="AR11" s="4000"/>
      <c r="AS11" s="4001"/>
      <c r="AT11" s="4001"/>
      <c r="AU11" s="4002"/>
      <c r="AV11" s="103"/>
      <c r="AW11" s="838"/>
      <c r="AX11" s="838"/>
      <c r="AY11" s="838"/>
      <c r="AZ11" s="838"/>
      <c r="BA11" s="838"/>
      <c r="BB11" s="838"/>
      <c r="BC11" s="838"/>
      <c r="BD11" s="838"/>
      <c r="BE11" s="837"/>
      <c r="BF11" s="451"/>
      <c r="BG11" s="836" t="s">
        <v>242</v>
      </c>
      <c r="BH11" s="459" t="s">
        <v>470</v>
      </c>
      <c r="BI11" s="458"/>
      <c r="BJ11" s="835" t="s">
        <v>242</v>
      </c>
      <c r="BK11" s="459" t="s">
        <v>469</v>
      </c>
      <c r="BL11" s="458"/>
      <c r="BM11" s="835" t="s">
        <v>242</v>
      </c>
      <c r="BN11" s="286" t="s">
        <v>468</v>
      </c>
      <c r="BO11" s="285"/>
      <c r="BP11" s="285"/>
      <c r="BQ11" s="285"/>
      <c r="BR11" s="285"/>
      <c r="BS11" s="284"/>
      <c r="BT11" s="451"/>
      <c r="BU11" s="825"/>
      <c r="BV11" s="834">
        <f>IF(AN11="①",1,IF(AN11="②",2,IF(AN11="③",3,IF(AN11="④",4,IF(AN11="⑤",5,IF(AN11="⑥",6,IF(AN11="⑦",7,IF(AN11="⑧",8,9))))))))</f>
        <v>7</v>
      </c>
      <c r="BW11" s="831"/>
      <c r="BX11" s="833" t="str">
        <f>IF(B2=0,"",[6]Top!$AE$131)</f>
        <v>PH2F</v>
      </c>
      <c r="BY11" s="4022">
        <f>IF(B2=0,"",[6]Top!$Y$131)</f>
        <v>57.75</v>
      </c>
      <c r="BZ11" s="4023"/>
      <c r="CA11" s="832"/>
      <c r="CB11" s="831"/>
      <c r="CC11" s="831"/>
      <c r="CD11" s="832"/>
      <c r="CE11" s="831"/>
      <c r="CF11" s="831"/>
      <c r="CG11" s="831"/>
      <c r="CH11" s="831"/>
      <c r="CI11" s="831"/>
      <c r="CJ11" s="9"/>
      <c r="CK11" s="9"/>
      <c r="CL11" s="9"/>
      <c r="CM11" s="9"/>
      <c r="CN11" s="9"/>
      <c r="CO11" s="9"/>
      <c r="CP11" s="9"/>
      <c r="CQ11" s="9"/>
      <c r="CR11" s="9"/>
      <c r="CS11" s="9"/>
      <c r="CT11" s="9"/>
      <c r="CU11" s="9"/>
      <c r="CV11" s="9"/>
      <c r="CW11" s="9"/>
      <c r="CX11" s="9"/>
      <c r="CY11" s="9"/>
      <c r="CZ11" s="9"/>
      <c r="DA11" s="9"/>
      <c r="DB11" s="10" t="s">
        <v>1331</v>
      </c>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row>
    <row r="12" spans="2:165" ht="3.75" customHeight="1" thickBot="1">
      <c r="B12" s="23"/>
      <c r="C12" s="35"/>
      <c r="D12" s="444"/>
      <c r="E12" s="443"/>
      <c r="F12" s="443"/>
      <c r="G12" s="443"/>
      <c r="H12" s="443"/>
      <c r="I12" s="443"/>
      <c r="J12" s="443"/>
      <c r="K12" s="443"/>
      <c r="L12" s="443"/>
      <c r="M12" s="830"/>
      <c r="N12" s="830"/>
      <c r="O12" s="830"/>
      <c r="P12" s="830"/>
      <c r="Q12" s="830"/>
      <c r="R12" s="830"/>
      <c r="S12" s="830"/>
      <c r="T12" s="830"/>
      <c r="U12" s="830"/>
      <c r="V12" s="830"/>
      <c r="W12" s="830"/>
      <c r="X12" s="830"/>
      <c r="Y12" s="830"/>
      <c r="Z12" s="830"/>
      <c r="AA12" s="830"/>
      <c r="AB12" s="830"/>
      <c r="AC12" s="830"/>
      <c r="AD12" s="830"/>
      <c r="AE12" s="830"/>
      <c r="AF12" s="830"/>
      <c r="AG12" s="830"/>
      <c r="AH12" s="830"/>
      <c r="AI12" s="830"/>
      <c r="AJ12" s="830"/>
      <c r="AK12" s="830"/>
      <c r="AL12" s="830"/>
      <c r="AM12" s="830"/>
      <c r="AN12" s="830"/>
      <c r="AO12" s="830"/>
      <c r="AP12" s="830"/>
      <c r="AQ12" s="830"/>
      <c r="AR12" s="830"/>
      <c r="AS12" s="830"/>
      <c r="AT12" s="830"/>
      <c r="AU12" s="830"/>
      <c r="AV12" s="830"/>
      <c r="AW12" s="830"/>
      <c r="AX12" s="830"/>
      <c r="AY12" s="830"/>
      <c r="AZ12" s="830"/>
      <c r="BA12" s="830"/>
      <c r="BB12" s="830"/>
      <c r="BC12" s="830"/>
      <c r="BD12" s="830"/>
      <c r="BE12" s="829"/>
      <c r="BF12" s="451"/>
      <c r="BG12" s="35"/>
      <c r="BH12" s="35"/>
      <c r="BI12" s="4008" t="s">
        <v>1081</v>
      </c>
      <c r="BJ12" s="4008"/>
      <c r="BK12" s="4008"/>
      <c r="BL12" s="4008"/>
      <c r="BM12" s="4008"/>
      <c r="BN12" s="4008"/>
      <c r="BO12" s="4008"/>
      <c r="BP12" s="3969" t="str">
        <f>電話!BO14</f>
        <v>Ⓖ</v>
      </c>
      <c r="BQ12" s="3969"/>
      <c r="BR12" s="35"/>
      <c r="BS12" s="35"/>
      <c r="BT12" s="451"/>
      <c r="BU12" s="825"/>
      <c r="BV12" s="9"/>
      <c r="BW12" s="94"/>
      <c r="BX12" s="94"/>
      <c r="BY12" s="170"/>
      <c r="BZ12" s="170"/>
      <c r="CA12" s="170"/>
      <c r="CB12" s="170"/>
      <c r="CC12" s="170"/>
      <c r="CD12" s="170"/>
      <c r="CE12" s="170"/>
      <c r="CF12" s="94"/>
      <c r="CG12" s="94"/>
      <c r="CH12" s="94"/>
      <c r="CI12" s="94"/>
      <c r="CJ12" s="9"/>
      <c r="CK12" s="9"/>
      <c r="CL12" s="9"/>
      <c r="CM12" s="9"/>
      <c r="CN12" s="9"/>
      <c r="CO12" s="9"/>
      <c r="CP12" s="9"/>
      <c r="CQ12" s="9"/>
      <c r="CR12" s="9"/>
      <c r="CS12" s="9"/>
      <c r="CT12" s="9"/>
      <c r="CU12" s="9"/>
      <c r="CV12" s="9"/>
      <c r="CW12" s="9"/>
      <c r="CX12" s="9"/>
      <c r="CY12" s="9"/>
      <c r="CZ12" s="9"/>
      <c r="DA12" s="9"/>
      <c r="DB12" s="10"/>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row>
    <row r="13" spans="2:165" ht="12" customHeight="1">
      <c r="B13" s="23"/>
      <c r="C13" s="35"/>
      <c r="D13" s="35"/>
      <c r="E13" s="35"/>
      <c r="F13" s="35"/>
      <c r="G13" s="35"/>
      <c r="H13" s="828" t="str">
        <f>IF(AG15&lt;65,"CATV受信を検討して下さい!!","")</f>
        <v/>
      </c>
      <c r="I13" s="827"/>
      <c r="J13" s="827"/>
      <c r="K13" s="827"/>
      <c r="L13" s="827"/>
      <c r="M13" s="827"/>
      <c r="N13" s="827"/>
      <c r="O13" s="827"/>
      <c r="P13" s="827"/>
      <c r="Q13" s="827"/>
      <c r="R13" s="827"/>
      <c r="S13" s="827"/>
      <c r="T13" s="827"/>
      <c r="U13" s="826">
        <f>AG15</f>
        <v>65</v>
      </c>
      <c r="V13" s="35"/>
      <c r="W13" s="35"/>
      <c r="X13" s="35"/>
      <c r="Y13" s="35"/>
      <c r="Z13" s="35"/>
      <c r="AA13" s="35"/>
      <c r="AB13" s="35"/>
      <c r="AC13" s="35"/>
      <c r="AD13" s="35"/>
      <c r="AE13" s="35"/>
      <c r="AF13" s="35"/>
      <c r="AG13" s="826"/>
      <c r="AH13" s="35"/>
      <c r="AI13" s="35"/>
      <c r="AJ13" s="35"/>
      <c r="AK13" s="35"/>
      <c r="AL13" s="35"/>
      <c r="AM13" s="35"/>
      <c r="AN13" s="35"/>
      <c r="AO13" s="35"/>
      <c r="AP13" s="35"/>
      <c r="AQ13" s="35"/>
      <c r="AR13" s="35"/>
      <c r="AS13" s="35"/>
      <c r="AT13" s="35"/>
      <c r="AU13" s="35"/>
      <c r="AV13" s="35"/>
      <c r="AW13" s="451"/>
      <c r="AX13" s="451"/>
      <c r="AY13" s="451"/>
      <c r="AZ13" s="451"/>
      <c r="BA13" s="451"/>
      <c r="BB13" s="451"/>
      <c r="BC13" s="451"/>
      <c r="BD13" s="451"/>
      <c r="BE13" s="451"/>
      <c r="BF13" s="451"/>
      <c r="BG13" s="451"/>
      <c r="BH13" s="451"/>
      <c r="BI13" s="4009"/>
      <c r="BJ13" s="4009"/>
      <c r="BK13" s="4009"/>
      <c r="BL13" s="4009"/>
      <c r="BM13" s="4009"/>
      <c r="BN13" s="4009"/>
      <c r="BO13" s="4009"/>
      <c r="BP13" s="3970"/>
      <c r="BQ13" s="3970"/>
      <c r="BR13" s="451"/>
      <c r="BS13" s="451"/>
      <c r="BT13" s="451"/>
      <c r="BU13" s="825"/>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10"/>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24"/>
      <c r="FE13" s="8"/>
      <c r="FF13" s="8"/>
      <c r="FG13" s="8"/>
      <c r="FH13" s="8"/>
      <c r="FI13" s="8"/>
    </row>
    <row r="14" spans="2:165" ht="3.75" customHeight="1">
      <c r="B14" s="823"/>
      <c r="C14" s="4010"/>
      <c r="D14" s="4010"/>
      <c r="E14" s="4010"/>
      <c r="F14" s="4010"/>
      <c r="G14" s="4010"/>
      <c r="H14" s="4010"/>
      <c r="I14" s="4010"/>
      <c r="J14" s="4010"/>
      <c r="K14" s="4010"/>
      <c r="L14" s="4010"/>
      <c r="M14" s="4010"/>
      <c r="N14" s="4010"/>
      <c r="O14" s="4010"/>
      <c r="P14" s="4010"/>
      <c r="Q14" s="4010"/>
      <c r="R14" s="4010"/>
      <c r="S14" s="4010"/>
      <c r="T14" s="4010"/>
      <c r="U14" s="4010"/>
      <c r="V14" s="4010"/>
      <c r="W14" s="4010"/>
      <c r="X14" s="4010"/>
      <c r="Y14" s="4010"/>
      <c r="Z14" s="4010"/>
      <c r="AA14" s="4010"/>
      <c r="AB14" s="4010"/>
      <c r="AC14" s="4010"/>
      <c r="AD14" s="4010"/>
      <c r="AE14" s="4010"/>
      <c r="AF14" s="4010"/>
      <c r="AG14" s="4010"/>
      <c r="AH14" s="4010"/>
      <c r="AI14" s="4010"/>
      <c r="AJ14" s="4010"/>
      <c r="AK14" s="4010"/>
      <c r="AL14" s="4010"/>
      <c r="AM14" s="4010"/>
      <c r="AN14" s="4010"/>
      <c r="AO14" s="4010"/>
      <c r="AP14" s="4010"/>
      <c r="AQ14" s="4010"/>
      <c r="AR14" s="4010"/>
      <c r="AS14" s="4010"/>
      <c r="AT14" s="4010"/>
      <c r="AU14" s="4010"/>
      <c r="AV14" s="4010"/>
      <c r="AW14" s="4010"/>
      <c r="AX14" s="4010"/>
      <c r="AY14" s="4010"/>
      <c r="AZ14" s="4010"/>
      <c r="BA14" s="4010"/>
      <c r="BB14" s="4010"/>
      <c r="BC14" s="4010"/>
      <c r="BD14" s="4010"/>
      <c r="BE14" s="4010"/>
      <c r="BF14" s="4010"/>
      <c r="BG14" s="4010"/>
      <c r="BH14" s="4010"/>
      <c r="BI14" s="4010"/>
      <c r="BJ14" s="4010"/>
      <c r="BK14" s="4010"/>
      <c r="BL14" s="4010"/>
      <c r="BM14" s="4010"/>
      <c r="BN14" s="4010"/>
      <c r="BO14" s="4010"/>
      <c r="BP14" s="4010"/>
      <c r="BQ14" s="4010"/>
      <c r="BR14" s="4010"/>
      <c r="BS14" s="4010"/>
      <c r="BT14" s="4010"/>
      <c r="BU14" s="3952"/>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10"/>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row>
    <row r="15" spans="2:165" ht="13.5" customHeight="1">
      <c r="B15" s="609"/>
      <c r="C15" s="4011" t="s">
        <v>1330</v>
      </c>
      <c r="D15" s="4012"/>
      <c r="E15" s="4012"/>
      <c r="F15" s="4012"/>
      <c r="G15" s="4012"/>
      <c r="H15" s="4012"/>
      <c r="I15" s="4012"/>
      <c r="J15" s="4012"/>
      <c r="K15" s="4012"/>
      <c r="L15" s="4012"/>
      <c r="M15" s="4012"/>
      <c r="N15" s="4012"/>
      <c r="O15" s="4012"/>
      <c r="P15" s="4012"/>
      <c r="Q15" s="4012"/>
      <c r="R15" s="4012"/>
      <c r="S15" s="4012"/>
      <c r="T15" s="4013"/>
      <c r="U15" s="215"/>
      <c r="V15" s="2299" t="str">
        <f>IF(B2=0,"","電界強度[dBμV/m]")</f>
        <v>電界強度[dBμV/m]</v>
      </c>
      <c r="W15" s="2299"/>
      <c r="X15" s="2299"/>
      <c r="Y15" s="2299"/>
      <c r="Z15" s="2299"/>
      <c r="AA15" s="2299"/>
      <c r="AB15" s="2299"/>
      <c r="AC15" s="2299"/>
      <c r="AD15" s="2299"/>
      <c r="AE15" s="2299"/>
      <c r="AF15" s="2299"/>
      <c r="AG15" s="4014">
        <f>IF(B2=0,"",IF(AK15&lt;&gt;"",AK15,IF(H17="ＣＡＴＶ",75,IF(H17="共聴アンテナ",65,""))))</f>
        <v>65</v>
      </c>
      <c r="AH15" s="4015"/>
      <c r="AI15" s="4015"/>
      <c r="AJ15" s="175" t="s">
        <v>68</v>
      </c>
      <c r="AK15" s="4016"/>
      <c r="AL15" s="4016"/>
      <c r="AM15" s="4016"/>
      <c r="AN15" s="215"/>
      <c r="AO15" s="2299" t="str">
        <f>IF(H17="共聴アンテナ","共聴アンテナ","")</f>
        <v>共聴アンテナ</v>
      </c>
      <c r="AP15" s="2299"/>
      <c r="AQ15" s="2299"/>
      <c r="AR15" s="2299"/>
      <c r="AS15" s="2299"/>
      <c r="AT15" s="2299"/>
      <c r="AU15" s="4031" t="str">
        <f>IF(OR(B2=0,AO15=""),"",IF(BI15&lt;&gt;"",BI15," UHF×1，BS×1，CS×1"))</f>
        <v xml:space="preserve"> UHF×1，BS×1，CS×1</v>
      </c>
      <c r="AV15" s="4031"/>
      <c r="AW15" s="4031"/>
      <c r="AX15" s="4031"/>
      <c r="AY15" s="4031"/>
      <c r="AZ15" s="4031"/>
      <c r="BA15" s="4031"/>
      <c r="BB15" s="4031"/>
      <c r="BC15" s="4031"/>
      <c r="BD15" s="4031"/>
      <c r="BE15" s="4031"/>
      <c r="BF15" s="4031"/>
      <c r="BG15" s="4031"/>
      <c r="BH15" s="175" t="s">
        <v>68</v>
      </c>
      <c r="BI15" s="4032"/>
      <c r="BJ15" s="4033"/>
      <c r="BK15" s="4033"/>
      <c r="BL15" s="4033"/>
      <c r="BM15" s="4033"/>
      <c r="BN15" s="4033"/>
      <c r="BO15" s="4033"/>
      <c r="BP15" s="4033"/>
      <c r="BQ15" s="4033"/>
      <c r="BR15" s="4033"/>
      <c r="BS15" s="4033"/>
      <c r="BT15" s="4034"/>
      <c r="BU15" s="3952"/>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21" t="s">
        <v>1329</v>
      </c>
      <c r="DC15" s="821" t="s">
        <v>1328</v>
      </c>
      <c r="DD15" s="821" t="s">
        <v>1327</v>
      </c>
      <c r="DE15" s="821" t="s">
        <v>1326</v>
      </c>
      <c r="DF15" s="821" t="s">
        <v>1325</v>
      </c>
      <c r="DG15" s="821" t="s">
        <v>826</v>
      </c>
      <c r="DH15" s="821" t="s">
        <v>825</v>
      </c>
      <c r="DI15" s="821" t="s">
        <v>823</v>
      </c>
      <c r="DJ15" s="821" t="s">
        <v>1324</v>
      </c>
      <c r="DK15" s="821" t="s">
        <v>1323</v>
      </c>
      <c r="DL15" s="821" t="s">
        <v>1322</v>
      </c>
      <c r="DM15" s="821" t="s">
        <v>1321</v>
      </c>
      <c r="DN15" s="821" t="s">
        <v>1320</v>
      </c>
      <c r="DO15" s="821" t="s">
        <v>1319</v>
      </c>
      <c r="DP15" s="821" t="s">
        <v>1318</v>
      </c>
      <c r="DQ15" s="821" t="s">
        <v>1317</v>
      </c>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row>
    <row r="16" spans="2:165" ht="3.75" customHeight="1">
      <c r="B16" s="609"/>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3"/>
      <c r="AB16" s="3983"/>
      <c r="AC16" s="3983"/>
      <c r="AD16" s="3983"/>
      <c r="AE16" s="3983"/>
      <c r="AF16" s="3983"/>
      <c r="AG16" s="3983"/>
      <c r="AH16" s="3983"/>
      <c r="AI16" s="3983"/>
      <c r="AJ16" s="3983"/>
      <c r="AK16" s="3983"/>
      <c r="AL16" s="3983"/>
      <c r="AM16" s="3983"/>
      <c r="AN16" s="3983"/>
      <c r="AO16" s="3983"/>
      <c r="AP16" s="3983"/>
      <c r="AQ16" s="3983"/>
      <c r="AR16" s="3983"/>
      <c r="AS16" s="3983"/>
      <c r="AT16" s="3983"/>
      <c r="AU16" s="3983"/>
      <c r="AV16" s="3983"/>
      <c r="AW16" s="3983"/>
      <c r="AX16" s="3983"/>
      <c r="AY16" s="3983"/>
      <c r="AZ16" s="3983"/>
      <c r="BA16" s="3983"/>
      <c r="BB16" s="3983"/>
      <c r="BC16" s="3983"/>
      <c r="BD16" s="3983"/>
      <c r="BE16" s="3983"/>
      <c r="BF16" s="3983"/>
      <c r="BG16" s="3983"/>
      <c r="BH16" s="3983"/>
      <c r="BI16" s="3983"/>
      <c r="BJ16" s="3983"/>
      <c r="BK16" s="3983"/>
      <c r="BL16" s="3983"/>
      <c r="BM16" s="3983"/>
      <c r="BN16" s="3983"/>
      <c r="BO16" s="3983"/>
      <c r="BP16" s="3983"/>
      <c r="BQ16" s="3983"/>
      <c r="BR16" s="3983"/>
      <c r="BS16" s="3983"/>
      <c r="BT16" s="3983"/>
      <c r="BU16" s="3952"/>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10"/>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row>
    <row r="17" spans="1:165" ht="13.5" customHeight="1">
      <c r="B17" s="609"/>
      <c r="C17" s="2299" t="s">
        <v>1316</v>
      </c>
      <c r="D17" s="2299"/>
      <c r="E17" s="2299"/>
      <c r="F17" s="2299"/>
      <c r="G17" s="2299"/>
      <c r="H17" s="2630" t="str">
        <f>IF(B2=0,"",IF(O17&lt;&gt;"",O17,"共聴アンテナ"))</f>
        <v>共聴アンテナ</v>
      </c>
      <c r="I17" s="2337"/>
      <c r="J17" s="2337"/>
      <c r="K17" s="2337"/>
      <c r="L17" s="2337"/>
      <c r="M17" s="2337"/>
      <c r="N17" s="175" t="s">
        <v>68</v>
      </c>
      <c r="O17" s="3996"/>
      <c r="P17" s="3996"/>
      <c r="Q17" s="3996"/>
      <c r="R17" s="3996"/>
      <c r="S17" s="3996"/>
      <c r="T17" s="3996"/>
      <c r="U17" s="215"/>
      <c r="V17" s="2299" t="str">
        <f>IF(AO15="","","共聴アンテナ")</f>
        <v>共聴アンテナ</v>
      </c>
      <c r="W17" s="2299"/>
      <c r="X17" s="2299"/>
      <c r="Y17" s="2299"/>
      <c r="Z17" s="2299"/>
      <c r="AA17" s="2299"/>
      <c r="AB17" s="2337" t="str">
        <f>IF(V17="","",MID($AU$15,2,5))</f>
        <v>UHF×1</v>
      </c>
      <c r="AC17" s="2337"/>
      <c r="AD17" s="2337"/>
      <c r="AE17" s="2337"/>
      <c r="AF17" s="2337" t="str">
        <f>IF(V17="","",MID($AU$15,8,4))</f>
        <v>BS×1</v>
      </c>
      <c r="AG17" s="2337"/>
      <c r="AH17" s="2337"/>
      <c r="AI17" s="2337"/>
      <c r="AJ17" s="2337" t="str">
        <f>IF(V17="","",MID($AU$15,13,4))</f>
        <v>CS×1</v>
      </c>
      <c r="AK17" s="2337"/>
      <c r="AL17" s="2337"/>
      <c r="AM17" s="2337"/>
      <c r="AN17" s="215"/>
      <c r="AO17" s="3953" t="str">
        <f>IF(AJ17="","","自立型 CS Ant.ポール")</f>
        <v>自立型 CS Ant.ポール</v>
      </c>
      <c r="AP17" s="3954"/>
      <c r="AQ17" s="3954"/>
      <c r="AR17" s="3954"/>
      <c r="AS17" s="3954"/>
      <c r="AT17" s="3954"/>
      <c r="AU17" s="3954"/>
      <c r="AV17" s="3954"/>
      <c r="AW17" s="3954"/>
      <c r="AX17" s="3954"/>
      <c r="AY17" s="3954"/>
      <c r="AZ17" s="2410" t="str">
        <f>IF(RIGHT(AJ17,1)="1","SGP80A","")</f>
        <v>SGP80A</v>
      </c>
      <c r="BA17" s="2411"/>
      <c r="BB17" s="2411"/>
      <c r="BC17" s="2411"/>
      <c r="BD17" s="2411"/>
      <c r="BE17" s="2411" t="str">
        <f>IF(AZ17="","","1.5")</f>
        <v>1.5</v>
      </c>
      <c r="BF17" s="2411"/>
      <c r="BG17" s="2411"/>
      <c r="BH17" s="822" t="str">
        <f>IF(BE17="","","m")</f>
        <v>m</v>
      </c>
      <c r="BI17" s="2410" t="str">
        <f>IF(AZ17="","","500x500ベース･プレート付")</f>
        <v>500x500ベース･プレート付</v>
      </c>
      <c r="BJ17" s="2411"/>
      <c r="BK17" s="2411"/>
      <c r="BL17" s="2411"/>
      <c r="BM17" s="2411"/>
      <c r="BN17" s="2411"/>
      <c r="BO17" s="2411"/>
      <c r="BP17" s="2411"/>
      <c r="BQ17" s="2411"/>
      <c r="BR17" s="2411"/>
      <c r="BS17" s="2411"/>
      <c r="BT17" s="2412"/>
      <c r="BU17" s="3952"/>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21" t="s">
        <v>1315</v>
      </c>
      <c r="DC17" s="821" t="s">
        <v>1314</v>
      </c>
      <c r="DD17" s="821" t="s">
        <v>1313</v>
      </c>
      <c r="DE17" s="821" t="s">
        <v>1312</v>
      </c>
      <c r="DF17" s="821" t="s">
        <v>1311</v>
      </c>
      <c r="DG17" s="821" t="s">
        <v>1310</v>
      </c>
      <c r="DH17" s="821" t="s">
        <v>1309</v>
      </c>
      <c r="DI17" s="821" t="s">
        <v>1308</v>
      </c>
      <c r="DJ17" s="821" t="s">
        <v>1307</v>
      </c>
      <c r="DK17" s="821" t="s">
        <v>1306</v>
      </c>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8">
        <v>0</v>
      </c>
      <c r="FB17" s="373"/>
      <c r="FC17" s="45"/>
      <c r="FD17" s="45"/>
      <c r="FE17" s="55"/>
      <c r="FF17" s="55" t="s">
        <v>70</v>
      </c>
      <c r="FG17" s="55"/>
      <c r="FH17" s="55"/>
      <c r="FI17" s="55" t="s">
        <v>69</v>
      </c>
    </row>
    <row r="18" spans="1:165" ht="3.75" customHeight="1">
      <c r="B18" s="609"/>
      <c r="C18" s="3983"/>
      <c r="D18" s="3983"/>
      <c r="E18" s="3983"/>
      <c r="F18" s="3983"/>
      <c r="G18" s="3983"/>
      <c r="H18" s="3983"/>
      <c r="I18" s="3983"/>
      <c r="J18" s="3983"/>
      <c r="K18" s="3983"/>
      <c r="L18" s="3983"/>
      <c r="M18" s="3983"/>
      <c r="N18" s="3983"/>
      <c r="O18" s="3983"/>
      <c r="P18" s="3983"/>
      <c r="Q18" s="3983"/>
      <c r="R18" s="3983"/>
      <c r="S18" s="3983"/>
      <c r="T18" s="3983"/>
      <c r="U18" s="3983"/>
      <c r="V18" s="3983"/>
      <c r="W18" s="3983"/>
      <c r="X18" s="3983"/>
      <c r="Y18" s="3983"/>
      <c r="Z18" s="3983"/>
      <c r="AA18" s="3983"/>
      <c r="AB18" s="3983"/>
      <c r="AC18" s="3983"/>
      <c r="AD18" s="3983"/>
      <c r="AE18" s="3983"/>
      <c r="AF18" s="3983"/>
      <c r="AG18" s="3983"/>
      <c r="AH18" s="3983"/>
      <c r="AI18" s="3983"/>
      <c r="AJ18" s="3983"/>
      <c r="AK18" s="3983"/>
      <c r="AL18" s="3983"/>
      <c r="AM18" s="3983"/>
      <c r="AN18" s="3983"/>
      <c r="AO18" s="3983"/>
      <c r="AP18" s="3983"/>
      <c r="AQ18" s="3983"/>
      <c r="AR18" s="3983"/>
      <c r="AS18" s="3983"/>
      <c r="AT18" s="3983"/>
      <c r="AU18" s="3983"/>
      <c r="AV18" s="3983"/>
      <c r="AW18" s="3983"/>
      <c r="AX18" s="3983"/>
      <c r="AY18" s="3983"/>
      <c r="AZ18" s="3983"/>
      <c r="BA18" s="3983"/>
      <c r="BB18" s="3983"/>
      <c r="BC18" s="3983"/>
      <c r="BD18" s="3983"/>
      <c r="BE18" s="3983"/>
      <c r="BF18" s="3983"/>
      <c r="BG18" s="3983"/>
      <c r="BH18" s="3983"/>
      <c r="BI18" s="3983"/>
      <c r="BJ18" s="3983"/>
      <c r="BK18" s="3983"/>
      <c r="BL18" s="3983"/>
      <c r="BM18" s="3983"/>
      <c r="BN18" s="3983"/>
      <c r="BO18" s="3983"/>
      <c r="BP18" s="3983"/>
      <c r="BQ18" s="3983"/>
      <c r="BR18" s="3983"/>
      <c r="BS18" s="3983"/>
      <c r="BT18" s="3983"/>
      <c r="BU18" s="3952"/>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186"/>
      <c r="DL18" s="8"/>
      <c r="DM18" s="8"/>
      <c r="DN18" s="8"/>
      <c r="DO18" s="8"/>
      <c r="DP18" s="8"/>
      <c r="DQ18" s="8"/>
      <c r="DR18" s="8"/>
      <c r="DS18" s="8"/>
      <c r="DT18" s="8"/>
      <c r="DU18" s="8"/>
      <c r="DV18" s="8"/>
      <c r="DW18" s="8"/>
      <c r="DX18" s="8"/>
      <c r="DY18" s="8"/>
      <c r="DZ18" s="8"/>
      <c r="EA18" s="8"/>
      <c r="EB18" s="8" t="str">
        <f>IF(AB17&lt;&gt;"","共聴アンテナ UHF","")</f>
        <v>共聴アンテナ UHF</v>
      </c>
      <c r="EC18" s="8"/>
      <c r="ED18" s="8"/>
      <c r="EE18" s="197">
        <f>IFERROR(VALUE(RIGHT(AB17,1)),"")</f>
        <v>1</v>
      </c>
      <c r="EF18" s="8"/>
      <c r="EG18" s="8"/>
      <c r="EH18" s="8"/>
      <c r="EI18" s="8"/>
      <c r="EJ18" s="8"/>
      <c r="EK18" s="8"/>
      <c r="EL18" s="8"/>
      <c r="EM18" s="8"/>
      <c r="EN18" s="8"/>
      <c r="EO18" s="8"/>
      <c r="EP18" s="8"/>
      <c r="EQ18" s="8"/>
      <c r="ER18" s="8"/>
      <c r="ES18" s="8"/>
      <c r="ET18" s="8"/>
      <c r="EU18" s="8"/>
      <c r="EV18" s="8"/>
      <c r="EW18" s="8"/>
      <c r="EX18" s="8"/>
      <c r="EY18" s="8"/>
      <c r="EZ18" s="8"/>
      <c r="FA18" s="8"/>
      <c r="FB18" s="197">
        <f t="shared" ref="FB18:FB49" si="0">IF(FF18&lt;&gt;"",FB17+1,FB17)</f>
        <v>1</v>
      </c>
      <c r="FC18" s="814">
        <f t="shared" ref="FC18:FC49" si="1">IF(AND(FB18&lt;&gt;"",FF18&lt;&gt;""),FB18,"")</f>
        <v>1</v>
      </c>
      <c r="FD18" s="146" t="str">
        <f t="shared" ref="FD18:FD23" si="2">EB18</f>
        <v>共聴アンテナ UHF</v>
      </c>
      <c r="FE18" s="145"/>
      <c r="FF18" s="146" t="str">
        <f>IF(COUNTIF($FD$15:FD17,FD18)&gt;0,"",FD18)</f>
        <v>共聴アンテナ UHF</v>
      </c>
      <c r="FG18" s="145"/>
      <c r="FH18" s="820">
        <f t="shared" ref="FH18:FH23" si="3">EE18</f>
        <v>1</v>
      </c>
      <c r="FI18" s="813">
        <f t="shared" ref="FI18:FI23" si="4">SUMIF($FD$18:$FD$205,FF18,$FH$18:$FH$205)</f>
        <v>1</v>
      </c>
    </row>
    <row r="19" spans="1:165" ht="12" customHeight="1">
      <c r="B19" s="609"/>
      <c r="C19" s="3984" t="str">
        <f>IF($B$2=0,"","共聴機器以降の配線方式")</f>
        <v>共聴機器以降の配線方式</v>
      </c>
      <c r="D19" s="3985"/>
      <c r="E19" s="3985"/>
      <c r="F19" s="3985"/>
      <c r="G19" s="3985"/>
      <c r="H19" s="3985"/>
      <c r="I19" s="3985"/>
      <c r="J19" s="3985"/>
      <c r="K19" s="3985"/>
      <c r="L19" s="3985"/>
      <c r="M19" s="3985"/>
      <c r="N19" s="3985"/>
      <c r="O19" s="3985"/>
      <c r="P19" s="3985"/>
      <c r="Q19" s="3985"/>
      <c r="R19" s="819" t="s">
        <v>380</v>
      </c>
      <c r="S19" s="819" t="s">
        <v>797</v>
      </c>
      <c r="T19" s="819" t="s">
        <v>76</v>
      </c>
      <c r="U19" s="61"/>
      <c r="V19" s="2871" t="str">
        <f>IF(AO15="","","共聴用Ant.ポール")</f>
        <v>共聴用Ant.ポール</v>
      </c>
      <c r="W19" s="2871"/>
      <c r="X19" s="2871"/>
      <c r="Y19" s="2871"/>
      <c r="Z19" s="2871"/>
      <c r="AA19" s="2871"/>
      <c r="AB19" s="2871"/>
      <c r="AC19" s="2871"/>
      <c r="AD19" s="3986" t="str">
        <f>IF(AO15="","",IF(AJ19="","自立型","外壁取付"))</f>
        <v>自立型</v>
      </c>
      <c r="AE19" s="3986"/>
      <c r="AF19" s="3986"/>
      <c r="AG19" s="3986"/>
      <c r="AH19" s="3986"/>
      <c r="AI19" s="175" t="s">
        <v>68</v>
      </c>
      <c r="AJ19" s="3987"/>
      <c r="AK19" s="3988"/>
      <c r="AL19" s="3988"/>
      <c r="AM19" s="3988"/>
      <c r="AN19" s="3989"/>
      <c r="AO19" s="3955" t="str">
        <f>IF(AO15="","","UHF・BS Ant.  ポール")</f>
        <v>UHF・BS Ant.  ポール</v>
      </c>
      <c r="AP19" s="3956"/>
      <c r="AQ19" s="3956"/>
      <c r="AR19" s="3956"/>
      <c r="AS19" s="3956"/>
      <c r="AT19" s="3956"/>
      <c r="AU19" s="3956"/>
      <c r="AV19" s="3956"/>
      <c r="AW19" s="3956"/>
      <c r="AX19" s="3956"/>
      <c r="AY19" s="3957"/>
      <c r="AZ19" s="2410" t="str">
        <f>IF(AO15="","","SGP50A")</f>
        <v>SGP50A</v>
      </c>
      <c r="BA19" s="2411"/>
      <c r="BB19" s="2411"/>
      <c r="BC19" s="2411"/>
      <c r="BD19" s="2411"/>
      <c r="BE19" s="2835">
        <f>IF(AZ19="","",IF(AF17="",3+RIGHT(AB17,1)*0.5,3+RIGHT(AB17,1)*0.5+RIGHT(AF17,1)))</f>
        <v>4.5</v>
      </c>
      <c r="BF19" s="2835"/>
      <c r="BG19" s="2835"/>
      <c r="BH19" s="818" t="str">
        <f>IF(BE19="","","m")</f>
        <v>m</v>
      </c>
      <c r="BI19" s="2410" t="str">
        <f>IF(AD19="自立型","500x500ベース･プレート付","")</f>
        <v>500x500ベース･プレート付</v>
      </c>
      <c r="BJ19" s="2411"/>
      <c r="BK19" s="2411"/>
      <c r="BL19" s="2411"/>
      <c r="BM19" s="2411"/>
      <c r="BN19" s="2411"/>
      <c r="BO19" s="2411"/>
      <c r="BP19" s="2411"/>
      <c r="BQ19" s="2411"/>
      <c r="BR19" s="2411"/>
      <c r="BS19" s="2411"/>
      <c r="BT19" s="2412"/>
      <c r="BU19" s="3952"/>
      <c r="BV19" s="714">
        <f>IF(H17="ＣＡＴＶ","",IF(AD19="自立型",BE19,BE19-2))</f>
        <v>4.5</v>
      </c>
      <c r="BW19" s="8"/>
      <c r="BX19" s="8"/>
      <c r="BY19" s="8"/>
      <c r="BZ19" s="8"/>
      <c r="CA19" s="8"/>
      <c r="CB19" s="8"/>
      <c r="CC19" s="8"/>
      <c r="CD19" s="8"/>
      <c r="CE19" s="8"/>
      <c r="CF19" s="8"/>
      <c r="CG19" s="8"/>
      <c r="CH19" s="8"/>
      <c r="CI19" s="8"/>
      <c r="CJ19" s="8"/>
      <c r="CK19" s="8"/>
      <c r="CL19" s="8"/>
      <c r="CM19" s="8"/>
      <c r="CN19" s="8"/>
      <c r="CO19" s="8"/>
      <c r="CP19" s="8"/>
      <c r="CQ19" s="8"/>
      <c r="CR19" s="8"/>
      <c r="CS19" s="160"/>
      <c r="CT19" s="160"/>
      <c r="CU19" s="160"/>
      <c r="CV19" s="8"/>
      <c r="CW19" s="8"/>
      <c r="CX19" s="8"/>
      <c r="CY19" s="817"/>
      <c r="CZ19" s="817"/>
      <c r="DA19" s="817"/>
      <c r="DB19" s="817"/>
      <c r="DC19" s="817"/>
      <c r="DD19" s="817"/>
      <c r="DE19" s="817"/>
      <c r="DF19" s="817"/>
      <c r="DG19" s="8"/>
      <c r="DH19" s="8"/>
      <c r="DI19" s="8"/>
      <c r="DJ19" s="8"/>
      <c r="DK19" s="186"/>
      <c r="DL19" s="8"/>
      <c r="DM19" s="8"/>
      <c r="DN19" s="8"/>
      <c r="DO19" s="8"/>
      <c r="DP19" s="8"/>
      <c r="DQ19" s="8"/>
      <c r="DR19" s="8"/>
      <c r="DS19" s="8"/>
      <c r="DT19" s="8"/>
      <c r="DU19" s="8"/>
      <c r="DV19" s="8"/>
      <c r="DW19" s="8"/>
      <c r="DX19" s="8"/>
      <c r="DY19" s="8"/>
      <c r="DZ19" s="8"/>
      <c r="EA19" s="8"/>
      <c r="EB19" s="8" t="str">
        <f>IF(AF17&lt;&gt;"","共聴アンテナ BS","")</f>
        <v>共聴アンテナ BS</v>
      </c>
      <c r="EC19" s="8"/>
      <c r="ED19" s="8"/>
      <c r="EE19" s="197">
        <f>IFERROR(VALUE(RIGHT(AF17,1)),"")</f>
        <v>1</v>
      </c>
      <c r="EF19" s="8"/>
      <c r="EG19" s="8"/>
      <c r="EH19" s="8"/>
      <c r="EI19" s="8"/>
      <c r="EJ19" s="8"/>
      <c r="EK19" s="8"/>
      <c r="EL19" s="8"/>
      <c r="EM19" s="8"/>
      <c r="EN19" s="8"/>
      <c r="EO19" s="8"/>
      <c r="EP19" s="8"/>
      <c r="EQ19" s="8"/>
      <c r="ER19" s="8"/>
      <c r="ES19" s="8"/>
      <c r="ET19" s="8"/>
      <c r="EU19" s="8"/>
      <c r="EV19" s="8"/>
      <c r="EW19" s="8"/>
      <c r="EX19" s="8"/>
      <c r="EY19" s="8"/>
      <c r="EZ19" s="8"/>
      <c r="FA19" s="8"/>
      <c r="FB19" s="197">
        <f t="shared" si="0"/>
        <v>2</v>
      </c>
      <c r="FC19" s="773">
        <f t="shared" si="1"/>
        <v>2</v>
      </c>
      <c r="FD19" s="11" t="str">
        <f t="shared" si="2"/>
        <v>共聴アンテナ BS</v>
      </c>
      <c r="FE19" s="9"/>
      <c r="FF19" s="11" t="str">
        <f>IF(COUNTIF($FD$15:FD18,FD19)&gt;0,"",FD19)</f>
        <v>共聴アンテナ BS</v>
      </c>
      <c r="FG19" s="9"/>
      <c r="FH19" s="125">
        <f t="shared" si="3"/>
        <v>1</v>
      </c>
      <c r="FI19" s="771">
        <f t="shared" si="4"/>
        <v>1</v>
      </c>
    </row>
    <row r="20" spans="1:165" ht="4.5" customHeight="1">
      <c r="B20" s="4035"/>
      <c r="C20" s="4010"/>
      <c r="D20" s="4010"/>
      <c r="E20" s="4010"/>
      <c r="F20" s="4010"/>
      <c r="G20" s="4010"/>
      <c r="H20" s="4010"/>
      <c r="I20" s="4010"/>
      <c r="J20" s="4010"/>
      <c r="K20" s="4010"/>
      <c r="L20" s="4010"/>
      <c r="M20" s="4010"/>
      <c r="N20" s="4010"/>
      <c r="O20" s="4010"/>
      <c r="P20" s="4010"/>
      <c r="Q20" s="4010"/>
      <c r="R20" s="4010"/>
      <c r="S20" s="4010"/>
      <c r="T20" s="4010"/>
      <c r="U20" s="4010"/>
      <c r="V20" s="4036"/>
      <c r="W20" s="4036"/>
      <c r="X20" s="4036"/>
      <c r="Y20" s="4036"/>
      <c r="Z20" s="4036"/>
      <c r="AA20" s="4036"/>
      <c r="AB20" s="4036"/>
      <c r="AC20" s="4036"/>
      <c r="AD20" s="4036"/>
      <c r="AE20" s="4036"/>
      <c r="AF20" s="4036"/>
      <c r="AG20" s="4036"/>
      <c r="AH20" s="4036"/>
      <c r="AI20" s="4036"/>
      <c r="AJ20" s="4036"/>
      <c r="AK20" s="4036"/>
      <c r="AL20" s="4036"/>
      <c r="AM20" s="4036"/>
      <c r="AN20" s="4036"/>
      <c r="AO20" s="4036"/>
      <c r="AP20" s="4036"/>
      <c r="AQ20" s="4036"/>
      <c r="AR20" s="4036"/>
      <c r="AS20" s="4036"/>
      <c r="AT20" s="4036"/>
      <c r="AU20" s="4036"/>
      <c r="AV20" s="4036"/>
      <c r="AW20" s="4036"/>
      <c r="AX20" s="4036"/>
      <c r="AY20" s="4036"/>
      <c r="AZ20" s="4036"/>
      <c r="BA20" s="4036"/>
      <c r="BB20" s="4036"/>
      <c r="BC20" s="4036"/>
      <c r="BD20" s="4036"/>
      <c r="BE20" s="4036"/>
      <c r="BF20" s="4036"/>
      <c r="BG20" s="4036"/>
      <c r="BH20" s="4036"/>
      <c r="BI20" s="4036"/>
      <c r="BJ20" s="4036"/>
      <c r="BK20" s="4036"/>
      <c r="BL20" s="4036"/>
      <c r="BM20" s="4036"/>
      <c r="BN20" s="4036"/>
      <c r="BO20" s="4036"/>
      <c r="BP20" s="4036"/>
      <c r="BQ20" s="4036"/>
      <c r="BR20" s="4036"/>
      <c r="BS20" s="4036"/>
      <c r="BT20" s="4036"/>
      <c r="BU20" s="4037"/>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186"/>
      <c r="DL20" s="8"/>
      <c r="DM20" s="8"/>
      <c r="DN20" s="8"/>
      <c r="DO20" s="8"/>
      <c r="DP20" s="8"/>
      <c r="DQ20" s="8"/>
      <c r="DR20" s="8"/>
      <c r="DS20" s="8"/>
      <c r="DT20" s="8"/>
      <c r="DU20" s="8"/>
      <c r="DV20" s="8"/>
      <c r="DW20" s="8"/>
      <c r="DX20" s="8"/>
      <c r="DY20" s="8"/>
      <c r="DZ20" s="8"/>
      <c r="EA20" s="8"/>
      <c r="EB20" s="8" t="str">
        <f>IF(AJ17&lt;&gt;"","共聴アンテナ CS","")</f>
        <v>共聴アンテナ CS</v>
      </c>
      <c r="EC20" s="8"/>
      <c r="ED20" s="8"/>
      <c r="EE20" s="197">
        <f>IFERROR(VALUE(RIGHT(AJ17,1)),"")</f>
        <v>1</v>
      </c>
      <c r="EF20" s="8"/>
      <c r="EG20" s="8"/>
      <c r="EH20" s="8"/>
      <c r="EI20" s="8"/>
      <c r="EJ20" s="8"/>
      <c r="EK20" s="8"/>
      <c r="EL20" s="8"/>
      <c r="EM20" s="8"/>
      <c r="EN20" s="8"/>
      <c r="EO20" s="8"/>
      <c r="EP20" s="8"/>
      <c r="EQ20" s="8"/>
      <c r="ER20" s="8"/>
      <c r="ES20" s="8"/>
      <c r="ET20" s="8"/>
      <c r="EU20" s="8"/>
      <c r="EV20" s="8"/>
      <c r="EW20" s="8"/>
      <c r="EX20" s="8"/>
      <c r="EY20" s="8"/>
      <c r="EZ20" s="8"/>
      <c r="FA20" s="8"/>
      <c r="FB20" s="197">
        <f t="shared" si="0"/>
        <v>3</v>
      </c>
      <c r="FC20" s="773">
        <f t="shared" si="1"/>
        <v>3</v>
      </c>
      <c r="FD20" s="11" t="str">
        <f t="shared" si="2"/>
        <v>共聴アンテナ CS</v>
      </c>
      <c r="FE20" s="9"/>
      <c r="FF20" s="11" t="str">
        <f>IF(COUNTIF($FD$15:FD19,FD20)&gt;0,"",FD20)</f>
        <v>共聴アンテナ CS</v>
      </c>
      <c r="FG20" s="9"/>
      <c r="FH20" s="125">
        <f t="shared" si="3"/>
        <v>1</v>
      </c>
      <c r="FI20" s="771">
        <f t="shared" si="4"/>
        <v>1</v>
      </c>
    </row>
    <row r="21" spans="1:165" ht="9.75" customHeight="1">
      <c r="B21" s="23"/>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94"/>
      <c r="AM21" s="217"/>
      <c r="AN21" s="3958"/>
      <c r="AO21" s="3958"/>
      <c r="AP21" s="3958"/>
      <c r="AQ21" s="3958"/>
      <c r="AR21" s="3958"/>
      <c r="AS21" s="3958"/>
      <c r="AT21" s="3958"/>
      <c r="AU21" s="3958"/>
      <c r="AV21" s="3958"/>
      <c r="AW21" s="3958"/>
      <c r="AX21" s="3958"/>
      <c r="AY21" s="3958"/>
      <c r="AZ21" s="3958"/>
      <c r="BA21" s="3958"/>
      <c r="BB21" s="3958"/>
      <c r="BC21" s="3958"/>
      <c r="BD21" s="3958"/>
      <c r="BE21" s="3958"/>
      <c r="BF21" s="3958"/>
      <c r="BG21" s="3958"/>
      <c r="BH21" s="3958"/>
      <c r="BI21" s="3958"/>
      <c r="BJ21" s="3958"/>
      <c r="BK21" s="3958"/>
      <c r="BL21" s="3958"/>
      <c r="BM21" s="3958"/>
      <c r="BN21" s="3958"/>
      <c r="BO21" s="3958"/>
      <c r="BP21" s="3958"/>
      <c r="BQ21" s="3958"/>
      <c r="BR21" s="3958"/>
      <c r="BS21" s="3958"/>
      <c r="BT21" s="3958"/>
      <c r="BU21" s="19"/>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108"/>
      <c r="DC21" s="108"/>
      <c r="DD21" s="108"/>
      <c r="DE21" s="8"/>
      <c r="DF21" s="8"/>
      <c r="DG21" s="8"/>
      <c r="DH21" s="8"/>
      <c r="DI21" s="8"/>
      <c r="DJ21" s="8"/>
      <c r="DK21" s="186"/>
      <c r="DL21" s="8"/>
      <c r="DM21" s="8"/>
      <c r="DN21" s="8"/>
      <c r="DO21" s="8"/>
      <c r="DP21" s="8"/>
      <c r="DQ21" s="8"/>
      <c r="DR21" s="8"/>
      <c r="DS21" s="8"/>
      <c r="DT21" s="8"/>
      <c r="DU21" s="8"/>
      <c r="DV21" s="8"/>
      <c r="DW21" s="8"/>
      <c r="DX21" s="8"/>
      <c r="DY21" s="8"/>
      <c r="DZ21" s="8"/>
      <c r="EA21" s="8"/>
      <c r="EB21" s="8" t="str">
        <f>IF(AND(V19&lt;&gt;"",BH19&lt;&gt;""),"アンテナポールBP付 "&amp;AZ19&amp;"-"&amp;BE19&amp;BH19,"")</f>
        <v>アンテナポールBP付 SGP50A-4.5m</v>
      </c>
      <c r="EC21" s="8"/>
      <c r="ED21" s="8"/>
      <c r="EE21" s="8">
        <f>IF(EB21="","",1)</f>
        <v>1</v>
      </c>
      <c r="EF21" s="8"/>
      <c r="EG21" s="8"/>
      <c r="EH21" s="8"/>
      <c r="EI21" s="8"/>
      <c r="EJ21" s="8"/>
      <c r="EK21" s="8"/>
      <c r="EL21" s="8"/>
      <c r="EM21" s="8"/>
      <c r="EN21" s="8"/>
      <c r="EO21" s="8"/>
      <c r="EP21" s="8"/>
      <c r="EQ21" s="8"/>
      <c r="ER21" s="8"/>
      <c r="ES21" s="8"/>
      <c r="ET21" s="8"/>
      <c r="EU21" s="8"/>
      <c r="EV21" s="8"/>
      <c r="EW21" s="8"/>
      <c r="EX21" s="8"/>
      <c r="EY21" s="8"/>
      <c r="EZ21" s="8"/>
      <c r="FA21" s="8"/>
      <c r="FB21" s="197">
        <f t="shared" si="0"/>
        <v>4</v>
      </c>
      <c r="FC21" s="773">
        <f t="shared" si="1"/>
        <v>4</v>
      </c>
      <c r="FD21" s="11" t="str">
        <f t="shared" si="2"/>
        <v>アンテナポールBP付 SGP50A-4.5m</v>
      </c>
      <c r="FE21" s="9"/>
      <c r="FF21" s="11" t="str">
        <f>IF(COUNTIF($FD$15:FD20,FD21)&gt;0,"",FD21)</f>
        <v>アンテナポールBP付 SGP50A-4.5m</v>
      </c>
      <c r="FG21" s="9"/>
      <c r="FH21" s="125">
        <f t="shared" si="3"/>
        <v>1</v>
      </c>
      <c r="FI21" s="771">
        <f t="shared" si="4"/>
        <v>1</v>
      </c>
    </row>
    <row r="22" spans="1:165" ht="12" customHeight="1">
      <c r="B22" s="23"/>
      <c r="C22" s="3950" t="str">
        <f>IF(B2=0,"","テレビ共聴 設置階")</f>
        <v>テレビ共聴 設置階</v>
      </c>
      <c r="D22" s="3950"/>
      <c r="E22" s="3950"/>
      <c r="F22" s="3950"/>
      <c r="G22" s="3950"/>
      <c r="H22" s="3950"/>
      <c r="I22" s="3950"/>
      <c r="J22" s="3950"/>
      <c r="K22" s="3950"/>
      <c r="L22" s="3950"/>
      <c r="M22" s="3951" t="str">
        <f>IF(C29="","",C29)</f>
        <v xml:space="preserve"> B2F</v>
      </c>
      <c r="N22" s="3951"/>
      <c r="O22" s="3951"/>
      <c r="P22" s="3951" t="str">
        <f>IF(C38="","",C38)</f>
        <v xml:space="preserve"> B1F</v>
      </c>
      <c r="Q22" s="3951"/>
      <c r="R22" s="3951"/>
      <c r="S22" s="3951" t="str">
        <f>IF(C47="","",C47)</f>
        <v xml:space="preserve">  1F</v>
      </c>
      <c r="T22" s="3951"/>
      <c r="U22" s="3951"/>
      <c r="V22" s="3951" t="str">
        <f>IF(C56="","",C56)</f>
        <v xml:space="preserve">  2F</v>
      </c>
      <c r="W22" s="3951"/>
      <c r="X22" s="3951"/>
      <c r="Y22" s="3951" t="str">
        <f>IF(C65="","",C65)</f>
        <v xml:space="preserve">  3F</v>
      </c>
      <c r="Z22" s="3951"/>
      <c r="AA22" s="3951"/>
      <c r="AB22" s="3951" t="str">
        <f>IF(C74="","",C74)</f>
        <v xml:space="preserve">  4F</v>
      </c>
      <c r="AC22" s="3951"/>
      <c r="AD22" s="3951"/>
      <c r="AE22" s="3951" t="str">
        <f>IF(C84="","",C84)</f>
        <v xml:space="preserve">  5F</v>
      </c>
      <c r="AF22" s="3951"/>
      <c r="AG22" s="3951"/>
      <c r="AH22" s="3951" t="str">
        <f>IF(C93="","",C93)</f>
        <v xml:space="preserve">  6F</v>
      </c>
      <c r="AI22" s="3951"/>
      <c r="AJ22" s="3951"/>
      <c r="AK22" s="3951" t="str">
        <f>IF(C102="","",C102)</f>
        <v xml:space="preserve">  7F</v>
      </c>
      <c r="AL22" s="3951"/>
      <c r="AM22" s="3951"/>
      <c r="AN22" s="3951" t="str">
        <f>IF(C111="","",C111)</f>
        <v xml:space="preserve">  8F</v>
      </c>
      <c r="AO22" s="3951"/>
      <c r="AP22" s="3951"/>
      <c r="AQ22" s="3951" t="str">
        <f>IF(C120="","",C120)</f>
        <v xml:space="preserve">  9F</v>
      </c>
      <c r="AR22" s="3951"/>
      <c r="AS22" s="3951"/>
      <c r="AT22" s="3951" t="str">
        <f>IF(C129="","",C129)</f>
        <v xml:space="preserve"> 10F</v>
      </c>
      <c r="AU22" s="3951"/>
      <c r="AV22" s="3951"/>
      <c r="AW22" s="3951" t="str">
        <f>IF(C138="","",C138)</f>
        <v xml:space="preserve"> 11F</v>
      </c>
      <c r="AX22" s="3951"/>
      <c r="AY22" s="3951"/>
      <c r="AZ22" s="3951" t="str">
        <f>IF(C147="","",C147)</f>
        <v xml:space="preserve"> 12F</v>
      </c>
      <c r="BA22" s="3951"/>
      <c r="BB22" s="3951"/>
      <c r="BC22" s="3951" t="str">
        <f>IF(C157="","",C157)</f>
        <v>PH1F</v>
      </c>
      <c r="BD22" s="3951"/>
      <c r="BE22" s="3951"/>
      <c r="BF22" s="3951" t="str">
        <f>IF(C166="","",C166)</f>
        <v>PH2F</v>
      </c>
      <c r="BG22" s="3951"/>
      <c r="BH22" s="3951"/>
      <c r="BI22" s="3951" t="str">
        <f>IF(C175="","",C175)</f>
        <v/>
      </c>
      <c r="BJ22" s="3951"/>
      <c r="BK22" s="3951"/>
      <c r="BL22" s="3951" t="str">
        <f>IF(C184="","",C184)</f>
        <v/>
      </c>
      <c r="BM22" s="3951"/>
      <c r="BN22" s="3951"/>
      <c r="BO22" s="3951" t="str">
        <f>IF(C193="","",C193)</f>
        <v/>
      </c>
      <c r="BP22" s="3951"/>
      <c r="BQ22" s="3951"/>
      <c r="BR22" s="3951" t="str">
        <f>IF(C202="","",C202)</f>
        <v/>
      </c>
      <c r="BS22" s="3951"/>
      <c r="BT22" s="3951"/>
      <c r="BU22" s="19"/>
      <c r="BV22" s="8"/>
      <c r="BW22" s="8"/>
      <c r="BX22" s="8"/>
      <c r="BY22" s="8"/>
      <c r="BZ22" s="8"/>
      <c r="CA22" s="8"/>
      <c r="CB22" s="8"/>
      <c r="CC22" s="8"/>
      <c r="CD22" s="8"/>
      <c r="CE22" s="8"/>
      <c r="CF22" s="8"/>
      <c r="CG22" s="8"/>
      <c r="CH22" s="8"/>
      <c r="CI22" s="8"/>
      <c r="CJ22" s="8"/>
      <c r="CK22" s="8"/>
      <c r="CL22" s="8"/>
      <c r="CM22" s="8"/>
      <c r="CN22" s="8"/>
      <c r="CO22" s="8"/>
      <c r="CP22" s="8"/>
      <c r="CQ22" s="8"/>
      <c r="CR22" s="8"/>
      <c r="CS22" s="108"/>
      <c r="CT22" s="108"/>
      <c r="CU22" s="8"/>
      <c r="CV22" s="8"/>
      <c r="CW22" s="8"/>
      <c r="CX22" s="8"/>
      <c r="CY22" s="8"/>
      <c r="CZ22" s="8"/>
      <c r="DA22" s="8"/>
      <c r="DB22" s="8"/>
      <c r="DC22" s="8"/>
      <c r="DD22" s="8"/>
      <c r="DE22" s="8"/>
      <c r="DF22" s="8"/>
      <c r="DG22" s="8"/>
      <c r="DH22" s="8"/>
      <c r="DI22" s="8"/>
      <c r="DJ22" s="8"/>
      <c r="DK22" s="186"/>
      <c r="DL22" s="8"/>
      <c r="DM22" s="8"/>
      <c r="DN22" s="8"/>
      <c r="DO22" s="8"/>
      <c r="DP22" s="8"/>
      <c r="DQ22" s="8"/>
      <c r="DR22" s="8"/>
      <c r="DS22" s="8"/>
      <c r="DT22" s="8"/>
      <c r="DU22" s="8"/>
      <c r="DV22" s="8"/>
      <c r="DW22" s="8"/>
      <c r="DX22" s="8"/>
      <c r="DY22" s="8"/>
      <c r="DZ22" s="8"/>
      <c r="EA22" s="8"/>
      <c r="EB22" s="8" t="str">
        <f>IF(AND(V19&lt;&gt;"",BI19=""),"アンテナポール "&amp;AZ19&amp;"-"&amp;BE19&amp;BH19,"")</f>
        <v/>
      </c>
      <c r="EC22" s="8"/>
      <c r="ED22" s="8"/>
      <c r="EE22" s="8" t="str">
        <f>IF(EB22="","",1)</f>
        <v/>
      </c>
      <c r="EF22" s="8"/>
      <c r="EG22" s="8"/>
      <c r="EH22" s="8"/>
      <c r="EI22" s="8"/>
      <c r="EJ22" s="8"/>
      <c r="EK22" s="8"/>
      <c r="EL22" s="8"/>
      <c r="EM22" s="8"/>
      <c r="EN22" s="8"/>
      <c r="EO22" s="8"/>
      <c r="EP22" s="8"/>
      <c r="EQ22" s="8"/>
      <c r="ER22" s="8"/>
      <c r="ES22" s="8"/>
      <c r="ET22" s="8"/>
      <c r="EU22" s="8"/>
      <c r="EV22" s="8"/>
      <c r="EW22" s="8"/>
      <c r="EX22" s="8"/>
      <c r="EY22" s="8"/>
      <c r="EZ22" s="8"/>
      <c r="FA22" s="8"/>
      <c r="FB22" s="197">
        <f t="shared" si="0"/>
        <v>4</v>
      </c>
      <c r="FC22" s="773" t="str">
        <f t="shared" si="1"/>
        <v/>
      </c>
      <c r="FD22" s="11" t="str">
        <f t="shared" si="2"/>
        <v/>
      </c>
      <c r="FE22" s="9"/>
      <c r="FF22" s="11" t="str">
        <f>IF(COUNTIF($FD$15:FD21,FD22)&gt;0,"",FD22)</f>
        <v/>
      </c>
      <c r="FG22" s="9"/>
      <c r="FH22" s="125" t="str">
        <f t="shared" si="3"/>
        <v/>
      </c>
      <c r="FI22" s="771">
        <f t="shared" si="4"/>
        <v>0</v>
      </c>
    </row>
    <row r="23" spans="1:165" ht="12" customHeight="1" thickBot="1">
      <c r="B23" s="23"/>
      <c r="C23" s="3946" t="str">
        <f>IF(B2=0,"","設置／不要")</f>
        <v>設置／不要</v>
      </c>
      <c r="D23" s="3947"/>
      <c r="E23" s="3947"/>
      <c r="F23" s="3947"/>
      <c r="G23" s="3947"/>
      <c r="H23" s="3947"/>
      <c r="I23" s="3947"/>
      <c r="J23" s="3948" t="str">
        <f>IF(B2=0,"","表示")</f>
        <v>表示</v>
      </c>
      <c r="K23" s="3948"/>
      <c r="L23" s="3949"/>
      <c r="M23" s="3945" t="str">
        <f>IF(M22="","",IF(AND(M22&lt;&gt;"",R26="設"),"設置",IF(OR(R26="不",R26=""),"不要")))</f>
        <v>設置</v>
      </c>
      <c r="N23" s="3945"/>
      <c r="O23" s="3945"/>
      <c r="P23" s="3945" t="str">
        <f>IF(P22="","",IF(AND(P22&lt;&gt;"",R35="設"),"設置",IF(OR(R35="不",R35=""),"不要")))</f>
        <v>設置</v>
      </c>
      <c r="Q23" s="3945"/>
      <c r="R23" s="3945"/>
      <c r="S23" s="3945" t="str">
        <f>IF(S22="","",IF(AND(S22&lt;&gt;"",R44="設"),"設置",IF(OR(R44="不",R44=""),"不要")))</f>
        <v>設置</v>
      </c>
      <c r="T23" s="3945"/>
      <c r="U23" s="3945"/>
      <c r="V23" s="3945" t="str">
        <f>IF(V22="","",IF(AND(V22&lt;&gt;"",R53="設"),"設置",IF(OR(R53="不",R53=""),"不要")))</f>
        <v>設置</v>
      </c>
      <c r="W23" s="3945"/>
      <c r="X23" s="3945"/>
      <c r="Y23" s="3945" t="str">
        <f>IF(Y22="","",IF(AND(Y22&lt;&gt;"",R62="設"),"設置",IF(OR(R62="不",R62=""),"不要")))</f>
        <v>設置</v>
      </c>
      <c r="Z23" s="3945"/>
      <c r="AA23" s="3945"/>
      <c r="AB23" s="3945" t="str">
        <f>IF(AB22="","",IF(AND(AB22&lt;&gt;"",R71="設"),"設置",IF(OR(R71="不",R71=""),"不要")))</f>
        <v>設置</v>
      </c>
      <c r="AC23" s="3945"/>
      <c r="AD23" s="3945"/>
      <c r="AE23" s="3945" t="str">
        <f>IF(AE22="","",IF(AND(AE22&lt;&gt;"",R81="設"),"設置",IF(OR(R81="不",MR81=""),"不要")))</f>
        <v>設置</v>
      </c>
      <c r="AF23" s="3945"/>
      <c r="AG23" s="3945"/>
      <c r="AH23" s="3945" t="str">
        <f>IF(AK22="","",IF(AND(AH22&lt;&gt;"",R90="設"),"設置",IF(OR(R90="不",R90=""),"不要")))</f>
        <v>設置</v>
      </c>
      <c r="AI23" s="3945"/>
      <c r="AJ23" s="3945"/>
      <c r="AK23" s="3945" t="str">
        <f>IF(AK22="","",IF(AND(AK22&lt;&gt;"",R99="設"),"設置",IF(OR(R99="不",R99=""),"不要")))</f>
        <v>設置</v>
      </c>
      <c r="AL23" s="3945"/>
      <c r="AM23" s="3945"/>
      <c r="AN23" s="3945" t="str">
        <f>IF(AK22="","",IF(AND(AK22&lt;&gt;"",R108="設"),"設置",IF(OR(R108="不",R108=""),"不要")))</f>
        <v>設置</v>
      </c>
      <c r="AO23" s="3945"/>
      <c r="AP23" s="3945"/>
      <c r="AQ23" s="3945" t="str">
        <f>IF(AQ22="","",IF(AND(AQ22&lt;&gt;"",R117="設"),"設置",IF(OR(R117="不",R117=""),"不要")))</f>
        <v>設置</v>
      </c>
      <c r="AR23" s="3945"/>
      <c r="AS23" s="3945"/>
      <c r="AT23" s="3945" t="str">
        <f>IF(AT22="","",IF(AND(AT22&lt;&gt;"",R126="設"),"設置",IF(OR(R126="不",R126=""),"不要")))</f>
        <v>設置</v>
      </c>
      <c r="AU23" s="3945"/>
      <c r="AV23" s="3945"/>
      <c r="AW23" s="3945" t="str">
        <f>IF(AW22="","",IF(AND(AW22&lt;&gt;"",R135="設"),"設置",IF(OR(R135="不",R135=""),"不要")))</f>
        <v>設置</v>
      </c>
      <c r="AX23" s="3945"/>
      <c r="AY23" s="3945"/>
      <c r="AZ23" s="3945" t="str">
        <f>IF(AZ22="","",IF(AND(AZ22&lt;&gt;"",R144="設"),"設置",IF(OR(R144="不",R144=""),"不要")))</f>
        <v>設置</v>
      </c>
      <c r="BA23" s="3945"/>
      <c r="BB23" s="3945"/>
      <c r="BC23" s="3945" t="str">
        <f>IF(BC22="","",IF(AND(BC22&lt;&gt;"",R154="設"),"設置",IF(OR(R154="不",R154=""),"不要")))</f>
        <v>設置</v>
      </c>
      <c r="BD23" s="3945"/>
      <c r="BE23" s="3945"/>
      <c r="BF23" s="3945" t="str">
        <f>IF(BF22="","",IF(AND(BF22&lt;&gt;"",R163="設"),"設置",IF(OR(R163="不",R163=""),"不要")))</f>
        <v>設置</v>
      </c>
      <c r="BG23" s="3945"/>
      <c r="BH23" s="3945"/>
      <c r="BI23" s="3945" t="str">
        <f>IF(BI22="","",IF(AND(BI22&lt;&gt;"",R172="設"),"設置",IF(OR(R172="不",R172=""),"不要")))</f>
        <v/>
      </c>
      <c r="BJ23" s="3945"/>
      <c r="BK23" s="3945"/>
      <c r="BL23" s="3945" t="str">
        <f>IF(BL22="","",IF(AND(BL22&lt;&gt;"",R181="設"),"設置",IF(OR(R181="不",R181=""),"不要")))</f>
        <v/>
      </c>
      <c r="BM23" s="3945"/>
      <c r="BN23" s="3945"/>
      <c r="BO23" s="3945" t="str">
        <f>IF(BO22="","",IF(AND(BO22&lt;&gt;"",R190="設"),"設置",IF(OR(R190="不",R190=""),"不要")))</f>
        <v/>
      </c>
      <c r="BP23" s="3945"/>
      <c r="BQ23" s="3945"/>
      <c r="BR23" s="3945" t="str">
        <f>IF(BR22="","",IF(AND(BR22&lt;&gt;"",R199="設"),"設置",IF(OR(R199="不",R199=""),"不要")))</f>
        <v/>
      </c>
      <c r="BS23" s="3945"/>
      <c r="BT23" s="3945"/>
      <c r="BU23" s="19"/>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8">
        <f>IF(AND(AB30="Ａ",$X$11="2端子"),BI29+BQ29,IF(AND(AB30="Ａ",$X$11="1端子"),BE29+BM29,IF(AND(AB30="Ｂ",$X$11="1端子"),BM29,IF(AND(AB30="Ｂ",$X$11="2端子"),BQ29,IF(AND(AB30="Ｃ",$X$11="1端子"),BM29,BQ29)))))</f>
        <v>66</v>
      </c>
      <c r="DC23" s="10"/>
      <c r="DD23" s="8"/>
      <c r="DE23" s="8"/>
      <c r="DF23" s="8"/>
      <c r="DG23" s="8"/>
      <c r="DH23" s="8"/>
      <c r="DI23" s="8"/>
      <c r="DJ23" s="8"/>
      <c r="DK23" s="8"/>
      <c r="DL23" s="8"/>
      <c r="DM23" s="8"/>
      <c r="DN23" s="8"/>
      <c r="DO23" s="8"/>
      <c r="DP23" s="8"/>
      <c r="DQ23" s="8"/>
      <c r="DR23" s="8"/>
      <c r="DS23" s="8"/>
      <c r="DT23" s="8"/>
      <c r="DU23" s="8"/>
      <c r="DV23" s="8"/>
      <c r="DW23" s="8"/>
      <c r="DX23" s="8"/>
      <c r="DY23" s="8"/>
      <c r="DZ23" s="8"/>
      <c r="EA23" s="8"/>
      <c r="EB23" s="8" t="str">
        <f>IF(AJ17&lt;&gt;"","CSアンテナポールBP付 "&amp;AZ17&amp;"-"&amp;BE17&amp;BH17,"")</f>
        <v>CSアンテナポールBP付 SGP80A-1.5m</v>
      </c>
      <c r="EC23" s="8"/>
      <c r="ED23" s="8"/>
      <c r="EE23" s="8">
        <f>IF(EB23="","",1)</f>
        <v>1</v>
      </c>
      <c r="EF23" s="8"/>
      <c r="EG23" s="8"/>
      <c r="EH23" s="8"/>
      <c r="EI23" s="8"/>
      <c r="EJ23" s="8"/>
      <c r="EK23" s="8"/>
      <c r="EL23" s="8"/>
      <c r="EM23" s="8"/>
      <c r="EN23" s="8"/>
      <c r="EO23" s="8"/>
      <c r="EP23" s="8"/>
      <c r="EQ23" s="8"/>
      <c r="ER23" s="8"/>
      <c r="ES23" s="8"/>
      <c r="ET23" s="8"/>
      <c r="EU23" s="8"/>
      <c r="EV23" s="8"/>
      <c r="EW23" s="8"/>
      <c r="EX23" s="8"/>
      <c r="EY23" s="8"/>
      <c r="EZ23" s="8"/>
      <c r="FA23" s="8"/>
      <c r="FB23" s="197">
        <f t="shared" si="0"/>
        <v>5</v>
      </c>
      <c r="FC23" s="773">
        <f t="shared" si="1"/>
        <v>5</v>
      </c>
      <c r="FD23" s="11" t="str">
        <f t="shared" si="2"/>
        <v>CSアンテナポールBP付 SGP80A-1.5m</v>
      </c>
      <c r="FE23" s="9"/>
      <c r="FF23" s="11" t="str">
        <f>IF(COUNTIF($FD$15:FD22,FD23)&gt;0,"",FD23)</f>
        <v>CSアンテナポールBP付 SGP80A-1.5m</v>
      </c>
      <c r="FG23" s="9"/>
      <c r="FH23" s="125">
        <f t="shared" si="3"/>
        <v>1</v>
      </c>
      <c r="FI23" s="771">
        <f t="shared" si="4"/>
        <v>1</v>
      </c>
    </row>
    <row r="24" spans="1:165" ht="11.25" customHeight="1" thickBot="1">
      <c r="B24" s="23"/>
      <c r="C24" s="20"/>
      <c r="D24" s="20"/>
      <c r="E24" s="20"/>
      <c r="F24" s="20"/>
      <c r="G24" s="20"/>
      <c r="H24" s="20"/>
      <c r="I24" s="20"/>
      <c r="J24" s="20"/>
      <c r="K24" s="20"/>
      <c r="L24" s="20"/>
      <c r="M24" s="20"/>
      <c r="N24" s="20"/>
      <c r="O24" s="20"/>
      <c r="P24" s="20"/>
      <c r="Q24" s="85" t="str">
        <f>IF(AND(OR(AB30="Ａ",F232="Ａ"),DB23&gt;24),"直列ユニット数………配線方式Ａ：24以下!!",IF(AND(OR(AB30="Ｂ",F232="Ｂ"),DB23&gt;12),"直列ユニット数………配線方式Ｂ：12以下!!",IF(AND(OR(AB30="Ｃ",F232="Ｃ"),DB23&gt;180),"直列ユニット数………配線方式Ｃ：180以下!!","")))</f>
        <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19"/>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v>3</v>
      </c>
      <c r="DB24" s="92" t="str">
        <f>IF(OR(M22="不要",C29="",C29="  RF"),"",IF(DK24&lt;=12,"Ｂ",IF(DK24&lt;=24,"Ａ","Ｃ")))</f>
        <v>Ｃ</v>
      </c>
      <c r="DC24" s="10"/>
      <c r="DD24" s="8"/>
      <c r="DE24" s="8"/>
      <c r="DF24" s="8"/>
      <c r="DG24" s="8"/>
      <c r="DH24" s="8"/>
      <c r="DI24" s="8"/>
      <c r="DJ24" s="8"/>
      <c r="DK24" s="159">
        <f>IF(OR(C29="",C29="  RF"),0,SUM(Q29:V29))</f>
        <v>66</v>
      </c>
      <c r="DL24" s="8"/>
      <c r="DM24" s="8"/>
      <c r="DN24" s="8"/>
      <c r="DO24" s="8"/>
      <c r="DP24" s="8"/>
      <c r="DQ24" s="8"/>
      <c r="DR24" s="8"/>
      <c r="DS24" s="8"/>
      <c r="DT24" s="8"/>
      <c r="DU24" s="8"/>
      <c r="DV24" s="8"/>
      <c r="DW24" s="8"/>
      <c r="DX24" s="8"/>
      <c r="DY24" s="8"/>
      <c r="DZ24" s="8"/>
      <c r="EA24" s="8"/>
      <c r="EB24" s="8"/>
      <c r="EC24" s="8"/>
      <c r="ED24" s="8"/>
      <c r="EE24" s="8"/>
      <c r="EF24" s="8"/>
      <c r="EG24" s="88">
        <v>1</v>
      </c>
      <c r="EH24" s="373"/>
      <c r="EI24" s="45"/>
      <c r="EJ24" s="45"/>
      <c r="EK24" s="45"/>
      <c r="EL24" s="55" t="s">
        <v>109</v>
      </c>
      <c r="EM24" s="45"/>
      <c r="EN24" s="45"/>
      <c r="EO24" s="55" t="s">
        <v>108</v>
      </c>
      <c r="EP24" s="8"/>
      <c r="EQ24" s="88">
        <v>1</v>
      </c>
      <c r="ER24" s="373"/>
      <c r="ES24" s="45"/>
      <c r="ET24" s="45"/>
      <c r="EU24" s="45"/>
      <c r="EV24" s="55" t="s">
        <v>109</v>
      </c>
      <c r="EW24" s="45"/>
      <c r="EX24" s="45"/>
      <c r="EY24" s="55" t="s">
        <v>108</v>
      </c>
      <c r="EZ24" s="8"/>
      <c r="FA24" s="88">
        <v>1</v>
      </c>
      <c r="FB24" s="197">
        <f t="shared" si="0"/>
        <v>5</v>
      </c>
      <c r="FC24" s="773" t="str">
        <f t="shared" si="1"/>
        <v/>
      </c>
      <c r="FD24" s="154"/>
      <c r="FE24" s="55"/>
      <c r="FF24" s="154"/>
      <c r="FG24" s="55"/>
      <c r="FH24" s="816"/>
      <c r="FI24" s="815"/>
    </row>
    <row r="25" spans="1:165" ht="12" customHeight="1" thickBot="1">
      <c r="B25" s="23"/>
      <c r="C25" s="3399" t="s">
        <v>1142</v>
      </c>
      <c r="D25" s="3412"/>
      <c r="E25" s="3412"/>
      <c r="F25" s="3412"/>
      <c r="G25" s="3412"/>
      <c r="H25" s="3412"/>
      <c r="I25" s="3412"/>
      <c r="J25" s="3412"/>
      <c r="K25" s="3412"/>
      <c r="L25" s="3413"/>
      <c r="M25" s="3853" t="str">
        <f>非誘!J16</f>
        <v>( 15)</v>
      </c>
      <c r="N25" s="3854"/>
      <c r="O25" s="3854"/>
      <c r="P25" s="3854"/>
      <c r="Q25" s="3855"/>
      <c r="R25" s="3399" t="str">
        <f>IF($B$2=0,"","共聴機器")</f>
        <v>共聴機器</v>
      </c>
      <c r="S25" s="3412"/>
      <c r="T25" s="3412"/>
      <c r="U25" s="3412"/>
      <c r="V25" s="3413"/>
      <c r="W25" s="3412" t="s">
        <v>1141</v>
      </c>
      <c r="X25" s="3412"/>
      <c r="Y25" s="3412"/>
      <c r="Z25" s="3413"/>
      <c r="AA25" s="2637" t="s">
        <v>1140</v>
      </c>
      <c r="AB25" s="2638"/>
      <c r="AC25" s="2638"/>
      <c r="AD25" s="2638"/>
      <c r="AE25" s="2638"/>
      <c r="AF25" s="2639"/>
      <c r="AG25" s="3879" t="s">
        <v>1139</v>
      </c>
      <c r="AH25" s="3879"/>
      <c r="AI25" s="3879"/>
      <c r="AJ25" s="3879"/>
      <c r="AK25" s="3879"/>
      <c r="AL25" s="3879"/>
      <c r="AM25" s="3879"/>
      <c r="AN25" s="3879"/>
      <c r="AO25" s="3879"/>
      <c r="AP25" s="3879"/>
      <c r="AQ25" s="3879"/>
      <c r="AR25" s="3879"/>
      <c r="AS25" s="2637" t="s">
        <v>1138</v>
      </c>
      <c r="AT25" s="2638"/>
      <c r="AU25" s="2638"/>
      <c r="AV25" s="2638"/>
      <c r="AW25" s="2638"/>
      <c r="AX25" s="2638"/>
      <c r="AY25" s="2638"/>
      <c r="AZ25" s="2638"/>
      <c r="BA25" s="2638"/>
      <c r="BB25" s="2638"/>
      <c r="BC25" s="2638"/>
      <c r="BD25" s="2639"/>
      <c r="BE25" s="2637" t="s">
        <v>1137</v>
      </c>
      <c r="BF25" s="2638"/>
      <c r="BG25" s="2638"/>
      <c r="BH25" s="2638"/>
      <c r="BI25" s="2638"/>
      <c r="BJ25" s="2638"/>
      <c r="BK25" s="2638"/>
      <c r="BL25" s="2638"/>
      <c r="BM25" s="2638"/>
      <c r="BN25" s="2638"/>
      <c r="BO25" s="2638"/>
      <c r="BP25" s="2638"/>
      <c r="BQ25" s="2638"/>
      <c r="BR25" s="2638"/>
      <c r="BS25" s="2638"/>
      <c r="BT25" s="2639"/>
      <c r="BU25" s="19"/>
      <c r="BV25" s="8"/>
      <c r="BW25" s="9"/>
      <c r="BX25" s="54"/>
      <c r="BY25" s="3485"/>
      <c r="BZ25" s="3485"/>
      <c r="CA25" s="9"/>
      <c r="CB25" s="54"/>
      <c r="CC25" s="3485"/>
      <c r="CD25" s="3485"/>
      <c r="CE25" s="9"/>
      <c r="CF25" s="54"/>
      <c r="CG25" s="212"/>
      <c r="CH25" s="54"/>
      <c r="CI25" s="212"/>
      <c r="CJ25" s="9"/>
      <c r="CK25" s="8"/>
      <c r="CL25" s="8"/>
      <c r="CM25" s="8"/>
      <c r="CN25" s="8"/>
      <c r="CO25" s="8"/>
      <c r="CP25" s="8"/>
      <c r="CQ25" s="8"/>
      <c r="CR25" s="8"/>
      <c r="CS25" s="8"/>
      <c r="CT25" s="8"/>
      <c r="CU25" s="8"/>
      <c r="CV25" s="8"/>
      <c r="CW25" s="8"/>
      <c r="CX25" s="8"/>
      <c r="CY25" s="8"/>
      <c r="CZ25" s="15"/>
      <c r="DA25" s="788"/>
      <c r="DB25" s="97">
        <f>IF(C29="","",DB16+1)</f>
        <v>1</v>
      </c>
      <c r="DC25" s="15" t="str">
        <f>IF($X$10=C29,"＝",IF(VLOOKUP(C29,[2]!階高,3,FALSE)-VLOOKUP($X$10,[2]!階高,3,FALSE)&gt;0,"＋","－"))</f>
        <v>－</v>
      </c>
      <c r="DD25" s="38"/>
      <c r="DE25" s="113" t="s">
        <v>1300</v>
      </c>
      <c r="DF25" s="113" t="s">
        <v>1299</v>
      </c>
      <c r="DG25" s="113" t="s">
        <v>1298</v>
      </c>
      <c r="DH25" s="113" t="s">
        <v>1297</v>
      </c>
      <c r="DI25" s="113" t="s">
        <v>1296</v>
      </c>
      <c r="DJ25" s="113" t="s">
        <v>1295</v>
      </c>
      <c r="DK25" s="90" t="s">
        <v>1305</v>
      </c>
      <c r="DL25" s="38"/>
      <c r="DM25" s="113" t="s">
        <v>1300</v>
      </c>
      <c r="DN25" s="113" t="s">
        <v>1299</v>
      </c>
      <c r="DO25" s="113" t="s">
        <v>1298</v>
      </c>
      <c r="DP25" s="113" t="s">
        <v>1297</v>
      </c>
      <c r="DQ25" s="113" t="s">
        <v>1296</v>
      </c>
      <c r="DR25" s="113" t="s">
        <v>1295</v>
      </c>
      <c r="DS25" s="38"/>
      <c r="DT25" s="113" t="s">
        <v>1300</v>
      </c>
      <c r="DU25" s="113" t="s">
        <v>1297</v>
      </c>
      <c r="DV25" s="113" t="s">
        <v>1296</v>
      </c>
      <c r="DW25" s="113" t="s">
        <v>1295</v>
      </c>
      <c r="DX25" s="113" t="s">
        <v>1297</v>
      </c>
      <c r="DY25" s="113" t="s">
        <v>1297</v>
      </c>
      <c r="DZ25" s="113" t="s">
        <v>1297</v>
      </c>
      <c r="EA25" s="113"/>
      <c r="EB25" s="776" t="str">
        <f>IF(OR($B$2=0,W29=""),"","混合器 U-U")</f>
        <v/>
      </c>
      <c r="EC25" s="15"/>
      <c r="ED25" s="782" t="str">
        <f>IF(AS29="","","分配器 2D")</f>
        <v/>
      </c>
      <c r="EE25" s="15"/>
      <c r="EF25" s="15"/>
      <c r="EG25" s="8"/>
      <c r="EH25" s="197">
        <f t="shared" ref="EH25:EH56" si="5">IF(EL25&lt;&gt;"",EH24+1,EH24)</f>
        <v>0</v>
      </c>
      <c r="EI25" s="814" t="str">
        <f t="shared" ref="EI25:EI56" si="6">IF(AND(EH25&lt;&gt;"",EL25&lt;&gt;""),EH25,"")</f>
        <v/>
      </c>
      <c r="EJ25" s="231" t="str">
        <f>K31</f>
        <v/>
      </c>
      <c r="EK25" s="145"/>
      <c r="EL25" s="145" t="str">
        <f>IF(COUNTIF($EJ$18:EJ24,EJ25)&gt;0,"",EJ25)</f>
        <v/>
      </c>
      <c r="EM25" s="145"/>
      <c r="EN25" s="144" t="str">
        <f>T31</f>
        <v/>
      </c>
      <c r="EO25" s="813">
        <f>SUMIF($EJ$25:$EJ$225,EL25,$EN$25:$EN$225)</f>
        <v>0</v>
      </c>
      <c r="EP25" s="8"/>
      <c r="EQ25" s="8"/>
      <c r="ER25" s="197">
        <f t="shared" ref="ER25:ER56" si="7">IF(EV25&lt;&gt;"",ER24+1,ER24)</f>
        <v>0</v>
      </c>
      <c r="ES25" s="814" t="str">
        <f t="shared" ref="ES25:ES56" si="8">IF(AND(ER25&lt;&gt;"",EV25&lt;&gt;""),ER25,"")</f>
        <v/>
      </c>
      <c r="ET25" s="231" t="str">
        <f t="shared" ref="ET25:ET32" si="9">EB25</f>
        <v/>
      </c>
      <c r="EU25" s="145"/>
      <c r="EV25" s="146" t="str">
        <f>IF(COUNTIF($ET$18:ET24,ET25)&gt;0,"",ET25)</f>
        <v/>
      </c>
      <c r="EW25" s="145"/>
      <c r="EX25" s="211" t="str">
        <f>W29</f>
        <v/>
      </c>
      <c r="EY25" s="813">
        <f t="shared" ref="EY25:EY32" si="10">SUMIF($ET$25:$ET$225,EV25,$EX$25:$EX$225)</f>
        <v>0</v>
      </c>
      <c r="EZ25" s="8"/>
      <c r="FA25" s="8"/>
      <c r="FB25" s="197">
        <f t="shared" si="0"/>
        <v>5</v>
      </c>
      <c r="FC25" s="773" t="str">
        <f t="shared" si="1"/>
        <v/>
      </c>
      <c r="FD25" s="772" t="str">
        <f t="shared" ref="FD25:FD31" si="11">ED25</f>
        <v/>
      </c>
      <c r="FE25" s="9"/>
      <c r="FF25" s="11" t="str">
        <f>IF(COUNTIF($FD$15:FD24,FD25)&gt;0,"",FD25)</f>
        <v/>
      </c>
      <c r="FG25" s="9"/>
      <c r="FH25" s="124" t="str">
        <f>AS29</f>
        <v/>
      </c>
      <c r="FI25" s="771">
        <f t="shared" ref="FI25:FI31" si="12">SUMIF($FD$18:$FD$205,FF25,$FH$18:$FH$205)</f>
        <v>0</v>
      </c>
    </row>
    <row r="26" spans="1:165" ht="12" customHeight="1" thickBot="1">
      <c r="B26" s="23"/>
      <c r="C26" s="3857" t="str">
        <f>"　"&amp;非誘!M16</f>
        <v>　前各項以外</v>
      </c>
      <c r="D26" s="3858"/>
      <c r="E26" s="3858"/>
      <c r="F26" s="3858"/>
      <c r="G26" s="3858"/>
      <c r="H26" s="3858"/>
      <c r="I26" s="3858"/>
      <c r="J26" s="3858"/>
      <c r="K26" s="3858"/>
      <c r="L26" s="3858"/>
      <c r="M26" s="3858"/>
      <c r="N26" s="3858"/>
      <c r="O26" s="3858"/>
      <c r="P26" s="3858"/>
      <c r="Q26" s="3859"/>
      <c r="R26" s="2337" t="str">
        <f>IF(U26&lt;&gt;"",U26,IF(C29="","","設"))</f>
        <v>設</v>
      </c>
      <c r="S26" s="2337"/>
      <c r="T26" s="175" t="s">
        <v>103</v>
      </c>
      <c r="U26" s="2338"/>
      <c r="V26" s="2338"/>
      <c r="W26" s="3860" t="s">
        <v>1304</v>
      </c>
      <c r="X26" s="3863" t="s">
        <v>1303</v>
      </c>
      <c r="Y26" s="3863" t="s">
        <v>1302</v>
      </c>
      <c r="Z26" s="3866"/>
      <c r="AA26" s="3528" t="s">
        <v>1301</v>
      </c>
      <c r="AB26" s="3519"/>
      <c r="AC26" s="3519"/>
      <c r="AD26" s="3519"/>
      <c r="AE26" s="3519"/>
      <c r="AF26" s="3520"/>
      <c r="AG26" s="3528" t="s">
        <v>1300</v>
      </c>
      <c r="AH26" s="3519"/>
      <c r="AI26" s="3519"/>
      <c r="AJ26" s="3529"/>
      <c r="AK26" s="3518" t="s">
        <v>1299</v>
      </c>
      <c r="AL26" s="3519"/>
      <c r="AM26" s="3519"/>
      <c r="AN26" s="3529"/>
      <c r="AO26" s="3518" t="s">
        <v>1298</v>
      </c>
      <c r="AP26" s="3519"/>
      <c r="AQ26" s="3519"/>
      <c r="AR26" s="3520"/>
      <c r="AS26" s="3528" t="s">
        <v>1297</v>
      </c>
      <c r="AT26" s="3519"/>
      <c r="AU26" s="3519"/>
      <c r="AV26" s="3529"/>
      <c r="AW26" s="3518" t="s">
        <v>1296</v>
      </c>
      <c r="AX26" s="3519"/>
      <c r="AY26" s="3519"/>
      <c r="AZ26" s="3529"/>
      <c r="BA26" s="3518" t="s">
        <v>1295</v>
      </c>
      <c r="BB26" s="3519"/>
      <c r="BC26" s="3519"/>
      <c r="BD26" s="3520"/>
      <c r="BE26" s="3528" t="s">
        <v>1123</v>
      </c>
      <c r="BF26" s="3519"/>
      <c r="BG26" s="3519"/>
      <c r="BH26" s="3519"/>
      <c r="BI26" s="3519"/>
      <c r="BJ26" s="3519"/>
      <c r="BK26" s="3519"/>
      <c r="BL26" s="3529"/>
      <c r="BM26" s="3518" t="s">
        <v>1122</v>
      </c>
      <c r="BN26" s="3519"/>
      <c r="BO26" s="3519"/>
      <c r="BP26" s="3519"/>
      <c r="BQ26" s="3519"/>
      <c r="BR26" s="3519"/>
      <c r="BS26" s="3519"/>
      <c r="BT26" s="3520"/>
      <c r="BU26" s="19"/>
      <c r="BV26" s="8"/>
      <c r="BW26" s="9"/>
      <c r="BX26" s="9"/>
      <c r="BY26" s="3932"/>
      <c r="BZ26" s="3485"/>
      <c r="CA26" s="9"/>
      <c r="CB26" s="54"/>
      <c r="CC26" s="3932"/>
      <c r="CD26" s="3485"/>
      <c r="CE26" s="9"/>
      <c r="CF26" s="54"/>
      <c r="CG26" s="212"/>
      <c r="CH26" s="54"/>
      <c r="CI26" s="212"/>
      <c r="CJ26" s="9"/>
      <c r="CK26" s="8"/>
      <c r="CL26" s="8"/>
      <c r="CM26" s="8"/>
      <c r="CN26" s="8"/>
      <c r="CO26" s="8"/>
      <c r="CP26" s="8"/>
      <c r="CQ26" s="8"/>
      <c r="CR26" s="8"/>
      <c r="CS26" s="8"/>
      <c r="CT26" s="8"/>
      <c r="CU26" s="8"/>
      <c r="CV26" s="8"/>
      <c r="CW26" s="8"/>
      <c r="CX26" s="8"/>
      <c r="CY26" s="8"/>
      <c r="CZ26" s="15"/>
      <c r="DA26" s="15">
        <f>IF(AG28&lt;&gt;"",2,IF(AK28&lt;&gt;"",3,0))</f>
        <v>2</v>
      </c>
      <c r="DB26" s="86" t="s">
        <v>1294</v>
      </c>
      <c r="DC26" s="86" t="s">
        <v>1293</v>
      </c>
      <c r="DD26" s="128" t="s">
        <v>1292</v>
      </c>
      <c r="DE26" s="86">
        <f>IF(AB30&lt;&gt;"Ａ",0,IF(AND(2*DK26&gt;=4,2*DK26&lt;=12),1,0))</f>
        <v>0</v>
      </c>
      <c r="DF26" s="86">
        <f>IF(AB30&lt;&gt;"Ａ",0,IF(AND(2*DK26&gt;=16,DK26&lt;=24),1,0))</f>
        <v>0</v>
      </c>
      <c r="DG26" s="97" t="s">
        <v>114</v>
      </c>
      <c r="DH26" s="86">
        <f>IF(AB30&lt;&gt;"Ａ",0,IF(2*DK26&lt;=4,1,0))</f>
        <v>0</v>
      </c>
      <c r="DI26" s="86">
        <f>IF(AB30&lt;&gt;"Ａ",0,IF(OR(AND(2*DK26&gt;4,2*DK26&lt;=8),AND(2*DK26&gt;12,2*DK26&lt;=16)),1,0))</f>
        <v>0</v>
      </c>
      <c r="DJ26" s="183">
        <f>IF(AB30&lt;&gt;"Ａ",0,IF(OR(AND(2*DK26&gt;8,2*DK26&lt;=12),AND(2*DK26&gt;16,2*DK26&lt;=24)),1,0))</f>
        <v>0</v>
      </c>
      <c r="DK26" s="783">
        <f>IF(OR(C29="",C29="  RF"),0,IF(Q29="",INT((T29)/2),INT((Q29+INT(T29))/2)+1))</f>
        <v>34</v>
      </c>
      <c r="DL26" s="128" t="s">
        <v>1291</v>
      </c>
      <c r="DM26" s="86">
        <f>IF(AB30&lt;&gt;"Ｂ",0,IF(DB23&lt;=6,1,0))</f>
        <v>0</v>
      </c>
      <c r="DN26" s="86">
        <f>IF(AB30&lt;&gt;"Ｂ",0,IF(AND(DB23&gt;6,DB23&lt;=12),1,0))</f>
        <v>0</v>
      </c>
      <c r="DO26" s="97" t="s">
        <v>114</v>
      </c>
      <c r="DP26" s="86">
        <f>IF(AB30&lt;&gt;"Ｂ",0,IF(DB23&lt;=2,1,0))</f>
        <v>0</v>
      </c>
      <c r="DQ26" s="86">
        <f>IF(AB30&lt;&gt;"Ｂ",0,IF(OR(AND(DB23&gt;2,DB23&lt;6),AND(DB23&gt;6,DB23&lt;=8)),1,0))</f>
        <v>0</v>
      </c>
      <c r="DR26" s="86">
        <f>IF(AB30&lt;&gt;"Ｂ",0,IF(OR(AND(DB23&gt;4,DB23&lt;6),AND(DB23&gt;8,DB23&lt;=12)),1,0))</f>
        <v>0</v>
      </c>
      <c r="DS26" s="128" t="s">
        <v>1290</v>
      </c>
      <c r="DT26" s="159">
        <f>IF(AB30&lt;&gt;"Ｃ",0,IF(DX26&lt;&gt;0,DX26,IF(DY26&lt;&gt;0,DY26,IF(DZ26&lt;&gt;0,DZ26,0))))</f>
        <v>0</v>
      </c>
      <c r="DU26" s="159">
        <f>IF(AB30&lt;&gt;"Ｃ",0,IF(DX26=0,0,1))</f>
        <v>0</v>
      </c>
      <c r="DV26" s="159">
        <f>IF(AB30&lt;&gt;"Ｃ",0,IF(DY26=0,0,1))</f>
        <v>0</v>
      </c>
      <c r="DW26" s="783">
        <f>IF(AB30&lt;&gt;"Ｃ",0,IF(DZ26=0,0,1))</f>
        <v>0</v>
      </c>
      <c r="DX26" s="714">
        <f>IF(AB30&lt;&gt;"Ｃ",0,IF(DB23&lt;=12,3,IF(AND(DB23&gt;12,DB23&lt;=16),4,IF(AND(DB23&gt;16,DB23&lt;=20),5,0))))</f>
        <v>0</v>
      </c>
      <c r="DY26" s="86">
        <f>IF(AB30&lt;&gt;"Ｃ",0,IF(AND(DB23&gt;20,DB23&lt;=24),3,IF(AND(DB23&gt;24,DB23&lt;=32),4,IF(AND(DB23&gt;32,DB23&lt;=40),5,0))))</f>
        <v>0</v>
      </c>
      <c r="DZ26" s="97">
        <f>IF(AB30&lt;&gt;"Ｃ",0,IF(AND(DB23&gt;40,DB23&lt;=48),4,IF(AND(DB23&gt;48,DB23&lt;=60),5,0)))</f>
        <v>0</v>
      </c>
      <c r="EA26" s="96"/>
      <c r="EB26" s="776" t="str">
        <f>IF(OR($B$2=0,X29=""),"","混合器 BS-CS")</f>
        <v/>
      </c>
      <c r="EC26" s="96"/>
      <c r="ED26" s="782" t="str">
        <f>IF(AW29="","","分配器 4D")</f>
        <v>分配器 4D</v>
      </c>
      <c r="EE26" s="96"/>
      <c r="EF26" s="96"/>
      <c r="EG26" s="96"/>
      <c r="EH26" s="197">
        <f t="shared" si="5"/>
        <v>1</v>
      </c>
      <c r="EI26" s="773">
        <f t="shared" si="6"/>
        <v>1</v>
      </c>
      <c r="EJ26" s="203" t="str">
        <f>K32</f>
        <v>S-7C-FB</v>
      </c>
      <c r="EK26" s="9"/>
      <c r="EL26" s="9" t="str">
        <f>IF(COUNTIF($EJ$22:EJ25,EJ26)&gt;0,"",EJ26)</f>
        <v>S-7C-FB</v>
      </c>
      <c r="EM26" s="9"/>
      <c r="EN26" s="14">
        <f>T32</f>
        <v>69.5</v>
      </c>
      <c r="EO26" s="771">
        <f>SUMIF($EJ$25:$EJ$205,EL26,$EN$25:$EN$205)</f>
        <v>365.40000000000003</v>
      </c>
      <c r="EP26" s="8"/>
      <c r="EQ26" s="96"/>
      <c r="ER26" s="197">
        <f t="shared" si="7"/>
        <v>0</v>
      </c>
      <c r="ES26" s="773" t="str">
        <f t="shared" si="8"/>
        <v/>
      </c>
      <c r="ET26" s="203" t="str">
        <f t="shared" si="9"/>
        <v/>
      </c>
      <c r="EU26" s="9"/>
      <c r="EV26" s="11" t="str">
        <f>IF(COUNTIF($ET$18:ET25,ET26)&gt;0,"",ET26)</f>
        <v/>
      </c>
      <c r="EW26" s="9"/>
      <c r="EX26" s="124" t="str">
        <f>X29</f>
        <v/>
      </c>
      <c r="EY26" s="771">
        <f t="shared" si="10"/>
        <v>0</v>
      </c>
      <c r="EZ26" s="8"/>
      <c r="FA26" s="96"/>
      <c r="FB26" s="197">
        <f t="shared" si="0"/>
        <v>6</v>
      </c>
      <c r="FC26" s="773">
        <f t="shared" si="1"/>
        <v>6</v>
      </c>
      <c r="FD26" s="772" t="str">
        <f t="shared" si="11"/>
        <v>分配器 4D</v>
      </c>
      <c r="FE26" s="9"/>
      <c r="FF26" s="11" t="str">
        <f>IF(COUNTIF($FD$15:FD25,FD26)&gt;0,"",FD26)</f>
        <v>分配器 4D</v>
      </c>
      <c r="FG26" s="9"/>
      <c r="FH26" s="124">
        <f>AW29</f>
        <v>6</v>
      </c>
      <c r="FI26" s="771">
        <f t="shared" si="12"/>
        <v>10</v>
      </c>
    </row>
    <row r="27" spans="1:165" ht="12" customHeight="1" thickBot="1">
      <c r="B27" s="23"/>
      <c r="C27" s="3819" t="s">
        <v>16</v>
      </c>
      <c r="D27" s="3820"/>
      <c r="E27" s="3821"/>
      <c r="F27" s="3869" t="s">
        <v>22</v>
      </c>
      <c r="G27" s="3870"/>
      <c r="H27" s="3871"/>
      <c r="I27" s="3869" t="s">
        <v>5</v>
      </c>
      <c r="J27" s="3870"/>
      <c r="K27" s="3870"/>
      <c r="L27" s="3871"/>
      <c r="M27" s="3819" t="s">
        <v>1289</v>
      </c>
      <c r="N27" s="3820"/>
      <c r="O27" s="3820"/>
      <c r="P27" s="3821"/>
      <c r="Q27" s="3819" t="s">
        <v>1288</v>
      </c>
      <c r="R27" s="3820"/>
      <c r="S27" s="3821"/>
      <c r="T27" s="3819" t="s">
        <v>1288</v>
      </c>
      <c r="U27" s="3820"/>
      <c r="V27" s="3821"/>
      <c r="W27" s="3861"/>
      <c r="X27" s="3864"/>
      <c r="Y27" s="3864"/>
      <c r="Z27" s="3867"/>
      <c r="AA27" s="3872" t="str">
        <f>IF($AG$15&lt;=65,"40/","35/")</f>
        <v>40/</v>
      </c>
      <c r="AB27" s="3873"/>
      <c r="AC27" s="3873"/>
      <c r="AD27" s="3873" t="str">
        <f>IF(CW233&gt;55,"40/","35/")</f>
        <v>35/</v>
      </c>
      <c r="AE27" s="3873"/>
      <c r="AF27" s="3875"/>
      <c r="AG27" s="3876" t="s">
        <v>1114</v>
      </c>
      <c r="AH27" s="3877"/>
      <c r="AI27" s="3877"/>
      <c r="AJ27" s="3877"/>
      <c r="AK27" s="3877"/>
      <c r="AL27" s="3877"/>
      <c r="AM27" s="3877"/>
      <c r="AN27" s="3877"/>
      <c r="AO27" s="3877"/>
      <c r="AP27" s="3877"/>
      <c r="AQ27" s="3877"/>
      <c r="AR27" s="3878"/>
      <c r="AS27" s="3549" t="s">
        <v>1113</v>
      </c>
      <c r="AT27" s="3550"/>
      <c r="AU27" s="3550"/>
      <c r="AV27" s="3550"/>
      <c r="AW27" s="3550"/>
      <c r="AX27" s="3550"/>
      <c r="AY27" s="3550"/>
      <c r="AZ27" s="3550"/>
      <c r="BA27" s="3550"/>
      <c r="BB27" s="3550"/>
      <c r="BC27" s="3550"/>
      <c r="BD27" s="3551"/>
      <c r="BE27" s="3552" t="s">
        <v>1112</v>
      </c>
      <c r="BF27" s="3553"/>
      <c r="BG27" s="3553"/>
      <c r="BH27" s="3553"/>
      <c r="BI27" s="3553" t="s">
        <v>1111</v>
      </c>
      <c r="BJ27" s="3553"/>
      <c r="BK27" s="3553"/>
      <c r="BL27" s="3553"/>
      <c r="BM27" s="3553" t="s">
        <v>1112</v>
      </c>
      <c r="BN27" s="3553"/>
      <c r="BO27" s="3553"/>
      <c r="BP27" s="3553"/>
      <c r="BQ27" s="3553" t="s">
        <v>1111</v>
      </c>
      <c r="BR27" s="3553"/>
      <c r="BS27" s="3553"/>
      <c r="BT27" s="3919"/>
      <c r="BU27" s="19"/>
      <c r="BV27" s="8"/>
      <c r="BW27" s="9"/>
      <c r="BX27" s="54"/>
      <c r="BY27" s="194"/>
      <c r="BZ27" s="186"/>
      <c r="CA27" s="9"/>
      <c r="CB27" s="54"/>
      <c r="CC27" s="3932"/>
      <c r="CD27" s="3485"/>
      <c r="CE27" s="9"/>
      <c r="CF27" s="54"/>
      <c r="CG27" s="212"/>
      <c r="CH27" s="54"/>
      <c r="CI27" s="212"/>
      <c r="CJ27" s="9"/>
      <c r="CK27" s="8"/>
      <c r="CL27" s="8"/>
      <c r="CM27" s="8"/>
      <c r="CN27" s="8"/>
      <c r="CO27" s="8"/>
      <c r="CP27" s="8"/>
      <c r="CQ27" s="8"/>
      <c r="CR27" s="8"/>
      <c r="CS27" s="8"/>
      <c r="CT27" s="8"/>
      <c r="CU27" s="8"/>
      <c r="CV27" s="8"/>
      <c r="CW27" s="8"/>
      <c r="CX27" s="8"/>
      <c r="CY27" s="8"/>
      <c r="CZ27" s="15"/>
      <c r="DA27" s="67">
        <f>IF(DC25="＋",F29+3,F29+F38+3)</f>
        <v>13</v>
      </c>
      <c r="DB27" s="98">
        <f>IF(C29="  RF","",IF(AN30="","",非誘!BW18))</f>
        <v>24</v>
      </c>
      <c r="DC27" s="98">
        <f>IF(DB27="","",IF(AN30="","",非誘!BX18))</f>
        <v>33</v>
      </c>
      <c r="DD27" s="3822" t="s">
        <v>1287</v>
      </c>
      <c r="DE27" s="3823"/>
      <c r="DF27" s="3824" t="s">
        <v>1285</v>
      </c>
      <c r="DG27" s="3824"/>
      <c r="DH27" s="3824" t="s">
        <v>1286</v>
      </c>
      <c r="DI27" s="3824"/>
      <c r="DJ27" s="3823" t="s">
        <v>1285</v>
      </c>
      <c r="DK27" s="3823"/>
      <c r="DL27" s="8"/>
      <c r="DM27" s="113" t="s">
        <v>1284</v>
      </c>
      <c r="DN27" s="113" t="s">
        <v>1283</v>
      </c>
      <c r="DO27" s="113" t="s">
        <v>1282</v>
      </c>
      <c r="DP27" s="8"/>
      <c r="DQ27" s="8"/>
      <c r="DR27" s="8"/>
      <c r="DS27" s="8"/>
      <c r="DT27" s="113" t="s">
        <v>1281</v>
      </c>
      <c r="DU27" s="8"/>
      <c r="DV27" s="113" t="s">
        <v>1279</v>
      </c>
      <c r="DW27" s="113" t="s">
        <v>1280</v>
      </c>
      <c r="DX27" s="8"/>
      <c r="DY27" s="113" t="s">
        <v>1279</v>
      </c>
      <c r="DZ27" s="113" t="s">
        <v>1279</v>
      </c>
      <c r="EA27" s="113"/>
      <c r="EB27" s="776" t="str">
        <f>IF(OR($B$2=0,Y29=""),"","混合器 UV-BC")</f>
        <v/>
      </c>
      <c r="EC27" s="15"/>
      <c r="ED27" s="782" t="str">
        <f>IF(BA29="","","分配器 6D")</f>
        <v/>
      </c>
      <c r="EE27" s="15"/>
      <c r="EF27" s="15"/>
      <c r="EG27" s="15"/>
      <c r="EH27" s="197">
        <f t="shared" si="5"/>
        <v>1</v>
      </c>
      <c r="EI27" s="773" t="str">
        <f t="shared" si="6"/>
        <v/>
      </c>
      <c r="EJ27" s="203" t="str">
        <f>X31</f>
        <v/>
      </c>
      <c r="EK27" s="9"/>
      <c r="EL27" s="9" t="str">
        <f>IF(COUNTIF($EJ$22:EJ26,EJ27)&gt;0,"",EJ27)</f>
        <v/>
      </c>
      <c r="EM27" s="9"/>
      <c r="EN27" s="14" t="str">
        <f>AI31</f>
        <v/>
      </c>
      <c r="EO27" s="771">
        <f>SUMIF($EJ$25:$EJ$205,EL27,$EN$25:$EN$205)</f>
        <v>0</v>
      </c>
      <c r="EP27" s="8"/>
      <c r="EQ27" s="15"/>
      <c r="ER27" s="197">
        <f t="shared" si="7"/>
        <v>0</v>
      </c>
      <c r="ES27" s="773" t="str">
        <f t="shared" si="8"/>
        <v/>
      </c>
      <c r="ET27" s="203" t="str">
        <f t="shared" si="9"/>
        <v/>
      </c>
      <c r="EU27" s="9"/>
      <c r="EV27" s="11" t="str">
        <f>IF(COUNTIF($ET$18:ET26,ET27)&gt;0,"",ET27)</f>
        <v/>
      </c>
      <c r="EW27" s="9"/>
      <c r="EX27" s="124" t="str">
        <f>Y29</f>
        <v/>
      </c>
      <c r="EY27" s="771">
        <f t="shared" si="10"/>
        <v>0</v>
      </c>
      <c r="EZ27" s="8"/>
      <c r="FA27" s="15"/>
      <c r="FB27" s="197">
        <f t="shared" si="0"/>
        <v>6</v>
      </c>
      <c r="FC27" s="773" t="str">
        <f t="shared" si="1"/>
        <v/>
      </c>
      <c r="FD27" s="772" t="str">
        <f t="shared" si="11"/>
        <v/>
      </c>
      <c r="FE27" s="9"/>
      <c r="FF27" s="11" t="str">
        <f>IF(COUNTIF($FD$15:FD26,FD27)&gt;0,"",FD27)</f>
        <v/>
      </c>
      <c r="FG27" s="9"/>
      <c r="FH27" s="124" t="str">
        <f>BA29</f>
        <v/>
      </c>
      <c r="FI27" s="771">
        <f t="shared" si="12"/>
        <v>0</v>
      </c>
    </row>
    <row r="28" spans="1:165" ht="12" customHeight="1" thickBot="1">
      <c r="B28" s="23"/>
      <c r="C28" s="3819"/>
      <c r="D28" s="3820"/>
      <c r="E28" s="3821"/>
      <c r="F28" s="3827" t="s">
        <v>17</v>
      </c>
      <c r="G28" s="3769"/>
      <c r="H28" s="3828"/>
      <c r="I28" s="3819" t="s">
        <v>17</v>
      </c>
      <c r="J28" s="3820"/>
      <c r="K28" s="3820"/>
      <c r="L28" s="3821"/>
      <c r="M28" s="3819" t="s">
        <v>1195</v>
      </c>
      <c r="N28" s="3820"/>
      <c r="O28" s="3820"/>
      <c r="P28" s="3821"/>
      <c r="Q28" s="3819" t="s">
        <v>1102</v>
      </c>
      <c r="R28" s="3820"/>
      <c r="S28" s="3821"/>
      <c r="T28" s="3819" t="s">
        <v>115</v>
      </c>
      <c r="U28" s="3820"/>
      <c r="V28" s="3821"/>
      <c r="W28" s="3862"/>
      <c r="X28" s="3865"/>
      <c r="Y28" s="3865"/>
      <c r="Z28" s="3868"/>
      <c r="AA28" s="3829">
        <f>IF($AG$15&lt;=65,115,110)</f>
        <v>115</v>
      </c>
      <c r="AB28" s="3562"/>
      <c r="AC28" s="3562"/>
      <c r="AD28" s="3562">
        <f>IF(CW233&gt;55,115,110)</f>
        <v>110</v>
      </c>
      <c r="AE28" s="3562"/>
      <c r="AF28" s="3830"/>
      <c r="AG28" s="3831" t="s">
        <v>1194</v>
      </c>
      <c r="AH28" s="3832"/>
      <c r="AI28" s="3832"/>
      <c r="AJ28" s="3833"/>
      <c r="AK28" s="3834" t="s">
        <v>1099</v>
      </c>
      <c r="AL28" s="3832"/>
      <c r="AM28" s="3832"/>
      <c r="AN28" s="3833"/>
      <c r="AO28" s="3834" t="s">
        <v>1193</v>
      </c>
      <c r="AP28" s="3832"/>
      <c r="AQ28" s="3832"/>
      <c r="AR28" s="3835"/>
      <c r="AS28" s="3836" t="s">
        <v>1096</v>
      </c>
      <c r="AT28" s="3832"/>
      <c r="AU28" s="3832"/>
      <c r="AV28" s="3833"/>
      <c r="AW28" s="3844" t="s">
        <v>1192</v>
      </c>
      <c r="AX28" s="3845"/>
      <c r="AY28" s="3845"/>
      <c r="AZ28" s="3846"/>
      <c r="BA28" s="3558" t="s">
        <v>1093</v>
      </c>
      <c r="BB28" s="3559"/>
      <c r="BC28" s="3559"/>
      <c r="BD28" s="3560"/>
      <c r="BE28" s="3561" t="s">
        <v>1191</v>
      </c>
      <c r="BF28" s="3562"/>
      <c r="BG28" s="3562"/>
      <c r="BH28" s="3562"/>
      <c r="BI28" s="3850" t="s">
        <v>1190</v>
      </c>
      <c r="BJ28" s="3562"/>
      <c r="BK28" s="3562"/>
      <c r="BL28" s="3562"/>
      <c r="BM28" s="3850" t="s">
        <v>1189</v>
      </c>
      <c r="BN28" s="3562"/>
      <c r="BO28" s="3562"/>
      <c r="BP28" s="3562"/>
      <c r="BQ28" s="3850" t="s">
        <v>1188</v>
      </c>
      <c r="BR28" s="3562"/>
      <c r="BS28" s="3562"/>
      <c r="BT28" s="3830"/>
      <c r="BU28" s="19"/>
      <c r="BV28" s="8"/>
      <c r="BW28" s="9"/>
      <c r="BX28" s="9"/>
      <c r="BY28" s="3932"/>
      <c r="BZ28" s="3485"/>
      <c r="CA28" s="9"/>
      <c r="CB28" s="54"/>
      <c r="CC28" s="3932"/>
      <c r="CD28" s="3485"/>
      <c r="CE28" s="9"/>
      <c r="CF28" s="54"/>
      <c r="CG28" s="212"/>
      <c r="CH28" s="54"/>
      <c r="CI28" s="212"/>
      <c r="CJ28" s="9"/>
      <c r="CK28" s="8"/>
      <c r="CL28" s="8"/>
      <c r="CM28" s="8"/>
      <c r="CN28" s="8"/>
      <c r="CO28" s="8"/>
      <c r="CP28" s="8"/>
      <c r="CQ28" s="8"/>
      <c r="CR28" s="8"/>
      <c r="CS28" s="8"/>
      <c r="CT28" s="8"/>
      <c r="CU28" s="8"/>
      <c r="CV28" s="8"/>
      <c r="CW28" s="8"/>
      <c r="CX28" s="8"/>
      <c r="CY28" s="8"/>
      <c r="CZ28" s="90"/>
      <c r="DA28" s="15"/>
      <c r="DB28" s="98">
        <f>IF(C29="","",IF(AZ30="①",DB27+DC27+3,IF(AZ30="②",DB27*5/8+DC27+3,IF(AZ30="③",DB27/2+DC27+3,IF(AZ30="④",DB27+DC27*5/8+3,IF(AZ30="⑤",(DB27+DC27)*5/8+3,IF(AZ30="⑥",DB27/2+DC27*5/8+3,IF(AZ30="⑦",DB27+DC27/2+3,IF(AZ30="⑧",DB27*5/8+DC27/2+3,IF(AZ30="⑨",(DB27+DC27)/2+3))))))))))</f>
        <v>43.5</v>
      </c>
      <c r="DC28" s="180" t="s">
        <v>1187</v>
      </c>
      <c r="DD28" s="2589" t="str">
        <f>IF($AL$10="nC-FB","S-5C-FB",IF($AL$10="nD-FB","5D-FB","5C-2V"))</f>
        <v>S-5C-FB</v>
      </c>
      <c r="DE28" s="2591"/>
      <c r="DF28" s="3631">
        <f>IF(C29="  RF",DF19,IF($H$17="ＣＡＴＶ",DB27+DC27/2+F29-($AM$8-$AM$7)/1000+DR28,SUM(DM28:DO28)))</f>
        <v>61.5</v>
      </c>
      <c r="DG28" s="3812"/>
      <c r="DH28" s="2589" t="str">
        <f>IF($H$17="ＣＡＴＶ","G-22mm",IF(RIGHT($AB$17,1)+RIGHT($AF$17,1)+RIGHT($AJ$17,1)&gt;=4,"G-36mm","G-28mm"))</f>
        <v>G-28mm</v>
      </c>
      <c r="DI28" s="2591"/>
      <c r="DJ28" s="3631">
        <f>IF(C29="",0,IF(C29="  RF",DB28,IF($H$15="ＣＡＴＶ",DB27+DC27/2+F29-($AM$8-$AM$7)/1000,10+F29-($AM$8-$AM$7)/1000)))</f>
        <v>15.5</v>
      </c>
      <c r="DK28" s="3812"/>
      <c r="DL28" s="15"/>
      <c r="DM28" s="98">
        <f>IF(OR($B$2=0,$H$15="ＣＡＴＶ",C29="",C29="  RF"),0,IF($AB$17="","",RIGHT($AB$17,1)*15+F29-($AM$8-$AM$7)/1000))</f>
        <v>20.5</v>
      </c>
      <c r="DN28" s="98">
        <f>IF(OR($B$2=0,$H$15="ＣＡＴＶ",C29="",C29="  RF"),0,IF($AF$17="","",15+F29-($AM$8-$AM$7)/1000))</f>
        <v>20.5</v>
      </c>
      <c r="DO28" s="98">
        <f>IF(OR($B$2=0,$H$15="ＣＡＴＶ",C29="",C29="  RF"),0,IF($AJ$17="","",15+F29-($AM$8-$AM$7)/1000))</f>
        <v>20.5</v>
      </c>
      <c r="DP28" s="15"/>
      <c r="DQ28" s="46" t="s">
        <v>1087</v>
      </c>
      <c r="DR28" s="98" t="s">
        <v>21</v>
      </c>
      <c r="DS28" s="128" t="s">
        <v>1154</v>
      </c>
      <c r="DT28" s="159">
        <f>IF(AB30&lt;&gt;"Ｃ",0,IF(DY28&lt;&gt;0,DY28,IF(DZ28&lt;&gt;0,DZ28,0)))</f>
        <v>5</v>
      </c>
      <c r="DU28" s="8"/>
      <c r="DV28" s="86">
        <f>IF(AB30&lt;&gt;"Ｃ",0,IF(DY28=0,0,1))</f>
        <v>1</v>
      </c>
      <c r="DW28" s="86">
        <f>IF(AB30&lt;&gt;"Ｃ",0,IF(DZ28=0,0,1))</f>
        <v>0</v>
      </c>
      <c r="DX28" s="8"/>
      <c r="DY28" s="86">
        <f>IF(AB30&lt;&gt;"Ｃ",0,IF(AND(DB23&gt;60,DB23&lt;=64),4,IF(AND(DB23&gt;64,DB23&lt;=80),5,0)))</f>
        <v>5</v>
      </c>
      <c r="DZ28" s="86">
        <f>IF(AB30&lt;&gt;"Ｃ",0,IF(AND(DB23&gt;80,DB23&lt;=96),4,IF(AND(DB23&gt;96,DB23&lt;=120),5,0)))</f>
        <v>0</v>
      </c>
      <c r="EA28" s="38"/>
      <c r="EB28" s="776" t="str">
        <f>IF(OR($B$2=0,Z29=""),"","混合器 UV-BC")</f>
        <v/>
      </c>
      <c r="EC28" s="12"/>
      <c r="ED28" s="122" t="str">
        <f>IF(BE29="","","直列Unit-中間1端子")</f>
        <v/>
      </c>
      <c r="EE28" s="38"/>
      <c r="EF28" s="38"/>
      <c r="EG28" s="38"/>
      <c r="EH28" s="197">
        <f t="shared" si="5"/>
        <v>2</v>
      </c>
      <c r="EI28" s="773">
        <f t="shared" si="6"/>
        <v>2</v>
      </c>
      <c r="EJ28" s="203" t="str">
        <f>X32</f>
        <v>PF-S-22mm</v>
      </c>
      <c r="EK28" s="9"/>
      <c r="EL28" s="9" t="str">
        <f>IF(COUNTIF($EJ$18:EJ27,EJ28)&gt;0,"",EJ28)</f>
        <v>PF-S-22mm</v>
      </c>
      <c r="EM28" s="9"/>
      <c r="EN28" s="14">
        <f>AI32</f>
        <v>5.5</v>
      </c>
      <c r="EO28" s="771">
        <f>SUMIF($EJ$25:$EJ$225,EL28,$EN$25:$EN$225)</f>
        <v>191.85000000000002</v>
      </c>
      <c r="EP28" s="8"/>
      <c r="EQ28" s="38"/>
      <c r="ER28" s="197">
        <f t="shared" si="7"/>
        <v>0</v>
      </c>
      <c r="ES28" s="773" t="str">
        <f t="shared" si="8"/>
        <v/>
      </c>
      <c r="ET28" s="772" t="str">
        <f t="shared" si="9"/>
        <v/>
      </c>
      <c r="EU28" s="9"/>
      <c r="EV28" s="11" t="str">
        <f>IF(COUNTIF($ET$18:ET27,ET28)&gt;0,"",ET28)</f>
        <v/>
      </c>
      <c r="EW28" s="9"/>
      <c r="EX28" s="124">
        <f>Z29</f>
        <v>0</v>
      </c>
      <c r="EY28" s="771">
        <f t="shared" si="10"/>
        <v>0</v>
      </c>
      <c r="EZ28" s="8"/>
      <c r="FA28" s="38"/>
      <c r="FB28" s="197">
        <f t="shared" si="0"/>
        <v>6</v>
      </c>
      <c r="FC28" s="773" t="str">
        <f t="shared" si="1"/>
        <v/>
      </c>
      <c r="FD28" s="772" t="str">
        <f t="shared" si="11"/>
        <v/>
      </c>
      <c r="FE28" s="9"/>
      <c r="FF28" s="11" t="str">
        <f>IF(COUNTIF($FD$15:FD27,FD28)&gt;0,"",FD28)</f>
        <v/>
      </c>
      <c r="FG28" s="9"/>
      <c r="FH28" s="124" t="str">
        <f>BE29</f>
        <v/>
      </c>
      <c r="FI28" s="771">
        <f t="shared" si="12"/>
        <v>0</v>
      </c>
    </row>
    <row r="29" spans="1:165" ht="12" customHeight="1">
      <c r="A29" s="8">
        <v>1</v>
      </c>
      <c r="B29" s="23"/>
      <c r="C29" s="3837" t="str">
        <f>非誘!C18</f>
        <v xml:space="preserve"> B2F</v>
      </c>
      <c r="D29" s="3837"/>
      <c r="E29" s="3837"/>
      <c r="F29" s="3838">
        <f>非誘!F18</f>
        <v>5</v>
      </c>
      <c r="G29" s="3839"/>
      <c r="H29" s="3840"/>
      <c r="I29" s="3838" t="str">
        <f>非誘!J18</f>
        <v>直天</v>
      </c>
      <c r="J29" s="3839"/>
      <c r="K29" s="3839"/>
      <c r="L29" s="3840"/>
      <c r="M29" s="3841">
        <f>非誘!N18</f>
        <v>3168</v>
      </c>
      <c r="N29" s="3842"/>
      <c r="O29" s="3842"/>
      <c r="P29" s="3843"/>
      <c r="Q29" s="3537">
        <f>非誘!AA18</f>
        <v>34</v>
      </c>
      <c r="R29" s="3537"/>
      <c r="S29" s="3537"/>
      <c r="T29" s="3537">
        <f>非誘!AD18</f>
        <v>32</v>
      </c>
      <c r="U29" s="3537"/>
      <c r="V29" s="3537"/>
      <c r="W29" s="808" t="str">
        <f>IF(OR(M23="不要",C29&lt;&gt;$X$10),"",IF(AND($AB$17="UHF×3",$AF$17&lt;&gt;"",$AJ$17&lt;&gt;""),2,IF(OR(AND($AB$17="UHF×3",$AB$17="",$AJ$17=""),AND($AB$17="UHF×3",$AF$17&lt;&gt;"",$AJ$17=""),AND($AB$17="UHF×2",$AF$17&lt;&gt;"",$AJ$17&lt;&gt;"")),1,"")))</f>
        <v/>
      </c>
      <c r="X29" s="794" t="str">
        <f>IF(OR(M23="不要",C29&lt;&gt;$X$10),"",IF(AND($AB$17&lt;&gt;"",$AF$17&lt;&gt;"",$AJ$17&lt;&gt;""),1,""))</f>
        <v/>
      </c>
      <c r="Y29" s="794" t="str">
        <f>IF(OR(M23="不要",C29&lt;&gt;$X$10),"",IF(AND(OR($AB$17="UHF×2",$AB$17="UHF×3"),$AF$17&lt;&gt;"",$AJ$17=""),1,""))</f>
        <v/>
      </c>
      <c r="Z29" s="812"/>
      <c r="AA29" s="3847" t="str">
        <f>IF($B$2=0,"",IF(AND(M23&lt;&gt;"不要",DC25="＝"),1,""))</f>
        <v/>
      </c>
      <c r="AB29" s="3848"/>
      <c r="AC29" s="3848"/>
      <c r="AD29" s="3848">
        <f>IF($B$2=0,"",IF(OR(M23="不要",C29="",C29="  RF"),"",IF(M23="設置",1,"")))</f>
        <v>1</v>
      </c>
      <c r="AE29" s="3848"/>
      <c r="AF29" s="3849"/>
      <c r="AG29" s="3941">
        <f>IF(OR(M23="不要",C29="",C29="  RF"),"",IF(AI29&lt;&gt;"",AI29,IF(DE26+DM26+DT26+DT28+DT30=0,"",DE26+DM26+DT26+DT28+DT30)))</f>
        <v>5</v>
      </c>
      <c r="AH29" s="3814"/>
      <c r="AI29" s="3939"/>
      <c r="AJ29" s="3940"/>
      <c r="AK29" s="3814" t="str">
        <f>IF(OR(M23="不要",C29="",C29="  RF"),"",IF(AM29&lt;&gt;"",AM29,IF(DF26+DN26=0,"",DF26+DN26)))</f>
        <v/>
      </c>
      <c r="AL29" s="3814"/>
      <c r="AM29" s="3939"/>
      <c r="AN29" s="3939"/>
      <c r="AO29" s="3813" t="str">
        <f>IF(AQ29="","",AQ29)</f>
        <v/>
      </c>
      <c r="AP29" s="3814"/>
      <c r="AQ29" s="3939"/>
      <c r="AR29" s="3942"/>
      <c r="AS29" s="3944" t="str">
        <f>IF(OR(M23="不要",C29="  RF"),"",IF(AU29&lt;&gt;"",AU29,IF(DH26+DP26+DU26+DX26+DY26+DZ26=0,"",DH26+DP26+DU26+DX26+DY26+DZ26)))</f>
        <v/>
      </c>
      <c r="AT29" s="3814"/>
      <c r="AU29" s="3939"/>
      <c r="AV29" s="3940"/>
      <c r="AW29" s="3814">
        <f>IF(OR(M23="不要",C29="  RF"),"",IF(AY29&lt;&gt;"",AY29,IF(DI26+DQ26+DV26+DV28+DY28+DZ28=0,"",DI26+DQ26+DV26+DV28+DY28+DZ28)))</f>
        <v>6</v>
      </c>
      <c r="AX29" s="3814"/>
      <c r="AY29" s="3939"/>
      <c r="AZ29" s="3939"/>
      <c r="BA29" s="3813" t="str">
        <f>IF(OR(M23="不要",C29="  RF"),"",IF(BC29&lt;&gt;"",BC29,IF(DJ26+DR26+DW26+DW28+DW30+DZ30=0,"",DJ26+DR26+DW26+DW28+DW30+DZ30)))</f>
        <v/>
      </c>
      <c r="BB29" s="3814"/>
      <c r="BC29" s="3942"/>
      <c r="BD29" s="3943"/>
      <c r="BE29" s="3837" t="str">
        <f>IF(OR(P14="不要",$X$11="2端子",C29="",C29="  RF"),"",IF(BG29&lt;&gt;"",BG29,IF(AND(AB30="Ａ",$X$11="1端子"),DK26,"")))</f>
        <v/>
      </c>
      <c r="BF29" s="3837"/>
      <c r="BG29" s="3837" t="str">
        <f>IF(AND(BO29&lt;&gt;"",AB30="Ａ",$X$11="1端子"),BO29,"")</f>
        <v/>
      </c>
      <c r="BH29" s="3837"/>
      <c r="BI29" s="3916" t="str">
        <f>IF(OR(P14="不要",$X$11="1端子",C29="",C29="  RF"),"",IF(BK29&lt;&gt;"",BK29,IF(AND(AB30="Ａ",$X$11="2端子"),DK26,"")))</f>
        <v/>
      </c>
      <c r="BJ29" s="3837"/>
      <c r="BK29" s="3837" t="str">
        <f>IF(AND(BS29&lt;&gt;"",AB30="Ａ",$X$11="2端子"),BS29,"")</f>
        <v/>
      </c>
      <c r="BL29" s="3837"/>
      <c r="BM29" s="3837">
        <f>IF(OR(P14="不要",C29="  RF",C29="",$X$11="2端子"),"",IF(BO29&lt;&gt;"",BO29,IF(AND(AB30="Ａ",$X$11="1端子"),DK26,DK24)))</f>
        <v>66</v>
      </c>
      <c r="BN29" s="3837"/>
      <c r="BO29" s="3915"/>
      <c r="BP29" s="3915"/>
      <c r="BQ29" s="3837" t="str">
        <f>IF(OR(P14="不要",C29="  RF",C29="",$X$11="1端子"),"",IF(BS29&lt;&gt;"",BS29,IF(AND(AB30="Ａ",$X$11="2端子"),DK26,DK24)))</f>
        <v/>
      </c>
      <c r="BR29" s="3837"/>
      <c r="BS29" s="3915"/>
      <c r="BT29" s="3918"/>
      <c r="BU29" s="19"/>
      <c r="BV29" s="8"/>
      <c r="BW29" s="88">
        <f>IF(I29="直天",F29,I29)</f>
        <v>5</v>
      </c>
      <c r="BX29" s="54"/>
      <c r="BY29" s="3485"/>
      <c r="BZ29" s="3485"/>
      <c r="CA29" s="9"/>
      <c r="CB29" s="54"/>
      <c r="CC29" s="3485"/>
      <c r="CD29" s="3485"/>
      <c r="CE29" s="9"/>
      <c r="CF29" s="54"/>
      <c r="CG29" s="212"/>
      <c r="CH29" s="54"/>
      <c r="CI29" s="212"/>
      <c r="CJ29" s="9"/>
      <c r="CK29" s="8"/>
      <c r="CL29" s="8"/>
      <c r="CM29" s="8"/>
      <c r="CN29" s="8"/>
      <c r="CO29" s="8"/>
      <c r="CP29" s="8"/>
      <c r="CQ29" s="8"/>
      <c r="CR29" s="8"/>
      <c r="CS29" s="8"/>
      <c r="CT29" s="8"/>
      <c r="CU29" s="8"/>
      <c r="CV29" s="8"/>
      <c r="CW29" s="8"/>
      <c r="CX29" s="8"/>
      <c r="CY29" s="8"/>
      <c r="CZ29" s="38"/>
      <c r="DA29" s="15"/>
      <c r="DB29" s="15"/>
      <c r="DC29" s="180" t="s">
        <v>1278</v>
      </c>
      <c r="DD29" s="2589" t="str">
        <f>IF($AL$10="nC-FB","S-7C-FB",IF($AL$10="nD-FB","8D-FB","7C-2V"))</f>
        <v>S-7C-FB</v>
      </c>
      <c r="DE29" s="2591"/>
      <c r="DF29" s="3631">
        <f>IF(OR(C29="",C29="  RF"),0,IF(AB30="Ｃ",2.5*AG29+(DB27+DC27),F29+2))</f>
        <v>69.5</v>
      </c>
      <c r="DG29" s="3812"/>
      <c r="DH29" s="2589" t="str">
        <f>IF(OR(H30="天井ケーブル",H30="天井-PF管"),"PF-S-22mm",IF(H30="天井-CD管","CD-22mm",IF(H30="天井-C 管","C-25mm",IF(H30="天井-G 管","G-22mm",""))))</f>
        <v>PF-S-22mm</v>
      </c>
      <c r="DI29" s="2591"/>
      <c r="DJ29" s="3631">
        <f>IF(OR(C29="",C29="  RF"),0,IF(AB30="Ｃ",F29-($AM$8-$AM$7)/1000,F29))</f>
        <v>5.5</v>
      </c>
      <c r="DK29" s="3812"/>
      <c r="DL29" s="778"/>
      <c r="DM29" s="112"/>
      <c r="DN29" s="190" t="s">
        <v>1277</v>
      </c>
      <c r="DO29" s="98">
        <f>IF(OR(C29="",C29="  RF"),0,(DB27+DC27)/2/SQRT(DK26))</f>
        <v>4.887709676561502</v>
      </c>
      <c r="DP29" s="15"/>
      <c r="DQ29" s="15"/>
      <c r="DR29" s="15"/>
      <c r="DS29" s="8"/>
      <c r="DT29" s="113" t="s">
        <v>1276</v>
      </c>
      <c r="DU29" s="8"/>
      <c r="DV29" s="113"/>
      <c r="DW29" s="113" t="s">
        <v>1275</v>
      </c>
      <c r="DX29" s="8"/>
      <c r="DY29" s="8"/>
      <c r="DZ29" s="113" t="s">
        <v>1275</v>
      </c>
      <c r="EA29" s="113"/>
      <c r="EB29" s="776" t="str">
        <f>IF(OR($B$2=0,AA29=""),"","増幅器 "&amp;AA27&amp;AA28)</f>
        <v/>
      </c>
      <c r="EC29" s="15"/>
      <c r="ED29" s="122" t="str">
        <f>IF(BI29="","","直列Unit-中間2端子")</f>
        <v/>
      </c>
      <c r="EE29" s="15"/>
      <c r="EF29" s="15"/>
      <c r="EG29" s="15"/>
      <c r="EH29" s="197">
        <f t="shared" si="5"/>
        <v>2</v>
      </c>
      <c r="EI29" s="773" t="str">
        <f t="shared" si="6"/>
        <v/>
      </c>
      <c r="EJ29" s="203" t="str">
        <f>AS31</f>
        <v/>
      </c>
      <c r="EK29" s="9"/>
      <c r="EL29" s="9" t="str">
        <f>IF(COUNTIF($EJ$18:EJ28,EJ29)&gt;0,"",EJ29)</f>
        <v/>
      </c>
      <c r="EM29" s="9"/>
      <c r="EN29" s="14" t="str">
        <f>BB31</f>
        <v/>
      </c>
      <c r="EO29" s="771">
        <f>SUMIF($EJ$25:$EJ$225,EL29,$EN$25:$EN$225)</f>
        <v>0</v>
      </c>
      <c r="EP29" s="8"/>
      <c r="EQ29" s="15"/>
      <c r="ER29" s="197">
        <f t="shared" si="7"/>
        <v>0</v>
      </c>
      <c r="ES29" s="773" t="str">
        <f t="shared" si="8"/>
        <v/>
      </c>
      <c r="ET29" s="203" t="str">
        <f t="shared" si="9"/>
        <v/>
      </c>
      <c r="EU29" s="9"/>
      <c r="EV29" s="11" t="str">
        <f>IF(COUNTIF($ET$18:ET28,ET29)&gt;0,"",ET29)</f>
        <v/>
      </c>
      <c r="EW29" s="9"/>
      <c r="EX29" s="124" t="str">
        <f>AA29</f>
        <v/>
      </c>
      <c r="EY29" s="771">
        <f t="shared" si="10"/>
        <v>0</v>
      </c>
      <c r="EZ29" s="8"/>
      <c r="FA29" s="15"/>
      <c r="FB29" s="197">
        <f t="shared" si="0"/>
        <v>6</v>
      </c>
      <c r="FC29" s="773" t="str">
        <f t="shared" si="1"/>
        <v/>
      </c>
      <c r="FD29" s="772" t="str">
        <f t="shared" si="11"/>
        <v/>
      </c>
      <c r="FE29" s="9"/>
      <c r="FF29" s="11" t="str">
        <f>IF(COUNTIF($FD$15:FD28,FD29)&gt;0,"",FD29)</f>
        <v/>
      </c>
      <c r="FG29" s="9"/>
      <c r="FH29" s="124" t="str">
        <f>BI29</f>
        <v/>
      </c>
      <c r="FI29" s="771">
        <f t="shared" si="12"/>
        <v>0</v>
      </c>
    </row>
    <row r="30" spans="1:165" ht="12" customHeight="1">
      <c r="A30" s="8"/>
      <c r="B30" s="23"/>
      <c r="C30" s="3933" t="s">
        <v>135</v>
      </c>
      <c r="D30" s="2385"/>
      <c r="E30" s="2385"/>
      <c r="F30" s="2385"/>
      <c r="G30" s="3934"/>
      <c r="H30" s="3935" t="str">
        <f>IF($B$2=0,"",IF(P30="","天井ケーブル",P30))</f>
        <v>天井ケーブル</v>
      </c>
      <c r="I30" s="3820"/>
      <c r="J30" s="3820"/>
      <c r="K30" s="3820"/>
      <c r="L30" s="3820"/>
      <c r="M30" s="3820"/>
      <c r="N30" s="3936"/>
      <c r="O30" s="811" t="s">
        <v>2</v>
      </c>
      <c r="P30" s="3796"/>
      <c r="Q30" s="3797"/>
      <c r="R30" s="3797"/>
      <c r="S30" s="3797"/>
      <c r="T30" s="3797"/>
      <c r="U30" s="3797"/>
      <c r="V30" s="3798"/>
      <c r="W30" s="3937" t="s">
        <v>1082</v>
      </c>
      <c r="X30" s="3937"/>
      <c r="Y30" s="3937"/>
      <c r="Z30" s="3937"/>
      <c r="AA30" s="3937"/>
      <c r="AB30" s="3799" t="str">
        <f>IF(M23="不要","",IF(AF30&lt;&gt;"",AF30,DB24))</f>
        <v>Ｃ</v>
      </c>
      <c r="AC30" s="3799"/>
      <c r="AD30" s="3799"/>
      <c r="AE30" s="777" t="s">
        <v>2</v>
      </c>
      <c r="AF30" s="3800"/>
      <c r="AG30" s="3801"/>
      <c r="AH30" s="3802"/>
      <c r="AI30" s="2634" t="s">
        <v>20</v>
      </c>
      <c r="AJ30" s="2634"/>
      <c r="AK30" s="2634"/>
      <c r="AL30" s="2634"/>
      <c r="AM30" s="2634"/>
      <c r="AN30" s="3522">
        <f>IF(OR(C29="",C29="  RF"),"",非誘!J17)</f>
        <v>0.72727272727272729</v>
      </c>
      <c r="AO30" s="3523"/>
      <c r="AP30" s="3523"/>
      <c r="AQ30" s="3524"/>
      <c r="AR30" s="3507" t="s">
        <v>1081</v>
      </c>
      <c r="AS30" s="3461"/>
      <c r="AT30" s="3461"/>
      <c r="AU30" s="3461"/>
      <c r="AV30" s="3461"/>
      <c r="AW30" s="3461"/>
      <c r="AX30" s="3461"/>
      <c r="AY30" s="3461"/>
      <c r="AZ30" s="3563" t="str">
        <f>IF(OR(C29="",C29="  RF"),"",IF(BC30="",$AN$11,BC30))</f>
        <v>⑦</v>
      </c>
      <c r="BA30" s="3563"/>
      <c r="BB30" s="777" t="s">
        <v>2</v>
      </c>
      <c r="BC30" s="3521"/>
      <c r="BD30" s="3521"/>
      <c r="BE30" s="3564"/>
      <c r="BF30" s="3565"/>
      <c r="BG30" s="3565"/>
      <c r="BH30" s="3565"/>
      <c r="BI30" s="3565"/>
      <c r="BJ30" s="3565"/>
      <c r="BK30" s="3565"/>
      <c r="BL30" s="3565"/>
      <c r="BM30" s="3565"/>
      <c r="BN30" s="3565"/>
      <c r="BO30" s="3565"/>
      <c r="BP30" s="3565"/>
      <c r="BQ30" s="3565"/>
      <c r="BR30" s="3565"/>
      <c r="BS30" s="3565"/>
      <c r="BT30" s="3566"/>
      <c r="BU30" s="19"/>
      <c r="BV30" s="8"/>
      <c r="BW30" s="9"/>
      <c r="BX30" s="9"/>
      <c r="BY30" s="3932"/>
      <c r="BZ30" s="3485"/>
      <c r="CA30" s="9"/>
      <c r="CB30" s="54"/>
      <c r="CC30" s="3932"/>
      <c r="CD30" s="3485"/>
      <c r="CE30" s="9"/>
      <c r="CF30" s="54"/>
      <c r="CG30" s="212"/>
      <c r="CH30" s="54"/>
      <c r="CI30" s="212"/>
      <c r="CJ30" s="9"/>
      <c r="CK30" s="8"/>
      <c r="CL30" s="8"/>
      <c r="CM30" s="8"/>
      <c r="CN30" s="8"/>
      <c r="CO30" s="8"/>
      <c r="CP30" s="8"/>
      <c r="CQ30" s="8"/>
      <c r="CR30" s="8"/>
      <c r="CS30" s="8"/>
      <c r="CT30" s="8"/>
      <c r="CU30" s="8"/>
      <c r="CV30" s="8"/>
      <c r="CW30" s="8"/>
      <c r="CX30" s="8"/>
      <c r="CY30" s="8"/>
      <c r="CZ30" s="38"/>
      <c r="DA30" s="15"/>
      <c r="DB30" s="8"/>
      <c r="DC30" s="180" t="s">
        <v>1212</v>
      </c>
      <c r="DD30" s="2589" t="str">
        <f>IF($AL$10="nC-FB","S-5C-FB",IF($AL$10="nD-FB","5D-FB","5C-2V"))</f>
        <v>S-5C-FB</v>
      </c>
      <c r="DE30" s="2591"/>
      <c r="DF30" s="3631">
        <f>IF(AB30="Ａ",(DK26+2*BW29-($X$7+$X$9)/1000)*DO29+(12+2*BW29-2*$X$9/1000)*DK26+DO30,IF(AB30="Ｂ",(DO29+2*BW29-$X$9/1000)*DK24+DO30,0))</f>
        <v>0</v>
      </c>
      <c r="DG30" s="3812"/>
      <c r="DH30" s="2589" t="str">
        <f>IF(OR(H30="天井ケーブル",H30="天井-PF管"),"PF-S-16mm",IF(H30="天井-CD管","CD-16mm",IF(H30="天井-C 管","C-19mm",IF(H30="天井-G 管","G-16mm",""))))</f>
        <v>PF-S-16mm</v>
      </c>
      <c r="DI30" s="2591"/>
      <c r="DJ30" s="3631">
        <f>IF(OR(C29="",C29="  RF"),0,IF(H30="天井ケーブル",DK24*(BW29-($X$9-$AM$9)/1000),(DO29+2*BW29-$X$9/1000)*DK24+DO30))</f>
        <v>339.90000000000003</v>
      </c>
      <c r="DK30" s="3812"/>
      <c r="DL30" s="15"/>
      <c r="DM30" s="46"/>
      <c r="DN30" s="46" t="s">
        <v>1218</v>
      </c>
      <c r="DO30" s="98">
        <f>DB28</f>
        <v>43.5</v>
      </c>
      <c r="DP30" s="15"/>
      <c r="DQ30" s="15"/>
      <c r="DR30" s="15"/>
      <c r="DS30" s="128" t="s">
        <v>1154</v>
      </c>
      <c r="DT30" s="86">
        <f>IF(AB30&lt;&gt;"Ｃ",0,IF(DZ30=0,0,DZ30))</f>
        <v>0</v>
      </c>
      <c r="DU30" s="8"/>
      <c r="DV30" s="8"/>
      <c r="DW30" s="86">
        <f>IF(AB30&lt;&gt;"Ｃ",0,IF(DZ30=0,0,1))</f>
        <v>0</v>
      </c>
      <c r="DX30" s="8"/>
      <c r="DY30" s="8"/>
      <c r="DZ30" s="86">
        <f>IF(AB30&lt;&gt;"Ｃ",0,IF(AND(DB23&gt;120,DB23&lt;=144),4,IF(AND(DB23&gt;144,DB23&lt;=180),5,0)))</f>
        <v>0</v>
      </c>
      <c r="EA30" s="38"/>
      <c r="EB30" s="776" t="str">
        <f>IF(OR($B$2=0,AD29=""),"","増幅器 "&amp;AD27&amp;AD28)</f>
        <v>増幅器 35/110</v>
      </c>
      <c r="EC30" s="38"/>
      <c r="ED30" s="122" t="str">
        <f>IF(BM29="","","直列Unit-終端1端子")</f>
        <v>直列Unit-終端1端子</v>
      </c>
      <c r="EE30" s="38"/>
      <c r="EF30" s="38"/>
      <c r="EG30" s="38"/>
      <c r="EH30" s="197">
        <f t="shared" si="5"/>
        <v>3</v>
      </c>
      <c r="EI30" s="773">
        <f t="shared" si="6"/>
        <v>3</v>
      </c>
      <c r="EJ30" s="203" t="str">
        <f>AS32</f>
        <v>S-5C-FB</v>
      </c>
      <c r="EK30" s="9"/>
      <c r="EL30" s="9" t="str">
        <f>IF(COUNTIF($EJ$18:EJ29,EJ30)&gt;0,"",EJ30)</f>
        <v>S-5C-FB</v>
      </c>
      <c r="EM30" s="9"/>
      <c r="EN30" s="14">
        <f>BB32</f>
        <v>0</v>
      </c>
      <c r="EO30" s="771">
        <f>SUMIF($EJ$25:$EJ$225,EL30,$EN$25:$EN$225)</f>
        <v>4699.4380052027636</v>
      </c>
      <c r="EP30" s="8"/>
      <c r="EQ30" s="38"/>
      <c r="ER30" s="197">
        <f t="shared" si="7"/>
        <v>1</v>
      </c>
      <c r="ES30" s="773">
        <f t="shared" si="8"/>
        <v>1</v>
      </c>
      <c r="ET30" s="203" t="str">
        <f t="shared" si="9"/>
        <v>増幅器 35/110</v>
      </c>
      <c r="EU30" s="9"/>
      <c r="EV30" s="11" t="str">
        <f>IF(COUNTIF($ET$18:ET29,ET30)&gt;0,"",ET30)</f>
        <v>増幅器 35/110</v>
      </c>
      <c r="EW30" s="9"/>
      <c r="EX30" s="124">
        <f>AD29</f>
        <v>1</v>
      </c>
      <c r="EY30" s="771">
        <f t="shared" si="10"/>
        <v>16</v>
      </c>
      <c r="EZ30" s="8"/>
      <c r="FA30" s="38"/>
      <c r="FB30" s="197">
        <f t="shared" si="0"/>
        <v>7</v>
      </c>
      <c r="FC30" s="773">
        <f t="shared" si="1"/>
        <v>7</v>
      </c>
      <c r="FD30" s="772" t="str">
        <f t="shared" si="11"/>
        <v>直列Unit-終端1端子</v>
      </c>
      <c r="FE30" s="9"/>
      <c r="FF30" s="11" t="str">
        <f>IF(COUNTIF($FD$15:FD29,FD30)&gt;0,"",FD30)</f>
        <v>直列Unit-終端1端子</v>
      </c>
      <c r="FG30" s="9"/>
      <c r="FH30" s="124">
        <f>BM29</f>
        <v>66</v>
      </c>
      <c r="FI30" s="771">
        <f t="shared" si="12"/>
        <v>330</v>
      </c>
    </row>
    <row r="31" spans="1:165" ht="12" customHeight="1">
      <c r="A31" s="8"/>
      <c r="B31" s="23"/>
      <c r="C31" s="3906" t="s">
        <v>449</v>
      </c>
      <c r="D31" s="3906"/>
      <c r="E31" s="3906"/>
      <c r="F31" s="3920" t="str">
        <f>IF($H$15="ＣＡＴＶ","CATV引込","アンテナ部")</f>
        <v>アンテナ部</v>
      </c>
      <c r="G31" s="3920"/>
      <c r="H31" s="3920"/>
      <c r="I31" s="3920"/>
      <c r="J31" s="3920"/>
      <c r="K31" s="3506" t="str">
        <f>IF(OR(M23="不要",$B$2=0,C29&lt;&gt;$X$10),"",IF(P31&lt;&gt;"",P31,DD28))</f>
        <v/>
      </c>
      <c r="L31" s="3506"/>
      <c r="M31" s="3506"/>
      <c r="N31" s="3506"/>
      <c r="O31" s="800" t="s">
        <v>1274</v>
      </c>
      <c r="P31" s="3517"/>
      <c r="Q31" s="3517"/>
      <c r="R31" s="3517"/>
      <c r="S31" s="3517"/>
      <c r="T31" s="3538" t="str">
        <f>IF(AND(C29&lt;&gt;"",K31&lt;&gt;""),DF28,"")</f>
        <v/>
      </c>
      <c r="U31" s="3538"/>
      <c r="V31" s="3538"/>
      <c r="W31" s="3538"/>
      <c r="X31" s="3506" t="str">
        <f>IF(OR($B$2=0,K31=""),"",IF(AD31&lt;&gt;"",AD31,DH28))</f>
        <v/>
      </c>
      <c r="Y31" s="3506"/>
      <c r="Z31" s="3506"/>
      <c r="AA31" s="3506"/>
      <c r="AB31" s="3506"/>
      <c r="AC31" s="800" t="s">
        <v>1274</v>
      </c>
      <c r="AD31" s="3525"/>
      <c r="AE31" s="3525"/>
      <c r="AF31" s="3525"/>
      <c r="AG31" s="3525"/>
      <c r="AH31" s="3525"/>
      <c r="AI31" s="3538" t="str">
        <f>IF(X31="","",IF(DJ28="","",DJ28))</f>
        <v/>
      </c>
      <c r="AJ31" s="3538"/>
      <c r="AK31" s="3538"/>
      <c r="AL31" s="3538"/>
      <c r="AM31" s="3920" t="s">
        <v>1077</v>
      </c>
      <c r="AN31" s="3920"/>
      <c r="AO31" s="3920"/>
      <c r="AP31" s="3920"/>
      <c r="AQ31" s="3920"/>
      <c r="AR31" s="3920"/>
      <c r="AS31" s="3506" t="str">
        <f>IF(OR(M23="不要",$B$2=0,C29="",C29="  RF",AB30="Ｃ"),"",IF(AX31&lt;&gt;"",AX31,DD30))</f>
        <v/>
      </c>
      <c r="AT31" s="3506"/>
      <c r="AU31" s="3506"/>
      <c r="AV31" s="3506"/>
      <c r="AW31" s="800" t="s">
        <v>1274</v>
      </c>
      <c r="AX31" s="3517"/>
      <c r="AY31" s="3517"/>
      <c r="AZ31" s="3517"/>
      <c r="BA31" s="3517"/>
      <c r="BB31" s="3921" t="str">
        <f>IF(AS31&lt;&gt;"",DF30,"")</f>
        <v/>
      </c>
      <c r="BC31" s="3921"/>
      <c r="BD31" s="3921"/>
      <c r="BE31" s="3921"/>
      <c r="BF31" s="3506" t="str">
        <f>IF(OR(C29="",AS31=""),"",IF(AB30="Ａ",DH29,DH30))</f>
        <v/>
      </c>
      <c r="BG31" s="3506"/>
      <c r="BH31" s="3506"/>
      <c r="BI31" s="3506"/>
      <c r="BJ31" s="3506"/>
      <c r="BK31" s="800" t="s">
        <v>1274</v>
      </c>
      <c r="BL31" s="3525"/>
      <c r="BM31" s="3525"/>
      <c r="BN31" s="3525"/>
      <c r="BO31" s="3525"/>
      <c r="BP31" s="3525"/>
      <c r="BQ31" s="3538" t="str">
        <f>IF(BF31="","",DJ30)</f>
        <v/>
      </c>
      <c r="BR31" s="3538"/>
      <c r="BS31" s="3538"/>
      <c r="BT31" s="3539"/>
      <c r="BU31" s="19"/>
      <c r="BV31" s="8"/>
      <c r="BW31" s="9"/>
      <c r="BX31" s="9"/>
      <c r="BY31" s="3932"/>
      <c r="BZ31" s="3485"/>
      <c r="CA31" s="9"/>
      <c r="CB31" s="54"/>
      <c r="CC31" s="3932"/>
      <c r="CD31" s="3485"/>
      <c r="CE31" s="9"/>
      <c r="CF31" s="54"/>
      <c r="CG31" s="212"/>
      <c r="CH31" s="54"/>
      <c r="CI31" s="212"/>
      <c r="CJ31" s="9"/>
      <c r="CK31" s="8"/>
      <c r="CL31" s="8"/>
      <c r="CM31" s="8"/>
      <c r="CN31" s="8"/>
      <c r="CO31" s="8"/>
      <c r="CP31" s="8"/>
      <c r="CQ31" s="8"/>
      <c r="CR31" s="8"/>
      <c r="CS31" s="8"/>
      <c r="CT31" s="8"/>
      <c r="CU31" s="8"/>
      <c r="CV31" s="8"/>
      <c r="CW31" s="8"/>
      <c r="CX31" s="8"/>
      <c r="CY31" s="8"/>
      <c r="CZ31" s="8"/>
      <c r="DA31" s="8"/>
      <c r="DB31" s="8"/>
      <c r="DC31" s="774" t="s">
        <v>1273</v>
      </c>
      <c r="DD31" s="2589" t="str">
        <f>DD30</f>
        <v>S-5C-FB</v>
      </c>
      <c r="DE31" s="2591"/>
      <c r="DF31" s="3631">
        <f>IF(OR(C29="",C29="  RF",I29="直天"),0,1+INT(12+BW29-($X$9-$AM$9)/1000)*DK24+DO31)</f>
        <v>0</v>
      </c>
      <c r="DG31" s="3812"/>
      <c r="DH31" s="2589" t="str">
        <f>DH30</f>
        <v>PF-S-16mm</v>
      </c>
      <c r="DI31" s="2591"/>
      <c r="DJ31" s="3631">
        <f>IF(OR(C29="",C29="  RF"),0,IF(H30="天井ケーブル",DK24*(BW29-($X$9-2*$AM$9)/1000),1+INT(12+BW29-$X$9/1000)*DK24))</f>
        <v>359.7</v>
      </c>
      <c r="DK31" s="3812"/>
      <c r="DL31" s="15"/>
      <c r="DM31" s="15"/>
      <c r="DN31" s="46" t="s">
        <v>1075</v>
      </c>
      <c r="DO31" s="97">
        <f>IF(C29="",0,IF($AW$8=0,0,2*($AW$8/1000-0.15-0.1)*(INT(1000*DB27/$AW$10)+1)*(INT(1000*DC27/$AW$10)+1)*4))</f>
        <v>108</v>
      </c>
      <c r="DP31" s="15"/>
      <c r="DQ31" s="15"/>
      <c r="DR31" s="15"/>
      <c r="DS31" s="8"/>
      <c r="DT31" s="8"/>
      <c r="DU31" s="8"/>
      <c r="DV31" s="8"/>
      <c r="DW31" s="8"/>
      <c r="DX31" s="8"/>
      <c r="DY31" s="8"/>
      <c r="DZ31" s="8"/>
      <c r="EA31" s="8"/>
      <c r="EB31" s="769" t="str">
        <f>IF(OR($B$2=0,AG29=""),"","分岐器 1C")</f>
        <v>分岐器 1C</v>
      </c>
      <c r="EC31" s="8"/>
      <c r="ED31" s="122" t="str">
        <f>IF(BQ29="","","直列Unit-終端2端子")</f>
        <v/>
      </c>
      <c r="EE31" s="8"/>
      <c r="EF31" s="8"/>
      <c r="EG31" s="8"/>
      <c r="EH31" s="197">
        <f t="shared" si="5"/>
        <v>3</v>
      </c>
      <c r="EI31" s="773" t="str">
        <f t="shared" si="6"/>
        <v/>
      </c>
      <c r="EJ31" s="203" t="str">
        <f>BF31</f>
        <v/>
      </c>
      <c r="EK31" s="9"/>
      <c r="EL31" s="9" t="str">
        <f>IF(COUNTIF($EJ$18:EJ30,EJ31)&gt;0,"",EJ31)</f>
        <v/>
      </c>
      <c r="EM31" s="9"/>
      <c r="EN31" s="14" t="str">
        <f>BQ31</f>
        <v/>
      </c>
      <c r="EO31" s="771">
        <f>SUMIF($EJ$25:$EJ$225,EL31,$EN$25:$EN$225)</f>
        <v>0</v>
      </c>
      <c r="EP31" s="8"/>
      <c r="EQ31" s="8"/>
      <c r="ER31" s="197">
        <f t="shared" si="7"/>
        <v>2</v>
      </c>
      <c r="ES31" s="773">
        <f t="shared" si="8"/>
        <v>2</v>
      </c>
      <c r="ET31" s="203" t="str">
        <f t="shared" si="9"/>
        <v>分岐器 1C</v>
      </c>
      <c r="EU31" s="9"/>
      <c r="EV31" s="11" t="str">
        <f>IF(COUNTIF($ET$18:ET30,ET31)&gt;0,"",ET31)</f>
        <v>分岐器 1C</v>
      </c>
      <c r="EW31" s="9"/>
      <c r="EX31" s="124">
        <f>AG29</f>
        <v>5</v>
      </c>
      <c r="EY31" s="771">
        <f t="shared" si="10"/>
        <v>20</v>
      </c>
      <c r="EZ31" s="8"/>
      <c r="FA31" s="8"/>
      <c r="FB31" s="197">
        <f t="shared" si="0"/>
        <v>7</v>
      </c>
      <c r="FC31" s="773" t="str">
        <f t="shared" si="1"/>
        <v/>
      </c>
      <c r="FD31" s="772" t="str">
        <f t="shared" si="11"/>
        <v/>
      </c>
      <c r="FE31" s="9"/>
      <c r="FF31" s="11" t="str">
        <f>IF(COUNTIF($FD$15:FD30,FD31)&gt;0,"",FD31)</f>
        <v/>
      </c>
      <c r="FG31" s="9"/>
      <c r="FH31" s="124" t="str">
        <f>BQ29</f>
        <v/>
      </c>
      <c r="FI31" s="771">
        <f t="shared" si="12"/>
        <v>0</v>
      </c>
    </row>
    <row r="32" spans="1:165" ht="12" customHeight="1" thickBot="1">
      <c r="A32" s="8"/>
      <c r="B32" s="23"/>
      <c r="C32" s="3938"/>
      <c r="D32" s="3938"/>
      <c r="E32" s="3938"/>
      <c r="F32" s="3928" t="s">
        <v>1074</v>
      </c>
      <c r="G32" s="3928"/>
      <c r="H32" s="3928"/>
      <c r="I32" s="3928"/>
      <c r="J32" s="3928"/>
      <c r="K32" s="3929" t="str">
        <f>IF(OR(C29="",C29="  RF",$B$2=0),"",IF(P32&lt;&gt;"",P32,DD29))</f>
        <v>S-7C-FB</v>
      </c>
      <c r="L32" s="3929"/>
      <c r="M32" s="3929"/>
      <c r="N32" s="3929"/>
      <c r="O32" s="810" t="s">
        <v>34</v>
      </c>
      <c r="P32" s="3536"/>
      <c r="Q32" s="3536"/>
      <c r="R32" s="3536"/>
      <c r="S32" s="3536"/>
      <c r="T32" s="3927">
        <f>IF(R26="不",F29,IF(K32="","",DF29))</f>
        <v>69.5</v>
      </c>
      <c r="U32" s="3927"/>
      <c r="V32" s="3927"/>
      <c r="W32" s="3927"/>
      <c r="X32" s="3929" t="str">
        <f>IF(R26="不","",IF(OR(C29="",K32=""),"",IF(AD32&lt;&gt;"",AD32,IF(DH29="","",DH29))))</f>
        <v>PF-S-22mm</v>
      </c>
      <c r="Y32" s="3929"/>
      <c r="Z32" s="3929"/>
      <c r="AA32" s="3929"/>
      <c r="AB32" s="3929"/>
      <c r="AC32" s="810" t="s">
        <v>34</v>
      </c>
      <c r="AD32" s="3533"/>
      <c r="AE32" s="3533"/>
      <c r="AF32" s="3533"/>
      <c r="AG32" s="3533"/>
      <c r="AH32" s="3533"/>
      <c r="AI32" s="3927">
        <f>IF(X32="","",DJ29)</f>
        <v>5.5</v>
      </c>
      <c r="AJ32" s="3927"/>
      <c r="AK32" s="3927"/>
      <c r="AL32" s="3927"/>
      <c r="AM32" s="3928" t="s">
        <v>1073</v>
      </c>
      <c r="AN32" s="3928"/>
      <c r="AO32" s="3928"/>
      <c r="AP32" s="3928"/>
      <c r="AQ32" s="3928"/>
      <c r="AR32" s="3928"/>
      <c r="AS32" s="3929" t="str">
        <f>IF(OR(M23="不要",$B$2=0,C29="",AB30&lt;&gt;"Ｃ"),"",IF(AX32&lt;&gt;"",AX32,DD31))</f>
        <v>S-5C-FB</v>
      </c>
      <c r="AT32" s="3929"/>
      <c r="AU32" s="3929"/>
      <c r="AV32" s="3929"/>
      <c r="AW32" s="810" t="s">
        <v>34</v>
      </c>
      <c r="AX32" s="3536"/>
      <c r="AY32" s="3536"/>
      <c r="AZ32" s="3536"/>
      <c r="BA32" s="3536"/>
      <c r="BB32" s="3930">
        <f>IF(AS32="","",DF31)</f>
        <v>0</v>
      </c>
      <c r="BC32" s="3930"/>
      <c r="BD32" s="3930"/>
      <c r="BE32" s="3930"/>
      <c r="BF32" s="3929" t="str">
        <f>IF(OR(C29="",AS32=""),"",IF(BL32&lt;&gt;"",BL32,DH31))</f>
        <v>PF-S-16mm</v>
      </c>
      <c r="BG32" s="3929"/>
      <c r="BH32" s="3929"/>
      <c r="BI32" s="3929"/>
      <c r="BJ32" s="3929"/>
      <c r="BK32" s="810" t="s">
        <v>34</v>
      </c>
      <c r="BL32" s="3533"/>
      <c r="BM32" s="3533"/>
      <c r="BN32" s="3533"/>
      <c r="BO32" s="3533"/>
      <c r="BP32" s="3533"/>
      <c r="BQ32" s="3927">
        <f>IF(BF32="","",DJ31)</f>
        <v>359.7</v>
      </c>
      <c r="BR32" s="3927"/>
      <c r="BS32" s="3927"/>
      <c r="BT32" s="3931"/>
      <c r="BU32" s="19"/>
      <c r="BV32" s="8"/>
      <c r="BW32" s="9"/>
      <c r="BX32" s="9"/>
      <c r="BY32" s="3932"/>
      <c r="BZ32" s="3485"/>
      <c r="CA32" s="9"/>
      <c r="CB32" s="54"/>
      <c r="CC32" s="3932"/>
      <c r="CD32" s="3485"/>
      <c r="CE32" s="9"/>
      <c r="CF32" s="54"/>
      <c r="CG32" s="212"/>
      <c r="CH32" s="160"/>
      <c r="CI32" s="9"/>
      <c r="CJ32" s="8"/>
      <c r="CK32" s="8"/>
      <c r="CL32" s="8"/>
      <c r="CM32" s="8"/>
      <c r="CN32" s="8"/>
      <c r="CO32" s="8"/>
      <c r="CP32" s="8"/>
      <c r="CQ32" s="8"/>
      <c r="CR32" s="8"/>
      <c r="CS32" s="8"/>
      <c r="CT32" s="8"/>
      <c r="CU32" s="8"/>
      <c r="CV32" s="8"/>
      <c r="CW32" s="8"/>
      <c r="CX32" s="8"/>
      <c r="CY32" s="8"/>
      <c r="CZ32" s="8"/>
      <c r="DA32" s="8"/>
      <c r="DB32" s="88">
        <f>IF(AND(AB39="Ａ",$X$11="2端子"),BI38+BQ38,IF(AND(AB39="Ａ",$X$11="1端子"),BE38+BM38,IF(AND(AB39="Ｂ",$X$11="1端子"),BM38,IF(AND(AB39="Ｂ",$X$11="2端子"),BQ38,IF(AND(AB39="Ｃ",$X$11="1端子"),BM38,BQ38)))))</f>
        <v>24</v>
      </c>
      <c r="DC32" s="10"/>
      <c r="DD32" s="8"/>
      <c r="DE32" s="8"/>
      <c r="DF32" s="8"/>
      <c r="DG32" s="8"/>
      <c r="DH32" s="8"/>
      <c r="DI32" s="8"/>
      <c r="DJ32" s="8"/>
      <c r="DK32" s="8"/>
      <c r="DL32" s="8"/>
      <c r="DM32" s="8"/>
      <c r="DN32" s="8"/>
      <c r="DO32" s="8"/>
      <c r="DP32" s="15"/>
      <c r="DQ32" s="15"/>
      <c r="DR32" s="15"/>
      <c r="DS32" s="8"/>
      <c r="DT32" s="8"/>
      <c r="DU32" s="8"/>
      <c r="DV32" s="8"/>
      <c r="DW32" s="8"/>
      <c r="DX32" s="8"/>
      <c r="DY32" s="8"/>
      <c r="DZ32" s="8"/>
      <c r="EA32" s="8"/>
      <c r="EB32" s="769" t="str">
        <f>IF(OR($B$2=0,AK29=""),"","分岐器 2C")</f>
        <v/>
      </c>
      <c r="EC32" s="8"/>
      <c r="ED32" s="10"/>
      <c r="EE32" s="8"/>
      <c r="EF32" s="8"/>
      <c r="EG32" s="8"/>
      <c r="EH32" s="197">
        <f t="shared" si="5"/>
        <v>4</v>
      </c>
      <c r="EI32" s="773">
        <f t="shared" si="6"/>
        <v>4</v>
      </c>
      <c r="EJ32" s="203" t="str">
        <f>BF32</f>
        <v>PF-S-16mm</v>
      </c>
      <c r="EK32" s="9"/>
      <c r="EL32" s="9" t="str">
        <f>IF(COUNTIF($EJ$18:EJ31,EJ32)&gt;0,"",EJ32)</f>
        <v>PF-S-16mm</v>
      </c>
      <c r="EM32" s="9"/>
      <c r="EN32" s="14">
        <f>BQ32</f>
        <v>359.7</v>
      </c>
      <c r="EO32" s="771">
        <f>SUMIF($EJ$25:$EJ$225,EL32,$EN$25:$EN$225)</f>
        <v>1180.4499999999998</v>
      </c>
      <c r="EP32" s="8"/>
      <c r="EQ32" s="8"/>
      <c r="ER32" s="197">
        <f t="shared" si="7"/>
        <v>2</v>
      </c>
      <c r="ES32" s="773" t="str">
        <f t="shared" si="8"/>
        <v/>
      </c>
      <c r="ET32" s="203" t="str">
        <f t="shared" si="9"/>
        <v/>
      </c>
      <c r="EU32" s="9"/>
      <c r="EV32" s="11" t="str">
        <f>IF(COUNTIF($ET$18:ET31,ET32)&gt;0,"",ET32)</f>
        <v/>
      </c>
      <c r="EW32" s="9"/>
      <c r="EX32" s="124" t="str">
        <f>AK29</f>
        <v/>
      </c>
      <c r="EY32" s="771">
        <f t="shared" si="10"/>
        <v>0</v>
      </c>
      <c r="EZ32" s="8"/>
      <c r="FA32" s="8"/>
      <c r="FB32" s="197">
        <f t="shared" si="0"/>
        <v>7</v>
      </c>
      <c r="FC32" s="773" t="str">
        <f t="shared" si="1"/>
        <v/>
      </c>
      <c r="FD32" s="772"/>
      <c r="FE32" s="9"/>
      <c r="FF32" s="11"/>
      <c r="FG32" s="9"/>
      <c r="FH32" s="124"/>
      <c r="FI32" s="771"/>
    </row>
    <row r="33" spans="1:165" ht="12" customHeight="1" thickBot="1">
      <c r="B33" s="23"/>
      <c r="C33" s="35"/>
      <c r="D33" s="35"/>
      <c r="E33" s="35"/>
      <c r="F33" s="35"/>
      <c r="G33" s="35"/>
      <c r="H33" s="35"/>
      <c r="I33" s="35"/>
      <c r="J33" s="35"/>
      <c r="K33" s="35"/>
      <c r="L33" s="35"/>
      <c r="M33" s="35"/>
      <c r="N33" s="35"/>
      <c r="O33" s="35"/>
      <c r="P33" s="35"/>
      <c r="Q33" s="809" t="str">
        <f>IF(AND(OR(AB39="Ａ",F234="Ａ"),DB32&gt;24),"直列ユニット数………配線方式Ａ：24以下!!",IF(AND(OR(AB39="Ｂ",F234="Ｂ"),DB32&gt;12),"直列ユニット数………配線方式Ｂ：12以下!!",IF(AND(OR(AB39="Ｃ",F234="Ｃ"),DB32&gt;180),"直列ユニット数………配線方式Ｃ：180以下!!","")))</f>
        <v/>
      </c>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19"/>
      <c r="BV33" s="8"/>
      <c r="BW33" s="9"/>
      <c r="BX33" s="9"/>
      <c r="BY33" s="9"/>
      <c r="BZ33" s="9"/>
      <c r="CA33" s="9"/>
      <c r="CB33" s="9"/>
      <c r="CC33" s="9"/>
      <c r="CD33" s="9"/>
      <c r="CE33" s="9"/>
      <c r="CF33" s="54"/>
      <c r="CG33" s="212"/>
      <c r="CH33" s="9"/>
      <c r="CI33" s="9"/>
      <c r="CJ33" s="8"/>
      <c r="CK33" s="8"/>
      <c r="CL33" s="8"/>
      <c r="CM33" s="8"/>
      <c r="CN33" s="8"/>
      <c r="CO33" s="8"/>
      <c r="CP33" s="8"/>
      <c r="CQ33" s="8"/>
      <c r="CR33" s="8"/>
      <c r="CS33" s="8"/>
      <c r="CT33" s="8"/>
      <c r="CU33" s="8"/>
      <c r="CV33" s="8"/>
      <c r="CW33" s="8"/>
      <c r="CX33" s="8"/>
      <c r="CY33" s="8"/>
      <c r="CZ33" s="8"/>
      <c r="DA33" s="8">
        <v>3</v>
      </c>
      <c r="DB33" s="92" t="str">
        <f>IF(OR(M31="不要",C38="",C38="  RF"),"",IF(DK33&lt;=12,"Ｂ",IF(DK33&lt;=24,"Ａ","Ｃ")))</f>
        <v>Ａ</v>
      </c>
      <c r="DC33" s="10"/>
      <c r="DD33" s="8"/>
      <c r="DE33" s="8"/>
      <c r="DF33" s="8"/>
      <c r="DG33" s="8"/>
      <c r="DH33" s="8"/>
      <c r="DI33" s="8"/>
      <c r="DJ33" s="8"/>
      <c r="DK33" s="159">
        <f>IF(OR(C38="",C38="  RF"),0,SUM(Q38:V38))</f>
        <v>22</v>
      </c>
      <c r="DL33" s="8"/>
      <c r="DM33" s="8"/>
      <c r="DN33" s="8"/>
      <c r="DO33" s="8"/>
      <c r="DP33" s="8"/>
      <c r="DQ33" s="8"/>
      <c r="DR33" s="8"/>
      <c r="DS33" s="8"/>
      <c r="DT33" s="8"/>
      <c r="DU33" s="8"/>
      <c r="DV33" s="8"/>
      <c r="DW33" s="8"/>
      <c r="DX33" s="8"/>
      <c r="DY33" s="8"/>
      <c r="DZ33" s="8"/>
      <c r="EA33" s="8"/>
      <c r="EB33" s="8"/>
      <c r="EC33" s="8"/>
      <c r="ED33" s="8"/>
      <c r="EE33" s="8"/>
      <c r="EF33" s="8"/>
      <c r="EG33" s="88">
        <v>2</v>
      </c>
      <c r="EH33" s="204">
        <f t="shared" si="5"/>
        <v>4</v>
      </c>
      <c r="EI33" s="768" t="str">
        <f t="shared" si="6"/>
        <v/>
      </c>
      <c r="EJ33" s="45"/>
      <c r="EK33" s="45"/>
      <c r="EL33" s="45"/>
      <c r="EM33" s="45"/>
      <c r="EN33" s="45"/>
      <c r="EO33" s="785"/>
      <c r="EP33" s="8"/>
      <c r="EQ33" s="88">
        <v>2</v>
      </c>
      <c r="ER33" s="204">
        <f t="shared" si="7"/>
        <v>2</v>
      </c>
      <c r="ES33" s="768" t="str">
        <f t="shared" si="8"/>
        <v/>
      </c>
      <c r="ET33" s="45"/>
      <c r="EU33" s="45"/>
      <c r="EV33" s="154"/>
      <c r="EW33" s="45"/>
      <c r="EX33" s="45"/>
      <c r="EY33" s="785"/>
      <c r="EZ33" s="8"/>
      <c r="FA33" s="88">
        <v>2</v>
      </c>
      <c r="FB33" s="204">
        <f t="shared" si="0"/>
        <v>7</v>
      </c>
      <c r="FC33" s="768" t="str">
        <f t="shared" si="1"/>
        <v/>
      </c>
      <c r="FD33" s="786"/>
      <c r="FE33" s="45"/>
      <c r="FF33" s="154"/>
      <c r="FG33" s="45"/>
      <c r="FH33" s="208"/>
      <c r="FI33" s="785"/>
    </row>
    <row r="34" spans="1:165" ht="12" customHeight="1" thickBot="1">
      <c r="B34" s="23"/>
      <c r="C34" s="3399" t="s">
        <v>1142</v>
      </c>
      <c r="D34" s="3412"/>
      <c r="E34" s="3412"/>
      <c r="F34" s="3412"/>
      <c r="G34" s="3412"/>
      <c r="H34" s="3412"/>
      <c r="I34" s="3412"/>
      <c r="J34" s="3412"/>
      <c r="K34" s="3412"/>
      <c r="L34" s="3413"/>
      <c r="M34" s="3853" t="str">
        <f>非誘!J22</f>
        <v>(13)イ</v>
      </c>
      <c r="N34" s="3854"/>
      <c r="O34" s="3854"/>
      <c r="P34" s="3854"/>
      <c r="Q34" s="3855"/>
      <c r="R34" s="2299" t="str">
        <f>IF($B$2=0,"","共聴機器")</f>
        <v>共聴機器</v>
      </c>
      <c r="S34" s="2299"/>
      <c r="T34" s="2299"/>
      <c r="U34" s="2299"/>
      <c r="V34" s="2299"/>
      <c r="W34" s="3412" t="s">
        <v>1141</v>
      </c>
      <c r="X34" s="3412"/>
      <c r="Y34" s="3412"/>
      <c r="Z34" s="3413"/>
      <c r="AA34" s="2637" t="s">
        <v>1140</v>
      </c>
      <c r="AB34" s="2638"/>
      <c r="AC34" s="2638"/>
      <c r="AD34" s="2638"/>
      <c r="AE34" s="2638"/>
      <c r="AF34" s="2639"/>
      <c r="AG34" s="3879" t="s">
        <v>1139</v>
      </c>
      <c r="AH34" s="3879"/>
      <c r="AI34" s="3879"/>
      <c r="AJ34" s="3879"/>
      <c r="AK34" s="3879"/>
      <c r="AL34" s="3879"/>
      <c r="AM34" s="3879"/>
      <c r="AN34" s="3879"/>
      <c r="AO34" s="3879"/>
      <c r="AP34" s="3879"/>
      <c r="AQ34" s="3879"/>
      <c r="AR34" s="3879"/>
      <c r="AS34" s="2637" t="s">
        <v>1138</v>
      </c>
      <c r="AT34" s="2638"/>
      <c r="AU34" s="2638"/>
      <c r="AV34" s="2638"/>
      <c r="AW34" s="2638"/>
      <c r="AX34" s="2638"/>
      <c r="AY34" s="2638"/>
      <c r="AZ34" s="2638"/>
      <c r="BA34" s="2638"/>
      <c r="BB34" s="2638"/>
      <c r="BC34" s="2638"/>
      <c r="BD34" s="2639"/>
      <c r="BE34" s="2637" t="s">
        <v>1137</v>
      </c>
      <c r="BF34" s="2638"/>
      <c r="BG34" s="2638"/>
      <c r="BH34" s="2638"/>
      <c r="BI34" s="2638"/>
      <c r="BJ34" s="2638"/>
      <c r="BK34" s="2638"/>
      <c r="BL34" s="2638"/>
      <c r="BM34" s="2638"/>
      <c r="BN34" s="2638"/>
      <c r="BO34" s="2638"/>
      <c r="BP34" s="2638"/>
      <c r="BQ34" s="2638"/>
      <c r="BR34" s="2638"/>
      <c r="BS34" s="2638"/>
      <c r="BT34" s="2639"/>
      <c r="BU34" s="19"/>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15"/>
      <c r="DA34" s="788"/>
      <c r="DB34" s="97">
        <f>IF(C38="","",DB25+1)</f>
        <v>2</v>
      </c>
      <c r="DC34" s="15" t="str">
        <f>IF($X$10=C38,"＝",IF(VLOOKUP(C38,[2]!階高,3,FALSE)-VLOOKUP($X$10,[2]!階高,3,FALSE)&gt;0,"＋","－"))</f>
        <v>－</v>
      </c>
      <c r="DD34" s="38"/>
      <c r="DE34" s="113" t="s">
        <v>1084</v>
      </c>
      <c r="DF34" s="113" t="s">
        <v>1210</v>
      </c>
      <c r="DG34" s="113" t="s">
        <v>1209</v>
      </c>
      <c r="DH34" s="113" t="s">
        <v>1208</v>
      </c>
      <c r="DI34" s="113" t="s">
        <v>1104</v>
      </c>
      <c r="DJ34" s="113" t="s">
        <v>1083</v>
      </c>
      <c r="DK34" s="90" t="s">
        <v>1211</v>
      </c>
      <c r="DL34" s="38"/>
      <c r="DM34" s="113" t="s">
        <v>1084</v>
      </c>
      <c r="DN34" s="113" t="s">
        <v>1210</v>
      </c>
      <c r="DO34" s="113" t="s">
        <v>1209</v>
      </c>
      <c r="DP34" s="113" t="s">
        <v>1208</v>
      </c>
      <c r="DQ34" s="113" t="s">
        <v>1104</v>
      </c>
      <c r="DR34" s="113" t="s">
        <v>1083</v>
      </c>
      <c r="DS34" s="38"/>
      <c r="DT34" s="113" t="s">
        <v>1084</v>
      </c>
      <c r="DU34" s="113" t="s">
        <v>1208</v>
      </c>
      <c r="DV34" s="113" t="s">
        <v>1104</v>
      </c>
      <c r="DW34" s="113" t="s">
        <v>1083</v>
      </c>
      <c r="DX34" s="113" t="s">
        <v>1208</v>
      </c>
      <c r="DY34" s="113" t="s">
        <v>1208</v>
      </c>
      <c r="DZ34" s="113" t="s">
        <v>1208</v>
      </c>
      <c r="EA34" s="113"/>
      <c r="EB34" s="776" t="str">
        <f>IF(OR($B$2=0,W38=""),"","混合器 U-U")</f>
        <v/>
      </c>
      <c r="EC34" s="15"/>
      <c r="ED34" s="782" t="str">
        <f>IF(AS38="","","分配器 2D")</f>
        <v/>
      </c>
      <c r="EE34" s="15" t="str">
        <f>AS38</f>
        <v/>
      </c>
      <c r="EF34" s="15"/>
      <c r="EG34" s="8"/>
      <c r="EH34" s="197">
        <f t="shared" si="5"/>
        <v>4</v>
      </c>
      <c r="EI34" s="773" t="str">
        <f t="shared" si="6"/>
        <v/>
      </c>
      <c r="EJ34" s="203" t="str">
        <f>K40</f>
        <v/>
      </c>
      <c r="EK34" s="9"/>
      <c r="EL34" s="9" t="str">
        <f>IF(COUNTIF($EJ$18:EJ33,EJ34)&gt;0,"",EJ34)</f>
        <v/>
      </c>
      <c r="EM34" s="9"/>
      <c r="EN34" s="14" t="str">
        <f>T40</f>
        <v/>
      </c>
      <c r="EO34" s="771">
        <f t="shared" ref="EO34:EO41" si="13">SUMIF($EJ$25:$EJ$225,EL34,$EN$25:$EN$225)</f>
        <v>0</v>
      </c>
      <c r="EP34" s="8"/>
      <c r="EQ34" s="8"/>
      <c r="ER34" s="197">
        <f t="shared" si="7"/>
        <v>2</v>
      </c>
      <c r="ES34" s="773" t="str">
        <f t="shared" si="8"/>
        <v/>
      </c>
      <c r="ET34" s="203" t="str">
        <f t="shared" ref="ET34:ET41" si="14">EB34</f>
        <v/>
      </c>
      <c r="EU34" s="9"/>
      <c r="EV34" s="11" t="str">
        <f>IF(COUNTIF($ET$18:ET33,ET34)&gt;0,"",ET34)</f>
        <v/>
      </c>
      <c r="EW34" s="9"/>
      <c r="EX34" s="124" t="str">
        <f>W38</f>
        <v/>
      </c>
      <c r="EY34" s="771">
        <f t="shared" ref="EY34:EY41" si="15">SUMIF($ET$25:$ET$225,EV34,$EX$25:$EX$225)</f>
        <v>0</v>
      </c>
      <c r="EZ34" s="8"/>
      <c r="FA34" s="8"/>
      <c r="FB34" s="197">
        <f t="shared" si="0"/>
        <v>7</v>
      </c>
      <c r="FC34" s="773" t="str">
        <f t="shared" si="1"/>
        <v/>
      </c>
      <c r="FD34" s="772" t="str">
        <f t="shared" ref="FD34:FD40" si="16">ED34</f>
        <v/>
      </c>
      <c r="FE34" s="9"/>
      <c r="FF34" s="11" t="str">
        <f>IF(COUNTIF($FD$15:FD33,FD34)&gt;0,"",FD34)</f>
        <v/>
      </c>
      <c r="FG34" s="9"/>
      <c r="FH34" s="124" t="str">
        <f>AS38</f>
        <v/>
      </c>
      <c r="FI34" s="771">
        <f t="shared" ref="FI34:FI40" si="17">SUMIF($FD$18:$FD$205,FF34,$FH$18:$FH$205)</f>
        <v>0</v>
      </c>
    </row>
    <row r="35" spans="1:165" ht="12" customHeight="1" thickBot="1">
      <c r="B35" s="23"/>
      <c r="C35" s="3857" t="str">
        <f>"　"&amp;非誘!M22</f>
        <v>　車庫等</v>
      </c>
      <c r="D35" s="3858"/>
      <c r="E35" s="3858"/>
      <c r="F35" s="3858"/>
      <c r="G35" s="3858"/>
      <c r="H35" s="3858"/>
      <c r="I35" s="3858"/>
      <c r="J35" s="3858"/>
      <c r="K35" s="3858"/>
      <c r="L35" s="3858"/>
      <c r="M35" s="3858"/>
      <c r="N35" s="3858"/>
      <c r="O35" s="3858"/>
      <c r="P35" s="3858"/>
      <c r="Q35" s="3859"/>
      <c r="R35" s="2337" t="str">
        <f>IF(U35&lt;&gt;"",U35,IF(C38="","","設"))</f>
        <v>設</v>
      </c>
      <c r="S35" s="2337"/>
      <c r="T35" s="175" t="s">
        <v>34</v>
      </c>
      <c r="U35" s="2338"/>
      <c r="V35" s="2338"/>
      <c r="W35" s="3860" t="s">
        <v>1217</v>
      </c>
      <c r="X35" s="3863" t="s">
        <v>1216</v>
      </c>
      <c r="Y35" s="3863" t="s">
        <v>1215</v>
      </c>
      <c r="Z35" s="3866"/>
      <c r="AA35" s="3528" t="s">
        <v>1214</v>
      </c>
      <c r="AB35" s="3519"/>
      <c r="AC35" s="3519"/>
      <c r="AD35" s="3519"/>
      <c r="AE35" s="3519"/>
      <c r="AF35" s="3520"/>
      <c r="AG35" s="3528" t="s">
        <v>1084</v>
      </c>
      <c r="AH35" s="3519"/>
      <c r="AI35" s="3519"/>
      <c r="AJ35" s="3529"/>
      <c r="AK35" s="3518" t="s">
        <v>1210</v>
      </c>
      <c r="AL35" s="3519"/>
      <c r="AM35" s="3519"/>
      <c r="AN35" s="3529"/>
      <c r="AO35" s="3518" t="s">
        <v>1209</v>
      </c>
      <c r="AP35" s="3519"/>
      <c r="AQ35" s="3519"/>
      <c r="AR35" s="3520"/>
      <c r="AS35" s="3528" t="s">
        <v>1208</v>
      </c>
      <c r="AT35" s="3519"/>
      <c r="AU35" s="3519"/>
      <c r="AV35" s="3529"/>
      <c r="AW35" s="3518" t="s">
        <v>1104</v>
      </c>
      <c r="AX35" s="3519"/>
      <c r="AY35" s="3519"/>
      <c r="AZ35" s="3529"/>
      <c r="BA35" s="3518" t="s">
        <v>1083</v>
      </c>
      <c r="BB35" s="3519"/>
      <c r="BC35" s="3519"/>
      <c r="BD35" s="3520"/>
      <c r="BE35" s="3528" t="s">
        <v>1123</v>
      </c>
      <c r="BF35" s="3519"/>
      <c r="BG35" s="3519"/>
      <c r="BH35" s="3519"/>
      <c r="BI35" s="3519"/>
      <c r="BJ35" s="3519"/>
      <c r="BK35" s="3519"/>
      <c r="BL35" s="3529"/>
      <c r="BM35" s="3518" t="s">
        <v>1122</v>
      </c>
      <c r="BN35" s="3519"/>
      <c r="BO35" s="3519"/>
      <c r="BP35" s="3519"/>
      <c r="BQ35" s="3519"/>
      <c r="BR35" s="3519"/>
      <c r="BS35" s="3519"/>
      <c r="BT35" s="3520"/>
      <c r="BU35" s="19"/>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15"/>
      <c r="DA35" s="15">
        <f>IF(AG37&lt;&gt;"",2,IF(AK37&lt;&gt;"",3,0))</f>
        <v>2</v>
      </c>
      <c r="DB35" s="86" t="s">
        <v>79</v>
      </c>
      <c r="DC35" s="86" t="s">
        <v>77</v>
      </c>
      <c r="DD35" s="128" t="s">
        <v>1121</v>
      </c>
      <c r="DE35" s="86">
        <f>IF(AB39&lt;&gt;"Ａ",0,IF(AND(2*DK35&gt;=4,2*DK35&lt;=12),1,0))</f>
        <v>0</v>
      </c>
      <c r="DF35" s="86">
        <f>IF(AB39&lt;&gt;"Ａ",0,IF(AND(2*DK35&gt;=16,DK35&lt;=24),1,0))</f>
        <v>1</v>
      </c>
      <c r="DG35" s="97" t="s">
        <v>96</v>
      </c>
      <c r="DH35" s="86">
        <f>IF(AB39&lt;&gt;"Ａ",0,IF(2*DK35&lt;=4,1,0))</f>
        <v>0</v>
      </c>
      <c r="DI35" s="86">
        <f>IF(AB39&lt;&gt;"Ａ",0,IF(OR(AND(2*DK35&gt;4,2*DK35&lt;=8),AND(2*DK35&gt;12,2*DK35&lt;=16)),1,0))</f>
        <v>0</v>
      </c>
      <c r="DJ35" s="183">
        <f>IF(AB39&lt;&gt;"Ａ",0,IF(OR(AND(2*DK35&gt;8,2*DK35&lt;=12),AND(2*DK35&gt;16,2*DK35&lt;=24)),1,0))</f>
        <v>1</v>
      </c>
      <c r="DK35" s="783">
        <f>IF(OR(C38="",C38="  RF"),0,IF(Q38="",INT((T38)/2),INT((Q38+INT(T38))/2)+1))</f>
        <v>12</v>
      </c>
      <c r="DL35" s="128" t="s">
        <v>1119</v>
      </c>
      <c r="DM35" s="86">
        <f>IF(AB39&lt;&gt;"Ｂ",0,IF(DB32&lt;=6,1,0))</f>
        <v>0</v>
      </c>
      <c r="DN35" s="86">
        <f>IF(AB39&lt;&gt;"Ｂ",0,IF(AND(DB32&gt;6,DB32&lt;=12),1,0))</f>
        <v>0</v>
      </c>
      <c r="DO35" s="97" t="s">
        <v>96</v>
      </c>
      <c r="DP35" s="86">
        <f>IF(AB39&lt;&gt;"Ｂ",0,IF(DB32&lt;=2,1,0))</f>
        <v>0</v>
      </c>
      <c r="DQ35" s="86">
        <f>IF(AB39&lt;&gt;"Ｂ",0,IF(OR(AND(DB32&gt;2,DB32&lt;6),AND(DB32&gt;6,DB32&lt;=8)),1,0))</f>
        <v>0</v>
      </c>
      <c r="DR35" s="86">
        <f>IF(AB39&lt;&gt;"Ｂ",0,IF(OR(AND(DB32&gt;4,DB32&lt;6),AND(DB32&gt;8,DB32&lt;=12)),1,0))</f>
        <v>0</v>
      </c>
      <c r="DS35" s="128" t="s">
        <v>1118</v>
      </c>
      <c r="DT35" s="159">
        <f>IF(AB39&lt;&gt;"Ｃ",0,IF(DX35&lt;&gt;0,DX35,IF(DY35&lt;&gt;0,DY35,IF(DZ35&lt;&gt;0,DZ35,0))))</f>
        <v>0</v>
      </c>
      <c r="DU35" s="159">
        <f>IF(AB39&lt;&gt;"Ｃ",0,IF(DX35=0,0,1))</f>
        <v>0</v>
      </c>
      <c r="DV35" s="159">
        <f>IF(AB39&lt;&gt;"Ｃ",0,IF(DY35=0,0,1))</f>
        <v>0</v>
      </c>
      <c r="DW35" s="783">
        <f>IF(AB39&lt;&gt;"Ｃ",0,IF(DZ35=0,0,1))</f>
        <v>0</v>
      </c>
      <c r="DX35" s="714">
        <f>IF(AB39&lt;&gt;"Ｃ",0,IF(DB32&lt;=12,3,IF(AND(DB32&gt;12,DB32&lt;=16),4,IF(AND(DB32&gt;16,DB32&lt;=20),5,0))))</f>
        <v>0</v>
      </c>
      <c r="DY35" s="86">
        <f>IF(AB39&lt;&gt;"Ｃ",0,IF(AND(DB32&gt;20,DB32&lt;=24),3,IF(AND(DB32&gt;24,DB32&lt;=32),4,IF(AND(DB32&gt;32,DB32&lt;=40),5,0))))</f>
        <v>0</v>
      </c>
      <c r="DZ35" s="97">
        <f>IF(AB39&lt;&gt;"Ｃ",0,IF(AND(DB32&gt;40,DB32&lt;=48),4,IF(AND(DB32&gt;48,DB32&lt;=60),5,0)))</f>
        <v>0</v>
      </c>
      <c r="EA35" s="96"/>
      <c r="EB35" s="776" t="str">
        <f>IF(OR($B$2=0,X38=""),"","混合器 BS-CS")</f>
        <v/>
      </c>
      <c r="EC35" s="96"/>
      <c r="ED35" s="782" t="str">
        <f>IF(AW38="","","分配器 4D")</f>
        <v/>
      </c>
      <c r="EE35" s="96" t="str">
        <f>AW38</f>
        <v/>
      </c>
      <c r="EF35" s="96"/>
      <c r="EG35" s="96"/>
      <c r="EH35" s="197">
        <f t="shared" si="5"/>
        <v>4</v>
      </c>
      <c r="EI35" s="773" t="str">
        <f t="shared" si="6"/>
        <v/>
      </c>
      <c r="EJ35" s="203" t="str">
        <f>K41</f>
        <v>S-7C-FB</v>
      </c>
      <c r="EK35" s="9"/>
      <c r="EL35" s="9" t="str">
        <f>IF(COUNTIF($EJ$18:EJ34,EJ35)&gt;0,"",EJ35)</f>
        <v/>
      </c>
      <c r="EM35" s="9"/>
      <c r="EN35" s="14">
        <f>T41</f>
        <v>7</v>
      </c>
      <c r="EO35" s="771">
        <f t="shared" si="13"/>
        <v>0</v>
      </c>
      <c r="EP35" s="8"/>
      <c r="EQ35" s="96"/>
      <c r="ER35" s="197">
        <f t="shared" si="7"/>
        <v>2</v>
      </c>
      <c r="ES35" s="773" t="str">
        <f t="shared" si="8"/>
        <v/>
      </c>
      <c r="ET35" s="203" t="str">
        <f t="shared" si="14"/>
        <v/>
      </c>
      <c r="EU35" s="9"/>
      <c r="EV35" s="11" t="str">
        <f>IF(COUNTIF($ET$18:ET34,ET35)&gt;0,"",ET35)</f>
        <v/>
      </c>
      <c r="EW35" s="9"/>
      <c r="EX35" s="124" t="str">
        <f>X38</f>
        <v/>
      </c>
      <c r="EY35" s="771">
        <f t="shared" si="15"/>
        <v>0</v>
      </c>
      <c r="EZ35" s="8"/>
      <c r="FA35" s="96"/>
      <c r="FB35" s="197">
        <f t="shared" si="0"/>
        <v>7</v>
      </c>
      <c r="FC35" s="773" t="str">
        <f t="shared" si="1"/>
        <v/>
      </c>
      <c r="FD35" s="772" t="str">
        <f t="shared" si="16"/>
        <v/>
      </c>
      <c r="FE35" s="9"/>
      <c r="FF35" s="11" t="str">
        <f>IF(COUNTIF($FD$15:FD34,FD35)&gt;0,"",FD35)</f>
        <v/>
      </c>
      <c r="FG35" s="9"/>
      <c r="FH35" s="124" t="str">
        <f>AW38</f>
        <v/>
      </c>
      <c r="FI35" s="771">
        <f t="shared" si="17"/>
        <v>0</v>
      </c>
    </row>
    <row r="36" spans="1:165" ht="12" customHeight="1" thickBot="1">
      <c r="B36" s="23"/>
      <c r="C36" s="3819" t="s">
        <v>16</v>
      </c>
      <c r="D36" s="3820"/>
      <c r="E36" s="3821"/>
      <c r="F36" s="3869" t="s">
        <v>22</v>
      </c>
      <c r="G36" s="3870"/>
      <c r="H36" s="3871"/>
      <c r="I36" s="3869" t="s">
        <v>5</v>
      </c>
      <c r="J36" s="3870"/>
      <c r="K36" s="3870"/>
      <c r="L36" s="3871"/>
      <c r="M36" s="3819" t="s">
        <v>1117</v>
      </c>
      <c r="N36" s="3820"/>
      <c r="O36" s="3820"/>
      <c r="P36" s="3821"/>
      <c r="Q36" s="3819" t="s">
        <v>1116</v>
      </c>
      <c r="R36" s="3820"/>
      <c r="S36" s="3821"/>
      <c r="T36" s="3819" t="s">
        <v>1116</v>
      </c>
      <c r="U36" s="3820"/>
      <c r="V36" s="3821"/>
      <c r="W36" s="3861"/>
      <c r="X36" s="3864"/>
      <c r="Y36" s="3864"/>
      <c r="Z36" s="3867"/>
      <c r="AA36" s="3872" t="str">
        <f>IF($AG$15&lt;=65,"40/","35/")</f>
        <v>40/</v>
      </c>
      <c r="AB36" s="3873"/>
      <c r="AC36" s="3873"/>
      <c r="AD36" s="3873" t="str">
        <f>IF(CW235&gt;55,"40/","35/")</f>
        <v>35/</v>
      </c>
      <c r="AE36" s="3873"/>
      <c r="AF36" s="3875"/>
      <c r="AG36" s="3876" t="s">
        <v>1114</v>
      </c>
      <c r="AH36" s="3877"/>
      <c r="AI36" s="3877"/>
      <c r="AJ36" s="3877"/>
      <c r="AK36" s="3877"/>
      <c r="AL36" s="3877"/>
      <c r="AM36" s="3877"/>
      <c r="AN36" s="3877"/>
      <c r="AO36" s="3877"/>
      <c r="AP36" s="3877"/>
      <c r="AQ36" s="3877"/>
      <c r="AR36" s="3878"/>
      <c r="AS36" s="3549" t="s">
        <v>1113</v>
      </c>
      <c r="AT36" s="3550"/>
      <c r="AU36" s="3550"/>
      <c r="AV36" s="3550"/>
      <c r="AW36" s="3550"/>
      <c r="AX36" s="3550"/>
      <c r="AY36" s="3550"/>
      <c r="AZ36" s="3550"/>
      <c r="BA36" s="3550"/>
      <c r="BB36" s="3550"/>
      <c r="BC36" s="3550"/>
      <c r="BD36" s="3551"/>
      <c r="BE36" s="3552" t="s">
        <v>1112</v>
      </c>
      <c r="BF36" s="3553"/>
      <c r="BG36" s="3553"/>
      <c r="BH36" s="3553"/>
      <c r="BI36" s="3553" t="s">
        <v>1111</v>
      </c>
      <c r="BJ36" s="3553"/>
      <c r="BK36" s="3553"/>
      <c r="BL36" s="3553"/>
      <c r="BM36" s="3553" t="s">
        <v>1112</v>
      </c>
      <c r="BN36" s="3553"/>
      <c r="BO36" s="3553"/>
      <c r="BP36" s="3553"/>
      <c r="BQ36" s="3553" t="s">
        <v>1111</v>
      </c>
      <c r="BR36" s="3553"/>
      <c r="BS36" s="3553"/>
      <c r="BT36" s="3919"/>
      <c r="BU36" s="19"/>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15"/>
      <c r="DA36" s="67">
        <f>IF(DC34="＋",F38+3,F38+F47+3)</f>
        <v>13</v>
      </c>
      <c r="DB36" s="98">
        <f>IF(C38="  RF","",IF(AN39="","",非誘!BW24))</f>
        <v>24</v>
      </c>
      <c r="DC36" s="98">
        <f>IF(DB36="","",IF(AN39="","",非誘!BX24))</f>
        <v>33</v>
      </c>
      <c r="DD36" s="3822" t="s">
        <v>1110</v>
      </c>
      <c r="DE36" s="3823"/>
      <c r="DF36" s="3824" t="s">
        <v>1108</v>
      </c>
      <c r="DG36" s="3824"/>
      <c r="DH36" s="3824" t="s">
        <v>1109</v>
      </c>
      <c r="DI36" s="3824"/>
      <c r="DJ36" s="3823" t="s">
        <v>1108</v>
      </c>
      <c r="DK36" s="3823"/>
      <c r="DL36" s="8"/>
      <c r="DM36" s="113" t="s">
        <v>1107</v>
      </c>
      <c r="DN36" s="113" t="s">
        <v>1106</v>
      </c>
      <c r="DO36" s="113" t="s">
        <v>1105</v>
      </c>
      <c r="DP36" s="8"/>
      <c r="DQ36" s="8"/>
      <c r="DR36" s="8"/>
      <c r="DS36" s="8"/>
      <c r="DT36" s="113" t="s">
        <v>1084</v>
      </c>
      <c r="DU36" s="8"/>
      <c r="DV36" s="113" t="s">
        <v>1104</v>
      </c>
      <c r="DW36" s="113" t="s">
        <v>1083</v>
      </c>
      <c r="DX36" s="8"/>
      <c r="DY36" s="113" t="s">
        <v>1104</v>
      </c>
      <c r="DZ36" s="113" t="s">
        <v>1104</v>
      </c>
      <c r="EA36" s="113"/>
      <c r="EB36" s="776" t="str">
        <f>IF(OR($B$2=0,Y38=""),"","混合器 UV-BC")</f>
        <v/>
      </c>
      <c r="EC36" s="15"/>
      <c r="ED36" s="782" t="str">
        <f>IF(BA38="","","分配器 6D")</f>
        <v>分配器 6D</v>
      </c>
      <c r="EE36" s="15">
        <f>BA38</f>
        <v>1</v>
      </c>
      <c r="EF36" s="15"/>
      <c r="EG36" s="15"/>
      <c r="EH36" s="197">
        <f t="shared" si="5"/>
        <v>4</v>
      </c>
      <c r="EI36" s="773" t="str">
        <f t="shared" si="6"/>
        <v/>
      </c>
      <c r="EJ36" s="203" t="str">
        <f>X40</f>
        <v/>
      </c>
      <c r="EK36" s="9"/>
      <c r="EL36" s="9" t="str">
        <f>IF(COUNTIF($EJ$18:EJ35,EJ36)&gt;0,"",EJ36)</f>
        <v/>
      </c>
      <c r="EM36" s="9"/>
      <c r="EN36" s="14" t="str">
        <f>AI40</f>
        <v/>
      </c>
      <c r="EO36" s="771">
        <f t="shared" si="13"/>
        <v>0</v>
      </c>
      <c r="EP36" s="8"/>
      <c r="EQ36" s="15"/>
      <c r="ER36" s="197">
        <f t="shared" si="7"/>
        <v>2</v>
      </c>
      <c r="ES36" s="773" t="str">
        <f t="shared" si="8"/>
        <v/>
      </c>
      <c r="ET36" s="203" t="str">
        <f t="shared" si="14"/>
        <v/>
      </c>
      <c r="EU36" s="9"/>
      <c r="EV36" s="11" t="str">
        <f>IF(COUNTIF($ET$18:ET35,ET36)&gt;0,"",ET36)</f>
        <v/>
      </c>
      <c r="EW36" s="9"/>
      <c r="EX36" s="124" t="str">
        <f>Y38</f>
        <v/>
      </c>
      <c r="EY36" s="771">
        <f t="shared" si="15"/>
        <v>0</v>
      </c>
      <c r="EZ36" s="8"/>
      <c r="FA36" s="15"/>
      <c r="FB36" s="197">
        <f t="shared" si="0"/>
        <v>8</v>
      </c>
      <c r="FC36" s="773">
        <f t="shared" si="1"/>
        <v>8</v>
      </c>
      <c r="FD36" s="772" t="str">
        <f t="shared" si="16"/>
        <v>分配器 6D</v>
      </c>
      <c r="FE36" s="9"/>
      <c r="FF36" s="11" t="str">
        <f>IF(COUNTIF($FD$15:FD35,FD36)&gt;0,"",FD36)</f>
        <v>分配器 6D</v>
      </c>
      <c r="FG36" s="9"/>
      <c r="FH36" s="124">
        <f>BA38</f>
        <v>1</v>
      </c>
      <c r="FI36" s="771">
        <f t="shared" si="17"/>
        <v>11</v>
      </c>
    </row>
    <row r="37" spans="1:165" ht="12" customHeight="1" thickBot="1">
      <c r="B37" s="23"/>
      <c r="C37" s="3819"/>
      <c r="D37" s="3820"/>
      <c r="E37" s="3821"/>
      <c r="F37" s="3827" t="s">
        <v>113</v>
      </c>
      <c r="G37" s="3769"/>
      <c r="H37" s="3828"/>
      <c r="I37" s="3819" t="s">
        <v>113</v>
      </c>
      <c r="J37" s="3820"/>
      <c r="K37" s="3820"/>
      <c r="L37" s="3821"/>
      <c r="M37" s="3819" t="s">
        <v>1103</v>
      </c>
      <c r="N37" s="3820"/>
      <c r="O37" s="3820"/>
      <c r="P37" s="3821"/>
      <c r="Q37" s="3819" t="s">
        <v>1102</v>
      </c>
      <c r="R37" s="3820"/>
      <c r="S37" s="3821"/>
      <c r="T37" s="3819" t="s">
        <v>115</v>
      </c>
      <c r="U37" s="3820"/>
      <c r="V37" s="3821"/>
      <c r="W37" s="3862"/>
      <c r="X37" s="3865"/>
      <c r="Y37" s="3865"/>
      <c r="Z37" s="3868"/>
      <c r="AA37" s="3829">
        <f>IF($AG$15&lt;=65,115,110)</f>
        <v>115</v>
      </c>
      <c r="AB37" s="3562"/>
      <c r="AC37" s="3562"/>
      <c r="AD37" s="3562">
        <f>IF(CW235&gt;55,115,110)</f>
        <v>110</v>
      </c>
      <c r="AE37" s="3562"/>
      <c r="AF37" s="3830"/>
      <c r="AG37" s="3831" t="s">
        <v>1101</v>
      </c>
      <c r="AH37" s="3832"/>
      <c r="AI37" s="3832"/>
      <c r="AJ37" s="3833"/>
      <c r="AK37" s="3834" t="s">
        <v>1100</v>
      </c>
      <c r="AL37" s="3832"/>
      <c r="AM37" s="3832"/>
      <c r="AN37" s="3833"/>
      <c r="AO37" s="3834" t="s">
        <v>1098</v>
      </c>
      <c r="AP37" s="3832"/>
      <c r="AQ37" s="3832"/>
      <c r="AR37" s="3835"/>
      <c r="AS37" s="3836" t="s">
        <v>1097</v>
      </c>
      <c r="AT37" s="3832"/>
      <c r="AU37" s="3832"/>
      <c r="AV37" s="3833"/>
      <c r="AW37" s="3844" t="s">
        <v>1095</v>
      </c>
      <c r="AX37" s="3845"/>
      <c r="AY37" s="3845"/>
      <c r="AZ37" s="3846"/>
      <c r="BA37" s="3558" t="s">
        <v>1169</v>
      </c>
      <c r="BB37" s="3559"/>
      <c r="BC37" s="3559"/>
      <c r="BD37" s="3560"/>
      <c r="BE37" s="3561" t="s">
        <v>1168</v>
      </c>
      <c r="BF37" s="3562"/>
      <c r="BG37" s="3562"/>
      <c r="BH37" s="3562"/>
      <c r="BI37" s="3850" t="s">
        <v>1167</v>
      </c>
      <c r="BJ37" s="3562"/>
      <c r="BK37" s="3562"/>
      <c r="BL37" s="3562"/>
      <c r="BM37" s="3850" t="s">
        <v>1166</v>
      </c>
      <c r="BN37" s="3562"/>
      <c r="BO37" s="3562"/>
      <c r="BP37" s="3562"/>
      <c r="BQ37" s="3850" t="s">
        <v>1165</v>
      </c>
      <c r="BR37" s="3562"/>
      <c r="BS37" s="3562"/>
      <c r="BT37" s="3830"/>
      <c r="BU37" s="19"/>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90"/>
      <c r="DA37" s="15"/>
      <c r="DB37" s="98">
        <f>IF(C38="","",IF(AZ39="①",DB36+DC36+3,IF(AZ39="②",DB36*5/8+DC36+3,IF(AZ39="③",DB36/2+DC36+3,IF(AZ39="④",DB36+DC36*5/8+3,IF(AZ39="⑤",(DB36+DC36)*5/8+3,IF(AZ39="⑥",DB36/2+DC36*5/8+3,IF(AZ39="⑦",DB36+DC36/2+3,IF(AZ39="⑧",DB36*5/8+DC36/2+3,IF(AZ39="⑨",(DB36+DC36)/2+3))))))))))</f>
        <v>43.5</v>
      </c>
      <c r="DC37" s="180" t="s">
        <v>1164</v>
      </c>
      <c r="DD37" s="2589" t="str">
        <f>IF($AL$10="nC-FB","S-5C-FB",IF($AL$10="nD-FB","5D-FB","5C-2V"))</f>
        <v>S-5C-FB</v>
      </c>
      <c r="DE37" s="2591"/>
      <c r="DF37" s="3631">
        <f>IF(C38="  RF",DF28,IF($H$15="ＣＡＴＶ",DB36+DC36/2+F38-($AM$8-$AM$7)/1000+DR37,SUM(DM37:DO37)))</f>
        <v>61.5</v>
      </c>
      <c r="DG37" s="3812"/>
      <c r="DH37" s="2589" t="str">
        <f>IF($H$17="ＣＡＴＶ","G-22mm",IF(RIGHT($AB$17,1)+RIGHT($AF$17,1)+RIGHT($AJ$17,1)&gt;=4,"G-36mm","G-28mm"))</f>
        <v>G-28mm</v>
      </c>
      <c r="DI37" s="2591"/>
      <c r="DJ37" s="3631">
        <f>IF(C38="",0,IF(C38="  RF",DJ28,IF($H$15="ＣＡＴＶ",DB36+DC36/2+F38-($AM$8-$AM$7)/1000,10+F38-($AM$8-$AM$7)/1000)))</f>
        <v>15.5</v>
      </c>
      <c r="DK37" s="3812"/>
      <c r="DL37" s="15"/>
      <c r="DM37" s="98">
        <f>IF(OR($B$2=0,$H$15="ＣＡＴＶ",C38="",C38="  RF"),0,IF($AB$17="","",RIGHT($AB$17,1)*15+F38-($AM$8-$AM$7)/1000))</f>
        <v>20.5</v>
      </c>
      <c r="DN37" s="98">
        <f>IF(OR($B$2=0,$H$15="ＣＡＴＶ",C38="",C38="  RF"),0,IF($AF$17="","",15+F38-($AM$8-$AM$7)/1000))</f>
        <v>20.5</v>
      </c>
      <c r="DO37" s="98">
        <f>IF(OR($B$2=0,$H$15="ＣＡＴＶ",C38="",C38="  RF"),0,IF($AJ$17="","",15+F38-($AM$8-$AM$7)/1000))</f>
        <v>20.5</v>
      </c>
      <c r="DP37" s="15"/>
      <c r="DQ37" s="46" t="s">
        <v>1087</v>
      </c>
      <c r="DR37" s="98" t="str">
        <f>IF($H$17="ＣＡＴＶ",#REF!+#REF!,"")</f>
        <v/>
      </c>
      <c r="DS37" s="128" t="s">
        <v>1118</v>
      </c>
      <c r="DT37" s="159">
        <f>IF(AB39&lt;&gt;"Ｃ",0,IF(DY37&lt;&gt;0,DY37,IF(DZ37&lt;&gt;0,DZ37,0)))</f>
        <v>0</v>
      </c>
      <c r="DU37" s="8"/>
      <c r="DV37" s="86">
        <f>IF(AB39&lt;&gt;"Ｃ",0,IF(DY37=0,0,1))</f>
        <v>0</v>
      </c>
      <c r="DW37" s="86">
        <f>IF(AB39&lt;&gt;"Ｃ",0,IF(DZ37=0,0,1))</f>
        <v>0</v>
      </c>
      <c r="DX37" s="8"/>
      <c r="DY37" s="86">
        <f>IF(AB39&lt;&gt;"Ｃ",0,IF(AND(DB32&gt;60,DB32&lt;=64),4,IF(AND(DB32&gt;64,DB32&lt;=80),5,0)))</f>
        <v>0</v>
      </c>
      <c r="DZ37" s="86">
        <f>IF(AB39&lt;&gt;"Ｃ",0,IF(AND(DB32&gt;80,DB32&lt;=96),4,IF(AND(DB32&gt;96,DB32&lt;=120),5,0)))</f>
        <v>0</v>
      </c>
      <c r="EA37" s="38"/>
      <c r="EB37" s="776" t="str">
        <f>IF(OR($B$2=0,Z38=""),"","混合器 UV-BC")</f>
        <v/>
      </c>
      <c r="EC37" s="12"/>
      <c r="ED37" s="122" t="str">
        <f>IF(BE38="","","直列Unit-中間1端子")</f>
        <v>直列Unit-中間1端子</v>
      </c>
      <c r="EE37" s="38">
        <f>BE38</f>
        <v>12</v>
      </c>
      <c r="EF37" s="38"/>
      <c r="EG37" s="38"/>
      <c r="EH37" s="197">
        <f t="shared" si="5"/>
        <v>4</v>
      </c>
      <c r="EI37" s="773" t="str">
        <f t="shared" si="6"/>
        <v/>
      </c>
      <c r="EJ37" s="203" t="str">
        <f>X41</f>
        <v>PF-S-22mm</v>
      </c>
      <c r="EK37" s="9"/>
      <c r="EL37" s="9" t="str">
        <f>IF(COUNTIF($EJ$18:EJ36,EJ37)&gt;0,"",EJ37)</f>
        <v/>
      </c>
      <c r="EM37" s="9"/>
      <c r="EN37" s="14">
        <f>AI41</f>
        <v>5</v>
      </c>
      <c r="EO37" s="771">
        <f t="shared" si="13"/>
        <v>0</v>
      </c>
      <c r="EP37" s="8"/>
      <c r="EQ37" s="38"/>
      <c r="ER37" s="197">
        <f t="shared" si="7"/>
        <v>2</v>
      </c>
      <c r="ES37" s="773" t="str">
        <f t="shared" si="8"/>
        <v/>
      </c>
      <c r="ET37" s="203" t="str">
        <f t="shared" si="14"/>
        <v/>
      </c>
      <c r="EU37" s="9"/>
      <c r="EV37" s="11" t="str">
        <f>IF(COUNTIF($ET$18:ET36,ET37)&gt;0,"",ET37)</f>
        <v/>
      </c>
      <c r="EW37" s="9"/>
      <c r="EX37" s="124">
        <f>Z38</f>
        <v>0</v>
      </c>
      <c r="EY37" s="771">
        <f t="shared" si="15"/>
        <v>0</v>
      </c>
      <c r="EZ37" s="8"/>
      <c r="FA37" s="38"/>
      <c r="FB37" s="197">
        <f t="shared" si="0"/>
        <v>9</v>
      </c>
      <c r="FC37" s="773">
        <f t="shared" si="1"/>
        <v>9</v>
      </c>
      <c r="FD37" s="772" t="str">
        <f t="shared" si="16"/>
        <v>直列Unit-中間1端子</v>
      </c>
      <c r="FE37" s="9"/>
      <c r="FF37" s="11" t="str">
        <f>IF(COUNTIF($FD$15:FD36,FD37)&gt;0,"",FD37)</f>
        <v>直列Unit-中間1端子</v>
      </c>
      <c r="FG37" s="9"/>
      <c r="FH37" s="124">
        <f>BE38</f>
        <v>12</v>
      </c>
      <c r="FI37" s="771">
        <f t="shared" si="17"/>
        <v>21</v>
      </c>
    </row>
    <row r="38" spans="1:165" ht="12" customHeight="1">
      <c r="A38" s="8">
        <v>2</v>
      </c>
      <c r="B38" s="23"/>
      <c r="C38" s="3837" t="str">
        <f>非誘!C24</f>
        <v xml:space="preserve"> B1F</v>
      </c>
      <c r="D38" s="3837"/>
      <c r="E38" s="3837"/>
      <c r="F38" s="3838">
        <f>非誘!F24</f>
        <v>5</v>
      </c>
      <c r="G38" s="3839"/>
      <c r="H38" s="3840"/>
      <c r="I38" s="3838">
        <f>非誘!J24</f>
        <v>3</v>
      </c>
      <c r="J38" s="3839"/>
      <c r="K38" s="3839"/>
      <c r="L38" s="3840"/>
      <c r="M38" s="3841">
        <f>非誘!N24</f>
        <v>3168</v>
      </c>
      <c r="N38" s="3842"/>
      <c r="O38" s="3842"/>
      <c r="P38" s="3843"/>
      <c r="Q38" s="3537">
        <f>非誘!AA24</f>
        <v>6</v>
      </c>
      <c r="R38" s="3537"/>
      <c r="S38" s="3537"/>
      <c r="T38" s="3537">
        <f>非誘!AD24</f>
        <v>16</v>
      </c>
      <c r="U38" s="3537"/>
      <c r="V38" s="3537"/>
      <c r="W38" s="795" t="str">
        <f>IF(OR(P23="不要",C38&lt;&gt;$X$10),"",IF(AND($AB$17="UHF×3",$AF$17&lt;&gt;"",$AJ$17&lt;&gt;""),2,IF(OR(AND($AB$17="UHF×3",$AB$17="",$AJ$17=""),AND($AB$17="UHF×3",$AF$17&lt;&gt;"",$AJ$17=""),AND($AB$17="UHF×2",$AF$17&lt;&gt;"",$AJ$17&lt;&gt;"")),1,"")))</f>
        <v/>
      </c>
      <c r="X38" s="794" t="str">
        <f>IF(OR(P23="不要",C38&lt;&gt;$X$10),"",IF(AND($AB$17&lt;&gt;"",$AF$17&lt;&gt;"",$AJ$17&lt;&gt;""),1,""))</f>
        <v/>
      </c>
      <c r="Y38" s="794" t="str">
        <f>IF(OR(P23="不要",C38&lt;&gt;$X$10),"",IF(AND(OR($AB$17="UHF×2",$AB$17="UHF×3"),$AF$17&lt;&gt;"",$AJ$17=""),1,""))</f>
        <v/>
      </c>
      <c r="Z38" s="793"/>
      <c r="AA38" s="3847" t="str">
        <f>IF($B$2=0,"",IF(AND(P23&lt;&gt;"不",DC34="＝"),1,""))</f>
        <v/>
      </c>
      <c r="AB38" s="3848"/>
      <c r="AC38" s="3848"/>
      <c r="AD38" s="3848">
        <f>IF($B$2=0,"",IF(OR(P23="不要",C38="",C38="  RF"),"",IF(P23="設置",1,"")))</f>
        <v>1</v>
      </c>
      <c r="AE38" s="3848"/>
      <c r="AF38" s="3849"/>
      <c r="AG38" s="3837" t="str">
        <f>IF(OR(P23="不要",C38="",C38="  RF"),"",IF(AI38&lt;&gt;"",AI38,IF(DE35+DM35+DT35+DT37+DT39=0,"",DE35+DM35+DT35+DT37+DT39)))</f>
        <v/>
      </c>
      <c r="AH38" s="3837"/>
      <c r="AI38" s="3915"/>
      <c r="AJ38" s="3915"/>
      <c r="AK38" s="3837">
        <f>IF(OR(P23="不要",C38="",C38="  RF"),"",IF(AM38&lt;&gt;"",AM38,IF(DF35+DN35=0,"",DF35+DN35)))</f>
        <v>1</v>
      </c>
      <c r="AL38" s="3837"/>
      <c r="AM38" s="3915"/>
      <c r="AN38" s="3915"/>
      <c r="AO38" s="3813" t="str">
        <f>IF(AQ38="","",AQ38)</f>
        <v/>
      </c>
      <c r="AP38" s="3814"/>
      <c r="AQ38" s="3915"/>
      <c r="AR38" s="3915"/>
      <c r="AS38" s="3916" t="str">
        <f>IF(OR(P23="不要",C38="  RF"),"",IF(AU38&lt;&gt;"",AU38,IF(DH35+DP35+DU35+DX35+DY35+DZ35=0,"",DH35+DP35+DU35+DX35+DY35+DZ35)))</f>
        <v/>
      </c>
      <c r="AT38" s="3837"/>
      <c r="AU38" s="3915"/>
      <c r="AV38" s="3915"/>
      <c r="AW38" s="3837" t="str">
        <f>IF(OR(P23="不要",C38="  RF"),"",IF(AY38&lt;&gt;"",AY38,IF(DI35+DQ35+DV35+DV37+DY37+DZ37=0,"",DI35+DQ35+DV35+DV37+DY37+DZ37)))</f>
        <v/>
      </c>
      <c r="AX38" s="3837"/>
      <c r="AY38" s="3915"/>
      <c r="AZ38" s="3915"/>
      <c r="BA38" s="3837">
        <f>IF(OR(P23="不要",C38="  RF"),"",IF(BC38&lt;&gt;"",BC38,IF(DJ35+DR35+DW35+DW37+DW39+DZ39=0,"",DJ35+DR35+DW35+DW37+DW39+DZ39)))</f>
        <v>1</v>
      </c>
      <c r="BB38" s="3837"/>
      <c r="BC38" s="3915"/>
      <c r="BD38" s="3915"/>
      <c r="BE38" s="3837">
        <f>IF(OR(P23="不要",$X$11="2端子",C38="",C38="  RF"),"",IF(BG38&lt;&gt;"",BG38,IF(AND(AB39="Ａ",$X$11="1端子"),DK35,"")))</f>
        <v>12</v>
      </c>
      <c r="BF38" s="3837"/>
      <c r="BG38" s="3837" t="str">
        <f>IF(AND(BO38&lt;&gt;"",AB39="Ａ",$X$11="1端子"),BO38,"")</f>
        <v/>
      </c>
      <c r="BH38" s="3837"/>
      <c r="BI38" s="3916" t="str">
        <f>IF(OR(P23="不要",$X$11="1端子",C38="",C38="  RF"),"",IF(BK38&lt;&gt;"",BK38,IF(AND(AB39="Ａ",$X$11="2端子"),DK35,"")))</f>
        <v/>
      </c>
      <c r="BJ38" s="3837"/>
      <c r="BK38" s="3837" t="str">
        <f>IF(AND(BS38&lt;&gt;"",AB39="Ａ",$X$11="2端子"),BS38,"")</f>
        <v/>
      </c>
      <c r="BL38" s="3837"/>
      <c r="BM38" s="3837">
        <f>IF(OR(P23="不要",C38="  RF",C38="",$X$11="2端子"),"",IF(BO38&lt;&gt;"",BO38,IF(AND(AB39="Ａ",$X$11="1端子"),DK35,DK33)))</f>
        <v>12</v>
      </c>
      <c r="BN38" s="3837"/>
      <c r="BO38" s="3915"/>
      <c r="BP38" s="3915"/>
      <c r="BQ38" s="3837" t="str">
        <f>IF(OR(P23="不要",C38="  RF",C38="",$X$11="1端子"),"",IF(BS38&lt;&gt;"",BS38,IF(AND(AB39="Ａ",$X$11="2端子"),DK35,DK33)))</f>
        <v/>
      </c>
      <c r="BR38" s="3837"/>
      <c r="BS38" s="3915"/>
      <c r="BT38" s="3918"/>
      <c r="BU38" s="19"/>
      <c r="BV38" s="8"/>
      <c r="BW38" s="88">
        <f>IF(I38="直天",F38,I38)</f>
        <v>3</v>
      </c>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38"/>
      <c r="DA38" s="15"/>
      <c r="DB38" s="15"/>
      <c r="DC38" s="180" t="s">
        <v>1144</v>
      </c>
      <c r="DD38" s="2589" t="str">
        <f>IF($AL$10="nC-FB","S-7C-FB",IF($AL$10="nD-FB","8D-FB","7C-2V"))</f>
        <v>S-7C-FB</v>
      </c>
      <c r="DE38" s="2591"/>
      <c r="DF38" s="3631">
        <f>IF(OR(C38="",C38="  RF"),0,IF(AB39="Ｃ",2.5*AG38+(DB36+DC36),F38+2))</f>
        <v>7</v>
      </c>
      <c r="DG38" s="3812"/>
      <c r="DH38" s="2589" t="str">
        <f>IF(OR(H39="天井ケーブル",H39="天井-PF管"),"PF-S-22mm",IF(H39="天井-CD管","CD-22mm",IF(H39="天井-C 管","C-25mm",IF(H39="天井-G 管","G-22mm",""))))</f>
        <v>PF-S-22mm</v>
      </c>
      <c r="DI38" s="2591"/>
      <c r="DJ38" s="3631">
        <f>IF(OR(C38="",C38="  RF"),0,IF(AB39="Ｃ",F38-($AM$8-$AM$7)/1000,F38))</f>
        <v>5</v>
      </c>
      <c r="DK38" s="3812"/>
      <c r="DL38" s="778"/>
      <c r="DM38" s="112"/>
      <c r="DN38" s="190" t="s">
        <v>1143</v>
      </c>
      <c r="DO38" s="98">
        <f>IF(OR(C38="",C38="  RF"),0,(DB36+DC36)/2/SQRT(DK35))</f>
        <v>8.2272413359521668</v>
      </c>
      <c r="DP38" s="15"/>
      <c r="DQ38" s="15"/>
      <c r="DR38" s="15"/>
      <c r="DS38" s="8"/>
      <c r="DT38" s="113" t="s">
        <v>1051</v>
      </c>
      <c r="DU38" s="8"/>
      <c r="DV38" s="113"/>
      <c r="DW38" s="113" t="s">
        <v>1046</v>
      </c>
      <c r="DX38" s="8"/>
      <c r="DY38" s="8"/>
      <c r="DZ38" s="113" t="s">
        <v>1046</v>
      </c>
      <c r="EA38" s="113"/>
      <c r="EB38" s="776" t="str">
        <f>IF(OR($B$2=0,AA38=""),"","増幅器 "&amp;AA36&amp;AA37)</f>
        <v/>
      </c>
      <c r="EC38" s="15"/>
      <c r="ED38" s="122" t="str">
        <f>IF(BI38="","","直列Unit-中間2端子")</f>
        <v/>
      </c>
      <c r="EE38" s="15" t="str">
        <f>BI38</f>
        <v/>
      </c>
      <c r="EF38" s="15"/>
      <c r="EG38" s="15"/>
      <c r="EH38" s="197">
        <f t="shared" si="5"/>
        <v>4</v>
      </c>
      <c r="EI38" s="773" t="str">
        <f t="shared" si="6"/>
        <v/>
      </c>
      <c r="EJ38" s="203" t="str">
        <f>AS40</f>
        <v>S-5C-FB</v>
      </c>
      <c r="EK38" s="9"/>
      <c r="EL38" s="9" t="str">
        <f>IF(COUNTIF($EJ$18:EJ37,EJ38)&gt;0,"",EJ38)</f>
        <v/>
      </c>
      <c r="EM38" s="9"/>
      <c r="EN38" s="14">
        <f>BB40</f>
        <v>390.41539584281793</v>
      </c>
      <c r="EO38" s="771">
        <f t="shared" si="13"/>
        <v>0</v>
      </c>
      <c r="EP38" s="8"/>
      <c r="EQ38" s="15"/>
      <c r="ER38" s="197">
        <f t="shared" si="7"/>
        <v>2</v>
      </c>
      <c r="ES38" s="773" t="str">
        <f t="shared" si="8"/>
        <v/>
      </c>
      <c r="ET38" s="203" t="str">
        <f t="shared" si="14"/>
        <v/>
      </c>
      <c r="EU38" s="9"/>
      <c r="EV38" s="11" t="str">
        <f>IF(COUNTIF($ET$18:ET37,ET38)&gt;0,"",ET38)</f>
        <v/>
      </c>
      <c r="EW38" s="9"/>
      <c r="EX38" s="124" t="str">
        <f>AA38</f>
        <v/>
      </c>
      <c r="EY38" s="771">
        <f t="shared" si="15"/>
        <v>0</v>
      </c>
      <c r="EZ38" s="8"/>
      <c r="FA38" s="15"/>
      <c r="FB38" s="197">
        <f t="shared" si="0"/>
        <v>9</v>
      </c>
      <c r="FC38" s="773" t="str">
        <f t="shared" si="1"/>
        <v/>
      </c>
      <c r="FD38" s="772" t="str">
        <f t="shared" si="16"/>
        <v/>
      </c>
      <c r="FE38" s="9"/>
      <c r="FF38" s="11" t="str">
        <f>IF(COUNTIF($FD$15:FD37,FD38)&gt;0,"",FD38)</f>
        <v/>
      </c>
      <c r="FG38" s="9"/>
      <c r="FH38" s="124" t="str">
        <f>BI38</f>
        <v/>
      </c>
      <c r="FI38" s="771">
        <f t="shared" si="17"/>
        <v>0</v>
      </c>
    </row>
    <row r="39" spans="1:165" ht="12" customHeight="1">
      <c r="A39" s="8"/>
      <c r="B39" s="23"/>
      <c r="C39" s="2634" t="s">
        <v>135</v>
      </c>
      <c r="D39" s="2634"/>
      <c r="E39" s="2634"/>
      <c r="F39" s="2634"/>
      <c r="G39" s="2634"/>
      <c r="H39" s="3904" t="str">
        <f>IF($B$2=0,"",IF(P39="","天井ケーブル",P39))</f>
        <v>天井ケーブル</v>
      </c>
      <c r="I39" s="3904"/>
      <c r="J39" s="3904"/>
      <c r="K39" s="3904"/>
      <c r="L39" s="3904"/>
      <c r="M39" s="3904"/>
      <c r="N39" s="3904"/>
      <c r="O39" s="173" t="s">
        <v>68</v>
      </c>
      <c r="P39" s="3796"/>
      <c r="Q39" s="3797"/>
      <c r="R39" s="3797"/>
      <c r="S39" s="3797"/>
      <c r="T39" s="3797"/>
      <c r="U39" s="3797"/>
      <c r="V39" s="3798"/>
      <c r="W39" s="2634" t="s">
        <v>1082</v>
      </c>
      <c r="X39" s="2634"/>
      <c r="Y39" s="2634"/>
      <c r="Z39" s="2634"/>
      <c r="AA39" s="2634"/>
      <c r="AB39" s="3799" t="str">
        <f>IF(P23="不要","",IF(AF39&lt;&gt;"",AF39,DB33))</f>
        <v>Ａ</v>
      </c>
      <c r="AC39" s="3799"/>
      <c r="AD39" s="3799"/>
      <c r="AE39" s="173" t="s">
        <v>68</v>
      </c>
      <c r="AF39" s="3800"/>
      <c r="AG39" s="3801"/>
      <c r="AH39" s="3802"/>
      <c r="AI39" s="2634" t="s">
        <v>20</v>
      </c>
      <c r="AJ39" s="2634"/>
      <c r="AK39" s="2634"/>
      <c r="AL39" s="2634"/>
      <c r="AM39" s="2634"/>
      <c r="AN39" s="3522">
        <f>IF(OR(C38="",C38="  RF"),"",非誘!J23)</f>
        <v>0.72727272727272729</v>
      </c>
      <c r="AO39" s="3523"/>
      <c r="AP39" s="3523"/>
      <c r="AQ39" s="3524"/>
      <c r="AR39" s="3507" t="s">
        <v>1081</v>
      </c>
      <c r="AS39" s="3461"/>
      <c r="AT39" s="3461"/>
      <c r="AU39" s="3461"/>
      <c r="AV39" s="3461"/>
      <c r="AW39" s="3461"/>
      <c r="AX39" s="3461"/>
      <c r="AY39" s="3461"/>
      <c r="AZ39" s="3563" t="str">
        <f>IF(OR(C38="",C38="  RF"),"",IF(BC39="",$AN$11,BC39))</f>
        <v>⑦</v>
      </c>
      <c r="BA39" s="3563"/>
      <c r="BB39" s="777" t="s">
        <v>68</v>
      </c>
      <c r="BC39" s="3521"/>
      <c r="BD39" s="3521"/>
      <c r="BE39" s="3564"/>
      <c r="BF39" s="3565"/>
      <c r="BG39" s="3565"/>
      <c r="BH39" s="3565"/>
      <c r="BI39" s="3565"/>
      <c r="BJ39" s="3565"/>
      <c r="BK39" s="3565"/>
      <c r="BL39" s="3565"/>
      <c r="BM39" s="3565"/>
      <c r="BN39" s="3565"/>
      <c r="BO39" s="3565"/>
      <c r="BP39" s="3565"/>
      <c r="BQ39" s="3565"/>
      <c r="BR39" s="3565"/>
      <c r="BS39" s="3565"/>
      <c r="BT39" s="3566"/>
      <c r="BU39" s="19"/>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38"/>
      <c r="DA39" s="15"/>
      <c r="DB39" s="8"/>
      <c r="DC39" s="180" t="s">
        <v>1080</v>
      </c>
      <c r="DD39" s="2589" t="str">
        <f>IF($AL$10="nC-FB","S-5C-FB",IF($AL$10="nD-FB","5D-FB","5C-2V"))</f>
        <v>S-5C-FB</v>
      </c>
      <c r="DE39" s="2591"/>
      <c r="DF39" s="3631">
        <f>IF(AB39="Ａ",(DK35+2*BW38-($X$7+$X$9)/1000)*DO38+(12+2*BW38-2*$X$9/1000)*DK35+DO39,IF(AB39="Ｂ",(DO38+2*BW38-$X$9/1000)*DK33+DO39,0))</f>
        <v>390.41539584281793</v>
      </c>
      <c r="DG39" s="3812"/>
      <c r="DH39" s="2589" t="str">
        <f>IF(OR(H39="天井ケーブル",H39="天井-PF管"),"PF-S-16mm",IF(H39="天井-CD管","CD-16mm",IF(H39="天井-C 管","C-19mm",IF(H39="天井-G 管","G-16mm",""))))</f>
        <v>PF-S-16mm</v>
      </c>
      <c r="DI39" s="2591"/>
      <c r="DJ39" s="3631">
        <f>IF(OR(C38="",C38="  RF"),0,IF(H39="天井ケーブル",DK33*(BW38-($X$9-$AM$9)/1000),(DO38+2*BW38-$X$9/1000)*DK33+DO39))</f>
        <v>69.3</v>
      </c>
      <c r="DK39" s="3812"/>
      <c r="DL39" s="15"/>
      <c r="DM39" s="46"/>
      <c r="DN39" s="46" t="s">
        <v>1079</v>
      </c>
      <c r="DO39" s="98">
        <f>DB37</f>
        <v>43.5</v>
      </c>
      <c r="DP39" s="15"/>
      <c r="DQ39" s="15"/>
      <c r="DR39" s="15"/>
      <c r="DS39" s="128" t="s">
        <v>1078</v>
      </c>
      <c r="DT39" s="86">
        <f>IF(AB39&lt;&gt;"Ｃ",0,IF(DZ39=0,0,DZ39))</f>
        <v>0</v>
      </c>
      <c r="DU39" s="8"/>
      <c r="DV39" s="8"/>
      <c r="DW39" s="86">
        <f>IF(AB39&lt;&gt;"Ｃ",0,IF(DZ39=0,0,1))</f>
        <v>0</v>
      </c>
      <c r="DX39" s="8"/>
      <c r="DY39" s="8"/>
      <c r="DZ39" s="86">
        <f>IF(AB39&lt;&gt;"Ｃ",0,IF(AND(DB32&gt;120,DB32&lt;=144),4,IF(AND(DB32&gt;144,DB32&lt;=180),5,0)))</f>
        <v>0</v>
      </c>
      <c r="EA39" s="38"/>
      <c r="EB39" s="776" t="str">
        <f>IF(OR($B$2=0,AD38=""),"","増幅器 "&amp;AD36&amp;AD37)</f>
        <v>増幅器 35/110</v>
      </c>
      <c r="EC39" s="38"/>
      <c r="ED39" s="122" t="str">
        <f>IF(BM38="","","直列Unit-終端1端子")</f>
        <v>直列Unit-終端1端子</v>
      </c>
      <c r="EE39" s="38">
        <f>BM38</f>
        <v>12</v>
      </c>
      <c r="EF39" s="38"/>
      <c r="EG39" s="38"/>
      <c r="EH39" s="197">
        <f t="shared" si="5"/>
        <v>4</v>
      </c>
      <c r="EI39" s="773" t="str">
        <f t="shared" si="6"/>
        <v/>
      </c>
      <c r="EJ39" s="203" t="str">
        <f>AS41</f>
        <v/>
      </c>
      <c r="EK39" s="9"/>
      <c r="EL39" s="9" t="str">
        <f>IF(COUNTIF($EJ$18:EJ38,EJ39)&gt;0,"",EJ39)</f>
        <v/>
      </c>
      <c r="EM39" s="9"/>
      <c r="EN39" s="14" t="str">
        <f>BB41</f>
        <v/>
      </c>
      <c r="EO39" s="771">
        <f t="shared" si="13"/>
        <v>0</v>
      </c>
      <c r="EP39" s="8"/>
      <c r="EQ39" s="38"/>
      <c r="ER39" s="197">
        <f t="shared" si="7"/>
        <v>2</v>
      </c>
      <c r="ES39" s="773" t="str">
        <f t="shared" si="8"/>
        <v/>
      </c>
      <c r="ET39" s="203" t="str">
        <f t="shared" si="14"/>
        <v>増幅器 35/110</v>
      </c>
      <c r="EU39" s="9"/>
      <c r="EV39" s="11" t="str">
        <f>IF(COUNTIF($ET$18:ET38,ET39)&gt;0,"",ET39)</f>
        <v/>
      </c>
      <c r="EW39" s="9"/>
      <c r="EX39" s="124">
        <f>AD38</f>
        <v>1</v>
      </c>
      <c r="EY39" s="771">
        <f t="shared" si="15"/>
        <v>0</v>
      </c>
      <c r="EZ39" s="8"/>
      <c r="FA39" s="38"/>
      <c r="FB39" s="197">
        <f t="shared" si="0"/>
        <v>9</v>
      </c>
      <c r="FC39" s="773" t="str">
        <f t="shared" si="1"/>
        <v/>
      </c>
      <c r="FD39" s="772" t="str">
        <f t="shared" si="16"/>
        <v>直列Unit-終端1端子</v>
      </c>
      <c r="FE39" s="9"/>
      <c r="FF39" s="11" t="str">
        <f>IF(COUNTIF($FD$15:FD38,FD39)&gt;0,"",FD39)</f>
        <v/>
      </c>
      <c r="FG39" s="9"/>
      <c r="FH39" s="124">
        <f>BM38</f>
        <v>12</v>
      </c>
      <c r="FI39" s="771">
        <f t="shared" si="17"/>
        <v>0</v>
      </c>
    </row>
    <row r="40" spans="1:165" ht="12" customHeight="1">
      <c r="A40" s="8"/>
      <c r="B40" s="23"/>
      <c r="C40" s="3905" t="s">
        <v>449</v>
      </c>
      <c r="D40" s="3905"/>
      <c r="E40" s="3905"/>
      <c r="F40" s="3904" t="str">
        <f>IF($H$15="ＣＡＴＶ","CATV引込","アンテナ部")</f>
        <v>アンテナ部</v>
      </c>
      <c r="G40" s="3904"/>
      <c r="H40" s="3904"/>
      <c r="I40" s="3904"/>
      <c r="J40" s="3904"/>
      <c r="K40" s="3908" t="str">
        <f>IF(OR(P23="不要",$B$2=0,C38&lt;&gt;$X$10),"",IF(P40&lt;&gt;"",P40,DD37))</f>
        <v/>
      </c>
      <c r="L40" s="3908"/>
      <c r="M40" s="3908"/>
      <c r="N40" s="3908"/>
      <c r="O40" s="173" t="s">
        <v>68</v>
      </c>
      <c r="P40" s="3517"/>
      <c r="Q40" s="3517"/>
      <c r="R40" s="3517"/>
      <c r="S40" s="3517"/>
      <c r="T40" s="3526" t="str">
        <f>IF(AND(C38&lt;&gt;"",K40&lt;&gt;""),DF37,"")</f>
        <v/>
      </c>
      <c r="U40" s="3526"/>
      <c r="V40" s="3526"/>
      <c r="W40" s="3526"/>
      <c r="X40" s="3908" t="str">
        <f>IF(OR($B$2=0,K40=""),"",IF(AD40&lt;&gt;"",AD40,DH37))</f>
        <v/>
      </c>
      <c r="Y40" s="3908"/>
      <c r="Z40" s="3908"/>
      <c r="AA40" s="3908"/>
      <c r="AB40" s="3908"/>
      <c r="AC40" s="173" t="s">
        <v>68</v>
      </c>
      <c r="AD40" s="3525"/>
      <c r="AE40" s="3525"/>
      <c r="AF40" s="3525"/>
      <c r="AG40" s="3525"/>
      <c r="AH40" s="3525"/>
      <c r="AI40" s="3526" t="str">
        <f>IF(X40="","",IF(DJ37="","",DJ37))</f>
        <v/>
      </c>
      <c r="AJ40" s="3526"/>
      <c r="AK40" s="3526"/>
      <c r="AL40" s="3526"/>
      <c r="AM40" s="3904" t="s">
        <v>1077</v>
      </c>
      <c r="AN40" s="3904"/>
      <c r="AO40" s="3904"/>
      <c r="AP40" s="3904"/>
      <c r="AQ40" s="3904"/>
      <c r="AR40" s="3904"/>
      <c r="AS40" s="3908" t="str">
        <f>IF(OR(P23="不要",$B$2=0,C38="",C38="  RF",AB39="Ｃ"),"",IF(AX40&lt;&gt;"",AX40,DD39))</f>
        <v>S-5C-FB</v>
      </c>
      <c r="AT40" s="3908"/>
      <c r="AU40" s="3908"/>
      <c r="AV40" s="3908"/>
      <c r="AW40" s="173" t="s">
        <v>68</v>
      </c>
      <c r="AX40" s="3517"/>
      <c r="AY40" s="3517"/>
      <c r="AZ40" s="3517"/>
      <c r="BA40" s="3517"/>
      <c r="BB40" s="3537">
        <f>IF(AS40&lt;&gt;"",DF39,"")</f>
        <v>390.41539584281793</v>
      </c>
      <c r="BC40" s="3537"/>
      <c r="BD40" s="3537"/>
      <c r="BE40" s="3537"/>
      <c r="BF40" s="3908" t="str">
        <f>IF(OR(C38="",AS40=""),"",IF(AB39="Ａ",DH38,DH39))</f>
        <v>PF-S-22mm</v>
      </c>
      <c r="BG40" s="3908"/>
      <c r="BH40" s="3908"/>
      <c r="BI40" s="3908"/>
      <c r="BJ40" s="3908"/>
      <c r="BK40" s="173" t="s">
        <v>68</v>
      </c>
      <c r="BL40" s="3525"/>
      <c r="BM40" s="3525"/>
      <c r="BN40" s="3525"/>
      <c r="BO40" s="3525"/>
      <c r="BP40" s="3525"/>
      <c r="BQ40" s="3526">
        <f>IF(BF40="","",DJ39)</f>
        <v>69.3</v>
      </c>
      <c r="BR40" s="3526"/>
      <c r="BS40" s="3526"/>
      <c r="BT40" s="3527"/>
      <c r="BU40" s="19"/>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774" t="s">
        <v>1076</v>
      </c>
      <c r="DD40" s="2589" t="str">
        <f>DD39</f>
        <v>S-5C-FB</v>
      </c>
      <c r="DE40" s="2591"/>
      <c r="DF40" s="3631">
        <f>IF(OR(C38="",C38="  RF",I38="直天"),0,1+INT(12+BW38-($X$9-$AM$9)/1000)*DK33+DO40)</f>
        <v>439</v>
      </c>
      <c r="DG40" s="3812"/>
      <c r="DH40" s="2589" t="str">
        <f>DH39</f>
        <v>PF-S-16mm</v>
      </c>
      <c r="DI40" s="2591"/>
      <c r="DJ40" s="3631">
        <f>IF(OR(C38="",C38="  RF"),0,IF(H39="天井ケーブル",DK33*(BW38-($X$9-2*$AM$9)/1000),1+INT(12+BW38-$X$9/1000)*DK33))</f>
        <v>75.900000000000006</v>
      </c>
      <c r="DK40" s="3812"/>
      <c r="DL40" s="15"/>
      <c r="DM40" s="15"/>
      <c r="DN40" s="46" t="s">
        <v>1075</v>
      </c>
      <c r="DO40" s="97">
        <f>IF(C38="",0,IF($AW$8=0,0,2*($AW$8/1000-0.15-0.1)*(INT(1000*DB36/$AW$10)+1)*(INT(1000*DC36/$AW$10)+1)*4))</f>
        <v>108</v>
      </c>
      <c r="DP40" s="15"/>
      <c r="DQ40" s="15"/>
      <c r="DR40" s="15"/>
      <c r="DS40" s="8"/>
      <c r="DT40" s="8"/>
      <c r="DU40" s="8"/>
      <c r="DV40" s="8"/>
      <c r="DW40" s="8"/>
      <c r="DX40" s="8"/>
      <c r="DY40" s="8"/>
      <c r="DZ40" s="8"/>
      <c r="EA40" s="8"/>
      <c r="EB40" s="769" t="str">
        <f>IF(OR($B$2=0,AG38=""),"","分岐器 1C")</f>
        <v/>
      </c>
      <c r="EC40" s="8"/>
      <c r="ED40" s="122" t="str">
        <f>IF(BQ38="","","直列Unit-終端2端子")</f>
        <v/>
      </c>
      <c r="EE40" s="8" t="str">
        <f>BQ38</f>
        <v/>
      </c>
      <c r="EF40" s="8"/>
      <c r="EG40" s="8"/>
      <c r="EH40" s="197">
        <f t="shared" si="5"/>
        <v>4</v>
      </c>
      <c r="EI40" s="773" t="str">
        <f t="shared" si="6"/>
        <v/>
      </c>
      <c r="EJ40" s="203" t="str">
        <f>BF40</f>
        <v>PF-S-22mm</v>
      </c>
      <c r="EK40" s="9"/>
      <c r="EL40" s="9" t="str">
        <f>IF(COUNTIF($EJ$18:EJ39,EJ40)&gt;0,"",EJ40)</f>
        <v/>
      </c>
      <c r="EM40" s="9"/>
      <c r="EN40" s="14">
        <f>BQ40</f>
        <v>69.3</v>
      </c>
      <c r="EO40" s="771">
        <f t="shared" si="13"/>
        <v>0</v>
      </c>
      <c r="EP40" s="8"/>
      <c r="EQ40" s="8"/>
      <c r="ER40" s="197">
        <f t="shared" si="7"/>
        <v>2</v>
      </c>
      <c r="ES40" s="773" t="str">
        <f t="shared" si="8"/>
        <v/>
      </c>
      <c r="ET40" s="203" t="str">
        <f t="shared" si="14"/>
        <v/>
      </c>
      <c r="EU40" s="9"/>
      <c r="EV40" s="11" t="str">
        <f>IF(COUNTIF($ET$18:ET39,ET40)&gt;0,"",ET40)</f>
        <v/>
      </c>
      <c r="EW40" s="9"/>
      <c r="EX40" s="124" t="str">
        <f>AG38</f>
        <v/>
      </c>
      <c r="EY40" s="771">
        <f t="shared" si="15"/>
        <v>0</v>
      </c>
      <c r="EZ40" s="8"/>
      <c r="FA40" s="8"/>
      <c r="FB40" s="197">
        <f t="shared" si="0"/>
        <v>9</v>
      </c>
      <c r="FC40" s="773" t="str">
        <f t="shared" si="1"/>
        <v/>
      </c>
      <c r="FD40" s="772" t="str">
        <f t="shared" si="16"/>
        <v/>
      </c>
      <c r="FE40" s="9"/>
      <c r="FF40" s="11" t="str">
        <f>IF(COUNTIF($FD$15:FD39,FD40)&gt;0,"",FD40)</f>
        <v/>
      </c>
      <c r="FG40" s="9"/>
      <c r="FH40" s="124" t="str">
        <f>BQ38</f>
        <v/>
      </c>
      <c r="FI40" s="771">
        <f t="shared" si="17"/>
        <v>0</v>
      </c>
    </row>
    <row r="41" spans="1:165" ht="12" customHeight="1" thickBot="1">
      <c r="A41" s="8"/>
      <c r="B41" s="23"/>
      <c r="C41" s="3922"/>
      <c r="D41" s="3922"/>
      <c r="E41" s="3922"/>
      <c r="F41" s="3920" t="s">
        <v>1074</v>
      </c>
      <c r="G41" s="3920"/>
      <c r="H41" s="3920"/>
      <c r="I41" s="3920"/>
      <c r="J41" s="3920"/>
      <c r="K41" s="3506" t="str">
        <f>IF(OR(C38="",C38="  RF",$B$2=0),"",IF(P41&lt;&gt;"",P41,DD38))</f>
        <v>S-7C-FB</v>
      </c>
      <c r="L41" s="3506"/>
      <c r="M41" s="3506"/>
      <c r="N41" s="3506"/>
      <c r="O41" s="800" t="s">
        <v>68</v>
      </c>
      <c r="P41" s="3536"/>
      <c r="Q41" s="3536"/>
      <c r="R41" s="3536"/>
      <c r="S41" s="3536"/>
      <c r="T41" s="3538">
        <f>IF(R35="不",F38,IF(K41="","",DF38))</f>
        <v>7</v>
      </c>
      <c r="U41" s="3538"/>
      <c r="V41" s="3538"/>
      <c r="W41" s="3538"/>
      <c r="X41" s="3506" t="str">
        <f>IF(R35="不","",IF(OR(C38="",K41=""),"",IF(AD41&lt;&gt;"",AD41,IF(DH38="","",DH38))))</f>
        <v>PF-S-22mm</v>
      </c>
      <c r="Y41" s="3506"/>
      <c r="Z41" s="3506"/>
      <c r="AA41" s="3506"/>
      <c r="AB41" s="3506"/>
      <c r="AC41" s="800" t="s">
        <v>68</v>
      </c>
      <c r="AD41" s="3533"/>
      <c r="AE41" s="3533"/>
      <c r="AF41" s="3533"/>
      <c r="AG41" s="3533"/>
      <c r="AH41" s="3533"/>
      <c r="AI41" s="3538">
        <f>IF(X41="","",DJ38)</f>
        <v>5</v>
      </c>
      <c r="AJ41" s="3538"/>
      <c r="AK41" s="3538"/>
      <c r="AL41" s="3538"/>
      <c r="AM41" s="3920" t="s">
        <v>1073</v>
      </c>
      <c r="AN41" s="3920"/>
      <c r="AO41" s="3920"/>
      <c r="AP41" s="3920"/>
      <c r="AQ41" s="3920"/>
      <c r="AR41" s="3920"/>
      <c r="AS41" s="3506" t="str">
        <f>IF(OR(P23="不要",$B$2=0,C38="",AB39&lt;&gt;"Ｃ"),"",IF(AX41&lt;&gt;"",AX41,DD40))</f>
        <v/>
      </c>
      <c r="AT41" s="3506"/>
      <c r="AU41" s="3506"/>
      <c r="AV41" s="3506"/>
      <c r="AW41" s="800" t="s">
        <v>68</v>
      </c>
      <c r="AX41" s="3536"/>
      <c r="AY41" s="3536"/>
      <c r="AZ41" s="3536"/>
      <c r="BA41" s="3536"/>
      <c r="BB41" s="3921" t="str">
        <f>IF(AS41="","",DF40)</f>
        <v/>
      </c>
      <c r="BC41" s="3921"/>
      <c r="BD41" s="3921"/>
      <c r="BE41" s="3921"/>
      <c r="BF41" s="3506" t="str">
        <f>IF(OR(C38="",AS41=""),"",IF(BL41&lt;&gt;"",BL41,DH40))</f>
        <v/>
      </c>
      <c r="BG41" s="3506"/>
      <c r="BH41" s="3506"/>
      <c r="BI41" s="3506"/>
      <c r="BJ41" s="3506"/>
      <c r="BK41" s="800" t="s">
        <v>68</v>
      </c>
      <c r="BL41" s="3533"/>
      <c r="BM41" s="3533"/>
      <c r="BN41" s="3533"/>
      <c r="BO41" s="3533"/>
      <c r="BP41" s="3533"/>
      <c r="BQ41" s="3538" t="str">
        <f>IF(BF41="","",DJ40)</f>
        <v/>
      </c>
      <c r="BR41" s="3538"/>
      <c r="BS41" s="3538"/>
      <c r="BT41" s="3539"/>
      <c r="BU41" s="19"/>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8">
        <f>IF(AND(AB48="Ａ",$X$11="2端子"),BI47+BQ47,IF(AND(AB48="Ａ",$X$11="1端子"),BE47+BM47,IF(AND(AB48="Ｂ",$X$11="1端子"),BM47,IF(AND(AB48="Ｂ",$X$11="2端子"),BQ47,IF(AND(AB48="Ｃ",$X$11="1端子"),BM47,BQ47)))))</f>
        <v>38</v>
      </c>
      <c r="DC41" s="10"/>
      <c r="DD41" s="8"/>
      <c r="DE41" s="8"/>
      <c r="DF41" s="8"/>
      <c r="DG41" s="8"/>
      <c r="DH41" s="8"/>
      <c r="DI41" s="8"/>
      <c r="DJ41" s="8"/>
      <c r="DK41" s="8"/>
      <c r="DL41" s="8"/>
      <c r="DM41" s="8"/>
      <c r="DN41" s="8"/>
      <c r="DO41" s="8"/>
      <c r="DP41" s="15"/>
      <c r="DQ41" s="15"/>
      <c r="DR41" s="15"/>
      <c r="DS41" s="8"/>
      <c r="DT41" s="8"/>
      <c r="DU41" s="8"/>
      <c r="DV41" s="8"/>
      <c r="DW41" s="8"/>
      <c r="DX41" s="8"/>
      <c r="DY41" s="8"/>
      <c r="DZ41" s="8"/>
      <c r="EA41" s="8"/>
      <c r="EB41" s="769" t="str">
        <f>IF(OR($B$2=0,AK38=""),"","分岐器 2C")</f>
        <v>分岐器 2C</v>
      </c>
      <c r="EC41" s="8"/>
      <c r="ED41" s="10"/>
      <c r="EE41" s="8"/>
      <c r="EF41" s="8"/>
      <c r="EG41" s="8"/>
      <c r="EH41" s="197">
        <f t="shared" si="5"/>
        <v>4</v>
      </c>
      <c r="EI41" s="773" t="str">
        <f t="shared" si="6"/>
        <v/>
      </c>
      <c r="EJ41" s="203" t="str">
        <f>BF41</f>
        <v/>
      </c>
      <c r="EK41" s="9"/>
      <c r="EL41" s="9" t="str">
        <f>IF(COUNTIF($EJ$18:EJ40,EJ41)&gt;0,"",EJ41)</f>
        <v/>
      </c>
      <c r="EM41" s="9"/>
      <c r="EN41" s="14" t="str">
        <f>BQ41</f>
        <v/>
      </c>
      <c r="EO41" s="771">
        <f t="shared" si="13"/>
        <v>0</v>
      </c>
      <c r="EP41" s="8"/>
      <c r="EQ41" s="8"/>
      <c r="ER41" s="197">
        <f t="shared" si="7"/>
        <v>3</v>
      </c>
      <c r="ES41" s="773">
        <f t="shared" si="8"/>
        <v>3</v>
      </c>
      <c r="ET41" s="203" t="str">
        <f t="shared" si="14"/>
        <v>分岐器 2C</v>
      </c>
      <c r="EU41" s="9"/>
      <c r="EV41" s="11" t="str">
        <f>IF(COUNTIF($ET$18:ET40,ET41)&gt;0,"",ET41)</f>
        <v>分岐器 2C</v>
      </c>
      <c r="EW41" s="9"/>
      <c r="EX41" s="124">
        <f>AK38</f>
        <v>1</v>
      </c>
      <c r="EY41" s="771">
        <f t="shared" si="15"/>
        <v>12</v>
      </c>
      <c r="EZ41" s="8"/>
      <c r="FA41" s="8"/>
      <c r="FB41" s="197">
        <f t="shared" si="0"/>
        <v>9</v>
      </c>
      <c r="FC41" s="773" t="str">
        <f t="shared" si="1"/>
        <v/>
      </c>
      <c r="FD41" s="772"/>
      <c r="FE41" s="9"/>
      <c r="FF41" s="11"/>
      <c r="FG41" s="9"/>
      <c r="FH41" s="124"/>
      <c r="FI41" s="771"/>
    </row>
    <row r="42" spans="1:165" ht="12" customHeight="1" thickBot="1">
      <c r="B42" s="23"/>
      <c r="C42" s="20"/>
      <c r="D42" s="20"/>
      <c r="E42" s="20"/>
      <c r="F42" s="20"/>
      <c r="G42" s="20"/>
      <c r="H42" s="20"/>
      <c r="I42" s="20"/>
      <c r="J42" s="20"/>
      <c r="K42" s="20"/>
      <c r="L42" s="20"/>
      <c r="M42" s="20"/>
      <c r="N42" s="20"/>
      <c r="O42" s="20"/>
      <c r="P42" s="20"/>
      <c r="Q42" s="787" t="str">
        <f>IF(AND(OR(AB48="Ａ",F236="Ａ"),DB41&gt;24),"直列ユニット数………配線方式Ａ：24以下!!",IF(AND(OR(AB48="Ｂ",F236="Ｂ"),DB41&gt;12),"直列ユニット数………配線方式Ｂ：12以下!!",IF(AND(OR(AB48="Ｃ",F236="Ｃ"),DB41&gt;180),"直列ユニット数………配線方式Ｃ：180以下!!","")))</f>
        <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19"/>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v>3</v>
      </c>
      <c r="DB42" s="92" t="str">
        <f>IF(OR(M40="不要",C47="",C47="  RF"),"",IF(DK42&lt;=12,"Ｂ",IF(DK42&lt;=24,"Ａ","Ｃ")))</f>
        <v>Ｃ</v>
      </c>
      <c r="DC42" s="10"/>
      <c r="DD42" s="8"/>
      <c r="DE42" s="8"/>
      <c r="DF42" s="8"/>
      <c r="DG42" s="8"/>
      <c r="DH42" s="8"/>
      <c r="DI42" s="8"/>
      <c r="DJ42" s="8"/>
      <c r="DK42" s="159">
        <f>IF(OR(C47="",C47="  RF"),0,SUM(Q47:V47))</f>
        <v>38</v>
      </c>
      <c r="DL42" s="8"/>
      <c r="DM42" s="8"/>
      <c r="DN42" s="8"/>
      <c r="DO42" s="8"/>
      <c r="DP42" s="8"/>
      <c r="DQ42" s="8"/>
      <c r="DR42" s="8"/>
      <c r="DS42" s="8"/>
      <c r="DT42" s="8"/>
      <c r="DU42" s="8"/>
      <c r="DV42" s="8"/>
      <c r="DW42" s="8"/>
      <c r="DX42" s="8"/>
      <c r="DY42" s="8"/>
      <c r="DZ42" s="8"/>
      <c r="EA42" s="8"/>
      <c r="EB42" s="8"/>
      <c r="EC42" s="8"/>
      <c r="ED42" s="8"/>
      <c r="EE42" s="8"/>
      <c r="EF42" s="8"/>
      <c r="EG42" s="88">
        <v>3</v>
      </c>
      <c r="EH42" s="204">
        <f t="shared" si="5"/>
        <v>4</v>
      </c>
      <c r="EI42" s="768" t="str">
        <f t="shared" si="6"/>
        <v/>
      </c>
      <c r="EJ42" s="45"/>
      <c r="EK42" s="45"/>
      <c r="EL42" s="45"/>
      <c r="EM42" s="45"/>
      <c r="EN42" s="45"/>
      <c r="EO42" s="785"/>
      <c r="EP42" s="8"/>
      <c r="EQ42" s="88">
        <v>3</v>
      </c>
      <c r="ER42" s="204">
        <f t="shared" si="7"/>
        <v>3</v>
      </c>
      <c r="ES42" s="768" t="str">
        <f t="shared" si="8"/>
        <v/>
      </c>
      <c r="ET42" s="45"/>
      <c r="EU42" s="45"/>
      <c r="EV42" s="154"/>
      <c r="EW42" s="45"/>
      <c r="EX42" s="45"/>
      <c r="EY42" s="785"/>
      <c r="EZ42" s="8"/>
      <c r="FA42" s="88">
        <v>3</v>
      </c>
      <c r="FB42" s="204">
        <f t="shared" si="0"/>
        <v>9</v>
      </c>
      <c r="FC42" s="768" t="str">
        <f t="shared" si="1"/>
        <v/>
      </c>
      <c r="FD42" s="786"/>
      <c r="FE42" s="45"/>
      <c r="FF42" s="154"/>
      <c r="FG42" s="45"/>
      <c r="FH42" s="208"/>
      <c r="FI42" s="785"/>
    </row>
    <row r="43" spans="1:165" ht="12" customHeight="1" thickBot="1">
      <c r="B43" s="23"/>
      <c r="C43" s="3399" t="s">
        <v>1142</v>
      </c>
      <c r="D43" s="3412"/>
      <c r="E43" s="3412"/>
      <c r="F43" s="3412"/>
      <c r="G43" s="3412"/>
      <c r="H43" s="3412"/>
      <c r="I43" s="3412"/>
      <c r="J43" s="3412"/>
      <c r="K43" s="3412"/>
      <c r="L43" s="3413"/>
      <c r="M43" s="3853" t="str">
        <f>非誘!J28</f>
        <v>( 4 )</v>
      </c>
      <c r="N43" s="3854"/>
      <c r="O43" s="3854"/>
      <c r="P43" s="3854"/>
      <c r="Q43" s="3855"/>
      <c r="R43" s="3399" t="str">
        <f>IF($B$2=0,"","共聴機器")</f>
        <v>共聴機器</v>
      </c>
      <c r="S43" s="3412"/>
      <c r="T43" s="3412"/>
      <c r="U43" s="3412"/>
      <c r="V43" s="3413"/>
      <c r="W43" s="3412" t="s">
        <v>1141</v>
      </c>
      <c r="X43" s="3412"/>
      <c r="Y43" s="3412"/>
      <c r="Z43" s="3413"/>
      <c r="AA43" s="2637" t="s">
        <v>1140</v>
      </c>
      <c r="AB43" s="2638"/>
      <c r="AC43" s="2638"/>
      <c r="AD43" s="2638"/>
      <c r="AE43" s="2638"/>
      <c r="AF43" s="2639"/>
      <c r="AG43" s="3879" t="s">
        <v>1139</v>
      </c>
      <c r="AH43" s="3879"/>
      <c r="AI43" s="3879"/>
      <c r="AJ43" s="3879"/>
      <c r="AK43" s="3879"/>
      <c r="AL43" s="3879"/>
      <c r="AM43" s="3879"/>
      <c r="AN43" s="3879"/>
      <c r="AO43" s="3879"/>
      <c r="AP43" s="3879"/>
      <c r="AQ43" s="3879"/>
      <c r="AR43" s="3879"/>
      <c r="AS43" s="2637" t="s">
        <v>1138</v>
      </c>
      <c r="AT43" s="2638"/>
      <c r="AU43" s="2638"/>
      <c r="AV43" s="2638"/>
      <c r="AW43" s="2638"/>
      <c r="AX43" s="2638"/>
      <c r="AY43" s="2638"/>
      <c r="AZ43" s="2638"/>
      <c r="BA43" s="2638"/>
      <c r="BB43" s="2638"/>
      <c r="BC43" s="2638"/>
      <c r="BD43" s="2639"/>
      <c r="BE43" s="2637" t="s">
        <v>1137</v>
      </c>
      <c r="BF43" s="2638"/>
      <c r="BG43" s="2638"/>
      <c r="BH43" s="2638"/>
      <c r="BI43" s="2638"/>
      <c r="BJ43" s="2638"/>
      <c r="BK43" s="2638"/>
      <c r="BL43" s="2638"/>
      <c r="BM43" s="2638"/>
      <c r="BN43" s="2638"/>
      <c r="BO43" s="2638"/>
      <c r="BP43" s="2638"/>
      <c r="BQ43" s="2638"/>
      <c r="BR43" s="2638"/>
      <c r="BS43" s="2638"/>
      <c r="BT43" s="2639"/>
      <c r="BU43" s="19"/>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15"/>
      <c r="DA43" s="788"/>
      <c r="DB43" s="97">
        <f>IF(C47="","",DB34+1)</f>
        <v>3</v>
      </c>
      <c r="DC43" s="15" t="str">
        <f>IF($X$10=C47,"＝",IF(VLOOKUP(C47,[2]!階高,3,FALSE)-VLOOKUP($X$10,[2]!階高,3,FALSE)&gt;0,"＋","－"))</f>
        <v>－</v>
      </c>
      <c r="DD43" s="38"/>
      <c r="DE43" s="113" t="s">
        <v>1084</v>
      </c>
      <c r="DF43" s="113" t="s">
        <v>1210</v>
      </c>
      <c r="DG43" s="113" t="s">
        <v>1209</v>
      </c>
      <c r="DH43" s="113" t="s">
        <v>1208</v>
      </c>
      <c r="DI43" s="113" t="s">
        <v>1104</v>
      </c>
      <c r="DJ43" s="113" t="s">
        <v>1083</v>
      </c>
      <c r="DK43" s="90" t="s">
        <v>1211</v>
      </c>
      <c r="DL43" s="38"/>
      <c r="DM43" s="113" t="s">
        <v>1084</v>
      </c>
      <c r="DN43" s="113" t="s">
        <v>1210</v>
      </c>
      <c r="DO43" s="113" t="s">
        <v>1209</v>
      </c>
      <c r="DP43" s="113" t="s">
        <v>1208</v>
      </c>
      <c r="DQ43" s="113" t="s">
        <v>1104</v>
      </c>
      <c r="DR43" s="113" t="s">
        <v>1083</v>
      </c>
      <c r="DS43" s="38"/>
      <c r="DT43" s="113" t="s">
        <v>1084</v>
      </c>
      <c r="DU43" s="113" t="s">
        <v>1208</v>
      </c>
      <c r="DV43" s="113" t="s">
        <v>1104</v>
      </c>
      <c r="DW43" s="113" t="s">
        <v>1083</v>
      </c>
      <c r="DX43" s="113" t="s">
        <v>1208</v>
      </c>
      <c r="DY43" s="113" t="s">
        <v>1208</v>
      </c>
      <c r="DZ43" s="113" t="s">
        <v>1208</v>
      </c>
      <c r="EA43" s="113"/>
      <c r="EB43" s="776" t="str">
        <f>IF(OR($B$2=0,W47=""),"","混合器 U-U")</f>
        <v/>
      </c>
      <c r="EC43" s="15"/>
      <c r="ED43" s="782" t="str">
        <f>IF(AS47="","","分配器 2D")</f>
        <v>分配器 2D</v>
      </c>
      <c r="EE43" s="15">
        <f>AS47</f>
        <v>5</v>
      </c>
      <c r="EF43" s="15"/>
      <c r="EG43" s="8"/>
      <c r="EH43" s="197">
        <f t="shared" si="5"/>
        <v>4</v>
      </c>
      <c r="EI43" s="773" t="str">
        <f t="shared" si="6"/>
        <v/>
      </c>
      <c r="EJ43" s="203" t="str">
        <f>K49</f>
        <v/>
      </c>
      <c r="EK43" s="9"/>
      <c r="EL43" s="9" t="str">
        <f>IF(COUNTIF($EJ$18:EJ42,EJ43)&gt;0,"",EJ43)</f>
        <v/>
      </c>
      <c r="EM43" s="9"/>
      <c r="EN43" s="14" t="str">
        <f>T49</f>
        <v/>
      </c>
      <c r="EO43" s="771">
        <f t="shared" ref="EO43:EO50" si="18">SUMIF($EJ$25:$EJ$225,EL43,$EN$25:$EN$225)</f>
        <v>0</v>
      </c>
      <c r="EP43" s="8"/>
      <c r="EQ43" s="8"/>
      <c r="ER43" s="197">
        <f t="shared" si="7"/>
        <v>3</v>
      </c>
      <c r="ES43" s="773" t="str">
        <f t="shared" si="8"/>
        <v/>
      </c>
      <c r="ET43" s="203" t="str">
        <f t="shared" ref="ET43:ET50" si="19">EB43</f>
        <v/>
      </c>
      <c r="EU43" s="9"/>
      <c r="EV43" s="11" t="str">
        <f>IF(COUNTIF($ET$18:ET42,ET43)&gt;0,"",ET43)</f>
        <v/>
      </c>
      <c r="EW43" s="9"/>
      <c r="EX43" s="124" t="str">
        <f>W47</f>
        <v/>
      </c>
      <c r="EY43" s="771">
        <f t="shared" ref="EY43:EY50" si="20">SUMIF($ET$25:$ET$225,EV43,$EX$25:$EX$225)</f>
        <v>0</v>
      </c>
      <c r="EZ43" s="8"/>
      <c r="FA43" s="8"/>
      <c r="FB43" s="197">
        <f t="shared" si="0"/>
        <v>10</v>
      </c>
      <c r="FC43" s="773">
        <f t="shared" si="1"/>
        <v>10</v>
      </c>
      <c r="FD43" s="772" t="str">
        <f t="shared" ref="FD43:FD49" si="21">ED43</f>
        <v>分配器 2D</v>
      </c>
      <c r="FE43" s="9"/>
      <c r="FF43" s="11" t="str">
        <f>IF(COUNTIF($FD$15:FD42,FD43)&gt;0,"",FD43)</f>
        <v>分配器 2D</v>
      </c>
      <c r="FG43" s="9"/>
      <c r="FH43" s="124">
        <f>AS47</f>
        <v>5</v>
      </c>
      <c r="FI43" s="771">
        <f t="shared" ref="FI43:FI49" si="22">SUMIF($FD$18:$FD$205,FF43,$FH$18:$FH$205)</f>
        <v>15</v>
      </c>
    </row>
    <row r="44" spans="1:165" ht="12" customHeight="1" thickBot="1">
      <c r="B44" s="23"/>
      <c r="C44" s="3857" t="str">
        <f>"　"&amp;非誘!M28</f>
        <v>　百貨店等</v>
      </c>
      <c r="D44" s="3858"/>
      <c r="E44" s="3858"/>
      <c r="F44" s="3858"/>
      <c r="G44" s="3858"/>
      <c r="H44" s="3858"/>
      <c r="I44" s="3858"/>
      <c r="J44" s="3858"/>
      <c r="K44" s="3858"/>
      <c r="L44" s="3858"/>
      <c r="M44" s="3858"/>
      <c r="N44" s="3858"/>
      <c r="O44" s="3858"/>
      <c r="P44" s="3858"/>
      <c r="Q44" s="3859"/>
      <c r="R44" s="2337" t="str">
        <f>IF(U44&lt;&gt;"",U44,IF(C47="","","設"))</f>
        <v>設</v>
      </c>
      <c r="S44" s="2337"/>
      <c r="T44" s="175" t="s">
        <v>34</v>
      </c>
      <c r="U44" s="2338"/>
      <c r="V44" s="2338"/>
      <c r="W44" s="3860" t="s">
        <v>1217</v>
      </c>
      <c r="X44" s="3863" t="s">
        <v>1216</v>
      </c>
      <c r="Y44" s="3863" t="s">
        <v>1215</v>
      </c>
      <c r="Z44" s="3866"/>
      <c r="AA44" s="3528" t="s">
        <v>1214</v>
      </c>
      <c r="AB44" s="3519"/>
      <c r="AC44" s="3519"/>
      <c r="AD44" s="3519"/>
      <c r="AE44" s="3519"/>
      <c r="AF44" s="3520"/>
      <c r="AG44" s="3528" t="s">
        <v>1084</v>
      </c>
      <c r="AH44" s="3519"/>
      <c r="AI44" s="3519"/>
      <c r="AJ44" s="3529"/>
      <c r="AK44" s="3518" t="s">
        <v>1210</v>
      </c>
      <c r="AL44" s="3519"/>
      <c r="AM44" s="3519"/>
      <c r="AN44" s="3529"/>
      <c r="AO44" s="3518" t="s">
        <v>1209</v>
      </c>
      <c r="AP44" s="3519"/>
      <c r="AQ44" s="3519"/>
      <c r="AR44" s="3520"/>
      <c r="AS44" s="3528" t="s">
        <v>1208</v>
      </c>
      <c r="AT44" s="3519"/>
      <c r="AU44" s="3519"/>
      <c r="AV44" s="3529"/>
      <c r="AW44" s="3518" t="s">
        <v>1104</v>
      </c>
      <c r="AX44" s="3519"/>
      <c r="AY44" s="3519"/>
      <c r="AZ44" s="3529"/>
      <c r="BA44" s="3518" t="s">
        <v>1083</v>
      </c>
      <c r="BB44" s="3519"/>
      <c r="BC44" s="3519"/>
      <c r="BD44" s="3520"/>
      <c r="BE44" s="3528" t="s">
        <v>1123</v>
      </c>
      <c r="BF44" s="3519"/>
      <c r="BG44" s="3519"/>
      <c r="BH44" s="3519"/>
      <c r="BI44" s="3519"/>
      <c r="BJ44" s="3519"/>
      <c r="BK44" s="3519"/>
      <c r="BL44" s="3529"/>
      <c r="BM44" s="3518" t="s">
        <v>1122</v>
      </c>
      <c r="BN44" s="3519"/>
      <c r="BO44" s="3519"/>
      <c r="BP44" s="3519"/>
      <c r="BQ44" s="3519"/>
      <c r="BR44" s="3519"/>
      <c r="BS44" s="3519"/>
      <c r="BT44" s="3520"/>
      <c r="BU44" s="19"/>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15"/>
      <c r="DA44" s="15">
        <f>IF(AG46&lt;&gt;"",2,IF(AK46&lt;&gt;"",3,0))</f>
        <v>2</v>
      </c>
      <c r="DB44" s="86" t="s">
        <v>79</v>
      </c>
      <c r="DC44" s="86" t="s">
        <v>77</v>
      </c>
      <c r="DD44" s="128" t="s">
        <v>1121</v>
      </c>
      <c r="DE44" s="86">
        <f>IF(AB48&lt;&gt;"Ａ",0,IF(AND(2*DK44&gt;=4,2*DK44&lt;=12),1,0))</f>
        <v>0</v>
      </c>
      <c r="DF44" s="86">
        <f>IF(AB48&lt;&gt;"Ａ",0,IF(AND(2*DK44&gt;=16,DK44&lt;=24),1,0))</f>
        <v>0</v>
      </c>
      <c r="DG44" s="97" t="s">
        <v>96</v>
      </c>
      <c r="DH44" s="86">
        <f>IF(AB48&lt;&gt;"Ａ",0,IF(2*DK44&lt;=4,1,0))</f>
        <v>0</v>
      </c>
      <c r="DI44" s="86">
        <f>IF(AB48&lt;&gt;"Ａ",0,IF(OR(AND(2*DK44&gt;4,2*DK44&lt;=8),AND(2*DK44&gt;12,2*DK44&lt;=16)),1,0))</f>
        <v>0</v>
      </c>
      <c r="DJ44" s="183">
        <f>IF(AB48&lt;&gt;"Ａ",0,IF(OR(AND(2*DK44&gt;8,2*DK44&lt;=12),AND(2*DK44&gt;16,2*DK44&lt;=24)),1,0))</f>
        <v>0</v>
      </c>
      <c r="DK44" s="783">
        <f>IF(OR(C47="",C47="  RF"),0,IF(Q47="",INT((T47)/2),INT((Q47+INT(T47))/2)+1))</f>
        <v>20</v>
      </c>
      <c r="DL44" s="128" t="s">
        <v>1119</v>
      </c>
      <c r="DM44" s="86">
        <f>IF(AB48&lt;&gt;"Ｂ",0,IF(DB41&lt;=6,1,0))</f>
        <v>0</v>
      </c>
      <c r="DN44" s="86">
        <f>IF(AB48&lt;&gt;"Ｂ",0,IF(AND(DB41&gt;6,DB41&lt;=12),1,0))</f>
        <v>0</v>
      </c>
      <c r="DO44" s="97" t="s">
        <v>96</v>
      </c>
      <c r="DP44" s="86">
        <f>IF(AB48&lt;&gt;"Ｂ",0,IF(DB41&lt;=2,1,0))</f>
        <v>0</v>
      </c>
      <c r="DQ44" s="86">
        <f>IF(AB48&lt;&gt;"Ｂ",0,IF(OR(AND(DB41&gt;2,DB41&lt;6),AND(DB41&gt;6,DB41&lt;=8)),1,0))</f>
        <v>0</v>
      </c>
      <c r="DR44" s="86">
        <f>IF(AB48&lt;&gt;"Ｂ",0,IF(OR(AND(DB41&gt;4,DB41&lt;6),AND(DB41&gt;8,DB41&lt;=12)),1,0))</f>
        <v>0</v>
      </c>
      <c r="DS44" s="128" t="s">
        <v>1118</v>
      </c>
      <c r="DT44" s="159">
        <f>IF(AB48&lt;&gt;"Ｃ",0,IF(DX44&lt;&gt;0,DX44,IF(DY44&lt;&gt;0,DY44,IF(DZ44&lt;&gt;0,DZ44,0))))</f>
        <v>5</v>
      </c>
      <c r="DU44" s="159">
        <f>IF(AB48&lt;&gt;"Ｃ",0,IF(DX44=0,0,1))</f>
        <v>0</v>
      </c>
      <c r="DV44" s="159">
        <f>IF(AB48&lt;&gt;"Ｃ",0,IF(DY44=0,0,1))</f>
        <v>1</v>
      </c>
      <c r="DW44" s="783">
        <f>IF(AB48&lt;&gt;"Ｃ",0,IF(DZ44=0,0,1))</f>
        <v>0</v>
      </c>
      <c r="DX44" s="714">
        <f>IF(AB48&lt;&gt;"Ｃ",0,IF(DB41&lt;=12,3,IF(AND(DB41&gt;12,DB41&lt;=16),4,IF(AND(DB41&gt;16,DB41&lt;=20),5,0))))</f>
        <v>0</v>
      </c>
      <c r="DY44" s="86">
        <f>IF(AB48&lt;&gt;"Ｃ",0,IF(AND(DB41&gt;20,DB41&lt;=24),3,IF(AND(DB41&gt;24,DB41&lt;=32),4,IF(AND(DB41&gt;32,DB41&lt;=40),5,0))))</f>
        <v>5</v>
      </c>
      <c r="DZ44" s="97">
        <f>IF(AB48&lt;&gt;"Ｃ",0,IF(AND(DB41&gt;40,DB41&lt;=48),4,IF(AND(DB41&gt;48,DB41&lt;=60),5,0)))</f>
        <v>0</v>
      </c>
      <c r="EA44" s="96"/>
      <c r="EB44" s="776" t="str">
        <f>IF(OR($B$2=0,X47=""),"","混合器 BS-CS")</f>
        <v/>
      </c>
      <c r="EC44" s="96"/>
      <c r="ED44" s="782" t="str">
        <f>IF(AW47="","","分配器 4D")</f>
        <v>分配器 4D</v>
      </c>
      <c r="EE44" s="96">
        <f>AW47</f>
        <v>1</v>
      </c>
      <c r="EF44" s="96"/>
      <c r="EG44" s="96"/>
      <c r="EH44" s="197">
        <f t="shared" si="5"/>
        <v>4</v>
      </c>
      <c r="EI44" s="773" t="str">
        <f t="shared" si="6"/>
        <v/>
      </c>
      <c r="EJ44" s="203" t="str">
        <f>K50</f>
        <v>S-7C-FB</v>
      </c>
      <c r="EK44" s="9"/>
      <c r="EL44" s="9" t="str">
        <f>IF(COUNTIF($EJ$18:EJ43,EJ44)&gt;0,"",EJ44)</f>
        <v/>
      </c>
      <c r="EM44" s="9"/>
      <c r="EN44" s="14">
        <f>T50</f>
        <v>74.3</v>
      </c>
      <c r="EO44" s="771">
        <f t="shared" si="18"/>
        <v>0</v>
      </c>
      <c r="EP44" s="8"/>
      <c r="EQ44" s="96"/>
      <c r="ER44" s="197">
        <f t="shared" si="7"/>
        <v>3</v>
      </c>
      <c r="ES44" s="773" t="str">
        <f t="shared" si="8"/>
        <v/>
      </c>
      <c r="ET44" s="203" t="str">
        <f t="shared" si="19"/>
        <v/>
      </c>
      <c r="EU44" s="9"/>
      <c r="EV44" s="11" t="str">
        <f>IF(COUNTIF($ET$18:ET43,ET44)&gt;0,"",ET44)</f>
        <v/>
      </c>
      <c r="EW44" s="9"/>
      <c r="EX44" s="124" t="str">
        <f>X47</f>
        <v/>
      </c>
      <c r="EY44" s="771">
        <f t="shared" si="20"/>
        <v>0</v>
      </c>
      <c r="EZ44" s="8"/>
      <c r="FA44" s="96"/>
      <c r="FB44" s="197">
        <f t="shared" si="0"/>
        <v>10</v>
      </c>
      <c r="FC44" s="773" t="str">
        <f t="shared" si="1"/>
        <v/>
      </c>
      <c r="FD44" s="772" t="str">
        <f t="shared" si="21"/>
        <v>分配器 4D</v>
      </c>
      <c r="FE44" s="9"/>
      <c r="FF44" s="11" t="str">
        <f>IF(COUNTIF($FD$15:FD43,FD44)&gt;0,"",FD44)</f>
        <v/>
      </c>
      <c r="FG44" s="9"/>
      <c r="FH44" s="124">
        <f>AW47</f>
        <v>1</v>
      </c>
      <c r="FI44" s="771">
        <f t="shared" si="22"/>
        <v>0</v>
      </c>
    </row>
    <row r="45" spans="1:165" ht="12" customHeight="1" thickBot="1">
      <c r="B45" s="23"/>
      <c r="C45" s="3819" t="s">
        <v>16</v>
      </c>
      <c r="D45" s="3820"/>
      <c r="E45" s="3821"/>
      <c r="F45" s="3869" t="s">
        <v>22</v>
      </c>
      <c r="G45" s="3870"/>
      <c r="H45" s="3871"/>
      <c r="I45" s="3869" t="s">
        <v>5</v>
      </c>
      <c r="J45" s="3870"/>
      <c r="K45" s="3870"/>
      <c r="L45" s="3871"/>
      <c r="M45" s="3819" t="s">
        <v>1117</v>
      </c>
      <c r="N45" s="3820"/>
      <c r="O45" s="3820"/>
      <c r="P45" s="3821"/>
      <c r="Q45" s="3819" t="s">
        <v>1116</v>
      </c>
      <c r="R45" s="3820"/>
      <c r="S45" s="3821"/>
      <c r="T45" s="3819" t="s">
        <v>1116</v>
      </c>
      <c r="U45" s="3820"/>
      <c r="V45" s="3821"/>
      <c r="W45" s="3861"/>
      <c r="X45" s="3864"/>
      <c r="Y45" s="3864"/>
      <c r="Z45" s="3867"/>
      <c r="AA45" s="3872" t="str">
        <f>IF($AG$15&lt;=65,"40/","35/")</f>
        <v>40/</v>
      </c>
      <c r="AB45" s="3873"/>
      <c r="AC45" s="3873"/>
      <c r="AD45" s="3873" t="str">
        <f>IF(CW237&gt;55,"40/","35/")</f>
        <v>35/</v>
      </c>
      <c r="AE45" s="3873"/>
      <c r="AF45" s="3875"/>
      <c r="AG45" s="3876" t="s">
        <v>1114</v>
      </c>
      <c r="AH45" s="3877"/>
      <c r="AI45" s="3877"/>
      <c r="AJ45" s="3877"/>
      <c r="AK45" s="3877"/>
      <c r="AL45" s="3877"/>
      <c r="AM45" s="3877"/>
      <c r="AN45" s="3877"/>
      <c r="AO45" s="3877"/>
      <c r="AP45" s="3877"/>
      <c r="AQ45" s="3877"/>
      <c r="AR45" s="3878"/>
      <c r="AS45" s="3549" t="s">
        <v>1113</v>
      </c>
      <c r="AT45" s="3550"/>
      <c r="AU45" s="3550"/>
      <c r="AV45" s="3550"/>
      <c r="AW45" s="3550"/>
      <c r="AX45" s="3550"/>
      <c r="AY45" s="3550"/>
      <c r="AZ45" s="3550"/>
      <c r="BA45" s="3550"/>
      <c r="BB45" s="3550"/>
      <c r="BC45" s="3550"/>
      <c r="BD45" s="3551"/>
      <c r="BE45" s="3552" t="s">
        <v>1112</v>
      </c>
      <c r="BF45" s="3553"/>
      <c r="BG45" s="3553"/>
      <c r="BH45" s="3553"/>
      <c r="BI45" s="3553" t="s">
        <v>1111</v>
      </c>
      <c r="BJ45" s="3553"/>
      <c r="BK45" s="3553"/>
      <c r="BL45" s="3553"/>
      <c r="BM45" s="3553" t="s">
        <v>1112</v>
      </c>
      <c r="BN45" s="3553"/>
      <c r="BO45" s="3553"/>
      <c r="BP45" s="3553"/>
      <c r="BQ45" s="3553" t="s">
        <v>1111</v>
      </c>
      <c r="BR45" s="3553"/>
      <c r="BS45" s="3553"/>
      <c r="BT45" s="3919"/>
      <c r="BU45" s="19"/>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15"/>
      <c r="DA45" s="67">
        <f>IF(DC43="＋",F47+F38+3,F47+F56+3)</f>
        <v>12</v>
      </c>
      <c r="DB45" s="98">
        <f>IF(C47="  RF","",IF(AN48="","",非誘!BW30))</f>
        <v>30</v>
      </c>
      <c r="DC45" s="98">
        <f>IF(DB45="","",IF(AN48="","",非誘!BX30))</f>
        <v>31.8</v>
      </c>
      <c r="DD45" s="3822" t="s">
        <v>1110</v>
      </c>
      <c r="DE45" s="3823"/>
      <c r="DF45" s="3824" t="s">
        <v>1108</v>
      </c>
      <c r="DG45" s="3824"/>
      <c r="DH45" s="3824" t="s">
        <v>1109</v>
      </c>
      <c r="DI45" s="3824"/>
      <c r="DJ45" s="3823" t="s">
        <v>1108</v>
      </c>
      <c r="DK45" s="3823"/>
      <c r="DL45" s="8"/>
      <c r="DM45" s="113" t="s">
        <v>1107</v>
      </c>
      <c r="DN45" s="113" t="s">
        <v>1106</v>
      </c>
      <c r="DO45" s="113" t="s">
        <v>1105</v>
      </c>
      <c r="DP45" s="8"/>
      <c r="DQ45" s="8"/>
      <c r="DR45" s="8"/>
      <c r="DS45" s="8"/>
      <c r="DT45" s="113" t="s">
        <v>1084</v>
      </c>
      <c r="DU45" s="8"/>
      <c r="DV45" s="113" t="s">
        <v>1104</v>
      </c>
      <c r="DW45" s="113" t="s">
        <v>1083</v>
      </c>
      <c r="DX45" s="8"/>
      <c r="DY45" s="113" t="s">
        <v>1104</v>
      </c>
      <c r="DZ45" s="113" t="s">
        <v>1104</v>
      </c>
      <c r="EA45" s="113"/>
      <c r="EB45" s="776" t="str">
        <f>IF(OR($B$2=0,Y47=""),"","混合器 UV-BC")</f>
        <v/>
      </c>
      <c r="EC45" s="15"/>
      <c r="ED45" s="782" t="str">
        <f>IF(BA47="","","分配器 6D")</f>
        <v/>
      </c>
      <c r="EE45" s="15" t="str">
        <f>BA47</f>
        <v/>
      </c>
      <c r="EF45" s="15"/>
      <c r="EG45" s="15"/>
      <c r="EH45" s="197">
        <f t="shared" si="5"/>
        <v>4</v>
      </c>
      <c r="EI45" s="773" t="str">
        <f t="shared" si="6"/>
        <v/>
      </c>
      <c r="EJ45" s="203" t="str">
        <f>X49</f>
        <v/>
      </c>
      <c r="EK45" s="9"/>
      <c r="EL45" s="9" t="str">
        <f>IF(COUNTIF($EJ$18:EJ44,EJ45)&gt;0,"",EJ45)</f>
        <v/>
      </c>
      <c r="EM45" s="9"/>
      <c r="EN45" s="14" t="str">
        <f>AI49</f>
        <v/>
      </c>
      <c r="EO45" s="771">
        <f t="shared" si="18"/>
        <v>0</v>
      </c>
      <c r="EP45" s="8"/>
      <c r="EQ45" s="15"/>
      <c r="ER45" s="197">
        <f t="shared" si="7"/>
        <v>3</v>
      </c>
      <c r="ES45" s="773" t="str">
        <f t="shared" si="8"/>
        <v/>
      </c>
      <c r="ET45" s="203" t="str">
        <f t="shared" si="19"/>
        <v/>
      </c>
      <c r="EU45" s="9"/>
      <c r="EV45" s="11" t="str">
        <f>IF(COUNTIF($ET$18:ET44,ET45)&gt;0,"",ET45)</f>
        <v/>
      </c>
      <c r="EW45" s="9"/>
      <c r="EX45" s="124" t="str">
        <f>Y47</f>
        <v/>
      </c>
      <c r="EY45" s="771">
        <f t="shared" si="20"/>
        <v>0</v>
      </c>
      <c r="EZ45" s="8"/>
      <c r="FA45" s="15"/>
      <c r="FB45" s="197">
        <f t="shared" si="0"/>
        <v>10</v>
      </c>
      <c r="FC45" s="773" t="str">
        <f t="shared" si="1"/>
        <v/>
      </c>
      <c r="FD45" s="772" t="str">
        <f t="shared" si="21"/>
        <v/>
      </c>
      <c r="FE45" s="9"/>
      <c r="FF45" s="11" t="str">
        <f>IF(COUNTIF($FD$15:FD44,FD45)&gt;0,"",FD45)</f>
        <v/>
      </c>
      <c r="FG45" s="9"/>
      <c r="FH45" s="124" t="str">
        <f>BA47</f>
        <v/>
      </c>
      <c r="FI45" s="771">
        <f t="shared" si="22"/>
        <v>0</v>
      </c>
    </row>
    <row r="46" spans="1:165" ht="12" customHeight="1" thickBot="1">
      <c r="B46" s="23"/>
      <c r="C46" s="3819"/>
      <c r="D46" s="3820"/>
      <c r="E46" s="3821"/>
      <c r="F46" s="3827" t="s">
        <v>113</v>
      </c>
      <c r="G46" s="3769"/>
      <c r="H46" s="3828"/>
      <c r="I46" s="3819" t="s">
        <v>113</v>
      </c>
      <c r="J46" s="3820"/>
      <c r="K46" s="3820"/>
      <c r="L46" s="3821"/>
      <c r="M46" s="3819" t="s">
        <v>1103</v>
      </c>
      <c r="N46" s="3820"/>
      <c r="O46" s="3820"/>
      <c r="P46" s="3821"/>
      <c r="Q46" s="3819" t="s">
        <v>1102</v>
      </c>
      <c r="R46" s="3820"/>
      <c r="S46" s="3821"/>
      <c r="T46" s="3819" t="s">
        <v>115</v>
      </c>
      <c r="U46" s="3820"/>
      <c r="V46" s="3821"/>
      <c r="W46" s="3862"/>
      <c r="X46" s="3865"/>
      <c r="Y46" s="3865"/>
      <c r="Z46" s="3868"/>
      <c r="AA46" s="3829">
        <f>IF($AG$15&lt;=65,115,110)</f>
        <v>115</v>
      </c>
      <c r="AB46" s="3562"/>
      <c r="AC46" s="3562"/>
      <c r="AD46" s="3562">
        <f>IF(CW237&gt;55,115,110)</f>
        <v>110</v>
      </c>
      <c r="AE46" s="3562"/>
      <c r="AF46" s="3830"/>
      <c r="AG46" s="3831" t="s">
        <v>1101</v>
      </c>
      <c r="AH46" s="3832"/>
      <c r="AI46" s="3832"/>
      <c r="AJ46" s="3833"/>
      <c r="AK46" s="3834" t="s">
        <v>1100</v>
      </c>
      <c r="AL46" s="3832"/>
      <c r="AM46" s="3832"/>
      <c r="AN46" s="3833"/>
      <c r="AO46" s="3834" t="s">
        <v>1098</v>
      </c>
      <c r="AP46" s="3832"/>
      <c r="AQ46" s="3832"/>
      <c r="AR46" s="3835"/>
      <c r="AS46" s="3836" t="s">
        <v>1097</v>
      </c>
      <c r="AT46" s="3832"/>
      <c r="AU46" s="3832"/>
      <c r="AV46" s="3833"/>
      <c r="AW46" s="3844" t="s">
        <v>1095</v>
      </c>
      <c r="AX46" s="3845"/>
      <c r="AY46" s="3845"/>
      <c r="AZ46" s="3846"/>
      <c r="BA46" s="3558" t="s">
        <v>1169</v>
      </c>
      <c r="BB46" s="3559"/>
      <c r="BC46" s="3559"/>
      <c r="BD46" s="3560"/>
      <c r="BE46" s="3561" t="s">
        <v>1168</v>
      </c>
      <c r="BF46" s="3562"/>
      <c r="BG46" s="3562"/>
      <c r="BH46" s="3562"/>
      <c r="BI46" s="3850" t="s">
        <v>1167</v>
      </c>
      <c r="BJ46" s="3562"/>
      <c r="BK46" s="3562"/>
      <c r="BL46" s="3562"/>
      <c r="BM46" s="3850" t="s">
        <v>1166</v>
      </c>
      <c r="BN46" s="3562"/>
      <c r="BO46" s="3562"/>
      <c r="BP46" s="3562"/>
      <c r="BQ46" s="3850" t="s">
        <v>1165</v>
      </c>
      <c r="BR46" s="3562"/>
      <c r="BS46" s="3562"/>
      <c r="BT46" s="3830"/>
      <c r="BU46" s="19"/>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90"/>
      <c r="DA46" s="15"/>
      <c r="DB46" s="98">
        <f>IF(C47="","",IF(AZ48="①",DB45+DC45+3,IF(AZ48="②",DB45*5/8+DC45+3,IF(AZ48="③",DB45/2+DC45+3,IF(AZ48="④",DB45+DC45*5/8+3,IF(AZ48="⑤",(DB45+DC45)*5/8+3,IF(AZ48="⑥",DB45/2+DC45*5/8+3,IF(AZ48="⑦",DB45+DC45/2+3,IF(AZ48="⑧",DB45*5/8+DC45/2+3,IF(AZ48="⑨",(DB45+DC45)/2+3))))))))))</f>
        <v>48.9</v>
      </c>
      <c r="DC46" s="180" t="s">
        <v>1164</v>
      </c>
      <c r="DD46" s="2589" t="str">
        <f>IF($AL$10="nC-FB","S-5C-FB",IF($AL$10="nD-FB","5D-FB","5C-2V"))</f>
        <v>S-5C-FB</v>
      </c>
      <c r="DE46" s="2591"/>
      <c r="DF46" s="3631">
        <f>IF(C47="  RF",DF37,IF($H$15="ＣＡＴＶ",DB45+DC45/2+F47-($AM$8-$AM$7)/1000+DR46,SUM(DM46:DO46)))</f>
        <v>61.5</v>
      </c>
      <c r="DG46" s="3812"/>
      <c r="DH46" s="2589" t="str">
        <f>IF($H$17="ＣＡＴＶ","G-22mm",IF(RIGHT($AB$17,1)+RIGHT($AF$17,1)+RIGHT($AJ$17,1)&gt;=4,"G-36mm","G-28mm"))</f>
        <v>G-28mm</v>
      </c>
      <c r="DI46" s="2591"/>
      <c r="DJ46" s="3631">
        <f>IF(C47="",0,IF(C47="  RF",DJ37,IF($H$15="ＣＡＴＶ",DB45+DC45/2+F47-($AM$8-$AM$7)/1000,10+F47-($AM$8-$AM$7)/1000)))</f>
        <v>15.5</v>
      </c>
      <c r="DK46" s="3812"/>
      <c r="DL46" s="15"/>
      <c r="DM46" s="98">
        <f>IF(OR($B$2=0,$H$15="ＣＡＴＶ",C47="",C47="  RF"),0,IF($AB$17="","",RIGHT($AB$17,1)*15+F47-($AM$8-$AM$7)/1000))</f>
        <v>20.5</v>
      </c>
      <c r="DN46" s="98">
        <f>IF(OR($B$2=0,$H$15="ＣＡＴＶ",C47="",C47="  RF"),0,IF($AF$17="","",15+F47-($AM$8-$AM$7)/1000))</f>
        <v>20.5</v>
      </c>
      <c r="DO46" s="98">
        <f>IF(OR($B$2=0,$H$15="ＣＡＴＶ",C47="",C47="  RF"),0,IF($AJ$17="","",15+F47-($AM$8-$AM$7)/1000))</f>
        <v>20.5</v>
      </c>
      <c r="DP46" s="15"/>
      <c r="DQ46" s="46" t="s">
        <v>1087</v>
      </c>
      <c r="DR46" s="98" t="str">
        <f>IF($H$17="ＣＡＴＶ",#REF!+#REF!,"")</f>
        <v/>
      </c>
      <c r="DS46" s="128" t="s">
        <v>1118</v>
      </c>
      <c r="DT46" s="159">
        <f>IF(AB48&lt;&gt;"Ｃ",0,IF(DY46&lt;&gt;0,DY46,IF(DZ46&lt;&gt;0,DZ46,0)))</f>
        <v>0</v>
      </c>
      <c r="DU46" s="8"/>
      <c r="DV46" s="86">
        <f>IF(AB48&lt;&gt;"Ｃ",0,IF(DY46=0,0,1))</f>
        <v>0</v>
      </c>
      <c r="DW46" s="86">
        <f>IF(AB48&lt;&gt;"Ｃ",0,IF(DZ46=0,0,1))</f>
        <v>0</v>
      </c>
      <c r="DX46" s="8"/>
      <c r="DY46" s="86">
        <f>IF(AB48&lt;&gt;"Ｃ",0,IF(AND(DB41&gt;60,DB41&lt;=64),4,IF(AND(DB41&gt;64,DB41&lt;=80),5,0)))</f>
        <v>0</v>
      </c>
      <c r="DZ46" s="86">
        <f>IF(AB48&lt;&gt;"Ｃ",0,IF(AND(DB41&gt;80,DB41&lt;=96),4,IF(AND(DB41&gt;96,DB41&lt;=120),5,0)))</f>
        <v>0</v>
      </c>
      <c r="EA46" s="38"/>
      <c r="EB46" s="776" t="str">
        <f>IF(OR($B$2=0,Z47=""),"","混合器 UV-BC")</f>
        <v/>
      </c>
      <c r="EC46" s="12"/>
      <c r="ED46" s="122" t="str">
        <f>IF(BE47="","","直列Unit-中間1端子")</f>
        <v/>
      </c>
      <c r="EE46" s="38" t="str">
        <f>BE47</f>
        <v/>
      </c>
      <c r="EF46" s="38"/>
      <c r="EG46" s="38"/>
      <c r="EH46" s="197">
        <f t="shared" si="5"/>
        <v>4</v>
      </c>
      <c r="EI46" s="773" t="str">
        <f t="shared" si="6"/>
        <v/>
      </c>
      <c r="EJ46" s="203" t="str">
        <f>X50</f>
        <v>PF-S-22mm</v>
      </c>
      <c r="EK46" s="9"/>
      <c r="EL46" s="9" t="str">
        <f>IF(COUNTIF($EJ$18:EJ45,EJ46)&gt;0,"",EJ46)</f>
        <v/>
      </c>
      <c r="EM46" s="9"/>
      <c r="EN46" s="14">
        <f>AI50</f>
        <v>5.5</v>
      </c>
      <c r="EO46" s="771">
        <f t="shared" si="18"/>
        <v>0</v>
      </c>
      <c r="EP46" s="8"/>
      <c r="EQ46" s="38"/>
      <c r="ER46" s="197">
        <f t="shared" si="7"/>
        <v>3</v>
      </c>
      <c r="ES46" s="773" t="str">
        <f t="shared" si="8"/>
        <v/>
      </c>
      <c r="ET46" s="203" t="str">
        <f t="shared" si="19"/>
        <v/>
      </c>
      <c r="EU46" s="9"/>
      <c r="EV46" s="11" t="str">
        <f>IF(COUNTIF($ET$18:ET45,ET46)&gt;0,"",ET46)</f>
        <v/>
      </c>
      <c r="EW46" s="9"/>
      <c r="EX46" s="124">
        <f>Z47</f>
        <v>0</v>
      </c>
      <c r="EY46" s="771">
        <f t="shared" si="20"/>
        <v>0</v>
      </c>
      <c r="EZ46" s="8"/>
      <c r="FA46" s="38"/>
      <c r="FB46" s="197">
        <f t="shared" si="0"/>
        <v>10</v>
      </c>
      <c r="FC46" s="773" t="str">
        <f t="shared" si="1"/>
        <v/>
      </c>
      <c r="FD46" s="772" t="str">
        <f t="shared" si="21"/>
        <v/>
      </c>
      <c r="FE46" s="9"/>
      <c r="FF46" s="11" t="str">
        <f>IF(COUNTIF($FD$15:FD45,FD46)&gt;0,"",FD46)</f>
        <v/>
      </c>
      <c r="FG46" s="9"/>
      <c r="FH46" s="124" t="str">
        <f>BE47</f>
        <v/>
      </c>
      <c r="FI46" s="771">
        <f t="shared" si="22"/>
        <v>0</v>
      </c>
    </row>
    <row r="47" spans="1:165" ht="12" customHeight="1">
      <c r="A47" s="8">
        <v>3</v>
      </c>
      <c r="B47" s="23"/>
      <c r="C47" s="3837" t="str">
        <f>非誘!C30</f>
        <v xml:space="preserve">  1F</v>
      </c>
      <c r="D47" s="3837"/>
      <c r="E47" s="3837"/>
      <c r="F47" s="3838">
        <f>非誘!F30</f>
        <v>5</v>
      </c>
      <c r="G47" s="3839"/>
      <c r="H47" s="3840"/>
      <c r="I47" s="3838">
        <f>非誘!J30</f>
        <v>3</v>
      </c>
      <c r="J47" s="3839"/>
      <c r="K47" s="3839"/>
      <c r="L47" s="3840"/>
      <c r="M47" s="3841">
        <f>非誘!N30</f>
        <v>3816</v>
      </c>
      <c r="N47" s="3842"/>
      <c r="O47" s="3842"/>
      <c r="P47" s="3843"/>
      <c r="Q47" s="3537">
        <f>非誘!AA30</f>
        <v>9</v>
      </c>
      <c r="R47" s="3537"/>
      <c r="S47" s="3537"/>
      <c r="T47" s="3537">
        <f>非誘!AD30</f>
        <v>29</v>
      </c>
      <c r="U47" s="3537"/>
      <c r="V47" s="3537"/>
      <c r="W47" s="808" t="str">
        <f>IF(OR(S23="不要",C47&lt;&gt;$X$10),"",IF(AND($AB$17="UHF×3",$AF$17&lt;&gt;"",$AJ$17&lt;&gt;""),2,IF(OR(AND($AB$17="UHF×3",$AB$17="",$AJ$17=""),AND($AB$17="UHF×3",$AF$17&lt;&gt;"",$AJ$17=""),AND($AB$17="UHF×2",$AF$17&lt;&gt;"",$AJ$17&lt;&gt;"")),1,"")))</f>
        <v/>
      </c>
      <c r="X47" s="794" t="str">
        <f>IF(OR(S23="不要",C47&lt;&gt;$X$10),"",IF(AND($AB$17&lt;&gt;"",$AF$17&lt;&gt;"",$AJ$17&lt;&gt;""),1,""))</f>
        <v/>
      </c>
      <c r="Y47" s="794" t="str">
        <f>IF(OR(S23="不要",C47&lt;&gt;$X$10),"",IF(AND(OR($AB$17="UHF×2",$AB$17="UHF×3"),$AF$17&lt;&gt;"",$AJ$17=""),1,""))</f>
        <v/>
      </c>
      <c r="Z47" s="807"/>
      <c r="AA47" s="3847" t="str">
        <f>IF($B$2=0,"",IF(AND(S23&lt;&gt;"不要",DC43="＝"),1,""))</f>
        <v/>
      </c>
      <c r="AB47" s="3848"/>
      <c r="AC47" s="3848"/>
      <c r="AD47" s="3848">
        <f>IF($B$2=0,"",IF(OR(S23="不要",C47="",C47="  RF"),"",IF(S23="設置",1,"")))</f>
        <v>1</v>
      </c>
      <c r="AE47" s="3848"/>
      <c r="AF47" s="3849"/>
      <c r="AG47" s="3837">
        <f>IF(OR(S23="不要",C47="",C47="  RF"),"",IF(AI47&lt;&gt;"",AI47,IF(DE44+DM44+DT44+DT46+DT48=0,"",DE44+DM44+DT44+DT46+DT48)))</f>
        <v>5</v>
      </c>
      <c r="AH47" s="3837"/>
      <c r="AI47" s="3915"/>
      <c r="AJ47" s="3915"/>
      <c r="AK47" s="3837" t="str">
        <f>IF(OR(S23="不要",C47="",C47="  RF"),"",IF(AM47&lt;&gt;"",AM47,IF(DF44+DN44=0,"",DF44+DN44)))</f>
        <v/>
      </c>
      <c r="AL47" s="3837"/>
      <c r="AM47" s="3915"/>
      <c r="AN47" s="3915"/>
      <c r="AO47" s="3813" t="str">
        <f>IF(AQ47="","",AQ47)</f>
        <v/>
      </c>
      <c r="AP47" s="3814"/>
      <c r="AQ47" s="3915"/>
      <c r="AR47" s="3915"/>
      <c r="AS47" s="3916">
        <f>IF(OR(S23="不要",C47="  RF"),"",IF(AU47&lt;&gt;"",AU47,IF(DH44+DP44+DU44+DX44+DY44+DZ44=0,"",DH44+DP44+DU44+DX44+DY44+DZ44)))</f>
        <v>5</v>
      </c>
      <c r="AT47" s="3837"/>
      <c r="AU47" s="3915"/>
      <c r="AV47" s="3915"/>
      <c r="AW47" s="3837">
        <f>IF(OR(S23="不要",C47="  RF"),"",IF(AY47&lt;&gt;"",AY47,IF(DI44+DQ44+DV44+DV46+DY46+DZ46=0,"",DI44+DQ44+DV44+DV46+DY46+DZ46)))</f>
        <v>1</v>
      </c>
      <c r="AX47" s="3837"/>
      <c r="AY47" s="3915"/>
      <c r="AZ47" s="3915"/>
      <c r="BA47" s="3837" t="str">
        <f>IF(OR(S23="不要",C47="  RF"),"",IF(BC47&lt;&gt;"",BC47,IF(DJ44+DR44+DW44+DW46+DW48+DZ48=0,"",DJ44+DR44+DW44+DW46+DW48+DZ48)))</f>
        <v/>
      </c>
      <c r="BB47" s="3837"/>
      <c r="BC47" s="3915"/>
      <c r="BD47" s="3915"/>
      <c r="BE47" s="3837" t="str">
        <f>IF(OR(S23="不要",$X$11="2端子",C47="",C47="  RF"),"",IF(BG47&lt;&gt;"",BG47,IF(AND(AB48="Ａ",$X$11="1端子"),DK44,"")))</f>
        <v/>
      </c>
      <c r="BF47" s="3837"/>
      <c r="BG47" s="3837" t="str">
        <f>IF(AND(BO47&lt;&gt;"",AB48="Ａ",$X$11="1端子"),BO47,"")</f>
        <v/>
      </c>
      <c r="BH47" s="3837"/>
      <c r="BI47" s="3916" t="str">
        <f>IF(OR(S23="不要",$X$11="1端子",C47="",C47="  RF"),"",IF(BK47&lt;&gt;"",BK47,IF(AND(AB48="Ａ",$X$11="2端子"),DK44,"")))</f>
        <v/>
      </c>
      <c r="BJ47" s="3837"/>
      <c r="BK47" s="3837" t="str">
        <f>IF(AND(BS47&lt;&gt;"",AB48="Ａ",$X$11="2端子"),BS47,"")</f>
        <v/>
      </c>
      <c r="BL47" s="3837"/>
      <c r="BM47" s="3837">
        <f>IF(OR(S23="不要",C47="  RF",C47="",$X$11="2端子"),"",IF(BO47&lt;&gt;"",BO47,IF(AND(AB48="Ａ",$X$11="1端子"),DK44,DK42)))</f>
        <v>38</v>
      </c>
      <c r="BN47" s="3837"/>
      <c r="BO47" s="3915"/>
      <c r="BP47" s="3915"/>
      <c r="BQ47" s="3837" t="str">
        <f>IF(OR(S23="不要",C47="  RF",C47="",$X$11="1端子"),"",IF(BS47&lt;&gt;"",BS47,IF(AND(AB48="Ａ",$X$11="2端子"),DK44,DK42)))</f>
        <v/>
      </c>
      <c r="BR47" s="3837"/>
      <c r="BS47" s="3915"/>
      <c r="BT47" s="3918"/>
      <c r="BU47" s="19"/>
      <c r="BV47" s="8"/>
      <c r="BW47" s="88">
        <f>IF(I47="直天",F47,I47)</f>
        <v>3</v>
      </c>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38"/>
      <c r="DA47" s="15"/>
      <c r="DB47" s="15"/>
      <c r="DC47" s="180" t="s">
        <v>1144</v>
      </c>
      <c r="DD47" s="2589" t="str">
        <f>IF($AL$10="nC-FB","S-7C-FB",IF($AL$10="nD-FB","8D-FB","7C-2V"))</f>
        <v>S-7C-FB</v>
      </c>
      <c r="DE47" s="2591"/>
      <c r="DF47" s="3631">
        <f>IF(OR(C47="",C47="  RF"),0,IF(AB48="Ｃ",2.5*AG47+(DB45+DC45),F47+2))</f>
        <v>74.3</v>
      </c>
      <c r="DG47" s="3812"/>
      <c r="DH47" s="2589" t="str">
        <f>IF(OR(H48="天井ケーブル",H48="天井-PF管"),"PF-S-22mm",IF(H48="天井-CD管","CD-22mm",IF(H48="天井-C 管","C-25mm",IF(H48="天井-G 管","G-22mm",""))))</f>
        <v>PF-S-22mm</v>
      </c>
      <c r="DI47" s="2591"/>
      <c r="DJ47" s="3631">
        <f>IF(OR(C47="",C47="  RF"),0,IF(AB48="Ｃ",F47-($AM$8-$AM$7)/1000,F47))</f>
        <v>5.5</v>
      </c>
      <c r="DK47" s="3812"/>
      <c r="DL47" s="778"/>
      <c r="DM47" s="112"/>
      <c r="DN47" s="190" t="s">
        <v>1143</v>
      </c>
      <c r="DO47" s="98">
        <f>IF(OR(C47="",C47="  RF"),0,(DB45+DC45)/2/SQRT(DK44))</f>
        <v>6.9094500504743497</v>
      </c>
      <c r="DP47" s="15"/>
      <c r="DQ47" s="15"/>
      <c r="DR47" s="15"/>
      <c r="DS47" s="8"/>
      <c r="DT47" s="113" t="s">
        <v>1051</v>
      </c>
      <c r="DU47" s="8"/>
      <c r="DV47" s="113"/>
      <c r="DW47" s="113" t="s">
        <v>1046</v>
      </c>
      <c r="DX47" s="8"/>
      <c r="DY47" s="8"/>
      <c r="DZ47" s="113" t="s">
        <v>1046</v>
      </c>
      <c r="EA47" s="113"/>
      <c r="EB47" s="776" t="str">
        <f>IF(OR($B$2=0,AA47=""),"","増幅器 "&amp;AA45&amp;AA46)</f>
        <v/>
      </c>
      <c r="EC47" s="15"/>
      <c r="ED47" s="122" t="str">
        <f>IF(BI47="","","直列Unit-中間2端子")</f>
        <v/>
      </c>
      <c r="EE47" s="15" t="str">
        <f>BI47</f>
        <v/>
      </c>
      <c r="EF47" s="15"/>
      <c r="EG47" s="15"/>
      <c r="EH47" s="197">
        <f t="shared" si="5"/>
        <v>4</v>
      </c>
      <c r="EI47" s="773" t="str">
        <f t="shared" si="6"/>
        <v/>
      </c>
      <c r="EJ47" s="203" t="str">
        <f>AS49</f>
        <v/>
      </c>
      <c r="EK47" s="9"/>
      <c r="EL47" s="9" t="str">
        <f>IF(COUNTIF($EJ$18:EJ46,EJ47)&gt;0,"",EJ47)</f>
        <v/>
      </c>
      <c r="EM47" s="9"/>
      <c r="EN47" s="14" t="str">
        <f>BB49</f>
        <v/>
      </c>
      <c r="EO47" s="771">
        <f t="shared" si="18"/>
        <v>0</v>
      </c>
      <c r="EP47" s="8"/>
      <c r="EQ47" s="15"/>
      <c r="ER47" s="197">
        <f t="shared" si="7"/>
        <v>3</v>
      </c>
      <c r="ES47" s="773" t="str">
        <f t="shared" si="8"/>
        <v/>
      </c>
      <c r="ET47" s="203" t="str">
        <f t="shared" si="19"/>
        <v/>
      </c>
      <c r="EU47" s="9"/>
      <c r="EV47" s="11" t="str">
        <f>IF(COUNTIF($ET$18:ET46,ET47)&gt;0,"",ET47)</f>
        <v/>
      </c>
      <c r="EW47" s="9"/>
      <c r="EX47" s="124" t="str">
        <f>AA47</f>
        <v/>
      </c>
      <c r="EY47" s="771">
        <f t="shared" si="20"/>
        <v>0</v>
      </c>
      <c r="EZ47" s="8"/>
      <c r="FA47" s="15"/>
      <c r="FB47" s="197">
        <f t="shared" si="0"/>
        <v>10</v>
      </c>
      <c r="FC47" s="773" t="str">
        <f t="shared" si="1"/>
        <v/>
      </c>
      <c r="FD47" s="772" t="str">
        <f t="shared" si="21"/>
        <v/>
      </c>
      <c r="FE47" s="9"/>
      <c r="FF47" s="11" t="str">
        <f>IF(COUNTIF($FD$15:FD46,FD47)&gt;0,"",FD47)</f>
        <v/>
      </c>
      <c r="FG47" s="9"/>
      <c r="FH47" s="124" t="str">
        <f>BI47</f>
        <v/>
      </c>
      <c r="FI47" s="771">
        <f t="shared" si="22"/>
        <v>0</v>
      </c>
    </row>
    <row r="48" spans="1:165" ht="12" customHeight="1">
      <c r="A48" s="8"/>
      <c r="B48" s="23"/>
      <c r="C48" s="2634" t="s">
        <v>135</v>
      </c>
      <c r="D48" s="2634"/>
      <c r="E48" s="2634"/>
      <c r="F48" s="2634"/>
      <c r="G48" s="2634"/>
      <c r="H48" s="3904" t="str">
        <f>IF($B$2=0,"",IF(P48="","天井ケーブル",P48))</f>
        <v>天井ケーブル</v>
      </c>
      <c r="I48" s="3904"/>
      <c r="J48" s="3904"/>
      <c r="K48" s="3904"/>
      <c r="L48" s="3904"/>
      <c r="M48" s="3904"/>
      <c r="N48" s="3904"/>
      <c r="O48" s="173" t="s">
        <v>34</v>
      </c>
      <c r="P48" s="3796"/>
      <c r="Q48" s="3797"/>
      <c r="R48" s="3797"/>
      <c r="S48" s="3797"/>
      <c r="T48" s="3797"/>
      <c r="U48" s="3797"/>
      <c r="V48" s="3798"/>
      <c r="W48" s="2634" t="s">
        <v>1082</v>
      </c>
      <c r="X48" s="2634"/>
      <c r="Y48" s="2634"/>
      <c r="Z48" s="2634"/>
      <c r="AA48" s="2634"/>
      <c r="AB48" s="3799" t="str">
        <f>IF(S23="不要","",IF(AF48&lt;&gt;"",AF48,DB42))</f>
        <v>Ｃ</v>
      </c>
      <c r="AC48" s="3799"/>
      <c r="AD48" s="3799"/>
      <c r="AE48" s="173" t="s">
        <v>34</v>
      </c>
      <c r="AF48" s="3800"/>
      <c r="AG48" s="3801"/>
      <c r="AH48" s="3802"/>
      <c r="AI48" s="2634" t="s">
        <v>20</v>
      </c>
      <c r="AJ48" s="2634"/>
      <c r="AK48" s="2634"/>
      <c r="AL48" s="2634"/>
      <c r="AM48" s="2634"/>
      <c r="AN48" s="3522">
        <f>IF(OR(C47="",C47="  RF"),"",非誘!J29)</f>
        <v>0.94339622641509435</v>
      </c>
      <c r="AO48" s="3523"/>
      <c r="AP48" s="3523"/>
      <c r="AQ48" s="3524"/>
      <c r="AR48" s="3507" t="s">
        <v>1081</v>
      </c>
      <c r="AS48" s="3461"/>
      <c r="AT48" s="3461"/>
      <c r="AU48" s="3461"/>
      <c r="AV48" s="3461"/>
      <c r="AW48" s="3461"/>
      <c r="AX48" s="3461"/>
      <c r="AY48" s="3461"/>
      <c r="AZ48" s="3563" t="str">
        <f>IF(OR(C47="",C47="  RF"),"",IF(BC48="",$AN$11,BC48))</f>
        <v>⑦</v>
      </c>
      <c r="BA48" s="3563"/>
      <c r="BB48" s="777" t="s">
        <v>34</v>
      </c>
      <c r="BC48" s="3521"/>
      <c r="BD48" s="3521"/>
      <c r="BE48" s="3564"/>
      <c r="BF48" s="3565"/>
      <c r="BG48" s="3565"/>
      <c r="BH48" s="3565"/>
      <c r="BI48" s="3565"/>
      <c r="BJ48" s="3565"/>
      <c r="BK48" s="3565"/>
      <c r="BL48" s="3565"/>
      <c r="BM48" s="3565"/>
      <c r="BN48" s="3565"/>
      <c r="BO48" s="3565"/>
      <c r="BP48" s="3565"/>
      <c r="BQ48" s="3565"/>
      <c r="BR48" s="3565"/>
      <c r="BS48" s="3565"/>
      <c r="BT48" s="3566"/>
      <c r="BU48" s="19"/>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38"/>
      <c r="DA48" s="15"/>
      <c r="DB48" s="8"/>
      <c r="DC48" s="180" t="s">
        <v>1182</v>
      </c>
      <c r="DD48" s="2589" t="str">
        <f>IF($AL$10="nC-FB","S-5C-FB",IF($AL$10="nD-FB","5D-FB","5C-2V"))</f>
        <v>S-5C-FB</v>
      </c>
      <c r="DE48" s="2591"/>
      <c r="DF48" s="3631">
        <f>IF(AB48="Ａ",(DK44+2*BW47-($X$7+$X$9)/1000)*DO47+(12+2*BW47-2*$X$9/1000)*DK44+DO48,IF(AB48="Ｂ",(DO47+2*BW47-$X$9/1000)*DK42+DO48,0))</f>
        <v>0</v>
      </c>
      <c r="DG48" s="3812"/>
      <c r="DH48" s="2589" t="str">
        <f>IF(OR(H48="天井ケーブル",H48="天井-PF管"),"PF-S-16mm",IF(H48="天井-CD管","CD-16mm",IF(H48="天井-C 管","C-19mm",IF(H48="天井-G 管","G-16mm",""))))</f>
        <v>PF-S-16mm</v>
      </c>
      <c r="DI48" s="2591"/>
      <c r="DJ48" s="3631">
        <f>IF(OR(C47="",C47="  RF"),0,IF(H48="天井ケーブル",DK42*(BW47-($X$9-$AM$9)/1000),(DO47+2*BW47-$X$9/1000)*DK42+DO48))</f>
        <v>119.7</v>
      </c>
      <c r="DK48" s="3812"/>
      <c r="DL48" s="15"/>
      <c r="DM48" s="46"/>
      <c r="DN48" s="46" t="s">
        <v>1181</v>
      </c>
      <c r="DO48" s="98">
        <f>DB46</f>
        <v>48.9</v>
      </c>
      <c r="DP48" s="15"/>
      <c r="DQ48" s="15"/>
      <c r="DR48" s="15"/>
      <c r="DS48" s="128" t="s">
        <v>1118</v>
      </c>
      <c r="DT48" s="86">
        <f>IF(AB48&lt;&gt;"Ｃ",0,IF(DZ48=0,0,DZ48))</f>
        <v>0</v>
      </c>
      <c r="DU48" s="8"/>
      <c r="DV48" s="8"/>
      <c r="DW48" s="86">
        <f>IF(AB48&lt;&gt;"Ｃ",0,IF(DZ48=0,0,1))</f>
        <v>0</v>
      </c>
      <c r="DX48" s="8"/>
      <c r="DY48" s="8"/>
      <c r="DZ48" s="86">
        <f>IF(AB48&lt;&gt;"Ｃ",0,IF(AND(DB41&gt;120,DB41&lt;=144),4,IF(AND(DB41&gt;144,DB41&lt;=180),5,0)))</f>
        <v>0</v>
      </c>
      <c r="EA48" s="38"/>
      <c r="EB48" s="776" t="str">
        <f>IF(OR($B$2=0,AD47=""),"","増幅器 "&amp;AD45&amp;AD46)</f>
        <v>増幅器 35/110</v>
      </c>
      <c r="EC48" s="38"/>
      <c r="ED48" s="122" t="str">
        <f>IF(BM47="","","直列Unit-終端1端子")</f>
        <v>直列Unit-終端1端子</v>
      </c>
      <c r="EE48" s="38">
        <f>BM47</f>
        <v>38</v>
      </c>
      <c r="EF48" s="38"/>
      <c r="EG48" s="38"/>
      <c r="EH48" s="197">
        <f t="shared" si="5"/>
        <v>4</v>
      </c>
      <c r="EI48" s="773" t="str">
        <f t="shared" si="6"/>
        <v/>
      </c>
      <c r="EJ48" s="203" t="str">
        <f>AS50</f>
        <v>S-5C-FB</v>
      </c>
      <c r="EK48" s="9"/>
      <c r="EL48" s="9" t="str">
        <f>IF(COUNTIF($EJ$18:EJ47,EJ48)&gt;0,"",EJ48)</f>
        <v/>
      </c>
      <c r="EM48" s="9"/>
      <c r="EN48" s="14">
        <f>BB50</f>
        <v>700.6</v>
      </c>
      <c r="EO48" s="771">
        <f t="shared" si="18"/>
        <v>0</v>
      </c>
      <c r="EP48" s="8"/>
      <c r="EQ48" s="38"/>
      <c r="ER48" s="197">
        <f t="shared" si="7"/>
        <v>3</v>
      </c>
      <c r="ES48" s="773" t="str">
        <f t="shared" si="8"/>
        <v/>
      </c>
      <c r="ET48" s="203" t="str">
        <f t="shared" si="19"/>
        <v>増幅器 35/110</v>
      </c>
      <c r="EU48" s="9"/>
      <c r="EV48" s="11" t="str">
        <f>IF(COUNTIF($ET$18:ET47,ET48)&gt;0,"",ET48)</f>
        <v/>
      </c>
      <c r="EW48" s="9"/>
      <c r="EX48" s="124">
        <f>AD47</f>
        <v>1</v>
      </c>
      <c r="EY48" s="771">
        <f t="shared" si="20"/>
        <v>0</v>
      </c>
      <c r="EZ48" s="8"/>
      <c r="FA48" s="38"/>
      <c r="FB48" s="197">
        <f t="shared" si="0"/>
        <v>10</v>
      </c>
      <c r="FC48" s="773" t="str">
        <f t="shared" si="1"/>
        <v/>
      </c>
      <c r="FD48" s="772" t="str">
        <f t="shared" si="21"/>
        <v>直列Unit-終端1端子</v>
      </c>
      <c r="FE48" s="9"/>
      <c r="FF48" s="11" t="str">
        <f>IF(COUNTIF($FD$15:FD47,FD48)&gt;0,"",FD48)</f>
        <v/>
      </c>
      <c r="FG48" s="9"/>
      <c r="FH48" s="124">
        <f>BM47</f>
        <v>38</v>
      </c>
      <c r="FI48" s="771">
        <f t="shared" si="22"/>
        <v>0</v>
      </c>
    </row>
    <row r="49" spans="1:165" ht="12" customHeight="1">
      <c r="A49" s="8"/>
      <c r="B49" s="23"/>
      <c r="C49" s="3905" t="s">
        <v>449</v>
      </c>
      <c r="D49" s="3905"/>
      <c r="E49" s="3905"/>
      <c r="F49" s="3904" t="str">
        <f>IF($H$15="ＣＡＴＶ","CATV引込","アンテナ部")</f>
        <v>アンテナ部</v>
      </c>
      <c r="G49" s="3904"/>
      <c r="H49" s="3904"/>
      <c r="I49" s="3904"/>
      <c r="J49" s="3904"/>
      <c r="K49" s="3908" t="str">
        <f>IF(OR(S23="不要",$B$2=0,C47&lt;&gt;$X$10),"",IF(P49&lt;&gt;"",P49,DD46))</f>
        <v/>
      </c>
      <c r="L49" s="3908"/>
      <c r="M49" s="3908"/>
      <c r="N49" s="3908"/>
      <c r="O49" s="173" t="s">
        <v>34</v>
      </c>
      <c r="P49" s="3517"/>
      <c r="Q49" s="3517"/>
      <c r="R49" s="3517"/>
      <c r="S49" s="3517"/>
      <c r="T49" s="3526" t="str">
        <f>IF(AND(C47&lt;&gt;"",K49&lt;&gt;""),DF46,"")</f>
        <v/>
      </c>
      <c r="U49" s="3526"/>
      <c r="V49" s="3526"/>
      <c r="W49" s="3526"/>
      <c r="X49" s="3908" t="str">
        <f>IF(OR($B$2=0,K49=""),"",IF(AD49&lt;&gt;"",AD49,DH46))</f>
        <v/>
      </c>
      <c r="Y49" s="3908"/>
      <c r="Z49" s="3908"/>
      <c r="AA49" s="3908"/>
      <c r="AB49" s="3908"/>
      <c r="AC49" s="173" t="s">
        <v>34</v>
      </c>
      <c r="AD49" s="3525"/>
      <c r="AE49" s="3525"/>
      <c r="AF49" s="3525"/>
      <c r="AG49" s="3525"/>
      <c r="AH49" s="3525"/>
      <c r="AI49" s="3526" t="str">
        <f>IF(X49="","",IF(DJ46="","",DJ46))</f>
        <v/>
      </c>
      <c r="AJ49" s="3526"/>
      <c r="AK49" s="3526"/>
      <c r="AL49" s="3526"/>
      <c r="AM49" s="3904" t="s">
        <v>1077</v>
      </c>
      <c r="AN49" s="3904"/>
      <c r="AO49" s="3904"/>
      <c r="AP49" s="3904"/>
      <c r="AQ49" s="3904"/>
      <c r="AR49" s="3904"/>
      <c r="AS49" s="3908" t="str">
        <f>IF(OR(S23="不要",$B$2=0,C47="",C47="  RF",AB48="Ｃ"),"",IF(AX49&lt;&gt;"",AX49,DD48))</f>
        <v/>
      </c>
      <c r="AT49" s="3908"/>
      <c r="AU49" s="3908"/>
      <c r="AV49" s="3908"/>
      <c r="AW49" s="173" t="s">
        <v>34</v>
      </c>
      <c r="AX49" s="3517"/>
      <c r="AY49" s="3517"/>
      <c r="AZ49" s="3517"/>
      <c r="BA49" s="3517"/>
      <c r="BB49" s="3537" t="str">
        <f>IF(AS49&lt;&gt;"",DF48,"")</f>
        <v/>
      </c>
      <c r="BC49" s="3537"/>
      <c r="BD49" s="3537"/>
      <c r="BE49" s="3537"/>
      <c r="BF49" s="3908" t="str">
        <f>IF(OR(C47="",AS49=""),"",IF(AB48="Ａ",DH47,DH48))</f>
        <v/>
      </c>
      <c r="BG49" s="3908"/>
      <c r="BH49" s="3908"/>
      <c r="BI49" s="3908"/>
      <c r="BJ49" s="3908"/>
      <c r="BK49" s="173" t="s">
        <v>34</v>
      </c>
      <c r="BL49" s="3525"/>
      <c r="BM49" s="3525"/>
      <c r="BN49" s="3525"/>
      <c r="BO49" s="3525"/>
      <c r="BP49" s="3525"/>
      <c r="BQ49" s="3526" t="str">
        <f>IF(BF49="","",DJ48)</f>
        <v/>
      </c>
      <c r="BR49" s="3526"/>
      <c r="BS49" s="3526"/>
      <c r="BT49" s="3527"/>
      <c r="BU49" s="19"/>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774" t="s">
        <v>1180</v>
      </c>
      <c r="DD49" s="2589" t="str">
        <f>DD48</f>
        <v>S-5C-FB</v>
      </c>
      <c r="DE49" s="2591"/>
      <c r="DF49" s="3631">
        <f>IF(OR(C47="",C47="  RF",I47="直天"),0,1+INT(12+BW47-($X$9-$AM$9)/1000)*DK42+DO49)</f>
        <v>700.6</v>
      </c>
      <c r="DG49" s="3812"/>
      <c r="DH49" s="2589" t="str">
        <f>DH48</f>
        <v>PF-S-16mm</v>
      </c>
      <c r="DI49" s="2591"/>
      <c r="DJ49" s="3631">
        <f>IF(OR(C47="",C47="  RF"),0,IF(H48="天井ケーブル",DK42*(BW47-($X$9-2*$AM$9)/1000),1+INT(12+BW47-$X$9/1000)*DK42))</f>
        <v>131.1</v>
      </c>
      <c r="DK49" s="3812"/>
      <c r="DL49" s="15"/>
      <c r="DM49" s="15"/>
      <c r="DN49" s="46" t="s">
        <v>1075</v>
      </c>
      <c r="DO49" s="97">
        <f>IF(C47="",0,IF($AW$8=0,0,2*($AW$8/1000-0.15-0.1)*(INT(1000*DB45/$AW$10)+1)*(INT(1000*DC45/$AW$10)+1)*4))</f>
        <v>129.6</v>
      </c>
      <c r="DP49" s="15"/>
      <c r="DQ49" s="15"/>
      <c r="DR49" s="15"/>
      <c r="DS49" s="8"/>
      <c r="DT49" s="8"/>
      <c r="DU49" s="8"/>
      <c r="DV49" s="8"/>
      <c r="DW49" s="8"/>
      <c r="DX49" s="8"/>
      <c r="DY49" s="8"/>
      <c r="DZ49" s="8"/>
      <c r="EA49" s="8"/>
      <c r="EB49" s="769" t="str">
        <f>IF(OR($B$2=0,AG47=""),"","分岐器 1C")</f>
        <v>分岐器 1C</v>
      </c>
      <c r="EC49" s="8"/>
      <c r="ED49" s="122" t="str">
        <f>IF(BQ47="","","直列Unit-終端2端子")</f>
        <v/>
      </c>
      <c r="EE49" s="8" t="str">
        <f>BQ47</f>
        <v/>
      </c>
      <c r="EF49" s="8"/>
      <c r="EG49" s="8"/>
      <c r="EH49" s="197">
        <f t="shared" si="5"/>
        <v>4</v>
      </c>
      <c r="EI49" s="773" t="str">
        <f t="shared" si="6"/>
        <v/>
      </c>
      <c r="EJ49" s="203" t="str">
        <f>BF49</f>
        <v/>
      </c>
      <c r="EK49" s="9"/>
      <c r="EL49" s="9" t="str">
        <f>IF(COUNTIF($EJ$18:EJ48,EJ49)&gt;0,"",EJ49)</f>
        <v/>
      </c>
      <c r="EM49" s="9"/>
      <c r="EN49" s="14" t="str">
        <f>BQ49</f>
        <v/>
      </c>
      <c r="EO49" s="771">
        <f t="shared" si="18"/>
        <v>0</v>
      </c>
      <c r="EP49" s="8"/>
      <c r="EQ49" s="8"/>
      <c r="ER49" s="197">
        <f t="shared" si="7"/>
        <v>3</v>
      </c>
      <c r="ES49" s="773" t="str">
        <f t="shared" si="8"/>
        <v/>
      </c>
      <c r="ET49" s="203" t="str">
        <f t="shared" si="19"/>
        <v>分岐器 1C</v>
      </c>
      <c r="EU49" s="9"/>
      <c r="EV49" s="11" t="str">
        <f>IF(COUNTIF($ET$18:ET48,ET49)&gt;0,"",ET49)</f>
        <v/>
      </c>
      <c r="EW49" s="9"/>
      <c r="EX49" s="124">
        <f>AG47</f>
        <v>5</v>
      </c>
      <c r="EY49" s="771">
        <f t="shared" si="20"/>
        <v>0</v>
      </c>
      <c r="EZ49" s="8"/>
      <c r="FA49" s="8"/>
      <c r="FB49" s="197">
        <f t="shared" si="0"/>
        <v>10</v>
      </c>
      <c r="FC49" s="773" t="str">
        <f t="shared" si="1"/>
        <v/>
      </c>
      <c r="FD49" s="772" t="str">
        <f t="shared" si="21"/>
        <v/>
      </c>
      <c r="FE49" s="9"/>
      <c r="FF49" s="11" t="str">
        <f>IF(COUNTIF($FD$15:FD48,FD49)&gt;0,"",FD49)</f>
        <v/>
      </c>
      <c r="FG49" s="9"/>
      <c r="FH49" s="124" t="str">
        <f>BQ47</f>
        <v/>
      </c>
      <c r="FI49" s="771">
        <f t="shared" si="22"/>
        <v>0</v>
      </c>
    </row>
    <row r="50" spans="1:165" ht="12" customHeight="1" thickBot="1">
      <c r="A50" s="8"/>
      <c r="B50" s="23"/>
      <c r="C50" s="3922"/>
      <c r="D50" s="3922"/>
      <c r="E50" s="3922"/>
      <c r="F50" s="3920" t="s">
        <v>1074</v>
      </c>
      <c r="G50" s="3920"/>
      <c r="H50" s="3920"/>
      <c r="I50" s="3920"/>
      <c r="J50" s="3920"/>
      <c r="K50" s="3506" t="str">
        <f>IF(OR(C47="",C47="  RF",$B$2=0),"",IF(P50&lt;&gt;"",P50,DD47))</f>
        <v>S-7C-FB</v>
      </c>
      <c r="L50" s="3506"/>
      <c r="M50" s="3506"/>
      <c r="N50" s="3506"/>
      <c r="O50" s="800" t="s">
        <v>34</v>
      </c>
      <c r="P50" s="3536"/>
      <c r="Q50" s="3536"/>
      <c r="R50" s="3536"/>
      <c r="S50" s="3536"/>
      <c r="T50" s="3538">
        <f>IF(R44="不",F47,IF(K50="","",DF47))</f>
        <v>74.3</v>
      </c>
      <c r="U50" s="3538"/>
      <c r="V50" s="3538"/>
      <c r="W50" s="3538"/>
      <c r="X50" s="3506" t="str">
        <f>IF(R44="不","",IF(OR(C47="",K50=""),"",IF(AD50&lt;&gt;"",AD50,IF(DH47="","",DH47))))</f>
        <v>PF-S-22mm</v>
      </c>
      <c r="Y50" s="3506"/>
      <c r="Z50" s="3506"/>
      <c r="AA50" s="3506"/>
      <c r="AB50" s="3506"/>
      <c r="AC50" s="800" t="s">
        <v>34</v>
      </c>
      <c r="AD50" s="3533"/>
      <c r="AE50" s="3533"/>
      <c r="AF50" s="3533"/>
      <c r="AG50" s="3533"/>
      <c r="AH50" s="3533"/>
      <c r="AI50" s="3538">
        <f>IF(X50="","",DJ47)</f>
        <v>5.5</v>
      </c>
      <c r="AJ50" s="3538"/>
      <c r="AK50" s="3538"/>
      <c r="AL50" s="3538"/>
      <c r="AM50" s="3920" t="s">
        <v>1073</v>
      </c>
      <c r="AN50" s="3920"/>
      <c r="AO50" s="3920"/>
      <c r="AP50" s="3920"/>
      <c r="AQ50" s="3920"/>
      <c r="AR50" s="3920"/>
      <c r="AS50" s="3506" t="str">
        <f>IF(OR(S23="不要",$B$2=0,C47="",AB48&lt;&gt;"Ｃ"),"",IF(AX50&lt;&gt;"",AX50,DD49))</f>
        <v>S-5C-FB</v>
      </c>
      <c r="AT50" s="3506"/>
      <c r="AU50" s="3506"/>
      <c r="AV50" s="3506"/>
      <c r="AW50" s="800" t="s">
        <v>34</v>
      </c>
      <c r="AX50" s="3536"/>
      <c r="AY50" s="3536"/>
      <c r="AZ50" s="3536"/>
      <c r="BA50" s="3536"/>
      <c r="BB50" s="3921">
        <f>IF(AS50="","",DF49)</f>
        <v>700.6</v>
      </c>
      <c r="BC50" s="3921"/>
      <c r="BD50" s="3921"/>
      <c r="BE50" s="3921"/>
      <c r="BF50" s="3506" t="str">
        <f>IF(OR(C47="",AS50=""),"",IF(BL50&lt;&gt;"",BL50,DH49))</f>
        <v>PF-S-16mm</v>
      </c>
      <c r="BG50" s="3506"/>
      <c r="BH50" s="3506"/>
      <c r="BI50" s="3506"/>
      <c r="BJ50" s="3506"/>
      <c r="BK50" s="800" t="s">
        <v>34</v>
      </c>
      <c r="BL50" s="3533"/>
      <c r="BM50" s="3533"/>
      <c r="BN50" s="3533"/>
      <c r="BO50" s="3533"/>
      <c r="BP50" s="3533"/>
      <c r="BQ50" s="3538">
        <f>IF(BF50="","",DJ49)</f>
        <v>131.1</v>
      </c>
      <c r="BR50" s="3538"/>
      <c r="BS50" s="3538"/>
      <c r="BT50" s="3539"/>
      <c r="BU50" s="19"/>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8">
        <f>IF(AND(AB57="Ａ",$X$11="2端子"),BI56+BQ56,IF(AND(AB57="Ａ",$X$11="1端子"),BE56+BM56,IF(AND(AB57="Ｂ",$X$11="1端子"),BM56,IF(AND(AB57="Ｂ",$X$11="2端子"),BQ56,IF(AND(AB57="Ｃ",$X$11="1端子"),BM56,BQ56)))))</f>
        <v>55</v>
      </c>
      <c r="DC50" s="10"/>
      <c r="DD50" s="8"/>
      <c r="DE50" s="8"/>
      <c r="DF50" s="8"/>
      <c r="DG50" s="8"/>
      <c r="DH50" s="8"/>
      <c r="DI50" s="8"/>
      <c r="DJ50" s="8"/>
      <c r="DK50" s="8"/>
      <c r="DL50" s="8"/>
      <c r="DM50" s="8"/>
      <c r="DN50" s="8"/>
      <c r="DO50" s="8"/>
      <c r="DP50" s="15"/>
      <c r="DQ50" s="15"/>
      <c r="DR50" s="15"/>
      <c r="DS50" s="8"/>
      <c r="DT50" s="8"/>
      <c r="DU50" s="8"/>
      <c r="DV50" s="8"/>
      <c r="DW50" s="8"/>
      <c r="DX50" s="8"/>
      <c r="DY50" s="8"/>
      <c r="DZ50" s="8"/>
      <c r="EA50" s="8"/>
      <c r="EB50" s="769" t="str">
        <f>IF(OR($B$2=0,AK47=""),"","分岐器 2C")</f>
        <v/>
      </c>
      <c r="EC50" s="8"/>
      <c r="ED50" s="10"/>
      <c r="EE50" s="8"/>
      <c r="EF50" s="8"/>
      <c r="EG50" s="8"/>
      <c r="EH50" s="197">
        <f t="shared" si="5"/>
        <v>4</v>
      </c>
      <c r="EI50" s="773" t="str">
        <f t="shared" si="6"/>
        <v/>
      </c>
      <c r="EJ50" s="203" t="str">
        <f>BF50</f>
        <v>PF-S-16mm</v>
      </c>
      <c r="EK50" s="9"/>
      <c r="EL50" s="9" t="str">
        <f>IF(COUNTIF($EJ$18:EJ49,EJ50)&gt;0,"",EJ50)</f>
        <v/>
      </c>
      <c r="EM50" s="9"/>
      <c r="EN50" s="14">
        <f>BQ50</f>
        <v>131.1</v>
      </c>
      <c r="EO50" s="771">
        <f t="shared" si="18"/>
        <v>0</v>
      </c>
      <c r="EP50" s="8"/>
      <c r="EQ50" s="8"/>
      <c r="ER50" s="197">
        <f t="shared" si="7"/>
        <v>3</v>
      </c>
      <c r="ES50" s="773" t="str">
        <f t="shared" si="8"/>
        <v/>
      </c>
      <c r="ET50" s="203" t="str">
        <f t="shared" si="19"/>
        <v/>
      </c>
      <c r="EU50" s="9"/>
      <c r="EV50" s="11" t="str">
        <f>IF(COUNTIF($ET$18:ET49,ET50)&gt;0,"",ET50)</f>
        <v/>
      </c>
      <c r="EW50" s="9"/>
      <c r="EX50" s="124" t="str">
        <f>AK47</f>
        <v/>
      </c>
      <c r="EY50" s="771">
        <f t="shared" si="20"/>
        <v>0</v>
      </c>
      <c r="EZ50" s="8"/>
      <c r="FA50" s="8"/>
      <c r="FB50" s="197">
        <f t="shared" ref="FB50:FB81" si="23">IF(FF50&lt;&gt;"",FB49+1,FB49)</f>
        <v>10</v>
      </c>
      <c r="FC50" s="773" t="str">
        <f t="shared" ref="FC50:FC81" si="24">IF(AND(FB50&lt;&gt;"",FF50&lt;&gt;""),FB50,"")</f>
        <v/>
      </c>
      <c r="FD50" s="772"/>
      <c r="FE50" s="9"/>
      <c r="FF50" s="11"/>
      <c r="FG50" s="9"/>
      <c r="FH50" s="124"/>
      <c r="FI50" s="771"/>
    </row>
    <row r="51" spans="1:165" ht="12" customHeight="1" thickBot="1">
      <c r="B51" s="23"/>
      <c r="C51" s="20"/>
      <c r="D51" s="20"/>
      <c r="E51" s="20"/>
      <c r="F51" s="20"/>
      <c r="G51" s="20"/>
      <c r="H51" s="20"/>
      <c r="I51" s="20"/>
      <c r="J51" s="20"/>
      <c r="K51" s="20"/>
      <c r="L51" s="20"/>
      <c r="M51" s="20"/>
      <c r="N51" s="20"/>
      <c r="O51" s="20"/>
      <c r="P51" s="20"/>
      <c r="Q51" s="787" t="str">
        <f>IF(AND(OR(AB57="Ａ",F238="Ａ"),DB50&gt;24),"直列ユニット数………配線方式Ａ：24以下!!",IF(AND(OR(AB57="Ｂ",F238="Ｂ"),DB50&gt;12),"直列ユニット数………配線方式Ｂ：12以下!!",IF(AND(OR(AB57="Ｃ",F238="Ｃ"),DB50&gt;180),"直列ユニット数………配線方式Ｃ：180以下!!","")))</f>
        <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19"/>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v>4</v>
      </c>
      <c r="DB51" s="92" t="str">
        <f>IF(OR(V22="不要",C56="",C56="  RF"),"",IF(DK51&lt;=12,"Ｂ",IF(DK51&lt;=24,"Ａ","Ｃ")))</f>
        <v>Ｃ</v>
      </c>
      <c r="DC51" s="10"/>
      <c r="DD51" s="8"/>
      <c r="DE51" s="8"/>
      <c r="DF51" s="8"/>
      <c r="DG51" s="8"/>
      <c r="DH51" s="8"/>
      <c r="DI51" s="8"/>
      <c r="DJ51" s="8"/>
      <c r="DK51" s="159">
        <f>IF(OR(C56="",C56="  RF"),0,SUM(Q56:V56))</f>
        <v>55</v>
      </c>
      <c r="DL51" s="8"/>
      <c r="DM51" s="8"/>
      <c r="DN51" s="8"/>
      <c r="DO51" s="8"/>
      <c r="DP51" s="8"/>
      <c r="DQ51" s="8"/>
      <c r="DR51" s="8"/>
      <c r="DS51" s="8"/>
      <c r="DT51" s="8"/>
      <c r="DU51" s="8"/>
      <c r="DV51" s="8"/>
      <c r="DW51" s="8"/>
      <c r="DX51" s="8"/>
      <c r="DY51" s="8"/>
      <c r="DZ51" s="8"/>
      <c r="EA51" s="8"/>
      <c r="EB51" s="8"/>
      <c r="EC51" s="8"/>
      <c r="ED51" s="8"/>
      <c r="EE51" s="8"/>
      <c r="EF51" s="8"/>
      <c r="EG51" s="88">
        <v>4</v>
      </c>
      <c r="EH51" s="204">
        <f t="shared" si="5"/>
        <v>4</v>
      </c>
      <c r="EI51" s="768" t="str">
        <f t="shared" si="6"/>
        <v/>
      </c>
      <c r="EJ51" s="45"/>
      <c r="EK51" s="45"/>
      <c r="EL51" s="45"/>
      <c r="EM51" s="45"/>
      <c r="EN51" s="45"/>
      <c r="EO51" s="785"/>
      <c r="EP51" s="8"/>
      <c r="EQ51" s="88">
        <v>4</v>
      </c>
      <c r="ER51" s="204">
        <f t="shared" si="7"/>
        <v>3</v>
      </c>
      <c r="ES51" s="768" t="str">
        <f t="shared" si="8"/>
        <v/>
      </c>
      <c r="ET51" s="45"/>
      <c r="EU51" s="45"/>
      <c r="EV51" s="154"/>
      <c r="EW51" s="45"/>
      <c r="EX51" s="45"/>
      <c r="EY51" s="785"/>
      <c r="EZ51" s="8"/>
      <c r="FA51" s="88">
        <v>4</v>
      </c>
      <c r="FB51" s="204">
        <f t="shared" si="23"/>
        <v>10</v>
      </c>
      <c r="FC51" s="768" t="str">
        <f t="shared" si="24"/>
        <v/>
      </c>
      <c r="FD51" s="786"/>
      <c r="FE51" s="45"/>
      <c r="FF51" s="154"/>
      <c r="FG51" s="45"/>
      <c r="FH51" s="208"/>
      <c r="FI51" s="785"/>
    </row>
    <row r="52" spans="1:165" ht="12" customHeight="1" thickBot="1">
      <c r="B52" s="23"/>
      <c r="C52" s="3399" t="s">
        <v>1142</v>
      </c>
      <c r="D52" s="3412"/>
      <c r="E52" s="3412"/>
      <c r="F52" s="3412"/>
      <c r="G52" s="3412"/>
      <c r="H52" s="3412"/>
      <c r="I52" s="3412"/>
      <c r="J52" s="3412"/>
      <c r="K52" s="3412"/>
      <c r="L52" s="3413"/>
      <c r="M52" s="3853" t="str">
        <f>非誘!J34</f>
        <v>(3) イ</v>
      </c>
      <c r="N52" s="3854"/>
      <c r="O52" s="3854"/>
      <c r="P52" s="3854"/>
      <c r="Q52" s="3855"/>
      <c r="R52" s="3399" t="str">
        <f>IF($B$2=0,"","共聴機器")</f>
        <v>共聴機器</v>
      </c>
      <c r="S52" s="3412"/>
      <c r="T52" s="3412"/>
      <c r="U52" s="3412"/>
      <c r="V52" s="3413"/>
      <c r="W52" s="3412" t="s">
        <v>1141</v>
      </c>
      <c r="X52" s="3412"/>
      <c r="Y52" s="3412"/>
      <c r="Z52" s="3413"/>
      <c r="AA52" s="2637" t="s">
        <v>1140</v>
      </c>
      <c r="AB52" s="2638"/>
      <c r="AC52" s="2638"/>
      <c r="AD52" s="2638"/>
      <c r="AE52" s="2638"/>
      <c r="AF52" s="2639"/>
      <c r="AG52" s="3879" t="s">
        <v>1139</v>
      </c>
      <c r="AH52" s="3879"/>
      <c r="AI52" s="3879"/>
      <c r="AJ52" s="3879"/>
      <c r="AK52" s="3879"/>
      <c r="AL52" s="3879"/>
      <c r="AM52" s="3879"/>
      <c r="AN52" s="3879"/>
      <c r="AO52" s="3879"/>
      <c r="AP52" s="3879"/>
      <c r="AQ52" s="3879"/>
      <c r="AR52" s="3879"/>
      <c r="AS52" s="2637" t="s">
        <v>1138</v>
      </c>
      <c r="AT52" s="2638"/>
      <c r="AU52" s="2638"/>
      <c r="AV52" s="2638"/>
      <c r="AW52" s="2638"/>
      <c r="AX52" s="2638"/>
      <c r="AY52" s="2638"/>
      <c r="AZ52" s="2638"/>
      <c r="BA52" s="2638"/>
      <c r="BB52" s="2638"/>
      <c r="BC52" s="2638"/>
      <c r="BD52" s="2639"/>
      <c r="BE52" s="2637" t="s">
        <v>1137</v>
      </c>
      <c r="BF52" s="2638"/>
      <c r="BG52" s="2638"/>
      <c r="BH52" s="2638"/>
      <c r="BI52" s="2638"/>
      <c r="BJ52" s="2638"/>
      <c r="BK52" s="2638"/>
      <c r="BL52" s="2638"/>
      <c r="BM52" s="2638"/>
      <c r="BN52" s="2638"/>
      <c r="BO52" s="2638"/>
      <c r="BP52" s="2638"/>
      <c r="BQ52" s="2638"/>
      <c r="BR52" s="2638"/>
      <c r="BS52" s="2638"/>
      <c r="BT52" s="2639"/>
      <c r="BU52" s="19"/>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15"/>
      <c r="DA52" s="788" t="str">
        <f>IF(DB70&lt;&gt;"","Amp-2","")</f>
        <v>Amp-2</v>
      </c>
      <c r="DB52" s="97">
        <f>IF(C56="","",DB43+1)</f>
        <v>4</v>
      </c>
      <c r="DC52" s="15" t="str">
        <f>IF($X$10=C56,"＝",IF(VLOOKUP(C56,[2]!階高,3,FALSE)-VLOOKUP($X$10,[2]!階高,3,FALSE)&gt;0,"＋","－"))</f>
        <v>－</v>
      </c>
      <c r="DD52" s="38"/>
      <c r="DE52" s="113" t="s">
        <v>1051</v>
      </c>
      <c r="DF52" s="113" t="s">
        <v>1050</v>
      </c>
      <c r="DG52" s="113" t="s">
        <v>1049</v>
      </c>
      <c r="DH52" s="113" t="s">
        <v>1048</v>
      </c>
      <c r="DI52" s="113" t="s">
        <v>1047</v>
      </c>
      <c r="DJ52" s="113" t="s">
        <v>1046</v>
      </c>
      <c r="DK52" s="90" t="s">
        <v>1136</v>
      </c>
      <c r="DL52" s="38"/>
      <c r="DM52" s="113" t="s">
        <v>1051</v>
      </c>
      <c r="DN52" s="113" t="s">
        <v>1050</v>
      </c>
      <c r="DO52" s="113" t="s">
        <v>1049</v>
      </c>
      <c r="DP52" s="113" t="s">
        <v>1048</v>
      </c>
      <c r="DQ52" s="113" t="s">
        <v>1047</v>
      </c>
      <c r="DR52" s="113" t="s">
        <v>1046</v>
      </c>
      <c r="DS52" s="38"/>
      <c r="DT52" s="113" t="s">
        <v>1051</v>
      </c>
      <c r="DU52" s="113" t="s">
        <v>1048</v>
      </c>
      <c r="DV52" s="113" t="s">
        <v>1047</v>
      </c>
      <c r="DW52" s="113" t="s">
        <v>1046</v>
      </c>
      <c r="DX52" s="113" t="s">
        <v>1048</v>
      </c>
      <c r="DY52" s="113" t="s">
        <v>1048</v>
      </c>
      <c r="DZ52" s="113" t="s">
        <v>1048</v>
      </c>
      <c r="EA52" s="113"/>
      <c r="EB52" s="776" t="str">
        <f>IF(OR($B$2=0,W56=""),"","混合器 U-U")</f>
        <v/>
      </c>
      <c r="EC52" s="15"/>
      <c r="ED52" s="782" t="str">
        <f>IF(AS56="","","分配器 2D")</f>
        <v>分配器 2D</v>
      </c>
      <c r="EE52" s="15">
        <f>AS56</f>
        <v>5</v>
      </c>
      <c r="EF52" s="15"/>
      <c r="EG52" s="8"/>
      <c r="EH52" s="197">
        <f t="shared" si="5"/>
        <v>4</v>
      </c>
      <c r="EI52" s="773" t="str">
        <f t="shared" si="6"/>
        <v/>
      </c>
      <c r="EJ52" s="203" t="str">
        <f>K58</f>
        <v/>
      </c>
      <c r="EK52" s="9"/>
      <c r="EL52" s="9" t="str">
        <f>IF(COUNTIF($EJ$18:EJ51,EJ52)&gt;0,"",EJ52)</f>
        <v/>
      </c>
      <c r="EM52" s="9"/>
      <c r="EN52" s="14" t="str">
        <f>T58</f>
        <v/>
      </c>
      <c r="EO52" s="771">
        <f t="shared" ref="EO52:EO59" si="25">SUMIF($EJ$25:$EJ$225,EL52,$EN$25:$EN$225)</f>
        <v>0</v>
      </c>
      <c r="EP52" s="8"/>
      <c r="EQ52" s="8"/>
      <c r="ER52" s="197">
        <f t="shared" si="7"/>
        <v>3</v>
      </c>
      <c r="ES52" s="773" t="str">
        <f t="shared" si="8"/>
        <v/>
      </c>
      <c r="ET52" s="203" t="str">
        <f t="shared" ref="ET52:ET59" si="26">EB52</f>
        <v/>
      </c>
      <c r="EU52" s="9"/>
      <c r="EV52" s="11" t="str">
        <f>IF(COUNTIF($ET$18:ET51,ET52)&gt;0,"",ET52)</f>
        <v/>
      </c>
      <c r="EW52" s="9"/>
      <c r="EX52" s="124" t="str">
        <f>W56</f>
        <v/>
      </c>
      <c r="EY52" s="771">
        <f t="shared" ref="EY52:EY59" si="27">SUMIF($ET$25:$ET$225,EV52,$EX$25:$EX$225)</f>
        <v>0</v>
      </c>
      <c r="EZ52" s="8"/>
      <c r="FA52" s="8"/>
      <c r="FB52" s="197">
        <f t="shared" si="23"/>
        <v>10</v>
      </c>
      <c r="FC52" s="773" t="str">
        <f t="shared" si="24"/>
        <v/>
      </c>
      <c r="FD52" s="772" t="str">
        <f t="shared" ref="FD52:FD58" si="28">ED52</f>
        <v>分配器 2D</v>
      </c>
      <c r="FE52" s="9"/>
      <c r="FF52" s="11" t="str">
        <f>IF(COUNTIF($FD$15:FD51,FD52)&gt;0,"",FD52)</f>
        <v/>
      </c>
      <c r="FG52" s="9"/>
      <c r="FH52" s="124">
        <f>AS56</f>
        <v>5</v>
      </c>
      <c r="FI52" s="771">
        <f t="shared" ref="FI52:FI58" si="29">SUMIF($FD$18:$FD$205,FF52,$FH$18:$FH$205)</f>
        <v>0</v>
      </c>
    </row>
    <row r="53" spans="1:165" ht="12" customHeight="1" thickBot="1">
      <c r="B53" s="23"/>
      <c r="C53" s="3857" t="str">
        <f>"　"&amp;非誘!M34</f>
        <v>　料理店等</v>
      </c>
      <c r="D53" s="3858"/>
      <c r="E53" s="3858"/>
      <c r="F53" s="3858"/>
      <c r="G53" s="3858"/>
      <c r="H53" s="3858"/>
      <c r="I53" s="3858"/>
      <c r="J53" s="3858"/>
      <c r="K53" s="3858"/>
      <c r="L53" s="3858"/>
      <c r="M53" s="3858"/>
      <c r="N53" s="3858"/>
      <c r="O53" s="3858"/>
      <c r="P53" s="3858"/>
      <c r="Q53" s="3859"/>
      <c r="R53" s="2337" t="str">
        <f>IF(U53&lt;&gt;"",U53,IF(C56="","","設"))</f>
        <v>設</v>
      </c>
      <c r="S53" s="2337"/>
      <c r="T53" s="175" t="s">
        <v>34</v>
      </c>
      <c r="U53" s="2338"/>
      <c r="V53" s="2338"/>
      <c r="W53" s="3860" t="s">
        <v>1217</v>
      </c>
      <c r="X53" s="3863" t="s">
        <v>1216</v>
      </c>
      <c r="Y53" s="3863" t="s">
        <v>1215</v>
      </c>
      <c r="Z53" s="3866"/>
      <c r="AA53" s="3528" t="s">
        <v>1214</v>
      </c>
      <c r="AB53" s="3519"/>
      <c r="AC53" s="3519"/>
      <c r="AD53" s="3519"/>
      <c r="AE53" s="3519"/>
      <c r="AF53" s="3520"/>
      <c r="AG53" s="3528" t="s">
        <v>1084</v>
      </c>
      <c r="AH53" s="3519"/>
      <c r="AI53" s="3519"/>
      <c r="AJ53" s="3529"/>
      <c r="AK53" s="3518" t="s">
        <v>1210</v>
      </c>
      <c r="AL53" s="3519"/>
      <c r="AM53" s="3519"/>
      <c r="AN53" s="3529"/>
      <c r="AO53" s="3518" t="s">
        <v>1209</v>
      </c>
      <c r="AP53" s="3519"/>
      <c r="AQ53" s="3519"/>
      <c r="AR53" s="3520"/>
      <c r="AS53" s="3528" t="s">
        <v>1208</v>
      </c>
      <c r="AT53" s="3519"/>
      <c r="AU53" s="3519"/>
      <c r="AV53" s="3529"/>
      <c r="AW53" s="3518" t="s">
        <v>1104</v>
      </c>
      <c r="AX53" s="3519"/>
      <c r="AY53" s="3519"/>
      <c r="AZ53" s="3529"/>
      <c r="BA53" s="3518" t="s">
        <v>1083</v>
      </c>
      <c r="BB53" s="3519"/>
      <c r="BC53" s="3519"/>
      <c r="BD53" s="3520"/>
      <c r="BE53" s="3528" t="s">
        <v>1123</v>
      </c>
      <c r="BF53" s="3519"/>
      <c r="BG53" s="3519"/>
      <c r="BH53" s="3519"/>
      <c r="BI53" s="3519"/>
      <c r="BJ53" s="3519"/>
      <c r="BK53" s="3519"/>
      <c r="BL53" s="3529"/>
      <c r="BM53" s="3518" t="s">
        <v>1122</v>
      </c>
      <c r="BN53" s="3519"/>
      <c r="BO53" s="3519"/>
      <c r="BP53" s="3519"/>
      <c r="BQ53" s="3519"/>
      <c r="BR53" s="3519"/>
      <c r="BS53" s="3519"/>
      <c r="BT53" s="3520"/>
      <c r="BU53" s="19"/>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15"/>
      <c r="DA53" s="15">
        <f>IF(AG56&lt;&gt;"",2,IF(AK56&lt;&gt;"",3,0))</f>
        <v>2</v>
      </c>
      <c r="DB53" s="86" t="s">
        <v>79</v>
      </c>
      <c r="DC53" s="86" t="s">
        <v>77</v>
      </c>
      <c r="DD53" s="128" t="s">
        <v>1121</v>
      </c>
      <c r="DE53" s="86">
        <f>IF(AB57&lt;&gt;"Ａ",0,IF(AND(2*DK53&gt;=4,2*DK53&lt;=12),1,0))</f>
        <v>0</v>
      </c>
      <c r="DF53" s="86">
        <f>IF(AB57&lt;&gt;"Ａ",0,IF(AND(2*DK53&gt;=16,DK53&lt;=24),1,0))</f>
        <v>0</v>
      </c>
      <c r="DG53" s="97" t="s">
        <v>96</v>
      </c>
      <c r="DH53" s="86">
        <f>IF(AB57&lt;&gt;"Ａ",0,IF(2*DK53&lt;=4,1,0))</f>
        <v>0</v>
      </c>
      <c r="DI53" s="86">
        <f>IF(AB57&lt;&gt;"Ａ",0,IF(OR(AND(2*DK53&gt;4,2*DK53&lt;=8),AND(2*DK53&gt;12,2*DK53&lt;=16)),1,0))</f>
        <v>0</v>
      </c>
      <c r="DJ53" s="183">
        <f>IF(AB57&lt;&gt;"Ａ",0,IF(OR(AND(2*DK53&gt;8,2*DK53&lt;=12),AND(2*DK53&gt;16,2*DK53&lt;=24)),1,0))</f>
        <v>0</v>
      </c>
      <c r="DK53" s="783">
        <f>IF(OR(C56="",C56="  RF"),0,IF(Q56="",INT((T56)/2),INT((Q56+INT(T56))/2)+1))</f>
        <v>28</v>
      </c>
      <c r="DL53" s="128" t="s">
        <v>1119</v>
      </c>
      <c r="DM53" s="86">
        <f>IF(AB57&lt;&gt;"Ｂ",0,IF(DB50&lt;=6,1,0))</f>
        <v>0</v>
      </c>
      <c r="DN53" s="86">
        <f>IF(AB57&lt;&gt;"Ｂ",0,IF(AND(DB50&gt;6,DB50&lt;=12),1,0))</f>
        <v>0</v>
      </c>
      <c r="DO53" s="97" t="s">
        <v>96</v>
      </c>
      <c r="DP53" s="86">
        <f>IF(AB57&lt;&gt;"Ｂ",0,IF(DB50&lt;=2,1,0))</f>
        <v>0</v>
      </c>
      <c r="DQ53" s="86">
        <f>IF(AB57&lt;&gt;"Ｂ",0,IF(OR(AND(DB50&gt;2,DB50&lt;6),AND(DB50&gt;6,DB50&lt;=8)),1,0))</f>
        <v>0</v>
      </c>
      <c r="DR53" s="86">
        <f>IF(AB57&lt;&gt;"Ｂ",0,IF(OR(AND(DB50&gt;4,DB50&lt;6),AND(DB50&gt;8,DB50&lt;=12)),1,0))</f>
        <v>0</v>
      </c>
      <c r="DS53" s="128" t="s">
        <v>1118</v>
      </c>
      <c r="DT53" s="159">
        <f>IF(AB57&lt;&gt;"Ｃ",0,IF(DX53&lt;&gt;0,DX53,IF(DY53&lt;&gt;0,DY53,IF(DZ53&lt;&gt;0,DZ53,0))))</f>
        <v>5</v>
      </c>
      <c r="DU53" s="159">
        <f>IF(AB57&lt;&gt;"Ｃ",0,IF(DX53=0,0,1))</f>
        <v>0</v>
      </c>
      <c r="DV53" s="159">
        <f>IF(AB57&lt;&gt;"Ｃ",0,IF(DY53=0,0,1))</f>
        <v>0</v>
      </c>
      <c r="DW53" s="783">
        <f>IF(AB57&lt;&gt;"Ｃ",0,IF(DZ53=0,0,1))</f>
        <v>1</v>
      </c>
      <c r="DX53" s="714">
        <f>IF(AB57&lt;&gt;"Ｃ",0,IF(DB50&lt;=12,3,IF(AND(DB50&gt;12,DB50&lt;=16),4,IF(AND(DB50&gt;16,DB50&lt;=20),5,0))))</f>
        <v>0</v>
      </c>
      <c r="DY53" s="86">
        <f>IF(AB57&lt;&gt;"Ｃ",0,IF(AND(DB50&gt;20,DB50&lt;=24),3,IF(AND(DB50&gt;24,DB50&lt;=32),4,IF(AND(DB50&gt;32,DB50&lt;=40),5,0))))</f>
        <v>0</v>
      </c>
      <c r="DZ53" s="97">
        <f>IF(AB57&lt;&gt;"Ｃ",0,IF(AND(DB50&gt;40,DB50&lt;=48),4,IF(AND(DB50&gt;48,DB50&lt;=60),5,0)))</f>
        <v>5</v>
      </c>
      <c r="EA53" s="96"/>
      <c r="EB53" s="776" t="str">
        <f>IF(OR($B$2=0,X56=""),"","混合器 BS-CS")</f>
        <v/>
      </c>
      <c r="EC53" s="96"/>
      <c r="ED53" s="782" t="str">
        <f>IF(AW56="","","分配器 4D")</f>
        <v/>
      </c>
      <c r="EE53" s="96" t="str">
        <f>AW56</f>
        <v/>
      </c>
      <c r="EF53" s="96"/>
      <c r="EG53" s="96"/>
      <c r="EH53" s="197">
        <f t="shared" si="5"/>
        <v>4</v>
      </c>
      <c r="EI53" s="773" t="str">
        <f t="shared" si="6"/>
        <v/>
      </c>
      <c r="EJ53" s="203" t="str">
        <f>K59</f>
        <v>S-7C-FB</v>
      </c>
      <c r="EK53" s="9"/>
      <c r="EL53" s="9" t="str">
        <f>IF(COUNTIF($EJ$18:EJ52,EJ53)&gt;0,"",EJ53)</f>
        <v/>
      </c>
      <c r="EM53" s="9"/>
      <c r="EN53" s="14">
        <f>T59</f>
        <v>74.3</v>
      </c>
      <c r="EO53" s="771">
        <f t="shared" si="25"/>
        <v>0</v>
      </c>
      <c r="EP53" s="8"/>
      <c r="EQ53" s="96"/>
      <c r="ER53" s="197">
        <f t="shared" si="7"/>
        <v>3</v>
      </c>
      <c r="ES53" s="773" t="str">
        <f t="shared" si="8"/>
        <v/>
      </c>
      <c r="ET53" s="203" t="str">
        <f t="shared" si="26"/>
        <v/>
      </c>
      <c r="EU53" s="9"/>
      <c r="EV53" s="11" t="str">
        <f>IF(COUNTIF($ET$18:ET52,ET53)&gt;0,"",ET53)</f>
        <v/>
      </c>
      <c r="EW53" s="9"/>
      <c r="EX53" s="124" t="str">
        <f>X56</f>
        <v/>
      </c>
      <c r="EY53" s="771">
        <f t="shared" si="27"/>
        <v>0</v>
      </c>
      <c r="EZ53" s="8"/>
      <c r="FA53" s="96"/>
      <c r="FB53" s="197">
        <f t="shared" si="23"/>
        <v>10</v>
      </c>
      <c r="FC53" s="773" t="str">
        <f t="shared" si="24"/>
        <v/>
      </c>
      <c r="FD53" s="772" t="str">
        <f t="shared" si="28"/>
        <v/>
      </c>
      <c r="FE53" s="9"/>
      <c r="FF53" s="11" t="str">
        <f>IF(COUNTIF($FD$15:FD52,FD53)&gt;0,"",FD53)</f>
        <v/>
      </c>
      <c r="FG53" s="9"/>
      <c r="FH53" s="124" t="str">
        <f>AW56</f>
        <v/>
      </c>
      <c r="FI53" s="771">
        <f t="shared" si="29"/>
        <v>0</v>
      </c>
    </row>
    <row r="54" spans="1:165" ht="12" customHeight="1" thickBot="1">
      <c r="B54" s="23"/>
      <c r="C54" s="3819" t="s">
        <v>16</v>
      </c>
      <c r="D54" s="3820"/>
      <c r="E54" s="3821"/>
      <c r="F54" s="3869" t="s">
        <v>22</v>
      </c>
      <c r="G54" s="3870"/>
      <c r="H54" s="3871"/>
      <c r="I54" s="3869" t="s">
        <v>5</v>
      </c>
      <c r="J54" s="3870"/>
      <c r="K54" s="3870"/>
      <c r="L54" s="3871"/>
      <c r="M54" s="3819" t="s">
        <v>1117</v>
      </c>
      <c r="N54" s="3820"/>
      <c r="O54" s="3820"/>
      <c r="P54" s="3821"/>
      <c r="Q54" s="3819" t="s">
        <v>1116</v>
      </c>
      <c r="R54" s="3820"/>
      <c r="S54" s="3821"/>
      <c r="T54" s="3819" t="s">
        <v>1116</v>
      </c>
      <c r="U54" s="3820"/>
      <c r="V54" s="3821"/>
      <c r="W54" s="3861"/>
      <c r="X54" s="3864"/>
      <c r="Y54" s="3864"/>
      <c r="Z54" s="3867"/>
      <c r="AA54" s="3872" t="str">
        <f>IF($AG$15&lt;=65,"40/","35/")</f>
        <v>40/</v>
      </c>
      <c r="AB54" s="3873"/>
      <c r="AC54" s="3873"/>
      <c r="AD54" s="3873" t="str">
        <f>IF(CW239&gt;55,"40/","35/")</f>
        <v>35/</v>
      </c>
      <c r="AE54" s="3873"/>
      <c r="AF54" s="3875"/>
      <c r="AG54" s="3876" t="s">
        <v>1114</v>
      </c>
      <c r="AH54" s="3877"/>
      <c r="AI54" s="3877"/>
      <c r="AJ54" s="3877"/>
      <c r="AK54" s="3877"/>
      <c r="AL54" s="3877"/>
      <c r="AM54" s="3877"/>
      <c r="AN54" s="3877"/>
      <c r="AO54" s="3877"/>
      <c r="AP54" s="3877"/>
      <c r="AQ54" s="3877"/>
      <c r="AR54" s="3878"/>
      <c r="AS54" s="3549" t="s">
        <v>1113</v>
      </c>
      <c r="AT54" s="3550"/>
      <c r="AU54" s="3550"/>
      <c r="AV54" s="3550"/>
      <c r="AW54" s="3550"/>
      <c r="AX54" s="3550"/>
      <c r="AY54" s="3550"/>
      <c r="AZ54" s="3550"/>
      <c r="BA54" s="3550"/>
      <c r="BB54" s="3550"/>
      <c r="BC54" s="3550"/>
      <c r="BD54" s="3551"/>
      <c r="BE54" s="3552" t="s">
        <v>1112</v>
      </c>
      <c r="BF54" s="3553"/>
      <c r="BG54" s="3553"/>
      <c r="BH54" s="3553"/>
      <c r="BI54" s="3553" t="s">
        <v>1111</v>
      </c>
      <c r="BJ54" s="3553"/>
      <c r="BK54" s="3553"/>
      <c r="BL54" s="3553"/>
      <c r="BM54" s="3553" t="s">
        <v>1112</v>
      </c>
      <c r="BN54" s="3553"/>
      <c r="BO54" s="3553"/>
      <c r="BP54" s="3553"/>
      <c r="BQ54" s="3553" t="s">
        <v>1111</v>
      </c>
      <c r="BR54" s="3553"/>
      <c r="BS54" s="3553"/>
      <c r="BT54" s="3919"/>
      <c r="BU54" s="19"/>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15"/>
      <c r="DA54" s="67">
        <f>IF(DC52="＋",F56+F47+3,F56+F65+3)</f>
        <v>11</v>
      </c>
      <c r="DB54" s="98">
        <f>IF(C56="  RF","",IF(AN57="","",非誘!BW36))</f>
        <v>30</v>
      </c>
      <c r="DC54" s="98">
        <f>IF(DB54="","",IF(AN57="","",非誘!BX36))</f>
        <v>31.8</v>
      </c>
      <c r="DD54" s="3822" t="s">
        <v>1110</v>
      </c>
      <c r="DE54" s="3823"/>
      <c r="DF54" s="3824" t="s">
        <v>1108</v>
      </c>
      <c r="DG54" s="3824"/>
      <c r="DH54" s="3824" t="s">
        <v>1109</v>
      </c>
      <c r="DI54" s="3824"/>
      <c r="DJ54" s="3823" t="s">
        <v>1108</v>
      </c>
      <c r="DK54" s="3823"/>
      <c r="DL54" s="8"/>
      <c r="DM54" s="113" t="s">
        <v>1107</v>
      </c>
      <c r="DN54" s="113" t="s">
        <v>1106</v>
      </c>
      <c r="DO54" s="113" t="s">
        <v>1105</v>
      </c>
      <c r="DP54" s="8"/>
      <c r="DQ54" s="8"/>
      <c r="DR54" s="8"/>
      <c r="DS54" s="8"/>
      <c r="DT54" s="113" t="s">
        <v>1084</v>
      </c>
      <c r="DU54" s="8"/>
      <c r="DV54" s="113" t="s">
        <v>1104</v>
      </c>
      <c r="DW54" s="113" t="s">
        <v>1083</v>
      </c>
      <c r="DX54" s="8"/>
      <c r="DY54" s="113" t="s">
        <v>1104</v>
      </c>
      <c r="DZ54" s="113" t="s">
        <v>1104</v>
      </c>
      <c r="EA54" s="113"/>
      <c r="EB54" s="776" t="str">
        <f>IF(OR($B$2=0,Y56=""),"","混合器 UV-BC")</f>
        <v/>
      </c>
      <c r="EC54" s="15"/>
      <c r="ED54" s="782" t="str">
        <f>IF(BA56="","","分配器 6D")</f>
        <v>分配器 6D</v>
      </c>
      <c r="EE54" s="15">
        <f>BA56</f>
        <v>1</v>
      </c>
      <c r="EF54" s="15"/>
      <c r="EG54" s="15"/>
      <c r="EH54" s="197">
        <f t="shared" si="5"/>
        <v>4</v>
      </c>
      <c r="EI54" s="773" t="str">
        <f t="shared" si="6"/>
        <v/>
      </c>
      <c r="EJ54" s="203" t="str">
        <f>X58</f>
        <v/>
      </c>
      <c r="EK54" s="9"/>
      <c r="EL54" s="9" t="str">
        <f>IF(COUNTIF($EJ$18:EJ53,EJ54)&gt;0,"",EJ54)</f>
        <v/>
      </c>
      <c r="EM54" s="9"/>
      <c r="EN54" s="14" t="str">
        <f>AI58</f>
        <v/>
      </c>
      <c r="EO54" s="771">
        <f t="shared" si="25"/>
        <v>0</v>
      </c>
      <c r="EP54" s="8"/>
      <c r="EQ54" s="15"/>
      <c r="ER54" s="197">
        <f t="shared" si="7"/>
        <v>3</v>
      </c>
      <c r="ES54" s="773" t="str">
        <f t="shared" si="8"/>
        <v/>
      </c>
      <c r="ET54" s="203" t="str">
        <f t="shared" si="26"/>
        <v/>
      </c>
      <c r="EU54" s="9"/>
      <c r="EV54" s="11" t="str">
        <f>IF(COUNTIF($ET$18:ET53,ET54)&gt;0,"",ET54)</f>
        <v/>
      </c>
      <c r="EW54" s="9"/>
      <c r="EX54" s="124" t="str">
        <f>Y56</f>
        <v/>
      </c>
      <c r="EY54" s="771">
        <f t="shared" si="27"/>
        <v>0</v>
      </c>
      <c r="EZ54" s="8"/>
      <c r="FA54" s="15"/>
      <c r="FB54" s="197">
        <f t="shared" si="23"/>
        <v>10</v>
      </c>
      <c r="FC54" s="773" t="str">
        <f t="shared" si="24"/>
        <v/>
      </c>
      <c r="FD54" s="772" t="str">
        <f t="shared" si="28"/>
        <v>分配器 6D</v>
      </c>
      <c r="FE54" s="9"/>
      <c r="FF54" s="11" t="str">
        <f>IF(COUNTIF($FD$15:FD53,FD54)&gt;0,"",FD54)</f>
        <v/>
      </c>
      <c r="FG54" s="9"/>
      <c r="FH54" s="124">
        <f>BA56</f>
        <v>1</v>
      </c>
      <c r="FI54" s="771">
        <f t="shared" si="29"/>
        <v>0</v>
      </c>
    </row>
    <row r="55" spans="1:165" ht="12" customHeight="1" thickBot="1">
      <c r="B55" s="23"/>
      <c r="C55" s="3819"/>
      <c r="D55" s="3820"/>
      <c r="E55" s="3821"/>
      <c r="F55" s="3827" t="s">
        <v>420</v>
      </c>
      <c r="G55" s="3769"/>
      <c r="H55" s="3828"/>
      <c r="I55" s="3819" t="s">
        <v>420</v>
      </c>
      <c r="J55" s="3820"/>
      <c r="K55" s="3820"/>
      <c r="L55" s="3821"/>
      <c r="M55" s="3819" t="s">
        <v>1150</v>
      </c>
      <c r="N55" s="3820"/>
      <c r="O55" s="3820"/>
      <c r="P55" s="3821"/>
      <c r="Q55" s="3819" t="s">
        <v>1102</v>
      </c>
      <c r="R55" s="3820"/>
      <c r="S55" s="3821"/>
      <c r="T55" s="3819" t="s">
        <v>115</v>
      </c>
      <c r="U55" s="3820"/>
      <c r="V55" s="3821"/>
      <c r="W55" s="3862"/>
      <c r="X55" s="3865"/>
      <c r="Y55" s="3865"/>
      <c r="Z55" s="3868"/>
      <c r="AA55" s="3829">
        <f>IF($AG$15&lt;=65,115,110)</f>
        <v>115</v>
      </c>
      <c r="AB55" s="3562"/>
      <c r="AC55" s="3562"/>
      <c r="AD55" s="3562">
        <f>IF(CW239&gt;55,115,110)</f>
        <v>110</v>
      </c>
      <c r="AE55" s="3562"/>
      <c r="AF55" s="3830"/>
      <c r="AG55" s="3831" t="s">
        <v>1149</v>
      </c>
      <c r="AH55" s="3832"/>
      <c r="AI55" s="3832"/>
      <c r="AJ55" s="3833"/>
      <c r="AK55" s="3834" t="s">
        <v>1148</v>
      </c>
      <c r="AL55" s="3832"/>
      <c r="AM55" s="3832"/>
      <c r="AN55" s="3833"/>
      <c r="AO55" s="3834" t="s">
        <v>1147</v>
      </c>
      <c r="AP55" s="3832"/>
      <c r="AQ55" s="3832"/>
      <c r="AR55" s="3835"/>
      <c r="AS55" s="3836" t="s">
        <v>1146</v>
      </c>
      <c r="AT55" s="3832"/>
      <c r="AU55" s="3832"/>
      <c r="AV55" s="3833"/>
      <c r="AW55" s="3844" t="s">
        <v>1145</v>
      </c>
      <c r="AX55" s="3845"/>
      <c r="AY55" s="3845"/>
      <c r="AZ55" s="3846"/>
      <c r="BA55" s="3558" t="s">
        <v>1094</v>
      </c>
      <c r="BB55" s="3559"/>
      <c r="BC55" s="3559"/>
      <c r="BD55" s="3560"/>
      <c r="BE55" s="3561" t="s">
        <v>1092</v>
      </c>
      <c r="BF55" s="3562"/>
      <c r="BG55" s="3562"/>
      <c r="BH55" s="3562"/>
      <c r="BI55" s="3850" t="s">
        <v>1091</v>
      </c>
      <c r="BJ55" s="3562"/>
      <c r="BK55" s="3562"/>
      <c r="BL55" s="3562"/>
      <c r="BM55" s="3850" t="s">
        <v>1090</v>
      </c>
      <c r="BN55" s="3562"/>
      <c r="BO55" s="3562"/>
      <c r="BP55" s="3562"/>
      <c r="BQ55" s="3850" t="s">
        <v>1089</v>
      </c>
      <c r="BR55" s="3562"/>
      <c r="BS55" s="3562"/>
      <c r="BT55" s="3830"/>
      <c r="BU55" s="19"/>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90"/>
      <c r="DA55" s="15"/>
      <c r="DB55" s="98">
        <f>IF(C56="","",IF(AZ57="①",DB54+DC54+3,IF(AZ57="②",DB54*5/8+DC54+3,IF(AZ57="③",DB54/2+DC54+3,IF(AZ57="④",DB54+DC54*5/8+3,IF(AZ57="⑤",(DB54+DC54)*5/8+3,IF(AZ57="⑥",DB54/2+DC54*5/8+3,IF(AZ57="⑦",DB54+DC54/2+3,IF(AZ57="⑧",DB54*5/8+DC54/2+3,IF(AZ57="⑨",(DB54+DC54)/2+3))))))))))</f>
        <v>48.9</v>
      </c>
      <c r="DC55" s="180" t="s">
        <v>1088</v>
      </c>
      <c r="DD55" s="2589" t="str">
        <f>IF($AL$10="nC-FB","S-5C-FB",IF($AL$10="nD-FB","5D-FB","5C-2V"))</f>
        <v>S-5C-FB</v>
      </c>
      <c r="DE55" s="2591"/>
      <c r="DF55" s="3631">
        <f>IF(C56="  RF",DF46,IF($H$15="ＣＡＴＶ",DB54+DC54/2+F56-($AM$8-$AM$7)/1000+DR55,SUM(DM55:DO55)))</f>
        <v>58.5</v>
      </c>
      <c r="DG55" s="3812"/>
      <c r="DH55" s="2589" t="str">
        <f>IF($H$17="ＣＡＴＶ","G-22mm",IF(RIGHT($AB$17,1)+RIGHT($AF$17,1)+RIGHT($AJ$17,1)&gt;=4,"G-36mm","G-28mm"))</f>
        <v>G-28mm</v>
      </c>
      <c r="DI55" s="2591"/>
      <c r="DJ55" s="3631">
        <f>IF(C56="",0,IF(C56="  RF",DJ46,IF($H$15="ＣＡＴＶ",DB54+DC54/2+F56-($AM$8-$AM$7)/1000,10+F56-($AM$8-$AM$7)/1000)))</f>
        <v>14.5</v>
      </c>
      <c r="DK55" s="3812"/>
      <c r="DL55" s="15"/>
      <c r="DM55" s="98">
        <f>IF(OR($B$2=0,$H$15="ＣＡＴＶ",C56="",C56="  RF"),0,IF($AB$17="","",RIGHT($AB$17,1)*15+F56-($AM$8-$AM$7)/1000))</f>
        <v>19.5</v>
      </c>
      <c r="DN55" s="98">
        <f>IF(OR($B$2=0,$H$15="ＣＡＴＶ",C56="",C56="  RF"),0,IF($AF$17="","",15+F56-($AM$8-$AM$7)/1000))</f>
        <v>19.5</v>
      </c>
      <c r="DO55" s="98">
        <f>IF(OR($B$2=0,$H$15="ＣＡＴＶ",C56="",C56="  RF"),0,IF($AJ$17="","",15+F56-($AM$8-$AM$7)/1000))</f>
        <v>19.5</v>
      </c>
      <c r="DP55" s="15"/>
      <c r="DQ55" s="46" t="s">
        <v>1087</v>
      </c>
      <c r="DR55" s="98" t="str">
        <f>IF($H$17="ＣＡＴＶ",#REF!+#REF!,"")</f>
        <v/>
      </c>
      <c r="DS55" s="128" t="s">
        <v>1078</v>
      </c>
      <c r="DT55" s="159">
        <f>IF(AB57&lt;&gt;"Ｃ",0,IF(DY55&lt;&gt;0,DY55,IF(DZ55&lt;&gt;0,DZ55,0)))</f>
        <v>0</v>
      </c>
      <c r="DU55" s="8"/>
      <c r="DV55" s="86">
        <f>IF(AB57&lt;&gt;"Ｃ",0,IF(DY55=0,0,1))</f>
        <v>0</v>
      </c>
      <c r="DW55" s="86">
        <f>IF(AB57&lt;&gt;"Ｃ",0,IF(DZ55=0,0,1))</f>
        <v>0</v>
      </c>
      <c r="DX55" s="8"/>
      <c r="DY55" s="86">
        <f>IF(AB57&lt;&gt;"Ｃ",0,IF(AND(DB50&gt;60,DB50&lt;=64),4,IF(AND(DB50&gt;64,DB50&lt;=80),5,0)))</f>
        <v>0</v>
      </c>
      <c r="DZ55" s="86">
        <f>IF(AB57&lt;&gt;"Ｃ",0,IF(AND(DB50&gt;80,DB50&lt;=96),4,IF(AND(DB50&gt;96,DB50&lt;=120),5,0)))</f>
        <v>0</v>
      </c>
      <c r="EA55" s="38"/>
      <c r="EB55" s="776" t="str">
        <f>IF(OR($B$2=0,Z56=""),"","混合器 UV-BC")</f>
        <v/>
      </c>
      <c r="EC55" s="12"/>
      <c r="ED55" s="122" t="str">
        <f>IF(BE56="","","直列Unit-中間1端子")</f>
        <v/>
      </c>
      <c r="EE55" s="38" t="str">
        <f>BE56</f>
        <v/>
      </c>
      <c r="EF55" s="38"/>
      <c r="EG55" s="38"/>
      <c r="EH55" s="197">
        <f t="shared" si="5"/>
        <v>4</v>
      </c>
      <c r="EI55" s="773" t="str">
        <f t="shared" si="6"/>
        <v/>
      </c>
      <c r="EJ55" s="203" t="str">
        <f>X59</f>
        <v>PF-S-22mm</v>
      </c>
      <c r="EK55" s="9"/>
      <c r="EL55" s="9" t="str">
        <f>IF(COUNTIF($EJ$18:EJ54,EJ55)&gt;0,"",EJ55)</f>
        <v/>
      </c>
      <c r="EM55" s="9"/>
      <c r="EN55" s="14">
        <f>AI59</f>
        <v>4.5</v>
      </c>
      <c r="EO55" s="771">
        <f t="shared" si="25"/>
        <v>0</v>
      </c>
      <c r="EP55" s="8"/>
      <c r="EQ55" s="38"/>
      <c r="ER55" s="197">
        <f t="shared" si="7"/>
        <v>3</v>
      </c>
      <c r="ES55" s="773" t="str">
        <f t="shared" si="8"/>
        <v/>
      </c>
      <c r="ET55" s="203" t="str">
        <f t="shared" si="26"/>
        <v/>
      </c>
      <c r="EU55" s="9"/>
      <c r="EV55" s="11" t="str">
        <f>IF(COUNTIF($ET$18:ET54,ET55)&gt;0,"",ET55)</f>
        <v/>
      </c>
      <c r="EW55" s="9"/>
      <c r="EX55" s="124">
        <f>Z56</f>
        <v>0</v>
      </c>
      <c r="EY55" s="771">
        <f t="shared" si="27"/>
        <v>0</v>
      </c>
      <c r="EZ55" s="8"/>
      <c r="FA55" s="38"/>
      <c r="FB55" s="197">
        <f t="shared" si="23"/>
        <v>10</v>
      </c>
      <c r="FC55" s="773" t="str">
        <f t="shared" si="24"/>
        <v/>
      </c>
      <c r="FD55" s="772" t="str">
        <f t="shared" si="28"/>
        <v/>
      </c>
      <c r="FE55" s="9"/>
      <c r="FF55" s="11" t="str">
        <f>IF(COUNTIF($FD$15:FD54,FD55)&gt;0,"",FD55)</f>
        <v/>
      </c>
      <c r="FG55" s="9"/>
      <c r="FH55" s="124" t="str">
        <f>BE56</f>
        <v/>
      </c>
      <c r="FI55" s="771">
        <f t="shared" si="29"/>
        <v>0</v>
      </c>
    </row>
    <row r="56" spans="1:165" ht="12" customHeight="1">
      <c r="A56" s="8">
        <v>4</v>
      </c>
      <c r="B56" s="23"/>
      <c r="C56" s="3837" t="str">
        <f>非誘!C36</f>
        <v xml:space="preserve">  2F</v>
      </c>
      <c r="D56" s="3837"/>
      <c r="E56" s="3837"/>
      <c r="F56" s="3838">
        <f>非誘!F36</f>
        <v>4</v>
      </c>
      <c r="G56" s="3839"/>
      <c r="H56" s="3840"/>
      <c r="I56" s="3838">
        <f>非誘!J36</f>
        <v>3</v>
      </c>
      <c r="J56" s="3839"/>
      <c r="K56" s="3839"/>
      <c r="L56" s="3840"/>
      <c r="M56" s="3841">
        <f>非誘!N36</f>
        <v>3816</v>
      </c>
      <c r="N56" s="3842"/>
      <c r="O56" s="3842"/>
      <c r="P56" s="3843"/>
      <c r="Q56" s="3537">
        <f>非誘!AA36</f>
        <v>16</v>
      </c>
      <c r="R56" s="3537"/>
      <c r="S56" s="3537"/>
      <c r="T56" s="3537">
        <f>非誘!AD36</f>
        <v>39</v>
      </c>
      <c r="U56" s="3537"/>
      <c r="V56" s="3537"/>
      <c r="W56" s="795" t="str">
        <f>IF(OR(V23="不要",C56&lt;&gt;$X$10),"",IF(AND($AB$17="UHF×3",$AF$17&lt;&gt;"",$AJ$17&lt;&gt;""),2,IF(OR(AND($AB$17="UHF×3",$AB$17="",$AJ$17=""),AND($AB$17="UHF×3",$AF$17&lt;&gt;"",$AJ$17=""),AND($AB$17="UHF×2",$AF$17&lt;&gt;"",$AJ$17&lt;&gt;"")),1,"")))</f>
        <v/>
      </c>
      <c r="X56" s="794" t="str">
        <f>IF(OR(V23="不要",C56&lt;&gt;$X$10),"",IF(AND($AB$17&lt;&gt;"",$AF$17&lt;&gt;"",$AJ$17&lt;&gt;""),1,""))</f>
        <v/>
      </c>
      <c r="Y56" s="794" t="str">
        <f>IF(OR(V23="不要",C56&lt;&gt;$X$10),"",IF(AND(OR($AB$17="UHF×2",$AB$17="UHF×3"),$AF$17&lt;&gt;"",$AJ$17=""),1,""))</f>
        <v/>
      </c>
      <c r="Z56" s="793"/>
      <c r="AA56" s="3847" t="str">
        <f>IF($B$2=0,"",IF(AND(V23&lt;&gt;"不要",DC52="＝"),1,""))</f>
        <v/>
      </c>
      <c r="AB56" s="3848"/>
      <c r="AC56" s="3848"/>
      <c r="AD56" s="3848">
        <f>IF($B$2=0,"",IF(OR(V23="不要",C56="",C56="  RF"),"",IF(V23="設置",1,"")))</f>
        <v>1</v>
      </c>
      <c r="AE56" s="3848"/>
      <c r="AF56" s="3849"/>
      <c r="AG56" s="3837">
        <f>IF(OR(V23="不要",C56="",C56="  RF"),"",IF(AI56&lt;&gt;"",AI56,IF(DE53+DM53+DT53+DT55+DT57=0,"",DE53+DM53+DT53+DT55+DT57)))</f>
        <v>5</v>
      </c>
      <c r="AH56" s="3837"/>
      <c r="AI56" s="3915"/>
      <c r="AJ56" s="3915"/>
      <c r="AK56" s="3837" t="str">
        <f>IF(OR(V23="不要",C56="",C56="  RF"),"",IF(AM56&lt;&gt;"",AM56,IF(DF53+DN53=0,"",DF53+DN53)))</f>
        <v/>
      </c>
      <c r="AL56" s="3837"/>
      <c r="AM56" s="3915"/>
      <c r="AN56" s="3915"/>
      <c r="AO56" s="3813" t="str">
        <f>IF(AQ56="","",AQ56)</f>
        <v/>
      </c>
      <c r="AP56" s="3814"/>
      <c r="AQ56" s="3915"/>
      <c r="AR56" s="3915"/>
      <c r="AS56" s="3916">
        <f>IF(OR(V23="不要",C56="  RF"),"",IF(AU56&lt;&gt;"",AU56,IF(DH53+DP53+DU53+DX53+DY53+DZ53=0,"",DH53+DP53+DU53+DX53+DY53+DZ53)))</f>
        <v>5</v>
      </c>
      <c r="AT56" s="3837"/>
      <c r="AU56" s="3915"/>
      <c r="AV56" s="3915"/>
      <c r="AW56" s="3837" t="str">
        <f>IF(OR(V23="不要",C56="  RF"),"",IF(AY56&lt;&gt;"",AY56,IF(DI53+DQ53+DV53+DV55+DY55+DZ55=0,"",DI53+DQ53+DV53+DV55+DY55+DZ55)))</f>
        <v/>
      </c>
      <c r="AX56" s="3837"/>
      <c r="AY56" s="3915"/>
      <c r="AZ56" s="3915"/>
      <c r="BA56" s="3837">
        <f>IF(OR(V23="不要",C56="  RF"),"",IF(BC56&lt;&gt;"",BC56,IF(DJ53+DR53+DW53+DW55+DW57+DZ57=0,"",DJ53+DR53+DW53+DW55+DW57+DZ57)))</f>
        <v>1</v>
      </c>
      <c r="BB56" s="3837"/>
      <c r="BC56" s="3915"/>
      <c r="BD56" s="3915"/>
      <c r="BE56" s="3837" t="str">
        <f>IF(OR(V23="不要",$X$11="2端子",C56="",C56="  RF"),"",IF(BG56&lt;&gt;"",BG56,IF(AND(AB57="Ａ",$X$11="1端子"),DK53,"")))</f>
        <v/>
      </c>
      <c r="BF56" s="3837"/>
      <c r="BG56" s="3837" t="str">
        <f>IF(AND(BO56&lt;&gt;"",AB57="Ａ",$X$11="1端子"),BO56,"")</f>
        <v/>
      </c>
      <c r="BH56" s="3837"/>
      <c r="BI56" s="3916" t="str">
        <f>IF(OR(V23="不要",$X$11="1端子",C56="",C56="  RF"),"",IF(BK56&lt;&gt;"",BK56,IF(AND(AB57="Ａ",$X$11="2端子"),DK53,"")))</f>
        <v/>
      </c>
      <c r="BJ56" s="3837"/>
      <c r="BK56" s="3837" t="str">
        <f>IF(AND(BS56&lt;&gt;"",AB57="Ａ",$X$11="2端子"),BS56,"")</f>
        <v/>
      </c>
      <c r="BL56" s="3837"/>
      <c r="BM56" s="3837">
        <f>IF(OR(V23="不要",C56="  RF",C56="",$X$11="2端子"),"",IF(BO56&lt;&gt;"",BO56,IF(AND(AB57="Ａ",$X$11="1端子"),DK53,DK51)))</f>
        <v>55</v>
      </c>
      <c r="BN56" s="3837"/>
      <c r="BO56" s="3915"/>
      <c r="BP56" s="3915"/>
      <c r="BQ56" s="3837" t="str">
        <f>IF(OR(V23="不要",C56="  RF",C56="",$X$11="1端子"),"",IF(BS56&lt;&gt;"",BS56,IF(AND(AB57="Ａ",$X$11="2端子"),DK53,DK51)))</f>
        <v/>
      </c>
      <c r="BR56" s="3837"/>
      <c r="BS56" s="3915"/>
      <c r="BT56" s="3918"/>
      <c r="BU56" s="19"/>
      <c r="BV56" s="8"/>
      <c r="BW56" s="88">
        <f>IF(I56="直天",F56,I56)</f>
        <v>3</v>
      </c>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38"/>
      <c r="DA56" s="15"/>
      <c r="DB56" s="15"/>
      <c r="DC56" s="180" t="s">
        <v>1213</v>
      </c>
      <c r="DD56" s="2589" t="str">
        <f>IF($AL$10="nC-FB","S-7C-FB",IF($AL$10="nD-FB","8D-FB","7C-2V"))</f>
        <v>S-7C-FB</v>
      </c>
      <c r="DE56" s="2591"/>
      <c r="DF56" s="3631">
        <f>IF(OR(C56="",C56="  RF"),0,IF(AB57="Ｃ",2.5*AG56+(DB54+DC54),F56+2))</f>
        <v>74.3</v>
      </c>
      <c r="DG56" s="3812"/>
      <c r="DH56" s="2589" t="str">
        <f>IF(OR(H57="天井ケーブル",H57="天井-PF管"),"PF-S-22mm",IF(H57="天井-CD管","CD-22mm",IF(H57="天井-C 管","C-25mm",IF(H57="天井-G 管","G-22mm",""))))</f>
        <v>PF-S-22mm</v>
      </c>
      <c r="DI56" s="2591"/>
      <c r="DJ56" s="3631">
        <f>IF(OR(C56="",C56="  RF"),0,IF(AB57="Ｃ",F56-($AM$8-$AM$7)/1000,F56))</f>
        <v>4.5</v>
      </c>
      <c r="DK56" s="3812"/>
      <c r="DL56" s="778"/>
      <c r="DM56" s="112"/>
      <c r="DN56" s="190" t="s">
        <v>1219</v>
      </c>
      <c r="DO56" s="98">
        <f>IF(OR(C56="",C56="  RF"),0,(DB54+DC54)/2/SQRT(DK53))</f>
        <v>5.8395511079925599</v>
      </c>
      <c r="DP56" s="15"/>
      <c r="DQ56" s="15"/>
      <c r="DR56" s="15"/>
      <c r="DS56" s="8"/>
      <c r="DT56" s="113" t="s">
        <v>1127</v>
      </c>
      <c r="DU56" s="8"/>
      <c r="DV56" s="113"/>
      <c r="DW56" s="113" t="s">
        <v>1134</v>
      </c>
      <c r="DX56" s="8"/>
      <c r="DY56" s="8"/>
      <c r="DZ56" s="113" t="s">
        <v>1134</v>
      </c>
      <c r="EA56" s="113"/>
      <c r="EB56" s="776" t="str">
        <f>IF(OR($B$2=0,AA56=""),"","増幅器 "&amp;AA54&amp;AA55)</f>
        <v/>
      </c>
      <c r="EC56" s="15"/>
      <c r="ED56" s="122" t="str">
        <f>IF(BI56="","","直列Unit-中間2端子")</f>
        <v/>
      </c>
      <c r="EE56" s="15" t="str">
        <f>BI56</f>
        <v/>
      </c>
      <c r="EF56" s="15"/>
      <c r="EG56" s="15"/>
      <c r="EH56" s="197">
        <f t="shared" si="5"/>
        <v>4</v>
      </c>
      <c r="EI56" s="773" t="str">
        <f t="shared" si="6"/>
        <v/>
      </c>
      <c r="EJ56" s="203" t="str">
        <f>AS58</f>
        <v/>
      </c>
      <c r="EK56" s="9"/>
      <c r="EL56" s="9" t="str">
        <f>IF(COUNTIF($EJ$18:EJ55,EJ56)&gt;0,"",EJ56)</f>
        <v/>
      </c>
      <c r="EM56" s="9"/>
      <c r="EN56" s="14" t="str">
        <f>BB58</f>
        <v/>
      </c>
      <c r="EO56" s="771">
        <f t="shared" si="25"/>
        <v>0</v>
      </c>
      <c r="EP56" s="8"/>
      <c r="EQ56" s="15"/>
      <c r="ER56" s="197">
        <f t="shared" si="7"/>
        <v>3</v>
      </c>
      <c r="ES56" s="773" t="str">
        <f t="shared" si="8"/>
        <v/>
      </c>
      <c r="ET56" s="203" t="str">
        <f t="shared" si="26"/>
        <v/>
      </c>
      <c r="EU56" s="9"/>
      <c r="EV56" s="11" t="str">
        <f>IF(COUNTIF($ET$18:ET55,ET56)&gt;0,"",ET56)</f>
        <v/>
      </c>
      <c r="EW56" s="9"/>
      <c r="EX56" s="124" t="str">
        <f>AA56</f>
        <v/>
      </c>
      <c r="EY56" s="771">
        <f t="shared" si="27"/>
        <v>0</v>
      </c>
      <c r="EZ56" s="8"/>
      <c r="FA56" s="15"/>
      <c r="FB56" s="197">
        <f t="shared" si="23"/>
        <v>10</v>
      </c>
      <c r="FC56" s="773" t="str">
        <f t="shared" si="24"/>
        <v/>
      </c>
      <c r="FD56" s="772" t="str">
        <f t="shared" si="28"/>
        <v/>
      </c>
      <c r="FE56" s="9"/>
      <c r="FF56" s="11" t="str">
        <f>IF(COUNTIF($FD$15:FD55,FD56)&gt;0,"",FD56)</f>
        <v/>
      </c>
      <c r="FG56" s="9"/>
      <c r="FH56" s="124" t="str">
        <f>BI56</f>
        <v/>
      </c>
      <c r="FI56" s="771">
        <f t="shared" si="29"/>
        <v>0</v>
      </c>
    </row>
    <row r="57" spans="1:165" ht="12" customHeight="1">
      <c r="A57" s="8"/>
      <c r="B57" s="23"/>
      <c r="C57" s="2634" t="s">
        <v>135</v>
      </c>
      <c r="D57" s="2634"/>
      <c r="E57" s="2634"/>
      <c r="F57" s="2634"/>
      <c r="G57" s="2634"/>
      <c r="H57" s="3904" t="str">
        <f>IF($B$2=0,"",IF(P57="","天井ケーブル",P57))</f>
        <v>天井ケーブル</v>
      </c>
      <c r="I57" s="3904"/>
      <c r="J57" s="3904"/>
      <c r="K57" s="3904"/>
      <c r="L57" s="3904"/>
      <c r="M57" s="3904"/>
      <c r="N57" s="3904"/>
      <c r="O57" s="173" t="s">
        <v>68</v>
      </c>
      <c r="P57" s="3796"/>
      <c r="Q57" s="3797"/>
      <c r="R57" s="3797"/>
      <c r="S57" s="3797"/>
      <c r="T57" s="3797"/>
      <c r="U57" s="3797"/>
      <c r="V57" s="3798"/>
      <c r="W57" s="2634" t="s">
        <v>1082</v>
      </c>
      <c r="X57" s="2634"/>
      <c r="Y57" s="2634"/>
      <c r="Z57" s="2634"/>
      <c r="AA57" s="2634"/>
      <c r="AB57" s="3799" t="str">
        <f>IF(V23="不要","",IF(AF57&lt;&gt;"",AF57,DB51))</f>
        <v>Ｃ</v>
      </c>
      <c r="AC57" s="3799"/>
      <c r="AD57" s="3799"/>
      <c r="AE57" s="173" t="s">
        <v>68</v>
      </c>
      <c r="AF57" s="3800"/>
      <c r="AG57" s="3801"/>
      <c r="AH57" s="3802"/>
      <c r="AI57" s="2634" t="s">
        <v>20</v>
      </c>
      <c r="AJ57" s="2634"/>
      <c r="AK57" s="2634"/>
      <c r="AL57" s="2634"/>
      <c r="AM57" s="2634"/>
      <c r="AN57" s="3522">
        <f>IF(OR(C56="",C56="  RF"),"",非誘!J35)</f>
        <v>0.94339622641509435</v>
      </c>
      <c r="AO57" s="3523"/>
      <c r="AP57" s="3523"/>
      <c r="AQ57" s="3524"/>
      <c r="AR57" s="3507" t="s">
        <v>1081</v>
      </c>
      <c r="AS57" s="3461"/>
      <c r="AT57" s="3461"/>
      <c r="AU57" s="3461"/>
      <c r="AV57" s="3461"/>
      <c r="AW57" s="3461"/>
      <c r="AX57" s="3461"/>
      <c r="AY57" s="3461"/>
      <c r="AZ57" s="3563" t="str">
        <f>IF(OR(C56="",C56="  RF"),"",IF(BC57="",$AN$11,BC57))</f>
        <v>⑦</v>
      </c>
      <c r="BA57" s="3563"/>
      <c r="BB57" s="777" t="s">
        <v>68</v>
      </c>
      <c r="BC57" s="3567"/>
      <c r="BD57" s="3567"/>
      <c r="BE57" s="3564"/>
      <c r="BF57" s="3565"/>
      <c r="BG57" s="3565"/>
      <c r="BH57" s="3565"/>
      <c r="BI57" s="3565"/>
      <c r="BJ57" s="3565"/>
      <c r="BK57" s="3565"/>
      <c r="BL57" s="3565"/>
      <c r="BM57" s="3565"/>
      <c r="BN57" s="3565"/>
      <c r="BO57" s="3565"/>
      <c r="BP57" s="3565"/>
      <c r="BQ57" s="3565"/>
      <c r="BR57" s="3565"/>
      <c r="BS57" s="3565"/>
      <c r="BT57" s="3566"/>
      <c r="BU57" s="19"/>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38"/>
      <c r="DA57" s="15"/>
      <c r="DB57" s="8"/>
      <c r="DC57" s="180" t="s">
        <v>1080</v>
      </c>
      <c r="DD57" s="2589" t="str">
        <f>IF($AL$10="nC-FB","S-5C-FB",IF($AL$10="nD-FB","5D-FB","5C-2V"))</f>
        <v>S-5C-FB</v>
      </c>
      <c r="DE57" s="2591"/>
      <c r="DF57" s="3631">
        <f>IF(AB57="Ａ",(DK53+2*BW56-($X$7+$X$9)/1000)*DO56+(12+2*BW56-2*$X$9/1000)*DK53+DO57,IF(AB57="Ｂ",(DO56+2*BW56-$X$9/1000)*DK51+DO57,0))</f>
        <v>0</v>
      </c>
      <c r="DG57" s="3812"/>
      <c r="DH57" s="2589" t="str">
        <f>IF(OR(H57="天井ケーブル",H57="天井-PF管"),"PF-S-16mm",IF(H57="天井-CD管","CD-16mm",IF(H57="天井-C 管","C-19mm",IF(H57="天井-G 管","G-16mm",""))))</f>
        <v>PF-S-16mm</v>
      </c>
      <c r="DI57" s="2591"/>
      <c r="DJ57" s="3631">
        <f>IF(OR(C56="",C56="  RF"),0,IF(H57="天井ケーブル",DK51*(BW56-($X$9-$AM$9)/1000),(DO56+2*BW56-$X$9/1000)*DK51+DO57))</f>
        <v>173.25</v>
      </c>
      <c r="DK57" s="3812"/>
      <c r="DL57" s="15"/>
      <c r="DM57" s="46"/>
      <c r="DN57" s="46" t="s">
        <v>1079</v>
      </c>
      <c r="DO57" s="98">
        <f>DB55</f>
        <v>48.9</v>
      </c>
      <c r="DP57" s="15"/>
      <c r="DQ57" s="15"/>
      <c r="DR57" s="15"/>
      <c r="DS57" s="128" t="s">
        <v>1078</v>
      </c>
      <c r="DT57" s="86">
        <f>IF(AB57&lt;&gt;"Ｃ",0,IF(DZ57=0,0,DZ57))</f>
        <v>0</v>
      </c>
      <c r="DU57" s="8"/>
      <c r="DV57" s="8"/>
      <c r="DW57" s="86">
        <f>IF(AB57&lt;&gt;"Ｃ",0,IF(DZ57=0,0,1))</f>
        <v>0</v>
      </c>
      <c r="DX57" s="8"/>
      <c r="DY57" s="8"/>
      <c r="DZ57" s="86">
        <f>IF(AB57&lt;&gt;"Ｃ",0,IF(AND(DB50&gt;120,DB50&lt;=144),4,IF(AND(DB50&gt;144,DB50&lt;=180),5,0)))</f>
        <v>0</v>
      </c>
      <c r="EA57" s="38"/>
      <c r="EB57" s="776" t="str">
        <f>IF(OR($B$2=0,AD56=""),"","増幅器 "&amp;AD54&amp;AD55)</f>
        <v>増幅器 35/110</v>
      </c>
      <c r="EC57" s="38"/>
      <c r="ED57" s="122" t="str">
        <f>IF(BM56="","","直列Unit-終端1端子")</f>
        <v>直列Unit-終端1端子</v>
      </c>
      <c r="EE57" s="38">
        <f>BM56</f>
        <v>55</v>
      </c>
      <c r="EF57" s="38"/>
      <c r="EG57" s="38"/>
      <c r="EH57" s="197">
        <f t="shared" ref="EH57:EH88" si="30">IF(EL57&lt;&gt;"",EH56+1,EH56)</f>
        <v>4</v>
      </c>
      <c r="EI57" s="773" t="str">
        <f t="shared" ref="EI57:EI88" si="31">IF(AND(EH57&lt;&gt;"",EL57&lt;&gt;""),EH57,"")</f>
        <v/>
      </c>
      <c r="EJ57" s="203" t="str">
        <f>AS59</f>
        <v>S-5C-FB</v>
      </c>
      <c r="EK57" s="9"/>
      <c r="EL57" s="9" t="str">
        <f>IF(COUNTIF($EJ$18:EJ56,EJ57)&gt;0,"",EJ57)</f>
        <v/>
      </c>
      <c r="EM57" s="9"/>
      <c r="EN57" s="14">
        <f>BB59</f>
        <v>955.6</v>
      </c>
      <c r="EO57" s="771">
        <f t="shared" si="25"/>
        <v>0</v>
      </c>
      <c r="EP57" s="8"/>
      <c r="EQ57" s="38"/>
      <c r="ER57" s="197">
        <f t="shared" ref="ER57:ER88" si="32">IF(EV57&lt;&gt;"",ER56+1,ER56)</f>
        <v>3</v>
      </c>
      <c r="ES57" s="773" t="str">
        <f t="shared" ref="ES57:ES88" si="33">IF(AND(ER57&lt;&gt;"",EV57&lt;&gt;""),ER57,"")</f>
        <v/>
      </c>
      <c r="ET57" s="203" t="str">
        <f t="shared" si="26"/>
        <v>増幅器 35/110</v>
      </c>
      <c r="EU57" s="9"/>
      <c r="EV57" s="11" t="str">
        <f>IF(COUNTIF($ET$18:ET56,ET57)&gt;0,"",ET57)</f>
        <v/>
      </c>
      <c r="EW57" s="9"/>
      <c r="EX57" s="124">
        <f>AD56</f>
        <v>1</v>
      </c>
      <c r="EY57" s="771">
        <f t="shared" si="27"/>
        <v>0</v>
      </c>
      <c r="EZ57" s="8"/>
      <c r="FA57" s="38"/>
      <c r="FB57" s="197">
        <f t="shared" si="23"/>
        <v>10</v>
      </c>
      <c r="FC57" s="773" t="str">
        <f t="shared" si="24"/>
        <v/>
      </c>
      <c r="FD57" s="772" t="str">
        <f t="shared" si="28"/>
        <v>直列Unit-終端1端子</v>
      </c>
      <c r="FE57" s="9"/>
      <c r="FF57" s="11" t="str">
        <f>IF(COUNTIF($FD$15:FD56,FD57)&gt;0,"",FD57)</f>
        <v/>
      </c>
      <c r="FG57" s="9"/>
      <c r="FH57" s="124">
        <f>BM56</f>
        <v>55</v>
      </c>
      <c r="FI57" s="771">
        <f t="shared" si="29"/>
        <v>0</v>
      </c>
    </row>
    <row r="58" spans="1:165" ht="12" customHeight="1">
      <c r="A58" s="8"/>
      <c r="B58" s="23"/>
      <c r="C58" s="3905" t="s">
        <v>449</v>
      </c>
      <c r="D58" s="3905"/>
      <c r="E58" s="3905"/>
      <c r="F58" s="3904" t="str">
        <f>IF($H$15="ＣＡＴＶ","CATV引込","アンテナ部")</f>
        <v>アンテナ部</v>
      </c>
      <c r="G58" s="3904"/>
      <c r="H58" s="3904"/>
      <c r="I58" s="3904"/>
      <c r="J58" s="3904"/>
      <c r="K58" s="3908" t="str">
        <f>IF(OR(V23="不要",$B$2=0,C56&lt;&gt;$X$10),"",IF(P58&lt;&gt;"",P58,DD55))</f>
        <v/>
      </c>
      <c r="L58" s="3908"/>
      <c r="M58" s="3908"/>
      <c r="N58" s="3908"/>
      <c r="O58" s="173" t="s">
        <v>34</v>
      </c>
      <c r="P58" s="3517"/>
      <c r="Q58" s="3517"/>
      <c r="R58" s="3517"/>
      <c r="S58" s="3517"/>
      <c r="T58" s="3526" t="str">
        <f>IF(AND(C56&lt;&gt;"",K58&lt;&gt;""),DF55,"")</f>
        <v/>
      </c>
      <c r="U58" s="3526"/>
      <c r="V58" s="3526"/>
      <c r="W58" s="3526"/>
      <c r="X58" s="3908" t="str">
        <f>IF(OR($B$2=0,K58=""),"",IF(AD58&lt;&gt;"",AD58,DH55))</f>
        <v/>
      </c>
      <c r="Y58" s="3908"/>
      <c r="Z58" s="3908"/>
      <c r="AA58" s="3908"/>
      <c r="AB58" s="3908"/>
      <c r="AC58" s="173" t="s">
        <v>34</v>
      </c>
      <c r="AD58" s="3525"/>
      <c r="AE58" s="3525"/>
      <c r="AF58" s="3525"/>
      <c r="AG58" s="3525"/>
      <c r="AH58" s="3525"/>
      <c r="AI58" s="3526" t="str">
        <f>IF(X58="","",IF(DJ55="","",DJ55))</f>
        <v/>
      </c>
      <c r="AJ58" s="3526"/>
      <c r="AK58" s="3526"/>
      <c r="AL58" s="3526"/>
      <c r="AM58" s="3904" t="s">
        <v>1077</v>
      </c>
      <c r="AN58" s="3904"/>
      <c r="AO58" s="3904"/>
      <c r="AP58" s="3904"/>
      <c r="AQ58" s="3904"/>
      <c r="AR58" s="3904"/>
      <c r="AS58" s="3908" t="str">
        <f>IF(OR(V23="不要",$B$2=0,C56="",C56="  RF",AB57="Ｃ"),"",IF(AX58&lt;&gt;"",AX58,DD57))</f>
        <v/>
      </c>
      <c r="AT58" s="3908"/>
      <c r="AU58" s="3908"/>
      <c r="AV58" s="3908"/>
      <c r="AW58" s="173" t="s">
        <v>34</v>
      </c>
      <c r="AX58" s="3517"/>
      <c r="AY58" s="3517"/>
      <c r="AZ58" s="3517"/>
      <c r="BA58" s="3517"/>
      <c r="BB58" s="3537" t="str">
        <f>IF(AS58&lt;&gt;"",DF57,"")</f>
        <v/>
      </c>
      <c r="BC58" s="3537"/>
      <c r="BD58" s="3537"/>
      <c r="BE58" s="3537"/>
      <c r="BF58" s="3908" t="str">
        <f>IF(OR(C56="",AS58=""),"",IF(AB57="Ａ",DH56,DH57))</f>
        <v/>
      </c>
      <c r="BG58" s="3908"/>
      <c r="BH58" s="3908"/>
      <c r="BI58" s="3908"/>
      <c r="BJ58" s="3908"/>
      <c r="BK58" s="173" t="s">
        <v>34</v>
      </c>
      <c r="BL58" s="3525"/>
      <c r="BM58" s="3525"/>
      <c r="BN58" s="3525"/>
      <c r="BO58" s="3525"/>
      <c r="BP58" s="3525"/>
      <c r="BQ58" s="3526" t="str">
        <f>IF(BF58="","",DJ57)</f>
        <v/>
      </c>
      <c r="BR58" s="3526"/>
      <c r="BS58" s="3526"/>
      <c r="BT58" s="3527"/>
      <c r="BU58" s="19"/>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774" t="s">
        <v>1180</v>
      </c>
      <c r="DD58" s="2589" t="str">
        <f>DD57</f>
        <v>S-5C-FB</v>
      </c>
      <c r="DE58" s="2591"/>
      <c r="DF58" s="3631">
        <f>IF(OR(C56="",C56="  RF",I56="直天"),0,1+INT(12+BW56-($X$9-$AM$9)/1000)*DK51+DO58)</f>
        <v>955.6</v>
      </c>
      <c r="DG58" s="3812"/>
      <c r="DH58" s="2589" t="str">
        <f>DH57</f>
        <v>PF-S-16mm</v>
      </c>
      <c r="DI58" s="2591"/>
      <c r="DJ58" s="3631">
        <f>IF(OR(C56="",C56="  RF"),0,IF(H57="天井ケーブル",DK51*(BW56-($X$9-2*$AM$9)/1000),1+INT(12+BW56-$X$9/1000)*DK51))</f>
        <v>189.75</v>
      </c>
      <c r="DK58" s="3812"/>
      <c r="DL58" s="15"/>
      <c r="DM58" s="15"/>
      <c r="DN58" s="46" t="s">
        <v>1075</v>
      </c>
      <c r="DO58" s="97">
        <f>IF(C56="",0,IF($AW$8=0,0,2*($AW$8/1000-0.15-0.1)*(INT(1000*DB54/$AW$10)+1)*(INT(1000*DC54/$AW$10)+1)*4))</f>
        <v>129.6</v>
      </c>
      <c r="DP58" s="15"/>
      <c r="DQ58" s="15"/>
      <c r="DR58" s="15"/>
      <c r="DS58" s="8"/>
      <c r="DT58" s="8"/>
      <c r="DU58" s="8"/>
      <c r="DV58" s="8"/>
      <c r="DW58" s="8"/>
      <c r="DX58" s="8"/>
      <c r="DY58" s="8"/>
      <c r="DZ58" s="8"/>
      <c r="EA58" s="8"/>
      <c r="EB58" s="769" t="str">
        <f>IF(OR($B$2=0,AG56=""),"","分岐器 1C")</f>
        <v>分岐器 1C</v>
      </c>
      <c r="EC58" s="8"/>
      <c r="ED58" s="122" t="str">
        <f>IF(BQ56="","","直列Unit-終端2端子")</f>
        <v/>
      </c>
      <c r="EE58" s="8" t="str">
        <f>BQ56</f>
        <v/>
      </c>
      <c r="EF58" s="8"/>
      <c r="EG58" s="8"/>
      <c r="EH58" s="197">
        <f t="shared" si="30"/>
        <v>4</v>
      </c>
      <c r="EI58" s="773" t="str">
        <f t="shared" si="31"/>
        <v/>
      </c>
      <c r="EJ58" s="203" t="str">
        <f>BF58</f>
        <v/>
      </c>
      <c r="EK58" s="9"/>
      <c r="EL58" s="9" t="str">
        <f>IF(COUNTIF($EJ$18:EJ57,EJ58)&gt;0,"",EJ58)</f>
        <v/>
      </c>
      <c r="EM58" s="9"/>
      <c r="EN58" s="14" t="str">
        <f>BQ58</f>
        <v/>
      </c>
      <c r="EO58" s="771">
        <f t="shared" si="25"/>
        <v>0</v>
      </c>
      <c r="EP58" s="8"/>
      <c r="EQ58" s="8"/>
      <c r="ER58" s="197">
        <f t="shared" si="32"/>
        <v>3</v>
      </c>
      <c r="ES58" s="773" t="str">
        <f t="shared" si="33"/>
        <v/>
      </c>
      <c r="ET58" s="203" t="str">
        <f t="shared" si="26"/>
        <v>分岐器 1C</v>
      </c>
      <c r="EU58" s="9"/>
      <c r="EV58" s="11" t="str">
        <f>IF(COUNTIF($ET$18:ET57,ET58)&gt;0,"",ET58)</f>
        <v/>
      </c>
      <c r="EW58" s="9"/>
      <c r="EX58" s="124">
        <f>AG56</f>
        <v>5</v>
      </c>
      <c r="EY58" s="771">
        <f t="shared" si="27"/>
        <v>0</v>
      </c>
      <c r="EZ58" s="8"/>
      <c r="FA58" s="8"/>
      <c r="FB58" s="197">
        <f t="shared" si="23"/>
        <v>10</v>
      </c>
      <c r="FC58" s="773" t="str">
        <f t="shared" si="24"/>
        <v/>
      </c>
      <c r="FD58" s="772" t="str">
        <f t="shared" si="28"/>
        <v/>
      </c>
      <c r="FE58" s="9"/>
      <c r="FF58" s="11" t="str">
        <f>IF(COUNTIF($FD$15:FD57,FD58)&gt;0,"",FD58)</f>
        <v/>
      </c>
      <c r="FG58" s="9"/>
      <c r="FH58" s="124" t="str">
        <f>BQ56</f>
        <v/>
      </c>
      <c r="FI58" s="771">
        <f t="shared" si="29"/>
        <v>0</v>
      </c>
    </row>
    <row r="59" spans="1:165" ht="12" customHeight="1" thickBot="1">
      <c r="A59" s="8"/>
      <c r="B59" s="23"/>
      <c r="C59" s="3922"/>
      <c r="D59" s="3922"/>
      <c r="E59" s="3922"/>
      <c r="F59" s="3920" t="s">
        <v>1074</v>
      </c>
      <c r="G59" s="3920"/>
      <c r="H59" s="3920"/>
      <c r="I59" s="3920"/>
      <c r="J59" s="3920"/>
      <c r="K59" s="3506" t="str">
        <f>IF(OR(C56="",C56="  RF",$B$2=0),"",IF(P59&lt;&gt;"",P59,DD56))</f>
        <v>S-7C-FB</v>
      </c>
      <c r="L59" s="3506"/>
      <c r="M59" s="3506"/>
      <c r="N59" s="3506"/>
      <c r="O59" s="800" t="s">
        <v>68</v>
      </c>
      <c r="P59" s="3536"/>
      <c r="Q59" s="3536"/>
      <c r="R59" s="3536"/>
      <c r="S59" s="3536"/>
      <c r="T59" s="3538">
        <f>IF(R53="不",F56,IF(K59="","",DF56))</f>
        <v>74.3</v>
      </c>
      <c r="U59" s="3538"/>
      <c r="V59" s="3538"/>
      <c r="W59" s="3538"/>
      <c r="X59" s="3506" t="str">
        <f>IF(R53="不","",IF(OR(C56="",K59=""),"",IF(AD59&lt;&gt;"",AD59,IF(DH56="","",DH56))))</f>
        <v>PF-S-22mm</v>
      </c>
      <c r="Y59" s="3506"/>
      <c r="Z59" s="3506"/>
      <c r="AA59" s="3506"/>
      <c r="AB59" s="3506"/>
      <c r="AC59" s="800" t="s">
        <v>68</v>
      </c>
      <c r="AD59" s="3533"/>
      <c r="AE59" s="3533"/>
      <c r="AF59" s="3533"/>
      <c r="AG59" s="3533"/>
      <c r="AH59" s="3533"/>
      <c r="AI59" s="3538">
        <f>IF(X59="","",DJ56)</f>
        <v>4.5</v>
      </c>
      <c r="AJ59" s="3538"/>
      <c r="AK59" s="3538"/>
      <c r="AL59" s="3538"/>
      <c r="AM59" s="3920" t="s">
        <v>1073</v>
      </c>
      <c r="AN59" s="3920"/>
      <c r="AO59" s="3920"/>
      <c r="AP59" s="3920"/>
      <c r="AQ59" s="3920"/>
      <c r="AR59" s="3920"/>
      <c r="AS59" s="3506" t="str">
        <f>IF(OR(V23="不要",$B$2=0,C56="",AB57&lt;&gt;"Ｃ"),"",IF(AX59&lt;&gt;"",AX59,DD58))</f>
        <v>S-5C-FB</v>
      </c>
      <c r="AT59" s="3506"/>
      <c r="AU59" s="3506"/>
      <c r="AV59" s="3506"/>
      <c r="AW59" s="800" t="s">
        <v>68</v>
      </c>
      <c r="AX59" s="3536"/>
      <c r="AY59" s="3536"/>
      <c r="AZ59" s="3536"/>
      <c r="BA59" s="3536"/>
      <c r="BB59" s="3921">
        <f>IF(AS59="","",DF58)</f>
        <v>955.6</v>
      </c>
      <c r="BC59" s="3921"/>
      <c r="BD59" s="3921"/>
      <c r="BE59" s="3921"/>
      <c r="BF59" s="3506" t="str">
        <f>IF(OR(C56="",AS59=""),"",IF(BL59&lt;&gt;"",BL59,DH58))</f>
        <v>PF-S-16mm</v>
      </c>
      <c r="BG59" s="3506"/>
      <c r="BH59" s="3506"/>
      <c r="BI59" s="3506"/>
      <c r="BJ59" s="3506"/>
      <c r="BK59" s="800" t="s">
        <v>68</v>
      </c>
      <c r="BL59" s="3533"/>
      <c r="BM59" s="3533"/>
      <c r="BN59" s="3533"/>
      <c r="BO59" s="3533"/>
      <c r="BP59" s="3533"/>
      <c r="BQ59" s="3538">
        <f>IF(BF59="","",DJ58)</f>
        <v>189.75</v>
      </c>
      <c r="BR59" s="3538"/>
      <c r="BS59" s="3538"/>
      <c r="BT59" s="3539"/>
      <c r="BU59" s="19"/>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8">
        <f>IF(AND(AB66="Ａ",$X$11="2端子"),BI65+BQ65,IF(AND(AB66="Ａ",$X$11="1端子"),BE65+BM65,IF(AND(AB66="Ｂ",$X$11="1端子"),BM65,IF(AND(AB66="Ｂ",$X$11="2端子"),BQ65,IF(AND(AB66="Ｃ",$X$11="1端子"),BM65,BQ65)))))</f>
        <v>38</v>
      </c>
      <c r="DC59" s="10"/>
      <c r="DD59" s="8"/>
      <c r="DE59" s="8"/>
      <c r="DF59" s="8"/>
      <c r="DG59" s="8"/>
      <c r="DH59" s="8"/>
      <c r="DI59" s="8"/>
      <c r="DJ59" s="8"/>
      <c r="DK59" s="8"/>
      <c r="DL59" s="8"/>
      <c r="DM59" s="8"/>
      <c r="DN59" s="8"/>
      <c r="DO59" s="8"/>
      <c r="DP59" s="15"/>
      <c r="DQ59" s="15"/>
      <c r="DR59" s="15"/>
      <c r="DS59" s="8"/>
      <c r="DT59" s="8"/>
      <c r="DU59" s="8"/>
      <c r="DV59" s="8"/>
      <c r="DW59" s="8"/>
      <c r="DX59" s="8"/>
      <c r="DY59" s="8"/>
      <c r="DZ59" s="8"/>
      <c r="EA59" s="8"/>
      <c r="EB59" s="769" t="str">
        <f>IF(OR($B$2=0,AK56=""),"","分岐器 2C")</f>
        <v/>
      </c>
      <c r="EC59" s="8"/>
      <c r="ED59" s="10"/>
      <c r="EE59" s="8"/>
      <c r="EF59" s="8"/>
      <c r="EG59" s="8"/>
      <c r="EH59" s="197">
        <f t="shared" si="30"/>
        <v>4</v>
      </c>
      <c r="EI59" s="773" t="str">
        <f t="shared" si="31"/>
        <v/>
      </c>
      <c r="EJ59" s="203" t="str">
        <f>BF59</f>
        <v>PF-S-16mm</v>
      </c>
      <c r="EK59" s="9"/>
      <c r="EL59" s="9" t="str">
        <f>IF(COUNTIF($EJ$18:EJ58,EJ59)&gt;0,"",EJ59)</f>
        <v/>
      </c>
      <c r="EM59" s="9"/>
      <c r="EN59" s="14">
        <f>BQ59</f>
        <v>189.75</v>
      </c>
      <c r="EO59" s="771">
        <f t="shared" si="25"/>
        <v>0</v>
      </c>
      <c r="EP59" s="8"/>
      <c r="EQ59" s="8"/>
      <c r="ER59" s="197">
        <f t="shared" si="32"/>
        <v>3</v>
      </c>
      <c r="ES59" s="773" t="str">
        <f t="shared" si="33"/>
        <v/>
      </c>
      <c r="ET59" s="203" t="str">
        <f t="shared" si="26"/>
        <v/>
      </c>
      <c r="EU59" s="9"/>
      <c r="EV59" s="11" t="str">
        <f>IF(COUNTIF($ET$18:ET58,ET59)&gt;0,"",ET59)</f>
        <v/>
      </c>
      <c r="EW59" s="9"/>
      <c r="EX59" s="124" t="str">
        <f>AK56</f>
        <v/>
      </c>
      <c r="EY59" s="771">
        <f t="shared" si="27"/>
        <v>0</v>
      </c>
      <c r="EZ59" s="8"/>
      <c r="FA59" s="8"/>
      <c r="FB59" s="197">
        <f t="shared" si="23"/>
        <v>10</v>
      </c>
      <c r="FC59" s="773" t="str">
        <f t="shared" si="24"/>
        <v/>
      </c>
      <c r="FD59" s="772"/>
      <c r="FE59" s="9"/>
      <c r="FF59" s="11"/>
      <c r="FG59" s="9"/>
      <c r="FH59" s="124"/>
      <c r="FI59" s="771"/>
    </row>
    <row r="60" spans="1:165" ht="12" customHeight="1" thickBot="1">
      <c r="B60" s="23"/>
      <c r="C60" s="20"/>
      <c r="D60" s="20"/>
      <c r="E60" s="20"/>
      <c r="F60" s="20"/>
      <c r="G60" s="20"/>
      <c r="H60" s="20"/>
      <c r="I60" s="20"/>
      <c r="J60" s="20"/>
      <c r="K60" s="20"/>
      <c r="L60" s="20"/>
      <c r="M60" s="20"/>
      <c r="N60" s="20"/>
      <c r="O60" s="20"/>
      <c r="P60" s="20"/>
      <c r="Q60" s="787" t="str">
        <f>IF(AND(OR(AB66="Ａ",F240="Ａ"),DB59&gt;24),"直列ユニット数………配線方式Ａ：24以下!!",IF(AND(OR(AB66="Ｂ",F240="Ｂ"),DB59&gt;12),"直列ユニット数………配線方式Ｂ：12以下!!",IF(AND(OR(AB66="Ｃ",F240="Ｃ"),DB59&gt;180),"直列ユニット数………配線方式Ｃ：180以下!!","")))</f>
        <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19"/>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v>5</v>
      </c>
      <c r="DB60" s="92" t="str">
        <f>IF(OR(V31="不要",C65="",C65="  RF"),"",IF(DK60&lt;=12,"Ｂ",IF(DK60&lt;=24,"Ａ","Ｃ")))</f>
        <v>Ｃ</v>
      </c>
      <c r="DC60" s="10"/>
      <c r="DD60" s="8"/>
      <c r="DE60" s="8"/>
      <c r="DF60" s="8"/>
      <c r="DG60" s="8"/>
      <c r="DH60" s="8"/>
      <c r="DI60" s="8"/>
      <c r="DJ60" s="8"/>
      <c r="DK60" s="159">
        <f>IF(OR(C65="",C65="  RF"),0,SUM(Q65:V65))</f>
        <v>38</v>
      </c>
      <c r="DL60" s="8"/>
      <c r="DM60" s="8"/>
      <c r="DN60" s="8"/>
      <c r="DO60" s="8"/>
      <c r="DP60" s="8"/>
      <c r="DQ60" s="8"/>
      <c r="DR60" s="8"/>
      <c r="DS60" s="8"/>
      <c r="DT60" s="8"/>
      <c r="DU60" s="8"/>
      <c r="DV60" s="8"/>
      <c r="DW60" s="8"/>
      <c r="DX60" s="8"/>
      <c r="DY60" s="8"/>
      <c r="DZ60" s="8"/>
      <c r="EA60" s="8"/>
      <c r="EB60" s="8"/>
      <c r="EC60" s="8"/>
      <c r="ED60" s="8"/>
      <c r="EE60" s="8"/>
      <c r="EF60" s="8"/>
      <c r="EG60" s="88">
        <v>5</v>
      </c>
      <c r="EH60" s="204">
        <f t="shared" si="30"/>
        <v>4</v>
      </c>
      <c r="EI60" s="768" t="str">
        <f t="shared" si="31"/>
        <v/>
      </c>
      <c r="EJ60" s="45"/>
      <c r="EK60" s="45"/>
      <c r="EL60" s="45"/>
      <c r="EM60" s="45"/>
      <c r="EN60" s="45"/>
      <c r="EO60" s="785"/>
      <c r="EP60" s="8"/>
      <c r="EQ60" s="88">
        <v>5</v>
      </c>
      <c r="ER60" s="204">
        <f t="shared" si="32"/>
        <v>3</v>
      </c>
      <c r="ES60" s="768" t="str">
        <f t="shared" si="33"/>
        <v/>
      </c>
      <c r="ET60" s="45"/>
      <c r="EU60" s="45"/>
      <c r="EV60" s="154"/>
      <c r="EW60" s="45"/>
      <c r="EX60" s="45"/>
      <c r="EY60" s="785"/>
      <c r="EZ60" s="8"/>
      <c r="FA60" s="88">
        <v>5</v>
      </c>
      <c r="FB60" s="204">
        <f t="shared" si="23"/>
        <v>10</v>
      </c>
      <c r="FC60" s="768" t="str">
        <f t="shared" si="24"/>
        <v/>
      </c>
      <c r="FD60" s="786"/>
      <c r="FE60" s="45"/>
      <c r="FF60" s="154"/>
      <c r="FG60" s="45"/>
      <c r="FH60" s="208"/>
      <c r="FI60" s="785"/>
    </row>
    <row r="61" spans="1:165" ht="12" customHeight="1" thickBot="1">
      <c r="B61" s="23"/>
      <c r="C61" s="3399" t="s">
        <v>1142</v>
      </c>
      <c r="D61" s="3412"/>
      <c r="E61" s="3412"/>
      <c r="F61" s="3412"/>
      <c r="G61" s="3412"/>
      <c r="H61" s="3412"/>
      <c r="I61" s="3412"/>
      <c r="J61" s="3412"/>
      <c r="K61" s="3412"/>
      <c r="L61" s="3413"/>
      <c r="M61" s="3853" t="str">
        <f>非誘!J40</f>
        <v>( 4 )</v>
      </c>
      <c r="N61" s="3854"/>
      <c r="O61" s="3854"/>
      <c r="P61" s="3854"/>
      <c r="Q61" s="3855"/>
      <c r="R61" s="3399" t="str">
        <f>IF($B$2=0,"","共聴機器")</f>
        <v>共聴機器</v>
      </c>
      <c r="S61" s="3412"/>
      <c r="T61" s="3412"/>
      <c r="U61" s="3412"/>
      <c r="V61" s="3413"/>
      <c r="W61" s="3412" t="s">
        <v>1141</v>
      </c>
      <c r="X61" s="3412"/>
      <c r="Y61" s="3412"/>
      <c r="Z61" s="3413"/>
      <c r="AA61" s="2637" t="s">
        <v>1140</v>
      </c>
      <c r="AB61" s="2638"/>
      <c r="AC61" s="2638"/>
      <c r="AD61" s="2638"/>
      <c r="AE61" s="2638"/>
      <c r="AF61" s="2639"/>
      <c r="AG61" s="3879" t="s">
        <v>1139</v>
      </c>
      <c r="AH61" s="3879"/>
      <c r="AI61" s="3879"/>
      <c r="AJ61" s="3879"/>
      <c r="AK61" s="3879"/>
      <c r="AL61" s="3879"/>
      <c r="AM61" s="3879"/>
      <c r="AN61" s="3879"/>
      <c r="AO61" s="3879"/>
      <c r="AP61" s="3879"/>
      <c r="AQ61" s="3879"/>
      <c r="AR61" s="3879"/>
      <c r="AS61" s="2637" t="s">
        <v>1138</v>
      </c>
      <c r="AT61" s="2638"/>
      <c r="AU61" s="2638"/>
      <c r="AV61" s="2638"/>
      <c r="AW61" s="2638"/>
      <c r="AX61" s="2638"/>
      <c r="AY61" s="2638"/>
      <c r="AZ61" s="2638"/>
      <c r="BA61" s="2638"/>
      <c r="BB61" s="2638"/>
      <c r="BC61" s="2638"/>
      <c r="BD61" s="2639"/>
      <c r="BE61" s="2637" t="s">
        <v>1137</v>
      </c>
      <c r="BF61" s="2638"/>
      <c r="BG61" s="2638"/>
      <c r="BH61" s="2638"/>
      <c r="BI61" s="2638"/>
      <c r="BJ61" s="2638"/>
      <c r="BK61" s="2638"/>
      <c r="BL61" s="2638"/>
      <c r="BM61" s="2638"/>
      <c r="BN61" s="2638"/>
      <c r="BO61" s="2638"/>
      <c r="BP61" s="2638"/>
      <c r="BQ61" s="2638"/>
      <c r="BR61" s="2638"/>
      <c r="BS61" s="2638"/>
      <c r="BT61" s="2639"/>
      <c r="BU61" s="19"/>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15"/>
      <c r="DA61" s="784"/>
      <c r="DB61" s="97">
        <f>IF(C65="","",DB52+1)</f>
        <v>5</v>
      </c>
      <c r="DC61" s="15" t="str">
        <f>IF($X$10=C65,"＝",IF(VLOOKUP(C65,[2]!階高,3,FALSE)-VLOOKUP($X$10,[2]!階高,3,FALSE)&gt;0,"＋","－"))</f>
        <v>－</v>
      </c>
      <c r="DD61" s="38"/>
      <c r="DE61" s="113" t="s">
        <v>1051</v>
      </c>
      <c r="DF61" s="113" t="s">
        <v>1050</v>
      </c>
      <c r="DG61" s="113" t="s">
        <v>1049</v>
      </c>
      <c r="DH61" s="113" t="s">
        <v>1048</v>
      </c>
      <c r="DI61" s="113" t="s">
        <v>1047</v>
      </c>
      <c r="DJ61" s="113" t="s">
        <v>1046</v>
      </c>
      <c r="DK61" s="90" t="s">
        <v>1136</v>
      </c>
      <c r="DL61" s="38"/>
      <c r="DM61" s="113" t="s">
        <v>1051</v>
      </c>
      <c r="DN61" s="113" t="s">
        <v>1050</v>
      </c>
      <c r="DO61" s="113" t="s">
        <v>1049</v>
      </c>
      <c r="DP61" s="113" t="s">
        <v>1048</v>
      </c>
      <c r="DQ61" s="113" t="s">
        <v>1047</v>
      </c>
      <c r="DR61" s="113" t="s">
        <v>1046</v>
      </c>
      <c r="DS61" s="38"/>
      <c r="DT61" s="113" t="s">
        <v>1051</v>
      </c>
      <c r="DU61" s="113" t="s">
        <v>1048</v>
      </c>
      <c r="DV61" s="113" t="s">
        <v>1047</v>
      </c>
      <c r="DW61" s="113" t="s">
        <v>1046</v>
      </c>
      <c r="DX61" s="113" t="s">
        <v>1048</v>
      </c>
      <c r="DY61" s="113" t="s">
        <v>1048</v>
      </c>
      <c r="DZ61" s="113" t="s">
        <v>1048</v>
      </c>
      <c r="EA61" s="113"/>
      <c r="EB61" s="776" t="str">
        <f>IF(OR($B$2=0,W65=""),"","混合器 U-U")</f>
        <v/>
      </c>
      <c r="EC61" s="15"/>
      <c r="ED61" s="782" t="str">
        <f>IF(AS65="","","分配器 2D")</f>
        <v>分配器 2D</v>
      </c>
      <c r="EE61" s="15">
        <f>AS65</f>
        <v>5</v>
      </c>
      <c r="EF61" s="15"/>
      <c r="EG61" s="8"/>
      <c r="EH61" s="197">
        <f t="shared" si="30"/>
        <v>4</v>
      </c>
      <c r="EI61" s="773" t="str">
        <f t="shared" si="31"/>
        <v/>
      </c>
      <c r="EJ61" s="203" t="str">
        <f>K67</f>
        <v/>
      </c>
      <c r="EK61" s="9"/>
      <c r="EL61" s="9" t="str">
        <f>IF(COUNTIF($EJ$18:EJ60,EJ61)&gt;0,"",EJ61)</f>
        <v/>
      </c>
      <c r="EM61" s="9"/>
      <c r="EN61" s="14" t="str">
        <f>T67</f>
        <v/>
      </c>
      <c r="EO61" s="771">
        <f t="shared" ref="EO61:EO68" si="34">SUMIF($EJ$25:$EJ$225,EL61,$EN$25:$EN$225)</f>
        <v>0</v>
      </c>
      <c r="EP61" s="8"/>
      <c r="EQ61" s="8"/>
      <c r="ER61" s="197">
        <f t="shared" si="32"/>
        <v>3</v>
      </c>
      <c r="ES61" s="773" t="str">
        <f t="shared" si="33"/>
        <v/>
      </c>
      <c r="ET61" s="203" t="str">
        <f t="shared" ref="ET61:ET68" si="35">EB61</f>
        <v/>
      </c>
      <c r="EU61" s="9"/>
      <c r="EV61" s="11" t="str">
        <f>IF(COUNTIF($ET$18:ET60,ET61)&gt;0,"",ET61)</f>
        <v/>
      </c>
      <c r="EW61" s="9"/>
      <c r="EX61" s="124" t="str">
        <f>W65</f>
        <v/>
      </c>
      <c r="EY61" s="771">
        <f t="shared" ref="EY61:EY68" si="36">SUMIF($ET$25:$ET$225,EV61,$EX$25:$EX$225)</f>
        <v>0</v>
      </c>
      <c r="EZ61" s="8"/>
      <c r="FA61" s="8"/>
      <c r="FB61" s="197">
        <f t="shared" si="23"/>
        <v>10</v>
      </c>
      <c r="FC61" s="773" t="str">
        <f t="shared" si="24"/>
        <v/>
      </c>
      <c r="FD61" s="772" t="str">
        <f t="shared" ref="FD61:FD67" si="37">ED61</f>
        <v>分配器 2D</v>
      </c>
      <c r="FE61" s="9"/>
      <c r="FF61" s="11" t="str">
        <f>IF(COUNTIF($FD$15:FD60,FD61)&gt;0,"",FD61)</f>
        <v/>
      </c>
      <c r="FG61" s="9"/>
      <c r="FH61" s="124">
        <f>AS65</f>
        <v>5</v>
      </c>
      <c r="FI61" s="771">
        <f t="shared" ref="FI61:FI67" si="38">SUMIF($FD$18:$FD$205,FF61,$FH$18:$FH$205)</f>
        <v>0</v>
      </c>
    </row>
    <row r="62" spans="1:165" ht="12" customHeight="1" thickBot="1">
      <c r="B62" s="23"/>
      <c r="C62" s="3857" t="str">
        <f>"　"&amp;非誘!M40</f>
        <v>　百貨店等</v>
      </c>
      <c r="D62" s="3858"/>
      <c r="E62" s="3858"/>
      <c r="F62" s="3858"/>
      <c r="G62" s="3858"/>
      <c r="H62" s="3858"/>
      <c r="I62" s="3858"/>
      <c r="J62" s="3858"/>
      <c r="K62" s="3858"/>
      <c r="L62" s="3858"/>
      <c r="M62" s="3858"/>
      <c r="N62" s="3858"/>
      <c r="O62" s="3858"/>
      <c r="P62" s="3858"/>
      <c r="Q62" s="3859"/>
      <c r="R62" s="2337" t="str">
        <f>IF(U62&lt;&gt;"",U62,IF(C65="","","設"))</f>
        <v>設</v>
      </c>
      <c r="S62" s="2337"/>
      <c r="T62" s="175" t="s">
        <v>1236</v>
      </c>
      <c r="U62" s="2338"/>
      <c r="V62" s="2338"/>
      <c r="W62" s="3860" t="s">
        <v>1272</v>
      </c>
      <c r="X62" s="3863" t="s">
        <v>1271</v>
      </c>
      <c r="Y62" s="3863" t="s">
        <v>1270</v>
      </c>
      <c r="Z62" s="3866"/>
      <c r="AA62" s="3528" t="s">
        <v>1269</v>
      </c>
      <c r="AB62" s="3519"/>
      <c r="AC62" s="3519"/>
      <c r="AD62" s="3519"/>
      <c r="AE62" s="3519"/>
      <c r="AF62" s="3520"/>
      <c r="AG62" s="3528" t="s">
        <v>1232</v>
      </c>
      <c r="AH62" s="3519"/>
      <c r="AI62" s="3519"/>
      <c r="AJ62" s="3529"/>
      <c r="AK62" s="3518" t="s">
        <v>1234</v>
      </c>
      <c r="AL62" s="3519"/>
      <c r="AM62" s="3519"/>
      <c r="AN62" s="3529"/>
      <c r="AO62" s="3518" t="s">
        <v>1233</v>
      </c>
      <c r="AP62" s="3519"/>
      <c r="AQ62" s="3519"/>
      <c r="AR62" s="3520"/>
      <c r="AS62" s="3528" t="s">
        <v>1229</v>
      </c>
      <c r="AT62" s="3519"/>
      <c r="AU62" s="3519"/>
      <c r="AV62" s="3529"/>
      <c r="AW62" s="3518" t="s">
        <v>1231</v>
      </c>
      <c r="AX62" s="3519"/>
      <c r="AY62" s="3519"/>
      <c r="AZ62" s="3529"/>
      <c r="BA62" s="3518" t="s">
        <v>1230</v>
      </c>
      <c r="BB62" s="3519"/>
      <c r="BC62" s="3519"/>
      <c r="BD62" s="3520"/>
      <c r="BE62" s="3528" t="s">
        <v>1123</v>
      </c>
      <c r="BF62" s="3519"/>
      <c r="BG62" s="3519"/>
      <c r="BH62" s="3519"/>
      <c r="BI62" s="3519"/>
      <c r="BJ62" s="3519"/>
      <c r="BK62" s="3519"/>
      <c r="BL62" s="3529"/>
      <c r="BM62" s="3518" t="s">
        <v>1122</v>
      </c>
      <c r="BN62" s="3519"/>
      <c r="BO62" s="3519"/>
      <c r="BP62" s="3519"/>
      <c r="BQ62" s="3519"/>
      <c r="BR62" s="3519"/>
      <c r="BS62" s="3519"/>
      <c r="BT62" s="3520"/>
      <c r="BU62" s="19"/>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15"/>
      <c r="DA62" s="15">
        <f>IF(AG65&lt;&gt;"",2,IF(AK65&lt;&gt;"",3,0))</f>
        <v>2</v>
      </c>
      <c r="DB62" s="86" t="s">
        <v>1268</v>
      </c>
      <c r="DC62" s="86" t="s">
        <v>1267</v>
      </c>
      <c r="DD62" s="128" t="s">
        <v>1266</v>
      </c>
      <c r="DE62" s="86">
        <f>IF(AB66&lt;&gt;"Ａ",0,IF(AND(2*DK62&gt;=4,2*DK62&lt;=12),1,0))</f>
        <v>0</v>
      </c>
      <c r="DF62" s="86">
        <f>IF(AB66&lt;&gt;"Ａ",0,IF(AND(2*DK62&gt;=16,DK62&lt;=24),1,0))</f>
        <v>0</v>
      </c>
      <c r="DG62" s="97" t="s">
        <v>1264</v>
      </c>
      <c r="DH62" s="86">
        <f>IF(AB66&lt;&gt;"Ａ",0,IF(2*DK62&lt;=4,1,0))</f>
        <v>0</v>
      </c>
      <c r="DI62" s="86">
        <f>IF(AB66&lt;&gt;"Ａ",0,IF(OR(AND(2*DK62&gt;4,2*DK62&lt;=8),AND(2*DK62&gt;12,2*DK62&lt;=16)),1,0))</f>
        <v>0</v>
      </c>
      <c r="DJ62" s="183">
        <f>IF(AB66&lt;&gt;"Ａ",0,IF(OR(AND(2*DK62&gt;8,2*DK62&lt;=12),AND(2*DK62&gt;16,2*DK62&lt;=24)),1,0))</f>
        <v>0</v>
      </c>
      <c r="DK62" s="783">
        <f>IF(OR(C65="",C65="  RF"),0,IF(Q65="",INT((T65)/2),INT((Q65+INT(T65))/2)+1))</f>
        <v>20</v>
      </c>
      <c r="DL62" s="128" t="s">
        <v>1265</v>
      </c>
      <c r="DM62" s="86">
        <f>IF(AB66&lt;&gt;"Ｂ",0,IF(DB59&lt;=6,1,0))</f>
        <v>0</v>
      </c>
      <c r="DN62" s="86">
        <f>IF(AB66&lt;&gt;"Ｂ",0,IF(AND(DB59&gt;6,DB59&lt;=12),1,0))</f>
        <v>0</v>
      </c>
      <c r="DO62" s="97" t="s">
        <v>1264</v>
      </c>
      <c r="DP62" s="86">
        <f>IF(AB66&lt;&gt;"Ｂ",0,IF(DB59&lt;=2,1,0))</f>
        <v>0</v>
      </c>
      <c r="DQ62" s="86">
        <f>IF(AB66&lt;&gt;"Ｂ",0,IF(OR(AND(DB59&gt;2,DB59&lt;6),AND(DB59&gt;6,DB59&lt;=8)),1,0))</f>
        <v>0</v>
      </c>
      <c r="DR62" s="86">
        <f>IF(AB66&lt;&gt;"Ｂ",0,IF(OR(AND(DB59&gt;4,DB59&lt;6),AND(DB59&gt;8,DB59&lt;=12)),1,0))</f>
        <v>0</v>
      </c>
      <c r="DS62" s="128" t="s">
        <v>1238</v>
      </c>
      <c r="DT62" s="159">
        <f>IF(AB66&lt;&gt;"Ｃ",0,IF(DX62&lt;&gt;0,DX62,IF(DY62&lt;&gt;0,DY62,IF(DZ62&lt;&gt;0,DZ62,0))))</f>
        <v>5</v>
      </c>
      <c r="DU62" s="159">
        <f>IF(AB66&lt;&gt;"Ｃ",0,IF(DX62=0,0,1))</f>
        <v>0</v>
      </c>
      <c r="DV62" s="159">
        <f>IF(AB66&lt;&gt;"Ｃ",0,IF(DY62=0,0,1))</f>
        <v>1</v>
      </c>
      <c r="DW62" s="783">
        <f>IF(AB66&lt;&gt;"Ｃ",0,IF(DZ62=0,0,1))</f>
        <v>0</v>
      </c>
      <c r="DX62" s="714">
        <f>IF(AB66&lt;&gt;"Ｃ",0,IF(DB59&lt;=12,3,IF(AND(DB59&gt;12,DB59&lt;=16),4,IF(AND(DB59&gt;16,DB59&lt;=20),5,0))))</f>
        <v>0</v>
      </c>
      <c r="DY62" s="86">
        <f>IF(AB66&lt;&gt;"Ｃ",0,IF(AND(DB59&gt;20,DB59&lt;=24),3,IF(AND(DB59&gt;24,DB59&lt;=32),4,IF(AND(DB59&gt;32,DB59&lt;=40),5,0))))</f>
        <v>5</v>
      </c>
      <c r="DZ62" s="97">
        <f>IF(AB66&lt;&gt;"Ｃ",0,IF(AND(DB59&gt;40,DB59&lt;=48),4,IF(AND(DB59&gt;48,DB59&lt;=60),5,0)))</f>
        <v>0</v>
      </c>
      <c r="EA62" s="96"/>
      <c r="EB62" s="776" t="str">
        <f>IF(OR($B$2=0,X65=""),"","混合器 BS-CS")</f>
        <v/>
      </c>
      <c r="EC62" s="96"/>
      <c r="ED62" s="782" t="str">
        <f>IF(AW65="","","分配器 4D")</f>
        <v>分配器 4D</v>
      </c>
      <c r="EE62" s="96">
        <f>AW65</f>
        <v>1</v>
      </c>
      <c r="EF62" s="96"/>
      <c r="EG62" s="96"/>
      <c r="EH62" s="197">
        <f t="shared" si="30"/>
        <v>4</v>
      </c>
      <c r="EI62" s="773" t="str">
        <f t="shared" si="31"/>
        <v/>
      </c>
      <c r="EJ62" s="203" t="str">
        <f>K68</f>
        <v>S-7C-FB</v>
      </c>
      <c r="EK62" s="9"/>
      <c r="EL62" s="9" t="str">
        <f>IF(COUNTIF($EJ$18:EJ61,EJ62)&gt;0,"",EJ62)</f>
        <v/>
      </c>
      <c r="EM62" s="9"/>
      <c r="EN62" s="14">
        <f>T68</f>
        <v>74.3</v>
      </c>
      <c r="EO62" s="771">
        <f t="shared" si="34"/>
        <v>0</v>
      </c>
      <c r="EP62" s="8"/>
      <c r="EQ62" s="96"/>
      <c r="ER62" s="197">
        <f t="shared" si="32"/>
        <v>3</v>
      </c>
      <c r="ES62" s="773" t="str">
        <f t="shared" si="33"/>
        <v/>
      </c>
      <c r="ET62" s="203" t="str">
        <f t="shared" si="35"/>
        <v/>
      </c>
      <c r="EU62" s="9"/>
      <c r="EV62" s="11" t="str">
        <f>IF(COUNTIF($ET$18:ET61,ET62)&gt;0,"",ET62)</f>
        <v/>
      </c>
      <c r="EW62" s="9"/>
      <c r="EX62" s="124" t="str">
        <f>X65</f>
        <v/>
      </c>
      <c r="EY62" s="771">
        <f t="shared" si="36"/>
        <v>0</v>
      </c>
      <c r="EZ62" s="8"/>
      <c r="FA62" s="96"/>
      <c r="FB62" s="197">
        <f t="shared" si="23"/>
        <v>10</v>
      </c>
      <c r="FC62" s="773" t="str">
        <f t="shared" si="24"/>
        <v/>
      </c>
      <c r="FD62" s="772" t="str">
        <f t="shared" si="37"/>
        <v>分配器 4D</v>
      </c>
      <c r="FE62" s="9"/>
      <c r="FF62" s="11" t="str">
        <f>IF(COUNTIF($FD$15:FD61,FD62)&gt;0,"",FD62)</f>
        <v/>
      </c>
      <c r="FG62" s="9"/>
      <c r="FH62" s="124">
        <f>AW65</f>
        <v>1</v>
      </c>
      <c r="FI62" s="771">
        <f t="shared" si="38"/>
        <v>0</v>
      </c>
    </row>
    <row r="63" spans="1:165" ht="12" customHeight="1" thickBot="1">
      <c r="B63" s="23"/>
      <c r="C63" s="3819" t="s">
        <v>16</v>
      </c>
      <c r="D63" s="3820"/>
      <c r="E63" s="3821"/>
      <c r="F63" s="3869" t="s">
        <v>22</v>
      </c>
      <c r="G63" s="3870"/>
      <c r="H63" s="3871"/>
      <c r="I63" s="3869" t="s">
        <v>5</v>
      </c>
      <c r="J63" s="3870"/>
      <c r="K63" s="3870"/>
      <c r="L63" s="3871"/>
      <c r="M63" s="3819" t="s">
        <v>1263</v>
      </c>
      <c r="N63" s="3820"/>
      <c r="O63" s="3820"/>
      <c r="P63" s="3821"/>
      <c r="Q63" s="3819" t="s">
        <v>1262</v>
      </c>
      <c r="R63" s="3820"/>
      <c r="S63" s="3821"/>
      <c r="T63" s="3819" t="s">
        <v>1262</v>
      </c>
      <c r="U63" s="3820"/>
      <c r="V63" s="3821"/>
      <c r="W63" s="3861"/>
      <c r="X63" s="3864"/>
      <c r="Y63" s="3864"/>
      <c r="Z63" s="3867"/>
      <c r="AA63" s="3872" t="str">
        <f>IF($AG$15&lt;=65,"40/","35/")</f>
        <v>40/</v>
      </c>
      <c r="AB63" s="3873"/>
      <c r="AC63" s="3873"/>
      <c r="AD63" s="3873" t="str">
        <f>IF(CW241&gt;55,"40/","35/")</f>
        <v>35/</v>
      </c>
      <c r="AE63" s="3873"/>
      <c r="AF63" s="3875"/>
      <c r="AG63" s="3876" t="s">
        <v>1114</v>
      </c>
      <c r="AH63" s="3877"/>
      <c r="AI63" s="3877"/>
      <c r="AJ63" s="3877"/>
      <c r="AK63" s="3877"/>
      <c r="AL63" s="3877"/>
      <c r="AM63" s="3877"/>
      <c r="AN63" s="3877"/>
      <c r="AO63" s="3877"/>
      <c r="AP63" s="3877"/>
      <c r="AQ63" s="3877"/>
      <c r="AR63" s="3878"/>
      <c r="AS63" s="3549" t="s">
        <v>1113</v>
      </c>
      <c r="AT63" s="3550"/>
      <c r="AU63" s="3550"/>
      <c r="AV63" s="3550"/>
      <c r="AW63" s="3550"/>
      <c r="AX63" s="3550"/>
      <c r="AY63" s="3550"/>
      <c r="AZ63" s="3550"/>
      <c r="BA63" s="3550"/>
      <c r="BB63" s="3550"/>
      <c r="BC63" s="3550"/>
      <c r="BD63" s="3551"/>
      <c r="BE63" s="3552" t="s">
        <v>1112</v>
      </c>
      <c r="BF63" s="3553"/>
      <c r="BG63" s="3553"/>
      <c r="BH63" s="3553"/>
      <c r="BI63" s="3553" t="s">
        <v>1111</v>
      </c>
      <c r="BJ63" s="3553"/>
      <c r="BK63" s="3553"/>
      <c r="BL63" s="3553"/>
      <c r="BM63" s="3553" t="s">
        <v>1112</v>
      </c>
      <c r="BN63" s="3553"/>
      <c r="BO63" s="3553"/>
      <c r="BP63" s="3553"/>
      <c r="BQ63" s="3553" t="s">
        <v>1111</v>
      </c>
      <c r="BR63" s="3553"/>
      <c r="BS63" s="3553"/>
      <c r="BT63" s="3919"/>
      <c r="BU63" s="19"/>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15"/>
      <c r="DA63" s="67">
        <f>IF(DC61="＋",F65+F56+3,F65+F74+3)</f>
        <v>11</v>
      </c>
      <c r="DB63" s="98">
        <f>IF(C65="  RF","",IF(AN66="","",非誘!BW42))</f>
        <v>30</v>
      </c>
      <c r="DC63" s="98">
        <f>IF(DB63="","",IF(AN66="","",非誘!BX42))</f>
        <v>31.8</v>
      </c>
      <c r="DD63" s="3822" t="s">
        <v>1261</v>
      </c>
      <c r="DE63" s="3823"/>
      <c r="DF63" s="3824" t="s">
        <v>1259</v>
      </c>
      <c r="DG63" s="3824"/>
      <c r="DH63" s="3824" t="s">
        <v>1260</v>
      </c>
      <c r="DI63" s="3824"/>
      <c r="DJ63" s="3823" t="s">
        <v>1259</v>
      </c>
      <c r="DK63" s="3823"/>
      <c r="DL63" s="8"/>
      <c r="DM63" s="113" t="s">
        <v>1258</v>
      </c>
      <c r="DN63" s="113" t="s">
        <v>1257</v>
      </c>
      <c r="DO63" s="113" t="s">
        <v>1256</v>
      </c>
      <c r="DP63" s="8"/>
      <c r="DQ63" s="8"/>
      <c r="DR63" s="8"/>
      <c r="DS63" s="8"/>
      <c r="DT63" s="113" t="s">
        <v>1232</v>
      </c>
      <c r="DU63" s="8"/>
      <c r="DV63" s="113" t="s">
        <v>1231</v>
      </c>
      <c r="DW63" s="113" t="s">
        <v>1230</v>
      </c>
      <c r="DX63" s="8"/>
      <c r="DY63" s="113" t="s">
        <v>1231</v>
      </c>
      <c r="DZ63" s="113" t="s">
        <v>1231</v>
      </c>
      <c r="EA63" s="113"/>
      <c r="EB63" s="776" t="str">
        <f>IF(OR($B$2=0,Y65=""),"","混合器 UV-BC")</f>
        <v/>
      </c>
      <c r="EC63" s="15"/>
      <c r="ED63" s="782" t="str">
        <f>IF(BA65="","","分配器 6D")</f>
        <v/>
      </c>
      <c r="EE63" s="15" t="str">
        <f>BA65</f>
        <v/>
      </c>
      <c r="EF63" s="15"/>
      <c r="EG63" s="15"/>
      <c r="EH63" s="197">
        <f t="shared" si="30"/>
        <v>4</v>
      </c>
      <c r="EI63" s="773" t="str">
        <f t="shared" si="31"/>
        <v/>
      </c>
      <c r="EJ63" s="203" t="str">
        <f>X67</f>
        <v/>
      </c>
      <c r="EK63" s="9"/>
      <c r="EL63" s="9" t="str">
        <f>IF(COUNTIF($EJ$18:EJ62,EJ63)&gt;0,"",EJ63)</f>
        <v/>
      </c>
      <c r="EM63" s="9"/>
      <c r="EN63" s="14" t="str">
        <f>AI67</f>
        <v/>
      </c>
      <c r="EO63" s="771">
        <f t="shared" si="34"/>
        <v>0</v>
      </c>
      <c r="EP63" s="8"/>
      <c r="EQ63" s="15"/>
      <c r="ER63" s="197">
        <f t="shared" si="32"/>
        <v>3</v>
      </c>
      <c r="ES63" s="773" t="str">
        <f t="shared" si="33"/>
        <v/>
      </c>
      <c r="ET63" s="203" t="str">
        <f t="shared" si="35"/>
        <v/>
      </c>
      <c r="EU63" s="9"/>
      <c r="EV63" s="11" t="str">
        <f>IF(COUNTIF($ET$18:ET62,ET63)&gt;0,"",ET63)</f>
        <v/>
      </c>
      <c r="EW63" s="9"/>
      <c r="EX63" s="124" t="str">
        <f>Y65</f>
        <v/>
      </c>
      <c r="EY63" s="771">
        <f t="shared" si="36"/>
        <v>0</v>
      </c>
      <c r="EZ63" s="8"/>
      <c r="FA63" s="15"/>
      <c r="FB63" s="197">
        <f t="shared" si="23"/>
        <v>10</v>
      </c>
      <c r="FC63" s="773" t="str">
        <f t="shared" si="24"/>
        <v/>
      </c>
      <c r="FD63" s="772" t="str">
        <f t="shared" si="37"/>
        <v/>
      </c>
      <c r="FE63" s="9"/>
      <c r="FF63" s="11" t="str">
        <f>IF(COUNTIF($FD$15:FD62,FD63)&gt;0,"",FD63)</f>
        <v/>
      </c>
      <c r="FG63" s="9"/>
      <c r="FH63" s="124" t="str">
        <f>BA65</f>
        <v/>
      </c>
      <c r="FI63" s="771">
        <f t="shared" si="38"/>
        <v>0</v>
      </c>
    </row>
    <row r="64" spans="1:165" ht="12" customHeight="1" thickBot="1">
      <c r="B64" s="23"/>
      <c r="C64" s="3819"/>
      <c r="D64" s="3820"/>
      <c r="E64" s="3821"/>
      <c r="F64" s="3827" t="s">
        <v>1255</v>
      </c>
      <c r="G64" s="3769"/>
      <c r="H64" s="3828"/>
      <c r="I64" s="3819" t="s">
        <v>1255</v>
      </c>
      <c r="J64" s="3820"/>
      <c r="K64" s="3820"/>
      <c r="L64" s="3821"/>
      <c r="M64" s="3819" t="s">
        <v>1254</v>
      </c>
      <c r="N64" s="3820"/>
      <c r="O64" s="3820"/>
      <c r="P64" s="3821"/>
      <c r="Q64" s="3819" t="s">
        <v>1102</v>
      </c>
      <c r="R64" s="3820"/>
      <c r="S64" s="3821"/>
      <c r="T64" s="3819" t="s">
        <v>115</v>
      </c>
      <c r="U64" s="3820"/>
      <c r="V64" s="3821"/>
      <c r="W64" s="3862"/>
      <c r="X64" s="3865"/>
      <c r="Y64" s="3865"/>
      <c r="Z64" s="3868"/>
      <c r="AA64" s="3829">
        <f>IF($AG$15&lt;=65,115,110)</f>
        <v>115</v>
      </c>
      <c r="AB64" s="3562"/>
      <c r="AC64" s="3562"/>
      <c r="AD64" s="3562">
        <f>IF(CW241&gt;55,115,110)</f>
        <v>110</v>
      </c>
      <c r="AE64" s="3562"/>
      <c r="AF64" s="3830"/>
      <c r="AG64" s="3831" t="s">
        <v>1253</v>
      </c>
      <c r="AH64" s="3832"/>
      <c r="AI64" s="3832"/>
      <c r="AJ64" s="3833"/>
      <c r="AK64" s="3834" t="s">
        <v>1252</v>
      </c>
      <c r="AL64" s="3832"/>
      <c r="AM64" s="3832"/>
      <c r="AN64" s="3833"/>
      <c r="AO64" s="3834" t="s">
        <v>1251</v>
      </c>
      <c r="AP64" s="3832"/>
      <c r="AQ64" s="3832"/>
      <c r="AR64" s="3835"/>
      <c r="AS64" s="3836" t="s">
        <v>1250</v>
      </c>
      <c r="AT64" s="3832"/>
      <c r="AU64" s="3832"/>
      <c r="AV64" s="3833"/>
      <c r="AW64" s="3844" t="s">
        <v>1249</v>
      </c>
      <c r="AX64" s="3845"/>
      <c r="AY64" s="3845"/>
      <c r="AZ64" s="3846"/>
      <c r="BA64" s="3558" t="s">
        <v>1248</v>
      </c>
      <c r="BB64" s="3559"/>
      <c r="BC64" s="3559"/>
      <c r="BD64" s="3560"/>
      <c r="BE64" s="3561" t="s">
        <v>1247</v>
      </c>
      <c r="BF64" s="3562"/>
      <c r="BG64" s="3562"/>
      <c r="BH64" s="3562"/>
      <c r="BI64" s="3850" t="s">
        <v>1246</v>
      </c>
      <c r="BJ64" s="3562"/>
      <c r="BK64" s="3562"/>
      <c r="BL64" s="3562"/>
      <c r="BM64" s="3850" t="s">
        <v>1245</v>
      </c>
      <c r="BN64" s="3562"/>
      <c r="BO64" s="3562"/>
      <c r="BP64" s="3562"/>
      <c r="BQ64" s="3850" t="s">
        <v>1244</v>
      </c>
      <c r="BR64" s="3562"/>
      <c r="BS64" s="3562"/>
      <c r="BT64" s="3830"/>
      <c r="BU64" s="19"/>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90"/>
      <c r="DA64" s="15"/>
      <c r="DB64" s="98">
        <f>IF(C65="","",IF(AZ66="①",DB63+DC63+3,IF(AZ66="②",DB63*5/8+DC63+3,IF(AZ66="③",DB63/2+DC63+3,IF(AZ66="④",DB63+DC63*5/8+3,IF(AZ66="⑤",(DB63+DC63)*5/8+3,IF(AZ66="⑥",DB63/2+DC63*5/8+3,IF(AZ66="⑦",DB63+DC63/2+3,IF(AZ66="⑧",DB63*5/8+DC63/2+3,IF(AZ66="⑨",(DB63+DC63)/2+3))))))))))</f>
        <v>48.9</v>
      </c>
      <c r="DC64" s="180" t="s">
        <v>1243</v>
      </c>
      <c r="DD64" s="2589" t="str">
        <f>IF($AL$10="nC-FB","S-5C-FB",IF($AL$10="nD-FB","5D-FB","5C-2V"))</f>
        <v>S-5C-FB</v>
      </c>
      <c r="DE64" s="2591"/>
      <c r="DF64" s="3631">
        <f>IF(C65="  RF",DF55,IF($H$15="ＣＡＴＶ",DB63+DC63/2+F65-($AM$8-$AM$7)/1000+DR64,SUM(DM64:DO64)))</f>
        <v>58.5</v>
      </c>
      <c r="DG64" s="3812"/>
      <c r="DH64" s="2589" t="str">
        <f>IF($H$17="ＣＡＴＶ","G-22mm",IF(RIGHT($AB$17,1)+RIGHT($AF$17,1)+RIGHT($AJ$17,1)&gt;=4,"G-36mm","G-28mm"))</f>
        <v>G-28mm</v>
      </c>
      <c r="DI64" s="2591"/>
      <c r="DJ64" s="3631">
        <f>IF(C65="",0,IF(C65="  RF",DJ55,IF($H$15="ＣＡＴＶ",DB63+DC63/2+F65-($AM$8-$AM$7)/1000,10+F65-($AM$8-$AM$7)/1000)))</f>
        <v>14.5</v>
      </c>
      <c r="DK64" s="3812"/>
      <c r="DL64" s="15"/>
      <c r="DM64" s="98">
        <f>IF(OR($B$2=0,$H$15="ＣＡＴＶ",C65="",C65="  RF"),0,IF($AB$17="","",RIGHT($AB$17,1)*15+F65-($AM$8-$AM$7)/1000))</f>
        <v>19.5</v>
      </c>
      <c r="DN64" s="98">
        <f>IF(OR($B$2=0,$H$15="ＣＡＴＶ",C65="",C65="  RF"),0,IF($AF$17="","",15+F65-($AM$8-$AM$7)/1000))</f>
        <v>19.5</v>
      </c>
      <c r="DO64" s="98">
        <f>IF(OR($B$2=0,$H$15="ＣＡＴＶ",C65="",C65="  RF"),0,IF($AJ$17="","",15+F65-($AM$8-$AM$7)/1000))</f>
        <v>19.5</v>
      </c>
      <c r="DP64" s="15"/>
      <c r="DQ64" s="46" t="s">
        <v>1087</v>
      </c>
      <c r="DR64" s="98" t="str">
        <f>IF($H$17="ＣＡＴＶ",#REF!+#REF!,"")</f>
        <v/>
      </c>
      <c r="DS64" s="128" t="s">
        <v>1238</v>
      </c>
      <c r="DT64" s="159">
        <f>IF(AB66&lt;&gt;"Ｃ",0,IF(DY64&lt;&gt;0,DY64,IF(DZ64&lt;&gt;0,DZ64,0)))</f>
        <v>0</v>
      </c>
      <c r="DU64" s="8"/>
      <c r="DV64" s="86">
        <f>IF(AB66&lt;&gt;"Ｃ",0,IF(DY64=0,0,1))</f>
        <v>0</v>
      </c>
      <c r="DW64" s="86">
        <f>IF(AB66&lt;&gt;"Ｃ",0,IF(DZ64=0,0,1))</f>
        <v>0</v>
      </c>
      <c r="DX64" s="8"/>
      <c r="DY64" s="86">
        <f>IF(AB66&lt;&gt;"Ｃ",0,IF(AND(DB59&gt;60,DB59&lt;=64),4,IF(AND(DB59&gt;64,DB59&lt;=80),5,0)))</f>
        <v>0</v>
      </c>
      <c r="DZ64" s="86">
        <f>IF(AB66&lt;&gt;"Ｃ",0,IF(AND(DB59&gt;80,DB59&lt;=96),4,IF(AND(DB59&gt;96,DB59&lt;=120),5,0)))</f>
        <v>0</v>
      </c>
      <c r="EA64" s="38"/>
      <c r="EB64" s="776" t="str">
        <f>IF(OR($B$2=0,Z65=""),"","混合器 UV-BC")</f>
        <v/>
      </c>
      <c r="EC64" s="12"/>
      <c r="ED64" s="122" t="str">
        <f>IF(BE65="","","直列Unit-中間1端子")</f>
        <v/>
      </c>
      <c r="EE64" s="38" t="str">
        <f>BE65</f>
        <v/>
      </c>
      <c r="EF64" s="38"/>
      <c r="EG64" s="38"/>
      <c r="EH64" s="197">
        <f t="shared" si="30"/>
        <v>4</v>
      </c>
      <c r="EI64" s="773" t="str">
        <f t="shared" si="31"/>
        <v/>
      </c>
      <c r="EJ64" s="203" t="str">
        <f>X68</f>
        <v>PF-S-22mm</v>
      </c>
      <c r="EK64" s="9"/>
      <c r="EL64" s="9" t="str">
        <f>IF(COUNTIF($EJ$18:EJ63,EJ64)&gt;0,"",EJ64)</f>
        <v/>
      </c>
      <c r="EM64" s="9"/>
      <c r="EN64" s="14">
        <f>AI68</f>
        <v>4.5</v>
      </c>
      <c r="EO64" s="771">
        <f t="shared" si="34"/>
        <v>0</v>
      </c>
      <c r="EP64" s="8"/>
      <c r="EQ64" s="38"/>
      <c r="ER64" s="197">
        <f t="shared" si="32"/>
        <v>3</v>
      </c>
      <c r="ES64" s="773" t="str">
        <f t="shared" si="33"/>
        <v/>
      </c>
      <c r="ET64" s="203" t="str">
        <f t="shared" si="35"/>
        <v/>
      </c>
      <c r="EU64" s="9"/>
      <c r="EV64" s="11" t="str">
        <f>IF(COUNTIF($ET$18:ET63,ET64)&gt;0,"",ET64)</f>
        <v/>
      </c>
      <c r="EW64" s="9"/>
      <c r="EX64" s="124">
        <f>Z65</f>
        <v>0</v>
      </c>
      <c r="EY64" s="771">
        <f t="shared" si="36"/>
        <v>0</v>
      </c>
      <c r="EZ64" s="8"/>
      <c r="FA64" s="38"/>
      <c r="FB64" s="197">
        <f t="shared" si="23"/>
        <v>10</v>
      </c>
      <c r="FC64" s="773" t="str">
        <f t="shared" si="24"/>
        <v/>
      </c>
      <c r="FD64" s="772" t="str">
        <f t="shared" si="37"/>
        <v/>
      </c>
      <c r="FE64" s="9"/>
      <c r="FF64" s="11" t="str">
        <f>IF(COUNTIF($FD$15:FD63,FD64)&gt;0,"",FD64)</f>
        <v/>
      </c>
      <c r="FG64" s="9"/>
      <c r="FH64" s="124" t="str">
        <f>BE65</f>
        <v/>
      </c>
      <c r="FI64" s="771">
        <f t="shared" si="38"/>
        <v>0</v>
      </c>
    </row>
    <row r="65" spans="1:165" ht="12" customHeight="1">
      <c r="A65" s="8">
        <v>5</v>
      </c>
      <c r="B65" s="23"/>
      <c r="C65" s="3837" t="str">
        <f>非誘!C42</f>
        <v xml:space="preserve">  3F</v>
      </c>
      <c r="D65" s="3837"/>
      <c r="E65" s="3837"/>
      <c r="F65" s="3838">
        <f>非誘!F42</f>
        <v>4</v>
      </c>
      <c r="G65" s="3839"/>
      <c r="H65" s="3840"/>
      <c r="I65" s="3838">
        <f>非誘!J42</f>
        <v>3</v>
      </c>
      <c r="J65" s="3839"/>
      <c r="K65" s="3839"/>
      <c r="L65" s="3840"/>
      <c r="M65" s="3841">
        <f>非誘!N42</f>
        <v>3816</v>
      </c>
      <c r="N65" s="3842"/>
      <c r="O65" s="3842"/>
      <c r="P65" s="3843"/>
      <c r="Q65" s="3537">
        <f>非誘!AA42</f>
        <v>9</v>
      </c>
      <c r="R65" s="3537"/>
      <c r="S65" s="3537"/>
      <c r="T65" s="3537">
        <f>非誘!AD42</f>
        <v>29</v>
      </c>
      <c r="U65" s="3537"/>
      <c r="V65" s="3537"/>
      <c r="W65" s="795" t="str">
        <f>IF(OR(Y23="不要",C65&lt;&gt;$X$10),"",IF(AND($AB$17="UHF×3",$AF$17&lt;&gt;"",$AJ$17&lt;&gt;""),2,IF(OR(AND($AB$17="UHF×3",$AB$17="",$AJ$17=""),AND($AB$17="UHF×3",$AF$17&lt;&gt;"",$AJ$17=""),AND($AB$17="UHF×2",$AF$17&lt;&gt;"",$AJ$17&lt;&gt;"")),1,"")))</f>
        <v/>
      </c>
      <c r="X65" s="794" t="str">
        <f>IF(OR(Y23="不要",C65&lt;&gt;$X$10),"",IF(AND($AB$17&lt;&gt;"",$AF$17&lt;&gt;"",$AJ$17&lt;&gt;""),1,""))</f>
        <v/>
      </c>
      <c r="Y65" s="794" t="str">
        <f>IF(OR(Y23="不要",C65&lt;&gt;$X$10),"",IF(AND(OR($AB$17="UHF×2",$AB$17="UHF×3"),$AF$17&lt;&gt;"",$AJ$17=""),1,""))</f>
        <v/>
      </c>
      <c r="Z65" s="793"/>
      <c r="AA65" s="3847" t="str">
        <f>IF($B$2=0,"",IF(AND(Y23&lt;&gt;"不要",DC61="＝"),1,""))</f>
        <v/>
      </c>
      <c r="AB65" s="3848"/>
      <c r="AC65" s="3848"/>
      <c r="AD65" s="3848">
        <f>IF($B$2=0,"",IF(OR(Y23="不要",C65="",C65="  RF"),"",IF(Y23="設置",1,"")))</f>
        <v>1</v>
      </c>
      <c r="AE65" s="3848"/>
      <c r="AF65" s="3849"/>
      <c r="AG65" s="3837">
        <f>IF(OR(Y23="不要",C65="",C65="  RF"),"",IF(AI65&lt;&gt;"",AI65,IF(DE62+DM62+DT62+DT64+DT66=0,"",DE62+DM62+DT62+DT64+DT66)))</f>
        <v>5</v>
      </c>
      <c r="AH65" s="3837"/>
      <c r="AI65" s="3915"/>
      <c r="AJ65" s="3915"/>
      <c r="AK65" s="3837" t="str">
        <f>IF(OR(Y23="不要",C65="",C65="  RF"),"",IF(AM65&lt;&gt;"",AM65,IF(DF62+DN62=0,"",DF62+DN62)))</f>
        <v/>
      </c>
      <c r="AL65" s="3837"/>
      <c r="AM65" s="3915"/>
      <c r="AN65" s="3915"/>
      <c r="AO65" s="3813" t="str">
        <f>IF(AQ65="","",AQ65)</f>
        <v/>
      </c>
      <c r="AP65" s="3814"/>
      <c r="AQ65" s="3915"/>
      <c r="AR65" s="3915"/>
      <c r="AS65" s="3916">
        <f>IF(OR(Y23="不要",C65="  RF"),"",IF(AU65&lt;&gt;"",AU65,IF(DH62+DP62+DU62+DX62+DY62+DZ62=0,"",DH62+DP62+DU62+DX62+DY62+DZ62)))</f>
        <v>5</v>
      </c>
      <c r="AT65" s="3837"/>
      <c r="AU65" s="3915"/>
      <c r="AV65" s="3915"/>
      <c r="AW65" s="3837">
        <f>IF(OR(Y23="不要",C65="  RF"),"",IF(AY65&lt;&gt;"",AY65,IF(DI62+DQ62+DV62+DV64+DY64+DZ64=0,"",DI62+DQ62+DV62+DV64+DY64+DZ64)))</f>
        <v>1</v>
      </c>
      <c r="AX65" s="3837"/>
      <c r="AY65" s="3915"/>
      <c r="AZ65" s="3915"/>
      <c r="BA65" s="3837" t="str">
        <f>IF(OR(Y23="不要",C65="  RF"),"",IF(BC65&lt;&gt;"",BC65,IF(DJ62+DR62+DW62+DW64+DW66+DZ66=0,"",DJ62+DR62+DW62+DW64+DW66+DZ66)))</f>
        <v/>
      </c>
      <c r="BB65" s="3837"/>
      <c r="BC65" s="3915"/>
      <c r="BD65" s="3915"/>
      <c r="BE65" s="3837" t="str">
        <f>IF(OR(Y23="不要",$X$11="2端子",C65="",C65="  RF"),"",IF(BG65&lt;&gt;"",BG65,IF(AND(AB66="Ａ",$X$11="1端子"),DK62,"")))</f>
        <v/>
      </c>
      <c r="BF65" s="3837"/>
      <c r="BG65" s="3837" t="str">
        <f>IF(AND(BO65&lt;&gt;"",AB66="Ａ",$X$11="1端子"),BO65,"")</f>
        <v/>
      </c>
      <c r="BH65" s="3837"/>
      <c r="BI65" s="3916" t="str">
        <f>IF(OR(Y23="不要",$X$11="1端子",C65="",C65="  RF"),"",IF(BK65&lt;&gt;"",BK65,IF(AND(AB66="Ａ",$X$11="2端子"),DK62,"")))</f>
        <v/>
      </c>
      <c r="BJ65" s="3837"/>
      <c r="BK65" s="3837" t="str">
        <f>IF(AND(BS65&lt;&gt;"",AB66="Ａ",$X$11="2端子"),BS65,"")</f>
        <v/>
      </c>
      <c r="BL65" s="3837"/>
      <c r="BM65" s="3837">
        <f>IF(OR(Y23="不要",C65="  RF",C65="",$X$11="2端子"),"",IF(BO65&lt;&gt;"",BO65,IF(AND(AB66="Ａ",$X$11="1端子"),DK62,DK60)))</f>
        <v>38</v>
      </c>
      <c r="BN65" s="3837"/>
      <c r="BO65" s="3915"/>
      <c r="BP65" s="3915"/>
      <c r="BQ65" s="3837" t="str">
        <f>IF(OR(Y23="不要",C65="  RF",C65="",$X$11="1端子"),"",IF(BS65&lt;&gt;"",BS65,IF(AND(AB66="Ａ",$X$11="2端子"),DK62,DK60)))</f>
        <v/>
      </c>
      <c r="BR65" s="3837"/>
      <c r="BS65" s="3915"/>
      <c r="BT65" s="3918"/>
      <c r="BU65" s="19"/>
      <c r="BV65" s="8"/>
      <c r="BW65" s="88">
        <f>IF(I65="直天",F65,I65)</f>
        <v>3</v>
      </c>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38"/>
      <c r="DA65" s="15"/>
      <c r="DB65" s="15"/>
      <c r="DC65" s="180" t="s">
        <v>1242</v>
      </c>
      <c r="DD65" s="2589" t="str">
        <f>IF($AL$10="nC-FB","S-7C-FB",IF($AL$10="nD-FB","8D-FB","7C-2V"))</f>
        <v>S-7C-FB</v>
      </c>
      <c r="DE65" s="2591"/>
      <c r="DF65" s="3631">
        <f>IF(OR(C65="",C65="  RF"),0,IF(AB66="Ｃ",2.5*AG65+(DB63+DC63),F65+2))</f>
        <v>74.3</v>
      </c>
      <c r="DG65" s="3812"/>
      <c r="DH65" s="2589" t="str">
        <f>IF(OR(H66="天井ケーブル",H66="天井-PF管"),"PF-S-22mm",IF(H66="天井-CD管","CD-22mm",IF(H66="天井-C 管","C-25mm",IF(H66="天井-G 管","G-22mm",""))))</f>
        <v>PF-S-22mm</v>
      </c>
      <c r="DI65" s="2591"/>
      <c r="DJ65" s="3631">
        <f>IF(OR(C65="",C65="  RF"),0,IF(AB66="Ｃ",F65-($AM$8-$AM$7)/1000,F65))</f>
        <v>4.5</v>
      </c>
      <c r="DK65" s="3812"/>
      <c r="DL65" s="778"/>
      <c r="DM65" s="112"/>
      <c r="DN65" s="190" t="s">
        <v>1241</v>
      </c>
      <c r="DO65" s="98">
        <f>IF(OR(C65="",C65="  RF"),0,(DB63+DC63)/2/SQRT(DK62))</f>
        <v>6.9094500504743497</v>
      </c>
      <c r="DP65" s="15"/>
      <c r="DQ65" s="15"/>
      <c r="DR65" s="15"/>
      <c r="DS65" s="8"/>
      <c r="DT65" s="113" t="s">
        <v>1232</v>
      </c>
      <c r="DU65" s="8"/>
      <c r="DV65" s="113"/>
      <c r="DW65" s="113" t="s">
        <v>1230</v>
      </c>
      <c r="DX65" s="8"/>
      <c r="DY65" s="8"/>
      <c r="DZ65" s="113" t="s">
        <v>1230</v>
      </c>
      <c r="EA65" s="113"/>
      <c r="EB65" s="776" t="str">
        <f>IF(OR($B$2=0,AA65=""),"","増幅器 "&amp;AA63&amp;AA64)</f>
        <v/>
      </c>
      <c r="EC65" s="15"/>
      <c r="ED65" s="122" t="str">
        <f>IF(BI65="","","直列Unit-中間2端子")</f>
        <v/>
      </c>
      <c r="EE65" s="15" t="str">
        <f>BI65</f>
        <v/>
      </c>
      <c r="EF65" s="15"/>
      <c r="EG65" s="15"/>
      <c r="EH65" s="197">
        <f t="shared" si="30"/>
        <v>4</v>
      </c>
      <c r="EI65" s="773" t="str">
        <f t="shared" si="31"/>
        <v/>
      </c>
      <c r="EJ65" s="203" t="str">
        <f>AS67</f>
        <v/>
      </c>
      <c r="EK65" s="9"/>
      <c r="EL65" s="9" t="str">
        <f>IF(COUNTIF($EJ$18:EJ64,EJ65)&gt;0,"",EJ65)</f>
        <v/>
      </c>
      <c r="EM65" s="9"/>
      <c r="EN65" s="14" t="str">
        <f>BB67</f>
        <v/>
      </c>
      <c r="EO65" s="771">
        <f t="shared" si="34"/>
        <v>0</v>
      </c>
      <c r="EP65" s="8"/>
      <c r="EQ65" s="15"/>
      <c r="ER65" s="197">
        <f t="shared" si="32"/>
        <v>3</v>
      </c>
      <c r="ES65" s="773" t="str">
        <f t="shared" si="33"/>
        <v/>
      </c>
      <c r="ET65" s="203" t="str">
        <f t="shared" si="35"/>
        <v/>
      </c>
      <c r="EU65" s="9"/>
      <c r="EV65" s="11" t="str">
        <f>IF(COUNTIF($ET$18:ET64,ET65)&gt;0,"",ET65)</f>
        <v/>
      </c>
      <c r="EW65" s="9"/>
      <c r="EX65" s="124" t="str">
        <f>AA65</f>
        <v/>
      </c>
      <c r="EY65" s="771">
        <f t="shared" si="36"/>
        <v>0</v>
      </c>
      <c r="EZ65" s="8"/>
      <c r="FA65" s="15"/>
      <c r="FB65" s="197">
        <f t="shared" si="23"/>
        <v>10</v>
      </c>
      <c r="FC65" s="773" t="str">
        <f t="shared" si="24"/>
        <v/>
      </c>
      <c r="FD65" s="772" t="str">
        <f t="shared" si="37"/>
        <v/>
      </c>
      <c r="FE65" s="9"/>
      <c r="FF65" s="11" t="str">
        <f>IF(COUNTIF($FD$15:FD64,FD65)&gt;0,"",FD65)</f>
        <v/>
      </c>
      <c r="FG65" s="9"/>
      <c r="FH65" s="124" t="str">
        <f>BI65</f>
        <v/>
      </c>
      <c r="FI65" s="771">
        <f t="shared" si="38"/>
        <v>0</v>
      </c>
    </row>
    <row r="66" spans="1:165" ht="12" customHeight="1">
      <c r="A66" s="8"/>
      <c r="B66" s="23"/>
      <c r="C66" s="2634" t="s">
        <v>135</v>
      </c>
      <c r="D66" s="2634"/>
      <c r="E66" s="2634"/>
      <c r="F66" s="2634"/>
      <c r="G66" s="2634"/>
      <c r="H66" s="3904" t="str">
        <f>IF($B$2=0,"",IF(P66="","天井ケーブル",P66))</f>
        <v>天井ケーブル</v>
      </c>
      <c r="I66" s="3904"/>
      <c r="J66" s="3904"/>
      <c r="K66" s="3904"/>
      <c r="L66" s="3904"/>
      <c r="M66" s="3904"/>
      <c r="N66" s="3904"/>
      <c r="O66" s="173" t="s">
        <v>1236</v>
      </c>
      <c r="P66" s="3796"/>
      <c r="Q66" s="3797"/>
      <c r="R66" s="3797"/>
      <c r="S66" s="3797"/>
      <c r="T66" s="3797"/>
      <c r="U66" s="3797"/>
      <c r="V66" s="3798"/>
      <c r="W66" s="2634" t="s">
        <v>1082</v>
      </c>
      <c r="X66" s="2634"/>
      <c r="Y66" s="2634"/>
      <c r="Z66" s="2634"/>
      <c r="AA66" s="2634"/>
      <c r="AB66" s="3799" t="str">
        <f>IF(Y23="不要","",IF(AF66&lt;&gt;"",AF66,DB60))</f>
        <v>Ｃ</v>
      </c>
      <c r="AC66" s="3799"/>
      <c r="AD66" s="3799"/>
      <c r="AE66" s="173" t="s">
        <v>1236</v>
      </c>
      <c r="AF66" s="3800"/>
      <c r="AG66" s="3801"/>
      <c r="AH66" s="3802"/>
      <c r="AI66" s="2634" t="s">
        <v>20</v>
      </c>
      <c r="AJ66" s="2634"/>
      <c r="AK66" s="2634"/>
      <c r="AL66" s="2634"/>
      <c r="AM66" s="2634"/>
      <c r="AN66" s="3522">
        <f>IF(OR(C65="",C65="  RF"),"",非誘!J41)</f>
        <v>0.94339622641509435</v>
      </c>
      <c r="AO66" s="3523"/>
      <c r="AP66" s="3523"/>
      <c r="AQ66" s="3524"/>
      <c r="AR66" s="3507" t="s">
        <v>1081</v>
      </c>
      <c r="AS66" s="3461"/>
      <c r="AT66" s="3461"/>
      <c r="AU66" s="3461"/>
      <c r="AV66" s="3461"/>
      <c r="AW66" s="3461"/>
      <c r="AX66" s="3461"/>
      <c r="AY66" s="3461"/>
      <c r="AZ66" s="3563" t="str">
        <f>IF(OR(C65="",C65="  RF"),"",IF(BC66="",$AN$11,BC66))</f>
        <v>⑦</v>
      </c>
      <c r="BA66" s="3563"/>
      <c r="BB66" s="777" t="s">
        <v>1236</v>
      </c>
      <c r="BC66" s="3521"/>
      <c r="BD66" s="3521"/>
      <c r="BE66" s="3564"/>
      <c r="BF66" s="3565"/>
      <c r="BG66" s="3565"/>
      <c r="BH66" s="3565"/>
      <c r="BI66" s="3565"/>
      <c r="BJ66" s="3565"/>
      <c r="BK66" s="3565"/>
      <c r="BL66" s="3565"/>
      <c r="BM66" s="3565"/>
      <c r="BN66" s="3565"/>
      <c r="BO66" s="3565"/>
      <c r="BP66" s="3565"/>
      <c r="BQ66" s="3565"/>
      <c r="BR66" s="3565"/>
      <c r="BS66" s="3565"/>
      <c r="BT66" s="3566"/>
      <c r="BU66" s="19"/>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38"/>
      <c r="DA66" s="15"/>
      <c r="DB66" s="8"/>
      <c r="DC66" s="180" t="s">
        <v>1240</v>
      </c>
      <c r="DD66" s="2589" t="str">
        <f>IF($AL$10="nC-FB","S-5C-FB",IF($AL$10="nD-FB","5D-FB","5C-2V"))</f>
        <v>S-5C-FB</v>
      </c>
      <c r="DE66" s="2591"/>
      <c r="DF66" s="3631">
        <f>IF(AB66="Ａ",(DK62+2*BW65-($X$7+$X$9)/1000)*DO65+(12+2*BW65-2*$X$9/1000)*DK62+DO66,IF(AB66="Ｂ",(DO65+2*BW65-$X$9/1000)*DK60+DO66,0))</f>
        <v>0</v>
      </c>
      <c r="DG66" s="3812"/>
      <c r="DH66" s="2589" t="str">
        <f>IF(OR(H66="天井ケーブル",H66="天井-PF管"),"PF-S-16mm",IF(H66="天井-CD管","CD-16mm",IF(H66="天井-C 管","C-19mm",IF(H66="天井-G 管","G-16mm",""))))</f>
        <v>PF-S-16mm</v>
      </c>
      <c r="DI66" s="2591"/>
      <c r="DJ66" s="3631">
        <f>IF(OR(C65="",C65="  RF"),0,IF(H66="天井ケーブル",DK60*(BW65-($X$9-$AM$9)/1000),(DO65+2*BW65-$X$9/1000)*DK60+DO66))</f>
        <v>119.7</v>
      </c>
      <c r="DK66" s="3812"/>
      <c r="DL66" s="15"/>
      <c r="DM66" s="46"/>
      <c r="DN66" s="46" t="s">
        <v>1239</v>
      </c>
      <c r="DO66" s="98">
        <f>DB64</f>
        <v>48.9</v>
      </c>
      <c r="DP66" s="15"/>
      <c r="DQ66" s="15"/>
      <c r="DR66" s="15"/>
      <c r="DS66" s="128" t="s">
        <v>1238</v>
      </c>
      <c r="DT66" s="86">
        <f>IF(AB66&lt;&gt;"Ｃ",0,IF(DZ66=0,0,DZ66))</f>
        <v>0</v>
      </c>
      <c r="DU66" s="8"/>
      <c r="DV66" s="8"/>
      <c r="DW66" s="86">
        <f>IF(AB66&lt;&gt;"Ｃ",0,IF(DZ66=0,0,1))</f>
        <v>0</v>
      </c>
      <c r="DX66" s="8"/>
      <c r="DY66" s="8"/>
      <c r="DZ66" s="86">
        <f>IF(AB66&lt;&gt;"Ｃ",0,IF(AND(DB59&gt;120,DB59&lt;=144),4,IF(AND(DB59&gt;144,DB59&lt;=180),5,0)))</f>
        <v>0</v>
      </c>
      <c r="EA66" s="38"/>
      <c r="EB66" s="776" t="str">
        <f>IF(OR($B$2=0,AD65=""),"","増幅器 "&amp;AD63&amp;AD64)</f>
        <v>増幅器 35/110</v>
      </c>
      <c r="EC66" s="38"/>
      <c r="ED66" s="122" t="str">
        <f>IF(BM65="","","直列Unit-終端1端子")</f>
        <v>直列Unit-終端1端子</v>
      </c>
      <c r="EE66" s="38">
        <f>BM65</f>
        <v>38</v>
      </c>
      <c r="EF66" s="38"/>
      <c r="EG66" s="38"/>
      <c r="EH66" s="197">
        <f t="shared" si="30"/>
        <v>4</v>
      </c>
      <c r="EI66" s="773" t="str">
        <f t="shared" si="31"/>
        <v/>
      </c>
      <c r="EJ66" s="203" t="str">
        <f>AS68</f>
        <v>S-5C-FB</v>
      </c>
      <c r="EK66" s="9"/>
      <c r="EL66" s="9" t="str">
        <f>IF(COUNTIF($EJ$18:EJ65,EJ66)&gt;0,"",EJ66)</f>
        <v/>
      </c>
      <c r="EM66" s="9"/>
      <c r="EN66" s="14">
        <f>BB68</f>
        <v>700.6</v>
      </c>
      <c r="EO66" s="771">
        <f t="shared" si="34"/>
        <v>0</v>
      </c>
      <c r="EP66" s="8"/>
      <c r="EQ66" s="38"/>
      <c r="ER66" s="197">
        <f t="shared" si="32"/>
        <v>3</v>
      </c>
      <c r="ES66" s="773" t="str">
        <f t="shared" si="33"/>
        <v/>
      </c>
      <c r="ET66" s="203" t="str">
        <f t="shared" si="35"/>
        <v>増幅器 35/110</v>
      </c>
      <c r="EU66" s="9"/>
      <c r="EV66" s="11" t="str">
        <f>IF(COUNTIF($ET$18:ET65,ET66)&gt;0,"",ET66)</f>
        <v/>
      </c>
      <c r="EW66" s="9"/>
      <c r="EX66" s="124">
        <f>AD65</f>
        <v>1</v>
      </c>
      <c r="EY66" s="771">
        <f t="shared" si="36"/>
        <v>0</v>
      </c>
      <c r="EZ66" s="8"/>
      <c r="FA66" s="38"/>
      <c r="FB66" s="197">
        <f t="shared" si="23"/>
        <v>10</v>
      </c>
      <c r="FC66" s="773" t="str">
        <f t="shared" si="24"/>
        <v/>
      </c>
      <c r="FD66" s="772" t="str">
        <f t="shared" si="37"/>
        <v>直列Unit-終端1端子</v>
      </c>
      <c r="FE66" s="9"/>
      <c r="FF66" s="11" t="str">
        <f>IF(COUNTIF($FD$15:FD65,FD66)&gt;0,"",FD66)</f>
        <v/>
      </c>
      <c r="FG66" s="9"/>
      <c r="FH66" s="124">
        <f>BM65</f>
        <v>38</v>
      </c>
      <c r="FI66" s="771">
        <f t="shared" si="38"/>
        <v>0</v>
      </c>
    </row>
    <row r="67" spans="1:165" ht="12" customHeight="1">
      <c r="A67" s="8"/>
      <c r="B67" s="23"/>
      <c r="C67" s="3905" t="s">
        <v>449</v>
      </c>
      <c r="D67" s="3905"/>
      <c r="E67" s="3905"/>
      <c r="F67" s="3904" t="str">
        <f>IF($H$15="ＣＡＴＶ","CATV引込","アンテナ部")</f>
        <v>アンテナ部</v>
      </c>
      <c r="G67" s="3904"/>
      <c r="H67" s="3904"/>
      <c r="I67" s="3904"/>
      <c r="J67" s="3904"/>
      <c r="K67" s="3908" t="str">
        <f>IF(OR(Y23="不要",$B$2=0,C65&lt;&gt;$X$10),"",IF(P67&lt;&gt;"",P67,DD64))</f>
        <v/>
      </c>
      <c r="L67" s="3908"/>
      <c r="M67" s="3908"/>
      <c r="N67" s="3908"/>
      <c r="O67" s="173" t="s">
        <v>1236</v>
      </c>
      <c r="P67" s="3517"/>
      <c r="Q67" s="3517"/>
      <c r="R67" s="3517"/>
      <c r="S67" s="3517"/>
      <c r="T67" s="3526" t="str">
        <f>IF(AND(C65&lt;&gt;"",K67&lt;&gt;""),DF64,"")</f>
        <v/>
      </c>
      <c r="U67" s="3526"/>
      <c r="V67" s="3526"/>
      <c r="W67" s="3526"/>
      <c r="X67" s="3908" t="str">
        <f>IF(OR($B$2=0,K67=""),"",IF(AD67&lt;&gt;"",AD67,DH64))</f>
        <v/>
      </c>
      <c r="Y67" s="3908"/>
      <c r="Z67" s="3908"/>
      <c r="AA67" s="3908"/>
      <c r="AB67" s="3908"/>
      <c r="AC67" s="173" t="s">
        <v>1236</v>
      </c>
      <c r="AD67" s="3525"/>
      <c r="AE67" s="3525"/>
      <c r="AF67" s="3525"/>
      <c r="AG67" s="3525"/>
      <c r="AH67" s="3525"/>
      <c r="AI67" s="3526" t="str">
        <f>IF(X67="","",IF(DJ64="","",DJ64))</f>
        <v/>
      </c>
      <c r="AJ67" s="3526"/>
      <c r="AK67" s="3526"/>
      <c r="AL67" s="3526"/>
      <c r="AM67" s="3904" t="s">
        <v>1077</v>
      </c>
      <c r="AN67" s="3904"/>
      <c r="AO67" s="3904"/>
      <c r="AP67" s="3904"/>
      <c r="AQ67" s="3904"/>
      <c r="AR67" s="3904"/>
      <c r="AS67" s="3908" t="str">
        <f>IF(OR(Y23="不要",$B$2=0,C65="",C65="  RF",AB66="Ｃ"),"",IF(AX67&lt;&gt;"",AX67,DD66))</f>
        <v/>
      </c>
      <c r="AT67" s="3908"/>
      <c r="AU67" s="3908"/>
      <c r="AV67" s="3908"/>
      <c r="AW67" s="173" t="s">
        <v>1236</v>
      </c>
      <c r="AX67" s="3517"/>
      <c r="AY67" s="3517"/>
      <c r="AZ67" s="3517"/>
      <c r="BA67" s="3517"/>
      <c r="BB67" s="3537" t="str">
        <f>IF(AS67&lt;&gt;"",DF66,"")</f>
        <v/>
      </c>
      <c r="BC67" s="3537"/>
      <c r="BD67" s="3537"/>
      <c r="BE67" s="3537"/>
      <c r="BF67" s="3908" t="str">
        <f>IF(OR(C65="",AS67=""),"",IF(AB66="Ａ",DH65,DH66))</f>
        <v/>
      </c>
      <c r="BG67" s="3908"/>
      <c r="BH67" s="3908"/>
      <c r="BI67" s="3908"/>
      <c r="BJ67" s="3908"/>
      <c r="BK67" s="173" t="s">
        <v>1236</v>
      </c>
      <c r="BL67" s="3525"/>
      <c r="BM67" s="3525"/>
      <c r="BN67" s="3525"/>
      <c r="BO67" s="3525"/>
      <c r="BP67" s="3525"/>
      <c r="BQ67" s="3526" t="str">
        <f>IF(BF67="","",DJ66)</f>
        <v/>
      </c>
      <c r="BR67" s="3526"/>
      <c r="BS67" s="3526"/>
      <c r="BT67" s="3527"/>
      <c r="BU67" s="19"/>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774" t="s">
        <v>1237</v>
      </c>
      <c r="DD67" s="2589" t="str">
        <f>DD66</f>
        <v>S-5C-FB</v>
      </c>
      <c r="DE67" s="2591"/>
      <c r="DF67" s="3631">
        <f>IF(OR(C65="",C65="  RF",I65="直天"),0,1+INT(12+BW65-($X$9-$AM$9)/1000)*DK60+DO67)</f>
        <v>700.6</v>
      </c>
      <c r="DG67" s="3812"/>
      <c r="DH67" s="2589" t="str">
        <f>DH66</f>
        <v>PF-S-16mm</v>
      </c>
      <c r="DI67" s="2591"/>
      <c r="DJ67" s="3631">
        <f>IF(OR(C65="",C65="  RF"),0,IF(H66="天井ケーブル",DK60*(BW65-($X$9-2*$AM$9)/1000),1+INT(12+BW65-$X$9/1000)*DK60))</f>
        <v>131.1</v>
      </c>
      <c r="DK67" s="3812"/>
      <c r="DL67" s="15"/>
      <c r="DM67" s="15"/>
      <c r="DN67" s="46" t="s">
        <v>1075</v>
      </c>
      <c r="DO67" s="97">
        <f>IF(C65="",0,IF($AW$8=0,0,2*($AW$8/1000-0.15-0.1)*(INT(1000*DB63/$AW$10)+1)*(INT(1000*DC63/$AW$10)+1)*4))</f>
        <v>129.6</v>
      </c>
      <c r="DP67" s="15"/>
      <c r="DQ67" s="15"/>
      <c r="DR67" s="15"/>
      <c r="DS67" s="8"/>
      <c r="DT67" s="8"/>
      <c r="DU67" s="8"/>
      <c r="DV67" s="8"/>
      <c r="DW67" s="8"/>
      <c r="DX67" s="8"/>
      <c r="DY67" s="8"/>
      <c r="DZ67" s="8"/>
      <c r="EA67" s="8"/>
      <c r="EB67" s="769" t="str">
        <f>IF(OR($B$2=0,AG65=""),"","分岐器 1C")</f>
        <v>分岐器 1C</v>
      </c>
      <c r="EC67" s="8"/>
      <c r="ED67" s="122" t="str">
        <f>IF(BQ65="","","直列Unit-終端2端子")</f>
        <v/>
      </c>
      <c r="EE67" s="8" t="str">
        <f>BQ65</f>
        <v/>
      </c>
      <c r="EF67" s="8"/>
      <c r="EG67" s="8"/>
      <c r="EH67" s="197">
        <f t="shared" si="30"/>
        <v>4</v>
      </c>
      <c r="EI67" s="773" t="str">
        <f t="shared" si="31"/>
        <v/>
      </c>
      <c r="EJ67" s="203" t="str">
        <f>BF67</f>
        <v/>
      </c>
      <c r="EK67" s="9"/>
      <c r="EL67" s="9" t="str">
        <f>IF(COUNTIF($EJ$18:EJ66,EJ67)&gt;0,"",EJ67)</f>
        <v/>
      </c>
      <c r="EM67" s="9"/>
      <c r="EN67" s="14" t="str">
        <f>BQ67</f>
        <v/>
      </c>
      <c r="EO67" s="771">
        <f t="shared" si="34"/>
        <v>0</v>
      </c>
      <c r="EP67" s="8"/>
      <c r="EQ67" s="8"/>
      <c r="ER67" s="197">
        <f t="shared" si="32"/>
        <v>3</v>
      </c>
      <c r="ES67" s="773" t="str">
        <f t="shared" si="33"/>
        <v/>
      </c>
      <c r="ET67" s="203" t="str">
        <f t="shared" si="35"/>
        <v>分岐器 1C</v>
      </c>
      <c r="EU67" s="9"/>
      <c r="EV67" s="11" t="str">
        <f>IF(COUNTIF($ET$18:ET66,ET67)&gt;0,"",ET67)</f>
        <v/>
      </c>
      <c r="EW67" s="9"/>
      <c r="EX67" s="124">
        <f>AG65</f>
        <v>5</v>
      </c>
      <c r="EY67" s="771">
        <f t="shared" si="36"/>
        <v>0</v>
      </c>
      <c r="EZ67" s="8"/>
      <c r="FA67" s="8"/>
      <c r="FB67" s="197">
        <f t="shared" si="23"/>
        <v>10</v>
      </c>
      <c r="FC67" s="773" t="str">
        <f t="shared" si="24"/>
        <v/>
      </c>
      <c r="FD67" s="772" t="str">
        <f t="shared" si="37"/>
        <v/>
      </c>
      <c r="FE67" s="9"/>
      <c r="FF67" s="11" t="str">
        <f>IF(COUNTIF($FD$15:FD66,FD67)&gt;0,"",FD67)</f>
        <v/>
      </c>
      <c r="FG67" s="9"/>
      <c r="FH67" s="124" t="str">
        <f>BQ65</f>
        <v/>
      </c>
      <c r="FI67" s="771">
        <f t="shared" si="38"/>
        <v>0</v>
      </c>
    </row>
    <row r="68" spans="1:165" ht="12" customHeight="1" thickBot="1">
      <c r="A68" s="8"/>
      <c r="B68" s="23"/>
      <c r="C68" s="3922"/>
      <c r="D68" s="3922"/>
      <c r="E68" s="3922"/>
      <c r="F68" s="3920" t="s">
        <v>1074</v>
      </c>
      <c r="G68" s="3920"/>
      <c r="H68" s="3920"/>
      <c r="I68" s="3920"/>
      <c r="J68" s="3920"/>
      <c r="K68" s="3506" t="str">
        <f>IF(OR(C65="",C65="  RF",$B$2=0),"",IF(P68&lt;&gt;"",P68,DD65))</f>
        <v>S-7C-FB</v>
      </c>
      <c r="L68" s="3506"/>
      <c r="M68" s="3506"/>
      <c r="N68" s="3506"/>
      <c r="O68" s="800" t="s">
        <v>1236</v>
      </c>
      <c r="P68" s="3536"/>
      <c r="Q68" s="3536"/>
      <c r="R68" s="3536"/>
      <c r="S68" s="3536"/>
      <c r="T68" s="3538">
        <f>IF(R62="不",F65,IF(K68="","",DF65))</f>
        <v>74.3</v>
      </c>
      <c r="U68" s="3538"/>
      <c r="V68" s="3538"/>
      <c r="W68" s="3538"/>
      <c r="X68" s="3506" t="str">
        <f>IF(R62="不","",IF(OR(C65="",K68=""),"",IF(AD68&lt;&gt;"",AD68,IF(DH65="","",DH65))))</f>
        <v>PF-S-22mm</v>
      </c>
      <c r="Y68" s="3506"/>
      <c r="Z68" s="3506"/>
      <c r="AA68" s="3506"/>
      <c r="AB68" s="3506"/>
      <c r="AC68" s="800" t="s">
        <v>1236</v>
      </c>
      <c r="AD68" s="3533"/>
      <c r="AE68" s="3533"/>
      <c r="AF68" s="3533"/>
      <c r="AG68" s="3533"/>
      <c r="AH68" s="3533"/>
      <c r="AI68" s="3538">
        <f>IF(X68="","",DJ65)</f>
        <v>4.5</v>
      </c>
      <c r="AJ68" s="3538"/>
      <c r="AK68" s="3538"/>
      <c r="AL68" s="3538"/>
      <c r="AM68" s="3920" t="s">
        <v>1073</v>
      </c>
      <c r="AN68" s="3920"/>
      <c r="AO68" s="3920"/>
      <c r="AP68" s="3920"/>
      <c r="AQ68" s="3920"/>
      <c r="AR68" s="3920"/>
      <c r="AS68" s="3506" t="str">
        <f>IF(OR(Y23="不要",$B$2=0,C65="",AB66&lt;&gt;"Ｃ"),"",IF(AX68&lt;&gt;"",AX68,DD67))</f>
        <v>S-5C-FB</v>
      </c>
      <c r="AT68" s="3506"/>
      <c r="AU68" s="3506"/>
      <c r="AV68" s="3506"/>
      <c r="AW68" s="800" t="s">
        <v>1236</v>
      </c>
      <c r="AX68" s="3536"/>
      <c r="AY68" s="3536"/>
      <c r="AZ68" s="3536"/>
      <c r="BA68" s="3536"/>
      <c r="BB68" s="3921">
        <f>IF(AS68="","",DF67)</f>
        <v>700.6</v>
      </c>
      <c r="BC68" s="3921"/>
      <c r="BD68" s="3921"/>
      <c r="BE68" s="3921"/>
      <c r="BF68" s="3506" t="str">
        <f>IF(OR(C65="",AS68=""),"",IF(BL68&lt;&gt;"",BL68,DH67))</f>
        <v>PF-S-16mm</v>
      </c>
      <c r="BG68" s="3506"/>
      <c r="BH68" s="3506"/>
      <c r="BI68" s="3506"/>
      <c r="BJ68" s="3506"/>
      <c r="BK68" s="800" t="s">
        <v>1236</v>
      </c>
      <c r="BL68" s="3533"/>
      <c r="BM68" s="3533"/>
      <c r="BN68" s="3533"/>
      <c r="BO68" s="3533"/>
      <c r="BP68" s="3533"/>
      <c r="BQ68" s="3538">
        <f>IF(BF68="","",DJ67)</f>
        <v>131.1</v>
      </c>
      <c r="BR68" s="3538"/>
      <c r="BS68" s="3538"/>
      <c r="BT68" s="3539"/>
      <c r="BU68" s="19"/>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8">
        <f>IF(AND(AB75="Ａ",$X$11="2端子"),BI74+BQ74,IF(AND(AB75="Ａ",$X$11="1端子"),BE74+BM74,IF(AND(AB75="Ｂ",$X$11="1端子"),BM74,IF(AND(AB75="Ｂ",$X$11="2端子"),BQ74,IF(AND(AB75="Ｃ",$X$11="1端子"),BM74,BQ74)))))</f>
        <v>12</v>
      </c>
      <c r="DC68" s="10"/>
      <c r="DD68" s="8"/>
      <c r="DE68" s="8"/>
      <c r="DF68" s="8"/>
      <c r="DG68" s="8"/>
      <c r="DH68" s="8"/>
      <c r="DI68" s="8"/>
      <c r="DJ68" s="8"/>
      <c r="DK68" s="8"/>
      <c r="DL68" s="8"/>
      <c r="DM68" s="8"/>
      <c r="DN68" s="8"/>
      <c r="DO68" s="8"/>
      <c r="DP68" s="15"/>
      <c r="DQ68" s="15"/>
      <c r="DR68" s="15"/>
      <c r="DS68" s="8"/>
      <c r="DT68" s="8"/>
      <c r="DU68" s="8"/>
      <c r="DV68" s="8"/>
      <c r="DW68" s="8"/>
      <c r="DX68" s="8"/>
      <c r="DY68" s="8"/>
      <c r="DZ68" s="8"/>
      <c r="EA68" s="8"/>
      <c r="EB68" s="769" t="str">
        <f>IF(OR($B$2=0,AK65=""),"","分岐器 2C")</f>
        <v/>
      </c>
      <c r="EC68" s="8"/>
      <c r="ED68" s="10"/>
      <c r="EE68" s="8"/>
      <c r="EF68" s="8"/>
      <c r="EG68" s="8"/>
      <c r="EH68" s="197">
        <f t="shared" si="30"/>
        <v>4</v>
      </c>
      <c r="EI68" s="773" t="str">
        <f t="shared" si="31"/>
        <v/>
      </c>
      <c r="EJ68" s="203" t="str">
        <f>BF68</f>
        <v>PF-S-16mm</v>
      </c>
      <c r="EK68" s="9"/>
      <c r="EL68" s="9" t="str">
        <f>IF(COUNTIF($EJ$18:EJ67,EJ68)&gt;0,"",EJ68)</f>
        <v/>
      </c>
      <c r="EM68" s="9"/>
      <c r="EN68" s="14">
        <f>BQ68</f>
        <v>131.1</v>
      </c>
      <c r="EO68" s="771">
        <f t="shared" si="34"/>
        <v>0</v>
      </c>
      <c r="EP68" s="8"/>
      <c r="EQ68" s="8"/>
      <c r="ER68" s="197">
        <f t="shared" si="32"/>
        <v>3</v>
      </c>
      <c r="ES68" s="773" t="str">
        <f t="shared" si="33"/>
        <v/>
      </c>
      <c r="ET68" s="203" t="str">
        <f t="shared" si="35"/>
        <v/>
      </c>
      <c r="EU68" s="9"/>
      <c r="EV68" s="11" t="str">
        <f>IF(COUNTIF($ET$18:ET67,ET68)&gt;0,"",ET68)</f>
        <v/>
      </c>
      <c r="EW68" s="9"/>
      <c r="EX68" s="124" t="str">
        <f>AK65</f>
        <v/>
      </c>
      <c r="EY68" s="771">
        <f t="shared" si="36"/>
        <v>0</v>
      </c>
      <c r="EZ68" s="8"/>
      <c r="FA68" s="8"/>
      <c r="FB68" s="197">
        <f t="shared" si="23"/>
        <v>10</v>
      </c>
      <c r="FC68" s="773" t="str">
        <f t="shared" si="24"/>
        <v/>
      </c>
      <c r="FD68" s="772"/>
      <c r="FE68" s="9"/>
      <c r="FF68" s="11"/>
      <c r="FG68" s="9"/>
      <c r="FH68" s="124"/>
      <c r="FI68" s="771"/>
    </row>
    <row r="69" spans="1:165" ht="12" customHeight="1" thickBot="1">
      <c r="B69" s="23"/>
      <c r="C69" s="20"/>
      <c r="D69" s="20"/>
      <c r="E69" s="20"/>
      <c r="F69" s="20"/>
      <c r="G69" s="20"/>
      <c r="H69" s="20"/>
      <c r="I69" s="20"/>
      <c r="J69" s="20"/>
      <c r="K69" s="20"/>
      <c r="L69" s="20"/>
      <c r="M69" s="20"/>
      <c r="N69" s="20"/>
      <c r="O69" s="20"/>
      <c r="P69" s="20"/>
      <c r="Q69" s="787" t="str">
        <f>IF(AND(OR(AB75="Ａ",F242="Ａ"),DB68&gt;24),"直列ユニット数………配線方式Ａ：24以下!!",IF(AND(OR(AB75="Ｂ",F242="Ｂ"),DB68&gt;12),"直列ユニット数………配線方式Ｂ：12以下!!",IF(AND(OR(AB75="Ｃ",F242="Ｃ"),DB68&gt;180),"直列ユニット数………配線方式Ｃ：180以下!!","")))</f>
        <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19"/>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v>6</v>
      </c>
      <c r="DB69" s="92" t="str">
        <f>IF(OR(V40="不要",C74="",C74="  RF"),"",IF(DK69&lt;=12,"Ｂ",IF(DK69&lt;=24,"Ａ","Ｃ")))</f>
        <v>Ｂ</v>
      </c>
      <c r="DC69" s="10"/>
      <c r="DD69" s="8"/>
      <c r="DE69" s="8"/>
      <c r="DF69" s="8"/>
      <c r="DG69" s="8"/>
      <c r="DH69" s="8"/>
      <c r="DI69" s="8"/>
      <c r="DJ69" s="8"/>
      <c r="DK69" s="159">
        <f>IF(OR(C74="",C74="  RF"),0,SUM(Q74:V74))</f>
        <v>12</v>
      </c>
      <c r="DL69" s="8"/>
      <c r="DM69" s="8"/>
      <c r="DN69" s="8"/>
      <c r="DO69" s="8"/>
      <c r="DP69" s="8"/>
      <c r="DQ69" s="8"/>
      <c r="DR69" s="8"/>
      <c r="DS69" s="8"/>
      <c r="DT69" s="8"/>
      <c r="DU69" s="8"/>
      <c r="DV69" s="8"/>
      <c r="DW69" s="8"/>
      <c r="DX69" s="8"/>
      <c r="DY69" s="8"/>
      <c r="DZ69" s="8"/>
      <c r="EA69" s="8"/>
      <c r="EB69" s="8"/>
      <c r="EC69" s="8"/>
      <c r="ED69" s="8"/>
      <c r="EE69" s="8"/>
      <c r="EF69" s="8"/>
      <c r="EG69" s="88">
        <v>6</v>
      </c>
      <c r="EH69" s="204">
        <f t="shared" si="30"/>
        <v>4</v>
      </c>
      <c r="EI69" s="768" t="str">
        <f t="shared" si="31"/>
        <v/>
      </c>
      <c r="EJ69" s="45"/>
      <c r="EK69" s="45"/>
      <c r="EL69" s="45"/>
      <c r="EM69" s="45"/>
      <c r="EN69" s="45"/>
      <c r="EO69" s="785"/>
      <c r="EP69" s="8"/>
      <c r="EQ69" s="88">
        <v>6</v>
      </c>
      <c r="ER69" s="204">
        <f t="shared" si="32"/>
        <v>3</v>
      </c>
      <c r="ES69" s="768" t="str">
        <f t="shared" si="33"/>
        <v/>
      </c>
      <c r="ET69" s="45"/>
      <c r="EU69" s="45"/>
      <c r="EV69" s="154"/>
      <c r="EW69" s="45"/>
      <c r="EX69" s="45"/>
      <c r="EY69" s="785"/>
      <c r="EZ69" s="8"/>
      <c r="FA69" s="88">
        <v>6</v>
      </c>
      <c r="FB69" s="204">
        <f t="shared" si="23"/>
        <v>10</v>
      </c>
      <c r="FC69" s="768" t="str">
        <f t="shared" si="24"/>
        <v/>
      </c>
      <c r="FD69" s="786"/>
      <c r="FE69" s="45"/>
      <c r="FF69" s="154"/>
      <c r="FG69" s="45"/>
      <c r="FH69" s="208"/>
      <c r="FI69" s="785"/>
    </row>
    <row r="70" spans="1:165" ht="12" customHeight="1" thickBot="1">
      <c r="B70" s="23"/>
      <c r="C70" s="3399" t="s">
        <v>1142</v>
      </c>
      <c r="D70" s="3412"/>
      <c r="E70" s="3412"/>
      <c r="F70" s="3412"/>
      <c r="G70" s="3412"/>
      <c r="H70" s="3412"/>
      <c r="I70" s="3412"/>
      <c r="J70" s="3412"/>
      <c r="K70" s="3412"/>
      <c r="L70" s="3413"/>
      <c r="M70" s="3853" t="str">
        <f>非誘!J46</f>
        <v>( 4 )</v>
      </c>
      <c r="N70" s="3854"/>
      <c r="O70" s="3854"/>
      <c r="P70" s="3854"/>
      <c r="Q70" s="3855"/>
      <c r="R70" s="2299" t="str">
        <f>IF($B$2=0,"","共聴機器")</f>
        <v>共聴機器</v>
      </c>
      <c r="S70" s="2299"/>
      <c r="T70" s="2299"/>
      <c r="U70" s="2299"/>
      <c r="V70" s="2299"/>
      <c r="W70" s="3412" t="s">
        <v>1141</v>
      </c>
      <c r="X70" s="3412"/>
      <c r="Y70" s="3412"/>
      <c r="Z70" s="3413"/>
      <c r="AA70" s="2637" t="s">
        <v>1140</v>
      </c>
      <c r="AB70" s="2638"/>
      <c r="AC70" s="2638"/>
      <c r="AD70" s="2638"/>
      <c r="AE70" s="2638"/>
      <c r="AF70" s="2639"/>
      <c r="AG70" s="3879" t="s">
        <v>1139</v>
      </c>
      <c r="AH70" s="3879"/>
      <c r="AI70" s="3879"/>
      <c r="AJ70" s="3879"/>
      <c r="AK70" s="3879"/>
      <c r="AL70" s="3879"/>
      <c r="AM70" s="3879"/>
      <c r="AN70" s="3879"/>
      <c r="AO70" s="3879"/>
      <c r="AP70" s="3879"/>
      <c r="AQ70" s="3879"/>
      <c r="AR70" s="3879"/>
      <c r="AS70" s="2637" t="s">
        <v>1138</v>
      </c>
      <c r="AT70" s="2638"/>
      <c r="AU70" s="2638"/>
      <c r="AV70" s="2638"/>
      <c r="AW70" s="2638"/>
      <c r="AX70" s="2638"/>
      <c r="AY70" s="2638"/>
      <c r="AZ70" s="2638"/>
      <c r="BA70" s="2638"/>
      <c r="BB70" s="2638"/>
      <c r="BC70" s="2638"/>
      <c r="BD70" s="2639"/>
      <c r="BE70" s="2637" t="s">
        <v>1137</v>
      </c>
      <c r="BF70" s="2638"/>
      <c r="BG70" s="2638"/>
      <c r="BH70" s="2638"/>
      <c r="BI70" s="2638"/>
      <c r="BJ70" s="2638"/>
      <c r="BK70" s="2638"/>
      <c r="BL70" s="2638"/>
      <c r="BM70" s="2638"/>
      <c r="BN70" s="2638"/>
      <c r="BO70" s="2638"/>
      <c r="BP70" s="2638"/>
      <c r="BQ70" s="2638"/>
      <c r="BR70" s="2638"/>
      <c r="BS70" s="2638"/>
      <c r="BT70" s="2639"/>
      <c r="BU70" s="19"/>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15"/>
      <c r="DA70" s="788" t="str">
        <f>IF(DB89&lt;&gt;"","Amp-2","")</f>
        <v>Amp-2</v>
      </c>
      <c r="DB70" s="97">
        <f>IF(C74="","",DB61+1)</f>
        <v>6</v>
      </c>
      <c r="DC70" s="15" t="str">
        <f>IF($X$10=C74,"＝",IF(VLOOKUP(C74,[2]!階高,3,FALSE)-VLOOKUP($X$10,[2]!階高,3,FALSE)&gt;0,"＋","－"))</f>
        <v>－</v>
      </c>
      <c r="DD70" s="38"/>
      <c r="DE70" s="113" t="s">
        <v>1232</v>
      </c>
      <c r="DF70" s="113" t="s">
        <v>1234</v>
      </c>
      <c r="DG70" s="113" t="s">
        <v>1233</v>
      </c>
      <c r="DH70" s="113" t="s">
        <v>1229</v>
      </c>
      <c r="DI70" s="113" t="s">
        <v>1231</v>
      </c>
      <c r="DJ70" s="113" t="s">
        <v>1230</v>
      </c>
      <c r="DK70" s="90" t="s">
        <v>1235</v>
      </c>
      <c r="DL70" s="38"/>
      <c r="DM70" s="113" t="s">
        <v>1232</v>
      </c>
      <c r="DN70" s="113" t="s">
        <v>1234</v>
      </c>
      <c r="DO70" s="113" t="s">
        <v>1233</v>
      </c>
      <c r="DP70" s="113" t="s">
        <v>1229</v>
      </c>
      <c r="DQ70" s="113" t="s">
        <v>1231</v>
      </c>
      <c r="DR70" s="113" t="s">
        <v>1230</v>
      </c>
      <c r="DS70" s="38"/>
      <c r="DT70" s="113" t="s">
        <v>1232</v>
      </c>
      <c r="DU70" s="113" t="s">
        <v>1229</v>
      </c>
      <c r="DV70" s="113" t="s">
        <v>1231</v>
      </c>
      <c r="DW70" s="113" t="s">
        <v>1230</v>
      </c>
      <c r="DX70" s="113" t="s">
        <v>1229</v>
      </c>
      <c r="DY70" s="113" t="s">
        <v>1229</v>
      </c>
      <c r="DZ70" s="113" t="s">
        <v>1229</v>
      </c>
      <c r="EA70" s="113"/>
      <c r="EB70" s="776" t="str">
        <f>IF(OR($B$2=0,W74=""),"","混合器 U-U")</f>
        <v/>
      </c>
      <c r="EC70" s="15"/>
      <c r="ED70" s="782" t="str">
        <f>IF(AS74="","","分配器 2D")</f>
        <v/>
      </c>
      <c r="EE70" s="15" t="str">
        <f>AS74</f>
        <v/>
      </c>
      <c r="EF70" s="15"/>
      <c r="EG70" s="8"/>
      <c r="EH70" s="197">
        <f t="shared" si="30"/>
        <v>4</v>
      </c>
      <c r="EI70" s="773" t="str">
        <f t="shared" si="31"/>
        <v/>
      </c>
      <c r="EJ70" s="203" t="str">
        <f>K76</f>
        <v/>
      </c>
      <c r="EK70" s="9"/>
      <c r="EL70" s="9" t="str">
        <f>IF(COUNTIF($EJ$18:EJ69,EJ70)&gt;0,"",EJ70)</f>
        <v/>
      </c>
      <c r="EM70" s="9"/>
      <c r="EN70" s="14" t="str">
        <f>T76</f>
        <v/>
      </c>
      <c r="EO70" s="771">
        <f t="shared" ref="EO70:EO77" si="39">SUMIF($EJ$25:$EJ$225,EL70,$EN$25:$EN$225)</f>
        <v>0</v>
      </c>
      <c r="EP70" s="8"/>
      <c r="EQ70" s="8"/>
      <c r="ER70" s="197">
        <f t="shared" si="32"/>
        <v>3</v>
      </c>
      <c r="ES70" s="773" t="str">
        <f t="shared" si="33"/>
        <v/>
      </c>
      <c r="ET70" s="203" t="str">
        <f t="shared" ref="ET70:ET77" si="40">EB70</f>
        <v/>
      </c>
      <c r="EU70" s="9"/>
      <c r="EV70" s="11" t="str">
        <f>IF(COUNTIF($ET$18:ET69,ET70)&gt;0,"",ET70)</f>
        <v/>
      </c>
      <c r="EW70" s="9"/>
      <c r="EX70" s="124" t="str">
        <f>W74</f>
        <v/>
      </c>
      <c r="EY70" s="771">
        <f t="shared" ref="EY70:EY77" si="41">SUMIF($ET$25:$ET$225,EV70,$EX$25:$EX$225)</f>
        <v>0</v>
      </c>
      <c r="EZ70" s="8"/>
      <c r="FA70" s="8"/>
      <c r="FB70" s="197">
        <f t="shared" si="23"/>
        <v>10</v>
      </c>
      <c r="FC70" s="773" t="str">
        <f t="shared" si="24"/>
        <v/>
      </c>
      <c r="FD70" s="772" t="str">
        <f t="shared" ref="FD70:FD76" si="42">ED70</f>
        <v/>
      </c>
      <c r="FE70" s="9"/>
      <c r="FF70" s="11" t="str">
        <f>IF(COUNTIF($FD$15:FD69,FD70)&gt;0,"",FD70)</f>
        <v/>
      </c>
      <c r="FG70" s="9"/>
      <c r="FH70" s="124" t="str">
        <f>AS74</f>
        <v/>
      </c>
      <c r="FI70" s="771">
        <f t="shared" ref="FI70:FI76" si="43">SUMIF($FD$18:$FD$205,FF70,$FH$18:$FH$205)</f>
        <v>0</v>
      </c>
    </row>
    <row r="71" spans="1:165" ht="12" customHeight="1" thickBot="1">
      <c r="B71" s="23"/>
      <c r="C71" s="3857" t="str">
        <f>"　"&amp;非誘!M46</f>
        <v>　百貨店等</v>
      </c>
      <c r="D71" s="3858"/>
      <c r="E71" s="3858"/>
      <c r="F71" s="3858"/>
      <c r="G71" s="3858"/>
      <c r="H71" s="3858"/>
      <c r="I71" s="3858"/>
      <c r="J71" s="3858"/>
      <c r="K71" s="3858"/>
      <c r="L71" s="3858"/>
      <c r="M71" s="3858"/>
      <c r="N71" s="3858"/>
      <c r="O71" s="3858"/>
      <c r="P71" s="3858"/>
      <c r="Q71" s="3859"/>
      <c r="R71" s="2337" t="str">
        <f>IF(U71&lt;&gt;"",U71,IF(C74="","","設"))</f>
        <v>設</v>
      </c>
      <c r="S71" s="2337"/>
      <c r="T71" s="175" t="s">
        <v>68</v>
      </c>
      <c r="U71" s="2338"/>
      <c r="V71" s="2338"/>
      <c r="W71" s="3860" t="s">
        <v>1132</v>
      </c>
      <c r="X71" s="3863" t="s">
        <v>1131</v>
      </c>
      <c r="Y71" s="3863" t="s">
        <v>1130</v>
      </c>
      <c r="Z71" s="3866"/>
      <c r="AA71" s="3528" t="s">
        <v>1128</v>
      </c>
      <c r="AB71" s="3519"/>
      <c r="AC71" s="3519"/>
      <c r="AD71" s="3519"/>
      <c r="AE71" s="3519"/>
      <c r="AF71" s="3520"/>
      <c r="AG71" s="3528" t="s">
        <v>1051</v>
      </c>
      <c r="AH71" s="3519"/>
      <c r="AI71" s="3519"/>
      <c r="AJ71" s="3529"/>
      <c r="AK71" s="3518" t="s">
        <v>1050</v>
      </c>
      <c r="AL71" s="3519"/>
      <c r="AM71" s="3519"/>
      <c r="AN71" s="3529"/>
      <c r="AO71" s="3518" t="s">
        <v>1049</v>
      </c>
      <c r="AP71" s="3519"/>
      <c r="AQ71" s="3519"/>
      <c r="AR71" s="3520"/>
      <c r="AS71" s="3528" t="s">
        <v>1048</v>
      </c>
      <c r="AT71" s="3519"/>
      <c r="AU71" s="3519"/>
      <c r="AV71" s="3529"/>
      <c r="AW71" s="3518" t="s">
        <v>1047</v>
      </c>
      <c r="AX71" s="3519"/>
      <c r="AY71" s="3519"/>
      <c r="AZ71" s="3529"/>
      <c r="BA71" s="3518" t="s">
        <v>1046</v>
      </c>
      <c r="BB71" s="3519"/>
      <c r="BC71" s="3519"/>
      <c r="BD71" s="3520"/>
      <c r="BE71" s="3528" t="s">
        <v>1123</v>
      </c>
      <c r="BF71" s="3519"/>
      <c r="BG71" s="3519"/>
      <c r="BH71" s="3519"/>
      <c r="BI71" s="3519"/>
      <c r="BJ71" s="3519"/>
      <c r="BK71" s="3519"/>
      <c r="BL71" s="3529"/>
      <c r="BM71" s="3518" t="s">
        <v>1122</v>
      </c>
      <c r="BN71" s="3519"/>
      <c r="BO71" s="3519"/>
      <c r="BP71" s="3519"/>
      <c r="BQ71" s="3519"/>
      <c r="BR71" s="3519"/>
      <c r="BS71" s="3519"/>
      <c r="BT71" s="3520"/>
      <c r="BU71" s="19"/>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15"/>
      <c r="DA71" s="15">
        <f>IF(AG74&lt;&gt;"",2,IF(AK74&lt;&gt;"",3,0))</f>
        <v>3</v>
      </c>
      <c r="DB71" s="86" t="s">
        <v>370</v>
      </c>
      <c r="DC71" s="86" t="s">
        <v>71</v>
      </c>
      <c r="DD71" s="128" t="s">
        <v>1179</v>
      </c>
      <c r="DE71" s="86">
        <f>IF(AB75&lt;&gt;"Ａ",0,IF(AND(2*DK71&gt;=4,2*DK71&lt;=12),1,0))</f>
        <v>0</v>
      </c>
      <c r="DF71" s="86">
        <f>IF(AB75&lt;&gt;"Ａ",0,IF(AND(2*DK71&gt;=16,DK71&lt;=24),1,0))</f>
        <v>0</v>
      </c>
      <c r="DG71" s="97" t="s">
        <v>1177</v>
      </c>
      <c r="DH71" s="86">
        <f>IF(AB75&lt;&gt;"Ａ",0,IF(2*DK71&lt;=4,1,0))</f>
        <v>0</v>
      </c>
      <c r="DI71" s="86">
        <f>IF(AB75&lt;&gt;"Ａ",0,IF(OR(AND(2*DK71&gt;4,2*DK71&lt;=8),AND(2*DK71&gt;12,2*DK71&lt;=16)),1,0))</f>
        <v>0</v>
      </c>
      <c r="DJ71" s="183">
        <f>IF(AB75&lt;&gt;"Ａ",0,IF(OR(AND(2*DK71&gt;8,2*DK71&lt;=12),AND(2*DK71&gt;16,2*DK71&lt;=24)),1,0))</f>
        <v>0</v>
      </c>
      <c r="DK71" s="783">
        <f>IF(OR(C74="",C74="  RF"),0,IF(Q74="",INT((T74)/2),INT((Q74+INT(T74))/2)+1))</f>
        <v>7</v>
      </c>
      <c r="DL71" s="128" t="s">
        <v>1178</v>
      </c>
      <c r="DM71" s="86">
        <f>IF(AB75&lt;&gt;"Ｂ",0,IF(DB68&lt;=6,1,0))</f>
        <v>0</v>
      </c>
      <c r="DN71" s="86">
        <f>IF(AB75&lt;&gt;"Ｂ",0,IF(AND(DB68&gt;6,DB68&lt;=12),1,0))</f>
        <v>1</v>
      </c>
      <c r="DO71" s="97" t="s">
        <v>1177</v>
      </c>
      <c r="DP71" s="86">
        <f>IF(AB75&lt;&gt;"Ｂ",0,IF(DB68&lt;=2,1,0))</f>
        <v>0</v>
      </c>
      <c r="DQ71" s="86">
        <f>IF(AB75&lt;&gt;"Ｂ",0,IF(OR(AND(DB68&gt;2,DB68&lt;6),AND(DB68&gt;6,DB68&lt;=8)),1,0))</f>
        <v>0</v>
      </c>
      <c r="DR71" s="86">
        <f>IF(AB75&lt;&gt;"Ｂ",0,IF(OR(AND(DB68&gt;4,DB68&lt;6),AND(DB68&gt;8,DB68&lt;=12)),1,0))</f>
        <v>1</v>
      </c>
      <c r="DS71" s="128" t="s">
        <v>1078</v>
      </c>
      <c r="DT71" s="159">
        <f>IF(AB75&lt;&gt;"Ｃ",0,IF(DX71&lt;&gt;0,DX71,IF(DY71&lt;&gt;0,DY71,IF(DZ71&lt;&gt;0,DZ71,0))))</f>
        <v>0</v>
      </c>
      <c r="DU71" s="159">
        <f>IF(AB75&lt;&gt;"Ｃ",0,IF(DX71=0,0,1))</f>
        <v>0</v>
      </c>
      <c r="DV71" s="159">
        <f>IF(AB75&lt;&gt;"Ｃ",0,IF(DY71=0,0,1))</f>
        <v>0</v>
      </c>
      <c r="DW71" s="783">
        <f>IF(AB75&lt;&gt;"Ｃ",0,IF(DZ71=0,0,1))</f>
        <v>0</v>
      </c>
      <c r="DX71" s="714">
        <f>IF(AB75&lt;&gt;"Ｃ",0,IF(DB68&lt;=12,3,IF(AND(DB68&gt;12,DB68&lt;=16),4,IF(AND(DB68&gt;16,DB68&lt;=20),5,0))))</f>
        <v>0</v>
      </c>
      <c r="DY71" s="86">
        <f>IF(AB75&lt;&gt;"Ｃ",0,IF(AND(DB68&gt;20,DB68&lt;=24),3,IF(AND(DB68&gt;24,DB68&lt;=32),4,IF(AND(DB68&gt;32,DB68&lt;=40),5,0))))</f>
        <v>0</v>
      </c>
      <c r="DZ71" s="97">
        <f>IF(AB75&lt;&gt;"Ｃ",0,IF(AND(DB68&gt;40,DB68&lt;=48),4,IF(AND(DB68&gt;48,DB68&lt;=60),5,0)))</f>
        <v>0</v>
      </c>
      <c r="EA71" s="96"/>
      <c r="EB71" s="776" t="str">
        <f>IF(OR($B$2=0,X74=""),"","混合器 BS-CS")</f>
        <v/>
      </c>
      <c r="EC71" s="96"/>
      <c r="ED71" s="782" t="str">
        <f>IF(AW74="","","分配器 4D")</f>
        <v/>
      </c>
      <c r="EE71" s="96" t="str">
        <f>AW74</f>
        <v/>
      </c>
      <c r="EF71" s="96"/>
      <c r="EG71" s="96"/>
      <c r="EH71" s="197">
        <f t="shared" si="30"/>
        <v>4</v>
      </c>
      <c r="EI71" s="773" t="str">
        <f t="shared" si="31"/>
        <v/>
      </c>
      <c r="EJ71" s="203" t="str">
        <f>K77</f>
        <v>S-7C-FB</v>
      </c>
      <c r="EK71" s="9"/>
      <c r="EL71" s="9" t="str">
        <f>IF(COUNTIF($EJ$18:EJ70,EJ71)&gt;0,"",EJ71)</f>
        <v/>
      </c>
      <c r="EM71" s="9"/>
      <c r="EN71" s="14">
        <f>T77</f>
        <v>6</v>
      </c>
      <c r="EO71" s="771">
        <f t="shared" si="39"/>
        <v>0</v>
      </c>
      <c r="EP71" s="8"/>
      <c r="EQ71" s="96"/>
      <c r="ER71" s="197">
        <f t="shared" si="32"/>
        <v>3</v>
      </c>
      <c r="ES71" s="773" t="str">
        <f t="shared" si="33"/>
        <v/>
      </c>
      <c r="ET71" s="203" t="str">
        <f t="shared" si="40"/>
        <v/>
      </c>
      <c r="EU71" s="9"/>
      <c r="EV71" s="11" t="str">
        <f>IF(COUNTIF($ET$18:ET70,ET71)&gt;0,"",ET71)</f>
        <v/>
      </c>
      <c r="EW71" s="9"/>
      <c r="EX71" s="124" t="str">
        <f>X74</f>
        <v/>
      </c>
      <c r="EY71" s="771">
        <f t="shared" si="41"/>
        <v>0</v>
      </c>
      <c r="EZ71" s="8"/>
      <c r="FA71" s="96"/>
      <c r="FB71" s="197">
        <f t="shared" si="23"/>
        <v>10</v>
      </c>
      <c r="FC71" s="773" t="str">
        <f t="shared" si="24"/>
        <v/>
      </c>
      <c r="FD71" s="772" t="str">
        <f t="shared" si="42"/>
        <v/>
      </c>
      <c r="FE71" s="9"/>
      <c r="FF71" s="11" t="str">
        <f>IF(COUNTIF($FD$15:FD70,FD71)&gt;0,"",FD71)</f>
        <v/>
      </c>
      <c r="FG71" s="9"/>
      <c r="FH71" s="124" t="str">
        <f>AW74</f>
        <v/>
      </c>
      <c r="FI71" s="771">
        <f t="shared" si="43"/>
        <v>0</v>
      </c>
    </row>
    <row r="72" spans="1:165" ht="12" customHeight="1" thickBot="1">
      <c r="B72" s="23"/>
      <c r="C72" s="3819" t="s">
        <v>16</v>
      </c>
      <c r="D72" s="3820"/>
      <c r="E72" s="3821"/>
      <c r="F72" s="3869" t="s">
        <v>22</v>
      </c>
      <c r="G72" s="3870"/>
      <c r="H72" s="3871"/>
      <c r="I72" s="3869" t="s">
        <v>5</v>
      </c>
      <c r="J72" s="3870"/>
      <c r="K72" s="3870"/>
      <c r="L72" s="3871"/>
      <c r="M72" s="3819" t="s">
        <v>1176</v>
      </c>
      <c r="N72" s="3820"/>
      <c r="O72" s="3820"/>
      <c r="P72" s="3821"/>
      <c r="Q72" s="3819" t="s">
        <v>1175</v>
      </c>
      <c r="R72" s="3820"/>
      <c r="S72" s="3821"/>
      <c r="T72" s="3819" t="s">
        <v>1175</v>
      </c>
      <c r="U72" s="3820"/>
      <c r="V72" s="3821"/>
      <c r="W72" s="3861"/>
      <c r="X72" s="3864"/>
      <c r="Y72" s="3864"/>
      <c r="Z72" s="3867"/>
      <c r="AA72" s="3872" t="str">
        <f>IF($AG$15&lt;=65,"40/","35/")</f>
        <v>40/</v>
      </c>
      <c r="AB72" s="3873"/>
      <c r="AC72" s="3873"/>
      <c r="AD72" s="3873" t="str">
        <f>IF(CW243&gt;55,"40/","35/")</f>
        <v>35/</v>
      </c>
      <c r="AE72" s="3873"/>
      <c r="AF72" s="3875"/>
      <c r="AG72" s="3876" t="s">
        <v>1114</v>
      </c>
      <c r="AH72" s="3877"/>
      <c r="AI72" s="3877"/>
      <c r="AJ72" s="3877"/>
      <c r="AK72" s="3877"/>
      <c r="AL72" s="3877"/>
      <c r="AM72" s="3877"/>
      <c r="AN72" s="3877"/>
      <c r="AO72" s="3877"/>
      <c r="AP72" s="3877"/>
      <c r="AQ72" s="3877"/>
      <c r="AR72" s="3878"/>
      <c r="AS72" s="3549" t="s">
        <v>1113</v>
      </c>
      <c r="AT72" s="3550"/>
      <c r="AU72" s="3550"/>
      <c r="AV72" s="3550"/>
      <c r="AW72" s="3550"/>
      <c r="AX72" s="3550"/>
      <c r="AY72" s="3550"/>
      <c r="AZ72" s="3550"/>
      <c r="BA72" s="3550"/>
      <c r="BB72" s="3550"/>
      <c r="BC72" s="3550"/>
      <c r="BD72" s="3551"/>
      <c r="BE72" s="3552" t="s">
        <v>1112</v>
      </c>
      <c r="BF72" s="3553"/>
      <c r="BG72" s="3553"/>
      <c r="BH72" s="3553"/>
      <c r="BI72" s="3553" t="s">
        <v>1111</v>
      </c>
      <c r="BJ72" s="3553"/>
      <c r="BK72" s="3553"/>
      <c r="BL72" s="3553"/>
      <c r="BM72" s="3553" t="s">
        <v>1112</v>
      </c>
      <c r="BN72" s="3553"/>
      <c r="BO72" s="3553"/>
      <c r="BP72" s="3553"/>
      <c r="BQ72" s="3553" t="s">
        <v>1111</v>
      </c>
      <c r="BR72" s="3553"/>
      <c r="BS72" s="3553"/>
      <c r="BT72" s="3919"/>
      <c r="BU72" s="19"/>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15"/>
      <c r="DA72" s="67">
        <f>IF(DC70="＋",F74+F65+3,F74+F84+3)</f>
        <v>11</v>
      </c>
      <c r="DB72" s="98">
        <f>IF(C74="  RF","",IF(AN75="","",非誘!BW48))</f>
        <v>12</v>
      </c>
      <c r="DC72" s="98">
        <f>IF(DB72="","",IF(AN75="","",非誘!BX48))</f>
        <v>24</v>
      </c>
      <c r="DD72" s="3822" t="s">
        <v>1060</v>
      </c>
      <c r="DE72" s="3823"/>
      <c r="DF72" s="3824" t="s">
        <v>1173</v>
      </c>
      <c r="DG72" s="3824"/>
      <c r="DH72" s="3824" t="s">
        <v>1174</v>
      </c>
      <c r="DI72" s="3824"/>
      <c r="DJ72" s="3823" t="s">
        <v>1173</v>
      </c>
      <c r="DK72" s="3823"/>
      <c r="DL72" s="8"/>
      <c r="DM72" s="113" t="s">
        <v>1172</v>
      </c>
      <c r="DN72" s="113" t="s">
        <v>1171</v>
      </c>
      <c r="DO72" s="113" t="s">
        <v>1170</v>
      </c>
      <c r="DP72" s="8"/>
      <c r="DQ72" s="8"/>
      <c r="DR72" s="8"/>
      <c r="DS72" s="8"/>
      <c r="DT72" s="113" t="s">
        <v>1051</v>
      </c>
      <c r="DU72" s="8"/>
      <c r="DV72" s="113" t="s">
        <v>1047</v>
      </c>
      <c r="DW72" s="113" t="s">
        <v>1046</v>
      </c>
      <c r="DX72" s="8"/>
      <c r="DY72" s="113" t="s">
        <v>1047</v>
      </c>
      <c r="DZ72" s="113" t="s">
        <v>1047</v>
      </c>
      <c r="EA72" s="113"/>
      <c r="EB72" s="776" t="str">
        <f>IF(OR($B$2=0,Y74=""),"","混合器 UV-BC")</f>
        <v/>
      </c>
      <c r="EC72" s="15"/>
      <c r="ED72" s="782" t="str">
        <f>IF(BA74="","","分配器 6D")</f>
        <v>分配器 6D</v>
      </c>
      <c r="EE72" s="15">
        <f>BA74</f>
        <v>1</v>
      </c>
      <c r="EF72" s="15"/>
      <c r="EG72" s="15"/>
      <c r="EH72" s="197">
        <f t="shared" si="30"/>
        <v>4</v>
      </c>
      <c r="EI72" s="773" t="str">
        <f t="shared" si="31"/>
        <v/>
      </c>
      <c r="EJ72" s="203" t="str">
        <f>X76</f>
        <v/>
      </c>
      <c r="EK72" s="9"/>
      <c r="EL72" s="9" t="str">
        <f>IF(COUNTIF($EJ$18:EJ71,EJ72)&gt;0,"",EJ72)</f>
        <v/>
      </c>
      <c r="EM72" s="9"/>
      <c r="EN72" s="14" t="str">
        <f>AI76</f>
        <v/>
      </c>
      <c r="EO72" s="771">
        <f t="shared" si="39"/>
        <v>0</v>
      </c>
      <c r="EP72" s="8"/>
      <c r="EQ72" s="15"/>
      <c r="ER72" s="197">
        <f t="shared" si="32"/>
        <v>3</v>
      </c>
      <c r="ES72" s="773" t="str">
        <f t="shared" si="33"/>
        <v/>
      </c>
      <c r="ET72" s="203" t="str">
        <f t="shared" si="40"/>
        <v/>
      </c>
      <c r="EU72" s="9"/>
      <c r="EV72" s="11" t="str">
        <f>IF(COUNTIF($ET$18:ET71,ET72)&gt;0,"",ET72)</f>
        <v/>
      </c>
      <c r="EW72" s="9"/>
      <c r="EX72" s="124" t="str">
        <f>Y74</f>
        <v/>
      </c>
      <c r="EY72" s="771">
        <f t="shared" si="41"/>
        <v>0</v>
      </c>
      <c r="EZ72" s="8"/>
      <c r="FA72" s="15"/>
      <c r="FB72" s="197">
        <f t="shared" si="23"/>
        <v>10</v>
      </c>
      <c r="FC72" s="773" t="str">
        <f t="shared" si="24"/>
        <v/>
      </c>
      <c r="FD72" s="772" t="str">
        <f t="shared" si="42"/>
        <v>分配器 6D</v>
      </c>
      <c r="FE72" s="9"/>
      <c r="FF72" s="11" t="str">
        <f>IF(COUNTIF($FD$15:FD71,FD72)&gt;0,"",FD72)</f>
        <v/>
      </c>
      <c r="FG72" s="9"/>
      <c r="FH72" s="124">
        <f>BA74</f>
        <v>1</v>
      </c>
      <c r="FI72" s="771">
        <f t="shared" si="43"/>
        <v>0</v>
      </c>
    </row>
    <row r="73" spans="1:165" ht="12" customHeight="1" thickBot="1">
      <c r="B73" s="23"/>
      <c r="C73" s="3819"/>
      <c r="D73" s="3820"/>
      <c r="E73" s="3821"/>
      <c r="F73" s="3827" t="s">
        <v>420</v>
      </c>
      <c r="G73" s="3769"/>
      <c r="H73" s="3828"/>
      <c r="I73" s="3819" t="s">
        <v>420</v>
      </c>
      <c r="J73" s="3820"/>
      <c r="K73" s="3820"/>
      <c r="L73" s="3821"/>
      <c r="M73" s="3819" t="s">
        <v>1150</v>
      </c>
      <c r="N73" s="3820"/>
      <c r="O73" s="3820"/>
      <c r="P73" s="3821"/>
      <c r="Q73" s="3819" t="s">
        <v>1102</v>
      </c>
      <c r="R73" s="3820"/>
      <c r="S73" s="3821"/>
      <c r="T73" s="3819" t="s">
        <v>115</v>
      </c>
      <c r="U73" s="3820"/>
      <c r="V73" s="3821"/>
      <c r="W73" s="3862"/>
      <c r="X73" s="3865"/>
      <c r="Y73" s="3865"/>
      <c r="Z73" s="3868"/>
      <c r="AA73" s="3829">
        <f>IF($AG$15&lt;=65,115,110)</f>
        <v>115</v>
      </c>
      <c r="AB73" s="3562"/>
      <c r="AC73" s="3562"/>
      <c r="AD73" s="3562">
        <f>IF(CW243&gt;55,115,110)</f>
        <v>110</v>
      </c>
      <c r="AE73" s="3562"/>
      <c r="AF73" s="3830"/>
      <c r="AG73" s="3831" t="s">
        <v>1149</v>
      </c>
      <c r="AH73" s="3832"/>
      <c r="AI73" s="3832"/>
      <c r="AJ73" s="3833"/>
      <c r="AK73" s="3834" t="s">
        <v>1148</v>
      </c>
      <c r="AL73" s="3832"/>
      <c r="AM73" s="3832"/>
      <c r="AN73" s="3833"/>
      <c r="AO73" s="3834" t="s">
        <v>1147</v>
      </c>
      <c r="AP73" s="3832"/>
      <c r="AQ73" s="3832"/>
      <c r="AR73" s="3835"/>
      <c r="AS73" s="3836" t="s">
        <v>1146</v>
      </c>
      <c r="AT73" s="3832"/>
      <c r="AU73" s="3832"/>
      <c r="AV73" s="3833"/>
      <c r="AW73" s="3844" t="s">
        <v>1145</v>
      </c>
      <c r="AX73" s="3845"/>
      <c r="AY73" s="3845"/>
      <c r="AZ73" s="3846"/>
      <c r="BA73" s="3558" t="s">
        <v>1094</v>
      </c>
      <c r="BB73" s="3559"/>
      <c r="BC73" s="3559"/>
      <c r="BD73" s="3560"/>
      <c r="BE73" s="3561" t="s">
        <v>1092</v>
      </c>
      <c r="BF73" s="3562"/>
      <c r="BG73" s="3562"/>
      <c r="BH73" s="3562"/>
      <c r="BI73" s="3850" t="s">
        <v>1091</v>
      </c>
      <c r="BJ73" s="3562"/>
      <c r="BK73" s="3562"/>
      <c r="BL73" s="3562"/>
      <c r="BM73" s="3850" t="s">
        <v>1090</v>
      </c>
      <c r="BN73" s="3562"/>
      <c r="BO73" s="3562"/>
      <c r="BP73" s="3562"/>
      <c r="BQ73" s="3850" t="s">
        <v>1089</v>
      </c>
      <c r="BR73" s="3562"/>
      <c r="BS73" s="3562"/>
      <c r="BT73" s="3830"/>
      <c r="BU73" s="19"/>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90"/>
      <c r="DA73" s="15"/>
      <c r="DB73" s="98">
        <f>IF(C74="","",IF(AZ75="①",DB72+DC72+3,IF(AZ75="②",DB72*5/8+DC72+3,IF(AZ75="③",DB72/2+DC72+3,IF(AZ75="④",DB72+DC72*5/8+3,IF(AZ75="⑤",(DB72+DC72)*5/8+3,IF(AZ75="⑥",DB72/2+DC72*5/8+3,IF(AZ75="⑦",DB72+DC72/2+3,IF(AZ75="⑧",DB72*5/8+DC72/2+3,IF(AZ75="⑨",(DB72+DC72)/2+3))))))))))</f>
        <v>27</v>
      </c>
      <c r="DC73" s="180" t="s">
        <v>1088</v>
      </c>
      <c r="DD73" s="2589" t="str">
        <f>IF($AL$10="nC-FB","S-5C-FB",IF($AL$10="nD-FB","5D-FB","5C-2V"))</f>
        <v>S-5C-FB</v>
      </c>
      <c r="DE73" s="2591"/>
      <c r="DF73" s="3631">
        <f>IF(C74="  RF",DF64,IF($H$15="ＣＡＴＶ",DB72+DC72/2+F74-($AM$8-$AM$7)/1000+DR73,SUM(DM73:DO73)))</f>
        <v>58.5</v>
      </c>
      <c r="DG73" s="3812"/>
      <c r="DH73" s="2589" t="str">
        <f>IF($H$17="ＣＡＴＶ","G-22mm",IF(RIGHT($AB$17,1)+RIGHT($AF$17,1)+RIGHT($AJ$17,1)&gt;=4,"G-36mm","G-28mm"))</f>
        <v>G-28mm</v>
      </c>
      <c r="DI73" s="2591"/>
      <c r="DJ73" s="3631">
        <f>IF(C74="",0,IF(C74="  RF",DJ64,IF($H$15="ＣＡＴＶ",DB72+DC72/2+F74-($AM$8-$AM$7)/1000,10+F74-($AM$8-$AM$7)/1000)))</f>
        <v>14.5</v>
      </c>
      <c r="DK73" s="3812"/>
      <c r="DL73" s="15"/>
      <c r="DM73" s="98">
        <f>IF(OR($B$2=0,$H$15="ＣＡＴＶ",C74="",C74="  RF"),0,IF($AB$17="","",RIGHT($AB$17,1)*15+F74-($AM$8-$AM$7)/1000))</f>
        <v>19.5</v>
      </c>
      <c r="DN73" s="98">
        <f>IF(OR($B$2=0,$H$15="ＣＡＴＶ",C74="",C74="  RF"),0,IF($AF$17="","",15+F74-($AM$8-$AM$7)/1000))</f>
        <v>19.5</v>
      </c>
      <c r="DO73" s="98">
        <f>IF(OR($B$2=0,$H$15="ＣＡＴＶ",C74="",C74="  RF"),0,IF($AJ$17="","",15+F74-($AM$8-$AM$7)/1000))</f>
        <v>19.5</v>
      </c>
      <c r="DP73" s="15"/>
      <c r="DQ73" s="46" t="s">
        <v>1087</v>
      </c>
      <c r="DR73" s="98" t="str">
        <f>IF($H$17="ＣＡＴＶ",#REF!+#REF!,"")</f>
        <v/>
      </c>
      <c r="DS73" s="128" t="s">
        <v>1078</v>
      </c>
      <c r="DT73" s="159">
        <f>IF(AB75&lt;&gt;"Ｃ",0,IF(DY73&lt;&gt;0,DY73,IF(DZ73&lt;&gt;0,DZ73,0)))</f>
        <v>0</v>
      </c>
      <c r="DU73" s="8"/>
      <c r="DV73" s="86">
        <f>IF(AB75&lt;&gt;"Ｃ",0,IF(DY73=0,0,1))</f>
        <v>0</v>
      </c>
      <c r="DW73" s="86">
        <f>IF(AB75&lt;&gt;"Ｃ",0,IF(DZ73=0,0,1))</f>
        <v>0</v>
      </c>
      <c r="DX73" s="8"/>
      <c r="DY73" s="86">
        <f>IF(AB75&lt;&gt;"Ｃ",0,IF(AND(DB68&gt;60,DB68&lt;=64),4,IF(AND(DB68&gt;64,DB68&lt;=80),5,0)))</f>
        <v>0</v>
      </c>
      <c r="DZ73" s="86">
        <f>IF(AB75&lt;&gt;"Ｃ",0,IF(AND(DB68&gt;80,DB68&lt;=96),4,IF(AND(DB68&gt;96,DB68&lt;=120),5,0)))</f>
        <v>0</v>
      </c>
      <c r="EA73" s="38"/>
      <c r="EB73" s="776" t="str">
        <f>IF(OR($B$2=0,Z74=""),"","混合器 UV-BC")</f>
        <v/>
      </c>
      <c r="EC73" s="12"/>
      <c r="ED73" s="122" t="str">
        <f>IF(BE74="","","直列Unit-中間1端子")</f>
        <v/>
      </c>
      <c r="EE73" s="38" t="str">
        <f>BE74</f>
        <v/>
      </c>
      <c r="EF73" s="38"/>
      <c r="EG73" s="38"/>
      <c r="EH73" s="197">
        <f t="shared" si="30"/>
        <v>4</v>
      </c>
      <c r="EI73" s="773" t="str">
        <f t="shared" si="31"/>
        <v/>
      </c>
      <c r="EJ73" s="203" t="str">
        <f>X77</f>
        <v>PF-S-22mm</v>
      </c>
      <c r="EK73" s="9"/>
      <c r="EL73" s="9" t="str">
        <f>IF(COUNTIF($EJ$18:EJ72,EJ73)&gt;0,"",EJ73)</f>
        <v/>
      </c>
      <c r="EM73" s="9"/>
      <c r="EN73" s="14">
        <f>AI77</f>
        <v>4</v>
      </c>
      <c r="EO73" s="771">
        <f t="shared" si="39"/>
        <v>0</v>
      </c>
      <c r="EP73" s="8"/>
      <c r="EQ73" s="38"/>
      <c r="ER73" s="197">
        <f t="shared" si="32"/>
        <v>3</v>
      </c>
      <c r="ES73" s="773" t="str">
        <f t="shared" si="33"/>
        <v/>
      </c>
      <c r="ET73" s="203" t="str">
        <f t="shared" si="40"/>
        <v/>
      </c>
      <c r="EU73" s="9"/>
      <c r="EV73" s="11" t="str">
        <f>IF(COUNTIF($ET$18:ET72,ET73)&gt;0,"",ET73)</f>
        <v/>
      </c>
      <c r="EW73" s="9"/>
      <c r="EX73" s="124">
        <f>Z74</f>
        <v>0</v>
      </c>
      <c r="EY73" s="771">
        <f t="shared" si="41"/>
        <v>0</v>
      </c>
      <c r="EZ73" s="8"/>
      <c r="FA73" s="38"/>
      <c r="FB73" s="197">
        <f t="shared" si="23"/>
        <v>10</v>
      </c>
      <c r="FC73" s="773" t="str">
        <f t="shared" si="24"/>
        <v/>
      </c>
      <c r="FD73" s="772" t="str">
        <f t="shared" si="42"/>
        <v/>
      </c>
      <c r="FE73" s="9"/>
      <c r="FF73" s="11" t="str">
        <f>IF(COUNTIF($FD$15:FD72,FD73)&gt;0,"",FD73)</f>
        <v/>
      </c>
      <c r="FG73" s="9"/>
      <c r="FH73" s="124" t="str">
        <f>BE74</f>
        <v/>
      </c>
      <c r="FI73" s="771">
        <f t="shared" si="43"/>
        <v>0</v>
      </c>
    </row>
    <row r="74" spans="1:165" ht="12" customHeight="1">
      <c r="A74" s="8">
        <v>6</v>
      </c>
      <c r="B74" s="23"/>
      <c r="C74" s="3837" t="str">
        <f>非誘!C48</f>
        <v xml:space="preserve">  4F</v>
      </c>
      <c r="D74" s="3837"/>
      <c r="E74" s="3837"/>
      <c r="F74" s="3838">
        <f>非誘!F48</f>
        <v>4</v>
      </c>
      <c r="G74" s="3839"/>
      <c r="H74" s="3840"/>
      <c r="I74" s="3838">
        <f>非誘!J48</f>
        <v>3</v>
      </c>
      <c r="J74" s="3839"/>
      <c r="K74" s="3839"/>
      <c r="L74" s="3840"/>
      <c r="M74" s="3841">
        <f>非誘!N48</f>
        <v>1152</v>
      </c>
      <c r="N74" s="3842"/>
      <c r="O74" s="3842"/>
      <c r="P74" s="3843"/>
      <c r="Q74" s="3537">
        <f>非誘!AA48</f>
        <v>3</v>
      </c>
      <c r="R74" s="3537"/>
      <c r="S74" s="3537"/>
      <c r="T74" s="3537">
        <f>非誘!AD48</f>
        <v>9</v>
      </c>
      <c r="U74" s="3537"/>
      <c r="V74" s="3537"/>
      <c r="W74" s="808" t="str">
        <f>IF(OR(AB23="不要",C74&lt;&gt;$X$10),"",IF(AND($AB$17="UHF×3",$AF$17&lt;&gt;"",$AJ$17&lt;&gt;""),2,IF(OR(AND($AB$17="UHF×3",$AB$17="",$AJ$17=""),AND($AB$17="UHF×3",$AF$17&lt;&gt;"",$AJ$17=""),AND($AB$17="UHF×2",$AF$17&lt;&gt;"",$AJ$17&lt;&gt;"")),1,"")))</f>
        <v/>
      </c>
      <c r="X74" s="794" t="str">
        <f>IF(OR(AB23="不要",C74&lt;&gt;$X$10),"",IF(AND($AB$17&lt;&gt;"",$AF$17&lt;&gt;"",$AJ$17&lt;&gt;""),1,""))</f>
        <v/>
      </c>
      <c r="Y74" s="794" t="str">
        <f>IF(OR(AB23="不要",C74&lt;&gt;$X$10),"",IF(AND(OR($AB$17="UHF×2",$AB$17="UHF×3"),$AF$17&lt;&gt;"",$AJ$17=""),1,""))</f>
        <v/>
      </c>
      <c r="Z74" s="807"/>
      <c r="AA74" s="3847" t="str">
        <f>IF($B$2=0,"",IF(AND(AB23&lt;&gt;"不要",DC70="＝"),1,""))</f>
        <v/>
      </c>
      <c r="AB74" s="3848"/>
      <c r="AC74" s="3848"/>
      <c r="AD74" s="3848">
        <f>IF($B$2=0,"",IF(OR(AB23="不要",C74="",C74="  RF"),"",IF(AB23="設置",1,"")))</f>
        <v>1</v>
      </c>
      <c r="AE74" s="3848"/>
      <c r="AF74" s="3849"/>
      <c r="AG74" s="3837" t="str">
        <f>IF(OR(AB23="不要",C74="",C74="  RF"),"",IF(AI74&lt;&gt;"",AI74,IF(DE71+DM71+DT71+DT73+DT75=0,"",DE71+DM71+DT71+DT73+DT75)))</f>
        <v/>
      </c>
      <c r="AH74" s="3837"/>
      <c r="AI74" s="3915"/>
      <c r="AJ74" s="3915"/>
      <c r="AK74" s="3837">
        <f>IF(OR(AB23="不要",C74="",C74="  RF"),"",IF(AM74&lt;&gt;"",AM74,IF(DF71+DN71=0,"",DF71+DN71)))</f>
        <v>1</v>
      </c>
      <c r="AL74" s="3837"/>
      <c r="AM74" s="3915"/>
      <c r="AN74" s="3915"/>
      <c r="AO74" s="3813" t="str">
        <f>IF(AQ74="","",AQ74)</f>
        <v/>
      </c>
      <c r="AP74" s="3814"/>
      <c r="AQ74" s="3915"/>
      <c r="AR74" s="3915"/>
      <c r="AS74" s="3916" t="str">
        <f>IF(OR(AB23="不要",C74="  RF"),"",IF(AU74&lt;&gt;"",AU74,IF(DH71+DP71+DU71+DX71+DY71+DZ71=0,"",DH71+DP71+DU71+DX71+DY71+DZ71)))</f>
        <v/>
      </c>
      <c r="AT74" s="3837"/>
      <c r="AU74" s="3915"/>
      <c r="AV74" s="3915"/>
      <c r="AW74" s="3837" t="str">
        <f>IF(OR(AB23="不要",C74="  RF"),"",IF(AY74&lt;&gt;"",AY74,IF(DI71+DQ71+DV71+DV73+DY73+DZ73=0,"",DI71+DQ71+DV71+DV73+DY73+DZ73)))</f>
        <v/>
      </c>
      <c r="AX74" s="3837"/>
      <c r="AY74" s="3915"/>
      <c r="AZ74" s="3915"/>
      <c r="BA74" s="3837">
        <f>IF(OR(AB23="不要",C74="  RF"),"",IF(BC74&lt;&gt;"",BC74,IF(DJ71+DR71+DW71+DW73+DW75+DZ75=0,"",DJ71+DR71+DW71+DW73+DW75+DZ75)))</f>
        <v>1</v>
      </c>
      <c r="BB74" s="3837"/>
      <c r="BC74" s="3915"/>
      <c r="BD74" s="3915"/>
      <c r="BE74" s="3837" t="str">
        <f>IF(OR(AB23="不要",$X$11="2端子",C74="",C74="  RF"),"",IF(BG74&lt;&gt;"",BG74,IF(AND(AB75="Ａ",$X$11="1端子"),DK71,"")))</f>
        <v/>
      </c>
      <c r="BF74" s="3837"/>
      <c r="BG74" s="3837" t="str">
        <f>IF(AND(BO74&lt;&gt;"",AB75="Ａ",$X$11="1端子"),BO74,"")</f>
        <v/>
      </c>
      <c r="BH74" s="3837"/>
      <c r="BI74" s="3916" t="str">
        <f>IF(OR(AB23="不要",$X$11="1端子",C74="",C74="  RF"),"",IF(BK74&lt;&gt;"",BK74,IF(AND(AB75="Ａ",$X$11="2端子"),DK71,"")))</f>
        <v/>
      </c>
      <c r="BJ74" s="3837"/>
      <c r="BK74" s="3837" t="str">
        <f>IF(AND(BS74&lt;&gt;"",AB75="Ａ",$X$11="2端子"),BS74,"")</f>
        <v/>
      </c>
      <c r="BL74" s="3837"/>
      <c r="BM74" s="3837">
        <f>IF(OR(AB23="不要",C74="  RF",C74="",$X$11="2端子"),"",IF(BO74&lt;&gt;"",BO74,IF(AND(AB75="Ａ",$X$11="1端子"),DK71,DK69)))</f>
        <v>12</v>
      </c>
      <c r="BN74" s="3837"/>
      <c r="BO74" s="3915"/>
      <c r="BP74" s="3915"/>
      <c r="BQ74" s="3837" t="str">
        <f>IF(OR(AB23="不要",C74="  RF",C74="",$X$11="1端子"),"",IF(BS74&lt;&gt;"",BS74,IF(AND(AB75="Ａ",$X$11="2端子"),DK71,DK69)))</f>
        <v/>
      </c>
      <c r="BR74" s="3837"/>
      <c r="BS74" s="3915"/>
      <c r="BT74" s="3918"/>
      <c r="BU74" s="19"/>
      <c r="BV74" s="8"/>
      <c r="BW74" s="88">
        <f>IF(I74="直天",F74,I74)</f>
        <v>3</v>
      </c>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38"/>
      <c r="DA74" s="15"/>
      <c r="DB74" s="15"/>
      <c r="DC74" s="180" t="s">
        <v>1086</v>
      </c>
      <c r="DD74" s="2589" t="str">
        <f>IF($AL$10="nC-FB","S-7C-FB",IF($AL$10="nD-FB","8D-FB","7C-2V"))</f>
        <v>S-7C-FB</v>
      </c>
      <c r="DE74" s="2591"/>
      <c r="DF74" s="3631">
        <f>IF(OR(C74="",C74="  RF"),0,IF(AB75="Ｃ",2.5*AG74+(DB72+DC72),F74+2))</f>
        <v>6</v>
      </c>
      <c r="DG74" s="3812"/>
      <c r="DH74" s="2589" t="str">
        <f>IF(OR(H75="天井ケーブル",H75="天井-PF管"),"PF-S-22mm",IF(H75="天井-CD管","CD-22mm",IF(H75="天井-C 管","C-25mm",IF(H75="天井-G 管","G-22mm",""))))</f>
        <v>PF-S-22mm</v>
      </c>
      <c r="DI74" s="2591"/>
      <c r="DJ74" s="3631">
        <f>IF(OR(C74="",C74="  RF"),0,IF(AB75="Ｃ",F74-($AM$8-$AM$7)/1000,F74))</f>
        <v>4</v>
      </c>
      <c r="DK74" s="3812"/>
      <c r="DL74" s="778"/>
      <c r="DM74" s="112"/>
      <c r="DN74" s="190" t="s">
        <v>1085</v>
      </c>
      <c r="DO74" s="98">
        <f>IF(OR(C74="",C74="  RF"),0,(DB72+DC72)/2/SQRT(DK71))</f>
        <v>6.8033605141660898</v>
      </c>
      <c r="DP74" s="15"/>
      <c r="DQ74" s="15"/>
      <c r="DR74" s="15"/>
      <c r="DS74" s="8"/>
      <c r="DT74" s="113" t="s">
        <v>1084</v>
      </c>
      <c r="DU74" s="8"/>
      <c r="DV74" s="113"/>
      <c r="DW74" s="113" t="s">
        <v>1083</v>
      </c>
      <c r="DX74" s="8"/>
      <c r="DY74" s="8"/>
      <c r="DZ74" s="113" t="s">
        <v>1083</v>
      </c>
      <c r="EA74" s="113"/>
      <c r="EB74" s="776" t="str">
        <f>IF(OR($B$2=0,AA74=""),"","増幅器 "&amp;AA72&amp;AA73)</f>
        <v/>
      </c>
      <c r="EC74" s="15"/>
      <c r="ED74" s="122" t="str">
        <f>IF(BI74="","","直列Unit-中間2端子")</f>
        <v/>
      </c>
      <c r="EE74" s="15" t="str">
        <f>BI74</f>
        <v/>
      </c>
      <c r="EF74" s="15"/>
      <c r="EG74" s="15"/>
      <c r="EH74" s="197">
        <f t="shared" si="30"/>
        <v>4</v>
      </c>
      <c r="EI74" s="773" t="str">
        <f t="shared" si="31"/>
        <v/>
      </c>
      <c r="EJ74" s="203" t="str">
        <f>AS76</f>
        <v>S-5C-FB</v>
      </c>
      <c r="EK74" s="9"/>
      <c r="EL74" s="9" t="str">
        <f>IF(COUNTIF($EJ$18:EJ73,EJ74)&gt;0,"",EJ74)</f>
        <v/>
      </c>
      <c r="EM74" s="9"/>
      <c r="EN74" s="14">
        <f>BB76</f>
        <v>178.84032616999309</v>
      </c>
      <c r="EO74" s="771">
        <f t="shared" si="39"/>
        <v>0</v>
      </c>
      <c r="EP74" s="8"/>
      <c r="EQ74" s="15"/>
      <c r="ER74" s="197">
        <f t="shared" si="32"/>
        <v>3</v>
      </c>
      <c r="ES74" s="773" t="str">
        <f t="shared" si="33"/>
        <v/>
      </c>
      <c r="ET74" s="203" t="str">
        <f t="shared" si="40"/>
        <v/>
      </c>
      <c r="EU74" s="9"/>
      <c r="EV74" s="11" t="str">
        <f>IF(COUNTIF($ET$18:ET73,ET74)&gt;0,"",ET74)</f>
        <v/>
      </c>
      <c r="EW74" s="9"/>
      <c r="EX74" s="124" t="str">
        <f>AA74</f>
        <v/>
      </c>
      <c r="EY74" s="771">
        <f t="shared" si="41"/>
        <v>0</v>
      </c>
      <c r="EZ74" s="8"/>
      <c r="FA74" s="15"/>
      <c r="FB74" s="197">
        <f t="shared" si="23"/>
        <v>10</v>
      </c>
      <c r="FC74" s="773" t="str">
        <f t="shared" si="24"/>
        <v/>
      </c>
      <c r="FD74" s="772" t="str">
        <f t="shared" si="42"/>
        <v/>
      </c>
      <c r="FE74" s="9"/>
      <c r="FF74" s="11" t="str">
        <f>IF(COUNTIF($FD$15:FD73,FD74)&gt;0,"",FD74)</f>
        <v/>
      </c>
      <c r="FG74" s="9"/>
      <c r="FH74" s="124" t="str">
        <f>BI74</f>
        <v/>
      </c>
      <c r="FI74" s="771">
        <f t="shared" si="43"/>
        <v>0</v>
      </c>
    </row>
    <row r="75" spans="1:165" ht="12" customHeight="1">
      <c r="A75" s="8"/>
      <c r="B75" s="23"/>
      <c r="C75" s="2634" t="s">
        <v>135</v>
      </c>
      <c r="D75" s="2634"/>
      <c r="E75" s="2634"/>
      <c r="F75" s="2634"/>
      <c r="G75" s="2634"/>
      <c r="H75" s="3904" t="str">
        <f>IF($B$2=0,"",IF(P75="","天井ケーブル",P75))</f>
        <v>天井ケーブル</v>
      </c>
      <c r="I75" s="3904"/>
      <c r="J75" s="3904"/>
      <c r="K75" s="3904"/>
      <c r="L75" s="3904"/>
      <c r="M75" s="3904"/>
      <c r="N75" s="3904"/>
      <c r="O75" s="173" t="s">
        <v>34</v>
      </c>
      <c r="P75" s="3796"/>
      <c r="Q75" s="3797"/>
      <c r="R75" s="3797"/>
      <c r="S75" s="3797"/>
      <c r="T75" s="3797"/>
      <c r="U75" s="3797"/>
      <c r="V75" s="3798"/>
      <c r="W75" s="2634" t="s">
        <v>1082</v>
      </c>
      <c r="X75" s="2634"/>
      <c r="Y75" s="2634"/>
      <c r="Z75" s="2634"/>
      <c r="AA75" s="2634"/>
      <c r="AB75" s="3799" t="str">
        <f>IF(AB23="不要","",IF(AF75&lt;&gt;"",AF75,DB69))</f>
        <v>Ｂ</v>
      </c>
      <c r="AC75" s="3799"/>
      <c r="AD75" s="3799"/>
      <c r="AE75" s="173" t="s">
        <v>34</v>
      </c>
      <c r="AF75" s="3800"/>
      <c r="AG75" s="3801"/>
      <c r="AH75" s="3802"/>
      <c r="AI75" s="2634" t="s">
        <v>20</v>
      </c>
      <c r="AJ75" s="2634"/>
      <c r="AK75" s="2634"/>
      <c r="AL75" s="2634"/>
      <c r="AM75" s="2634"/>
      <c r="AN75" s="3522">
        <f>IF(OR(C74="",C74="  RF"),"",非誘!J47)</f>
        <v>0.5</v>
      </c>
      <c r="AO75" s="3523"/>
      <c r="AP75" s="3523"/>
      <c r="AQ75" s="3524"/>
      <c r="AR75" s="3507" t="s">
        <v>1081</v>
      </c>
      <c r="AS75" s="3461"/>
      <c r="AT75" s="3461"/>
      <c r="AU75" s="3461"/>
      <c r="AV75" s="3461"/>
      <c r="AW75" s="3461"/>
      <c r="AX75" s="3461"/>
      <c r="AY75" s="3461"/>
      <c r="AZ75" s="3563" t="str">
        <f>IF(OR(C74="",C74="  RF"),"",IF(BC75="",$AN$11,BC75))</f>
        <v>⑦</v>
      </c>
      <c r="BA75" s="3563"/>
      <c r="BB75" s="777" t="s">
        <v>34</v>
      </c>
      <c r="BC75" s="3521"/>
      <c r="BD75" s="3521"/>
      <c r="BE75" s="3564"/>
      <c r="BF75" s="3565"/>
      <c r="BG75" s="3565"/>
      <c r="BH75" s="3565"/>
      <c r="BI75" s="3565"/>
      <c r="BJ75" s="3565"/>
      <c r="BK75" s="3565"/>
      <c r="BL75" s="3565"/>
      <c r="BM75" s="3565"/>
      <c r="BN75" s="3565"/>
      <c r="BO75" s="3565"/>
      <c r="BP75" s="3565"/>
      <c r="BQ75" s="3565"/>
      <c r="BR75" s="3565"/>
      <c r="BS75" s="3565"/>
      <c r="BT75" s="3566"/>
      <c r="BU75" s="19"/>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38"/>
      <c r="DA75" s="15"/>
      <c r="DB75" s="8"/>
      <c r="DC75" s="180" t="s">
        <v>1182</v>
      </c>
      <c r="DD75" s="2589" t="str">
        <f>IF($AL$10="nC-FB","S-5C-FB",IF($AL$10="nD-FB","5D-FB","5C-2V"))</f>
        <v>S-5C-FB</v>
      </c>
      <c r="DE75" s="2591"/>
      <c r="DF75" s="3631">
        <f>IF(AB75="Ａ",(DK71+2*BW74-($X$7+$X$9)/1000)*DO74+(12+2*BW74-2*$X$9/1000)*DK71+DO75,IF(AB75="Ｂ",(DO74+2*BW74-$X$9/1000)*DK69+DO75,0))</f>
        <v>178.84032616999309</v>
      </c>
      <c r="DG75" s="3812"/>
      <c r="DH75" s="2589" t="str">
        <f>IF(OR(H75="天井ケーブル",H75="天井-PF管"),"PF-S-16mm",IF(H75="天井-CD管","CD-16mm",IF(H75="天井-C 管","C-19mm",IF(H75="天井-G 管","G-16mm",""))))</f>
        <v>PF-S-16mm</v>
      </c>
      <c r="DI75" s="2591"/>
      <c r="DJ75" s="3631">
        <f>IF(OR(C74="",C74="  RF"),0,IF(H75="天井ケーブル",DK69*(BW74-($X$9-$AM$9)/1000),(DO74+2*BW74-$X$9/1000)*DK69+DO75))</f>
        <v>37.799999999999997</v>
      </c>
      <c r="DK75" s="3812"/>
      <c r="DL75" s="15"/>
      <c r="DM75" s="46"/>
      <c r="DN75" s="46" t="s">
        <v>1181</v>
      </c>
      <c r="DO75" s="98">
        <f>DB73</f>
        <v>27</v>
      </c>
      <c r="DP75" s="15"/>
      <c r="DQ75" s="15"/>
      <c r="DR75" s="15"/>
      <c r="DS75" s="128" t="s">
        <v>1118</v>
      </c>
      <c r="DT75" s="86">
        <f>IF(AB75&lt;&gt;"Ｃ",0,IF(DZ75=0,0,DZ75))</f>
        <v>0</v>
      </c>
      <c r="DU75" s="8"/>
      <c r="DV75" s="8"/>
      <c r="DW75" s="86">
        <f>IF(AB75&lt;&gt;"Ｃ",0,IF(DZ75=0,0,1))</f>
        <v>0</v>
      </c>
      <c r="DX75" s="8"/>
      <c r="DY75" s="8"/>
      <c r="DZ75" s="86">
        <f>IF(AB75&lt;&gt;"Ｃ",0,IF(AND(DB68&gt;120,DB68&lt;=144),4,IF(AND(DB68&gt;144,DB68&lt;=180),5,0)))</f>
        <v>0</v>
      </c>
      <c r="EA75" s="38"/>
      <c r="EB75" s="776" t="str">
        <f>IF(OR($B$2=0,AD74=""),"","増幅器 "&amp;AD72&amp;AD73)</f>
        <v>増幅器 35/110</v>
      </c>
      <c r="EC75" s="38"/>
      <c r="ED75" s="122" t="str">
        <f>IF(BM74="","","直列Unit-終端1端子")</f>
        <v>直列Unit-終端1端子</v>
      </c>
      <c r="EE75" s="38">
        <f>BM74</f>
        <v>12</v>
      </c>
      <c r="EF75" s="38"/>
      <c r="EG75" s="38"/>
      <c r="EH75" s="197">
        <f t="shared" si="30"/>
        <v>4</v>
      </c>
      <c r="EI75" s="773" t="str">
        <f t="shared" si="31"/>
        <v/>
      </c>
      <c r="EJ75" s="203" t="str">
        <f>AS77</f>
        <v/>
      </c>
      <c r="EK75" s="9"/>
      <c r="EL75" s="9" t="str">
        <f>IF(COUNTIF($EJ$18:EJ74,EJ75)&gt;0,"",EJ75)</f>
        <v/>
      </c>
      <c r="EM75" s="9"/>
      <c r="EN75" s="14" t="str">
        <f>BB77</f>
        <v/>
      </c>
      <c r="EO75" s="771">
        <f t="shared" si="39"/>
        <v>0</v>
      </c>
      <c r="EP75" s="8"/>
      <c r="EQ75" s="38"/>
      <c r="ER75" s="197">
        <f t="shared" si="32"/>
        <v>3</v>
      </c>
      <c r="ES75" s="773" t="str">
        <f t="shared" si="33"/>
        <v/>
      </c>
      <c r="ET75" s="203" t="str">
        <f t="shared" si="40"/>
        <v>増幅器 35/110</v>
      </c>
      <c r="EU75" s="9"/>
      <c r="EV75" s="11" t="str">
        <f>IF(COUNTIF($ET$18:ET74,ET75)&gt;0,"",ET75)</f>
        <v/>
      </c>
      <c r="EW75" s="9"/>
      <c r="EX75" s="124">
        <f>AD74</f>
        <v>1</v>
      </c>
      <c r="EY75" s="771">
        <f t="shared" si="41"/>
        <v>0</v>
      </c>
      <c r="EZ75" s="8"/>
      <c r="FA75" s="38"/>
      <c r="FB75" s="197">
        <f t="shared" si="23"/>
        <v>10</v>
      </c>
      <c r="FC75" s="773" t="str">
        <f t="shared" si="24"/>
        <v/>
      </c>
      <c r="FD75" s="772" t="str">
        <f t="shared" si="42"/>
        <v>直列Unit-終端1端子</v>
      </c>
      <c r="FE75" s="9"/>
      <c r="FF75" s="11" t="str">
        <f>IF(COUNTIF($FD$15:FD74,FD75)&gt;0,"",FD75)</f>
        <v/>
      </c>
      <c r="FG75" s="9"/>
      <c r="FH75" s="124">
        <f>BM74</f>
        <v>12</v>
      </c>
      <c r="FI75" s="771">
        <f t="shared" si="43"/>
        <v>0</v>
      </c>
    </row>
    <row r="76" spans="1:165" ht="12" customHeight="1">
      <c r="A76" s="8"/>
      <c r="B76" s="23"/>
      <c r="C76" s="3905" t="s">
        <v>449</v>
      </c>
      <c r="D76" s="3905"/>
      <c r="E76" s="3905"/>
      <c r="F76" s="3904" t="str">
        <f>IF($H$15="ＣＡＴＶ","CATV引込","アンテナ部")</f>
        <v>アンテナ部</v>
      </c>
      <c r="G76" s="3904"/>
      <c r="H76" s="3904"/>
      <c r="I76" s="3904"/>
      <c r="J76" s="3904"/>
      <c r="K76" s="3908" t="str">
        <f>IF(OR(AB23="不要",$B$2=0,C74&lt;&gt;$X$10),"",IF(P76&lt;&gt;"",P76,DD73))</f>
        <v/>
      </c>
      <c r="L76" s="3908"/>
      <c r="M76" s="3908"/>
      <c r="N76" s="3908"/>
      <c r="O76" s="173" t="s">
        <v>34</v>
      </c>
      <c r="P76" s="3517"/>
      <c r="Q76" s="3517"/>
      <c r="R76" s="3517"/>
      <c r="S76" s="3517"/>
      <c r="T76" s="3526" t="str">
        <f>IF(AND(C74&lt;&gt;"",K76&lt;&gt;""),DF73,"")</f>
        <v/>
      </c>
      <c r="U76" s="3526"/>
      <c r="V76" s="3526"/>
      <c r="W76" s="3526"/>
      <c r="X76" s="3908" t="str">
        <f>IF(OR($B$2=0,K76=""),"",IF(AD76&lt;&gt;"",AD76,DH73))</f>
        <v/>
      </c>
      <c r="Y76" s="3908"/>
      <c r="Z76" s="3908"/>
      <c r="AA76" s="3908"/>
      <c r="AB76" s="3908"/>
      <c r="AC76" s="173" t="s">
        <v>34</v>
      </c>
      <c r="AD76" s="3525"/>
      <c r="AE76" s="3525"/>
      <c r="AF76" s="3525"/>
      <c r="AG76" s="3525"/>
      <c r="AH76" s="3525"/>
      <c r="AI76" s="3526" t="str">
        <f>IF(X76="","",IF(DJ73="","",DJ73))</f>
        <v/>
      </c>
      <c r="AJ76" s="3526"/>
      <c r="AK76" s="3526"/>
      <c r="AL76" s="3526"/>
      <c r="AM76" s="3904" t="s">
        <v>1077</v>
      </c>
      <c r="AN76" s="3904"/>
      <c r="AO76" s="3904"/>
      <c r="AP76" s="3904"/>
      <c r="AQ76" s="3904"/>
      <c r="AR76" s="3904"/>
      <c r="AS76" s="3908" t="str">
        <f>IF(OR(AB23="不要",$B$2=0,C74="",C74="  RF",AB75="Ｃ"),"",IF(AX76&lt;&gt;"",AX76,DD75))</f>
        <v>S-5C-FB</v>
      </c>
      <c r="AT76" s="3908"/>
      <c r="AU76" s="3908"/>
      <c r="AV76" s="3908"/>
      <c r="AW76" s="173" t="s">
        <v>34</v>
      </c>
      <c r="AX76" s="3517"/>
      <c r="AY76" s="3517"/>
      <c r="AZ76" s="3517"/>
      <c r="BA76" s="3517"/>
      <c r="BB76" s="3537">
        <f>IF(AS76&lt;&gt;"",DF75,"")</f>
        <v>178.84032616999309</v>
      </c>
      <c r="BC76" s="3537"/>
      <c r="BD76" s="3537"/>
      <c r="BE76" s="3537"/>
      <c r="BF76" s="3908" t="str">
        <f>IF(OR(C74="",AS76=""),"",IF(AB75="Ａ",DH74,DH75))</f>
        <v>PF-S-16mm</v>
      </c>
      <c r="BG76" s="3908"/>
      <c r="BH76" s="3908"/>
      <c r="BI76" s="3908"/>
      <c r="BJ76" s="3908"/>
      <c r="BK76" s="173" t="s">
        <v>34</v>
      </c>
      <c r="BL76" s="3525"/>
      <c r="BM76" s="3525"/>
      <c r="BN76" s="3525"/>
      <c r="BO76" s="3525"/>
      <c r="BP76" s="3525"/>
      <c r="BQ76" s="3526">
        <f>IF(BF76="","",DJ75)</f>
        <v>37.799999999999997</v>
      </c>
      <c r="BR76" s="3526"/>
      <c r="BS76" s="3526"/>
      <c r="BT76" s="3527"/>
      <c r="BU76" s="19"/>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774" t="s">
        <v>1180</v>
      </c>
      <c r="DD76" s="2589" t="str">
        <f>DD75</f>
        <v>S-5C-FB</v>
      </c>
      <c r="DE76" s="2591"/>
      <c r="DF76" s="3631">
        <f>IF(OR(C74="",C74="  RF",I74="直天"),0,1+INT(12+BW74-($X$9-$AM$9)/1000)*DK69+DO76)</f>
        <v>235</v>
      </c>
      <c r="DG76" s="3812"/>
      <c r="DH76" s="2589" t="str">
        <f>DH75</f>
        <v>PF-S-16mm</v>
      </c>
      <c r="DI76" s="2591"/>
      <c r="DJ76" s="3631">
        <f>IF(OR(C74="",C74="  RF"),0,IF(H75="天井ケーブル",DK69*(BW74-($X$9-2*$AM$9)/1000),1+INT(12+BW74-$X$9/1000)*DK69))</f>
        <v>41.400000000000006</v>
      </c>
      <c r="DK76" s="3812"/>
      <c r="DL76" s="15"/>
      <c r="DM76" s="15"/>
      <c r="DN76" s="46" t="s">
        <v>1075</v>
      </c>
      <c r="DO76" s="97">
        <f>IF(C74="",0,IF($AW$8=0,0,2*($AW$8/1000-0.15-0.1)*(INT(1000*DB72/$AW$10)+1)*(INT(1000*DC72/$AW$10)+1)*4))</f>
        <v>53.999999999999993</v>
      </c>
      <c r="DP76" s="15"/>
      <c r="DQ76" s="15"/>
      <c r="DR76" s="15"/>
      <c r="DS76" s="8"/>
      <c r="DT76" s="8"/>
      <c r="DU76" s="8"/>
      <c r="DV76" s="8"/>
      <c r="DW76" s="8"/>
      <c r="DX76" s="8"/>
      <c r="DY76" s="8"/>
      <c r="DZ76" s="8"/>
      <c r="EA76" s="8"/>
      <c r="EB76" s="769" t="str">
        <f>IF(OR($B$2=0,AG74=""),"","分岐器 1C")</f>
        <v/>
      </c>
      <c r="EC76" s="8"/>
      <c r="ED76" s="122" t="str">
        <f>IF(BQ74="","","直列Unit-終端2端子")</f>
        <v/>
      </c>
      <c r="EE76" s="8" t="str">
        <f>BQ74</f>
        <v/>
      </c>
      <c r="EF76" s="8"/>
      <c r="EG76" s="8"/>
      <c r="EH76" s="197">
        <f t="shared" si="30"/>
        <v>4</v>
      </c>
      <c r="EI76" s="773" t="str">
        <f t="shared" si="31"/>
        <v/>
      </c>
      <c r="EJ76" s="203" t="str">
        <f>BF76</f>
        <v>PF-S-16mm</v>
      </c>
      <c r="EK76" s="9"/>
      <c r="EL76" s="9" t="str">
        <f>IF(COUNTIF($EJ$18:EJ75,EJ76)&gt;0,"",EJ76)</f>
        <v/>
      </c>
      <c r="EM76" s="9"/>
      <c r="EN76" s="14">
        <f>BQ76</f>
        <v>37.799999999999997</v>
      </c>
      <c r="EO76" s="771">
        <f t="shared" si="39"/>
        <v>0</v>
      </c>
      <c r="EP76" s="8"/>
      <c r="EQ76" s="8"/>
      <c r="ER76" s="197">
        <f t="shared" si="32"/>
        <v>3</v>
      </c>
      <c r="ES76" s="773" t="str">
        <f t="shared" si="33"/>
        <v/>
      </c>
      <c r="ET76" s="203" t="str">
        <f t="shared" si="40"/>
        <v/>
      </c>
      <c r="EU76" s="9"/>
      <c r="EV76" s="11" t="str">
        <f>IF(COUNTIF($ET$18:ET75,ET76)&gt;0,"",ET76)</f>
        <v/>
      </c>
      <c r="EW76" s="9"/>
      <c r="EX76" s="124" t="str">
        <f>AG74</f>
        <v/>
      </c>
      <c r="EY76" s="771">
        <f t="shared" si="41"/>
        <v>0</v>
      </c>
      <c r="EZ76" s="8"/>
      <c r="FA76" s="8"/>
      <c r="FB76" s="197">
        <f t="shared" si="23"/>
        <v>10</v>
      </c>
      <c r="FC76" s="773" t="str">
        <f t="shared" si="24"/>
        <v/>
      </c>
      <c r="FD76" s="772" t="str">
        <f t="shared" si="42"/>
        <v/>
      </c>
      <c r="FE76" s="9"/>
      <c r="FF76" s="11" t="str">
        <f>IF(COUNTIF($FD$15:FD75,FD76)&gt;0,"",FD76)</f>
        <v/>
      </c>
      <c r="FG76" s="9"/>
      <c r="FH76" s="124" t="str">
        <f>BQ74</f>
        <v/>
      </c>
      <c r="FI76" s="771">
        <f t="shared" si="43"/>
        <v>0</v>
      </c>
    </row>
    <row r="77" spans="1:165" ht="12" customHeight="1">
      <c r="A77" s="8"/>
      <c r="B77" s="23"/>
      <c r="C77" s="3922"/>
      <c r="D77" s="3922"/>
      <c r="E77" s="3922"/>
      <c r="F77" s="3920" t="s">
        <v>1074</v>
      </c>
      <c r="G77" s="3920"/>
      <c r="H77" s="3920"/>
      <c r="I77" s="3920"/>
      <c r="J77" s="3920"/>
      <c r="K77" s="3506" t="str">
        <f>IF(OR(C74="",C74="  RF",$B$2=0),"",IF(P77&lt;&gt;"",P77,DD74))</f>
        <v>S-7C-FB</v>
      </c>
      <c r="L77" s="3506"/>
      <c r="M77" s="3506"/>
      <c r="N77" s="3506"/>
      <c r="O77" s="800" t="s">
        <v>34</v>
      </c>
      <c r="P77" s="3536"/>
      <c r="Q77" s="3536"/>
      <c r="R77" s="3536"/>
      <c r="S77" s="3536"/>
      <c r="T77" s="3538">
        <f>IF(R71="不",F74,IF(K77="","",DF74))</f>
        <v>6</v>
      </c>
      <c r="U77" s="3538"/>
      <c r="V77" s="3538"/>
      <c r="W77" s="3538"/>
      <c r="X77" s="3506" t="str">
        <f>IF(R71="不","",IF(OR(C74="",K77=""),"",IF(AD77&lt;&gt;"",AD77,IF(DH74="","",DH74))))</f>
        <v>PF-S-22mm</v>
      </c>
      <c r="Y77" s="3506"/>
      <c r="Z77" s="3506"/>
      <c r="AA77" s="3506"/>
      <c r="AB77" s="3506"/>
      <c r="AC77" s="800" t="s">
        <v>34</v>
      </c>
      <c r="AD77" s="3533"/>
      <c r="AE77" s="3533"/>
      <c r="AF77" s="3533"/>
      <c r="AG77" s="3533"/>
      <c r="AH77" s="3533"/>
      <c r="AI77" s="3538">
        <f>IF(X77="","",DJ74)</f>
        <v>4</v>
      </c>
      <c r="AJ77" s="3538"/>
      <c r="AK77" s="3538"/>
      <c r="AL77" s="3538"/>
      <c r="AM77" s="3920" t="s">
        <v>1073</v>
      </c>
      <c r="AN77" s="3920"/>
      <c r="AO77" s="3920"/>
      <c r="AP77" s="3920"/>
      <c r="AQ77" s="3920"/>
      <c r="AR77" s="3920"/>
      <c r="AS77" s="3506" t="str">
        <f>IF(OR(AB23="不要",$B$2=0,C74="",AB75&lt;&gt;"Ｃ"),"",IF(AX77&lt;&gt;"",AX77,DD76))</f>
        <v/>
      </c>
      <c r="AT77" s="3506"/>
      <c r="AU77" s="3506"/>
      <c r="AV77" s="3506"/>
      <c r="AW77" s="800" t="s">
        <v>34</v>
      </c>
      <c r="AX77" s="3536"/>
      <c r="AY77" s="3536"/>
      <c r="AZ77" s="3536"/>
      <c r="BA77" s="3536"/>
      <c r="BB77" s="3921" t="str">
        <f>IF(AS77="","",DF76)</f>
        <v/>
      </c>
      <c r="BC77" s="3921"/>
      <c r="BD77" s="3921"/>
      <c r="BE77" s="3921"/>
      <c r="BF77" s="3506" t="str">
        <f>IF(OR(C74="",AS77=""),"",IF(BL77&lt;&gt;"",BL77,DH76))</f>
        <v/>
      </c>
      <c r="BG77" s="3506"/>
      <c r="BH77" s="3506"/>
      <c r="BI77" s="3506"/>
      <c r="BJ77" s="3506"/>
      <c r="BK77" s="800" t="s">
        <v>34</v>
      </c>
      <c r="BL77" s="3533"/>
      <c r="BM77" s="3533"/>
      <c r="BN77" s="3533"/>
      <c r="BO77" s="3533"/>
      <c r="BP77" s="3533"/>
      <c r="BQ77" s="3538" t="str">
        <f>IF(BF77="","",DJ76)</f>
        <v/>
      </c>
      <c r="BR77" s="3538"/>
      <c r="BS77" s="3538"/>
      <c r="BT77" s="3539"/>
      <c r="BU77" s="19"/>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165"/>
      <c r="DC77" s="10"/>
      <c r="DD77" s="8"/>
      <c r="DE77" s="8"/>
      <c r="DF77" s="8"/>
      <c r="DG77" s="8"/>
      <c r="DH77" s="8"/>
      <c r="DI77" s="8"/>
      <c r="DJ77" s="8"/>
      <c r="DK77" s="8"/>
      <c r="DL77" s="8"/>
      <c r="DM77" s="8"/>
      <c r="DN77" s="8"/>
      <c r="DO77" s="8"/>
      <c r="DP77" s="15"/>
      <c r="DQ77" s="15"/>
      <c r="DR77" s="15"/>
      <c r="DS77" s="8"/>
      <c r="DT77" s="8"/>
      <c r="DU77" s="8"/>
      <c r="DV77" s="8"/>
      <c r="DW77" s="8"/>
      <c r="DX77" s="8"/>
      <c r="DY77" s="8"/>
      <c r="DZ77" s="8"/>
      <c r="EA77" s="8"/>
      <c r="EB77" s="769" t="str">
        <f>IF(OR($B$2=0,AK74=""),"","分岐器 2C")</f>
        <v>分岐器 2C</v>
      </c>
      <c r="EC77" s="8"/>
      <c r="ED77" s="10"/>
      <c r="EE77" s="8"/>
      <c r="EF77" s="8"/>
      <c r="EG77" s="8"/>
      <c r="EH77" s="197">
        <f t="shared" si="30"/>
        <v>4</v>
      </c>
      <c r="EI77" s="773" t="str">
        <f t="shared" si="31"/>
        <v/>
      </c>
      <c r="EJ77" s="203" t="str">
        <f>BF77</f>
        <v/>
      </c>
      <c r="EK77" s="9"/>
      <c r="EL77" s="9" t="str">
        <f>IF(COUNTIF($EJ$18:EJ76,EJ77)&gt;0,"",EJ77)</f>
        <v/>
      </c>
      <c r="EM77" s="9"/>
      <c r="EN77" s="14" t="str">
        <f>BQ77</f>
        <v/>
      </c>
      <c r="EO77" s="771">
        <f t="shared" si="39"/>
        <v>0</v>
      </c>
      <c r="EP77" s="8"/>
      <c r="EQ77" s="8"/>
      <c r="ER77" s="197">
        <f t="shared" si="32"/>
        <v>3</v>
      </c>
      <c r="ES77" s="773" t="str">
        <f t="shared" si="33"/>
        <v/>
      </c>
      <c r="ET77" s="203" t="str">
        <f t="shared" si="40"/>
        <v>分岐器 2C</v>
      </c>
      <c r="EU77" s="9"/>
      <c r="EV77" s="11" t="str">
        <f>IF(COUNTIF($ET$18:ET76,ET77)&gt;0,"",ET77)</f>
        <v/>
      </c>
      <c r="EW77" s="9"/>
      <c r="EX77" s="124">
        <f>AK74</f>
        <v>1</v>
      </c>
      <c r="EY77" s="771">
        <f t="shared" si="41"/>
        <v>0</v>
      </c>
      <c r="EZ77" s="8"/>
      <c r="FA77" s="8"/>
      <c r="FB77" s="197">
        <f t="shared" si="23"/>
        <v>10</v>
      </c>
      <c r="FC77" s="773" t="str">
        <f t="shared" si="24"/>
        <v/>
      </c>
      <c r="FD77" s="772"/>
      <c r="FE77" s="9"/>
      <c r="FF77" s="11"/>
      <c r="FG77" s="9"/>
      <c r="FH77" s="124"/>
      <c r="FI77" s="771"/>
    </row>
    <row r="78" spans="1:165" ht="9" customHeight="1" thickBot="1">
      <c r="A78" s="8"/>
      <c r="B78" s="18"/>
      <c r="C78" s="806"/>
      <c r="D78" s="806"/>
      <c r="E78" s="806"/>
      <c r="F78" s="390"/>
      <c r="G78" s="390"/>
      <c r="H78" s="390"/>
      <c r="I78" s="390"/>
      <c r="J78" s="390"/>
      <c r="K78" s="803"/>
      <c r="L78" s="803"/>
      <c r="M78" s="803"/>
      <c r="N78" s="803"/>
      <c r="O78" s="804"/>
      <c r="P78" s="390"/>
      <c r="Q78" s="390"/>
      <c r="R78" s="390"/>
      <c r="S78" s="390"/>
      <c r="T78" s="802"/>
      <c r="U78" s="802"/>
      <c r="V78" s="802"/>
      <c r="W78" s="802"/>
      <c r="X78" s="803"/>
      <c r="Y78" s="803"/>
      <c r="Z78" s="803"/>
      <c r="AA78" s="803"/>
      <c r="AB78" s="803"/>
      <c r="AC78" s="804"/>
      <c r="AD78" s="803"/>
      <c r="AE78" s="803"/>
      <c r="AF78" s="803"/>
      <c r="AG78" s="803"/>
      <c r="AH78" s="803"/>
      <c r="AI78" s="802"/>
      <c r="AJ78" s="802"/>
      <c r="AK78" s="802"/>
      <c r="AL78" s="802"/>
      <c r="AM78" s="390"/>
      <c r="AN78" s="390"/>
      <c r="AO78" s="390"/>
      <c r="AP78" s="390"/>
      <c r="AQ78" s="390"/>
      <c r="AR78" s="390"/>
      <c r="AS78" s="803"/>
      <c r="AT78" s="803"/>
      <c r="AU78" s="803"/>
      <c r="AV78" s="803"/>
      <c r="AW78" s="804"/>
      <c r="AX78" s="390"/>
      <c r="AY78" s="390"/>
      <c r="AZ78" s="390"/>
      <c r="BA78" s="390"/>
      <c r="BB78" s="805"/>
      <c r="BC78" s="805"/>
      <c r="BD78" s="805"/>
      <c r="BE78" s="805"/>
      <c r="BF78" s="803"/>
      <c r="BG78" s="803"/>
      <c r="BH78" s="803"/>
      <c r="BI78" s="803"/>
      <c r="BJ78" s="803"/>
      <c r="BK78" s="804"/>
      <c r="BL78" s="803"/>
      <c r="BM78" s="803"/>
      <c r="BN78" s="803"/>
      <c r="BO78" s="803"/>
      <c r="BP78" s="803"/>
      <c r="BQ78" s="802"/>
      <c r="BR78" s="802"/>
      <c r="BS78" s="802"/>
      <c r="BT78" s="802"/>
      <c r="BU78" s="16"/>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8">
        <f>IF(AND(AB85="Ａ",$X$11="2端子"),BI84+BQ84,IF(AND(AB85="Ａ",$X$11="1端子"),BE84+BM84,IF(AND(AB85="Ｂ",$X$11="1端子"),BM84,IF(AND(AB85="Ｂ",$X$11="2端子"),BQ84,IF(AND(AB85="Ｃ",$X$11="1端子"),BM84,BQ84)))))</f>
        <v>12</v>
      </c>
      <c r="DC78" s="10"/>
      <c r="DD78" s="8"/>
      <c r="DE78" s="8"/>
      <c r="DF78" s="8"/>
      <c r="DG78" s="8"/>
      <c r="DH78" s="8"/>
      <c r="DI78" s="8"/>
      <c r="DJ78" s="8"/>
      <c r="DK78" s="8"/>
      <c r="DL78" s="8"/>
      <c r="DM78" s="8"/>
      <c r="DN78" s="8"/>
      <c r="DO78" s="8"/>
      <c r="DP78" s="15"/>
      <c r="DQ78" s="15"/>
      <c r="DR78" s="15"/>
      <c r="DS78" s="8"/>
      <c r="DT78" s="8"/>
      <c r="DU78" s="8"/>
      <c r="DV78" s="8"/>
      <c r="DW78" s="8"/>
      <c r="DX78" s="8"/>
      <c r="DY78" s="8"/>
      <c r="DZ78" s="8"/>
      <c r="EA78" s="8"/>
      <c r="EB78" s="10"/>
      <c r="EC78" s="8"/>
      <c r="ED78" s="10"/>
      <c r="EE78" s="8"/>
      <c r="EF78" s="8"/>
      <c r="EG78" s="8"/>
      <c r="EH78" s="197">
        <f t="shared" si="30"/>
        <v>4</v>
      </c>
      <c r="EI78" s="773" t="str">
        <f t="shared" si="31"/>
        <v/>
      </c>
      <c r="EJ78" s="203"/>
      <c r="EK78" s="9"/>
      <c r="EL78" s="9"/>
      <c r="EM78" s="9"/>
      <c r="EN78" s="14"/>
      <c r="EO78" s="771"/>
      <c r="EP78" s="8"/>
      <c r="EQ78" s="8"/>
      <c r="ER78" s="197">
        <f t="shared" si="32"/>
        <v>3</v>
      </c>
      <c r="ES78" s="773" t="str">
        <f t="shared" si="33"/>
        <v/>
      </c>
      <c r="ET78" s="9"/>
      <c r="EU78" s="9"/>
      <c r="EV78" s="9"/>
      <c r="EW78" s="9"/>
      <c r="EX78" s="9"/>
      <c r="EY78" s="798"/>
      <c r="EZ78" s="8"/>
      <c r="FA78" s="8"/>
      <c r="FB78" s="197">
        <f t="shared" si="23"/>
        <v>10</v>
      </c>
      <c r="FC78" s="773" t="str">
        <f t="shared" si="24"/>
        <v/>
      </c>
      <c r="FD78" s="799"/>
      <c r="FE78" s="9"/>
      <c r="FF78" s="9"/>
      <c r="FG78" s="9"/>
      <c r="FH78" s="125"/>
      <c r="FI78" s="798"/>
    </row>
    <row r="79" spans="1:165" ht="12" customHeight="1" thickBot="1">
      <c r="B79" s="93"/>
      <c r="C79" s="79"/>
      <c r="D79" s="79"/>
      <c r="E79" s="79"/>
      <c r="F79" s="79"/>
      <c r="G79" s="79"/>
      <c r="H79" s="79"/>
      <c r="I79" s="79"/>
      <c r="J79" s="79"/>
      <c r="K79" s="79"/>
      <c r="L79" s="79"/>
      <c r="M79" s="79"/>
      <c r="N79" s="79"/>
      <c r="O79" s="79"/>
      <c r="P79" s="79"/>
      <c r="Q79" s="801" t="str">
        <f>IF(AND(OR(AB85="Ａ",F244="Ａ"),DB78&gt;24),"直列ユニット数………配線方式Ａ：24以下!!",IF(AND(OR(AB85="Ｂ",F244="Ｂ"),DB78&gt;12),"直列ユニット数………配線方式Ｂ：12以下!!",IF(AND(OR(AB85="Ｃ",F244="Ｃ"),DB78&gt;180),"直列ユニット数………配線方式Ｃ：180以下!!","")))</f>
        <v/>
      </c>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v>7</v>
      </c>
      <c r="DB79" s="92" t="str">
        <f>IF(OR(V50="不要",C84="",C84="  RF"),"",IF(DK79&lt;=12,"Ｂ",IF(DK79&lt;=24,"Ａ","Ｃ")))</f>
        <v>Ｂ</v>
      </c>
      <c r="DC79" s="10"/>
      <c r="DD79" s="8"/>
      <c r="DE79" s="8"/>
      <c r="DF79" s="8"/>
      <c r="DG79" s="8"/>
      <c r="DH79" s="8"/>
      <c r="DI79" s="8"/>
      <c r="DJ79" s="8"/>
      <c r="DK79" s="159">
        <f>IF(OR(C84="",C84="  RF"),0,SUM(Q84:V84))</f>
        <v>12</v>
      </c>
      <c r="DL79" s="8"/>
      <c r="DM79" s="8"/>
      <c r="DN79" s="8"/>
      <c r="DO79" s="8"/>
      <c r="DP79" s="8"/>
      <c r="DQ79" s="8"/>
      <c r="DR79" s="8"/>
      <c r="DS79" s="8"/>
      <c r="DT79" s="8"/>
      <c r="DU79" s="8"/>
      <c r="DV79" s="8"/>
      <c r="DW79" s="8"/>
      <c r="DX79" s="8"/>
      <c r="DY79" s="8"/>
      <c r="DZ79" s="8"/>
      <c r="EA79" s="8"/>
      <c r="EB79" s="8"/>
      <c r="EC79" s="8"/>
      <c r="ED79" s="8"/>
      <c r="EE79" s="8"/>
      <c r="EF79" s="8"/>
      <c r="EG79" s="88">
        <v>7</v>
      </c>
      <c r="EH79" s="204">
        <f t="shared" si="30"/>
        <v>4</v>
      </c>
      <c r="EI79" s="768" t="str">
        <f t="shared" si="31"/>
        <v/>
      </c>
      <c r="EJ79" s="45"/>
      <c r="EK79" s="45"/>
      <c r="EL79" s="45"/>
      <c r="EM79" s="45"/>
      <c r="EN79" s="45"/>
      <c r="EO79" s="785"/>
      <c r="EP79" s="8"/>
      <c r="EQ79" s="88">
        <v>7</v>
      </c>
      <c r="ER79" s="197">
        <f t="shared" si="32"/>
        <v>3</v>
      </c>
      <c r="ES79" s="768" t="str">
        <f t="shared" si="33"/>
        <v/>
      </c>
      <c r="ET79" s="45"/>
      <c r="EU79" s="45"/>
      <c r="EV79" s="154"/>
      <c r="EW79" s="45"/>
      <c r="EX79" s="45"/>
      <c r="EY79" s="785"/>
      <c r="EZ79" s="8"/>
      <c r="FA79" s="88">
        <v>7</v>
      </c>
      <c r="FB79" s="204">
        <f t="shared" si="23"/>
        <v>10</v>
      </c>
      <c r="FC79" s="768" t="str">
        <f t="shared" si="24"/>
        <v/>
      </c>
      <c r="FD79" s="786"/>
      <c r="FE79" s="45"/>
      <c r="FF79" s="154"/>
      <c r="FG79" s="45"/>
      <c r="FH79" s="208"/>
      <c r="FI79" s="785"/>
    </row>
    <row r="80" spans="1:165" ht="11.25" customHeight="1" thickBot="1">
      <c r="B80" s="23"/>
      <c r="C80" s="3399" t="s">
        <v>1142</v>
      </c>
      <c r="D80" s="3412"/>
      <c r="E80" s="3412"/>
      <c r="F80" s="3412"/>
      <c r="G80" s="3412"/>
      <c r="H80" s="3412"/>
      <c r="I80" s="3412"/>
      <c r="J80" s="3412"/>
      <c r="K80" s="3412"/>
      <c r="L80" s="3413"/>
      <c r="M80" s="3853" t="str">
        <f>非誘!J52</f>
        <v>( 4 )</v>
      </c>
      <c r="N80" s="3854"/>
      <c r="O80" s="3854"/>
      <c r="P80" s="3854"/>
      <c r="Q80" s="3855"/>
      <c r="R80" s="2299" t="str">
        <f>IF($B$2=0,"","共聴機器")</f>
        <v>共聴機器</v>
      </c>
      <c r="S80" s="2299"/>
      <c r="T80" s="2299"/>
      <c r="U80" s="2299"/>
      <c r="V80" s="2299"/>
      <c r="W80" s="3412" t="s">
        <v>1141</v>
      </c>
      <c r="X80" s="3412"/>
      <c r="Y80" s="3412"/>
      <c r="Z80" s="3413"/>
      <c r="AA80" s="2637" t="s">
        <v>1140</v>
      </c>
      <c r="AB80" s="2638"/>
      <c r="AC80" s="2638"/>
      <c r="AD80" s="2638"/>
      <c r="AE80" s="2638"/>
      <c r="AF80" s="2639"/>
      <c r="AG80" s="3879" t="s">
        <v>1139</v>
      </c>
      <c r="AH80" s="3879"/>
      <c r="AI80" s="3879"/>
      <c r="AJ80" s="3879"/>
      <c r="AK80" s="3879"/>
      <c r="AL80" s="3879"/>
      <c r="AM80" s="3879"/>
      <c r="AN80" s="3879"/>
      <c r="AO80" s="3879"/>
      <c r="AP80" s="3879"/>
      <c r="AQ80" s="3879"/>
      <c r="AR80" s="3879"/>
      <c r="AS80" s="2637" t="s">
        <v>1138</v>
      </c>
      <c r="AT80" s="2638"/>
      <c r="AU80" s="2638"/>
      <c r="AV80" s="2638"/>
      <c r="AW80" s="2638"/>
      <c r="AX80" s="2638"/>
      <c r="AY80" s="2638"/>
      <c r="AZ80" s="2638"/>
      <c r="BA80" s="2638"/>
      <c r="BB80" s="2638"/>
      <c r="BC80" s="2638"/>
      <c r="BD80" s="2639"/>
      <c r="BE80" s="2637" t="s">
        <v>1137</v>
      </c>
      <c r="BF80" s="2638"/>
      <c r="BG80" s="2638"/>
      <c r="BH80" s="2638"/>
      <c r="BI80" s="2638"/>
      <c r="BJ80" s="2638"/>
      <c r="BK80" s="2638"/>
      <c r="BL80" s="2638"/>
      <c r="BM80" s="2638"/>
      <c r="BN80" s="2638"/>
      <c r="BO80" s="2638"/>
      <c r="BP80" s="2638"/>
      <c r="BQ80" s="2638"/>
      <c r="BR80" s="2638"/>
      <c r="BS80" s="2638"/>
      <c r="BT80" s="2639"/>
      <c r="BU80" s="19"/>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15"/>
      <c r="DA80" s="788"/>
      <c r="DB80" s="97">
        <f>IF(C84="","",DB70+1)</f>
        <v>7</v>
      </c>
      <c r="DC80" s="15" t="str">
        <f>IF($X$10=C84,"＝",IF(VLOOKUP(C84,[2]!階高,3,FALSE)-VLOOKUP($X$10,[2]!階高,3,FALSE)&gt;0,"＋","－"))</f>
        <v>－</v>
      </c>
      <c r="DD80" s="38"/>
      <c r="DE80" s="113" t="s">
        <v>1084</v>
      </c>
      <c r="DF80" s="113" t="s">
        <v>1210</v>
      </c>
      <c r="DG80" s="113" t="s">
        <v>1209</v>
      </c>
      <c r="DH80" s="113" t="s">
        <v>1208</v>
      </c>
      <c r="DI80" s="113" t="s">
        <v>1104</v>
      </c>
      <c r="DJ80" s="113" t="s">
        <v>1083</v>
      </c>
      <c r="DK80" s="90" t="s">
        <v>1211</v>
      </c>
      <c r="DL80" s="38"/>
      <c r="DM80" s="113" t="s">
        <v>1084</v>
      </c>
      <c r="DN80" s="113" t="s">
        <v>1210</v>
      </c>
      <c r="DO80" s="113" t="s">
        <v>1209</v>
      </c>
      <c r="DP80" s="113" t="s">
        <v>1208</v>
      </c>
      <c r="DQ80" s="113" t="s">
        <v>1104</v>
      </c>
      <c r="DR80" s="113" t="s">
        <v>1083</v>
      </c>
      <c r="DS80" s="38"/>
      <c r="DT80" s="113" t="s">
        <v>1084</v>
      </c>
      <c r="DU80" s="113" t="s">
        <v>1208</v>
      </c>
      <c r="DV80" s="113" t="s">
        <v>1104</v>
      </c>
      <c r="DW80" s="113" t="s">
        <v>1083</v>
      </c>
      <c r="DX80" s="113" t="s">
        <v>1208</v>
      </c>
      <c r="DY80" s="113" t="s">
        <v>1208</v>
      </c>
      <c r="DZ80" s="113" t="s">
        <v>1208</v>
      </c>
      <c r="EA80" s="113"/>
      <c r="EB80" s="776" t="str">
        <f>IF(OR($B$2=0,W84=""),"","混合器 U-U")</f>
        <v/>
      </c>
      <c r="EC80" s="15"/>
      <c r="ED80" s="782" t="str">
        <f>IF(AS84="","","分配器 2D")</f>
        <v/>
      </c>
      <c r="EE80" s="15" t="str">
        <f>AS84</f>
        <v/>
      </c>
      <c r="EF80" s="15"/>
      <c r="EG80" s="8"/>
      <c r="EH80" s="197">
        <f t="shared" si="30"/>
        <v>4</v>
      </c>
      <c r="EI80" s="773" t="str">
        <f t="shared" si="31"/>
        <v/>
      </c>
      <c r="EJ80" s="203" t="str">
        <f>K86</f>
        <v/>
      </c>
      <c r="EK80" s="9"/>
      <c r="EL80" s="9" t="str">
        <f>IF(COUNTIF($EJ$18:EJ79,EJ80)&gt;0,"",EJ80)</f>
        <v/>
      </c>
      <c r="EM80" s="9"/>
      <c r="EN80" s="14" t="str">
        <f>T86</f>
        <v/>
      </c>
      <c r="EO80" s="771">
        <f t="shared" ref="EO80:EO87" si="44">SUMIF($EJ$25:$EJ$225,EL80,$EN$25:$EN$225)</f>
        <v>0</v>
      </c>
      <c r="EP80" s="8"/>
      <c r="EQ80" s="8"/>
      <c r="ER80" s="197">
        <f t="shared" si="32"/>
        <v>3</v>
      </c>
      <c r="ES80" s="773" t="str">
        <f t="shared" si="33"/>
        <v/>
      </c>
      <c r="ET80" s="203" t="str">
        <f t="shared" ref="ET80:ET87" si="45">EB80</f>
        <v/>
      </c>
      <c r="EU80" s="9"/>
      <c r="EV80" s="11" t="str">
        <f>IF(COUNTIF($ET$18:ET79,ET80)&gt;0,"",ET80)</f>
        <v/>
      </c>
      <c r="EW80" s="9"/>
      <c r="EX80" s="124" t="str">
        <f>W84</f>
        <v/>
      </c>
      <c r="EY80" s="771">
        <f t="shared" ref="EY80:EY87" si="46">SUMIF($ET$25:$ET$225,EV80,$EX$25:$EX$225)</f>
        <v>0</v>
      </c>
      <c r="EZ80" s="8"/>
      <c r="FA80" s="8"/>
      <c r="FB80" s="197">
        <f t="shared" si="23"/>
        <v>10</v>
      </c>
      <c r="FC80" s="773" t="str">
        <f t="shared" si="24"/>
        <v/>
      </c>
      <c r="FD80" s="772" t="str">
        <f t="shared" ref="FD80:FD86" si="47">ED80</f>
        <v/>
      </c>
      <c r="FE80" s="9"/>
      <c r="FF80" s="11" t="str">
        <f>IF(COUNTIF($FD$15:FD79,FD80)&gt;0,"",FD80)</f>
        <v/>
      </c>
      <c r="FG80" s="9"/>
      <c r="FH80" s="124" t="str">
        <f>AS84</f>
        <v/>
      </c>
      <c r="FI80" s="771">
        <f t="shared" ref="FI80:FI86" si="48">SUMIF($FD$18:$FD$205,FF80,$FH$18:$FH$205)</f>
        <v>0</v>
      </c>
    </row>
    <row r="81" spans="1:165" ht="11.25" customHeight="1" thickBot="1">
      <c r="B81" s="23"/>
      <c r="C81" s="3857" t="str">
        <f>"　"&amp;非誘!M52</f>
        <v>　百貨店等</v>
      </c>
      <c r="D81" s="3858"/>
      <c r="E81" s="3858"/>
      <c r="F81" s="3858"/>
      <c r="G81" s="3858"/>
      <c r="H81" s="3858"/>
      <c r="I81" s="3858"/>
      <c r="J81" s="3858"/>
      <c r="K81" s="3858"/>
      <c r="L81" s="3858"/>
      <c r="M81" s="3858"/>
      <c r="N81" s="3858"/>
      <c r="O81" s="3858"/>
      <c r="P81" s="3858"/>
      <c r="Q81" s="3859"/>
      <c r="R81" s="2337" t="str">
        <f>IF(U81&lt;&gt;"",U81,IF(C84="","","設"))</f>
        <v>設</v>
      </c>
      <c r="S81" s="2337"/>
      <c r="T81" s="175" t="s">
        <v>34</v>
      </c>
      <c r="U81" s="2338"/>
      <c r="V81" s="2338"/>
      <c r="W81" s="3860" t="s">
        <v>1217</v>
      </c>
      <c r="X81" s="3863" t="s">
        <v>1216</v>
      </c>
      <c r="Y81" s="3863" t="s">
        <v>1215</v>
      </c>
      <c r="Z81" s="3866"/>
      <c r="AA81" s="3528" t="s">
        <v>1214</v>
      </c>
      <c r="AB81" s="3519"/>
      <c r="AC81" s="3519"/>
      <c r="AD81" s="3519"/>
      <c r="AE81" s="3519"/>
      <c r="AF81" s="3520"/>
      <c r="AG81" s="3528" t="s">
        <v>1084</v>
      </c>
      <c r="AH81" s="3519"/>
      <c r="AI81" s="3519"/>
      <c r="AJ81" s="3529"/>
      <c r="AK81" s="3518" t="s">
        <v>1210</v>
      </c>
      <c r="AL81" s="3519"/>
      <c r="AM81" s="3519"/>
      <c r="AN81" s="3529"/>
      <c r="AO81" s="3518" t="s">
        <v>1209</v>
      </c>
      <c r="AP81" s="3519"/>
      <c r="AQ81" s="3519"/>
      <c r="AR81" s="3520"/>
      <c r="AS81" s="3528" t="s">
        <v>1208</v>
      </c>
      <c r="AT81" s="3519"/>
      <c r="AU81" s="3519"/>
      <c r="AV81" s="3529"/>
      <c r="AW81" s="3518" t="s">
        <v>1104</v>
      </c>
      <c r="AX81" s="3519"/>
      <c r="AY81" s="3519"/>
      <c r="AZ81" s="3529"/>
      <c r="BA81" s="3518" t="s">
        <v>1083</v>
      </c>
      <c r="BB81" s="3519"/>
      <c r="BC81" s="3519"/>
      <c r="BD81" s="3520"/>
      <c r="BE81" s="3528" t="s">
        <v>1123</v>
      </c>
      <c r="BF81" s="3519"/>
      <c r="BG81" s="3519"/>
      <c r="BH81" s="3519"/>
      <c r="BI81" s="3519"/>
      <c r="BJ81" s="3519"/>
      <c r="BK81" s="3519"/>
      <c r="BL81" s="3529"/>
      <c r="BM81" s="3518" t="s">
        <v>1122</v>
      </c>
      <c r="BN81" s="3519"/>
      <c r="BO81" s="3519"/>
      <c r="BP81" s="3519"/>
      <c r="BQ81" s="3519"/>
      <c r="BR81" s="3519"/>
      <c r="BS81" s="3519"/>
      <c r="BT81" s="3520"/>
      <c r="BU81" s="19"/>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15"/>
      <c r="DA81" s="15">
        <f>IF(AG84&lt;&gt;"",2,IF(AK84&lt;&gt;"",3,0))</f>
        <v>3</v>
      </c>
      <c r="DB81" s="86" t="s">
        <v>79</v>
      </c>
      <c r="DC81" s="86" t="s">
        <v>77</v>
      </c>
      <c r="DD81" s="128" t="s">
        <v>1121</v>
      </c>
      <c r="DE81" s="86">
        <f>IF(AB85&lt;&gt;"Ａ",0,IF(AND(2*DK81&gt;=4,2*DK81&lt;=12),1,0))</f>
        <v>0</v>
      </c>
      <c r="DF81" s="86">
        <f>IF(AB85&lt;&gt;"Ａ",0,IF(AND(2*DK81&gt;=16,DK81&lt;=24),1,0))</f>
        <v>0</v>
      </c>
      <c r="DG81" s="97" t="s">
        <v>96</v>
      </c>
      <c r="DH81" s="86">
        <f>IF(AB85&lt;&gt;"Ａ",0,IF(2*DK81&lt;=4,1,0))</f>
        <v>0</v>
      </c>
      <c r="DI81" s="86">
        <f>IF(AB85&lt;&gt;"Ａ",0,IF(OR(AND(2*DK81&gt;4,2*DK81&lt;=8),AND(2*DK81&gt;12,2*DK81&lt;=16)),1,0))</f>
        <v>0</v>
      </c>
      <c r="DJ81" s="183">
        <f>IF(AB85&lt;&gt;"Ａ",0,IF(OR(AND(2*DK81&gt;8,2*DK81&lt;=12),AND(2*DK81&gt;16,2*DK81&lt;=24)),1,0))</f>
        <v>0</v>
      </c>
      <c r="DK81" s="783">
        <f>IF(OR(C84="",C84="  RF"),0,IF(Q84="",INT((T84)/2),INT((Q84+INT(T84))/2)+1))</f>
        <v>7</v>
      </c>
      <c r="DL81" s="128" t="s">
        <v>1119</v>
      </c>
      <c r="DM81" s="86">
        <f>IF(AB85&lt;&gt;"Ｂ",0,IF(DB78&lt;=6,1,0))</f>
        <v>0</v>
      </c>
      <c r="DN81" s="86">
        <f>IF(AB85&lt;&gt;"Ｂ",0,IF(AND(DB78&gt;6,DB78&lt;=12),1,0))</f>
        <v>1</v>
      </c>
      <c r="DO81" s="97" t="s">
        <v>96</v>
      </c>
      <c r="DP81" s="86">
        <f>IF(AB85&lt;&gt;"Ｂ",0,IF(DB78&lt;=2,1,0))</f>
        <v>0</v>
      </c>
      <c r="DQ81" s="86">
        <f>IF(AB85&lt;&gt;"Ｂ",0,IF(OR(AND(DB78&gt;2,DB78&lt;6),AND(DB78&gt;6,DB78&lt;=8)),1,0))</f>
        <v>0</v>
      </c>
      <c r="DR81" s="86">
        <f>IF(AB85&lt;&gt;"Ｂ",0,IF(OR(AND(DB78&gt;4,DB78&lt;6),AND(DB78&gt;8,DB78&lt;=12)),1,0))</f>
        <v>1</v>
      </c>
      <c r="DS81" s="128" t="s">
        <v>1118</v>
      </c>
      <c r="DT81" s="159">
        <f>IF(AB85&lt;&gt;"Ｃ",0,IF(DX81&lt;&gt;0,DX81,IF(DY81&lt;&gt;0,DY81,IF(DZ81&lt;&gt;0,DZ81,0))))</f>
        <v>0</v>
      </c>
      <c r="DU81" s="159">
        <f>IF(AB85&lt;&gt;"Ｃ",0,IF(DX81=0,0,1))</f>
        <v>0</v>
      </c>
      <c r="DV81" s="159">
        <f>IF(AB85&lt;&gt;"Ｃ",0,IF(DY81=0,0,1))</f>
        <v>0</v>
      </c>
      <c r="DW81" s="783">
        <f>IF(AB85&lt;&gt;"Ｃ",0,IF(DZ81=0,0,1))</f>
        <v>0</v>
      </c>
      <c r="DX81" s="714">
        <f>IF(AB85&lt;&gt;"Ｃ",0,IF(DB78&lt;=12,3,IF(AND(DB78&gt;12,DB78&lt;=16),4,IF(AND(DB78&gt;16,DB78&lt;=20),5,0))))</f>
        <v>0</v>
      </c>
      <c r="DY81" s="86">
        <f>IF(AB85&lt;&gt;"Ｃ",0,IF(AND(DB78&gt;20,DB78&lt;=24),3,IF(AND(DB78&gt;24,DB78&lt;=32),4,IF(AND(DB78&gt;32,DB78&lt;=40),5,0))))</f>
        <v>0</v>
      </c>
      <c r="DZ81" s="97">
        <f>IF(AB85&lt;&gt;"Ｃ",0,IF(AND(DB78&gt;40,DB78&lt;=48),4,IF(AND(DB78&gt;48,DB78&lt;=60),5,0)))</f>
        <v>0</v>
      </c>
      <c r="EA81" s="96"/>
      <c r="EB81" s="776" t="str">
        <f>IF(OR($B$2=0,X84=""),"","混合器 BS-CS")</f>
        <v/>
      </c>
      <c r="EC81" s="96"/>
      <c r="ED81" s="782" t="str">
        <f>IF(AW84="","","分配器 4D")</f>
        <v/>
      </c>
      <c r="EE81" s="96" t="str">
        <f>AW84</f>
        <v/>
      </c>
      <c r="EF81" s="96"/>
      <c r="EG81" s="96"/>
      <c r="EH81" s="197">
        <f t="shared" si="30"/>
        <v>4</v>
      </c>
      <c r="EI81" s="773" t="str">
        <f t="shared" si="31"/>
        <v/>
      </c>
      <c r="EJ81" s="203" t="str">
        <f>K87</f>
        <v>S-7C-FB</v>
      </c>
      <c r="EK81" s="9"/>
      <c r="EL81" s="9" t="str">
        <f>IF(COUNTIF($EJ$18:EJ80,EJ81)&gt;0,"",EJ81)</f>
        <v/>
      </c>
      <c r="EM81" s="9"/>
      <c r="EN81" s="14">
        <f>T87</f>
        <v>6</v>
      </c>
      <c r="EO81" s="771">
        <f t="shared" si="44"/>
        <v>0</v>
      </c>
      <c r="EP81" s="8"/>
      <c r="EQ81" s="96"/>
      <c r="ER81" s="197">
        <f t="shared" si="32"/>
        <v>3</v>
      </c>
      <c r="ES81" s="773" t="str">
        <f t="shared" si="33"/>
        <v/>
      </c>
      <c r="ET81" s="203" t="str">
        <f t="shared" si="45"/>
        <v/>
      </c>
      <c r="EU81" s="9"/>
      <c r="EV81" s="11" t="str">
        <f>IF(COUNTIF($ET$18:ET80,ET81)&gt;0,"",ET81)</f>
        <v/>
      </c>
      <c r="EW81" s="9"/>
      <c r="EX81" s="124" t="str">
        <f>X84</f>
        <v/>
      </c>
      <c r="EY81" s="771">
        <f t="shared" si="46"/>
        <v>0</v>
      </c>
      <c r="EZ81" s="8"/>
      <c r="FA81" s="96"/>
      <c r="FB81" s="197">
        <f t="shared" si="23"/>
        <v>10</v>
      </c>
      <c r="FC81" s="773" t="str">
        <f t="shared" si="24"/>
        <v/>
      </c>
      <c r="FD81" s="772" t="str">
        <f t="shared" si="47"/>
        <v/>
      </c>
      <c r="FE81" s="9"/>
      <c r="FF81" s="11" t="str">
        <f>IF(COUNTIF($FD$15:FD80,FD81)&gt;0,"",FD81)</f>
        <v/>
      </c>
      <c r="FG81" s="9"/>
      <c r="FH81" s="124" t="str">
        <f>AW84</f>
        <v/>
      </c>
      <c r="FI81" s="771">
        <f t="shared" si="48"/>
        <v>0</v>
      </c>
    </row>
    <row r="82" spans="1:165" ht="11.25" customHeight="1" thickBot="1">
      <c r="B82" s="23"/>
      <c r="C82" s="3819" t="s">
        <v>16</v>
      </c>
      <c r="D82" s="3820"/>
      <c r="E82" s="3821"/>
      <c r="F82" s="3869" t="s">
        <v>22</v>
      </c>
      <c r="G82" s="3870"/>
      <c r="H82" s="3871"/>
      <c r="I82" s="3869" t="s">
        <v>5</v>
      </c>
      <c r="J82" s="3870"/>
      <c r="K82" s="3870"/>
      <c r="L82" s="3871"/>
      <c r="M82" s="3819" t="s">
        <v>1176</v>
      </c>
      <c r="N82" s="3820"/>
      <c r="O82" s="3820"/>
      <c r="P82" s="3821"/>
      <c r="Q82" s="3819" t="s">
        <v>1175</v>
      </c>
      <c r="R82" s="3820"/>
      <c r="S82" s="3821"/>
      <c r="T82" s="3819" t="s">
        <v>1175</v>
      </c>
      <c r="U82" s="3820"/>
      <c r="V82" s="3821"/>
      <c r="W82" s="3861"/>
      <c r="X82" s="3864"/>
      <c r="Y82" s="3864"/>
      <c r="Z82" s="3867"/>
      <c r="AA82" s="3872" t="str">
        <f>IF($AG$15&lt;=65,"40/","35/")</f>
        <v>40/</v>
      </c>
      <c r="AB82" s="3873"/>
      <c r="AC82" s="3873"/>
      <c r="AD82" s="3873" t="str">
        <f>IF(CW245&gt;55,"40/","35/")</f>
        <v>35/</v>
      </c>
      <c r="AE82" s="3873"/>
      <c r="AF82" s="3875"/>
      <c r="AG82" s="3876" t="s">
        <v>1114</v>
      </c>
      <c r="AH82" s="3877"/>
      <c r="AI82" s="3877"/>
      <c r="AJ82" s="3877"/>
      <c r="AK82" s="3877"/>
      <c r="AL82" s="3877"/>
      <c r="AM82" s="3877"/>
      <c r="AN82" s="3877"/>
      <c r="AO82" s="3877"/>
      <c r="AP82" s="3877"/>
      <c r="AQ82" s="3877"/>
      <c r="AR82" s="3878"/>
      <c r="AS82" s="3549" t="s">
        <v>1113</v>
      </c>
      <c r="AT82" s="3550"/>
      <c r="AU82" s="3550"/>
      <c r="AV82" s="3550"/>
      <c r="AW82" s="3550"/>
      <c r="AX82" s="3550"/>
      <c r="AY82" s="3550"/>
      <c r="AZ82" s="3550"/>
      <c r="BA82" s="3550"/>
      <c r="BB82" s="3550"/>
      <c r="BC82" s="3550"/>
      <c r="BD82" s="3551"/>
      <c r="BE82" s="3552" t="s">
        <v>1112</v>
      </c>
      <c r="BF82" s="3553"/>
      <c r="BG82" s="3553"/>
      <c r="BH82" s="3553"/>
      <c r="BI82" s="3553" t="s">
        <v>1111</v>
      </c>
      <c r="BJ82" s="3553"/>
      <c r="BK82" s="3553"/>
      <c r="BL82" s="3553"/>
      <c r="BM82" s="3553" t="s">
        <v>1112</v>
      </c>
      <c r="BN82" s="3553"/>
      <c r="BO82" s="3553"/>
      <c r="BP82" s="3553"/>
      <c r="BQ82" s="3553" t="s">
        <v>1111</v>
      </c>
      <c r="BR82" s="3553"/>
      <c r="BS82" s="3553"/>
      <c r="BT82" s="3919"/>
      <c r="BU82" s="19"/>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15"/>
      <c r="DA82" s="67">
        <f>IF(DC80="＋",F84+F74+3,F84+F93+3)</f>
        <v>11</v>
      </c>
      <c r="DB82" s="98">
        <f>IF(C84="  RF","",IF(AN85="","",非誘!BW54))</f>
        <v>12</v>
      </c>
      <c r="DC82" s="98">
        <f>IF(DB82="","",IF(AN85="","",非誘!BX54))</f>
        <v>24</v>
      </c>
      <c r="DD82" s="3822" t="s">
        <v>1060</v>
      </c>
      <c r="DE82" s="3823"/>
      <c r="DF82" s="3824" t="s">
        <v>1173</v>
      </c>
      <c r="DG82" s="3824"/>
      <c r="DH82" s="3824" t="s">
        <v>1174</v>
      </c>
      <c r="DI82" s="3824"/>
      <c r="DJ82" s="3823" t="s">
        <v>1173</v>
      </c>
      <c r="DK82" s="3823"/>
      <c r="DL82" s="8"/>
      <c r="DM82" s="113" t="s">
        <v>1172</v>
      </c>
      <c r="DN82" s="113" t="s">
        <v>1171</v>
      </c>
      <c r="DO82" s="113" t="s">
        <v>1170</v>
      </c>
      <c r="DP82" s="8"/>
      <c r="DQ82" s="8"/>
      <c r="DR82" s="8"/>
      <c r="DS82" s="8"/>
      <c r="DT82" s="113" t="s">
        <v>1051</v>
      </c>
      <c r="DU82" s="8"/>
      <c r="DV82" s="113" t="s">
        <v>1047</v>
      </c>
      <c r="DW82" s="113" t="s">
        <v>1046</v>
      </c>
      <c r="DX82" s="8"/>
      <c r="DY82" s="113" t="s">
        <v>1047</v>
      </c>
      <c r="DZ82" s="113" t="s">
        <v>1047</v>
      </c>
      <c r="EA82" s="113"/>
      <c r="EB82" s="776" t="str">
        <f>IF(OR($B$2=0,Y84=""),"","混合器 UV-BC")</f>
        <v/>
      </c>
      <c r="EC82" s="15"/>
      <c r="ED82" s="782" t="str">
        <f>IF(BA84="","","分配器 6D")</f>
        <v>分配器 6D</v>
      </c>
      <c r="EE82" s="15">
        <f>BA84</f>
        <v>1</v>
      </c>
      <c r="EF82" s="15"/>
      <c r="EG82" s="15"/>
      <c r="EH82" s="197">
        <f t="shared" si="30"/>
        <v>4</v>
      </c>
      <c r="EI82" s="773" t="str">
        <f t="shared" si="31"/>
        <v/>
      </c>
      <c r="EJ82" s="203" t="str">
        <f>X86</f>
        <v/>
      </c>
      <c r="EK82" s="9"/>
      <c r="EL82" s="9" t="str">
        <f>IF(COUNTIF($EJ$18:EJ81,EJ82)&gt;0,"",EJ82)</f>
        <v/>
      </c>
      <c r="EM82" s="9"/>
      <c r="EN82" s="14" t="str">
        <f>AI86</f>
        <v/>
      </c>
      <c r="EO82" s="771">
        <f t="shared" si="44"/>
        <v>0</v>
      </c>
      <c r="EP82" s="8"/>
      <c r="EQ82" s="15"/>
      <c r="ER82" s="197">
        <f t="shared" si="32"/>
        <v>3</v>
      </c>
      <c r="ES82" s="773" t="str">
        <f t="shared" si="33"/>
        <v/>
      </c>
      <c r="ET82" s="203" t="str">
        <f t="shared" si="45"/>
        <v/>
      </c>
      <c r="EU82" s="9"/>
      <c r="EV82" s="11" t="str">
        <f>IF(COUNTIF($ET$18:ET81,ET82)&gt;0,"",ET82)</f>
        <v/>
      </c>
      <c r="EW82" s="9"/>
      <c r="EX82" s="124" t="str">
        <f>Y84</f>
        <v/>
      </c>
      <c r="EY82" s="771">
        <f t="shared" si="46"/>
        <v>0</v>
      </c>
      <c r="EZ82" s="8"/>
      <c r="FA82" s="15"/>
      <c r="FB82" s="197">
        <f t="shared" ref="FB82:FB113" si="49">IF(FF82&lt;&gt;"",FB81+1,FB81)</f>
        <v>10</v>
      </c>
      <c r="FC82" s="773" t="str">
        <f t="shared" ref="FC82:FC113" si="50">IF(AND(FB82&lt;&gt;"",FF82&lt;&gt;""),FB82,"")</f>
        <v/>
      </c>
      <c r="FD82" s="772" t="str">
        <f t="shared" si="47"/>
        <v>分配器 6D</v>
      </c>
      <c r="FE82" s="9"/>
      <c r="FF82" s="11" t="str">
        <f>IF(COUNTIF($FD$15:FD81,FD82)&gt;0,"",FD82)</f>
        <v/>
      </c>
      <c r="FG82" s="9"/>
      <c r="FH82" s="124">
        <f>BA84</f>
        <v>1</v>
      </c>
      <c r="FI82" s="771">
        <f t="shared" si="48"/>
        <v>0</v>
      </c>
    </row>
    <row r="83" spans="1:165" ht="11.25" customHeight="1" thickBot="1">
      <c r="B83" s="23"/>
      <c r="C83" s="3819"/>
      <c r="D83" s="3820"/>
      <c r="E83" s="3821"/>
      <c r="F83" s="3827" t="s">
        <v>420</v>
      </c>
      <c r="G83" s="3769"/>
      <c r="H83" s="3828"/>
      <c r="I83" s="3819" t="s">
        <v>420</v>
      </c>
      <c r="J83" s="3820"/>
      <c r="K83" s="3820"/>
      <c r="L83" s="3821"/>
      <c r="M83" s="3819" t="s">
        <v>1150</v>
      </c>
      <c r="N83" s="3820"/>
      <c r="O83" s="3820"/>
      <c r="P83" s="3821"/>
      <c r="Q83" s="3819" t="s">
        <v>1102</v>
      </c>
      <c r="R83" s="3820"/>
      <c r="S83" s="3821"/>
      <c r="T83" s="3819" t="s">
        <v>115</v>
      </c>
      <c r="U83" s="3820"/>
      <c r="V83" s="3821"/>
      <c r="W83" s="3862"/>
      <c r="X83" s="3865"/>
      <c r="Y83" s="3865"/>
      <c r="Z83" s="3868"/>
      <c r="AA83" s="3829">
        <f>IF($AG$15&lt;=65,115,110)</f>
        <v>115</v>
      </c>
      <c r="AB83" s="3562"/>
      <c r="AC83" s="3562"/>
      <c r="AD83" s="3562">
        <f>IF(CW245&gt;55,115,110)</f>
        <v>110</v>
      </c>
      <c r="AE83" s="3562"/>
      <c r="AF83" s="3830"/>
      <c r="AG83" s="3831" t="s">
        <v>1149</v>
      </c>
      <c r="AH83" s="3832"/>
      <c r="AI83" s="3832"/>
      <c r="AJ83" s="3833"/>
      <c r="AK83" s="3834" t="s">
        <v>1148</v>
      </c>
      <c r="AL83" s="3832"/>
      <c r="AM83" s="3832"/>
      <c r="AN83" s="3833"/>
      <c r="AO83" s="3834" t="s">
        <v>1147</v>
      </c>
      <c r="AP83" s="3832"/>
      <c r="AQ83" s="3832"/>
      <c r="AR83" s="3835"/>
      <c r="AS83" s="3836" t="s">
        <v>1146</v>
      </c>
      <c r="AT83" s="3832"/>
      <c r="AU83" s="3832"/>
      <c r="AV83" s="3833"/>
      <c r="AW83" s="3844" t="s">
        <v>1145</v>
      </c>
      <c r="AX83" s="3845"/>
      <c r="AY83" s="3845"/>
      <c r="AZ83" s="3846"/>
      <c r="BA83" s="3558" t="s">
        <v>1094</v>
      </c>
      <c r="BB83" s="3559"/>
      <c r="BC83" s="3559"/>
      <c r="BD83" s="3560"/>
      <c r="BE83" s="3561" t="s">
        <v>1092</v>
      </c>
      <c r="BF83" s="3562"/>
      <c r="BG83" s="3562"/>
      <c r="BH83" s="3562"/>
      <c r="BI83" s="3850" t="s">
        <v>1091</v>
      </c>
      <c r="BJ83" s="3562"/>
      <c r="BK83" s="3562"/>
      <c r="BL83" s="3562"/>
      <c r="BM83" s="3850" t="s">
        <v>1090</v>
      </c>
      <c r="BN83" s="3562"/>
      <c r="BO83" s="3562"/>
      <c r="BP83" s="3562"/>
      <c r="BQ83" s="3850" t="s">
        <v>1089</v>
      </c>
      <c r="BR83" s="3562"/>
      <c r="BS83" s="3562"/>
      <c r="BT83" s="3830"/>
      <c r="BU83" s="19"/>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90"/>
      <c r="DA83" s="15"/>
      <c r="DB83" s="98">
        <f>IF(C84="","",IF(AZ85="①",DB82+DC82+3,IF(AZ85="②",DB82*5/8+DC82+3,IF(AZ85="③",DB82/2+DC82+3,IF(AZ85="④",DB82+DC82*5/8+3,IF(AZ85="⑤",(DB82+DC82)*5/8+3,IF(AZ85="⑥",DB82/2+DC82*5/8+3,IF(AZ85="⑦",DB82+DC82/2+3,IF(AZ85="⑧",DB82*5/8+DC82/2+3,IF(AZ85="⑨",(DB82+DC82)/2+3))))))))))</f>
        <v>27</v>
      </c>
      <c r="DC83" s="180" t="s">
        <v>1088</v>
      </c>
      <c r="DD83" s="2589" t="str">
        <f>IF($AL$10="nC-FB","S-5C-FB",IF($AL$10="nD-FB","5D-FB","5C-2V"))</f>
        <v>S-5C-FB</v>
      </c>
      <c r="DE83" s="2591"/>
      <c r="DF83" s="3631">
        <f>IF(C84="  RF",DF73,IF($H$15="ＣＡＴＶ",DB82+DC82/2+F84-($AM$8-$AM$7)/1000+DR83,SUM(DM83:DO83)))</f>
        <v>58.5</v>
      </c>
      <c r="DG83" s="3812"/>
      <c r="DH83" s="2589" t="str">
        <f>IF($H$17="ＣＡＴＶ","G-22mm",IF(RIGHT($AB$17,1)+RIGHT($AF$17,1)+RIGHT($AJ$17,1)&gt;=4,"G-36mm","G-28mm"))</f>
        <v>G-28mm</v>
      </c>
      <c r="DI83" s="2591"/>
      <c r="DJ83" s="3631">
        <f>IF(C84="",0,IF(C84="  RF",DJ73,IF($H$15="ＣＡＴＶ",DB82+DC82/2+F84-($AM$8-$AM$7)/1000,10+F84-($AM$8-$AM$7)/1000)))</f>
        <v>14.5</v>
      </c>
      <c r="DK83" s="3812"/>
      <c r="DL83" s="15"/>
      <c r="DM83" s="98">
        <f>IF(OR($B$2=0,$H$15="ＣＡＴＶ",C84="",C84="  RF"),0,IF($AB$17="","",RIGHT($AB$17,1)*15+F84-($AM$8-$AM$7)/1000))</f>
        <v>19.5</v>
      </c>
      <c r="DN83" s="98">
        <f>IF(OR($B$2=0,$H$15="ＣＡＴＶ",C84="",C84="  RF"),0,IF($AF$17="","",15+F84-($AM$8-$AM$7)/1000))</f>
        <v>19.5</v>
      </c>
      <c r="DO83" s="98">
        <f>IF(OR($B$2=0,$H$15="ＣＡＴＶ",C84="",C84="  RF"),0,IF($AJ$17="","",15+F84-($AM$8-$AM$7)/1000))</f>
        <v>19.5</v>
      </c>
      <c r="DP83" s="15"/>
      <c r="DQ83" s="46" t="s">
        <v>1087</v>
      </c>
      <c r="DR83" s="98" t="str">
        <f>IF($H$17="ＣＡＴＶ",#REF!+#REF!,"")</f>
        <v/>
      </c>
      <c r="DS83" s="128" t="s">
        <v>1078</v>
      </c>
      <c r="DT83" s="159">
        <f>IF(AB85&lt;&gt;"Ｃ",0,IF(DY83&lt;&gt;0,DY83,IF(DZ83&lt;&gt;0,DZ83,0)))</f>
        <v>0</v>
      </c>
      <c r="DU83" s="8"/>
      <c r="DV83" s="86">
        <f>IF(AB85&lt;&gt;"Ｃ",0,IF(DY83=0,0,1))</f>
        <v>0</v>
      </c>
      <c r="DW83" s="86">
        <f>IF(AB85&lt;&gt;"Ｃ",0,IF(DZ83=0,0,1))</f>
        <v>0</v>
      </c>
      <c r="DX83" s="8"/>
      <c r="DY83" s="86">
        <f>IF(AB85&lt;&gt;"Ｃ",0,IF(AND(DB78&gt;60,DB78&lt;=64),4,IF(AND(DB78&gt;64,DB78&lt;=80),5,0)))</f>
        <v>0</v>
      </c>
      <c r="DZ83" s="86">
        <f>IF(AB85&lt;&gt;"Ｃ",0,IF(AND(DB78&gt;80,DB78&lt;=96),4,IF(AND(DB78&gt;96,DB78&lt;=120),5,0)))</f>
        <v>0</v>
      </c>
      <c r="EA83" s="38"/>
      <c r="EB83" s="776" t="str">
        <f>IF(OR($B$2=0,Z84=""),"","混合器 UV-BC")</f>
        <v/>
      </c>
      <c r="EC83" s="12"/>
      <c r="ED83" s="122" t="str">
        <f>IF(BE84="","","直列Unit-中間1端子")</f>
        <v/>
      </c>
      <c r="EE83" s="38" t="str">
        <f>BE84</f>
        <v/>
      </c>
      <c r="EF83" s="38"/>
      <c r="EG83" s="38"/>
      <c r="EH83" s="197">
        <f t="shared" si="30"/>
        <v>4</v>
      </c>
      <c r="EI83" s="773" t="str">
        <f t="shared" si="31"/>
        <v/>
      </c>
      <c r="EJ83" s="203" t="str">
        <f>X87</f>
        <v>PF-S-22mm</v>
      </c>
      <c r="EK83" s="9"/>
      <c r="EL83" s="9" t="str">
        <f>IF(COUNTIF($EJ$18:EJ82,EJ83)&gt;0,"",EJ83)</f>
        <v/>
      </c>
      <c r="EM83" s="9"/>
      <c r="EN83" s="14">
        <f>AI87</f>
        <v>4</v>
      </c>
      <c r="EO83" s="771">
        <f t="shared" si="44"/>
        <v>0</v>
      </c>
      <c r="EP83" s="8"/>
      <c r="EQ83" s="38"/>
      <c r="ER83" s="197">
        <f t="shared" si="32"/>
        <v>3</v>
      </c>
      <c r="ES83" s="773" t="str">
        <f t="shared" si="33"/>
        <v/>
      </c>
      <c r="ET83" s="203" t="str">
        <f t="shared" si="45"/>
        <v/>
      </c>
      <c r="EU83" s="9"/>
      <c r="EV83" s="11" t="str">
        <f>IF(COUNTIF($ET$18:ET82,ET83)&gt;0,"",ET83)</f>
        <v/>
      </c>
      <c r="EW83" s="9"/>
      <c r="EX83" s="124">
        <f>Z84</f>
        <v>0</v>
      </c>
      <c r="EY83" s="771">
        <f t="shared" si="46"/>
        <v>0</v>
      </c>
      <c r="EZ83" s="8"/>
      <c r="FA83" s="38"/>
      <c r="FB83" s="197">
        <f t="shared" si="49"/>
        <v>10</v>
      </c>
      <c r="FC83" s="773" t="str">
        <f t="shared" si="50"/>
        <v/>
      </c>
      <c r="FD83" s="772" t="str">
        <f t="shared" si="47"/>
        <v/>
      </c>
      <c r="FE83" s="9"/>
      <c r="FF83" s="11" t="str">
        <f>IF(COUNTIF($FD$15:FD82,FD83)&gt;0,"",FD83)</f>
        <v/>
      </c>
      <c r="FG83" s="9"/>
      <c r="FH83" s="124" t="str">
        <f>BE84</f>
        <v/>
      </c>
      <c r="FI83" s="771">
        <f t="shared" si="48"/>
        <v>0</v>
      </c>
    </row>
    <row r="84" spans="1:165" ht="11.25" customHeight="1">
      <c r="A84" s="8">
        <v>7</v>
      </c>
      <c r="B84" s="23"/>
      <c r="C84" s="3837" t="str">
        <f>非誘!C54</f>
        <v xml:space="preserve">  5F</v>
      </c>
      <c r="D84" s="3837"/>
      <c r="E84" s="3837"/>
      <c r="F84" s="3838">
        <f>非誘!F54</f>
        <v>4</v>
      </c>
      <c r="G84" s="3839"/>
      <c r="H84" s="3840"/>
      <c r="I84" s="3838">
        <f>非誘!J54</f>
        <v>3</v>
      </c>
      <c r="J84" s="3839"/>
      <c r="K84" s="3839"/>
      <c r="L84" s="3840"/>
      <c r="M84" s="3841">
        <f>非誘!N54</f>
        <v>1152</v>
      </c>
      <c r="N84" s="3842"/>
      <c r="O84" s="3842"/>
      <c r="P84" s="3843"/>
      <c r="Q84" s="3537">
        <f>非誘!AA54</f>
        <v>3</v>
      </c>
      <c r="R84" s="3537"/>
      <c r="S84" s="3537"/>
      <c r="T84" s="3537">
        <f>非誘!AD54</f>
        <v>9</v>
      </c>
      <c r="U84" s="3537"/>
      <c r="V84" s="3537"/>
      <c r="W84" s="795" t="str">
        <f>IF(OR(AE23="不要",C84&lt;&gt;$X$10),"",IF(AND($AB$17="UHF×3",$AF$17&lt;&gt;"",$AJ$17&lt;&gt;""),2,IF(OR(AND($AB$17="UHF×3",$AB$17="",$AJ$17=""),AND($AB$17="UHF×3",$AF$17&lt;&gt;"",$AJ$17=""),AND($AB$17="UHF×2",$AF$17&lt;&gt;"",$AJ$17&lt;&gt;"")),1,"")))</f>
        <v/>
      </c>
      <c r="X84" s="794" t="str">
        <f>IF(OR(AE23="不要",C84&lt;&gt;$X$10),"",IF(AND($AB$17&lt;&gt;"",$AF$17&lt;&gt;"",$AJ$17&lt;&gt;""),1,""))</f>
        <v/>
      </c>
      <c r="Y84" s="794" t="str">
        <f>IF(OR(AE23="不要",C84&lt;&gt;$X$10),"",IF(AND(OR($AB$17="UHF×2",$AB$17="UHF×3"),$AF$17&lt;&gt;"",$AJ$17=""),1,""))</f>
        <v/>
      </c>
      <c r="Z84" s="793"/>
      <c r="AA84" s="3847" t="str">
        <f>IF($B$2=0,"",IF(AND(AE23&lt;&gt;"不要",DC80="＝"),1,""))</f>
        <v/>
      </c>
      <c r="AB84" s="3848"/>
      <c r="AC84" s="3848"/>
      <c r="AD84" s="3848">
        <f>IF($B$2=0,"",IF(OR(AE23="不要",C84="",C84="  RF"),"",IF(AE23="設置",1,"")))</f>
        <v>1</v>
      </c>
      <c r="AE84" s="3848"/>
      <c r="AF84" s="3849"/>
      <c r="AG84" s="3837" t="str">
        <f>IF(OR(AE23="不要",C84="",C84="  RF"),"",IF(AI84&lt;&gt;"",AI84,IF(DE81+DM81+DT81+DT83+DT85=0,"",DE81+DM81+DT81+DT83+DT85)))</f>
        <v/>
      </c>
      <c r="AH84" s="3837"/>
      <c r="AI84" s="3915"/>
      <c r="AJ84" s="3915"/>
      <c r="AK84" s="3837">
        <f>IF(OR(AE23="不要",C84="",C84="  RF"),"",IF(AM84&lt;&gt;"",AM84,IF(DF81+DN81=0,"",DF81+DN81)))</f>
        <v>1</v>
      </c>
      <c r="AL84" s="3837"/>
      <c r="AM84" s="3915"/>
      <c r="AN84" s="3915"/>
      <c r="AO84" s="3813" t="str">
        <f>IF(AQ84="","",AQ84)</f>
        <v/>
      </c>
      <c r="AP84" s="3814"/>
      <c r="AQ84" s="3915"/>
      <c r="AR84" s="3915"/>
      <c r="AS84" s="3916" t="str">
        <f>IF(OR(AE23="不要",C84="  RF"),"",IF(AU84&lt;&gt;"",AU84,IF(DH81+DP81+DU81+DX81+DY81+DZ81=0,"",DH81+DP81+DU81+DX81+DY81+DZ81)))</f>
        <v/>
      </c>
      <c r="AT84" s="3837"/>
      <c r="AU84" s="3915"/>
      <c r="AV84" s="3915"/>
      <c r="AW84" s="3837" t="str">
        <f>IF(OR(AE23="不要",C84="  RF"),"",IF(AY84&lt;&gt;"",AY84,IF(DI81+DQ81+DV81+DV83+DY83+DZ83=0,"",DI81+DQ81+DV81+DV83+DY83+DZ83)))</f>
        <v/>
      </c>
      <c r="AX84" s="3837"/>
      <c r="AY84" s="3915"/>
      <c r="AZ84" s="3915"/>
      <c r="BA84" s="3837">
        <f>IF(OR(AE23="不要",C84="  RF"),"",IF(BC84&lt;&gt;"",BC84,IF(DJ81+DR81+DW81+DW83+DW85+DZ85=0,"",DJ81+DR81+DW81+DW83+DW85+DZ85)))</f>
        <v>1</v>
      </c>
      <c r="BB84" s="3837"/>
      <c r="BC84" s="3915"/>
      <c r="BD84" s="3915"/>
      <c r="BE84" s="3837" t="str">
        <f>IF(OR(AE23="不要",$X$11="2端子",C84="",C84="  RF"),"",IF(BG84&lt;&gt;"",BG84,IF(AND(AB85="Ａ",$X$11="1端子"),DK81,"")))</f>
        <v/>
      </c>
      <c r="BF84" s="3837"/>
      <c r="BG84" s="3837" t="str">
        <f>IF(AND(BO84&lt;&gt;"",AB85="Ａ",$X$11="1端子"),BO84,"")</f>
        <v/>
      </c>
      <c r="BH84" s="3837"/>
      <c r="BI84" s="3916" t="str">
        <f>IF(OR(AE23="不要",$X$11="1端子",C84="",C84="  RF"),"",IF(BK84&lt;&gt;"",BK84,IF(AND(AB85="Ａ",$X$11="2端子"),DK81,"")))</f>
        <v/>
      </c>
      <c r="BJ84" s="3837"/>
      <c r="BK84" s="3837" t="str">
        <f>IF(AND(BS84&lt;&gt;"",AB85="Ａ",$X$11="2端子"),BS84,"")</f>
        <v/>
      </c>
      <c r="BL84" s="3837"/>
      <c r="BM84" s="3837">
        <f>IF(OR(AE23="不要",C84="  RF",C84="",$X$11="2端子"),"",IF(BO84&lt;&gt;"",BO84,IF(AND(AB85="Ａ",$X$11="1端子"),DK81,DK79)))</f>
        <v>12</v>
      </c>
      <c r="BN84" s="3837"/>
      <c r="BO84" s="3915"/>
      <c r="BP84" s="3915"/>
      <c r="BQ84" s="3837" t="str">
        <f>IF(OR(AE23="不要",C84="  RF",C84="",$X$11="1端子"),"",IF(BS84&lt;&gt;"",BS84,IF(AND(AB85="Ａ",$X$11="2端子"),DK81,DK79)))</f>
        <v/>
      </c>
      <c r="BR84" s="3837"/>
      <c r="BS84" s="3915"/>
      <c r="BT84" s="3918"/>
      <c r="BU84" s="19"/>
      <c r="BV84" s="8"/>
      <c r="BW84" s="88">
        <f>IF(I84="直天",F84,I84)</f>
        <v>3</v>
      </c>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38"/>
      <c r="DA84" s="15"/>
      <c r="DB84" s="15"/>
      <c r="DC84" s="180" t="s">
        <v>1144</v>
      </c>
      <c r="DD84" s="2589" t="str">
        <f>IF($AL$10="nC-FB","S-7C-FB",IF($AL$10="nD-FB","8D-FB","7C-2V"))</f>
        <v>S-7C-FB</v>
      </c>
      <c r="DE84" s="2591"/>
      <c r="DF84" s="3631">
        <f>IF(OR(C84="",C84="  RF"),0,IF(AB85="Ｃ",2.5*AG84+(DB82+DC82),F84+2))</f>
        <v>6</v>
      </c>
      <c r="DG84" s="3812"/>
      <c r="DH84" s="2589" t="str">
        <f>IF(OR(H85="天井ケーブル",H85="天井-PF管"),"PF-S-22mm",IF(H85="天井-CD管","CD-22mm",IF(H85="天井-C 管","C-25mm",IF(H85="天井-G 管","G-22mm",""))))</f>
        <v>PF-S-22mm</v>
      </c>
      <c r="DI84" s="2591"/>
      <c r="DJ84" s="3631">
        <f>IF(OR(C84="",C84="  RF"),0,IF(AB85="Ｃ",F84-($AM$8-$AM$7)/1000,F84))</f>
        <v>4</v>
      </c>
      <c r="DK84" s="3812"/>
      <c r="DL84" s="778"/>
      <c r="DM84" s="112"/>
      <c r="DN84" s="190" t="s">
        <v>1143</v>
      </c>
      <c r="DO84" s="98">
        <f>IF(OR(C84="",C84="  RF"),0,(DB82+DC82)/2/SQRT(DK81))</f>
        <v>6.8033605141660898</v>
      </c>
      <c r="DP84" s="15"/>
      <c r="DQ84" s="15"/>
      <c r="DR84" s="15"/>
      <c r="DS84" s="8"/>
      <c r="DT84" s="113" t="s">
        <v>1051</v>
      </c>
      <c r="DU84" s="8"/>
      <c r="DV84" s="113"/>
      <c r="DW84" s="113" t="s">
        <v>1046</v>
      </c>
      <c r="DX84" s="8"/>
      <c r="DY84" s="8"/>
      <c r="DZ84" s="113" t="s">
        <v>1046</v>
      </c>
      <c r="EA84" s="113"/>
      <c r="EB84" s="776" t="str">
        <f>IF(OR($B$2=0,AA84=""),"","増幅器 "&amp;AA82&amp;AA83)</f>
        <v/>
      </c>
      <c r="EC84" s="15"/>
      <c r="ED84" s="122" t="str">
        <f>IF(BI84="","","直列Unit-中間2端子")</f>
        <v/>
      </c>
      <c r="EE84" s="15" t="str">
        <f>BI84</f>
        <v/>
      </c>
      <c r="EF84" s="15"/>
      <c r="EG84" s="15"/>
      <c r="EH84" s="197">
        <f t="shared" si="30"/>
        <v>4</v>
      </c>
      <c r="EI84" s="773" t="str">
        <f t="shared" si="31"/>
        <v/>
      </c>
      <c r="EJ84" s="203" t="str">
        <f>AS86</f>
        <v>S-5C-FB</v>
      </c>
      <c r="EK84" s="9"/>
      <c r="EL84" s="9" t="str">
        <f>IF(COUNTIF($EJ$18:EJ83,EJ84)&gt;0,"",EJ84)</f>
        <v/>
      </c>
      <c r="EM84" s="9"/>
      <c r="EN84" s="14">
        <f>BB86</f>
        <v>178.84032616999309</v>
      </c>
      <c r="EO84" s="771">
        <f t="shared" si="44"/>
        <v>0</v>
      </c>
      <c r="EP84" s="8"/>
      <c r="EQ84" s="15"/>
      <c r="ER84" s="197">
        <f t="shared" si="32"/>
        <v>3</v>
      </c>
      <c r="ES84" s="773" t="str">
        <f t="shared" si="33"/>
        <v/>
      </c>
      <c r="ET84" s="203" t="str">
        <f t="shared" si="45"/>
        <v/>
      </c>
      <c r="EU84" s="9"/>
      <c r="EV84" s="11" t="str">
        <f>IF(COUNTIF($ET$18:ET83,ET84)&gt;0,"",ET84)</f>
        <v/>
      </c>
      <c r="EW84" s="9"/>
      <c r="EX84" s="124" t="str">
        <f>AA84</f>
        <v/>
      </c>
      <c r="EY84" s="771">
        <f t="shared" si="46"/>
        <v>0</v>
      </c>
      <c r="EZ84" s="8"/>
      <c r="FA84" s="15"/>
      <c r="FB84" s="197">
        <f t="shared" si="49"/>
        <v>10</v>
      </c>
      <c r="FC84" s="773" t="str">
        <f t="shared" si="50"/>
        <v/>
      </c>
      <c r="FD84" s="772" t="str">
        <f t="shared" si="47"/>
        <v/>
      </c>
      <c r="FE84" s="9"/>
      <c r="FF84" s="11" t="str">
        <f>IF(COUNTIF($FD$15:FD83,FD84)&gt;0,"",FD84)</f>
        <v/>
      </c>
      <c r="FG84" s="9"/>
      <c r="FH84" s="124" t="str">
        <f>BI84</f>
        <v/>
      </c>
      <c r="FI84" s="771">
        <f t="shared" si="48"/>
        <v>0</v>
      </c>
    </row>
    <row r="85" spans="1:165" ht="12" customHeight="1">
      <c r="A85" s="8"/>
      <c r="B85" s="23"/>
      <c r="C85" s="2634" t="s">
        <v>135</v>
      </c>
      <c r="D85" s="2634"/>
      <c r="E85" s="2634"/>
      <c r="F85" s="2634"/>
      <c r="G85" s="2634"/>
      <c r="H85" s="3904" t="str">
        <f>IF($B$2=0,"",IF(P85="","天井ケーブル",P85))</f>
        <v>天井ケーブル</v>
      </c>
      <c r="I85" s="3904"/>
      <c r="J85" s="3904"/>
      <c r="K85" s="3904"/>
      <c r="L85" s="3904"/>
      <c r="M85" s="3904"/>
      <c r="N85" s="3904"/>
      <c r="O85" s="173" t="s">
        <v>68</v>
      </c>
      <c r="P85" s="3796"/>
      <c r="Q85" s="3797"/>
      <c r="R85" s="3797"/>
      <c r="S85" s="3797"/>
      <c r="T85" s="3797"/>
      <c r="U85" s="3797"/>
      <c r="V85" s="3798"/>
      <c r="W85" s="2634" t="s">
        <v>1082</v>
      </c>
      <c r="X85" s="2634"/>
      <c r="Y85" s="2634"/>
      <c r="Z85" s="2634"/>
      <c r="AA85" s="2634"/>
      <c r="AB85" s="3799" t="str">
        <f>IF(AE23="不要","",IF(AF85&lt;&gt;"",AF85,DB79))</f>
        <v>Ｂ</v>
      </c>
      <c r="AC85" s="3799"/>
      <c r="AD85" s="3799"/>
      <c r="AE85" s="173" t="s">
        <v>68</v>
      </c>
      <c r="AF85" s="3800"/>
      <c r="AG85" s="3801"/>
      <c r="AH85" s="3802"/>
      <c r="AI85" s="2634" t="s">
        <v>20</v>
      </c>
      <c r="AJ85" s="2634"/>
      <c r="AK85" s="2634"/>
      <c r="AL85" s="2634"/>
      <c r="AM85" s="2634"/>
      <c r="AN85" s="3522">
        <f>IF(OR(C84="",C84="  RF"),"",非誘!J53)</f>
        <v>0.5</v>
      </c>
      <c r="AO85" s="3523"/>
      <c r="AP85" s="3523"/>
      <c r="AQ85" s="3524"/>
      <c r="AR85" s="3507" t="s">
        <v>1081</v>
      </c>
      <c r="AS85" s="3461"/>
      <c r="AT85" s="3461"/>
      <c r="AU85" s="3461"/>
      <c r="AV85" s="3461"/>
      <c r="AW85" s="3461"/>
      <c r="AX85" s="3461"/>
      <c r="AY85" s="3461"/>
      <c r="AZ85" s="3563" t="str">
        <f>IF(OR(C84="",C84="  RF"),"",IF(BC85="",$AN$11,BC85))</f>
        <v>⑦</v>
      </c>
      <c r="BA85" s="3563"/>
      <c r="BB85" s="777" t="s">
        <v>68</v>
      </c>
      <c r="BC85" s="3521"/>
      <c r="BD85" s="3521"/>
      <c r="BE85" s="3564"/>
      <c r="BF85" s="3565"/>
      <c r="BG85" s="3565"/>
      <c r="BH85" s="3565"/>
      <c r="BI85" s="3565"/>
      <c r="BJ85" s="3565"/>
      <c r="BK85" s="3565"/>
      <c r="BL85" s="3565"/>
      <c r="BM85" s="3565"/>
      <c r="BN85" s="3565"/>
      <c r="BO85" s="3565"/>
      <c r="BP85" s="3565"/>
      <c r="BQ85" s="3565"/>
      <c r="BR85" s="3565"/>
      <c r="BS85" s="3565"/>
      <c r="BT85" s="3566"/>
      <c r="BU85" s="19"/>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38"/>
      <c r="DA85" s="15"/>
      <c r="DB85" s="8"/>
      <c r="DC85" s="180" t="s">
        <v>1080</v>
      </c>
      <c r="DD85" s="2589" t="str">
        <f>IF($AL$10="nC-FB","S-5C-FB",IF($AL$10="nD-FB","5D-FB","5C-2V"))</f>
        <v>S-5C-FB</v>
      </c>
      <c r="DE85" s="2591"/>
      <c r="DF85" s="3631">
        <f>IF(AB85="Ａ",(DK81+2*BW84-($X$7+$X$9)/1000)*DO84+(12+2*BW84-2*$X$9/1000)*DK81+DO85,IF(AB85="Ｂ",(DO84+2*BW84-$X$9/1000)*DK79+DO85,0))</f>
        <v>178.84032616999309</v>
      </c>
      <c r="DG85" s="3812"/>
      <c r="DH85" s="2589" t="str">
        <f>IF(OR(H85="天井ケーブル",H85="天井-PF管"),"PF-S-16mm",IF(H85="天井-CD管","CD-16mm",IF(H85="天井-C 管","C-19mm",IF(H85="天井-G 管","G-16mm",""))))</f>
        <v>PF-S-16mm</v>
      </c>
      <c r="DI85" s="2591"/>
      <c r="DJ85" s="3631">
        <f>IF(OR(C84="",C84="  RF"),0,IF(H85="天井ケーブル",DK79*(BW84-($X$9-$AM$9)/1000),(DO84+2*BW84-$X$9/1000)*DK79+DO85))</f>
        <v>37.799999999999997</v>
      </c>
      <c r="DK85" s="3812"/>
      <c r="DL85" s="15"/>
      <c r="DM85" s="46"/>
      <c r="DN85" s="46" t="s">
        <v>1079</v>
      </c>
      <c r="DO85" s="98">
        <f>DB83</f>
        <v>27</v>
      </c>
      <c r="DP85" s="15"/>
      <c r="DQ85" s="15"/>
      <c r="DR85" s="15"/>
      <c r="DS85" s="128" t="s">
        <v>1078</v>
      </c>
      <c r="DT85" s="86">
        <f>IF(AB85&lt;&gt;"Ｃ",0,IF(DZ85=0,0,DZ85))</f>
        <v>0</v>
      </c>
      <c r="DU85" s="8"/>
      <c r="DV85" s="8"/>
      <c r="DW85" s="86">
        <f>IF(AB85&lt;&gt;"Ｃ",0,IF(DZ85=0,0,1))</f>
        <v>0</v>
      </c>
      <c r="DX85" s="8"/>
      <c r="DY85" s="8"/>
      <c r="DZ85" s="86">
        <f>IF(AB85&lt;&gt;"Ｃ",0,IF(AND(DB78&gt;120,DB78&lt;=144),4,IF(AND(DB78&gt;144,DB78&lt;=180),5,0)))</f>
        <v>0</v>
      </c>
      <c r="EA85" s="38"/>
      <c r="EB85" s="776" t="str">
        <f>IF(OR($B$2=0,AD84=""),"","増幅器 "&amp;AD82&amp;AD83)</f>
        <v>増幅器 35/110</v>
      </c>
      <c r="EC85" s="38"/>
      <c r="ED85" s="122" t="str">
        <f>IF(BM84="","","直列Unit-終端1端子")</f>
        <v>直列Unit-終端1端子</v>
      </c>
      <c r="EE85" s="38">
        <f>BM84</f>
        <v>12</v>
      </c>
      <c r="EF85" s="38"/>
      <c r="EG85" s="38"/>
      <c r="EH85" s="197">
        <f t="shared" si="30"/>
        <v>4</v>
      </c>
      <c r="EI85" s="773" t="str">
        <f t="shared" si="31"/>
        <v/>
      </c>
      <c r="EJ85" s="203" t="str">
        <f>AS87</f>
        <v/>
      </c>
      <c r="EK85" s="9"/>
      <c r="EL85" s="9" t="str">
        <f>IF(COUNTIF($EJ$18:EJ84,EJ85)&gt;0,"",EJ85)</f>
        <v/>
      </c>
      <c r="EM85" s="9"/>
      <c r="EN85" s="14" t="str">
        <f>BB87</f>
        <v/>
      </c>
      <c r="EO85" s="771">
        <f t="shared" si="44"/>
        <v>0</v>
      </c>
      <c r="EP85" s="8"/>
      <c r="EQ85" s="38"/>
      <c r="ER85" s="197">
        <f t="shared" si="32"/>
        <v>3</v>
      </c>
      <c r="ES85" s="773" t="str">
        <f t="shared" si="33"/>
        <v/>
      </c>
      <c r="ET85" s="203" t="str">
        <f t="shared" si="45"/>
        <v>増幅器 35/110</v>
      </c>
      <c r="EU85" s="9"/>
      <c r="EV85" s="11" t="str">
        <f>IF(COUNTIF($ET$18:ET84,ET85)&gt;0,"",ET85)</f>
        <v/>
      </c>
      <c r="EW85" s="9"/>
      <c r="EX85" s="124">
        <f>AD84</f>
        <v>1</v>
      </c>
      <c r="EY85" s="771">
        <f t="shared" si="46"/>
        <v>0</v>
      </c>
      <c r="EZ85" s="8"/>
      <c r="FA85" s="38"/>
      <c r="FB85" s="197">
        <f t="shared" si="49"/>
        <v>10</v>
      </c>
      <c r="FC85" s="773" t="str">
        <f t="shared" si="50"/>
        <v/>
      </c>
      <c r="FD85" s="772" t="str">
        <f t="shared" si="47"/>
        <v>直列Unit-終端1端子</v>
      </c>
      <c r="FE85" s="9"/>
      <c r="FF85" s="11" t="str">
        <f>IF(COUNTIF($FD$15:FD84,FD85)&gt;0,"",FD85)</f>
        <v/>
      </c>
      <c r="FG85" s="9"/>
      <c r="FH85" s="124">
        <f>BM84</f>
        <v>12</v>
      </c>
      <c r="FI85" s="771">
        <f t="shared" si="48"/>
        <v>0</v>
      </c>
    </row>
    <row r="86" spans="1:165" ht="12" customHeight="1">
      <c r="A86" s="8"/>
      <c r="B86" s="23"/>
      <c r="C86" s="3905" t="s">
        <v>449</v>
      </c>
      <c r="D86" s="3905"/>
      <c r="E86" s="3905"/>
      <c r="F86" s="3904" t="str">
        <f>IF($H$15="ＣＡＴＶ","CATV引込","アンテナ部")</f>
        <v>アンテナ部</v>
      </c>
      <c r="G86" s="3904"/>
      <c r="H86" s="3904"/>
      <c r="I86" s="3904"/>
      <c r="J86" s="3904"/>
      <c r="K86" s="3908" t="str">
        <f>IF(OR(AE23="不要",$B$2=0,C84&lt;&gt;$X$10),"",IF(P86&lt;&gt;"",P86,DD83))</f>
        <v/>
      </c>
      <c r="L86" s="3908"/>
      <c r="M86" s="3908"/>
      <c r="N86" s="3908"/>
      <c r="O86" s="173" t="s">
        <v>68</v>
      </c>
      <c r="P86" s="3517"/>
      <c r="Q86" s="3517"/>
      <c r="R86" s="3517"/>
      <c r="S86" s="3517"/>
      <c r="T86" s="3526" t="str">
        <f>IF(AND(C84&lt;&gt;"",K86&lt;&gt;""),DF83,"")</f>
        <v/>
      </c>
      <c r="U86" s="3526"/>
      <c r="V86" s="3526"/>
      <c r="W86" s="3526"/>
      <c r="X86" s="3908" t="str">
        <f>IF(OR($B$2=0,K86=""),"",IF(AD86&lt;&gt;"",AD86,DH83))</f>
        <v/>
      </c>
      <c r="Y86" s="3908"/>
      <c r="Z86" s="3908"/>
      <c r="AA86" s="3908"/>
      <c r="AB86" s="3908"/>
      <c r="AC86" s="173" t="s">
        <v>68</v>
      </c>
      <c r="AD86" s="3525"/>
      <c r="AE86" s="3525"/>
      <c r="AF86" s="3525"/>
      <c r="AG86" s="3525"/>
      <c r="AH86" s="3525"/>
      <c r="AI86" s="3526" t="str">
        <f>IF(X86="","",IF(DJ83="","",DJ83))</f>
        <v/>
      </c>
      <c r="AJ86" s="3526"/>
      <c r="AK86" s="3526"/>
      <c r="AL86" s="3526"/>
      <c r="AM86" s="3904" t="s">
        <v>1077</v>
      </c>
      <c r="AN86" s="3904"/>
      <c r="AO86" s="3904"/>
      <c r="AP86" s="3904"/>
      <c r="AQ86" s="3904"/>
      <c r="AR86" s="3904"/>
      <c r="AS86" s="3908" t="str">
        <f>IF(OR(AE23="不要",$B$2=0,C84="",C84="  RF",AB85="Ｃ"),"",IF(AX86&lt;&gt;"",AX86,DD85))</f>
        <v>S-5C-FB</v>
      </c>
      <c r="AT86" s="3908"/>
      <c r="AU86" s="3908"/>
      <c r="AV86" s="3908"/>
      <c r="AW86" s="173" t="s">
        <v>68</v>
      </c>
      <c r="AX86" s="3517"/>
      <c r="AY86" s="3517"/>
      <c r="AZ86" s="3517"/>
      <c r="BA86" s="3517"/>
      <c r="BB86" s="3537">
        <f>IF(AS86&lt;&gt;"",DF85,"")</f>
        <v>178.84032616999309</v>
      </c>
      <c r="BC86" s="3537"/>
      <c r="BD86" s="3537"/>
      <c r="BE86" s="3537"/>
      <c r="BF86" s="3908" t="str">
        <f>IF(OR(C84="",AS86=""),"",IF(AB85="Ａ",DH84,DH85))</f>
        <v>PF-S-16mm</v>
      </c>
      <c r="BG86" s="3908"/>
      <c r="BH86" s="3908"/>
      <c r="BI86" s="3908"/>
      <c r="BJ86" s="3908"/>
      <c r="BK86" s="173" t="s">
        <v>68</v>
      </c>
      <c r="BL86" s="3525"/>
      <c r="BM86" s="3525"/>
      <c r="BN86" s="3525"/>
      <c r="BO86" s="3525"/>
      <c r="BP86" s="3525"/>
      <c r="BQ86" s="3526">
        <f>IF(BF86="","",DJ85)</f>
        <v>37.799999999999997</v>
      </c>
      <c r="BR86" s="3526"/>
      <c r="BS86" s="3526"/>
      <c r="BT86" s="3527"/>
      <c r="BU86" s="19"/>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774" t="s">
        <v>1076</v>
      </c>
      <c r="DD86" s="2589" t="str">
        <f>DD85</f>
        <v>S-5C-FB</v>
      </c>
      <c r="DE86" s="2591"/>
      <c r="DF86" s="3631">
        <f>IF(OR(C84="",C84="  RF",I84="直天"),0,1+INT(12+BW84-($X$9-$AM$9)/1000)*DK79+DO86)</f>
        <v>235</v>
      </c>
      <c r="DG86" s="3812"/>
      <c r="DH86" s="2589" t="str">
        <f>DH85</f>
        <v>PF-S-16mm</v>
      </c>
      <c r="DI86" s="2591"/>
      <c r="DJ86" s="3631">
        <f>IF(OR(C84="",C84="  RF"),0,IF(H85="天井ケーブル",DK79*(BW84-($X$9-2*$AM$9)/1000),1+INT(12+BW84-$X$9/1000)*DK79))</f>
        <v>41.400000000000006</v>
      </c>
      <c r="DK86" s="3812"/>
      <c r="DL86" s="15"/>
      <c r="DM86" s="15"/>
      <c r="DN86" s="46" t="s">
        <v>1075</v>
      </c>
      <c r="DO86" s="97">
        <f>IF(C84="",0,IF($AW$8=0,0,2*($AW$8/1000-0.15-0.1)*(INT(1000*DB82/$AW$10)+1)*(INT(1000*DC82/$AW$10)+1)*4))</f>
        <v>53.999999999999993</v>
      </c>
      <c r="DP86" s="15"/>
      <c r="DQ86" s="15"/>
      <c r="DR86" s="15"/>
      <c r="DS86" s="8"/>
      <c r="DT86" s="8"/>
      <c r="DU86" s="8"/>
      <c r="DV86" s="8"/>
      <c r="DW86" s="8"/>
      <c r="DX86" s="8"/>
      <c r="DY86" s="8"/>
      <c r="DZ86" s="8"/>
      <c r="EA86" s="8"/>
      <c r="EB86" s="769" t="str">
        <f>IF(OR($B$2=0,AG84=""),"","分岐器 1C")</f>
        <v/>
      </c>
      <c r="EC86" s="8"/>
      <c r="ED86" s="122" t="str">
        <f>IF(BQ84="","","直列Unit-終端2端子")</f>
        <v/>
      </c>
      <c r="EE86" s="8" t="str">
        <f>BQ84</f>
        <v/>
      </c>
      <c r="EF86" s="8"/>
      <c r="EG86" s="8"/>
      <c r="EH86" s="197">
        <f t="shared" si="30"/>
        <v>4</v>
      </c>
      <c r="EI86" s="773" t="str">
        <f t="shared" si="31"/>
        <v/>
      </c>
      <c r="EJ86" s="203" t="str">
        <f>BF86</f>
        <v>PF-S-16mm</v>
      </c>
      <c r="EK86" s="9"/>
      <c r="EL86" s="9" t="str">
        <f>IF(COUNTIF($EJ$18:EJ85,EJ86)&gt;0,"",EJ86)</f>
        <v/>
      </c>
      <c r="EM86" s="9"/>
      <c r="EN86" s="14">
        <f>BQ86</f>
        <v>37.799999999999997</v>
      </c>
      <c r="EO86" s="771">
        <f t="shared" si="44"/>
        <v>0</v>
      </c>
      <c r="EP86" s="8"/>
      <c r="EQ86" s="8"/>
      <c r="ER86" s="197">
        <f t="shared" si="32"/>
        <v>3</v>
      </c>
      <c r="ES86" s="773" t="str">
        <f t="shared" si="33"/>
        <v/>
      </c>
      <c r="ET86" s="203" t="str">
        <f t="shared" si="45"/>
        <v/>
      </c>
      <c r="EU86" s="9"/>
      <c r="EV86" s="11" t="str">
        <f>IF(COUNTIF($ET$18:ET85,ET86)&gt;0,"",ET86)</f>
        <v/>
      </c>
      <c r="EW86" s="9"/>
      <c r="EX86" s="124" t="str">
        <f>AG84</f>
        <v/>
      </c>
      <c r="EY86" s="771">
        <f t="shared" si="46"/>
        <v>0</v>
      </c>
      <c r="EZ86" s="8"/>
      <c r="FA86" s="8"/>
      <c r="FB86" s="197">
        <f t="shared" si="49"/>
        <v>10</v>
      </c>
      <c r="FC86" s="773" t="str">
        <f t="shared" si="50"/>
        <v/>
      </c>
      <c r="FD86" s="772" t="str">
        <f t="shared" si="47"/>
        <v/>
      </c>
      <c r="FE86" s="9"/>
      <c r="FF86" s="11" t="str">
        <f>IF(COUNTIF($FD$15:FD85,FD86)&gt;0,"",FD86)</f>
        <v/>
      </c>
      <c r="FG86" s="9"/>
      <c r="FH86" s="124" t="str">
        <f>BQ84</f>
        <v/>
      </c>
      <c r="FI86" s="771">
        <f t="shared" si="48"/>
        <v>0</v>
      </c>
    </row>
    <row r="87" spans="1:165" ht="12" customHeight="1" thickBot="1">
      <c r="A87" s="8"/>
      <c r="B87" s="23"/>
      <c r="C87" s="3922"/>
      <c r="D87" s="3922"/>
      <c r="E87" s="3922"/>
      <c r="F87" s="3920" t="s">
        <v>1074</v>
      </c>
      <c r="G87" s="3920"/>
      <c r="H87" s="3920"/>
      <c r="I87" s="3920"/>
      <c r="J87" s="3920"/>
      <c r="K87" s="3506" t="str">
        <f>IF(OR(C84="",C84="  RF",$B$2=0),"",IF(P87&lt;&gt;"",P87,DD84))</f>
        <v>S-7C-FB</v>
      </c>
      <c r="L87" s="3506"/>
      <c r="M87" s="3506"/>
      <c r="N87" s="3506"/>
      <c r="O87" s="800" t="s">
        <v>34</v>
      </c>
      <c r="P87" s="3536"/>
      <c r="Q87" s="3536"/>
      <c r="R87" s="3536"/>
      <c r="S87" s="3536"/>
      <c r="T87" s="3538">
        <f>IF(R81="不",F84,IF(K87="","",DF84))</f>
        <v>6</v>
      </c>
      <c r="U87" s="3538"/>
      <c r="V87" s="3538"/>
      <c r="W87" s="3538"/>
      <c r="X87" s="3506" t="str">
        <f>IF(R81="不","",IF(OR(C84="",K87=""),"",IF(AD87&lt;&gt;"",AD87,IF(DH84="","",DH84))))</f>
        <v>PF-S-22mm</v>
      </c>
      <c r="Y87" s="3506"/>
      <c r="Z87" s="3506"/>
      <c r="AA87" s="3506"/>
      <c r="AB87" s="3506"/>
      <c r="AC87" s="800" t="s">
        <v>34</v>
      </c>
      <c r="AD87" s="3533"/>
      <c r="AE87" s="3533"/>
      <c r="AF87" s="3533"/>
      <c r="AG87" s="3533"/>
      <c r="AH87" s="3533"/>
      <c r="AI87" s="3538">
        <f>IF(X87="","",DJ84)</f>
        <v>4</v>
      </c>
      <c r="AJ87" s="3538"/>
      <c r="AK87" s="3538"/>
      <c r="AL87" s="3538"/>
      <c r="AM87" s="3920" t="s">
        <v>1073</v>
      </c>
      <c r="AN87" s="3920"/>
      <c r="AO87" s="3920"/>
      <c r="AP87" s="3920"/>
      <c r="AQ87" s="3920"/>
      <c r="AR87" s="3920"/>
      <c r="AS87" s="3506" t="str">
        <f>IF(OR(AE23="不要",$B$2=0,C84="",AB85&lt;&gt;"Ｃ"),"",IF(AX87&lt;&gt;"",AX87,DD86))</f>
        <v/>
      </c>
      <c r="AT87" s="3506"/>
      <c r="AU87" s="3506"/>
      <c r="AV87" s="3506"/>
      <c r="AW87" s="800" t="s">
        <v>34</v>
      </c>
      <c r="AX87" s="3536"/>
      <c r="AY87" s="3536"/>
      <c r="AZ87" s="3536"/>
      <c r="BA87" s="3536"/>
      <c r="BB87" s="3921" t="str">
        <f>IF(AS87="","",DF86)</f>
        <v/>
      </c>
      <c r="BC87" s="3921"/>
      <c r="BD87" s="3921"/>
      <c r="BE87" s="3921"/>
      <c r="BF87" s="3506" t="str">
        <f>IF(OR(C84="",AS87=""),"",IF(BL87&lt;&gt;"",BL87,DH86))</f>
        <v/>
      </c>
      <c r="BG87" s="3506"/>
      <c r="BH87" s="3506"/>
      <c r="BI87" s="3506"/>
      <c r="BJ87" s="3506"/>
      <c r="BK87" s="800" t="s">
        <v>34</v>
      </c>
      <c r="BL87" s="3533"/>
      <c r="BM87" s="3533"/>
      <c r="BN87" s="3533"/>
      <c r="BO87" s="3533"/>
      <c r="BP87" s="3533"/>
      <c r="BQ87" s="3538" t="str">
        <f>IF(BF87="","",DJ86)</f>
        <v/>
      </c>
      <c r="BR87" s="3538"/>
      <c r="BS87" s="3538"/>
      <c r="BT87" s="3539"/>
      <c r="BU87" s="19"/>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8">
        <f>IF(AND(AB94="Ａ",$X$11="2端子"),BI93+BQ93,IF(AND(AB94="Ａ",$X$11="1端子"),BE93+BM93,IF(AND(AB94="Ｂ",$X$11="1端子"),BM93,IF(AND(AB94="Ｂ",$X$11="2端子"),BQ93,IF(AND(AB94="Ｃ",$X$11="1端子"),BM93,BQ93)))))</f>
        <v>12</v>
      </c>
      <c r="DC87" s="10"/>
      <c r="DD87" s="8"/>
      <c r="DE87" s="8"/>
      <c r="DF87" s="8"/>
      <c r="DG87" s="8"/>
      <c r="DH87" s="8"/>
      <c r="DI87" s="8"/>
      <c r="DJ87" s="8"/>
      <c r="DK87" s="8"/>
      <c r="DL87" s="8"/>
      <c r="DM87" s="8"/>
      <c r="DN87" s="8"/>
      <c r="DO87" s="8"/>
      <c r="DP87" s="15"/>
      <c r="DQ87" s="15"/>
      <c r="DR87" s="15"/>
      <c r="DS87" s="8"/>
      <c r="DT87" s="8"/>
      <c r="DU87" s="8"/>
      <c r="DV87" s="8"/>
      <c r="DW87" s="8"/>
      <c r="DX87" s="8"/>
      <c r="DY87" s="8"/>
      <c r="DZ87" s="8"/>
      <c r="EA87" s="8"/>
      <c r="EB87" s="769" t="str">
        <f>IF(OR($B$2=0,AK84=""),"","分岐器 2C")</f>
        <v>分岐器 2C</v>
      </c>
      <c r="EC87" s="8"/>
      <c r="ED87" s="10"/>
      <c r="EE87" s="8"/>
      <c r="EF87" s="8"/>
      <c r="EG87" s="8"/>
      <c r="EH87" s="197">
        <f t="shared" si="30"/>
        <v>4</v>
      </c>
      <c r="EI87" s="773" t="str">
        <f t="shared" si="31"/>
        <v/>
      </c>
      <c r="EJ87" s="203" t="str">
        <f>BF87</f>
        <v/>
      </c>
      <c r="EK87" s="9"/>
      <c r="EL87" s="9" t="str">
        <f>IF(COUNTIF($EJ$18:EJ86,EJ87)&gt;0,"",EJ87)</f>
        <v/>
      </c>
      <c r="EM87" s="9"/>
      <c r="EN87" s="14" t="str">
        <f>BQ87</f>
        <v/>
      </c>
      <c r="EO87" s="771">
        <f t="shared" si="44"/>
        <v>0</v>
      </c>
      <c r="EP87" s="8"/>
      <c r="EQ87" s="8"/>
      <c r="ER87" s="197">
        <f t="shared" si="32"/>
        <v>3</v>
      </c>
      <c r="ES87" s="773" t="str">
        <f t="shared" si="33"/>
        <v/>
      </c>
      <c r="ET87" s="203" t="str">
        <f t="shared" si="45"/>
        <v>分岐器 2C</v>
      </c>
      <c r="EU87" s="9"/>
      <c r="EV87" s="11" t="str">
        <f>IF(COUNTIF($ET$18:ET86,ET87)&gt;0,"",ET87)</f>
        <v/>
      </c>
      <c r="EW87" s="9"/>
      <c r="EX87" s="124">
        <f>AK84</f>
        <v>1</v>
      </c>
      <c r="EY87" s="771">
        <f t="shared" si="46"/>
        <v>0</v>
      </c>
      <c r="EZ87" s="8"/>
      <c r="FA87" s="8"/>
      <c r="FB87" s="197">
        <f t="shared" si="49"/>
        <v>10</v>
      </c>
      <c r="FC87" s="773" t="str">
        <f t="shared" si="50"/>
        <v/>
      </c>
      <c r="FD87" s="772"/>
      <c r="FE87" s="9"/>
      <c r="FF87" s="11"/>
      <c r="FG87" s="9"/>
      <c r="FH87" s="124"/>
      <c r="FI87" s="771"/>
    </row>
    <row r="88" spans="1:165" ht="12" customHeight="1" thickBot="1">
      <c r="B88" s="23"/>
      <c r="C88" s="20"/>
      <c r="D88" s="20"/>
      <c r="E88" s="20"/>
      <c r="F88" s="20"/>
      <c r="G88" s="20"/>
      <c r="H88" s="20"/>
      <c r="I88" s="20"/>
      <c r="J88" s="20"/>
      <c r="K88" s="20"/>
      <c r="L88" s="20"/>
      <c r="M88" s="20"/>
      <c r="N88" s="20"/>
      <c r="O88" s="20"/>
      <c r="P88" s="20"/>
      <c r="Q88" s="787" t="str">
        <f>IF(AND(OR(AB94="Ａ",F376="Ａ"),DB87&gt;24),"直列ユニット数………配線方式Ａ：24以下!!",IF(AND(OR(AB94="Ｂ",F376="Ｂ"),DB87&gt;12),"直列ユニット数………配線方式Ｂ：12以下!!",IF(AND(OR(AB94="Ｃ",F376="Ｃ"),DB87&gt;180),"直列ユニット数………配線方式Ｃ：180以下!!","")))</f>
        <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19"/>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v>8</v>
      </c>
      <c r="DB88" s="92" t="str">
        <f>IF(OR(V59="不要",C93="",C93="  RF"),"",IF(DK88&lt;=12,"Ｂ",IF(DK88&lt;=24,"Ａ","Ｃ")))</f>
        <v>Ｂ</v>
      </c>
      <c r="DC88" s="10"/>
      <c r="DD88" s="8"/>
      <c r="DE88" s="8"/>
      <c r="DF88" s="8"/>
      <c r="DG88" s="8"/>
      <c r="DH88" s="8"/>
      <c r="DI88" s="8"/>
      <c r="DJ88" s="8"/>
      <c r="DK88" s="159">
        <f>IF(OR(C93="",C93="  RF"),0,SUM(Q93:V93))</f>
        <v>12</v>
      </c>
      <c r="DL88" s="8"/>
      <c r="DM88" s="8"/>
      <c r="DN88" s="8"/>
      <c r="DO88" s="8"/>
      <c r="DP88" s="8"/>
      <c r="DQ88" s="8"/>
      <c r="DR88" s="8"/>
      <c r="DS88" s="8"/>
      <c r="DT88" s="8"/>
      <c r="DU88" s="8"/>
      <c r="DV88" s="8"/>
      <c r="DW88" s="8"/>
      <c r="DX88" s="8"/>
      <c r="DY88" s="8"/>
      <c r="DZ88" s="8"/>
      <c r="EA88" s="8"/>
      <c r="EB88" s="8"/>
      <c r="EC88" s="8"/>
      <c r="ED88" s="8"/>
      <c r="EE88" s="8"/>
      <c r="EF88" s="8"/>
      <c r="EG88" s="88">
        <v>8</v>
      </c>
      <c r="EH88" s="204">
        <f t="shared" si="30"/>
        <v>4</v>
      </c>
      <c r="EI88" s="768" t="str">
        <f t="shared" si="31"/>
        <v/>
      </c>
      <c r="EJ88" s="45"/>
      <c r="EK88" s="45"/>
      <c r="EL88" s="45"/>
      <c r="EM88" s="45"/>
      <c r="EN88" s="45"/>
      <c r="EO88" s="785"/>
      <c r="EP88" s="8"/>
      <c r="EQ88" s="88">
        <v>8</v>
      </c>
      <c r="ER88" s="204">
        <f t="shared" si="32"/>
        <v>3</v>
      </c>
      <c r="ES88" s="768" t="str">
        <f t="shared" si="33"/>
        <v/>
      </c>
      <c r="ET88" s="45"/>
      <c r="EU88" s="45"/>
      <c r="EV88" s="154"/>
      <c r="EW88" s="45"/>
      <c r="EX88" s="45"/>
      <c r="EY88" s="785"/>
      <c r="EZ88" s="8"/>
      <c r="FA88" s="88">
        <v>8</v>
      </c>
      <c r="FB88" s="204">
        <f t="shared" si="49"/>
        <v>10</v>
      </c>
      <c r="FC88" s="768" t="str">
        <f t="shared" si="50"/>
        <v/>
      </c>
      <c r="FD88" s="786"/>
      <c r="FE88" s="45"/>
      <c r="FF88" s="154"/>
      <c r="FG88" s="45"/>
      <c r="FH88" s="208"/>
      <c r="FI88" s="785"/>
    </row>
    <row r="89" spans="1:165" ht="11.25" customHeight="1" thickBot="1">
      <c r="B89" s="23"/>
      <c r="C89" s="3399" t="s">
        <v>1142</v>
      </c>
      <c r="D89" s="3412"/>
      <c r="E89" s="3412"/>
      <c r="F89" s="3412"/>
      <c r="G89" s="3412"/>
      <c r="H89" s="3412"/>
      <c r="I89" s="3412"/>
      <c r="J89" s="3412"/>
      <c r="K89" s="3412"/>
      <c r="L89" s="3413"/>
      <c r="M89" s="3853" t="str">
        <f>非誘!J58</f>
        <v>( 4 )</v>
      </c>
      <c r="N89" s="3854"/>
      <c r="O89" s="3854"/>
      <c r="P89" s="3854"/>
      <c r="Q89" s="3855"/>
      <c r="R89" s="2299" t="str">
        <f>IF($B$2=0,"","共聴機器")</f>
        <v>共聴機器</v>
      </c>
      <c r="S89" s="2299"/>
      <c r="T89" s="2299"/>
      <c r="U89" s="2299"/>
      <c r="V89" s="2299"/>
      <c r="W89" s="3412" t="s">
        <v>1141</v>
      </c>
      <c r="X89" s="3412"/>
      <c r="Y89" s="3412"/>
      <c r="Z89" s="3413"/>
      <c r="AA89" s="2637" t="s">
        <v>1140</v>
      </c>
      <c r="AB89" s="2638"/>
      <c r="AC89" s="2638"/>
      <c r="AD89" s="2638"/>
      <c r="AE89" s="2638"/>
      <c r="AF89" s="2639"/>
      <c r="AG89" s="3879" t="s">
        <v>1139</v>
      </c>
      <c r="AH89" s="3879"/>
      <c r="AI89" s="3879"/>
      <c r="AJ89" s="3879"/>
      <c r="AK89" s="3879"/>
      <c r="AL89" s="3879"/>
      <c r="AM89" s="3879"/>
      <c r="AN89" s="3879"/>
      <c r="AO89" s="3879"/>
      <c r="AP89" s="3879"/>
      <c r="AQ89" s="3879"/>
      <c r="AR89" s="3879"/>
      <c r="AS89" s="2637" t="s">
        <v>1138</v>
      </c>
      <c r="AT89" s="2638"/>
      <c r="AU89" s="2638"/>
      <c r="AV89" s="2638"/>
      <c r="AW89" s="2638"/>
      <c r="AX89" s="2638"/>
      <c r="AY89" s="2638"/>
      <c r="AZ89" s="2638"/>
      <c r="BA89" s="2638"/>
      <c r="BB89" s="2638"/>
      <c r="BC89" s="2638"/>
      <c r="BD89" s="2639"/>
      <c r="BE89" s="2637" t="s">
        <v>1137</v>
      </c>
      <c r="BF89" s="2638"/>
      <c r="BG89" s="2638"/>
      <c r="BH89" s="2638"/>
      <c r="BI89" s="2638"/>
      <c r="BJ89" s="2638"/>
      <c r="BK89" s="2638"/>
      <c r="BL89" s="2638"/>
      <c r="BM89" s="2638"/>
      <c r="BN89" s="2638"/>
      <c r="BO89" s="2638"/>
      <c r="BP89" s="2638"/>
      <c r="BQ89" s="2638"/>
      <c r="BR89" s="2638"/>
      <c r="BS89" s="2638"/>
      <c r="BT89" s="2639"/>
      <c r="BU89" s="19"/>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15"/>
      <c r="DA89" s="788" t="str">
        <f>IF(DB107&lt;&gt;"","Amp-2","")</f>
        <v>Amp-2</v>
      </c>
      <c r="DB89" s="97">
        <f>IF(C93="","",DB80+1)</f>
        <v>8</v>
      </c>
      <c r="DC89" s="15" t="str">
        <f>IF($X$10=C93,"＝",IF(VLOOKUP(C93,[2]!階高,3,FALSE)-VLOOKUP($X$10,[2]!階高,3,FALSE)&gt;0,"＋","－"))</f>
        <v>－</v>
      </c>
      <c r="DD89" s="38"/>
      <c r="DE89" s="113" t="s">
        <v>1084</v>
      </c>
      <c r="DF89" s="113" t="s">
        <v>1210</v>
      </c>
      <c r="DG89" s="113" t="s">
        <v>1209</v>
      </c>
      <c r="DH89" s="113" t="s">
        <v>1208</v>
      </c>
      <c r="DI89" s="113" t="s">
        <v>1104</v>
      </c>
      <c r="DJ89" s="113" t="s">
        <v>1083</v>
      </c>
      <c r="DK89" s="90" t="s">
        <v>1211</v>
      </c>
      <c r="DL89" s="38"/>
      <c r="DM89" s="113" t="s">
        <v>1084</v>
      </c>
      <c r="DN89" s="113" t="s">
        <v>1210</v>
      </c>
      <c r="DO89" s="113" t="s">
        <v>1209</v>
      </c>
      <c r="DP89" s="113" t="s">
        <v>1208</v>
      </c>
      <c r="DQ89" s="113" t="s">
        <v>1104</v>
      </c>
      <c r="DR89" s="113" t="s">
        <v>1083</v>
      </c>
      <c r="DS89" s="38"/>
      <c r="DT89" s="113" t="s">
        <v>1084</v>
      </c>
      <c r="DU89" s="113" t="s">
        <v>1208</v>
      </c>
      <c r="DV89" s="113" t="s">
        <v>1104</v>
      </c>
      <c r="DW89" s="113" t="s">
        <v>1083</v>
      </c>
      <c r="DX89" s="113" t="s">
        <v>1208</v>
      </c>
      <c r="DY89" s="113" t="s">
        <v>1208</v>
      </c>
      <c r="DZ89" s="113" t="s">
        <v>1208</v>
      </c>
      <c r="EA89" s="113"/>
      <c r="EB89" s="776" t="str">
        <f>IF(OR($B$2=0,W93=""),"","混合器 U-U")</f>
        <v/>
      </c>
      <c r="EC89" s="15"/>
      <c r="ED89" s="782" t="str">
        <f>IF(AS93="","","分配器 2D")</f>
        <v/>
      </c>
      <c r="EE89" s="15" t="str">
        <f>AS93</f>
        <v/>
      </c>
      <c r="EF89" s="15"/>
      <c r="EG89" s="8"/>
      <c r="EH89" s="197">
        <f t="shared" ref="EH89:EH120" si="51">IF(EL89&lt;&gt;"",EH88+1,EH88)</f>
        <v>4</v>
      </c>
      <c r="EI89" s="773" t="str">
        <f t="shared" ref="EI89:EI120" si="52">IF(AND(EH89&lt;&gt;"",EL89&lt;&gt;""),EH89,"")</f>
        <v/>
      </c>
      <c r="EJ89" s="203" t="str">
        <f>K95</f>
        <v/>
      </c>
      <c r="EK89" s="9"/>
      <c r="EL89" s="9" t="str">
        <f>IF(COUNTIF($EJ$18:EJ88,EJ89)&gt;0,"",EJ89)</f>
        <v/>
      </c>
      <c r="EM89" s="9"/>
      <c r="EN89" s="14" t="str">
        <f>T95</f>
        <v/>
      </c>
      <c r="EO89" s="771">
        <f t="shared" ref="EO89:EO96" si="53">SUMIF($EJ$25:$EJ$225,EL89,$EN$25:$EN$225)</f>
        <v>0</v>
      </c>
      <c r="EP89" s="8"/>
      <c r="EQ89" s="8"/>
      <c r="ER89" s="197">
        <f t="shared" ref="ER89:ER120" si="54">IF(EV89&lt;&gt;"",ER88+1,ER88)</f>
        <v>3</v>
      </c>
      <c r="ES89" s="773" t="str">
        <f t="shared" ref="ES89:ES120" si="55">IF(AND(ER89&lt;&gt;"",EV89&lt;&gt;""),ER89,"")</f>
        <v/>
      </c>
      <c r="ET89" s="203" t="str">
        <f t="shared" ref="ET89:ET96" si="56">EB89</f>
        <v/>
      </c>
      <c r="EU89" s="9"/>
      <c r="EV89" s="11" t="str">
        <f>IF(COUNTIF($ET$18:ET88,ET89)&gt;0,"",ET89)</f>
        <v/>
      </c>
      <c r="EW89" s="9"/>
      <c r="EX89" s="124" t="str">
        <f>W93</f>
        <v/>
      </c>
      <c r="EY89" s="771">
        <f t="shared" ref="EY89:EY96" si="57">SUMIF($ET$25:$ET$225,EV89,$EX$25:$EX$225)</f>
        <v>0</v>
      </c>
      <c r="EZ89" s="8"/>
      <c r="FA89" s="8"/>
      <c r="FB89" s="197">
        <f t="shared" si="49"/>
        <v>10</v>
      </c>
      <c r="FC89" s="773" t="str">
        <f t="shared" si="50"/>
        <v/>
      </c>
      <c r="FD89" s="772" t="str">
        <f t="shared" ref="FD89:FD95" si="58">ED89</f>
        <v/>
      </c>
      <c r="FE89" s="9"/>
      <c r="FF89" s="11" t="str">
        <f>IF(COUNTIF($FD$15:FD88,FD89)&gt;0,"",FD89)</f>
        <v/>
      </c>
      <c r="FG89" s="9"/>
      <c r="FH89" s="124" t="str">
        <f>AS93</f>
        <v/>
      </c>
      <c r="FI89" s="771">
        <f t="shared" ref="FI89:FI95" si="59">SUMIF($FD$18:$FD$205,FF89,$FH$18:$FH$205)</f>
        <v>0</v>
      </c>
    </row>
    <row r="90" spans="1:165" ht="11.25" customHeight="1" thickBot="1">
      <c r="B90" s="23"/>
      <c r="C90" s="3857" t="str">
        <f>"　"&amp;非誘!M58</f>
        <v>　百貨店等</v>
      </c>
      <c r="D90" s="3858"/>
      <c r="E90" s="3858"/>
      <c r="F90" s="3858"/>
      <c r="G90" s="3858"/>
      <c r="H90" s="3858"/>
      <c r="I90" s="3858"/>
      <c r="J90" s="3858"/>
      <c r="K90" s="3858"/>
      <c r="L90" s="3858"/>
      <c r="M90" s="3858"/>
      <c r="N90" s="3858"/>
      <c r="O90" s="3858"/>
      <c r="P90" s="3858"/>
      <c r="Q90" s="3859"/>
      <c r="R90" s="2337" t="str">
        <f>IF(U90&lt;&gt;"",U90,IF(C93="","","設"))</f>
        <v>設</v>
      </c>
      <c r="S90" s="2337"/>
      <c r="T90" s="175" t="s">
        <v>34</v>
      </c>
      <c r="U90" s="2338"/>
      <c r="V90" s="2338"/>
      <c r="W90" s="3860" t="s">
        <v>1217</v>
      </c>
      <c r="X90" s="3863" t="s">
        <v>1216</v>
      </c>
      <c r="Y90" s="3863" t="s">
        <v>1215</v>
      </c>
      <c r="Z90" s="3866"/>
      <c r="AA90" s="3528" t="s">
        <v>1214</v>
      </c>
      <c r="AB90" s="3519"/>
      <c r="AC90" s="3519"/>
      <c r="AD90" s="3519"/>
      <c r="AE90" s="3519"/>
      <c r="AF90" s="3520"/>
      <c r="AG90" s="3528" t="s">
        <v>1084</v>
      </c>
      <c r="AH90" s="3519"/>
      <c r="AI90" s="3519"/>
      <c r="AJ90" s="3529"/>
      <c r="AK90" s="3518" t="s">
        <v>1210</v>
      </c>
      <c r="AL90" s="3519"/>
      <c r="AM90" s="3519"/>
      <c r="AN90" s="3529"/>
      <c r="AO90" s="3518" t="s">
        <v>1209</v>
      </c>
      <c r="AP90" s="3519"/>
      <c r="AQ90" s="3519"/>
      <c r="AR90" s="3520"/>
      <c r="AS90" s="3528" t="s">
        <v>1208</v>
      </c>
      <c r="AT90" s="3519"/>
      <c r="AU90" s="3519"/>
      <c r="AV90" s="3529"/>
      <c r="AW90" s="3518" t="s">
        <v>1104</v>
      </c>
      <c r="AX90" s="3519"/>
      <c r="AY90" s="3519"/>
      <c r="AZ90" s="3529"/>
      <c r="BA90" s="3518" t="s">
        <v>1083</v>
      </c>
      <c r="BB90" s="3519"/>
      <c r="BC90" s="3519"/>
      <c r="BD90" s="3520"/>
      <c r="BE90" s="3528" t="s">
        <v>1123</v>
      </c>
      <c r="BF90" s="3519"/>
      <c r="BG90" s="3519"/>
      <c r="BH90" s="3519"/>
      <c r="BI90" s="3519"/>
      <c r="BJ90" s="3519"/>
      <c r="BK90" s="3519"/>
      <c r="BL90" s="3529"/>
      <c r="BM90" s="3518" t="s">
        <v>1122</v>
      </c>
      <c r="BN90" s="3519"/>
      <c r="BO90" s="3519"/>
      <c r="BP90" s="3519"/>
      <c r="BQ90" s="3519"/>
      <c r="BR90" s="3519"/>
      <c r="BS90" s="3519"/>
      <c r="BT90" s="3520"/>
      <c r="BU90" s="19"/>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15"/>
      <c r="DA90" s="15">
        <f>IF(AG93&lt;&gt;"",2,IF(AK93&lt;&gt;"",3,0))</f>
        <v>3</v>
      </c>
      <c r="DB90" s="86" t="s">
        <v>79</v>
      </c>
      <c r="DC90" s="86" t="s">
        <v>77</v>
      </c>
      <c r="DD90" s="128" t="s">
        <v>1121</v>
      </c>
      <c r="DE90" s="86">
        <f>IF(AB94&lt;&gt;"Ａ",0,IF(AND(2*DK90&gt;=4,2*DK90&lt;=12),1,0))</f>
        <v>0</v>
      </c>
      <c r="DF90" s="86">
        <f>IF(AB94&lt;&gt;"Ａ",0,IF(AND(2*DK90&gt;=16,DK90&lt;=24),1,0))</f>
        <v>0</v>
      </c>
      <c r="DG90" s="97" t="s">
        <v>96</v>
      </c>
      <c r="DH90" s="86">
        <f>IF(AB94&lt;&gt;"Ａ",0,IF(2*DK90&lt;=4,1,0))</f>
        <v>0</v>
      </c>
      <c r="DI90" s="86">
        <f>IF(AB94&lt;&gt;"Ａ",0,IF(OR(AND(2*DK90&gt;4,2*DK90&lt;=8),AND(2*DK90&gt;12,2*DK90&lt;=16)),1,0))</f>
        <v>0</v>
      </c>
      <c r="DJ90" s="183">
        <f>IF(AB94&lt;&gt;"Ａ",0,IF(OR(AND(2*DK90&gt;8,2*DK90&lt;=12),AND(2*DK90&gt;16,2*DK90&lt;=24)),1,0))</f>
        <v>0</v>
      </c>
      <c r="DK90" s="783">
        <f>IF(OR(C93="",C93="  RF"),0,IF(Q93="",INT((T93)/2),INT((Q93+INT(T93))/2)+1))</f>
        <v>7</v>
      </c>
      <c r="DL90" s="128" t="s">
        <v>1119</v>
      </c>
      <c r="DM90" s="86">
        <f>IF(AB94&lt;&gt;"Ｂ",0,IF(DB87&lt;=6,1,0))</f>
        <v>0</v>
      </c>
      <c r="DN90" s="86">
        <f>IF(AB94&lt;&gt;"Ｂ",0,IF(AND(DB87&gt;6,DB87&lt;=12),1,0))</f>
        <v>1</v>
      </c>
      <c r="DO90" s="97" t="s">
        <v>96</v>
      </c>
      <c r="DP90" s="86">
        <f>IF(AB94&lt;&gt;"Ｂ",0,IF(DB87&lt;=2,1,0))</f>
        <v>0</v>
      </c>
      <c r="DQ90" s="86">
        <f>IF(AB94&lt;&gt;"Ｂ",0,IF(OR(AND(DB87&gt;2,DB87&lt;6),AND(DB87&gt;6,DB87&lt;=8)),1,0))</f>
        <v>0</v>
      </c>
      <c r="DR90" s="86">
        <f>IF(AB94&lt;&gt;"Ｂ",0,IF(OR(AND(DB87&gt;4,DB87&lt;6),AND(DB87&gt;8,DB87&lt;=12)),1,0))</f>
        <v>1</v>
      </c>
      <c r="DS90" s="128" t="s">
        <v>1118</v>
      </c>
      <c r="DT90" s="159">
        <f>IF(AB94&lt;&gt;"Ｃ",0,IF(DX90&lt;&gt;0,DX90,IF(DY90&lt;&gt;0,DY90,IF(DZ90&lt;&gt;0,DZ90,0))))</f>
        <v>0</v>
      </c>
      <c r="DU90" s="159">
        <f>IF(AB94&lt;&gt;"Ｃ",0,IF(DX90=0,0,1))</f>
        <v>0</v>
      </c>
      <c r="DV90" s="159">
        <f>IF(AB94&lt;&gt;"Ｃ",0,IF(DY90=0,0,1))</f>
        <v>0</v>
      </c>
      <c r="DW90" s="783">
        <f>IF(AB94&lt;&gt;"Ｃ",0,IF(DZ90=0,0,1))</f>
        <v>0</v>
      </c>
      <c r="DX90" s="714">
        <f>IF(AB94&lt;&gt;"Ｃ",0,IF(DB87&lt;=12,3,IF(AND(DB87&gt;12,DB87&lt;=16),4,IF(AND(DB87&gt;16,DB87&lt;=20),5,0))))</f>
        <v>0</v>
      </c>
      <c r="DY90" s="86">
        <f>IF(AB94&lt;&gt;"Ｃ",0,IF(AND(DB87&gt;20,DB87&lt;=24),3,IF(AND(DB87&gt;24,DB87&lt;=32),4,IF(AND(DB87&gt;32,DB87&lt;=40),5,0))))</f>
        <v>0</v>
      </c>
      <c r="DZ90" s="97">
        <f>IF(AB94&lt;&gt;"Ｃ",0,IF(AND(DB87&gt;40,DB87&lt;=48),4,IF(AND(DB87&gt;48,DB87&lt;=60),5,0)))</f>
        <v>0</v>
      </c>
      <c r="EA90" s="96"/>
      <c r="EB90" s="776" t="str">
        <f>IF(OR($B$2=0,X93=""),"","混合器 BS-CS")</f>
        <v/>
      </c>
      <c r="EC90" s="96"/>
      <c r="ED90" s="782" t="str">
        <f>IF(AW93="","","分配器 4D")</f>
        <v/>
      </c>
      <c r="EE90" s="96" t="str">
        <f>AW93</f>
        <v/>
      </c>
      <c r="EF90" s="96"/>
      <c r="EG90" s="96"/>
      <c r="EH90" s="197">
        <f t="shared" si="51"/>
        <v>4</v>
      </c>
      <c r="EI90" s="773" t="str">
        <f t="shared" si="52"/>
        <v/>
      </c>
      <c r="EJ90" s="203" t="str">
        <f>K96</f>
        <v>S-7C-FB</v>
      </c>
      <c r="EK90" s="9"/>
      <c r="EL90" s="9" t="str">
        <f>IF(COUNTIF($EJ$18:EJ89,EJ90)&gt;0,"",EJ90)</f>
        <v/>
      </c>
      <c r="EM90" s="9"/>
      <c r="EN90" s="14">
        <f>T96</f>
        <v>6</v>
      </c>
      <c r="EO90" s="771">
        <f t="shared" si="53"/>
        <v>0</v>
      </c>
      <c r="EP90" s="8"/>
      <c r="EQ90" s="96"/>
      <c r="ER90" s="197">
        <f t="shared" si="54"/>
        <v>3</v>
      </c>
      <c r="ES90" s="773" t="str">
        <f t="shared" si="55"/>
        <v/>
      </c>
      <c r="ET90" s="203" t="str">
        <f t="shared" si="56"/>
        <v/>
      </c>
      <c r="EU90" s="9"/>
      <c r="EV90" s="11" t="str">
        <f>IF(COUNTIF($ET$18:ET89,ET90)&gt;0,"",ET90)</f>
        <v/>
      </c>
      <c r="EW90" s="9"/>
      <c r="EX90" s="124" t="str">
        <f>X93</f>
        <v/>
      </c>
      <c r="EY90" s="771">
        <f t="shared" si="57"/>
        <v>0</v>
      </c>
      <c r="EZ90" s="8"/>
      <c r="FA90" s="96"/>
      <c r="FB90" s="197">
        <f t="shared" si="49"/>
        <v>10</v>
      </c>
      <c r="FC90" s="773" t="str">
        <f t="shared" si="50"/>
        <v/>
      </c>
      <c r="FD90" s="772" t="str">
        <f t="shared" si="58"/>
        <v/>
      </c>
      <c r="FE90" s="9"/>
      <c r="FF90" s="11" t="str">
        <f>IF(COUNTIF($FD$15:FD89,FD90)&gt;0,"",FD90)</f>
        <v/>
      </c>
      <c r="FG90" s="9"/>
      <c r="FH90" s="124" t="str">
        <f>AW93</f>
        <v/>
      </c>
      <c r="FI90" s="771">
        <f t="shared" si="59"/>
        <v>0</v>
      </c>
    </row>
    <row r="91" spans="1:165" ht="11.25" customHeight="1" thickBot="1">
      <c r="B91" s="23"/>
      <c r="C91" s="3819" t="s">
        <v>16</v>
      </c>
      <c r="D91" s="3820"/>
      <c r="E91" s="3821"/>
      <c r="F91" s="3869" t="s">
        <v>22</v>
      </c>
      <c r="G91" s="3870"/>
      <c r="H91" s="3871"/>
      <c r="I91" s="3869" t="s">
        <v>5</v>
      </c>
      <c r="J91" s="3870"/>
      <c r="K91" s="3870"/>
      <c r="L91" s="3871"/>
      <c r="M91" s="3819" t="s">
        <v>1117</v>
      </c>
      <c r="N91" s="3820"/>
      <c r="O91" s="3820"/>
      <c r="P91" s="3821"/>
      <c r="Q91" s="3819" t="s">
        <v>1116</v>
      </c>
      <c r="R91" s="3820"/>
      <c r="S91" s="3821"/>
      <c r="T91" s="3819" t="s">
        <v>1116</v>
      </c>
      <c r="U91" s="3820"/>
      <c r="V91" s="3821"/>
      <c r="W91" s="3861"/>
      <c r="X91" s="3864"/>
      <c r="Y91" s="3864"/>
      <c r="Z91" s="3867"/>
      <c r="AA91" s="3872" t="str">
        <f>IF($AG$15&lt;=65,"40/","35/")</f>
        <v>40/</v>
      </c>
      <c r="AB91" s="3873"/>
      <c r="AC91" s="3873"/>
      <c r="AD91" s="3873" t="str">
        <f>IF(CW247&gt;55,"40/","35/")</f>
        <v>35/</v>
      </c>
      <c r="AE91" s="3873"/>
      <c r="AF91" s="3875"/>
      <c r="AG91" s="3876" t="s">
        <v>1114</v>
      </c>
      <c r="AH91" s="3877"/>
      <c r="AI91" s="3877"/>
      <c r="AJ91" s="3877"/>
      <c r="AK91" s="3877"/>
      <c r="AL91" s="3877"/>
      <c r="AM91" s="3877"/>
      <c r="AN91" s="3877"/>
      <c r="AO91" s="3877"/>
      <c r="AP91" s="3877"/>
      <c r="AQ91" s="3877"/>
      <c r="AR91" s="3878"/>
      <c r="AS91" s="3549" t="s">
        <v>1113</v>
      </c>
      <c r="AT91" s="3550"/>
      <c r="AU91" s="3550"/>
      <c r="AV91" s="3550"/>
      <c r="AW91" s="3550"/>
      <c r="AX91" s="3550"/>
      <c r="AY91" s="3550"/>
      <c r="AZ91" s="3550"/>
      <c r="BA91" s="3550"/>
      <c r="BB91" s="3550"/>
      <c r="BC91" s="3550"/>
      <c r="BD91" s="3551"/>
      <c r="BE91" s="3552" t="s">
        <v>1112</v>
      </c>
      <c r="BF91" s="3553"/>
      <c r="BG91" s="3553"/>
      <c r="BH91" s="3553"/>
      <c r="BI91" s="3553" t="s">
        <v>1111</v>
      </c>
      <c r="BJ91" s="3553"/>
      <c r="BK91" s="3553"/>
      <c r="BL91" s="3553"/>
      <c r="BM91" s="3553" t="s">
        <v>1112</v>
      </c>
      <c r="BN91" s="3553"/>
      <c r="BO91" s="3553"/>
      <c r="BP91" s="3553"/>
      <c r="BQ91" s="3553" t="s">
        <v>1111</v>
      </c>
      <c r="BR91" s="3553"/>
      <c r="BS91" s="3553"/>
      <c r="BT91" s="3919"/>
      <c r="BU91" s="19"/>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15"/>
      <c r="DA91" s="67">
        <f>IF(DC89="＋",F93+F84+3,F93+F102+3)</f>
        <v>11</v>
      </c>
      <c r="DB91" s="98">
        <f>IF(C93="  RF","",IF(AN94="","",非誘!BW60))</f>
        <v>12</v>
      </c>
      <c r="DC91" s="98">
        <f>IF(DB91="","",IF(AN94="","",非誘!BX60))</f>
        <v>24</v>
      </c>
      <c r="DD91" s="3822" t="s">
        <v>1110</v>
      </c>
      <c r="DE91" s="3823"/>
      <c r="DF91" s="3824" t="s">
        <v>1108</v>
      </c>
      <c r="DG91" s="3824"/>
      <c r="DH91" s="3824" t="s">
        <v>1109</v>
      </c>
      <c r="DI91" s="3824"/>
      <c r="DJ91" s="3823" t="s">
        <v>1108</v>
      </c>
      <c r="DK91" s="3823"/>
      <c r="DL91" s="8"/>
      <c r="DM91" s="113" t="s">
        <v>1107</v>
      </c>
      <c r="DN91" s="113" t="s">
        <v>1106</v>
      </c>
      <c r="DO91" s="113" t="s">
        <v>1105</v>
      </c>
      <c r="DP91" s="8"/>
      <c r="DQ91" s="8"/>
      <c r="DR91" s="8"/>
      <c r="DS91" s="8"/>
      <c r="DT91" s="113" t="s">
        <v>1084</v>
      </c>
      <c r="DU91" s="8"/>
      <c r="DV91" s="113" t="s">
        <v>1104</v>
      </c>
      <c r="DW91" s="113" t="s">
        <v>1083</v>
      </c>
      <c r="DX91" s="8"/>
      <c r="DY91" s="113" t="s">
        <v>1104</v>
      </c>
      <c r="DZ91" s="113" t="s">
        <v>1104</v>
      </c>
      <c r="EA91" s="113"/>
      <c r="EB91" s="776" t="str">
        <f>IF(OR($B$2=0,Y93=""),"","混合器 UV-BC")</f>
        <v/>
      </c>
      <c r="EC91" s="15"/>
      <c r="ED91" s="782" t="str">
        <f>IF(BA93="","","分配器 6D")</f>
        <v>分配器 6D</v>
      </c>
      <c r="EE91" s="15">
        <f>BA93</f>
        <v>1</v>
      </c>
      <c r="EF91" s="15"/>
      <c r="EG91" s="15"/>
      <c r="EH91" s="197">
        <f t="shared" si="51"/>
        <v>4</v>
      </c>
      <c r="EI91" s="773" t="str">
        <f t="shared" si="52"/>
        <v/>
      </c>
      <c r="EJ91" s="203" t="str">
        <f>X95</f>
        <v/>
      </c>
      <c r="EK91" s="9"/>
      <c r="EL91" s="9" t="str">
        <f>IF(COUNTIF($EJ$18:EJ90,EJ91)&gt;0,"",EJ91)</f>
        <v/>
      </c>
      <c r="EM91" s="9"/>
      <c r="EN91" s="14" t="str">
        <f>AI95</f>
        <v/>
      </c>
      <c r="EO91" s="771">
        <f t="shared" si="53"/>
        <v>0</v>
      </c>
      <c r="EP91" s="8"/>
      <c r="EQ91" s="15"/>
      <c r="ER91" s="197">
        <f t="shared" si="54"/>
        <v>3</v>
      </c>
      <c r="ES91" s="773" t="str">
        <f t="shared" si="55"/>
        <v/>
      </c>
      <c r="ET91" s="203" t="str">
        <f t="shared" si="56"/>
        <v/>
      </c>
      <c r="EU91" s="9"/>
      <c r="EV91" s="11" t="str">
        <f>IF(COUNTIF($ET$18:ET90,ET91)&gt;0,"",ET91)</f>
        <v/>
      </c>
      <c r="EW91" s="9"/>
      <c r="EX91" s="124" t="str">
        <f>Y93</f>
        <v/>
      </c>
      <c r="EY91" s="771">
        <f t="shared" si="57"/>
        <v>0</v>
      </c>
      <c r="EZ91" s="8"/>
      <c r="FA91" s="15"/>
      <c r="FB91" s="197">
        <f t="shared" si="49"/>
        <v>10</v>
      </c>
      <c r="FC91" s="773" t="str">
        <f t="shared" si="50"/>
        <v/>
      </c>
      <c r="FD91" s="772" t="str">
        <f t="shared" si="58"/>
        <v>分配器 6D</v>
      </c>
      <c r="FE91" s="9"/>
      <c r="FF91" s="11" t="str">
        <f>IF(COUNTIF($FD$15:FD90,FD91)&gt;0,"",FD91)</f>
        <v/>
      </c>
      <c r="FG91" s="9"/>
      <c r="FH91" s="124">
        <f>BA93</f>
        <v>1</v>
      </c>
      <c r="FI91" s="771">
        <f t="shared" si="59"/>
        <v>0</v>
      </c>
    </row>
    <row r="92" spans="1:165" ht="11.25" customHeight="1" thickBot="1">
      <c r="B92" s="23"/>
      <c r="C92" s="3819"/>
      <c r="D92" s="3820"/>
      <c r="E92" s="3821"/>
      <c r="F92" s="3827" t="s">
        <v>113</v>
      </c>
      <c r="G92" s="3769"/>
      <c r="H92" s="3828"/>
      <c r="I92" s="3819" t="s">
        <v>113</v>
      </c>
      <c r="J92" s="3820"/>
      <c r="K92" s="3820"/>
      <c r="L92" s="3821"/>
      <c r="M92" s="3819" t="s">
        <v>1103</v>
      </c>
      <c r="N92" s="3820"/>
      <c r="O92" s="3820"/>
      <c r="P92" s="3821"/>
      <c r="Q92" s="3819" t="s">
        <v>1102</v>
      </c>
      <c r="R92" s="3820"/>
      <c r="S92" s="3821"/>
      <c r="T92" s="3819" t="s">
        <v>115</v>
      </c>
      <c r="U92" s="3820"/>
      <c r="V92" s="3821"/>
      <c r="W92" s="3862"/>
      <c r="X92" s="3865"/>
      <c r="Y92" s="3865"/>
      <c r="Z92" s="3868"/>
      <c r="AA92" s="3829">
        <f>IF($AG$15&lt;=65,115,110)</f>
        <v>115</v>
      </c>
      <c r="AB92" s="3562"/>
      <c r="AC92" s="3562"/>
      <c r="AD92" s="3562">
        <f>IF(CW247&gt;55,115,110)</f>
        <v>110</v>
      </c>
      <c r="AE92" s="3562"/>
      <c r="AF92" s="3830"/>
      <c r="AG92" s="3831" t="s">
        <v>1101</v>
      </c>
      <c r="AH92" s="3832"/>
      <c r="AI92" s="3832"/>
      <c r="AJ92" s="3833"/>
      <c r="AK92" s="3834" t="s">
        <v>1100</v>
      </c>
      <c r="AL92" s="3832"/>
      <c r="AM92" s="3832"/>
      <c r="AN92" s="3833"/>
      <c r="AO92" s="3834" t="s">
        <v>1098</v>
      </c>
      <c r="AP92" s="3832"/>
      <c r="AQ92" s="3832"/>
      <c r="AR92" s="3835"/>
      <c r="AS92" s="3836" t="s">
        <v>1097</v>
      </c>
      <c r="AT92" s="3832"/>
      <c r="AU92" s="3832"/>
      <c r="AV92" s="3833"/>
      <c r="AW92" s="3844" t="s">
        <v>1095</v>
      </c>
      <c r="AX92" s="3845"/>
      <c r="AY92" s="3845"/>
      <c r="AZ92" s="3846"/>
      <c r="BA92" s="3558" t="s">
        <v>1169</v>
      </c>
      <c r="BB92" s="3559"/>
      <c r="BC92" s="3559"/>
      <c r="BD92" s="3560"/>
      <c r="BE92" s="3561" t="s">
        <v>1168</v>
      </c>
      <c r="BF92" s="3562"/>
      <c r="BG92" s="3562"/>
      <c r="BH92" s="3562"/>
      <c r="BI92" s="3850" t="s">
        <v>1167</v>
      </c>
      <c r="BJ92" s="3562"/>
      <c r="BK92" s="3562"/>
      <c r="BL92" s="3562"/>
      <c r="BM92" s="3850" t="s">
        <v>1166</v>
      </c>
      <c r="BN92" s="3562"/>
      <c r="BO92" s="3562"/>
      <c r="BP92" s="3562"/>
      <c r="BQ92" s="3850" t="s">
        <v>1165</v>
      </c>
      <c r="BR92" s="3562"/>
      <c r="BS92" s="3562"/>
      <c r="BT92" s="3830"/>
      <c r="BU92" s="19"/>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90"/>
      <c r="DA92" s="15"/>
      <c r="DB92" s="98">
        <f>IF(C93="","",IF(AZ94="①",DB91+DC91+3,IF(AZ94="②",DB91*5/8+DC91+3,IF(AZ94="③",DB91/2+DC91+3,IF(AZ94="④",DB91+DC91*5/8+3,IF(AZ94="⑤",(DB91+DC91)*5/8+3,IF(AZ94="⑥",DB91/2+DC91*5/8+3,IF(AZ94="⑦",DB91+DC91/2+3,IF(AZ94="⑧",DB91*5/8+DC91/2+3,IF(AZ94="⑨",(DB91+DC91)/2+3))))))))))</f>
        <v>27</v>
      </c>
      <c r="DC92" s="180" t="s">
        <v>1164</v>
      </c>
      <c r="DD92" s="2589" t="str">
        <f>IF($AL$10="nC-FB","S-5C-FB",IF($AL$10="nD-FB","5D-FB","5C-2V"))</f>
        <v>S-5C-FB</v>
      </c>
      <c r="DE92" s="2591"/>
      <c r="DF92" s="3631">
        <f>IF(C93="  RF",DF83,IF($H$15="ＣＡＴＶ",DB91+DC91/2+F93-($AM$8-$AM$7)/1000+DR92,SUM(DM92:DO92)))</f>
        <v>58.5</v>
      </c>
      <c r="DG92" s="3812"/>
      <c r="DH92" s="2589" t="str">
        <f>IF($H$17="ＣＡＴＶ","G-22mm",IF(RIGHT($AB$17,1)+RIGHT($AF$17,1)+RIGHT($AJ$17,1)&gt;=4,"G-36mm","G-28mm"))</f>
        <v>G-28mm</v>
      </c>
      <c r="DI92" s="2591"/>
      <c r="DJ92" s="3631">
        <f>IF(C93="",0,IF(C93="  RF",DJ83,IF($H$15="ＣＡＴＶ",DB91+DC91/2+F93-($AM$8-$AM$7)/1000,10+F93-($AM$8-$AM$7)/1000)))</f>
        <v>14.5</v>
      </c>
      <c r="DK92" s="3812"/>
      <c r="DL92" s="15"/>
      <c r="DM92" s="98">
        <f>IF(OR($B$2=0,$H$15="ＣＡＴＶ",C93="",C93="  RF"),0,IF($AB$17="","",RIGHT($AB$17,1)*15+F93-($AM$8-$AM$7)/1000))</f>
        <v>19.5</v>
      </c>
      <c r="DN92" s="98">
        <f>IF(OR($B$2=0,$H$15="ＣＡＴＶ",C93="",C93="  RF"),0,IF($AF$17="","",15+F93-($AM$8-$AM$7)/1000))</f>
        <v>19.5</v>
      </c>
      <c r="DO92" s="98">
        <f>IF(OR($B$2=0,$H$15="ＣＡＴＶ",C93="",C93="  RF"),0,IF($AJ$17="","",15+F93-($AM$8-$AM$7)/1000))</f>
        <v>19.5</v>
      </c>
      <c r="DP92" s="15"/>
      <c r="DQ92" s="46" t="s">
        <v>1087</v>
      </c>
      <c r="DR92" s="98" t="str">
        <f>IF($H$17="ＣＡＴＶ",#REF!+#REF!,"")</f>
        <v/>
      </c>
      <c r="DS92" s="128" t="s">
        <v>1118</v>
      </c>
      <c r="DT92" s="159">
        <f>IF(AB94&lt;&gt;"Ｃ",0,IF(DY92&lt;&gt;0,DY92,IF(DZ92&lt;&gt;0,DZ92,0)))</f>
        <v>0</v>
      </c>
      <c r="DU92" s="8"/>
      <c r="DV92" s="86">
        <f>IF(AB94&lt;&gt;"Ｃ",0,IF(DY92=0,0,1))</f>
        <v>0</v>
      </c>
      <c r="DW92" s="86">
        <f>IF(AB94&lt;&gt;"Ｃ",0,IF(DZ92=0,0,1))</f>
        <v>0</v>
      </c>
      <c r="DX92" s="8"/>
      <c r="DY92" s="86">
        <f>IF(AB94&lt;&gt;"Ｃ",0,IF(AND(DB87&gt;60,DB87&lt;=64),4,IF(AND(DB87&gt;64,DB87&lt;=80),5,0)))</f>
        <v>0</v>
      </c>
      <c r="DZ92" s="86">
        <f>IF(AB94&lt;&gt;"Ｃ",0,IF(AND(DB87&gt;80,DB87&lt;=96),4,IF(AND(DB87&gt;96,DB87&lt;=120),5,0)))</f>
        <v>0</v>
      </c>
      <c r="EA92" s="38"/>
      <c r="EB92" s="776" t="str">
        <f>IF(OR($B$2=0,Z93=""),"","混合器 UV-BC")</f>
        <v/>
      </c>
      <c r="EC92" s="12"/>
      <c r="ED92" s="122" t="str">
        <f>IF(BE93="","","直列Unit-中間1端子")</f>
        <v/>
      </c>
      <c r="EE92" s="38" t="str">
        <f>BE93</f>
        <v/>
      </c>
      <c r="EF92" s="38"/>
      <c r="EG92" s="38"/>
      <c r="EH92" s="197">
        <f t="shared" si="51"/>
        <v>4</v>
      </c>
      <c r="EI92" s="773" t="str">
        <f t="shared" si="52"/>
        <v/>
      </c>
      <c r="EJ92" s="203" t="str">
        <f>X96</f>
        <v>PF-S-22mm</v>
      </c>
      <c r="EK92" s="9"/>
      <c r="EL92" s="9" t="str">
        <f>IF(COUNTIF($EJ$18:EJ91,EJ92)&gt;0,"",EJ92)</f>
        <v/>
      </c>
      <c r="EM92" s="9"/>
      <c r="EN92" s="14">
        <f>AI96</f>
        <v>4</v>
      </c>
      <c r="EO92" s="771">
        <f t="shared" si="53"/>
        <v>0</v>
      </c>
      <c r="EP92" s="8"/>
      <c r="EQ92" s="38"/>
      <c r="ER92" s="197">
        <f t="shared" si="54"/>
        <v>3</v>
      </c>
      <c r="ES92" s="773" t="str">
        <f t="shared" si="55"/>
        <v/>
      </c>
      <c r="ET92" s="203" t="str">
        <f t="shared" si="56"/>
        <v/>
      </c>
      <c r="EU92" s="9"/>
      <c r="EV92" s="11" t="str">
        <f>IF(COUNTIF($ET$18:ET91,ET92)&gt;0,"",ET92)</f>
        <v/>
      </c>
      <c r="EW92" s="9"/>
      <c r="EX92" s="124">
        <f>Z93</f>
        <v>0</v>
      </c>
      <c r="EY92" s="771">
        <f t="shared" si="57"/>
        <v>0</v>
      </c>
      <c r="EZ92" s="8"/>
      <c r="FA92" s="38"/>
      <c r="FB92" s="197">
        <f t="shared" si="49"/>
        <v>10</v>
      </c>
      <c r="FC92" s="773" t="str">
        <f t="shared" si="50"/>
        <v/>
      </c>
      <c r="FD92" s="772" t="str">
        <f t="shared" si="58"/>
        <v/>
      </c>
      <c r="FE92" s="9"/>
      <c r="FF92" s="11" t="str">
        <f>IF(COUNTIF($FD$15:FD91,FD92)&gt;0,"",FD92)</f>
        <v/>
      </c>
      <c r="FG92" s="9"/>
      <c r="FH92" s="124" t="str">
        <f>BE93</f>
        <v/>
      </c>
      <c r="FI92" s="771">
        <f t="shared" si="59"/>
        <v>0</v>
      </c>
    </row>
    <row r="93" spans="1:165" ht="11.25" customHeight="1">
      <c r="A93" s="8">
        <v>8</v>
      </c>
      <c r="B93" s="23"/>
      <c r="C93" s="3837" t="str">
        <f>非誘!C60</f>
        <v xml:space="preserve">  6F</v>
      </c>
      <c r="D93" s="3837"/>
      <c r="E93" s="3837"/>
      <c r="F93" s="3838">
        <f>非誘!F60</f>
        <v>4</v>
      </c>
      <c r="G93" s="3839"/>
      <c r="H93" s="3840"/>
      <c r="I93" s="3838">
        <f>非誘!J60</f>
        <v>3</v>
      </c>
      <c r="J93" s="3839"/>
      <c r="K93" s="3839"/>
      <c r="L93" s="3840"/>
      <c r="M93" s="3841">
        <f>非誘!N60</f>
        <v>1152</v>
      </c>
      <c r="N93" s="3842"/>
      <c r="O93" s="3842"/>
      <c r="P93" s="3843"/>
      <c r="Q93" s="3537">
        <f>非誘!AA60</f>
        <v>3</v>
      </c>
      <c r="R93" s="3537"/>
      <c r="S93" s="3537"/>
      <c r="T93" s="3537">
        <f>非誘!AD60</f>
        <v>9</v>
      </c>
      <c r="U93" s="3537"/>
      <c r="V93" s="3537"/>
      <c r="W93" s="795" t="str">
        <f>IF(OR(AH23="不要",C93&lt;&gt;$X$10),"",IF(AND($AB$17="UHF×3",$AF$17&lt;&gt;"",$AJ$17&lt;&gt;""),2,IF(OR(AND($AB$17="UHF×3",$AB$17="",$AJ$17=""),AND($AB$17="UHF×3",$AF$17&lt;&gt;"",$AJ$17=""),AND($AB$17="UHF×2",$AF$17&lt;&gt;"",$AJ$17&lt;&gt;"")),1,"")))</f>
        <v/>
      </c>
      <c r="X93" s="794" t="str">
        <f>IF(OR(AH23="不要",C93&lt;&gt;$X$10),"",IF(AND($AB$17&lt;&gt;"",$AF$17&lt;&gt;"",$AJ$17&lt;&gt;""),1,""))</f>
        <v/>
      </c>
      <c r="Y93" s="794" t="str">
        <f>IF(OR(AH23="不要",C93&lt;&gt;$X$10),"",IF(AND(OR($AB$17="UHF×2",$AB$17="UHF×3"),$AF$17&lt;&gt;"",$AJ$17=""),1,""))</f>
        <v/>
      </c>
      <c r="Z93" s="793"/>
      <c r="AA93" s="3847" t="str">
        <f>IF($B$2=0,"",IF(AND(AH23&lt;&gt;"不要",DC89="＝"),1,""))</f>
        <v/>
      </c>
      <c r="AB93" s="3848"/>
      <c r="AC93" s="3848"/>
      <c r="AD93" s="3848">
        <f>IF($B$2=0,"",IF(OR(AH23="不要",C93="",C93="  RF"),"",IF(AH23="設置",1,"")))</f>
        <v>1</v>
      </c>
      <c r="AE93" s="3848"/>
      <c r="AF93" s="3849"/>
      <c r="AG93" s="3837" t="str">
        <f>IF(OR(AH23="不要",C93="",C93="  RF"),"",IF(AI93&lt;&gt;"",AI93,IF(DE90+DM90+DT90+DT92+DT94=0,"",DE90+DM90+DT90+DT92+DT94)))</f>
        <v/>
      </c>
      <c r="AH93" s="3837"/>
      <c r="AI93" s="3915"/>
      <c r="AJ93" s="3915"/>
      <c r="AK93" s="3837">
        <f>IF(OR(AH23="不要",C93="",C93="  RF"),"",IF(AM93&lt;&gt;"",AM93,IF(DF90+DN90=0,"",DF90+DN90)))</f>
        <v>1</v>
      </c>
      <c r="AL93" s="3837"/>
      <c r="AM93" s="3915"/>
      <c r="AN93" s="3915"/>
      <c r="AO93" s="3813" t="str">
        <f>IF(AQ93="","",AQ93)</f>
        <v/>
      </c>
      <c r="AP93" s="3814"/>
      <c r="AQ93" s="3915"/>
      <c r="AR93" s="3915"/>
      <c r="AS93" s="3916" t="str">
        <f>IF(OR(AH23="不要",C93="  RF"),"",IF(AU93&lt;&gt;"",AU93,IF(DH90+DP90+DU90+DX90+DY90+DZ90=0,"",DH90+DP90+DU90+DX90+DY90+DZ90)))</f>
        <v/>
      </c>
      <c r="AT93" s="3837"/>
      <c r="AU93" s="3915"/>
      <c r="AV93" s="3915"/>
      <c r="AW93" s="3837" t="str">
        <f>IF(OR(AH23="不要",C93="  RF"),"",IF(AY93&lt;&gt;"",AY93,IF(DI90+DQ90+DV90+DV92+DY92+DZ92=0,"",DI90+DQ90+DV90+DV92+DY92+DZ92)))</f>
        <v/>
      </c>
      <c r="AX93" s="3837"/>
      <c r="AY93" s="3915"/>
      <c r="AZ93" s="3915"/>
      <c r="BA93" s="3837">
        <f>IF(OR(AH23="不要",C93="  RF"),"",IF(BC93&lt;&gt;"",BC93,IF(DJ90+DR90+DW90+DW92+DW94+DZ94=0,"",DJ90+DR90+DW90+DW92+DW94+DZ94)))</f>
        <v>1</v>
      </c>
      <c r="BB93" s="3837"/>
      <c r="BC93" s="3915"/>
      <c r="BD93" s="3915"/>
      <c r="BE93" s="3837" t="str">
        <f>IF(OR(AH23="不要",$X$11="2端子",C93="",C93="  RF"),"",IF(BG93&lt;&gt;"",BG93,IF(AND(AB94="Ａ",$X$11="1端子"),DK90,"")))</f>
        <v/>
      </c>
      <c r="BF93" s="3837"/>
      <c r="BG93" s="3837" t="str">
        <f>IF(AND(BO93&lt;&gt;"",AB94="Ａ",$X$11="1端子"),BO93,"")</f>
        <v/>
      </c>
      <c r="BH93" s="3837"/>
      <c r="BI93" s="3916" t="str">
        <f>IF(OR(AH23="不要",$X$11="1端子",C93="",C93="  RF"),"",IF(BK93&lt;&gt;"",BK93,IF(AND(AB94="Ａ",$X$11="2端子"),DK90,"")))</f>
        <v/>
      </c>
      <c r="BJ93" s="3837"/>
      <c r="BK93" s="3837" t="str">
        <f>IF(AND(BS93&lt;&gt;"",AB94="Ａ",$X$11="2端子"),BS93,"")</f>
        <v/>
      </c>
      <c r="BL93" s="3837"/>
      <c r="BM93" s="3837">
        <f>IF(OR(AH23="不要",C93="  RF",C93="",$X$11="2端子"),"",IF(BO93&lt;&gt;"",BO93,IF(AND(AB94="Ａ",$X$11="1端子"),DK90,DK88)))</f>
        <v>12</v>
      </c>
      <c r="BN93" s="3837"/>
      <c r="BO93" s="3915"/>
      <c r="BP93" s="3915"/>
      <c r="BQ93" s="3837" t="str">
        <f>IF(OR(AH23="不要",C93="  RF",C93="",$X$11="1端子"),"",IF(BS93&lt;&gt;"",BS93,IF(AND(AB94="Ａ",$X$11="2端子"),DK90,DK88)))</f>
        <v/>
      </c>
      <c r="BR93" s="3837"/>
      <c r="BS93" s="3915"/>
      <c r="BT93" s="3918"/>
      <c r="BU93" s="19"/>
      <c r="BV93" s="8"/>
      <c r="BW93" s="88">
        <f>IF(I93="直天",F93,I93)</f>
        <v>3</v>
      </c>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38"/>
      <c r="DA93" s="15"/>
      <c r="DB93" s="15"/>
      <c r="DC93" s="180" t="s">
        <v>1144</v>
      </c>
      <c r="DD93" s="2589" t="str">
        <f>IF($AL$10="nC-FB","S-7C-FB",IF($AL$10="nD-FB","8D-FB","7C-2V"))</f>
        <v>S-7C-FB</v>
      </c>
      <c r="DE93" s="2591"/>
      <c r="DF93" s="3631">
        <f>IF(OR(C93="",C93="  RF"),0,IF(AB94="Ｃ",2.5*AG93+(DB91+DC91),F93+2))</f>
        <v>6</v>
      </c>
      <c r="DG93" s="3812"/>
      <c r="DH93" s="2589" t="str">
        <f>IF(OR(H94="天井ケーブル",H94="天井-PF管"),"PF-S-22mm",IF(H94="天井-CD管","CD-22mm",IF(H94="天井-C 管","C-25mm",IF(H94="天井-G 管","G-22mm",""))))</f>
        <v>PF-S-22mm</v>
      </c>
      <c r="DI93" s="2591"/>
      <c r="DJ93" s="3631">
        <f>IF(OR(C93="",C93="  RF"),0,IF(AB94="Ｃ",F93-($AM$8-$AM$7)/1000,F93))</f>
        <v>4</v>
      </c>
      <c r="DK93" s="3812"/>
      <c r="DL93" s="778"/>
      <c r="DM93" s="112"/>
      <c r="DN93" s="190" t="s">
        <v>1143</v>
      </c>
      <c r="DO93" s="98">
        <f>IF(OR(C93="",C93="  RF"),0,(DB91+DC91)/2/SQRT(DK90))</f>
        <v>6.8033605141660898</v>
      </c>
      <c r="DP93" s="15"/>
      <c r="DQ93" s="15"/>
      <c r="DR93" s="15"/>
      <c r="DS93" s="8"/>
      <c r="DT93" s="113" t="s">
        <v>1051</v>
      </c>
      <c r="DU93" s="8"/>
      <c r="DV93" s="113"/>
      <c r="DW93" s="113" t="s">
        <v>1046</v>
      </c>
      <c r="DX93" s="8"/>
      <c r="DY93" s="8"/>
      <c r="DZ93" s="113" t="s">
        <v>1046</v>
      </c>
      <c r="EA93" s="113"/>
      <c r="EB93" s="776" t="str">
        <f>IF(OR($B$2=0,AA93=""),"","増幅器 "&amp;AA91&amp;AA92)</f>
        <v/>
      </c>
      <c r="EC93" s="15"/>
      <c r="ED93" s="122" t="str">
        <f>IF(BI93="","","直列Unit-中間2端子")</f>
        <v/>
      </c>
      <c r="EE93" s="15" t="str">
        <f>BI93</f>
        <v/>
      </c>
      <c r="EF93" s="15"/>
      <c r="EG93" s="15"/>
      <c r="EH93" s="197">
        <f t="shared" si="51"/>
        <v>4</v>
      </c>
      <c r="EI93" s="773" t="str">
        <f t="shared" si="52"/>
        <v/>
      </c>
      <c r="EJ93" s="203" t="str">
        <f>AS95</f>
        <v>S-5C-FB</v>
      </c>
      <c r="EK93" s="9"/>
      <c r="EL93" s="9" t="str">
        <f>IF(COUNTIF($EJ$18:EJ92,EJ93)&gt;0,"",EJ93)</f>
        <v/>
      </c>
      <c r="EM93" s="9"/>
      <c r="EN93" s="14">
        <f>BB95</f>
        <v>178.84032616999309</v>
      </c>
      <c r="EO93" s="771">
        <f t="shared" si="53"/>
        <v>0</v>
      </c>
      <c r="EP93" s="8"/>
      <c r="EQ93" s="15"/>
      <c r="ER93" s="197">
        <f t="shared" si="54"/>
        <v>3</v>
      </c>
      <c r="ES93" s="773" t="str">
        <f t="shared" si="55"/>
        <v/>
      </c>
      <c r="ET93" s="203" t="str">
        <f t="shared" si="56"/>
        <v/>
      </c>
      <c r="EU93" s="9"/>
      <c r="EV93" s="11" t="str">
        <f>IF(COUNTIF($ET$18:ET92,ET93)&gt;0,"",ET93)</f>
        <v/>
      </c>
      <c r="EW93" s="9"/>
      <c r="EX93" s="124" t="str">
        <f>AA93</f>
        <v/>
      </c>
      <c r="EY93" s="771">
        <f t="shared" si="57"/>
        <v>0</v>
      </c>
      <c r="EZ93" s="8"/>
      <c r="FA93" s="15"/>
      <c r="FB93" s="197">
        <f t="shared" si="49"/>
        <v>10</v>
      </c>
      <c r="FC93" s="773" t="str">
        <f t="shared" si="50"/>
        <v/>
      </c>
      <c r="FD93" s="772" t="str">
        <f t="shared" si="58"/>
        <v/>
      </c>
      <c r="FE93" s="9"/>
      <c r="FF93" s="11" t="str">
        <f>IF(COUNTIF($FD$15:FD92,FD93)&gt;0,"",FD93)</f>
        <v/>
      </c>
      <c r="FG93" s="9"/>
      <c r="FH93" s="124" t="str">
        <f>BI93</f>
        <v/>
      </c>
      <c r="FI93" s="771">
        <f t="shared" si="59"/>
        <v>0</v>
      </c>
    </row>
    <row r="94" spans="1:165" ht="12" customHeight="1">
      <c r="A94" s="8"/>
      <c r="B94" s="23"/>
      <c r="C94" s="2634" t="s">
        <v>135</v>
      </c>
      <c r="D94" s="2634"/>
      <c r="E94" s="2634"/>
      <c r="F94" s="2634"/>
      <c r="G94" s="2634"/>
      <c r="H94" s="3904" t="str">
        <f>IF($B$2=0,"",IF(P94="","天井ケーブル",P94))</f>
        <v>天井ケーブル</v>
      </c>
      <c r="I94" s="3904"/>
      <c r="J94" s="3904"/>
      <c r="K94" s="3904"/>
      <c r="L94" s="3904"/>
      <c r="M94" s="3904"/>
      <c r="N94" s="3904"/>
      <c r="O94" s="173" t="s">
        <v>34</v>
      </c>
      <c r="P94" s="3796"/>
      <c r="Q94" s="3797"/>
      <c r="R94" s="3797"/>
      <c r="S94" s="3797"/>
      <c r="T94" s="3797"/>
      <c r="U94" s="3797"/>
      <c r="V94" s="3798"/>
      <c r="W94" s="2634" t="s">
        <v>1082</v>
      </c>
      <c r="X94" s="2634"/>
      <c r="Y94" s="2634"/>
      <c r="Z94" s="2634"/>
      <c r="AA94" s="2634"/>
      <c r="AB94" s="3799" t="str">
        <f>IF(AH23="不要","",IF(AF94&lt;&gt;"",AF94,DB88))</f>
        <v>Ｂ</v>
      </c>
      <c r="AC94" s="3799"/>
      <c r="AD94" s="3799"/>
      <c r="AE94" s="173" t="s">
        <v>34</v>
      </c>
      <c r="AF94" s="3800"/>
      <c r="AG94" s="3801"/>
      <c r="AH94" s="3802"/>
      <c r="AI94" s="2634" t="s">
        <v>20</v>
      </c>
      <c r="AJ94" s="2634"/>
      <c r="AK94" s="2634"/>
      <c r="AL94" s="2634"/>
      <c r="AM94" s="2634"/>
      <c r="AN94" s="3522">
        <f>IF(OR(C93="",C93="  RF"),"",非誘!J59)</f>
        <v>0.5</v>
      </c>
      <c r="AO94" s="3523"/>
      <c r="AP94" s="3523"/>
      <c r="AQ94" s="3524"/>
      <c r="AR94" s="3507" t="s">
        <v>1081</v>
      </c>
      <c r="AS94" s="3461"/>
      <c r="AT94" s="3461"/>
      <c r="AU94" s="3461"/>
      <c r="AV94" s="3461"/>
      <c r="AW94" s="3461"/>
      <c r="AX94" s="3461"/>
      <c r="AY94" s="3461"/>
      <c r="AZ94" s="3563" t="str">
        <f>IF(OR(C93="",C93="  RF"),"",IF(BC94="",$AN$11,BC94))</f>
        <v>⑦</v>
      </c>
      <c r="BA94" s="3563"/>
      <c r="BB94" s="777" t="s">
        <v>34</v>
      </c>
      <c r="BC94" s="3521"/>
      <c r="BD94" s="3521"/>
      <c r="BE94" s="3564"/>
      <c r="BF94" s="3565"/>
      <c r="BG94" s="3565"/>
      <c r="BH94" s="3565"/>
      <c r="BI94" s="3565"/>
      <c r="BJ94" s="3565"/>
      <c r="BK94" s="3565"/>
      <c r="BL94" s="3565"/>
      <c r="BM94" s="3565"/>
      <c r="BN94" s="3565"/>
      <c r="BO94" s="3565"/>
      <c r="BP94" s="3565"/>
      <c r="BQ94" s="3565"/>
      <c r="BR94" s="3565"/>
      <c r="BS94" s="3565"/>
      <c r="BT94" s="3566"/>
      <c r="BU94" s="19"/>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38"/>
      <c r="DA94" s="15"/>
      <c r="DB94" s="8"/>
      <c r="DC94" s="180" t="s">
        <v>1182</v>
      </c>
      <c r="DD94" s="2589" t="str">
        <f>IF($AL$10="nC-FB","S-5C-FB",IF($AL$10="nD-FB","5D-FB","5C-2V"))</f>
        <v>S-5C-FB</v>
      </c>
      <c r="DE94" s="2591"/>
      <c r="DF94" s="3631">
        <f>IF(AB94="Ａ",(DK90+2*BW93-($X$7+$X$9)/1000)*DO93+(12+2*BW93-2*$X$9/1000)*DK90+DO94,IF(AB94="Ｂ",(DO93+2*BW93-$X$9/1000)*DK88+DO94,0))</f>
        <v>178.84032616999309</v>
      </c>
      <c r="DG94" s="3812"/>
      <c r="DH94" s="2589" t="str">
        <f>IF(OR(H94="天井ケーブル",H94="天井-PF管"),"PF-S-16mm",IF(H94="天井-CD管","CD-16mm",IF(H94="天井-C 管","C-19mm",IF(H94="天井-G 管","G-16mm",""))))</f>
        <v>PF-S-16mm</v>
      </c>
      <c r="DI94" s="2591"/>
      <c r="DJ94" s="3631">
        <f>IF(OR(C93="",C93="  RF"),0,IF(H94="天井ケーブル",DK88*(BW93-($X$9-$AM$9)/1000),(DO93+2*BW93-$X$9/1000)*DK88+DO94))</f>
        <v>37.799999999999997</v>
      </c>
      <c r="DK94" s="3812"/>
      <c r="DL94" s="15"/>
      <c r="DM94" s="46"/>
      <c r="DN94" s="46" t="s">
        <v>1181</v>
      </c>
      <c r="DO94" s="98">
        <f>DB92</f>
        <v>27</v>
      </c>
      <c r="DP94" s="15"/>
      <c r="DQ94" s="15"/>
      <c r="DR94" s="15"/>
      <c r="DS94" s="128" t="s">
        <v>1118</v>
      </c>
      <c r="DT94" s="86">
        <f>IF(AB94&lt;&gt;"Ｃ",0,IF(DZ94=0,0,DZ94))</f>
        <v>0</v>
      </c>
      <c r="DU94" s="8"/>
      <c r="DV94" s="8"/>
      <c r="DW94" s="86">
        <f>IF(AB94&lt;&gt;"Ｃ",0,IF(DZ94=0,0,1))</f>
        <v>0</v>
      </c>
      <c r="DX94" s="8"/>
      <c r="DY94" s="8"/>
      <c r="DZ94" s="86">
        <f>IF(AB94&lt;&gt;"Ｃ",0,IF(AND(DB87&gt;120,DB87&lt;=144),4,IF(AND(DB87&gt;144,DB87&lt;=180),5,0)))</f>
        <v>0</v>
      </c>
      <c r="EA94" s="38"/>
      <c r="EB94" s="776" t="str">
        <f>IF(OR($B$2=0,AD93=""),"","増幅器 "&amp;AD91&amp;AD92)</f>
        <v>増幅器 35/110</v>
      </c>
      <c r="EC94" s="38"/>
      <c r="ED94" s="122" t="str">
        <f>IF(BM93="","","直列Unit-終端1端子")</f>
        <v>直列Unit-終端1端子</v>
      </c>
      <c r="EE94" s="38">
        <f>BM93</f>
        <v>12</v>
      </c>
      <c r="EF94" s="38"/>
      <c r="EG94" s="38"/>
      <c r="EH94" s="197">
        <f t="shared" si="51"/>
        <v>4</v>
      </c>
      <c r="EI94" s="773" t="str">
        <f t="shared" si="52"/>
        <v/>
      </c>
      <c r="EJ94" s="203" t="str">
        <f>AS96</f>
        <v/>
      </c>
      <c r="EK94" s="9"/>
      <c r="EL94" s="9" t="str">
        <f>IF(COUNTIF($EJ$18:EJ93,EJ94)&gt;0,"",EJ94)</f>
        <v/>
      </c>
      <c r="EM94" s="9"/>
      <c r="EN94" s="14" t="str">
        <f>BB96</f>
        <v/>
      </c>
      <c r="EO94" s="771">
        <f t="shared" si="53"/>
        <v>0</v>
      </c>
      <c r="EP94" s="8"/>
      <c r="EQ94" s="38"/>
      <c r="ER94" s="197">
        <f t="shared" si="54"/>
        <v>3</v>
      </c>
      <c r="ES94" s="773" t="str">
        <f t="shared" si="55"/>
        <v/>
      </c>
      <c r="ET94" s="203" t="str">
        <f t="shared" si="56"/>
        <v>増幅器 35/110</v>
      </c>
      <c r="EU94" s="9"/>
      <c r="EV94" s="11" t="str">
        <f>IF(COUNTIF($ET$18:ET93,ET94)&gt;0,"",ET94)</f>
        <v/>
      </c>
      <c r="EW94" s="9"/>
      <c r="EX94" s="124">
        <f>AD93</f>
        <v>1</v>
      </c>
      <c r="EY94" s="771">
        <f t="shared" si="57"/>
        <v>0</v>
      </c>
      <c r="EZ94" s="8"/>
      <c r="FA94" s="38"/>
      <c r="FB94" s="197">
        <f t="shared" si="49"/>
        <v>10</v>
      </c>
      <c r="FC94" s="773" t="str">
        <f t="shared" si="50"/>
        <v/>
      </c>
      <c r="FD94" s="772" t="str">
        <f t="shared" si="58"/>
        <v>直列Unit-終端1端子</v>
      </c>
      <c r="FE94" s="9"/>
      <c r="FF94" s="11" t="str">
        <f>IF(COUNTIF($FD$15:FD93,FD94)&gt;0,"",FD94)</f>
        <v/>
      </c>
      <c r="FG94" s="9"/>
      <c r="FH94" s="124">
        <f>BM93</f>
        <v>12</v>
      </c>
      <c r="FI94" s="771">
        <f t="shared" si="59"/>
        <v>0</v>
      </c>
    </row>
    <row r="95" spans="1:165" ht="12" customHeight="1">
      <c r="A95" s="8"/>
      <c r="B95" s="23"/>
      <c r="C95" s="3905" t="s">
        <v>449</v>
      </c>
      <c r="D95" s="3905"/>
      <c r="E95" s="3905"/>
      <c r="F95" s="3904" t="str">
        <f>IF($H$15="ＣＡＴＶ","CATV引込","アンテナ部")</f>
        <v>アンテナ部</v>
      </c>
      <c r="G95" s="3904"/>
      <c r="H95" s="3904"/>
      <c r="I95" s="3904"/>
      <c r="J95" s="3904"/>
      <c r="K95" s="3908" t="str">
        <f>IF(OR(AH23="不要",$B$2=0,C93&lt;&gt;$X$10),"",IF(P95&lt;&gt;"",P95,DD92))</f>
        <v/>
      </c>
      <c r="L95" s="3908"/>
      <c r="M95" s="3908"/>
      <c r="N95" s="3908"/>
      <c r="O95" s="173" t="s">
        <v>34</v>
      </c>
      <c r="P95" s="3517"/>
      <c r="Q95" s="3517"/>
      <c r="R95" s="3517"/>
      <c r="S95" s="3517"/>
      <c r="T95" s="3526" t="str">
        <f>IF(AND(C93&lt;&gt;"",K95&lt;&gt;""),DF92,"")</f>
        <v/>
      </c>
      <c r="U95" s="3526"/>
      <c r="V95" s="3526"/>
      <c r="W95" s="3526"/>
      <c r="X95" s="3908" t="str">
        <f>IF(OR($B$2=0,K95=""),"",IF(AD95&lt;&gt;"",AD95,DH92))</f>
        <v/>
      </c>
      <c r="Y95" s="3908"/>
      <c r="Z95" s="3908"/>
      <c r="AA95" s="3908"/>
      <c r="AB95" s="3908"/>
      <c r="AC95" s="173" t="s">
        <v>34</v>
      </c>
      <c r="AD95" s="3525"/>
      <c r="AE95" s="3525"/>
      <c r="AF95" s="3525"/>
      <c r="AG95" s="3525"/>
      <c r="AH95" s="3525"/>
      <c r="AI95" s="3526" t="str">
        <f>IF(X95="","",IF(DJ92="","",DJ92))</f>
        <v/>
      </c>
      <c r="AJ95" s="3526"/>
      <c r="AK95" s="3526"/>
      <c r="AL95" s="3526"/>
      <c r="AM95" s="3904" t="s">
        <v>1077</v>
      </c>
      <c r="AN95" s="3904"/>
      <c r="AO95" s="3904"/>
      <c r="AP95" s="3904"/>
      <c r="AQ95" s="3904"/>
      <c r="AR95" s="3904"/>
      <c r="AS95" s="3908" t="str">
        <f>IF(OR(AH23="不要",$B$2=0,C93="",C93="  RF",AB94="Ｃ"),"",IF(AX95&lt;&gt;"",AX95,DD94))</f>
        <v>S-5C-FB</v>
      </c>
      <c r="AT95" s="3908"/>
      <c r="AU95" s="3908"/>
      <c r="AV95" s="3908"/>
      <c r="AW95" s="173" t="s">
        <v>34</v>
      </c>
      <c r="AX95" s="3517"/>
      <c r="AY95" s="3517"/>
      <c r="AZ95" s="3517"/>
      <c r="BA95" s="3517"/>
      <c r="BB95" s="3537">
        <f>IF(AS95&lt;&gt;"",DF94,"")</f>
        <v>178.84032616999309</v>
      </c>
      <c r="BC95" s="3537"/>
      <c r="BD95" s="3537"/>
      <c r="BE95" s="3537"/>
      <c r="BF95" s="3908" t="str">
        <f>IF(OR(C93="",AS95=""),"",IF(AB94="Ａ",DH93,DH94))</f>
        <v>PF-S-16mm</v>
      </c>
      <c r="BG95" s="3908"/>
      <c r="BH95" s="3908"/>
      <c r="BI95" s="3908"/>
      <c r="BJ95" s="3908"/>
      <c r="BK95" s="173" t="s">
        <v>34</v>
      </c>
      <c r="BL95" s="3525"/>
      <c r="BM95" s="3525"/>
      <c r="BN95" s="3525"/>
      <c r="BO95" s="3525"/>
      <c r="BP95" s="3525"/>
      <c r="BQ95" s="3526">
        <f>IF(BF95="","",DJ94)</f>
        <v>37.799999999999997</v>
      </c>
      <c r="BR95" s="3526"/>
      <c r="BS95" s="3526"/>
      <c r="BT95" s="3527"/>
      <c r="BU95" s="19"/>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774" t="s">
        <v>1180</v>
      </c>
      <c r="DD95" s="2589" t="str">
        <f>DD94</f>
        <v>S-5C-FB</v>
      </c>
      <c r="DE95" s="2591"/>
      <c r="DF95" s="3631">
        <f>IF(OR(C93="",C93="  RF",I93="直天"),0,1+INT(12+BW93-($X$9-$AM$9)/1000)*DK88+DO95)</f>
        <v>235</v>
      </c>
      <c r="DG95" s="3812"/>
      <c r="DH95" s="2589" t="str">
        <f>DH94</f>
        <v>PF-S-16mm</v>
      </c>
      <c r="DI95" s="2591"/>
      <c r="DJ95" s="3631">
        <f>IF(OR(C93="",C93="  RF"),0,IF(H94="天井ケーブル",DK88*(BW93-($X$9-2*$AM$9)/1000),1+INT(12+BW93-$X$9/1000)*DK88))</f>
        <v>41.400000000000006</v>
      </c>
      <c r="DK95" s="3812"/>
      <c r="DL95" s="15"/>
      <c r="DM95" s="15"/>
      <c r="DN95" s="46" t="s">
        <v>1075</v>
      </c>
      <c r="DO95" s="97">
        <f>IF(C93="",0,IF($AW$8=0,0,2*($AW$8/1000-0.15-0.1)*(INT(1000*DB91/$AW$10)+1)*(INT(1000*DC91/$AW$10)+1)*4))</f>
        <v>53.999999999999993</v>
      </c>
      <c r="DP95" s="15"/>
      <c r="DQ95" s="15"/>
      <c r="DR95" s="15"/>
      <c r="DS95" s="8"/>
      <c r="DT95" s="8"/>
      <c r="DU95" s="8"/>
      <c r="DV95" s="8"/>
      <c r="DW95" s="8"/>
      <c r="DX95" s="8"/>
      <c r="DY95" s="8"/>
      <c r="DZ95" s="8"/>
      <c r="EA95" s="8"/>
      <c r="EB95" s="769" t="str">
        <f>IF(OR($B$2=0,AG93=""),"","分岐器 1C")</f>
        <v/>
      </c>
      <c r="EC95" s="8"/>
      <c r="ED95" s="122" t="str">
        <f>IF(BQ93="","","直列Unit-終端2端子")</f>
        <v/>
      </c>
      <c r="EE95" s="8" t="str">
        <f>BQ93</f>
        <v/>
      </c>
      <c r="EF95" s="8"/>
      <c r="EG95" s="8"/>
      <c r="EH95" s="197">
        <f t="shared" si="51"/>
        <v>4</v>
      </c>
      <c r="EI95" s="773" t="str">
        <f t="shared" si="52"/>
        <v/>
      </c>
      <c r="EJ95" s="203" t="str">
        <f>BF95</f>
        <v>PF-S-16mm</v>
      </c>
      <c r="EK95" s="9"/>
      <c r="EL95" s="9" t="str">
        <f>IF(COUNTIF($EJ$18:EJ94,EJ95)&gt;0,"",EJ95)</f>
        <v/>
      </c>
      <c r="EM95" s="9"/>
      <c r="EN95" s="14">
        <f>BQ95</f>
        <v>37.799999999999997</v>
      </c>
      <c r="EO95" s="771">
        <f t="shared" si="53"/>
        <v>0</v>
      </c>
      <c r="EP95" s="8"/>
      <c r="EQ95" s="8"/>
      <c r="ER95" s="197">
        <f t="shared" si="54"/>
        <v>3</v>
      </c>
      <c r="ES95" s="773" t="str">
        <f t="shared" si="55"/>
        <v/>
      </c>
      <c r="ET95" s="203" t="str">
        <f t="shared" si="56"/>
        <v/>
      </c>
      <c r="EU95" s="9"/>
      <c r="EV95" s="11" t="str">
        <f>IF(COUNTIF($ET$18:ET94,ET95)&gt;0,"",ET95)</f>
        <v/>
      </c>
      <c r="EW95" s="9"/>
      <c r="EX95" s="124" t="str">
        <f>AG93</f>
        <v/>
      </c>
      <c r="EY95" s="771">
        <f t="shared" si="57"/>
        <v>0</v>
      </c>
      <c r="EZ95" s="8"/>
      <c r="FA95" s="8"/>
      <c r="FB95" s="197">
        <f t="shared" si="49"/>
        <v>10</v>
      </c>
      <c r="FC95" s="773" t="str">
        <f t="shared" si="50"/>
        <v/>
      </c>
      <c r="FD95" s="772" t="str">
        <f t="shared" si="58"/>
        <v/>
      </c>
      <c r="FE95" s="9"/>
      <c r="FF95" s="11" t="str">
        <f>IF(COUNTIF($FD$15:FD94,FD95)&gt;0,"",FD95)</f>
        <v/>
      </c>
      <c r="FG95" s="9"/>
      <c r="FH95" s="124" t="str">
        <f>BQ93</f>
        <v/>
      </c>
      <c r="FI95" s="771">
        <f t="shared" si="59"/>
        <v>0</v>
      </c>
    </row>
    <row r="96" spans="1:165" ht="12" customHeight="1" thickBot="1">
      <c r="A96" s="8"/>
      <c r="B96" s="23"/>
      <c r="C96" s="3922"/>
      <c r="D96" s="3922"/>
      <c r="E96" s="3922"/>
      <c r="F96" s="3920" t="s">
        <v>1074</v>
      </c>
      <c r="G96" s="3920"/>
      <c r="H96" s="3920"/>
      <c r="I96" s="3920"/>
      <c r="J96" s="3920"/>
      <c r="K96" s="3506" t="str">
        <f>IF(OR(C93="",C93="  RF",$B$2=0),"",IF(P96&lt;&gt;"",P96,DD93))</f>
        <v>S-7C-FB</v>
      </c>
      <c r="L96" s="3506"/>
      <c r="M96" s="3506"/>
      <c r="N96" s="3506"/>
      <c r="O96" s="800" t="s">
        <v>34</v>
      </c>
      <c r="P96" s="3536"/>
      <c r="Q96" s="3536"/>
      <c r="R96" s="3536"/>
      <c r="S96" s="3536"/>
      <c r="T96" s="3538">
        <f>IF(R90="不",F93,IF(K96="","",DF93))</f>
        <v>6</v>
      </c>
      <c r="U96" s="3538"/>
      <c r="V96" s="3538"/>
      <c r="W96" s="3538"/>
      <c r="X96" s="3506" t="str">
        <f>IF(R90="不","",IF(OR(C93="",K96=""),"",IF(AD96&lt;&gt;"",AD96,IF(DH93="","",DH93))))</f>
        <v>PF-S-22mm</v>
      </c>
      <c r="Y96" s="3506"/>
      <c r="Z96" s="3506"/>
      <c r="AA96" s="3506"/>
      <c r="AB96" s="3506"/>
      <c r="AC96" s="800" t="s">
        <v>34</v>
      </c>
      <c r="AD96" s="3533"/>
      <c r="AE96" s="3533"/>
      <c r="AF96" s="3533"/>
      <c r="AG96" s="3533"/>
      <c r="AH96" s="3533"/>
      <c r="AI96" s="3538">
        <f>IF(X96="","",DJ93)</f>
        <v>4</v>
      </c>
      <c r="AJ96" s="3538"/>
      <c r="AK96" s="3538"/>
      <c r="AL96" s="3538"/>
      <c r="AM96" s="3920" t="s">
        <v>1073</v>
      </c>
      <c r="AN96" s="3920"/>
      <c r="AO96" s="3920"/>
      <c r="AP96" s="3920"/>
      <c r="AQ96" s="3920"/>
      <c r="AR96" s="3920"/>
      <c r="AS96" s="3506" t="str">
        <f>IF(OR(AH23="不要",$B$2=0,C93="",AB94&lt;&gt;"Ｃ"),"",IF(AX96&lt;&gt;"",AX96,DD95))</f>
        <v/>
      </c>
      <c r="AT96" s="3506"/>
      <c r="AU96" s="3506"/>
      <c r="AV96" s="3506"/>
      <c r="AW96" s="800" t="s">
        <v>34</v>
      </c>
      <c r="AX96" s="3536"/>
      <c r="AY96" s="3536"/>
      <c r="AZ96" s="3536"/>
      <c r="BA96" s="3536"/>
      <c r="BB96" s="3921" t="str">
        <f>IF(AS96="","",DF95)</f>
        <v/>
      </c>
      <c r="BC96" s="3921"/>
      <c r="BD96" s="3921"/>
      <c r="BE96" s="3921"/>
      <c r="BF96" s="3506" t="str">
        <f>IF(OR(C93="",AS96=""),"",IF(BL96&lt;&gt;"",BL96,DH95))</f>
        <v/>
      </c>
      <c r="BG96" s="3506"/>
      <c r="BH96" s="3506"/>
      <c r="BI96" s="3506"/>
      <c r="BJ96" s="3506"/>
      <c r="BK96" s="800" t="s">
        <v>34</v>
      </c>
      <c r="BL96" s="3533"/>
      <c r="BM96" s="3533"/>
      <c r="BN96" s="3533"/>
      <c r="BO96" s="3533"/>
      <c r="BP96" s="3533"/>
      <c r="BQ96" s="3538" t="str">
        <f>IF(BF96="","",DJ95)</f>
        <v/>
      </c>
      <c r="BR96" s="3538"/>
      <c r="BS96" s="3538"/>
      <c r="BT96" s="3539"/>
      <c r="BU96" s="19"/>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8">
        <f>IF(AND(AB103="Ａ",$X$11="2端子"),BI102+BQ102,IF(AND(AB103="Ａ",$X$11="1端子"),BE102+BM102,IF(AND(AB103="Ｂ",$X$11="1端子"),BM102,IF(AND(AB103="Ｂ",$X$11="2端子"),BQ102,IF(AND(AB103="Ｃ",$X$11="1端子"),BM102,BQ102)))))</f>
        <v>12</v>
      </c>
      <c r="DC96" s="10"/>
      <c r="DD96" s="8"/>
      <c r="DE96" s="8"/>
      <c r="DF96" s="8"/>
      <c r="DG96" s="8"/>
      <c r="DH96" s="8"/>
      <c r="DI96" s="8"/>
      <c r="DJ96" s="8"/>
      <c r="DK96" s="8"/>
      <c r="DL96" s="8"/>
      <c r="DM96" s="8"/>
      <c r="DN96" s="8"/>
      <c r="DO96" s="8"/>
      <c r="DP96" s="15"/>
      <c r="DQ96" s="15"/>
      <c r="DR96" s="15"/>
      <c r="DS96" s="8"/>
      <c r="DT96" s="8"/>
      <c r="DU96" s="8"/>
      <c r="DV96" s="8"/>
      <c r="DW96" s="8"/>
      <c r="DX96" s="8"/>
      <c r="DY96" s="8"/>
      <c r="DZ96" s="8"/>
      <c r="EA96" s="8"/>
      <c r="EB96" s="769" t="str">
        <f>IF(OR($B$2=0,AK93=""),"","分岐器 2C")</f>
        <v>分岐器 2C</v>
      </c>
      <c r="EC96" s="8"/>
      <c r="ED96" s="10"/>
      <c r="EE96" s="8"/>
      <c r="EF96" s="8"/>
      <c r="EG96" s="8"/>
      <c r="EH96" s="197">
        <f t="shared" si="51"/>
        <v>4</v>
      </c>
      <c r="EI96" s="773" t="str">
        <f t="shared" si="52"/>
        <v/>
      </c>
      <c r="EJ96" s="203" t="str">
        <f>BF96</f>
        <v/>
      </c>
      <c r="EK96" s="9"/>
      <c r="EL96" s="9" t="str">
        <f>IF(COUNTIF($EJ$18:EJ95,EJ96)&gt;0,"",EJ96)</f>
        <v/>
      </c>
      <c r="EM96" s="9"/>
      <c r="EN96" s="14" t="str">
        <f>BQ96</f>
        <v/>
      </c>
      <c r="EO96" s="771">
        <f t="shared" si="53"/>
        <v>0</v>
      </c>
      <c r="EP96" s="8"/>
      <c r="EQ96" s="8"/>
      <c r="ER96" s="197">
        <f t="shared" si="54"/>
        <v>3</v>
      </c>
      <c r="ES96" s="773" t="str">
        <f t="shared" si="55"/>
        <v/>
      </c>
      <c r="ET96" s="203" t="str">
        <f t="shared" si="56"/>
        <v>分岐器 2C</v>
      </c>
      <c r="EU96" s="9"/>
      <c r="EV96" s="11" t="str">
        <f>IF(COUNTIF($ET$18:ET95,ET96)&gt;0,"",ET96)</f>
        <v/>
      </c>
      <c r="EW96" s="9"/>
      <c r="EX96" s="124">
        <f>AK93</f>
        <v>1</v>
      </c>
      <c r="EY96" s="771">
        <f t="shared" si="57"/>
        <v>0</v>
      </c>
      <c r="EZ96" s="8"/>
      <c r="FA96" s="8"/>
      <c r="FB96" s="197">
        <f t="shared" si="49"/>
        <v>10</v>
      </c>
      <c r="FC96" s="773" t="str">
        <f t="shared" si="50"/>
        <v/>
      </c>
      <c r="FD96" s="772"/>
      <c r="FE96" s="9"/>
      <c r="FF96" s="11"/>
      <c r="FG96" s="9"/>
      <c r="FH96" s="124"/>
      <c r="FI96" s="771"/>
    </row>
    <row r="97" spans="1:165" ht="12" customHeight="1" thickBot="1">
      <c r="B97" s="23"/>
      <c r="C97" s="20"/>
      <c r="D97" s="20"/>
      <c r="E97" s="20"/>
      <c r="F97" s="20"/>
      <c r="G97" s="20"/>
      <c r="H97" s="20"/>
      <c r="I97" s="20"/>
      <c r="J97" s="20"/>
      <c r="K97" s="20"/>
      <c r="L97" s="20"/>
      <c r="M97" s="20"/>
      <c r="N97" s="20"/>
      <c r="O97" s="20"/>
      <c r="P97" s="20"/>
      <c r="Q97" s="787" t="str">
        <f>IF(AND(OR(AB103="Ａ",F248="Ａ"),DB96&gt;24),"直列ユニット数………配線方式Ａ：24以下!!",IF(AND(OR(AB103="Ｂ",F248="Ｂ"),DB96&gt;12),"直列ユニット数………配線方式Ｂ：12以下!!",IF(AND(OR(AB103="Ｃ",F248="Ｃ"),DB96&gt;180),"直列ユニット数………配線方式Ｃ：180以下!!","")))</f>
        <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19"/>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v>9</v>
      </c>
      <c r="DB97" s="92" t="str">
        <f>IF(OR(V68="不要",C102="",C102="  RF"),"",IF(DK97&lt;=12,"Ｂ",IF(DK97&lt;=24,"Ａ","Ｃ")))</f>
        <v>Ｂ</v>
      </c>
      <c r="DC97" s="10"/>
      <c r="DD97" s="8"/>
      <c r="DE97" s="8"/>
      <c r="DF97" s="8"/>
      <c r="DG97" s="8"/>
      <c r="DH97" s="8"/>
      <c r="DI97" s="8"/>
      <c r="DJ97" s="8"/>
      <c r="DK97" s="159">
        <f>IF(OR(C102="",C102="  RF"),0,SUM(Q102:V102))</f>
        <v>12</v>
      </c>
      <c r="DL97" s="8"/>
      <c r="DM97" s="8"/>
      <c r="DN97" s="8"/>
      <c r="DO97" s="8"/>
      <c r="DP97" s="8"/>
      <c r="DQ97" s="8"/>
      <c r="DR97" s="8"/>
      <c r="DS97" s="8"/>
      <c r="DT97" s="8"/>
      <c r="DU97" s="8"/>
      <c r="DV97" s="8"/>
      <c r="DW97" s="8"/>
      <c r="DX97" s="8"/>
      <c r="DY97" s="8"/>
      <c r="DZ97" s="8"/>
      <c r="EA97" s="8"/>
      <c r="EB97" s="8"/>
      <c r="EC97" s="8"/>
      <c r="ED97" s="8"/>
      <c r="EE97" s="8"/>
      <c r="EF97" s="8"/>
      <c r="EG97" s="88">
        <v>9</v>
      </c>
      <c r="EH97" s="204">
        <f t="shared" si="51"/>
        <v>4</v>
      </c>
      <c r="EI97" s="768" t="str">
        <f t="shared" si="52"/>
        <v/>
      </c>
      <c r="EJ97" s="45"/>
      <c r="EK97" s="45"/>
      <c r="EL97" s="45"/>
      <c r="EM97" s="45"/>
      <c r="EN97" s="45"/>
      <c r="EO97" s="785"/>
      <c r="EP97" s="8"/>
      <c r="EQ97" s="88">
        <v>9</v>
      </c>
      <c r="ER97" s="204">
        <f t="shared" si="54"/>
        <v>3</v>
      </c>
      <c r="ES97" s="768" t="str">
        <f t="shared" si="55"/>
        <v/>
      </c>
      <c r="ET97" s="45"/>
      <c r="EU97" s="45"/>
      <c r="EV97" s="154"/>
      <c r="EW97" s="45"/>
      <c r="EX97" s="45"/>
      <c r="EY97" s="785"/>
      <c r="EZ97" s="8"/>
      <c r="FA97" s="88">
        <v>9</v>
      </c>
      <c r="FB97" s="204">
        <f t="shared" si="49"/>
        <v>10</v>
      </c>
      <c r="FC97" s="768" t="str">
        <f t="shared" si="50"/>
        <v/>
      </c>
      <c r="FD97" s="786"/>
      <c r="FE97" s="45"/>
      <c r="FF97" s="154"/>
      <c r="FG97" s="45"/>
      <c r="FH97" s="208"/>
      <c r="FI97" s="785"/>
    </row>
    <row r="98" spans="1:165" ht="11.25" customHeight="1" thickBot="1">
      <c r="B98" s="23"/>
      <c r="C98" s="3399" t="s">
        <v>1142</v>
      </c>
      <c r="D98" s="3412"/>
      <c r="E98" s="3412"/>
      <c r="F98" s="3412"/>
      <c r="G98" s="3412"/>
      <c r="H98" s="3412"/>
      <c r="I98" s="3412"/>
      <c r="J98" s="3412"/>
      <c r="K98" s="3412"/>
      <c r="L98" s="3413"/>
      <c r="M98" s="3853" t="str">
        <f>非誘!J64</f>
        <v>( 4 )</v>
      </c>
      <c r="N98" s="3854"/>
      <c r="O98" s="3854"/>
      <c r="P98" s="3854"/>
      <c r="Q98" s="3855"/>
      <c r="R98" s="2299" t="str">
        <f>IF($B$2=0,"","共聴機器")</f>
        <v>共聴機器</v>
      </c>
      <c r="S98" s="2299"/>
      <c r="T98" s="2299"/>
      <c r="U98" s="2299"/>
      <c r="V98" s="2299"/>
      <c r="W98" s="3412" t="s">
        <v>1141</v>
      </c>
      <c r="X98" s="3412"/>
      <c r="Y98" s="3412"/>
      <c r="Z98" s="3413"/>
      <c r="AA98" s="2637" t="s">
        <v>1140</v>
      </c>
      <c r="AB98" s="2638"/>
      <c r="AC98" s="2638"/>
      <c r="AD98" s="2638"/>
      <c r="AE98" s="2638"/>
      <c r="AF98" s="2639"/>
      <c r="AG98" s="3879" t="s">
        <v>1139</v>
      </c>
      <c r="AH98" s="3879"/>
      <c r="AI98" s="3879"/>
      <c r="AJ98" s="3879"/>
      <c r="AK98" s="3879"/>
      <c r="AL98" s="3879"/>
      <c r="AM98" s="3879"/>
      <c r="AN98" s="3879"/>
      <c r="AO98" s="3879"/>
      <c r="AP98" s="3879"/>
      <c r="AQ98" s="3879"/>
      <c r="AR98" s="3879"/>
      <c r="AS98" s="2637" t="s">
        <v>1138</v>
      </c>
      <c r="AT98" s="2638"/>
      <c r="AU98" s="2638"/>
      <c r="AV98" s="2638"/>
      <c r="AW98" s="2638"/>
      <c r="AX98" s="2638"/>
      <c r="AY98" s="2638"/>
      <c r="AZ98" s="2638"/>
      <c r="BA98" s="2638"/>
      <c r="BB98" s="2638"/>
      <c r="BC98" s="2638"/>
      <c r="BD98" s="2639"/>
      <c r="BE98" s="2637" t="s">
        <v>1137</v>
      </c>
      <c r="BF98" s="2638"/>
      <c r="BG98" s="2638"/>
      <c r="BH98" s="2638"/>
      <c r="BI98" s="2638"/>
      <c r="BJ98" s="2638"/>
      <c r="BK98" s="2638"/>
      <c r="BL98" s="2638"/>
      <c r="BM98" s="2638"/>
      <c r="BN98" s="2638"/>
      <c r="BO98" s="2638"/>
      <c r="BP98" s="2638"/>
      <c r="BQ98" s="2638"/>
      <c r="BR98" s="2638"/>
      <c r="BS98" s="2638"/>
      <c r="BT98" s="2639"/>
      <c r="BU98" s="19"/>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15"/>
      <c r="DA98" s="784"/>
      <c r="DB98" s="97">
        <f>IF(C102="","",DB89+1)</f>
        <v>9</v>
      </c>
      <c r="DC98" s="15" t="str">
        <f>IF($X$10=C102,"＝",IF(VLOOKUP(C102,[2]!階高,3,FALSE)-VLOOKUP($X$10,[2]!階高,3,FALSE)&gt;0,"＋","－"))</f>
        <v>－</v>
      </c>
      <c r="DD98" s="38"/>
      <c r="DE98" s="113" t="s">
        <v>1084</v>
      </c>
      <c r="DF98" s="113" t="s">
        <v>1210</v>
      </c>
      <c r="DG98" s="113" t="s">
        <v>1209</v>
      </c>
      <c r="DH98" s="113" t="s">
        <v>1208</v>
      </c>
      <c r="DI98" s="113" t="s">
        <v>1104</v>
      </c>
      <c r="DJ98" s="113" t="s">
        <v>1083</v>
      </c>
      <c r="DK98" s="90" t="s">
        <v>1211</v>
      </c>
      <c r="DL98" s="38"/>
      <c r="DM98" s="113" t="s">
        <v>1084</v>
      </c>
      <c r="DN98" s="113" t="s">
        <v>1210</v>
      </c>
      <c r="DO98" s="113" t="s">
        <v>1209</v>
      </c>
      <c r="DP98" s="113" t="s">
        <v>1208</v>
      </c>
      <c r="DQ98" s="113" t="s">
        <v>1104</v>
      </c>
      <c r="DR98" s="113" t="s">
        <v>1083</v>
      </c>
      <c r="DS98" s="38"/>
      <c r="DT98" s="113" t="s">
        <v>1084</v>
      </c>
      <c r="DU98" s="113" t="s">
        <v>1208</v>
      </c>
      <c r="DV98" s="113" t="s">
        <v>1104</v>
      </c>
      <c r="DW98" s="113" t="s">
        <v>1083</v>
      </c>
      <c r="DX98" s="113" t="s">
        <v>1208</v>
      </c>
      <c r="DY98" s="113" t="s">
        <v>1208</v>
      </c>
      <c r="DZ98" s="113" t="s">
        <v>1208</v>
      </c>
      <c r="EA98" s="113"/>
      <c r="EB98" s="776" t="str">
        <f>IF(OR($B$2=0,W102=""),"","混合器 U-U")</f>
        <v/>
      </c>
      <c r="EC98" s="15"/>
      <c r="ED98" s="782" t="str">
        <f>IF(AS102="","","分配器 2D")</f>
        <v/>
      </c>
      <c r="EE98" s="15" t="str">
        <f>AS102</f>
        <v/>
      </c>
      <c r="EF98" s="15"/>
      <c r="EG98" s="8"/>
      <c r="EH98" s="197">
        <f t="shared" si="51"/>
        <v>4</v>
      </c>
      <c r="EI98" s="773" t="str">
        <f t="shared" si="52"/>
        <v/>
      </c>
      <c r="EJ98" s="203" t="str">
        <f>K104</f>
        <v/>
      </c>
      <c r="EK98" s="9"/>
      <c r="EL98" s="9" t="str">
        <f>IF(COUNTIF($EJ$18:EJ97,EJ98)&gt;0,"",EJ98)</f>
        <v/>
      </c>
      <c r="EM98" s="9"/>
      <c r="EN98" s="14" t="str">
        <f>T104</f>
        <v/>
      </c>
      <c r="EO98" s="771">
        <f t="shared" ref="EO98:EO105" si="60">SUMIF($EJ$25:$EJ$225,EL98,$EN$25:$EN$225)</f>
        <v>0</v>
      </c>
      <c r="EP98" s="8"/>
      <c r="EQ98" s="8"/>
      <c r="ER98" s="197">
        <f t="shared" si="54"/>
        <v>3</v>
      </c>
      <c r="ES98" s="773" t="str">
        <f t="shared" si="55"/>
        <v/>
      </c>
      <c r="ET98" s="203" t="str">
        <f t="shared" ref="ET98:ET105" si="61">EB98</f>
        <v/>
      </c>
      <c r="EU98" s="9"/>
      <c r="EV98" s="11" t="str">
        <f>IF(COUNTIF($ET$18:ET97,ET98)&gt;0,"",ET98)</f>
        <v/>
      </c>
      <c r="EW98" s="9"/>
      <c r="EX98" s="124" t="str">
        <f>W102</f>
        <v/>
      </c>
      <c r="EY98" s="771">
        <f t="shared" ref="EY98:EY105" si="62">SUMIF($ET$25:$ET$225,EV98,$EX$25:$EX$225)</f>
        <v>0</v>
      </c>
      <c r="EZ98" s="8"/>
      <c r="FA98" s="8"/>
      <c r="FB98" s="197">
        <f t="shared" si="49"/>
        <v>10</v>
      </c>
      <c r="FC98" s="773" t="str">
        <f t="shared" si="50"/>
        <v/>
      </c>
      <c r="FD98" s="772" t="str">
        <f t="shared" ref="FD98:FD104" si="63">ED98</f>
        <v/>
      </c>
      <c r="FE98" s="9"/>
      <c r="FF98" s="11" t="str">
        <f>IF(COUNTIF($FD$15:FD97,FD98)&gt;0,"",FD98)</f>
        <v/>
      </c>
      <c r="FG98" s="9"/>
      <c r="FH98" s="124" t="str">
        <f>AS102</f>
        <v/>
      </c>
      <c r="FI98" s="771">
        <f t="shared" ref="FI98:FI104" si="64">SUMIF($FD$18:$FD$205,FF98,$FH$18:$FH$205)</f>
        <v>0</v>
      </c>
    </row>
    <row r="99" spans="1:165" ht="11.25" customHeight="1" thickBot="1">
      <c r="B99" s="23"/>
      <c r="C99" s="3857" t="str">
        <f>"　"&amp;非誘!M64</f>
        <v>　百貨店等</v>
      </c>
      <c r="D99" s="3858"/>
      <c r="E99" s="3858"/>
      <c r="F99" s="3858"/>
      <c r="G99" s="3858"/>
      <c r="H99" s="3858"/>
      <c r="I99" s="3858"/>
      <c r="J99" s="3858"/>
      <c r="K99" s="3858"/>
      <c r="L99" s="3858"/>
      <c r="M99" s="3858"/>
      <c r="N99" s="3858"/>
      <c r="O99" s="3858"/>
      <c r="P99" s="3858"/>
      <c r="Q99" s="3859"/>
      <c r="R99" s="2337" t="str">
        <f>IF(U99&lt;&gt;"",U99,IF(C102="","","設"))</f>
        <v>設</v>
      </c>
      <c r="S99" s="2337"/>
      <c r="T99" s="175" t="s">
        <v>34</v>
      </c>
      <c r="U99" s="2338"/>
      <c r="V99" s="2338"/>
      <c r="W99" s="3860" t="s">
        <v>1217</v>
      </c>
      <c r="X99" s="3863" t="s">
        <v>1216</v>
      </c>
      <c r="Y99" s="3863" t="s">
        <v>1215</v>
      </c>
      <c r="Z99" s="3866"/>
      <c r="AA99" s="3528" t="s">
        <v>1214</v>
      </c>
      <c r="AB99" s="3519"/>
      <c r="AC99" s="3519"/>
      <c r="AD99" s="3519"/>
      <c r="AE99" s="3519"/>
      <c r="AF99" s="3520"/>
      <c r="AG99" s="3528" t="s">
        <v>1084</v>
      </c>
      <c r="AH99" s="3519"/>
      <c r="AI99" s="3519"/>
      <c r="AJ99" s="3529"/>
      <c r="AK99" s="3518" t="s">
        <v>1210</v>
      </c>
      <c r="AL99" s="3519"/>
      <c r="AM99" s="3519"/>
      <c r="AN99" s="3529"/>
      <c r="AO99" s="3518" t="s">
        <v>1209</v>
      </c>
      <c r="AP99" s="3519"/>
      <c r="AQ99" s="3519"/>
      <c r="AR99" s="3520"/>
      <c r="AS99" s="3528" t="s">
        <v>1208</v>
      </c>
      <c r="AT99" s="3519"/>
      <c r="AU99" s="3519"/>
      <c r="AV99" s="3529"/>
      <c r="AW99" s="3518" t="s">
        <v>1104</v>
      </c>
      <c r="AX99" s="3519"/>
      <c r="AY99" s="3519"/>
      <c r="AZ99" s="3529"/>
      <c r="BA99" s="3518" t="s">
        <v>1083</v>
      </c>
      <c r="BB99" s="3519"/>
      <c r="BC99" s="3519"/>
      <c r="BD99" s="3520"/>
      <c r="BE99" s="3528" t="s">
        <v>1123</v>
      </c>
      <c r="BF99" s="3519"/>
      <c r="BG99" s="3519"/>
      <c r="BH99" s="3519"/>
      <c r="BI99" s="3519"/>
      <c r="BJ99" s="3519"/>
      <c r="BK99" s="3519"/>
      <c r="BL99" s="3529"/>
      <c r="BM99" s="3518" t="s">
        <v>1122</v>
      </c>
      <c r="BN99" s="3519"/>
      <c r="BO99" s="3519"/>
      <c r="BP99" s="3519"/>
      <c r="BQ99" s="3519"/>
      <c r="BR99" s="3519"/>
      <c r="BS99" s="3519"/>
      <c r="BT99" s="3520"/>
      <c r="BU99" s="19"/>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15"/>
      <c r="DA99" s="15">
        <f>IF(AG102&lt;&gt;"",2,IF(AK102&lt;&gt;"",3,0))</f>
        <v>3</v>
      </c>
      <c r="DB99" s="86" t="s">
        <v>79</v>
      </c>
      <c r="DC99" s="86" t="s">
        <v>77</v>
      </c>
      <c r="DD99" s="128" t="s">
        <v>1121</v>
      </c>
      <c r="DE99" s="86">
        <f>IF(AB103&lt;&gt;"Ａ",0,IF(AND(2*DK99&gt;=4,2*DK99&lt;=12),1,0))</f>
        <v>0</v>
      </c>
      <c r="DF99" s="86">
        <f>IF(AB103&lt;&gt;"Ａ",0,IF(AND(2*DK99&gt;=16,DK99&lt;=24),1,0))</f>
        <v>0</v>
      </c>
      <c r="DG99" s="97" t="s">
        <v>96</v>
      </c>
      <c r="DH99" s="86">
        <f>IF(AB103&lt;&gt;"Ａ",0,IF(2*DK99&lt;=4,1,0))</f>
        <v>0</v>
      </c>
      <c r="DI99" s="86">
        <f>IF(AB103&lt;&gt;"Ａ",0,IF(OR(AND(2*DK99&gt;4,2*DK99&lt;=8),AND(2*DK99&gt;12,2*DK99&lt;=16)),1,0))</f>
        <v>0</v>
      </c>
      <c r="DJ99" s="183">
        <f>IF(AB103&lt;&gt;"Ａ",0,IF(OR(AND(2*DK99&gt;8,2*DK99&lt;=12),AND(2*DK99&gt;16,2*DK99&lt;=24)),1,0))</f>
        <v>0</v>
      </c>
      <c r="DK99" s="783">
        <f>IF(OR(C102="",C102="  RF"),0,IF(Q102="",INT((T102)/2),INT((Q102+INT(T102))/2)+1))</f>
        <v>7</v>
      </c>
      <c r="DL99" s="128" t="s">
        <v>1119</v>
      </c>
      <c r="DM99" s="86">
        <f>IF(AB103&lt;&gt;"Ｂ",0,IF(DB96&lt;=6,1,0))</f>
        <v>0</v>
      </c>
      <c r="DN99" s="86">
        <f>IF(AB103&lt;&gt;"Ｂ",0,IF(AND(DB96&gt;6,DB96&lt;=12),1,0))</f>
        <v>1</v>
      </c>
      <c r="DO99" s="97" t="s">
        <v>96</v>
      </c>
      <c r="DP99" s="86">
        <f>IF(AB103&lt;&gt;"Ｂ",0,IF(DB96&lt;=2,1,0))</f>
        <v>0</v>
      </c>
      <c r="DQ99" s="86">
        <f>IF(AB103&lt;&gt;"Ｂ",0,IF(OR(AND(DB96&gt;2,DB96&lt;6),AND(DB96&gt;6,DB96&lt;=8)),1,0))</f>
        <v>0</v>
      </c>
      <c r="DR99" s="86">
        <f>IF(AB103&lt;&gt;"Ｂ",0,IF(OR(AND(DB96&gt;4,DB96&lt;6),AND(DB96&gt;8,DB96&lt;=12)),1,0))</f>
        <v>1</v>
      </c>
      <c r="DS99" s="128" t="s">
        <v>1118</v>
      </c>
      <c r="DT99" s="159">
        <f>IF(AB103&lt;&gt;"Ｃ",0,IF(DX99&lt;&gt;0,DX99,IF(DY99&lt;&gt;0,DY99,IF(DZ99&lt;&gt;0,DZ99,0))))</f>
        <v>0</v>
      </c>
      <c r="DU99" s="159">
        <f>IF(AB103&lt;&gt;"Ｃ",0,IF(DX99=0,0,1))</f>
        <v>0</v>
      </c>
      <c r="DV99" s="159">
        <f>IF(AB103&lt;&gt;"Ｃ",0,IF(DY99=0,0,1))</f>
        <v>0</v>
      </c>
      <c r="DW99" s="783">
        <f>IF(AB103&lt;&gt;"Ｃ",0,IF(DZ99=0,0,1))</f>
        <v>0</v>
      </c>
      <c r="DX99" s="714">
        <f>IF(AB103&lt;&gt;"Ｃ",0,IF(DB96&lt;=12,3,IF(AND(DB96&gt;12,DB96&lt;=16),4,IF(AND(DB96&gt;16,DB96&lt;=20),5,0))))</f>
        <v>0</v>
      </c>
      <c r="DY99" s="86">
        <f>IF(AB103&lt;&gt;"Ｃ",0,IF(AND(DB96&gt;20,DB96&lt;=24),3,IF(AND(DB96&gt;24,DB96&lt;=32),4,IF(AND(DB96&gt;32,DB96&lt;=40),5,0))))</f>
        <v>0</v>
      </c>
      <c r="DZ99" s="97">
        <f>IF(AB103&lt;&gt;"Ｃ",0,IF(AND(DB96&gt;40,DB96&lt;=48),4,IF(AND(DB96&gt;48,DB96&lt;=60),5,0)))</f>
        <v>0</v>
      </c>
      <c r="EA99" s="96"/>
      <c r="EB99" s="776" t="str">
        <f>IF(OR($B$2=0,X102=""),"","混合器 BS-CS")</f>
        <v/>
      </c>
      <c r="EC99" s="96"/>
      <c r="ED99" s="782" t="str">
        <f>IF(AW102="","","分配器 4D")</f>
        <v/>
      </c>
      <c r="EE99" s="96" t="str">
        <f>AW102</f>
        <v/>
      </c>
      <c r="EF99" s="96"/>
      <c r="EG99" s="96"/>
      <c r="EH99" s="197">
        <f t="shared" si="51"/>
        <v>4</v>
      </c>
      <c r="EI99" s="773" t="str">
        <f t="shared" si="52"/>
        <v/>
      </c>
      <c r="EJ99" s="203" t="str">
        <f>K105</f>
        <v>S-7C-FB</v>
      </c>
      <c r="EK99" s="9"/>
      <c r="EL99" s="9" t="str">
        <f>IF(COUNTIF($EJ$18:EJ98,EJ99)&gt;0,"",EJ99)</f>
        <v/>
      </c>
      <c r="EM99" s="9"/>
      <c r="EN99" s="14">
        <f>T105</f>
        <v>6</v>
      </c>
      <c r="EO99" s="771">
        <f t="shared" si="60"/>
        <v>0</v>
      </c>
      <c r="EP99" s="8"/>
      <c r="EQ99" s="96"/>
      <c r="ER99" s="197">
        <f t="shared" si="54"/>
        <v>3</v>
      </c>
      <c r="ES99" s="773" t="str">
        <f t="shared" si="55"/>
        <v/>
      </c>
      <c r="ET99" s="203" t="str">
        <f t="shared" si="61"/>
        <v/>
      </c>
      <c r="EU99" s="9"/>
      <c r="EV99" s="11" t="str">
        <f>IF(COUNTIF($ET$18:ET98,ET99)&gt;0,"",ET99)</f>
        <v/>
      </c>
      <c r="EW99" s="9"/>
      <c r="EX99" s="124" t="str">
        <f>X102</f>
        <v/>
      </c>
      <c r="EY99" s="771">
        <f t="shared" si="62"/>
        <v>0</v>
      </c>
      <c r="EZ99" s="8"/>
      <c r="FA99" s="96"/>
      <c r="FB99" s="197">
        <f t="shared" si="49"/>
        <v>10</v>
      </c>
      <c r="FC99" s="773" t="str">
        <f t="shared" si="50"/>
        <v/>
      </c>
      <c r="FD99" s="772" t="str">
        <f t="shared" si="63"/>
        <v/>
      </c>
      <c r="FE99" s="9"/>
      <c r="FF99" s="11" t="str">
        <f>IF(COUNTIF($FD$15:FD98,FD99)&gt;0,"",FD99)</f>
        <v/>
      </c>
      <c r="FG99" s="9"/>
      <c r="FH99" s="124" t="str">
        <f>AW102</f>
        <v/>
      </c>
      <c r="FI99" s="771">
        <f t="shared" si="64"/>
        <v>0</v>
      </c>
    </row>
    <row r="100" spans="1:165" ht="11.25" customHeight="1" thickBot="1">
      <c r="B100" s="23"/>
      <c r="C100" s="3819" t="s">
        <v>16</v>
      </c>
      <c r="D100" s="3820"/>
      <c r="E100" s="3821"/>
      <c r="F100" s="3869" t="s">
        <v>22</v>
      </c>
      <c r="G100" s="3870"/>
      <c r="H100" s="3871"/>
      <c r="I100" s="3869" t="s">
        <v>5</v>
      </c>
      <c r="J100" s="3870"/>
      <c r="K100" s="3870"/>
      <c r="L100" s="3871"/>
      <c r="M100" s="3819" t="s">
        <v>1117</v>
      </c>
      <c r="N100" s="3820"/>
      <c r="O100" s="3820"/>
      <c r="P100" s="3821"/>
      <c r="Q100" s="3819" t="s">
        <v>1116</v>
      </c>
      <c r="R100" s="3820"/>
      <c r="S100" s="3821"/>
      <c r="T100" s="3819" t="s">
        <v>1116</v>
      </c>
      <c r="U100" s="3820"/>
      <c r="V100" s="3821"/>
      <c r="W100" s="3861"/>
      <c r="X100" s="3864"/>
      <c r="Y100" s="3864"/>
      <c r="Z100" s="3867"/>
      <c r="AA100" s="3872" t="str">
        <f>IF($AG$15&lt;=65,"40/","35/")</f>
        <v>40/</v>
      </c>
      <c r="AB100" s="3873"/>
      <c r="AC100" s="3873"/>
      <c r="AD100" s="3873" t="str">
        <f>IF(CW249&gt;55,"40/","35/")</f>
        <v>35/</v>
      </c>
      <c r="AE100" s="3873"/>
      <c r="AF100" s="3875"/>
      <c r="AG100" s="3876" t="s">
        <v>1114</v>
      </c>
      <c r="AH100" s="3877"/>
      <c r="AI100" s="3877"/>
      <c r="AJ100" s="3877"/>
      <c r="AK100" s="3877"/>
      <c r="AL100" s="3877"/>
      <c r="AM100" s="3877"/>
      <c r="AN100" s="3877"/>
      <c r="AO100" s="3877"/>
      <c r="AP100" s="3877"/>
      <c r="AQ100" s="3877"/>
      <c r="AR100" s="3878"/>
      <c r="AS100" s="3549" t="s">
        <v>1113</v>
      </c>
      <c r="AT100" s="3550"/>
      <c r="AU100" s="3550"/>
      <c r="AV100" s="3550"/>
      <c r="AW100" s="3550"/>
      <c r="AX100" s="3550"/>
      <c r="AY100" s="3550"/>
      <c r="AZ100" s="3550"/>
      <c r="BA100" s="3550"/>
      <c r="BB100" s="3550"/>
      <c r="BC100" s="3550"/>
      <c r="BD100" s="3551"/>
      <c r="BE100" s="3552" t="s">
        <v>1112</v>
      </c>
      <c r="BF100" s="3553"/>
      <c r="BG100" s="3553"/>
      <c r="BH100" s="3553"/>
      <c r="BI100" s="3553" t="s">
        <v>1111</v>
      </c>
      <c r="BJ100" s="3553"/>
      <c r="BK100" s="3553"/>
      <c r="BL100" s="3553"/>
      <c r="BM100" s="3553" t="s">
        <v>1112</v>
      </c>
      <c r="BN100" s="3553"/>
      <c r="BO100" s="3553"/>
      <c r="BP100" s="3553"/>
      <c r="BQ100" s="3553" t="s">
        <v>1111</v>
      </c>
      <c r="BR100" s="3553"/>
      <c r="BS100" s="3553"/>
      <c r="BT100" s="3919"/>
      <c r="BU100" s="19"/>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15"/>
      <c r="DA100" s="67">
        <f>IF(DC98="＋",F102+F93+3,F102+VALUE(F111)+3)</f>
        <v>11</v>
      </c>
      <c r="DB100" s="98">
        <f>IF(C102="  RF","",IF(AN103="","",非誘!BW66))</f>
        <v>12</v>
      </c>
      <c r="DC100" s="98">
        <f>IF(DB100="","",IF(AN103="","",非誘!BX66))</f>
        <v>24</v>
      </c>
      <c r="DD100" s="3822" t="s">
        <v>1110</v>
      </c>
      <c r="DE100" s="3823"/>
      <c r="DF100" s="3824" t="s">
        <v>1108</v>
      </c>
      <c r="DG100" s="3824"/>
      <c r="DH100" s="3824" t="s">
        <v>1109</v>
      </c>
      <c r="DI100" s="3824"/>
      <c r="DJ100" s="3823" t="s">
        <v>1108</v>
      </c>
      <c r="DK100" s="3823"/>
      <c r="DL100" s="8"/>
      <c r="DM100" s="113" t="s">
        <v>1107</v>
      </c>
      <c r="DN100" s="113" t="s">
        <v>1106</v>
      </c>
      <c r="DO100" s="113" t="s">
        <v>1105</v>
      </c>
      <c r="DP100" s="8"/>
      <c r="DQ100" s="8"/>
      <c r="DR100" s="8"/>
      <c r="DS100" s="8"/>
      <c r="DT100" s="113" t="s">
        <v>1084</v>
      </c>
      <c r="DU100" s="8"/>
      <c r="DV100" s="113" t="s">
        <v>1104</v>
      </c>
      <c r="DW100" s="113" t="s">
        <v>1083</v>
      </c>
      <c r="DX100" s="8"/>
      <c r="DY100" s="113" t="s">
        <v>1104</v>
      </c>
      <c r="DZ100" s="113" t="s">
        <v>1104</v>
      </c>
      <c r="EA100" s="113"/>
      <c r="EB100" s="776" t="str">
        <f>IF(OR($B$2=0,Y102=""),"","混合器 UV-BC")</f>
        <v/>
      </c>
      <c r="EC100" s="15"/>
      <c r="ED100" s="782" t="str">
        <f>IF(BA102="","","分配器 6D")</f>
        <v>分配器 6D</v>
      </c>
      <c r="EE100" s="15">
        <f>BA102</f>
        <v>1</v>
      </c>
      <c r="EF100" s="15"/>
      <c r="EG100" s="15"/>
      <c r="EH100" s="197">
        <f t="shared" si="51"/>
        <v>4</v>
      </c>
      <c r="EI100" s="773" t="str">
        <f t="shared" si="52"/>
        <v/>
      </c>
      <c r="EJ100" s="203" t="str">
        <f>X104</f>
        <v/>
      </c>
      <c r="EK100" s="9"/>
      <c r="EL100" s="9" t="str">
        <f>IF(COUNTIF($EJ$18:EJ99,EJ100)&gt;0,"",EJ100)</f>
        <v/>
      </c>
      <c r="EM100" s="9"/>
      <c r="EN100" s="14" t="str">
        <f>AI104</f>
        <v/>
      </c>
      <c r="EO100" s="771">
        <f t="shared" si="60"/>
        <v>0</v>
      </c>
      <c r="EP100" s="8"/>
      <c r="EQ100" s="15"/>
      <c r="ER100" s="197">
        <f t="shared" si="54"/>
        <v>3</v>
      </c>
      <c r="ES100" s="773" t="str">
        <f t="shared" si="55"/>
        <v/>
      </c>
      <c r="ET100" s="203" t="str">
        <f t="shared" si="61"/>
        <v/>
      </c>
      <c r="EU100" s="9"/>
      <c r="EV100" s="11" t="str">
        <f>IF(COUNTIF($ET$18:ET99,ET100)&gt;0,"",ET100)</f>
        <v/>
      </c>
      <c r="EW100" s="9"/>
      <c r="EX100" s="124" t="str">
        <f>Y102</f>
        <v/>
      </c>
      <c r="EY100" s="771">
        <f t="shared" si="62"/>
        <v>0</v>
      </c>
      <c r="EZ100" s="8"/>
      <c r="FA100" s="15"/>
      <c r="FB100" s="197">
        <f t="shared" si="49"/>
        <v>10</v>
      </c>
      <c r="FC100" s="773" t="str">
        <f t="shared" si="50"/>
        <v/>
      </c>
      <c r="FD100" s="772" t="str">
        <f t="shared" si="63"/>
        <v>分配器 6D</v>
      </c>
      <c r="FE100" s="9"/>
      <c r="FF100" s="11" t="str">
        <f>IF(COUNTIF($FD$15:FD99,FD100)&gt;0,"",FD100)</f>
        <v/>
      </c>
      <c r="FG100" s="9"/>
      <c r="FH100" s="124">
        <f>BA102</f>
        <v>1</v>
      </c>
      <c r="FI100" s="771">
        <f t="shared" si="64"/>
        <v>0</v>
      </c>
    </row>
    <row r="101" spans="1:165" ht="11.25" customHeight="1" thickBot="1">
      <c r="B101" s="23"/>
      <c r="C101" s="3819"/>
      <c r="D101" s="3820"/>
      <c r="E101" s="3821"/>
      <c r="F101" s="3827" t="s">
        <v>113</v>
      </c>
      <c r="G101" s="3769"/>
      <c r="H101" s="3828"/>
      <c r="I101" s="3819" t="s">
        <v>113</v>
      </c>
      <c r="J101" s="3820"/>
      <c r="K101" s="3820"/>
      <c r="L101" s="3821"/>
      <c r="M101" s="3819" t="s">
        <v>1103</v>
      </c>
      <c r="N101" s="3820"/>
      <c r="O101" s="3820"/>
      <c r="P101" s="3821"/>
      <c r="Q101" s="3819" t="s">
        <v>1102</v>
      </c>
      <c r="R101" s="3820"/>
      <c r="S101" s="3821"/>
      <c r="T101" s="3819" t="s">
        <v>115</v>
      </c>
      <c r="U101" s="3820"/>
      <c r="V101" s="3821"/>
      <c r="W101" s="3862"/>
      <c r="X101" s="3865"/>
      <c r="Y101" s="3865"/>
      <c r="Z101" s="3868"/>
      <c r="AA101" s="3829">
        <f>IF($AG$15&lt;=65,115,110)</f>
        <v>115</v>
      </c>
      <c r="AB101" s="3562"/>
      <c r="AC101" s="3562"/>
      <c r="AD101" s="3562">
        <f>IF(CW249&gt;55,115,110)</f>
        <v>110</v>
      </c>
      <c r="AE101" s="3562"/>
      <c r="AF101" s="3830"/>
      <c r="AG101" s="3831" t="s">
        <v>1101</v>
      </c>
      <c r="AH101" s="3832"/>
      <c r="AI101" s="3832"/>
      <c r="AJ101" s="3833"/>
      <c r="AK101" s="3834" t="s">
        <v>1100</v>
      </c>
      <c r="AL101" s="3832"/>
      <c r="AM101" s="3832"/>
      <c r="AN101" s="3833"/>
      <c r="AO101" s="3834" t="s">
        <v>1098</v>
      </c>
      <c r="AP101" s="3832"/>
      <c r="AQ101" s="3832"/>
      <c r="AR101" s="3835"/>
      <c r="AS101" s="3836" t="s">
        <v>1097</v>
      </c>
      <c r="AT101" s="3832"/>
      <c r="AU101" s="3832"/>
      <c r="AV101" s="3833"/>
      <c r="AW101" s="3844" t="s">
        <v>1095</v>
      </c>
      <c r="AX101" s="3845"/>
      <c r="AY101" s="3845"/>
      <c r="AZ101" s="3846"/>
      <c r="BA101" s="3558" t="s">
        <v>1169</v>
      </c>
      <c r="BB101" s="3559"/>
      <c r="BC101" s="3559"/>
      <c r="BD101" s="3560"/>
      <c r="BE101" s="3561" t="s">
        <v>1168</v>
      </c>
      <c r="BF101" s="3562"/>
      <c r="BG101" s="3562"/>
      <c r="BH101" s="3562"/>
      <c r="BI101" s="3850" t="s">
        <v>1167</v>
      </c>
      <c r="BJ101" s="3562"/>
      <c r="BK101" s="3562"/>
      <c r="BL101" s="3562"/>
      <c r="BM101" s="3850" t="s">
        <v>1166</v>
      </c>
      <c r="BN101" s="3562"/>
      <c r="BO101" s="3562"/>
      <c r="BP101" s="3562"/>
      <c r="BQ101" s="3850" t="s">
        <v>1165</v>
      </c>
      <c r="BR101" s="3562"/>
      <c r="BS101" s="3562"/>
      <c r="BT101" s="3830"/>
      <c r="BU101" s="19"/>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90"/>
      <c r="DA101" s="15"/>
      <c r="DB101" s="98">
        <f>IF(C102="","",IF(AZ103="①",DB100+DC100+3,IF(AZ103="②",DB100*5/8+DC100+3,IF(AZ103="③",DB100/2+DC100+3,IF(AZ103="④",DB100+DC100*5/8+3,IF(AZ103="⑤",(DB100+DC100)*5/8+3,IF(AZ103="⑥",DB100/2+DC100*5/8+3,IF(AZ103="⑦",DB100+DC100/2+3,IF(AZ103="⑧",DB100*5/8+DC100/2+3,IF(AZ103="⑨",(DB100+DC100)/2+3))))))))))</f>
        <v>27</v>
      </c>
      <c r="DC101" s="180" t="s">
        <v>1164</v>
      </c>
      <c r="DD101" s="2589" t="str">
        <f>IF($AL$10="nC-FB","S-5C-FB",IF($AL$10="nD-FB","5D-FB","5C-2V"))</f>
        <v>S-5C-FB</v>
      </c>
      <c r="DE101" s="2591"/>
      <c r="DF101" s="3631">
        <f>IF(C102="  RF",DF92,IF($H$15="ＣＡＴＶ",DB100+DC100/2+F102-($AM$8-$AM$7)/1000+DR101,SUM(DM101:DO101)))</f>
        <v>58.5</v>
      </c>
      <c r="DG101" s="3812"/>
      <c r="DH101" s="2589" t="str">
        <f>IF($H$17="ＣＡＴＶ","G-22mm",IF(RIGHT($AB$17,1)+RIGHT($AF$17,1)+RIGHT($AJ$17,1)&gt;=4,"G-36mm","G-28mm"))</f>
        <v>G-28mm</v>
      </c>
      <c r="DI101" s="2591"/>
      <c r="DJ101" s="3631">
        <f>IF(C102="",0,IF(C102="  RF",DJ92,IF($H$15="ＣＡＴＶ",DB100+DC100/2+F102-($AM$8-$AM$7)/1000,10+F102-($AM$8-$AM$7)/1000)))</f>
        <v>14.5</v>
      </c>
      <c r="DK101" s="3812"/>
      <c r="DL101" s="15"/>
      <c r="DM101" s="98">
        <f>IF(OR($B$2=0,$H$15="ＣＡＴＶ",C102="",C102="  RF"),0,IF($AB$17="","",RIGHT($AB$17,1)*15+F102-($AM$8-$AM$7)/1000))</f>
        <v>19.5</v>
      </c>
      <c r="DN101" s="98">
        <f>IF(OR($B$2=0,$H$15="ＣＡＴＶ",C102="",C102="  RF"),0,IF($AF$17="","",15+F102-($AM$8-$AM$7)/1000))</f>
        <v>19.5</v>
      </c>
      <c r="DO101" s="98">
        <f>IF(OR($B$2=0,$H$15="ＣＡＴＶ",C102="",C102="  RF"),0,IF($AJ$17="","",15+F102-($AM$8-$AM$7)/1000))</f>
        <v>19.5</v>
      </c>
      <c r="DP101" s="15"/>
      <c r="DQ101" s="46" t="s">
        <v>1087</v>
      </c>
      <c r="DR101" s="98" t="str">
        <f>IF($H$17="ＣＡＴＶ",#REF!+#REF!,"")</f>
        <v/>
      </c>
      <c r="DS101" s="128" t="s">
        <v>1118</v>
      </c>
      <c r="DT101" s="159">
        <f>IF(AB103&lt;&gt;"Ｃ",0,IF(DY101&lt;&gt;0,DY101,IF(DZ101&lt;&gt;0,DZ101,0)))</f>
        <v>0</v>
      </c>
      <c r="DU101" s="8"/>
      <c r="DV101" s="86">
        <f>IF(AB103&lt;&gt;"Ｃ",0,IF(DY101=0,0,1))</f>
        <v>0</v>
      </c>
      <c r="DW101" s="86">
        <f>IF(AB103&lt;&gt;"Ｃ",0,IF(DZ101=0,0,1))</f>
        <v>0</v>
      </c>
      <c r="DX101" s="8"/>
      <c r="DY101" s="86">
        <f>IF(AB103&lt;&gt;"Ｃ",0,IF(AND(DB96&gt;60,DB96&lt;=64),4,IF(AND(DB96&gt;64,DB96&lt;=80),5,0)))</f>
        <v>0</v>
      </c>
      <c r="DZ101" s="86">
        <f>IF(AB103&lt;&gt;"Ｃ",0,IF(AND(DB96&gt;80,DB96&lt;=96),4,IF(AND(DB96&gt;96,DB96&lt;=120),5,0)))</f>
        <v>0</v>
      </c>
      <c r="EA101" s="38"/>
      <c r="EB101" s="776" t="str">
        <f>IF(OR($B$2=0,Z102=""),"","混合器 UV-BC")</f>
        <v/>
      </c>
      <c r="EC101" s="12"/>
      <c r="ED101" s="122" t="str">
        <f>IF(BE102="","","直列Unit-中間1端子")</f>
        <v/>
      </c>
      <c r="EE101" s="38" t="str">
        <f>BE102</f>
        <v/>
      </c>
      <c r="EF101" s="38"/>
      <c r="EG101" s="38"/>
      <c r="EH101" s="197">
        <f t="shared" si="51"/>
        <v>4</v>
      </c>
      <c r="EI101" s="773" t="str">
        <f t="shared" si="52"/>
        <v/>
      </c>
      <c r="EJ101" s="203" t="str">
        <f>X105</f>
        <v>PF-S-22mm</v>
      </c>
      <c r="EK101" s="9"/>
      <c r="EL101" s="9" t="str">
        <f>IF(COUNTIF($EJ$18:EJ100,EJ101)&gt;0,"",EJ101)</f>
        <v/>
      </c>
      <c r="EM101" s="9"/>
      <c r="EN101" s="14">
        <f>AI105</f>
        <v>4</v>
      </c>
      <c r="EO101" s="771">
        <f t="shared" si="60"/>
        <v>0</v>
      </c>
      <c r="EP101" s="8"/>
      <c r="EQ101" s="38"/>
      <c r="ER101" s="197">
        <f t="shared" si="54"/>
        <v>3</v>
      </c>
      <c r="ES101" s="773" t="str">
        <f t="shared" si="55"/>
        <v/>
      </c>
      <c r="ET101" s="203" t="str">
        <f t="shared" si="61"/>
        <v/>
      </c>
      <c r="EU101" s="9"/>
      <c r="EV101" s="11" t="str">
        <f>IF(COUNTIF($ET$18:ET100,ET101)&gt;0,"",ET101)</f>
        <v/>
      </c>
      <c r="EW101" s="9"/>
      <c r="EX101" s="124">
        <f>Z102</f>
        <v>0</v>
      </c>
      <c r="EY101" s="771">
        <f t="shared" si="62"/>
        <v>0</v>
      </c>
      <c r="EZ101" s="8"/>
      <c r="FA101" s="38"/>
      <c r="FB101" s="197">
        <f t="shared" si="49"/>
        <v>10</v>
      </c>
      <c r="FC101" s="773" t="str">
        <f t="shared" si="50"/>
        <v/>
      </c>
      <c r="FD101" s="772" t="str">
        <f t="shared" si="63"/>
        <v/>
      </c>
      <c r="FE101" s="9"/>
      <c r="FF101" s="11" t="str">
        <f>IF(COUNTIF($FD$15:FD100,FD101)&gt;0,"",FD101)</f>
        <v/>
      </c>
      <c r="FG101" s="9"/>
      <c r="FH101" s="124" t="str">
        <f>BE102</f>
        <v/>
      </c>
      <c r="FI101" s="771">
        <f t="shared" si="64"/>
        <v>0</v>
      </c>
    </row>
    <row r="102" spans="1:165" ht="11.25" customHeight="1">
      <c r="A102" s="8">
        <v>9</v>
      </c>
      <c r="B102" s="23"/>
      <c r="C102" s="3837" t="str">
        <f>非誘!C66</f>
        <v xml:space="preserve">  7F</v>
      </c>
      <c r="D102" s="3837"/>
      <c r="E102" s="3837"/>
      <c r="F102" s="3838">
        <f>非誘!F66</f>
        <v>4</v>
      </c>
      <c r="G102" s="3839"/>
      <c r="H102" s="3840"/>
      <c r="I102" s="3838">
        <f>非誘!J66</f>
        <v>3</v>
      </c>
      <c r="J102" s="3839"/>
      <c r="K102" s="3839"/>
      <c r="L102" s="3840"/>
      <c r="M102" s="3841">
        <f>非誘!N66</f>
        <v>1152</v>
      </c>
      <c r="N102" s="3842"/>
      <c r="O102" s="3842"/>
      <c r="P102" s="3843"/>
      <c r="Q102" s="3537">
        <f>非誘!AA66</f>
        <v>3</v>
      </c>
      <c r="R102" s="3537"/>
      <c r="S102" s="3537"/>
      <c r="T102" s="3537">
        <f>非誘!AD66</f>
        <v>9</v>
      </c>
      <c r="U102" s="3537"/>
      <c r="V102" s="3537"/>
      <c r="W102" s="795" t="str">
        <f>IF(OR(AK23="不要",C102&lt;&gt;$X$10),"",IF(AND($AB$17="UHF×3",$AF$17&lt;&gt;"",$AJ$17&lt;&gt;""),2,IF(OR(AND($AB$17="UHF×3",$AB$17="",$AJ$17=""),AND($AB$17="UHF×3",$AF$17&lt;&gt;"",$AJ$17=""),AND($AB$17="UHF×2",$AF$17&lt;&gt;"",$AJ$17&lt;&gt;"")),1,"")))</f>
        <v/>
      </c>
      <c r="X102" s="794" t="str">
        <f>IF(OR(AK23="不要",C102&lt;&gt;$X$10),"",IF(AND($AB$17&lt;&gt;"",$AF$17&lt;&gt;"",$AJ$17&lt;&gt;""),1,""))</f>
        <v/>
      </c>
      <c r="Y102" s="794" t="str">
        <f>IF(OR(AK23="不要",C102&lt;&gt;$X$10),"",IF(AND(OR($AB$17="UHF×2",$AB$17="UHF×3"),$AF$17&lt;&gt;"",$AJ$17=""),1,""))</f>
        <v/>
      </c>
      <c r="Z102" s="793"/>
      <c r="AA102" s="3847" t="str">
        <f>IF($B$2=0,"",IF(AND(AK23&lt;&gt;"不要",DC98="＝"),1,""))</f>
        <v/>
      </c>
      <c r="AB102" s="3848"/>
      <c r="AC102" s="3848"/>
      <c r="AD102" s="3848">
        <f>IF($B$2=0,"",IF(OR(AK23="不要",C102="",C102="  RF"),"",IF(AK23="設置",1,"")))</f>
        <v>1</v>
      </c>
      <c r="AE102" s="3848"/>
      <c r="AF102" s="3849"/>
      <c r="AG102" s="3837" t="str">
        <f>IF(OR(AK23="不要",C102="",C102="  RF"),"",IF(AI102&lt;&gt;"",AI102,IF(DE99+DM99+DT99+DT101+DT103=0,"",DE99+DM99+DT99+DT101+DT103)))</f>
        <v/>
      </c>
      <c r="AH102" s="3837"/>
      <c r="AI102" s="3915"/>
      <c r="AJ102" s="3915"/>
      <c r="AK102" s="3837">
        <f>IF(OR(AK23="不要",C102="",C102="  RF"),"",IF(AM102&lt;&gt;"",AM102,IF(DF99+DN99=0,"",DF99+DN99)))</f>
        <v>1</v>
      </c>
      <c r="AL102" s="3837"/>
      <c r="AM102" s="3915"/>
      <c r="AN102" s="3915"/>
      <c r="AO102" s="3813" t="str">
        <f>IF(AQ102="","",AQ102)</f>
        <v/>
      </c>
      <c r="AP102" s="3814"/>
      <c r="AQ102" s="3915"/>
      <c r="AR102" s="3915"/>
      <c r="AS102" s="3916" t="str">
        <f>IF(OR(AK23="不要",C102="  RF"),"",IF(AU102&lt;&gt;"",AU102,IF(DH99+DP99+DU99+DX99+DY99+DZ99=0,"",DH99+DP99+DU99+DX99+DY99+DZ99)))</f>
        <v/>
      </c>
      <c r="AT102" s="3837"/>
      <c r="AU102" s="3915"/>
      <c r="AV102" s="3915"/>
      <c r="AW102" s="3837" t="str">
        <f>IF(OR(AK23="不要",C102="  RF"),"",IF(AY102&lt;&gt;"",AY102,IF(DI99+DQ99+DV99+DV101+DY101+DZ101=0,"",DI99+DQ99+DV99+DV101+DY101+DZ101)))</f>
        <v/>
      </c>
      <c r="AX102" s="3837"/>
      <c r="AY102" s="3915"/>
      <c r="AZ102" s="3915"/>
      <c r="BA102" s="3837">
        <f>IF(OR(AK23="不要",C102="  RF"),"",IF(BC102&lt;&gt;"",BC102,IF(DJ99+DR99+DW99+DW101+DW103+DZ103=0,"",DJ99+DR99+DW99+DW101+DW103+DZ103)))</f>
        <v>1</v>
      </c>
      <c r="BB102" s="3837"/>
      <c r="BC102" s="3915"/>
      <c r="BD102" s="3915"/>
      <c r="BE102" s="3837" t="str">
        <f>IF(OR(AK23="不要",$X$11="2端子",C102="",C102="  RF"),"",IF(BG102&lt;&gt;"",BG102,IF(AND(AB103="Ａ",$X$11="1端子"),DK99,"")))</f>
        <v/>
      </c>
      <c r="BF102" s="3837"/>
      <c r="BG102" s="3837" t="str">
        <f>IF(AND(BO102&lt;&gt;"",AB103="Ａ",$X$11="1端子"),BO102,"")</f>
        <v/>
      </c>
      <c r="BH102" s="3837"/>
      <c r="BI102" s="3916" t="str">
        <f>IF(OR(AK23="不要",$X$11="1端子",C102="",C102="  RF"),"",IF(BK102&lt;&gt;"",BK102,IF(AND(AB103="Ａ",$X$11="2端子"),DK99,"")))</f>
        <v/>
      </c>
      <c r="BJ102" s="3837"/>
      <c r="BK102" s="3837" t="str">
        <f>IF(AND(BS102&lt;&gt;"",AB103="Ａ",$X$11="2端子"),BS102,"")</f>
        <v/>
      </c>
      <c r="BL102" s="3837"/>
      <c r="BM102" s="3837">
        <f>IF(OR(AK23="不要",C102="  RF",C102="",$X$11="2端子"),"",IF(BO102&lt;&gt;"",BO102,IF(AND(AB103="Ａ",$X$11="1端子"),DK99,DK97)))</f>
        <v>12</v>
      </c>
      <c r="BN102" s="3837"/>
      <c r="BO102" s="3915"/>
      <c r="BP102" s="3915"/>
      <c r="BQ102" s="3837" t="str">
        <f>IF(OR(AK23="不要",C102="  RF",C102="",$X$11="1端子"),"",IF(BS102&lt;&gt;"",BS102,IF(AND(AB103="Ａ",$X$11="2端子"),DK99,DK97)))</f>
        <v/>
      </c>
      <c r="BR102" s="3837"/>
      <c r="BS102" s="3915"/>
      <c r="BT102" s="3918"/>
      <c r="BU102" s="19"/>
      <c r="BV102" s="8"/>
      <c r="BW102" s="88">
        <f>IF(I102="直天",F102,I102)</f>
        <v>3</v>
      </c>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38"/>
      <c r="DA102" s="15"/>
      <c r="DB102" s="15"/>
      <c r="DC102" s="180" t="s">
        <v>1086</v>
      </c>
      <c r="DD102" s="2589" t="str">
        <f>IF($AL$10="nC-FB","S-7C-FB",IF($AL$10="nD-FB","8D-FB","7C-2V"))</f>
        <v>S-7C-FB</v>
      </c>
      <c r="DE102" s="2591"/>
      <c r="DF102" s="3631">
        <f>IF(OR(C102="",C102="  RF"),0,IF(AB103="Ｃ",2.5*AG102+(DB100+DC100),F102+2))</f>
        <v>6</v>
      </c>
      <c r="DG102" s="3812"/>
      <c r="DH102" s="2589" t="str">
        <f>IF(OR(H103="天井ケーブル",H103="天井-PF管"),"PF-S-22mm",IF(H103="天井-CD管","CD-22mm",IF(H103="天井-C 管","C-25mm",IF(H103="天井-G 管","G-22mm",""))))</f>
        <v>PF-S-22mm</v>
      </c>
      <c r="DI102" s="2591"/>
      <c r="DJ102" s="3631">
        <f>IF(OR(C102="",C102="  RF"),0,IF(AB103="Ｃ",F102-($AM$8-$AM$7)/1000,F102))</f>
        <v>4</v>
      </c>
      <c r="DK102" s="3812"/>
      <c r="DL102" s="778"/>
      <c r="DM102" s="112"/>
      <c r="DN102" s="190" t="s">
        <v>1085</v>
      </c>
      <c r="DO102" s="98">
        <f>IF(OR(C102="",C102="  RF"),0,(DB100+DC100)/2/SQRT(DK99))</f>
        <v>6.8033605141660898</v>
      </c>
      <c r="DP102" s="15"/>
      <c r="DQ102" s="15"/>
      <c r="DR102" s="15"/>
      <c r="DS102" s="8"/>
      <c r="DT102" s="113" t="s">
        <v>1084</v>
      </c>
      <c r="DU102" s="8"/>
      <c r="DV102" s="113"/>
      <c r="DW102" s="113" t="s">
        <v>1083</v>
      </c>
      <c r="DX102" s="8"/>
      <c r="DY102" s="8"/>
      <c r="DZ102" s="113" t="s">
        <v>1083</v>
      </c>
      <c r="EA102" s="113"/>
      <c r="EB102" s="776" t="str">
        <f>IF(OR($B$2=0,AA102=""),"","増幅器 "&amp;AA100&amp;AA101)</f>
        <v/>
      </c>
      <c r="EC102" s="15"/>
      <c r="ED102" s="122" t="str">
        <f>IF(BI102="","","直列Unit-中間2端子")</f>
        <v/>
      </c>
      <c r="EE102" s="15" t="str">
        <f>BI102</f>
        <v/>
      </c>
      <c r="EF102" s="15"/>
      <c r="EG102" s="15"/>
      <c r="EH102" s="197">
        <f t="shared" si="51"/>
        <v>4</v>
      </c>
      <c r="EI102" s="773" t="str">
        <f t="shared" si="52"/>
        <v/>
      </c>
      <c r="EJ102" s="203" t="str">
        <f>AS104</f>
        <v>S-5C-FB</v>
      </c>
      <c r="EK102" s="9"/>
      <c r="EL102" s="9" t="str">
        <f>IF(COUNTIF($EJ$18:EJ101,EJ102)&gt;0,"",EJ102)</f>
        <v/>
      </c>
      <c r="EM102" s="9"/>
      <c r="EN102" s="14">
        <f>BB104</f>
        <v>178.84032616999309</v>
      </c>
      <c r="EO102" s="771">
        <f t="shared" si="60"/>
        <v>0</v>
      </c>
      <c r="EP102" s="8"/>
      <c r="EQ102" s="15"/>
      <c r="ER102" s="197">
        <f t="shared" si="54"/>
        <v>3</v>
      </c>
      <c r="ES102" s="773" t="str">
        <f t="shared" si="55"/>
        <v/>
      </c>
      <c r="ET102" s="203" t="str">
        <f t="shared" si="61"/>
        <v/>
      </c>
      <c r="EU102" s="9"/>
      <c r="EV102" s="11" t="str">
        <f>IF(COUNTIF($ET$18:ET101,ET102)&gt;0,"",ET102)</f>
        <v/>
      </c>
      <c r="EW102" s="9"/>
      <c r="EX102" s="124" t="str">
        <f>AA102</f>
        <v/>
      </c>
      <c r="EY102" s="771">
        <f t="shared" si="62"/>
        <v>0</v>
      </c>
      <c r="EZ102" s="8"/>
      <c r="FA102" s="15"/>
      <c r="FB102" s="197">
        <f t="shared" si="49"/>
        <v>10</v>
      </c>
      <c r="FC102" s="773" t="str">
        <f t="shared" si="50"/>
        <v/>
      </c>
      <c r="FD102" s="772" t="str">
        <f t="shared" si="63"/>
        <v/>
      </c>
      <c r="FE102" s="9"/>
      <c r="FF102" s="11" t="str">
        <f>IF(COUNTIF($FD$15:FD101,FD102)&gt;0,"",FD102)</f>
        <v/>
      </c>
      <c r="FG102" s="9"/>
      <c r="FH102" s="124" t="str">
        <f>BI102</f>
        <v/>
      </c>
      <c r="FI102" s="771">
        <f t="shared" si="64"/>
        <v>0</v>
      </c>
    </row>
    <row r="103" spans="1:165" ht="12" customHeight="1">
      <c r="A103" s="8"/>
      <c r="B103" s="23"/>
      <c r="C103" s="2634" t="s">
        <v>135</v>
      </c>
      <c r="D103" s="2634"/>
      <c r="E103" s="2634"/>
      <c r="F103" s="2634"/>
      <c r="G103" s="2634"/>
      <c r="H103" s="3904" t="str">
        <f>IF($B$2=0,"",IF(P103="","天井ケーブル",P103))</f>
        <v>天井ケーブル</v>
      </c>
      <c r="I103" s="3904"/>
      <c r="J103" s="3904"/>
      <c r="K103" s="3904"/>
      <c r="L103" s="3904"/>
      <c r="M103" s="3904"/>
      <c r="N103" s="3904"/>
      <c r="O103" s="173" t="s">
        <v>2</v>
      </c>
      <c r="P103" s="3796"/>
      <c r="Q103" s="3797"/>
      <c r="R103" s="3797"/>
      <c r="S103" s="3797"/>
      <c r="T103" s="3797"/>
      <c r="U103" s="3797"/>
      <c r="V103" s="3798"/>
      <c r="W103" s="2634" t="s">
        <v>1082</v>
      </c>
      <c r="X103" s="2634"/>
      <c r="Y103" s="2634"/>
      <c r="Z103" s="2634"/>
      <c r="AA103" s="2634"/>
      <c r="AB103" s="3799" t="str">
        <f>IF(AK23="不要","",IF(AF103&lt;&gt;"",AF103,DB97))</f>
        <v>Ｂ</v>
      </c>
      <c r="AC103" s="3799"/>
      <c r="AD103" s="3799"/>
      <c r="AE103" s="173" t="s">
        <v>2</v>
      </c>
      <c r="AF103" s="3800"/>
      <c r="AG103" s="3801"/>
      <c r="AH103" s="3802"/>
      <c r="AI103" s="2634" t="s">
        <v>20</v>
      </c>
      <c r="AJ103" s="2634"/>
      <c r="AK103" s="2634"/>
      <c r="AL103" s="2634"/>
      <c r="AM103" s="2634"/>
      <c r="AN103" s="3522">
        <f>IF(OR(C102="",C102="  RF"),"",非誘!J65)</f>
        <v>0.5</v>
      </c>
      <c r="AO103" s="3523"/>
      <c r="AP103" s="3523"/>
      <c r="AQ103" s="3524"/>
      <c r="AR103" s="3507" t="s">
        <v>1081</v>
      </c>
      <c r="AS103" s="3461"/>
      <c r="AT103" s="3461"/>
      <c r="AU103" s="3461"/>
      <c r="AV103" s="3461"/>
      <c r="AW103" s="3461"/>
      <c r="AX103" s="3461"/>
      <c r="AY103" s="3461"/>
      <c r="AZ103" s="3563" t="str">
        <f>IF(OR(C102="",C102="  RF"),"",IF(BC103="",$AN$11,BC103))</f>
        <v>⑦</v>
      </c>
      <c r="BA103" s="3563"/>
      <c r="BB103" s="777" t="s">
        <v>2</v>
      </c>
      <c r="BC103" s="3521"/>
      <c r="BD103" s="3521"/>
      <c r="BE103" s="3564"/>
      <c r="BF103" s="3565"/>
      <c r="BG103" s="3565"/>
      <c r="BH103" s="3565"/>
      <c r="BI103" s="3565"/>
      <c r="BJ103" s="3565"/>
      <c r="BK103" s="3565"/>
      <c r="BL103" s="3565"/>
      <c r="BM103" s="3565"/>
      <c r="BN103" s="3565"/>
      <c r="BO103" s="3565"/>
      <c r="BP103" s="3565"/>
      <c r="BQ103" s="3565"/>
      <c r="BR103" s="3565"/>
      <c r="BS103" s="3565"/>
      <c r="BT103" s="3566"/>
      <c r="BU103" s="19"/>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38"/>
      <c r="DA103" s="15"/>
      <c r="DB103" s="8"/>
      <c r="DC103" s="180" t="s">
        <v>1212</v>
      </c>
      <c r="DD103" s="2589" t="str">
        <f>IF($AL$10="nC-FB","S-5C-FB",IF($AL$10="nD-FB","5D-FB","5C-2V"))</f>
        <v>S-5C-FB</v>
      </c>
      <c r="DE103" s="2591"/>
      <c r="DF103" s="3631">
        <f>IF(AB103="Ａ",(DK99+2*BW102-($X$7+$X$9)/1000)*DO102+(12+2*BW102-2*$X$9/1000)*DK99+DO103,IF(AB103="Ｂ",(DO102+2*BW102-$X$9/1000)*DK97+DO103,0))</f>
        <v>178.84032616999309</v>
      </c>
      <c r="DG103" s="3812"/>
      <c r="DH103" s="2589" t="str">
        <f>IF(OR(H103="天井ケーブル",H103="天井-PF管"),"PF-S-16mm",IF(H103="天井-CD管","CD-16mm",IF(H103="天井-C 管","C-19mm",IF(H103="天井-G 管","G-16mm",""))))</f>
        <v>PF-S-16mm</v>
      </c>
      <c r="DI103" s="2591"/>
      <c r="DJ103" s="3631">
        <f>IF(OR(C102="",C102="  RF"),0,IF(H103="天井ケーブル",DK97*(BW102-($X$9-$AM$9)/1000),(DO102+2*BW102-$X$9/1000)*DK97+DO103))</f>
        <v>37.799999999999997</v>
      </c>
      <c r="DK103" s="3812"/>
      <c r="DL103" s="15"/>
      <c r="DM103" s="46"/>
      <c r="DN103" s="46" t="s">
        <v>1218</v>
      </c>
      <c r="DO103" s="98">
        <f>DB101</f>
        <v>27</v>
      </c>
      <c r="DP103" s="15"/>
      <c r="DQ103" s="15"/>
      <c r="DR103" s="15"/>
      <c r="DS103" s="128" t="s">
        <v>1154</v>
      </c>
      <c r="DT103" s="86">
        <f>IF(AB103&lt;&gt;"Ｃ",0,IF(DZ103=0,0,DZ103))</f>
        <v>0</v>
      </c>
      <c r="DU103" s="8"/>
      <c r="DV103" s="8"/>
      <c r="DW103" s="86">
        <f>IF(AB103&lt;&gt;"Ｃ",0,IF(DZ103=0,0,1))</f>
        <v>0</v>
      </c>
      <c r="DX103" s="8"/>
      <c r="DY103" s="8"/>
      <c r="DZ103" s="86">
        <f>IF(AB103&lt;&gt;"Ｃ",0,IF(AND(DB96&gt;120,DB96&lt;=144),4,IF(AND(DB96&gt;144,DB96&lt;=180),5,0)))</f>
        <v>0</v>
      </c>
      <c r="EA103" s="38"/>
      <c r="EB103" s="776" t="str">
        <f>IF(OR($B$2=0,AD102=""),"","増幅器 "&amp;AD100&amp;AD101)</f>
        <v>増幅器 35/110</v>
      </c>
      <c r="EC103" s="38"/>
      <c r="ED103" s="122" t="str">
        <f>IF(BM102="","","直列Unit-終端1端子")</f>
        <v>直列Unit-終端1端子</v>
      </c>
      <c r="EE103" s="38">
        <f>BM102</f>
        <v>12</v>
      </c>
      <c r="EF103" s="38"/>
      <c r="EG103" s="38"/>
      <c r="EH103" s="197">
        <f t="shared" si="51"/>
        <v>4</v>
      </c>
      <c r="EI103" s="773" t="str">
        <f t="shared" si="52"/>
        <v/>
      </c>
      <c r="EJ103" s="203" t="str">
        <f>AS105</f>
        <v/>
      </c>
      <c r="EK103" s="9"/>
      <c r="EL103" s="9" t="str">
        <f>IF(COUNTIF($EJ$18:EJ102,EJ103)&gt;0,"",EJ103)</f>
        <v/>
      </c>
      <c r="EM103" s="9"/>
      <c r="EN103" s="14" t="str">
        <f>BB105</f>
        <v/>
      </c>
      <c r="EO103" s="771">
        <f t="shared" si="60"/>
        <v>0</v>
      </c>
      <c r="EP103" s="8"/>
      <c r="EQ103" s="38"/>
      <c r="ER103" s="197">
        <f t="shared" si="54"/>
        <v>3</v>
      </c>
      <c r="ES103" s="773" t="str">
        <f t="shared" si="55"/>
        <v/>
      </c>
      <c r="ET103" s="203" t="str">
        <f t="shared" si="61"/>
        <v>増幅器 35/110</v>
      </c>
      <c r="EU103" s="9"/>
      <c r="EV103" s="11" t="str">
        <f>IF(COUNTIF($ET$18:ET102,ET103)&gt;0,"",ET103)</f>
        <v/>
      </c>
      <c r="EW103" s="9"/>
      <c r="EX103" s="124">
        <f>AD102</f>
        <v>1</v>
      </c>
      <c r="EY103" s="771">
        <f t="shared" si="62"/>
        <v>0</v>
      </c>
      <c r="EZ103" s="8"/>
      <c r="FA103" s="38"/>
      <c r="FB103" s="197">
        <f t="shared" si="49"/>
        <v>10</v>
      </c>
      <c r="FC103" s="773" t="str">
        <f t="shared" si="50"/>
        <v/>
      </c>
      <c r="FD103" s="772" t="str">
        <f t="shared" si="63"/>
        <v>直列Unit-終端1端子</v>
      </c>
      <c r="FE103" s="9"/>
      <c r="FF103" s="11" t="str">
        <f>IF(COUNTIF($FD$15:FD102,FD103)&gt;0,"",FD103)</f>
        <v/>
      </c>
      <c r="FG103" s="9"/>
      <c r="FH103" s="124">
        <f>BM102</f>
        <v>12</v>
      </c>
      <c r="FI103" s="771">
        <f t="shared" si="64"/>
        <v>0</v>
      </c>
    </row>
    <row r="104" spans="1:165" ht="12" customHeight="1">
      <c r="A104" s="8"/>
      <c r="B104" s="23"/>
      <c r="C104" s="3905" t="s">
        <v>449</v>
      </c>
      <c r="D104" s="3905"/>
      <c r="E104" s="3905"/>
      <c r="F104" s="3904" t="str">
        <f>IF($H$15="ＣＡＴＶ","CATV引込","アンテナ部")</f>
        <v>アンテナ部</v>
      </c>
      <c r="G104" s="3904"/>
      <c r="H104" s="3904"/>
      <c r="I104" s="3904"/>
      <c r="J104" s="3904"/>
      <c r="K104" s="3908" t="str">
        <f>IF(OR(AK23="不要",$B$2=0,C102&lt;&gt;$X$10),"",IF(P104&lt;&gt;"",P104,DD101))</f>
        <v/>
      </c>
      <c r="L104" s="3908"/>
      <c r="M104" s="3908"/>
      <c r="N104" s="3908"/>
      <c r="O104" s="173" t="s">
        <v>68</v>
      </c>
      <c r="P104" s="3517"/>
      <c r="Q104" s="3517"/>
      <c r="R104" s="3517"/>
      <c r="S104" s="3517"/>
      <c r="T104" s="3526" t="str">
        <f>IF(AND(C102&lt;&gt;"",K104&lt;&gt;""),DF101,"")</f>
        <v/>
      </c>
      <c r="U104" s="3526"/>
      <c r="V104" s="3526"/>
      <c r="W104" s="3526"/>
      <c r="X104" s="3908" t="str">
        <f>IF(OR($B$2=0,K104=""),"",IF(AD104&lt;&gt;"",AD104,DH101))</f>
        <v/>
      </c>
      <c r="Y104" s="3908"/>
      <c r="Z104" s="3908"/>
      <c r="AA104" s="3908"/>
      <c r="AB104" s="3908"/>
      <c r="AC104" s="173" t="s">
        <v>68</v>
      </c>
      <c r="AD104" s="3525"/>
      <c r="AE104" s="3525"/>
      <c r="AF104" s="3525"/>
      <c r="AG104" s="3525"/>
      <c r="AH104" s="3525"/>
      <c r="AI104" s="3526" t="str">
        <f>IF(X104="","",IF(DJ101="","",DJ101))</f>
        <v/>
      </c>
      <c r="AJ104" s="3526"/>
      <c r="AK104" s="3526"/>
      <c r="AL104" s="3526"/>
      <c r="AM104" s="3904" t="s">
        <v>1077</v>
      </c>
      <c r="AN104" s="3904"/>
      <c r="AO104" s="3904"/>
      <c r="AP104" s="3904"/>
      <c r="AQ104" s="3904"/>
      <c r="AR104" s="3904"/>
      <c r="AS104" s="3908" t="str">
        <f>IF(OR(AK23="不要",$B$2=0,C102="",C102="  RF",AB103="Ｃ"),"",IF(AX104&lt;&gt;"",AX104,DD103))</f>
        <v>S-5C-FB</v>
      </c>
      <c r="AT104" s="3908"/>
      <c r="AU104" s="3908"/>
      <c r="AV104" s="3908"/>
      <c r="AW104" s="173" t="s">
        <v>68</v>
      </c>
      <c r="AX104" s="3517"/>
      <c r="AY104" s="3517"/>
      <c r="AZ104" s="3517"/>
      <c r="BA104" s="3517"/>
      <c r="BB104" s="3537">
        <f>IF(AS104&lt;&gt;"",DF103,"")</f>
        <v>178.84032616999309</v>
      </c>
      <c r="BC104" s="3537"/>
      <c r="BD104" s="3537"/>
      <c r="BE104" s="3537"/>
      <c r="BF104" s="3908" t="str">
        <f>IF(OR(C102="",AS104=""),"",IF(AB103="Ａ",DH102,DH103))</f>
        <v>PF-S-16mm</v>
      </c>
      <c r="BG104" s="3908"/>
      <c r="BH104" s="3908"/>
      <c r="BI104" s="3908"/>
      <c r="BJ104" s="3908"/>
      <c r="BK104" s="173" t="s">
        <v>68</v>
      </c>
      <c r="BL104" s="3525"/>
      <c r="BM104" s="3525"/>
      <c r="BN104" s="3525"/>
      <c r="BO104" s="3525"/>
      <c r="BP104" s="3525"/>
      <c r="BQ104" s="3526">
        <f>IF(BF104="","",DJ103)</f>
        <v>37.799999999999997</v>
      </c>
      <c r="BR104" s="3526"/>
      <c r="BS104" s="3526"/>
      <c r="BT104" s="3527"/>
      <c r="BU104" s="19"/>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774" t="s">
        <v>1076</v>
      </c>
      <c r="DD104" s="2589" t="str">
        <f>DD103</f>
        <v>S-5C-FB</v>
      </c>
      <c r="DE104" s="2591"/>
      <c r="DF104" s="3631">
        <f>IF(OR(C102="",C102="  RF",I102="直天"),0,1+INT(12+BW102-($X$9-$AM$9)/1000)*DK97+DO104)</f>
        <v>235</v>
      </c>
      <c r="DG104" s="3812"/>
      <c r="DH104" s="2589" t="str">
        <f>DH103</f>
        <v>PF-S-16mm</v>
      </c>
      <c r="DI104" s="2591"/>
      <c r="DJ104" s="3631">
        <f>IF(OR(C102="",C102="  RF"),0,IF(H103="天井ケーブル",DK97*(BW102-($X$9-2*$AM$9)/1000),1+INT(12+BW102-$X$9/1000)*DK97))</f>
        <v>41.400000000000006</v>
      </c>
      <c r="DK104" s="3812"/>
      <c r="DL104" s="15"/>
      <c r="DM104" s="15"/>
      <c r="DN104" s="46" t="s">
        <v>1075</v>
      </c>
      <c r="DO104" s="97">
        <f>IF(C102="",0,IF($AW$8=0,0,2*($AW$8/1000-0.15-0.1)*(INT(1000*DB100/$AW$10)+1)*(INT(1000*DC100/$AW$10)+1)*4))</f>
        <v>53.999999999999993</v>
      </c>
      <c r="DP104" s="15"/>
      <c r="DQ104" s="15"/>
      <c r="DR104" s="15"/>
      <c r="DS104" s="8"/>
      <c r="DT104" s="8"/>
      <c r="DU104" s="8"/>
      <c r="DV104" s="8"/>
      <c r="DW104" s="8"/>
      <c r="DX104" s="8"/>
      <c r="DY104" s="8"/>
      <c r="DZ104" s="8"/>
      <c r="EA104" s="8"/>
      <c r="EB104" s="769" t="str">
        <f>IF(OR($B$2=0,AG102=""),"","分岐器 1C")</f>
        <v/>
      </c>
      <c r="EC104" s="8"/>
      <c r="ED104" s="122" t="str">
        <f>IF(BQ102="","","直列Unit-終端2端子")</f>
        <v/>
      </c>
      <c r="EE104" s="8" t="str">
        <f>BQ102</f>
        <v/>
      </c>
      <c r="EF104" s="8"/>
      <c r="EG104" s="8"/>
      <c r="EH104" s="197">
        <f t="shared" si="51"/>
        <v>4</v>
      </c>
      <c r="EI104" s="773" t="str">
        <f t="shared" si="52"/>
        <v/>
      </c>
      <c r="EJ104" s="203" t="str">
        <f>BF104</f>
        <v>PF-S-16mm</v>
      </c>
      <c r="EK104" s="9"/>
      <c r="EL104" s="9" t="str">
        <f>IF(COUNTIF($EJ$18:EJ103,EJ104)&gt;0,"",EJ104)</f>
        <v/>
      </c>
      <c r="EM104" s="9"/>
      <c r="EN104" s="14">
        <f>BQ104</f>
        <v>37.799999999999997</v>
      </c>
      <c r="EO104" s="771">
        <f t="shared" si="60"/>
        <v>0</v>
      </c>
      <c r="EP104" s="8"/>
      <c r="EQ104" s="8"/>
      <c r="ER104" s="197">
        <f t="shared" si="54"/>
        <v>3</v>
      </c>
      <c r="ES104" s="773" t="str">
        <f t="shared" si="55"/>
        <v/>
      </c>
      <c r="ET104" s="203" t="str">
        <f t="shared" si="61"/>
        <v/>
      </c>
      <c r="EU104" s="9"/>
      <c r="EV104" s="11" t="str">
        <f>IF(COUNTIF($ET$18:ET103,ET104)&gt;0,"",ET104)</f>
        <v/>
      </c>
      <c r="EW104" s="9"/>
      <c r="EX104" s="124" t="str">
        <f>AG102</f>
        <v/>
      </c>
      <c r="EY104" s="771">
        <f t="shared" si="62"/>
        <v>0</v>
      </c>
      <c r="EZ104" s="8"/>
      <c r="FA104" s="8"/>
      <c r="FB104" s="197">
        <f t="shared" si="49"/>
        <v>10</v>
      </c>
      <c r="FC104" s="773" t="str">
        <f t="shared" si="50"/>
        <v/>
      </c>
      <c r="FD104" s="772" t="str">
        <f t="shared" si="63"/>
        <v/>
      </c>
      <c r="FE104" s="9"/>
      <c r="FF104" s="11" t="str">
        <f>IF(COUNTIF($FD$15:FD103,FD104)&gt;0,"",FD104)</f>
        <v/>
      </c>
      <c r="FG104" s="9"/>
      <c r="FH104" s="124" t="str">
        <f>BQ102</f>
        <v/>
      </c>
      <c r="FI104" s="771">
        <f t="shared" si="64"/>
        <v>0</v>
      </c>
    </row>
    <row r="105" spans="1:165" ht="12" customHeight="1" thickBot="1">
      <c r="A105" s="8"/>
      <c r="B105" s="23"/>
      <c r="C105" s="3922"/>
      <c r="D105" s="3922"/>
      <c r="E105" s="3922"/>
      <c r="F105" s="3920" t="s">
        <v>1074</v>
      </c>
      <c r="G105" s="3920"/>
      <c r="H105" s="3920"/>
      <c r="I105" s="3920"/>
      <c r="J105" s="3920"/>
      <c r="K105" s="3506" t="str">
        <f>IF(OR(C102="",C102="  RF",$B$2=0),"",IF(P105&lt;&gt;"",P105,DD102))</f>
        <v>S-7C-FB</v>
      </c>
      <c r="L105" s="3506"/>
      <c r="M105" s="3506"/>
      <c r="N105" s="3506"/>
      <c r="O105" s="800" t="s">
        <v>68</v>
      </c>
      <c r="P105" s="3536"/>
      <c r="Q105" s="3536"/>
      <c r="R105" s="3536"/>
      <c r="S105" s="3536"/>
      <c r="T105" s="3538">
        <f>IF(R99="不",F102,IF(K105="","",DF102))</f>
        <v>6</v>
      </c>
      <c r="U105" s="3538"/>
      <c r="V105" s="3538"/>
      <c r="W105" s="3538"/>
      <c r="X105" s="3506" t="str">
        <f>IF(R99="不","",IF(OR(C102="",K105=""),"",IF(AD105&lt;&gt;"",AD105,IF(DH102="","",DH102))))</f>
        <v>PF-S-22mm</v>
      </c>
      <c r="Y105" s="3506"/>
      <c r="Z105" s="3506"/>
      <c r="AA105" s="3506"/>
      <c r="AB105" s="3506"/>
      <c r="AC105" s="800" t="s">
        <v>68</v>
      </c>
      <c r="AD105" s="3533"/>
      <c r="AE105" s="3533"/>
      <c r="AF105" s="3533"/>
      <c r="AG105" s="3533"/>
      <c r="AH105" s="3533"/>
      <c r="AI105" s="3538">
        <f>IF(X105="","",DJ102)</f>
        <v>4</v>
      </c>
      <c r="AJ105" s="3538"/>
      <c r="AK105" s="3538"/>
      <c r="AL105" s="3538"/>
      <c r="AM105" s="3920" t="s">
        <v>1073</v>
      </c>
      <c r="AN105" s="3920"/>
      <c r="AO105" s="3920"/>
      <c r="AP105" s="3920"/>
      <c r="AQ105" s="3920"/>
      <c r="AR105" s="3920"/>
      <c r="AS105" s="3506" t="str">
        <f>IF(OR(AK23="不要",$B$2=0,C102="",AB103&lt;&gt;"Ｃ"),"",IF(AX105&lt;&gt;"",AX105,DD104))</f>
        <v/>
      </c>
      <c r="AT105" s="3506"/>
      <c r="AU105" s="3506"/>
      <c r="AV105" s="3506"/>
      <c r="AW105" s="800" t="s">
        <v>68</v>
      </c>
      <c r="AX105" s="3536"/>
      <c r="AY105" s="3536"/>
      <c r="AZ105" s="3536"/>
      <c r="BA105" s="3536"/>
      <c r="BB105" s="3921" t="str">
        <f>IF(AS105="","",DF104)</f>
        <v/>
      </c>
      <c r="BC105" s="3921"/>
      <c r="BD105" s="3921"/>
      <c r="BE105" s="3921"/>
      <c r="BF105" s="3506" t="str">
        <f>IF(OR(C102="",AS105=""),"",IF(BL105&lt;&gt;"",BL105,DH104))</f>
        <v/>
      </c>
      <c r="BG105" s="3506"/>
      <c r="BH105" s="3506"/>
      <c r="BI105" s="3506"/>
      <c r="BJ105" s="3506"/>
      <c r="BK105" s="800" t="s">
        <v>68</v>
      </c>
      <c r="BL105" s="3533"/>
      <c r="BM105" s="3533"/>
      <c r="BN105" s="3533"/>
      <c r="BO105" s="3533"/>
      <c r="BP105" s="3533"/>
      <c r="BQ105" s="3538" t="str">
        <f>IF(BF105="","",DJ104)</f>
        <v/>
      </c>
      <c r="BR105" s="3538"/>
      <c r="BS105" s="3538"/>
      <c r="BT105" s="3539"/>
      <c r="BU105" s="19"/>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8">
        <f>IF(AND(AB112="Ａ",$X$11="2端子"),BI111+BQ111,IF(AND(AB112="Ａ",$X$11="1端子"),BE111+BM111,IF(AND(AB112="Ｂ",$X$11="1端子"),BM111,IF(AND(AB112="Ｂ",$X$11="2端子"),BQ111,IF(AND(AB112="Ｃ",$X$11="1端子"),BM111,BQ111)))))</f>
        <v>12</v>
      </c>
      <c r="DC105" s="10"/>
      <c r="DD105" s="8"/>
      <c r="DE105" s="8"/>
      <c r="DF105" s="8"/>
      <c r="DG105" s="8"/>
      <c r="DH105" s="8"/>
      <c r="DI105" s="8"/>
      <c r="DJ105" s="8"/>
      <c r="DK105" s="8"/>
      <c r="DL105" s="8"/>
      <c r="DM105" s="8"/>
      <c r="DN105" s="8"/>
      <c r="DO105" s="8"/>
      <c r="DP105" s="15"/>
      <c r="DQ105" s="15"/>
      <c r="DR105" s="15"/>
      <c r="DS105" s="8"/>
      <c r="DT105" s="8"/>
      <c r="DU105" s="8"/>
      <c r="DV105" s="8"/>
      <c r="DW105" s="8"/>
      <c r="DX105" s="8"/>
      <c r="DY105" s="8"/>
      <c r="DZ105" s="8"/>
      <c r="EA105" s="8"/>
      <c r="EB105" s="769" t="str">
        <f>IF(OR($B$2=0,AK102=""),"","分岐器 2C")</f>
        <v>分岐器 2C</v>
      </c>
      <c r="EC105" s="8"/>
      <c r="ED105" s="10"/>
      <c r="EE105" s="8"/>
      <c r="EF105" s="8"/>
      <c r="EG105" s="8"/>
      <c r="EH105" s="197">
        <f t="shared" si="51"/>
        <v>4</v>
      </c>
      <c r="EI105" s="773" t="str">
        <f t="shared" si="52"/>
        <v/>
      </c>
      <c r="EJ105" s="203" t="str">
        <f>BF105</f>
        <v/>
      </c>
      <c r="EK105" s="9"/>
      <c r="EL105" s="9" t="str">
        <f>IF(COUNTIF($EJ$18:EJ104,EJ105)&gt;0,"",EJ105)</f>
        <v/>
      </c>
      <c r="EM105" s="9"/>
      <c r="EN105" s="14" t="str">
        <f>BQ105</f>
        <v/>
      </c>
      <c r="EO105" s="771">
        <f t="shared" si="60"/>
        <v>0</v>
      </c>
      <c r="EP105" s="8"/>
      <c r="EQ105" s="8"/>
      <c r="ER105" s="197">
        <f t="shared" si="54"/>
        <v>3</v>
      </c>
      <c r="ES105" s="773" t="str">
        <f t="shared" si="55"/>
        <v/>
      </c>
      <c r="ET105" s="203" t="str">
        <f t="shared" si="61"/>
        <v>分岐器 2C</v>
      </c>
      <c r="EU105" s="9"/>
      <c r="EV105" s="11" t="str">
        <f>IF(COUNTIF($ET$18:ET104,ET105)&gt;0,"",ET105)</f>
        <v/>
      </c>
      <c r="EW105" s="9"/>
      <c r="EX105" s="124">
        <f>AK102</f>
        <v>1</v>
      </c>
      <c r="EY105" s="771">
        <f t="shared" si="62"/>
        <v>0</v>
      </c>
      <c r="EZ105" s="8"/>
      <c r="FA105" s="8"/>
      <c r="FB105" s="197">
        <f t="shared" si="49"/>
        <v>10</v>
      </c>
      <c r="FC105" s="773" t="str">
        <f t="shared" si="50"/>
        <v/>
      </c>
      <c r="FD105" s="772"/>
      <c r="FE105" s="9"/>
      <c r="FF105" s="11"/>
      <c r="FG105" s="9"/>
      <c r="FH105" s="124"/>
      <c r="FI105" s="771"/>
    </row>
    <row r="106" spans="1:165" ht="12" customHeight="1" thickBot="1">
      <c r="B106" s="23"/>
      <c r="C106" s="20"/>
      <c r="D106" s="20"/>
      <c r="E106" s="20"/>
      <c r="F106" s="20"/>
      <c r="G106" s="20"/>
      <c r="H106" s="20"/>
      <c r="I106" s="20"/>
      <c r="J106" s="20"/>
      <c r="K106" s="20"/>
      <c r="L106" s="20"/>
      <c r="M106" s="20"/>
      <c r="N106" s="20"/>
      <c r="O106" s="20"/>
      <c r="P106" s="20"/>
      <c r="Q106" s="787" t="str">
        <f>IF(AND(OR(AB112="Ａ",F250="Ａ"),DB105&gt;24),"直列ユニット数………配線方式Ａ：24以下!!",IF(AND(OR(AB112="Ｂ",F250="Ｂ"),DB105&gt;12),"直列ユニット数………配線方式Ｂ：12以下!!",IF(AND(OR(AB112="Ｃ",F250="Ｃ"),DB105&gt;180),"直列ユニット数………配線方式Ｃ：180以下!!","")))</f>
        <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19"/>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v>10</v>
      </c>
      <c r="DB106" s="92" t="str">
        <f>IF(OR(V77="不要",C111="",C111="  RF"),"",IF(DK106&lt;=12,"Ｂ",IF(DK106&lt;=24,"Ａ","Ｃ")))</f>
        <v>Ｂ</v>
      </c>
      <c r="DC106" s="10"/>
      <c r="DD106" s="8"/>
      <c r="DE106" s="8"/>
      <c r="DF106" s="8"/>
      <c r="DG106" s="8"/>
      <c r="DH106" s="8"/>
      <c r="DI106" s="8"/>
      <c r="DJ106" s="8"/>
      <c r="DK106" s="159">
        <f>IF(OR(C111="",C111="  RF"),0,SUM(Q111:V111))</f>
        <v>12</v>
      </c>
      <c r="DL106" s="8"/>
      <c r="DM106" s="8"/>
      <c r="DN106" s="8"/>
      <c r="DO106" s="8"/>
      <c r="DP106" s="8"/>
      <c r="DQ106" s="8"/>
      <c r="DR106" s="8"/>
      <c r="DS106" s="8"/>
      <c r="DT106" s="8"/>
      <c r="DU106" s="8"/>
      <c r="DV106" s="8"/>
      <c r="DW106" s="8"/>
      <c r="DX106" s="8"/>
      <c r="DY106" s="8"/>
      <c r="DZ106" s="8"/>
      <c r="EA106" s="8"/>
      <c r="EB106" s="8"/>
      <c r="EC106" s="8"/>
      <c r="ED106" s="8"/>
      <c r="EE106" s="8"/>
      <c r="EF106" s="8"/>
      <c r="EG106" s="88">
        <v>10</v>
      </c>
      <c r="EH106" s="204">
        <f t="shared" si="51"/>
        <v>4</v>
      </c>
      <c r="EI106" s="768" t="str">
        <f t="shared" si="52"/>
        <v/>
      </c>
      <c r="EJ106" s="45"/>
      <c r="EK106" s="45"/>
      <c r="EL106" s="45"/>
      <c r="EM106" s="45"/>
      <c r="EN106" s="45"/>
      <c r="EO106" s="785"/>
      <c r="EP106" s="8"/>
      <c r="EQ106" s="88">
        <v>10</v>
      </c>
      <c r="ER106" s="204">
        <f t="shared" si="54"/>
        <v>3</v>
      </c>
      <c r="ES106" s="768" t="str">
        <f t="shared" si="55"/>
        <v/>
      </c>
      <c r="ET106" s="45"/>
      <c r="EU106" s="45"/>
      <c r="EV106" s="154"/>
      <c r="EW106" s="45"/>
      <c r="EX106" s="45"/>
      <c r="EY106" s="785"/>
      <c r="EZ106" s="8"/>
      <c r="FA106" s="88">
        <v>10</v>
      </c>
      <c r="FB106" s="204">
        <f t="shared" si="49"/>
        <v>10</v>
      </c>
      <c r="FC106" s="768" t="str">
        <f t="shared" si="50"/>
        <v/>
      </c>
      <c r="FD106" s="786"/>
      <c r="FE106" s="45"/>
      <c r="FF106" s="154"/>
      <c r="FG106" s="45"/>
      <c r="FH106" s="208"/>
      <c r="FI106" s="785"/>
    </row>
    <row r="107" spans="1:165" ht="11.25" customHeight="1" thickBot="1">
      <c r="B107" s="23"/>
      <c r="C107" s="3399" t="s">
        <v>1142</v>
      </c>
      <c r="D107" s="3412"/>
      <c r="E107" s="3412"/>
      <c r="F107" s="3412"/>
      <c r="G107" s="3412"/>
      <c r="H107" s="3412"/>
      <c r="I107" s="3412"/>
      <c r="J107" s="3412"/>
      <c r="K107" s="3412"/>
      <c r="L107" s="3413"/>
      <c r="M107" s="3853" t="str">
        <f>非誘!J70</f>
        <v>( 4 )</v>
      </c>
      <c r="N107" s="3854"/>
      <c r="O107" s="3854"/>
      <c r="P107" s="3854"/>
      <c r="Q107" s="3855"/>
      <c r="R107" s="2299" t="str">
        <f>IF($B$2=0,"","共聴機器")</f>
        <v>共聴機器</v>
      </c>
      <c r="S107" s="2299"/>
      <c r="T107" s="2299"/>
      <c r="U107" s="2299"/>
      <c r="V107" s="2299"/>
      <c r="W107" s="3412" t="s">
        <v>1141</v>
      </c>
      <c r="X107" s="3412"/>
      <c r="Y107" s="3412"/>
      <c r="Z107" s="3413"/>
      <c r="AA107" s="2637" t="s">
        <v>1140</v>
      </c>
      <c r="AB107" s="2638"/>
      <c r="AC107" s="2638"/>
      <c r="AD107" s="2638"/>
      <c r="AE107" s="2638"/>
      <c r="AF107" s="2639"/>
      <c r="AG107" s="3879" t="s">
        <v>1139</v>
      </c>
      <c r="AH107" s="3879"/>
      <c r="AI107" s="3879"/>
      <c r="AJ107" s="3879"/>
      <c r="AK107" s="3879"/>
      <c r="AL107" s="3879"/>
      <c r="AM107" s="3879"/>
      <c r="AN107" s="3879"/>
      <c r="AO107" s="3879"/>
      <c r="AP107" s="3879"/>
      <c r="AQ107" s="3879"/>
      <c r="AR107" s="3879"/>
      <c r="AS107" s="2637" t="s">
        <v>1138</v>
      </c>
      <c r="AT107" s="2638"/>
      <c r="AU107" s="2638"/>
      <c r="AV107" s="2638"/>
      <c r="AW107" s="2638"/>
      <c r="AX107" s="2638"/>
      <c r="AY107" s="2638"/>
      <c r="AZ107" s="2638"/>
      <c r="BA107" s="2638"/>
      <c r="BB107" s="2638"/>
      <c r="BC107" s="2638"/>
      <c r="BD107" s="2639"/>
      <c r="BE107" s="2637" t="s">
        <v>1137</v>
      </c>
      <c r="BF107" s="2638"/>
      <c r="BG107" s="2638"/>
      <c r="BH107" s="2638"/>
      <c r="BI107" s="2638"/>
      <c r="BJ107" s="2638"/>
      <c r="BK107" s="2638"/>
      <c r="BL107" s="2638"/>
      <c r="BM107" s="2638"/>
      <c r="BN107" s="2638"/>
      <c r="BO107" s="2638"/>
      <c r="BP107" s="2638"/>
      <c r="BQ107" s="2638"/>
      <c r="BR107" s="2638"/>
      <c r="BS107" s="2638"/>
      <c r="BT107" s="2639"/>
      <c r="BU107" s="19"/>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15"/>
      <c r="DA107" s="788" t="str">
        <f>IF(DB125&lt;&gt;"","Amp-2","")</f>
        <v>Amp-2</v>
      </c>
      <c r="DB107" s="97">
        <f>IF(C111="","",DB98+1)</f>
        <v>10</v>
      </c>
      <c r="DC107" s="15" t="str">
        <f>IF($X$10=C111,"＝",IF(VLOOKUP(C111,[2]!階高,3,FALSE)-VLOOKUP($X$10,[2]!階高,3,FALSE)&gt;0,"＋","－"))</f>
        <v>－</v>
      </c>
      <c r="DD107" s="38"/>
      <c r="DE107" s="113" t="s">
        <v>1051</v>
      </c>
      <c r="DF107" s="113" t="s">
        <v>1050</v>
      </c>
      <c r="DG107" s="113" t="s">
        <v>1049</v>
      </c>
      <c r="DH107" s="113" t="s">
        <v>1048</v>
      </c>
      <c r="DI107" s="113" t="s">
        <v>1047</v>
      </c>
      <c r="DJ107" s="113" t="s">
        <v>1046</v>
      </c>
      <c r="DK107" s="90" t="s">
        <v>1136</v>
      </c>
      <c r="DL107" s="38"/>
      <c r="DM107" s="113" t="s">
        <v>1051</v>
      </c>
      <c r="DN107" s="113" t="s">
        <v>1050</v>
      </c>
      <c r="DO107" s="113" t="s">
        <v>1049</v>
      </c>
      <c r="DP107" s="113" t="s">
        <v>1048</v>
      </c>
      <c r="DQ107" s="113" t="s">
        <v>1047</v>
      </c>
      <c r="DR107" s="113" t="s">
        <v>1046</v>
      </c>
      <c r="DS107" s="38"/>
      <c r="DT107" s="113" t="s">
        <v>1051</v>
      </c>
      <c r="DU107" s="113" t="s">
        <v>1048</v>
      </c>
      <c r="DV107" s="113" t="s">
        <v>1047</v>
      </c>
      <c r="DW107" s="113" t="s">
        <v>1046</v>
      </c>
      <c r="DX107" s="113" t="s">
        <v>1048</v>
      </c>
      <c r="DY107" s="113" t="s">
        <v>1048</v>
      </c>
      <c r="DZ107" s="113" t="s">
        <v>1048</v>
      </c>
      <c r="EA107" s="113"/>
      <c r="EB107" s="776" t="str">
        <f>IF(OR($B$2=0,W111=""),"","混合器 U-U")</f>
        <v/>
      </c>
      <c r="EC107" s="15"/>
      <c r="ED107" s="782" t="str">
        <f>IF(AS111="","","分配器 2D")</f>
        <v/>
      </c>
      <c r="EE107" s="15" t="str">
        <f>AS111</f>
        <v/>
      </c>
      <c r="EF107" s="15"/>
      <c r="EG107" s="8"/>
      <c r="EH107" s="197">
        <f t="shared" si="51"/>
        <v>4</v>
      </c>
      <c r="EI107" s="773" t="str">
        <f t="shared" si="52"/>
        <v/>
      </c>
      <c r="EJ107" s="203" t="str">
        <f>K113</f>
        <v/>
      </c>
      <c r="EK107" s="9"/>
      <c r="EL107" s="9" t="str">
        <f>IF(COUNTIF($EJ$18:EJ106,EJ107)&gt;0,"",EJ107)</f>
        <v/>
      </c>
      <c r="EM107" s="9"/>
      <c r="EN107" s="14" t="str">
        <f>T113</f>
        <v/>
      </c>
      <c r="EO107" s="771">
        <f t="shared" ref="EO107:EO114" si="65">SUMIF($EJ$25:$EJ$225,EL107,$EN$25:$EN$225)</f>
        <v>0</v>
      </c>
      <c r="EP107" s="8"/>
      <c r="EQ107" s="8"/>
      <c r="ER107" s="197">
        <f t="shared" si="54"/>
        <v>3</v>
      </c>
      <c r="ES107" s="773" t="str">
        <f t="shared" si="55"/>
        <v/>
      </c>
      <c r="ET107" s="203" t="str">
        <f t="shared" ref="ET107:ET114" si="66">EB107</f>
        <v/>
      </c>
      <c r="EU107" s="9"/>
      <c r="EV107" s="11" t="str">
        <f>IF(COUNTIF($ET$18:ET106,ET107)&gt;0,"",ET107)</f>
        <v/>
      </c>
      <c r="EW107" s="9"/>
      <c r="EX107" s="124" t="str">
        <f>W111</f>
        <v/>
      </c>
      <c r="EY107" s="771">
        <f t="shared" ref="EY107:EY114" si="67">SUMIF($ET$25:$ET$225,EV107,$EX$25:$EX$225)</f>
        <v>0</v>
      </c>
      <c r="EZ107" s="8"/>
      <c r="FA107" s="8"/>
      <c r="FB107" s="197">
        <f t="shared" si="49"/>
        <v>10</v>
      </c>
      <c r="FC107" s="773" t="str">
        <f t="shared" si="50"/>
        <v/>
      </c>
      <c r="FD107" s="772" t="str">
        <f t="shared" ref="FD107:FD113" si="68">ED107</f>
        <v/>
      </c>
      <c r="FE107" s="9"/>
      <c r="FF107" s="11" t="str">
        <f>IF(COUNTIF($FD$15:FD106,FD107)&gt;0,"",FD107)</f>
        <v/>
      </c>
      <c r="FG107" s="9"/>
      <c r="FH107" s="124" t="str">
        <f>AS111</f>
        <v/>
      </c>
      <c r="FI107" s="771">
        <f t="shared" ref="FI107:FI113" si="69">SUMIF($FD$18:$FD$205,FF107,$FH$18:$FH$205)</f>
        <v>0</v>
      </c>
    </row>
    <row r="108" spans="1:165" ht="11.25" customHeight="1" thickBot="1">
      <c r="B108" s="23"/>
      <c r="C108" s="3857" t="str">
        <f>"　"&amp;非誘!M70</f>
        <v>　百貨店等</v>
      </c>
      <c r="D108" s="3858"/>
      <c r="E108" s="3858"/>
      <c r="F108" s="3858"/>
      <c r="G108" s="3858"/>
      <c r="H108" s="3858"/>
      <c r="I108" s="3858"/>
      <c r="J108" s="3858"/>
      <c r="K108" s="3858"/>
      <c r="L108" s="3858"/>
      <c r="M108" s="3858"/>
      <c r="N108" s="3858"/>
      <c r="O108" s="3858"/>
      <c r="P108" s="3858"/>
      <c r="Q108" s="3859"/>
      <c r="R108" s="2337" t="str">
        <f>IF(U108&lt;&gt;"",U108,IF(C111="","","設"))</f>
        <v>設</v>
      </c>
      <c r="S108" s="2337"/>
      <c r="T108" s="175" t="s">
        <v>68</v>
      </c>
      <c r="U108" s="2338"/>
      <c r="V108" s="2338"/>
      <c r="W108" s="3860" t="s">
        <v>1132</v>
      </c>
      <c r="X108" s="3863" t="s">
        <v>1131</v>
      </c>
      <c r="Y108" s="3863" t="s">
        <v>1130</v>
      </c>
      <c r="Z108" s="3866"/>
      <c r="AA108" s="3528" t="s">
        <v>1128</v>
      </c>
      <c r="AB108" s="3519"/>
      <c r="AC108" s="3519"/>
      <c r="AD108" s="3519"/>
      <c r="AE108" s="3519"/>
      <c r="AF108" s="3520"/>
      <c r="AG108" s="3528" t="s">
        <v>1051</v>
      </c>
      <c r="AH108" s="3519"/>
      <c r="AI108" s="3519"/>
      <c r="AJ108" s="3529"/>
      <c r="AK108" s="3518" t="s">
        <v>1050</v>
      </c>
      <c r="AL108" s="3519"/>
      <c r="AM108" s="3519"/>
      <c r="AN108" s="3529"/>
      <c r="AO108" s="3518" t="s">
        <v>1049</v>
      </c>
      <c r="AP108" s="3519"/>
      <c r="AQ108" s="3519"/>
      <c r="AR108" s="3520"/>
      <c r="AS108" s="3528" t="s">
        <v>1048</v>
      </c>
      <c r="AT108" s="3519"/>
      <c r="AU108" s="3519"/>
      <c r="AV108" s="3529"/>
      <c r="AW108" s="3518" t="s">
        <v>1047</v>
      </c>
      <c r="AX108" s="3519"/>
      <c r="AY108" s="3519"/>
      <c r="AZ108" s="3529"/>
      <c r="BA108" s="3518" t="s">
        <v>1046</v>
      </c>
      <c r="BB108" s="3519"/>
      <c r="BC108" s="3519"/>
      <c r="BD108" s="3520"/>
      <c r="BE108" s="3528" t="s">
        <v>1123</v>
      </c>
      <c r="BF108" s="3519"/>
      <c r="BG108" s="3519"/>
      <c r="BH108" s="3519"/>
      <c r="BI108" s="3519"/>
      <c r="BJ108" s="3519"/>
      <c r="BK108" s="3519"/>
      <c r="BL108" s="3529"/>
      <c r="BM108" s="3518" t="s">
        <v>1122</v>
      </c>
      <c r="BN108" s="3519"/>
      <c r="BO108" s="3519"/>
      <c r="BP108" s="3519"/>
      <c r="BQ108" s="3519"/>
      <c r="BR108" s="3519"/>
      <c r="BS108" s="3519"/>
      <c r="BT108" s="3520"/>
      <c r="BU108" s="19"/>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15"/>
      <c r="DA108" s="15">
        <f>IF(AG111&lt;&gt;"",2,IF(AK111&lt;&gt;"",3,0))</f>
        <v>3</v>
      </c>
      <c r="DB108" s="86" t="s">
        <v>370</v>
      </c>
      <c r="DC108" s="86" t="s">
        <v>71</v>
      </c>
      <c r="DD108" s="128" t="s">
        <v>1179</v>
      </c>
      <c r="DE108" s="86">
        <f>IF(AB112&lt;&gt;"Ａ",0,IF(AND(2*DK108&gt;=4,2*DK108&lt;=12),1,0))</f>
        <v>0</v>
      </c>
      <c r="DF108" s="86">
        <f>IF(AB112&lt;&gt;"Ａ",0,IF(AND(2*DK108&gt;=16,DK108&lt;=24),1,0))</f>
        <v>0</v>
      </c>
      <c r="DG108" s="97" t="s">
        <v>1177</v>
      </c>
      <c r="DH108" s="86">
        <f>IF(AB112&lt;&gt;"Ａ",0,IF(2*DK108&lt;=4,1,0))</f>
        <v>0</v>
      </c>
      <c r="DI108" s="86">
        <f>IF(AB112&lt;&gt;"Ａ",0,IF(OR(AND(2*DK108&gt;4,2*DK108&lt;=8),AND(2*DK108&gt;12,2*DK108&lt;=16)),1,0))</f>
        <v>0</v>
      </c>
      <c r="DJ108" s="183">
        <f>IF(AB112&lt;&gt;"Ａ",0,IF(OR(AND(2*DK108&gt;8,2*DK108&lt;=12),AND(2*DK108&gt;16,2*DK108&lt;=24)),1,0))</f>
        <v>0</v>
      </c>
      <c r="DK108" s="783">
        <f>IF(OR(C111="",C111="  RF"),0,IF(Q111="",INT((T111)/2),INT((Q111+INT(T111))/2)+1))</f>
        <v>7</v>
      </c>
      <c r="DL108" s="128" t="s">
        <v>1178</v>
      </c>
      <c r="DM108" s="86">
        <f>IF(AB112&lt;&gt;"Ｂ",0,IF(DB105&lt;=6,1,0))</f>
        <v>0</v>
      </c>
      <c r="DN108" s="86">
        <f>IF(AB112&lt;&gt;"Ｂ",0,IF(AND(DB105&gt;6,DB105&lt;=12),1,0))</f>
        <v>1</v>
      </c>
      <c r="DO108" s="97" t="s">
        <v>1177</v>
      </c>
      <c r="DP108" s="86">
        <f>IF(AB112&lt;&gt;"Ｂ",0,IF(DB105&lt;=2,1,0))</f>
        <v>0</v>
      </c>
      <c r="DQ108" s="86">
        <f>IF(AB112&lt;&gt;"Ｂ",0,IF(OR(AND(DB105&gt;2,DB105&lt;6),AND(DB105&gt;6,DB105&lt;=8)),1,0))</f>
        <v>0</v>
      </c>
      <c r="DR108" s="86">
        <f>IF(AB112&lt;&gt;"Ｂ",0,IF(OR(AND(DB105&gt;4,DB105&lt;6),AND(DB105&gt;8,DB105&lt;=12)),1,0))</f>
        <v>1</v>
      </c>
      <c r="DS108" s="128" t="s">
        <v>1078</v>
      </c>
      <c r="DT108" s="159">
        <f>IF(AB112&lt;&gt;"Ｃ",0,IF(DX108&lt;&gt;0,DX108,IF(DY108&lt;&gt;0,DY108,IF(DZ108&lt;&gt;0,DZ108,0))))</f>
        <v>0</v>
      </c>
      <c r="DU108" s="159">
        <f>IF(AB112&lt;&gt;"Ｃ",0,IF(DX108=0,0,1))</f>
        <v>0</v>
      </c>
      <c r="DV108" s="159">
        <f>IF(AB112&lt;&gt;"Ｃ",0,IF(DY108=0,0,1))</f>
        <v>0</v>
      </c>
      <c r="DW108" s="783">
        <f>IF(AB112&lt;&gt;"Ｃ",0,IF(DZ108=0,0,1))</f>
        <v>0</v>
      </c>
      <c r="DX108" s="714">
        <f>IF(AB112&lt;&gt;"Ｃ",0,IF(DB105&lt;=12,3,IF(AND(DB105&gt;12,DB105&lt;=16),4,IF(AND(DB105&gt;16,DB105&lt;=20),5,0))))</f>
        <v>0</v>
      </c>
      <c r="DY108" s="86">
        <f>IF(AB112&lt;&gt;"Ｃ",0,IF(AND(DB105&gt;20,DB105&lt;=24),3,IF(AND(DB105&gt;24,DB105&lt;=32),4,IF(AND(DB105&gt;32,DB105&lt;=40),5,0))))</f>
        <v>0</v>
      </c>
      <c r="DZ108" s="97">
        <f>IF(AB112&lt;&gt;"Ｃ",0,IF(AND(DB105&gt;40,DB105&lt;=48),4,IF(AND(DB105&gt;48,DB105&lt;=60),5,0)))</f>
        <v>0</v>
      </c>
      <c r="EA108" s="96"/>
      <c r="EB108" s="776" t="str">
        <f>IF(OR($B$2=0,X111=""),"","混合器 BS-CS")</f>
        <v/>
      </c>
      <c r="EC108" s="96"/>
      <c r="ED108" s="782" t="str">
        <f>IF(AW111="","","分配器 4D")</f>
        <v/>
      </c>
      <c r="EE108" s="96" t="str">
        <f>AW111</f>
        <v/>
      </c>
      <c r="EF108" s="96"/>
      <c r="EG108" s="96"/>
      <c r="EH108" s="197">
        <f t="shared" si="51"/>
        <v>4</v>
      </c>
      <c r="EI108" s="773" t="str">
        <f t="shared" si="52"/>
        <v/>
      </c>
      <c r="EJ108" s="203" t="str">
        <f>K114</f>
        <v>S-7C-FB</v>
      </c>
      <c r="EK108" s="9"/>
      <c r="EL108" s="9" t="str">
        <f>IF(COUNTIF($EJ$18:EJ107,EJ108)&gt;0,"",EJ108)</f>
        <v/>
      </c>
      <c r="EM108" s="9"/>
      <c r="EN108" s="14">
        <f>T114</f>
        <v>6</v>
      </c>
      <c r="EO108" s="771">
        <f t="shared" si="65"/>
        <v>0</v>
      </c>
      <c r="EP108" s="8"/>
      <c r="EQ108" s="96"/>
      <c r="ER108" s="197">
        <f t="shared" si="54"/>
        <v>3</v>
      </c>
      <c r="ES108" s="773" t="str">
        <f t="shared" si="55"/>
        <v/>
      </c>
      <c r="ET108" s="203" t="str">
        <f t="shared" si="66"/>
        <v/>
      </c>
      <c r="EU108" s="9"/>
      <c r="EV108" s="11" t="str">
        <f>IF(COUNTIF($ET$18:ET107,ET108)&gt;0,"",ET108)</f>
        <v/>
      </c>
      <c r="EW108" s="9"/>
      <c r="EX108" s="124" t="str">
        <f>X111</f>
        <v/>
      </c>
      <c r="EY108" s="771">
        <f t="shared" si="67"/>
        <v>0</v>
      </c>
      <c r="EZ108" s="8"/>
      <c r="FA108" s="96"/>
      <c r="FB108" s="197">
        <f t="shared" si="49"/>
        <v>10</v>
      </c>
      <c r="FC108" s="773" t="str">
        <f t="shared" si="50"/>
        <v/>
      </c>
      <c r="FD108" s="772" t="str">
        <f t="shared" si="68"/>
        <v/>
      </c>
      <c r="FE108" s="9"/>
      <c r="FF108" s="11" t="str">
        <f>IF(COUNTIF($FD$15:FD107,FD108)&gt;0,"",FD108)</f>
        <v/>
      </c>
      <c r="FG108" s="9"/>
      <c r="FH108" s="124" t="str">
        <f>AW111</f>
        <v/>
      </c>
      <c r="FI108" s="771">
        <f t="shared" si="69"/>
        <v>0</v>
      </c>
    </row>
    <row r="109" spans="1:165" ht="11.25" customHeight="1" thickBot="1">
      <c r="B109" s="23"/>
      <c r="C109" s="3819" t="s">
        <v>16</v>
      </c>
      <c r="D109" s="3820"/>
      <c r="E109" s="3821"/>
      <c r="F109" s="3869" t="s">
        <v>22</v>
      </c>
      <c r="G109" s="3870"/>
      <c r="H109" s="3871"/>
      <c r="I109" s="3869" t="s">
        <v>5</v>
      </c>
      <c r="J109" s="3870"/>
      <c r="K109" s="3870"/>
      <c r="L109" s="3871"/>
      <c r="M109" s="3819" t="s">
        <v>1176</v>
      </c>
      <c r="N109" s="3820"/>
      <c r="O109" s="3820"/>
      <c r="P109" s="3821"/>
      <c r="Q109" s="3819" t="s">
        <v>1175</v>
      </c>
      <c r="R109" s="3820"/>
      <c r="S109" s="3821"/>
      <c r="T109" s="3819" t="s">
        <v>1175</v>
      </c>
      <c r="U109" s="3820"/>
      <c r="V109" s="3821"/>
      <c r="W109" s="3861"/>
      <c r="X109" s="3864"/>
      <c r="Y109" s="3864"/>
      <c r="Z109" s="3867"/>
      <c r="AA109" s="3872" t="str">
        <f>IF($AG$15&lt;=65,"40/","35/")</f>
        <v>40/</v>
      </c>
      <c r="AB109" s="3873"/>
      <c r="AC109" s="3873"/>
      <c r="AD109" s="3873" t="str">
        <f>IF(CW251&gt;55,"40/","35/")</f>
        <v>35/</v>
      </c>
      <c r="AE109" s="3873"/>
      <c r="AF109" s="3875"/>
      <c r="AG109" s="3876" t="s">
        <v>1114</v>
      </c>
      <c r="AH109" s="3877"/>
      <c r="AI109" s="3877"/>
      <c r="AJ109" s="3877"/>
      <c r="AK109" s="3877"/>
      <c r="AL109" s="3877"/>
      <c r="AM109" s="3877"/>
      <c r="AN109" s="3877"/>
      <c r="AO109" s="3877"/>
      <c r="AP109" s="3877"/>
      <c r="AQ109" s="3877"/>
      <c r="AR109" s="3878"/>
      <c r="AS109" s="3549" t="s">
        <v>1113</v>
      </c>
      <c r="AT109" s="3550"/>
      <c r="AU109" s="3550"/>
      <c r="AV109" s="3550"/>
      <c r="AW109" s="3550"/>
      <c r="AX109" s="3550"/>
      <c r="AY109" s="3550"/>
      <c r="AZ109" s="3550"/>
      <c r="BA109" s="3550"/>
      <c r="BB109" s="3550"/>
      <c r="BC109" s="3550"/>
      <c r="BD109" s="3551"/>
      <c r="BE109" s="3552" t="s">
        <v>1112</v>
      </c>
      <c r="BF109" s="3553"/>
      <c r="BG109" s="3553"/>
      <c r="BH109" s="3553"/>
      <c r="BI109" s="3553" t="s">
        <v>1111</v>
      </c>
      <c r="BJ109" s="3553"/>
      <c r="BK109" s="3553"/>
      <c r="BL109" s="3553"/>
      <c r="BM109" s="3553" t="s">
        <v>1112</v>
      </c>
      <c r="BN109" s="3553"/>
      <c r="BO109" s="3553"/>
      <c r="BP109" s="3553"/>
      <c r="BQ109" s="3553" t="s">
        <v>1111</v>
      </c>
      <c r="BR109" s="3553"/>
      <c r="BS109" s="3553"/>
      <c r="BT109" s="3919"/>
      <c r="BU109" s="19"/>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15"/>
      <c r="DA109" s="67">
        <f>IF(DC107="＋",F111+F102+3,F111+F120+3)</f>
        <v>11</v>
      </c>
      <c r="DB109" s="98">
        <f>IF(C111="  RF","",IF(AN112="","",非誘!BW72))</f>
        <v>12</v>
      </c>
      <c r="DC109" s="98">
        <f>IF(DB109="","",IF(AN112="","",非誘!BX72))</f>
        <v>24</v>
      </c>
      <c r="DD109" s="3822" t="s">
        <v>1060</v>
      </c>
      <c r="DE109" s="3823"/>
      <c r="DF109" s="3824" t="s">
        <v>1173</v>
      </c>
      <c r="DG109" s="3824"/>
      <c r="DH109" s="3824" t="s">
        <v>1174</v>
      </c>
      <c r="DI109" s="3824"/>
      <c r="DJ109" s="3823" t="s">
        <v>1173</v>
      </c>
      <c r="DK109" s="3823"/>
      <c r="DL109" s="8"/>
      <c r="DM109" s="113" t="s">
        <v>1172</v>
      </c>
      <c r="DN109" s="113" t="s">
        <v>1171</v>
      </c>
      <c r="DO109" s="113" t="s">
        <v>1170</v>
      </c>
      <c r="DP109" s="8"/>
      <c r="DQ109" s="8"/>
      <c r="DR109" s="8"/>
      <c r="DS109" s="8"/>
      <c r="DT109" s="113" t="s">
        <v>1051</v>
      </c>
      <c r="DU109" s="8"/>
      <c r="DV109" s="113" t="s">
        <v>1047</v>
      </c>
      <c r="DW109" s="113" t="s">
        <v>1046</v>
      </c>
      <c r="DX109" s="8"/>
      <c r="DY109" s="113" t="s">
        <v>1047</v>
      </c>
      <c r="DZ109" s="113" t="s">
        <v>1047</v>
      </c>
      <c r="EA109" s="113"/>
      <c r="EB109" s="776" t="str">
        <f>IF(OR($B$2=0,Y111=""),"","混合器 UV-BC")</f>
        <v/>
      </c>
      <c r="EC109" s="15"/>
      <c r="ED109" s="782" t="str">
        <f>IF(BA111="","","分配器 6D")</f>
        <v>分配器 6D</v>
      </c>
      <c r="EE109" s="15">
        <f>BA111</f>
        <v>1</v>
      </c>
      <c r="EF109" s="15"/>
      <c r="EG109" s="15"/>
      <c r="EH109" s="197">
        <f t="shared" si="51"/>
        <v>4</v>
      </c>
      <c r="EI109" s="773" t="str">
        <f t="shared" si="52"/>
        <v/>
      </c>
      <c r="EJ109" s="203" t="str">
        <f>X113</f>
        <v/>
      </c>
      <c r="EK109" s="9"/>
      <c r="EL109" s="9" t="str">
        <f>IF(COUNTIF($EJ$18:EJ108,EJ109)&gt;0,"",EJ109)</f>
        <v/>
      </c>
      <c r="EM109" s="9"/>
      <c r="EN109" s="14" t="str">
        <f>AI113</f>
        <v/>
      </c>
      <c r="EO109" s="771">
        <f t="shared" si="65"/>
        <v>0</v>
      </c>
      <c r="EP109" s="8"/>
      <c r="EQ109" s="15"/>
      <c r="ER109" s="197">
        <f t="shared" si="54"/>
        <v>3</v>
      </c>
      <c r="ES109" s="773" t="str">
        <f t="shared" si="55"/>
        <v/>
      </c>
      <c r="ET109" s="203" t="str">
        <f t="shared" si="66"/>
        <v/>
      </c>
      <c r="EU109" s="9"/>
      <c r="EV109" s="11" t="str">
        <f>IF(COUNTIF($ET$18:ET108,ET109)&gt;0,"",ET109)</f>
        <v/>
      </c>
      <c r="EW109" s="9"/>
      <c r="EX109" s="124" t="str">
        <f>Y111</f>
        <v/>
      </c>
      <c r="EY109" s="771">
        <f t="shared" si="67"/>
        <v>0</v>
      </c>
      <c r="EZ109" s="8"/>
      <c r="FA109" s="15"/>
      <c r="FB109" s="197">
        <f t="shared" si="49"/>
        <v>10</v>
      </c>
      <c r="FC109" s="773" t="str">
        <f t="shared" si="50"/>
        <v/>
      </c>
      <c r="FD109" s="772" t="str">
        <f t="shared" si="68"/>
        <v>分配器 6D</v>
      </c>
      <c r="FE109" s="9"/>
      <c r="FF109" s="11" t="str">
        <f>IF(COUNTIF($FD$15:FD108,FD109)&gt;0,"",FD109)</f>
        <v/>
      </c>
      <c r="FG109" s="9"/>
      <c r="FH109" s="124">
        <f>BA111</f>
        <v>1</v>
      </c>
      <c r="FI109" s="771">
        <f t="shared" si="69"/>
        <v>0</v>
      </c>
    </row>
    <row r="110" spans="1:165" ht="11.25" customHeight="1" thickBot="1">
      <c r="B110" s="23"/>
      <c r="C110" s="3819"/>
      <c r="D110" s="3820"/>
      <c r="E110" s="3821"/>
      <c r="F110" s="3827" t="s">
        <v>17</v>
      </c>
      <c r="G110" s="3769"/>
      <c r="H110" s="3828"/>
      <c r="I110" s="3819" t="s">
        <v>17</v>
      </c>
      <c r="J110" s="3820"/>
      <c r="K110" s="3820"/>
      <c r="L110" s="3821"/>
      <c r="M110" s="3819" t="s">
        <v>1195</v>
      </c>
      <c r="N110" s="3820"/>
      <c r="O110" s="3820"/>
      <c r="P110" s="3821"/>
      <c r="Q110" s="3819" t="s">
        <v>1102</v>
      </c>
      <c r="R110" s="3820"/>
      <c r="S110" s="3821"/>
      <c r="T110" s="3819" t="s">
        <v>115</v>
      </c>
      <c r="U110" s="3820"/>
      <c r="V110" s="3821"/>
      <c r="W110" s="3862"/>
      <c r="X110" s="3865"/>
      <c r="Y110" s="3865"/>
      <c r="Z110" s="3868"/>
      <c r="AA110" s="3829">
        <f>IF($AG$15&lt;=65,115,110)</f>
        <v>115</v>
      </c>
      <c r="AB110" s="3562"/>
      <c r="AC110" s="3562"/>
      <c r="AD110" s="3562">
        <f>IF(CW251&gt;55,115,110)</f>
        <v>110</v>
      </c>
      <c r="AE110" s="3562"/>
      <c r="AF110" s="3830"/>
      <c r="AG110" s="3831" t="s">
        <v>1194</v>
      </c>
      <c r="AH110" s="3832"/>
      <c r="AI110" s="3832"/>
      <c r="AJ110" s="3833"/>
      <c r="AK110" s="3834" t="s">
        <v>1099</v>
      </c>
      <c r="AL110" s="3832"/>
      <c r="AM110" s="3832"/>
      <c r="AN110" s="3833"/>
      <c r="AO110" s="3834" t="s">
        <v>1193</v>
      </c>
      <c r="AP110" s="3832"/>
      <c r="AQ110" s="3832"/>
      <c r="AR110" s="3835"/>
      <c r="AS110" s="3836" t="s">
        <v>1096</v>
      </c>
      <c r="AT110" s="3832"/>
      <c r="AU110" s="3832"/>
      <c r="AV110" s="3833"/>
      <c r="AW110" s="3844" t="s">
        <v>1192</v>
      </c>
      <c r="AX110" s="3845"/>
      <c r="AY110" s="3845"/>
      <c r="AZ110" s="3846"/>
      <c r="BA110" s="3558" t="s">
        <v>1093</v>
      </c>
      <c r="BB110" s="3559"/>
      <c r="BC110" s="3559"/>
      <c r="BD110" s="3560"/>
      <c r="BE110" s="3561" t="s">
        <v>1191</v>
      </c>
      <c r="BF110" s="3562"/>
      <c r="BG110" s="3562"/>
      <c r="BH110" s="3562"/>
      <c r="BI110" s="3850" t="s">
        <v>1190</v>
      </c>
      <c r="BJ110" s="3562"/>
      <c r="BK110" s="3562"/>
      <c r="BL110" s="3562"/>
      <c r="BM110" s="3850" t="s">
        <v>1189</v>
      </c>
      <c r="BN110" s="3562"/>
      <c r="BO110" s="3562"/>
      <c r="BP110" s="3562"/>
      <c r="BQ110" s="3850" t="s">
        <v>1188</v>
      </c>
      <c r="BR110" s="3562"/>
      <c r="BS110" s="3562"/>
      <c r="BT110" s="3830"/>
      <c r="BU110" s="19"/>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90"/>
      <c r="DA110" s="15"/>
      <c r="DB110" s="98">
        <f>IF(C111="","",IF(AZ112="①",DB109+DC109+3,IF(AZ112="②",DB109*5/8+DC109+3,IF(AZ112="③",DB109/2+DC109+3,IF(AZ112="④",DB109+DC109*5/8+3,IF(AZ112="⑤",(DB109+DC109)*5/8+3,IF(AZ112="⑥",DB109/2+DC109*5/8+3,IF(AZ112="⑦",DB109+DC109/2+3,IF(AZ112="⑧",DB109*5/8+DC109/2+3,IF(AZ112="⑨",(DB109+DC109)/2+3))))))))))</f>
        <v>27</v>
      </c>
      <c r="DC110" s="180" t="s">
        <v>1187</v>
      </c>
      <c r="DD110" s="2589" t="str">
        <f>IF($AL$10="nC-FB","S-5C-FB",IF($AL$10="nD-FB","5D-FB","5C-2V"))</f>
        <v>S-5C-FB</v>
      </c>
      <c r="DE110" s="2591"/>
      <c r="DF110" s="3631">
        <f>IF(C111="  RF",DF101,IF($H$15="ＣＡＴＶ",DB109+DC109/2+F111-($AM$8-$AM$7)/1000+DR110,SUM(DM110:DO110)))</f>
        <v>58.5</v>
      </c>
      <c r="DG110" s="3812"/>
      <c r="DH110" s="2589" t="str">
        <f>IF($H$17="ＣＡＴＶ","G-22mm",IF(RIGHT($AB$17,1)+RIGHT($AF$17,1)+RIGHT($AJ$17,1)&gt;=4,"G-36mm","G-28mm"))</f>
        <v>G-28mm</v>
      </c>
      <c r="DI110" s="2591"/>
      <c r="DJ110" s="3631">
        <f>IF(C111="",0,IF(C111="  RF",DJ101,IF($H$15="ＣＡＴＶ",DB109+DC109/2+F111-($AM$8-$AM$7)/1000,10+F111-($AM$8-$AM$7)/1000)))</f>
        <v>14.5</v>
      </c>
      <c r="DK110" s="3812"/>
      <c r="DL110" s="15"/>
      <c r="DM110" s="98">
        <f>IF(OR($B$2=0,$H$15="ＣＡＴＶ",C111="",C111="  RF"),0,IF($AB$17="","",RIGHT($AB$17,1)*15+F111-($AM$8-$AM$7)/1000))</f>
        <v>19.5</v>
      </c>
      <c r="DN110" s="98">
        <f>IF(OR($B$2=0,$H$15="ＣＡＴＶ",C111="",C111="  RF"),0,IF($AF$17="","",15+F111-($AM$8-$AM$7)/1000))</f>
        <v>19.5</v>
      </c>
      <c r="DO110" s="98">
        <f>IF(OR($B$2=0,$H$15="ＣＡＴＶ",C111="",C111="  RF"),0,IF($AJ$17="","",15+F111-($AM$8-$AM$7)/1000))</f>
        <v>19.5</v>
      </c>
      <c r="DP110" s="15"/>
      <c r="DQ110" s="46" t="s">
        <v>1087</v>
      </c>
      <c r="DR110" s="98" t="str">
        <f>IF($H$17="ＣＡＴＶ",#REF!+#REF!,"")</f>
        <v/>
      </c>
      <c r="DS110" s="128" t="s">
        <v>1154</v>
      </c>
      <c r="DT110" s="159">
        <f>IF(AB112&lt;&gt;"Ｃ",0,IF(DY110&lt;&gt;0,DY110,IF(DZ110&lt;&gt;0,DZ110,0)))</f>
        <v>0</v>
      </c>
      <c r="DU110" s="8"/>
      <c r="DV110" s="86">
        <f>IF(AB112&lt;&gt;"Ｃ",0,IF(DY110=0,0,1))</f>
        <v>0</v>
      </c>
      <c r="DW110" s="86">
        <f>IF(AB112&lt;&gt;"Ｃ",0,IF(DZ110=0,0,1))</f>
        <v>0</v>
      </c>
      <c r="DX110" s="8"/>
      <c r="DY110" s="86">
        <f>IF(AB112&lt;&gt;"Ｃ",0,IF(AND(DB105&gt;60,DB105&lt;=64),4,IF(AND(DB105&gt;64,DB105&lt;=80),5,0)))</f>
        <v>0</v>
      </c>
      <c r="DZ110" s="86">
        <f>IF(AB112&lt;&gt;"Ｃ",0,IF(AND(DB105&gt;80,DB105&lt;=96),4,IF(AND(DB105&gt;96,DB105&lt;=120),5,0)))</f>
        <v>0</v>
      </c>
      <c r="EA110" s="38"/>
      <c r="EB110" s="776" t="str">
        <f>IF(OR($B$2=0,Z111=""),"","混合器 UV-BC")</f>
        <v/>
      </c>
      <c r="EC110" s="12"/>
      <c r="ED110" s="122" t="str">
        <f>IF(BE111="","","直列Unit-中間1端子")</f>
        <v/>
      </c>
      <c r="EE110" s="38" t="str">
        <f>BE111</f>
        <v/>
      </c>
      <c r="EF110" s="38"/>
      <c r="EG110" s="38"/>
      <c r="EH110" s="197">
        <f t="shared" si="51"/>
        <v>4</v>
      </c>
      <c r="EI110" s="773" t="str">
        <f t="shared" si="52"/>
        <v/>
      </c>
      <c r="EJ110" s="203" t="str">
        <f>X114</f>
        <v>PF-S-22mm</v>
      </c>
      <c r="EK110" s="9"/>
      <c r="EL110" s="9" t="str">
        <f>IF(COUNTIF($EJ$18:EJ109,EJ110)&gt;0,"",EJ110)</f>
        <v/>
      </c>
      <c r="EM110" s="9"/>
      <c r="EN110" s="14">
        <f>AI114</f>
        <v>4</v>
      </c>
      <c r="EO110" s="771">
        <f t="shared" si="65"/>
        <v>0</v>
      </c>
      <c r="EP110" s="8"/>
      <c r="EQ110" s="38"/>
      <c r="ER110" s="197">
        <f t="shared" si="54"/>
        <v>3</v>
      </c>
      <c r="ES110" s="773" t="str">
        <f t="shared" si="55"/>
        <v/>
      </c>
      <c r="ET110" s="203" t="str">
        <f t="shared" si="66"/>
        <v/>
      </c>
      <c r="EU110" s="9"/>
      <c r="EV110" s="11" t="str">
        <f>IF(COUNTIF($ET$18:ET109,ET110)&gt;0,"",ET110)</f>
        <v/>
      </c>
      <c r="EW110" s="9"/>
      <c r="EX110" s="124">
        <f>Z111</f>
        <v>0</v>
      </c>
      <c r="EY110" s="771">
        <f t="shared" si="67"/>
        <v>0</v>
      </c>
      <c r="EZ110" s="8"/>
      <c r="FA110" s="38"/>
      <c r="FB110" s="197">
        <f t="shared" si="49"/>
        <v>10</v>
      </c>
      <c r="FC110" s="773" t="str">
        <f t="shared" si="50"/>
        <v/>
      </c>
      <c r="FD110" s="772" t="str">
        <f t="shared" si="68"/>
        <v/>
      </c>
      <c r="FE110" s="9"/>
      <c r="FF110" s="11" t="str">
        <f>IF(COUNTIF($FD$15:FD109,FD110)&gt;0,"",FD110)</f>
        <v/>
      </c>
      <c r="FG110" s="9"/>
      <c r="FH110" s="124" t="str">
        <f>BE111</f>
        <v/>
      </c>
      <c r="FI110" s="771">
        <f t="shared" si="69"/>
        <v>0</v>
      </c>
    </row>
    <row r="111" spans="1:165" ht="11.25" customHeight="1">
      <c r="A111" s="8">
        <v>10</v>
      </c>
      <c r="B111" s="23"/>
      <c r="C111" s="3837" t="str">
        <f>非誘!C72</f>
        <v xml:space="preserve">  8F</v>
      </c>
      <c r="D111" s="3837"/>
      <c r="E111" s="3837"/>
      <c r="F111" s="3838">
        <f>非誘!F72</f>
        <v>4</v>
      </c>
      <c r="G111" s="3839"/>
      <c r="H111" s="3840"/>
      <c r="I111" s="3838">
        <f>非誘!J72</f>
        <v>3</v>
      </c>
      <c r="J111" s="3839"/>
      <c r="K111" s="3839"/>
      <c r="L111" s="3840"/>
      <c r="M111" s="3841">
        <f>非誘!N72</f>
        <v>1152</v>
      </c>
      <c r="N111" s="3842"/>
      <c r="O111" s="3842"/>
      <c r="P111" s="3843"/>
      <c r="Q111" s="3537">
        <f>非誘!AA72</f>
        <v>3</v>
      </c>
      <c r="R111" s="3537"/>
      <c r="S111" s="3537"/>
      <c r="T111" s="3537">
        <f>非誘!AD72</f>
        <v>9</v>
      </c>
      <c r="U111" s="3537"/>
      <c r="V111" s="3537"/>
      <c r="W111" s="795" t="str">
        <f>IF(OR(AN23="不要",C111&lt;&gt;$X$10),"",IF(AND($AB$17="UHF×3",$AF$17&lt;&gt;"",$AJ$17&lt;&gt;""),2,IF(OR(AND($AB$17="UHF×3",$AB$17="",$AJ$17=""),AND($AB$17="UHF×3",$AF$17&lt;&gt;"",$AJ$17=""),AND($AB$17="UHF×2",$AF$17&lt;&gt;"",$AJ$17&lt;&gt;"")),1,"")))</f>
        <v/>
      </c>
      <c r="X111" s="794" t="str">
        <f>IF(OR(AN23="不要",C111&lt;&gt;$X$10),"",IF(AND($AB$17&lt;&gt;"",$AF$17&lt;&gt;"",$AJ$17&lt;&gt;""),1,""))</f>
        <v/>
      </c>
      <c r="Y111" s="794" t="str">
        <f>IF(OR(AN23="不要",C111&lt;&gt;$X$10),"",IF(AND(OR($AB$17="UHF×2",$AB$17="UHF×3"),$AF$17&lt;&gt;"",$AJ$17=""),1,""))</f>
        <v/>
      </c>
      <c r="Z111" s="793"/>
      <c r="AA111" s="3847" t="str">
        <f>IF($B$2=0,"",IF(AND(AN23&lt;&gt;"不要",DC107="＝"),1,""))</f>
        <v/>
      </c>
      <c r="AB111" s="3848"/>
      <c r="AC111" s="3848"/>
      <c r="AD111" s="3848">
        <f>IF($B$2=0,"",IF(OR(AN23="不要",C111="",C111="  RF"),"",IF(AN23="設置",1,"")))</f>
        <v>1</v>
      </c>
      <c r="AE111" s="3848"/>
      <c r="AF111" s="3849"/>
      <c r="AG111" s="3837" t="str">
        <f>IF(OR(AN23="不要",C111="",C111="  RF"),"",IF(AI111&lt;&gt;"",AI111,IF(DE108+DM108+DT108+DT110+DT112=0,"",DE108+DM108+DT108+DT110+DT112)))</f>
        <v/>
      </c>
      <c r="AH111" s="3837"/>
      <c r="AI111" s="3915"/>
      <c r="AJ111" s="3915"/>
      <c r="AK111" s="3837">
        <f>IF(OR(AN23="不要",C111="",C111="  RF"),"",IF(AM111&lt;&gt;"",AM111,IF(DF108+DN108=0,"",DF108+DN108)))</f>
        <v>1</v>
      </c>
      <c r="AL111" s="3837"/>
      <c r="AM111" s="3915"/>
      <c r="AN111" s="3915"/>
      <c r="AO111" s="3813" t="str">
        <f>IF(AQ111="","",AQ111)</f>
        <v/>
      </c>
      <c r="AP111" s="3814"/>
      <c r="AQ111" s="3915"/>
      <c r="AR111" s="3915"/>
      <c r="AS111" s="3916" t="str">
        <f>IF(OR(AN23="不要",C111="  RF"),"",IF(AU111&lt;&gt;"",AU111,IF(DH108+DP108+DU108+DX108+DY108+DZ108=0,"",DH108+DP108+DU108+DX108+DY108+DZ108)))</f>
        <v/>
      </c>
      <c r="AT111" s="3837"/>
      <c r="AU111" s="3915"/>
      <c r="AV111" s="3915"/>
      <c r="AW111" s="3837" t="str">
        <f>IF(OR(AN23="不要",C111="  RF"),"",IF(AY111&lt;&gt;"",AY111,IF(DI108+DQ108+DV108+DV110+DY110+DZ110=0,"",DI108+DQ108+DV108+DV110+DY110+DZ110)))</f>
        <v/>
      </c>
      <c r="AX111" s="3837"/>
      <c r="AY111" s="3915"/>
      <c r="AZ111" s="3915"/>
      <c r="BA111" s="3837">
        <f>IF(OR(AN23="不要",C111="  RF"),"",IF(BC111&lt;&gt;"",BC111,IF(DJ108+DR108+DW108+DW110+DW112+DZ112=0,"",DJ108+DR108+DW108+DW110+DW112+DZ112)))</f>
        <v>1</v>
      </c>
      <c r="BB111" s="3837"/>
      <c r="BC111" s="3915"/>
      <c r="BD111" s="3915"/>
      <c r="BE111" s="3837" t="str">
        <f>IF(OR(AN23="不要",$X$11="2端子",C111="",C111="  RF"),"",IF(BG111&lt;&gt;"",BG111,IF(AND(AB112="Ａ",$X$11="1端子"),DK108,"")))</f>
        <v/>
      </c>
      <c r="BF111" s="3837"/>
      <c r="BG111" s="3837" t="str">
        <f>IF(AND(BO111&lt;&gt;"",AB112="Ａ",$X$11="1端子"),BO111,"")</f>
        <v/>
      </c>
      <c r="BH111" s="3837"/>
      <c r="BI111" s="3916" t="str">
        <f>IF(OR(AN23="不要",$X$11="1端子",C111="",C111="  RF"),"",IF(BK111&lt;&gt;"",BK111,IF(AND(AB112="Ａ",$X$11="2端子"),DK108,"")))</f>
        <v/>
      </c>
      <c r="BJ111" s="3837"/>
      <c r="BK111" s="3837" t="str">
        <f>IF(AND(BS111&lt;&gt;"",AB112="Ａ",$X$11="2端子"),BS111,"")</f>
        <v/>
      </c>
      <c r="BL111" s="3837"/>
      <c r="BM111" s="3837">
        <f>IF(OR(AN23="不要",C111="  RF",C111="",$X$11="2端子"),"",IF(BO111&lt;&gt;"",BO111,IF(AND(AB112="Ａ",$X$11="1端子"),DK108,DK106)))</f>
        <v>12</v>
      </c>
      <c r="BN111" s="3837"/>
      <c r="BO111" s="3915"/>
      <c r="BP111" s="3915"/>
      <c r="BQ111" s="3837" t="str">
        <f>IF(OR(AN23="不要",C111="  RF",C111="",$X$11="1端子"),"",IF(BS111&lt;&gt;"",BS111,IF(AND(AB112="Ａ",$X$11="2端子"),DK108,DK106)))</f>
        <v/>
      </c>
      <c r="BR111" s="3837"/>
      <c r="BS111" s="3915"/>
      <c r="BT111" s="3918"/>
      <c r="BU111" s="19"/>
      <c r="BV111" s="8"/>
      <c r="BW111" s="88">
        <f>IF(I111="直天",F111,I111)</f>
        <v>3</v>
      </c>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38"/>
      <c r="DA111" s="15"/>
      <c r="DB111" s="15"/>
      <c r="DC111" s="180" t="s">
        <v>1228</v>
      </c>
      <c r="DD111" s="2589" t="str">
        <f>IF($AL$10="nC-FB","S-7C-FB",IF($AL$10="nD-FB","8D-FB","7C-2V"))</f>
        <v>S-7C-FB</v>
      </c>
      <c r="DE111" s="2591"/>
      <c r="DF111" s="3631">
        <f>IF(OR(C111="",C111="  RF"),0,IF(AB112="Ｃ",2.5*AG111+(DB109+DC109),F111+2))</f>
        <v>6</v>
      </c>
      <c r="DG111" s="3812"/>
      <c r="DH111" s="2589" t="str">
        <f>IF(OR(H112="天井ケーブル",H112="天井-PF管"),"PF-S-22mm",IF(H112="天井-CD管","CD-22mm",IF(H112="天井-C 管","C-25mm",IF(H112="天井-G 管","G-22mm",""))))</f>
        <v>PF-S-22mm</v>
      </c>
      <c r="DI111" s="2591"/>
      <c r="DJ111" s="3631">
        <f>IF(OR(C111="",C111="  RF"),0,IF(AB112="Ｃ",F111-($AM$8-$AM$7)/1000,F111))</f>
        <v>4</v>
      </c>
      <c r="DK111" s="3812"/>
      <c r="DL111" s="778"/>
      <c r="DM111" s="112"/>
      <c r="DN111" s="190" t="s">
        <v>1227</v>
      </c>
      <c r="DO111" s="98">
        <f>IF(OR(C111="",C111="  RF"),0,(DB109+DC109)/2/SQRT(DK108))</f>
        <v>6.8033605141660898</v>
      </c>
      <c r="DP111" s="15"/>
      <c r="DQ111" s="15"/>
      <c r="DR111" s="15"/>
      <c r="DS111" s="8"/>
      <c r="DT111" s="113" t="s">
        <v>1226</v>
      </c>
      <c r="DU111" s="8"/>
      <c r="DV111" s="113"/>
      <c r="DW111" s="113" t="s">
        <v>1225</v>
      </c>
      <c r="DX111" s="8"/>
      <c r="DY111" s="8"/>
      <c r="DZ111" s="113" t="s">
        <v>1225</v>
      </c>
      <c r="EA111" s="113"/>
      <c r="EB111" s="776" t="str">
        <f>IF(OR($B$2=0,AA111=""),"","増幅器 "&amp;AA109&amp;AA110)</f>
        <v/>
      </c>
      <c r="EC111" s="15"/>
      <c r="ED111" s="122" t="str">
        <f>IF(BI111="","","直列Unit-中間2端子")</f>
        <v/>
      </c>
      <c r="EE111" s="15" t="str">
        <f>BI111</f>
        <v/>
      </c>
      <c r="EF111" s="15"/>
      <c r="EG111" s="15"/>
      <c r="EH111" s="197">
        <f t="shared" si="51"/>
        <v>4</v>
      </c>
      <c r="EI111" s="773" t="str">
        <f t="shared" si="52"/>
        <v/>
      </c>
      <c r="EJ111" s="203" t="str">
        <f>AS113</f>
        <v>S-5C-FB</v>
      </c>
      <c r="EK111" s="9"/>
      <c r="EL111" s="9" t="str">
        <f>IF(COUNTIF($EJ$18:EJ110,EJ111)&gt;0,"",EJ111)</f>
        <v/>
      </c>
      <c r="EM111" s="9"/>
      <c r="EN111" s="14">
        <f>BB113</f>
        <v>178.84032616999309</v>
      </c>
      <c r="EO111" s="771">
        <f t="shared" si="65"/>
        <v>0</v>
      </c>
      <c r="EP111" s="8"/>
      <c r="EQ111" s="15"/>
      <c r="ER111" s="197">
        <f t="shared" si="54"/>
        <v>3</v>
      </c>
      <c r="ES111" s="773" t="str">
        <f t="shared" si="55"/>
        <v/>
      </c>
      <c r="ET111" s="203" t="str">
        <f t="shared" si="66"/>
        <v/>
      </c>
      <c r="EU111" s="9"/>
      <c r="EV111" s="11" t="str">
        <f>IF(COUNTIF($ET$18:ET110,ET111)&gt;0,"",ET111)</f>
        <v/>
      </c>
      <c r="EW111" s="9"/>
      <c r="EX111" s="124" t="str">
        <f>AA111</f>
        <v/>
      </c>
      <c r="EY111" s="771">
        <f t="shared" si="67"/>
        <v>0</v>
      </c>
      <c r="EZ111" s="8"/>
      <c r="FA111" s="15"/>
      <c r="FB111" s="197">
        <f t="shared" si="49"/>
        <v>10</v>
      </c>
      <c r="FC111" s="773" t="str">
        <f t="shared" si="50"/>
        <v/>
      </c>
      <c r="FD111" s="772" t="str">
        <f t="shared" si="68"/>
        <v/>
      </c>
      <c r="FE111" s="9"/>
      <c r="FF111" s="11" t="str">
        <f>IF(COUNTIF($FD$15:FD110,FD111)&gt;0,"",FD111)</f>
        <v/>
      </c>
      <c r="FG111" s="9"/>
      <c r="FH111" s="124" t="str">
        <f>BI111</f>
        <v/>
      </c>
      <c r="FI111" s="771">
        <f t="shared" si="69"/>
        <v>0</v>
      </c>
    </row>
    <row r="112" spans="1:165" ht="12" customHeight="1">
      <c r="A112" s="8"/>
      <c r="B112" s="23"/>
      <c r="C112" s="2634" t="s">
        <v>135</v>
      </c>
      <c r="D112" s="2634"/>
      <c r="E112" s="2634"/>
      <c r="F112" s="2634"/>
      <c r="G112" s="2634"/>
      <c r="H112" s="3904" t="str">
        <f>IF($B$2=0,"",IF(P112="","天井ケーブル",P112))</f>
        <v>天井ケーブル</v>
      </c>
      <c r="I112" s="3904"/>
      <c r="J112" s="3904"/>
      <c r="K112" s="3904"/>
      <c r="L112" s="3904"/>
      <c r="M112" s="3904"/>
      <c r="N112" s="3904"/>
      <c r="O112" s="173" t="s">
        <v>758</v>
      </c>
      <c r="P112" s="3796"/>
      <c r="Q112" s="3797"/>
      <c r="R112" s="3797"/>
      <c r="S112" s="3797"/>
      <c r="T112" s="3797"/>
      <c r="U112" s="3797"/>
      <c r="V112" s="3798"/>
      <c r="W112" s="2634" t="s">
        <v>1082</v>
      </c>
      <c r="X112" s="2634"/>
      <c r="Y112" s="2634"/>
      <c r="Z112" s="2634"/>
      <c r="AA112" s="2634"/>
      <c r="AB112" s="3799" t="str">
        <f>IF(AN23="不要","",IF(AF112&lt;&gt;"",AF112,DB106))</f>
        <v>Ｂ</v>
      </c>
      <c r="AC112" s="3799"/>
      <c r="AD112" s="3799"/>
      <c r="AE112" s="173" t="s">
        <v>758</v>
      </c>
      <c r="AF112" s="3800"/>
      <c r="AG112" s="3801"/>
      <c r="AH112" s="3802"/>
      <c r="AI112" s="2634" t="s">
        <v>20</v>
      </c>
      <c r="AJ112" s="2634"/>
      <c r="AK112" s="2634"/>
      <c r="AL112" s="2634"/>
      <c r="AM112" s="2634"/>
      <c r="AN112" s="3522">
        <f>IF(OR(C111="",C111="  RF"),"",非誘!J71)</f>
        <v>0.5</v>
      </c>
      <c r="AO112" s="3523"/>
      <c r="AP112" s="3523"/>
      <c r="AQ112" s="3524"/>
      <c r="AR112" s="3507" t="s">
        <v>1081</v>
      </c>
      <c r="AS112" s="3461"/>
      <c r="AT112" s="3461"/>
      <c r="AU112" s="3461"/>
      <c r="AV112" s="3461"/>
      <c r="AW112" s="3461"/>
      <c r="AX112" s="3461"/>
      <c r="AY112" s="3461"/>
      <c r="AZ112" s="3563" t="str">
        <f>IF(OR(C111="",C111="  RF"),"",IF(BC112="",$AN$11,BC112))</f>
        <v>⑦</v>
      </c>
      <c r="BA112" s="3563"/>
      <c r="BB112" s="777" t="s">
        <v>758</v>
      </c>
      <c r="BC112" s="3521"/>
      <c r="BD112" s="3521"/>
      <c r="BE112" s="3564"/>
      <c r="BF112" s="3565"/>
      <c r="BG112" s="3565"/>
      <c r="BH112" s="3565"/>
      <c r="BI112" s="3565"/>
      <c r="BJ112" s="3565"/>
      <c r="BK112" s="3565"/>
      <c r="BL112" s="3565"/>
      <c r="BM112" s="3565"/>
      <c r="BN112" s="3565"/>
      <c r="BO112" s="3565"/>
      <c r="BP112" s="3565"/>
      <c r="BQ112" s="3565"/>
      <c r="BR112" s="3565"/>
      <c r="BS112" s="3565"/>
      <c r="BT112" s="3566"/>
      <c r="BU112" s="19"/>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38"/>
      <c r="DA112" s="15"/>
      <c r="DB112" s="8"/>
      <c r="DC112" s="180" t="s">
        <v>1224</v>
      </c>
      <c r="DD112" s="2589" t="str">
        <f>IF($AL$10="nC-FB","S-5C-FB",IF($AL$10="nD-FB","5D-FB","5C-2V"))</f>
        <v>S-5C-FB</v>
      </c>
      <c r="DE112" s="2591"/>
      <c r="DF112" s="3631">
        <f>IF(AB112="Ａ",(DK108+2*BW111-($X$7+$X$9)/1000)*DO111+(12+2*BW111-2*$X$9/1000)*DK108+DO112,IF(AB112="Ｂ",(DO111+2*BW111-$X$9/1000)*DK106+DO112,0))</f>
        <v>178.84032616999309</v>
      </c>
      <c r="DG112" s="3812"/>
      <c r="DH112" s="2589" t="str">
        <f>IF(OR(H112="天井ケーブル",H112="天井-PF管"),"PF-S-16mm",IF(H112="天井-CD管","CD-16mm",IF(H112="天井-C 管","C-19mm",IF(H112="天井-G 管","G-16mm",""))))</f>
        <v>PF-S-16mm</v>
      </c>
      <c r="DI112" s="2591"/>
      <c r="DJ112" s="3631">
        <f>IF(OR(C111="",C111="  RF"),0,IF(H112="天井ケーブル",DK106*(BW111-($X$9-$AM$9)/1000),(DO111+2*BW111-$X$9/1000)*DK106+DO112))</f>
        <v>37.799999999999997</v>
      </c>
      <c r="DK112" s="3812"/>
      <c r="DL112" s="15"/>
      <c r="DM112" s="46"/>
      <c r="DN112" s="46" t="s">
        <v>1223</v>
      </c>
      <c r="DO112" s="98">
        <f>DB110</f>
        <v>27</v>
      </c>
      <c r="DP112" s="15"/>
      <c r="DQ112" s="15"/>
      <c r="DR112" s="15"/>
      <c r="DS112" s="128" t="s">
        <v>1222</v>
      </c>
      <c r="DT112" s="86">
        <f>IF(AB112&lt;&gt;"Ｃ",0,IF(DZ112=0,0,DZ112))</f>
        <v>0</v>
      </c>
      <c r="DU112" s="8"/>
      <c r="DV112" s="8"/>
      <c r="DW112" s="86">
        <f>IF(AB112&lt;&gt;"Ｃ",0,IF(DZ112=0,0,1))</f>
        <v>0</v>
      </c>
      <c r="DX112" s="8"/>
      <c r="DY112" s="8"/>
      <c r="DZ112" s="86">
        <f>IF(AB112&lt;&gt;"Ｃ",0,IF(AND(DB105&gt;120,DB105&lt;=144),4,IF(AND(DB105&gt;144,DB105&lt;=180),5,0)))</f>
        <v>0</v>
      </c>
      <c r="EA112" s="38"/>
      <c r="EB112" s="776" t="str">
        <f>IF(OR($B$2=0,AD111=""),"","増幅器 "&amp;AD109&amp;AD110)</f>
        <v>増幅器 35/110</v>
      </c>
      <c r="EC112" s="38"/>
      <c r="ED112" s="122" t="str">
        <f>IF(BM111="","","直列Unit-終端1端子")</f>
        <v>直列Unit-終端1端子</v>
      </c>
      <c r="EE112" s="38">
        <f>BM111</f>
        <v>12</v>
      </c>
      <c r="EF112" s="38"/>
      <c r="EG112" s="38"/>
      <c r="EH112" s="197">
        <f t="shared" si="51"/>
        <v>4</v>
      </c>
      <c r="EI112" s="773" t="str">
        <f t="shared" si="52"/>
        <v/>
      </c>
      <c r="EJ112" s="203" t="str">
        <f>AS114</f>
        <v/>
      </c>
      <c r="EK112" s="9"/>
      <c r="EL112" s="9" t="str">
        <f>IF(COUNTIF($EJ$18:EJ111,EJ112)&gt;0,"",EJ112)</f>
        <v/>
      </c>
      <c r="EM112" s="9"/>
      <c r="EN112" s="14" t="str">
        <f>BB114</f>
        <v/>
      </c>
      <c r="EO112" s="771">
        <f t="shared" si="65"/>
        <v>0</v>
      </c>
      <c r="EP112" s="8"/>
      <c r="EQ112" s="38"/>
      <c r="ER112" s="197">
        <f t="shared" si="54"/>
        <v>3</v>
      </c>
      <c r="ES112" s="773" t="str">
        <f t="shared" si="55"/>
        <v/>
      </c>
      <c r="ET112" s="203" t="str">
        <f t="shared" si="66"/>
        <v>増幅器 35/110</v>
      </c>
      <c r="EU112" s="9"/>
      <c r="EV112" s="11" t="str">
        <f>IF(COUNTIF($ET$18:ET111,ET112)&gt;0,"",ET112)</f>
        <v/>
      </c>
      <c r="EW112" s="9"/>
      <c r="EX112" s="124">
        <f>AD111</f>
        <v>1</v>
      </c>
      <c r="EY112" s="771">
        <f t="shared" si="67"/>
        <v>0</v>
      </c>
      <c r="EZ112" s="8"/>
      <c r="FA112" s="38"/>
      <c r="FB112" s="197">
        <f t="shared" si="49"/>
        <v>10</v>
      </c>
      <c r="FC112" s="773" t="str">
        <f t="shared" si="50"/>
        <v/>
      </c>
      <c r="FD112" s="772" t="str">
        <f t="shared" si="68"/>
        <v>直列Unit-終端1端子</v>
      </c>
      <c r="FE112" s="9"/>
      <c r="FF112" s="11" t="str">
        <f>IF(COUNTIF($FD$15:FD111,FD112)&gt;0,"",FD112)</f>
        <v/>
      </c>
      <c r="FG112" s="9"/>
      <c r="FH112" s="124">
        <f>BM111</f>
        <v>12</v>
      </c>
      <c r="FI112" s="771">
        <f t="shared" si="69"/>
        <v>0</v>
      </c>
    </row>
    <row r="113" spans="1:165" ht="12" customHeight="1">
      <c r="A113" s="8"/>
      <c r="B113" s="23"/>
      <c r="C113" s="3905" t="s">
        <v>449</v>
      </c>
      <c r="D113" s="3905"/>
      <c r="E113" s="3905"/>
      <c r="F113" s="3904" t="str">
        <f>IF($H$15="ＣＡＴＶ","CATV引込","アンテナ部")</f>
        <v>アンテナ部</v>
      </c>
      <c r="G113" s="3904"/>
      <c r="H113" s="3904"/>
      <c r="I113" s="3904"/>
      <c r="J113" s="3904"/>
      <c r="K113" s="3908" t="str">
        <f>IF(OR(AN23="不要",$B$2=0,C111&lt;&gt;$X$10),"",IF(P113&lt;&gt;"",P113,DD110))</f>
        <v/>
      </c>
      <c r="L113" s="3908"/>
      <c r="M113" s="3908"/>
      <c r="N113" s="3908"/>
      <c r="O113" s="173" t="s">
        <v>1220</v>
      </c>
      <c r="P113" s="3517"/>
      <c r="Q113" s="3517"/>
      <c r="R113" s="3517"/>
      <c r="S113" s="3517"/>
      <c r="T113" s="3526" t="str">
        <f>IF(AND(C111&lt;&gt;"",K113&lt;&gt;""),DF110,"")</f>
        <v/>
      </c>
      <c r="U113" s="3526"/>
      <c r="V113" s="3526"/>
      <c r="W113" s="3526"/>
      <c r="X113" s="3908" t="str">
        <f>IF(OR($B$2=0,K113=""),"",IF(AD113&lt;&gt;"",AD113,DH110))</f>
        <v/>
      </c>
      <c r="Y113" s="3908"/>
      <c r="Z113" s="3908"/>
      <c r="AA113" s="3908"/>
      <c r="AB113" s="3908"/>
      <c r="AC113" s="173" t="s">
        <v>1220</v>
      </c>
      <c r="AD113" s="3525"/>
      <c r="AE113" s="3525"/>
      <c r="AF113" s="3525"/>
      <c r="AG113" s="3525"/>
      <c r="AH113" s="3525"/>
      <c r="AI113" s="3526" t="str">
        <f>IF(X113="","",IF(DJ110="","",DJ110))</f>
        <v/>
      </c>
      <c r="AJ113" s="3526"/>
      <c r="AK113" s="3526"/>
      <c r="AL113" s="3526"/>
      <c r="AM113" s="3904" t="s">
        <v>1077</v>
      </c>
      <c r="AN113" s="3904"/>
      <c r="AO113" s="3904"/>
      <c r="AP113" s="3904"/>
      <c r="AQ113" s="3904"/>
      <c r="AR113" s="3904"/>
      <c r="AS113" s="3908" t="str">
        <f>IF(OR(AN23="不要",$B$2=0,C111="",C111="  RF",AB112="Ｃ"),"",IF(AX113&lt;&gt;"",AX113,DD112))</f>
        <v>S-5C-FB</v>
      </c>
      <c r="AT113" s="3908"/>
      <c r="AU113" s="3908"/>
      <c r="AV113" s="3908"/>
      <c r="AW113" s="173" t="s">
        <v>1220</v>
      </c>
      <c r="AX113" s="3517"/>
      <c r="AY113" s="3517"/>
      <c r="AZ113" s="3517"/>
      <c r="BA113" s="3517"/>
      <c r="BB113" s="3537">
        <f>IF(AS113&lt;&gt;"",DF112,"")</f>
        <v>178.84032616999309</v>
      </c>
      <c r="BC113" s="3537"/>
      <c r="BD113" s="3537"/>
      <c r="BE113" s="3537"/>
      <c r="BF113" s="3908" t="str">
        <f>IF(OR(C111="",AS113=""),"",IF(AB112="Ａ",DH111,DH112))</f>
        <v>PF-S-16mm</v>
      </c>
      <c r="BG113" s="3908"/>
      <c r="BH113" s="3908"/>
      <c r="BI113" s="3908"/>
      <c r="BJ113" s="3908"/>
      <c r="BK113" s="173" t="s">
        <v>1220</v>
      </c>
      <c r="BL113" s="3525"/>
      <c r="BM113" s="3525"/>
      <c r="BN113" s="3525"/>
      <c r="BO113" s="3525"/>
      <c r="BP113" s="3525"/>
      <c r="BQ113" s="3526">
        <f>IF(BF113="","",DJ112)</f>
        <v>37.799999999999997</v>
      </c>
      <c r="BR113" s="3526"/>
      <c r="BS113" s="3526"/>
      <c r="BT113" s="3527"/>
      <c r="BU113" s="19"/>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774" t="s">
        <v>1221</v>
      </c>
      <c r="DD113" s="2589" t="str">
        <f>DD112</f>
        <v>S-5C-FB</v>
      </c>
      <c r="DE113" s="2591"/>
      <c r="DF113" s="3631">
        <f>IF(OR(C111="",C111="  RF",I111="直天"),0,1+INT(12+BW111-($X$9-$AM$9)/1000)*DK106+DO113)</f>
        <v>235</v>
      </c>
      <c r="DG113" s="3812"/>
      <c r="DH113" s="2589" t="str">
        <f>DH112</f>
        <v>PF-S-16mm</v>
      </c>
      <c r="DI113" s="2591"/>
      <c r="DJ113" s="3631">
        <f>IF(OR(C111="",C111="  RF"),0,IF(H112="天井ケーブル",DK106*(BW111-($X$9-2*$AM$9)/1000),1+INT(12+BW111-$X$9/1000)*DK106))</f>
        <v>41.400000000000006</v>
      </c>
      <c r="DK113" s="3812"/>
      <c r="DL113" s="15"/>
      <c r="DM113" s="15"/>
      <c r="DN113" s="46" t="s">
        <v>1075</v>
      </c>
      <c r="DO113" s="97">
        <f>IF(C111="",0,IF($AW$8=0,0,2*($AW$8/1000-0.15-0.1)*(INT(1000*DB109/$AW$10)+1)*(INT(1000*DC109/$AW$10)+1)*4))</f>
        <v>53.999999999999993</v>
      </c>
      <c r="DP113" s="15"/>
      <c r="DQ113" s="15"/>
      <c r="DR113" s="15"/>
      <c r="DS113" s="8"/>
      <c r="DT113" s="8"/>
      <c r="DU113" s="8"/>
      <c r="DV113" s="8"/>
      <c r="DW113" s="8"/>
      <c r="DX113" s="8"/>
      <c r="DY113" s="8"/>
      <c r="DZ113" s="8"/>
      <c r="EA113" s="8"/>
      <c r="EB113" s="769" t="str">
        <f>IF(OR($B$2=0,AG111=""),"","分岐器 1C")</f>
        <v/>
      </c>
      <c r="EC113" s="8"/>
      <c r="ED113" s="122" t="str">
        <f>IF(BQ111="","","直列Unit-終端2端子")</f>
        <v/>
      </c>
      <c r="EE113" s="8" t="str">
        <f>BQ111</f>
        <v/>
      </c>
      <c r="EF113" s="8"/>
      <c r="EG113" s="8"/>
      <c r="EH113" s="197">
        <f t="shared" si="51"/>
        <v>4</v>
      </c>
      <c r="EI113" s="773" t="str">
        <f t="shared" si="52"/>
        <v/>
      </c>
      <c r="EJ113" s="203" t="str">
        <f>BF113</f>
        <v>PF-S-16mm</v>
      </c>
      <c r="EK113" s="9"/>
      <c r="EL113" s="9" t="str">
        <f>IF(COUNTIF($EJ$18:EJ112,EJ113)&gt;0,"",EJ113)</f>
        <v/>
      </c>
      <c r="EM113" s="9"/>
      <c r="EN113" s="14">
        <f>BQ113</f>
        <v>37.799999999999997</v>
      </c>
      <c r="EO113" s="771">
        <f t="shared" si="65"/>
        <v>0</v>
      </c>
      <c r="EP113" s="8"/>
      <c r="EQ113" s="8"/>
      <c r="ER113" s="197">
        <f t="shared" si="54"/>
        <v>3</v>
      </c>
      <c r="ES113" s="773" t="str">
        <f t="shared" si="55"/>
        <v/>
      </c>
      <c r="ET113" s="203" t="str">
        <f t="shared" si="66"/>
        <v/>
      </c>
      <c r="EU113" s="9"/>
      <c r="EV113" s="11" t="str">
        <f>IF(COUNTIF($ET$18:ET112,ET113)&gt;0,"",ET113)</f>
        <v/>
      </c>
      <c r="EW113" s="9"/>
      <c r="EX113" s="124" t="str">
        <f>AG111</f>
        <v/>
      </c>
      <c r="EY113" s="771">
        <f t="shared" si="67"/>
        <v>0</v>
      </c>
      <c r="EZ113" s="8"/>
      <c r="FA113" s="8"/>
      <c r="FB113" s="197">
        <f t="shared" si="49"/>
        <v>10</v>
      </c>
      <c r="FC113" s="773" t="str">
        <f t="shared" si="50"/>
        <v/>
      </c>
      <c r="FD113" s="772" t="str">
        <f t="shared" si="68"/>
        <v/>
      </c>
      <c r="FE113" s="9"/>
      <c r="FF113" s="11" t="str">
        <f>IF(COUNTIF($FD$15:FD112,FD113)&gt;0,"",FD113)</f>
        <v/>
      </c>
      <c r="FG113" s="9"/>
      <c r="FH113" s="124" t="str">
        <f>BQ111</f>
        <v/>
      </c>
      <c r="FI113" s="771">
        <f t="shared" si="69"/>
        <v>0</v>
      </c>
    </row>
    <row r="114" spans="1:165" ht="12" customHeight="1" thickBot="1">
      <c r="A114" s="8"/>
      <c r="B114" s="23"/>
      <c r="C114" s="3922"/>
      <c r="D114" s="3922"/>
      <c r="E114" s="3922"/>
      <c r="F114" s="3920" t="s">
        <v>1074</v>
      </c>
      <c r="G114" s="3920"/>
      <c r="H114" s="3920"/>
      <c r="I114" s="3920"/>
      <c r="J114" s="3920"/>
      <c r="K114" s="3506" t="str">
        <f>IF(OR(C111="",C111="  RF",$B$2=0),"",IF(P114&lt;&gt;"",P114,DD111))</f>
        <v>S-7C-FB</v>
      </c>
      <c r="L114" s="3506"/>
      <c r="M114" s="3506"/>
      <c r="N114" s="3506"/>
      <c r="O114" s="800" t="s">
        <v>1220</v>
      </c>
      <c r="P114" s="3536"/>
      <c r="Q114" s="3536"/>
      <c r="R114" s="3536"/>
      <c r="S114" s="3536"/>
      <c r="T114" s="3538">
        <f>IF(R108="不",F111,IF(K114="","",DF111))</f>
        <v>6</v>
      </c>
      <c r="U114" s="3538"/>
      <c r="V114" s="3538"/>
      <c r="W114" s="3538"/>
      <c r="X114" s="3506" t="str">
        <f>IF(R108="不","",IF(OR(C111="",K114=""),"",IF(AD114&lt;&gt;"",AD114,IF(DH111="","",DH111))))</f>
        <v>PF-S-22mm</v>
      </c>
      <c r="Y114" s="3506"/>
      <c r="Z114" s="3506"/>
      <c r="AA114" s="3506"/>
      <c r="AB114" s="3506"/>
      <c r="AC114" s="800" t="s">
        <v>1220</v>
      </c>
      <c r="AD114" s="3533"/>
      <c r="AE114" s="3533"/>
      <c r="AF114" s="3533"/>
      <c r="AG114" s="3533"/>
      <c r="AH114" s="3533"/>
      <c r="AI114" s="3538">
        <f>IF(X114="","",DJ111)</f>
        <v>4</v>
      </c>
      <c r="AJ114" s="3538"/>
      <c r="AK114" s="3538"/>
      <c r="AL114" s="3538"/>
      <c r="AM114" s="3920" t="s">
        <v>1073</v>
      </c>
      <c r="AN114" s="3920"/>
      <c r="AO114" s="3920"/>
      <c r="AP114" s="3920"/>
      <c r="AQ114" s="3920"/>
      <c r="AR114" s="3920"/>
      <c r="AS114" s="3506" t="str">
        <f>IF(OR(AN23="不要",$B$2=0,C111="",AB112&lt;&gt;"Ｃ"),"",IF(AX114&lt;&gt;"",AX114,DD113))</f>
        <v/>
      </c>
      <c r="AT114" s="3506"/>
      <c r="AU114" s="3506"/>
      <c r="AV114" s="3506"/>
      <c r="AW114" s="800" t="s">
        <v>1220</v>
      </c>
      <c r="AX114" s="3536"/>
      <c r="AY114" s="3536"/>
      <c r="AZ114" s="3536"/>
      <c r="BA114" s="3536"/>
      <c r="BB114" s="3921" t="str">
        <f>IF(AS114="","",DF113)</f>
        <v/>
      </c>
      <c r="BC114" s="3921"/>
      <c r="BD114" s="3921"/>
      <c r="BE114" s="3921"/>
      <c r="BF114" s="3506" t="str">
        <f>IF(OR(C111="",AS114=""),"",IF(BL114&lt;&gt;"",BL114,DH113))</f>
        <v/>
      </c>
      <c r="BG114" s="3506"/>
      <c r="BH114" s="3506"/>
      <c r="BI114" s="3506"/>
      <c r="BJ114" s="3506"/>
      <c r="BK114" s="800" t="s">
        <v>1220</v>
      </c>
      <c r="BL114" s="3533"/>
      <c r="BM114" s="3533"/>
      <c r="BN114" s="3533"/>
      <c r="BO114" s="3533"/>
      <c r="BP114" s="3533"/>
      <c r="BQ114" s="3538" t="str">
        <f>IF(BF114="","",DJ113)</f>
        <v/>
      </c>
      <c r="BR114" s="3538"/>
      <c r="BS114" s="3538"/>
      <c r="BT114" s="3539"/>
      <c r="BU114" s="19"/>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8">
        <f>IF(AND(AB121="Ａ",$X$11="2端子"),BI120+BQ120,IF(AND(AB121="Ａ",$X$11="1端子"),BE120+BM120,IF(AND(AB121="Ｂ",$X$11="1端子"),BM120,IF(AND(AB121="Ｂ",$X$11="2端子"),BQ120,IF(AND(AB121="Ｃ",$X$11="1端子"),BM120,BQ120)))))</f>
        <v>12</v>
      </c>
      <c r="DC114" s="10"/>
      <c r="DD114" s="8"/>
      <c r="DE114" s="8"/>
      <c r="DF114" s="8"/>
      <c r="DG114" s="8"/>
      <c r="DH114" s="8"/>
      <c r="DI114" s="8"/>
      <c r="DJ114" s="8"/>
      <c r="DK114" s="8"/>
      <c r="DL114" s="8"/>
      <c r="DM114" s="8"/>
      <c r="DN114" s="8"/>
      <c r="DO114" s="8"/>
      <c r="DP114" s="15"/>
      <c r="DQ114" s="15"/>
      <c r="DR114" s="15"/>
      <c r="DS114" s="8"/>
      <c r="DT114" s="8"/>
      <c r="DU114" s="8"/>
      <c r="DV114" s="8"/>
      <c r="DW114" s="8"/>
      <c r="DX114" s="8"/>
      <c r="DY114" s="8"/>
      <c r="DZ114" s="8"/>
      <c r="EA114" s="8"/>
      <c r="EB114" s="769" t="str">
        <f>IF(OR($B$2=0,AK111=""),"","分岐器 2C")</f>
        <v>分岐器 2C</v>
      </c>
      <c r="EC114" s="8"/>
      <c r="ED114" s="10"/>
      <c r="EE114" s="8"/>
      <c r="EF114" s="8"/>
      <c r="EG114" s="8"/>
      <c r="EH114" s="197">
        <f t="shared" si="51"/>
        <v>4</v>
      </c>
      <c r="EI114" s="773" t="str">
        <f t="shared" si="52"/>
        <v/>
      </c>
      <c r="EJ114" s="203" t="str">
        <f>BF114</f>
        <v/>
      </c>
      <c r="EK114" s="9"/>
      <c r="EL114" s="9" t="str">
        <f>IF(COUNTIF($EJ$18:EJ113,EJ114)&gt;0,"",EJ114)</f>
        <v/>
      </c>
      <c r="EM114" s="9"/>
      <c r="EN114" s="14" t="str">
        <f>BQ114</f>
        <v/>
      </c>
      <c r="EO114" s="771">
        <f t="shared" si="65"/>
        <v>0</v>
      </c>
      <c r="EP114" s="8"/>
      <c r="EQ114" s="8"/>
      <c r="ER114" s="197">
        <f t="shared" si="54"/>
        <v>3</v>
      </c>
      <c r="ES114" s="773" t="str">
        <f t="shared" si="55"/>
        <v/>
      </c>
      <c r="ET114" s="203" t="str">
        <f t="shared" si="66"/>
        <v>分岐器 2C</v>
      </c>
      <c r="EU114" s="9"/>
      <c r="EV114" s="11" t="str">
        <f>IF(COUNTIF($ET$18:ET113,ET114)&gt;0,"",ET114)</f>
        <v/>
      </c>
      <c r="EW114" s="9"/>
      <c r="EX114" s="124">
        <f>AK111</f>
        <v>1</v>
      </c>
      <c r="EY114" s="771">
        <f t="shared" si="67"/>
        <v>0</v>
      </c>
      <c r="EZ114" s="8"/>
      <c r="FA114" s="8"/>
      <c r="FB114" s="197">
        <f t="shared" ref="FB114:FB145" si="70">IF(FF114&lt;&gt;"",FB113+1,FB113)</f>
        <v>10</v>
      </c>
      <c r="FC114" s="773" t="str">
        <f t="shared" ref="FC114:FC145" si="71">IF(AND(FB114&lt;&gt;"",FF114&lt;&gt;""),FB114,"")</f>
        <v/>
      </c>
      <c r="FD114" s="772"/>
      <c r="FE114" s="9"/>
      <c r="FF114" s="11"/>
      <c r="FG114" s="9"/>
      <c r="FH114" s="124"/>
      <c r="FI114" s="771"/>
    </row>
    <row r="115" spans="1:165" ht="12" customHeight="1" thickBot="1">
      <c r="B115" s="23"/>
      <c r="C115" s="20"/>
      <c r="D115" s="20"/>
      <c r="E115" s="20"/>
      <c r="F115" s="20"/>
      <c r="G115" s="20"/>
      <c r="H115" s="20"/>
      <c r="I115" s="20"/>
      <c r="J115" s="20"/>
      <c r="K115" s="20"/>
      <c r="L115" s="20"/>
      <c r="M115" s="20"/>
      <c r="N115" s="20"/>
      <c r="O115" s="20"/>
      <c r="P115" s="20"/>
      <c r="Q115" s="787" t="str">
        <f>IF(AND(OR(AB121="Ａ",F252="Ａ"),DB114&gt;24),"直列ユニット数………配線方式Ａ：24以下!!",IF(AND(OR(AB121="Ｂ",F252="Ｂ"),DB114&gt;12),"直列ユニット数………配線方式Ｂ：12以下!!",IF(AND(OR(AB121="Ｃ",F252="Ｃ"),DB114&gt;180),"直列ユニット数………配線方式Ｃ：180以下!!","")))</f>
        <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19"/>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v>11</v>
      </c>
      <c r="DB115" s="92" t="str">
        <f>IF(OR(V86="不要",C120="",C120="  RF"),"",IF(DK115&lt;=12,"Ｂ",IF(DK115&lt;=24,"Ａ","Ｃ")))</f>
        <v>Ｂ</v>
      </c>
      <c r="DC115" s="10"/>
      <c r="DD115" s="8"/>
      <c r="DE115" s="8"/>
      <c r="DF115" s="8"/>
      <c r="DG115" s="8"/>
      <c r="DH115" s="8"/>
      <c r="DI115" s="8"/>
      <c r="DJ115" s="8"/>
      <c r="DK115" s="159">
        <f>IF(OR(C120="",C120="  RF"),0,SUM(Q120:V120))</f>
        <v>12</v>
      </c>
      <c r="DL115" s="8"/>
      <c r="DM115" s="8"/>
      <c r="DN115" s="8"/>
      <c r="DO115" s="8"/>
      <c r="DP115" s="8"/>
      <c r="DQ115" s="8"/>
      <c r="DR115" s="8"/>
      <c r="DS115" s="8"/>
      <c r="DT115" s="8"/>
      <c r="DU115" s="8"/>
      <c r="DV115" s="8"/>
      <c r="DW115" s="8"/>
      <c r="DX115" s="8"/>
      <c r="DY115" s="8"/>
      <c r="DZ115" s="8"/>
      <c r="EA115" s="8"/>
      <c r="EB115" s="8"/>
      <c r="EC115" s="8"/>
      <c r="ED115" s="8"/>
      <c r="EE115" s="8"/>
      <c r="EF115" s="8"/>
      <c r="EG115" s="88">
        <v>11</v>
      </c>
      <c r="EH115" s="204">
        <f t="shared" si="51"/>
        <v>4</v>
      </c>
      <c r="EI115" s="768" t="str">
        <f t="shared" si="52"/>
        <v/>
      </c>
      <c r="EJ115" s="45"/>
      <c r="EK115" s="45"/>
      <c r="EL115" s="45"/>
      <c r="EM115" s="45"/>
      <c r="EN115" s="45"/>
      <c r="EO115" s="785"/>
      <c r="EP115" s="8"/>
      <c r="EQ115" s="88">
        <v>11</v>
      </c>
      <c r="ER115" s="204">
        <f t="shared" si="54"/>
        <v>3</v>
      </c>
      <c r="ES115" s="768" t="str">
        <f t="shared" si="55"/>
        <v/>
      </c>
      <c r="ET115" s="45"/>
      <c r="EU115" s="45"/>
      <c r="EV115" s="154"/>
      <c r="EW115" s="45"/>
      <c r="EX115" s="45"/>
      <c r="EY115" s="785"/>
      <c r="EZ115" s="8"/>
      <c r="FA115" s="88">
        <v>11</v>
      </c>
      <c r="FB115" s="204">
        <f t="shared" si="70"/>
        <v>10</v>
      </c>
      <c r="FC115" s="768" t="str">
        <f t="shared" si="71"/>
        <v/>
      </c>
      <c r="FD115" s="786"/>
      <c r="FE115" s="45"/>
      <c r="FF115" s="154"/>
      <c r="FG115" s="45"/>
      <c r="FH115" s="208"/>
      <c r="FI115" s="785"/>
    </row>
    <row r="116" spans="1:165" ht="11.25" customHeight="1" thickBot="1">
      <c r="B116" s="23"/>
      <c r="C116" s="3399" t="s">
        <v>1142</v>
      </c>
      <c r="D116" s="3412"/>
      <c r="E116" s="3412"/>
      <c r="F116" s="3412"/>
      <c r="G116" s="3412"/>
      <c r="H116" s="3412"/>
      <c r="I116" s="3412"/>
      <c r="J116" s="3412"/>
      <c r="K116" s="3412"/>
      <c r="L116" s="3413"/>
      <c r="M116" s="3853" t="str">
        <f>非誘!J76</f>
        <v>( 4 )</v>
      </c>
      <c r="N116" s="3854"/>
      <c r="O116" s="3854"/>
      <c r="P116" s="3854"/>
      <c r="Q116" s="3855"/>
      <c r="R116" s="2299" t="str">
        <f>IF($B$2=0,"","共聴機器")</f>
        <v>共聴機器</v>
      </c>
      <c r="S116" s="2299"/>
      <c r="T116" s="2299"/>
      <c r="U116" s="2299"/>
      <c r="V116" s="2299"/>
      <c r="W116" s="3412" t="s">
        <v>1141</v>
      </c>
      <c r="X116" s="3412"/>
      <c r="Y116" s="3412"/>
      <c r="Z116" s="3413"/>
      <c r="AA116" s="2637" t="s">
        <v>1140</v>
      </c>
      <c r="AB116" s="2638"/>
      <c r="AC116" s="2638"/>
      <c r="AD116" s="2638"/>
      <c r="AE116" s="2638"/>
      <c r="AF116" s="2639"/>
      <c r="AG116" s="3879" t="s">
        <v>1139</v>
      </c>
      <c r="AH116" s="3879"/>
      <c r="AI116" s="3879"/>
      <c r="AJ116" s="3879"/>
      <c r="AK116" s="3879"/>
      <c r="AL116" s="3879"/>
      <c r="AM116" s="3879"/>
      <c r="AN116" s="3879"/>
      <c r="AO116" s="3879"/>
      <c r="AP116" s="3879"/>
      <c r="AQ116" s="3879"/>
      <c r="AR116" s="3879"/>
      <c r="AS116" s="2637" t="s">
        <v>1138</v>
      </c>
      <c r="AT116" s="2638"/>
      <c r="AU116" s="2638"/>
      <c r="AV116" s="2638"/>
      <c r="AW116" s="2638"/>
      <c r="AX116" s="2638"/>
      <c r="AY116" s="2638"/>
      <c r="AZ116" s="2638"/>
      <c r="BA116" s="2638"/>
      <c r="BB116" s="2638"/>
      <c r="BC116" s="2638"/>
      <c r="BD116" s="2639"/>
      <c r="BE116" s="2637" t="s">
        <v>1137</v>
      </c>
      <c r="BF116" s="2638"/>
      <c r="BG116" s="2638"/>
      <c r="BH116" s="2638"/>
      <c r="BI116" s="2638"/>
      <c r="BJ116" s="2638"/>
      <c r="BK116" s="2638"/>
      <c r="BL116" s="2638"/>
      <c r="BM116" s="2638"/>
      <c r="BN116" s="2638"/>
      <c r="BO116" s="2638"/>
      <c r="BP116" s="2638"/>
      <c r="BQ116" s="2638"/>
      <c r="BR116" s="2638"/>
      <c r="BS116" s="2638"/>
      <c r="BT116" s="2639"/>
      <c r="BU116" s="19"/>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15"/>
      <c r="DA116" s="784"/>
      <c r="DB116" s="97">
        <f>IF(C120="","",DB107+1)</f>
        <v>11</v>
      </c>
      <c r="DC116" s="15" t="str">
        <f>IF($X$10=C120,"＝",IF(VLOOKUP(C120,[2]!階高,3,FALSE)-VLOOKUP($X$10,[2]!階高,3,FALSE)&gt;0,"＋","－"))</f>
        <v>－</v>
      </c>
      <c r="DD116" s="38"/>
      <c r="DE116" s="113" t="s">
        <v>1127</v>
      </c>
      <c r="DF116" s="113" t="s">
        <v>1126</v>
      </c>
      <c r="DG116" s="113" t="s">
        <v>1125</v>
      </c>
      <c r="DH116" s="113" t="s">
        <v>1133</v>
      </c>
      <c r="DI116" s="113" t="s">
        <v>1124</v>
      </c>
      <c r="DJ116" s="113" t="s">
        <v>1134</v>
      </c>
      <c r="DK116" s="90" t="s">
        <v>1135</v>
      </c>
      <c r="DL116" s="38"/>
      <c r="DM116" s="113" t="s">
        <v>1127</v>
      </c>
      <c r="DN116" s="113" t="s">
        <v>1126</v>
      </c>
      <c r="DO116" s="113" t="s">
        <v>1125</v>
      </c>
      <c r="DP116" s="113" t="s">
        <v>1133</v>
      </c>
      <c r="DQ116" s="113" t="s">
        <v>1124</v>
      </c>
      <c r="DR116" s="113" t="s">
        <v>1134</v>
      </c>
      <c r="DS116" s="38"/>
      <c r="DT116" s="113" t="s">
        <v>1127</v>
      </c>
      <c r="DU116" s="113" t="s">
        <v>1133</v>
      </c>
      <c r="DV116" s="113" t="s">
        <v>1124</v>
      </c>
      <c r="DW116" s="113" t="s">
        <v>1134</v>
      </c>
      <c r="DX116" s="113" t="s">
        <v>1133</v>
      </c>
      <c r="DY116" s="113" t="s">
        <v>1133</v>
      </c>
      <c r="DZ116" s="113" t="s">
        <v>1133</v>
      </c>
      <c r="EA116" s="113"/>
      <c r="EB116" s="776" t="str">
        <f>IF(OR($B$2=0,W120=""),"","混合器 U-U")</f>
        <v/>
      </c>
      <c r="EC116" s="15"/>
      <c r="ED116" s="782" t="str">
        <f>IF(AS120="","","分配器 2D")</f>
        <v/>
      </c>
      <c r="EE116" s="15" t="str">
        <f>AS120</f>
        <v/>
      </c>
      <c r="EF116" s="15"/>
      <c r="EG116" s="8"/>
      <c r="EH116" s="197">
        <f t="shared" si="51"/>
        <v>4</v>
      </c>
      <c r="EI116" s="773" t="str">
        <f t="shared" si="52"/>
        <v/>
      </c>
      <c r="EJ116" s="203" t="str">
        <f>K122</f>
        <v/>
      </c>
      <c r="EK116" s="9"/>
      <c r="EL116" s="9" t="str">
        <f>IF(COUNTIF($EJ$18:EJ115,EJ116)&gt;0,"",EJ116)</f>
        <v/>
      </c>
      <c r="EM116" s="9"/>
      <c r="EN116" s="14" t="str">
        <f>T122</f>
        <v/>
      </c>
      <c r="EO116" s="771">
        <f t="shared" ref="EO116:EO123" si="72">SUMIF($EJ$25:$EJ$225,EL116,$EN$25:$EN$225)</f>
        <v>0</v>
      </c>
      <c r="EP116" s="8"/>
      <c r="EQ116" s="8"/>
      <c r="ER116" s="197">
        <f t="shared" si="54"/>
        <v>3</v>
      </c>
      <c r="ES116" s="773" t="str">
        <f t="shared" si="55"/>
        <v/>
      </c>
      <c r="ET116" s="203" t="str">
        <f t="shared" ref="ET116:ET123" si="73">EB116</f>
        <v/>
      </c>
      <c r="EU116" s="9"/>
      <c r="EV116" s="11" t="str">
        <f>IF(COUNTIF($ET$18:ET115,ET116)&gt;0,"",ET116)</f>
        <v/>
      </c>
      <c r="EW116" s="9"/>
      <c r="EX116" s="124" t="str">
        <f>W120</f>
        <v/>
      </c>
      <c r="EY116" s="771">
        <f t="shared" ref="EY116:EY123" si="74">SUMIF($ET$25:$ET$225,EV116,$EX$25:$EX$225)</f>
        <v>0</v>
      </c>
      <c r="EZ116" s="8"/>
      <c r="FA116" s="8"/>
      <c r="FB116" s="197">
        <f t="shared" si="70"/>
        <v>10</v>
      </c>
      <c r="FC116" s="773" t="str">
        <f t="shared" si="71"/>
        <v/>
      </c>
      <c r="FD116" s="772" t="str">
        <f t="shared" ref="FD116:FD122" si="75">ED116</f>
        <v/>
      </c>
      <c r="FE116" s="9"/>
      <c r="FF116" s="11" t="str">
        <f>IF(COUNTIF($FD$15:FD115,FD116)&gt;0,"",FD116)</f>
        <v/>
      </c>
      <c r="FG116" s="9"/>
      <c r="FH116" s="124" t="str">
        <f>AS120</f>
        <v/>
      </c>
      <c r="FI116" s="771">
        <f t="shared" ref="FI116:FI122" si="76">SUMIF($FD$18:$FD$205,FF116,$FH$18:$FH$205)</f>
        <v>0</v>
      </c>
    </row>
    <row r="117" spans="1:165" ht="11.25" customHeight="1" thickBot="1">
      <c r="B117" s="23"/>
      <c r="C117" s="3857" t="str">
        <f>"　"&amp;非誘!M76</f>
        <v>　百貨店等</v>
      </c>
      <c r="D117" s="3858"/>
      <c r="E117" s="3858"/>
      <c r="F117" s="3858"/>
      <c r="G117" s="3858"/>
      <c r="H117" s="3858"/>
      <c r="I117" s="3858"/>
      <c r="J117" s="3858"/>
      <c r="K117" s="3858"/>
      <c r="L117" s="3858"/>
      <c r="M117" s="3858"/>
      <c r="N117" s="3858"/>
      <c r="O117" s="3858"/>
      <c r="P117" s="3858"/>
      <c r="Q117" s="3859"/>
      <c r="R117" s="2337" t="str">
        <f>IF(U117&lt;&gt;"",U117,IF(C120="","","設"))</f>
        <v>設</v>
      </c>
      <c r="S117" s="2337"/>
      <c r="T117" s="175" t="s">
        <v>2</v>
      </c>
      <c r="U117" s="2338"/>
      <c r="V117" s="2338"/>
      <c r="W117" s="3860" t="s">
        <v>1158</v>
      </c>
      <c r="X117" s="3863" t="s">
        <v>1157</v>
      </c>
      <c r="Y117" s="3863" t="s">
        <v>1129</v>
      </c>
      <c r="Z117" s="3866"/>
      <c r="AA117" s="3528" t="s">
        <v>1156</v>
      </c>
      <c r="AB117" s="3519"/>
      <c r="AC117" s="3519"/>
      <c r="AD117" s="3519"/>
      <c r="AE117" s="3519"/>
      <c r="AF117" s="3520"/>
      <c r="AG117" s="3528" t="s">
        <v>1127</v>
      </c>
      <c r="AH117" s="3519"/>
      <c r="AI117" s="3519"/>
      <c r="AJ117" s="3529"/>
      <c r="AK117" s="3518" t="s">
        <v>1126</v>
      </c>
      <c r="AL117" s="3519"/>
      <c r="AM117" s="3519"/>
      <c r="AN117" s="3529"/>
      <c r="AO117" s="3518" t="s">
        <v>1125</v>
      </c>
      <c r="AP117" s="3519"/>
      <c r="AQ117" s="3519"/>
      <c r="AR117" s="3520"/>
      <c r="AS117" s="3528" t="s">
        <v>1133</v>
      </c>
      <c r="AT117" s="3519"/>
      <c r="AU117" s="3519"/>
      <c r="AV117" s="3529"/>
      <c r="AW117" s="3518" t="s">
        <v>1124</v>
      </c>
      <c r="AX117" s="3519"/>
      <c r="AY117" s="3519"/>
      <c r="AZ117" s="3529"/>
      <c r="BA117" s="3518" t="s">
        <v>1134</v>
      </c>
      <c r="BB117" s="3519"/>
      <c r="BC117" s="3519"/>
      <c r="BD117" s="3520"/>
      <c r="BE117" s="3528" t="s">
        <v>1123</v>
      </c>
      <c r="BF117" s="3519"/>
      <c r="BG117" s="3519"/>
      <c r="BH117" s="3519"/>
      <c r="BI117" s="3519"/>
      <c r="BJ117" s="3519"/>
      <c r="BK117" s="3519"/>
      <c r="BL117" s="3529"/>
      <c r="BM117" s="3518" t="s">
        <v>1122</v>
      </c>
      <c r="BN117" s="3519"/>
      <c r="BO117" s="3519"/>
      <c r="BP117" s="3519"/>
      <c r="BQ117" s="3519"/>
      <c r="BR117" s="3519"/>
      <c r="BS117" s="3519"/>
      <c r="BT117" s="3520"/>
      <c r="BU117" s="19"/>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15"/>
      <c r="DA117" s="15">
        <f>IF(AG120&lt;&gt;"",2,IF(AK120&lt;&gt;"",3,0))</f>
        <v>3</v>
      </c>
      <c r="DB117" s="86" t="s">
        <v>78</v>
      </c>
      <c r="DC117" s="86" t="s">
        <v>369</v>
      </c>
      <c r="DD117" s="128" t="s">
        <v>1120</v>
      </c>
      <c r="DE117" s="86">
        <f>IF(AB121&lt;&gt;"Ａ",0,IF(AND(2*DK117&gt;=4,2*DK117&lt;=12),1,0))</f>
        <v>0</v>
      </c>
      <c r="DF117" s="86">
        <f>IF(AB121&lt;&gt;"Ａ",0,IF(AND(2*DK117&gt;=16,DK117&lt;=24),1,0))</f>
        <v>0</v>
      </c>
      <c r="DG117" s="97" t="s">
        <v>98</v>
      </c>
      <c r="DH117" s="86">
        <f>IF(AB121&lt;&gt;"Ａ",0,IF(2*DK117&lt;=4,1,0))</f>
        <v>0</v>
      </c>
      <c r="DI117" s="86">
        <f>IF(AB121&lt;&gt;"Ａ",0,IF(OR(AND(2*DK117&gt;4,2*DK117&lt;=8),AND(2*DK117&gt;12,2*DK117&lt;=16)),1,0))</f>
        <v>0</v>
      </c>
      <c r="DJ117" s="183">
        <f>IF(AB121&lt;&gt;"Ａ",0,IF(OR(AND(2*DK117&gt;8,2*DK117&lt;=12),AND(2*DK117&gt;16,2*DK117&lt;=24)),1,0))</f>
        <v>0</v>
      </c>
      <c r="DK117" s="783">
        <f>IF(OR(C120="",C120="  RF"),0,IF(Q120="",INT((T120)/2),INT((Q120+INT(T120))/2)+1))</f>
        <v>7</v>
      </c>
      <c r="DL117" s="128" t="s">
        <v>1155</v>
      </c>
      <c r="DM117" s="86">
        <f>IF(AB121&lt;&gt;"Ｂ",0,IF(DB114&lt;=6,1,0))</f>
        <v>0</v>
      </c>
      <c r="DN117" s="86">
        <f>IF(AB121&lt;&gt;"Ｂ",0,IF(AND(DB114&gt;6,DB114&lt;=12),1,0))</f>
        <v>1</v>
      </c>
      <c r="DO117" s="97" t="s">
        <v>98</v>
      </c>
      <c r="DP117" s="86">
        <f>IF(AB121&lt;&gt;"Ｂ",0,IF(DB114&lt;=2,1,0))</f>
        <v>0</v>
      </c>
      <c r="DQ117" s="86">
        <f>IF(AB121&lt;&gt;"Ｂ",0,IF(OR(AND(DB114&gt;2,DB114&lt;6),AND(DB114&gt;6,DB114&lt;=8)),1,0))</f>
        <v>0</v>
      </c>
      <c r="DR117" s="86">
        <f>IF(AB121&lt;&gt;"Ｂ",0,IF(OR(AND(DB114&gt;4,DB114&lt;6),AND(DB114&gt;8,DB114&lt;=12)),1,0))</f>
        <v>1</v>
      </c>
      <c r="DS117" s="128" t="s">
        <v>1154</v>
      </c>
      <c r="DT117" s="159">
        <f>IF(AB121&lt;&gt;"Ｃ",0,IF(DX117&lt;&gt;0,DX117,IF(DY117&lt;&gt;0,DY117,IF(DZ117&lt;&gt;0,DZ117,0))))</f>
        <v>0</v>
      </c>
      <c r="DU117" s="159">
        <f>IF(AB121&lt;&gt;"Ｃ",0,IF(DX117=0,0,1))</f>
        <v>0</v>
      </c>
      <c r="DV117" s="159">
        <f>IF(AB121&lt;&gt;"Ｃ",0,IF(DY117=0,0,1))</f>
        <v>0</v>
      </c>
      <c r="DW117" s="783">
        <f>IF(AB121&lt;&gt;"Ｃ",0,IF(DZ117=0,0,1))</f>
        <v>0</v>
      </c>
      <c r="DX117" s="714">
        <f>IF(AB121&lt;&gt;"Ｃ",0,IF(DB114&lt;=12,3,IF(AND(DB114&gt;12,DB114&lt;=16),4,IF(AND(DB114&gt;16,DB114&lt;=20),5,0))))</f>
        <v>0</v>
      </c>
      <c r="DY117" s="86">
        <f>IF(AB121&lt;&gt;"Ｃ",0,IF(AND(DB114&gt;20,DB114&lt;=24),3,IF(AND(DB114&gt;24,DB114&lt;=32),4,IF(AND(DB114&gt;32,DB114&lt;=40),5,0))))</f>
        <v>0</v>
      </c>
      <c r="DZ117" s="97">
        <f>IF(AB121&lt;&gt;"Ｃ",0,IF(AND(DB114&gt;40,DB114&lt;=48),4,IF(AND(DB114&gt;48,DB114&lt;=60),5,0)))</f>
        <v>0</v>
      </c>
      <c r="EA117" s="96"/>
      <c r="EB117" s="776" t="str">
        <f>IF(OR($B$2=0,X120=""),"","混合器 BS-CS")</f>
        <v/>
      </c>
      <c r="EC117" s="96"/>
      <c r="ED117" s="782" t="str">
        <f>IF(AW120="","","分配器 4D")</f>
        <v/>
      </c>
      <c r="EE117" s="96" t="str">
        <f>AW120</f>
        <v/>
      </c>
      <c r="EF117" s="96"/>
      <c r="EG117" s="96"/>
      <c r="EH117" s="197">
        <f t="shared" si="51"/>
        <v>4</v>
      </c>
      <c r="EI117" s="773" t="str">
        <f t="shared" si="52"/>
        <v/>
      </c>
      <c r="EJ117" s="203" t="str">
        <f>K123</f>
        <v>S-7C-FB</v>
      </c>
      <c r="EK117" s="9"/>
      <c r="EL117" s="9" t="str">
        <f>IF(COUNTIF($EJ$18:EJ116,EJ117)&gt;0,"",EJ117)</f>
        <v/>
      </c>
      <c r="EM117" s="9"/>
      <c r="EN117" s="14">
        <f>T123</f>
        <v>6</v>
      </c>
      <c r="EO117" s="771">
        <f t="shared" si="72"/>
        <v>0</v>
      </c>
      <c r="EP117" s="8"/>
      <c r="EQ117" s="96"/>
      <c r="ER117" s="197">
        <f t="shared" si="54"/>
        <v>3</v>
      </c>
      <c r="ES117" s="773" t="str">
        <f t="shared" si="55"/>
        <v/>
      </c>
      <c r="ET117" s="203" t="str">
        <f t="shared" si="73"/>
        <v/>
      </c>
      <c r="EU117" s="9"/>
      <c r="EV117" s="11" t="str">
        <f>IF(COUNTIF($ET$18:ET116,ET117)&gt;0,"",ET117)</f>
        <v/>
      </c>
      <c r="EW117" s="9"/>
      <c r="EX117" s="124" t="str">
        <f>X120</f>
        <v/>
      </c>
      <c r="EY117" s="771">
        <f t="shared" si="74"/>
        <v>0</v>
      </c>
      <c r="EZ117" s="8"/>
      <c r="FA117" s="96"/>
      <c r="FB117" s="197">
        <f t="shared" si="70"/>
        <v>10</v>
      </c>
      <c r="FC117" s="773" t="str">
        <f t="shared" si="71"/>
        <v/>
      </c>
      <c r="FD117" s="772" t="str">
        <f t="shared" si="75"/>
        <v/>
      </c>
      <c r="FE117" s="9"/>
      <c r="FF117" s="11" t="str">
        <f>IF(COUNTIF($FD$15:FD116,FD117)&gt;0,"",FD117)</f>
        <v/>
      </c>
      <c r="FG117" s="9"/>
      <c r="FH117" s="124" t="str">
        <f>AW120</f>
        <v/>
      </c>
      <c r="FI117" s="771">
        <f t="shared" si="76"/>
        <v>0</v>
      </c>
    </row>
    <row r="118" spans="1:165" ht="11.25" customHeight="1" thickBot="1">
      <c r="B118" s="23"/>
      <c r="C118" s="3819" t="s">
        <v>16</v>
      </c>
      <c r="D118" s="3820"/>
      <c r="E118" s="3821"/>
      <c r="F118" s="3869" t="s">
        <v>22</v>
      </c>
      <c r="G118" s="3870"/>
      <c r="H118" s="3871"/>
      <c r="I118" s="3869" t="s">
        <v>5</v>
      </c>
      <c r="J118" s="3870"/>
      <c r="K118" s="3870"/>
      <c r="L118" s="3871"/>
      <c r="M118" s="3819" t="s">
        <v>1199</v>
      </c>
      <c r="N118" s="3820"/>
      <c r="O118" s="3820"/>
      <c r="P118" s="3821"/>
      <c r="Q118" s="3819" t="s">
        <v>1115</v>
      </c>
      <c r="R118" s="3820"/>
      <c r="S118" s="3821"/>
      <c r="T118" s="3819" t="s">
        <v>1115</v>
      </c>
      <c r="U118" s="3820"/>
      <c r="V118" s="3821"/>
      <c r="W118" s="3861"/>
      <c r="X118" s="3864"/>
      <c r="Y118" s="3864"/>
      <c r="Z118" s="3867"/>
      <c r="AA118" s="3872" t="str">
        <f>IF($AG$15&lt;=65,"40/","35/")</f>
        <v>40/</v>
      </c>
      <c r="AB118" s="3873"/>
      <c r="AC118" s="3873"/>
      <c r="AD118" s="3873" t="str">
        <f>IF(CW253&gt;55,"40/","35/")</f>
        <v>35/</v>
      </c>
      <c r="AE118" s="3873"/>
      <c r="AF118" s="3875"/>
      <c r="AG118" s="3876" t="s">
        <v>1114</v>
      </c>
      <c r="AH118" s="3877"/>
      <c r="AI118" s="3877"/>
      <c r="AJ118" s="3877"/>
      <c r="AK118" s="3877"/>
      <c r="AL118" s="3877"/>
      <c r="AM118" s="3877"/>
      <c r="AN118" s="3877"/>
      <c r="AO118" s="3877"/>
      <c r="AP118" s="3877"/>
      <c r="AQ118" s="3877"/>
      <c r="AR118" s="3878"/>
      <c r="AS118" s="3549" t="s">
        <v>1113</v>
      </c>
      <c r="AT118" s="3550"/>
      <c r="AU118" s="3550"/>
      <c r="AV118" s="3550"/>
      <c r="AW118" s="3550"/>
      <c r="AX118" s="3550"/>
      <c r="AY118" s="3550"/>
      <c r="AZ118" s="3550"/>
      <c r="BA118" s="3550"/>
      <c r="BB118" s="3550"/>
      <c r="BC118" s="3550"/>
      <c r="BD118" s="3551"/>
      <c r="BE118" s="3552" t="s">
        <v>1112</v>
      </c>
      <c r="BF118" s="3553"/>
      <c r="BG118" s="3553"/>
      <c r="BH118" s="3553"/>
      <c r="BI118" s="3553" t="s">
        <v>1111</v>
      </c>
      <c r="BJ118" s="3553"/>
      <c r="BK118" s="3553"/>
      <c r="BL118" s="3553"/>
      <c r="BM118" s="3553" t="s">
        <v>1112</v>
      </c>
      <c r="BN118" s="3553"/>
      <c r="BO118" s="3553"/>
      <c r="BP118" s="3553"/>
      <c r="BQ118" s="3553" t="s">
        <v>1111</v>
      </c>
      <c r="BR118" s="3553"/>
      <c r="BS118" s="3553"/>
      <c r="BT118" s="3919"/>
      <c r="BU118" s="19"/>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15"/>
      <c r="DA118" s="67">
        <f>IF(DC116="＋",F120+F111+3,F120+F129+3)</f>
        <v>11</v>
      </c>
      <c r="DB118" s="98">
        <f>IF(C120="  RF","",IF(AN121="","",非誘!BW78))</f>
        <v>12</v>
      </c>
      <c r="DC118" s="98">
        <f>IF(DB118="","",IF(AN121="","",非誘!BX78))</f>
        <v>24</v>
      </c>
      <c r="DD118" s="3822" t="s">
        <v>1198</v>
      </c>
      <c r="DE118" s="3823"/>
      <c r="DF118" s="3824" t="s">
        <v>1197</v>
      </c>
      <c r="DG118" s="3824"/>
      <c r="DH118" s="3824" t="s">
        <v>1153</v>
      </c>
      <c r="DI118" s="3824"/>
      <c r="DJ118" s="3823" t="s">
        <v>1197</v>
      </c>
      <c r="DK118" s="3823"/>
      <c r="DL118" s="8"/>
      <c r="DM118" s="113" t="s">
        <v>1152</v>
      </c>
      <c r="DN118" s="113" t="s">
        <v>1196</v>
      </c>
      <c r="DO118" s="113" t="s">
        <v>1151</v>
      </c>
      <c r="DP118" s="8"/>
      <c r="DQ118" s="8"/>
      <c r="DR118" s="8"/>
      <c r="DS118" s="8"/>
      <c r="DT118" s="113" t="s">
        <v>1127</v>
      </c>
      <c r="DU118" s="8"/>
      <c r="DV118" s="113" t="s">
        <v>1124</v>
      </c>
      <c r="DW118" s="113" t="s">
        <v>1134</v>
      </c>
      <c r="DX118" s="8"/>
      <c r="DY118" s="113" t="s">
        <v>1124</v>
      </c>
      <c r="DZ118" s="113" t="s">
        <v>1124</v>
      </c>
      <c r="EA118" s="113"/>
      <c r="EB118" s="776" t="str">
        <f>IF(OR($B$2=0,Y120=""),"","混合器 UV-BC")</f>
        <v/>
      </c>
      <c r="EC118" s="15"/>
      <c r="ED118" s="782" t="str">
        <f>IF(BA120="","","分配器 6D")</f>
        <v>分配器 6D</v>
      </c>
      <c r="EE118" s="15">
        <f>BA120</f>
        <v>1</v>
      </c>
      <c r="EF118" s="15"/>
      <c r="EG118" s="15"/>
      <c r="EH118" s="197">
        <f t="shared" si="51"/>
        <v>4</v>
      </c>
      <c r="EI118" s="773" t="str">
        <f t="shared" si="52"/>
        <v/>
      </c>
      <c r="EJ118" s="203" t="str">
        <f>X122</f>
        <v/>
      </c>
      <c r="EK118" s="9"/>
      <c r="EL118" s="9" t="str">
        <f>IF(COUNTIF($EJ$18:EJ117,EJ118)&gt;0,"",EJ118)</f>
        <v/>
      </c>
      <c r="EM118" s="9"/>
      <c r="EN118" s="14" t="str">
        <f>AI122</f>
        <v/>
      </c>
      <c r="EO118" s="771">
        <f t="shared" si="72"/>
        <v>0</v>
      </c>
      <c r="EP118" s="8"/>
      <c r="EQ118" s="15"/>
      <c r="ER118" s="197">
        <f t="shared" si="54"/>
        <v>3</v>
      </c>
      <c r="ES118" s="773" t="str">
        <f t="shared" si="55"/>
        <v/>
      </c>
      <c r="ET118" s="203" t="str">
        <f t="shared" si="73"/>
        <v/>
      </c>
      <c r="EU118" s="9"/>
      <c r="EV118" s="11" t="str">
        <f>IF(COUNTIF($ET$18:ET117,ET118)&gt;0,"",ET118)</f>
        <v/>
      </c>
      <c r="EW118" s="9"/>
      <c r="EX118" s="124" t="str">
        <f>Y120</f>
        <v/>
      </c>
      <c r="EY118" s="771">
        <f t="shared" si="74"/>
        <v>0</v>
      </c>
      <c r="EZ118" s="8"/>
      <c r="FA118" s="15"/>
      <c r="FB118" s="197">
        <f t="shared" si="70"/>
        <v>10</v>
      </c>
      <c r="FC118" s="773" t="str">
        <f t="shared" si="71"/>
        <v/>
      </c>
      <c r="FD118" s="772" t="str">
        <f t="shared" si="75"/>
        <v>分配器 6D</v>
      </c>
      <c r="FE118" s="9"/>
      <c r="FF118" s="11" t="str">
        <f>IF(COUNTIF($FD$15:FD117,FD118)&gt;0,"",FD118)</f>
        <v/>
      </c>
      <c r="FG118" s="9"/>
      <c r="FH118" s="124">
        <f>BA120</f>
        <v>1</v>
      </c>
      <c r="FI118" s="771">
        <f t="shared" si="76"/>
        <v>0</v>
      </c>
    </row>
    <row r="119" spans="1:165" ht="11.25" customHeight="1" thickBot="1">
      <c r="B119" s="23"/>
      <c r="C119" s="3819"/>
      <c r="D119" s="3820"/>
      <c r="E119" s="3821"/>
      <c r="F119" s="3827" t="s">
        <v>420</v>
      </c>
      <c r="G119" s="3769"/>
      <c r="H119" s="3828"/>
      <c r="I119" s="3819" t="s">
        <v>420</v>
      </c>
      <c r="J119" s="3820"/>
      <c r="K119" s="3820"/>
      <c r="L119" s="3821"/>
      <c r="M119" s="3819" t="s">
        <v>1150</v>
      </c>
      <c r="N119" s="3820"/>
      <c r="O119" s="3820"/>
      <c r="P119" s="3821"/>
      <c r="Q119" s="3819" t="s">
        <v>1102</v>
      </c>
      <c r="R119" s="3820"/>
      <c r="S119" s="3821"/>
      <c r="T119" s="3819" t="s">
        <v>115</v>
      </c>
      <c r="U119" s="3820"/>
      <c r="V119" s="3821"/>
      <c r="W119" s="3862"/>
      <c r="X119" s="3865"/>
      <c r="Y119" s="3865"/>
      <c r="Z119" s="3868"/>
      <c r="AA119" s="3829">
        <f>IF($AG$15&lt;=65,115,110)</f>
        <v>115</v>
      </c>
      <c r="AB119" s="3562"/>
      <c r="AC119" s="3562"/>
      <c r="AD119" s="3562">
        <f>IF(CW253&gt;55,115,110)</f>
        <v>110</v>
      </c>
      <c r="AE119" s="3562"/>
      <c r="AF119" s="3830"/>
      <c r="AG119" s="3831" t="s">
        <v>1149</v>
      </c>
      <c r="AH119" s="3832"/>
      <c r="AI119" s="3832"/>
      <c r="AJ119" s="3833"/>
      <c r="AK119" s="3834" t="s">
        <v>1148</v>
      </c>
      <c r="AL119" s="3832"/>
      <c r="AM119" s="3832"/>
      <c r="AN119" s="3833"/>
      <c r="AO119" s="3834" t="s">
        <v>1147</v>
      </c>
      <c r="AP119" s="3832"/>
      <c r="AQ119" s="3832"/>
      <c r="AR119" s="3835"/>
      <c r="AS119" s="3836" t="s">
        <v>1146</v>
      </c>
      <c r="AT119" s="3832"/>
      <c r="AU119" s="3832"/>
      <c r="AV119" s="3833"/>
      <c r="AW119" s="3844" t="s">
        <v>1145</v>
      </c>
      <c r="AX119" s="3845"/>
      <c r="AY119" s="3845"/>
      <c r="AZ119" s="3846"/>
      <c r="BA119" s="3558" t="s">
        <v>1094</v>
      </c>
      <c r="BB119" s="3559"/>
      <c r="BC119" s="3559"/>
      <c r="BD119" s="3560"/>
      <c r="BE119" s="3561" t="s">
        <v>1092</v>
      </c>
      <c r="BF119" s="3562"/>
      <c r="BG119" s="3562"/>
      <c r="BH119" s="3562"/>
      <c r="BI119" s="3850" t="s">
        <v>1091</v>
      </c>
      <c r="BJ119" s="3562"/>
      <c r="BK119" s="3562"/>
      <c r="BL119" s="3562"/>
      <c r="BM119" s="3850" t="s">
        <v>1090</v>
      </c>
      <c r="BN119" s="3562"/>
      <c r="BO119" s="3562"/>
      <c r="BP119" s="3562"/>
      <c r="BQ119" s="3850" t="s">
        <v>1089</v>
      </c>
      <c r="BR119" s="3562"/>
      <c r="BS119" s="3562"/>
      <c r="BT119" s="3830"/>
      <c r="BU119" s="19"/>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90"/>
      <c r="DA119" s="15"/>
      <c r="DB119" s="98">
        <f>IF(C120="","",IF(AZ121="①",DB118+DC118+3,IF(AZ121="②",DB118*5/8+DC118+3,IF(AZ121="③",DB118/2+DC118+3,IF(AZ121="④",DB118+DC118*5/8+3,IF(AZ121="⑤",(DB118+DC118)*5/8+3,IF(AZ121="⑥",DB118/2+DC118*5/8+3,IF(AZ121="⑦",DB118+DC118/2+3,IF(AZ121="⑧",DB118*5/8+DC118/2+3,IF(AZ121="⑨",(DB118+DC118)/2+3))))))))))</f>
        <v>27</v>
      </c>
      <c r="DC119" s="180" t="s">
        <v>1088</v>
      </c>
      <c r="DD119" s="2589" t="str">
        <f>IF($AL$10="nC-FB","S-5C-FB",IF($AL$10="nD-FB","5D-FB","5C-2V"))</f>
        <v>S-5C-FB</v>
      </c>
      <c r="DE119" s="2591"/>
      <c r="DF119" s="3631">
        <f>IF(C120="  RF",DF110,IF($H$15="ＣＡＴＶ",DB118+DC118/2+F120-($AM$8-$AM$7)/1000+DR119,SUM(DM119:DO119)))</f>
        <v>58.5</v>
      </c>
      <c r="DG119" s="3812"/>
      <c r="DH119" s="2589" t="str">
        <f>IF($H$17="ＣＡＴＶ","G-22mm",IF(RIGHT($AB$17,1)+RIGHT($AF$17,1)+RIGHT($AJ$17,1)&gt;=4,"G-36mm","G-28mm"))</f>
        <v>G-28mm</v>
      </c>
      <c r="DI119" s="2591"/>
      <c r="DJ119" s="3631">
        <f>IF(C120="",0,IF(C120="  RF",DJ110,IF($H$15="ＣＡＴＶ",DB118+DC118/2+F120-($AM$8-$AM$7)/1000,10+F120-($AM$8-$AM$7)/1000)))</f>
        <v>14.5</v>
      </c>
      <c r="DK119" s="3812"/>
      <c r="DL119" s="15"/>
      <c r="DM119" s="98">
        <f>IF(OR($B$2=0,$H$15="ＣＡＴＶ",C120="",C120="  RF"),0,IF($AB$17="","",RIGHT($AB$17,1)*15+F120-($AM$8-$AM$7)/1000))</f>
        <v>19.5</v>
      </c>
      <c r="DN119" s="98">
        <f>IF(OR($B$2=0,$H$15="ＣＡＴＶ",C120="",C120="  RF"),0,IF($AF$17="","",15+F120-($AM$8-$AM$7)/1000))</f>
        <v>19.5</v>
      </c>
      <c r="DO119" s="98">
        <f>IF(OR($B$2=0,$H$15="ＣＡＴＶ",C120="",C120="  RF"),0,IF($AJ$17="","",15+F120-($AM$8-$AM$7)/1000))</f>
        <v>19.5</v>
      </c>
      <c r="DP119" s="15"/>
      <c r="DQ119" s="46" t="s">
        <v>1087</v>
      </c>
      <c r="DR119" s="98" t="str">
        <f>IF($H$17="ＣＡＴＶ",#REF!+#REF!,"")</f>
        <v/>
      </c>
      <c r="DS119" s="128" t="s">
        <v>1078</v>
      </c>
      <c r="DT119" s="159">
        <f>IF(AB121&lt;&gt;"Ｃ",0,IF(DY119&lt;&gt;0,DY119,IF(DZ119&lt;&gt;0,DZ119,0)))</f>
        <v>0</v>
      </c>
      <c r="DU119" s="8"/>
      <c r="DV119" s="86">
        <f>IF(AB121&lt;&gt;"Ｃ",0,IF(DY119=0,0,1))</f>
        <v>0</v>
      </c>
      <c r="DW119" s="86">
        <f>IF(AB121&lt;&gt;"Ｃ",0,IF(DZ119=0,0,1))</f>
        <v>0</v>
      </c>
      <c r="DX119" s="8"/>
      <c r="DY119" s="86">
        <f>IF(AB121&lt;&gt;"Ｃ",0,IF(AND(DB114&gt;60,DB114&lt;=64),4,IF(AND(DB114&gt;64,DB114&lt;=80),5,0)))</f>
        <v>0</v>
      </c>
      <c r="DZ119" s="86">
        <f>IF(AB121&lt;&gt;"Ｃ",0,IF(AND(DB114&gt;80,DB114&lt;=96),4,IF(AND(DB114&gt;96,DB114&lt;=120),5,0)))</f>
        <v>0</v>
      </c>
      <c r="EA119" s="38"/>
      <c r="EB119" s="776" t="str">
        <f>IF(OR($B$2=0,Z120=""),"","混合器 UV-BC")</f>
        <v/>
      </c>
      <c r="EC119" s="12"/>
      <c r="ED119" s="122" t="str">
        <f>IF(BE120="","","直列Unit-中間1端子")</f>
        <v/>
      </c>
      <c r="EE119" s="38" t="str">
        <f>BE120</f>
        <v/>
      </c>
      <c r="EF119" s="38"/>
      <c r="EG119" s="38"/>
      <c r="EH119" s="197">
        <f t="shared" si="51"/>
        <v>4</v>
      </c>
      <c r="EI119" s="773" t="str">
        <f t="shared" si="52"/>
        <v/>
      </c>
      <c r="EJ119" s="203" t="str">
        <f>X123</f>
        <v>PF-S-22mm</v>
      </c>
      <c r="EK119" s="9"/>
      <c r="EL119" s="9" t="str">
        <f>IF(COUNTIF($EJ$18:EJ118,EJ119)&gt;0,"",EJ119)</f>
        <v/>
      </c>
      <c r="EM119" s="9"/>
      <c r="EN119" s="14">
        <f>AI123</f>
        <v>4</v>
      </c>
      <c r="EO119" s="771">
        <f t="shared" si="72"/>
        <v>0</v>
      </c>
      <c r="EP119" s="8"/>
      <c r="EQ119" s="38"/>
      <c r="ER119" s="197">
        <f t="shared" si="54"/>
        <v>3</v>
      </c>
      <c r="ES119" s="773" t="str">
        <f t="shared" si="55"/>
        <v/>
      </c>
      <c r="ET119" s="203" t="str">
        <f t="shared" si="73"/>
        <v/>
      </c>
      <c r="EU119" s="9"/>
      <c r="EV119" s="11" t="str">
        <f>IF(COUNTIF($ET$18:ET118,ET119)&gt;0,"",ET119)</f>
        <v/>
      </c>
      <c r="EW119" s="9"/>
      <c r="EX119" s="124">
        <f>Z120</f>
        <v>0</v>
      </c>
      <c r="EY119" s="771">
        <f t="shared" si="74"/>
        <v>0</v>
      </c>
      <c r="EZ119" s="8"/>
      <c r="FA119" s="38"/>
      <c r="FB119" s="197">
        <f t="shared" si="70"/>
        <v>10</v>
      </c>
      <c r="FC119" s="773" t="str">
        <f t="shared" si="71"/>
        <v/>
      </c>
      <c r="FD119" s="772" t="str">
        <f t="shared" si="75"/>
        <v/>
      </c>
      <c r="FE119" s="9"/>
      <c r="FF119" s="11" t="str">
        <f>IF(COUNTIF($FD$15:FD118,FD119)&gt;0,"",FD119)</f>
        <v/>
      </c>
      <c r="FG119" s="9"/>
      <c r="FH119" s="124" t="str">
        <f>BE120</f>
        <v/>
      </c>
      <c r="FI119" s="771">
        <f t="shared" si="76"/>
        <v>0</v>
      </c>
    </row>
    <row r="120" spans="1:165" ht="11.25" customHeight="1">
      <c r="A120" s="8">
        <v>11</v>
      </c>
      <c r="B120" s="23"/>
      <c r="C120" s="3837" t="str">
        <f>非誘!C78</f>
        <v xml:space="preserve">  9F</v>
      </c>
      <c r="D120" s="3837"/>
      <c r="E120" s="3837"/>
      <c r="F120" s="3838">
        <f>非誘!F78</f>
        <v>4</v>
      </c>
      <c r="G120" s="3839"/>
      <c r="H120" s="3840"/>
      <c r="I120" s="3838">
        <f>非誘!J78</f>
        <v>3</v>
      </c>
      <c r="J120" s="3839"/>
      <c r="K120" s="3839"/>
      <c r="L120" s="3840"/>
      <c r="M120" s="3841">
        <f>非誘!N78</f>
        <v>1152</v>
      </c>
      <c r="N120" s="3842"/>
      <c r="O120" s="3842"/>
      <c r="P120" s="3843"/>
      <c r="Q120" s="3537">
        <f>非誘!AA78</f>
        <v>3</v>
      </c>
      <c r="R120" s="3537"/>
      <c r="S120" s="3537"/>
      <c r="T120" s="3537">
        <f>非誘!AD78</f>
        <v>9</v>
      </c>
      <c r="U120" s="3537"/>
      <c r="V120" s="3537"/>
      <c r="W120" s="795" t="str">
        <f>IF(OR(AQ23="不要",C120&lt;&gt;$X$10),"",IF(AND($AB$17="UHF×3",$AF$17&lt;&gt;"",$AJ$17&lt;&gt;""),2,IF(OR(AND($AB$17="UHF×3",$AB$17="",$AJ$17=""),AND($AB$17="UHF×3",$AF$17&lt;&gt;"",$AJ$17=""),AND($AB$17="UHF×2",$AF$17&lt;&gt;"",$AJ$17&lt;&gt;"")),1,"")))</f>
        <v/>
      </c>
      <c r="X120" s="794" t="str">
        <f>IF(OR(AQ23="不要",C120&lt;&gt;$X$10),"",IF(AND($AB$17&lt;&gt;"",$AF$17&lt;&gt;"",$AJ$17&lt;&gt;""),1,""))</f>
        <v/>
      </c>
      <c r="Y120" s="794" t="str">
        <f>IF(OR(AQ23="不要",C120&lt;&gt;$X$10),"",IF(AND(OR($AB$17="UHF×2",$AB$17="UHF×3"),$AF$17&lt;&gt;"",$AJ$17=""),1,""))</f>
        <v/>
      </c>
      <c r="Z120" s="793"/>
      <c r="AA120" s="3847" t="str">
        <f>IF($B$2=0,"",IF(AND(AQ23&lt;&gt;"不要",DC116="＝"),1,""))</f>
        <v/>
      </c>
      <c r="AB120" s="3848"/>
      <c r="AC120" s="3848"/>
      <c r="AD120" s="3848">
        <f>IF($B$2=0,"",IF(OR(AQ23="不要",C120="",C120="  RF"),"",IF(AQ23="設置",1,"")))</f>
        <v>1</v>
      </c>
      <c r="AE120" s="3848"/>
      <c r="AF120" s="3849"/>
      <c r="AG120" s="3837" t="str">
        <f>IF(OR(AQ23="不要",C120="",C120="  RF"),"",IF(AI120&lt;&gt;"",AI120,IF(DE117+DM117+DT117+DT119+DT121=0,"",DE117+DM117+DT117+DT119+DT121)))</f>
        <v/>
      </c>
      <c r="AH120" s="3837"/>
      <c r="AI120" s="3915"/>
      <c r="AJ120" s="3915"/>
      <c r="AK120" s="3837">
        <f>IF(OR(AQ23="不要",C120="",C120="  RF"),"",IF(AM120&lt;&gt;"",AM120,IF(DF117+DN117=0,"",DF117+DN117)))</f>
        <v>1</v>
      </c>
      <c r="AL120" s="3837"/>
      <c r="AM120" s="3915"/>
      <c r="AN120" s="3915"/>
      <c r="AO120" s="3813" t="str">
        <f>IF(AQ120="","",AQ120)</f>
        <v/>
      </c>
      <c r="AP120" s="3814"/>
      <c r="AQ120" s="3915"/>
      <c r="AR120" s="3915"/>
      <c r="AS120" s="3916" t="str">
        <f>IF(OR(AQ23="不要",C120="  RF"),"",IF(AU120&lt;&gt;"",AU120,IF(DH117+DP117+DU117+DX117+DY117+DZ117=0,"",DH117+DP117+DU117+DX117+DY117+DZ117)))</f>
        <v/>
      </c>
      <c r="AT120" s="3837"/>
      <c r="AU120" s="3915"/>
      <c r="AV120" s="3915"/>
      <c r="AW120" s="3837" t="str">
        <f>IF(OR(AQ23="不要",C120="  RF"),"",IF(AY120&lt;&gt;"",AY120,IF(DI117+DQ117+DV117+DV119+DY119+DZ119=0,"",DI117+DQ117+DV117+DV119+DY119+DZ119)))</f>
        <v/>
      </c>
      <c r="AX120" s="3837"/>
      <c r="AY120" s="3915"/>
      <c r="AZ120" s="3915"/>
      <c r="BA120" s="3837">
        <f>IF(OR(AQ23="不要",C120="  RF"),"",IF(BC120&lt;&gt;"",BC120,IF(DJ117+DR117+DW117+DW119+DW121+DZ121=0,"",DJ117+DR117+DW117+DW119+DW121+DZ121)))</f>
        <v>1</v>
      </c>
      <c r="BB120" s="3837"/>
      <c r="BC120" s="3915"/>
      <c r="BD120" s="3915"/>
      <c r="BE120" s="3837" t="str">
        <f>IF(OR(AQ23="不要",$X$11="2端子",C120="",C120="  RF"),"",IF(BG120&lt;&gt;"",BG120,IF(AND(AB121="Ａ",$X$11="1端子"),DK117,"")))</f>
        <v/>
      </c>
      <c r="BF120" s="3837"/>
      <c r="BG120" s="3837" t="str">
        <f>IF(AND(BO120&lt;&gt;"",AB121="Ａ",$X$11="1端子"),BO120,"")</f>
        <v/>
      </c>
      <c r="BH120" s="3837"/>
      <c r="BI120" s="3916" t="str">
        <f>IF(OR(AQ23="不要",$X$11="1端子",C120="",C120="  RF"),"",IF(BK120&lt;&gt;"",BK120,IF(AND(AB121="Ａ",$X$11="2端子"),DK117,"")))</f>
        <v/>
      </c>
      <c r="BJ120" s="3837"/>
      <c r="BK120" s="3837" t="str">
        <f>IF(AND(BS120&lt;&gt;"",AB121="Ａ",$X$11="2端子"),BS120,"")</f>
        <v/>
      </c>
      <c r="BL120" s="3837"/>
      <c r="BM120" s="3837">
        <f>IF(OR(AQ23="不要",C120="  RF",C120="",$X$11="2端子"),"",IF(BO120&lt;&gt;"",BO120,IF(AND(AB121="Ａ",$X$11="1端子"),DK117,DK115)))</f>
        <v>12</v>
      </c>
      <c r="BN120" s="3837"/>
      <c r="BO120" s="3915"/>
      <c r="BP120" s="3915"/>
      <c r="BQ120" s="3837" t="str">
        <f>IF(OR(AQ23="不要",C120="  RF",C120="",$X$11="1端子"),"",IF(BS120&lt;&gt;"",BS120,IF(AND(AB121="Ａ",$X$11="2端子"),DK117,DK115)))</f>
        <v/>
      </c>
      <c r="BR120" s="3837"/>
      <c r="BS120" s="3915"/>
      <c r="BT120" s="3918"/>
      <c r="BU120" s="19"/>
      <c r="BV120" s="8"/>
      <c r="BW120" s="88">
        <f>IF(I120="直天",F120,I120)</f>
        <v>3</v>
      </c>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38"/>
      <c r="DA120" s="15"/>
      <c r="DB120" s="15"/>
      <c r="DC120" s="180" t="s">
        <v>1144</v>
      </c>
      <c r="DD120" s="2589" t="str">
        <f>IF($AL$10="nC-FB","S-7C-FB",IF($AL$10="nD-FB","8D-FB","7C-2V"))</f>
        <v>S-7C-FB</v>
      </c>
      <c r="DE120" s="2591"/>
      <c r="DF120" s="3631">
        <f>IF(OR(C120="",C120="  RF"),0,IF(AB121="Ｃ",2.5*AG120+(DB118+DC118),F120+2))</f>
        <v>6</v>
      </c>
      <c r="DG120" s="3812"/>
      <c r="DH120" s="2589" t="str">
        <f>IF(OR(H121="天井ケーブル",H121="天井-PF管"),"PF-S-22mm",IF(H121="天井-CD管","CD-22mm",IF(H121="天井-C 管","C-25mm",IF(H121="天井-G 管","G-22mm",""))))</f>
        <v>PF-S-22mm</v>
      </c>
      <c r="DI120" s="2591"/>
      <c r="DJ120" s="3631">
        <f>IF(OR(C120="",C120="  RF"),0,IF(AB121="Ｃ",F120-($AM$8-$AM$7)/1000,F120))</f>
        <v>4</v>
      </c>
      <c r="DK120" s="3812"/>
      <c r="DL120" s="778"/>
      <c r="DM120" s="112"/>
      <c r="DN120" s="190" t="s">
        <v>1143</v>
      </c>
      <c r="DO120" s="98">
        <f>IF(OR(C120="",C120="  RF"),0,(DB118+DC118)/2/SQRT(DK117))</f>
        <v>6.8033605141660898</v>
      </c>
      <c r="DP120" s="15"/>
      <c r="DQ120" s="15"/>
      <c r="DR120" s="15"/>
      <c r="DS120" s="8"/>
      <c r="DT120" s="113" t="s">
        <v>1051</v>
      </c>
      <c r="DU120" s="8"/>
      <c r="DV120" s="113"/>
      <c r="DW120" s="113" t="s">
        <v>1046</v>
      </c>
      <c r="DX120" s="8"/>
      <c r="DY120" s="8"/>
      <c r="DZ120" s="113" t="s">
        <v>1046</v>
      </c>
      <c r="EA120" s="113"/>
      <c r="EB120" s="776" t="str">
        <f>IF(OR($B$2=0,AA120=""),"","増幅器 "&amp;AA118&amp;AA119)</f>
        <v/>
      </c>
      <c r="EC120" s="15"/>
      <c r="ED120" s="122" t="str">
        <f>IF(BI120="","","直列Unit-中間2端子")</f>
        <v/>
      </c>
      <c r="EE120" s="15" t="str">
        <f>BI120</f>
        <v/>
      </c>
      <c r="EF120" s="15"/>
      <c r="EG120" s="15"/>
      <c r="EH120" s="197">
        <f t="shared" si="51"/>
        <v>4</v>
      </c>
      <c r="EI120" s="773" t="str">
        <f t="shared" si="52"/>
        <v/>
      </c>
      <c r="EJ120" s="203" t="str">
        <f>AS122</f>
        <v>S-5C-FB</v>
      </c>
      <c r="EK120" s="9"/>
      <c r="EL120" s="9" t="str">
        <f>IF(COUNTIF($EJ$18:EJ119,EJ120)&gt;0,"",EJ120)</f>
        <v/>
      </c>
      <c r="EM120" s="9"/>
      <c r="EN120" s="14">
        <f>BB122</f>
        <v>178.84032616999309</v>
      </c>
      <c r="EO120" s="771">
        <f t="shared" si="72"/>
        <v>0</v>
      </c>
      <c r="EP120" s="8"/>
      <c r="EQ120" s="15"/>
      <c r="ER120" s="197">
        <f t="shared" si="54"/>
        <v>3</v>
      </c>
      <c r="ES120" s="773" t="str">
        <f t="shared" si="55"/>
        <v/>
      </c>
      <c r="ET120" s="203" t="str">
        <f t="shared" si="73"/>
        <v/>
      </c>
      <c r="EU120" s="9"/>
      <c r="EV120" s="11" t="str">
        <f>IF(COUNTIF($ET$18:ET119,ET120)&gt;0,"",ET120)</f>
        <v/>
      </c>
      <c r="EW120" s="9"/>
      <c r="EX120" s="124" t="str">
        <f>AA120</f>
        <v/>
      </c>
      <c r="EY120" s="771">
        <f t="shared" si="74"/>
        <v>0</v>
      </c>
      <c r="EZ120" s="8"/>
      <c r="FA120" s="15"/>
      <c r="FB120" s="197">
        <f t="shared" si="70"/>
        <v>10</v>
      </c>
      <c r="FC120" s="773" t="str">
        <f t="shared" si="71"/>
        <v/>
      </c>
      <c r="FD120" s="772" t="str">
        <f t="shared" si="75"/>
        <v/>
      </c>
      <c r="FE120" s="9"/>
      <c r="FF120" s="11" t="str">
        <f>IF(COUNTIF($FD$15:FD119,FD120)&gt;0,"",FD120)</f>
        <v/>
      </c>
      <c r="FG120" s="9"/>
      <c r="FH120" s="124" t="str">
        <f>BI120</f>
        <v/>
      </c>
      <c r="FI120" s="771">
        <f t="shared" si="76"/>
        <v>0</v>
      </c>
    </row>
    <row r="121" spans="1:165" ht="12" customHeight="1">
      <c r="A121" s="8"/>
      <c r="B121" s="23"/>
      <c r="C121" s="2634" t="s">
        <v>135</v>
      </c>
      <c r="D121" s="2634"/>
      <c r="E121" s="2634"/>
      <c r="F121" s="2634"/>
      <c r="G121" s="2634"/>
      <c r="H121" s="3904" t="str">
        <f>IF($B$2=0,"",IF(P121="","天井ケーブル",P121))</f>
        <v>天井ケーブル</v>
      </c>
      <c r="I121" s="3904"/>
      <c r="J121" s="3904"/>
      <c r="K121" s="3904"/>
      <c r="L121" s="3904"/>
      <c r="M121" s="3904"/>
      <c r="N121" s="3904"/>
      <c r="O121" s="173" t="s">
        <v>68</v>
      </c>
      <c r="P121" s="3796"/>
      <c r="Q121" s="3797"/>
      <c r="R121" s="3797"/>
      <c r="S121" s="3797"/>
      <c r="T121" s="3797"/>
      <c r="U121" s="3797"/>
      <c r="V121" s="3798"/>
      <c r="W121" s="2634" t="s">
        <v>1082</v>
      </c>
      <c r="X121" s="2634"/>
      <c r="Y121" s="2634"/>
      <c r="Z121" s="2634"/>
      <c r="AA121" s="2634"/>
      <c r="AB121" s="3799" t="str">
        <f>IF(AQ23="不要","",IF(AF121&lt;&gt;"",AF121,DB115))</f>
        <v>Ｂ</v>
      </c>
      <c r="AC121" s="3799"/>
      <c r="AD121" s="3799"/>
      <c r="AE121" s="173" t="s">
        <v>68</v>
      </c>
      <c r="AF121" s="3800"/>
      <c r="AG121" s="3801"/>
      <c r="AH121" s="3802"/>
      <c r="AI121" s="2634" t="s">
        <v>20</v>
      </c>
      <c r="AJ121" s="2634"/>
      <c r="AK121" s="2634"/>
      <c r="AL121" s="2634"/>
      <c r="AM121" s="2634"/>
      <c r="AN121" s="3522">
        <f>IF(OR(C120="",C120="  RF"),"",非誘!J77)</f>
        <v>0.5</v>
      </c>
      <c r="AO121" s="3523"/>
      <c r="AP121" s="3523"/>
      <c r="AQ121" s="3524"/>
      <c r="AR121" s="3507" t="s">
        <v>1081</v>
      </c>
      <c r="AS121" s="3461"/>
      <c r="AT121" s="3461"/>
      <c r="AU121" s="3461"/>
      <c r="AV121" s="3461"/>
      <c r="AW121" s="3461"/>
      <c r="AX121" s="3461"/>
      <c r="AY121" s="3461"/>
      <c r="AZ121" s="3563" t="str">
        <f>IF(OR(C120="",C120="  RF"),"",IF(BC121="",$AN$11,BC121))</f>
        <v>⑦</v>
      </c>
      <c r="BA121" s="3563"/>
      <c r="BB121" s="777" t="s">
        <v>68</v>
      </c>
      <c r="BC121" s="3521"/>
      <c r="BD121" s="3521"/>
      <c r="BE121" s="3564"/>
      <c r="BF121" s="3565"/>
      <c r="BG121" s="3565"/>
      <c r="BH121" s="3565"/>
      <c r="BI121" s="3565"/>
      <c r="BJ121" s="3565"/>
      <c r="BK121" s="3565"/>
      <c r="BL121" s="3565"/>
      <c r="BM121" s="3565"/>
      <c r="BN121" s="3565"/>
      <c r="BO121" s="3565"/>
      <c r="BP121" s="3565"/>
      <c r="BQ121" s="3565"/>
      <c r="BR121" s="3565"/>
      <c r="BS121" s="3565"/>
      <c r="BT121" s="3566"/>
      <c r="BU121" s="19"/>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38"/>
      <c r="DA121" s="15"/>
      <c r="DB121" s="8"/>
      <c r="DC121" s="180" t="s">
        <v>1080</v>
      </c>
      <c r="DD121" s="2589" t="str">
        <f>IF($AL$10="nC-FB","S-5C-FB",IF($AL$10="nD-FB","5D-FB","5C-2V"))</f>
        <v>S-5C-FB</v>
      </c>
      <c r="DE121" s="2591"/>
      <c r="DF121" s="3631">
        <f>IF(AB121="Ａ",(DK117+2*BW120-($X$7+$X$9)/1000)*DO120+(12+2*BW120-2*$X$9/1000)*DK117+DO121,IF(AB121="Ｂ",(DO120+2*BW120-$X$9/1000)*DK115+DO121,0))</f>
        <v>178.84032616999309</v>
      </c>
      <c r="DG121" s="3812"/>
      <c r="DH121" s="2589" t="str">
        <f>IF(OR(H121="天井ケーブル",H121="天井-PF管"),"PF-S-16mm",IF(H121="天井-CD管","CD-16mm",IF(H121="天井-C 管","C-19mm",IF(H121="天井-G 管","G-16mm",""))))</f>
        <v>PF-S-16mm</v>
      </c>
      <c r="DI121" s="2591"/>
      <c r="DJ121" s="3631">
        <f>IF(OR(C120="",C120="  RF"),0,IF(H121="天井ケーブル",DK115*(BW120-($X$9-$AM$9)/1000),(DO120+2*BW120-$X$9/1000)*DK115+DO121))</f>
        <v>37.799999999999997</v>
      </c>
      <c r="DK121" s="3812"/>
      <c r="DL121" s="15"/>
      <c r="DM121" s="46"/>
      <c r="DN121" s="46" t="s">
        <v>1079</v>
      </c>
      <c r="DO121" s="98">
        <f>DB119</f>
        <v>27</v>
      </c>
      <c r="DP121" s="15"/>
      <c r="DQ121" s="15"/>
      <c r="DR121" s="15"/>
      <c r="DS121" s="128" t="s">
        <v>1078</v>
      </c>
      <c r="DT121" s="86">
        <f>IF(AB121&lt;&gt;"Ｃ",0,IF(DZ121=0,0,DZ121))</f>
        <v>0</v>
      </c>
      <c r="DU121" s="8"/>
      <c r="DV121" s="8"/>
      <c r="DW121" s="86">
        <f>IF(AB121&lt;&gt;"Ｃ",0,IF(DZ121=0,0,1))</f>
        <v>0</v>
      </c>
      <c r="DX121" s="8"/>
      <c r="DY121" s="8"/>
      <c r="DZ121" s="86">
        <f>IF(AB121&lt;&gt;"Ｃ",0,IF(AND(DB114&gt;120,DB114&lt;=144),4,IF(AND(DB114&gt;144,DB114&lt;=180),5,0)))</f>
        <v>0</v>
      </c>
      <c r="EA121" s="38"/>
      <c r="EB121" s="776" t="str">
        <f>IF(OR($B$2=0,AD120=""),"","増幅器 "&amp;AD118&amp;AD119)</f>
        <v>増幅器 35/110</v>
      </c>
      <c r="EC121" s="38"/>
      <c r="ED121" s="122" t="str">
        <f>IF(BM120="","","直列Unit-終端1端子")</f>
        <v>直列Unit-終端1端子</v>
      </c>
      <c r="EE121" s="38">
        <f>BM120</f>
        <v>12</v>
      </c>
      <c r="EF121" s="38"/>
      <c r="EG121" s="38"/>
      <c r="EH121" s="197">
        <f t="shared" ref="EH121:EH152" si="77">IF(EL121&lt;&gt;"",EH120+1,EH120)</f>
        <v>4</v>
      </c>
      <c r="EI121" s="773" t="str">
        <f t="shared" ref="EI121:EI152" si="78">IF(AND(EH121&lt;&gt;"",EL121&lt;&gt;""),EH121,"")</f>
        <v/>
      </c>
      <c r="EJ121" s="203" t="str">
        <f>AS123</f>
        <v/>
      </c>
      <c r="EK121" s="9"/>
      <c r="EL121" s="9" t="str">
        <f>IF(COUNTIF($EJ$18:EJ120,EJ121)&gt;0,"",EJ121)</f>
        <v/>
      </c>
      <c r="EM121" s="9"/>
      <c r="EN121" s="14" t="str">
        <f>BB123</f>
        <v/>
      </c>
      <c r="EO121" s="771">
        <f t="shared" si="72"/>
        <v>0</v>
      </c>
      <c r="EP121" s="8"/>
      <c r="EQ121" s="38"/>
      <c r="ER121" s="197">
        <f t="shared" ref="ER121:ER152" si="79">IF(EV121&lt;&gt;"",ER120+1,ER120)</f>
        <v>3</v>
      </c>
      <c r="ES121" s="773" t="str">
        <f t="shared" ref="ES121:ES152" si="80">IF(AND(ER121&lt;&gt;"",EV121&lt;&gt;""),ER121,"")</f>
        <v/>
      </c>
      <c r="ET121" s="203" t="str">
        <f t="shared" si="73"/>
        <v>増幅器 35/110</v>
      </c>
      <c r="EU121" s="9"/>
      <c r="EV121" s="11" t="str">
        <f>IF(COUNTIF($ET$18:ET120,ET121)&gt;0,"",ET121)</f>
        <v/>
      </c>
      <c r="EW121" s="9"/>
      <c r="EX121" s="124">
        <f>AD120</f>
        <v>1</v>
      </c>
      <c r="EY121" s="771">
        <f t="shared" si="74"/>
        <v>0</v>
      </c>
      <c r="EZ121" s="8"/>
      <c r="FA121" s="38"/>
      <c r="FB121" s="197">
        <f t="shared" si="70"/>
        <v>10</v>
      </c>
      <c r="FC121" s="773" t="str">
        <f t="shared" si="71"/>
        <v/>
      </c>
      <c r="FD121" s="772" t="str">
        <f t="shared" si="75"/>
        <v>直列Unit-終端1端子</v>
      </c>
      <c r="FE121" s="9"/>
      <c r="FF121" s="11" t="str">
        <f>IF(COUNTIF($FD$15:FD120,FD121)&gt;0,"",FD121)</f>
        <v/>
      </c>
      <c r="FG121" s="9"/>
      <c r="FH121" s="124">
        <f>BM120</f>
        <v>12</v>
      </c>
      <c r="FI121" s="771">
        <f t="shared" si="76"/>
        <v>0</v>
      </c>
    </row>
    <row r="122" spans="1:165" ht="12" customHeight="1">
      <c r="A122" s="8"/>
      <c r="B122" s="23"/>
      <c r="C122" s="3905" t="s">
        <v>449</v>
      </c>
      <c r="D122" s="3905"/>
      <c r="E122" s="3905"/>
      <c r="F122" s="3904" t="str">
        <f>IF($H$15="ＣＡＴＶ","CATV引込","アンテナ部")</f>
        <v>アンテナ部</v>
      </c>
      <c r="G122" s="3904"/>
      <c r="H122" s="3904"/>
      <c r="I122" s="3904"/>
      <c r="J122" s="3904"/>
      <c r="K122" s="3908" t="str">
        <f>IF(OR(AQ23="不要",$B$2=0,C120&lt;&gt;$X$10),"",IF(P122&lt;&gt;"",P122,DD119))</f>
        <v/>
      </c>
      <c r="L122" s="3908"/>
      <c r="M122" s="3908"/>
      <c r="N122" s="3908"/>
      <c r="O122" s="173" t="s">
        <v>68</v>
      </c>
      <c r="P122" s="3517"/>
      <c r="Q122" s="3517"/>
      <c r="R122" s="3517"/>
      <c r="S122" s="3517"/>
      <c r="T122" s="3526" t="str">
        <f>IF(AND(C120&lt;&gt;"",K122&lt;&gt;""),DF119,"")</f>
        <v/>
      </c>
      <c r="U122" s="3526"/>
      <c r="V122" s="3526"/>
      <c r="W122" s="3526"/>
      <c r="X122" s="3908" t="str">
        <f>IF(OR($B$2=0,K122=""),"",IF(AD122&lt;&gt;"",AD122,DH119))</f>
        <v/>
      </c>
      <c r="Y122" s="3908"/>
      <c r="Z122" s="3908"/>
      <c r="AA122" s="3908"/>
      <c r="AB122" s="3908"/>
      <c r="AC122" s="173" t="s">
        <v>68</v>
      </c>
      <c r="AD122" s="3525"/>
      <c r="AE122" s="3525"/>
      <c r="AF122" s="3525"/>
      <c r="AG122" s="3525"/>
      <c r="AH122" s="3525"/>
      <c r="AI122" s="3526" t="str">
        <f>IF(X122="","",IF(DJ119="","",DJ119))</f>
        <v/>
      </c>
      <c r="AJ122" s="3526"/>
      <c r="AK122" s="3526"/>
      <c r="AL122" s="3526"/>
      <c r="AM122" s="3904" t="s">
        <v>1077</v>
      </c>
      <c r="AN122" s="3904"/>
      <c r="AO122" s="3904"/>
      <c r="AP122" s="3904"/>
      <c r="AQ122" s="3904"/>
      <c r="AR122" s="3904"/>
      <c r="AS122" s="3908" t="str">
        <f>IF(OR(AQ23="不要",$B$2=0,C120="",C120="  RF",AB121="Ｃ"),"",IF(AX122&lt;&gt;"",AX122,DD121))</f>
        <v>S-5C-FB</v>
      </c>
      <c r="AT122" s="3908"/>
      <c r="AU122" s="3908"/>
      <c r="AV122" s="3908"/>
      <c r="AW122" s="173" t="s">
        <v>68</v>
      </c>
      <c r="AX122" s="3517"/>
      <c r="AY122" s="3517"/>
      <c r="AZ122" s="3517"/>
      <c r="BA122" s="3517"/>
      <c r="BB122" s="3537">
        <f>IF(AS122&lt;&gt;"",DF121,"")</f>
        <v>178.84032616999309</v>
      </c>
      <c r="BC122" s="3537"/>
      <c r="BD122" s="3537"/>
      <c r="BE122" s="3537"/>
      <c r="BF122" s="3908" t="str">
        <f>IF(OR(C120="",AS122=""),"",IF(AB121="Ａ",DH120,DH121))</f>
        <v>PF-S-16mm</v>
      </c>
      <c r="BG122" s="3908"/>
      <c r="BH122" s="3908"/>
      <c r="BI122" s="3908"/>
      <c r="BJ122" s="3908"/>
      <c r="BK122" s="173" t="s">
        <v>68</v>
      </c>
      <c r="BL122" s="3525"/>
      <c r="BM122" s="3525"/>
      <c r="BN122" s="3525"/>
      <c r="BO122" s="3525"/>
      <c r="BP122" s="3525"/>
      <c r="BQ122" s="3526">
        <f>IF(BF122="","",DJ121)</f>
        <v>37.799999999999997</v>
      </c>
      <c r="BR122" s="3526"/>
      <c r="BS122" s="3526"/>
      <c r="BT122" s="3527"/>
      <c r="BU122" s="19"/>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774" t="s">
        <v>1076</v>
      </c>
      <c r="DD122" s="2589" t="str">
        <f>DD121</f>
        <v>S-5C-FB</v>
      </c>
      <c r="DE122" s="2591"/>
      <c r="DF122" s="3631">
        <f>IF(OR(C120="",C120="  RF",I120="直天"),0,1+INT(12+BW120-($X$9-$AM$9)/1000)*DK115+DO122)</f>
        <v>235</v>
      </c>
      <c r="DG122" s="3812"/>
      <c r="DH122" s="2589" t="str">
        <f>DH121</f>
        <v>PF-S-16mm</v>
      </c>
      <c r="DI122" s="2591"/>
      <c r="DJ122" s="3631">
        <f>IF(OR(C120="",C120="  RF"),0,IF(H121="天井ケーブル",DK115*(BW120-($X$9-2*$AM$9)/1000),1+INT(12+BW120-$X$9/1000)*DK115))</f>
        <v>41.400000000000006</v>
      </c>
      <c r="DK122" s="3812"/>
      <c r="DL122" s="15"/>
      <c r="DM122" s="15"/>
      <c r="DN122" s="46" t="s">
        <v>1075</v>
      </c>
      <c r="DO122" s="97">
        <f>IF(C120="",0,IF($AW$8=0,0,2*($AW$8/1000-0.15-0.1)*(INT(1000*DB118/$AW$10)+1)*(INT(1000*DC118/$AW$10)+1)*4))</f>
        <v>53.999999999999993</v>
      </c>
      <c r="DP122" s="15"/>
      <c r="DQ122" s="15"/>
      <c r="DR122" s="15"/>
      <c r="DS122" s="8"/>
      <c r="DT122" s="8"/>
      <c r="DU122" s="8"/>
      <c r="DV122" s="8"/>
      <c r="DW122" s="8"/>
      <c r="DX122" s="8"/>
      <c r="DY122" s="8"/>
      <c r="DZ122" s="8"/>
      <c r="EA122" s="8"/>
      <c r="EB122" s="769" t="str">
        <f>IF(OR($B$2=0,AG120=""),"","分岐器 1C")</f>
        <v/>
      </c>
      <c r="EC122" s="8"/>
      <c r="ED122" s="122" t="str">
        <f>IF(BQ120="","","直列Unit-終端2端子")</f>
        <v/>
      </c>
      <c r="EE122" s="8" t="str">
        <f>BQ120</f>
        <v/>
      </c>
      <c r="EF122" s="8"/>
      <c r="EG122" s="8"/>
      <c r="EH122" s="197">
        <f t="shared" si="77"/>
        <v>4</v>
      </c>
      <c r="EI122" s="773" t="str">
        <f t="shared" si="78"/>
        <v/>
      </c>
      <c r="EJ122" s="203" t="str">
        <f>BF122</f>
        <v>PF-S-16mm</v>
      </c>
      <c r="EK122" s="9"/>
      <c r="EL122" s="9" t="str">
        <f>IF(COUNTIF($EJ$18:EJ121,EJ122)&gt;0,"",EJ122)</f>
        <v/>
      </c>
      <c r="EM122" s="9"/>
      <c r="EN122" s="14">
        <f>BQ122</f>
        <v>37.799999999999997</v>
      </c>
      <c r="EO122" s="771">
        <f t="shared" si="72"/>
        <v>0</v>
      </c>
      <c r="EP122" s="8"/>
      <c r="EQ122" s="8"/>
      <c r="ER122" s="197">
        <f t="shared" si="79"/>
        <v>3</v>
      </c>
      <c r="ES122" s="773" t="str">
        <f t="shared" si="80"/>
        <v/>
      </c>
      <c r="ET122" s="203" t="str">
        <f t="shared" si="73"/>
        <v/>
      </c>
      <c r="EU122" s="9"/>
      <c r="EV122" s="11" t="str">
        <f>IF(COUNTIF($ET$18:ET121,ET122)&gt;0,"",ET122)</f>
        <v/>
      </c>
      <c r="EW122" s="9"/>
      <c r="EX122" s="124" t="str">
        <f>AG120</f>
        <v/>
      </c>
      <c r="EY122" s="771">
        <f t="shared" si="74"/>
        <v>0</v>
      </c>
      <c r="EZ122" s="8"/>
      <c r="FA122" s="8"/>
      <c r="FB122" s="197">
        <f t="shared" si="70"/>
        <v>10</v>
      </c>
      <c r="FC122" s="773" t="str">
        <f t="shared" si="71"/>
        <v/>
      </c>
      <c r="FD122" s="772" t="str">
        <f t="shared" si="75"/>
        <v/>
      </c>
      <c r="FE122" s="9"/>
      <c r="FF122" s="11" t="str">
        <f>IF(COUNTIF($FD$15:FD121,FD122)&gt;0,"",FD122)</f>
        <v/>
      </c>
      <c r="FG122" s="9"/>
      <c r="FH122" s="124" t="str">
        <f>BQ120</f>
        <v/>
      </c>
      <c r="FI122" s="771">
        <f t="shared" si="76"/>
        <v>0</v>
      </c>
    </row>
    <row r="123" spans="1:165" ht="12" customHeight="1" thickBot="1">
      <c r="A123" s="8"/>
      <c r="B123" s="23"/>
      <c r="C123" s="3922"/>
      <c r="D123" s="3922"/>
      <c r="E123" s="3922"/>
      <c r="F123" s="3920" t="s">
        <v>1074</v>
      </c>
      <c r="G123" s="3920"/>
      <c r="H123" s="3920"/>
      <c r="I123" s="3920"/>
      <c r="J123" s="3920"/>
      <c r="K123" s="3506" t="str">
        <f>IF(OR(C120="",C120="  RF",$B$2=0),"",IF(P123&lt;&gt;"",P123,DD120))</f>
        <v>S-7C-FB</v>
      </c>
      <c r="L123" s="3506"/>
      <c r="M123" s="3506"/>
      <c r="N123" s="3506"/>
      <c r="O123" s="800" t="s">
        <v>68</v>
      </c>
      <c r="P123" s="3536"/>
      <c r="Q123" s="3536"/>
      <c r="R123" s="3536"/>
      <c r="S123" s="3536"/>
      <c r="T123" s="3538">
        <f>IF(R117="不",F120,IF(K123="","",DF120))</f>
        <v>6</v>
      </c>
      <c r="U123" s="3538"/>
      <c r="V123" s="3538"/>
      <c r="W123" s="3538"/>
      <c r="X123" s="3506" t="str">
        <f>IF(R117="不","",IF(OR(C120="",K123=""),"",IF(AD123&lt;&gt;"",AD123,IF(DH120="","",DH120))))</f>
        <v>PF-S-22mm</v>
      </c>
      <c r="Y123" s="3506"/>
      <c r="Z123" s="3506"/>
      <c r="AA123" s="3506"/>
      <c r="AB123" s="3506"/>
      <c r="AC123" s="800" t="s">
        <v>68</v>
      </c>
      <c r="AD123" s="3533"/>
      <c r="AE123" s="3533"/>
      <c r="AF123" s="3533"/>
      <c r="AG123" s="3533"/>
      <c r="AH123" s="3533"/>
      <c r="AI123" s="3538">
        <f>IF(X123="","",DJ120)</f>
        <v>4</v>
      </c>
      <c r="AJ123" s="3538"/>
      <c r="AK123" s="3538"/>
      <c r="AL123" s="3538"/>
      <c r="AM123" s="3920" t="s">
        <v>1073</v>
      </c>
      <c r="AN123" s="3920"/>
      <c r="AO123" s="3920"/>
      <c r="AP123" s="3920"/>
      <c r="AQ123" s="3920"/>
      <c r="AR123" s="3920"/>
      <c r="AS123" s="3506" t="str">
        <f>IF(OR(AQ23="不要",$B$2=0,C120="",AB121&lt;&gt;"Ｃ"),"",IF(AX123&lt;&gt;"",AX123,DD122))</f>
        <v/>
      </c>
      <c r="AT123" s="3506"/>
      <c r="AU123" s="3506"/>
      <c r="AV123" s="3506"/>
      <c r="AW123" s="800" t="s">
        <v>68</v>
      </c>
      <c r="AX123" s="3536"/>
      <c r="AY123" s="3536"/>
      <c r="AZ123" s="3536"/>
      <c r="BA123" s="3536"/>
      <c r="BB123" s="3921" t="str">
        <f>IF(AS123="","",DF122)</f>
        <v/>
      </c>
      <c r="BC123" s="3921"/>
      <c r="BD123" s="3921"/>
      <c r="BE123" s="3921"/>
      <c r="BF123" s="3506" t="str">
        <f>IF(OR(C120="",AS123=""),"",IF(BL123&lt;&gt;"",BL123,DH122))</f>
        <v/>
      </c>
      <c r="BG123" s="3506"/>
      <c r="BH123" s="3506"/>
      <c r="BI123" s="3506"/>
      <c r="BJ123" s="3506"/>
      <c r="BK123" s="800" t="s">
        <v>68</v>
      </c>
      <c r="BL123" s="3533"/>
      <c r="BM123" s="3533"/>
      <c r="BN123" s="3533"/>
      <c r="BO123" s="3533"/>
      <c r="BP123" s="3533"/>
      <c r="BQ123" s="3538" t="str">
        <f>IF(BF123="","",DJ122)</f>
        <v/>
      </c>
      <c r="BR123" s="3538"/>
      <c r="BS123" s="3538"/>
      <c r="BT123" s="3539"/>
      <c r="BU123" s="19"/>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8">
        <f>IF(AND(AB130="Ａ",$X$11="2端子"),BI129+BQ129,IF(AND(AB130="Ａ",$X$11="1端子"),BE129+BM129,IF(AND(AB130="Ｂ",$X$11="1端子"),BM129,IF(AND(AB130="Ｂ",$X$11="2端子"),BQ129,IF(AND(AB130="Ｃ",$X$11="1端子"),BM129,BQ129)))))</f>
        <v>12</v>
      </c>
      <c r="DC123" s="10"/>
      <c r="DD123" s="8"/>
      <c r="DE123" s="8"/>
      <c r="DF123" s="8"/>
      <c r="DG123" s="8"/>
      <c r="DH123" s="8"/>
      <c r="DI123" s="8"/>
      <c r="DJ123" s="8"/>
      <c r="DK123" s="8"/>
      <c r="DL123" s="8"/>
      <c r="DM123" s="8"/>
      <c r="DN123" s="8"/>
      <c r="DO123" s="8"/>
      <c r="DP123" s="15"/>
      <c r="DQ123" s="15"/>
      <c r="DR123" s="15"/>
      <c r="DS123" s="8"/>
      <c r="DT123" s="8"/>
      <c r="DU123" s="8"/>
      <c r="DV123" s="8"/>
      <c r="DW123" s="8"/>
      <c r="DX123" s="8"/>
      <c r="DY123" s="8"/>
      <c r="DZ123" s="8"/>
      <c r="EA123" s="8"/>
      <c r="EB123" s="769" t="str">
        <f>IF(OR($B$2=0,AK120=""),"","分岐器 2C")</f>
        <v>分岐器 2C</v>
      </c>
      <c r="EC123" s="8"/>
      <c r="ED123" s="10"/>
      <c r="EE123" s="8"/>
      <c r="EF123" s="8"/>
      <c r="EG123" s="8"/>
      <c r="EH123" s="197">
        <f t="shared" si="77"/>
        <v>4</v>
      </c>
      <c r="EI123" s="773" t="str">
        <f t="shared" si="78"/>
        <v/>
      </c>
      <c r="EJ123" s="203" t="str">
        <f>BF123</f>
        <v/>
      </c>
      <c r="EK123" s="9"/>
      <c r="EL123" s="9" t="str">
        <f>IF(COUNTIF($EJ$18:EJ122,EJ123)&gt;0,"",EJ123)</f>
        <v/>
      </c>
      <c r="EM123" s="9"/>
      <c r="EN123" s="14" t="str">
        <f>BQ123</f>
        <v/>
      </c>
      <c r="EO123" s="771">
        <f t="shared" si="72"/>
        <v>0</v>
      </c>
      <c r="EP123" s="8"/>
      <c r="EQ123" s="8"/>
      <c r="ER123" s="197">
        <f t="shared" si="79"/>
        <v>3</v>
      </c>
      <c r="ES123" s="773" t="str">
        <f t="shared" si="80"/>
        <v/>
      </c>
      <c r="ET123" s="203" t="str">
        <f t="shared" si="73"/>
        <v>分岐器 2C</v>
      </c>
      <c r="EU123" s="9"/>
      <c r="EV123" s="11" t="str">
        <f>IF(COUNTIF($ET$18:ET122,ET123)&gt;0,"",ET123)</f>
        <v/>
      </c>
      <c r="EW123" s="9"/>
      <c r="EX123" s="124">
        <f>AK120</f>
        <v>1</v>
      </c>
      <c r="EY123" s="771">
        <f t="shared" si="74"/>
        <v>0</v>
      </c>
      <c r="EZ123" s="8"/>
      <c r="FA123" s="8"/>
      <c r="FB123" s="197">
        <f t="shared" si="70"/>
        <v>10</v>
      </c>
      <c r="FC123" s="773" t="str">
        <f t="shared" si="71"/>
        <v/>
      </c>
      <c r="FD123" s="772"/>
      <c r="FE123" s="9"/>
      <c r="FF123" s="11"/>
      <c r="FG123" s="9"/>
      <c r="FH123" s="124"/>
      <c r="FI123" s="771"/>
    </row>
    <row r="124" spans="1:165" ht="12" customHeight="1" thickBot="1">
      <c r="B124" s="23"/>
      <c r="C124" s="20"/>
      <c r="D124" s="20"/>
      <c r="E124" s="20"/>
      <c r="F124" s="20"/>
      <c r="G124" s="20"/>
      <c r="H124" s="20"/>
      <c r="I124" s="20"/>
      <c r="J124" s="20"/>
      <c r="K124" s="20"/>
      <c r="L124" s="20"/>
      <c r="M124" s="20"/>
      <c r="N124" s="20"/>
      <c r="O124" s="20"/>
      <c r="P124" s="20"/>
      <c r="Q124" s="787" t="str">
        <f>IF(AND(OR(AB130="Ａ",F254="Ａ"),DB123&gt;24),"直列ユニット数………配線方式Ａ：24以下!!",IF(AND(OR(AB130="Ｂ",F254="Ｂ"),DB123&gt;12),"直列ユニット数………配線方式Ｂ：12以下!!",IF(AND(OR(AB130="Ｃ",F254="Ｃ"),DB123&gt;180),"直列ユニット数………配線方式Ｃ：180以下!!","")))</f>
        <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9"/>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v>12</v>
      </c>
      <c r="DB124" s="92" t="str">
        <f>IF(OR(V95="不要",C129="",C129="  RF"),"",IF(DK124&lt;=12,"Ｂ",IF(DK124&lt;=24,"Ａ","Ｃ")))</f>
        <v>Ｂ</v>
      </c>
      <c r="DC124" s="10"/>
      <c r="DD124" s="8"/>
      <c r="DE124" s="8"/>
      <c r="DF124" s="8"/>
      <c r="DG124" s="8"/>
      <c r="DH124" s="8"/>
      <c r="DI124" s="8"/>
      <c r="DJ124" s="8"/>
      <c r="DK124" s="159">
        <f>IF(OR(C129="",C129="  RF"),0,SUM(Q129:V129))</f>
        <v>12</v>
      </c>
      <c r="DL124" s="8"/>
      <c r="DM124" s="8"/>
      <c r="DN124" s="8"/>
      <c r="DO124" s="8"/>
      <c r="DP124" s="8"/>
      <c r="DQ124" s="8"/>
      <c r="DR124" s="8"/>
      <c r="DS124" s="8"/>
      <c r="DT124" s="8"/>
      <c r="DU124" s="8"/>
      <c r="DV124" s="8"/>
      <c r="DW124" s="8"/>
      <c r="DX124" s="8"/>
      <c r="DY124" s="8"/>
      <c r="DZ124" s="8"/>
      <c r="EA124" s="8"/>
      <c r="EB124" s="8"/>
      <c r="EC124" s="8"/>
      <c r="ED124" s="8"/>
      <c r="EE124" s="8"/>
      <c r="EF124" s="8"/>
      <c r="EG124" s="88">
        <v>12</v>
      </c>
      <c r="EH124" s="204">
        <f t="shared" si="77"/>
        <v>4</v>
      </c>
      <c r="EI124" s="768" t="str">
        <f t="shared" si="78"/>
        <v/>
      </c>
      <c r="EJ124" s="45"/>
      <c r="EK124" s="45"/>
      <c r="EL124" s="45"/>
      <c r="EM124" s="45"/>
      <c r="EN124" s="45"/>
      <c r="EO124" s="785"/>
      <c r="EP124" s="8"/>
      <c r="EQ124" s="88">
        <v>12</v>
      </c>
      <c r="ER124" s="204">
        <f t="shared" si="79"/>
        <v>3</v>
      </c>
      <c r="ES124" s="768" t="str">
        <f t="shared" si="80"/>
        <v/>
      </c>
      <c r="ET124" s="45"/>
      <c r="EU124" s="45"/>
      <c r="EV124" s="154"/>
      <c r="EW124" s="45"/>
      <c r="EX124" s="45"/>
      <c r="EY124" s="785"/>
      <c r="EZ124" s="8"/>
      <c r="FA124" s="88">
        <v>12</v>
      </c>
      <c r="FB124" s="204">
        <f t="shared" si="70"/>
        <v>10</v>
      </c>
      <c r="FC124" s="768" t="str">
        <f t="shared" si="71"/>
        <v/>
      </c>
      <c r="FD124" s="786"/>
      <c r="FE124" s="45"/>
      <c r="FF124" s="154"/>
      <c r="FG124" s="45"/>
      <c r="FH124" s="208"/>
      <c r="FI124" s="785"/>
    </row>
    <row r="125" spans="1:165" ht="11.25" customHeight="1" thickBot="1">
      <c r="B125" s="23"/>
      <c r="C125" s="3399" t="s">
        <v>1142</v>
      </c>
      <c r="D125" s="3412"/>
      <c r="E125" s="3412"/>
      <c r="F125" s="3412"/>
      <c r="G125" s="3412"/>
      <c r="H125" s="3412"/>
      <c r="I125" s="3412"/>
      <c r="J125" s="3412"/>
      <c r="K125" s="3412"/>
      <c r="L125" s="3413"/>
      <c r="M125" s="3853" t="str">
        <f>非誘!J87</f>
        <v>( 4 )</v>
      </c>
      <c r="N125" s="3854"/>
      <c r="O125" s="3854"/>
      <c r="P125" s="3854"/>
      <c r="Q125" s="3855"/>
      <c r="R125" s="2299" t="str">
        <f>IF($B$2=0,"","共聴機器")</f>
        <v>共聴機器</v>
      </c>
      <c r="S125" s="2299"/>
      <c r="T125" s="2299"/>
      <c r="U125" s="2299"/>
      <c r="V125" s="2299"/>
      <c r="W125" s="3412" t="s">
        <v>1141</v>
      </c>
      <c r="X125" s="3412"/>
      <c r="Y125" s="3412"/>
      <c r="Z125" s="3413"/>
      <c r="AA125" s="2637" t="s">
        <v>1140</v>
      </c>
      <c r="AB125" s="2638"/>
      <c r="AC125" s="2638"/>
      <c r="AD125" s="2638"/>
      <c r="AE125" s="2638"/>
      <c r="AF125" s="2639"/>
      <c r="AG125" s="3879" t="s">
        <v>1139</v>
      </c>
      <c r="AH125" s="3879"/>
      <c r="AI125" s="3879"/>
      <c r="AJ125" s="3879"/>
      <c r="AK125" s="3879"/>
      <c r="AL125" s="3879"/>
      <c r="AM125" s="3879"/>
      <c r="AN125" s="3879"/>
      <c r="AO125" s="3879"/>
      <c r="AP125" s="3879"/>
      <c r="AQ125" s="3879"/>
      <c r="AR125" s="3879"/>
      <c r="AS125" s="2637" t="s">
        <v>1138</v>
      </c>
      <c r="AT125" s="2638"/>
      <c r="AU125" s="2638"/>
      <c r="AV125" s="2638"/>
      <c r="AW125" s="2638"/>
      <c r="AX125" s="2638"/>
      <c r="AY125" s="2638"/>
      <c r="AZ125" s="2638"/>
      <c r="BA125" s="2638"/>
      <c r="BB125" s="2638"/>
      <c r="BC125" s="2638"/>
      <c r="BD125" s="2639"/>
      <c r="BE125" s="2637" t="s">
        <v>1137</v>
      </c>
      <c r="BF125" s="2638"/>
      <c r="BG125" s="2638"/>
      <c r="BH125" s="2638"/>
      <c r="BI125" s="2638"/>
      <c r="BJ125" s="2638"/>
      <c r="BK125" s="2638"/>
      <c r="BL125" s="2638"/>
      <c r="BM125" s="2638"/>
      <c r="BN125" s="2638"/>
      <c r="BO125" s="2638"/>
      <c r="BP125" s="2638"/>
      <c r="BQ125" s="2638"/>
      <c r="BR125" s="2638"/>
      <c r="BS125" s="2638"/>
      <c r="BT125" s="2639"/>
      <c r="BU125" s="19"/>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15"/>
      <c r="DA125" s="788" t="str">
        <f>IF(DB143&lt;&gt;"","Amp-2","")</f>
        <v>Amp-2</v>
      </c>
      <c r="DB125" s="97">
        <f>IF(C129="","",DB116+1)</f>
        <v>12</v>
      </c>
      <c r="DC125" s="15" t="str">
        <f>IF($X$10=C129,"＝",IF(VLOOKUP(C129,[2]!階高,3,FALSE)-VLOOKUP($X$10,[2]!階高,3,FALSE)&gt;0,"＋","－"))</f>
        <v>－</v>
      </c>
      <c r="DD125" s="38"/>
      <c r="DE125" s="113" t="s">
        <v>1051</v>
      </c>
      <c r="DF125" s="113" t="s">
        <v>1050</v>
      </c>
      <c r="DG125" s="113" t="s">
        <v>1049</v>
      </c>
      <c r="DH125" s="113" t="s">
        <v>1048</v>
      </c>
      <c r="DI125" s="113" t="s">
        <v>1047</v>
      </c>
      <c r="DJ125" s="113" t="s">
        <v>1046</v>
      </c>
      <c r="DK125" s="90" t="s">
        <v>1136</v>
      </c>
      <c r="DL125" s="38"/>
      <c r="DM125" s="113" t="s">
        <v>1051</v>
      </c>
      <c r="DN125" s="113" t="s">
        <v>1050</v>
      </c>
      <c r="DO125" s="113" t="s">
        <v>1049</v>
      </c>
      <c r="DP125" s="113" t="s">
        <v>1048</v>
      </c>
      <c r="DQ125" s="113" t="s">
        <v>1047</v>
      </c>
      <c r="DR125" s="113" t="s">
        <v>1046</v>
      </c>
      <c r="DS125" s="38"/>
      <c r="DT125" s="113" t="s">
        <v>1051</v>
      </c>
      <c r="DU125" s="113" t="s">
        <v>1048</v>
      </c>
      <c r="DV125" s="113" t="s">
        <v>1047</v>
      </c>
      <c r="DW125" s="113" t="s">
        <v>1046</v>
      </c>
      <c r="DX125" s="113" t="s">
        <v>1048</v>
      </c>
      <c r="DY125" s="113" t="s">
        <v>1048</v>
      </c>
      <c r="DZ125" s="113" t="s">
        <v>1048</v>
      </c>
      <c r="EA125" s="113"/>
      <c r="EB125" s="776" t="str">
        <f>IF(OR($B$2=0,W129=""),"","混合器 U-U")</f>
        <v/>
      </c>
      <c r="EC125" s="15"/>
      <c r="ED125" s="782" t="str">
        <f>IF(AS129="","","分配器 2D")</f>
        <v/>
      </c>
      <c r="EE125" s="15" t="str">
        <f>AS129</f>
        <v/>
      </c>
      <c r="EF125" s="15"/>
      <c r="EG125" s="8"/>
      <c r="EH125" s="197">
        <f t="shared" si="77"/>
        <v>4</v>
      </c>
      <c r="EI125" s="773" t="str">
        <f t="shared" si="78"/>
        <v/>
      </c>
      <c r="EJ125" s="203" t="str">
        <f>K131</f>
        <v/>
      </c>
      <c r="EK125" s="9"/>
      <c r="EL125" s="9" t="str">
        <f>IF(COUNTIF($EJ$18:EJ124,EJ125)&gt;0,"",EJ125)</f>
        <v/>
      </c>
      <c r="EM125" s="9"/>
      <c r="EN125" s="14" t="str">
        <f>T131</f>
        <v/>
      </c>
      <c r="EO125" s="771">
        <f t="shared" ref="EO125:EO132" si="81">SUMIF($EJ$25:$EJ$225,EL125,$EN$25:$EN$225)</f>
        <v>0</v>
      </c>
      <c r="EP125" s="8"/>
      <c r="EQ125" s="8"/>
      <c r="ER125" s="197">
        <f t="shared" si="79"/>
        <v>3</v>
      </c>
      <c r="ES125" s="773" t="str">
        <f t="shared" si="80"/>
        <v/>
      </c>
      <c r="ET125" s="203" t="str">
        <f t="shared" ref="ET125:ET132" si="82">EB125</f>
        <v/>
      </c>
      <c r="EU125" s="9"/>
      <c r="EV125" s="11" t="str">
        <f>IF(COUNTIF($ET$18:ET124,ET125)&gt;0,"",ET125)</f>
        <v/>
      </c>
      <c r="EW125" s="9"/>
      <c r="EX125" s="124" t="str">
        <f>W129</f>
        <v/>
      </c>
      <c r="EY125" s="771">
        <f t="shared" ref="EY125:EY132" si="83">SUMIF($ET$25:$ET$225,EV125,$EX$25:$EX$225)</f>
        <v>0</v>
      </c>
      <c r="EZ125" s="8"/>
      <c r="FA125" s="8"/>
      <c r="FB125" s="197">
        <f t="shared" si="70"/>
        <v>10</v>
      </c>
      <c r="FC125" s="773" t="str">
        <f t="shared" si="71"/>
        <v/>
      </c>
      <c r="FD125" s="772" t="str">
        <f t="shared" ref="FD125:FD131" si="84">ED125</f>
        <v/>
      </c>
      <c r="FE125" s="9"/>
      <c r="FF125" s="11" t="str">
        <f>IF(COUNTIF($FD$15:FD124,FD125)&gt;0,"",FD125)</f>
        <v/>
      </c>
      <c r="FG125" s="9"/>
      <c r="FH125" s="124" t="str">
        <f>AS129</f>
        <v/>
      </c>
      <c r="FI125" s="771">
        <f t="shared" ref="FI125:FI131" si="85">SUMIF($FD$18:$FD$205,FF125,$FH$18:$FH$205)</f>
        <v>0</v>
      </c>
    </row>
    <row r="126" spans="1:165" ht="11.25" customHeight="1" thickBot="1">
      <c r="B126" s="23"/>
      <c r="C126" s="3857" t="str">
        <f>"　"&amp;非誘!M87</f>
        <v>　百貨店等</v>
      </c>
      <c r="D126" s="3858"/>
      <c r="E126" s="3858"/>
      <c r="F126" s="3858"/>
      <c r="G126" s="3858"/>
      <c r="H126" s="3858"/>
      <c r="I126" s="3858"/>
      <c r="J126" s="3858"/>
      <c r="K126" s="3858"/>
      <c r="L126" s="3858"/>
      <c r="M126" s="3858"/>
      <c r="N126" s="3858"/>
      <c r="O126" s="3858"/>
      <c r="P126" s="3858"/>
      <c r="Q126" s="3859"/>
      <c r="R126" s="2337" t="str">
        <f>IF(U126&lt;&gt;"",U126,IF(C129="","","設"))</f>
        <v>設</v>
      </c>
      <c r="S126" s="2337"/>
      <c r="T126" s="175" t="s">
        <v>68</v>
      </c>
      <c r="U126" s="2338"/>
      <c r="V126" s="2338"/>
      <c r="W126" s="3860" t="s">
        <v>1132</v>
      </c>
      <c r="X126" s="3863" t="s">
        <v>1131</v>
      </c>
      <c r="Y126" s="3863" t="s">
        <v>1130</v>
      </c>
      <c r="Z126" s="3866"/>
      <c r="AA126" s="3528" t="s">
        <v>1128</v>
      </c>
      <c r="AB126" s="3519"/>
      <c r="AC126" s="3519"/>
      <c r="AD126" s="3519"/>
      <c r="AE126" s="3519"/>
      <c r="AF126" s="3520"/>
      <c r="AG126" s="3528" t="s">
        <v>1051</v>
      </c>
      <c r="AH126" s="3519"/>
      <c r="AI126" s="3519"/>
      <c r="AJ126" s="3529"/>
      <c r="AK126" s="3518" t="s">
        <v>1050</v>
      </c>
      <c r="AL126" s="3519"/>
      <c r="AM126" s="3519"/>
      <c r="AN126" s="3529"/>
      <c r="AO126" s="3518" t="s">
        <v>1049</v>
      </c>
      <c r="AP126" s="3519"/>
      <c r="AQ126" s="3519"/>
      <c r="AR126" s="3520"/>
      <c r="AS126" s="3528" t="s">
        <v>1048</v>
      </c>
      <c r="AT126" s="3519"/>
      <c r="AU126" s="3519"/>
      <c r="AV126" s="3529"/>
      <c r="AW126" s="3518" t="s">
        <v>1047</v>
      </c>
      <c r="AX126" s="3519"/>
      <c r="AY126" s="3519"/>
      <c r="AZ126" s="3529"/>
      <c r="BA126" s="3518" t="s">
        <v>1046</v>
      </c>
      <c r="BB126" s="3519"/>
      <c r="BC126" s="3519"/>
      <c r="BD126" s="3520"/>
      <c r="BE126" s="3528" t="s">
        <v>1123</v>
      </c>
      <c r="BF126" s="3519"/>
      <c r="BG126" s="3519"/>
      <c r="BH126" s="3519"/>
      <c r="BI126" s="3519"/>
      <c r="BJ126" s="3519"/>
      <c r="BK126" s="3519"/>
      <c r="BL126" s="3529"/>
      <c r="BM126" s="3518" t="s">
        <v>1122</v>
      </c>
      <c r="BN126" s="3519"/>
      <c r="BO126" s="3519"/>
      <c r="BP126" s="3519"/>
      <c r="BQ126" s="3519"/>
      <c r="BR126" s="3519"/>
      <c r="BS126" s="3519"/>
      <c r="BT126" s="3520"/>
      <c r="BU126" s="19"/>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15"/>
      <c r="DA126" s="15">
        <f>IF(AG129&lt;&gt;"",2,IF(AK129&lt;&gt;"",3,0))</f>
        <v>3</v>
      </c>
      <c r="DB126" s="86" t="s">
        <v>370</v>
      </c>
      <c r="DC126" s="86" t="s">
        <v>71</v>
      </c>
      <c r="DD126" s="128" t="s">
        <v>1179</v>
      </c>
      <c r="DE126" s="86">
        <f>IF(AB130&lt;&gt;"Ａ",0,IF(AND(2*DK126&gt;=4,2*DK126&lt;=12),1,0))</f>
        <v>0</v>
      </c>
      <c r="DF126" s="86">
        <f>IF(AB130&lt;&gt;"Ａ",0,IF(AND(2*DK126&gt;=16,DK126&lt;=24),1,0))</f>
        <v>0</v>
      </c>
      <c r="DG126" s="97" t="s">
        <v>1177</v>
      </c>
      <c r="DH126" s="86">
        <f>IF(AB130&lt;&gt;"Ａ",0,IF(2*DK126&lt;=4,1,0))</f>
        <v>0</v>
      </c>
      <c r="DI126" s="86">
        <f>IF(AB130&lt;&gt;"Ａ",0,IF(OR(AND(2*DK126&gt;4,2*DK126&lt;=8),AND(2*DK126&gt;12,2*DK126&lt;=16)),1,0))</f>
        <v>0</v>
      </c>
      <c r="DJ126" s="183">
        <f>IF(AB130&lt;&gt;"Ａ",0,IF(OR(AND(2*DK126&gt;8,2*DK126&lt;=12),AND(2*DK126&gt;16,2*DK126&lt;=24)),1,0))</f>
        <v>0</v>
      </c>
      <c r="DK126" s="783">
        <f>IF(OR(C129="",C129="  RF"),0,IF(Q129="",INT((T129)/2),INT((Q129+INT(T129))/2)+1))</f>
        <v>7</v>
      </c>
      <c r="DL126" s="128" t="s">
        <v>1178</v>
      </c>
      <c r="DM126" s="86">
        <f>IF(AB130&lt;&gt;"Ｂ",0,IF(DB123&lt;=6,1,0))</f>
        <v>0</v>
      </c>
      <c r="DN126" s="86">
        <f>IF(AB130&lt;&gt;"Ｂ",0,IF(AND(DB123&gt;6,DB123&lt;=12),1,0))</f>
        <v>1</v>
      </c>
      <c r="DO126" s="97" t="s">
        <v>1177</v>
      </c>
      <c r="DP126" s="86">
        <f>IF(AB130&lt;&gt;"Ｂ",0,IF(DB123&lt;=2,1,0))</f>
        <v>0</v>
      </c>
      <c r="DQ126" s="86">
        <f>IF(AB130&lt;&gt;"Ｂ",0,IF(OR(AND(DB123&gt;2,DB123&lt;6),AND(DB123&gt;6,DB123&lt;=8)),1,0))</f>
        <v>0</v>
      </c>
      <c r="DR126" s="86">
        <f>IF(AB130&lt;&gt;"Ｂ",0,IF(OR(AND(DB123&gt;4,DB123&lt;6),AND(DB123&gt;8,DB123&lt;=12)),1,0))</f>
        <v>1</v>
      </c>
      <c r="DS126" s="128" t="s">
        <v>1078</v>
      </c>
      <c r="DT126" s="159">
        <f>IF(AB130&lt;&gt;"Ｃ",0,IF(DX126&lt;&gt;0,DX126,IF(DY126&lt;&gt;0,DY126,IF(DZ126&lt;&gt;0,DZ126,0))))</f>
        <v>0</v>
      </c>
      <c r="DU126" s="159">
        <f>IF(AB130&lt;&gt;"Ｃ",0,IF(DX126=0,0,1))</f>
        <v>0</v>
      </c>
      <c r="DV126" s="159">
        <f>IF(AB130&lt;&gt;"Ｃ",0,IF(DY126=0,0,1))</f>
        <v>0</v>
      </c>
      <c r="DW126" s="783">
        <f>IF(AB130&lt;&gt;"Ｃ",0,IF(DZ126=0,0,1))</f>
        <v>0</v>
      </c>
      <c r="DX126" s="714">
        <f>IF(AB130&lt;&gt;"Ｃ",0,IF(DB123&lt;=12,3,IF(AND(DB123&gt;12,DB123&lt;=16),4,IF(AND(DB123&gt;16,DB123&lt;=20),5,0))))</f>
        <v>0</v>
      </c>
      <c r="DY126" s="86">
        <f>IF(AB130&lt;&gt;"Ｃ",0,IF(AND(DB123&gt;20,DB123&lt;=24),3,IF(AND(DB123&gt;24,DB123&lt;=32),4,IF(AND(DB123&gt;32,DB123&lt;=40),5,0))))</f>
        <v>0</v>
      </c>
      <c r="DZ126" s="97">
        <f>IF(AB130&lt;&gt;"Ｃ",0,IF(AND(DB123&gt;40,DB123&lt;=48),4,IF(AND(DB123&gt;48,DB123&lt;=60),5,0)))</f>
        <v>0</v>
      </c>
      <c r="EA126" s="96"/>
      <c r="EB126" s="776" t="str">
        <f>IF(OR($B$2=0,X129=""),"","混合器 BS-CS")</f>
        <v/>
      </c>
      <c r="EC126" s="96"/>
      <c r="ED126" s="782" t="str">
        <f>IF(AW129="","","分配器 4D")</f>
        <v/>
      </c>
      <c r="EE126" s="96" t="str">
        <f>AW129</f>
        <v/>
      </c>
      <c r="EF126" s="96"/>
      <c r="EG126" s="96"/>
      <c r="EH126" s="197">
        <f t="shared" si="77"/>
        <v>4</v>
      </c>
      <c r="EI126" s="773" t="str">
        <f t="shared" si="78"/>
        <v/>
      </c>
      <c r="EJ126" s="203" t="str">
        <f>K132</f>
        <v>S-7C-FB</v>
      </c>
      <c r="EK126" s="9"/>
      <c r="EL126" s="9" t="str">
        <f>IF(COUNTIF($EJ$18:EJ125,EJ126)&gt;0,"",EJ126)</f>
        <v/>
      </c>
      <c r="EM126" s="9"/>
      <c r="EN126" s="14">
        <f>T132</f>
        <v>6</v>
      </c>
      <c r="EO126" s="771">
        <f t="shared" si="81"/>
        <v>0</v>
      </c>
      <c r="EP126" s="8"/>
      <c r="EQ126" s="96"/>
      <c r="ER126" s="197">
        <f t="shared" si="79"/>
        <v>3</v>
      </c>
      <c r="ES126" s="773" t="str">
        <f t="shared" si="80"/>
        <v/>
      </c>
      <c r="ET126" s="203" t="str">
        <f t="shared" si="82"/>
        <v/>
      </c>
      <c r="EU126" s="9"/>
      <c r="EV126" s="11" t="str">
        <f>IF(COUNTIF($ET$18:ET125,ET126)&gt;0,"",ET126)</f>
        <v/>
      </c>
      <c r="EW126" s="9"/>
      <c r="EX126" s="124" t="str">
        <f>X129</f>
        <v/>
      </c>
      <c r="EY126" s="771">
        <f t="shared" si="83"/>
        <v>0</v>
      </c>
      <c r="EZ126" s="8"/>
      <c r="FA126" s="96"/>
      <c r="FB126" s="197">
        <f t="shared" si="70"/>
        <v>10</v>
      </c>
      <c r="FC126" s="773" t="str">
        <f t="shared" si="71"/>
        <v/>
      </c>
      <c r="FD126" s="772" t="str">
        <f t="shared" si="84"/>
        <v/>
      </c>
      <c r="FE126" s="9"/>
      <c r="FF126" s="11" t="str">
        <f>IF(COUNTIF($FD$15:FD125,FD126)&gt;0,"",FD126)</f>
        <v/>
      </c>
      <c r="FG126" s="9"/>
      <c r="FH126" s="124" t="str">
        <f>AW129</f>
        <v/>
      </c>
      <c r="FI126" s="771">
        <f t="shared" si="85"/>
        <v>0</v>
      </c>
    </row>
    <row r="127" spans="1:165" ht="11.25" customHeight="1" thickBot="1">
      <c r="B127" s="23"/>
      <c r="C127" s="3819" t="s">
        <v>16</v>
      </c>
      <c r="D127" s="3820"/>
      <c r="E127" s="3821"/>
      <c r="F127" s="3869" t="s">
        <v>22</v>
      </c>
      <c r="G127" s="3870"/>
      <c r="H127" s="3871"/>
      <c r="I127" s="3869" t="s">
        <v>5</v>
      </c>
      <c r="J127" s="3870"/>
      <c r="K127" s="3870"/>
      <c r="L127" s="3871"/>
      <c r="M127" s="3819" t="s">
        <v>1176</v>
      </c>
      <c r="N127" s="3820"/>
      <c r="O127" s="3820"/>
      <c r="P127" s="3821"/>
      <c r="Q127" s="3819" t="s">
        <v>1175</v>
      </c>
      <c r="R127" s="3820"/>
      <c r="S127" s="3821"/>
      <c r="T127" s="3819" t="s">
        <v>1175</v>
      </c>
      <c r="U127" s="3820"/>
      <c r="V127" s="3821"/>
      <c r="W127" s="3861"/>
      <c r="X127" s="3864"/>
      <c r="Y127" s="3864"/>
      <c r="Z127" s="3867"/>
      <c r="AA127" s="3872" t="str">
        <f>IF($AG$15&lt;=65,"40/","35/")</f>
        <v>40/</v>
      </c>
      <c r="AB127" s="3873"/>
      <c r="AC127" s="3873"/>
      <c r="AD127" s="3873" t="str">
        <f>IF(CW255&gt;55,"40/","35/")</f>
        <v>35/</v>
      </c>
      <c r="AE127" s="3873"/>
      <c r="AF127" s="3875"/>
      <c r="AG127" s="3876" t="s">
        <v>1114</v>
      </c>
      <c r="AH127" s="3877"/>
      <c r="AI127" s="3877"/>
      <c r="AJ127" s="3877"/>
      <c r="AK127" s="3877"/>
      <c r="AL127" s="3877"/>
      <c r="AM127" s="3877"/>
      <c r="AN127" s="3877"/>
      <c r="AO127" s="3877"/>
      <c r="AP127" s="3877"/>
      <c r="AQ127" s="3877"/>
      <c r="AR127" s="3878"/>
      <c r="AS127" s="3549" t="s">
        <v>1113</v>
      </c>
      <c r="AT127" s="3550"/>
      <c r="AU127" s="3550"/>
      <c r="AV127" s="3550"/>
      <c r="AW127" s="3550"/>
      <c r="AX127" s="3550"/>
      <c r="AY127" s="3550"/>
      <c r="AZ127" s="3550"/>
      <c r="BA127" s="3550"/>
      <c r="BB127" s="3550"/>
      <c r="BC127" s="3550"/>
      <c r="BD127" s="3551"/>
      <c r="BE127" s="3552" t="s">
        <v>1112</v>
      </c>
      <c r="BF127" s="3553"/>
      <c r="BG127" s="3553"/>
      <c r="BH127" s="3553"/>
      <c r="BI127" s="3553" t="s">
        <v>1111</v>
      </c>
      <c r="BJ127" s="3553"/>
      <c r="BK127" s="3553"/>
      <c r="BL127" s="3553"/>
      <c r="BM127" s="3553" t="s">
        <v>1112</v>
      </c>
      <c r="BN127" s="3553"/>
      <c r="BO127" s="3553"/>
      <c r="BP127" s="3553"/>
      <c r="BQ127" s="3553" t="s">
        <v>1111</v>
      </c>
      <c r="BR127" s="3553"/>
      <c r="BS127" s="3553"/>
      <c r="BT127" s="3919"/>
      <c r="BU127" s="19"/>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15"/>
      <c r="DA127" s="67">
        <f>IF(DC125="＋",F129+F120+3,F129+F138+3)</f>
        <v>11</v>
      </c>
      <c r="DB127" s="98">
        <f>IF(C129="  RF","",IF(AN130="","",非誘!BW89))</f>
        <v>12</v>
      </c>
      <c r="DC127" s="98">
        <f>IF(DB127="","",IF(AN130="","",非誘!BX89))</f>
        <v>24</v>
      </c>
      <c r="DD127" s="3822" t="s">
        <v>1060</v>
      </c>
      <c r="DE127" s="3823"/>
      <c r="DF127" s="3824" t="s">
        <v>1173</v>
      </c>
      <c r="DG127" s="3824"/>
      <c r="DH127" s="3824" t="s">
        <v>1174</v>
      </c>
      <c r="DI127" s="3824"/>
      <c r="DJ127" s="3823" t="s">
        <v>1173</v>
      </c>
      <c r="DK127" s="3823"/>
      <c r="DL127" s="8"/>
      <c r="DM127" s="113" t="s">
        <v>1172</v>
      </c>
      <c r="DN127" s="113" t="s">
        <v>1171</v>
      </c>
      <c r="DO127" s="113" t="s">
        <v>1170</v>
      </c>
      <c r="DP127" s="8"/>
      <c r="DQ127" s="8"/>
      <c r="DR127" s="8"/>
      <c r="DS127" s="8"/>
      <c r="DT127" s="113" t="s">
        <v>1051</v>
      </c>
      <c r="DU127" s="8"/>
      <c r="DV127" s="113" t="s">
        <v>1047</v>
      </c>
      <c r="DW127" s="113" t="s">
        <v>1046</v>
      </c>
      <c r="DX127" s="8"/>
      <c r="DY127" s="113" t="s">
        <v>1047</v>
      </c>
      <c r="DZ127" s="113" t="s">
        <v>1047</v>
      </c>
      <c r="EA127" s="113"/>
      <c r="EB127" s="776" t="str">
        <f>IF(OR($B$2=0,Y129=""),"","混合器 UV-BC")</f>
        <v/>
      </c>
      <c r="EC127" s="15"/>
      <c r="ED127" s="782" t="str">
        <f>IF(BA129="","","分配器 6D")</f>
        <v>分配器 6D</v>
      </c>
      <c r="EE127" s="15">
        <f>BA129</f>
        <v>1</v>
      </c>
      <c r="EF127" s="15"/>
      <c r="EG127" s="15"/>
      <c r="EH127" s="197">
        <f t="shared" si="77"/>
        <v>4</v>
      </c>
      <c r="EI127" s="773" t="str">
        <f t="shared" si="78"/>
        <v/>
      </c>
      <c r="EJ127" s="203" t="str">
        <f>X131</f>
        <v/>
      </c>
      <c r="EK127" s="9"/>
      <c r="EL127" s="9" t="str">
        <f>IF(COUNTIF($EJ$18:EJ126,EJ127)&gt;0,"",EJ127)</f>
        <v/>
      </c>
      <c r="EM127" s="9"/>
      <c r="EN127" s="14" t="str">
        <f>AI131</f>
        <v/>
      </c>
      <c r="EO127" s="771">
        <f t="shared" si="81"/>
        <v>0</v>
      </c>
      <c r="EP127" s="8"/>
      <c r="EQ127" s="15"/>
      <c r="ER127" s="197">
        <f t="shared" si="79"/>
        <v>3</v>
      </c>
      <c r="ES127" s="773" t="str">
        <f t="shared" si="80"/>
        <v/>
      </c>
      <c r="ET127" s="203" t="str">
        <f t="shared" si="82"/>
        <v/>
      </c>
      <c r="EU127" s="9"/>
      <c r="EV127" s="11" t="str">
        <f>IF(COUNTIF($ET$18:ET126,ET127)&gt;0,"",ET127)</f>
        <v/>
      </c>
      <c r="EW127" s="9"/>
      <c r="EX127" s="124" t="str">
        <f>Y129</f>
        <v/>
      </c>
      <c r="EY127" s="771">
        <f t="shared" si="83"/>
        <v>0</v>
      </c>
      <c r="EZ127" s="8"/>
      <c r="FA127" s="15"/>
      <c r="FB127" s="197">
        <f t="shared" si="70"/>
        <v>10</v>
      </c>
      <c r="FC127" s="773" t="str">
        <f t="shared" si="71"/>
        <v/>
      </c>
      <c r="FD127" s="772" t="str">
        <f t="shared" si="84"/>
        <v>分配器 6D</v>
      </c>
      <c r="FE127" s="9"/>
      <c r="FF127" s="11" t="str">
        <f>IF(COUNTIF($FD$15:FD126,FD127)&gt;0,"",FD127)</f>
        <v/>
      </c>
      <c r="FG127" s="9"/>
      <c r="FH127" s="124">
        <f>BA129</f>
        <v>1</v>
      </c>
      <c r="FI127" s="771">
        <f t="shared" si="85"/>
        <v>0</v>
      </c>
    </row>
    <row r="128" spans="1:165" ht="11.25" customHeight="1" thickBot="1">
      <c r="B128" s="23"/>
      <c r="C128" s="3819"/>
      <c r="D128" s="3820"/>
      <c r="E128" s="3821"/>
      <c r="F128" s="3827" t="s">
        <v>113</v>
      </c>
      <c r="G128" s="3769"/>
      <c r="H128" s="3828"/>
      <c r="I128" s="3819" t="s">
        <v>113</v>
      </c>
      <c r="J128" s="3820"/>
      <c r="K128" s="3820"/>
      <c r="L128" s="3821"/>
      <c r="M128" s="3819" t="s">
        <v>1103</v>
      </c>
      <c r="N128" s="3820"/>
      <c r="O128" s="3820"/>
      <c r="P128" s="3821"/>
      <c r="Q128" s="3819" t="s">
        <v>1102</v>
      </c>
      <c r="R128" s="3820"/>
      <c r="S128" s="3821"/>
      <c r="T128" s="3819" t="s">
        <v>115</v>
      </c>
      <c r="U128" s="3820"/>
      <c r="V128" s="3821"/>
      <c r="W128" s="3862"/>
      <c r="X128" s="3865"/>
      <c r="Y128" s="3865"/>
      <c r="Z128" s="3868"/>
      <c r="AA128" s="3819">
        <f>IF($AG$15&lt;=65,115,110)</f>
        <v>115</v>
      </c>
      <c r="AB128" s="3820"/>
      <c r="AC128" s="3926"/>
      <c r="AD128" s="3562">
        <f>IF(CW255&gt;55,115,110)</f>
        <v>110</v>
      </c>
      <c r="AE128" s="3562"/>
      <c r="AF128" s="3830"/>
      <c r="AG128" s="3831" t="s">
        <v>1101</v>
      </c>
      <c r="AH128" s="3832"/>
      <c r="AI128" s="3832"/>
      <c r="AJ128" s="3833"/>
      <c r="AK128" s="3834" t="s">
        <v>1100</v>
      </c>
      <c r="AL128" s="3832"/>
      <c r="AM128" s="3832"/>
      <c r="AN128" s="3833"/>
      <c r="AO128" s="3834" t="s">
        <v>1098</v>
      </c>
      <c r="AP128" s="3832"/>
      <c r="AQ128" s="3832"/>
      <c r="AR128" s="3835"/>
      <c r="AS128" s="3836" t="s">
        <v>1097</v>
      </c>
      <c r="AT128" s="3832"/>
      <c r="AU128" s="3832"/>
      <c r="AV128" s="3833"/>
      <c r="AW128" s="3844" t="s">
        <v>1095</v>
      </c>
      <c r="AX128" s="3845"/>
      <c r="AY128" s="3845"/>
      <c r="AZ128" s="3846"/>
      <c r="BA128" s="3558" t="s">
        <v>1169</v>
      </c>
      <c r="BB128" s="3559"/>
      <c r="BC128" s="3559"/>
      <c r="BD128" s="3560"/>
      <c r="BE128" s="3561" t="s">
        <v>1168</v>
      </c>
      <c r="BF128" s="3562"/>
      <c r="BG128" s="3562"/>
      <c r="BH128" s="3562"/>
      <c r="BI128" s="3850" t="s">
        <v>1167</v>
      </c>
      <c r="BJ128" s="3562"/>
      <c r="BK128" s="3562"/>
      <c r="BL128" s="3562"/>
      <c r="BM128" s="3850" t="s">
        <v>1166</v>
      </c>
      <c r="BN128" s="3562"/>
      <c r="BO128" s="3562"/>
      <c r="BP128" s="3562"/>
      <c r="BQ128" s="3850" t="s">
        <v>1165</v>
      </c>
      <c r="BR128" s="3562"/>
      <c r="BS128" s="3562"/>
      <c r="BT128" s="3830"/>
      <c r="BU128" s="19"/>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90"/>
      <c r="DA128" s="15"/>
      <c r="DB128" s="98">
        <f>IF(C129="","",IF(AZ130="①",DB127+DC127+3,IF(AZ130="②",DB127*5/8+DC127+3,IF(AZ130="③",DB127/2+DC127+3,IF(AZ130="④",DB127+DC127*5/8+3,IF(AZ130="⑤",(DB127+DC127)*5/8+3,IF(AZ130="⑥",DB127/2+DC127*5/8+3,IF(AZ130="⑦",DB127+DC127/2+3,IF(AZ130="⑧",DB127*5/8+DC127/2+3,IF(AZ130="⑨",(DB127+DC127)/2+3))))))))))</f>
        <v>27</v>
      </c>
      <c r="DC128" s="180" t="s">
        <v>1164</v>
      </c>
      <c r="DD128" s="2589" t="str">
        <f>IF($AL$10="nC-FB","S-5C-FB",IF($AL$10="nD-FB","5D-FB","5C-2V"))</f>
        <v>S-5C-FB</v>
      </c>
      <c r="DE128" s="2591"/>
      <c r="DF128" s="3631">
        <f>IF(C129="  RF",DF119,IF($H$15="ＣＡＴＶ",DB127+DC127/2+F129-($AM$8-$AM$7)/1000+DR128,SUM(DM128:DO128)))</f>
        <v>58.5</v>
      </c>
      <c r="DG128" s="3812"/>
      <c r="DH128" s="2589" t="str">
        <f>IF($H$17="ＣＡＴＶ","G-22mm",IF(RIGHT($AB$17,1)+RIGHT($AF$17,1)+RIGHT($AJ$17,1)&gt;=4,"G-36mm","G-28mm"))</f>
        <v>G-28mm</v>
      </c>
      <c r="DI128" s="2591"/>
      <c r="DJ128" s="3631">
        <f>IF(C129="",0,IF(C129="  RF",DJ119,IF($H$15="ＣＡＴＶ",DB127+DC127/2+F129-($AM$8-$AM$7)/1000,10+F129-($AM$8-$AM$7)/1000)))</f>
        <v>14.5</v>
      </c>
      <c r="DK128" s="3812"/>
      <c r="DL128" s="15"/>
      <c r="DM128" s="98">
        <f>IF(OR($B$2=0,$H$15="ＣＡＴＶ",C129="",C129="  RF"),0,IF($AB$17="","",RIGHT($AB$17,1)*15+F129-($AM$8-$AM$7)/1000))</f>
        <v>19.5</v>
      </c>
      <c r="DN128" s="98">
        <f>IF(OR($B$2=0,$H$15="ＣＡＴＶ",C129="",C129="  RF"),0,IF($AF$17="","",15+F129-($AM$8-$AM$7)/1000))</f>
        <v>19.5</v>
      </c>
      <c r="DO128" s="98">
        <f>IF(OR($B$2=0,$H$15="ＣＡＴＶ",C129="",C129="  RF"),0,IF($AJ$17="","",15+F129-($AM$8-$AM$7)/1000))</f>
        <v>19.5</v>
      </c>
      <c r="DP128" s="15"/>
      <c r="DQ128" s="46" t="s">
        <v>1087</v>
      </c>
      <c r="DR128" s="98" t="str">
        <f>IF($H$17="ＣＡＴＶ",#REF!+#REF!,"")</f>
        <v/>
      </c>
      <c r="DS128" s="128" t="s">
        <v>1118</v>
      </c>
      <c r="DT128" s="159">
        <f>IF(AB130&lt;&gt;"Ｃ",0,IF(DY128&lt;&gt;0,DY128,IF(DZ128&lt;&gt;0,DZ128,0)))</f>
        <v>0</v>
      </c>
      <c r="DU128" s="8"/>
      <c r="DV128" s="86">
        <f>IF(AB130&lt;&gt;"Ｃ",0,IF(DY128=0,0,1))</f>
        <v>0</v>
      </c>
      <c r="DW128" s="86">
        <f>IF(AB130&lt;&gt;"Ｃ",0,IF(DZ128=0,0,1))</f>
        <v>0</v>
      </c>
      <c r="DX128" s="8"/>
      <c r="DY128" s="86">
        <f>IF(AB130&lt;&gt;"Ｃ",0,IF(AND(DB123&gt;60,DB123&lt;=64),4,IF(AND(DB123&gt;64,DB123&lt;=80),5,0)))</f>
        <v>0</v>
      </c>
      <c r="DZ128" s="86">
        <f>IF(AB130&lt;&gt;"Ｃ",0,IF(AND(DB123&gt;80,DB123&lt;=96),4,IF(AND(DB123&gt;96,DB123&lt;=120),5,0)))</f>
        <v>0</v>
      </c>
      <c r="EA128" s="38"/>
      <c r="EB128" s="776" t="str">
        <f>IF(OR($B$2=0,Z129=""),"","混合器 UV-BC")</f>
        <v/>
      </c>
      <c r="EC128" s="12"/>
      <c r="ED128" s="122" t="str">
        <f>IF(BE129="","","直列Unit-中間1端子")</f>
        <v/>
      </c>
      <c r="EE128" s="38" t="str">
        <f>BE129</f>
        <v/>
      </c>
      <c r="EF128" s="38"/>
      <c r="EG128" s="38"/>
      <c r="EH128" s="197">
        <f t="shared" si="77"/>
        <v>4</v>
      </c>
      <c r="EI128" s="773" t="str">
        <f t="shared" si="78"/>
        <v/>
      </c>
      <c r="EJ128" s="203" t="str">
        <f>X132</f>
        <v>PF-S-22mm</v>
      </c>
      <c r="EK128" s="9"/>
      <c r="EL128" s="9" t="str">
        <f>IF(COUNTIF($EJ$18:EJ127,EJ128)&gt;0,"",EJ128)</f>
        <v/>
      </c>
      <c r="EM128" s="9"/>
      <c r="EN128" s="14">
        <f>AI132</f>
        <v>4</v>
      </c>
      <c r="EO128" s="771">
        <f t="shared" si="81"/>
        <v>0</v>
      </c>
      <c r="EP128" s="8"/>
      <c r="EQ128" s="38"/>
      <c r="ER128" s="197">
        <f t="shared" si="79"/>
        <v>3</v>
      </c>
      <c r="ES128" s="773" t="str">
        <f t="shared" si="80"/>
        <v/>
      </c>
      <c r="ET128" s="203" t="str">
        <f t="shared" si="82"/>
        <v/>
      </c>
      <c r="EU128" s="9"/>
      <c r="EV128" s="11" t="str">
        <f>IF(COUNTIF($ET$18:ET127,ET128)&gt;0,"",ET128)</f>
        <v/>
      </c>
      <c r="EW128" s="9"/>
      <c r="EX128" s="124">
        <f>Z129</f>
        <v>0</v>
      </c>
      <c r="EY128" s="771">
        <f t="shared" si="83"/>
        <v>0</v>
      </c>
      <c r="EZ128" s="8"/>
      <c r="FA128" s="38"/>
      <c r="FB128" s="197">
        <f t="shared" si="70"/>
        <v>10</v>
      </c>
      <c r="FC128" s="773" t="str">
        <f t="shared" si="71"/>
        <v/>
      </c>
      <c r="FD128" s="772" t="str">
        <f t="shared" si="84"/>
        <v/>
      </c>
      <c r="FE128" s="9"/>
      <c r="FF128" s="11" t="str">
        <f>IF(COUNTIF($FD$15:FD127,FD128)&gt;0,"",FD128)</f>
        <v/>
      </c>
      <c r="FG128" s="9"/>
      <c r="FH128" s="124" t="str">
        <f>BE129</f>
        <v/>
      </c>
      <c r="FI128" s="771">
        <f t="shared" si="85"/>
        <v>0</v>
      </c>
    </row>
    <row r="129" spans="1:165" ht="11.25" customHeight="1">
      <c r="A129" s="8">
        <v>12</v>
      </c>
      <c r="B129" s="23"/>
      <c r="C129" s="3837" t="str">
        <f>非誘!C89</f>
        <v xml:space="preserve"> 10F</v>
      </c>
      <c r="D129" s="3837"/>
      <c r="E129" s="3837"/>
      <c r="F129" s="3838">
        <f>非誘!F89</f>
        <v>4</v>
      </c>
      <c r="G129" s="3839"/>
      <c r="H129" s="3840"/>
      <c r="I129" s="3838">
        <f>非誘!J89</f>
        <v>3</v>
      </c>
      <c r="J129" s="3839"/>
      <c r="K129" s="3839"/>
      <c r="L129" s="3840"/>
      <c r="M129" s="3841">
        <f>非誘!N89</f>
        <v>1152</v>
      </c>
      <c r="N129" s="3842"/>
      <c r="O129" s="3842"/>
      <c r="P129" s="3843"/>
      <c r="Q129" s="3537">
        <f>非誘!AA89</f>
        <v>3</v>
      </c>
      <c r="R129" s="3537"/>
      <c r="S129" s="3537"/>
      <c r="T129" s="3537">
        <f>非誘!AD89</f>
        <v>9</v>
      </c>
      <c r="U129" s="3537"/>
      <c r="V129" s="3537"/>
      <c r="W129" s="795" t="str">
        <f>IF(OR(AT23="不要",C129&lt;&gt;$X$10),"",IF(AND($AB$17="UHF×3",$AF$17&lt;&gt;"",$AJ$17&lt;&gt;""),2,IF(OR(AND($AB$17="UHF×3",$AB$17="",$AJ$17=""),AND($AB$17="UHF×3",$AF$17&lt;&gt;"",$AJ$17=""),AND($AB$17="UHF×2",$AF$17&lt;&gt;"",$AJ$17&lt;&gt;"")),1,"")))</f>
        <v/>
      </c>
      <c r="X129" s="794" t="str">
        <f>IF(OR(AT23="不要",C129&lt;&gt;$X$10),"",IF(AND($AB$17&lt;&gt;"",$AF$17&lt;&gt;"",$AJ$17&lt;&gt;""),1,""))</f>
        <v/>
      </c>
      <c r="Y129" s="794" t="str">
        <f>IF(OR(AT23="不要",C129&lt;&gt;$X$10),"",IF(AND(OR($AB$17="UHF×2",$AB$17="UHF×3"),$AF$17&lt;&gt;"",$AJ$17=""),1,""))</f>
        <v/>
      </c>
      <c r="Z129" s="793"/>
      <c r="AA129" s="3847" t="str">
        <f>IF($B$2=0,"",IF(AND(AT23&lt;&gt;"不要",DC125="＝"),1,""))</f>
        <v/>
      </c>
      <c r="AB129" s="3848"/>
      <c r="AC129" s="3848"/>
      <c r="AD129" s="3848">
        <f>IF($B$2=0,"",IF(OR(AT23="不要",C129="",C129="  RF"),"",IF(AT23="設置",1,"")))</f>
        <v>1</v>
      </c>
      <c r="AE129" s="3848"/>
      <c r="AF129" s="3849"/>
      <c r="AG129" s="3837" t="str">
        <f>IF(OR(AT23="不要",C129="",C129="  RF"),"",IF(AI129&lt;&gt;"",AI129,IF(DE126+DM126+DT126+DT128+DT130=0,"",DE126+DM126+DT126+DT128+DT130)))</f>
        <v/>
      </c>
      <c r="AH129" s="3837"/>
      <c r="AI129" s="3915"/>
      <c r="AJ129" s="3915"/>
      <c r="AK129" s="3837">
        <f>IF(OR(AT23="不要",C129="",C129="  RF"),"",IF(AM129&lt;&gt;"",AM129,IF(DF126+DN126=0,"",DF126+DN126)))</f>
        <v>1</v>
      </c>
      <c r="AL129" s="3837"/>
      <c r="AM129" s="3915"/>
      <c r="AN129" s="3915"/>
      <c r="AO129" s="3813" t="str">
        <f>IF(AQ129="","",AQ129)</f>
        <v/>
      </c>
      <c r="AP129" s="3814"/>
      <c r="AQ129" s="3915"/>
      <c r="AR129" s="3915"/>
      <c r="AS129" s="3916" t="str">
        <f>IF(OR(AT23="不要",C129="  RF"),"",IF(AU129&lt;&gt;"",AU129,IF(DH126+DP126+DU126+DX126+DY126+DZ126=0,"",DH126+DP126+DU126+DX126+DY126+DZ126)))</f>
        <v/>
      </c>
      <c r="AT129" s="3837"/>
      <c r="AU129" s="3915"/>
      <c r="AV129" s="3915"/>
      <c r="AW129" s="3837" t="str">
        <f>IF(OR(AT23="不要",C129="  RF"),"",IF(AY129&lt;&gt;"",AY129,IF(DI126+DQ126+DV126+DV128+DY128+DZ128=0,"",DI126+DQ126+DV126+DV128+DY128+DZ128)))</f>
        <v/>
      </c>
      <c r="AX129" s="3837"/>
      <c r="AY129" s="3915"/>
      <c r="AZ129" s="3915"/>
      <c r="BA129" s="3837">
        <f>IF(OR(AT23="不要",C129="  RF"),"",IF(BC129&lt;&gt;"",BC129,IF(DJ126+DR126+DW126+DW128+DW130+DZ130=0,"",DJ126+DR126+DW126+DW128+DW130+DZ130)))</f>
        <v>1</v>
      </c>
      <c r="BB129" s="3837"/>
      <c r="BC129" s="3915"/>
      <c r="BD129" s="3915"/>
      <c r="BE129" s="3837" t="str">
        <f>IF(OR(AT23="不要",$X$11="2端子",C129="",C129="  RF"),"",IF(BG129&lt;&gt;"",BG129,IF(AND(AB130="Ａ",$X$11="1端子"),DK126,"")))</f>
        <v/>
      </c>
      <c r="BF129" s="3837"/>
      <c r="BG129" s="3837" t="str">
        <f>IF(AND(BO129&lt;&gt;"",AB130="Ａ",$X$11="1端子"),BO129,"")</f>
        <v/>
      </c>
      <c r="BH129" s="3837"/>
      <c r="BI129" s="3916" t="str">
        <f>IF(OR(AT23="不要",$X$11="1端子",C129="",C129="  RF"),"",IF(BK129&lt;&gt;"",BK129,IF(AND(AB130="Ａ",$X$11="2端子"),DK126,"")))</f>
        <v/>
      </c>
      <c r="BJ129" s="3837"/>
      <c r="BK129" s="3837" t="str">
        <f>IF(AND(BS129&lt;&gt;"",AB130="Ａ",$X$11="2端子"),BS129,"")</f>
        <v/>
      </c>
      <c r="BL129" s="3837"/>
      <c r="BM129" s="3837">
        <f>IF(OR(AT23="不要",C129="  RF",C129="",$X$11="2端子"),"",IF(BO129&lt;&gt;"",BO129,IF(AND(AB130="Ａ",$X$11="1端子"),DK126,DK124)))</f>
        <v>12</v>
      </c>
      <c r="BN129" s="3837"/>
      <c r="BO129" s="3915"/>
      <c r="BP129" s="3915"/>
      <c r="BQ129" s="3837" t="str">
        <f>IF(OR(AT23="不要",C129="  RF",C129="",$X$11="1端子"),"",IF(BS129&lt;&gt;"",BS129,IF(AND(AB130="Ａ",$X$11="2端子"),DK126,DK124)))</f>
        <v/>
      </c>
      <c r="BR129" s="3837"/>
      <c r="BS129" s="3915"/>
      <c r="BT129" s="3918"/>
      <c r="BU129" s="19"/>
      <c r="BV129" s="8"/>
      <c r="BW129" s="88">
        <f>IF(I129="直天",F129,I129)</f>
        <v>3</v>
      </c>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38"/>
      <c r="DA129" s="15"/>
      <c r="DB129" s="15"/>
      <c r="DC129" s="180" t="s">
        <v>1086</v>
      </c>
      <c r="DD129" s="2589" t="str">
        <f>IF($AL$10="nC-FB","S-7C-FB",IF($AL$10="nD-FB","8D-FB","7C-2V"))</f>
        <v>S-7C-FB</v>
      </c>
      <c r="DE129" s="2591"/>
      <c r="DF129" s="3631">
        <f>IF(OR(C129="",C129="  RF"),0,IF(AB130="Ｃ",2.5*AG129+(DB127+DC127),F129+2))</f>
        <v>6</v>
      </c>
      <c r="DG129" s="3812"/>
      <c r="DH129" s="2589" t="str">
        <f>IF(OR(H130="天井ケーブル",H130="天井-PF管"),"PF-S-22mm",IF(H130="天井-CD管","CD-22mm",IF(H130="天井-C 管","C-25mm",IF(H130="天井-G 管","G-22mm",""))))</f>
        <v>PF-S-22mm</v>
      </c>
      <c r="DI129" s="2591"/>
      <c r="DJ129" s="3631">
        <f>IF(OR(C129="",C129="  RF"),0,IF(AB130="Ｃ",F129-($AM$8-$AM$7)/1000,F129))</f>
        <v>4</v>
      </c>
      <c r="DK129" s="3812"/>
      <c r="DL129" s="778"/>
      <c r="DM129" s="112"/>
      <c r="DN129" s="190" t="s">
        <v>1085</v>
      </c>
      <c r="DO129" s="98">
        <f>IF(OR(C129="",C129="  RF"),0,(DB127+DC127)/2/SQRT(DK126))</f>
        <v>6.8033605141660898</v>
      </c>
      <c r="DP129" s="15"/>
      <c r="DQ129" s="15"/>
      <c r="DR129" s="15"/>
      <c r="DS129" s="8"/>
      <c r="DT129" s="113" t="s">
        <v>1084</v>
      </c>
      <c r="DU129" s="8"/>
      <c r="DV129" s="113"/>
      <c r="DW129" s="113" t="s">
        <v>1083</v>
      </c>
      <c r="DX129" s="8"/>
      <c r="DY129" s="8"/>
      <c r="DZ129" s="113" t="s">
        <v>1083</v>
      </c>
      <c r="EA129" s="113"/>
      <c r="EB129" s="776" t="str">
        <f>IF(OR($B$2=0,AA129=""),"","増幅器 "&amp;AA127&amp;AA128)</f>
        <v/>
      </c>
      <c r="EC129" s="15"/>
      <c r="ED129" s="122" t="str">
        <f>IF(BI129="","","直列Unit-中間2端子")</f>
        <v/>
      </c>
      <c r="EE129" s="15" t="str">
        <f>BI129</f>
        <v/>
      </c>
      <c r="EF129" s="15"/>
      <c r="EG129" s="15"/>
      <c r="EH129" s="197">
        <f t="shared" si="77"/>
        <v>4</v>
      </c>
      <c r="EI129" s="773" t="str">
        <f t="shared" si="78"/>
        <v/>
      </c>
      <c r="EJ129" s="203" t="str">
        <f>AS131</f>
        <v>S-5C-FB</v>
      </c>
      <c r="EK129" s="9"/>
      <c r="EL129" s="9" t="str">
        <f>IF(COUNTIF($EJ$18:EJ128,EJ129)&gt;0,"",EJ129)</f>
        <v/>
      </c>
      <c r="EM129" s="9"/>
      <c r="EN129" s="14">
        <f>BB131</f>
        <v>178.84032616999309</v>
      </c>
      <c r="EO129" s="771">
        <f t="shared" si="81"/>
        <v>0</v>
      </c>
      <c r="EP129" s="8"/>
      <c r="EQ129" s="15"/>
      <c r="ER129" s="197">
        <f t="shared" si="79"/>
        <v>3</v>
      </c>
      <c r="ES129" s="773" t="str">
        <f t="shared" si="80"/>
        <v/>
      </c>
      <c r="ET129" s="203" t="str">
        <f t="shared" si="82"/>
        <v/>
      </c>
      <c r="EU129" s="9"/>
      <c r="EV129" s="11" t="str">
        <f>IF(COUNTIF($ET$18:ET128,ET129)&gt;0,"",ET129)</f>
        <v/>
      </c>
      <c r="EW129" s="9"/>
      <c r="EX129" s="124" t="str">
        <f>AA129</f>
        <v/>
      </c>
      <c r="EY129" s="771">
        <f t="shared" si="83"/>
        <v>0</v>
      </c>
      <c r="EZ129" s="8"/>
      <c r="FA129" s="15"/>
      <c r="FB129" s="197">
        <f t="shared" si="70"/>
        <v>10</v>
      </c>
      <c r="FC129" s="773" t="str">
        <f t="shared" si="71"/>
        <v/>
      </c>
      <c r="FD129" s="772" t="str">
        <f t="shared" si="84"/>
        <v/>
      </c>
      <c r="FE129" s="9"/>
      <c r="FF129" s="11" t="str">
        <f>IF(COUNTIF($FD$15:FD128,FD129)&gt;0,"",FD129)</f>
        <v/>
      </c>
      <c r="FG129" s="9"/>
      <c r="FH129" s="124" t="str">
        <f>BI129</f>
        <v/>
      </c>
      <c r="FI129" s="771">
        <f t="shared" si="85"/>
        <v>0</v>
      </c>
    </row>
    <row r="130" spans="1:165" ht="12" customHeight="1">
      <c r="A130" s="8"/>
      <c r="B130" s="23"/>
      <c r="C130" s="2634" t="s">
        <v>135</v>
      </c>
      <c r="D130" s="2634"/>
      <c r="E130" s="2634"/>
      <c r="F130" s="2634"/>
      <c r="G130" s="2634"/>
      <c r="H130" s="3904" t="str">
        <f>IF($B$2=0,"",IF(P130="","天井ケーブル",P130))</f>
        <v>天井ケーブル</v>
      </c>
      <c r="I130" s="3904"/>
      <c r="J130" s="3904"/>
      <c r="K130" s="3904"/>
      <c r="L130" s="3904"/>
      <c r="M130" s="3904"/>
      <c r="N130" s="3904"/>
      <c r="O130" s="173" t="s">
        <v>34</v>
      </c>
      <c r="P130" s="3796"/>
      <c r="Q130" s="3797"/>
      <c r="R130" s="3797"/>
      <c r="S130" s="3797"/>
      <c r="T130" s="3797"/>
      <c r="U130" s="3797"/>
      <c r="V130" s="3798"/>
      <c r="W130" s="2634" t="s">
        <v>1082</v>
      </c>
      <c r="X130" s="2634"/>
      <c r="Y130" s="2634"/>
      <c r="Z130" s="2634"/>
      <c r="AA130" s="2634"/>
      <c r="AB130" s="3799" t="str">
        <f>IF(AT23="不要","",IF(AF130&lt;&gt;"",AF130,DB124))</f>
        <v>Ｂ</v>
      </c>
      <c r="AC130" s="3799"/>
      <c r="AD130" s="3799"/>
      <c r="AE130" s="173" t="s">
        <v>34</v>
      </c>
      <c r="AF130" s="3800"/>
      <c r="AG130" s="3801"/>
      <c r="AH130" s="3802"/>
      <c r="AI130" s="2634" t="s">
        <v>20</v>
      </c>
      <c r="AJ130" s="2634"/>
      <c r="AK130" s="2634"/>
      <c r="AL130" s="2634"/>
      <c r="AM130" s="2634"/>
      <c r="AN130" s="3522">
        <f>IF(OR(C129="",C129="  RF"),"",非誘!J88)</f>
        <v>0.5</v>
      </c>
      <c r="AO130" s="3523"/>
      <c r="AP130" s="3523"/>
      <c r="AQ130" s="3524"/>
      <c r="AR130" s="3507" t="s">
        <v>1081</v>
      </c>
      <c r="AS130" s="3461"/>
      <c r="AT130" s="3461"/>
      <c r="AU130" s="3461"/>
      <c r="AV130" s="3461"/>
      <c r="AW130" s="3461"/>
      <c r="AX130" s="3461"/>
      <c r="AY130" s="3461"/>
      <c r="AZ130" s="3563" t="str">
        <f>IF(OR(C129="",C129="  RF"),"",IF(BC130="",$AN$11,BC130))</f>
        <v>⑦</v>
      </c>
      <c r="BA130" s="3563"/>
      <c r="BB130" s="777" t="s">
        <v>34</v>
      </c>
      <c r="BC130" s="3521"/>
      <c r="BD130" s="3521"/>
      <c r="BE130" s="3564"/>
      <c r="BF130" s="3565"/>
      <c r="BG130" s="3565"/>
      <c r="BH130" s="3565"/>
      <c r="BI130" s="3565"/>
      <c r="BJ130" s="3565"/>
      <c r="BK130" s="3565"/>
      <c r="BL130" s="3565"/>
      <c r="BM130" s="3565"/>
      <c r="BN130" s="3565"/>
      <c r="BO130" s="3565"/>
      <c r="BP130" s="3565"/>
      <c r="BQ130" s="3565"/>
      <c r="BR130" s="3565"/>
      <c r="BS130" s="3565"/>
      <c r="BT130" s="3566"/>
      <c r="BU130" s="19"/>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38"/>
      <c r="DA130" s="15"/>
      <c r="DB130" s="8"/>
      <c r="DC130" s="180" t="s">
        <v>1182</v>
      </c>
      <c r="DD130" s="2589" t="str">
        <f>IF($AL$10="nC-FB","S-5C-FB",IF($AL$10="nD-FB","5D-FB","5C-2V"))</f>
        <v>S-5C-FB</v>
      </c>
      <c r="DE130" s="2591"/>
      <c r="DF130" s="3631">
        <f>IF(AB130="Ａ",(DK126+2*BW129-($X$7+$X$9)/1000)*DO129+(12+2*BW129-2*$X$9/1000)*DK126+DO130,IF(AB130="Ｂ",(DO129+2*BW129-$X$9/1000)*DK124+DO130,0))</f>
        <v>178.84032616999309</v>
      </c>
      <c r="DG130" s="3812"/>
      <c r="DH130" s="2589" t="str">
        <f>IF(OR(H130="天井ケーブル",H130="天井-PF管"),"PF-S-16mm",IF(H130="天井-CD管","CD-16mm",IF(H130="天井-C 管","C-19mm",IF(H130="天井-G 管","G-16mm",""))))</f>
        <v>PF-S-16mm</v>
      </c>
      <c r="DI130" s="2591"/>
      <c r="DJ130" s="3631">
        <f>IF(OR(C129="",C129="  RF"),0,IF(H130="天井ケーブル",DK124*(BW129-($X$9-$AM$9)/1000),(DO129+2*BW129-$X$9/1000)*DK124+DO130))</f>
        <v>37.799999999999997</v>
      </c>
      <c r="DK130" s="3812"/>
      <c r="DL130" s="15"/>
      <c r="DM130" s="46"/>
      <c r="DN130" s="46" t="s">
        <v>1181</v>
      </c>
      <c r="DO130" s="98">
        <f>DB128</f>
        <v>27</v>
      </c>
      <c r="DP130" s="15"/>
      <c r="DQ130" s="15"/>
      <c r="DR130" s="15"/>
      <c r="DS130" s="128" t="s">
        <v>1118</v>
      </c>
      <c r="DT130" s="86">
        <f>IF(AB130&lt;&gt;"Ｃ",0,IF(DZ130=0,0,DZ130))</f>
        <v>0</v>
      </c>
      <c r="DU130" s="8"/>
      <c r="DV130" s="8"/>
      <c r="DW130" s="86">
        <f>IF(AB130&lt;&gt;"Ｃ",0,IF(DZ130=0,0,1))</f>
        <v>0</v>
      </c>
      <c r="DX130" s="8"/>
      <c r="DY130" s="8"/>
      <c r="DZ130" s="86">
        <f>IF(AB130&lt;&gt;"Ｃ",0,IF(AND(DB123&gt;120,DB123&lt;=144),4,IF(AND(DB123&gt;144,DB123&lt;=180),5,0)))</f>
        <v>0</v>
      </c>
      <c r="EA130" s="38"/>
      <c r="EB130" s="776" t="str">
        <f>IF(OR($B$2=0,AD129=""),"","増幅器 "&amp;AD127&amp;AD128)</f>
        <v>増幅器 35/110</v>
      </c>
      <c r="EC130" s="38"/>
      <c r="ED130" s="122" t="str">
        <f>IF(BM129="","","直列Unit-終端1端子")</f>
        <v>直列Unit-終端1端子</v>
      </c>
      <c r="EE130" s="38">
        <f>BM129</f>
        <v>12</v>
      </c>
      <c r="EF130" s="38"/>
      <c r="EG130" s="38"/>
      <c r="EH130" s="197">
        <f t="shared" si="77"/>
        <v>4</v>
      </c>
      <c r="EI130" s="773" t="str">
        <f t="shared" si="78"/>
        <v/>
      </c>
      <c r="EJ130" s="203" t="str">
        <f>AS132</f>
        <v/>
      </c>
      <c r="EK130" s="9"/>
      <c r="EL130" s="9" t="str">
        <f>IF(COUNTIF($EJ$18:EJ129,EJ130)&gt;0,"",EJ130)</f>
        <v/>
      </c>
      <c r="EM130" s="9"/>
      <c r="EN130" s="14" t="str">
        <f>BB132</f>
        <v/>
      </c>
      <c r="EO130" s="771">
        <f t="shared" si="81"/>
        <v>0</v>
      </c>
      <c r="EP130" s="8"/>
      <c r="EQ130" s="38"/>
      <c r="ER130" s="197">
        <f t="shared" si="79"/>
        <v>3</v>
      </c>
      <c r="ES130" s="773" t="str">
        <f t="shared" si="80"/>
        <v/>
      </c>
      <c r="ET130" s="203" t="str">
        <f t="shared" si="82"/>
        <v>増幅器 35/110</v>
      </c>
      <c r="EU130" s="9"/>
      <c r="EV130" s="11" t="str">
        <f>IF(COUNTIF($ET$18:ET129,ET130)&gt;0,"",ET130)</f>
        <v/>
      </c>
      <c r="EW130" s="9"/>
      <c r="EX130" s="124">
        <f>AD129</f>
        <v>1</v>
      </c>
      <c r="EY130" s="771">
        <f t="shared" si="83"/>
        <v>0</v>
      </c>
      <c r="EZ130" s="8"/>
      <c r="FA130" s="38"/>
      <c r="FB130" s="197">
        <f t="shared" si="70"/>
        <v>10</v>
      </c>
      <c r="FC130" s="773" t="str">
        <f t="shared" si="71"/>
        <v/>
      </c>
      <c r="FD130" s="772" t="str">
        <f t="shared" si="84"/>
        <v>直列Unit-終端1端子</v>
      </c>
      <c r="FE130" s="9"/>
      <c r="FF130" s="11" t="str">
        <f>IF(COUNTIF($FD$15:FD129,FD130)&gt;0,"",FD130)</f>
        <v/>
      </c>
      <c r="FG130" s="9"/>
      <c r="FH130" s="124">
        <f>BM129</f>
        <v>12</v>
      </c>
      <c r="FI130" s="771">
        <f t="shared" si="85"/>
        <v>0</v>
      </c>
    </row>
    <row r="131" spans="1:165" ht="12" customHeight="1">
      <c r="A131" s="8"/>
      <c r="B131" s="23"/>
      <c r="C131" s="3905" t="s">
        <v>449</v>
      </c>
      <c r="D131" s="3905"/>
      <c r="E131" s="3905"/>
      <c r="F131" s="3904" t="str">
        <f>IF($H$15="ＣＡＴＶ","CATV引込","アンテナ部")</f>
        <v>アンテナ部</v>
      </c>
      <c r="G131" s="3904"/>
      <c r="H131" s="3904"/>
      <c r="I131" s="3904"/>
      <c r="J131" s="3904"/>
      <c r="K131" s="3908" t="str">
        <f>IF(OR(AT23="不要",$B$2=0,C129&lt;&gt;$X$10),"",IF(P131&lt;&gt;"",P131,DD128))</f>
        <v/>
      </c>
      <c r="L131" s="3908"/>
      <c r="M131" s="3908"/>
      <c r="N131" s="3908"/>
      <c r="O131" s="173" t="s">
        <v>34</v>
      </c>
      <c r="P131" s="3517"/>
      <c r="Q131" s="3517"/>
      <c r="R131" s="3517"/>
      <c r="S131" s="3517"/>
      <c r="T131" s="3526" t="str">
        <f>IF(AND(C129&lt;&gt;"",K131&lt;&gt;""),DF128,"")</f>
        <v/>
      </c>
      <c r="U131" s="3526"/>
      <c r="V131" s="3526"/>
      <c r="W131" s="3526"/>
      <c r="X131" s="3908" t="str">
        <f>IF(OR($B$2=0,K131=""),"",IF(AD131&lt;&gt;"",AD131,DH128))</f>
        <v/>
      </c>
      <c r="Y131" s="3908"/>
      <c r="Z131" s="3908"/>
      <c r="AA131" s="3908"/>
      <c r="AB131" s="3908"/>
      <c r="AC131" s="173" t="s">
        <v>34</v>
      </c>
      <c r="AD131" s="3525"/>
      <c r="AE131" s="3525"/>
      <c r="AF131" s="3525"/>
      <c r="AG131" s="3525"/>
      <c r="AH131" s="3525"/>
      <c r="AI131" s="3526" t="str">
        <f>IF(X131="","",IF(DJ128="","",DJ128))</f>
        <v/>
      </c>
      <c r="AJ131" s="3526"/>
      <c r="AK131" s="3526"/>
      <c r="AL131" s="3526"/>
      <c r="AM131" s="3904" t="s">
        <v>1077</v>
      </c>
      <c r="AN131" s="3904"/>
      <c r="AO131" s="3904"/>
      <c r="AP131" s="3904"/>
      <c r="AQ131" s="3904"/>
      <c r="AR131" s="3904"/>
      <c r="AS131" s="3908" t="str">
        <f>IF(OR(AT23="不要",$B$2=0,C129="",C129="  RF",AB130="Ｃ"),"",IF(AX131&lt;&gt;"",AX131,DD130))</f>
        <v>S-5C-FB</v>
      </c>
      <c r="AT131" s="3908"/>
      <c r="AU131" s="3908"/>
      <c r="AV131" s="3908"/>
      <c r="AW131" s="173" t="s">
        <v>34</v>
      </c>
      <c r="AX131" s="3517"/>
      <c r="AY131" s="3517"/>
      <c r="AZ131" s="3517"/>
      <c r="BA131" s="3517"/>
      <c r="BB131" s="3537">
        <f>IF(AS131&lt;&gt;"",DF130,"")</f>
        <v>178.84032616999309</v>
      </c>
      <c r="BC131" s="3537"/>
      <c r="BD131" s="3537"/>
      <c r="BE131" s="3537"/>
      <c r="BF131" s="3908" t="str">
        <f>IF(OR(C129="",AS131=""),"",IF(AB130="Ａ",DH129,DH130))</f>
        <v>PF-S-16mm</v>
      </c>
      <c r="BG131" s="3908"/>
      <c r="BH131" s="3908"/>
      <c r="BI131" s="3908"/>
      <c r="BJ131" s="3908"/>
      <c r="BK131" s="173" t="s">
        <v>34</v>
      </c>
      <c r="BL131" s="3525"/>
      <c r="BM131" s="3525"/>
      <c r="BN131" s="3525"/>
      <c r="BO131" s="3525"/>
      <c r="BP131" s="3525"/>
      <c r="BQ131" s="3526">
        <f>IF(BF131="","",DJ130)</f>
        <v>37.799999999999997</v>
      </c>
      <c r="BR131" s="3526"/>
      <c r="BS131" s="3526"/>
      <c r="BT131" s="3527"/>
      <c r="BU131" s="19"/>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774" t="s">
        <v>1180</v>
      </c>
      <c r="DD131" s="2589" t="str">
        <f>DD130</f>
        <v>S-5C-FB</v>
      </c>
      <c r="DE131" s="2591"/>
      <c r="DF131" s="3631">
        <f>IF(OR(C129="",C129="  RF",I129="直天"),0,1+INT(12+BW129-($X$9-$AM$9)/1000)*DK124+DO131)</f>
        <v>235</v>
      </c>
      <c r="DG131" s="3812"/>
      <c r="DH131" s="2589" t="str">
        <f>DH130</f>
        <v>PF-S-16mm</v>
      </c>
      <c r="DI131" s="2591"/>
      <c r="DJ131" s="3631">
        <f>IF(OR(C129="",C129="  RF"),0,IF(H130="天井ケーブル",DK124*(BW129-($X$9-2*$AM$9)/1000),1+INT(12+BW129-$X$9/1000)*DK124))</f>
        <v>41.400000000000006</v>
      </c>
      <c r="DK131" s="3812"/>
      <c r="DL131" s="15"/>
      <c r="DM131" s="15"/>
      <c r="DN131" s="46" t="s">
        <v>1075</v>
      </c>
      <c r="DO131" s="97">
        <f>IF(C129="",0,IF($AW$8=0,0,2*($AW$8/1000-0.15-0.1)*(INT(1000*DB127/$AW$10)+1)*(INT(1000*DC127/$AW$10)+1)*4))</f>
        <v>53.999999999999993</v>
      </c>
      <c r="DP131" s="15"/>
      <c r="DQ131" s="15"/>
      <c r="DR131" s="15"/>
      <c r="DS131" s="8"/>
      <c r="DT131" s="8"/>
      <c r="DU131" s="8"/>
      <c r="DV131" s="8"/>
      <c r="DW131" s="8"/>
      <c r="DX131" s="8"/>
      <c r="DY131" s="8"/>
      <c r="DZ131" s="8"/>
      <c r="EA131" s="8"/>
      <c r="EB131" s="769" t="str">
        <f>IF(OR($B$2=0,AG129=""),"","分岐器 1C")</f>
        <v/>
      </c>
      <c r="EC131" s="8"/>
      <c r="ED131" s="122" t="str">
        <f>IF(BQ129="","","直列Unit-終端2端子")</f>
        <v/>
      </c>
      <c r="EE131" s="8" t="str">
        <f>BQ129</f>
        <v/>
      </c>
      <c r="EF131" s="8"/>
      <c r="EG131" s="8"/>
      <c r="EH131" s="197">
        <f t="shared" si="77"/>
        <v>4</v>
      </c>
      <c r="EI131" s="773" t="str">
        <f t="shared" si="78"/>
        <v/>
      </c>
      <c r="EJ131" s="203" t="str">
        <f>BF131</f>
        <v>PF-S-16mm</v>
      </c>
      <c r="EK131" s="9"/>
      <c r="EL131" s="9" t="str">
        <f>IF(COUNTIF($EJ$18:EJ130,EJ131)&gt;0,"",EJ131)</f>
        <v/>
      </c>
      <c r="EM131" s="9"/>
      <c r="EN131" s="14">
        <f>BQ131</f>
        <v>37.799999999999997</v>
      </c>
      <c r="EO131" s="771">
        <f t="shared" si="81"/>
        <v>0</v>
      </c>
      <c r="EP131" s="8"/>
      <c r="EQ131" s="8"/>
      <c r="ER131" s="197">
        <f t="shared" si="79"/>
        <v>3</v>
      </c>
      <c r="ES131" s="773" t="str">
        <f t="shared" si="80"/>
        <v/>
      </c>
      <c r="ET131" s="203" t="str">
        <f t="shared" si="82"/>
        <v/>
      </c>
      <c r="EU131" s="9"/>
      <c r="EV131" s="11" t="str">
        <f>IF(COUNTIF($ET$18:ET130,ET131)&gt;0,"",ET131)</f>
        <v/>
      </c>
      <c r="EW131" s="9"/>
      <c r="EX131" s="124" t="str">
        <f>AG129</f>
        <v/>
      </c>
      <c r="EY131" s="771">
        <f t="shared" si="83"/>
        <v>0</v>
      </c>
      <c r="EZ131" s="8"/>
      <c r="FA131" s="8"/>
      <c r="FB131" s="197">
        <f t="shared" si="70"/>
        <v>10</v>
      </c>
      <c r="FC131" s="773" t="str">
        <f t="shared" si="71"/>
        <v/>
      </c>
      <c r="FD131" s="772" t="str">
        <f t="shared" si="84"/>
        <v/>
      </c>
      <c r="FE131" s="9"/>
      <c r="FF131" s="11" t="str">
        <f>IF(COUNTIF($FD$15:FD130,FD131)&gt;0,"",FD131)</f>
        <v/>
      </c>
      <c r="FG131" s="9"/>
      <c r="FH131" s="124" t="str">
        <f>BQ129</f>
        <v/>
      </c>
      <c r="FI131" s="771">
        <f t="shared" si="85"/>
        <v>0</v>
      </c>
    </row>
    <row r="132" spans="1:165" ht="12" customHeight="1" thickBot="1">
      <c r="A132" s="8"/>
      <c r="B132" s="23"/>
      <c r="C132" s="3922"/>
      <c r="D132" s="3922"/>
      <c r="E132" s="3922"/>
      <c r="F132" s="3920" t="s">
        <v>1074</v>
      </c>
      <c r="G132" s="3920"/>
      <c r="H132" s="3920"/>
      <c r="I132" s="3920"/>
      <c r="J132" s="3920"/>
      <c r="K132" s="3506" t="str">
        <f>IF(OR(C129="",C129="  RF",$B$2=0),"",IF(P132&lt;&gt;"",P132,DD129))</f>
        <v>S-7C-FB</v>
      </c>
      <c r="L132" s="3506"/>
      <c r="M132" s="3506"/>
      <c r="N132" s="3506"/>
      <c r="O132" s="800" t="s">
        <v>34</v>
      </c>
      <c r="P132" s="3536"/>
      <c r="Q132" s="3536"/>
      <c r="R132" s="3536"/>
      <c r="S132" s="3536"/>
      <c r="T132" s="3538">
        <f>IF(R126="不",F129,IF(K132="","",DF129))</f>
        <v>6</v>
      </c>
      <c r="U132" s="3538"/>
      <c r="V132" s="3538"/>
      <c r="W132" s="3538"/>
      <c r="X132" s="3506" t="str">
        <f>IF(R126="不","",IF(OR(C129="",K132=""),"",IF(AD132&lt;&gt;"",AD132,IF(DH129="","",DH129))))</f>
        <v>PF-S-22mm</v>
      </c>
      <c r="Y132" s="3506"/>
      <c r="Z132" s="3506"/>
      <c r="AA132" s="3506"/>
      <c r="AB132" s="3506"/>
      <c r="AC132" s="800" t="s">
        <v>34</v>
      </c>
      <c r="AD132" s="3533"/>
      <c r="AE132" s="3533"/>
      <c r="AF132" s="3533"/>
      <c r="AG132" s="3533"/>
      <c r="AH132" s="3533"/>
      <c r="AI132" s="3538">
        <f>IF(X132="","",DJ129)</f>
        <v>4</v>
      </c>
      <c r="AJ132" s="3538"/>
      <c r="AK132" s="3538"/>
      <c r="AL132" s="3538"/>
      <c r="AM132" s="3920" t="s">
        <v>1073</v>
      </c>
      <c r="AN132" s="3920"/>
      <c r="AO132" s="3920"/>
      <c r="AP132" s="3920"/>
      <c r="AQ132" s="3920"/>
      <c r="AR132" s="3920"/>
      <c r="AS132" s="3506" t="str">
        <f>IF(OR(AT23="不要",$B$2=0,C129="",AB130&lt;&gt;"Ｃ"),"",IF(AX132&lt;&gt;"",AX132,DD131))</f>
        <v/>
      </c>
      <c r="AT132" s="3506"/>
      <c r="AU132" s="3506"/>
      <c r="AV132" s="3506"/>
      <c r="AW132" s="800" t="s">
        <v>34</v>
      </c>
      <c r="AX132" s="3536"/>
      <c r="AY132" s="3536"/>
      <c r="AZ132" s="3536"/>
      <c r="BA132" s="3536"/>
      <c r="BB132" s="3921" t="str">
        <f>IF(AS132="","",DF131)</f>
        <v/>
      </c>
      <c r="BC132" s="3921"/>
      <c r="BD132" s="3921"/>
      <c r="BE132" s="3921"/>
      <c r="BF132" s="3506" t="str">
        <f>IF(OR(C129="",AS132=""),"",IF(BL132&lt;&gt;"",BL132,DH131))</f>
        <v/>
      </c>
      <c r="BG132" s="3506"/>
      <c r="BH132" s="3506"/>
      <c r="BI132" s="3506"/>
      <c r="BJ132" s="3506"/>
      <c r="BK132" s="800" t="s">
        <v>34</v>
      </c>
      <c r="BL132" s="3533"/>
      <c r="BM132" s="3533"/>
      <c r="BN132" s="3533"/>
      <c r="BO132" s="3533"/>
      <c r="BP132" s="3533"/>
      <c r="BQ132" s="3538" t="str">
        <f>IF(BF132="","",DJ131)</f>
        <v/>
      </c>
      <c r="BR132" s="3538"/>
      <c r="BS132" s="3538"/>
      <c r="BT132" s="3539"/>
      <c r="BU132" s="19"/>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8">
        <f>IF(AND(AB139="Ａ",$X$11="2端子"),BI138+BQ138,IF(AND(AB139="Ａ",$X$11="1端子"),BE138+BM138,IF(AND(AB139="Ｂ",$X$11="1端子"),BM138,IF(AND(AB139="Ｂ",$X$11="2端子"),BQ138,IF(AND(AB139="Ｃ",$X$11="1端子"),BM138,BQ138)))))</f>
        <v>12</v>
      </c>
      <c r="DC132" s="10"/>
      <c r="DD132" s="8"/>
      <c r="DE132" s="8"/>
      <c r="DF132" s="8"/>
      <c r="DG132" s="8"/>
      <c r="DH132" s="8"/>
      <c r="DI132" s="8"/>
      <c r="DJ132" s="8"/>
      <c r="DK132" s="8"/>
      <c r="DL132" s="8"/>
      <c r="DM132" s="8"/>
      <c r="DN132" s="8"/>
      <c r="DO132" s="8"/>
      <c r="DP132" s="15"/>
      <c r="DQ132" s="15"/>
      <c r="DR132" s="15"/>
      <c r="DS132" s="8"/>
      <c r="DT132" s="8"/>
      <c r="DU132" s="8"/>
      <c r="DV132" s="8"/>
      <c r="DW132" s="8"/>
      <c r="DX132" s="8"/>
      <c r="DY132" s="8"/>
      <c r="DZ132" s="8"/>
      <c r="EA132" s="8"/>
      <c r="EB132" s="769" t="str">
        <f>IF(OR($B$2=0,AK129=""),"","分岐器 2C")</f>
        <v>分岐器 2C</v>
      </c>
      <c r="EC132" s="8"/>
      <c r="ED132" s="10"/>
      <c r="EE132" s="8"/>
      <c r="EF132" s="8"/>
      <c r="EG132" s="8"/>
      <c r="EH132" s="197">
        <f t="shared" si="77"/>
        <v>4</v>
      </c>
      <c r="EI132" s="773" t="str">
        <f t="shared" si="78"/>
        <v/>
      </c>
      <c r="EJ132" s="203" t="str">
        <f>BF132</f>
        <v/>
      </c>
      <c r="EK132" s="9"/>
      <c r="EL132" s="9" t="str">
        <f>IF(COUNTIF($EJ$18:EJ131,EJ132)&gt;0,"",EJ132)</f>
        <v/>
      </c>
      <c r="EM132" s="9"/>
      <c r="EN132" s="14" t="str">
        <f>BQ132</f>
        <v/>
      </c>
      <c r="EO132" s="771">
        <f t="shared" si="81"/>
        <v>0</v>
      </c>
      <c r="EP132" s="8"/>
      <c r="EQ132" s="8"/>
      <c r="ER132" s="197">
        <f t="shared" si="79"/>
        <v>3</v>
      </c>
      <c r="ES132" s="773" t="str">
        <f t="shared" si="80"/>
        <v/>
      </c>
      <c r="ET132" s="203" t="str">
        <f t="shared" si="82"/>
        <v>分岐器 2C</v>
      </c>
      <c r="EU132" s="9"/>
      <c r="EV132" s="11" t="str">
        <f>IF(COUNTIF($ET$18:ET131,ET132)&gt;0,"",ET132)</f>
        <v/>
      </c>
      <c r="EW132" s="9"/>
      <c r="EX132" s="124">
        <f>AK129</f>
        <v>1</v>
      </c>
      <c r="EY132" s="771">
        <f t="shared" si="83"/>
        <v>0</v>
      </c>
      <c r="EZ132" s="8"/>
      <c r="FA132" s="8"/>
      <c r="FB132" s="197">
        <f t="shared" si="70"/>
        <v>10</v>
      </c>
      <c r="FC132" s="773" t="str">
        <f t="shared" si="71"/>
        <v/>
      </c>
      <c r="FD132" s="772"/>
      <c r="FE132" s="9"/>
      <c r="FF132" s="11"/>
      <c r="FG132" s="9"/>
      <c r="FH132" s="124"/>
      <c r="FI132" s="771"/>
    </row>
    <row r="133" spans="1:165" ht="12" customHeight="1" thickBot="1">
      <c r="B133" s="23"/>
      <c r="C133" s="20"/>
      <c r="D133" s="20"/>
      <c r="E133" s="20"/>
      <c r="F133" s="20"/>
      <c r="G133" s="20"/>
      <c r="H133" s="20"/>
      <c r="I133" s="20"/>
      <c r="J133" s="20"/>
      <c r="K133" s="20"/>
      <c r="L133" s="20"/>
      <c r="M133" s="20"/>
      <c r="N133" s="20"/>
      <c r="O133" s="20"/>
      <c r="P133" s="20"/>
      <c r="Q133" s="787" t="str">
        <f>IF(AND(OR(AB139="Ａ",F256="Ａ"),DB132&gt;24),"直列ユニット数………配線方式Ａ：24以下!!",IF(AND(OR(AB139="Ｂ",F256="Ｂ"),DB132&gt;12),"直列ユニット数………配線方式Ｂ：12以下!!",IF(AND(OR(AB139="Ｃ",F256="Ｃ"),DB132&gt;180),"直列ユニット数………配線方式Ｃ：180以下!!","")))</f>
        <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19"/>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v>13</v>
      </c>
      <c r="DB133" s="92" t="str">
        <f>IF(OR(V104="不要",C138="",C138="  RF"),"",IF(DK133&lt;=12,"Ｂ",IF(DK133&lt;=24,"Ａ","Ｃ")))</f>
        <v>Ｂ</v>
      </c>
      <c r="DC133" s="10"/>
      <c r="DD133" s="8"/>
      <c r="DE133" s="8"/>
      <c r="DF133" s="8"/>
      <c r="DG133" s="8"/>
      <c r="DH133" s="8"/>
      <c r="DI133" s="8"/>
      <c r="DJ133" s="8"/>
      <c r="DK133" s="159">
        <f>IF(OR(C138="",C138="  RF"),0,SUM(Q138:V138))</f>
        <v>12</v>
      </c>
      <c r="DL133" s="8"/>
      <c r="DM133" s="8"/>
      <c r="DN133" s="8"/>
      <c r="DO133" s="8"/>
      <c r="DP133" s="8"/>
      <c r="DQ133" s="8"/>
      <c r="DR133" s="8"/>
      <c r="DS133" s="8"/>
      <c r="DT133" s="8"/>
      <c r="DU133" s="8"/>
      <c r="DV133" s="8"/>
      <c r="DW133" s="8"/>
      <c r="DX133" s="8"/>
      <c r="DY133" s="8"/>
      <c r="DZ133" s="8"/>
      <c r="EA133" s="8"/>
      <c r="EB133" s="8"/>
      <c r="EC133" s="8"/>
      <c r="ED133" s="8"/>
      <c r="EE133" s="8"/>
      <c r="EF133" s="8"/>
      <c r="EG133" s="88">
        <v>13</v>
      </c>
      <c r="EH133" s="204">
        <f t="shared" si="77"/>
        <v>4</v>
      </c>
      <c r="EI133" s="768" t="str">
        <f t="shared" si="78"/>
        <v/>
      </c>
      <c r="EJ133" s="45"/>
      <c r="EK133" s="45"/>
      <c r="EL133" s="45"/>
      <c r="EM133" s="45"/>
      <c r="EN133" s="45"/>
      <c r="EO133" s="785"/>
      <c r="EP133" s="8"/>
      <c r="EQ133" s="88">
        <v>13</v>
      </c>
      <c r="ER133" s="204">
        <f t="shared" si="79"/>
        <v>3</v>
      </c>
      <c r="ES133" s="768" t="str">
        <f t="shared" si="80"/>
        <v/>
      </c>
      <c r="ET133" s="45"/>
      <c r="EU133" s="45"/>
      <c r="EV133" s="154"/>
      <c r="EW133" s="45"/>
      <c r="EX133" s="45"/>
      <c r="EY133" s="785"/>
      <c r="EZ133" s="8"/>
      <c r="FA133" s="88">
        <v>13</v>
      </c>
      <c r="FB133" s="204">
        <f t="shared" si="70"/>
        <v>10</v>
      </c>
      <c r="FC133" s="768" t="str">
        <f t="shared" si="71"/>
        <v/>
      </c>
      <c r="FD133" s="786"/>
      <c r="FE133" s="45"/>
      <c r="FF133" s="154"/>
      <c r="FG133" s="45"/>
      <c r="FH133" s="208"/>
      <c r="FI133" s="785"/>
    </row>
    <row r="134" spans="1:165" ht="11.25" customHeight="1" thickBot="1">
      <c r="B134" s="23"/>
      <c r="C134" s="3399" t="s">
        <v>1142</v>
      </c>
      <c r="D134" s="3412"/>
      <c r="E134" s="3412"/>
      <c r="F134" s="3412"/>
      <c r="G134" s="3412"/>
      <c r="H134" s="3412"/>
      <c r="I134" s="3412"/>
      <c r="J134" s="3412"/>
      <c r="K134" s="3412"/>
      <c r="L134" s="3413"/>
      <c r="M134" s="3853" t="str">
        <f>非誘!J93</f>
        <v>( 4 )</v>
      </c>
      <c r="N134" s="3854"/>
      <c r="O134" s="3854"/>
      <c r="P134" s="3854"/>
      <c r="Q134" s="3855"/>
      <c r="R134" s="2299" t="str">
        <f>IF($B$2=0,"","共聴機器")</f>
        <v>共聴機器</v>
      </c>
      <c r="S134" s="2299"/>
      <c r="T134" s="2299"/>
      <c r="U134" s="2299"/>
      <c r="V134" s="2299"/>
      <c r="W134" s="3412" t="s">
        <v>1141</v>
      </c>
      <c r="X134" s="3412"/>
      <c r="Y134" s="3412"/>
      <c r="Z134" s="3413"/>
      <c r="AA134" s="2637" t="s">
        <v>1140</v>
      </c>
      <c r="AB134" s="2638"/>
      <c r="AC134" s="2638"/>
      <c r="AD134" s="2638"/>
      <c r="AE134" s="2638"/>
      <c r="AF134" s="2639"/>
      <c r="AG134" s="3879" t="s">
        <v>1139</v>
      </c>
      <c r="AH134" s="3879"/>
      <c r="AI134" s="3879"/>
      <c r="AJ134" s="3879"/>
      <c r="AK134" s="3879"/>
      <c r="AL134" s="3879"/>
      <c r="AM134" s="3879"/>
      <c r="AN134" s="3879"/>
      <c r="AO134" s="3879"/>
      <c r="AP134" s="3879"/>
      <c r="AQ134" s="3879"/>
      <c r="AR134" s="3879"/>
      <c r="AS134" s="2637" t="s">
        <v>1138</v>
      </c>
      <c r="AT134" s="2638"/>
      <c r="AU134" s="2638"/>
      <c r="AV134" s="2638"/>
      <c r="AW134" s="2638"/>
      <c r="AX134" s="2638"/>
      <c r="AY134" s="2638"/>
      <c r="AZ134" s="2638"/>
      <c r="BA134" s="2638"/>
      <c r="BB134" s="2638"/>
      <c r="BC134" s="2638"/>
      <c r="BD134" s="2639"/>
      <c r="BE134" s="2637" t="s">
        <v>1137</v>
      </c>
      <c r="BF134" s="2638"/>
      <c r="BG134" s="2638"/>
      <c r="BH134" s="2638"/>
      <c r="BI134" s="2638"/>
      <c r="BJ134" s="2638"/>
      <c r="BK134" s="2638"/>
      <c r="BL134" s="2638"/>
      <c r="BM134" s="2638"/>
      <c r="BN134" s="2638"/>
      <c r="BO134" s="2638"/>
      <c r="BP134" s="2638"/>
      <c r="BQ134" s="2638"/>
      <c r="BR134" s="2638"/>
      <c r="BS134" s="2638"/>
      <c r="BT134" s="2639"/>
      <c r="BU134" s="19"/>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15"/>
      <c r="DA134" s="784"/>
      <c r="DB134" s="97">
        <f>IF(C138="","",DB125+1)</f>
        <v>13</v>
      </c>
      <c r="DC134" s="15" t="str">
        <f>IF($X$10=C138,"＝",IF(VLOOKUP(C138,[2]!階高,3,FALSE)-VLOOKUP($X$10,[2]!階高,3,FALSE)&gt;0,"＋","－"))</f>
        <v>－</v>
      </c>
      <c r="DD134" s="38"/>
      <c r="DE134" s="113" t="s">
        <v>1051</v>
      </c>
      <c r="DF134" s="113" t="s">
        <v>1050</v>
      </c>
      <c r="DG134" s="113" t="s">
        <v>1049</v>
      </c>
      <c r="DH134" s="113" t="s">
        <v>1048</v>
      </c>
      <c r="DI134" s="113" t="s">
        <v>1047</v>
      </c>
      <c r="DJ134" s="113" t="s">
        <v>1046</v>
      </c>
      <c r="DK134" s="90" t="s">
        <v>1136</v>
      </c>
      <c r="DL134" s="38"/>
      <c r="DM134" s="113" t="s">
        <v>1051</v>
      </c>
      <c r="DN134" s="113" t="s">
        <v>1050</v>
      </c>
      <c r="DO134" s="113" t="s">
        <v>1049</v>
      </c>
      <c r="DP134" s="113" t="s">
        <v>1048</v>
      </c>
      <c r="DQ134" s="113" t="s">
        <v>1047</v>
      </c>
      <c r="DR134" s="113" t="s">
        <v>1046</v>
      </c>
      <c r="DS134" s="38"/>
      <c r="DT134" s="113" t="s">
        <v>1051</v>
      </c>
      <c r="DU134" s="113" t="s">
        <v>1048</v>
      </c>
      <c r="DV134" s="113" t="s">
        <v>1047</v>
      </c>
      <c r="DW134" s="113" t="s">
        <v>1046</v>
      </c>
      <c r="DX134" s="113" t="s">
        <v>1048</v>
      </c>
      <c r="DY134" s="113" t="s">
        <v>1048</v>
      </c>
      <c r="DZ134" s="113" t="s">
        <v>1048</v>
      </c>
      <c r="EA134" s="113"/>
      <c r="EB134" s="776" t="str">
        <f>IF(OR($B$2=0,W138=""),"","混合器 U-U")</f>
        <v/>
      </c>
      <c r="EC134" s="15"/>
      <c r="ED134" s="782" t="str">
        <f>IF(AS138="","","分配器 2D")</f>
        <v/>
      </c>
      <c r="EE134" s="15" t="str">
        <f>AS138</f>
        <v/>
      </c>
      <c r="EF134" s="15"/>
      <c r="EG134" s="8"/>
      <c r="EH134" s="197">
        <f t="shared" si="77"/>
        <v>4</v>
      </c>
      <c r="EI134" s="773" t="str">
        <f t="shared" si="78"/>
        <v/>
      </c>
      <c r="EJ134" s="203" t="str">
        <f>K140</f>
        <v/>
      </c>
      <c r="EK134" s="9"/>
      <c r="EL134" s="9" t="str">
        <f>IF(COUNTIF($EJ$18:EJ133,EJ134)&gt;0,"",EJ134)</f>
        <v/>
      </c>
      <c r="EM134" s="9"/>
      <c r="EN134" s="14" t="str">
        <f>T140</f>
        <v/>
      </c>
      <c r="EO134" s="771">
        <f t="shared" ref="EO134:EO141" si="86">SUMIF($EJ$25:$EJ$225,EL134,$EN$25:$EN$225)</f>
        <v>0</v>
      </c>
      <c r="EP134" s="8"/>
      <c r="EQ134" s="8"/>
      <c r="ER134" s="197">
        <f t="shared" si="79"/>
        <v>3</v>
      </c>
      <c r="ES134" s="773" t="str">
        <f t="shared" si="80"/>
        <v/>
      </c>
      <c r="ET134" s="203" t="str">
        <f t="shared" ref="ET134:ET141" si="87">EB134</f>
        <v/>
      </c>
      <c r="EU134" s="9"/>
      <c r="EV134" s="11" t="str">
        <f>IF(COUNTIF($ET$18:ET133,ET134)&gt;0,"",ET134)</f>
        <v/>
      </c>
      <c r="EW134" s="9"/>
      <c r="EX134" s="124" t="str">
        <f>W138</f>
        <v/>
      </c>
      <c r="EY134" s="771">
        <f t="shared" ref="EY134:EY141" si="88">SUMIF($ET$25:$ET$225,EV134,$EX$25:$EX$225)</f>
        <v>0</v>
      </c>
      <c r="EZ134" s="8"/>
      <c r="FA134" s="8"/>
      <c r="FB134" s="197">
        <f t="shared" si="70"/>
        <v>10</v>
      </c>
      <c r="FC134" s="773" t="str">
        <f t="shared" si="71"/>
        <v/>
      </c>
      <c r="FD134" s="772" t="str">
        <f t="shared" ref="FD134:FD140" si="89">ED134</f>
        <v/>
      </c>
      <c r="FE134" s="9"/>
      <c r="FF134" s="11" t="str">
        <f>IF(COUNTIF($FD$15:FD133,FD134)&gt;0,"",FD134)</f>
        <v/>
      </c>
      <c r="FG134" s="9"/>
      <c r="FH134" s="124" t="str">
        <f>AS138</f>
        <v/>
      </c>
      <c r="FI134" s="771">
        <f t="shared" ref="FI134:FI140" si="90">SUMIF($FD$18:$FD$205,FF134,$FH$18:$FH$205)</f>
        <v>0</v>
      </c>
    </row>
    <row r="135" spans="1:165" ht="11.25" customHeight="1" thickBot="1">
      <c r="B135" s="23"/>
      <c r="C135" s="3857" t="str">
        <f>"　"&amp;非誘!M93</f>
        <v>　百貨店等</v>
      </c>
      <c r="D135" s="3858"/>
      <c r="E135" s="3858"/>
      <c r="F135" s="3858"/>
      <c r="G135" s="3858"/>
      <c r="H135" s="3858"/>
      <c r="I135" s="3858"/>
      <c r="J135" s="3858"/>
      <c r="K135" s="3858"/>
      <c r="L135" s="3858"/>
      <c r="M135" s="3858"/>
      <c r="N135" s="3858"/>
      <c r="O135" s="3858"/>
      <c r="P135" s="3858"/>
      <c r="Q135" s="3859"/>
      <c r="R135" s="2337" t="str">
        <f>IF(U135&lt;&gt;"",U135,IF(C138="","","設"))</f>
        <v>設</v>
      </c>
      <c r="S135" s="2337"/>
      <c r="T135" s="175" t="s">
        <v>68</v>
      </c>
      <c r="U135" s="2338"/>
      <c r="V135" s="2338"/>
      <c r="W135" s="3860" t="s">
        <v>1132</v>
      </c>
      <c r="X135" s="3863" t="s">
        <v>1131</v>
      </c>
      <c r="Y135" s="3863" t="s">
        <v>1130</v>
      </c>
      <c r="Z135" s="3866"/>
      <c r="AA135" s="3528" t="s">
        <v>1128</v>
      </c>
      <c r="AB135" s="3519"/>
      <c r="AC135" s="3519"/>
      <c r="AD135" s="3519"/>
      <c r="AE135" s="3519"/>
      <c r="AF135" s="3520"/>
      <c r="AG135" s="3528" t="s">
        <v>1051</v>
      </c>
      <c r="AH135" s="3519"/>
      <c r="AI135" s="3519"/>
      <c r="AJ135" s="3529"/>
      <c r="AK135" s="3518" t="s">
        <v>1050</v>
      </c>
      <c r="AL135" s="3519"/>
      <c r="AM135" s="3519"/>
      <c r="AN135" s="3529"/>
      <c r="AO135" s="3518" t="s">
        <v>1049</v>
      </c>
      <c r="AP135" s="3519"/>
      <c r="AQ135" s="3519"/>
      <c r="AR135" s="3520"/>
      <c r="AS135" s="3528" t="s">
        <v>1048</v>
      </c>
      <c r="AT135" s="3519"/>
      <c r="AU135" s="3519"/>
      <c r="AV135" s="3529"/>
      <c r="AW135" s="3518" t="s">
        <v>1047</v>
      </c>
      <c r="AX135" s="3519"/>
      <c r="AY135" s="3519"/>
      <c r="AZ135" s="3529"/>
      <c r="BA135" s="3518" t="s">
        <v>1046</v>
      </c>
      <c r="BB135" s="3519"/>
      <c r="BC135" s="3519"/>
      <c r="BD135" s="3520"/>
      <c r="BE135" s="3528" t="s">
        <v>1123</v>
      </c>
      <c r="BF135" s="3519"/>
      <c r="BG135" s="3519"/>
      <c r="BH135" s="3519"/>
      <c r="BI135" s="3519"/>
      <c r="BJ135" s="3519"/>
      <c r="BK135" s="3519"/>
      <c r="BL135" s="3529"/>
      <c r="BM135" s="3518" t="s">
        <v>1122</v>
      </c>
      <c r="BN135" s="3519"/>
      <c r="BO135" s="3519"/>
      <c r="BP135" s="3519"/>
      <c r="BQ135" s="3519"/>
      <c r="BR135" s="3519"/>
      <c r="BS135" s="3519"/>
      <c r="BT135" s="3520"/>
      <c r="BU135" s="19"/>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15"/>
      <c r="DA135" s="15">
        <f>IF(AG138&lt;&gt;"",2,IF(AK138&lt;&gt;"",3,0))</f>
        <v>3</v>
      </c>
      <c r="DB135" s="86" t="s">
        <v>370</v>
      </c>
      <c r="DC135" s="86" t="s">
        <v>71</v>
      </c>
      <c r="DD135" s="128" t="s">
        <v>1179</v>
      </c>
      <c r="DE135" s="86">
        <f>IF(AB139&lt;&gt;"Ａ",0,IF(AND(2*DK135&gt;=4,2*DK135&lt;=12),1,0))</f>
        <v>0</v>
      </c>
      <c r="DF135" s="86">
        <f>IF(AB139&lt;&gt;"Ａ",0,IF(AND(2*DK135&gt;=16,DK135&lt;=24),1,0))</f>
        <v>0</v>
      </c>
      <c r="DG135" s="97" t="s">
        <v>1177</v>
      </c>
      <c r="DH135" s="86">
        <f>IF(AB139&lt;&gt;"Ａ",0,IF(2*DK135&lt;=4,1,0))</f>
        <v>0</v>
      </c>
      <c r="DI135" s="86">
        <f>IF(AB139&lt;&gt;"Ａ",0,IF(OR(AND(2*DK135&gt;4,2*DK135&lt;=8),AND(2*DK135&gt;12,2*DK135&lt;=16)),1,0))</f>
        <v>0</v>
      </c>
      <c r="DJ135" s="183">
        <f>IF(AB139&lt;&gt;"Ａ",0,IF(OR(AND(2*DK135&gt;8,2*DK135&lt;=12),AND(2*DK135&gt;16,2*DK135&lt;=24)),1,0))</f>
        <v>0</v>
      </c>
      <c r="DK135" s="783">
        <f>IF(OR(C138="",C138="  RF"),0,IF(Q138="",INT((T138)/2),INT((Q138+INT(T138))/2)+1))</f>
        <v>7</v>
      </c>
      <c r="DL135" s="128" t="s">
        <v>1178</v>
      </c>
      <c r="DM135" s="86">
        <f>IF(AB139&lt;&gt;"Ｂ",0,IF(DB132&lt;=6,1,0))</f>
        <v>0</v>
      </c>
      <c r="DN135" s="86">
        <f>IF(AB139&lt;&gt;"Ｂ",0,IF(AND(DB132&gt;6,DB132&lt;=12),1,0))</f>
        <v>1</v>
      </c>
      <c r="DO135" s="97" t="s">
        <v>1177</v>
      </c>
      <c r="DP135" s="86">
        <f>IF(AB139&lt;&gt;"Ｂ",0,IF(DB132&lt;=2,1,0))</f>
        <v>0</v>
      </c>
      <c r="DQ135" s="86">
        <f>IF(AB139&lt;&gt;"Ｂ",0,IF(OR(AND(DB132&gt;2,DB132&lt;6),AND(DB132&gt;6,DB132&lt;=8)),1,0))</f>
        <v>0</v>
      </c>
      <c r="DR135" s="86">
        <f>IF(AB139&lt;&gt;"Ｂ",0,IF(OR(AND(DB132&gt;4,DB132&lt;6),AND(DB132&gt;8,DB132&lt;=12)),1,0))</f>
        <v>1</v>
      </c>
      <c r="DS135" s="128" t="s">
        <v>1078</v>
      </c>
      <c r="DT135" s="159">
        <f>IF(AB139&lt;&gt;"Ｃ",0,IF(DX135&lt;&gt;0,DX135,IF(DY135&lt;&gt;0,DY135,IF(DZ135&lt;&gt;0,DZ135,0))))</f>
        <v>0</v>
      </c>
      <c r="DU135" s="159">
        <f>IF(AB139&lt;&gt;"Ｃ",0,IF(DX135=0,0,1))</f>
        <v>0</v>
      </c>
      <c r="DV135" s="159">
        <f>IF(AB139&lt;&gt;"Ｃ",0,IF(DY135=0,0,1))</f>
        <v>0</v>
      </c>
      <c r="DW135" s="783">
        <f>IF(AB139&lt;&gt;"Ｃ",0,IF(DZ135=0,0,1))</f>
        <v>0</v>
      </c>
      <c r="DX135" s="714">
        <f>IF(AB139&lt;&gt;"Ｃ",0,IF(DB132&lt;=12,3,IF(AND(DB132&gt;12,DB132&lt;=16),4,IF(AND(DB132&gt;16,DB132&lt;=20),5,0))))</f>
        <v>0</v>
      </c>
      <c r="DY135" s="86">
        <f>IF(AB139&lt;&gt;"Ｃ",0,IF(AND(DB132&gt;20,DB132&lt;=24),3,IF(AND(DB132&gt;24,DB132&lt;=32),4,IF(AND(DB132&gt;32,DB132&lt;=40),5,0))))</f>
        <v>0</v>
      </c>
      <c r="DZ135" s="97">
        <f>IF(AB139&lt;&gt;"Ｃ",0,IF(AND(DB132&gt;40,DB132&lt;=48),4,IF(AND(DB132&gt;48,DB132&lt;=60),5,0)))</f>
        <v>0</v>
      </c>
      <c r="EA135" s="96"/>
      <c r="EB135" s="776" t="str">
        <f>IF(OR($B$2=0,X138=""),"","混合器 BS-CS")</f>
        <v/>
      </c>
      <c r="EC135" s="96"/>
      <c r="ED135" s="782" t="str">
        <f>IF(AW138="","","分配器 4D")</f>
        <v/>
      </c>
      <c r="EE135" s="96" t="str">
        <f>AW138</f>
        <v/>
      </c>
      <c r="EF135" s="96"/>
      <c r="EG135" s="96"/>
      <c r="EH135" s="197">
        <f t="shared" si="77"/>
        <v>4</v>
      </c>
      <c r="EI135" s="773" t="str">
        <f t="shared" si="78"/>
        <v/>
      </c>
      <c r="EJ135" s="203" t="str">
        <f>K141</f>
        <v>S-7C-FB</v>
      </c>
      <c r="EK135" s="9"/>
      <c r="EL135" s="9" t="str">
        <f>IF(COUNTIF($EJ$18:EJ134,EJ135)&gt;0,"",EJ135)</f>
        <v/>
      </c>
      <c r="EM135" s="9"/>
      <c r="EN135" s="14">
        <f>T141</f>
        <v>6</v>
      </c>
      <c r="EO135" s="771">
        <f t="shared" si="86"/>
        <v>0</v>
      </c>
      <c r="EP135" s="8"/>
      <c r="EQ135" s="96"/>
      <c r="ER135" s="197">
        <f t="shared" si="79"/>
        <v>3</v>
      </c>
      <c r="ES135" s="773" t="str">
        <f t="shared" si="80"/>
        <v/>
      </c>
      <c r="ET135" s="203" t="str">
        <f t="shared" si="87"/>
        <v/>
      </c>
      <c r="EU135" s="9"/>
      <c r="EV135" s="11" t="str">
        <f>IF(COUNTIF($ET$18:ET134,ET135)&gt;0,"",ET135)</f>
        <v/>
      </c>
      <c r="EW135" s="9"/>
      <c r="EX135" s="124" t="str">
        <f>X138</f>
        <v/>
      </c>
      <c r="EY135" s="771">
        <f t="shared" si="88"/>
        <v>0</v>
      </c>
      <c r="EZ135" s="8"/>
      <c r="FA135" s="96"/>
      <c r="FB135" s="197">
        <f t="shared" si="70"/>
        <v>10</v>
      </c>
      <c r="FC135" s="773" t="str">
        <f t="shared" si="71"/>
        <v/>
      </c>
      <c r="FD135" s="772" t="str">
        <f t="shared" si="89"/>
        <v/>
      </c>
      <c r="FE135" s="9"/>
      <c r="FF135" s="11" t="str">
        <f>IF(COUNTIF($FD$15:FD134,FD135)&gt;0,"",FD135)</f>
        <v/>
      </c>
      <c r="FG135" s="9"/>
      <c r="FH135" s="124" t="str">
        <f>AW138</f>
        <v/>
      </c>
      <c r="FI135" s="771">
        <f t="shared" si="90"/>
        <v>0</v>
      </c>
    </row>
    <row r="136" spans="1:165" ht="11.25" customHeight="1" thickBot="1">
      <c r="B136" s="23"/>
      <c r="C136" s="3819" t="s">
        <v>16</v>
      </c>
      <c r="D136" s="3820"/>
      <c r="E136" s="3821"/>
      <c r="F136" s="3869" t="s">
        <v>22</v>
      </c>
      <c r="G136" s="3870"/>
      <c r="H136" s="3871"/>
      <c r="I136" s="3869" t="s">
        <v>5</v>
      </c>
      <c r="J136" s="3870"/>
      <c r="K136" s="3870"/>
      <c r="L136" s="3871"/>
      <c r="M136" s="3819" t="s">
        <v>1176</v>
      </c>
      <c r="N136" s="3820"/>
      <c r="O136" s="3820"/>
      <c r="P136" s="3821"/>
      <c r="Q136" s="3819" t="s">
        <v>1175</v>
      </c>
      <c r="R136" s="3820"/>
      <c r="S136" s="3821"/>
      <c r="T136" s="3819" t="s">
        <v>1175</v>
      </c>
      <c r="U136" s="3820"/>
      <c r="V136" s="3821"/>
      <c r="W136" s="3861"/>
      <c r="X136" s="3864"/>
      <c r="Y136" s="3864"/>
      <c r="Z136" s="3867"/>
      <c r="AA136" s="3872" t="str">
        <f>IF($AG$15&lt;=65,"40/","35/")</f>
        <v>40/</v>
      </c>
      <c r="AB136" s="3873"/>
      <c r="AC136" s="3873"/>
      <c r="AD136" s="3873" t="str">
        <f>IF(CW257&gt;55,"40/","35/")</f>
        <v>35/</v>
      </c>
      <c r="AE136" s="3873"/>
      <c r="AF136" s="3875"/>
      <c r="AG136" s="3876" t="s">
        <v>1114</v>
      </c>
      <c r="AH136" s="3877"/>
      <c r="AI136" s="3877"/>
      <c r="AJ136" s="3877"/>
      <c r="AK136" s="3877"/>
      <c r="AL136" s="3877"/>
      <c r="AM136" s="3877"/>
      <c r="AN136" s="3877"/>
      <c r="AO136" s="3877"/>
      <c r="AP136" s="3877"/>
      <c r="AQ136" s="3877"/>
      <c r="AR136" s="3878"/>
      <c r="AS136" s="3549" t="s">
        <v>1113</v>
      </c>
      <c r="AT136" s="3550"/>
      <c r="AU136" s="3550"/>
      <c r="AV136" s="3550"/>
      <c r="AW136" s="3550"/>
      <c r="AX136" s="3550"/>
      <c r="AY136" s="3550"/>
      <c r="AZ136" s="3550"/>
      <c r="BA136" s="3550"/>
      <c r="BB136" s="3550"/>
      <c r="BC136" s="3550"/>
      <c r="BD136" s="3551"/>
      <c r="BE136" s="3552" t="s">
        <v>1112</v>
      </c>
      <c r="BF136" s="3553"/>
      <c r="BG136" s="3553"/>
      <c r="BH136" s="3553"/>
      <c r="BI136" s="3553" t="s">
        <v>1111</v>
      </c>
      <c r="BJ136" s="3553"/>
      <c r="BK136" s="3553"/>
      <c r="BL136" s="3553"/>
      <c r="BM136" s="3553" t="s">
        <v>1112</v>
      </c>
      <c r="BN136" s="3553"/>
      <c r="BO136" s="3553"/>
      <c r="BP136" s="3553"/>
      <c r="BQ136" s="3553" t="s">
        <v>1111</v>
      </c>
      <c r="BR136" s="3553"/>
      <c r="BS136" s="3553"/>
      <c r="BT136" s="3919"/>
      <c r="BU136" s="19"/>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15"/>
      <c r="DA136" s="67">
        <f>IF(DC134="＋",F138+F129+3,F138+F147+3)</f>
        <v>11</v>
      </c>
      <c r="DB136" s="98">
        <f>IF(C138="  RF","",IF(AN139="","",非誘!BW95))</f>
        <v>12</v>
      </c>
      <c r="DC136" s="98">
        <f>IF(DB136="","",IF(AN139="","",非誘!BX95))</f>
        <v>24</v>
      </c>
      <c r="DD136" s="3822" t="s">
        <v>1060</v>
      </c>
      <c r="DE136" s="3823"/>
      <c r="DF136" s="3824" t="s">
        <v>1173</v>
      </c>
      <c r="DG136" s="3824"/>
      <c r="DH136" s="3824" t="s">
        <v>1174</v>
      </c>
      <c r="DI136" s="3824"/>
      <c r="DJ136" s="3823" t="s">
        <v>1173</v>
      </c>
      <c r="DK136" s="3823"/>
      <c r="DL136" s="8"/>
      <c r="DM136" s="113" t="s">
        <v>1172</v>
      </c>
      <c r="DN136" s="113" t="s">
        <v>1171</v>
      </c>
      <c r="DO136" s="113" t="s">
        <v>1170</v>
      </c>
      <c r="DP136" s="8"/>
      <c r="DQ136" s="8"/>
      <c r="DR136" s="8"/>
      <c r="DS136" s="8"/>
      <c r="DT136" s="113" t="s">
        <v>1051</v>
      </c>
      <c r="DU136" s="8"/>
      <c r="DV136" s="113" t="s">
        <v>1047</v>
      </c>
      <c r="DW136" s="113" t="s">
        <v>1046</v>
      </c>
      <c r="DX136" s="8"/>
      <c r="DY136" s="113" t="s">
        <v>1047</v>
      </c>
      <c r="DZ136" s="113" t="s">
        <v>1047</v>
      </c>
      <c r="EA136" s="113"/>
      <c r="EB136" s="776" t="str">
        <f>IF(OR($B$2=0,Y138=""),"","混合器 UV-BC")</f>
        <v/>
      </c>
      <c r="EC136" s="15"/>
      <c r="ED136" s="782" t="str">
        <f>IF(BA138="","","分配器 6D")</f>
        <v>分配器 6D</v>
      </c>
      <c r="EE136" s="15">
        <f>BA138</f>
        <v>1</v>
      </c>
      <c r="EF136" s="15"/>
      <c r="EG136" s="15"/>
      <c r="EH136" s="197">
        <f t="shared" si="77"/>
        <v>4</v>
      </c>
      <c r="EI136" s="773" t="str">
        <f t="shared" si="78"/>
        <v/>
      </c>
      <c r="EJ136" s="203" t="str">
        <f>X140</f>
        <v/>
      </c>
      <c r="EK136" s="9"/>
      <c r="EL136" s="9" t="str">
        <f>IF(COUNTIF($EJ$18:EJ135,EJ136)&gt;0,"",EJ136)</f>
        <v/>
      </c>
      <c r="EM136" s="9"/>
      <c r="EN136" s="14" t="str">
        <f>AI140</f>
        <v/>
      </c>
      <c r="EO136" s="771">
        <f t="shared" si="86"/>
        <v>0</v>
      </c>
      <c r="EP136" s="8"/>
      <c r="EQ136" s="15"/>
      <c r="ER136" s="197">
        <f t="shared" si="79"/>
        <v>3</v>
      </c>
      <c r="ES136" s="773" t="str">
        <f t="shared" si="80"/>
        <v/>
      </c>
      <c r="ET136" s="203" t="str">
        <f t="shared" si="87"/>
        <v/>
      </c>
      <c r="EU136" s="9"/>
      <c r="EV136" s="11" t="str">
        <f>IF(COUNTIF($ET$18:ET135,ET136)&gt;0,"",ET136)</f>
        <v/>
      </c>
      <c r="EW136" s="9"/>
      <c r="EX136" s="124" t="str">
        <f>Y138</f>
        <v/>
      </c>
      <c r="EY136" s="771">
        <f t="shared" si="88"/>
        <v>0</v>
      </c>
      <c r="EZ136" s="8"/>
      <c r="FA136" s="15"/>
      <c r="FB136" s="197">
        <f t="shared" si="70"/>
        <v>10</v>
      </c>
      <c r="FC136" s="773" t="str">
        <f t="shared" si="71"/>
        <v/>
      </c>
      <c r="FD136" s="772" t="str">
        <f t="shared" si="89"/>
        <v>分配器 6D</v>
      </c>
      <c r="FE136" s="9"/>
      <c r="FF136" s="11" t="str">
        <f>IF(COUNTIF($FD$15:FD135,FD136)&gt;0,"",FD136)</f>
        <v/>
      </c>
      <c r="FG136" s="9"/>
      <c r="FH136" s="124">
        <f>BA138</f>
        <v>1</v>
      </c>
      <c r="FI136" s="771">
        <f t="shared" si="90"/>
        <v>0</v>
      </c>
    </row>
    <row r="137" spans="1:165" ht="11.25" customHeight="1" thickBot="1">
      <c r="B137" s="23"/>
      <c r="C137" s="3819"/>
      <c r="D137" s="3820"/>
      <c r="E137" s="3821"/>
      <c r="F137" s="3827" t="s">
        <v>420</v>
      </c>
      <c r="G137" s="3769"/>
      <c r="H137" s="3828"/>
      <c r="I137" s="3819" t="s">
        <v>420</v>
      </c>
      <c r="J137" s="3820"/>
      <c r="K137" s="3820"/>
      <c r="L137" s="3821"/>
      <c r="M137" s="3819" t="s">
        <v>1150</v>
      </c>
      <c r="N137" s="3820"/>
      <c r="O137" s="3820"/>
      <c r="P137" s="3821"/>
      <c r="Q137" s="3819" t="s">
        <v>1102</v>
      </c>
      <c r="R137" s="3820"/>
      <c r="S137" s="3821"/>
      <c r="T137" s="3819" t="s">
        <v>115</v>
      </c>
      <c r="U137" s="3820"/>
      <c r="V137" s="3821"/>
      <c r="W137" s="3862"/>
      <c r="X137" s="3865"/>
      <c r="Y137" s="3865"/>
      <c r="Z137" s="3868"/>
      <c r="AA137" s="3829">
        <f>IF($AG$15&lt;=65,115,110)</f>
        <v>115</v>
      </c>
      <c r="AB137" s="3562"/>
      <c r="AC137" s="3562"/>
      <c r="AD137" s="3923">
        <f>IF(CW257&gt;55,115,110)</f>
        <v>110</v>
      </c>
      <c r="AE137" s="3924"/>
      <c r="AF137" s="3925"/>
      <c r="AG137" s="3831" t="s">
        <v>1149</v>
      </c>
      <c r="AH137" s="3832"/>
      <c r="AI137" s="3832"/>
      <c r="AJ137" s="3833"/>
      <c r="AK137" s="3834" t="s">
        <v>1148</v>
      </c>
      <c r="AL137" s="3832"/>
      <c r="AM137" s="3832"/>
      <c r="AN137" s="3833"/>
      <c r="AO137" s="3834" t="s">
        <v>1147</v>
      </c>
      <c r="AP137" s="3832"/>
      <c r="AQ137" s="3832"/>
      <c r="AR137" s="3835"/>
      <c r="AS137" s="3836" t="s">
        <v>1146</v>
      </c>
      <c r="AT137" s="3832"/>
      <c r="AU137" s="3832"/>
      <c r="AV137" s="3833"/>
      <c r="AW137" s="3844" t="s">
        <v>1145</v>
      </c>
      <c r="AX137" s="3845"/>
      <c r="AY137" s="3845"/>
      <c r="AZ137" s="3846"/>
      <c r="BA137" s="3558" t="s">
        <v>1094</v>
      </c>
      <c r="BB137" s="3559"/>
      <c r="BC137" s="3559"/>
      <c r="BD137" s="3560"/>
      <c r="BE137" s="3561" t="s">
        <v>1092</v>
      </c>
      <c r="BF137" s="3562"/>
      <c r="BG137" s="3562"/>
      <c r="BH137" s="3562"/>
      <c r="BI137" s="3850" t="s">
        <v>1091</v>
      </c>
      <c r="BJ137" s="3562"/>
      <c r="BK137" s="3562"/>
      <c r="BL137" s="3562"/>
      <c r="BM137" s="3850" t="s">
        <v>1090</v>
      </c>
      <c r="BN137" s="3562"/>
      <c r="BO137" s="3562"/>
      <c r="BP137" s="3562"/>
      <c r="BQ137" s="3850" t="s">
        <v>1089</v>
      </c>
      <c r="BR137" s="3562"/>
      <c r="BS137" s="3562"/>
      <c r="BT137" s="3830"/>
      <c r="BU137" s="19"/>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90"/>
      <c r="DA137" s="15"/>
      <c r="DB137" s="98">
        <f>IF(C138="","",IF(AZ139="①",DB136+DC136+3,IF(AZ139="②",DB136*5/8+DC136+3,IF(AZ139="③",DB136/2+DC136+3,IF(AZ139="④",DB136+DC136*5/8+3,IF(AZ139="⑤",(DB136+DC136)*5/8+3,IF(AZ139="⑥",DB136/2+DC136*5/8+3,IF(AZ139="⑦",DB136+DC136/2+3,IF(AZ139="⑧",DB136*5/8+DC136/2+3,IF(AZ139="⑨",(DB136+DC136)/2+3))))))))))</f>
        <v>27</v>
      </c>
      <c r="DC137" s="180" t="s">
        <v>1088</v>
      </c>
      <c r="DD137" s="2589" t="str">
        <f>IF($AL$10="nC-FB","S-5C-FB",IF($AL$10="nD-FB","5D-FB","5C-2V"))</f>
        <v>S-5C-FB</v>
      </c>
      <c r="DE137" s="2591"/>
      <c r="DF137" s="3631">
        <f>IF(C138="  RF",DF128,IF($H$15="ＣＡＴＶ",DB136+DC136/2+F138-($AM$8-$AM$7)/1000+DR137,SUM(DM137:DO137)))</f>
        <v>58.5</v>
      </c>
      <c r="DG137" s="3812"/>
      <c r="DH137" s="2589" t="str">
        <f>IF($H$17="ＣＡＴＶ","G-22mm",IF(RIGHT($AB$17,1)+RIGHT($AF$17,1)+RIGHT($AJ$17,1)&gt;=4,"G-36mm","G-28mm"))</f>
        <v>G-28mm</v>
      </c>
      <c r="DI137" s="2591"/>
      <c r="DJ137" s="3631">
        <f>IF(C138="",0,IF(C138="  RF",DJ128,IF($H$15="ＣＡＴＶ",DB136+DC136/2+F138-($AM$8-$AM$7)/1000,10+F138-($AM$8-$AM$7)/1000)))</f>
        <v>14.5</v>
      </c>
      <c r="DK137" s="3812"/>
      <c r="DL137" s="15"/>
      <c r="DM137" s="98">
        <f>IF(OR($B$2=0,$H$15="ＣＡＴＶ",C138="",C138="  RF"),0,IF($AB$17="","",RIGHT($AB$17,1)*15+F138-($AM$8-$AM$7)/1000))</f>
        <v>19.5</v>
      </c>
      <c r="DN137" s="98">
        <f>IF(OR($B$2=0,$H$15="ＣＡＴＶ",C138="",C138="  RF"),0,IF($AF$17="","",15+F138-($AM$8-$AM$7)/1000))</f>
        <v>19.5</v>
      </c>
      <c r="DO137" s="98">
        <f>IF(OR($B$2=0,$H$15="ＣＡＴＶ",C138="",C138="  RF"),0,IF($AJ$17="","",15+F138-($AM$8-$AM$7)/1000))</f>
        <v>19.5</v>
      </c>
      <c r="DP137" s="15"/>
      <c r="DQ137" s="46" t="s">
        <v>1087</v>
      </c>
      <c r="DR137" s="98" t="str">
        <f>IF($H$17="ＣＡＴＶ",#REF!+#REF!,"")</f>
        <v/>
      </c>
      <c r="DS137" s="128" t="s">
        <v>1078</v>
      </c>
      <c r="DT137" s="159">
        <f>IF(AB139&lt;&gt;"Ｃ",0,IF(DY137&lt;&gt;0,DY137,IF(DZ137&lt;&gt;0,DZ137,0)))</f>
        <v>0</v>
      </c>
      <c r="DU137" s="8"/>
      <c r="DV137" s="86">
        <f>IF(AB139&lt;&gt;"Ｃ",0,IF(DY137=0,0,1))</f>
        <v>0</v>
      </c>
      <c r="DW137" s="86">
        <f>IF(AB139&lt;&gt;"Ｃ",0,IF(DZ137=0,0,1))</f>
        <v>0</v>
      </c>
      <c r="DX137" s="8"/>
      <c r="DY137" s="86">
        <f>IF(AB139&lt;&gt;"Ｃ",0,IF(AND(DB132&gt;60,DB132&lt;=64),4,IF(AND(DB132&gt;64,DB132&lt;=80),5,0)))</f>
        <v>0</v>
      </c>
      <c r="DZ137" s="86">
        <f>IF(AB139&lt;&gt;"Ｃ",0,IF(AND(DB132&gt;80,DB132&lt;=96),4,IF(AND(DB132&gt;96,DB132&lt;=120),5,0)))</f>
        <v>0</v>
      </c>
      <c r="EA137" s="38"/>
      <c r="EB137" s="776" t="str">
        <f>IF(OR($B$2=0,Z138=""),"","混合器 UV-BC")</f>
        <v/>
      </c>
      <c r="EC137" s="12"/>
      <c r="ED137" s="122" t="str">
        <f>IF(BE138="","","直列Unit-中間1端子")</f>
        <v/>
      </c>
      <c r="EE137" s="38" t="str">
        <f>BE138</f>
        <v/>
      </c>
      <c r="EF137" s="38"/>
      <c r="EG137" s="38"/>
      <c r="EH137" s="197">
        <f t="shared" si="77"/>
        <v>4</v>
      </c>
      <c r="EI137" s="773" t="str">
        <f t="shared" si="78"/>
        <v/>
      </c>
      <c r="EJ137" s="203" t="str">
        <f>X141</f>
        <v>PF-S-22mm</v>
      </c>
      <c r="EK137" s="9"/>
      <c r="EL137" s="9" t="str">
        <f>IF(COUNTIF($EJ$18:EJ136,EJ137)&gt;0,"",EJ137)</f>
        <v/>
      </c>
      <c r="EM137" s="9"/>
      <c r="EN137" s="14">
        <f>AI141</f>
        <v>4</v>
      </c>
      <c r="EO137" s="771">
        <f t="shared" si="86"/>
        <v>0</v>
      </c>
      <c r="EP137" s="8"/>
      <c r="EQ137" s="38"/>
      <c r="ER137" s="197">
        <f t="shared" si="79"/>
        <v>3</v>
      </c>
      <c r="ES137" s="773" t="str">
        <f t="shared" si="80"/>
        <v/>
      </c>
      <c r="ET137" s="203" t="str">
        <f t="shared" si="87"/>
        <v/>
      </c>
      <c r="EU137" s="9"/>
      <c r="EV137" s="11" t="str">
        <f>IF(COUNTIF($ET$18:ET136,ET137)&gt;0,"",ET137)</f>
        <v/>
      </c>
      <c r="EW137" s="9"/>
      <c r="EX137" s="124">
        <f>Z138</f>
        <v>0</v>
      </c>
      <c r="EY137" s="771">
        <f t="shared" si="88"/>
        <v>0</v>
      </c>
      <c r="EZ137" s="8"/>
      <c r="FA137" s="38"/>
      <c r="FB137" s="197">
        <f t="shared" si="70"/>
        <v>10</v>
      </c>
      <c r="FC137" s="773" t="str">
        <f t="shared" si="71"/>
        <v/>
      </c>
      <c r="FD137" s="772" t="str">
        <f t="shared" si="89"/>
        <v/>
      </c>
      <c r="FE137" s="9"/>
      <c r="FF137" s="11" t="str">
        <f>IF(COUNTIF($FD$15:FD136,FD137)&gt;0,"",FD137)</f>
        <v/>
      </c>
      <c r="FG137" s="9"/>
      <c r="FH137" s="124" t="str">
        <f>BE138</f>
        <v/>
      </c>
      <c r="FI137" s="771">
        <f t="shared" si="90"/>
        <v>0</v>
      </c>
    </row>
    <row r="138" spans="1:165" ht="11.25" customHeight="1">
      <c r="A138" s="8">
        <v>13</v>
      </c>
      <c r="B138" s="23"/>
      <c r="C138" s="3837" t="str">
        <f>非誘!C95</f>
        <v xml:space="preserve"> 11F</v>
      </c>
      <c r="D138" s="3837"/>
      <c r="E138" s="3837"/>
      <c r="F138" s="3838">
        <f>非誘!F95</f>
        <v>4</v>
      </c>
      <c r="G138" s="3839"/>
      <c r="H138" s="3840"/>
      <c r="I138" s="3838">
        <f>非誘!J95</f>
        <v>3</v>
      </c>
      <c r="J138" s="3839"/>
      <c r="K138" s="3839"/>
      <c r="L138" s="3840"/>
      <c r="M138" s="3841">
        <f>非誘!N95</f>
        <v>1152</v>
      </c>
      <c r="N138" s="3842"/>
      <c r="O138" s="3842"/>
      <c r="P138" s="3843"/>
      <c r="Q138" s="3537">
        <f>非誘!AA95</f>
        <v>3</v>
      </c>
      <c r="R138" s="3537"/>
      <c r="S138" s="3537"/>
      <c r="T138" s="3537">
        <f>非誘!AD95</f>
        <v>9</v>
      </c>
      <c r="U138" s="3537"/>
      <c r="V138" s="3537"/>
      <c r="W138" s="795" t="str">
        <f>IF(OR(AW23="不要",C138&lt;&gt;$X$10),"",IF(AND($AB$17="UHF×3",$AF$17&lt;&gt;"",$AJ$17&lt;&gt;""),2,IF(OR(AND($AB$17="UHF×3",$AB$17="",$AJ$17=""),AND($AB$17="UHF×3",$AF$17&lt;&gt;"",$AJ$17=""),AND($AB$17="UHF×2",$AF$17&lt;&gt;"",$AJ$17&lt;&gt;"")),1,"")))</f>
        <v/>
      </c>
      <c r="X138" s="794" t="str">
        <f>IF(OR(AW23="不要",C138&lt;&gt;$X$10),"",IF(AND($AB$17&lt;&gt;"",$AF$17&lt;&gt;"",$AJ$17&lt;&gt;""),1,""))</f>
        <v/>
      </c>
      <c r="Y138" s="794" t="str">
        <f>IF(OR(AW23="不要",C138&lt;&gt;$X$10),"",IF(AND(OR($AB$17="UHF×2",$AB$17="UHF×3"),$AF$17&lt;&gt;"",$AJ$17=""),1,""))</f>
        <v/>
      </c>
      <c r="Z138" s="793"/>
      <c r="AA138" s="3847" t="str">
        <f>IF($B$2=0,"",IF(AND(AW23&lt;&gt;"不要",DC134="＝"),1,""))</f>
        <v/>
      </c>
      <c r="AB138" s="3848"/>
      <c r="AC138" s="3848"/>
      <c r="AD138" s="3848">
        <f>IF($B$2=0,"",IF(OR(AW23="不要",C138="",C138="  RF"),"",IF(AW23="設置",1,"")))</f>
        <v>1</v>
      </c>
      <c r="AE138" s="3848"/>
      <c r="AF138" s="3849"/>
      <c r="AG138" s="3837" t="str">
        <f>IF(OR(AW23="不要",C138="",C138="  RF"),"",IF(AI138&lt;&gt;"",AI138,IF(DE135+DM135+DT135+DT137+DT139=0,"",DE135+DM135+DT135+DT137+DT139)))</f>
        <v/>
      </c>
      <c r="AH138" s="3837"/>
      <c r="AI138" s="3915"/>
      <c r="AJ138" s="3915"/>
      <c r="AK138" s="3837">
        <f>IF(OR(AW23="不要",C138="",C138="  RF"),"",IF(AM138&lt;&gt;"",AM138,IF(DF135+DN135=0,"",DF135+DN135)))</f>
        <v>1</v>
      </c>
      <c r="AL138" s="3837"/>
      <c r="AM138" s="3915"/>
      <c r="AN138" s="3915"/>
      <c r="AO138" s="3813" t="str">
        <f>IF(AQ138="","",AQ138)</f>
        <v/>
      </c>
      <c r="AP138" s="3814"/>
      <c r="AQ138" s="3915"/>
      <c r="AR138" s="3915"/>
      <c r="AS138" s="3916" t="str">
        <f>IF(OR(AW23="不要",C138="  RF"),"",IF(AU138&lt;&gt;"",AU138,IF(DH135+DP135+DU135+DX135+DY135+DZ135=0,"",DH135+DP135+DU135+DX135+DY135+DZ135)))</f>
        <v/>
      </c>
      <c r="AT138" s="3837"/>
      <c r="AU138" s="3915"/>
      <c r="AV138" s="3915"/>
      <c r="AW138" s="3837" t="str">
        <f>IF(OR(AW23="不要",C138="  RF"),"",IF(AY138&lt;&gt;"",AY138,IF(DI135+DQ135+DV135+DV137+DY137+DZ137=0,"",DI135+DQ135+DV135+DV137+DY137+DZ137)))</f>
        <v/>
      </c>
      <c r="AX138" s="3837"/>
      <c r="AY138" s="3915"/>
      <c r="AZ138" s="3915"/>
      <c r="BA138" s="3837">
        <f>IF(OR(AW23="不要",C138="  RF"),"",IF(BC138&lt;&gt;"",BC138,IF(DJ135+DR135+DW135+DW137+DW139+DZ139=0,"",DJ135+DR135+DW135+DW137+DW139+DZ139)))</f>
        <v>1</v>
      </c>
      <c r="BB138" s="3837"/>
      <c r="BC138" s="3915"/>
      <c r="BD138" s="3915"/>
      <c r="BE138" s="3837" t="str">
        <f>IF(OR(AW23="不要",$X$11="2端子",C138="",C138="  RF"),"",IF(BG138&lt;&gt;"",BG138,IF(AND(AB139="Ａ",$X$11="1端子"),DK135,"")))</f>
        <v/>
      </c>
      <c r="BF138" s="3837"/>
      <c r="BG138" s="3837" t="str">
        <f>IF(AND(BO138&lt;&gt;"",AB139="Ａ",$X$11="1端子"),BO138,"")</f>
        <v/>
      </c>
      <c r="BH138" s="3837"/>
      <c r="BI138" s="3916" t="str">
        <f>IF(OR(AW23="不要",$X$11="1端子",C138="",C138="  RF"),"",IF(BK138&lt;&gt;"",BK138,IF(AND(AB139="Ａ",$X$11="2端子"),DK135,"")))</f>
        <v/>
      </c>
      <c r="BJ138" s="3837"/>
      <c r="BK138" s="3837" t="str">
        <f>IF(AND(BS138&lt;&gt;"",AB139="Ａ",$X$11="2端子"),BS138,"")</f>
        <v/>
      </c>
      <c r="BL138" s="3837"/>
      <c r="BM138" s="3837">
        <f>IF(OR(AW23="不要",C138="  RF",C138="",$X$11="2端子"),"",IF(BO138&lt;&gt;"",BO138,IF(AND(AB139="Ａ",$X$11="1端子"),DK135,DK133)))</f>
        <v>12</v>
      </c>
      <c r="BN138" s="3837"/>
      <c r="BO138" s="3915"/>
      <c r="BP138" s="3915"/>
      <c r="BQ138" s="3837" t="str">
        <f>IF(OR(AW23="不要",C138="  RF",C138="",$X$11="1端子"),"",IF(BS138&lt;&gt;"",BS138,IF(AND(AB139="Ａ",$X$11="2端子"),DK135,DK133)))</f>
        <v/>
      </c>
      <c r="BR138" s="3837"/>
      <c r="BS138" s="3915"/>
      <c r="BT138" s="3918"/>
      <c r="BU138" s="19"/>
      <c r="BV138" s="8"/>
      <c r="BW138" s="88">
        <f>IF(I138="直天",F138,I138)</f>
        <v>3</v>
      </c>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38"/>
      <c r="DA138" s="15"/>
      <c r="DB138" s="15"/>
      <c r="DC138" s="180" t="s">
        <v>1144</v>
      </c>
      <c r="DD138" s="2589" t="str">
        <f>IF($AL$10="nC-FB","S-7C-FB",IF($AL$10="nD-FB","8D-FB","7C-2V"))</f>
        <v>S-7C-FB</v>
      </c>
      <c r="DE138" s="2591"/>
      <c r="DF138" s="3631">
        <f>IF(OR(C138="",C138="  RF"),0,IF(AB139="Ｃ",2.5*AG138+(DB136+DC136),F138+2))</f>
        <v>6</v>
      </c>
      <c r="DG138" s="3812"/>
      <c r="DH138" s="2589" t="str">
        <f>IF(OR(H139="天井ケーブル",H139="天井-PF管"),"PF-S-22mm",IF(H139="天井-CD管","CD-22mm",IF(H139="天井-C 管","C-25mm",IF(H139="天井-G 管","G-22mm",""))))</f>
        <v>PF-S-22mm</v>
      </c>
      <c r="DI138" s="2591"/>
      <c r="DJ138" s="3631">
        <f>IF(OR(C138="",C138="  RF"),0,IF(AB139="Ｃ",F138-($AM$8-$AM$7)/1000,F138))</f>
        <v>4</v>
      </c>
      <c r="DK138" s="3812"/>
      <c r="DL138" s="778"/>
      <c r="DM138" s="112"/>
      <c r="DN138" s="190" t="s">
        <v>1143</v>
      </c>
      <c r="DO138" s="98">
        <f>IF(OR(C138="",C138="  RF"),0,(DB136+DC136)/2/SQRT(DK135))</f>
        <v>6.8033605141660898</v>
      </c>
      <c r="DP138" s="15"/>
      <c r="DQ138" s="15"/>
      <c r="DR138" s="15"/>
      <c r="DS138" s="8"/>
      <c r="DT138" s="113" t="s">
        <v>1051</v>
      </c>
      <c r="DU138" s="8"/>
      <c r="DV138" s="113"/>
      <c r="DW138" s="113" t="s">
        <v>1046</v>
      </c>
      <c r="DX138" s="8"/>
      <c r="DY138" s="8"/>
      <c r="DZ138" s="113" t="s">
        <v>1046</v>
      </c>
      <c r="EA138" s="113"/>
      <c r="EB138" s="776" t="str">
        <f>IF(OR($B$2=0,AA138=""),"","増幅器 "&amp;AA136&amp;AA137)</f>
        <v/>
      </c>
      <c r="EC138" s="15"/>
      <c r="ED138" s="122" t="str">
        <f>IF(BI138="","","直列Unit-中間2端子")</f>
        <v/>
      </c>
      <c r="EE138" s="15" t="str">
        <f>BI138</f>
        <v/>
      </c>
      <c r="EF138" s="15"/>
      <c r="EG138" s="15"/>
      <c r="EH138" s="197">
        <f t="shared" si="77"/>
        <v>4</v>
      </c>
      <c r="EI138" s="773" t="str">
        <f t="shared" si="78"/>
        <v/>
      </c>
      <c r="EJ138" s="203" t="str">
        <f>AS140</f>
        <v>S-5C-FB</v>
      </c>
      <c r="EK138" s="9"/>
      <c r="EL138" s="9" t="str">
        <f>IF(COUNTIF($EJ$18:EJ137,EJ138)&gt;0,"",EJ138)</f>
        <v/>
      </c>
      <c r="EM138" s="9"/>
      <c r="EN138" s="14">
        <f>BB140</f>
        <v>178.84032616999309</v>
      </c>
      <c r="EO138" s="771">
        <f t="shared" si="86"/>
        <v>0</v>
      </c>
      <c r="EP138" s="8"/>
      <c r="EQ138" s="15"/>
      <c r="ER138" s="197">
        <f t="shared" si="79"/>
        <v>3</v>
      </c>
      <c r="ES138" s="773" t="str">
        <f t="shared" si="80"/>
        <v/>
      </c>
      <c r="ET138" s="203" t="str">
        <f t="shared" si="87"/>
        <v/>
      </c>
      <c r="EU138" s="9"/>
      <c r="EV138" s="11" t="str">
        <f>IF(COUNTIF($ET$18:ET137,ET138)&gt;0,"",ET138)</f>
        <v/>
      </c>
      <c r="EW138" s="9"/>
      <c r="EX138" s="124" t="str">
        <f>AA138</f>
        <v/>
      </c>
      <c r="EY138" s="771">
        <f t="shared" si="88"/>
        <v>0</v>
      </c>
      <c r="EZ138" s="8"/>
      <c r="FA138" s="15"/>
      <c r="FB138" s="197">
        <f t="shared" si="70"/>
        <v>10</v>
      </c>
      <c r="FC138" s="773" t="str">
        <f t="shared" si="71"/>
        <v/>
      </c>
      <c r="FD138" s="772" t="str">
        <f t="shared" si="89"/>
        <v/>
      </c>
      <c r="FE138" s="9"/>
      <c r="FF138" s="11" t="str">
        <f>IF(COUNTIF($FD$15:FD137,FD138)&gt;0,"",FD138)</f>
        <v/>
      </c>
      <c r="FG138" s="9"/>
      <c r="FH138" s="124" t="str">
        <f>BI138</f>
        <v/>
      </c>
      <c r="FI138" s="771">
        <f t="shared" si="90"/>
        <v>0</v>
      </c>
    </row>
    <row r="139" spans="1:165" ht="12" customHeight="1">
      <c r="A139" s="8"/>
      <c r="B139" s="23"/>
      <c r="C139" s="2634" t="s">
        <v>135</v>
      </c>
      <c r="D139" s="2634"/>
      <c r="E139" s="2634"/>
      <c r="F139" s="2634"/>
      <c r="G139" s="2634"/>
      <c r="H139" s="3904" t="str">
        <f>IF($B$2=0,"",IF(P139="","天井ケーブル",P139))</f>
        <v>天井ケーブル</v>
      </c>
      <c r="I139" s="3904"/>
      <c r="J139" s="3904"/>
      <c r="K139" s="3904"/>
      <c r="L139" s="3904"/>
      <c r="M139" s="3904"/>
      <c r="N139" s="3904"/>
      <c r="O139" s="173" t="s">
        <v>34</v>
      </c>
      <c r="P139" s="3796"/>
      <c r="Q139" s="3797"/>
      <c r="R139" s="3797"/>
      <c r="S139" s="3797"/>
      <c r="T139" s="3797"/>
      <c r="U139" s="3797"/>
      <c r="V139" s="3798"/>
      <c r="W139" s="2634" t="s">
        <v>1082</v>
      </c>
      <c r="X139" s="2634"/>
      <c r="Y139" s="2634"/>
      <c r="Z139" s="2634"/>
      <c r="AA139" s="2634"/>
      <c r="AB139" s="3799" t="str">
        <f>IF(AW23="不要","",IF(AF139&lt;&gt;"",AF139,DB133))</f>
        <v>Ｂ</v>
      </c>
      <c r="AC139" s="3799"/>
      <c r="AD139" s="3799"/>
      <c r="AE139" s="173" t="s">
        <v>34</v>
      </c>
      <c r="AF139" s="3800"/>
      <c r="AG139" s="3801"/>
      <c r="AH139" s="3802"/>
      <c r="AI139" s="2634" t="s">
        <v>20</v>
      </c>
      <c r="AJ139" s="2634"/>
      <c r="AK139" s="2634"/>
      <c r="AL139" s="2634"/>
      <c r="AM139" s="2634"/>
      <c r="AN139" s="3522">
        <f>IF(OR(C138="",C138="  RF"),"",非誘!J94)</f>
        <v>0.5</v>
      </c>
      <c r="AO139" s="3523"/>
      <c r="AP139" s="3523"/>
      <c r="AQ139" s="3524"/>
      <c r="AR139" s="3507" t="s">
        <v>1081</v>
      </c>
      <c r="AS139" s="3461"/>
      <c r="AT139" s="3461"/>
      <c r="AU139" s="3461"/>
      <c r="AV139" s="3461"/>
      <c r="AW139" s="3461"/>
      <c r="AX139" s="3461"/>
      <c r="AY139" s="3461"/>
      <c r="AZ139" s="3563" t="str">
        <f>IF(OR(C138="",C138="  RF"),"",IF(BC139="",$AN$11,BC139))</f>
        <v>⑦</v>
      </c>
      <c r="BA139" s="3563"/>
      <c r="BB139" s="777" t="s">
        <v>34</v>
      </c>
      <c r="BC139" s="3521"/>
      <c r="BD139" s="3521"/>
      <c r="BE139" s="3564"/>
      <c r="BF139" s="3565"/>
      <c r="BG139" s="3565"/>
      <c r="BH139" s="3565"/>
      <c r="BI139" s="3565"/>
      <c r="BJ139" s="3565"/>
      <c r="BK139" s="3565"/>
      <c r="BL139" s="3565"/>
      <c r="BM139" s="3565"/>
      <c r="BN139" s="3565"/>
      <c r="BO139" s="3565"/>
      <c r="BP139" s="3565"/>
      <c r="BQ139" s="3565"/>
      <c r="BR139" s="3565"/>
      <c r="BS139" s="3565"/>
      <c r="BT139" s="3566"/>
      <c r="BU139" s="19"/>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38"/>
      <c r="DA139" s="15"/>
      <c r="DB139" s="8"/>
      <c r="DC139" s="180" t="s">
        <v>1182</v>
      </c>
      <c r="DD139" s="2589" t="str">
        <f>IF($AL$10="nC-FB","S-5C-FB",IF($AL$10="nD-FB","5D-FB","5C-2V"))</f>
        <v>S-5C-FB</v>
      </c>
      <c r="DE139" s="2591"/>
      <c r="DF139" s="3631">
        <f>IF(AB139="Ａ",(DK135+2*BW138-($X$7+$X$9)/1000)*DO138+(12+2*BW138-2*$X$9/1000)*DK135+DO139,IF(AB139="Ｂ",(DO138+2*BW138-$X$9/1000)*DK133+DO139,0))</f>
        <v>178.84032616999309</v>
      </c>
      <c r="DG139" s="3812"/>
      <c r="DH139" s="2589" t="str">
        <f>IF(OR(H139="天井ケーブル",H139="天井-PF管"),"PF-S-16mm",IF(H139="天井-CD管","CD-16mm",IF(H139="天井-C 管","C-19mm",IF(H139="天井-G 管","G-16mm",""))))</f>
        <v>PF-S-16mm</v>
      </c>
      <c r="DI139" s="2591"/>
      <c r="DJ139" s="3631">
        <f>IF(OR(C138="",C138="  RF"),0,IF(H139="天井ケーブル",DK133*(BW138-($X$9-$AM$9)/1000),(DO138+2*BW138-$X$9/1000)*DK133+DO139))</f>
        <v>37.799999999999997</v>
      </c>
      <c r="DK139" s="3812"/>
      <c r="DL139" s="15"/>
      <c r="DM139" s="46"/>
      <c r="DN139" s="46" t="s">
        <v>1181</v>
      </c>
      <c r="DO139" s="98">
        <f>DB137</f>
        <v>27</v>
      </c>
      <c r="DP139" s="15"/>
      <c r="DQ139" s="15"/>
      <c r="DR139" s="15"/>
      <c r="DS139" s="128" t="s">
        <v>1118</v>
      </c>
      <c r="DT139" s="86">
        <f>IF(AB139&lt;&gt;"Ｃ",0,IF(DZ139=0,0,DZ139))</f>
        <v>0</v>
      </c>
      <c r="DU139" s="8"/>
      <c r="DV139" s="8"/>
      <c r="DW139" s="86">
        <f>IF(AB139&lt;&gt;"Ｃ",0,IF(DZ139=0,0,1))</f>
        <v>0</v>
      </c>
      <c r="DX139" s="8"/>
      <c r="DY139" s="8"/>
      <c r="DZ139" s="86">
        <f>IF(AB139&lt;&gt;"Ｃ",0,IF(AND(DB132&gt;120,DB132&lt;=144),4,IF(AND(DB132&gt;144,DB132&lt;=180),5,0)))</f>
        <v>0</v>
      </c>
      <c r="EA139" s="38"/>
      <c r="EB139" s="776" t="str">
        <f>IF(OR($B$2=0,AD138=""),"","増幅器 "&amp;AD136&amp;AD137)</f>
        <v>増幅器 35/110</v>
      </c>
      <c r="EC139" s="38"/>
      <c r="ED139" s="122" t="str">
        <f>IF(BM138="","","直列Unit-終端1端子")</f>
        <v>直列Unit-終端1端子</v>
      </c>
      <c r="EE139" s="38">
        <f>BM138</f>
        <v>12</v>
      </c>
      <c r="EF139" s="38"/>
      <c r="EG139" s="38"/>
      <c r="EH139" s="197">
        <f t="shared" si="77"/>
        <v>4</v>
      </c>
      <c r="EI139" s="773" t="str">
        <f t="shared" si="78"/>
        <v/>
      </c>
      <c r="EJ139" s="203" t="str">
        <f>AS141</f>
        <v/>
      </c>
      <c r="EK139" s="9"/>
      <c r="EL139" s="9" t="str">
        <f>IF(COUNTIF($EJ$18:EJ138,EJ139)&gt;0,"",EJ139)</f>
        <v/>
      </c>
      <c r="EM139" s="9"/>
      <c r="EN139" s="14" t="str">
        <f>BB141</f>
        <v/>
      </c>
      <c r="EO139" s="771">
        <f t="shared" si="86"/>
        <v>0</v>
      </c>
      <c r="EP139" s="8"/>
      <c r="EQ139" s="38"/>
      <c r="ER139" s="197">
        <f t="shared" si="79"/>
        <v>3</v>
      </c>
      <c r="ES139" s="773" t="str">
        <f t="shared" si="80"/>
        <v/>
      </c>
      <c r="ET139" s="203" t="str">
        <f t="shared" si="87"/>
        <v>増幅器 35/110</v>
      </c>
      <c r="EU139" s="9"/>
      <c r="EV139" s="11" t="str">
        <f>IF(COUNTIF($ET$18:ET138,ET139)&gt;0,"",ET139)</f>
        <v/>
      </c>
      <c r="EW139" s="9"/>
      <c r="EX139" s="124">
        <f>AD138</f>
        <v>1</v>
      </c>
      <c r="EY139" s="771">
        <f t="shared" si="88"/>
        <v>0</v>
      </c>
      <c r="EZ139" s="8"/>
      <c r="FA139" s="38"/>
      <c r="FB139" s="197">
        <f t="shared" si="70"/>
        <v>10</v>
      </c>
      <c r="FC139" s="773" t="str">
        <f t="shared" si="71"/>
        <v/>
      </c>
      <c r="FD139" s="772" t="str">
        <f t="shared" si="89"/>
        <v>直列Unit-終端1端子</v>
      </c>
      <c r="FE139" s="9"/>
      <c r="FF139" s="11" t="str">
        <f>IF(COUNTIF($FD$15:FD138,FD139)&gt;0,"",FD139)</f>
        <v/>
      </c>
      <c r="FG139" s="9"/>
      <c r="FH139" s="124">
        <f>BM138</f>
        <v>12</v>
      </c>
      <c r="FI139" s="771">
        <f t="shared" si="90"/>
        <v>0</v>
      </c>
    </row>
    <row r="140" spans="1:165" ht="12" customHeight="1">
      <c r="A140" s="8"/>
      <c r="B140" s="23"/>
      <c r="C140" s="3905" t="s">
        <v>449</v>
      </c>
      <c r="D140" s="3905"/>
      <c r="E140" s="3905"/>
      <c r="F140" s="3904" t="str">
        <f>IF($H$15="ＣＡＴＶ","CATV引込","アンテナ部")</f>
        <v>アンテナ部</v>
      </c>
      <c r="G140" s="3904"/>
      <c r="H140" s="3904"/>
      <c r="I140" s="3904"/>
      <c r="J140" s="3904"/>
      <c r="K140" s="3908" t="str">
        <f>IF(OR(AW23="不要",$B$2=0,C138&lt;&gt;$X$10),"",IF(P140&lt;&gt;"",P140,DD137))</f>
        <v/>
      </c>
      <c r="L140" s="3908"/>
      <c r="M140" s="3908"/>
      <c r="N140" s="3908"/>
      <c r="O140" s="173" t="s">
        <v>34</v>
      </c>
      <c r="P140" s="3517"/>
      <c r="Q140" s="3517"/>
      <c r="R140" s="3517"/>
      <c r="S140" s="3517"/>
      <c r="T140" s="3526" t="str">
        <f>IF(AND(C138&lt;&gt;"",K140&lt;&gt;""),DF137,"")</f>
        <v/>
      </c>
      <c r="U140" s="3526"/>
      <c r="V140" s="3526"/>
      <c r="W140" s="3526"/>
      <c r="X140" s="3908" t="str">
        <f>IF(OR($B$2=0,K140=""),"",IF(AD140&lt;&gt;"",AD140,DH137))</f>
        <v/>
      </c>
      <c r="Y140" s="3908"/>
      <c r="Z140" s="3908"/>
      <c r="AA140" s="3908"/>
      <c r="AB140" s="3908"/>
      <c r="AC140" s="173" t="s">
        <v>34</v>
      </c>
      <c r="AD140" s="3525"/>
      <c r="AE140" s="3525"/>
      <c r="AF140" s="3525"/>
      <c r="AG140" s="3525"/>
      <c r="AH140" s="3525"/>
      <c r="AI140" s="3526" t="str">
        <f>IF(X140="","",IF(DJ137="","",DJ137))</f>
        <v/>
      </c>
      <c r="AJ140" s="3526"/>
      <c r="AK140" s="3526"/>
      <c r="AL140" s="3526"/>
      <c r="AM140" s="3904" t="s">
        <v>1077</v>
      </c>
      <c r="AN140" s="3904"/>
      <c r="AO140" s="3904"/>
      <c r="AP140" s="3904"/>
      <c r="AQ140" s="3904"/>
      <c r="AR140" s="3904"/>
      <c r="AS140" s="3908" t="str">
        <f>IF(OR(AW23="不要",$B$2=0,C138="",C138="  RF",AB139="Ｃ"),"",IF(AX140&lt;&gt;"",AX140,DD139))</f>
        <v>S-5C-FB</v>
      </c>
      <c r="AT140" s="3908"/>
      <c r="AU140" s="3908"/>
      <c r="AV140" s="3908"/>
      <c r="AW140" s="173" t="s">
        <v>34</v>
      </c>
      <c r="AX140" s="3517"/>
      <c r="AY140" s="3517"/>
      <c r="AZ140" s="3517"/>
      <c r="BA140" s="3517"/>
      <c r="BB140" s="3537">
        <f>IF(AS140&lt;&gt;"",DF139,"")</f>
        <v>178.84032616999309</v>
      </c>
      <c r="BC140" s="3537"/>
      <c r="BD140" s="3537"/>
      <c r="BE140" s="3537"/>
      <c r="BF140" s="3908" t="str">
        <f>IF(OR(C138="",AS140=""),"",IF(AB139="Ａ",DH138,DH139))</f>
        <v>PF-S-16mm</v>
      </c>
      <c r="BG140" s="3908"/>
      <c r="BH140" s="3908"/>
      <c r="BI140" s="3908"/>
      <c r="BJ140" s="3908"/>
      <c r="BK140" s="173" t="s">
        <v>34</v>
      </c>
      <c r="BL140" s="3525"/>
      <c r="BM140" s="3525"/>
      <c r="BN140" s="3525"/>
      <c r="BO140" s="3525"/>
      <c r="BP140" s="3525"/>
      <c r="BQ140" s="3526">
        <f>IF(BF140="","",DJ139)</f>
        <v>37.799999999999997</v>
      </c>
      <c r="BR140" s="3526"/>
      <c r="BS140" s="3526"/>
      <c r="BT140" s="3527"/>
      <c r="BU140" s="19"/>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774" t="s">
        <v>1180</v>
      </c>
      <c r="DD140" s="2589" t="str">
        <f>DD139</f>
        <v>S-5C-FB</v>
      </c>
      <c r="DE140" s="2591"/>
      <c r="DF140" s="3631">
        <f>IF(OR(C138="",C138="  RF",I138="直天"),0,1+INT(12+BW138-($X$9-$AM$9)/1000)*DK133+DO140)</f>
        <v>235</v>
      </c>
      <c r="DG140" s="3812"/>
      <c r="DH140" s="2589" t="str">
        <f>DH139</f>
        <v>PF-S-16mm</v>
      </c>
      <c r="DI140" s="2591"/>
      <c r="DJ140" s="3631">
        <f>IF(OR(C138="",C138="  RF"),0,IF(H139="天井ケーブル",DK133*(BW138-($X$9-2*$AM$9)/1000),1+INT(12+BW138-$X$9/1000)*DK133))</f>
        <v>41.400000000000006</v>
      </c>
      <c r="DK140" s="3812"/>
      <c r="DL140" s="15"/>
      <c r="DM140" s="15"/>
      <c r="DN140" s="46" t="s">
        <v>1075</v>
      </c>
      <c r="DO140" s="97">
        <f>IF(C138="",0,IF($AW$8=0,0,2*($AW$8/1000-0.15-0.1)*(INT(1000*DB136/$AW$10)+1)*(INT(1000*DC136/$AW$10)+1)*4))</f>
        <v>53.999999999999993</v>
      </c>
      <c r="DP140" s="15"/>
      <c r="DQ140" s="15"/>
      <c r="DR140" s="15"/>
      <c r="DS140" s="8"/>
      <c r="DT140" s="8"/>
      <c r="DU140" s="8"/>
      <c r="DV140" s="8"/>
      <c r="DW140" s="8"/>
      <c r="DX140" s="8"/>
      <c r="DY140" s="8"/>
      <c r="DZ140" s="8"/>
      <c r="EA140" s="8"/>
      <c r="EB140" s="769" t="str">
        <f>IF(OR($B$2=0,AG138=""),"","分岐器 1C")</f>
        <v/>
      </c>
      <c r="EC140" s="8"/>
      <c r="ED140" s="122" t="str">
        <f>IF(BQ138="","","直列Unit-終端2端子")</f>
        <v/>
      </c>
      <c r="EE140" s="8" t="str">
        <f>BQ138</f>
        <v/>
      </c>
      <c r="EF140" s="8"/>
      <c r="EG140" s="8"/>
      <c r="EH140" s="197">
        <f t="shared" si="77"/>
        <v>4</v>
      </c>
      <c r="EI140" s="773" t="str">
        <f t="shared" si="78"/>
        <v/>
      </c>
      <c r="EJ140" s="203" t="str">
        <f>BF140</f>
        <v>PF-S-16mm</v>
      </c>
      <c r="EK140" s="9"/>
      <c r="EL140" s="9" t="str">
        <f>IF(COUNTIF($EJ$18:EJ139,EJ140)&gt;0,"",EJ140)</f>
        <v/>
      </c>
      <c r="EM140" s="9"/>
      <c r="EN140" s="14">
        <f>BQ140</f>
        <v>37.799999999999997</v>
      </c>
      <c r="EO140" s="771">
        <f t="shared" si="86"/>
        <v>0</v>
      </c>
      <c r="EP140" s="8"/>
      <c r="EQ140" s="8"/>
      <c r="ER140" s="197">
        <f t="shared" si="79"/>
        <v>3</v>
      </c>
      <c r="ES140" s="773" t="str">
        <f t="shared" si="80"/>
        <v/>
      </c>
      <c r="ET140" s="203" t="str">
        <f t="shared" si="87"/>
        <v/>
      </c>
      <c r="EU140" s="9"/>
      <c r="EV140" s="11" t="str">
        <f>IF(COUNTIF($ET$18:ET139,ET140)&gt;0,"",ET140)</f>
        <v/>
      </c>
      <c r="EW140" s="9"/>
      <c r="EX140" s="124" t="str">
        <f>AG138</f>
        <v/>
      </c>
      <c r="EY140" s="771">
        <f t="shared" si="88"/>
        <v>0</v>
      </c>
      <c r="EZ140" s="8"/>
      <c r="FA140" s="8"/>
      <c r="FB140" s="197">
        <f t="shared" si="70"/>
        <v>10</v>
      </c>
      <c r="FC140" s="773" t="str">
        <f t="shared" si="71"/>
        <v/>
      </c>
      <c r="FD140" s="772" t="str">
        <f t="shared" si="89"/>
        <v/>
      </c>
      <c r="FE140" s="9"/>
      <c r="FF140" s="11" t="str">
        <f>IF(COUNTIF($FD$15:FD139,FD140)&gt;0,"",FD140)</f>
        <v/>
      </c>
      <c r="FG140" s="9"/>
      <c r="FH140" s="124" t="str">
        <f>BQ138</f>
        <v/>
      </c>
      <c r="FI140" s="771">
        <f t="shared" si="90"/>
        <v>0</v>
      </c>
    </row>
    <row r="141" spans="1:165" ht="12" customHeight="1" thickBot="1">
      <c r="A141" s="8"/>
      <c r="B141" s="23"/>
      <c r="C141" s="3922"/>
      <c r="D141" s="3922"/>
      <c r="E141" s="3922"/>
      <c r="F141" s="3920" t="s">
        <v>1074</v>
      </c>
      <c r="G141" s="3920"/>
      <c r="H141" s="3920"/>
      <c r="I141" s="3920"/>
      <c r="J141" s="3920"/>
      <c r="K141" s="3506" t="str">
        <f>IF(OR(C138="",C138="  RF",$B$2=0),"",IF(P141&lt;&gt;"",P141,DD138))</f>
        <v>S-7C-FB</v>
      </c>
      <c r="L141" s="3506"/>
      <c r="M141" s="3506"/>
      <c r="N141" s="3506"/>
      <c r="O141" s="800" t="s">
        <v>34</v>
      </c>
      <c r="P141" s="3536"/>
      <c r="Q141" s="3536"/>
      <c r="R141" s="3536"/>
      <c r="S141" s="3536"/>
      <c r="T141" s="3538">
        <f>IF(R135="不",F138,IF(K141="","",DF138))</f>
        <v>6</v>
      </c>
      <c r="U141" s="3538"/>
      <c r="V141" s="3538"/>
      <c r="W141" s="3538"/>
      <c r="X141" s="3506" t="str">
        <f>IF(R135="不","",IF(OR(C138="",K141=""),"",IF(AD141&lt;&gt;"",AD141,IF(DH138="","",DH138))))</f>
        <v>PF-S-22mm</v>
      </c>
      <c r="Y141" s="3506"/>
      <c r="Z141" s="3506"/>
      <c r="AA141" s="3506"/>
      <c r="AB141" s="3506"/>
      <c r="AC141" s="800" t="s">
        <v>34</v>
      </c>
      <c r="AD141" s="3533"/>
      <c r="AE141" s="3533"/>
      <c r="AF141" s="3533"/>
      <c r="AG141" s="3533"/>
      <c r="AH141" s="3533"/>
      <c r="AI141" s="3538">
        <f>IF(X141="","",DJ138)</f>
        <v>4</v>
      </c>
      <c r="AJ141" s="3538"/>
      <c r="AK141" s="3538"/>
      <c r="AL141" s="3538"/>
      <c r="AM141" s="3920" t="s">
        <v>1073</v>
      </c>
      <c r="AN141" s="3920"/>
      <c r="AO141" s="3920"/>
      <c r="AP141" s="3920"/>
      <c r="AQ141" s="3920"/>
      <c r="AR141" s="3920"/>
      <c r="AS141" s="3506" t="str">
        <f>IF(OR(AW23="不要",$B$2=0,C138="",AB139&lt;&gt;"Ｃ"),"",IF(AX141&lt;&gt;"",AX141,DD140))</f>
        <v/>
      </c>
      <c r="AT141" s="3506"/>
      <c r="AU141" s="3506"/>
      <c r="AV141" s="3506"/>
      <c r="AW141" s="800" t="s">
        <v>34</v>
      </c>
      <c r="AX141" s="3536"/>
      <c r="AY141" s="3536"/>
      <c r="AZ141" s="3536"/>
      <c r="BA141" s="3536"/>
      <c r="BB141" s="3921" t="str">
        <f>IF(AS141="","",DF140)</f>
        <v/>
      </c>
      <c r="BC141" s="3921"/>
      <c r="BD141" s="3921"/>
      <c r="BE141" s="3921"/>
      <c r="BF141" s="3506" t="str">
        <f>IF(OR(C138="",AS141=""),"",IF(BL141&lt;&gt;"",BL141,DH140))</f>
        <v/>
      </c>
      <c r="BG141" s="3506"/>
      <c r="BH141" s="3506"/>
      <c r="BI141" s="3506"/>
      <c r="BJ141" s="3506"/>
      <c r="BK141" s="800" t="s">
        <v>34</v>
      </c>
      <c r="BL141" s="3533"/>
      <c r="BM141" s="3533"/>
      <c r="BN141" s="3533"/>
      <c r="BO141" s="3533"/>
      <c r="BP141" s="3533"/>
      <c r="BQ141" s="3538" t="str">
        <f>IF(BF141="","",DJ140)</f>
        <v/>
      </c>
      <c r="BR141" s="3538"/>
      <c r="BS141" s="3538"/>
      <c r="BT141" s="3539"/>
      <c r="BU141" s="19"/>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8">
        <f>IF(AND(AB148="Ａ",$X$11="2端子"),BI147+BQ147,IF(AND(AB148="Ａ",$X$11="1端子"),BE147+BM147,IF(AND(AB148="Ｂ",$X$11="1端子"),BM147,IF(AND(AB148="Ｂ",$X$11="2端子"),BQ147,IF(AND(AB148="Ｃ",$X$11="1端子"),BM147,BQ147)))))</f>
        <v>18</v>
      </c>
      <c r="DC141" s="10"/>
      <c r="DD141" s="8"/>
      <c r="DE141" s="8"/>
      <c r="DF141" s="8"/>
      <c r="DG141" s="8"/>
      <c r="DH141" s="8"/>
      <c r="DI141" s="8"/>
      <c r="DJ141" s="8"/>
      <c r="DK141" s="8"/>
      <c r="DL141" s="8"/>
      <c r="DM141" s="8"/>
      <c r="DN141" s="8"/>
      <c r="DO141" s="8"/>
      <c r="DP141" s="15"/>
      <c r="DQ141" s="15"/>
      <c r="DR141" s="15"/>
      <c r="DS141" s="8"/>
      <c r="DT141" s="8"/>
      <c r="DU141" s="8"/>
      <c r="DV141" s="8"/>
      <c r="DW141" s="8"/>
      <c r="DX141" s="8"/>
      <c r="DY141" s="8"/>
      <c r="DZ141" s="8"/>
      <c r="EA141" s="8"/>
      <c r="EB141" s="769" t="str">
        <f>IF(OR($B$2=0,AK138=""),"","分岐器 2C")</f>
        <v>分岐器 2C</v>
      </c>
      <c r="EC141" s="8"/>
      <c r="ED141" s="10"/>
      <c r="EE141" s="8"/>
      <c r="EF141" s="8"/>
      <c r="EG141" s="8"/>
      <c r="EH141" s="197">
        <f t="shared" si="77"/>
        <v>4</v>
      </c>
      <c r="EI141" s="773" t="str">
        <f t="shared" si="78"/>
        <v/>
      </c>
      <c r="EJ141" s="203" t="str">
        <f>BF141</f>
        <v/>
      </c>
      <c r="EK141" s="9"/>
      <c r="EL141" s="9" t="str">
        <f>IF(COUNTIF($EJ$18:EJ140,EJ141)&gt;0,"",EJ141)</f>
        <v/>
      </c>
      <c r="EM141" s="9"/>
      <c r="EN141" s="14" t="str">
        <f>BQ141</f>
        <v/>
      </c>
      <c r="EO141" s="771">
        <f t="shared" si="86"/>
        <v>0</v>
      </c>
      <c r="EP141" s="8"/>
      <c r="EQ141" s="8"/>
      <c r="ER141" s="197">
        <f t="shared" si="79"/>
        <v>3</v>
      </c>
      <c r="ES141" s="773" t="str">
        <f t="shared" si="80"/>
        <v/>
      </c>
      <c r="ET141" s="203" t="str">
        <f t="shared" si="87"/>
        <v>分岐器 2C</v>
      </c>
      <c r="EU141" s="9"/>
      <c r="EV141" s="11" t="str">
        <f>IF(COUNTIF($ET$18:ET140,ET141)&gt;0,"",ET141)</f>
        <v/>
      </c>
      <c r="EW141" s="9"/>
      <c r="EX141" s="124">
        <f>AK138</f>
        <v>1</v>
      </c>
      <c r="EY141" s="771">
        <f t="shared" si="88"/>
        <v>0</v>
      </c>
      <c r="EZ141" s="8"/>
      <c r="FA141" s="8"/>
      <c r="FB141" s="197">
        <f t="shared" si="70"/>
        <v>10</v>
      </c>
      <c r="FC141" s="773" t="str">
        <f t="shared" si="71"/>
        <v/>
      </c>
      <c r="FD141" s="772"/>
      <c r="FE141" s="9"/>
      <c r="FF141" s="11"/>
      <c r="FG141" s="9"/>
      <c r="FH141" s="124"/>
      <c r="FI141" s="771"/>
    </row>
    <row r="142" spans="1:165" ht="12" customHeight="1" thickBot="1">
      <c r="B142" s="23"/>
      <c r="C142" s="20"/>
      <c r="D142" s="20"/>
      <c r="E142" s="20"/>
      <c r="F142" s="20"/>
      <c r="G142" s="20"/>
      <c r="H142" s="20"/>
      <c r="I142" s="20"/>
      <c r="J142" s="20"/>
      <c r="K142" s="20"/>
      <c r="L142" s="20"/>
      <c r="M142" s="20"/>
      <c r="N142" s="20"/>
      <c r="O142" s="20"/>
      <c r="P142" s="20"/>
      <c r="Q142" s="787" t="str">
        <f>IF(AND(OR(AB148="Ａ",F258="Ａ"),DB141&gt;24),"直列ユニット数………配線方式Ａ：24以下!!",IF(AND(OR(AB148="Ｂ",F258="Ｂ"),DB141&gt;12),"直列ユニット数………配線方式Ｂ：12以下!!",IF(AND(OR(AB148="Ｃ",F258="Ｃ"),DB141&gt;180),"直列ユニット数………配線方式Ｃ：180以下!!","")))</f>
        <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19"/>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v>14</v>
      </c>
      <c r="DB142" s="92" t="str">
        <f>IF(OR(V113="不要",C147="",C147="  RF"),"",IF(DK142&lt;=12,"Ｂ",IF(DK142&lt;=24,"Ａ","Ｃ")))</f>
        <v>Ａ</v>
      </c>
      <c r="DC142" s="10"/>
      <c r="DD142" s="8"/>
      <c r="DE142" s="8"/>
      <c r="DF142" s="8"/>
      <c r="DG142" s="8"/>
      <c r="DH142" s="8"/>
      <c r="DI142" s="8"/>
      <c r="DJ142" s="8"/>
      <c r="DK142" s="159">
        <f>IF(OR(C147="",C147="  RF"),0,SUM(Q147:V147))</f>
        <v>17</v>
      </c>
      <c r="DL142" s="8"/>
      <c r="DM142" s="8"/>
      <c r="DN142" s="8"/>
      <c r="DO142" s="8"/>
      <c r="DP142" s="8"/>
      <c r="DQ142" s="8"/>
      <c r="DR142" s="8"/>
      <c r="DS142" s="8"/>
      <c r="DT142" s="8"/>
      <c r="DU142" s="8"/>
      <c r="DV142" s="8"/>
      <c r="DW142" s="8"/>
      <c r="DX142" s="8"/>
      <c r="DY142" s="8"/>
      <c r="DZ142" s="8"/>
      <c r="EA142" s="8"/>
      <c r="EB142" s="8"/>
      <c r="EC142" s="8"/>
      <c r="ED142" s="8"/>
      <c r="EE142" s="8"/>
      <c r="EF142" s="8"/>
      <c r="EG142" s="88">
        <v>14</v>
      </c>
      <c r="EH142" s="204">
        <f t="shared" si="77"/>
        <v>4</v>
      </c>
      <c r="EI142" s="768" t="str">
        <f t="shared" si="78"/>
        <v/>
      </c>
      <c r="EJ142" s="45"/>
      <c r="EK142" s="45"/>
      <c r="EL142" s="45"/>
      <c r="EM142" s="45"/>
      <c r="EN142" s="45"/>
      <c r="EO142" s="785"/>
      <c r="EP142" s="8"/>
      <c r="EQ142" s="88">
        <v>14</v>
      </c>
      <c r="ER142" s="204">
        <f t="shared" si="79"/>
        <v>3</v>
      </c>
      <c r="ES142" s="768" t="str">
        <f t="shared" si="80"/>
        <v/>
      </c>
      <c r="ET142" s="45"/>
      <c r="EU142" s="45"/>
      <c r="EV142" s="154"/>
      <c r="EW142" s="45"/>
      <c r="EX142" s="45"/>
      <c r="EY142" s="785"/>
      <c r="EZ142" s="8"/>
      <c r="FA142" s="88">
        <v>14</v>
      </c>
      <c r="FB142" s="204">
        <f t="shared" si="70"/>
        <v>10</v>
      </c>
      <c r="FC142" s="768" t="str">
        <f t="shared" si="71"/>
        <v/>
      </c>
      <c r="FD142" s="786"/>
      <c r="FE142" s="45"/>
      <c r="FF142" s="154"/>
      <c r="FG142" s="45"/>
      <c r="FH142" s="208"/>
      <c r="FI142" s="785"/>
    </row>
    <row r="143" spans="1:165" ht="11.25" customHeight="1" thickBot="1">
      <c r="B143" s="23"/>
      <c r="C143" s="3399" t="s">
        <v>1142</v>
      </c>
      <c r="D143" s="3412"/>
      <c r="E143" s="3412"/>
      <c r="F143" s="3412"/>
      <c r="G143" s="3412"/>
      <c r="H143" s="3412"/>
      <c r="I143" s="3412"/>
      <c r="J143" s="3412"/>
      <c r="K143" s="3412"/>
      <c r="L143" s="3413"/>
      <c r="M143" s="3853" t="str">
        <f>非誘!J99</f>
        <v>(3) イ</v>
      </c>
      <c r="N143" s="3854"/>
      <c r="O143" s="3854"/>
      <c r="P143" s="3854"/>
      <c r="Q143" s="3855"/>
      <c r="R143" s="2299" t="str">
        <f>IF($B$2=0,"","共聴機器")</f>
        <v>共聴機器</v>
      </c>
      <c r="S143" s="2299"/>
      <c r="T143" s="2299"/>
      <c r="U143" s="2299"/>
      <c r="V143" s="2299"/>
      <c r="W143" s="3412" t="s">
        <v>1141</v>
      </c>
      <c r="X143" s="3412"/>
      <c r="Y143" s="3412"/>
      <c r="Z143" s="3413"/>
      <c r="AA143" s="2637" t="s">
        <v>1140</v>
      </c>
      <c r="AB143" s="2638"/>
      <c r="AC143" s="2638"/>
      <c r="AD143" s="2638"/>
      <c r="AE143" s="2638"/>
      <c r="AF143" s="2639"/>
      <c r="AG143" s="3879" t="s">
        <v>1139</v>
      </c>
      <c r="AH143" s="3879"/>
      <c r="AI143" s="3879"/>
      <c r="AJ143" s="3879"/>
      <c r="AK143" s="3879"/>
      <c r="AL143" s="3879"/>
      <c r="AM143" s="3879"/>
      <c r="AN143" s="3879"/>
      <c r="AO143" s="3879"/>
      <c r="AP143" s="3879"/>
      <c r="AQ143" s="3879"/>
      <c r="AR143" s="3879"/>
      <c r="AS143" s="2637" t="s">
        <v>1138</v>
      </c>
      <c r="AT143" s="2638"/>
      <c r="AU143" s="2638"/>
      <c r="AV143" s="2638"/>
      <c r="AW143" s="2638"/>
      <c r="AX143" s="2638"/>
      <c r="AY143" s="2638"/>
      <c r="AZ143" s="2638"/>
      <c r="BA143" s="2638"/>
      <c r="BB143" s="2638"/>
      <c r="BC143" s="2638"/>
      <c r="BD143" s="2639"/>
      <c r="BE143" s="2637" t="s">
        <v>1137</v>
      </c>
      <c r="BF143" s="2638"/>
      <c r="BG143" s="2638"/>
      <c r="BH143" s="2638"/>
      <c r="BI143" s="2638"/>
      <c r="BJ143" s="2638"/>
      <c r="BK143" s="2638"/>
      <c r="BL143" s="2638"/>
      <c r="BM143" s="2638"/>
      <c r="BN143" s="2638"/>
      <c r="BO143" s="2638"/>
      <c r="BP143" s="2638"/>
      <c r="BQ143" s="2638"/>
      <c r="BR143" s="2638"/>
      <c r="BS143" s="2638"/>
      <c r="BT143" s="2639"/>
      <c r="BU143" s="19"/>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15"/>
      <c r="DA143" s="788" t="str">
        <f>IF(DB162&lt;&gt;"","Amp-2","")</f>
        <v>Amp-2</v>
      </c>
      <c r="DB143" s="97">
        <f>IF(C147="","",DB134+1)</f>
        <v>14</v>
      </c>
      <c r="DC143" s="15" t="str">
        <f>IF($X$10=C147,"＝",IF(VLOOKUP(C147,[2]!階高,3,FALSE)-VLOOKUP($X$10,[2]!階高,3,FALSE)&gt;0,"＋","－"))</f>
        <v>－</v>
      </c>
      <c r="DD143" s="38"/>
      <c r="DE143" s="113" t="s">
        <v>1084</v>
      </c>
      <c r="DF143" s="113" t="s">
        <v>1210</v>
      </c>
      <c r="DG143" s="113" t="s">
        <v>1209</v>
      </c>
      <c r="DH143" s="113" t="s">
        <v>1208</v>
      </c>
      <c r="DI143" s="113" t="s">
        <v>1104</v>
      </c>
      <c r="DJ143" s="113" t="s">
        <v>1083</v>
      </c>
      <c r="DK143" s="90" t="s">
        <v>1211</v>
      </c>
      <c r="DL143" s="38"/>
      <c r="DM143" s="113" t="s">
        <v>1084</v>
      </c>
      <c r="DN143" s="113" t="s">
        <v>1210</v>
      </c>
      <c r="DO143" s="113" t="s">
        <v>1209</v>
      </c>
      <c r="DP143" s="113" t="s">
        <v>1208</v>
      </c>
      <c r="DQ143" s="113" t="s">
        <v>1104</v>
      </c>
      <c r="DR143" s="113" t="s">
        <v>1083</v>
      </c>
      <c r="DS143" s="38"/>
      <c r="DT143" s="113" t="s">
        <v>1084</v>
      </c>
      <c r="DU143" s="113" t="s">
        <v>1208</v>
      </c>
      <c r="DV143" s="113" t="s">
        <v>1104</v>
      </c>
      <c r="DW143" s="113" t="s">
        <v>1083</v>
      </c>
      <c r="DX143" s="113" t="s">
        <v>1208</v>
      </c>
      <c r="DY143" s="113" t="s">
        <v>1208</v>
      </c>
      <c r="DZ143" s="113" t="s">
        <v>1208</v>
      </c>
      <c r="EA143" s="113"/>
      <c r="EB143" s="776" t="str">
        <f>IF(OR($B$2=0,W147=""),"","混合器 U-U")</f>
        <v/>
      </c>
      <c r="EC143" s="15"/>
      <c r="ED143" s="782" t="str">
        <f>IF(AS147="","","分配器 2D")</f>
        <v/>
      </c>
      <c r="EE143" s="15" t="str">
        <f>AS147</f>
        <v/>
      </c>
      <c r="EF143" s="15"/>
      <c r="EG143" s="8"/>
      <c r="EH143" s="197">
        <f t="shared" si="77"/>
        <v>4</v>
      </c>
      <c r="EI143" s="773" t="str">
        <f t="shared" si="78"/>
        <v/>
      </c>
      <c r="EJ143" s="203" t="str">
        <f>K149</f>
        <v/>
      </c>
      <c r="EK143" s="9"/>
      <c r="EL143" s="9" t="str">
        <f>IF(COUNTIF($EJ$18:EJ142,EJ143)&gt;0,"",EJ143)</f>
        <v/>
      </c>
      <c r="EM143" s="9"/>
      <c r="EN143" s="14" t="str">
        <f>T149</f>
        <v/>
      </c>
      <c r="EO143" s="771">
        <f t="shared" ref="EO143:EO150" si="91">SUMIF($EJ$25:$EJ$225,EL143,$EN$25:$EN$225)</f>
        <v>0</v>
      </c>
      <c r="EP143" s="8"/>
      <c r="EQ143" s="8"/>
      <c r="ER143" s="197">
        <f t="shared" si="79"/>
        <v>3</v>
      </c>
      <c r="ES143" s="773" t="str">
        <f t="shared" si="80"/>
        <v/>
      </c>
      <c r="ET143" s="203" t="str">
        <f t="shared" ref="ET143:ET150" si="92">EB143</f>
        <v/>
      </c>
      <c r="EU143" s="9"/>
      <c r="EV143" s="11" t="str">
        <f>IF(COUNTIF($ET$18:ET142,ET143)&gt;0,"",ET143)</f>
        <v/>
      </c>
      <c r="EW143" s="9"/>
      <c r="EX143" s="124" t="str">
        <f>W147</f>
        <v/>
      </c>
      <c r="EY143" s="771">
        <f t="shared" ref="EY143:EY150" si="93">SUMIF($ET$25:$ET$225,EV143,$EX$25:$EX$225)</f>
        <v>0</v>
      </c>
      <c r="EZ143" s="8"/>
      <c r="FA143" s="8"/>
      <c r="FB143" s="197">
        <f t="shared" si="70"/>
        <v>10</v>
      </c>
      <c r="FC143" s="773" t="str">
        <f t="shared" si="71"/>
        <v/>
      </c>
      <c r="FD143" s="772" t="str">
        <f t="shared" ref="FD143:FD149" si="94">ED143</f>
        <v/>
      </c>
      <c r="FE143" s="9"/>
      <c r="FF143" s="11" t="str">
        <f>IF(COUNTIF($FD$15:FD142,FD143)&gt;0,"",FD143)</f>
        <v/>
      </c>
      <c r="FG143" s="9"/>
      <c r="FH143" s="124" t="str">
        <f>AS147</f>
        <v/>
      </c>
      <c r="FI143" s="771">
        <f t="shared" ref="FI143:FI149" si="95">SUMIF($FD$18:$FD$205,FF143,$FH$18:$FH$205)</f>
        <v>0</v>
      </c>
    </row>
    <row r="144" spans="1:165" ht="11.25" customHeight="1" thickBot="1">
      <c r="B144" s="23"/>
      <c r="C144" s="3857" t="str">
        <f>"　"&amp;非誘!M99</f>
        <v>　料理店等</v>
      </c>
      <c r="D144" s="3858"/>
      <c r="E144" s="3858"/>
      <c r="F144" s="3858"/>
      <c r="G144" s="3858"/>
      <c r="H144" s="3858"/>
      <c r="I144" s="3858"/>
      <c r="J144" s="3858"/>
      <c r="K144" s="3858"/>
      <c r="L144" s="3858"/>
      <c r="M144" s="3858"/>
      <c r="N144" s="3858"/>
      <c r="O144" s="3858"/>
      <c r="P144" s="3858"/>
      <c r="Q144" s="3859"/>
      <c r="R144" s="2337" t="str">
        <f>IF(U144&lt;&gt;"",U144,IF(C147="","","設"))</f>
        <v>設</v>
      </c>
      <c r="S144" s="2337"/>
      <c r="T144" s="175" t="s">
        <v>34</v>
      </c>
      <c r="U144" s="2338"/>
      <c r="V144" s="2338"/>
      <c r="W144" s="3860" t="s">
        <v>1217</v>
      </c>
      <c r="X144" s="3863" t="s">
        <v>1216</v>
      </c>
      <c r="Y144" s="3863" t="s">
        <v>1215</v>
      </c>
      <c r="Z144" s="3866"/>
      <c r="AA144" s="3528" t="s">
        <v>1214</v>
      </c>
      <c r="AB144" s="3519"/>
      <c r="AC144" s="3519"/>
      <c r="AD144" s="3519"/>
      <c r="AE144" s="3519"/>
      <c r="AF144" s="3520"/>
      <c r="AG144" s="3528" t="s">
        <v>1084</v>
      </c>
      <c r="AH144" s="3519"/>
      <c r="AI144" s="3519"/>
      <c r="AJ144" s="3529"/>
      <c r="AK144" s="3518" t="s">
        <v>1210</v>
      </c>
      <c r="AL144" s="3519"/>
      <c r="AM144" s="3519"/>
      <c r="AN144" s="3529"/>
      <c r="AO144" s="3518" t="s">
        <v>1209</v>
      </c>
      <c r="AP144" s="3519"/>
      <c r="AQ144" s="3519"/>
      <c r="AR144" s="3520"/>
      <c r="AS144" s="3528" t="s">
        <v>1208</v>
      </c>
      <c r="AT144" s="3519"/>
      <c r="AU144" s="3519"/>
      <c r="AV144" s="3529"/>
      <c r="AW144" s="3518" t="s">
        <v>1104</v>
      </c>
      <c r="AX144" s="3519"/>
      <c r="AY144" s="3519"/>
      <c r="AZ144" s="3529"/>
      <c r="BA144" s="3518" t="s">
        <v>1083</v>
      </c>
      <c r="BB144" s="3519"/>
      <c r="BC144" s="3519"/>
      <c r="BD144" s="3520"/>
      <c r="BE144" s="3528" t="s">
        <v>1123</v>
      </c>
      <c r="BF144" s="3519"/>
      <c r="BG144" s="3519"/>
      <c r="BH144" s="3519"/>
      <c r="BI144" s="3519"/>
      <c r="BJ144" s="3519"/>
      <c r="BK144" s="3519"/>
      <c r="BL144" s="3529"/>
      <c r="BM144" s="3518" t="s">
        <v>1122</v>
      </c>
      <c r="BN144" s="3519"/>
      <c r="BO144" s="3519"/>
      <c r="BP144" s="3519"/>
      <c r="BQ144" s="3519"/>
      <c r="BR144" s="3519"/>
      <c r="BS144" s="3519"/>
      <c r="BT144" s="3520"/>
      <c r="BU144" s="19"/>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15"/>
      <c r="DA144" s="15">
        <f>IF(AG147&lt;&gt;"",2,IF(AK147&lt;&gt;"",3,0))</f>
        <v>3</v>
      </c>
      <c r="DB144" s="86" t="s">
        <v>79</v>
      </c>
      <c r="DC144" s="86" t="s">
        <v>77</v>
      </c>
      <c r="DD144" s="128" t="s">
        <v>1121</v>
      </c>
      <c r="DE144" s="86">
        <f>IF(AB148&lt;&gt;"Ａ",0,IF(AND(2*DK144&gt;=4,2*DK144&lt;=12),1,0))</f>
        <v>0</v>
      </c>
      <c r="DF144" s="86">
        <f>IF(AB148&lt;&gt;"Ａ",0,IF(AND(2*DK144&gt;=16,DK144&lt;=24),1,0))</f>
        <v>1</v>
      </c>
      <c r="DG144" s="97" t="s">
        <v>96</v>
      </c>
      <c r="DH144" s="86">
        <f>IF(AB148&lt;&gt;"Ａ",0,IF(2*DK144&lt;=4,1,0))</f>
        <v>0</v>
      </c>
      <c r="DI144" s="86">
        <f>IF(AB148&lt;&gt;"Ａ",0,IF(OR(AND(2*DK144&gt;4,2*DK144&lt;=8),AND(2*DK144&gt;12,2*DK144&lt;=16)),1,0))</f>
        <v>0</v>
      </c>
      <c r="DJ144" s="183">
        <f>IF(AB148&lt;&gt;"Ａ",0,IF(OR(AND(2*DK144&gt;8,2*DK144&lt;=12),AND(2*DK144&gt;16,2*DK144&lt;=24)),1,0))</f>
        <v>1</v>
      </c>
      <c r="DK144" s="783">
        <f>IF(OR(C147="",C147="  RF"),0,IF(Q147="",INT((T147)/2),INT((Q147+INT(T147))/2)+1))</f>
        <v>9</v>
      </c>
      <c r="DL144" s="128" t="s">
        <v>1119</v>
      </c>
      <c r="DM144" s="86">
        <f>IF(AB148&lt;&gt;"Ｂ",0,IF(DB141&lt;=6,1,0))</f>
        <v>0</v>
      </c>
      <c r="DN144" s="86">
        <f>IF(AB148&lt;&gt;"Ｂ",0,IF(AND(DB141&gt;6,DB141&lt;=12),1,0))</f>
        <v>0</v>
      </c>
      <c r="DO144" s="97" t="s">
        <v>96</v>
      </c>
      <c r="DP144" s="86">
        <f>IF(AB148&lt;&gt;"Ｂ",0,IF(DB141&lt;=2,1,0))</f>
        <v>0</v>
      </c>
      <c r="DQ144" s="86">
        <f>IF(AB148&lt;&gt;"Ｂ",0,IF(OR(AND(DB141&gt;2,DB141&lt;6),AND(DB141&gt;6,DB141&lt;=8)),1,0))</f>
        <v>0</v>
      </c>
      <c r="DR144" s="86">
        <f>IF(AB148&lt;&gt;"Ｂ",0,IF(OR(AND(DB141&gt;4,DB141&lt;6),AND(DB141&gt;8,DB141&lt;=12)),1,0))</f>
        <v>0</v>
      </c>
      <c r="DS144" s="128" t="s">
        <v>1118</v>
      </c>
      <c r="DT144" s="159">
        <f>IF(AB148&lt;&gt;"Ｃ",0,IF(DX144&lt;&gt;0,DX144,IF(DY144&lt;&gt;0,DY144,IF(DZ144&lt;&gt;0,DZ144,0))))</f>
        <v>0</v>
      </c>
      <c r="DU144" s="159">
        <f>IF(AB148&lt;&gt;"Ｃ",0,IF(DX144=0,0,1))</f>
        <v>0</v>
      </c>
      <c r="DV144" s="159">
        <f>IF(AB148&lt;&gt;"Ｃ",0,IF(DY144=0,0,1))</f>
        <v>0</v>
      </c>
      <c r="DW144" s="783">
        <f>IF(AB148&lt;&gt;"Ｃ",0,IF(DZ144=0,0,1))</f>
        <v>0</v>
      </c>
      <c r="DX144" s="714">
        <f>IF(AB148&lt;&gt;"Ｃ",0,IF(DB141&lt;=12,3,IF(AND(DB141&gt;12,DB141&lt;=16),4,IF(AND(DB141&gt;16,DB141&lt;=20),5,0))))</f>
        <v>0</v>
      </c>
      <c r="DY144" s="86">
        <f>IF(AB148&lt;&gt;"Ｃ",0,IF(AND(DB141&gt;20,DB141&lt;=24),3,IF(AND(DB141&gt;24,DB141&lt;=32),4,IF(AND(DB141&gt;32,DB141&lt;=40),5,0))))</f>
        <v>0</v>
      </c>
      <c r="DZ144" s="97">
        <f>IF(AB148&lt;&gt;"Ｃ",0,IF(AND(DB141&gt;40,DB141&lt;=48),4,IF(AND(DB141&gt;48,DB141&lt;=60),5,0)))</f>
        <v>0</v>
      </c>
      <c r="EA144" s="96"/>
      <c r="EB144" s="776" t="str">
        <f>IF(OR($B$2=0,X147=""),"","混合器 BS-CS")</f>
        <v/>
      </c>
      <c r="EC144" s="96"/>
      <c r="ED144" s="782" t="str">
        <f>IF(AW147="","","分配器 4D")</f>
        <v/>
      </c>
      <c r="EE144" s="96" t="str">
        <f>AW147</f>
        <v/>
      </c>
      <c r="EF144" s="96"/>
      <c r="EG144" s="96"/>
      <c r="EH144" s="197">
        <f t="shared" si="77"/>
        <v>4</v>
      </c>
      <c r="EI144" s="773" t="str">
        <f t="shared" si="78"/>
        <v/>
      </c>
      <c r="EJ144" s="203" t="str">
        <f>K150</f>
        <v>S-7C-FB</v>
      </c>
      <c r="EK144" s="9"/>
      <c r="EL144" s="9" t="str">
        <f>IF(COUNTIF($EJ$18:EJ143,EJ144)&gt;0,"",EJ144)</f>
        <v/>
      </c>
      <c r="EM144" s="9"/>
      <c r="EN144" s="14">
        <f>T150</f>
        <v>6</v>
      </c>
      <c r="EO144" s="771">
        <f t="shared" si="91"/>
        <v>0</v>
      </c>
      <c r="EP144" s="8"/>
      <c r="EQ144" s="96"/>
      <c r="ER144" s="197">
        <f t="shared" si="79"/>
        <v>3</v>
      </c>
      <c r="ES144" s="773" t="str">
        <f t="shared" si="80"/>
        <v/>
      </c>
      <c r="ET144" s="203" t="str">
        <f t="shared" si="92"/>
        <v/>
      </c>
      <c r="EU144" s="9"/>
      <c r="EV144" s="11" t="str">
        <f>IF(COUNTIF($ET$18:ET143,ET144)&gt;0,"",ET144)</f>
        <v/>
      </c>
      <c r="EW144" s="9"/>
      <c r="EX144" s="124" t="str">
        <f>X147</f>
        <v/>
      </c>
      <c r="EY144" s="771">
        <f t="shared" si="93"/>
        <v>0</v>
      </c>
      <c r="EZ144" s="8"/>
      <c r="FA144" s="96"/>
      <c r="FB144" s="197">
        <f t="shared" si="70"/>
        <v>10</v>
      </c>
      <c r="FC144" s="773" t="str">
        <f t="shared" si="71"/>
        <v/>
      </c>
      <c r="FD144" s="772" t="str">
        <f t="shared" si="94"/>
        <v/>
      </c>
      <c r="FE144" s="9"/>
      <c r="FF144" s="11" t="str">
        <f>IF(COUNTIF($FD$15:FD143,FD144)&gt;0,"",FD144)</f>
        <v/>
      </c>
      <c r="FG144" s="9"/>
      <c r="FH144" s="124" t="str">
        <f>AW147</f>
        <v/>
      </c>
      <c r="FI144" s="771">
        <f t="shared" si="95"/>
        <v>0</v>
      </c>
    </row>
    <row r="145" spans="1:165" ht="11.25" customHeight="1" thickBot="1">
      <c r="B145" s="23"/>
      <c r="C145" s="3819" t="s">
        <v>16</v>
      </c>
      <c r="D145" s="3820"/>
      <c r="E145" s="3821"/>
      <c r="F145" s="3869" t="s">
        <v>22</v>
      </c>
      <c r="G145" s="3870"/>
      <c r="H145" s="3871"/>
      <c r="I145" s="3869" t="s">
        <v>5</v>
      </c>
      <c r="J145" s="3870"/>
      <c r="K145" s="3870"/>
      <c r="L145" s="3871"/>
      <c r="M145" s="3819" t="s">
        <v>1176</v>
      </c>
      <c r="N145" s="3820"/>
      <c r="O145" s="3820"/>
      <c r="P145" s="3821"/>
      <c r="Q145" s="3819" t="s">
        <v>1175</v>
      </c>
      <c r="R145" s="3820"/>
      <c r="S145" s="3821"/>
      <c r="T145" s="3819" t="s">
        <v>1175</v>
      </c>
      <c r="U145" s="3820"/>
      <c r="V145" s="3821"/>
      <c r="W145" s="3861"/>
      <c r="X145" s="3864"/>
      <c r="Y145" s="3864"/>
      <c r="Z145" s="3867"/>
      <c r="AA145" s="3872" t="str">
        <f>IF($AG$15&lt;=65,"40/","35/")</f>
        <v>40/</v>
      </c>
      <c r="AB145" s="3873"/>
      <c r="AC145" s="3873"/>
      <c r="AD145" s="3873" t="str">
        <f>IF(CW259&gt;55,"40/","35/")</f>
        <v>35/</v>
      </c>
      <c r="AE145" s="3873"/>
      <c r="AF145" s="3875"/>
      <c r="AG145" s="3876" t="s">
        <v>1114</v>
      </c>
      <c r="AH145" s="3877"/>
      <c r="AI145" s="3877"/>
      <c r="AJ145" s="3877"/>
      <c r="AK145" s="3877"/>
      <c r="AL145" s="3877"/>
      <c r="AM145" s="3877"/>
      <c r="AN145" s="3877"/>
      <c r="AO145" s="3877"/>
      <c r="AP145" s="3877"/>
      <c r="AQ145" s="3877"/>
      <c r="AR145" s="3878"/>
      <c r="AS145" s="3549" t="s">
        <v>1113</v>
      </c>
      <c r="AT145" s="3550"/>
      <c r="AU145" s="3550"/>
      <c r="AV145" s="3550"/>
      <c r="AW145" s="3550"/>
      <c r="AX145" s="3550"/>
      <c r="AY145" s="3550"/>
      <c r="AZ145" s="3550"/>
      <c r="BA145" s="3550"/>
      <c r="BB145" s="3550"/>
      <c r="BC145" s="3550"/>
      <c r="BD145" s="3551"/>
      <c r="BE145" s="3552" t="s">
        <v>1112</v>
      </c>
      <c r="BF145" s="3553"/>
      <c r="BG145" s="3553"/>
      <c r="BH145" s="3553"/>
      <c r="BI145" s="3553" t="s">
        <v>1111</v>
      </c>
      <c r="BJ145" s="3553"/>
      <c r="BK145" s="3553"/>
      <c r="BL145" s="3553"/>
      <c r="BM145" s="3553" t="s">
        <v>1112</v>
      </c>
      <c r="BN145" s="3553"/>
      <c r="BO145" s="3553"/>
      <c r="BP145" s="3553"/>
      <c r="BQ145" s="3553" t="s">
        <v>1111</v>
      </c>
      <c r="BR145" s="3553"/>
      <c r="BS145" s="3553"/>
      <c r="BT145" s="3919"/>
      <c r="BU145" s="19"/>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15"/>
      <c r="DA145" s="67">
        <f>IF(DC143="＋",F147+F138+3,F147+F157+3)</f>
        <v>11</v>
      </c>
      <c r="DB145" s="98">
        <f>IF(C147="  RF","",IF(AN148="","",非誘!BW101))</f>
        <v>12</v>
      </c>
      <c r="DC145" s="98">
        <f>IF(DB145="","",IF(AN148="","",非誘!BX101))</f>
        <v>24</v>
      </c>
      <c r="DD145" s="3822" t="s">
        <v>1060</v>
      </c>
      <c r="DE145" s="3823"/>
      <c r="DF145" s="3824" t="s">
        <v>1173</v>
      </c>
      <c r="DG145" s="3824"/>
      <c r="DH145" s="3824" t="s">
        <v>1174</v>
      </c>
      <c r="DI145" s="3824"/>
      <c r="DJ145" s="3823" t="s">
        <v>1173</v>
      </c>
      <c r="DK145" s="3823"/>
      <c r="DL145" s="8"/>
      <c r="DM145" s="113" t="s">
        <v>1172</v>
      </c>
      <c r="DN145" s="113" t="s">
        <v>1171</v>
      </c>
      <c r="DO145" s="113" t="s">
        <v>1170</v>
      </c>
      <c r="DP145" s="8"/>
      <c r="DQ145" s="8"/>
      <c r="DR145" s="8"/>
      <c r="DS145" s="8"/>
      <c r="DT145" s="113" t="s">
        <v>1051</v>
      </c>
      <c r="DU145" s="8"/>
      <c r="DV145" s="113" t="s">
        <v>1047</v>
      </c>
      <c r="DW145" s="113" t="s">
        <v>1046</v>
      </c>
      <c r="DX145" s="8"/>
      <c r="DY145" s="113" t="s">
        <v>1047</v>
      </c>
      <c r="DZ145" s="113" t="s">
        <v>1047</v>
      </c>
      <c r="EA145" s="113"/>
      <c r="EB145" s="776" t="str">
        <f>IF(OR($B$2=0,Y147=""),"","混合器 UV-BC")</f>
        <v/>
      </c>
      <c r="EC145" s="15"/>
      <c r="ED145" s="782" t="str">
        <f>IF(BA147="","","分配器 6D")</f>
        <v>分配器 6D</v>
      </c>
      <c r="EE145" s="15">
        <f>BA147</f>
        <v>1</v>
      </c>
      <c r="EF145" s="15"/>
      <c r="EG145" s="15"/>
      <c r="EH145" s="197">
        <f t="shared" si="77"/>
        <v>4</v>
      </c>
      <c r="EI145" s="773" t="str">
        <f t="shared" si="78"/>
        <v/>
      </c>
      <c r="EJ145" s="203" t="str">
        <f>X149</f>
        <v/>
      </c>
      <c r="EK145" s="9"/>
      <c r="EL145" s="9" t="str">
        <f>IF(COUNTIF($EJ$18:EJ144,EJ145)&gt;0,"",EJ145)</f>
        <v/>
      </c>
      <c r="EM145" s="9"/>
      <c r="EN145" s="14" t="str">
        <f>AI149</f>
        <v/>
      </c>
      <c r="EO145" s="771">
        <f t="shared" si="91"/>
        <v>0</v>
      </c>
      <c r="EP145" s="8"/>
      <c r="EQ145" s="15"/>
      <c r="ER145" s="197">
        <f t="shared" si="79"/>
        <v>3</v>
      </c>
      <c r="ES145" s="773" t="str">
        <f t="shared" si="80"/>
        <v/>
      </c>
      <c r="ET145" s="203" t="str">
        <f t="shared" si="92"/>
        <v/>
      </c>
      <c r="EU145" s="9"/>
      <c r="EV145" s="11" t="str">
        <f>IF(COUNTIF($ET$18:ET144,ET145)&gt;0,"",ET145)</f>
        <v/>
      </c>
      <c r="EW145" s="9"/>
      <c r="EX145" s="124" t="str">
        <f>Y147</f>
        <v/>
      </c>
      <c r="EY145" s="771">
        <f t="shared" si="93"/>
        <v>0</v>
      </c>
      <c r="EZ145" s="8"/>
      <c r="FA145" s="15"/>
      <c r="FB145" s="197">
        <f t="shared" si="70"/>
        <v>10</v>
      </c>
      <c r="FC145" s="773" t="str">
        <f t="shared" si="71"/>
        <v/>
      </c>
      <c r="FD145" s="772" t="str">
        <f t="shared" si="94"/>
        <v>分配器 6D</v>
      </c>
      <c r="FE145" s="9"/>
      <c r="FF145" s="11" t="str">
        <f>IF(COUNTIF($FD$15:FD144,FD145)&gt;0,"",FD145)</f>
        <v/>
      </c>
      <c r="FG145" s="9"/>
      <c r="FH145" s="124">
        <f>BA147</f>
        <v>1</v>
      </c>
      <c r="FI145" s="771">
        <f t="shared" si="95"/>
        <v>0</v>
      </c>
    </row>
    <row r="146" spans="1:165" ht="11.25" customHeight="1" thickBot="1">
      <c r="B146" s="23"/>
      <c r="C146" s="3819"/>
      <c r="D146" s="3820"/>
      <c r="E146" s="3821"/>
      <c r="F146" s="3827" t="s">
        <v>420</v>
      </c>
      <c r="G146" s="3769"/>
      <c r="H146" s="3828"/>
      <c r="I146" s="3819" t="s">
        <v>420</v>
      </c>
      <c r="J146" s="3820"/>
      <c r="K146" s="3820"/>
      <c r="L146" s="3821"/>
      <c r="M146" s="3819" t="s">
        <v>1150</v>
      </c>
      <c r="N146" s="3820"/>
      <c r="O146" s="3820"/>
      <c r="P146" s="3821"/>
      <c r="Q146" s="3819" t="s">
        <v>1102</v>
      </c>
      <c r="R146" s="3820"/>
      <c r="S146" s="3821"/>
      <c r="T146" s="3819" t="s">
        <v>115</v>
      </c>
      <c r="U146" s="3820"/>
      <c r="V146" s="3821"/>
      <c r="W146" s="3862"/>
      <c r="X146" s="3865"/>
      <c r="Y146" s="3865"/>
      <c r="Z146" s="3868"/>
      <c r="AA146" s="3829">
        <f>IF($AG$15&lt;=65,115,110)</f>
        <v>115</v>
      </c>
      <c r="AB146" s="3562"/>
      <c r="AC146" s="3562"/>
      <c r="AD146" s="3562">
        <f>IF(CW259&gt;55,115,110)</f>
        <v>110</v>
      </c>
      <c r="AE146" s="3562"/>
      <c r="AF146" s="3830"/>
      <c r="AG146" s="3831" t="s">
        <v>1149</v>
      </c>
      <c r="AH146" s="3832"/>
      <c r="AI146" s="3832"/>
      <c r="AJ146" s="3833"/>
      <c r="AK146" s="3834" t="s">
        <v>1148</v>
      </c>
      <c r="AL146" s="3832"/>
      <c r="AM146" s="3832"/>
      <c r="AN146" s="3833"/>
      <c r="AO146" s="3834" t="s">
        <v>1147</v>
      </c>
      <c r="AP146" s="3832"/>
      <c r="AQ146" s="3832"/>
      <c r="AR146" s="3835"/>
      <c r="AS146" s="3836" t="s">
        <v>1146</v>
      </c>
      <c r="AT146" s="3832"/>
      <c r="AU146" s="3832"/>
      <c r="AV146" s="3833"/>
      <c r="AW146" s="3844" t="s">
        <v>1145</v>
      </c>
      <c r="AX146" s="3845"/>
      <c r="AY146" s="3845"/>
      <c r="AZ146" s="3846"/>
      <c r="BA146" s="3558" t="s">
        <v>1094</v>
      </c>
      <c r="BB146" s="3559"/>
      <c r="BC146" s="3559"/>
      <c r="BD146" s="3560"/>
      <c r="BE146" s="3561" t="s">
        <v>1092</v>
      </c>
      <c r="BF146" s="3562"/>
      <c r="BG146" s="3562"/>
      <c r="BH146" s="3562"/>
      <c r="BI146" s="3850" t="s">
        <v>1091</v>
      </c>
      <c r="BJ146" s="3562"/>
      <c r="BK146" s="3562"/>
      <c r="BL146" s="3562"/>
      <c r="BM146" s="3850" t="s">
        <v>1090</v>
      </c>
      <c r="BN146" s="3562"/>
      <c r="BO146" s="3562"/>
      <c r="BP146" s="3562"/>
      <c r="BQ146" s="3850" t="s">
        <v>1089</v>
      </c>
      <c r="BR146" s="3562"/>
      <c r="BS146" s="3562"/>
      <c r="BT146" s="3830"/>
      <c r="BU146" s="19"/>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90"/>
      <c r="DA146" s="15"/>
      <c r="DB146" s="98">
        <f>IF(C147="","",IF(AZ148="①",DB145+DC145+3,IF(AZ148="②",DB145*5/8+DC145+3,IF(AZ148="③",DB145/2+DC145+3,IF(AZ148="④",DB145+DC145*5/8+3,IF(AZ148="⑤",(DB145+DC145)*5/8+3,IF(AZ148="⑥",DB145/2+DC145*5/8+3,IF(AZ148="⑦",DB145+DC145/2+3,IF(AZ148="⑧",DB145*5/8+DC145/2+3,IF(AZ148="⑨",(DB145+DC145)/2+3))))))))))</f>
        <v>27</v>
      </c>
      <c r="DC146" s="180" t="s">
        <v>1088</v>
      </c>
      <c r="DD146" s="2589" t="str">
        <f>IF($AL$10="nC-FB","S-5C-FB",IF($AL$10="nD-FB","5D-FB","5C-2V"))</f>
        <v>S-5C-FB</v>
      </c>
      <c r="DE146" s="2591"/>
      <c r="DF146" s="3631">
        <f>IF(C147="  RF",DF137,IF($H$15="ＣＡＴＶ",DB145+DC145/2+F147-($AM$8-$AM$7)/1000+DR146,SUM(DM146:DO146)))</f>
        <v>58.5</v>
      </c>
      <c r="DG146" s="3812"/>
      <c r="DH146" s="2589" t="str">
        <f>IF($H$17="ＣＡＴＶ","G-22mm",IF(RIGHT($AB$17,1)+RIGHT($AF$17,1)+RIGHT($AJ$17,1)&gt;=4,"G-36mm","G-28mm"))</f>
        <v>G-28mm</v>
      </c>
      <c r="DI146" s="2591"/>
      <c r="DJ146" s="3631">
        <f>IF(C147="",0,IF(C147="  RF",DJ137,IF($H$15="ＣＡＴＶ",DB145+DC145/2+F147-($AM$8-$AM$7)/1000,10+F147-($AM$8-$AM$7)/1000)))</f>
        <v>14.5</v>
      </c>
      <c r="DK146" s="3812"/>
      <c r="DL146" s="15"/>
      <c r="DM146" s="98">
        <f>IF(OR($B$2=0,$H$15="ＣＡＴＶ",C147="",C147="  RF"),0,IF($AB$17="","",RIGHT($AB$17,1)*15+F147-($AM$8-$AM$7)/1000))</f>
        <v>19.5</v>
      </c>
      <c r="DN146" s="98">
        <f>IF(OR($B$2=0,$H$15="ＣＡＴＶ",C147="",C147="  RF"),0,IF($AF$17="","",15+F147-($AM$8-$AM$7)/1000))</f>
        <v>19.5</v>
      </c>
      <c r="DO146" s="98">
        <f>IF(OR($B$2=0,$H$15="ＣＡＴＶ",C147="",C147="  RF"),0,IF($AJ$17="","",15+F147-($AM$8-$AM$7)/1000))</f>
        <v>19.5</v>
      </c>
      <c r="DP146" s="15"/>
      <c r="DQ146" s="46" t="s">
        <v>1087</v>
      </c>
      <c r="DR146" s="98" t="str">
        <f>IF($H$17="ＣＡＴＶ",#REF!+#REF!,"")</f>
        <v/>
      </c>
      <c r="DS146" s="128" t="s">
        <v>1078</v>
      </c>
      <c r="DT146" s="159">
        <f>IF(AB148&lt;&gt;"Ｃ",0,IF(DY146&lt;&gt;0,DY146,IF(DZ146&lt;&gt;0,DZ146,0)))</f>
        <v>0</v>
      </c>
      <c r="DU146" s="8"/>
      <c r="DV146" s="86">
        <f>IF(AB148&lt;&gt;"Ｃ",0,IF(DY146=0,0,1))</f>
        <v>0</v>
      </c>
      <c r="DW146" s="86">
        <f>IF(AB148&lt;&gt;"Ｃ",0,IF(DZ146=0,0,1))</f>
        <v>0</v>
      </c>
      <c r="DX146" s="8"/>
      <c r="DY146" s="86">
        <f>IF(AB148&lt;&gt;"Ｃ",0,IF(AND(DB141&gt;60,DB141&lt;=64),4,IF(AND(DB141&gt;64,DB141&lt;=80),5,0)))</f>
        <v>0</v>
      </c>
      <c r="DZ146" s="86">
        <f>IF(AB148&lt;&gt;"Ｃ",0,IF(AND(DB141&gt;80,DB141&lt;=96),4,IF(AND(DB141&gt;96,DB141&lt;=120),5,0)))</f>
        <v>0</v>
      </c>
      <c r="EA146" s="38"/>
      <c r="EB146" s="776" t="str">
        <f>IF(OR($B$2=0,Z147=""),"","混合器 UV-BC")</f>
        <v/>
      </c>
      <c r="EC146" s="12"/>
      <c r="ED146" s="122" t="str">
        <f>IF(BE147="","","直列Unit-中間1端子")</f>
        <v>直列Unit-中間1端子</v>
      </c>
      <c r="EE146" s="38">
        <f>BE147</f>
        <v>9</v>
      </c>
      <c r="EF146" s="38"/>
      <c r="EG146" s="38"/>
      <c r="EH146" s="197">
        <f t="shared" si="77"/>
        <v>4</v>
      </c>
      <c r="EI146" s="773" t="str">
        <f t="shared" si="78"/>
        <v/>
      </c>
      <c r="EJ146" s="203" t="str">
        <f>X150</f>
        <v>PF-S-22mm</v>
      </c>
      <c r="EK146" s="9"/>
      <c r="EL146" s="9" t="str">
        <f>IF(COUNTIF($EJ$18:EJ145,EJ146)&gt;0,"",EJ146)</f>
        <v/>
      </c>
      <c r="EM146" s="9"/>
      <c r="EN146" s="14">
        <f>AI150</f>
        <v>4</v>
      </c>
      <c r="EO146" s="771">
        <f t="shared" si="91"/>
        <v>0</v>
      </c>
      <c r="EP146" s="8"/>
      <c r="EQ146" s="38"/>
      <c r="ER146" s="197">
        <f t="shared" si="79"/>
        <v>3</v>
      </c>
      <c r="ES146" s="773" t="str">
        <f t="shared" si="80"/>
        <v/>
      </c>
      <c r="ET146" s="203" t="str">
        <f t="shared" si="92"/>
        <v/>
      </c>
      <c r="EU146" s="9"/>
      <c r="EV146" s="11" t="str">
        <f>IF(COUNTIF($ET$18:ET145,ET146)&gt;0,"",ET146)</f>
        <v/>
      </c>
      <c r="EW146" s="9"/>
      <c r="EX146" s="124">
        <f>Z147</f>
        <v>0</v>
      </c>
      <c r="EY146" s="771">
        <f t="shared" si="93"/>
        <v>0</v>
      </c>
      <c r="EZ146" s="8"/>
      <c r="FA146" s="38"/>
      <c r="FB146" s="197">
        <f t="shared" ref="FB146:FB177" si="96">IF(FF146&lt;&gt;"",FB145+1,FB145)</f>
        <v>10</v>
      </c>
      <c r="FC146" s="773" t="str">
        <f t="shared" ref="FC146:FC177" si="97">IF(AND(FB146&lt;&gt;"",FF146&lt;&gt;""),FB146,"")</f>
        <v/>
      </c>
      <c r="FD146" s="772" t="str">
        <f t="shared" si="94"/>
        <v>直列Unit-中間1端子</v>
      </c>
      <c r="FE146" s="9"/>
      <c r="FF146" s="11" t="str">
        <f>IF(COUNTIF($FD$15:FD145,FD146)&gt;0,"",FD146)</f>
        <v/>
      </c>
      <c r="FG146" s="9"/>
      <c r="FH146" s="124">
        <f>BE147</f>
        <v>9</v>
      </c>
      <c r="FI146" s="771">
        <f t="shared" si="95"/>
        <v>0</v>
      </c>
    </row>
    <row r="147" spans="1:165" ht="11.25" customHeight="1">
      <c r="A147" s="8">
        <v>14</v>
      </c>
      <c r="B147" s="23"/>
      <c r="C147" s="3837" t="str">
        <f>非誘!C101</f>
        <v xml:space="preserve"> 12F</v>
      </c>
      <c r="D147" s="3837"/>
      <c r="E147" s="3837"/>
      <c r="F147" s="3838">
        <f>非誘!F101</f>
        <v>4</v>
      </c>
      <c r="G147" s="3839"/>
      <c r="H147" s="3840"/>
      <c r="I147" s="3838">
        <f>非誘!J101</f>
        <v>3</v>
      </c>
      <c r="J147" s="3839"/>
      <c r="K147" s="3839"/>
      <c r="L147" s="3840"/>
      <c r="M147" s="3841">
        <f>非誘!N101</f>
        <v>1152</v>
      </c>
      <c r="N147" s="3842"/>
      <c r="O147" s="3842"/>
      <c r="P147" s="3843"/>
      <c r="Q147" s="3537">
        <f>非誘!AA101</f>
        <v>5</v>
      </c>
      <c r="R147" s="3537"/>
      <c r="S147" s="3537"/>
      <c r="T147" s="3537">
        <f>非誘!AD101</f>
        <v>12</v>
      </c>
      <c r="U147" s="3537"/>
      <c r="V147" s="3537"/>
      <c r="W147" s="795" t="str">
        <f>IF(OR(AZ23="不要",C147&lt;&gt;$X$10),"",IF(AND($AB$17="UHF×3",$AF$17&lt;&gt;"",$AJ$17&lt;&gt;""),2,IF(OR(AND($AB$17="UHF×3",$AB$17="",$AJ$17=""),AND($AB$17="UHF×3",$AF$17&lt;&gt;"",$AJ$17=""),AND($AB$17="UHF×2",$AF$17&lt;&gt;"",$AJ$17&lt;&gt;"")),1,"")))</f>
        <v/>
      </c>
      <c r="X147" s="794" t="str">
        <f>IF(OR(AZ23="不要",C147&lt;&gt;$X$10),"",IF(AND($AB$17&lt;&gt;"",$AF$17&lt;&gt;"",$AJ$17&lt;&gt;""),1,""))</f>
        <v/>
      </c>
      <c r="Y147" s="794" t="str">
        <f>IF(OR(AZ23="不要",C147&lt;&gt;$X$10),"",IF(AND(OR($AB$17="UHF×2",$AB$17="UHF×3"),$AF$17&lt;&gt;"",$AJ$17=""),1,""))</f>
        <v/>
      </c>
      <c r="Z147" s="793"/>
      <c r="AA147" s="3847" t="str">
        <f>IF($B$2=0,"",IF(AND(AZ23&lt;&gt;"不要",DC143="＝"),1,""))</f>
        <v/>
      </c>
      <c r="AB147" s="3848"/>
      <c r="AC147" s="3848"/>
      <c r="AD147" s="3848">
        <f>IF($B$2=0,"",IF(OR(AZ23="不要",C147="",C147="  RF"),"",IF(AZ23="設置",1,"")))</f>
        <v>1</v>
      </c>
      <c r="AE147" s="3848"/>
      <c r="AF147" s="3849"/>
      <c r="AG147" s="3837" t="str">
        <f>IF(OR(AZ23="不要",C147="",C147="  RF"),"",IF(AI147&lt;&gt;"",AI147,IF(DE144+DM144+DT144+DT146+DT148=0,"",DE144+DM144+DT144+DT146+DT148)))</f>
        <v/>
      </c>
      <c r="AH147" s="3837"/>
      <c r="AI147" s="3915"/>
      <c r="AJ147" s="3915"/>
      <c r="AK147" s="3837">
        <f>IF(OR(AZ23="不要",C147="",C147="  RF"),"",IF(AM147&lt;&gt;"",AM147,IF(DF144+DN144=0,"",DF144+DN144)))</f>
        <v>1</v>
      </c>
      <c r="AL147" s="3837"/>
      <c r="AM147" s="3915"/>
      <c r="AN147" s="3915"/>
      <c r="AO147" s="3813" t="str">
        <f>IF(AQ147="","",AQ147)</f>
        <v/>
      </c>
      <c r="AP147" s="3814"/>
      <c r="AQ147" s="3915"/>
      <c r="AR147" s="3915"/>
      <c r="AS147" s="3916" t="str">
        <f>IF(OR(AZ23="不要",C147="  RF"),"",IF(AU147&lt;&gt;"",AU147,IF(DH144+DP144+DU144+DX144+DY144+DZ144=0,"",DH144+DP144+DU144+DX144+DY144+DZ144)))</f>
        <v/>
      </c>
      <c r="AT147" s="3837"/>
      <c r="AU147" s="3915"/>
      <c r="AV147" s="3915"/>
      <c r="AW147" s="3837" t="str">
        <f>IF(OR(AZ23="不要",C147="  RF"),"",IF(AY147&lt;&gt;"",AY147,IF(DI144+DQ144+DV144+DV146+DY146+DZ146=0,"",DI144+DQ144+DV144+DV146+DY146+DZ146)))</f>
        <v/>
      </c>
      <c r="AX147" s="3837"/>
      <c r="AY147" s="3915"/>
      <c r="AZ147" s="3915"/>
      <c r="BA147" s="3837">
        <f>IF(OR(AZ23="不要",C147="  RF"),"",IF(BC147&lt;&gt;"",BC147,IF(DJ144+DR144+DW144+DW146+DW148+DZ148=0,"",DJ144+DR144+DW144+DW146+DW148+DZ148)))</f>
        <v>1</v>
      </c>
      <c r="BB147" s="3837"/>
      <c r="BC147" s="3915"/>
      <c r="BD147" s="3915"/>
      <c r="BE147" s="3837">
        <f>IF(OR(AZ23="不要",$X$11="2端子",C147="",C147="  RF"),"",IF(BG147&lt;&gt;"",BG147,IF(AND(AB148="Ａ",$X$11="1端子"),DK144,"")))</f>
        <v>9</v>
      </c>
      <c r="BF147" s="3837"/>
      <c r="BG147" s="3837" t="str">
        <f>IF(AND(BO147&lt;&gt;"",AB148="Ａ",$X$11="1端子"),BO147,"")</f>
        <v/>
      </c>
      <c r="BH147" s="3837"/>
      <c r="BI147" s="3916" t="str">
        <f>IF(OR(AZ23="不要",$X$11="1端子",C147="",C147="  RF"),"",IF(BK147&lt;&gt;"",BK147,IF(AND(AB148="Ａ",$X$11="2端子"),DK144,"")))</f>
        <v/>
      </c>
      <c r="BJ147" s="3837"/>
      <c r="BK147" s="3837" t="str">
        <f>IF(AND(BS147&lt;&gt;"",AB148="Ａ",$X$11="2端子"),BS147,"")</f>
        <v/>
      </c>
      <c r="BL147" s="3837"/>
      <c r="BM147" s="3837">
        <f>IF(OR(AZ23="不要",C147="  RF",C147="",$X$11="2端子"),"",IF(BO147&lt;&gt;"",BO147,IF(AND(AB148="Ａ",$X$11="1端子"),DK144,DK142)))</f>
        <v>9</v>
      </c>
      <c r="BN147" s="3837"/>
      <c r="BO147" s="3915"/>
      <c r="BP147" s="3915"/>
      <c r="BQ147" s="3837" t="str">
        <f>IF(OR(AZ23="不要",C147="  RF",C147="",$X$11="1端子"),"",IF(BS147&lt;&gt;"",BS147,IF(AND(AB148="Ａ",$X$11="2端子"),DK144,DK142)))</f>
        <v/>
      </c>
      <c r="BR147" s="3837"/>
      <c r="BS147" s="3915"/>
      <c r="BT147" s="3918"/>
      <c r="BU147" s="19"/>
      <c r="BV147" s="8"/>
      <c r="BW147" s="88">
        <f>IF(I147="直天",F147,I147)</f>
        <v>3</v>
      </c>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38"/>
      <c r="DA147" s="15"/>
      <c r="DB147" s="15"/>
      <c r="DC147" s="180" t="s">
        <v>1144</v>
      </c>
      <c r="DD147" s="2589" t="str">
        <f>IF($AL$10="nC-FB","S-7C-FB",IF($AL$10="nD-FB","8D-FB","7C-2V"))</f>
        <v>S-7C-FB</v>
      </c>
      <c r="DE147" s="2591"/>
      <c r="DF147" s="3631">
        <f>IF(OR(C147="",C147="  RF"),0,IF(AB148="Ｃ",2.5*AG147+(DB145+DC145),F147+2))</f>
        <v>6</v>
      </c>
      <c r="DG147" s="3812"/>
      <c r="DH147" s="2589" t="str">
        <f>IF(OR(H148="天井ケーブル",H148="天井-PF管"),"PF-S-22mm",IF(H148="天井-CD管","CD-22mm",IF(H148="天井-C 管","C-25mm",IF(H148="天井-G 管","G-22mm",""))))</f>
        <v>PF-S-22mm</v>
      </c>
      <c r="DI147" s="2591"/>
      <c r="DJ147" s="3631">
        <f>IF(OR(C147="",C147="  RF"),0,IF(AB148="Ｃ",F147-($AM$8-$AM$7)/1000,F147))</f>
        <v>4</v>
      </c>
      <c r="DK147" s="3812"/>
      <c r="DL147" s="778"/>
      <c r="DM147" s="112"/>
      <c r="DN147" s="190" t="s">
        <v>1143</v>
      </c>
      <c r="DO147" s="98">
        <f>IF(OR(C147="",C147="  RF"),0,(DB145+DC145)/2/SQRT(DK144))</f>
        <v>6</v>
      </c>
      <c r="DP147" s="15"/>
      <c r="DQ147" s="15"/>
      <c r="DR147" s="15"/>
      <c r="DS147" s="8"/>
      <c r="DT147" s="113" t="s">
        <v>1051</v>
      </c>
      <c r="DU147" s="8"/>
      <c r="DV147" s="113"/>
      <c r="DW147" s="113" t="s">
        <v>1046</v>
      </c>
      <c r="DX147" s="8"/>
      <c r="DY147" s="8"/>
      <c r="DZ147" s="113" t="s">
        <v>1046</v>
      </c>
      <c r="EA147" s="113"/>
      <c r="EB147" s="776" t="str">
        <f>IF(OR($B$2=0,AA147=""),"","増幅器 "&amp;AA145&amp;AA146)</f>
        <v/>
      </c>
      <c r="EC147" s="15"/>
      <c r="ED147" s="122" t="str">
        <f>IF(BI147="","","直列Unit-中間2端子")</f>
        <v/>
      </c>
      <c r="EE147" s="15" t="str">
        <f>BI147</f>
        <v/>
      </c>
      <c r="EF147" s="15"/>
      <c r="EG147" s="15"/>
      <c r="EH147" s="197">
        <f t="shared" si="77"/>
        <v>4</v>
      </c>
      <c r="EI147" s="773" t="str">
        <f t="shared" si="78"/>
        <v/>
      </c>
      <c r="EJ147" s="203" t="str">
        <f>AS149</f>
        <v>S-5C-FB</v>
      </c>
      <c r="EK147" s="9"/>
      <c r="EL147" s="9" t="str">
        <f>IF(COUNTIF($EJ$18:EJ146,EJ147)&gt;0,"",EJ147)</f>
        <v/>
      </c>
      <c r="EM147" s="9"/>
      <c r="EN147" s="14">
        <f>BB149</f>
        <v>266.39999999999998</v>
      </c>
      <c r="EO147" s="771">
        <f t="shared" si="91"/>
        <v>0</v>
      </c>
      <c r="EP147" s="8"/>
      <c r="EQ147" s="15"/>
      <c r="ER147" s="197">
        <f t="shared" si="79"/>
        <v>3</v>
      </c>
      <c r="ES147" s="773" t="str">
        <f t="shared" si="80"/>
        <v/>
      </c>
      <c r="ET147" s="203" t="str">
        <f t="shared" si="92"/>
        <v/>
      </c>
      <c r="EU147" s="9"/>
      <c r="EV147" s="11" t="str">
        <f>IF(COUNTIF($ET$18:ET146,ET147)&gt;0,"",ET147)</f>
        <v/>
      </c>
      <c r="EW147" s="9"/>
      <c r="EX147" s="124" t="str">
        <f>AA147</f>
        <v/>
      </c>
      <c r="EY147" s="771">
        <f t="shared" si="93"/>
        <v>0</v>
      </c>
      <c r="EZ147" s="8"/>
      <c r="FA147" s="15"/>
      <c r="FB147" s="197">
        <f t="shared" si="96"/>
        <v>10</v>
      </c>
      <c r="FC147" s="773" t="str">
        <f t="shared" si="97"/>
        <v/>
      </c>
      <c r="FD147" s="772" t="str">
        <f t="shared" si="94"/>
        <v/>
      </c>
      <c r="FE147" s="9"/>
      <c r="FF147" s="11" t="str">
        <f>IF(COUNTIF($FD$15:FD146,FD147)&gt;0,"",FD147)</f>
        <v/>
      </c>
      <c r="FG147" s="9"/>
      <c r="FH147" s="124" t="str">
        <f>BI147</f>
        <v/>
      </c>
      <c r="FI147" s="771">
        <f t="shared" si="95"/>
        <v>0</v>
      </c>
    </row>
    <row r="148" spans="1:165" ht="12" customHeight="1">
      <c r="A148" s="8"/>
      <c r="B148" s="23"/>
      <c r="C148" s="2634" t="s">
        <v>135</v>
      </c>
      <c r="D148" s="2634"/>
      <c r="E148" s="2634"/>
      <c r="F148" s="2634"/>
      <c r="G148" s="2634"/>
      <c r="H148" s="3904" t="str">
        <f>IF($B$2=0,"",IF(P148="","天井ケーブル",P148))</f>
        <v>天井ケーブル</v>
      </c>
      <c r="I148" s="3904"/>
      <c r="J148" s="3904"/>
      <c r="K148" s="3904"/>
      <c r="L148" s="3904"/>
      <c r="M148" s="3904"/>
      <c r="N148" s="3904"/>
      <c r="O148" s="173" t="s">
        <v>68</v>
      </c>
      <c r="P148" s="3796"/>
      <c r="Q148" s="3797"/>
      <c r="R148" s="3797"/>
      <c r="S148" s="3797"/>
      <c r="T148" s="3797"/>
      <c r="U148" s="3797"/>
      <c r="V148" s="3798"/>
      <c r="W148" s="2634" t="s">
        <v>1082</v>
      </c>
      <c r="X148" s="2634"/>
      <c r="Y148" s="2634"/>
      <c r="Z148" s="2634"/>
      <c r="AA148" s="2634"/>
      <c r="AB148" s="3799" t="str">
        <f>IF(AZ23="不要","",IF(AF148&lt;&gt;"",AF148,DB142))</f>
        <v>Ａ</v>
      </c>
      <c r="AC148" s="3799"/>
      <c r="AD148" s="3799"/>
      <c r="AE148" s="173" t="s">
        <v>68</v>
      </c>
      <c r="AF148" s="3800"/>
      <c r="AG148" s="3801"/>
      <c r="AH148" s="3802"/>
      <c r="AI148" s="2634" t="s">
        <v>20</v>
      </c>
      <c r="AJ148" s="2634"/>
      <c r="AK148" s="2634"/>
      <c r="AL148" s="2634"/>
      <c r="AM148" s="2634"/>
      <c r="AN148" s="3522">
        <f>IF(OR(C147="",C147="  RF"),"",非誘!J100)</f>
        <v>0.5</v>
      </c>
      <c r="AO148" s="3523"/>
      <c r="AP148" s="3523"/>
      <c r="AQ148" s="3524"/>
      <c r="AR148" s="3507" t="s">
        <v>1081</v>
      </c>
      <c r="AS148" s="3461"/>
      <c r="AT148" s="3461"/>
      <c r="AU148" s="3461"/>
      <c r="AV148" s="3461"/>
      <c r="AW148" s="3461"/>
      <c r="AX148" s="3461"/>
      <c r="AY148" s="3461"/>
      <c r="AZ148" s="3563" t="str">
        <f>IF(OR(C147="",C147="  RF"),"",IF(BC148="",$AN$11,BC148))</f>
        <v>⑦</v>
      </c>
      <c r="BA148" s="3563"/>
      <c r="BB148" s="777" t="s">
        <v>68</v>
      </c>
      <c r="BC148" s="3521"/>
      <c r="BD148" s="3521"/>
      <c r="BE148" s="3564"/>
      <c r="BF148" s="3565"/>
      <c r="BG148" s="3565"/>
      <c r="BH148" s="3565"/>
      <c r="BI148" s="3565"/>
      <c r="BJ148" s="3565"/>
      <c r="BK148" s="3565"/>
      <c r="BL148" s="3565"/>
      <c r="BM148" s="3565"/>
      <c r="BN148" s="3565"/>
      <c r="BO148" s="3565"/>
      <c r="BP148" s="3565"/>
      <c r="BQ148" s="3565"/>
      <c r="BR148" s="3565"/>
      <c r="BS148" s="3565"/>
      <c r="BT148" s="3566"/>
      <c r="BU148" s="19"/>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38"/>
      <c r="DA148" s="15"/>
      <c r="DB148" s="8"/>
      <c r="DC148" s="180" t="s">
        <v>1080</v>
      </c>
      <c r="DD148" s="2589" t="str">
        <f>IF($AL$10="nC-FB","S-5C-FB",IF($AL$10="nD-FB","5D-FB","5C-2V"))</f>
        <v>S-5C-FB</v>
      </c>
      <c r="DE148" s="2591"/>
      <c r="DF148" s="3631">
        <f>IF(AB148="Ａ",(DK144+2*BW147-($X$7+$X$9)/1000)*DO147+(12+2*BW147-2*$X$9/1000)*DK144+DO148,IF(AB148="Ｂ",(DO147+2*BW147-$X$9/1000)*DK142+DO148,0))</f>
        <v>266.39999999999998</v>
      </c>
      <c r="DG148" s="3812"/>
      <c r="DH148" s="2589" t="str">
        <f>IF(OR(H148="天井ケーブル",H148="天井-PF管"),"PF-S-16mm",IF(H148="天井-CD管","CD-16mm",IF(H148="天井-C 管","C-19mm",IF(H148="天井-G 管","G-16mm",""))))</f>
        <v>PF-S-16mm</v>
      </c>
      <c r="DI148" s="2591"/>
      <c r="DJ148" s="3631">
        <f>IF(OR(C147="",C147="  RF"),0,IF(H148="天井ケーブル",DK142*(BW147-($X$9-$AM$9)/1000),(DO147+2*BW147-$X$9/1000)*DK142+DO148))</f>
        <v>53.55</v>
      </c>
      <c r="DK148" s="3812"/>
      <c r="DL148" s="15"/>
      <c r="DM148" s="46"/>
      <c r="DN148" s="46" t="s">
        <v>1079</v>
      </c>
      <c r="DO148" s="98">
        <f>DB146</f>
        <v>27</v>
      </c>
      <c r="DP148" s="15"/>
      <c r="DQ148" s="15"/>
      <c r="DR148" s="15"/>
      <c r="DS148" s="128" t="s">
        <v>1078</v>
      </c>
      <c r="DT148" s="86">
        <f>IF(AB148&lt;&gt;"Ｃ",0,IF(DZ148=0,0,DZ148))</f>
        <v>0</v>
      </c>
      <c r="DU148" s="8"/>
      <c r="DV148" s="8"/>
      <c r="DW148" s="86">
        <f>IF(AB148&lt;&gt;"Ｃ",0,IF(DZ148=0,0,1))</f>
        <v>0</v>
      </c>
      <c r="DX148" s="8"/>
      <c r="DY148" s="8"/>
      <c r="DZ148" s="86">
        <f>IF(AB148&lt;&gt;"Ｃ",0,IF(AND(DB141&gt;120,DB141&lt;=144),4,IF(AND(DB141&gt;144,DB141&lt;=180),5,0)))</f>
        <v>0</v>
      </c>
      <c r="EA148" s="38"/>
      <c r="EB148" s="776" t="str">
        <f>IF(OR($B$2=0,AD147=""),"","増幅器 "&amp;AD145&amp;AD146)</f>
        <v>増幅器 35/110</v>
      </c>
      <c r="EC148" s="38"/>
      <c r="ED148" s="122" t="str">
        <f>IF(BM147="","","直列Unit-終端1端子")</f>
        <v>直列Unit-終端1端子</v>
      </c>
      <c r="EE148" s="38">
        <f>BM147</f>
        <v>9</v>
      </c>
      <c r="EF148" s="38"/>
      <c r="EG148" s="38"/>
      <c r="EH148" s="197">
        <f t="shared" si="77"/>
        <v>4</v>
      </c>
      <c r="EI148" s="773" t="str">
        <f t="shared" si="78"/>
        <v/>
      </c>
      <c r="EJ148" s="203" t="str">
        <f>AS150</f>
        <v/>
      </c>
      <c r="EK148" s="9"/>
      <c r="EL148" s="9" t="str">
        <f>IF(COUNTIF($EJ$18:EJ147,EJ148)&gt;0,"",EJ148)</f>
        <v/>
      </c>
      <c r="EM148" s="9"/>
      <c r="EN148" s="14" t="str">
        <f>BB150</f>
        <v/>
      </c>
      <c r="EO148" s="771">
        <f t="shared" si="91"/>
        <v>0</v>
      </c>
      <c r="EP148" s="8"/>
      <c r="EQ148" s="38"/>
      <c r="ER148" s="197">
        <f t="shared" si="79"/>
        <v>3</v>
      </c>
      <c r="ES148" s="773" t="str">
        <f t="shared" si="80"/>
        <v/>
      </c>
      <c r="ET148" s="203" t="str">
        <f t="shared" si="92"/>
        <v>増幅器 35/110</v>
      </c>
      <c r="EU148" s="9"/>
      <c r="EV148" s="11" t="str">
        <f>IF(COUNTIF($ET$18:ET147,ET148)&gt;0,"",ET148)</f>
        <v/>
      </c>
      <c r="EW148" s="9"/>
      <c r="EX148" s="124">
        <f>AD147</f>
        <v>1</v>
      </c>
      <c r="EY148" s="771">
        <f t="shared" si="93"/>
        <v>0</v>
      </c>
      <c r="EZ148" s="8"/>
      <c r="FA148" s="38"/>
      <c r="FB148" s="197">
        <f t="shared" si="96"/>
        <v>10</v>
      </c>
      <c r="FC148" s="773" t="str">
        <f t="shared" si="97"/>
        <v/>
      </c>
      <c r="FD148" s="772" t="str">
        <f t="shared" si="94"/>
        <v>直列Unit-終端1端子</v>
      </c>
      <c r="FE148" s="9"/>
      <c r="FF148" s="11" t="str">
        <f>IF(COUNTIF($FD$15:FD147,FD148)&gt;0,"",FD148)</f>
        <v/>
      </c>
      <c r="FG148" s="9"/>
      <c r="FH148" s="124">
        <f>BM147</f>
        <v>9</v>
      </c>
      <c r="FI148" s="771">
        <f t="shared" si="95"/>
        <v>0</v>
      </c>
    </row>
    <row r="149" spans="1:165" ht="12" customHeight="1">
      <c r="A149" s="8"/>
      <c r="B149" s="23"/>
      <c r="C149" s="3905" t="s">
        <v>449</v>
      </c>
      <c r="D149" s="3905"/>
      <c r="E149" s="3905"/>
      <c r="F149" s="3904" t="str">
        <f>IF($H$15="ＣＡＴＶ","CATV引込","アンテナ部")</f>
        <v>アンテナ部</v>
      </c>
      <c r="G149" s="3904"/>
      <c r="H149" s="3904"/>
      <c r="I149" s="3904"/>
      <c r="J149" s="3904"/>
      <c r="K149" s="3908" t="str">
        <f>IF(OR(AZ23="不要",$B$2=0,C147&lt;&gt;$X$10),"",IF(P149&lt;&gt;"",P149,DD146))</f>
        <v/>
      </c>
      <c r="L149" s="3908"/>
      <c r="M149" s="3908"/>
      <c r="N149" s="3908"/>
      <c r="O149" s="173" t="s">
        <v>68</v>
      </c>
      <c r="P149" s="3517"/>
      <c r="Q149" s="3517"/>
      <c r="R149" s="3517"/>
      <c r="S149" s="3517"/>
      <c r="T149" s="3526" t="str">
        <f>IF(AND(C147&lt;&gt;"",K149&lt;&gt;""),DF146,"")</f>
        <v/>
      </c>
      <c r="U149" s="3526"/>
      <c r="V149" s="3526"/>
      <c r="W149" s="3526"/>
      <c r="X149" s="3908" t="str">
        <f>IF(OR($B$2=0,K149=""),"",IF(AD149&lt;&gt;"",AD149,DH146))</f>
        <v/>
      </c>
      <c r="Y149" s="3908"/>
      <c r="Z149" s="3908"/>
      <c r="AA149" s="3908"/>
      <c r="AB149" s="3908"/>
      <c r="AC149" s="173" t="s">
        <v>68</v>
      </c>
      <c r="AD149" s="3525"/>
      <c r="AE149" s="3525"/>
      <c r="AF149" s="3525"/>
      <c r="AG149" s="3525"/>
      <c r="AH149" s="3525"/>
      <c r="AI149" s="3526" t="str">
        <f>IF(X149="","",IF(DJ146="","",DJ146))</f>
        <v/>
      </c>
      <c r="AJ149" s="3526"/>
      <c r="AK149" s="3526"/>
      <c r="AL149" s="3526"/>
      <c r="AM149" s="3904" t="s">
        <v>1077</v>
      </c>
      <c r="AN149" s="3904"/>
      <c r="AO149" s="3904"/>
      <c r="AP149" s="3904"/>
      <c r="AQ149" s="3904"/>
      <c r="AR149" s="3904"/>
      <c r="AS149" s="3908" t="str">
        <f>IF(OR(AZ23="不要",$B$2=0,C147="",C147="  RF",AB148="Ｃ"),"",IF(AX149&lt;&gt;"",AX149,DD148))</f>
        <v>S-5C-FB</v>
      </c>
      <c r="AT149" s="3908"/>
      <c r="AU149" s="3908"/>
      <c r="AV149" s="3908"/>
      <c r="AW149" s="173" t="s">
        <v>68</v>
      </c>
      <c r="AX149" s="3517"/>
      <c r="AY149" s="3517"/>
      <c r="AZ149" s="3517"/>
      <c r="BA149" s="3517"/>
      <c r="BB149" s="3537">
        <f>IF(AS149&lt;&gt;"",DF148,"")</f>
        <v>266.39999999999998</v>
      </c>
      <c r="BC149" s="3537"/>
      <c r="BD149" s="3537"/>
      <c r="BE149" s="3537"/>
      <c r="BF149" s="3908" t="str">
        <f>IF(OR(C147="",AS149=""),"",IF(AB148="Ａ",DH147,DH148))</f>
        <v>PF-S-22mm</v>
      </c>
      <c r="BG149" s="3908"/>
      <c r="BH149" s="3908"/>
      <c r="BI149" s="3908"/>
      <c r="BJ149" s="3908"/>
      <c r="BK149" s="173" t="s">
        <v>68</v>
      </c>
      <c r="BL149" s="3525"/>
      <c r="BM149" s="3525"/>
      <c r="BN149" s="3525"/>
      <c r="BO149" s="3525"/>
      <c r="BP149" s="3525"/>
      <c r="BQ149" s="3526">
        <f>IF(BF149="","",DJ148)</f>
        <v>53.55</v>
      </c>
      <c r="BR149" s="3526"/>
      <c r="BS149" s="3526"/>
      <c r="BT149" s="3527"/>
      <c r="BU149" s="19"/>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774" t="s">
        <v>1076</v>
      </c>
      <c r="DD149" s="2589" t="str">
        <f>DD148</f>
        <v>S-5C-FB</v>
      </c>
      <c r="DE149" s="2591"/>
      <c r="DF149" s="3631">
        <f>IF(OR(C147="",C147="  RF",I147="直天"),0,1+INT(12+BW147-($X$9-$AM$9)/1000)*DK142+DO149)</f>
        <v>310</v>
      </c>
      <c r="DG149" s="3812"/>
      <c r="DH149" s="2589" t="str">
        <f>DH148</f>
        <v>PF-S-16mm</v>
      </c>
      <c r="DI149" s="2591"/>
      <c r="DJ149" s="3631">
        <f>IF(OR(C147="",C147="  RF"),0,IF(H148="天井ケーブル",DK142*(BW147-($X$9-2*$AM$9)/1000),1+INT(12+BW147-$X$9/1000)*DK142))</f>
        <v>58.650000000000006</v>
      </c>
      <c r="DK149" s="3812"/>
      <c r="DL149" s="15"/>
      <c r="DM149" s="15"/>
      <c r="DN149" s="46" t="s">
        <v>1075</v>
      </c>
      <c r="DO149" s="97">
        <f>IF(C147="",0,IF($AW$8=0,0,2*($AW$8/1000-0.15-0.1)*(INT(1000*DB145/$AW$10)+1)*(INT(1000*DC145/$AW$10)+1)*4))</f>
        <v>53.999999999999993</v>
      </c>
      <c r="DP149" s="15"/>
      <c r="DQ149" s="15"/>
      <c r="DR149" s="15"/>
      <c r="DS149" s="8"/>
      <c r="DT149" s="8"/>
      <c r="DU149" s="8"/>
      <c r="DV149" s="8"/>
      <c r="DW149" s="8"/>
      <c r="DX149" s="8"/>
      <c r="DY149" s="8"/>
      <c r="DZ149" s="8"/>
      <c r="EA149" s="8"/>
      <c r="EB149" s="769" t="str">
        <f>IF(OR($B$2=0,AG147=""),"","分岐器 1C")</f>
        <v/>
      </c>
      <c r="EC149" s="8"/>
      <c r="ED149" s="122" t="str">
        <f>IF(BQ147="","","直列Unit-終端2端子")</f>
        <v/>
      </c>
      <c r="EE149" s="8" t="str">
        <f>BQ147</f>
        <v/>
      </c>
      <c r="EF149" s="8"/>
      <c r="EG149" s="8"/>
      <c r="EH149" s="197">
        <f t="shared" si="77"/>
        <v>4</v>
      </c>
      <c r="EI149" s="773" t="str">
        <f t="shared" si="78"/>
        <v/>
      </c>
      <c r="EJ149" s="203" t="str">
        <f>BF149</f>
        <v>PF-S-22mm</v>
      </c>
      <c r="EK149" s="9"/>
      <c r="EL149" s="9" t="str">
        <f>IF(COUNTIF($EJ$18:EJ148,EJ149)&gt;0,"",EJ149)</f>
        <v/>
      </c>
      <c r="EM149" s="9"/>
      <c r="EN149" s="14">
        <f>BQ149</f>
        <v>53.55</v>
      </c>
      <c r="EO149" s="771">
        <f t="shared" si="91"/>
        <v>0</v>
      </c>
      <c r="EP149" s="8"/>
      <c r="EQ149" s="8"/>
      <c r="ER149" s="197">
        <f t="shared" si="79"/>
        <v>3</v>
      </c>
      <c r="ES149" s="773" t="str">
        <f t="shared" si="80"/>
        <v/>
      </c>
      <c r="ET149" s="203" t="str">
        <f t="shared" si="92"/>
        <v/>
      </c>
      <c r="EU149" s="9"/>
      <c r="EV149" s="11" t="str">
        <f>IF(COUNTIF($ET$18:ET148,ET149)&gt;0,"",ET149)</f>
        <v/>
      </c>
      <c r="EW149" s="9"/>
      <c r="EX149" s="124" t="str">
        <f>AG147</f>
        <v/>
      </c>
      <c r="EY149" s="771">
        <f t="shared" si="93"/>
        <v>0</v>
      </c>
      <c r="EZ149" s="8"/>
      <c r="FA149" s="8"/>
      <c r="FB149" s="197">
        <f t="shared" si="96"/>
        <v>10</v>
      </c>
      <c r="FC149" s="773" t="str">
        <f t="shared" si="97"/>
        <v/>
      </c>
      <c r="FD149" s="772" t="str">
        <f t="shared" si="94"/>
        <v/>
      </c>
      <c r="FE149" s="9"/>
      <c r="FF149" s="11" t="str">
        <f>IF(COUNTIF($FD$15:FD148,FD149)&gt;0,"",FD149)</f>
        <v/>
      </c>
      <c r="FG149" s="9"/>
      <c r="FH149" s="124" t="str">
        <f>BQ147</f>
        <v/>
      </c>
      <c r="FI149" s="771">
        <f t="shared" si="95"/>
        <v>0</v>
      </c>
    </row>
    <row r="150" spans="1:165" ht="12" customHeight="1">
      <c r="A150" s="8"/>
      <c r="B150" s="23"/>
      <c r="C150" s="3922"/>
      <c r="D150" s="3922"/>
      <c r="E150" s="3922"/>
      <c r="F150" s="3920" t="s">
        <v>1074</v>
      </c>
      <c r="G150" s="3920"/>
      <c r="H150" s="3920"/>
      <c r="I150" s="3920"/>
      <c r="J150" s="3920"/>
      <c r="K150" s="3506" t="str">
        <f>IF(OR(C147="",C147="  RF",$B$2=0),"",IF(P150&lt;&gt;"",P150,DD147))</f>
        <v>S-7C-FB</v>
      </c>
      <c r="L150" s="3506"/>
      <c r="M150" s="3506"/>
      <c r="N150" s="3506"/>
      <c r="O150" s="800" t="s">
        <v>68</v>
      </c>
      <c r="P150" s="3536"/>
      <c r="Q150" s="3536"/>
      <c r="R150" s="3536"/>
      <c r="S150" s="3536"/>
      <c r="T150" s="3538">
        <f>IF(R144="不",F147,IF(K150="","",DF147))</f>
        <v>6</v>
      </c>
      <c r="U150" s="3538"/>
      <c r="V150" s="3538"/>
      <c r="W150" s="3538"/>
      <c r="X150" s="3506" t="str">
        <f>IF(R144="不","",IF(OR(C147="",K150=""),"",IF(AD150&lt;&gt;"",AD150,IF(DH147="","",DH147))))</f>
        <v>PF-S-22mm</v>
      </c>
      <c r="Y150" s="3506"/>
      <c r="Z150" s="3506"/>
      <c r="AA150" s="3506"/>
      <c r="AB150" s="3506"/>
      <c r="AC150" s="800" t="s">
        <v>68</v>
      </c>
      <c r="AD150" s="3533"/>
      <c r="AE150" s="3533"/>
      <c r="AF150" s="3533"/>
      <c r="AG150" s="3533"/>
      <c r="AH150" s="3533"/>
      <c r="AI150" s="3538">
        <f>IF(X150="","",DJ147)</f>
        <v>4</v>
      </c>
      <c r="AJ150" s="3538"/>
      <c r="AK150" s="3538"/>
      <c r="AL150" s="3538"/>
      <c r="AM150" s="3920" t="s">
        <v>1073</v>
      </c>
      <c r="AN150" s="3920"/>
      <c r="AO150" s="3920"/>
      <c r="AP150" s="3920"/>
      <c r="AQ150" s="3920"/>
      <c r="AR150" s="3920"/>
      <c r="AS150" s="3506" t="str">
        <f>IF(OR(AZ23="不要",$B$2=0,C147="",AB148&lt;&gt;"Ｃ"),"",IF(AX150&lt;&gt;"",AX150,DD149))</f>
        <v/>
      </c>
      <c r="AT150" s="3506"/>
      <c r="AU150" s="3506"/>
      <c r="AV150" s="3506"/>
      <c r="AW150" s="800" t="s">
        <v>68</v>
      </c>
      <c r="AX150" s="3536"/>
      <c r="AY150" s="3536"/>
      <c r="AZ150" s="3536"/>
      <c r="BA150" s="3536"/>
      <c r="BB150" s="3921" t="str">
        <f>IF(AS150="","",DF149)</f>
        <v/>
      </c>
      <c r="BC150" s="3921"/>
      <c r="BD150" s="3921"/>
      <c r="BE150" s="3921"/>
      <c r="BF150" s="3506" t="str">
        <f>IF(OR(C147="",AS150=""),"",IF(BL150&lt;&gt;"",BL150,DH149))</f>
        <v/>
      </c>
      <c r="BG150" s="3506"/>
      <c r="BH150" s="3506"/>
      <c r="BI150" s="3506"/>
      <c r="BJ150" s="3506"/>
      <c r="BK150" s="800" t="s">
        <v>68</v>
      </c>
      <c r="BL150" s="3533"/>
      <c r="BM150" s="3533"/>
      <c r="BN150" s="3533"/>
      <c r="BO150" s="3533"/>
      <c r="BP150" s="3533"/>
      <c r="BQ150" s="3538" t="str">
        <f>IF(BF150="","",DJ149)</f>
        <v/>
      </c>
      <c r="BR150" s="3538"/>
      <c r="BS150" s="3538"/>
      <c r="BT150" s="3539"/>
      <c r="BU150" s="19"/>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165"/>
      <c r="DC150" s="10"/>
      <c r="DD150" s="8"/>
      <c r="DE150" s="8"/>
      <c r="DF150" s="8"/>
      <c r="DG150" s="8"/>
      <c r="DH150" s="8"/>
      <c r="DI150" s="8"/>
      <c r="DJ150" s="8"/>
      <c r="DK150" s="8"/>
      <c r="DL150" s="8"/>
      <c r="DM150" s="8"/>
      <c r="DN150" s="8"/>
      <c r="DO150" s="8"/>
      <c r="DP150" s="15"/>
      <c r="DQ150" s="15"/>
      <c r="DR150" s="15"/>
      <c r="DS150" s="8"/>
      <c r="DT150" s="8"/>
      <c r="DU150" s="8"/>
      <c r="DV150" s="8"/>
      <c r="DW150" s="8"/>
      <c r="DX150" s="8"/>
      <c r="DY150" s="8"/>
      <c r="DZ150" s="8"/>
      <c r="EA150" s="8"/>
      <c r="EB150" s="769" t="str">
        <f>IF(OR($B$2=0,AK147=""),"","分岐器 2C")</f>
        <v>分岐器 2C</v>
      </c>
      <c r="EC150" s="8"/>
      <c r="ED150" s="10"/>
      <c r="EE150" s="8"/>
      <c r="EF150" s="8"/>
      <c r="EG150" s="8"/>
      <c r="EH150" s="197">
        <f t="shared" si="77"/>
        <v>4</v>
      </c>
      <c r="EI150" s="773" t="str">
        <f t="shared" si="78"/>
        <v/>
      </c>
      <c r="EJ150" s="203" t="str">
        <f>BF150</f>
        <v/>
      </c>
      <c r="EK150" s="9"/>
      <c r="EL150" s="9" t="str">
        <f>IF(COUNTIF($EJ$18:EJ149,EJ150)&gt;0,"",EJ150)</f>
        <v/>
      </c>
      <c r="EM150" s="9"/>
      <c r="EN150" s="14" t="str">
        <f>BQ150</f>
        <v/>
      </c>
      <c r="EO150" s="771">
        <f t="shared" si="91"/>
        <v>0</v>
      </c>
      <c r="EP150" s="8"/>
      <c r="EQ150" s="8"/>
      <c r="ER150" s="197">
        <f t="shared" si="79"/>
        <v>3</v>
      </c>
      <c r="ES150" s="773" t="str">
        <f t="shared" si="80"/>
        <v/>
      </c>
      <c r="ET150" s="203" t="str">
        <f t="shared" si="92"/>
        <v>分岐器 2C</v>
      </c>
      <c r="EU150" s="9"/>
      <c r="EV150" s="11" t="str">
        <f>IF(COUNTIF($ET$18:ET149,ET150)&gt;0,"",ET150)</f>
        <v/>
      </c>
      <c r="EW150" s="9"/>
      <c r="EX150" s="124">
        <f>AK147</f>
        <v>1</v>
      </c>
      <c r="EY150" s="771">
        <f t="shared" si="93"/>
        <v>0</v>
      </c>
      <c r="EZ150" s="8"/>
      <c r="FA150" s="8"/>
      <c r="FB150" s="197">
        <f t="shared" si="96"/>
        <v>10</v>
      </c>
      <c r="FC150" s="773" t="str">
        <f t="shared" si="97"/>
        <v/>
      </c>
      <c r="FD150" s="772"/>
      <c r="FE150" s="9"/>
      <c r="FF150" s="11"/>
      <c r="FG150" s="9"/>
      <c r="FH150" s="124"/>
      <c r="FI150" s="771"/>
    </row>
    <row r="151" spans="1:165" ht="11.25" customHeight="1" thickBot="1">
      <c r="B151" s="18"/>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6"/>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8">
        <f>IF(AND(AB158="Ａ",$X$11="2端子"),BI157+BQ157,IF(AND(AB158="Ａ",$X$11="1端子"),BE157+BM157,IF(AND(AB158="Ｂ",$X$11="1端子"),BM157,IF(AND(AB158="Ｂ",$X$11="2端子"),BQ157,IF(AND(AB158="Ｃ",$X$11="1端子"),BM157,BQ157)))))</f>
        <v>8</v>
      </c>
      <c r="DC151" s="10"/>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197">
        <f t="shared" si="77"/>
        <v>4</v>
      </c>
      <c r="EI151" s="773" t="str">
        <f t="shared" si="78"/>
        <v/>
      </c>
      <c r="EJ151" s="9"/>
      <c r="EK151" s="9"/>
      <c r="EL151" s="9"/>
      <c r="EM151" s="9"/>
      <c r="EN151" s="9"/>
      <c r="EO151" s="771"/>
      <c r="EP151" s="8"/>
      <c r="EQ151" s="9"/>
      <c r="ER151" s="127">
        <f t="shared" si="79"/>
        <v>3</v>
      </c>
      <c r="ES151" s="773" t="str">
        <f t="shared" si="80"/>
        <v/>
      </c>
      <c r="ET151" s="9"/>
      <c r="EU151" s="9"/>
      <c r="EV151" s="11"/>
      <c r="EW151" s="9"/>
      <c r="EX151" s="9"/>
      <c r="EY151" s="798"/>
      <c r="EZ151" s="9"/>
      <c r="FA151" s="9"/>
      <c r="FB151" s="127">
        <f t="shared" si="96"/>
        <v>10</v>
      </c>
      <c r="FC151" s="773" t="str">
        <f t="shared" si="97"/>
        <v/>
      </c>
      <c r="FD151" s="799"/>
      <c r="FE151" s="9"/>
      <c r="FF151" s="11"/>
      <c r="FG151" s="9"/>
      <c r="FH151" s="125"/>
      <c r="FI151" s="798"/>
    </row>
    <row r="152" spans="1:165" ht="12" customHeight="1" thickBot="1">
      <c r="B152" s="93"/>
      <c r="C152" s="174"/>
      <c r="D152" s="174"/>
      <c r="E152" s="174"/>
      <c r="F152" s="174"/>
      <c r="G152" s="174"/>
      <c r="H152" s="174"/>
      <c r="I152" s="174"/>
      <c r="J152" s="174"/>
      <c r="K152" s="174"/>
      <c r="L152" s="174"/>
      <c r="M152" s="174"/>
      <c r="N152" s="174"/>
      <c r="O152" s="174"/>
      <c r="P152" s="174"/>
      <c r="Q152" s="797" t="str">
        <f>IF(AND(OR(AB158="Ａ",F260="Ａ"),DB151&gt;24),"直列ユニット数………配線方式Ａ：24以下!!",IF(AND(OR(AB158="Ｂ",F260="Ｂ"),DB151&gt;12),"直列ユニット数………配線方式Ｂ：12以下!!",IF(AND(OR(AB158="Ｃ",F260="Ｃ"),DB151&gt;180),"直列ユニット数………配線方式Ｃ：180以下!!","")))</f>
        <v/>
      </c>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BM152" s="174"/>
      <c r="BN152" s="174"/>
      <c r="BO152" s="174"/>
      <c r="BP152" s="174"/>
      <c r="BQ152" s="174"/>
      <c r="BR152" s="174"/>
      <c r="BS152" s="174"/>
      <c r="BT152" s="174"/>
      <c r="BU152" s="7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v>15</v>
      </c>
      <c r="DB152" s="92" t="str">
        <f>IF(OR(V123="不要",C157="",C157="  RF"),"",IF(DK152&lt;=12,"Ｂ",IF(DK152&lt;=24,"Ａ","Ｃ")))</f>
        <v>Ｂ</v>
      </c>
      <c r="DC152" s="10"/>
      <c r="DD152" s="8"/>
      <c r="DE152" s="8"/>
      <c r="DF152" s="8"/>
      <c r="DG152" s="8"/>
      <c r="DH152" s="8"/>
      <c r="DI152" s="8"/>
      <c r="DJ152" s="8"/>
      <c r="DK152" s="159">
        <f>IF(OR(C157="",C157="  RF"),0,SUM(Q157:V157))</f>
        <v>8</v>
      </c>
      <c r="DL152" s="8"/>
      <c r="DM152" s="8"/>
      <c r="DN152" s="8"/>
      <c r="DO152" s="8"/>
      <c r="DP152" s="8"/>
      <c r="DQ152" s="8"/>
      <c r="DR152" s="8"/>
      <c r="DS152" s="8"/>
      <c r="DT152" s="8"/>
      <c r="DU152" s="8"/>
      <c r="DV152" s="8"/>
      <c r="DW152" s="8"/>
      <c r="DX152" s="8"/>
      <c r="DY152" s="8"/>
      <c r="DZ152" s="8"/>
      <c r="EA152" s="8"/>
      <c r="EB152" s="8"/>
      <c r="EC152" s="8"/>
      <c r="ED152" s="8"/>
      <c r="EE152" s="8"/>
      <c r="EF152" s="8"/>
      <c r="EG152" s="88">
        <v>15</v>
      </c>
      <c r="EH152" s="204">
        <f t="shared" si="77"/>
        <v>4</v>
      </c>
      <c r="EI152" s="768" t="str">
        <f t="shared" si="78"/>
        <v/>
      </c>
      <c r="EJ152" s="45"/>
      <c r="EK152" s="45"/>
      <c r="EL152" s="45"/>
      <c r="EM152" s="45"/>
      <c r="EN152" s="45"/>
      <c r="EO152" s="766"/>
      <c r="EP152" s="8"/>
      <c r="EQ152" s="88">
        <v>15</v>
      </c>
      <c r="ER152" s="204">
        <f t="shared" si="79"/>
        <v>3</v>
      </c>
      <c r="ES152" s="768" t="str">
        <f t="shared" si="80"/>
        <v/>
      </c>
      <c r="ET152" s="45"/>
      <c r="EU152" s="45"/>
      <c r="EV152" s="154"/>
      <c r="EW152" s="45"/>
      <c r="EX152" s="45"/>
      <c r="EY152" s="785"/>
      <c r="EZ152" s="8"/>
      <c r="FA152" s="88">
        <v>15</v>
      </c>
      <c r="FB152" s="204">
        <f t="shared" si="96"/>
        <v>10</v>
      </c>
      <c r="FC152" s="768" t="str">
        <f t="shared" si="97"/>
        <v/>
      </c>
      <c r="FD152" s="786"/>
      <c r="FE152" s="45"/>
      <c r="FF152" s="154"/>
      <c r="FG152" s="45"/>
      <c r="FH152" s="208"/>
      <c r="FI152" s="785"/>
    </row>
    <row r="153" spans="1:165" ht="11.25" customHeight="1" thickBot="1">
      <c r="B153" s="23"/>
      <c r="C153" s="3399" t="s">
        <v>1142</v>
      </c>
      <c r="D153" s="3412"/>
      <c r="E153" s="3412"/>
      <c r="F153" s="3412"/>
      <c r="G153" s="3412"/>
      <c r="H153" s="3412"/>
      <c r="I153" s="3412"/>
      <c r="J153" s="3412"/>
      <c r="K153" s="3412"/>
      <c r="L153" s="3413"/>
      <c r="M153" s="3853" t="str">
        <f>非誘!J105</f>
        <v>( 15)</v>
      </c>
      <c r="N153" s="3854"/>
      <c r="O153" s="3854"/>
      <c r="P153" s="3854"/>
      <c r="Q153" s="3855"/>
      <c r="R153" s="2299" t="str">
        <f>IF($B$2=0,"","共聴機器")</f>
        <v>共聴機器</v>
      </c>
      <c r="S153" s="2299"/>
      <c r="T153" s="2299"/>
      <c r="U153" s="2299"/>
      <c r="V153" s="2299"/>
      <c r="W153" s="3412" t="s">
        <v>1141</v>
      </c>
      <c r="X153" s="3412"/>
      <c r="Y153" s="3412"/>
      <c r="Z153" s="3413"/>
      <c r="AA153" s="2637" t="s">
        <v>1140</v>
      </c>
      <c r="AB153" s="2638"/>
      <c r="AC153" s="2638"/>
      <c r="AD153" s="2638"/>
      <c r="AE153" s="2638"/>
      <c r="AF153" s="2639"/>
      <c r="AG153" s="3879" t="s">
        <v>1139</v>
      </c>
      <c r="AH153" s="3879"/>
      <c r="AI153" s="3879"/>
      <c r="AJ153" s="3879"/>
      <c r="AK153" s="3879"/>
      <c r="AL153" s="3879"/>
      <c r="AM153" s="3879"/>
      <c r="AN153" s="3879"/>
      <c r="AO153" s="3879"/>
      <c r="AP153" s="3879"/>
      <c r="AQ153" s="3879"/>
      <c r="AR153" s="3879"/>
      <c r="AS153" s="2637" t="s">
        <v>1138</v>
      </c>
      <c r="AT153" s="2638"/>
      <c r="AU153" s="2638"/>
      <c r="AV153" s="2638"/>
      <c r="AW153" s="2638"/>
      <c r="AX153" s="2638"/>
      <c r="AY153" s="2638"/>
      <c r="AZ153" s="2638"/>
      <c r="BA153" s="2638"/>
      <c r="BB153" s="2638"/>
      <c r="BC153" s="2638"/>
      <c r="BD153" s="2639"/>
      <c r="BE153" s="2637" t="s">
        <v>1137</v>
      </c>
      <c r="BF153" s="2638"/>
      <c r="BG153" s="2638"/>
      <c r="BH153" s="2638"/>
      <c r="BI153" s="2638"/>
      <c r="BJ153" s="2638"/>
      <c r="BK153" s="2638"/>
      <c r="BL153" s="2638"/>
      <c r="BM153" s="2638"/>
      <c r="BN153" s="2638"/>
      <c r="BO153" s="2638"/>
      <c r="BP153" s="2638"/>
      <c r="BQ153" s="2638"/>
      <c r="BR153" s="2638"/>
      <c r="BS153" s="2638"/>
      <c r="BT153" s="2639"/>
      <c r="BU153" s="19"/>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15"/>
      <c r="DA153" s="784"/>
      <c r="DB153" s="97">
        <f>IF(C157="","",DB143+1)</f>
        <v>15</v>
      </c>
      <c r="DC153" s="15" t="str">
        <f>IF($X$10=C157,"＝",IF(VLOOKUP(C157,[2]!階高,3,FALSE)-VLOOKUP($X$10,[2]!階高,3,FALSE)&gt;0,"＋","－"))</f>
        <v>－</v>
      </c>
      <c r="DD153" s="38"/>
      <c r="DE153" s="113" t="s">
        <v>1051</v>
      </c>
      <c r="DF153" s="113" t="s">
        <v>1050</v>
      </c>
      <c r="DG153" s="113" t="s">
        <v>1049</v>
      </c>
      <c r="DH153" s="113" t="s">
        <v>1048</v>
      </c>
      <c r="DI153" s="113" t="s">
        <v>1047</v>
      </c>
      <c r="DJ153" s="113" t="s">
        <v>1046</v>
      </c>
      <c r="DK153" s="90" t="s">
        <v>1136</v>
      </c>
      <c r="DL153" s="38"/>
      <c r="DM153" s="113" t="s">
        <v>1051</v>
      </c>
      <c r="DN153" s="113" t="s">
        <v>1050</v>
      </c>
      <c r="DO153" s="113" t="s">
        <v>1049</v>
      </c>
      <c r="DP153" s="113" t="s">
        <v>1048</v>
      </c>
      <c r="DQ153" s="113" t="s">
        <v>1047</v>
      </c>
      <c r="DR153" s="113" t="s">
        <v>1046</v>
      </c>
      <c r="DS153" s="38"/>
      <c r="DT153" s="113" t="s">
        <v>1051</v>
      </c>
      <c r="DU153" s="113" t="s">
        <v>1048</v>
      </c>
      <c r="DV153" s="113" t="s">
        <v>1047</v>
      </c>
      <c r="DW153" s="113" t="s">
        <v>1046</v>
      </c>
      <c r="DX153" s="113" t="s">
        <v>1048</v>
      </c>
      <c r="DY153" s="113" t="s">
        <v>1048</v>
      </c>
      <c r="DZ153" s="113" t="s">
        <v>1048</v>
      </c>
      <c r="EA153" s="113"/>
      <c r="EB153" s="776" t="str">
        <f>IF(OR($B$2=0,W157=""),"","混合器 U-U")</f>
        <v/>
      </c>
      <c r="EC153" s="15"/>
      <c r="ED153" s="782" t="str">
        <f>IF(AS157="","","分配器 2D")</f>
        <v/>
      </c>
      <c r="EE153" s="15" t="str">
        <f>AS157</f>
        <v/>
      </c>
      <c r="EF153" s="15"/>
      <c r="EG153" s="8"/>
      <c r="EH153" s="197">
        <f t="shared" ref="EH153:EH184" si="98">IF(EL153&lt;&gt;"",EH152+1,EH152)</f>
        <v>4</v>
      </c>
      <c r="EI153" s="773" t="str">
        <f t="shared" ref="EI153:EI184" si="99">IF(AND(EH153&lt;&gt;"",EL153&lt;&gt;""),EH153,"")</f>
        <v/>
      </c>
      <c r="EJ153" s="203" t="str">
        <f>K159</f>
        <v/>
      </c>
      <c r="EK153" s="9"/>
      <c r="EL153" s="9" t="str">
        <f>IF(COUNTIF($EJ$18:EJ152,EJ153)&gt;0,"",EJ153)</f>
        <v/>
      </c>
      <c r="EM153" s="9"/>
      <c r="EN153" s="14" t="str">
        <f>T159</f>
        <v/>
      </c>
      <c r="EO153" s="771">
        <f t="shared" ref="EO153:EO160" si="100">SUMIF($EJ$25:$EJ$225,EL153,$EN$25:$EN$225)</f>
        <v>0</v>
      </c>
      <c r="EP153" s="8"/>
      <c r="EQ153" s="8"/>
      <c r="ER153" s="197">
        <f t="shared" ref="ER153:ER184" si="101">IF(EV153&lt;&gt;"",ER152+1,ER152)</f>
        <v>3</v>
      </c>
      <c r="ES153" s="773" t="str">
        <f t="shared" ref="ES153:ES184" si="102">IF(AND(ER153&lt;&gt;"",EV153&lt;&gt;""),ER153,"")</f>
        <v/>
      </c>
      <c r="ET153" s="203" t="str">
        <f t="shared" ref="ET153:ET160" si="103">EB153</f>
        <v/>
      </c>
      <c r="EU153" s="9"/>
      <c r="EV153" s="11" t="str">
        <f>IF(COUNTIF($ET$18:ET152,ET153)&gt;0,"",ET153)</f>
        <v/>
      </c>
      <c r="EW153" s="9"/>
      <c r="EX153" s="124" t="str">
        <f>W157</f>
        <v/>
      </c>
      <c r="EY153" s="771">
        <f t="shared" ref="EY153:EY160" si="104">SUMIF($ET$25:$ET$225,EV153,$EX$25:$EX$225)</f>
        <v>0</v>
      </c>
      <c r="EZ153" s="8"/>
      <c r="FA153" s="8"/>
      <c r="FB153" s="197">
        <f t="shared" si="96"/>
        <v>10</v>
      </c>
      <c r="FC153" s="773" t="str">
        <f t="shared" si="97"/>
        <v/>
      </c>
      <c r="FD153" s="772" t="str">
        <f t="shared" ref="FD153:FD159" si="105">ED153</f>
        <v/>
      </c>
      <c r="FE153" s="9"/>
      <c r="FF153" s="11" t="str">
        <f>IF(COUNTIF($FD$15:FD152,FD153)&gt;0,"",FD153)</f>
        <v/>
      </c>
      <c r="FG153" s="9"/>
      <c r="FH153" s="124" t="str">
        <f>AS157</f>
        <v/>
      </c>
      <c r="FI153" s="771">
        <f t="shared" ref="FI153:FI159" si="106">SUMIF($FD$18:$FD$205,FF153,$FH$18:$FH$205)</f>
        <v>0</v>
      </c>
    </row>
    <row r="154" spans="1:165" ht="11.25" customHeight="1" thickBot="1">
      <c r="B154" s="23"/>
      <c r="C154" s="3857" t="str">
        <f>"　"&amp;非誘!M105</f>
        <v>　前各項以外</v>
      </c>
      <c r="D154" s="3858"/>
      <c r="E154" s="3858"/>
      <c r="F154" s="3858"/>
      <c r="G154" s="3858"/>
      <c r="H154" s="3858"/>
      <c r="I154" s="3858"/>
      <c r="J154" s="3858"/>
      <c r="K154" s="3858"/>
      <c r="L154" s="3858"/>
      <c r="M154" s="3858"/>
      <c r="N154" s="3858"/>
      <c r="O154" s="3858"/>
      <c r="P154" s="3858"/>
      <c r="Q154" s="3859"/>
      <c r="R154" s="2337" t="str">
        <f>IF(U154&lt;&gt;"",U154,IF(C157="","","設"))</f>
        <v>設</v>
      </c>
      <c r="S154" s="2337"/>
      <c r="T154" s="175" t="s">
        <v>2</v>
      </c>
      <c r="U154" s="2338"/>
      <c r="V154" s="2338"/>
      <c r="W154" s="3860" t="s">
        <v>1158</v>
      </c>
      <c r="X154" s="3863" t="s">
        <v>1157</v>
      </c>
      <c r="Y154" s="3863" t="s">
        <v>1129</v>
      </c>
      <c r="Z154" s="3866"/>
      <c r="AA154" s="3528" t="s">
        <v>1156</v>
      </c>
      <c r="AB154" s="3519"/>
      <c r="AC154" s="3519"/>
      <c r="AD154" s="3519"/>
      <c r="AE154" s="3519"/>
      <c r="AF154" s="3520"/>
      <c r="AG154" s="3528" t="s">
        <v>1127</v>
      </c>
      <c r="AH154" s="3519"/>
      <c r="AI154" s="3519"/>
      <c r="AJ154" s="3529"/>
      <c r="AK154" s="3518" t="s">
        <v>1126</v>
      </c>
      <c r="AL154" s="3519"/>
      <c r="AM154" s="3519"/>
      <c r="AN154" s="3529"/>
      <c r="AO154" s="3518" t="s">
        <v>1125</v>
      </c>
      <c r="AP154" s="3519"/>
      <c r="AQ154" s="3519"/>
      <c r="AR154" s="3520"/>
      <c r="AS154" s="3528" t="s">
        <v>1133</v>
      </c>
      <c r="AT154" s="3519"/>
      <c r="AU154" s="3519"/>
      <c r="AV154" s="3529"/>
      <c r="AW154" s="3518" t="s">
        <v>1124</v>
      </c>
      <c r="AX154" s="3519"/>
      <c r="AY154" s="3519"/>
      <c r="AZ154" s="3529"/>
      <c r="BA154" s="3518" t="s">
        <v>1134</v>
      </c>
      <c r="BB154" s="3519"/>
      <c r="BC154" s="3519"/>
      <c r="BD154" s="3520"/>
      <c r="BE154" s="3528" t="s">
        <v>1123</v>
      </c>
      <c r="BF154" s="3519"/>
      <c r="BG154" s="3519"/>
      <c r="BH154" s="3519"/>
      <c r="BI154" s="3519"/>
      <c r="BJ154" s="3519"/>
      <c r="BK154" s="3519"/>
      <c r="BL154" s="3529"/>
      <c r="BM154" s="3518" t="s">
        <v>1122</v>
      </c>
      <c r="BN154" s="3519"/>
      <c r="BO154" s="3519"/>
      <c r="BP154" s="3519"/>
      <c r="BQ154" s="3519"/>
      <c r="BR154" s="3519"/>
      <c r="BS154" s="3519"/>
      <c r="BT154" s="3520"/>
      <c r="BU154" s="19"/>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15"/>
      <c r="DA154" s="15">
        <f>IF(AG157&lt;&gt;"",2,IF(AK157&lt;&gt;"",3,0))</f>
        <v>3</v>
      </c>
      <c r="DB154" s="86" t="s">
        <v>78</v>
      </c>
      <c r="DC154" s="86" t="s">
        <v>369</v>
      </c>
      <c r="DD154" s="128" t="s">
        <v>1120</v>
      </c>
      <c r="DE154" s="86">
        <f>IF(AB158&lt;&gt;"Ａ",0,IF(AND(2*DK154&gt;=4,2*DK154&lt;=12),1,0))</f>
        <v>0</v>
      </c>
      <c r="DF154" s="86">
        <f>IF(AB158&lt;&gt;"Ａ",0,IF(AND(2*DK154&gt;=16,DK154&lt;=24),1,0))</f>
        <v>0</v>
      </c>
      <c r="DG154" s="97" t="s">
        <v>98</v>
      </c>
      <c r="DH154" s="86">
        <f>IF(AB158&lt;&gt;"Ａ",0,IF(2*DK154&lt;=4,1,0))</f>
        <v>0</v>
      </c>
      <c r="DI154" s="86">
        <f>IF(AB158&lt;&gt;"Ａ",0,IF(OR(AND(2*DK154&gt;4,2*DK154&lt;=8),AND(2*DK154&gt;12,2*DK154&lt;=16)),1,0))</f>
        <v>0</v>
      </c>
      <c r="DJ154" s="183">
        <f>IF(AB158&lt;&gt;"Ａ",0,IF(OR(AND(2*DK154&gt;8,2*DK154&lt;=12),AND(2*DK154&gt;16,2*DK154&lt;=24)),1,0))</f>
        <v>0</v>
      </c>
      <c r="DK154" s="783">
        <f>IF(OR(C157="",C157="  RF"),0,IF(Q157="",INT((T157)/2),INT((Q157+INT(T157))/2)+1))</f>
        <v>4</v>
      </c>
      <c r="DL154" s="128" t="s">
        <v>1155</v>
      </c>
      <c r="DM154" s="86">
        <f>IF(AB158&lt;&gt;"Ｂ",0,IF(DB151&lt;=6,1,0))</f>
        <v>0</v>
      </c>
      <c r="DN154" s="86">
        <f>IF(AB158&lt;&gt;"Ｂ",0,IF(AND(DB151&gt;6,DB151&lt;=12),1,0))</f>
        <v>1</v>
      </c>
      <c r="DO154" s="97" t="s">
        <v>98</v>
      </c>
      <c r="DP154" s="86">
        <f>IF(AB158&lt;&gt;"Ｂ",0,IF(DB151&lt;=2,1,0))</f>
        <v>0</v>
      </c>
      <c r="DQ154" s="86">
        <f>IF(AB158&lt;&gt;"Ｂ",0,IF(OR(AND(DB151&gt;2,DB151&lt;6),AND(DB151&gt;6,DB151&lt;=8)),1,0))</f>
        <v>1</v>
      </c>
      <c r="DR154" s="86">
        <f>IF(AB158&lt;&gt;"Ｂ",0,IF(OR(AND(DB151&gt;4,DB151&lt;6),AND(DB151&gt;8,DB151&lt;=12)),1,0))</f>
        <v>0</v>
      </c>
      <c r="DS154" s="128" t="s">
        <v>1154</v>
      </c>
      <c r="DT154" s="159">
        <f>IF(AB158&lt;&gt;"Ｃ",0,IF(DX154&lt;&gt;0,DX154,IF(DY154&lt;&gt;0,DY154,IF(DZ154&lt;&gt;0,DZ154,0))))</f>
        <v>0</v>
      </c>
      <c r="DU154" s="159">
        <f>IF(AB158&lt;&gt;"Ｃ",0,IF(DX154=0,0,1))</f>
        <v>0</v>
      </c>
      <c r="DV154" s="159">
        <f>IF(AB158&lt;&gt;"Ｃ",0,IF(DY154=0,0,1))</f>
        <v>0</v>
      </c>
      <c r="DW154" s="783">
        <f>IF(AB158&lt;&gt;"Ｃ",0,IF(DZ154=0,0,1))</f>
        <v>0</v>
      </c>
      <c r="DX154" s="714">
        <f>IF(AB158&lt;&gt;"Ｃ",0,IF(DB151&lt;=12,3,IF(AND(DB151&gt;12,DB151&lt;=16),4,IF(AND(DB151&gt;16,DB151&lt;=20),5,0))))</f>
        <v>0</v>
      </c>
      <c r="DY154" s="86">
        <f>IF(AB158&lt;&gt;"Ｃ",0,IF(AND(DB151&gt;20,DB151&lt;=24),3,IF(AND(DB151&gt;24,DB151&lt;=32),4,IF(AND(DB151&gt;32,DB151&lt;=40),5,0))))</f>
        <v>0</v>
      </c>
      <c r="DZ154" s="97">
        <f>IF(AB158&lt;&gt;"Ｃ",0,IF(AND(DB151&gt;40,DB151&lt;=48),4,IF(AND(DB151&gt;48,DB151&lt;=60),5,0)))</f>
        <v>0</v>
      </c>
      <c r="EA154" s="96"/>
      <c r="EB154" s="776" t="str">
        <f>IF(OR($B$2=0,X157=""),"","混合器 BS-CS")</f>
        <v/>
      </c>
      <c r="EC154" s="96"/>
      <c r="ED154" s="782" t="str">
        <f>IF(AW157="","","分配器 4D")</f>
        <v>分配器 4D</v>
      </c>
      <c r="EE154" s="96">
        <f>AW157</f>
        <v>1</v>
      </c>
      <c r="EF154" s="96"/>
      <c r="EG154" s="96"/>
      <c r="EH154" s="197">
        <f t="shared" si="98"/>
        <v>4</v>
      </c>
      <c r="EI154" s="773" t="str">
        <f t="shared" si="99"/>
        <v/>
      </c>
      <c r="EJ154" s="203" t="str">
        <f>K160</f>
        <v>S-7C-FB</v>
      </c>
      <c r="EK154" s="9"/>
      <c r="EL154" s="9" t="str">
        <f>IF(COUNTIF($EJ$18:EJ153,EJ154)&gt;0,"",EJ154)</f>
        <v/>
      </c>
      <c r="EM154" s="9"/>
      <c r="EN154" s="14">
        <f>T160</f>
        <v>6</v>
      </c>
      <c r="EO154" s="771">
        <f t="shared" si="100"/>
        <v>0</v>
      </c>
      <c r="EP154" s="8"/>
      <c r="EQ154" s="96"/>
      <c r="ER154" s="197">
        <f t="shared" si="101"/>
        <v>3</v>
      </c>
      <c r="ES154" s="773" t="str">
        <f t="shared" si="102"/>
        <v/>
      </c>
      <c r="ET154" s="203" t="str">
        <f t="shared" si="103"/>
        <v/>
      </c>
      <c r="EU154" s="9"/>
      <c r="EV154" s="11" t="str">
        <f>IF(COUNTIF($ET$18:ET153,ET154)&gt;0,"",ET154)</f>
        <v/>
      </c>
      <c r="EW154" s="9"/>
      <c r="EX154" s="124" t="str">
        <f>X157</f>
        <v/>
      </c>
      <c r="EY154" s="771">
        <f t="shared" si="104"/>
        <v>0</v>
      </c>
      <c r="EZ154" s="8"/>
      <c r="FA154" s="96"/>
      <c r="FB154" s="197">
        <f t="shared" si="96"/>
        <v>10</v>
      </c>
      <c r="FC154" s="773" t="str">
        <f t="shared" si="97"/>
        <v/>
      </c>
      <c r="FD154" s="772" t="str">
        <f t="shared" si="105"/>
        <v>分配器 4D</v>
      </c>
      <c r="FE154" s="9"/>
      <c r="FF154" s="11" t="str">
        <f>IF(COUNTIF($FD$15:FD153,FD154)&gt;0,"",FD154)</f>
        <v/>
      </c>
      <c r="FG154" s="9"/>
      <c r="FH154" s="124">
        <f>AW157</f>
        <v>1</v>
      </c>
      <c r="FI154" s="771">
        <f t="shared" si="106"/>
        <v>0</v>
      </c>
    </row>
    <row r="155" spans="1:165" ht="11.25" customHeight="1" thickBot="1">
      <c r="B155" s="23"/>
      <c r="C155" s="3819" t="s">
        <v>16</v>
      </c>
      <c r="D155" s="3820"/>
      <c r="E155" s="3821"/>
      <c r="F155" s="3869" t="s">
        <v>22</v>
      </c>
      <c r="G155" s="3870"/>
      <c r="H155" s="3871"/>
      <c r="I155" s="3869" t="s">
        <v>5</v>
      </c>
      <c r="J155" s="3870"/>
      <c r="K155" s="3870"/>
      <c r="L155" s="3871"/>
      <c r="M155" s="3819" t="s">
        <v>1199</v>
      </c>
      <c r="N155" s="3820"/>
      <c r="O155" s="3820"/>
      <c r="P155" s="3821"/>
      <c r="Q155" s="3819" t="s">
        <v>1115</v>
      </c>
      <c r="R155" s="3820"/>
      <c r="S155" s="3821"/>
      <c r="T155" s="3819" t="s">
        <v>1115</v>
      </c>
      <c r="U155" s="3820"/>
      <c r="V155" s="3821"/>
      <c r="W155" s="3861"/>
      <c r="X155" s="3864"/>
      <c r="Y155" s="3864"/>
      <c r="Z155" s="3867"/>
      <c r="AA155" s="3872" t="str">
        <f>IF($AG$15&lt;=65,"40/","35/")</f>
        <v>40/</v>
      </c>
      <c r="AB155" s="3873"/>
      <c r="AC155" s="3873"/>
      <c r="AD155" s="3873" t="str">
        <f>IF(CW261&gt;55,"40/","35/")</f>
        <v>35/</v>
      </c>
      <c r="AE155" s="3873"/>
      <c r="AF155" s="3875"/>
      <c r="AG155" s="3876" t="s">
        <v>1114</v>
      </c>
      <c r="AH155" s="3877"/>
      <c r="AI155" s="3877"/>
      <c r="AJ155" s="3877"/>
      <c r="AK155" s="3877"/>
      <c r="AL155" s="3877"/>
      <c r="AM155" s="3877"/>
      <c r="AN155" s="3877"/>
      <c r="AO155" s="3877"/>
      <c r="AP155" s="3877"/>
      <c r="AQ155" s="3877"/>
      <c r="AR155" s="3878"/>
      <c r="AS155" s="3549" t="s">
        <v>1113</v>
      </c>
      <c r="AT155" s="3550"/>
      <c r="AU155" s="3550"/>
      <c r="AV155" s="3550"/>
      <c r="AW155" s="3550"/>
      <c r="AX155" s="3550"/>
      <c r="AY155" s="3550"/>
      <c r="AZ155" s="3550"/>
      <c r="BA155" s="3550"/>
      <c r="BB155" s="3550"/>
      <c r="BC155" s="3550"/>
      <c r="BD155" s="3551"/>
      <c r="BE155" s="3552" t="s">
        <v>1112</v>
      </c>
      <c r="BF155" s="3553"/>
      <c r="BG155" s="3553"/>
      <c r="BH155" s="3553"/>
      <c r="BI155" s="3553" t="s">
        <v>1111</v>
      </c>
      <c r="BJ155" s="3553"/>
      <c r="BK155" s="3553"/>
      <c r="BL155" s="3553"/>
      <c r="BM155" s="3553" t="s">
        <v>1112</v>
      </c>
      <c r="BN155" s="3553"/>
      <c r="BO155" s="3553"/>
      <c r="BP155" s="3553"/>
      <c r="BQ155" s="3553" t="s">
        <v>1111</v>
      </c>
      <c r="BR155" s="3553"/>
      <c r="BS155" s="3553"/>
      <c r="BT155" s="3919"/>
      <c r="BU155" s="19"/>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15"/>
      <c r="DA155" s="67">
        <f>IF(DC153="＋",F157+F147+3,F157+F166+3)</f>
        <v>11</v>
      </c>
      <c r="DB155" s="98">
        <f>IF(C157="  RF","",IF(AN158="","",非誘!BW107))</f>
        <v>5</v>
      </c>
      <c r="DC155" s="98">
        <f>IF(DB155="","",IF(AN158="","",非誘!BX107))</f>
        <v>7</v>
      </c>
      <c r="DD155" s="3822" t="s">
        <v>1060</v>
      </c>
      <c r="DE155" s="3823"/>
      <c r="DF155" s="3824" t="s">
        <v>1173</v>
      </c>
      <c r="DG155" s="3824"/>
      <c r="DH155" s="3824" t="s">
        <v>1174</v>
      </c>
      <c r="DI155" s="3824"/>
      <c r="DJ155" s="3823" t="s">
        <v>1173</v>
      </c>
      <c r="DK155" s="3823"/>
      <c r="DL155" s="8"/>
      <c r="DM155" s="113" t="s">
        <v>1172</v>
      </c>
      <c r="DN155" s="113" t="s">
        <v>1171</v>
      </c>
      <c r="DO155" s="113" t="s">
        <v>1170</v>
      </c>
      <c r="DP155" s="8"/>
      <c r="DQ155" s="8"/>
      <c r="DR155" s="8"/>
      <c r="DS155" s="8"/>
      <c r="DT155" s="113" t="s">
        <v>1051</v>
      </c>
      <c r="DU155" s="8"/>
      <c r="DV155" s="113" t="s">
        <v>1047</v>
      </c>
      <c r="DW155" s="113" t="s">
        <v>1046</v>
      </c>
      <c r="DX155" s="8"/>
      <c r="DY155" s="113" t="s">
        <v>1047</v>
      </c>
      <c r="DZ155" s="113" t="s">
        <v>1047</v>
      </c>
      <c r="EA155" s="113"/>
      <c r="EB155" s="776" t="str">
        <f>IF(OR($B$2=0,Y157=""),"","混合器 UV-BC")</f>
        <v/>
      </c>
      <c r="EC155" s="15"/>
      <c r="ED155" s="782" t="str">
        <f>IF(BA157="","","分配器 6D")</f>
        <v/>
      </c>
      <c r="EE155" s="15" t="str">
        <f>BA157</f>
        <v/>
      </c>
      <c r="EF155" s="15"/>
      <c r="EG155" s="15"/>
      <c r="EH155" s="197">
        <f t="shared" si="98"/>
        <v>4</v>
      </c>
      <c r="EI155" s="773" t="str">
        <f t="shared" si="99"/>
        <v/>
      </c>
      <c r="EJ155" s="203" t="str">
        <f>X159</f>
        <v/>
      </c>
      <c r="EK155" s="9"/>
      <c r="EL155" s="9" t="str">
        <f>IF(COUNTIF($EJ$18:EJ154,EJ155)&gt;0,"",EJ155)</f>
        <v/>
      </c>
      <c r="EM155" s="9"/>
      <c r="EN155" s="14" t="str">
        <f>AI159</f>
        <v/>
      </c>
      <c r="EO155" s="771">
        <f t="shared" si="100"/>
        <v>0</v>
      </c>
      <c r="EP155" s="8"/>
      <c r="EQ155" s="15"/>
      <c r="ER155" s="197">
        <f t="shared" si="101"/>
        <v>3</v>
      </c>
      <c r="ES155" s="773" t="str">
        <f t="shared" si="102"/>
        <v/>
      </c>
      <c r="ET155" s="203" t="str">
        <f t="shared" si="103"/>
        <v/>
      </c>
      <c r="EU155" s="9"/>
      <c r="EV155" s="11" t="str">
        <f>IF(COUNTIF($ET$18:ET154,ET155)&gt;0,"",ET155)</f>
        <v/>
      </c>
      <c r="EW155" s="9"/>
      <c r="EX155" s="124" t="str">
        <f>Y157</f>
        <v/>
      </c>
      <c r="EY155" s="771">
        <f t="shared" si="104"/>
        <v>0</v>
      </c>
      <c r="EZ155" s="8"/>
      <c r="FA155" s="15"/>
      <c r="FB155" s="197">
        <f t="shared" si="96"/>
        <v>10</v>
      </c>
      <c r="FC155" s="773" t="str">
        <f t="shared" si="97"/>
        <v/>
      </c>
      <c r="FD155" s="772" t="str">
        <f t="shared" si="105"/>
        <v/>
      </c>
      <c r="FE155" s="9"/>
      <c r="FF155" s="11" t="str">
        <f>IF(COUNTIF($FD$15:FD154,FD155)&gt;0,"",FD155)</f>
        <v/>
      </c>
      <c r="FG155" s="9"/>
      <c r="FH155" s="124" t="str">
        <f>BA157</f>
        <v/>
      </c>
      <c r="FI155" s="771">
        <f t="shared" si="106"/>
        <v>0</v>
      </c>
    </row>
    <row r="156" spans="1:165" ht="11.25" customHeight="1" thickBot="1">
      <c r="B156" s="23"/>
      <c r="C156" s="3819"/>
      <c r="D156" s="3820"/>
      <c r="E156" s="3821"/>
      <c r="F156" s="3827" t="s">
        <v>17</v>
      </c>
      <c r="G156" s="3769"/>
      <c r="H156" s="3828"/>
      <c r="I156" s="3819" t="s">
        <v>17</v>
      </c>
      <c r="J156" s="3820"/>
      <c r="K156" s="3820"/>
      <c r="L156" s="3821"/>
      <c r="M156" s="3819" t="s">
        <v>1195</v>
      </c>
      <c r="N156" s="3820"/>
      <c r="O156" s="3820"/>
      <c r="P156" s="3821"/>
      <c r="Q156" s="3819" t="s">
        <v>1102</v>
      </c>
      <c r="R156" s="3820"/>
      <c r="S156" s="3821"/>
      <c r="T156" s="3819" t="s">
        <v>115</v>
      </c>
      <c r="U156" s="3820"/>
      <c r="V156" s="3821"/>
      <c r="W156" s="3862"/>
      <c r="X156" s="3865"/>
      <c r="Y156" s="3865"/>
      <c r="Z156" s="3868"/>
      <c r="AA156" s="3829">
        <f>IF($AG$15&lt;=65,115,110)</f>
        <v>115</v>
      </c>
      <c r="AB156" s="3562"/>
      <c r="AC156" s="3562"/>
      <c r="AD156" s="3562">
        <f>IF(CW261&gt;55,115,110)</f>
        <v>110</v>
      </c>
      <c r="AE156" s="3562"/>
      <c r="AF156" s="3830"/>
      <c r="AG156" s="3831" t="s">
        <v>1194</v>
      </c>
      <c r="AH156" s="3832"/>
      <c r="AI156" s="3832"/>
      <c r="AJ156" s="3833"/>
      <c r="AK156" s="3834" t="s">
        <v>1099</v>
      </c>
      <c r="AL156" s="3832"/>
      <c r="AM156" s="3832"/>
      <c r="AN156" s="3833"/>
      <c r="AO156" s="3834" t="s">
        <v>1193</v>
      </c>
      <c r="AP156" s="3832"/>
      <c r="AQ156" s="3832"/>
      <c r="AR156" s="3835"/>
      <c r="AS156" s="3836" t="s">
        <v>1096</v>
      </c>
      <c r="AT156" s="3832"/>
      <c r="AU156" s="3832"/>
      <c r="AV156" s="3833"/>
      <c r="AW156" s="3844" t="s">
        <v>1192</v>
      </c>
      <c r="AX156" s="3845"/>
      <c r="AY156" s="3845"/>
      <c r="AZ156" s="3846"/>
      <c r="BA156" s="3558" t="s">
        <v>1093</v>
      </c>
      <c r="BB156" s="3559"/>
      <c r="BC156" s="3559"/>
      <c r="BD156" s="3560"/>
      <c r="BE156" s="3561" t="s">
        <v>1191</v>
      </c>
      <c r="BF156" s="3562"/>
      <c r="BG156" s="3562"/>
      <c r="BH156" s="3562"/>
      <c r="BI156" s="3850" t="s">
        <v>1190</v>
      </c>
      <c r="BJ156" s="3562"/>
      <c r="BK156" s="3562"/>
      <c r="BL156" s="3562"/>
      <c r="BM156" s="3850" t="s">
        <v>1189</v>
      </c>
      <c r="BN156" s="3562"/>
      <c r="BO156" s="3562"/>
      <c r="BP156" s="3562"/>
      <c r="BQ156" s="3850" t="s">
        <v>1188</v>
      </c>
      <c r="BR156" s="3562"/>
      <c r="BS156" s="3562"/>
      <c r="BT156" s="3830"/>
      <c r="BU156" s="19"/>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90"/>
      <c r="DA156" s="15"/>
      <c r="DB156" s="98">
        <f>IF(C157="","",IF(AZ158="①",DB155+DC155+3,IF(AZ158="②",DB155*5/8+DC155+3,IF(AZ158="③",DB155/2+DC155+3,IF(AZ158="④",DB155+DC155*5/8+3,IF(AZ158="⑤",(DB155+DC155)*5/8+3,IF(AZ158="⑥",DB155/2+DC155*5/8+3,IF(AZ158="⑦",DB155+DC155/2+3,IF(AZ158="⑧",DB155*5/8+DC155/2+3,IF(AZ158="⑨",(DB155+DC155)/2+3))))))))))</f>
        <v>11.5</v>
      </c>
      <c r="DC156" s="180" t="s">
        <v>1187</v>
      </c>
      <c r="DD156" s="2589" t="str">
        <f>IF($AL$10="nC-FB","S-5C-FB",IF($AL$10="nD-FB","5D-FB","5C-2V"))</f>
        <v>S-5C-FB</v>
      </c>
      <c r="DE156" s="2591"/>
      <c r="DF156" s="3631">
        <f>IF(C157="  RF",DF146,IF($H$15="ＣＡＴＶ",DB155+DC155/2+F157-($AM$8-$AM$7)/1000+DR156,SUM(DM156:DO156)))</f>
        <v>58.5</v>
      </c>
      <c r="DG156" s="3812"/>
      <c r="DH156" s="2589" t="str">
        <f>IF($H$17="ＣＡＴＶ","G-22mm",IF(RIGHT($AB$17,1)+RIGHT($AF$17,1)+RIGHT($AJ$17,1)&gt;=4,"G-36mm","G-28mm"))</f>
        <v>G-28mm</v>
      </c>
      <c r="DI156" s="2591"/>
      <c r="DJ156" s="3631">
        <f>IF(C157="",0,IF(C157="  RF",DJ146,IF($H$15="ＣＡＴＶ",DB155+DC155/2+F157-($AM$8-$AM$7)/1000,10+F157-($AM$8-$AM$7)/1000)))</f>
        <v>14.5</v>
      </c>
      <c r="DK156" s="3812"/>
      <c r="DL156" s="15"/>
      <c r="DM156" s="98">
        <f>IF(OR($B$2=0,$H$15="ＣＡＴＶ",C157="",C157="  RF"),0,IF($AB$17="","",RIGHT($AB$17,1)*15+F157-($AM$8-$AM$7)/1000))</f>
        <v>19.5</v>
      </c>
      <c r="DN156" s="98">
        <f>IF(OR($B$2=0,$H$15="ＣＡＴＶ",C157="",C157="  RF"),0,IF($AF$17="","",15+F157-($AM$8-$AM$7)/1000))</f>
        <v>19.5</v>
      </c>
      <c r="DO156" s="98">
        <f>IF(OR($B$2=0,$H$15="ＣＡＴＶ",C157="",C157="  RF"),0,IF($AJ$17="","",15+F157-($AM$8-$AM$7)/1000))</f>
        <v>19.5</v>
      </c>
      <c r="DP156" s="15"/>
      <c r="DQ156" s="46" t="s">
        <v>1087</v>
      </c>
      <c r="DR156" s="98" t="str">
        <f>IF($H$17="ＣＡＴＶ",#REF!+#REF!,"")</f>
        <v/>
      </c>
      <c r="DS156" s="128" t="s">
        <v>1154</v>
      </c>
      <c r="DT156" s="159">
        <f>IF(AB158&lt;&gt;"Ｃ",0,IF(DY156&lt;&gt;0,DY156,IF(DZ156&lt;&gt;0,DZ156,0)))</f>
        <v>0</v>
      </c>
      <c r="DU156" s="8"/>
      <c r="DV156" s="86">
        <f>IF(AB158&lt;&gt;"Ｃ",0,IF(DY156=0,0,1))</f>
        <v>0</v>
      </c>
      <c r="DW156" s="86">
        <f>IF(AB158&lt;&gt;"Ｃ",0,IF(DZ156=0,0,1))</f>
        <v>0</v>
      </c>
      <c r="DX156" s="8"/>
      <c r="DY156" s="86">
        <f>IF(AB158&lt;&gt;"Ｃ",0,IF(AND(DB151&gt;60,DB151&lt;=64),4,IF(AND(DB151&gt;64,DB151&lt;=80),5,0)))</f>
        <v>0</v>
      </c>
      <c r="DZ156" s="86">
        <f>IF(AB158&lt;&gt;"Ｃ",0,IF(AND(DB151&gt;80,DB151&lt;=96),4,IF(AND(DB151&gt;96,DB151&lt;=120),5,0)))</f>
        <v>0</v>
      </c>
      <c r="EA156" s="38"/>
      <c r="EB156" s="776" t="str">
        <f>IF(OR($B$2=0,Z157=""),"","混合器 UV-BC")</f>
        <v/>
      </c>
      <c r="EC156" s="12"/>
      <c r="ED156" s="122" t="str">
        <f>IF(BE157="","","直列Unit-中間1端子")</f>
        <v/>
      </c>
      <c r="EE156" s="38" t="str">
        <f>BE157</f>
        <v/>
      </c>
      <c r="EF156" s="38"/>
      <c r="EG156" s="38"/>
      <c r="EH156" s="197">
        <f t="shared" si="98"/>
        <v>4</v>
      </c>
      <c r="EI156" s="773" t="str">
        <f t="shared" si="99"/>
        <v/>
      </c>
      <c r="EJ156" s="203" t="str">
        <f>X160</f>
        <v>PF-S-22mm</v>
      </c>
      <c r="EK156" s="9"/>
      <c r="EL156" s="9" t="str">
        <f>IF(COUNTIF($EJ$18:EJ155,EJ156)&gt;0,"",EJ156)</f>
        <v/>
      </c>
      <c r="EM156" s="9"/>
      <c r="EN156" s="14">
        <f>AI160</f>
        <v>4</v>
      </c>
      <c r="EO156" s="771">
        <f t="shared" si="100"/>
        <v>0</v>
      </c>
      <c r="EP156" s="8"/>
      <c r="EQ156" s="38"/>
      <c r="ER156" s="197">
        <f t="shared" si="101"/>
        <v>3</v>
      </c>
      <c r="ES156" s="773" t="str">
        <f t="shared" si="102"/>
        <v/>
      </c>
      <c r="ET156" s="203" t="str">
        <f t="shared" si="103"/>
        <v/>
      </c>
      <c r="EU156" s="9"/>
      <c r="EV156" s="11" t="str">
        <f>IF(COUNTIF($ET$18:ET155,ET156)&gt;0,"",ET156)</f>
        <v/>
      </c>
      <c r="EW156" s="9"/>
      <c r="EX156" s="124">
        <f>Z157</f>
        <v>0</v>
      </c>
      <c r="EY156" s="771">
        <f t="shared" si="104"/>
        <v>0</v>
      </c>
      <c r="EZ156" s="8"/>
      <c r="FA156" s="38"/>
      <c r="FB156" s="197">
        <f t="shared" si="96"/>
        <v>10</v>
      </c>
      <c r="FC156" s="773" t="str">
        <f t="shared" si="97"/>
        <v/>
      </c>
      <c r="FD156" s="772" t="str">
        <f t="shared" si="105"/>
        <v/>
      </c>
      <c r="FE156" s="9"/>
      <c r="FF156" s="11" t="str">
        <f>IF(COUNTIF($FD$15:FD155,FD156)&gt;0,"",FD156)</f>
        <v/>
      </c>
      <c r="FG156" s="9"/>
      <c r="FH156" s="124" t="str">
        <f>BE157</f>
        <v/>
      </c>
      <c r="FI156" s="771">
        <f t="shared" si="106"/>
        <v>0</v>
      </c>
    </row>
    <row r="157" spans="1:165" ht="11.25" customHeight="1">
      <c r="A157" s="8">
        <v>15</v>
      </c>
      <c r="B157" s="23"/>
      <c r="C157" s="3837" t="str">
        <f>非誘!C107</f>
        <v>PH1F</v>
      </c>
      <c r="D157" s="3837"/>
      <c r="E157" s="3837"/>
      <c r="F157" s="3838">
        <f>非誘!F107</f>
        <v>4</v>
      </c>
      <c r="G157" s="3839"/>
      <c r="H157" s="3840"/>
      <c r="I157" s="3838" t="str">
        <f>非誘!J107</f>
        <v>直天</v>
      </c>
      <c r="J157" s="3839"/>
      <c r="K157" s="3839"/>
      <c r="L157" s="3840"/>
      <c r="M157" s="3841">
        <f>非誘!N107</f>
        <v>140</v>
      </c>
      <c r="N157" s="3842"/>
      <c r="O157" s="3842"/>
      <c r="P157" s="3843"/>
      <c r="Q157" s="3537" t="str">
        <f>非誘!AA107</f>
        <v/>
      </c>
      <c r="R157" s="3537"/>
      <c r="S157" s="3537"/>
      <c r="T157" s="3537">
        <f>非誘!AD107</f>
        <v>8</v>
      </c>
      <c r="U157" s="3537"/>
      <c r="V157" s="3537"/>
      <c r="W157" s="795" t="str">
        <f>IF(OR(BC23="不要",C157&lt;&gt;$X$10),"",IF(AND($AB$17="UHF×3",$AF$17&lt;&gt;"",$AJ$17&lt;&gt;""),2,IF(OR(AND($AB$17="UHF×3",$AB$17="",$AJ$17=""),AND($AB$17="UHF×3",$AF$17&lt;&gt;"",$AJ$17=""),AND($AB$17="UHF×2",$AF$17&lt;&gt;"",$AJ$17&lt;&gt;"")),1,"")))</f>
        <v/>
      </c>
      <c r="X157" s="794" t="str">
        <f>IF(OR(BC23="不要",C157&lt;&gt;$X$10),"",IF(AND($AB$17&lt;&gt;"",$AF$17&lt;&gt;"",$AJ$17&lt;&gt;""),1,""))</f>
        <v/>
      </c>
      <c r="Y157" s="794" t="str">
        <f>IF(OR(BC23="不要",C157&lt;&gt;$X$10),"",IF(AND(OR($AB$17="UHF×2",$AB$17="UHF×3"),$AF$17&lt;&gt;"",$AJ$17=""),1,""))</f>
        <v/>
      </c>
      <c r="Z157" s="793"/>
      <c r="AA157" s="3847" t="str">
        <f>IF($B$2=0,"",IF(AND(BC23&lt;&gt;"不要",DC153="＝"),1,""))</f>
        <v/>
      </c>
      <c r="AB157" s="3848"/>
      <c r="AC157" s="3848"/>
      <c r="AD157" s="3848">
        <f>IF($B$2=0,"",IF(OR(BC23="不要",C157="",C157="  RF"),"",IF(BC23="設置",1,"")))</f>
        <v>1</v>
      </c>
      <c r="AE157" s="3848"/>
      <c r="AF157" s="3849"/>
      <c r="AG157" s="3837" t="str">
        <f>IF(OR(BC23="不要",C157="",C157="  RF"),"",IF(AI157&lt;&gt;"",AI157,IF(DE154+DM154+DT154+DT156+DT158=0,"",DE154+DM154+DT154+DT156+DT158)))</f>
        <v/>
      </c>
      <c r="AH157" s="3837"/>
      <c r="AI157" s="3915"/>
      <c r="AJ157" s="3915"/>
      <c r="AK157" s="3837">
        <f>IF(OR(BC23="不要",C157="",C157="  RF"),"",IF(AM157&lt;&gt;"",AM157,IF(DF154+DN154=0,"",DF154+DN154)))</f>
        <v>1</v>
      </c>
      <c r="AL157" s="3837"/>
      <c r="AM157" s="3915"/>
      <c r="AN157" s="3915"/>
      <c r="AO157" s="3813" t="str">
        <f>IF(AQ157="","",AQ157)</f>
        <v/>
      </c>
      <c r="AP157" s="3814"/>
      <c r="AQ157" s="3915"/>
      <c r="AR157" s="3915"/>
      <c r="AS157" s="3916" t="str">
        <f>IF(OR(BC23="不要",C157="  RF"),"",IF(AU157&lt;&gt;"",AU157,IF(DH154+DP154+DU154+DX154+DY154+DZ154=0,"",DH154+DP154+DU154+DX154+DY154+DZ154)))</f>
        <v/>
      </c>
      <c r="AT157" s="3837"/>
      <c r="AU157" s="3915"/>
      <c r="AV157" s="3915"/>
      <c r="AW157" s="3837">
        <f>IF(OR(BC23="不要",C157="  RF"),"",IF(AY157&lt;&gt;"",AY157,IF(DI154+DQ154+DV154+DV156+DY156+DZ156=0,"",DI154+DQ154+DV154+DV156+DY156+DZ156)))</f>
        <v>1</v>
      </c>
      <c r="AX157" s="3837"/>
      <c r="AY157" s="3915"/>
      <c r="AZ157" s="3915"/>
      <c r="BA157" s="3837" t="str">
        <f>IF(OR(BC23="不要",C157="  RF"),"",IF(BC157&lt;&gt;"",BC157,IF(DJ154+DR154+DW154+DW156+DW158+DZ158=0,"",DJ154+DR154+DW154+DW156+DW158+DZ158)))</f>
        <v/>
      </c>
      <c r="BB157" s="3837"/>
      <c r="BC157" s="3915"/>
      <c r="BD157" s="3915"/>
      <c r="BE157" s="3837" t="str">
        <f>IF(OR(BC23="不要",$X$11="2端子",C157="",C157="  RF"),"",IF(BG157&lt;&gt;"",BG157,IF(AND(AB158="Ａ",$X$11="1端子"),DK154,"")))</f>
        <v/>
      </c>
      <c r="BF157" s="3837"/>
      <c r="BG157" s="3837" t="str">
        <f>IF(AND(BO157&lt;&gt;"",AB158="Ａ",$X$11="1端子"),BO157,"")</f>
        <v/>
      </c>
      <c r="BH157" s="3837"/>
      <c r="BI157" s="3916" t="str">
        <f>IF(OR(BC23="不要",$X$11="1端子",C157="",C157="  RF"),"",IF(BK157&lt;&gt;"",BK157,IF(AND(AB158="Ａ",$X$11="2端子"),DK154,"")))</f>
        <v/>
      </c>
      <c r="BJ157" s="3837"/>
      <c r="BK157" s="3837" t="str">
        <f>IF(AND(BS157&lt;&gt;"",AB158="Ａ",$X$11="2端子"),BS157,"")</f>
        <v/>
      </c>
      <c r="BL157" s="3837"/>
      <c r="BM157" s="3837">
        <f>IF(OR(BC23="不要",C157="  RF",C157="",$X$11="2端子"),"",IF(BO157&lt;&gt;"",BO157,IF(AND(AB158="Ａ",$X$11="1端子"),DK154,DK152)))</f>
        <v>8</v>
      </c>
      <c r="BN157" s="3837"/>
      <c r="BO157" s="3915"/>
      <c r="BP157" s="3915"/>
      <c r="BQ157" s="3837" t="str">
        <f>IF(OR(BC23="不要",C157="  RF",C157="",$X$11="1端子"),"",IF(BS157&lt;&gt;"",BS157,IF(AND(AB158="Ａ",$X$11="2端子"),DK154,DK152)))</f>
        <v/>
      </c>
      <c r="BR157" s="3837"/>
      <c r="BS157" s="3915"/>
      <c r="BT157" s="3918"/>
      <c r="BU157" s="19"/>
      <c r="BV157" s="8"/>
      <c r="BW157" s="88">
        <f>IF(I157="直天",F157,I157)</f>
        <v>4</v>
      </c>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38"/>
      <c r="DA157" s="15"/>
      <c r="DB157" s="15"/>
      <c r="DC157" s="180" t="s">
        <v>1144</v>
      </c>
      <c r="DD157" s="2589" t="str">
        <f>IF($AL$10="nC-FB","S-7C-FB",IF($AL$10="nD-FB","8D-FB","7C-2V"))</f>
        <v>S-7C-FB</v>
      </c>
      <c r="DE157" s="2591"/>
      <c r="DF157" s="3631">
        <f>IF(OR(C157="",C157="  RF"),0,IF(AB158="Ｃ",2.5*AG157+(DB155+DC155),F157+2))</f>
        <v>6</v>
      </c>
      <c r="DG157" s="3812"/>
      <c r="DH157" s="2589" t="str">
        <f>IF(OR(H158="天井ケーブル",H158="天井-PF管"),"PF-S-22mm",IF(H158="天井-CD管","CD-22mm",IF(H158="天井-C 管","C-25mm",IF(H158="天井-G 管","G-22mm",""))))</f>
        <v>PF-S-22mm</v>
      </c>
      <c r="DI157" s="2591"/>
      <c r="DJ157" s="3631">
        <f>IF(OR(C157="",C157="  RF"),0,IF(AB158="Ｃ",F157-($AM$8-$AM$7)/1000,F157))</f>
        <v>4</v>
      </c>
      <c r="DK157" s="3812"/>
      <c r="DL157" s="778"/>
      <c r="DM157" s="112"/>
      <c r="DN157" s="190" t="s">
        <v>1143</v>
      </c>
      <c r="DO157" s="98">
        <f>IF(OR(C157="",C157="  RF"),0,(DB155+DC155)/2/SQRT(DK154))</f>
        <v>3</v>
      </c>
      <c r="DP157" s="15"/>
      <c r="DQ157" s="15"/>
      <c r="DR157" s="15"/>
      <c r="DS157" s="8"/>
      <c r="DT157" s="113" t="s">
        <v>1051</v>
      </c>
      <c r="DU157" s="8"/>
      <c r="DV157" s="113"/>
      <c r="DW157" s="113" t="s">
        <v>1046</v>
      </c>
      <c r="DX157" s="8"/>
      <c r="DY157" s="8"/>
      <c r="DZ157" s="113" t="s">
        <v>1046</v>
      </c>
      <c r="EA157" s="113"/>
      <c r="EB157" s="776" t="str">
        <f>IF(OR($B$2=0,AA157=""),"","増幅器 "&amp;AA155&amp;AA156)</f>
        <v/>
      </c>
      <c r="EC157" s="15"/>
      <c r="ED157" s="122" t="str">
        <f>IF(BI157="","","直列Unit-中間2端子")</f>
        <v/>
      </c>
      <c r="EE157" s="15" t="str">
        <f>BI157</f>
        <v/>
      </c>
      <c r="EF157" s="15"/>
      <c r="EG157" s="15"/>
      <c r="EH157" s="197">
        <f t="shared" si="98"/>
        <v>4</v>
      </c>
      <c r="EI157" s="773" t="str">
        <f t="shared" si="99"/>
        <v/>
      </c>
      <c r="EJ157" s="203" t="str">
        <f>AS159</f>
        <v>S-5C-FB</v>
      </c>
      <c r="EK157" s="9"/>
      <c r="EL157" s="9" t="str">
        <f>IF(COUNTIF($EJ$18:EJ156,EJ157)&gt;0,"",EJ157)</f>
        <v/>
      </c>
      <c r="EM157" s="9"/>
      <c r="EN157" s="14">
        <f>BB159</f>
        <v>98.3</v>
      </c>
      <c r="EO157" s="771">
        <f t="shared" si="100"/>
        <v>0</v>
      </c>
      <c r="EP157" s="8"/>
      <c r="EQ157" s="15"/>
      <c r="ER157" s="197">
        <f t="shared" si="101"/>
        <v>3</v>
      </c>
      <c r="ES157" s="773" t="str">
        <f t="shared" si="102"/>
        <v/>
      </c>
      <c r="ET157" s="203" t="str">
        <f t="shared" si="103"/>
        <v/>
      </c>
      <c r="EU157" s="9"/>
      <c r="EV157" s="11" t="str">
        <f>IF(COUNTIF($ET$18:ET156,ET157)&gt;0,"",ET157)</f>
        <v/>
      </c>
      <c r="EW157" s="9"/>
      <c r="EX157" s="124" t="str">
        <f>AA157</f>
        <v/>
      </c>
      <c r="EY157" s="771">
        <f t="shared" si="104"/>
        <v>0</v>
      </c>
      <c r="EZ157" s="8"/>
      <c r="FA157" s="15"/>
      <c r="FB157" s="197">
        <f t="shared" si="96"/>
        <v>10</v>
      </c>
      <c r="FC157" s="773" t="str">
        <f t="shared" si="97"/>
        <v/>
      </c>
      <c r="FD157" s="772" t="str">
        <f t="shared" si="105"/>
        <v/>
      </c>
      <c r="FE157" s="9"/>
      <c r="FF157" s="11" t="str">
        <f>IF(COUNTIF($FD$15:FD156,FD157)&gt;0,"",FD157)</f>
        <v/>
      </c>
      <c r="FG157" s="9"/>
      <c r="FH157" s="124" t="str">
        <f>BI157</f>
        <v/>
      </c>
      <c r="FI157" s="771">
        <f t="shared" si="106"/>
        <v>0</v>
      </c>
    </row>
    <row r="158" spans="1:165" ht="12" customHeight="1">
      <c r="A158" s="8"/>
      <c r="B158" s="23"/>
      <c r="C158" s="2634" t="s">
        <v>135</v>
      </c>
      <c r="D158" s="2634"/>
      <c r="E158" s="2634"/>
      <c r="F158" s="2634"/>
      <c r="G158" s="2634"/>
      <c r="H158" s="3904" t="str">
        <f>IF($B$2=0,"",IF(P158="","天井ケーブル",P158))</f>
        <v>天井ケーブル</v>
      </c>
      <c r="I158" s="3904"/>
      <c r="J158" s="3904"/>
      <c r="K158" s="3904"/>
      <c r="L158" s="3904"/>
      <c r="M158" s="3904"/>
      <c r="N158" s="3904"/>
      <c r="O158" s="173" t="s">
        <v>68</v>
      </c>
      <c r="P158" s="3796"/>
      <c r="Q158" s="3797"/>
      <c r="R158" s="3797"/>
      <c r="S158" s="3797"/>
      <c r="T158" s="3797"/>
      <c r="U158" s="3797"/>
      <c r="V158" s="3798"/>
      <c r="W158" s="2634" t="s">
        <v>1082</v>
      </c>
      <c r="X158" s="2634"/>
      <c r="Y158" s="2634"/>
      <c r="Z158" s="2634"/>
      <c r="AA158" s="2634"/>
      <c r="AB158" s="3799" t="str">
        <f>IF(BC23="不要","",IF(AF158&lt;&gt;"",AF158,DB152))</f>
        <v>Ｂ</v>
      </c>
      <c r="AC158" s="3799"/>
      <c r="AD158" s="3799"/>
      <c r="AE158" s="173" t="s">
        <v>68</v>
      </c>
      <c r="AF158" s="3800"/>
      <c r="AG158" s="3801"/>
      <c r="AH158" s="3802"/>
      <c r="AI158" s="2634" t="s">
        <v>20</v>
      </c>
      <c r="AJ158" s="2634"/>
      <c r="AK158" s="2634"/>
      <c r="AL158" s="2634"/>
      <c r="AM158" s="2634"/>
      <c r="AN158" s="3522">
        <f>IF(OR(C157="",C157="  RF"),"",非誘!J106)</f>
        <v>0.7142857142857143</v>
      </c>
      <c r="AO158" s="3523"/>
      <c r="AP158" s="3523"/>
      <c r="AQ158" s="3524"/>
      <c r="AR158" s="3507" t="s">
        <v>1081</v>
      </c>
      <c r="AS158" s="3461"/>
      <c r="AT158" s="3461"/>
      <c r="AU158" s="3461"/>
      <c r="AV158" s="3461"/>
      <c r="AW158" s="3461"/>
      <c r="AX158" s="3461"/>
      <c r="AY158" s="3461"/>
      <c r="AZ158" s="3563" t="str">
        <f>IF(OR(C157="",C157="  RF"),"",IF(BC158="",$AN$11,BC158))</f>
        <v>⑦</v>
      </c>
      <c r="BA158" s="3563"/>
      <c r="BB158" s="777" t="s">
        <v>68</v>
      </c>
      <c r="BC158" s="3521"/>
      <c r="BD158" s="3521"/>
      <c r="BE158" s="3564"/>
      <c r="BF158" s="3565"/>
      <c r="BG158" s="3565"/>
      <c r="BH158" s="3565"/>
      <c r="BI158" s="3565"/>
      <c r="BJ158" s="3565"/>
      <c r="BK158" s="3565"/>
      <c r="BL158" s="3565"/>
      <c r="BM158" s="3565"/>
      <c r="BN158" s="3565"/>
      <c r="BO158" s="3565"/>
      <c r="BP158" s="3565"/>
      <c r="BQ158" s="3565"/>
      <c r="BR158" s="3565"/>
      <c r="BS158" s="3565"/>
      <c r="BT158" s="3566"/>
      <c r="BU158" s="19"/>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38"/>
      <c r="DA158" s="15"/>
      <c r="DB158" s="8"/>
      <c r="DC158" s="180" t="s">
        <v>1080</v>
      </c>
      <c r="DD158" s="2589" t="str">
        <f>IF($AL$10="nC-FB","S-5C-FB",IF($AL$10="nD-FB","5D-FB","5C-2V"))</f>
        <v>S-5C-FB</v>
      </c>
      <c r="DE158" s="2591"/>
      <c r="DF158" s="3631">
        <f>IF(AB158="Ａ",(DK154+2*BW157-($X$7+$X$9)/1000)*DO157+(12+2*BW157-2*$X$9/1000)*DK154+DO158,IF(AB158="Ｂ",(DO157+2*BW157-$X$9/1000)*DK152+DO158,0))</f>
        <v>98.3</v>
      </c>
      <c r="DG158" s="3812"/>
      <c r="DH158" s="2589" t="str">
        <f>IF(OR(H158="天井ケーブル",H158="天井-PF管"),"PF-S-16mm",IF(H158="天井-CD管","CD-16mm",IF(H158="天井-C 管","C-19mm",IF(H158="天井-G 管","G-16mm",""))))</f>
        <v>PF-S-16mm</v>
      </c>
      <c r="DI158" s="2591"/>
      <c r="DJ158" s="3631">
        <f>IF(OR(C157="",C157="  RF"),0,IF(H158="天井ケーブル",DK152*(BW157-($X$9-$AM$9)/1000),(DO157+2*BW157-$X$9/1000)*DK152+DO158))</f>
        <v>33.200000000000003</v>
      </c>
      <c r="DK158" s="3812"/>
      <c r="DL158" s="15"/>
      <c r="DM158" s="46"/>
      <c r="DN158" s="46" t="s">
        <v>1079</v>
      </c>
      <c r="DO158" s="98">
        <f>DB156</f>
        <v>11.5</v>
      </c>
      <c r="DP158" s="15"/>
      <c r="DQ158" s="15"/>
      <c r="DR158" s="15"/>
      <c r="DS158" s="128" t="s">
        <v>1078</v>
      </c>
      <c r="DT158" s="86">
        <f>IF(AB158&lt;&gt;"Ｃ",0,IF(DZ158=0,0,DZ158))</f>
        <v>0</v>
      </c>
      <c r="DU158" s="8"/>
      <c r="DV158" s="8"/>
      <c r="DW158" s="86">
        <f>IF(AB158&lt;&gt;"Ｃ",0,IF(DZ158=0,0,1))</f>
        <v>0</v>
      </c>
      <c r="DX158" s="8"/>
      <c r="DY158" s="8"/>
      <c r="DZ158" s="86">
        <f>IF(AB158&lt;&gt;"Ｃ",0,IF(AND(DB151&gt;120,DB151&lt;=144),4,IF(AND(DB151&gt;144,DB151&lt;=180),5,0)))</f>
        <v>0</v>
      </c>
      <c r="EA158" s="38"/>
      <c r="EB158" s="776" t="str">
        <f>IF(OR($B$2=0,AD157=""),"","増幅器 "&amp;AD155&amp;AD156)</f>
        <v>増幅器 35/110</v>
      </c>
      <c r="EC158" s="38"/>
      <c r="ED158" s="122" t="str">
        <f>IF(BM157="","","直列Unit-終端1端子")</f>
        <v>直列Unit-終端1端子</v>
      </c>
      <c r="EE158" s="38">
        <f>BM157</f>
        <v>8</v>
      </c>
      <c r="EF158" s="38"/>
      <c r="EG158" s="38"/>
      <c r="EH158" s="197">
        <f t="shared" si="98"/>
        <v>4</v>
      </c>
      <c r="EI158" s="773" t="str">
        <f t="shared" si="99"/>
        <v/>
      </c>
      <c r="EJ158" s="203" t="str">
        <f>AS160</f>
        <v/>
      </c>
      <c r="EK158" s="9"/>
      <c r="EL158" s="9" t="str">
        <f>IF(COUNTIF($EJ$18:EJ157,EJ158)&gt;0,"",EJ158)</f>
        <v/>
      </c>
      <c r="EM158" s="9"/>
      <c r="EN158" s="14" t="str">
        <f>BB160</f>
        <v/>
      </c>
      <c r="EO158" s="771">
        <f t="shared" si="100"/>
        <v>0</v>
      </c>
      <c r="EP158" s="8"/>
      <c r="EQ158" s="38"/>
      <c r="ER158" s="197">
        <f t="shared" si="101"/>
        <v>3</v>
      </c>
      <c r="ES158" s="773" t="str">
        <f t="shared" si="102"/>
        <v/>
      </c>
      <c r="ET158" s="203" t="str">
        <f t="shared" si="103"/>
        <v>増幅器 35/110</v>
      </c>
      <c r="EU158" s="9"/>
      <c r="EV158" s="11" t="str">
        <f>IF(COUNTIF($ET$18:ET157,ET158)&gt;0,"",ET158)</f>
        <v/>
      </c>
      <c r="EW158" s="9"/>
      <c r="EX158" s="124">
        <f>AD157</f>
        <v>1</v>
      </c>
      <c r="EY158" s="771">
        <f t="shared" si="104"/>
        <v>0</v>
      </c>
      <c r="EZ158" s="8"/>
      <c r="FA158" s="38"/>
      <c r="FB158" s="197">
        <f t="shared" si="96"/>
        <v>10</v>
      </c>
      <c r="FC158" s="773" t="str">
        <f t="shared" si="97"/>
        <v/>
      </c>
      <c r="FD158" s="772" t="str">
        <f t="shared" si="105"/>
        <v>直列Unit-終端1端子</v>
      </c>
      <c r="FE158" s="9"/>
      <c r="FF158" s="11" t="str">
        <f>IF(COUNTIF($FD$15:FD157,FD158)&gt;0,"",FD158)</f>
        <v/>
      </c>
      <c r="FG158" s="9"/>
      <c r="FH158" s="124">
        <f>BM157</f>
        <v>8</v>
      </c>
      <c r="FI158" s="771">
        <f t="shared" si="106"/>
        <v>0</v>
      </c>
    </row>
    <row r="159" spans="1:165" ht="12" customHeight="1">
      <c r="A159" s="8"/>
      <c r="B159" s="23"/>
      <c r="C159" s="3905" t="s">
        <v>449</v>
      </c>
      <c r="D159" s="3905"/>
      <c r="E159" s="3905"/>
      <c r="F159" s="3904" t="str">
        <f>IF($H$15="ＣＡＴＶ","CATV引込","アンテナ部")</f>
        <v>アンテナ部</v>
      </c>
      <c r="G159" s="3904"/>
      <c r="H159" s="3904"/>
      <c r="I159" s="3904"/>
      <c r="J159" s="3904"/>
      <c r="K159" s="3908" t="str">
        <f>IF(OR(BC23="不要",$B$2=0,C157&lt;&gt;$X$10),"",IF(P159&lt;&gt;"",P159,DD156))</f>
        <v/>
      </c>
      <c r="L159" s="3908"/>
      <c r="M159" s="3908"/>
      <c r="N159" s="3908"/>
      <c r="O159" s="173" t="s">
        <v>68</v>
      </c>
      <c r="P159" s="3517"/>
      <c r="Q159" s="3517"/>
      <c r="R159" s="3517"/>
      <c r="S159" s="3517"/>
      <c r="T159" s="3526" t="str">
        <f>IF(AND(C157&lt;&gt;"",K159&lt;&gt;""),DF156,"")</f>
        <v/>
      </c>
      <c r="U159" s="3526"/>
      <c r="V159" s="3526"/>
      <c r="W159" s="3526"/>
      <c r="X159" s="3908" t="str">
        <f>IF(OR($B$2=0,K159=""),"",IF(AD159&lt;&gt;"",AD159,DH156))</f>
        <v/>
      </c>
      <c r="Y159" s="3908"/>
      <c r="Z159" s="3908"/>
      <c r="AA159" s="3908"/>
      <c r="AB159" s="3908"/>
      <c r="AC159" s="173" t="s">
        <v>68</v>
      </c>
      <c r="AD159" s="3525"/>
      <c r="AE159" s="3525"/>
      <c r="AF159" s="3525"/>
      <c r="AG159" s="3525"/>
      <c r="AH159" s="3525"/>
      <c r="AI159" s="3526" t="str">
        <f>IF(X159="","",IF(DJ156="","",DJ156))</f>
        <v/>
      </c>
      <c r="AJ159" s="3526"/>
      <c r="AK159" s="3526"/>
      <c r="AL159" s="3526"/>
      <c r="AM159" s="3904" t="s">
        <v>1077</v>
      </c>
      <c r="AN159" s="3904"/>
      <c r="AO159" s="3904"/>
      <c r="AP159" s="3904"/>
      <c r="AQ159" s="3904"/>
      <c r="AR159" s="3904"/>
      <c r="AS159" s="3908" t="str">
        <f>IF(OR(BC23="不要",$B$2=0,C157="",C157="  RF",AB158="Ｃ"),"",IF(AX159&lt;&gt;"",AX159,DD158))</f>
        <v>S-5C-FB</v>
      </c>
      <c r="AT159" s="3908"/>
      <c r="AU159" s="3908"/>
      <c r="AV159" s="3908"/>
      <c r="AW159" s="173" t="s">
        <v>68</v>
      </c>
      <c r="AX159" s="3517"/>
      <c r="AY159" s="3517"/>
      <c r="AZ159" s="3517"/>
      <c r="BA159" s="3517"/>
      <c r="BB159" s="3537">
        <f>IF(AS159&lt;&gt;"",DF158,"")</f>
        <v>98.3</v>
      </c>
      <c r="BC159" s="3537"/>
      <c r="BD159" s="3537"/>
      <c r="BE159" s="3537"/>
      <c r="BF159" s="3908" t="str">
        <f>IF(OR(C157="",AS159=""),"",IF(AB158="Ａ",DH157,DH158))</f>
        <v>PF-S-16mm</v>
      </c>
      <c r="BG159" s="3908"/>
      <c r="BH159" s="3908"/>
      <c r="BI159" s="3908"/>
      <c r="BJ159" s="3908"/>
      <c r="BK159" s="173" t="s">
        <v>68</v>
      </c>
      <c r="BL159" s="3525"/>
      <c r="BM159" s="3525"/>
      <c r="BN159" s="3525"/>
      <c r="BO159" s="3525"/>
      <c r="BP159" s="3525"/>
      <c r="BQ159" s="3526">
        <f>IF(BF159="","",DJ158)</f>
        <v>33.200000000000003</v>
      </c>
      <c r="BR159" s="3526"/>
      <c r="BS159" s="3526"/>
      <c r="BT159" s="3527"/>
      <c r="BU159" s="19"/>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774" t="s">
        <v>1076</v>
      </c>
      <c r="DD159" s="2589" t="str">
        <f>DD158</f>
        <v>S-5C-FB</v>
      </c>
      <c r="DE159" s="2591"/>
      <c r="DF159" s="3631">
        <f>IF(OR(C157="",C157="  RF",I157="直天"),0,1+INT(12+BW157-($X$9-$AM$9)/1000)*DK152+DO159)</f>
        <v>0</v>
      </c>
      <c r="DG159" s="3812"/>
      <c r="DH159" s="2589" t="str">
        <f>DH158</f>
        <v>PF-S-16mm</v>
      </c>
      <c r="DI159" s="2591"/>
      <c r="DJ159" s="3631">
        <f>IF(OR(C157="",C157="  RF"),0,IF(H158="天井ケーブル",DK152*(BW157-($X$9-2*$AM$9)/1000),1+INT(12+BW157-$X$9/1000)*DK152))</f>
        <v>35.6</v>
      </c>
      <c r="DK159" s="3812"/>
      <c r="DL159" s="15"/>
      <c r="DM159" s="15"/>
      <c r="DN159" s="46" t="s">
        <v>1075</v>
      </c>
      <c r="DO159" s="97">
        <f>IF(C157="",0,IF($AW$8=0,0,2*($AW$8/1000-0.15-0.1)*(INT(1000*DB155/$AW$10)+1)*(INT(1000*DC155/$AW$10)+1)*4))</f>
        <v>7.1999999999999993</v>
      </c>
      <c r="DP159" s="15"/>
      <c r="DQ159" s="15"/>
      <c r="DR159" s="15"/>
      <c r="DS159" s="8"/>
      <c r="DT159" s="8"/>
      <c r="DU159" s="8"/>
      <c r="DV159" s="8"/>
      <c r="DW159" s="8"/>
      <c r="DX159" s="8"/>
      <c r="DY159" s="8"/>
      <c r="DZ159" s="8"/>
      <c r="EA159" s="8"/>
      <c r="EB159" s="769" t="str">
        <f>IF(OR($B$2=0,AG157=""),"","分岐器 1C")</f>
        <v/>
      </c>
      <c r="EC159" s="8"/>
      <c r="ED159" s="122" t="str">
        <f>IF(BQ157="","","直列Unit-終端2端子")</f>
        <v/>
      </c>
      <c r="EE159" s="8" t="str">
        <f>BQ157</f>
        <v/>
      </c>
      <c r="EF159" s="8"/>
      <c r="EG159" s="8"/>
      <c r="EH159" s="197">
        <f t="shared" si="98"/>
        <v>4</v>
      </c>
      <c r="EI159" s="773" t="str">
        <f t="shared" si="99"/>
        <v/>
      </c>
      <c r="EJ159" s="203" t="str">
        <f>BF159</f>
        <v>PF-S-16mm</v>
      </c>
      <c r="EK159" s="9"/>
      <c r="EL159" s="9" t="str">
        <f>IF(COUNTIF($EJ$18:EJ158,EJ159)&gt;0,"",EJ159)</f>
        <v/>
      </c>
      <c r="EM159" s="9"/>
      <c r="EN159" s="14">
        <f>BQ159</f>
        <v>33.200000000000003</v>
      </c>
      <c r="EO159" s="771">
        <f t="shared" si="100"/>
        <v>0</v>
      </c>
      <c r="EP159" s="8"/>
      <c r="EQ159" s="8"/>
      <c r="ER159" s="197">
        <f t="shared" si="101"/>
        <v>3</v>
      </c>
      <c r="ES159" s="773" t="str">
        <f t="shared" si="102"/>
        <v/>
      </c>
      <c r="ET159" s="203" t="str">
        <f t="shared" si="103"/>
        <v/>
      </c>
      <c r="EU159" s="9"/>
      <c r="EV159" s="11" t="str">
        <f>IF(COUNTIF($ET$18:ET158,ET159)&gt;0,"",ET159)</f>
        <v/>
      </c>
      <c r="EW159" s="9"/>
      <c r="EX159" s="124" t="str">
        <f>AG157</f>
        <v/>
      </c>
      <c r="EY159" s="771">
        <f t="shared" si="104"/>
        <v>0</v>
      </c>
      <c r="EZ159" s="8"/>
      <c r="FA159" s="8"/>
      <c r="FB159" s="197">
        <f t="shared" si="96"/>
        <v>10</v>
      </c>
      <c r="FC159" s="773" t="str">
        <f t="shared" si="97"/>
        <v/>
      </c>
      <c r="FD159" s="772" t="str">
        <f t="shared" si="105"/>
        <v/>
      </c>
      <c r="FE159" s="9"/>
      <c r="FF159" s="11" t="str">
        <f>IF(COUNTIF($FD$15:FD158,FD159)&gt;0,"",FD159)</f>
        <v/>
      </c>
      <c r="FG159" s="9"/>
      <c r="FH159" s="124" t="str">
        <f>BQ157</f>
        <v/>
      </c>
      <c r="FI159" s="771">
        <f t="shared" si="106"/>
        <v>0</v>
      </c>
    </row>
    <row r="160" spans="1:165" ht="12" customHeight="1" thickBot="1">
      <c r="A160" s="8"/>
      <c r="B160" s="23"/>
      <c r="C160" s="3905"/>
      <c r="D160" s="3905"/>
      <c r="E160" s="3905"/>
      <c r="F160" s="3904" t="s">
        <v>1074</v>
      </c>
      <c r="G160" s="3904"/>
      <c r="H160" s="3904"/>
      <c r="I160" s="3904"/>
      <c r="J160" s="3904"/>
      <c r="K160" s="3908" t="str">
        <f>IF(OR(C157="",C157="  RF",$B$2=0),"",IF(P160&lt;&gt;"",P160,DD157))</f>
        <v>S-7C-FB</v>
      </c>
      <c r="L160" s="3908"/>
      <c r="M160" s="3908"/>
      <c r="N160" s="3908"/>
      <c r="O160" s="173" t="s">
        <v>68</v>
      </c>
      <c r="P160" s="3536"/>
      <c r="Q160" s="3536"/>
      <c r="R160" s="3536"/>
      <c r="S160" s="3536"/>
      <c r="T160" s="3526">
        <f>IF(R154="不",F157,IF(K160="","",DF157))</f>
        <v>6</v>
      </c>
      <c r="U160" s="3526"/>
      <c r="V160" s="3526"/>
      <c r="W160" s="3526"/>
      <c r="X160" s="3908" t="str">
        <f>IF(R154="不","",IF(OR(C157="",K160=""),"",IF(AD160&lt;&gt;"",AD160,IF(DH157="","",DH157))))</f>
        <v>PF-S-22mm</v>
      </c>
      <c r="Y160" s="3908"/>
      <c r="Z160" s="3908"/>
      <c r="AA160" s="3908"/>
      <c r="AB160" s="3908"/>
      <c r="AC160" s="173" t="s">
        <v>68</v>
      </c>
      <c r="AD160" s="3533"/>
      <c r="AE160" s="3533"/>
      <c r="AF160" s="3533"/>
      <c r="AG160" s="3533"/>
      <c r="AH160" s="3533"/>
      <c r="AI160" s="3526">
        <f>IF(X160="","",DJ157)</f>
        <v>4</v>
      </c>
      <c r="AJ160" s="3526"/>
      <c r="AK160" s="3526"/>
      <c r="AL160" s="3526"/>
      <c r="AM160" s="3904" t="s">
        <v>1073</v>
      </c>
      <c r="AN160" s="3904"/>
      <c r="AO160" s="3904"/>
      <c r="AP160" s="3904"/>
      <c r="AQ160" s="3904"/>
      <c r="AR160" s="3904"/>
      <c r="AS160" s="3908" t="str">
        <f>IF(OR(BC23="不要",$B$2=0,C157="",AB158&lt;&gt;"Ｃ"),"",IF(AX160&lt;&gt;"",AX160,DD159))</f>
        <v/>
      </c>
      <c r="AT160" s="3908"/>
      <c r="AU160" s="3908"/>
      <c r="AV160" s="3908"/>
      <c r="AW160" s="173" t="s">
        <v>68</v>
      </c>
      <c r="AX160" s="3536"/>
      <c r="AY160" s="3536"/>
      <c r="AZ160" s="3536"/>
      <c r="BA160" s="3536"/>
      <c r="BB160" s="3537" t="str">
        <f>IF(AS160="","",DF159)</f>
        <v/>
      </c>
      <c r="BC160" s="3537"/>
      <c r="BD160" s="3537"/>
      <c r="BE160" s="3537"/>
      <c r="BF160" s="3908" t="str">
        <f>IF(OR(C157="",AS160=""),"",IF(BL160&lt;&gt;"",BL160,DH159))</f>
        <v/>
      </c>
      <c r="BG160" s="3908"/>
      <c r="BH160" s="3908"/>
      <c r="BI160" s="3908"/>
      <c r="BJ160" s="3908"/>
      <c r="BK160" s="173" t="s">
        <v>68</v>
      </c>
      <c r="BL160" s="3533"/>
      <c r="BM160" s="3533"/>
      <c r="BN160" s="3533"/>
      <c r="BO160" s="3533"/>
      <c r="BP160" s="3533"/>
      <c r="BQ160" s="3526" t="str">
        <f>IF(BF160="","",DJ159)</f>
        <v/>
      </c>
      <c r="BR160" s="3526"/>
      <c r="BS160" s="3526"/>
      <c r="BT160" s="3527"/>
      <c r="BU160" s="19"/>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8">
        <f>IF(AND(AB167="Ａ",$X$11="2端子"),BI166+BQ166,IF(AND(AB167="Ａ",$X$11="1端子"),BE166+BM166,IF(AND(AB167="Ｂ",$X$11="1端子"),BM166,IF(AND(AB167="Ｂ",$X$11="2端子"),BQ166,IF(AND(AB167="Ｃ",$X$11="1端子"),BM166,BQ166)))))</f>
        <v>8</v>
      </c>
      <c r="DC160" s="10"/>
      <c r="DD160" s="8"/>
      <c r="DE160" s="8"/>
      <c r="DF160" s="8"/>
      <c r="DG160" s="8"/>
      <c r="DH160" s="8"/>
      <c r="DI160" s="8"/>
      <c r="DJ160" s="8"/>
      <c r="DK160" s="8"/>
      <c r="DL160" s="8"/>
      <c r="DM160" s="8"/>
      <c r="DN160" s="8"/>
      <c r="DO160" s="8"/>
      <c r="DP160" s="15"/>
      <c r="DQ160" s="15"/>
      <c r="DR160" s="15"/>
      <c r="DS160" s="8"/>
      <c r="DT160" s="8"/>
      <c r="DU160" s="8"/>
      <c r="DV160" s="8"/>
      <c r="DW160" s="8"/>
      <c r="DX160" s="8"/>
      <c r="DY160" s="8"/>
      <c r="DZ160" s="8"/>
      <c r="EA160" s="8"/>
      <c r="EB160" s="769" t="str">
        <f>IF(OR($B$2=0,AK157=""),"","分岐器 2C")</f>
        <v>分岐器 2C</v>
      </c>
      <c r="EC160" s="8"/>
      <c r="ED160" s="10"/>
      <c r="EE160" s="8"/>
      <c r="EF160" s="8"/>
      <c r="EG160" s="8"/>
      <c r="EH160" s="197">
        <f t="shared" si="98"/>
        <v>4</v>
      </c>
      <c r="EI160" s="773" t="str">
        <f t="shared" si="99"/>
        <v/>
      </c>
      <c r="EJ160" s="203" t="str">
        <f>BF160</f>
        <v/>
      </c>
      <c r="EK160" s="9"/>
      <c r="EL160" s="9" t="str">
        <f>IF(COUNTIF($EJ$18:EJ159,EJ160)&gt;0,"",EJ160)</f>
        <v/>
      </c>
      <c r="EM160" s="9"/>
      <c r="EN160" s="14" t="str">
        <f>BQ160</f>
        <v/>
      </c>
      <c r="EO160" s="771">
        <f t="shared" si="100"/>
        <v>0</v>
      </c>
      <c r="EP160" s="8"/>
      <c r="EQ160" s="8"/>
      <c r="ER160" s="197">
        <f t="shared" si="101"/>
        <v>3</v>
      </c>
      <c r="ES160" s="773" t="str">
        <f t="shared" si="102"/>
        <v/>
      </c>
      <c r="ET160" s="203" t="str">
        <f t="shared" si="103"/>
        <v>分岐器 2C</v>
      </c>
      <c r="EU160" s="9"/>
      <c r="EV160" s="11" t="str">
        <f>IF(COUNTIF($ET$18:ET159,ET160)&gt;0,"",ET160)</f>
        <v/>
      </c>
      <c r="EW160" s="9"/>
      <c r="EX160" s="124">
        <f>AK157</f>
        <v>1</v>
      </c>
      <c r="EY160" s="771">
        <f t="shared" si="104"/>
        <v>0</v>
      </c>
      <c r="EZ160" s="8"/>
      <c r="FA160" s="8"/>
      <c r="FB160" s="197">
        <f t="shared" si="96"/>
        <v>10</v>
      </c>
      <c r="FC160" s="773" t="str">
        <f t="shared" si="97"/>
        <v/>
      </c>
      <c r="FD160" s="772"/>
      <c r="FE160" s="9"/>
      <c r="FF160" s="11"/>
      <c r="FG160" s="9"/>
      <c r="FH160" s="124"/>
      <c r="FI160" s="771"/>
    </row>
    <row r="161" spans="1:165" ht="12" customHeight="1" thickBot="1">
      <c r="B161" s="23"/>
      <c r="C161" s="177"/>
      <c r="D161" s="177"/>
      <c r="E161" s="177"/>
      <c r="F161" s="177"/>
      <c r="G161" s="177"/>
      <c r="H161" s="177"/>
      <c r="I161" s="177"/>
      <c r="J161" s="177"/>
      <c r="K161" s="177"/>
      <c r="L161" s="177"/>
      <c r="M161" s="177"/>
      <c r="N161" s="177"/>
      <c r="O161" s="177"/>
      <c r="P161" s="177"/>
      <c r="Q161" s="796" t="str">
        <f>IF(AND(OR(AB167="Ａ",F262="Ａ"),DB160&gt;24),"直列ユニット数………配線方式Ａ：24以下!!",IF(AND(OR(AB167="Ｂ",F262="Ｂ"),DB160&gt;12),"直列ユニット数………配線方式Ｂ：12以下!!",IF(AND(OR(AB167="Ｃ",F262="Ｃ"),DB160&gt;180),"直列ユニット数………配線方式Ｃ：180以下!!","")))</f>
        <v/>
      </c>
      <c r="R161" s="177"/>
      <c r="S161" s="177"/>
      <c r="T161" s="177"/>
      <c r="U161" s="177"/>
      <c r="V161" s="177"/>
      <c r="W161" s="177"/>
      <c r="X161" s="177"/>
      <c r="Y161" s="177"/>
      <c r="Z161" s="177"/>
      <c r="AA161" s="177"/>
      <c r="AB161" s="177"/>
      <c r="AC161" s="177"/>
      <c r="AD161" s="177"/>
      <c r="AE161" s="177"/>
      <c r="AF161" s="177"/>
      <c r="AG161" s="177"/>
      <c r="AH161" s="177"/>
      <c r="AI161" s="177"/>
      <c r="AJ161" s="177"/>
      <c r="AK161" s="177"/>
      <c r="AL161" s="177"/>
      <c r="AM161" s="177"/>
      <c r="AN161" s="177"/>
      <c r="AO161" s="177"/>
      <c r="AP161" s="177"/>
      <c r="AQ161" s="177"/>
      <c r="AR161" s="177"/>
      <c r="AS161" s="177"/>
      <c r="AT161" s="177"/>
      <c r="AU161" s="177"/>
      <c r="AV161" s="177"/>
      <c r="AW161" s="177"/>
      <c r="AX161" s="177"/>
      <c r="AY161" s="177"/>
      <c r="AZ161" s="177"/>
      <c r="BA161" s="177"/>
      <c r="BB161" s="177"/>
      <c r="BC161" s="177"/>
      <c r="BD161" s="177"/>
      <c r="BE161" s="177"/>
      <c r="BF161" s="177"/>
      <c r="BG161" s="177"/>
      <c r="BH161" s="177"/>
      <c r="BI161" s="177"/>
      <c r="BJ161" s="177"/>
      <c r="BK161" s="177"/>
      <c r="BL161" s="177"/>
      <c r="BM161" s="177"/>
      <c r="BN161" s="177"/>
      <c r="BO161" s="177"/>
      <c r="BP161" s="177"/>
      <c r="BQ161" s="177"/>
      <c r="BR161" s="177"/>
      <c r="BS161" s="177"/>
      <c r="BT161" s="177"/>
      <c r="BU161" s="19"/>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v>16</v>
      </c>
      <c r="DB161" s="92" t="str">
        <f>IF(OR(V132="不要",C166="",C166="  RF"),"",IF(DK161&lt;=12,"Ｂ",IF(DK161&lt;=24,"Ａ","Ｃ")))</f>
        <v>Ｂ</v>
      </c>
      <c r="DC161" s="10"/>
      <c r="DD161" s="8"/>
      <c r="DE161" s="8"/>
      <c r="DF161" s="8"/>
      <c r="DG161" s="8"/>
      <c r="DH161" s="8"/>
      <c r="DI161" s="8"/>
      <c r="DJ161" s="8"/>
      <c r="DK161" s="159">
        <f>IF(OR(C166="",C166="  RF"),0,SUM(Q166:V166))</f>
        <v>8</v>
      </c>
      <c r="DL161" s="8"/>
      <c r="DM161" s="8"/>
      <c r="DN161" s="8"/>
      <c r="DO161" s="8"/>
      <c r="DP161" s="8"/>
      <c r="DQ161" s="8"/>
      <c r="DR161" s="8"/>
      <c r="DS161" s="8"/>
      <c r="DT161" s="8"/>
      <c r="DU161" s="8"/>
      <c r="DV161" s="8"/>
      <c r="DW161" s="8"/>
      <c r="DX161" s="8"/>
      <c r="DY161" s="8"/>
      <c r="DZ161" s="8"/>
      <c r="EA161" s="8"/>
      <c r="EB161" s="8"/>
      <c r="EC161" s="8"/>
      <c r="ED161" s="8"/>
      <c r="EE161" s="8"/>
      <c r="EF161" s="8"/>
      <c r="EG161" s="88">
        <v>16</v>
      </c>
      <c r="EH161" s="204">
        <f t="shared" si="98"/>
        <v>4</v>
      </c>
      <c r="EI161" s="768" t="str">
        <f t="shared" si="99"/>
        <v/>
      </c>
      <c r="EJ161" s="45"/>
      <c r="EK161" s="45"/>
      <c r="EL161" s="45"/>
      <c r="EM161" s="45"/>
      <c r="EN161" s="45"/>
      <c r="EO161" s="785"/>
      <c r="EP161" s="8"/>
      <c r="EQ161" s="88">
        <v>16</v>
      </c>
      <c r="ER161" s="204">
        <f t="shared" si="101"/>
        <v>3</v>
      </c>
      <c r="ES161" s="768" t="str">
        <f t="shared" si="102"/>
        <v/>
      </c>
      <c r="ET161" s="45"/>
      <c r="EU161" s="45"/>
      <c r="EV161" s="154"/>
      <c r="EW161" s="45"/>
      <c r="EX161" s="45"/>
      <c r="EY161" s="785"/>
      <c r="EZ161" s="8"/>
      <c r="FA161" s="88">
        <v>16</v>
      </c>
      <c r="FB161" s="204">
        <f t="shared" si="96"/>
        <v>10</v>
      </c>
      <c r="FC161" s="768" t="str">
        <f t="shared" si="97"/>
        <v/>
      </c>
      <c r="FD161" s="786"/>
      <c r="FE161" s="45"/>
      <c r="FF161" s="154"/>
      <c r="FG161" s="45"/>
      <c r="FH161" s="208"/>
      <c r="FI161" s="785"/>
    </row>
    <row r="162" spans="1:165" ht="11.25" customHeight="1" thickBot="1">
      <c r="B162" s="23"/>
      <c r="C162" s="3399" t="s">
        <v>1142</v>
      </c>
      <c r="D162" s="3412"/>
      <c r="E162" s="3412"/>
      <c r="F162" s="3412"/>
      <c r="G162" s="3412"/>
      <c r="H162" s="3412"/>
      <c r="I162" s="3412"/>
      <c r="J162" s="3412"/>
      <c r="K162" s="3412"/>
      <c r="L162" s="3413"/>
      <c r="M162" s="3853" t="str">
        <f>非誘!J111</f>
        <v>( 15)</v>
      </c>
      <c r="N162" s="3854"/>
      <c r="O162" s="3854"/>
      <c r="P162" s="3854"/>
      <c r="Q162" s="3855"/>
      <c r="R162" s="2435" t="str">
        <f>IF($B$2=0,"","共聴機器")</f>
        <v>共聴機器</v>
      </c>
      <c r="S162" s="2435"/>
      <c r="T162" s="2435"/>
      <c r="U162" s="2435"/>
      <c r="V162" s="2435"/>
      <c r="W162" s="2654" t="s">
        <v>1141</v>
      </c>
      <c r="X162" s="2654"/>
      <c r="Y162" s="2654"/>
      <c r="Z162" s="2655"/>
      <c r="AA162" s="3909" t="s">
        <v>1140</v>
      </c>
      <c r="AB162" s="3910"/>
      <c r="AC162" s="3910"/>
      <c r="AD162" s="3910"/>
      <c r="AE162" s="3910"/>
      <c r="AF162" s="3912"/>
      <c r="AG162" s="3900" t="s">
        <v>1139</v>
      </c>
      <c r="AH162" s="3900"/>
      <c r="AI162" s="3900"/>
      <c r="AJ162" s="3900"/>
      <c r="AK162" s="3900"/>
      <c r="AL162" s="3900"/>
      <c r="AM162" s="3900"/>
      <c r="AN162" s="3900"/>
      <c r="AO162" s="3900"/>
      <c r="AP162" s="3900"/>
      <c r="AQ162" s="3900"/>
      <c r="AR162" s="3900"/>
      <c r="AS162" s="3909" t="s">
        <v>1138</v>
      </c>
      <c r="AT162" s="3910"/>
      <c r="AU162" s="3910"/>
      <c r="AV162" s="3910"/>
      <c r="AW162" s="3910"/>
      <c r="AX162" s="3910"/>
      <c r="AY162" s="3910"/>
      <c r="AZ162" s="3910"/>
      <c r="BA162" s="3910"/>
      <c r="BB162" s="3910"/>
      <c r="BC162" s="3910"/>
      <c r="BD162" s="3912"/>
      <c r="BE162" s="3909" t="s">
        <v>1137</v>
      </c>
      <c r="BF162" s="3910"/>
      <c r="BG162" s="3910"/>
      <c r="BH162" s="3910"/>
      <c r="BI162" s="3910"/>
      <c r="BJ162" s="3910"/>
      <c r="BK162" s="3910"/>
      <c r="BL162" s="3910"/>
      <c r="BM162" s="3910"/>
      <c r="BN162" s="3910"/>
      <c r="BO162" s="3910"/>
      <c r="BP162" s="3910"/>
      <c r="BQ162" s="3910"/>
      <c r="BR162" s="3910"/>
      <c r="BS162" s="3910"/>
      <c r="BT162" s="3911"/>
      <c r="BU162" s="19"/>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15"/>
      <c r="DA162" s="788" t="str">
        <f>IF(DB180&lt;&gt;"","Amp-2","")</f>
        <v/>
      </c>
      <c r="DB162" s="97">
        <f>IF(C166="","",DB153+1)</f>
        <v>16</v>
      </c>
      <c r="DC162" s="15" t="str">
        <f>IF($X$10=C166,"＝",IF(VLOOKUP(C166,[2]!階高,3,FALSE)-VLOOKUP($X$10,[2]!階高,3,FALSE)&gt;0,"＋","－"))</f>
        <v>＝</v>
      </c>
      <c r="DD162" s="38"/>
      <c r="DE162" s="113" t="s">
        <v>1051</v>
      </c>
      <c r="DF162" s="113" t="s">
        <v>1050</v>
      </c>
      <c r="DG162" s="113" t="s">
        <v>1049</v>
      </c>
      <c r="DH162" s="113" t="s">
        <v>1048</v>
      </c>
      <c r="DI162" s="113" t="s">
        <v>1047</v>
      </c>
      <c r="DJ162" s="113" t="s">
        <v>1046</v>
      </c>
      <c r="DK162" s="90" t="s">
        <v>1136</v>
      </c>
      <c r="DL162" s="38"/>
      <c r="DM162" s="113" t="s">
        <v>1051</v>
      </c>
      <c r="DN162" s="113" t="s">
        <v>1050</v>
      </c>
      <c r="DO162" s="113" t="s">
        <v>1049</v>
      </c>
      <c r="DP162" s="113" t="s">
        <v>1048</v>
      </c>
      <c r="DQ162" s="113" t="s">
        <v>1047</v>
      </c>
      <c r="DR162" s="113" t="s">
        <v>1046</v>
      </c>
      <c r="DS162" s="38"/>
      <c r="DT162" s="113" t="s">
        <v>1051</v>
      </c>
      <c r="DU162" s="113" t="s">
        <v>1048</v>
      </c>
      <c r="DV162" s="113" t="s">
        <v>1047</v>
      </c>
      <c r="DW162" s="113" t="s">
        <v>1046</v>
      </c>
      <c r="DX162" s="113" t="s">
        <v>1048</v>
      </c>
      <c r="DY162" s="113" t="s">
        <v>1048</v>
      </c>
      <c r="DZ162" s="113" t="s">
        <v>1048</v>
      </c>
      <c r="EA162" s="113"/>
      <c r="EB162" s="776" t="str">
        <f>IF(OR($B$2=0,W166=""),"","混合器 U-U")</f>
        <v/>
      </c>
      <c r="EC162" s="15"/>
      <c r="ED162" s="782" t="str">
        <f>IF(AS166="","","分配器 2D")</f>
        <v/>
      </c>
      <c r="EE162" s="15" t="str">
        <f>AS166</f>
        <v/>
      </c>
      <c r="EF162" s="15"/>
      <c r="EG162" s="8"/>
      <c r="EH162" s="197">
        <f t="shared" si="98"/>
        <v>4</v>
      </c>
      <c r="EI162" s="773" t="str">
        <f t="shared" si="99"/>
        <v/>
      </c>
      <c r="EJ162" s="203" t="str">
        <f>K168</f>
        <v>S-5C-FB</v>
      </c>
      <c r="EK162" s="9"/>
      <c r="EL162" s="9" t="str">
        <f>IF(COUNTIF($EJ$18:EJ161,EJ162)&gt;0,"",EJ162)</f>
        <v/>
      </c>
      <c r="EM162" s="9"/>
      <c r="EN162" s="14">
        <f>T168</f>
        <v>58.5</v>
      </c>
      <c r="EO162" s="771">
        <f t="shared" ref="EO162:EO169" si="107">SUMIF($EJ$25:$EJ$225,EL162,$EN$25:$EN$225)</f>
        <v>0</v>
      </c>
      <c r="EP162" s="8"/>
      <c r="EQ162" s="8"/>
      <c r="ER162" s="197">
        <f t="shared" si="101"/>
        <v>3</v>
      </c>
      <c r="ES162" s="773" t="str">
        <f t="shared" si="102"/>
        <v/>
      </c>
      <c r="ET162" s="203" t="str">
        <f t="shared" ref="ET162:ET169" si="108">EB162</f>
        <v/>
      </c>
      <c r="EU162" s="9"/>
      <c r="EV162" s="11" t="str">
        <f>IF(COUNTIF($ET$18:ET161,ET162)&gt;0,"",ET162)</f>
        <v/>
      </c>
      <c r="EW162" s="9"/>
      <c r="EX162" s="124" t="str">
        <f>W166</f>
        <v/>
      </c>
      <c r="EY162" s="771">
        <f t="shared" ref="EY162:EY169" si="109">SUMIF($ET$25:$ET$225,EV162,$EX$25:$EX$225)</f>
        <v>0</v>
      </c>
      <c r="EZ162" s="8"/>
      <c r="FA162" s="8"/>
      <c r="FB162" s="197">
        <f t="shared" si="96"/>
        <v>10</v>
      </c>
      <c r="FC162" s="773" t="str">
        <f t="shared" si="97"/>
        <v/>
      </c>
      <c r="FD162" s="772" t="str">
        <f t="shared" ref="FD162:FD168" si="110">ED162</f>
        <v/>
      </c>
      <c r="FE162" s="9"/>
      <c r="FF162" s="11" t="str">
        <f>IF(COUNTIF($FD$15:FD161,FD162)&gt;0,"",FD162)</f>
        <v/>
      </c>
      <c r="FG162" s="9"/>
      <c r="FH162" s="124" t="str">
        <f>AS166</f>
        <v/>
      </c>
      <c r="FI162" s="771">
        <f t="shared" ref="FI162:FI168" si="111">SUMIF($FD$18:$FD$205,FF162,$FH$18:$FH$205)</f>
        <v>0</v>
      </c>
    </row>
    <row r="163" spans="1:165" ht="11.25" customHeight="1" thickBot="1">
      <c r="B163" s="23"/>
      <c r="C163" s="3857" t="str">
        <f>"　"&amp;非誘!M111</f>
        <v>　前各項以外</v>
      </c>
      <c r="D163" s="3858"/>
      <c r="E163" s="3858"/>
      <c r="F163" s="3858"/>
      <c r="G163" s="3858"/>
      <c r="H163" s="3858"/>
      <c r="I163" s="3858"/>
      <c r="J163" s="3858"/>
      <c r="K163" s="3858"/>
      <c r="L163" s="3858"/>
      <c r="M163" s="3858"/>
      <c r="N163" s="3858"/>
      <c r="O163" s="3858"/>
      <c r="P163" s="3858"/>
      <c r="Q163" s="3859"/>
      <c r="R163" s="2337" t="str">
        <f>IF(U163&lt;&gt;"",U163,IF(C166="","","設"))</f>
        <v>設</v>
      </c>
      <c r="S163" s="2337"/>
      <c r="T163" s="175" t="s">
        <v>68</v>
      </c>
      <c r="U163" s="2338"/>
      <c r="V163" s="2338"/>
      <c r="W163" s="3860" t="s">
        <v>1132</v>
      </c>
      <c r="X163" s="3863" t="s">
        <v>1131</v>
      </c>
      <c r="Y163" s="3863" t="s">
        <v>1130</v>
      </c>
      <c r="Z163" s="3866"/>
      <c r="AA163" s="3528" t="s">
        <v>1128</v>
      </c>
      <c r="AB163" s="3519"/>
      <c r="AC163" s="3519"/>
      <c r="AD163" s="3519"/>
      <c r="AE163" s="3519"/>
      <c r="AF163" s="3520"/>
      <c r="AG163" s="3528" t="s">
        <v>1051</v>
      </c>
      <c r="AH163" s="3519"/>
      <c r="AI163" s="3519"/>
      <c r="AJ163" s="3529"/>
      <c r="AK163" s="3518" t="s">
        <v>1050</v>
      </c>
      <c r="AL163" s="3519"/>
      <c r="AM163" s="3519"/>
      <c r="AN163" s="3529"/>
      <c r="AO163" s="3518" t="s">
        <v>1049</v>
      </c>
      <c r="AP163" s="3519"/>
      <c r="AQ163" s="3519"/>
      <c r="AR163" s="3520"/>
      <c r="AS163" s="3528" t="s">
        <v>1048</v>
      </c>
      <c r="AT163" s="3519"/>
      <c r="AU163" s="3519"/>
      <c r="AV163" s="3529"/>
      <c r="AW163" s="3518" t="s">
        <v>1047</v>
      </c>
      <c r="AX163" s="3519"/>
      <c r="AY163" s="3519"/>
      <c r="AZ163" s="3529"/>
      <c r="BA163" s="3518" t="s">
        <v>1046</v>
      </c>
      <c r="BB163" s="3519"/>
      <c r="BC163" s="3519"/>
      <c r="BD163" s="3520"/>
      <c r="BE163" s="3528" t="s">
        <v>1123</v>
      </c>
      <c r="BF163" s="3519"/>
      <c r="BG163" s="3519"/>
      <c r="BH163" s="3519"/>
      <c r="BI163" s="3519"/>
      <c r="BJ163" s="3519"/>
      <c r="BK163" s="3519"/>
      <c r="BL163" s="3529"/>
      <c r="BM163" s="3518" t="s">
        <v>1122</v>
      </c>
      <c r="BN163" s="3519"/>
      <c r="BO163" s="3519"/>
      <c r="BP163" s="3519"/>
      <c r="BQ163" s="3519"/>
      <c r="BR163" s="3519"/>
      <c r="BS163" s="3519"/>
      <c r="BT163" s="3901"/>
      <c r="BU163" s="19"/>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15"/>
      <c r="DA163" s="15">
        <f>IF(AG166&lt;&gt;"",2,IF(AK166&lt;&gt;"",3,0))</f>
        <v>3</v>
      </c>
      <c r="DB163" s="86" t="s">
        <v>370</v>
      </c>
      <c r="DC163" s="86" t="s">
        <v>71</v>
      </c>
      <c r="DD163" s="128" t="s">
        <v>1179</v>
      </c>
      <c r="DE163" s="86">
        <f>IF(AB167&lt;&gt;"Ａ",0,IF(AND(2*DK163&gt;=4,2*DK163&lt;=12),1,0))</f>
        <v>0</v>
      </c>
      <c r="DF163" s="86">
        <f>IF(AB167&lt;&gt;"Ａ",0,IF(AND(2*DK163&gt;=16,DK163&lt;=24),1,0))</f>
        <v>0</v>
      </c>
      <c r="DG163" s="97" t="s">
        <v>1177</v>
      </c>
      <c r="DH163" s="86">
        <f>IF(AB167&lt;&gt;"Ａ",0,IF(2*DK163&lt;=4,1,0))</f>
        <v>0</v>
      </c>
      <c r="DI163" s="86">
        <f>IF(AB167&lt;&gt;"Ａ",0,IF(OR(AND(2*DK163&gt;4,2*DK163&lt;=8),AND(2*DK163&gt;12,2*DK163&lt;=16)),1,0))</f>
        <v>0</v>
      </c>
      <c r="DJ163" s="183">
        <f>IF(AB167&lt;&gt;"Ａ",0,IF(OR(AND(2*DK163&gt;8,2*DK163&lt;=12),AND(2*DK163&gt;16,2*DK163&lt;=24)),1,0))</f>
        <v>0</v>
      </c>
      <c r="DK163" s="783">
        <f>IF(OR(C166="",C166="  RF"),0,IF(Q166="",INT((T166)/2),INT((Q166+INT(T166))/2)+1))</f>
        <v>4</v>
      </c>
      <c r="DL163" s="128" t="s">
        <v>1178</v>
      </c>
      <c r="DM163" s="86">
        <f>IF(AB167&lt;&gt;"Ｂ",0,IF(DB160&lt;=6,1,0))</f>
        <v>0</v>
      </c>
      <c r="DN163" s="86">
        <f>IF(AB167&lt;&gt;"Ｂ",0,IF(AND(DB160&gt;6,DB160&lt;=12),1,0))</f>
        <v>1</v>
      </c>
      <c r="DO163" s="97" t="s">
        <v>1177</v>
      </c>
      <c r="DP163" s="86">
        <f>IF(AB167&lt;&gt;"Ｂ",0,IF(DB160&lt;=2,1,0))</f>
        <v>0</v>
      </c>
      <c r="DQ163" s="86">
        <f>IF(AB167&lt;&gt;"Ｂ",0,IF(OR(AND(DB160&gt;2,DB160&lt;6),AND(DB160&gt;6,DB160&lt;=8)),1,0))</f>
        <v>1</v>
      </c>
      <c r="DR163" s="86">
        <f>IF(AB167&lt;&gt;"Ｂ",0,IF(OR(AND(DB160&gt;4,DB160&lt;6),AND(DB160&gt;8,DB160&lt;=12)),1,0))</f>
        <v>0</v>
      </c>
      <c r="DS163" s="128" t="s">
        <v>1078</v>
      </c>
      <c r="DT163" s="159">
        <f>IF(AB167&lt;&gt;"Ｃ",0,IF(DX163&lt;&gt;0,DX163,IF(DY163&lt;&gt;0,DY163,IF(DZ163&lt;&gt;0,DZ163,0))))</f>
        <v>0</v>
      </c>
      <c r="DU163" s="159">
        <f>IF(AB167&lt;&gt;"Ｃ",0,IF(DX163=0,0,1))</f>
        <v>0</v>
      </c>
      <c r="DV163" s="159">
        <f>IF(AB167&lt;&gt;"Ｃ",0,IF(DY163=0,0,1))</f>
        <v>0</v>
      </c>
      <c r="DW163" s="783">
        <f>IF(AB167&lt;&gt;"Ｃ",0,IF(DZ163=0,0,1))</f>
        <v>0</v>
      </c>
      <c r="DX163" s="714">
        <f>IF(AB167&lt;&gt;"Ｃ",0,IF(DB160&lt;=12,3,IF(AND(DB160&gt;12,DB160&lt;=16),4,IF(AND(DB160&gt;16,DB160&lt;=20),5,0))))</f>
        <v>0</v>
      </c>
      <c r="DY163" s="86">
        <f>IF(AB167&lt;&gt;"Ｃ",0,IF(AND(DB160&gt;20,DB160&lt;=24),3,IF(AND(DB160&gt;24,DB160&lt;=32),4,IF(AND(DB160&gt;32,DB160&lt;=40),5,0))))</f>
        <v>0</v>
      </c>
      <c r="DZ163" s="97">
        <f>IF(AB167&lt;&gt;"Ｃ",0,IF(AND(DB160&gt;40,DB160&lt;=48),4,IF(AND(DB160&gt;48,DB160&lt;=60),5,0)))</f>
        <v>0</v>
      </c>
      <c r="EA163" s="96"/>
      <c r="EB163" s="776" t="str">
        <f>IF(OR($B$2=0,X166=""),"","混合器 BS-CS")</f>
        <v>混合器 BS-CS</v>
      </c>
      <c r="EC163" s="96"/>
      <c r="ED163" s="782" t="str">
        <f>IF(AW166="","","分配器 4D")</f>
        <v>分配器 4D</v>
      </c>
      <c r="EE163" s="96">
        <f>AW166</f>
        <v>1</v>
      </c>
      <c r="EF163" s="96"/>
      <c r="EG163" s="96"/>
      <c r="EH163" s="197">
        <f t="shared" si="98"/>
        <v>4</v>
      </c>
      <c r="EI163" s="773" t="str">
        <f t="shared" si="99"/>
        <v/>
      </c>
      <c r="EJ163" s="203" t="str">
        <f>K169</f>
        <v>S-7C-FB</v>
      </c>
      <c r="EK163" s="9"/>
      <c r="EL163" s="9" t="str">
        <f>IF(COUNTIF($EJ$18:EJ162,EJ163)&gt;0,"",EJ163)</f>
        <v/>
      </c>
      <c r="EM163" s="9"/>
      <c r="EN163" s="14">
        <f>T169</f>
        <v>6</v>
      </c>
      <c r="EO163" s="771">
        <f t="shared" si="107"/>
        <v>0</v>
      </c>
      <c r="EP163" s="8"/>
      <c r="EQ163" s="96"/>
      <c r="ER163" s="197">
        <f t="shared" si="101"/>
        <v>4</v>
      </c>
      <c r="ES163" s="773">
        <f t="shared" si="102"/>
        <v>4</v>
      </c>
      <c r="ET163" s="203" t="str">
        <f t="shared" si="108"/>
        <v>混合器 BS-CS</v>
      </c>
      <c r="EU163" s="9"/>
      <c r="EV163" s="11" t="str">
        <f>IF(COUNTIF($ET$18:ET162,ET163)&gt;0,"",ET163)</f>
        <v>混合器 BS-CS</v>
      </c>
      <c r="EW163" s="9"/>
      <c r="EX163" s="124">
        <f>X166</f>
        <v>1</v>
      </c>
      <c r="EY163" s="771">
        <f t="shared" si="109"/>
        <v>1</v>
      </c>
      <c r="EZ163" s="8"/>
      <c r="FA163" s="96"/>
      <c r="FB163" s="197">
        <f t="shared" si="96"/>
        <v>10</v>
      </c>
      <c r="FC163" s="773" t="str">
        <f t="shared" si="97"/>
        <v/>
      </c>
      <c r="FD163" s="772" t="str">
        <f t="shared" si="110"/>
        <v>分配器 4D</v>
      </c>
      <c r="FE163" s="9"/>
      <c r="FF163" s="11" t="str">
        <f>IF(COUNTIF($FD$15:FD162,FD163)&gt;0,"",FD163)</f>
        <v/>
      </c>
      <c r="FG163" s="9"/>
      <c r="FH163" s="124">
        <f>AW166</f>
        <v>1</v>
      </c>
      <c r="FI163" s="771">
        <f t="shared" si="111"/>
        <v>0</v>
      </c>
    </row>
    <row r="164" spans="1:165" ht="11.25" customHeight="1" thickBot="1">
      <c r="B164" s="23"/>
      <c r="C164" s="3819" t="s">
        <v>16</v>
      </c>
      <c r="D164" s="3820"/>
      <c r="E164" s="3821"/>
      <c r="F164" s="3869" t="s">
        <v>22</v>
      </c>
      <c r="G164" s="3870"/>
      <c r="H164" s="3871"/>
      <c r="I164" s="3869" t="s">
        <v>5</v>
      </c>
      <c r="J164" s="3870"/>
      <c r="K164" s="3870"/>
      <c r="L164" s="3871"/>
      <c r="M164" s="3819" t="s">
        <v>1176</v>
      </c>
      <c r="N164" s="3820"/>
      <c r="O164" s="3820"/>
      <c r="P164" s="3821"/>
      <c r="Q164" s="3819" t="s">
        <v>1175</v>
      </c>
      <c r="R164" s="3820"/>
      <c r="S164" s="3821"/>
      <c r="T164" s="3819" t="s">
        <v>1175</v>
      </c>
      <c r="U164" s="3820"/>
      <c r="V164" s="3821"/>
      <c r="W164" s="3861"/>
      <c r="X164" s="3864"/>
      <c r="Y164" s="3864"/>
      <c r="Z164" s="3867"/>
      <c r="AA164" s="3872" t="str">
        <f>IF($AG$15&lt;=65,"40/","35/")</f>
        <v>40/</v>
      </c>
      <c r="AB164" s="3873"/>
      <c r="AC164" s="3873"/>
      <c r="AD164" s="3873" t="str">
        <f>IF(CW263&gt;55,"40/","35/")</f>
        <v>35/</v>
      </c>
      <c r="AE164" s="3873"/>
      <c r="AF164" s="3875"/>
      <c r="AG164" s="3876" t="s">
        <v>1114</v>
      </c>
      <c r="AH164" s="3877"/>
      <c r="AI164" s="3877"/>
      <c r="AJ164" s="3877"/>
      <c r="AK164" s="3877"/>
      <c r="AL164" s="3877"/>
      <c r="AM164" s="3877"/>
      <c r="AN164" s="3877"/>
      <c r="AO164" s="3877"/>
      <c r="AP164" s="3877"/>
      <c r="AQ164" s="3877"/>
      <c r="AR164" s="3878"/>
      <c r="AS164" s="3549" t="s">
        <v>1113</v>
      </c>
      <c r="AT164" s="3550"/>
      <c r="AU164" s="3550"/>
      <c r="AV164" s="3550"/>
      <c r="AW164" s="3550"/>
      <c r="AX164" s="3550"/>
      <c r="AY164" s="3550"/>
      <c r="AZ164" s="3550"/>
      <c r="BA164" s="3550"/>
      <c r="BB164" s="3550"/>
      <c r="BC164" s="3550"/>
      <c r="BD164" s="3551"/>
      <c r="BE164" s="3552" t="s">
        <v>1112</v>
      </c>
      <c r="BF164" s="3553"/>
      <c r="BG164" s="3553"/>
      <c r="BH164" s="3553"/>
      <c r="BI164" s="3553" t="s">
        <v>1111</v>
      </c>
      <c r="BJ164" s="3553"/>
      <c r="BK164" s="3553"/>
      <c r="BL164" s="3553"/>
      <c r="BM164" s="3553" t="s">
        <v>1112</v>
      </c>
      <c r="BN164" s="3553"/>
      <c r="BO164" s="3553"/>
      <c r="BP164" s="3553"/>
      <c r="BQ164" s="3553" t="s">
        <v>1111</v>
      </c>
      <c r="BR164" s="3553"/>
      <c r="BS164" s="3553"/>
      <c r="BT164" s="3554"/>
      <c r="BU164" s="19"/>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15"/>
      <c r="DA164" s="67" t="e">
        <f>IF(DC162="＋",F166+F157+3,F166+F175+3)</f>
        <v>#VALUE!</v>
      </c>
      <c r="DB164" s="98">
        <f>IF(C166="  RF","",IF(AN167="","",非誘!BW113))</f>
        <v>5</v>
      </c>
      <c r="DC164" s="98">
        <f>IF(DB164="","",IF(AN167="","",非誘!BX113))</f>
        <v>7</v>
      </c>
      <c r="DD164" s="3822" t="s">
        <v>1060</v>
      </c>
      <c r="DE164" s="3823"/>
      <c r="DF164" s="3824" t="s">
        <v>1173</v>
      </c>
      <c r="DG164" s="3824"/>
      <c r="DH164" s="3824" t="s">
        <v>1174</v>
      </c>
      <c r="DI164" s="3824"/>
      <c r="DJ164" s="3823" t="s">
        <v>1173</v>
      </c>
      <c r="DK164" s="3823"/>
      <c r="DL164" s="8"/>
      <c r="DM164" s="113" t="s">
        <v>1172</v>
      </c>
      <c r="DN164" s="113" t="s">
        <v>1171</v>
      </c>
      <c r="DO164" s="113" t="s">
        <v>1170</v>
      </c>
      <c r="DP164" s="8"/>
      <c r="DQ164" s="8"/>
      <c r="DR164" s="8"/>
      <c r="DS164" s="8"/>
      <c r="DT164" s="113" t="s">
        <v>1051</v>
      </c>
      <c r="DU164" s="8"/>
      <c r="DV164" s="113" t="s">
        <v>1047</v>
      </c>
      <c r="DW164" s="113" t="s">
        <v>1046</v>
      </c>
      <c r="DX164" s="8"/>
      <c r="DY164" s="113" t="s">
        <v>1047</v>
      </c>
      <c r="DZ164" s="113" t="s">
        <v>1047</v>
      </c>
      <c r="EA164" s="113"/>
      <c r="EB164" s="776" t="str">
        <f>IF(OR($B$2=0,Y166=""),"","混合器 UV-BC")</f>
        <v/>
      </c>
      <c r="EC164" s="15"/>
      <c r="ED164" s="782" t="str">
        <f>IF(BA166="","","分配器 6D")</f>
        <v/>
      </c>
      <c r="EE164" s="15" t="str">
        <f>BA166</f>
        <v/>
      </c>
      <c r="EF164" s="15"/>
      <c r="EG164" s="15"/>
      <c r="EH164" s="197">
        <f t="shared" si="98"/>
        <v>5</v>
      </c>
      <c r="EI164" s="773">
        <f t="shared" si="99"/>
        <v>5</v>
      </c>
      <c r="EJ164" s="203" t="str">
        <f>X168</f>
        <v>G-28mm</v>
      </c>
      <c r="EK164" s="9"/>
      <c r="EL164" s="9" t="str">
        <f>IF(COUNTIF($EJ$18:EJ163,EJ164)&gt;0,"",EJ164)</f>
        <v>G-28mm</v>
      </c>
      <c r="EM164" s="9"/>
      <c r="EN164" s="14">
        <f>AI168</f>
        <v>14.5</v>
      </c>
      <c r="EO164" s="771">
        <f t="shared" si="107"/>
        <v>14.5</v>
      </c>
      <c r="EP164" s="8"/>
      <c r="EQ164" s="15"/>
      <c r="ER164" s="197">
        <f t="shared" si="101"/>
        <v>4</v>
      </c>
      <c r="ES164" s="773" t="str">
        <f t="shared" si="102"/>
        <v/>
      </c>
      <c r="ET164" s="203" t="str">
        <f t="shared" si="108"/>
        <v/>
      </c>
      <c r="EU164" s="9"/>
      <c r="EV164" s="11" t="str">
        <f>IF(COUNTIF($ET$18:ET163,ET164)&gt;0,"",ET164)</f>
        <v/>
      </c>
      <c r="EW164" s="9"/>
      <c r="EX164" s="124" t="str">
        <f>Y166</f>
        <v/>
      </c>
      <c r="EY164" s="771">
        <f t="shared" si="109"/>
        <v>0</v>
      </c>
      <c r="EZ164" s="8"/>
      <c r="FA164" s="15"/>
      <c r="FB164" s="197">
        <f t="shared" si="96"/>
        <v>10</v>
      </c>
      <c r="FC164" s="773" t="str">
        <f t="shared" si="97"/>
        <v/>
      </c>
      <c r="FD164" s="772" t="str">
        <f t="shared" si="110"/>
        <v/>
      </c>
      <c r="FE164" s="9"/>
      <c r="FF164" s="11" t="str">
        <f>IF(COUNTIF($FD$15:FD163,FD164)&gt;0,"",FD164)</f>
        <v/>
      </c>
      <c r="FG164" s="9"/>
      <c r="FH164" s="124" t="str">
        <f>BA166</f>
        <v/>
      </c>
      <c r="FI164" s="771">
        <f t="shared" si="111"/>
        <v>0</v>
      </c>
    </row>
    <row r="165" spans="1:165" ht="11.25" customHeight="1" thickBot="1">
      <c r="B165" s="23"/>
      <c r="C165" s="3819"/>
      <c r="D165" s="3820"/>
      <c r="E165" s="3821"/>
      <c r="F165" s="3827" t="s">
        <v>420</v>
      </c>
      <c r="G165" s="3769"/>
      <c r="H165" s="3828"/>
      <c r="I165" s="3819" t="s">
        <v>420</v>
      </c>
      <c r="J165" s="3820"/>
      <c r="K165" s="3820"/>
      <c r="L165" s="3821"/>
      <c r="M165" s="3819" t="s">
        <v>1150</v>
      </c>
      <c r="N165" s="3820"/>
      <c r="O165" s="3820"/>
      <c r="P165" s="3821"/>
      <c r="Q165" s="3819" t="s">
        <v>1102</v>
      </c>
      <c r="R165" s="3820"/>
      <c r="S165" s="3821"/>
      <c r="T165" s="3819" t="s">
        <v>115</v>
      </c>
      <c r="U165" s="3820"/>
      <c r="V165" s="3821"/>
      <c r="W165" s="3862"/>
      <c r="X165" s="3865"/>
      <c r="Y165" s="3865"/>
      <c r="Z165" s="3868"/>
      <c r="AA165" s="3829">
        <f>IF($AG$15&lt;=65,115,110)</f>
        <v>115</v>
      </c>
      <c r="AB165" s="3562"/>
      <c r="AC165" s="3562"/>
      <c r="AD165" s="3562">
        <f>IF(CW263&gt;55,115,110)</f>
        <v>110</v>
      </c>
      <c r="AE165" s="3562"/>
      <c r="AF165" s="3830"/>
      <c r="AG165" s="3831" t="s">
        <v>1149</v>
      </c>
      <c r="AH165" s="3832"/>
      <c r="AI165" s="3832"/>
      <c r="AJ165" s="3833"/>
      <c r="AK165" s="3834" t="s">
        <v>1148</v>
      </c>
      <c r="AL165" s="3832"/>
      <c r="AM165" s="3832"/>
      <c r="AN165" s="3833"/>
      <c r="AO165" s="3834" t="s">
        <v>1147</v>
      </c>
      <c r="AP165" s="3832"/>
      <c r="AQ165" s="3832"/>
      <c r="AR165" s="3835"/>
      <c r="AS165" s="3836" t="s">
        <v>1146</v>
      </c>
      <c r="AT165" s="3832"/>
      <c r="AU165" s="3832"/>
      <c r="AV165" s="3833"/>
      <c r="AW165" s="3844" t="s">
        <v>1145</v>
      </c>
      <c r="AX165" s="3845"/>
      <c r="AY165" s="3845"/>
      <c r="AZ165" s="3846"/>
      <c r="BA165" s="3558" t="s">
        <v>1094</v>
      </c>
      <c r="BB165" s="3559"/>
      <c r="BC165" s="3559"/>
      <c r="BD165" s="3560"/>
      <c r="BE165" s="3561" t="s">
        <v>1092</v>
      </c>
      <c r="BF165" s="3562"/>
      <c r="BG165" s="3562"/>
      <c r="BH165" s="3562"/>
      <c r="BI165" s="3850" t="s">
        <v>1091</v>
      </c>
      <c r="BJ165" s="3562"/>
      <c r="BK165" s="3562"/>
      <c r="BL165" s="3562"/>
      <c r="BM165" s="3850" t="s">
        <v>1090</v>
      </c>
      <c r="BN165" s="3562"/>
      <c r="BO165" s="3562"/>
      <c r="BP165" s="3562"/>
      <c r="BQ165" s="3850" t="s">
        <v>1089</v>
      </c>
      <c r="BR165" s="3562"/>
      <c r="BS165" s="3562"/>
      <c r="BT165" s="3899"/>
      <c r="BU165" s="19"/>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90"/>
      <c r="DA165" s="15"/>
      <c r="DB165" s="98">
        <f>IF(C166="","",IF(AZ167="①",DB164+DC164+3,IF(AZ167="②",DB164*5/8+DC164+3,IF(AZ167="③",DB164/2+DC164+3,IF(AZ167="④",DB164+DC164*5/8+3,IF(AZ167="⑤",(DB164+DC164)*5/8+3,IF(AZ167="⑥",DB164/2+DC164*5/8+3,IF(AZ167="⑦",DB164+DC164/2+3,IF(AZ167="⑧",DB164*5/8+DC164/2+3,IF(AZ167="⑨",(DB164+DC164)/2+3))))))))))</f>
        <v>11.5</v>
      </c>
      <c r="DC165" s="180" t="s">
        <v>1088</v>
      </c>
      <c r="DD165" s="2589" t="str">
        <f>IF($AL$10="nC-FB","S-5C-FB",IF($AL$10="nD-FB","5D-FB","5C-2V"))</f>
        <v>S-5C-FB</v>
      </c>
      <c r="DE165" s="2591"/>
      <c r="DF165" s="3631">
        <f>IF(C166="  RF",DF156,IF($H$15="ＣＡＴＶ",DB164+DC164/2+F166-($AM$8-$AM$7)/1000+DR165,SUM(DM165:DO165)))</f>
        <v>58.5</v>
      </c>
      <c r="DG165" s="3812"/>
      <c r="DH165" s="2589" t="str">
        <f>IF($H$17="ＣＡＴＶ","G-22mm",IF(RIGHT($AB$17,1)+RIGHT($AF$17,1)+RIGHT($AJ$17,1)&gt;=4,"G-36mm","G-28mm"))</f>
        <v>G-28mm</v>
      </c>
      <c r="DI165" s="2591"/>
      <c r="DJ165" s="3631">
        <f>IF(C166="",0,IF(C166="  RF",DJ156,IF($H$15="ＣＡＴＶ",DB164+DC164/2+F166-($AM$8-$AM$7)/1000,10+F166-($AM$8-$AM$7)/1000)))</f>
        <v>14.5</v>
      </c>
      <c r="DK165" s="3812"/>
      <c r="DL165" s="15"/>
      <c r="DM165" s="98">
        <f>IF(OR($B$2=0,$H$15="ＣＡＴＶ",C166="",C166="  RF"),0,IF($AB$17="","",RIGHT($AB$17,1)*15+F166-($AM$8-$AM$7)/1000))</f>
        <v>19.5</v>
      </c>
      <c r="DN165" s="98">
        <f>IF(OR($B$2=0,$H$15="ＣＡＴＶ",C166="",C166="  RF"),0,IF($AF$17="","",15+F166-($AM$8-$AM$7)/1000))</f>
        <v>19.5</v>
      </c>
      <c r="DO165" s="98">
        <f>IF(OR($B$2=0,$H$15="ＣＡＴＶ",C166="",C166="  RF"),0,IF($AJ$17="","",15+F166-($AM$8-$AM$7)/1000))</f>
        <v>19.5</v>
      </c>
      <c r="DP165" s="15"/>
      <c r="DQ165" s="46" t="s">
        <v>1087</v>
      </c>
      <c r="DR165" s="98" t="str">
        <f>IF($H$17="ＣＡＴＶ",#REF!+#REF!,"")</f>
        <v/>
      </c>
      <c r="DS165" s="128" t="s">
        <v>1078</v>
      </c>
      <c r="DT165" s="159">
        <f>IF(AB167&lt;&gt;"Ｃ",0,IF(DY165&lt;&gt;0,DY165,IF(DZ165&lt;&gt;0,DZ165,0)))</f>
        <v>0</v>
      </c>
      <c r="DU165" s="8"/>
      <c r="DV165" s="86">
        <f>IF(AB167&lt;&gt;"Ｃ",0,IF(DY165=0,0,1))</f>
        <v>0</v>
      </c>
      <c r="DW165" s="86">
        <f>IF(AB167&lt;&gt;"Ｃ",0,IF(DZ165=0,0,1))</f>
        <v>0</v>
      </c>
      <c r="DX165" s="8"/>
      <c r="DY165" s="86">
        <f>IF(AB167&lt;&gt;"Ｃ",0,IF(AND(DB160&gt;60,DB160&lt;=64),4,IF(AND(DB160&gt;64,DB160&lt;=80),5,0)))</f>
        <v>0</v>
      </c>
      <c r="DZ165" s="86">
        <f>IF(AB167&lt;&gt;"Ｃ",0,IF(AND(DB160&gt;80,DB160&lt;=96),4,IF(AND(DB160&gt;96,DB160&lt;=120),5,0)))</f>
        <v>0</v>
      </c>
      <c r="EA165" s="38"/>
      <c r="EB165" s="776" t="str">
        <f>IF(OR($B$2=0,Z166=""),"","混合器 UV-BC")</f>
        <v/>
      </c>
      <c r="EC165" s="12"/>
      <c r="ED165" s="122" t="str">
        <f>IF(BE166="","","直列Unit-中間1端子")</f>
        <v/>
      </c>
      <c r="EE165" s="38" t="str">
        <f>BE166</f>
        <v/>
      </c>
      <c r="EF165" s="38"/>
      <c r="EG165" s="38"/>
      <c r="EH165" s="197">
        <f t="shared" si="98"/>
        <v>5</v>
      </c>
      <c r="EI165" s="773" t="str">
        <f t="shared" si="99"/>
        <v/>
      </c>
      <c r="EJ165" s="203" t="str">
        <f>X169</f>
        <v>PF-S-22mm</v>
      </c>
      <c r="EK165" s="9"/>
      <c r="EL165" s="9" t="str">
        <f>IF(COUNTIF($EJ$18:EJ164,EJ165)&gt;0,"",EJ165)</f>
        <v/>
      </c>
      <c r="EM165" s="9"/>
      <c r="EN165" s="14">
        <f>AI169</f>
        <v>4</v>
      </c>
      <c r="EO165" s="771">
        <f t="shared" si="107"/>
        <v>0</v>
      </c>
      <c r="EP165" s="8"/>
      <c r="EQ165" s="38"/>
      <c r="ER165" s="197">
        <f t="shared" si="101"/>
        <v>4</v>
      </c>
      <c r="ES165" s="773" t="str">
        <f t="shared" si="102"/>
        <v/>
      </c>
      <c r="ET165" s="203" t="str">
        <f t="shared" si="108"/>
        <v/>
      </c>
      <c r="EU165" s="9"/>
      <c r="EV165" s="11" t="str">
        <f>IF(COUNTIF($ET$18:ET164,ET165)&gt;0,"",ET165)</f>
        <v/>
      </c>
      <c r="EW165" s="9"/>
      <c r="EX165" s="124">
        <f>Z166</f>
        <v>0</v>
      </c>
      <c r="EY165" s="771">
        <f t="shared" si="109"/>
        <v>0</v>
      </c>
      <c r="EZ165" s="8"/>
      <c r="FA165" s="38"/>
      <c r="FB165" s="197">
        <f t="shared" si="96"/>
        <v>10</v>
      </c>
      <c r="FC165" s="773" t="str">
        <f t="shared" si="97"/>
        <v/>
      </c>
      <c r="FD165" s="772" t="str">
        <f t="shared" si="110"/>
        <v/>
      </c>
      <c r="FE165" s="9"/>
      <c r="FF165" s="11" t="str">
        <f>IF(COUNTIF($FD$15:FD164,FD165)&gt;0,"",FD165)</f>
        <v/>
      </c>
      <c r="FG165" s="9"/>
      <c r="FH165" s="124" t="str">
        <f>BE166</f>
        <v/>
      </c>
      <c r="FI165" s="771">
        <f t="shared" si="111"/>
        <v>0</v>
      </c>
    </row>
    <row r="166" spans="1:165" ht="11.25" customHeight="1">
      <c r="A166" s="8">
        <v>16</v>
      </c>
      <c r="B166" s="23"/>
      <c r="C166" s="3837" t="str">
        <f>非誘!C113</f>
        <v>PH2F</v>
      </c>
      <c r="D166" s="3837"/>
      <c r="E166" s="3837"/>
      <c r="F166" s="3838">
        <f>非誘!F113</f>
        <v>4</v>
      </c>
      <c r="G166" s="3839"/>
      <c r="H166" s="3840"/>
      <c r="I166" s="3838" t="str">
        <f>非誘!J113</f>
        <v>直天</v>
      </c>
      <c r="J166" s="3839"/>
      <c r="K166" s="3839"/>
      <c r="L166" s="3840"/>
      <c r="M166" s="3841">
        <f>非誘!N113</f>
        <v>140</v>
      </c>
      <c r="N166" s="3842"/>
      <c r="O166" s="3842"/>
      <c r="P166" s="3843"/>
      <c r="Q166" s="3537" t="str">
        <f>非誘!AA113</f>
        <v/>
      </c>
      <c r="R166" s="3537"/>
      <c r="S166" s="3537"/>
      <c r="T166" s="3537">
        <f>非誘!AD113</f>
        <v>8</v>
      </c>
      <c r="U166" s="3537"/>
      <c r="V166" s="3537"/>
      <c r="W166" s="795" t="str">
        <f>IF(OR(BF23="不要",C166&lt;&gt;$X$10),"",IF(AND($AB$17="UHF×3",$AF$17&lt;&gt;"",$AJ$17&lt;&gt;""),2,IF(OR(AND($AB$17="UHF×3",$AB$17="",$AJ$17=""),AND($AB$17="UHF×3",$AF$17&lt;&gt;"",$AJ$17=""),AND($AB$17="UHF×2",$AF$17&lt;&gt;"",$AJ$17&lt;&gt;"")),1,"")))</f>
        <v/>
      </c>
      <c r="X166" s="794">
        <f>IF(OR(BF23="不要",C166&lt;&gt;$X$10),"",IF(AND($AB$17&lt;&gt;"",$AF$17&lt;&gt;"",$AJ$17&lt;&gt;""),1,""))</f>
        <v>1</v>
      </c>
      <c r="Y166" s="794" t="str">
        <f>IF(OR(BF23="不要",C166&lt;&gt;$X$10),"",IF(AND(OR($AB$17="UHF×2",$AB$17="UHF×3"),$AF$17&lt;&gt;"",$AJ$17=""),1,""))</f>
        <v/>
      </c>
      <c r="Z166" s="793"/>
      <c r="AA166" s="3847">
        <f>IF($B$2=0,"",IF(AND(BF23&lt;&gt;"不要",DC162="＝"),1,""))</f>
        <v>1</v>
      </c>
      <c r="AB166" s="3848"/>
      <c r="AC166" s="3848"/>
      <c r="AD166" s="3848">
        <f>IF($B$2=0,"",IF(OR(BF23="不要",C166="",C166="  RF"),"",IF(BF23="設置",1,"")))</f>
        <v>1</v>
      </c>
      <c r="AE166" s="3848"/>
      <c r="AF166" s="3849"/>
      <c r="AG166" s="3837" t="str">
        <f>IF(OR(BF23="不要",C166="",C166="  RF"),"",IF(AI166&lt;&gt;"",AI166,IF(DE163+DM163+DT163+DT165+DT167=0,"",DE163+DM163+DT163+DT165+DT167)))</f>
        <v/>
      </c>
      <c r="AH166" s="3837"/>
      <c r="AI166" s="3915"/>
      <c r="AJ166" s="3915"/>
      <c r="AK166" s="3837">
        <f>IF(OR(BF23="不要",C166="",C166="  RF"),"",IF(AM166&lt;&gt;"",AM166,IF(DF163+DN163=0,"",DF163+DN163)))</f>
        <v>1</v>
      </c>
      <c r="AL166" s="3837"/>
      <c r="AM166" s="3915"/>
      <c r="AN166" s="3915"/>
      <c r="AO166" s="3813" t="str">
        <f>IF(AQ166="","",AQ166)</f>
        <v/>
      </c>
      <c r="AP166" s="3814"/>
      <c r="AQ166" s="3915"/>
      <c r="AR166" s="3915"/>
      <c r="AS166" s="3916" t="str">
        <f>IF(OR(BF23="不要",C166="  RF"),"",IF(AU166&lt;&gt;"",AU166,IF(DH163+DP163+DU163+DX163+DY163+DZ163=0,"",DH163+DP163+DU163+DX163+DY163+DZ163)))</f>
        <v/>
      </c>
      <c r="AT166" s="3837"/>
      <c r="AU166" s="3915"/>
      <c r="AV166" s="3915"/>
      <c r="AW166" s="3837">
        <f>IF(OR(BF23="不要",C166="  RF"),"",IF(AY166&lt;&gt;"",AY166,IF(DI163+DQ163+DV163+DV165+DY165+DZ165=0,"",DI163+DQ163+DV163+DV165+DY165+DZ165)))</f>
        <v>1</v>
      </c>
      <c r="AX166" s="3837"/>
      <c r="AY166" s="3915"/>
      <c r="AZ166" s="3915"/>
      <c r="BA166" s="3837" t="str">
        <f>IF(OR(BF23="不要",C166="  RF"),"",IF(BC166&lt;&gt;"",BC166,IF(DJ163+DR163+DW163+DW165+DW167+DZ167=0,"",DJ163+DR163+DW163+DW165+DW167+DZ167)))</f>
        <v/>
      </c>
      <c r="BB166" s="3837"/>
      <c r="BC166" s="3915"/>
      <c r="BD166" s="3915"/>
      <c r="BE166" s="3837" t="str">
        <f>IF(OR(BF23="不要",$X$11="2端子",C166="",C166="  RF"),"",IF(BG166&lt;&gt;"",BG166,IF(AND(AB167="Ａ",$X$11="1端子"),DK163,"")))</f>
        <v/>
      </c>
      <c r="BF166" s="3837"/>
      <c r="BG166" s="3837" t="str">
        <f>IF(AND(BO166&lt;&gt;"",AB167="Ａ",$X$11="1端子"),BO166,"")</f>
        <v/>
      </c>
      <c r="BH166" s="3837"/>
      <c r="BI166" s="3916" t="str">
        <f>IF(OR(BF23="不要",$X$11="1端子",C166="",C166="  RF"),"",IF(BK166&lt;&gt;"",BK166,IF(AND(AB167="Ａ",$X$11="2端子"),DK163,"")))</f>
        <v/>
      </c>
      <c r="BJ166" s="3837"/>
      <c r="BK166" s="3837" t="str">
        <f>IF(AND(BS166&lt;&gt;"",AB167="Ａ",$X$11="2端子"),BS166,"")</f>
        <v/>
      </c>
      <c r="BL166" s="3837"/>
      <c r="BM166" s="3837">
        <f>IF(OR(BF23="不要",C166="  RF",C166="",$X$11="2端子"),"",IF(BO166&lt;&gt;"",BO166,IF(AND(AB167="Ａ",$X$11="1端子"),DK163,DK161)))</f>
        <v>8</v>
      </c>
      <c r="BN166" s="3837"/>
      <c r="BO166" s="3915"/>
      <c r="BP166" s="3915"/>
      <c r="BQ166" s="3837" t="str">
        <f>IF(OR(BF23="不要",C166="  RF",C166="",$X$11="1端子"),"",IF(BS166&lt;&gt;"",BS166,IF(AND(AB167="Ａ",$X$11="2端子"),DK163,DK161)))</f>
        <v/>
      </c>
      <c r="BR166" s="3837"/>
      <c r="BS166" s="3915"/>
      <c r="BT166" s="3917"/>
      <c r="BU166" s="19"/>
      <c r="BV166" s="8"/>
      <c r="BW166" s="88">
        <f>IF(I166="直天",F166,I166)</f>
        <v>4</v>
      </c>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38"/>
      <c r="DA166" s="15"/>
      <c r="DB166" s="15"/>
      <c r="DC166" s="180" t="s">
        <v>1144</v>
      </c>
      <c r="DD166" s="2589" t="str">
        <f>IF($AL$10="nC-FB","S-7C-FB",IF($AL$10="nD-FB","8D-FB","7C-2V"))</f>
        <v>S-7C-FB</v>
      </c>
      <c r="DE166" s="2591"/>
      <c r="DF166" s="3631">
        <f>IF(OR(C166="",C166="  RF"),0,IF(AB167="Ｃ",2.5*AG166+(DB164+DC164),F166+2))</f>
        <v>6</v>
      </c>
      <c r="DG166" s="3812"/>
      <c r="DH166" s="2589" t="str">
        <f>IF(OR(H167="天井ケーブル",H167="天井-PF管"),"PF-S-22mm",IF(H167="天井-CD管","CD-22mm",IF(H167="天井-C 管","C-25mm",IF(H167="天井-G 管","G-22mm",""))))</f>
        <v>PF-S-22mm</v>
      </c>
      <c r="DI166" s="2591"/>
      <c r="DJ166" s="3631">
        <f>IF(OR(C166="",C166="  RF"),0,IF(AB167="Ｃ",F166-($AM$8-$AM$7)/1000,F166))</f>
        <v>4</v>
      </c>
      <c r="DK166" s="3812"/>
      <c r="DL166" s="778"/>
      <c r="DM166" s="112"/>
      <c r="DN166" s="190" t="s">
        <v>1143</v>
      </c>
      <c r="DO166" s="98">
        <f>IF(OR(C166="",C166="  RF"),0,(DB164+DC164)/2/SQRT(DK163))</f>
        <v>3</v>
      </c>
      <c r="DP166" s="15"/>
      <c r="DQ166" s="15"/>
      <c r="DR166" s="15"/>
      <c r="DS166" s="8"/>
      <c r="DT166" s="113" t="s">
        <v>1051</v>
      </c>
      <c r="DU166" s="8"/>
      <c r="DV166" s="113"/>
      <c r="DW166" s="113" t="s">
        <v>1046</v>
      </c>
      <c r="DX166" s="8"/>
      <c r="DY166" s="8"/>
      <c r="DZ166" s="113" t="s">
        <v>1046</v>
      </c>
      <c r="EA166" s="113"/>
      <c r="EB166" s="776" t="str">
        <f>IF(OR($B$2=0,AA166=""),"","増幅器 "&amp;AA164&amp;AA165)</f>
        <v>増幅器 40/115</v>
      </c>
      <c r="EC166" s="15"/>
      <c r="ED166" s="122" t="str">
        <f>IF(BI166="","","直列Unit-中間2端子")</f>
        <v/>
      </c>
      <c r="EE166" s="15" t="str">
        <f>BI166</f>
        <v/>
      </c>
      <c r="EF166" s="15"/>
      <c r="EG166" s="15"/>
      <c r="EH166" s="197">
        <f t="shared" si="98"/>
        <v>5</v>
      </c>
      <c r="EI166" s="773" t="str">
        <f t="shared" si="99"/>
        <v/>
      </c>
      <c r="EJ166" s="203" t="str">
        <f>AS168</f>
        <v>S-5C-FB</v>
      </c>
      <c r="EK166" s="9"/>
      <c r="EL166" s="9" t="str">
        <f>IF(COUNTIF($EJ$18:EJ165,EJ166)&gt;0,"",EJ166)</f>
        <v/>
      </c>
      <c r="EM166" s="9"/>
      <c r="EN166" s="14">
        <f>BB168</f>
        <v>98.3</v>
      </c>
      <c r="EO166" s="771">
        <f t="shared" si="107"/>
        <v>0</v>
      </c>
      <c r="EP166" s="8"/>
      <c r="EQ166" s="15"/>
      <c r="ER166" s="197">
        <f t="shared" si="101"/>
        <v>5</v>
      </c>
      <c r="ES166" s="773">
        <f t="shared" si="102"/>
        <v>5</v>
      </c>
      <c r="ET166" s="203" t="str">
        <f t="shared" si="108"/>
        <v>増幅器 40/115</v>
      </c>
      <c r="EU166" s="9"/>
      <c r="EV166" s="11" t="str">
        <f>IF(COUNTIF($ET$18:ET165,ET166)&gt;0,"",ET166)</f>
        <v>増幅器 40/115</v>
      </c>
      <c r="EW166" s="9"/>
      <c r="EX166" s="124">
        <f>AA166</f>
        <v>1</v>
      </c>
      <c r="EY166" s="771">
        <f t="shared" si="109"/>
        <v>1</v>
      </c>
      <c r="EZ166" s="8"/>
      <c r="FA166" s="15"/>
      <c r="FB166" s="197">
        <f t="shared" si="96"/>
        <v>10</v>
      </c>
      <c r="FC166" s="773" t="str">
        <f t="shared" si="97"/>
        <v/>
      </c>
      <c r="FD166" s="772" t="str">
        <f t="shared" si="110"/>
        <v/>
      </c>
      <c r="FE166" s="9"/>
      <c r="FF166" s="11" t="str">
        <f>IF(COUNTIF($FD$15:FD165,FD166)&gt;0,"",FD166)</f>
        <v/>
      </c>
      <c r="FG166" s="9"/>
      <c r="FH166" s="124" t="str">
        <f>BI166</f>
        <v/>
      </c>
      <c r="FI166" s="771">
        <f t="shared" si="111"/>
        <v>0</v>
      </c>
    </row>
    <row r="167" spans="1:165" ht="12" customHeight="1">
      <c r="A167" s="8"/>
      <c r="B167" s="23"/>
      <c r="C167" s="2634" t="s">
        <v>135</v>
      </c>
      <c r="D167" s="2634"/>
      <c r="E167" s="2634"/>
      <c r="F167" s="2634"/>
      <c r="G167" s="2634"/>
      <c r="H167" s="3904" t="str">
        <f>IF($B$2=0,"",IF(P167="","天井ケーブル",P167))</f>
        <v>天井ケーブル</v>
      </c>
      <c r="I167" s="3904"/>
      <c r="J167" s="3904"/>
      <c r="K167" s="3904"/>
      <c r="L167" s="3904"/>
      <c r="M167" s="3904"/>
      <c r="N167" s="3904"/>
      <c r="O167" s="173" t="s">
        <v>68</v>
      </c>
      <c r="P167" s="3796"/>
      <c r="Q167" s="3797"/>
      <c r="R167" s="3797"/>
      <c r="S167" s="3797"/>
      <c r="T167" s="3797"/>
      <c r="U167" s="3797"/>
      <c r="V167" s="3798"/>
      <c r="W167" s="2634" t="s">
        <v>1082</v>
      </c>
      <c r="X167" s="2634"/>
      <c r="Y167" s="2634"/>
      <c r="Z167" s="2634"/>
      <c r="AA167" s="2634"/>
      <c r="AB167" s="3799" t="str">
        <f>IF(BF23="不要","",IF(AF167&lt;&gt;"",AF167,DB161))</f>
        <v>Ｂ</v>
      </c>
      <c r="AC167" s="3799"/>
      <c r="AD167" s="3799"/>
      <c r="AE167" s="173" t="s">
        <v>68</v>
      </c>
      <c r="AF167" s="3800"/>
      <c r="AG167" s="3801"/>
      <c r="AH167" s="3802"/>
      <c r="AI167" s="2634" t="s">
        <v>20</v>
      </c>
      <c r="AJ167" s="2634"/>
      <c r="AK167" s="2634"/>
      <c r="AL167" s="2634"/>
      <c r="AM167" s="2634"/>
      <c r="AN167" s="3522">
        <f>IF(OR(C166="",C166="  RF"),"",非誘!J112)</f>
        <v>0.7142857142857143</v>
      </c>
      <c r="AO167" s="3523"/>
      <c r="AP167" s="3523"/>
      <c r="AQ167" s="3524"/>
      <c r="AR167" s="3507" t="s">
        <v>1081</v>
      </c>
      <c r="AS167" s="3461"/>
      <c r="AT167" s="3461"/>
      <c r="AU167" s="3461"/>
      <c r="AV167" s="3461"/>
      <c r="AW167" s="3461"/>
      <c r="AX167" s="3461"/>
      <c r="AY167" s="3461"/>
      <c r="AZ167" s="3563" t="str">
        <f>IF(OR(C166="",C166="  RF"),"",IF(BC167="",$AN$11,BC167))</f>
        <v>⑦</v>
      </c>
      <c r="BA167" s="3563"/>
      <c r="BB167" s="777" t="s">
        <v>68</v>
      </c>
      <c r="BC167" s="3521"/>
      <c r="BD167" s="3521"/>
      <c r="BE167" s="3564"/>
      <c r="BF167" s="3565"/>
      <c r="BG167" s="3565"/>
      <c r="BH167" s="3565"/>
      <c r="BI167" s="3565"/>
      <c r="BJ167" s="3565"/>
      <c r="BK167" s="3565"/>
      <c r="BL167" s="3565"/>
      <c r="BM167" s="3565"/>
      <c r="BN167" s="3565"/>
      <c r="BO167" s="3565"/>
      <c r="BP167" s="3565"/>
      <c r="BQ167" s="3565"/>
      <c r="BR167" s="3565"/>
      <c r="BS167" s="3565"/>
      <c r="BT167" s="3566"/>
      <c r="BU167" s="19"/>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38"/>
      <c r="DA167" s="15"/>
      <c r="DB167" s="8"/>
      <c r="DC167" s="180" t="s">
        <v>1080</v>
      </c>
      <c r="DD167" s="2589" t="str">
        <f>IF($AL$10="nC-FB","S-5C-FB",IF($AL$10="nD-FB","5D-FB","5C-2V"))</f>
        <v>S-5C-FB</v>
      </c>
      <c r="DE167" s="2591"/>
      <c r="DF167" s="3631">
        <f>IF(AB167="Ａ",(DK163+2*BW166-($X$7+$X$9)/1000)*DO166+(12+2*BW166-2*$X$9/1000)*DK163+DO167,IF(AB167="Ｂ",(DO166+2*BW166-$X$9/1000)*DK161+DO167,0))</f>
        <v>98.3</v>
      </c>
      <c r="DG167" s="3812"/>
      <c r="DH167" s="2589" t="str">
        <f>IF(OR(H167="天井ケーブル",H167="天井-PF管"),"PF-S-16mm",IF(H167="天井-CD管","CD-16mm",IF(H167="天井-C 管","C-19mm",IF(H167="天井-G 管","G-16mm",""))))</f>
        <v>PF-S-16mm</v>
      </c>
      <c r="DI167" s="2591"/>
      <c r="DJ167" s="3631">
        <f>IF(OR(C166="",C166="  RF"),0,IF(H167="天井ケーブル",DK161*(BW166-($X$9-$AM$9)/1000),(DO166+2*BW166-$X$9/1000)*DK161+DO167))</f>
        <v>33.200000000000003</v>
      </c>
      <c r="DK167" s="3812"/>
      <c r="DL167" s="15"/>
      <c r="DM167" s="46"/>
      <c r="DN167" s="46" t="s">
        <v>1079</v>
      </c>
      <c r="DO167" s="98">
        <f>DB165</f>
        <v>11.5</v>
      </c>
      <c r="DP167" s="15"/>
      <c r="DQ167" s="15"/>
      <c r="DR167" s="15"/>
      <c r="DS167" s="128" t="s">
        <v>1078</v>
      </c>
      <c r="DT167" s="86">
        <f>IF(AB167&lt;&gt;"Ｃ",0,IF(DZ167=0,0,DZ167))</f>
        <v>0</v>
      </c>
      <c r="DU167" s="8"/>
      <c r="DV167" s="8"/>
      <c r="DW167" s="86">
        <f>IF(AB167&lt;&gt;"Ｃ",0,IF(DZ167=0,0,1))</f>
        <v>0</v>
      </c>
      <c r="DX167" s="8"/>
      <c r="DY167" s="8"/>
      <c r="DZ167" s="86">
        <f>IF(AB167&lt;&gt;"Ｃ",0,IF(AND(DB160&gt;120,DB160&lt;=144),4,IF(AND(DB160&gt;144,DB160&lt;=180),5,0)))</f>
        <v>0</v>
      </c>
      <c r="EA167" s="38"/>
      <c r="EB167" s="776" t="str">
        <f>IF(OR($B$2=0,AD166=""),"","増幅器 "&amp;AD164&amp;AD165)</f>
        <v>増幅器 35/110</v>
      </c>
      <c r="EC167" s="38"/>
      <c r="ED167" s="122" t="str">
        <f>IF(BM166="","","直列Unit-終端1端子")</f>
        <v>直列Unit-終端1端子</v>
      </c>
      <c r="EE167" s="38">
        <f>BM166</f>
        <v>8</v>
      </c>
      <c r="EF167" s="38"/>
      <c r="EG167" s="38"/>
      <c r="EH167" s="197">
        <f t="shared" si="98"/>
        <v>5</v>
      </c>
      <c r="EI167" s="773" t="str">
        <f t="shared" si="99"/>
        <v/>
      </c>
      <c r="EJ167" s="203" t="str">
        <f>AS169</f>
        <v/>
      </c>
      <c r="EK167" s="9"/>
      <c r="EL167" s="9" t="str">
        <f>IF(COUNTIF($EJ$18:EJ166,EJ167)&gt;0,"",EJ167)</f>
        <v/>
      </c>
      <c r="EM167" s="9"/>
      <c r="EN167" s="14" t="str">
        <f>BB169</f>
        <v/>
      </c>
      <c r="EO167" s="771">
        <f t="shared" si="107"/>
        <v>0</v>
      </c>
      <c r="EP167" s="8"/>
      <c r="EQ167" s="38"/>
      <c r="ER167" s="197">
        <f t="shared" si="101"/>
        <v>5</v>
      </c>
      <c r="ES167" s="773" t="str">
        <f t="shared" si="102"/>
        <v/>
      </c>
      <c r="ET167" s="203" t="str">
        <f t="shared" si="108"/>
        <v>増幅器 35/110</v>
      </c>
      <c r="EU167" s="9"/>
      <c r="EV167" s="11" t="str">
        <f>IF(COUNTIF($ET$18:ET166,ET167)&gt;0,"",ET167)</f>
        <v/>
      </c>
      <c r="EW167" s="9"/>
      <c r="EX167" s="124">
        <f>AD166</f>
        <v>1</v>
      </c>
      <c r="EY167" s="771">
        <f t="shared" si="109"/>
        <v>0</v>
      </c>
      <c r="EZ167" s="8"/>
      <c r="FA167" s="38"/>
      <c r="FB167" s="197">
        <f t="shared" si="96"/>
        <v>10</v>
      </c>
      <c r="FC167" s="773" t="str">
        <f t="shared" si="97"/>
        <v/>
      </c>
      <c r="FD167" s="772" t="str">
        <f t="shared" si="110"/>
        <v>直列Unit-終端1端子</v>
      </c>
      <c r="FE167" s="9"/>
      <c r="FF167" s="11" t="str">
        <f>IF(COUNTIF($FD$15:FD166,FD167)&gt;0,"",FD167)</f>
        <v/>
      </c>
      <c r="FG167" s="9"/>
      <c r="FH167" s="124">
        <f>BM166</f>
        <v>8</v>
      </c>
      <c r="FI167" s="771">
        <f t="shared" si="111"/>
        <v>0</v>
      </c>
    </row>
    <row r="168" spans="1:165" ht="12" customHeight="1">
      <c r="A168" s="8"/>
      <c r="B168" s="23"/>
      <c r="C168" s="3905" t="s">
        <v>449</v>
      </c>
      <c r="D168" s="3905"/>
      <c r="E168" s="3905"/>
      <c r="F168" s="3904" t="str">
        <f>IF($H$15="ＣＡＴＶ","CATV引込","アンテナ部")</f>
        <v>アンテナ部</v>
      </c>
      <c r="G168" s="3904"/>
      <c r="H168" s="3904"/>
      <c r="I168" s="3904"/>
      <c r="J168" s="3904"/>
      <c r="K168" s="3908" t="str">
        <f>IF(OR(BF23="不要",$B$2=0,C166&lt;&gt;$X$10),"",IF(P168&lt;&gt;"",P168,DD165))</f>
        <v>S-5C-FB</v>
      </c>
      <c r="L168" s="3908"/>
      <c r="M168" s="3908"/>
      <c r="N168" s="3908"/>
      <c r="O168" s="173" t="s">
        <v>68</v>
      </c>
      <c r="P168" s="3517"/>
      <c r="Q168" s="3517"/>
      <c r="R168" s="3517"/>
      <c r="S168" s="3517"/>
      <c r="T168" s="3526">
        <f>IF(AND(C166&lt;&gt;"",K168&lt;&gt;""),DF165,"")</f>
        <v>58.5</v>
      </c>
      <c r="U168" s="3526"/>
      <c r="V168" s="3526"/>
      <c r="W168" s="3526"/>
      <c r="X168" s="3908" t="str">
        <f>IF(OR($B$2=0,K168=""),"",IF(AD168&lt;&gt;"",AD168,DH165))</f>
        <v>G-28mm</v>
      </c>
      <c r="Y168" s="3908"/>
      <c r="Z168" s="3908"/>
      <c r="AA168" s="3908"/>
      <c r="AB168" s="3908"/>
      <c r="AC168" s="173" t="s">
        <v>68</v>
      </c>
      <c r="AD168" s="3525"/>
      <c r="AE168" s="3525"/>
      <c r="AF168" s="3525"/>
      <c r="AG168" s="3525"/>
      <c r="AH168" s="3525"/>
      <c r="AI168" s="3526">
        <f>IF(X168="","",IF(DJ165="","",DJ165))</f>
        <v>14.5</v>
      </c>
      <c r="AJ168" s="3526"/>
      <c r="AK168" s="3526"/>
      <c r="AL168" s="3526"/>
      <c r="AM168" s="3904" t="s">
        <v>1077</v>
      </c>
      <c r="AN168" s="3904"/>
      <c r="AO168" s="3904"/>
      <c r="AP168" s="3904"/>
      <c r="AQ168" s="3904"/>
      <c r="AR168" s="3904"/>
      <c r="AS168" s="3908" t="str">
        <f>IF(OR(BF23="不要",$B$2=0,C166="",C166="  RF",AB167="Ｃ"),"",IF(AX168&lt;&gt;"",AX168,DD167))</f>
        <v>S-5C-FB</v>
      </c>
      <c r="AT168" s="3908"/>
      <c r="AU168" s="3908"/>
      <c r="AV168" s="3908"/>
      <c r="AW168" s="173" t="s">
        <v>68</v>
      </c>
      <c r="AX168" s="3517"/>
      <c r="AY168" s="3517"/>
      <c r="AZ168" s="3517"/>
      <c r="BA168" s="3517"/>
      <c r="BB168" s="3537">
        <f>IF(AS168&lt;&gt;"",DF167,"")</f>
        <v>98.3</v>
      </c>
      <c r="BC168" s="3537"/>
      <c r="BD168" s="3537"/>
      <c r="BE168" s="3537"/>
      <c r="BF168" s="3908" t="str">
        <f>IF(OR(C166="",AS168=""),"",IF(AB167="Ａ",DH166,DH167))</f>
        <v>PF-S-16mm</v>
      </c>
      <c r="BG168" s="3908"/>
      <c r="BH168" s="3908"/>
      <c r="BI168" s="3908"/>
      <c r="BJ168" s="3908"/>
      <c r="BK168" s="173" t="s">
        <v>68</v>
      </c>
      <c r="BL168" s="3525"/>
      <c r="BM168" s="3525"/>
      <c r="BN168" s="3525"/>
      <c r="BO168" s="3525"/>
      <c r="BP168" s="3525"/>
      <c r="BQ168" s="3526">
        <f>IF(BF168="","",DJ167)</f>
        <v>33.200000000000003</v>
      </c>
      <c r="BR168" s="3526"/>
      <c r="BS168" s="3526"/>
      <c r="BT168" s="3907"/>
      <c r="BU168" s="19"/>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774" t="s">
        <v>1076</v>
      </c>
      <c r="DD168" s="2589" t="str">
        <f>DD167</f>
        <v>S-5C-FB</v>
      </c>
      <c r="DE168" s="2591"/>
      <c r="DF168" s="3631">
        <f>IF(OR(C166="",C166="  RF",I166="直天"),0,1+INT(12+BW166-($X$9-$AM$9)/1000)*DK161+DO168)</f>
        <v>0</v>
      </c>
      <c r="DG168" s="3812"/>
      <c r="DH168" s="2589" t="str">
        <f>DH167</f>
        <v>PF-S-16mm</v>
      </c>
      <c r="DI168" s="2591"/>
      <c r="DJ168" s="3631">
        <f>IF(OR(C166="",C166="  RF"),0,IF(H167="天井ケーブル",DK161*(BW166-($X$9-2*$AM$9)/1000),1+INT(12+BW166-$X$9/1000)*DK161))</f>
        <v>35.6</v>
      </c>
      <c r="DK168" s="3812"/>
      <c r="DL168" s="15"/>
      <c r="DM168" s="15"/>
      <c r="DN168" s="46" t="s">
        <v>1075</v>
      </c>
      <c r="DO168" s="97">
        <f>IF(C166="",0,IF($AW$8=0,0,2*($AW$8/1000-0.15-0.1)*(INT(1000*DB164/$AW$10)+1)*(INT(1000*DC164/$AW$10)+1)*4))</f>
        <v>7.1999999999999993</v>
      </c>
      <c r="DP168" s="15"/>
      <c r="DQ168" s="15"/>
      <c r="DR168" s="15"/>
      <c r="DS168" s="8"/>
      <c r="DT168" s="8"/>
      <c r="DU168" s="8"/>
      <c r="DV168" s="8"/>
      <c r="DW168" s="8"/>
      <c r="DX168" s="8"/>
      <c r="DY168" s="8"/>
      <c r="DZ168" s="8"/>
      <c r="EA168" s="8"/>
      <c r="EB168" s="769" t="str">
        <f>IF(OR($B$2=0,AG166=""),"","分岐器 1C")</f>
        <v/>
      </c>
      <c r="EC168" s="8"/>
      <c r="ED168" s="122" t="str">
        <f>IF(BQ166="","","直列Unit-終端2端子")</f>
        <v/>
      </c>
      <c r="EE168" s="8" t="str">
        <f>BQ166</f>
        <v/>
      </c>
      <c r="EF168" s="8"/>
      <c r="EG168" s="8"/>
      <c r="EH168" s="197">
        <f t="shared" si="98"/>
        <v>5</v>
      </c>
      <c r="EI168" s="773" t="str">
        <f t="shared" si="99"/>
        <v/>
      </c>
      <c r="EJ168" s="203" t="str">
        <f>BF168</f>
        <v>PF-S-16mm</v>
      </c>
      <c r="EK168" s="9"/>
      <c r="EL168" s="9" t="str">
        <f>IF(COUNTIF($EJ$18:EJ167,EJ168)&gt;0,"",EJ168)</f>
        <v/>
      </c>
      <c r="EM168" s="9"/>
      <c r="EN168" s="14">
        <f>BQ168</f>
        <v>33.200000000000003</v>
      </c>
      <c r="EO168" s="771">
        <f t="shared" si="107"/>
        <v>0</v>
      </c>
      <c r="EP168" s="8"/>
      <c r="EQ168" s="8"/>
      <c r="ER168" s="197">
        <f t="shared" si="101"/>
        <v>5</v>
      </c>
      <c r="ES168" s="773" t="str">
        <f t="shared" si="102"/>
        <v/>
      </c>
      <c r="ET168" s="203" t="str">
        <f t="shared" si="108"/>
        <v/>
      </c>
      <c r="EU168" s="9"/>
      <c r="EV168" s="11" t="str">
        <f>IF(COUNTIF($ET$18:ET167,ET168)&gt;0,"",ET168)</f>
        <v/>
      </c>
      <c r="EW168" s="9"/>
      <c r="EX168" s="124" t="str">
        <f>AG166</f>
        <v/>
      </c>
      <c r="EY168" s="771">
        <f t="shared" si="109"/>
        <v>0</v>
      </c>
      <c r="EZ168" s="8"/>
      <c r="FA168" s="8"/>
      <c r="FB168" s="197">
        <f t="shared" si="96"/>
        <v>10</v>
      </c>
      <c r="FC168" s="773" t="str">
        <f t="shared" si="97"/>
        <v/>
      </c>
      <c r="FD168" s="772" t="str">
        <f t="shared" si="110"/>
        <v/>
      </c>
      <c r="FE168" s="9"/>
      <c r="FF168" s="11" t="str">
        <f>IF(COUNTIF($FD$15:FD167,FD168)&gt;0,"",FD168)</f>
        <v/>
      </c>
      <c r="FG168" s="9"/>
      <c r="FH168" s="124" t="str">
        <f>BQ166</f>
        <v/>
      </c>
      <c r="FI168" s="771">
        <f t="shared" si="111"/>
        <v>0</v>
      </c>
    </row>
    <row r="169" spans="1:165" ht="12" customHeight="1" thickBot="1">
      <c r="A169" s="8"/>
      <c r="B169" s="23"/>
      <c r="C169" s="3906"/>
      <c r="D169" s="3906"/>
      <c r="E169" s="3906"/>
      <c r="F169" s="3902" t="s">
        <v>1074</v>
      </c>
      <c r="G169" s="3902"/>
      <c r="H169" s="3902"/>
      <c r="I169" s="3902"/>
      <c r="J169" s="3902"/>
      <c r="K169" s="3540" t="str">
        <f>IF(OR(C166="",C166="  RF",$B$2=0),"",IF(P169&lt;&gt;"",P169,DD166))</f>
        <v>S-7C-FB</v>
      </c>
      <c r="L169" s="3540"/>
      <c r="M169" s="3540"/>
      <c r="N169" s="3540"/>
      <c r="O169" s="792" t="s">
        <v>68</v>
      </c>
      <c r="P169" s="3536"/>
      <c r="Q169" s="3536"/>
      <c r="R169" s="3536"/>
      <c r="S169" s="3536"/>
      <c r="T169" s="3903">
        <f>IF(R163="不",F166,IF(K169="","",DF166))</f>
        <v>6</v>
      </c>
      <c r="U169" s="3903"/>
      <c r="V169" s="3903"/>
      <c r="W169" s="3903"/>
      <c r="X169" s="3540" t="str">
        <f>IF(R163="不","",IF(OR(C166="",K169=""),"",IF(AD169&lt;&gt;"",AD169,IF(DH166="","",DH166))))</f>
        <v>PF-S-22mm</v>
      </c>
      <c r="Y169" s="3540"/>
      <c r="Z169" s="3540"/>
      <c r="AA169" s="3540"/>
      <c r="AB169" s="3540"/>
      <c r="AC169" s="792" t="s">
        <v>68</v>
      </c>
      <c r="AD169" s="3533"/>
      <c r="AE169" s="3533"/>
      <c r="AF169" s="3533"/>
      <c r="AG169" s="3533"/>
      <c r="AH169" s="3533"/>
      <c r="AI169" s="3903">
        <f>IF(X169="","",DJ166)</f>
        <v>4</v>
      </c>
      <c r="AJ169" s="3903"/>
      <c r="AK169" s="3903"/>
      <c r="AL169" s="3903"/>
      <c r="AM169" s="3902" t="s">
        <v>1073</v>
      </c>
      <c r="AN169" s="3902"/>
      <c r="AO169" s="3902"/>
      <c r="AP169" s="3902"/>
      <c r="AQ169" s="3902"/>
      <c r="AR169" s="3902"/>
      <c r="AS169" s="3540" t="str">
        <f>IF(OR(BF23="不要",$B$2=0,C166="",AB167&lt;&gt;"Ｃ"),"",IF(AX169&lt;&gt;"",AX169,DD168))</f>
        <v/>
      </c>
      <c r="AT169" s="3540"/>
      <c r="AU169" s="3540"/>
      <c r="AV169" s="3540"/>
      <c r="AW169" s="792" t="s">
        <v>68</v>
      </c>
      <c r="AX169" s="3536"/>
      <c r="AY169" s="3536"/>
      <c r="AZ169" s="3536"/>
      <c r="BA169" s="3536"/>
      <c r="BB169" s="3913" t="str">
        <f>IF(AS169="","",DF168)</f>
        <v/>
      </c>
      <c r="BC169" s="3913"/>
      <c r="BD169" s="3913"/>
      <c r="BE169" s="3913"/>
      <c r="BF169" s="3540" t="str">
        <f>IF(OR(C166="",AS169=""),"",IF(BL169&lt;&gt;"",BL169,DH168))</f>
        <v/>
      </c>
      <c r="BG169" s="3540"/>
      <c r="BH169" s="3540"/>
      <c r="BI169" s="3540"/>
      <c r="BJ169" s="3540"/>
      <c r="BK169" s="792" t="s">
        <v>68</v>
      </c>
      <c r="BL169" s="3533"/>
      <c r="BM169" s="3533"/>
      <c r="BN169" s="3533"/>
      <c r="BO169" s="3533"/>
      <c r="BP169" s="3533"/>
      <c r="BQ169" s="3903" t="str">
        <f>IF(BF169="","",DJ168)</f>
        <v/>
      </c>
      <c r="BR169" s="3903"/>
      <c r="BS169" s="3903"/>
      <c r="BT169" s="3914"/>
      <c r="BU169" s="19"/>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8" t="str">
        <f>IF(AND(AB176="Ａ",$X$11="2端子"),BI175+BQ175,IF(AND(AB176="Ａ",$X$11="1端子"),BE175+BM175,IF(AND(AB176="Ｂ",$X$11="1端子"),BM175,IF(AND(AB176="Ｂ",$X$11="2端子"),BQ175,IF(AND(AB176="Ｃ",$X$11="1端子"),BM175,BQ175)))))</f>
        <v/>
      </c>
      <c r="DC169" s="10"/>
      <c r="DD169" s="8"/>
      <c r="DE169" s="8"/>
      <c r="DF169" s="8"/>
      <c r="DG169" s="8"/>
      <c r="DH169" s="8"/>
      <c r="DI169" s="8"/>
      <c r="DJ169" s="8"/>
      <c r="DK169" s="8"/>
      <c r="DL169" s="8"/>
      <c r="DM169" s="8"/>
      <c r="DN169" s="8"/>
      <c r="DO169" s="8"/>
      <c r="DP169" s="15"/>
      <c r="DQ169" s="15"/>
      <c r="DR169" s="15"/>
      <c r="DS169" s="8"/>
      <c r="DT169" s="8"/>
      <c r="DU169" s="8"/>
      <c r="DV169" s="8"/>
      <c r="DW169" s="8"/>
      <c r="DX169" s="8"/>
      <c r="DY169" s="8"/>
      <c r="DZ169" s="8"/>
      <c r="EA169" s="8"/>
      <c r="EB169" s="769" t="str">
        <f>IF(OR($B$2=0,AK166=""),"","分岐器 2C")</f>
        <v>分岐器 2C</v>
      </c>
      <c r="EC169" s="8"/>
      <c r="ED169" s="10"/>
      <c r="EE169" s="8"/>
      <c r="EF169" s="8"/>
      <c r="EG169" s="8"/>
      <c r="EH169" s="197">
        <f t="shared" si="98"/>
        <v>5</v>
      </c>
      <c r="EI169" s="773" t="str">
        <f t="shared" si="99"/>
        <v/>
      </c>
      <c r="EJ169" s="203" t="str">
        <f>BF169</f>
        <v/>
      </c>
      <c r="EK169" s="9"/>
      <c r="EL169" s="9" t="str">
        <f>IF(COUNTIF($EJ$18:EJ168,EJ169)&gt;0,"",EJ169)</f>
        <v/>
      </c>
      <c r="EM169" s="9"/>
      <c r="EN169" s="14" t="str">
        <f>BQ169</f>
        <v/>
      </c>
      <c r="EO169" s="771">
        <f t="shared" si="107"/>
        <v>0</v>
      </c>
      <c r="EP169" s="8"/>
      <c r="EQ169" s="8"/>
      <c r="ER169" s="197">
        <f t="shared" si="101"/>
        <v>5</v>
      </c>
      <c r="ES169" s="773" t="str">
        <f t="shared" si="102"/>
        <v/>
      </c>
      <c r="ET169" s="203" t="str">
        <f t="shared" si="108"/>
        <v>分岐器 2C</v>
      </c>
      <c r="EU169" s="9"/>
      <c r="EV169" s="11" t="str">
        <f>IF(COUNTIF($ET$18:ET168,ET169)&gt;0,"",ET169)</f>
        <v/>
      </c>
      <c r="EW169" s="9"/>
      <c r="EX169" s="124">
        <f>AK166</f>
        <v>1</v>
      </c>
      <c r="EY169" s="771">
        <f t="shared" si="109"/>
        <v>0</v>
      </c>
      <c r="EZ169" s="8"/>
      <c r="FA169" s="8"/>
      <c r="FB169" s="197">
        <f t="shared" si="96"/>
        <v>10</v>
      </c>
      <c r="FC169" s="773" t="str">
        <f t="shared" si="97"/>
        <v/>
      </c>
      <c r="FD169" s="772"/>
      <c r="FE169" s="9"/>
      <c r="FF169" s="11"/>
      <c r="FG169" s="9"/>
      <c r="FH169" s="124"/>
      <c r="FI169" s="771"/>
    </row>
    <row r="170" spans="1:165" ht="12" customHeight="1" thickBot="1">
      <c r="B170" s="23"/>
      <c r="C170" s="228"/>
      <c r="D170" s="228"/>
      <c r="E170" s="228"/>
      <c r="F170" s="228"/>
      <c r="G170" s="228"/>
      <c r="H170" s="228"/>
      <c r="I170" s="228"/>
      <c r="J170" s="228"/>
      <c r="K170" s="228"/>
      <c r="L170" s="228"/>
      <c r="M170" s="228"/>
      <c r="N170" s="228"/>
      <c r="O170" s="228"/>
      <c r="P170" s="228"/>
      <c r="Q170" s="790" t="str">
        <f>IF(AND(OR(AB176="Ａ",F264="Ａ"),DB169&gt;24),"直列ユニット数………配線方式Ａ：24以下!!",IF(AND(OR(AB176="Ｂ",F264="Ｂ"),DB169&gt;12),"直列ユニット数………配線方式Ｂ：12以下!!",IF(AND(OR(AB176="Ｃ",F264="Ｃ"),DB169&gt;180),"直列ユニット数………配線方式Ｃ：180以下!!","")))</f>
        <v/>
      </c>
      <c r="R170" s="228"/>
      <c r="S170" s="228"/>
      <c r="T170" s="228"/>
      <c r="U170" s="228"/>
      <c r="V170" s="228"/>
      <c r="W170" s="228"/>
      <c r="X170" s="228"/>
      <c r="Y170" s="228"/>
      <c r="Z170" s="228"/>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8"/>
      <c r="BL170" s="228"/>
      <c r="BM170" s="228"/>
      <c r="BN170" s="228"/>
      <c r="BO170" s="228"/>
      <c r="BP170" s="228"/>
      <c r="BQ170" s="228"/>
      <c r="BR170" s="228"/>
      <c r="BS170" s="228"/>
      <c r="BT170" s="228"/>
      <c r="BU170" s="19"/>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v>17</v>
      </c>
      <c r="DB170" s="92" t="str">
        <f>IF(OR(V141="不要",C175="",C175="  RF"),"",IF(DK170&lt;=12,"Ｂ",IF(DK170&lt;=24,"Ａ","Ｃ")))</f>
        <v/>
      </c>
      <c r="DC170" s="10"/>
      <c r="DD170" s="8"/>
      <c r="DE170" s="8"/>
      <c r="DF170" s="8"/>
      <c r="DG170" s="8"/>
      <c r="DH170" s="8"/>
      <c r="DI170" s="8"/>
      <c r="DJ170" s="8"/>
      <c r="DK170" s="159">
        <f>IF(OR(C175="",C175="  RF"),0,SUM(Q175:V175))</f>
        <v>0</v>
      </c>
      <c r="DL170" s="8"/>
      <c r="DM170" s="8"/>
      <c r="DN170" s="8"/>
      <c r="DO170" s="8"/>
      <c r="DP170" s="8"/>
      <c r="DQ170" s="8"/>
      <c r="DR170" s="8"/>
      <c r="DS170" s="8"/>
      <c r="DT170" s="8"/>
      <c r="DU170" s="8"/>
      <c r="DV170" s="8"/>
      <c r="DW170" s="8"/>
      <c r="DX170" s="8"/>
      <c r="DY170" s="8"/>
      <c r="DZ170" s="8"/>
      <c r="EA170" s="8"/>
      <c r="EB170" s="8"/>
      <c r="EC170" s="8"/>
      <c r="ED170" s="8"/>
      <c r="EE170" s="8"/>
      <c r="EF170" s="8"/>
      <c r="EG170" s="88">
        <v>17</v>
      </c>
      <c r="EH170" s="204">
        <f t="shared" si="98"/>
        <v>5</v>
      </c>
      <c r="EI170" s="768" t="str">
        <f t="shared" si="99"/>
        <v/>
      </c>
      <c r="EJ170" s="45"/>
      <c r="EK170" s="45"/>
      <c r="EL170" s="45"/>
      <c r="EM170" s="45"/>
      <c r="EN170" s="45"/>
      <c r="EO170" s="785"/>
      <c r="EP170" s="8"/>
      <c r="EQ170" s="88">
        <v>17</v>
      </c>
      <c r="ER170" s="204">
        <f t="shared" si="101"/>
        <v>5</v>
      </c>
      <c r="ES170" s="768" t="str">
        <f t="shared" si="102"/>
        <v/>
      </c>
      <c r="ET170" s="45"/>
      <c r="EU170" s="45"/>
      <c r="EV170" s="154"/>
      <c r="EW170" s="45"/>
      <c r="EX170" s="45"/>
      <c r="EY170" s="785"/>
      <c r="EZ170" s="8"/>
      <c r="FA170" s="88">
        <v>17</v>
      </c>
      <c r="FB170" s="204">
        <f t="shared" si="96"/>
        <v>10</v>
      </c>
      <c r="FC170" s="768" t="str">
        <f t="shared" si="97"/>
        <v/>
      </c>
      <c r="FD170" s="786"/>
      <c r="FE170" s="45"/>
      <c r="FF170" s="154"/>
      <c r="FG170" s="45"/>
      <c r="FH170" s="208"/>
      <c r="FI170" s="785"/>
    </row>
    <row r="171" spans="1:165" ht="11.25" customHeight="1" thickBot="1">
      <c r="B171" s="23"/>
      <c r="C171" s="3399" t="s">
        <v>1142</v>
      </c>
      <c r="D171" s="3412"/>
      <c r="E171" s="3412"/>
      <c r="F171" s="3412"/>
      <c r="G171" s="3412"/>
      <c r="H171" s="3412"/>
      <c r="I171" s="3412"/>
      <c r="J171" s="3412"/>
      <c r="K171" s="3412"/>
      <c r="L171" s="3413"/>
      <c r="M171" s="3853" t="str">
        <f>非誘!J117</f>
        <v/>
      </c>
      <c r="N171" s="3854"/>
      <c r="O171" s="3854"/>
      <c r="P171" s="3854"/>
      <c r="Q171" s="3855"/>
      <c r="R171" s="2435" t="str">
        <f>IF($B$2=0,"","共聴機器")</f>
        <v>共聴機器</v>
      </c>
      <c r="S171" s="2435"/>
      <c r="T171" s="2435"/>
      <c r="U171" s="2435"/>
      <c r="V171" s="2435"/>
      <c r="W171" s="2654" t="s">
        <v>1141</v>
      </c>
      <c r="X171" s="2654"/>
      <c r="Y171" s="2654"/>
      <c r="Z171" s="2655"/>
      <c r="AA171" s="3909" t="s">
        <v>1140</v>
      </c>
      <c r="AB171" s="3910"/>
      <c r="AC171" s="3910"/>
      <c r="AD171" s="3910"/>
      <c r="AE171" s="3910"/>
      <c r="AF171" s="3912"/>
      <c r="AG171" s="3900" t="s">
        <v>1139</v>
      </c>
      <c r="AH171" s="3900"/>
      <c r="AI171" s="3900"/>
      <c r="AJ171" s="3900"/>
      <c r="AK171" s="3900"/>
      <c r="AL171" s="3900"/>
      <c r="AM171" s="3900"/>
      <c r="AN171" s="3900"/>
      <c r="AO171" s="3900"/>
      <c r="AP171" s="3900"/>
      <c r="AQ171" s="3900"/>
      <c r="AR171" s="3900"/>
      <c r="AS171" s="3909" t="s">
        <v>1138</v>
      </c>
      <c r="AT171" s="3910"/>
      <c r="AU171" s="3910"/>
      <c r="AV171" s="3910"/>
      <c r="AW171" s="3910"/>
      <c r="AX171" s="3910"/>
      <c r="AY171" s="3910"/>
      <c r="AZ171" s="3910"/>
      <c r="BA171" s="3910"/>
      <c r="BB171" s="3910"/>
      <c r="BC171" s="3910"/>
      <c r="BD171" s="3912"/>
      <c r="BE171" s="3909" t="s">
        <v>1137</v>
      </c>
      <c r="BF171" s="3910"/>
      <c r="BG171" s="3910"/>
      <c r="BH171" s="3910"/>
      <c r="BI171" s="3910"/>
      <c r="BJ171" s="3910"/>
      <c r="BK171" s="3910"/>
      <c r="BL171" s="3910"/>
      <c r="BM171" s="3910"/>
      <c r="BN171" s="3910"/>
      <c r="BO171" s="3910"/>
      <c r="BP171" s="3910"/>
      <c r="BQ171" s="3910"/>
      <c r="BR171" s="3910"/>
      <c r="BS171" s="3910"/>
      <c r="BT171" s="3911"/>
      <c r="BU171" s="19"/>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15"/>
      <c r="DA171" s="784"/>
      <c r="DB171" s="97" t="str">
        <f>IF(C175="","",DB162+1)</f>
        <v/>
      </c>
      <c r="DC171" s="15" t="str">
        <f>IF($X$10=C175,"＝",IF(VLOOKUP(C175,[2]!階高,3,FALSE)-VLOOKUP($X$10,[2]!階高,3,FALSE)&gt;0,"＋","－"))</f>
        <v>－</v>
      </c>
      <c r="DD171" s="38"/>
      <c r="DE171" s="113" t="s">
        <v>1084</v>
      </c>
      <c r="DF171" s="113" t="s">
        <v>1210</v>
      </c>
      <c r="DG171" s="113" t="s">
        <v>1209</v>
      </c>
      <c r="DH171" s="113" t="s">
        <v>1208</v>
      </c>
      <c r="DI171" s="113" t="s">
        <v>1104</v>
      </c>
      <c r="DJ171" s="113" t="s">
        <v>1083</v>
      </c>
      <c r="DK171" s="90" t="s">
        <v>1211</v>
      </c>
      <c r="DL171" s="38"/>
      <c r="DM171" s="113" t="s">
        <v>1084</v>
      </c>
      <c r="DN171" s="113" t="s">
        <v>1210</v>
      </c>
      <c r="DO171" s="113" t="s">
        <v>1209</v>
      </c>
      <c r="DP171" s="113" t="s">
        <v>1208</v>
      </c>
      <c r="DQ171" s="113" t="s">
        <v>1104</v>
      </c>
      <c r="DR171" s="113" t="s">
        <v>1083</v>
      </c>
      <c r="DS171" s="38"/>
      <c r="DT171" s="113" t="s">
        <v>1084</v>
      </c>
      <c r="DU171" s="113" t="s">
        <v>1208</v>
      </c>
      <c r="DV171" s="113" t="s">
        <v>1104</v>
      </c>
      <c r="DW171" s="113" t="s">
        <v>1083</v>
      </c>
      <c r="DX171" s="113" t="s">
        <v>1208</v>
      </c>
      <c r="DY171" s="113" t="s">
        <v>1208</v>
      </c>
      <c r="DZ171" s="113" t="s">
        <v>1208</v>
      </c>
      <c r="EA171" s="113"/>
      <c r="EB171" s="776" t="str">
        <f>IF(OR($B$2=0,W175=""),"","混合器 U-U")</f>
        <v/>
      </c>
      <c r="EC171" s="15"/>
      <c r="ED171" s="782" t="str">
        <f>IF(AS175="","","分配器 2D")</f>
        <v/>
      </c>
      <c r="EE171" s="15" t="str">
        <f>AS175</f>
        <v/>
      </c>
      <c r="EF171" s="15"/>
      <c r="EG171" s="8"/>
      <c r="EH171" s="197">
        <f t="shared" si="98"/>
        <v>5</v>
      </c>
      <c r="EI171" s="773" t="str">
        <f t="shared" si="99"/>
        <v/>
      </c>
      <c r="EJ171" s="203" t="str">
        <f>K177</f>
        <v/>
      </c>
      <c r="EK171" s="9"/>
      <c r="EL171" s="9" t="str">
        <f>IF(COUNTIF($EJ$18:EJ170,EJ171)&gt;0,"",EJ171)</f>
        <v/>
      </c>
      <c r="EM171" s="9"/>
      <c r="EN171" s="14" t="str">
        <f>T177</f>
        <v/>
      </c>
      <c r="EO171" s="771">
        <f t="shared" ref="EO171:EO178" si="112">SUMIF($EJ$25:$EJ$225,EL171,$EN$25:$EN$225)</f>
        <v>0</v>
      </c>
      <c r="EP171" s="8"/>
      <c r="EQ171" s="8"/>
      <c r="ER171" s="197">
        <f t="shared" si="101"/>
        <v>5</v>
      </c>
      <c r="ES171" s="773" t="str">
        <f t="shared" si="102"/>
        <v/>
      </c>
      <c r="ET171" s="203" t="str">
        <f t="shared" ref="ET171:ET178" si="113">EB171</f>
        <v/>
      </c>
      <c r="EU171" s="9"/>
      <c r="EV171" s="11" t="str">
        <f>IF(COUNTIF($ET$18:ET170,ET171)&gt;0,"",ET171)</f>
        <v/>
      </c>
      <c r="EW171" s="9"/>
      <c r="EX171" s="124" t="str">
        <f>W175</f>
        <v/>
      </c>
      <c r="EY171" s="771">
        <f t="shared" ref="EY171:EY178" si="114">SUMIF($ET$25:$ET$225,EV171,$EX$25:$EX$225)</f>
        <v>0</v>
      </c>
      <c r="EZ171" s="8"/>
      <c r="FA171" s="8"/>
      <c r="FB171" s="197">
        <f t="shared" si="96"/>
        <v>10</v>
      </c>
      <c r="FC171" s="773" t="str">
        <f t="shared" si="97"/>
        <v/>
      </c>
      <c r="FD171" s="772" t="str">
        <f t="shared" ref="FD171:FD177" si="115">ED171</f>
        <v/>
      </c>
      <c r="FE171" s="9"/>
      <c r="FF171" s="11" t="str">
        <f>IF(COUNTIF($FD$15:FD170,FD171)&gt;0,"",FD171)</f>
        <v/>
      </c>
      <c r="FG171" s="9"/>
      <c r="FH171" s="124" t="str">
        <f>AS175</f>
        <v/>
      </c>
      <c r="FI171" s="771">
        <f t="shared" ref="FI171:FI177" si="116">SUMIF($FD$18:$FD$205,FF171,$FH$18:$FH$205)</f>
        <v>0</v>
      </c>
    </row>
    <row r="172" spans="1:165" ht="11.25" customHeight="1" thickBot="1">
      <c r="B172" s="23"/>
      <c r="C172" s="3857" t="str">
        <f>"　"&amp;非誘!M117</f>
        <v>　</v>
      </c>
      <c r="D172" s="3858"/>
      <c r="E172" s="3858"/>
      <c r="F172" s="3858"/>
      <c r="G172" s="3858"/>
      <c r="H172" s="3858"/>
      <c r="I172" s="3858"/>
      <c r="J172" s="3858"/>
      <c r="K172" s="3858"/>
      <c r="L172" s="3858"/>
      <c r="M172" s="3858"/>
      <c r="N172" s="3858"/>
      <c r="O172" s="3858"/>
      <c r="P172" s="3858"/>
      <c r="Q172" s="3859"/>
      <c r="R172" s="2337" t="str">
        <f>IF(U172&lt;&gt;"",U172,IF(C175="","","設"))</f>
        <v/>
      </c>
      <c r="S172" s="2337"/>
      <c r="T172" s="175" t="s">
        <v>86</v>
      </c>
      <c r="U172" s="2338"/>
      <c r="V172" s="2338"/>
      <c r="W172" s="3860" t="s">
        <v>1207</v>
      </c>
      <c r="X172" s="3863" t="s">
        <v>1206</v>
      </c>
      <c r="Y172" s="3863" t="s">
        <v>1205</v>
      </c>
      <c r="Z172" s="3866"/>
      <c r="AA172" s="3528" t="s">
        <v>1204</v>
      </c>
      <c r="AB172" s="3519"/>
      <c r="AC172" s="3519"/>
      <c r="AD172" s="3519"/>
      <c r="AE172" s="3519"/>
      <c r="AF172" s="3520"/>
      <c r="AG172" s="3528" t="s">
        <v>1184</v>
      </c>
      <c r="AH172" s="3519"/>
      <c r="AI172" s="3519"/>
      <c r="AJ172" s="3529"/>
      <c r="AK172" s="3518" t="s">
        <v>1203</v>
      </c>
      <c r="AL172" s="3519"/>
      <c r="AM172" s="3519"/>
      <c r="AN172" s="3529"/>
      <c r="AO172" s="3518" t="s">
        <v>1202</v>
      </c>
      <c r="AP172" s="3519"/>
      <c r="AQ172" s="3519"/>
      <c r="AR172" s="3520"/>
      <c r="AS172" s="3528" t="s">
        <v>1201</v>
      </c>
      <c r="AT172" s="3519"/>
      <c r="AU172" s="3519"/>
      <c r="AV172" s="3529"/>
      <c r="AW172" s="3518" t="s">
        <v>1200</v>
      </c>
      <c r="AX172" s="3519"/>
      <c r="AY172" s="3519"/>
      <c r="AZ172" s="3529"/>
      <c r="BA172" s="3518" t="s">
        <v>1183</v>
      </c>
      <c r="BB172" s="3519"/>
      <c r="BC172" s="3519"/>
      <c r="BD172" s="3520"/>
      <c r="BE172" s="3528" t="s">
        <v>1123</v>
      </c>
      <c r="BF172" s="3519"/>
      <c r="BG172" s="3519"/>
      <c r="BH172" s="3519"/>
      <c r="BI172" s="3519"/>
      <c r="BJ172" s="3519"/>
      <c r="BK172" s="3519"/>
      <c r="BL172" s="3529"/>
      <c r="BM172" s="3518" t="s">
        <v>1122</v>
      </c>
      <c r="BN172" s="3519"/>
      <c r="BO172" s="3519"/>
      <c r="BP172" s="3519"/>
      <c r="BQ172" s="3519"/>
      <c r="BR172" s="3519"/>
      <c r="BS172" s="3519"/>
      <c r="BT172" s="3901"/>
      <c r="BU172" s="19"/>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15"/>
      <c r="DA172" s="15">
        <f>IF(AG175&lt;&gt;"",2,IF(AK175&lt;&gt;"",3,0))</f>
        <v>0</v>
      </c>
      <c r="DB172" s="86" t="s">
        <v>79</v>
      </c>
      <c r="DC172" s="86" t="s">
        <v>77</v>
      </c>
      <c r="DD172" s="128" t="s">
        <v>1121</v>
      </c>
      <c r="DE172" s="86">
        <f>IF(AB176&lt;&gt;"Ａ",0,IF(AND(2*DK172&gt;=4,2*DK172&lt;=12),1,0))</f>
        <v>0</v>
      </c>
      <c r="DF172" s="86">
        <f>IF(AB176&lt;&gt;"Ａ",0,IF(AND(2*DK172&gt;=16,DK172&lt;=24),1,0))</f>
        <v>0</v>
      </c>
      <c r="DG172" s="97" t="s">
        <v>96</v>
      </c>
      <c r="DH172" s="86">
        <f>IF(AB176&lt;&gt;"Ａ",0,IF(2*DK172&lt;=4,1,0))</f>
        <v>0</v>
      </c>
      <c r="DI172" s="86">
        <f>IF(AB176&lt;&gt;"Ａ",0,IF(OR(AND(2*DK172&gt;4,2*DK172&lt;=8),AND(2*DK172&gt;12,2*DK172&lt;=16)),1,0))</f>
        <v>0</v>
      </c>
      <c r="DJ172" s="183">
        <f>IF(AB176&lt;&gt;"Ａ",0,IF(OR(AND(2*DK172&gt;8,2*DK172&lt;=12),AND(2*DK172&gt;16,2*DK172&lt;=24)),1,0))</f>
        <v>0</v>
      </c>
      <c r="DK172" s="783">
        <f>IF(OR(C175="",C175="  RF"),0,IF(Q175="",INT((T175)/2),INT((Q175+INT(T175))/2)+1))</f>
        <v>0</v>
      </c>
      <c r="DL172" s="128" t="s">
        <v>1119</v>
      </c>
      <c r="DM172" s="86">
        <f>IF(AB176&lt;&gt;"Ｂ",0,IF(DB169&lt;=6,1,0))</f>
        <v>0</v>
      </c>
      <c r="DN172" s="86">
        <f>IF(AB176&lt;&gt;"Ｂ",0,IF(AND(DB169&gt;6,DB169&lt;=12),1,0))</f>
        <v>0</v>
      </c>
      <c r="DO172" s="97" t="s">
        <v>96</v>
      </c>
      <c r="DP172" s="86">
        <f>IF(AB176&lt;&gt;"Ｂ",0,IF(DB169&lt;=2,1,0))</f>
        <v>0</v>
      </c>
      <c r="DQ172" s="86">
        <f>IF(AB176&lt;&gt;"Ｂ",0,IF(OR(AND(DB169&gt;2,DB169&lt;6),AND(DB169&gt;6,DB169&lt;=8)),1,0))</f>
        <v>0</v>
      </c>
      <c r="DR172" s="86">
        <f>IF(AB176&lt;&gt;"Ｂ",0,IF(OR(AND(DB169&gt;4,DB169&lt;6),AND(DB169&gt;8,DB169&lt;=12)),1,0))</f>
        <v>0</v>
      </c>
      <c r="DS172" s="128" t="s">
        <v>1118</v>
      </c>
      <c r="DT172" s="159">
        <f>IF(AB176&lt;&gt;"Ｃ",0,IF(DX172&lt;&gt;0,DX172,IF(DY172&lt;&gt;0,DY172,IF(DZ172&lt;&gt;0,DZ172,0))))</f>
        <v>0</v>
      </c>
      <c r="DU172" s="159">
        <f>IF(AB176&lt;&gt;"Ｃ",0,IF(DX172=0,0,1))</f>
        <v>0</v>
      </c>
      <c r="DV172" s="159">
        <f>IF(AB176&lt;&gt;"Ｃ",0,IF(DY172=0,0,1))</f>
        <v>0</v>
      </c>
      <c r="DW172" s="783">
        <f>IF(AB176&lt;&gt;"Ｃ",0,IF(DZ172=0,0,1))</f>
        <v>0</v>
      </c>
      <c r="DX172" s="714">
        <f>IF(AB176&lt;&gt;"Ｃ",0,IF(DB169&lt;=12,3,IF(AND(DB169&gt;12,DB169&lt;=16),4,IF(AND(DB169&gt;16,DB169&lt;=20),5,0))))</f>
        <v>0</v>
      </c>
      <c r="DY172" s="86">
        <f>IF(AB176&lt;&gt;"Ｃ",0,IF(AND(DB169&gt;20,DB169&lt;=24),3,IF(AND(DB169&gt;24,DB169&lt;=32),4,IF(AND(DB169&gt;32,DB169&lt;=40),5,0))))</f>
        <v>0</v>
      </c>
      <c r="DZ172" s="97">
        <f>IF(AB176&lt;&gt;"Ｃ",0,IF(AND(DB169&gt;40,DB169&lt;=48),4,IF(AND(DB169&gt;48,DB169&lt;=60),5,0)))</f>
        <v>0</v>
      </c>
      <c r="EA172" s="96"/>
      <c r="EB172" s="776" t="str">
        <f>IF(OR($B$2=0,X175=""),"","混合器 BS-CS")</f>
        <v/>
      </c>
      <c r="EC172" s="96"/>
      <c r="ED172" s="782" t="str">
        <f>IF(AW175="","","分配器 4D")</f>
        <v/>
      </c>
      <c r="EE172" s="96" t="str">
        <f>AW175</f>
        <v/>
      </c>
      <c r="EF172" s="96"/>
      <c r="EG172" s="96"/>
      <c r="EH172" s="197">
        <f t="shared" si="98"/>
        <v>5</v>
      </c>
      <c r="EI172" s="773" t="str">
        <f t="shared" si="99"/>
        <v/>
      </c>
      <c r="EJ172" s="203" t="str">
        <f>K178</f>
        <v/>
      </c>
      <c r="EK172" s="9"/>
      <c r="EL172" s="9" t="str">
        <f>IF(COUNTIF($EJ$18:EJ171,EJ172)&gt;0,"",EJ172)</f>
        <v/>
      </c>
      <c r="EM172" s="9"/>
      <c r="EN172" s="14" t="str">
        <f>T178</f>
        <v/>
      </c>
      <c r="EO172" s="771">
        <f t="shared" si="112"/>
        <v>0</v>
      </c>
      <c r="EP172" s="8"/>
      <c r="EQ172" s="96"/>
      <c r="ER172" s="197">
        <f t="shared" si="101"/>
        <v>5</v>
      </c>
      <c r="ES172" s="773" t="str">
        <f t="shared" si="102"/>
        <v/>
      </c>
      <c r="ET172" s="203" t="str">
        <f t="shared" si="113"/>
        <v/>
      </c>
      <c r="EU172" s="9"/>
      <c r="EV172" s="11" t="str">
        <f>IF(COUNTIF($ET$18:ET171,ET172)&gt;0,"",ET172)</f>
        <v/>
      </c>
      <c r="EW172" s="9"/>
      <c r="EX172" s="124" t="str">
        <f>X175</f>
        <v/>
      </c>
      <c r="EY172" s="771">
        <f t="shared" si="114"/>
        <v>0</v>
      </c>
      <c r="EZ172" s="8"/>
      <c r="FA172" s="96"/>
      <c r="FB172" s="197">
        <f t="shared" si="96"/>
        <v>10</v>
      </c>
      <c r="FC172" s="773" t="str">
        <f t="shared" si="97"/>
        <v/>
      </c>
      <c r="FD172" s="772" t="str">
        <f t="shared" si="115"/>
        <v/>
      </c>
      <c r="FE172" s="9"/>
      <c r="FF172" s="11" t="str">
        <f>IF(COUNTIF($FD$15:FD171,FD172)&gt;0,"",FD172)</f>
        <v/>
      </c>
      <c r="FG172" s="9"/>
      <c r="FH172" s="124" t="str">
        <f>AW175</f>
        <v/>
      </c>
      <c r="FI172" s="771">
        <f t="shared" si="116"/>
        <v>0</v>
      </c>
    </row>
    <row r="173" spans="1:165" ht="11.25" customHeight="1" thickBot="1">
      <c r="B173" s="23"/>
      <c r="C173" s="3819" t="s">
        <v>16</v>
      </c>
      <c r="D173" s="3820"/>
      <c r="E173" s="3821"/>
      <c r="F173" s="3869" t="s">
        <v>22</v>
      </c>
      <c r="G173" s="3870"/>
      <c r="H173" s="3871"/>
      <c r="I173" s="3869" t="s">
        <v>5</v>
      </c>
      <c r="J173" s="3870"/>
      <c r="K173" s="3870"/>
      <c r="L173" s="3871"/>
      <c r="M173" s="3819" t="s">
        <v>1199</v>
      </c>
      <c r="N173" s="3820"/>
      <c r="O173" s="3820"/>
      <c r="P173" s="3821"/>
      <c r="Q173" s="3819" t="s">
        <v>1115</v>
      </c>
      <c r="R173" s="3820"/>
      <c r="S173" s="3821"/>
      <c r="T173" s="3819" t="s">
        <v>1115</v>
      </c>
      <c r="U173" s="3820"/>
      <c r="V173" s="3821"/>
      <c r="W173" s="3861"/>
      <c r="X173" s="3864"/>
      <c r="Y173" s="3864"/>
      <c r="Z173" s="3867"/>
      <c r="AA173" s="3872" t="str">
        <f>IF($AG$15&lt;=65,"40/","35/")</f>
        <v>40/</v>
      </c>
      <c r="AB173" s="3873"/>
      <c r="AC173" s="3873"/>
      <c r="AD173" s="3873" t="str">
        <f>IF(CW265&gt;55,"40/","35/")</f>
        <v>35/</v>
      </c>
      <c r="AE173" s="3873"/>
      <c r="AF173" s="3875"/>
      <c r="AG173" s="3876" t="s">
        <v>1114</v>
      </c>
      <c r="AH173" s="3877"/>
      <c r="AI173" s="3877"/>
      <c r="AJ173" s="3877"/>
      <c r="AK173" s="3877"/>
      <c r="AL173" s="3877"/>
      <c r="AM173" s="3877"/>
      <c r="AN173" s="3877"/>
      <c r="AO173" s="3877"/>
      <c r="AP173" s="3877"/>
      <c r="AQ173" s="3877"/>
      <c r="AR173" s="3878"/>
      <c r="AS173" s="3549" t="s">
        <v>1113</v>
      </c>
      <c r="AT173" s="3550"/>
      <c r="AU173" s="3550"/>
      <c r="AV173" s="3550"/>
      <c r="AW173" s="3550"/>
      <c r="AX173" s="3550"/>
      <c r="AY173" s="3550"/>
      <c r="AZ173" s="3550"/>
      <c r="BA173" s="3550"/>
      <c r="BB173" s="3550"/>
      <c r="BC173" s="3550"/>
      <c r="BD173" s="3551"/>
      <c r="BE173" s="3552" t="s">
        <v>1112</v>
      </c>
      <c r="BF173" s="3553"/>
      <c r="BG173" s="3553"/>
      <c r="BH173" s="3553"/>
      <c r="BI173" s="3553" t="s">
        <v>1111</v>
      </c>
      <c r="BJ173" s="3553"/>
      <c r="BK173" s="3553"/>
      <c r="BL173" s="3553"/>
      <c r="BM173" s="3553" t="s">
        <v>1112</v>
      </c>
      <c r="BN173" s="3553"/>
      <c r="BO173" s="3553"/>
      <c r="BP173" s="3553"/>
      <c r="BQ173" s="3553" t="s">
        <v>1111</v>
      </c>
      <c r="BR173" s="3553"/>
      <c r="BS173" s="3553"/>
      <c r="BT173" s="3554"/>
      <c r="BU173" s="19"/>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15"/>
      <c r="DA173" s="67" t="e">
        <f>IF(DC171="＋",F175+F166+3,F175+F184+3)</f>
        <v>#VALUE!</v>
      </c>
      <c r="DB173" s="98" t="str">
        <f>IF(C175="  RF","",IF(AN176="","",非誘!BW119))</f>
        <v/>
      </c>
      <c r="DC173" s="98" t="str">
        <f>IF(DB173="","",IF(AN176="","",非誘!BX119))</f>
        <v/>
      </c>
      <c r="DD173" s="3822" t="s">
        <v>1198</v>
      </c>
      <c r="DE173" s="3823"/>
      <c r="DF173" s="3824" t="s">
        <v>1197</v>
      </c>
      <c r="DG173" s="3824"/>
      <c r="DH173" s="3824" t="s">
        <v>1153</v>
      </c>
      <c r="DI173" s="3824"/>
      <c r="DJ173" s="3823" t="s">
        <v>1197</v>
      </c>
      <c r="DK173" s="3823"/>
      <c r="DL173" s="8"/>
      <c r="DM173" s="113" t="s">
        <v>1152</v>
      </c>
      <c r="DN173" s="113" t="s">
        <v>1196</v>
      </c>
      <c r="DO173" s="113" t="s">
        <v>1151</v>
      </c>
      <c r="DP173" s="8"/>
      <c r="DQ173" s="8"/>
      <c r="DR173" s="8"/>
      <c r="DS173" s="8"/>
      <c r="DT173" s="113" t="s">
        <v>1127</v>
      </c>
      <c r="DU173" s="8"/>
      <c r="DV173" s="113" t="s">
        <v>1124</v>
      </c>
      <c r="DW173" s="113" t="s">
        <v>1134</v>
      </c>
      <c r="DX173" s="8"/>
      <c r="DY173" s="113" t="s">
        <v>1124</v>
      </c>
      <c r="DZ173" s="113" t="s">
        <v>1124</v>
      </c>
      <c r="EA173" s="113"/>
      <c r="EB173" s="776" t="str">
        <f>IF(OR($B$2=0,Y175=""),"","混合器 UV-BC")</f>
        <v/>
      </c>
      <c r="EC173" s="15"/>
      <c r="ED173" s="782" t="str">
        <f>IF(BA175="","","分配器 6D")</f>
        <v/>
      </c>
      <c r="EE173" s="15" t="str">
        <f>BA175</f>
        <v/>
      </c>
      <c r="EF173" s="15"/>
      <c r="EG173" s="15"/>
      <c r="EH173" s="197">
        <f t="shared" si="98"/>
        <v>5</v>
      </c>
      <c r="EI173" s="773" t="str">
        <f t="shared" si="99"/>
        <v/>
      </c>
      <c r="EJ173" s="203" t="str">
        <f>X177</f>
        <v/>
      </c>
      <c r="EK173" s="9"/>
      <c r="EL173" s="9" t="str">
        <f>IF(COUNTIF($EJ$18:EJ172,EJ173)&gt;0,"",EJ173)</f>
        <v/>
      </c>
      <c r="EM173" s="9"/>
      <c r="EN173" s="14" t="str">
        <f>AI177</f>
        <v/>
      </c>
      <c r="EO173" s="771">
        <f t="shared" si="112"/>
        <v>0</v>
      </c>
      <c r="EP173" s="8"/>
      <c r="EQ173" s="15"/>
      <c r="ER173" s="197">
        <f t="shared" si="101"/>
        <v>5</v>
      </c>
      <c r="ES173" s="773" t="str">
        <f t="shared" si="102"/>
        <v/>
      </c>
      <c r="ET173" s="203" t="str">
        <f t="shared" si="113"/>
        <v/>
      </c>
      <c r="EU173" s="9"/>
      <c r="EV173" s="11" t="str">
        <f>IF(COUNTIF($ET$18:ET172,ET173)&gt;0,"",ET173)</f>
        <v/>
      </c>
      <c r="EW173" s="9"/>
      <c r="EX173" s="124" t="str">
        <f>Y175</f>
        <v/>
      </c>
      <c r="EY173" s="771">
        <f t="shared" si="114"/>
        <v>0</v>
      </c>
      <c r="EZ173" s="8"/>
      <c r="FA173" s="15"/>
      <c r="FB173" s="197">
        <f t="shared" si="96"/>
        <v>10</v>
      </c>
      <c r="FC173" s="773" t="str">
        <f t="shared" si="97"/>
        <v/>
      </c>
      <c r="FD173" s="772" t="str">
        <f t="shared" si="115"/>
        <v/>
      </c>
      <c r="FE173" s="9"/>
      <c r="FF173" s="11" t="str">
        <f>IF(COUNTIF($FD$15:FD172,FD173)&gt;0,"",FD173)</f>
        <v/>
      </c>
      <c r="FG173" s="9"/>
      <c r="FH173" s="124" t="str">
        <f>BA175</f>
        <v/>
      </c>
      <c r="FI173" s="771">
        <f t="shared" si="116"/>
        <v>0</v>
      </c>
    </row>
    <row r="174" spans="1:165" ht="11.25" customHeight="1" thickBot="1">
      <c r="B174" s="23"/>
      <c r="C174" s="3819"/>
      <c r="D174" s="3820"/>
      <c r="E174" s="3821"/>
      <c r="F174" s="3827" t="s">
        <v>17</v>
      </c>
      <c r="G174" s="3769"/>
      <c r="H174" s="3828"/>
      <c r="I174" s="3819" t="s">
        <v>17</v>
      </c>
      <c r="J174" s="3820"/>
      <c r="K174" s="3820"/>
      <c r="L174" s="3821"/>
      <c r="M174" s="3819" t="s">
        <v>1195</v>
      </c>
      <c r="N174" s="3820"/>
      <c r="O174" s="3820"/>
      <c r="P174" s="3821"/>
      <c r="Q174" s="3819" t="s">
        <v>1102</v>
      </c>
      <c r="R174" s="3820"/>
      <c r="S174" s="3821"/>
      <c r="T174" s="3819" t="s">
        <v>115</v>
      </c>
      <c r="U174" s="3820"/>
      <c r="V174" s="3821"/>
      <c r="W174" s="3862"/>
      <c r="X174" s="3865"/>
      <c r="Y174" s="3865"/>
      <c r="Z174" s="3868"/>
      <c r="AA174" s="3829">
        <f>IF($AG$15&lt;=65,115,110)</f>
        <v>115</v>
      </c>
      <c r="AB174" s="3562"/>
      <c r="AC174" s="3562"/>
      <c r="AD174" s="3562">
        <f>IF(CW265&gt;55,115,110)</f>
        <v>110</v>
      </c>
      <c r="AE174" s="3562"/>
      <c r="AF174" s="3830"/>
      <c r="AG174" s="3831" t="s">
        <v>1194</v>
      </c>
      <c r="AH174" s="3832"/>
      <c r="AI174" s="3832"/>
      <c r="AJ174" s="3833"/>
      <c r="AK174" s="3834" t="s">
        <v>1099</v>
      </c>
      <c r="AL174" s="3832"/>
      <c r="AM174" s="3832"/>
      <c r="AN174" s="3833"/>
      <c r="AO174" s="3834" t="s">
        <v>1193</v>
      </c>
      <c r="AP174" s="3832"/>
      <c r="AQ174" s="3832"/>
      <c r="AR174" s="3835"/>
      <c r="AS174" s="3836" t="s">
        <v>1096</v>
      </c>
      <c r="AT174" s="3832"/>
      <c r="AU174" s="3832"/>
      <c r="AV174" s="3833"/>
      <c r="AW174" s="3844" t="s">
        <v>1192</v>
      </c>
      <c r="AX174" s="3845"/>
      <c r="AY174" s="3845"/>
      <c r="AZ174" s="3846"/>
      <c r="BA174" s="3558" t="s">
        <v>1093</v>
      </c>
      <c r="BB174" s="3559"/>
      <c r="BC174" s="3559"/>
      <c r="BD174" s="3560"/>
      <c r="BE174" s="3561" t="s">
        <v>1191</v>
      </c>
      <c r="BF174" s="3562"/>
      <c r="BG174" s="3562"/>
      <c r="BH174" s="3562"/>
      <c r="BI174" s="3850" t="s">
        <v>1190</v>
      </c>
      <c r="BJ174" s="3562"/>
      <c r="BK174" s="3562"/>
      <c r="BL174" s="3562"/>
      <c r="BM174" s="3850" t="s">
        <v>1189</v>
      </c>
      <c r="BN174" s="3562"/>
      <c r="BO174" s="3562"/>
      <c r="BP174" s="3562"/>
      <c r="BQ174" s="3850" t="s">
        <v>1188</v>
      </c>
      <c r="BR174" s="3562"/>
      <c r="BS174" s="3562"/>
      <c r="BT174" s="3899"/>
      <c r="BU174" s="19"/>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90"/>
      <c r="DA174" s="15"/>
      <c r="DB174" s="98" t="str">
        <f>IF(C175="","",IF(AZ176="①",DB173+DC173+3,IF(AZ176="②",DB173*5/8+DC173+3,IF(AZ176="③",DB173/2+DC173+3,IF(AZ176="④",DB173+DC173*5/8+3,IF(AZ176="⑤",(DB173+DC173)*5/8+3,IF(AZ176="⑥",DB173/2+DC173*5/8+3,IF(AZ176="⑦",DB173+DC173/2+3,IF(AZ176="⑧",DB173*5/8+DC173/2+3,IF(AZ176="⑨",(DB173+DC173)/2+3))))))))))</f>
        <v/>
      </c>
      <c r="DC174" s="180" t="s">
        <v>1187</v>
      </c>
      <c r="DD174" s="2589" t="str">
        <f>IF($AL$10="nC-FB","S-5C-FB",IF($AL$10="nD-FB","5D-FB","5C-2V"))</f>
        <v>S-5C-FB</v>
      </c>
      <c r="DE174" s="2591"/>
      <c r="DF174" s="3631">
        <f>IF(C175="  RF",DF165,IF($H$15="ＣＡＴＶ",DB173+DC173/2+F175-($AM$8-$AM$7)/1000+DR174,SUM(DM174:DO174)))</f>
        <v>0</v>
      </c>
      <c r="DG174" s="3812"/>
      <c r="DH174" s="2589" t="str">
        <f>IF($H$17="ＣＡＴＶ","G-22mm",IF(RIGHT($AB$17,1)+RIGHT($AF$17,1)+RIGHT($AJ$17,1)&gt;=4,"G-36mm","G-28mm"))</f>
        <v>G-28mm</v>
      </c>
      <c r="DI174" s="2591"/>
      <c r="DJ174" s="3631">
        <f>IF(C175="",0,IF(C175="  RF",DJ165,IF($H$15="ＣＡＴＶ",DB173+DC173/2+F175-($AM$8-$AM$7)/1000,10+F175-($AM$8-$AM$7)/1000)))</f>
        <v>0</v>
      </c>
      <c r="DK174" s="3812"/>
      <c r="DL174" s="15"/>
      <c r="DM174" s="98">
        <f>IF(OR($B$2=0,$H$15="ＣＡＴＶ",C175="",C175="  RF"),0,IF($AB$17="","",RIGHT($AB$17,1)*15+F175-($AM$8-$AM$7)/1000))</f>
        <v>0</v>
      </c>
      <c r="DN174" s="98">
        <f>IF(OR($B$2=0,$H$15="ＣＡＴＶ",C175="",C175="  RF"),0,IF($AF$17="","",15+F175-($AM$8-$AM$7)/1000))</f>
        <v>0</v>
      </c>
      <c r="DO174" s="98">
        <f>IF(OR($B$2=0,$H$15="ＣＡＴＶ",C175="",C175="  RF"),0,IF($AJ$17="","",15+F175-($AM$8-$AM$7)/1000))</f>
        <v>0</v>
      </c>
      <c r="DP174" s="15"/>
      <c r="DQ174" s="46" t="s">
        <v>1087</v>
      </c>
      <c r="DR174" s="98" t="str">
        <f>IF($H$17="ＣＡＴＶ",#REF!+#REF!,"")</f>
        <v/>
      </c>
      <c r="DS174" s="128" t="s">
        <v>1154</v>
      </c>
      <c r="DT174" s="159">
        <f>IF(AB176&lt;&gt;"Ｃ",0,IF(DY174&lt;&gt;0,DY174,IF(DZ174&lt;&gt;0,DZ174,0)))</f>
        <v>0</v>
      </c>
      <c r="DU174" s="8"/>
      <c r="DV174" s="86">
        <f>IF(AB176&lt;&gt;"Ｃ",0,IF(DY174=0,0,1))</f>
        <v>0</v>
      </c>
      <c r="DW174" s="86">
        <f>IF(AB176&lt;&gt;"Ｃ",0,IF(DZ174=0,0,1))</f>
        <v>0</v>
      </c>
      <c r="DX174" s="8"/>
      <c r="DY174" s="86">
        <f>IF(AB176&lt;&gt;"Ｃ",0,IF(AND(DB169&gt;60,DB169&lt;=64),4,IF(AND(DB169&gt;64,DB169&lt;=80),5,0)))</f>
        <v>0</v>
      </c>
      <c r="DZ174" s="86">
        <f>IF(AB176&lt;&gt;"Ｃ",0,IF(AND(DB169&gt;80,DB169&lt;=96),4,IF(AND(DB169&gt;96,DB169&lt;=120),5,0)))</f>
        <v>0</v>
      </c>
      <c r="EA174" s="38"/>
      <c r="EB174" s="776" t="str">
        <f>IF(OR($B$2=0,Z175=""),"","混合器 UV-BC")</f>
        <v/>
      </c>
      <c r="EC174" s="12"/>
      <c r="ED174" s="122" t="str">
        <f>IF(BE175="","","直列Unit-中間1端子")</f>
        <v/>
      </c>
      <c r="EE174" s="38" t="str">
        <f>BE175</f>
        <v/>
      </c>
      <c r="EF174" s="38"/>
      <c r="EG174" s="38"/>
      <c r="EH174" s="197">
        <f t="shared" si="98"/>
        <v>5</v>
      </c>
      <c r="EI174" s="773" t="str">
        <f t="shared" si="99"/>
        <v/>
      </c>
      <c r="EJ174" s="203" t="str">
        <f>X178</f>
        <v/>
      </c>
      <c r="EK174" s="9"/>
      <c r="EL174" s="9" t="str">
        <f>IF(COUNTIF($EJ$18:EJ173,EJ174)&gt;0,"",EJ174)</f>
        <v/>
      </c>
      <c r="EM174" s="9"/>
      <c r="EN174" s="14" t="str">
        <f>AI178</f>
        <v/>
      </c>
      <c r="EO174" s="771">
        <f t="shared" si="112"/>
        <v>0</v>
      </c>
      <c r="EP174" s="8"/>
      <c r="EQ174" s="38"/>
      <c r="ER174" s="197">
        <f t="shared" si="101"/>
        <v>5</v>
      </c>
      <c r="ES174" s="773" t="str">
        <f t="shared" si="102"/>
        <v/>
      </c>
      <c r="ET174" s="203" t="str">
        <f t="shared" si="113"/>
        <v/>
      </c>
      <c r="EU174" s="9"/>
      <c r="EV174" s="11" t="str">
        <f>IF(COUNTIF($ET$18:ET173,ET174)&gt;0,"",ET174)</f>
        <v/>
      </c>
      <c r="EW174" s="9"/>
      <c r="EX174" s="124">
        <f>Z175</f>
        <v>0</v>
      </c>
      <c r="EY174" s="771">
        <f t="shared" si="114"/>
        <v>0</v>
      </c>
      <c r="EZ174" s="8"/>
      <c r="FA174" s="38"/>
      <c r="FB174" s="197">
        <f t="shared" si="96"/>
        <v>10</v>
      </c>
      <c r="FC174" s="773" t="str">
        <f t="shared" si="97"/>
        <v/>
      </c>
      <c r="FD174" s="772" t="str">
        <f t="shared" si="115"/>
        <v/>
      </c>
      <c r="FE174" s="9"/>
      <c r="FF174" s="11" t="str">
        <f>IF(COUNTIF($FD$15:FD173,FD174)&gt;0,"",FD174)</f>
        <v/>
      </c>
      <c r="FG174" s="9"/>
      <c r="FH174" s="124" t="str">
        <f>BE175</f>
        <v/>
      </c>
      <c r="FI174" s="771">
        <f t="shared" si="116"/>
        <v>0</v>
      </c>
    </row>
    <row r="175" spans="1:165" ht="11.25" customHeight="1">
      <c r="A175" s="8">
        <v>17</v>
      </c>
      <c r="B175" s="23"/>
      <c r="C175" s="3837" t="str">
        <f>非誘!C119</f>
        <v/>
      </c>
      <c r="D175" s="3837"/>
      <c r="E175" s="3837"/>
      <c r="F175" s="3838" t="str">
        <f>非誘!F119</f>
        <v/>
      </c>
      <c r="G175" s="3839"/>
      <c r="H175" s="3840"/>
      <c r="I175" s="3838" t="str">
        <f>非誘!J119</f>
        <v/>
      </c>
      <c r="J175" s="3839"/>
      <c r="K175" s="3839"/>
      <c r="L175" s="3840"/>
      <c r="M175" s="3841" t="str">
        <f>非誘!N119</f>
        <v/>
      </c>
      <c r="N175" s="3842"/>
      <c r="O175" s="3842"/>
      <c r="P175" s="3843"/>
      <c r="Q175" s="3537" t="str">
        <f>非誘!AA119</f>
        <v/>
      </c>
      <c r="R175" s="3537"/>
      <c r="S175" s="3537"/>
      <c r="T175" s="3537" t="str">
        <f>非誘!AD119</f>
        <v/>
      </c>
      <c r="U175" s="3537"/>
      <c r="V175" s="3537"/>
      <c r="W175" s="781" t="str">
        <f>IF(OR(BI23="不要",C175&lt;&gt;$X$10),"",IF(AND($AB$17="UHF×3",$AF$17&lt;&gt;"",$AJ$17&lt;&gt;""),2,IF(OR(AND($AB$17="UHF×3",$AB$17="",$AJ$17=""),AND($AB$17="UHF×3",$AF$17&lt;&gt;"",$AJ$17=""),AND($AB$17="UHF×2",$AF$17&lt;&gt;"",$AJ$17&lt;&gt;"")),1,"")))</f>
        <v/>
      </c>
      <c r="X175" s="780" t="str">
        <f>IF(OR(BI23="不要",C175&lt;&gt;$X$10),"",IF(AND($AB$17&lt;&gt;"",$AF$17&lt;&gt;"",$AJ$17&lt;&gt;""),1,""))</f>
        <v/>
      </c>
      <c r="Y175" s="780" t="str">
        <f>IF(OR(BI23="不要",C175&lt;&gt;$X$10),"",IF(AND(OR($AB$17="UHF×2",$AB$17="UHF×3"),$AF$17&lt;&gt;"",$AJ$17=""),1,""))</f>
        <v/>
      </c>
      <c r="Z175" s="779"/>
      <c r="AA175" s="3847" t="str">
        <f>IF(C175="","",IF(AND(BI23&lt;&gt;"不要",DC171="＝"),1,""))</f>
        <v/>
      </c>
      <c r="AB175" s="3848"/>
      <c r="AC175" s="3848"/>
      <c r="AD175" s="3848" t="str">
        <f>IF($B$2=0,"",IF(OR(BI23="不要",C175="",C175="  RF"),"",IF(BI23="設置",1,"")))</f>
        <v/>
      </c>
      <c r="AE175" s="3848"/>
      <c r="AF175" s="3849"/>
      <c r="AG175" s="3817" t="str">
        <f>IF(OR(BI23="不要",C175="",C175="  RF"),"",IF(AI175&lt;&gt;"",AI175,IF(DE172+DM172+DT172+DT174+DT176=0,"",DE172+DM172+DT172+DT174+DT176)))</f>
        <v/>
      </c>
      <c r="AH175" s="3817"/>
      <c r="AI175" s="3815"/>
      <c r="AJ175" s="3815"/>
      <c r="AK175" s="3817" t="str">
        <f>IF(OR(BI23="不要",C175="",C175="  RF"),"",IF(AM175&lt;&gt;"",AM175,IF(DF172+DN172=0,"",DF172+DN172)))</f>
        <v/>
      </c>
      <c r="AL175" s="3817"/>
      <c r="AM175" s="3815"/>
      <c r="AN175" s="3815"/>
      <c r="AO175" s="3813" t="str">
        <f>IF(AQ175="","",AQ175)</f>
        <v/>
      </c>
      <c r="AP175" s="3814"/>
      <c r="AQ175" s="3815"/>
      <c r="AR175" s="3815"/>
      <c r="AS175" s="3816" t="str">
        <f>IF(OR(BI23="不要",C175="  RF"),"",IF(AU175&lt;&gt;"",AU175,IF(DH172+DP172+DU172+DX172+DY172+DZ172=0,"",DH172+DP172+DU172+DX172+DY172+DZ172)))</f>
        <v/>
      </c>
      <c r="AT175" s="3817"/>
      <c r="AU175" s="3815"/>
      <c r="AV175" s="3815"/>
      <c r="AW175" s="3817" t="str">
        <f>IF(OR(BI23="不要",C175="  RF"),"",IF(AY175&lt;&gt;"",AY175,IF(DI172+DQ172+DV172+DV174+DY174+DZ174=0,"",DI172+DQ172+DV172+DV174+DY174+DZ174)))</f>
        <v/>
      </c>
      <c r="AX175" s="3817"/>
      <c r="AY175" s="3815"/>
      <c r="AZ175" s="3815"/>
      <c r="BA175" s="3817" t="str">
        <f>IF(OR(BI23="不要",C175="  RF"),"",IF(BC175&lt;&gt;"",BC175,IF(DJ172+DR172+DW172+DW174+DW176+DZ176=0,"",DJ172+DR172+DW172+DW174+DW176+DZ176)))</f>
        <v/>
      </c>
      <c r="BB175" s="3817"/>
      <c r="BC175" s="3815"/>
      <c r="BD175" s="3815"/>
      <c r="BE175" s="3817" t="str">
        <f>IF(OR(BI23="不要",$X$11="2端子",C175="",C175="  RF"),"",IF(BG175&lt;&gt;"",BG175,IF(AND(AB176="Ａ",$X$11="1端子"),DK172,"")))</f>
        <v/>
      </c>
      <c r="BF175" s="3817"/>
      <c r="BG175" s="3817" t="str">
        <f>IF(AND(BO175&lt;&gt;"",AB176="Ａ",$X$11="1端子"),BO175,"")</f>
        <v/>
      </c>
      <c r="BH175" s="3817"/>
      <c r="BI175" s="3816" t="str">
        <f>IF(OR(BI23="不要",$X$11="1端子",C175="",C175="  RF"),"",IF(BK175&lt;&gt;"",BK175,IF(AND(AB176="Ａ",$X$11="2端子"),DK172,"")))</f>
        <v/>
      </c>
      <c r="BJ175" s="3817"/>
      <c r="BK175" s="3817" t="str">
        <f>IF(AND(BS175&lt;&gt;"",AB176="Ａ",$X$11="2端子"),BS175,"")</f>
        <v/>
      </c>
      <c r="BL175" s="3817"/>
      <c r="BM175" s="3817" t="str">
        <f>IF(OR(BI23="不要",C175="  RF",C175="",$X$11="2端子"),"",IF(BO175&lt;&gt;"",BO175,IF(AND(AB176="Ａ",$X$11="1端子"),DK172,DK170)))</f>
        <v/>
      </c>
      <c r="BN175" s="3817"/>
      <c r="BO175" s="3815"/>
      <c r="BP175" s="3815"/>
      <c r="BQ175" s="3817" t="str">
        <f>IF(OR(BI23="不要",C175="  RF",C175="",$X$11="1端子"),"",IF(BS175&lt;&gt;"",BS175,IF(AND(AB176="Ａ",$X$11="2端子"),DK172,DK170)))</f>
        <v/>
      </c>
      <c r="BR175" s="3817"/>
      <c r="BS175" s="3815"/>
      <c r="BT175" s="3897"/>
      <c r="BU175" s="19"/>
      <c r="BV175" s="8"/>
      <c r="BW175" s="88" t="str">
        <f>IF(I175="直天",F175,I175)</f>
        <v/>
      </c>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38"/>
      <c r="DA175" s="15"/>
      <c r="DB175" s="15"/>
      <c r="DC175" s="180" t="s">
        <v>1186</v>
      </c>
      <c r="DD175" s="2589" t="str">
        <f>IF($AL$10="nC-FB","S-7C-FB",IF($AL$10="nD-FB","8D-FB","7C-2V"))</f>
        <v>S-7C-FB</v>
      </c>
      <c r="DE175" s="2591"/>
      <c r="DF175" s="3631">
        <f>IF(OR(C175="",C175="  RF"),0,IF(AB176="Ｃ",2.5*AG175+(DB173+DC173),F175+2))</f>
        <v>0</v>
      </c>
      <c r="DG175" s="3812"/>
      <c r="DH175" s="2589" t="str">
        <f>IF(OR(H176="天井ケーブル",H176="天井-PF管"),"PF-S-22mm",IF(H176="天井-CD管","CD-22mm",IF(H176="天井-C 管","C-25mm",IF(H176="天井-G 管","G-22mm",""))))</f>
        <v>PF-S-22mm</v>
      </c>
      <c r="DI175" s="2591"/>
      <c r="DJ175" s="3631">
        <f>IF(OR(C175="",C175="  RF"),0,IF(AB176="Ｃ",F175-($AM$8-$AM$7)/1000,F175))</f>
        <v>0</v>
      </c>
      <c r="DK175" s="3812"/>
      <c r="DL175" s="778"/>
      <c r="DM175" s="112"/>
      <c r="DN175" s="190" t="s">
        <v>1185</v>
      </c>
      <c r="DO175" s="98">
        <f>IF(OR(C175="",C175="  RF"),0,(DB173+DC173)/2/SQRT(DK172))</f>
        <v>0</v>
      </c>
      <c r="DP175" s="15"/>
      <c r="DQ175" s="15"/>
      <c r="DR175" s="15"/>
      <c r="DS175" s="8"/>
      <c r="DT175" s="113" t="s">
        <v>1184</v>
      </c>
      <c r="DU175" s="8"/>
      <c r="DV175" s="113"/>
      <c r="DW175" s="113" t="s">
        <v>1183</v>
      </c>
      <c r="DX175" s="8"/>
      <c r="DY175" s="8"/>
      <c r="DZ175" s="113" t="s">
        <v>1183</v>
      </c>
      <c r="EA175" s="113"/>
      <c r="EB175" s="776" t="str">
        <f>IF(OR($B$2=0,AA175=""),"","増幅器 "&amp;AA173&amp;AA174)</f>
        <v/>
      </c>
      <c r="EC175" s="15"/>
      <c r="ED175" s="122" t="str">
        <f>IF(BI175="","","直列Unit-中間2端子")</f>
        <v/>
      </c>
      <c r="EE175" s="15" t="str">
        <f>BI175</f>
        <v/>
      </c>
      <c r="EF175" s="15"/>
      <c r="EG175" s="15"/>
      <c r="EH175" s="197">
        <f t="shared" si="98"/>
        <v>5</v>
      </c>
      <c r="EI175" s="773" t="str">
        <f t="shared" si="99"/>
        <v/>
      </c>
      <c r="EJ175" s="203" t="str">
        <f>AS177</f>
        <v/>
      </c>
      <c r="EK175" s="9"/>
      <c r="EL175" s="9" t="str">
        <f>IF(COUNTIF($EJ$18:EJ174,EJ175)&gt;0,"",EJ175)</f>
        <v/>
      </c>
      <c r="EM175" s="9"/>
      <c r="EN175" s="14" t="str">
        <f>BB177</f>
        <v/>
      </c>
      <c r="EO175" s="771">
        <f t="shared" si="112"/>
        <v>0</v>
      </c>
      <c r="EP175" s="8"/>
      <c r="EQ175" s="15"/>
      <c r="ER175" s="197">
        <f t="shared" si="101"/>
        <v>5</v>
      </c>
      <c r="ES175" s="773" t="str">
        <f t="shared" si="102"/>
        <v/>
      </c>
      <c r="ET175" s="203" t="str">
        <f t="shared" si="113"/>
        <v/>
      </c>
      <c r="EU175" s="9"/>
      <c r="EV175" s="11" t="str">
        <f>IF(COUNTIF($ET$18:ET174,ET175)&gt;0,"",ET175)</f>
        <v/>
      </c>
      <c r="EW175" s="9"/>
      <c r="EX175" s="124" t="str">
        <f>AA175</f>
        <v/>
      </c>
      <c r="EY175" s="771">
        <f t="shared" si="114"/>
        <v>0</v>
      </c>
      <c r="EZ175" s="8"/>
      <c r="FA175" s="15"/>
      <c r="FB175" s="197">
        <f t="shared" si="96"/>
        <v>10</v>
      </c>
      <c r="FC175" s="773" t="str">
        <f t="shared" si="97"/>
        <v/>
      </c>
      <c r="FD175" s="772" t="str">
        <f t="shared" si="115"/>
        <v/>
      </c>
      <c r="FE175" s="9"/>
      <c r="FF175" s="11" t="str">
        <f>IF(COUNTIF($FD$15:FD174,FD175)&gt;0,"",FD175)</f>
        <v/>
      </c>
      <c r="FG175" s="9"/>
      <c r="FH175" s="124" t="str">
        <f>BI175</f>
        <v/>
      </c>
      <c r="FI175" s="771">
        <f t="shared" si="116"/>
        <v>0</v>
      </c>
    </row>
    <row r="176" spans="1:165" ht="12" customHeight="1">
      <c r="A176" s="8"/>
      <c r="B176" s="23"/>
      <c r="C176" s="3794" t="s">
        <v>135</v>
      </c>
      <c r="D176" s="3794"/>
      <c r="E176" s="3794"/>
      <c r="F176" s="3794"/>
      <c r="G176" s="3794"/>
      <c r="H176" s="3795" t="str">
        <f>IF($B$2=0,"",IF(P176="","天井ケーブル",P176))</f>
        <v>天井ケーブル</v>
      </c>
      <c r="I176" s="3795"/>
      <c r="J176" s="3795"/>
      <c r="K176" s="3795"/>
      <c r="L176" s="3795"/>
      <c r="M176" s="3795"/>
      <c r="N176" s="3795"/>
      <c r="O176" s="775" t="s">
        <v>34</v>
      </c>
      <c r="P176" s="3796"/>
      <c r="Q176" s="3797"/>
      <c r="R176" s="3797"/>
      <c r="S176" s="3797"/>
      <c r="T176" s="3797"/>
      <c r="U176" s="3797"/>
      <c r="V176" s="3798"/>
      <c r="W176" s="3794" t="s">
        <v>1082</v>
      </c>
      <c r="X176" s="3794"/>
      <c r="Y176" s="3794"/>
      <c r="Z176" s="3794"/>
      <c r="AA176" s="3794"/>
      <c r="AB176" s="3799" t="str">
        <f>IF(BI23="不要","",IF(AF176&lt;&gt;"",AF176,DB170))</f>
        <v/>
      </c>
      <c r="AC176" s="3799"/>
      <c r="AD176" s="3799"/>
      <c r="AE176" s="775" t="s">
        <v>34</v>
      </c>
      <c r="AF176" s="3800"/>
      <c r="AG176" s="3801"/>
      <c r="AH176" s="3802"/>
      <c r="AI176" s="2634" t="s">
        <v>20</v>
      </c>
      <c r="AJ176" s="2634"/>
      <c r="AK176" s="2634"/>
      <c r="AL176" s="2634"/>
      <c r="AM176" s="2634"/>
      <c r="AN176" s="3522" t="str">
        <f>IF(OR(C175="",C175="  RF"),"",非誘!J118)</f>
        <v/>
      </c>
      <c r="AO176" s="3523"/>
      <c r="AP176" s="3523"/>
      <c r="AQ176" s="3524"/>
      <c r="AR176" s="3507" t="s">
        <v>1081</v>
      </c>
      <c r="AS176" s="3461"/>
      <c r="AT176" s="3461"/>
      <c r="AU176" s="3461"/>
      <c r="AV176" s="3461"/>
      <c r="AW176" s="3461"/>
      <c r="AX176" s="3461"/>
      <c r="AY176" s="3461"/>
      <c r="AZ176" s="3563" t="str">
        <f>IF(OR(C175="",C175="  RF"),"",IF(BC176="",$AN$11,BC176))</f>
        <v/>
      </c>
      <c r="BA176" s="3563"/>
      <c r="BB176" s="777" t="s">
        <v>34</v>
      </c>
      <c r="BC176" s="3521"/>
      <c r="BD176" s="3521"/>
      <c r="BE176" s="3564"/>
      <c r="BF176" s="3565"/>
      <c r="BG176" s="3565"/>
      <c r="BH176" s="3565"/>
      <c r="BI176" s="3565"/>
      <c r="BJ176" s="3565"/>
      <c r="BK176" s="3565"/>
      <c r="BL176" s="3565"/>
      <c r="BM176" s="3565"/>
      <c r="BN176" s="3565"/>
      <c r="BO176" s="3565"/>
      <c r="BP176" s="3565"/>
      <c r="BQ176" s="3565"/>
      <c r="BR176" s="3565"/>
      <c r="BS176" s="3565"/>
      <c r="BT176" s="3566"/>
      <c r="BU176" s="19"/>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38"/>
      <c r="DA176" s="15"/>
      <c r="DB176" s="8"/>
      <c r="DC176" s="180" t="s">
        <v>1182</v>
      </c>
      <c r="DD176" s="2589" t="str">
        <f>IF($AL$10="nC-FB","S-5C-FB",IF($AL$10="nD-FB","5D-FB","5C-2V"))</f>
        <v>S-5C-FB</v>
      </c>
      <c r="DE176" s="2591"/>
      <c r="DF176" s="3631">
        <f>IF(AB176="Ａ",(DK172+2*BW175-($X$7+$X$9)/1000)*DO175+(12+2*BW175-2*$X$9/1000)*DK172+DO176,IF(AB176="Ｂ",(DO175+2*BW175-$X$9/1000)*DK170+DO176,0))</f>
        <v>0</v>
      </c>
      <c r="DG176" s="3812"/>
      <c r="DH176" s="2589" t="str">
        <f>IF(OR(H176="天井ケーブル",H176="天井-PF管"),"PF-S-16mm",IF(H176="天井-CD管","CD-16mm",IF(H176="天井-C 管","C-19mm",IF(H176="天井-G 管","G-16mm",""))))</f>
        <v>PF-S-16mm</v>
      </c>
      <c r="DI176" s="2591"/>
      <c r="DJ176" s="3786">
        <f>IF(OR(C175="",C175="  RF"),0,IF(H176="天井ケーブル",DK170*(BW175-($X$9-$AM$9)/1000),(DO175+2*BW175-$X$9/1000)*DK170+DO176))</f>
        <v>0</v>
      </c>
      <c r="DK176" s="3786"/>
      <c r="DL176" s="15"/>
      <c r="DM176" s="46"/>
      <c r="DN176" s="46" t="s">
        <v>1181</v>
      </c>
      <c r="DO176" s="98" t="str">
        <f>DB174</f>
        <v/>
      </c>
      <c r="DP176" s="15"/>
      <c r="DQ176" s="15"/>
      <c r="DR176" s="15"/>
      <c r="DS176" s="128" t="s">
        <v>1118</v>
      </c>
      <c r="DT176" s="86">
        <f>IF(AB176&lt;&gt;"Ｃ",0,IF(DZ176=0,0,DZ176))</f>
        <v>0</v>
      </c>
      <c r="DU176" s="8"/>
      <c r="DV176" s="8"/>
      <c r="DW176" s="86">
        <f>IF(AB176&lt;&gt;"Ｃ",0,IF(DZ176=0,0,1))</f>
        <v>0</v>
      </c>
      <c r="DX176" s="8"/>
      <c r="DY176" s="8"/>
      <c r="DZ176" s="86">
        <f>IF(AB176&lt;&gt;"Ｃ",0,IF(AND(DB169&gt;120,DB169&lt;=144),4,IF(AND(DB169&gt;144,DB169&lt;=180),5,0)))</f>
        <v>0</v>
      </c>
      <c r="EA176" s="38"/>
      <c r="EB176" s="776" t="str">
        <f>IF(OR($B$2=0,AD175=""),"","増幅器 "&amp;AD173&amp;AD174)</f>
        <v/>
      </c>
      <c r="EC176" s="38"/>
      <c r="ED176" s="122" t="str">
        <f>IF(BM175="","","直列Unit-終端1端子")</f>
        <v/>
      </c>
      <c r="EE176" s="38" t="str">
        <f>BM175</f>
        <v/>
      </c>
      <c r="EF176" s="38"/>
      <c r="EG176" s="38"/>
      <c r="EH176" s="197">
        <f t="shared" si="98"/>
        <v>5</v>
      </c>
      <c r="EI176" s="773" t="str">
        <f t="shared" si="99"/>
        <v/>
      </c>
      <c r="EJ176" s="203" t="str">
        <f>AS178</f>
        <v/>
      </c>
      <c r="EK176" s="9"/>
      <c r="EL176" s="9" t="str">
        <f>IF(COUNTIF($EJ$18:EJ175,EJ176)&gt;0,"",EJ176)</f>
        <v/>
      </c>
      <c r="EM176" s="9"/>
      <c r="EN176" s="14" t="str">
        <f>BB178</f>
        <v/>
      </c>
      <c r="EO176" s="771">
        <f t="shared" si="112"/>
        <v>0</v>
      </c>
      <c r="EP176" s="8"/>
      <c r="EQ176" s="38"/>
      <c r="ER176" s="197">
        <f t="shared" si="101"/>
        <v>5</v>
      </c>
      <c r="ES176" s="773" t="str">
        <f t="shared" si="102"/>
        <v/>
      </c>
      <c r="ET176" s="203" t="str">
        <f t="shared" si="113"/>
        <v/>
      </c>
      <c r="EU176" s="9"/>
      <c r="EV176" s="11" t="str">
        <f>IF(COUNTIF($ET$18:ET175,ET176)&gt;0,"",ET176)</f>
        <v/>
      </c>
      <c r="EW176" s="9"/>
      <c r="EX176" s="124" t="str">
        <f>AD175</f>
        <v/>
      </c>
      <c r="EY176" s="771">
        <f t="shared" si="114"/>
        <v>0</v>
      </c>
      <c r="EZ176" s="8"/>
      <c r="FA176" s="38"/>
      <c r="FB176" s="197">
        <f t="shared" si="96"/>
        <v>10</v>
      </c>
      <c r="FC176" s="773" t="str">
        <f t="shared" si="97"/>
        <v/>
      </c>
      <c r="FD176" s="772" t="str">
        <f t="shared" si="115"/>
        <v/>
      </c>
      <c r="FE176" s="9"/>
      <c r="FF176" s="11" t="str">
        <f>IF(COUNTIF($FD$15:FD175,FD176)&gt;0,"",FD176)</f>
        <v/>
      </c>
      <c r="FG176" s="9"/>
      <c r="FH176" s="124" t="str">
        <f>BM175</f>
        <v/>
      </c>
      <c r="FI176" s="771">
        <f t="shared" si="116"/>
        <v>0</v>
      </c>
    </row>
    <row r="177" spans="1:165" ht="12" customHeight="1">
      <c r="A177" s="8"/>
      <c r="B177" s="23"/>
      <c r="C177" s="3807" t="s">
        <v>449</v>
      </c>
      <c r="D177" s="3807"/>
      <c r="E177" s="3807"/>
      <c r="F177" s="3795" t="str">
        <f>IF($H$15="ＣＡＴＶ","CATV引込","アンテナ部")</f>
        <v>アンテナ部</v>
      </c>
      <c r="G177" s="3795"/>
      <c r="H177" s="3795"/>
      <c r="I177" s="3795"/>
      <c r="J177" s="3795"/>
      <c r="K177" s="3810" t="str">
        <f>IF(OR(BI23="不要",$B$2=0,C175&lt;&gt;$X$10),"",IF(P177&lt;&gt;"",P177,DD174))</f>
        <v/>
      </c>
      <c r="L177" s="3810"/>
      <c r="M177" s="3810"/>
      <c r="N177" s="3810"/>
      <c r="O177" s="775" t="s">
        <v>34</v>
      </c>
      <c r="P177" s="3517"/>
      <c r="Q177" s="3517"/>
      <c r="R177" s="3517"/>
      <c r="S177" s="3517"/>
      <c r="T177" s="3534" t="str">
        <f>IF(AND(C175&lt;&gt;"",K177&lt;&gt;""),DF174,"")</f>
        <v/>
      </c>
      <c r="U177" s="3534"/>
      <c r="V177" s="3534"/>
      <c r="W177" s="3534"/>
      <c r="X177" s="3810" t="str">
        <f>IF(OR($B$2=0,K177=""),"",IF(AD177&lt;&gt;"",AD177,DH174))</f>
        <v/>
      </c>
      <c r="Y177" s="3810"/>
      <c r="Z177" s="3810"/>
      <c r="AA177" s="3810"/>
      <c r="AB177" s="3810"/>
      <c r="AC177" s="775" t="s">
        <v>34</v>
      </c>
      <c r="AD177" s="3525"/>
      <c r="AE177" s="3525"/>
      <c r="AF177" s="3525"/>
      <c r="AG177" s="3525"/>
      <c r="AH177" s="3525"/>
      <c r="AI177" s="3534" t="str">
        <f>IF(X177="","",IF(DJ174="","",DJ174))</f>
        <v/>
      </c>
      <c r="AJ177" s="3534"/>
      <c r="AK177" s="3534"/>
      <c r="AL177" s="3534"/>
      <c r="AM177" s="3795" t="s">
        <v>1077</v>
      </c>
      <c r="AN177" s="3795"/>
      <c r="AO177" s="3795"/>
      <c r="AP177" s="3795"/>
      <c r="AQ177" s="3795"/>
      <c r="AR177" s="3795"/>
      <c r="AS177" s="3810" t="str">
        <f>IF(OR(BI23="不要",$B$2=0,C175="",C175="  RF",AB176="Ｃ"),"",IF(AX177&lt;&gt;"",AX177,DD176))</f>
        <v/>
      </c>
      <c r="AT177" s="3810"/>
      <c r="AU177" s="3810"/>
      <c r="AV177" s="3810"/>
      <c r="AW177" s="775" t="s">
        <v>34</v>
      </c>
      <c r="AX177" s="3517"/>
      <c r="AY177" s="3517"/>
      <c r="AZ177" s="3517"/>
      <c r="BA177" s="3517"/>
      <c r="BB177" s="3811" t="str">
        <f>IF(AS177&lt;&gt;"",DF176,"")</f>
        <v/>
      </c>
      <c r="BC177" s="3811"/>
      <c r="BD177" s="3811"/>
      <c r="BE177" s="3811"/>
      <c r="BF177" s="3810" t="str">
        <f>IF(OR(C175="",AS177=""),"",IF(AB176="Ａ",DH175,DH176))</f>
        <v/>
      </c>
      <c r="BG177" s="3810"/>
      <c r="BH177" s="3810"/>
      <c r="BI177" s="3810"/>
      <c r="BJ177" s="3810"/>
      <c r="BK177" s="775" t="s">
        <v>34</v>
      </c>
      <c r="BL177" s="3525"/>
      <c r="BM177" s="3525"/>
      <c r="BN177" s="3525"/>
      <c r="BO177" s="3525"/>
      <c r="BP177" s="3525"/>
      <c r="BQ177" s="3534" t="str">
        <f>IF(BF177="","",DJ176)</f>
        <v/>
      </c>
      <c r="BR177" s="3534"/>
      <c r="BS177" s="3534"/>
      <c r="BT177" s="3898"/>
      <c r="BU177" s="19"/>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774" t="s">
        <v>1180</v>
      </c>
      <c r="DD177" s="2589" t="str">
        <f>DD176</f>
        <v>S-5C-FB</v>
      </c>
      <c r="DE177" s="2591"/>
      <c r="DF177" s="3631">
        <f>IF(OR(C175="",C175="  RF",I175="直天"),0,1+INT(12+BW175-($X$9-$AM$9)/1000)*DK170+DO177)</f>
        <v>0</v>
      </c>
      <c r="DG177" s="3812"/>
      <c r="DH177" s="2589" t="str">
        <f>DH176</f>
        <v>PF-S-16mm</v>
      </c>
      <c r="DI177" s="2591"/>
      <c r="DJ177" s="3786">
        <f>IF(OR(C175="",C175="  RF"),0,IF(H176="天井ケーブル",DK170*(BW175-($X$9-2*$AM$9)/1000),1+INT(12+BW175-$X$9/1000)*DK170))</f>
        <v>0</v>
      </c>
      <c r="DK177" s="3786"/>
      <c r="DL177" s="15"/>
      <c r="DM177" s="15"/>
      <c r="DN177" s="46" t="s">
        <v>1075</v>
      </c>
      <c r="DO177" s="97">
        <f>IF(C175="",0,IF($AW$8=0,0,2*($AW$8/1000-0.15-0.1)*(INT(1000*DB173/$AW$10)+1)*(INT(1000*DC173/$AW$10)+1)*4))</f>
        <v>0</v>
      </c>
      <c r="DP177" s="15"/>
      <c r="DQ177" s="15"/>
      <c r="DR177" s="15"/>
      <c r="DS177" s="8"/>
      <c r="DT177" s="8"/>
      <c r="DU177" s="8"/>
      <c r="DV177" s="8"/>
      <c r="DW177" s="8"/>
      <c r="DX177" s="8"/>
      <c r="DY177" s="8"/>
      <c r="DZ177" s="8"/>
      <c r="EA177" s="8"/>
      <c r="EB177" s="769" t="str">
        <f>IF(OR($B$2=0,AG175=""),"","分岐器 1C")</f>
        <v/>
      </c>
      <c r="EC177" s="8"/>
      <c r="ED177" s="122" t="str">
        <f>IF(BQ175="","","直列Unit-終端2端子")</f>
        <v/>
      </c>
      <c r="EE177" s="8" t="str">
        <f>BQ175</f>
        <v/>
      </c>
      <c r="EF177" s="8"/>
      <c r="EG177" s="8"/>
      <c r="EH177" s="197">
        <f t="shared" si="98"/>
        <v>5</v>
      </c>
      <c r="EI177" s="773" t="str">
        <f t="shared" si="99"/>
        <v/>
      </c>
      <c r="EJ177" s="203" t="str">
        <f>BF177</f>
        <v/>
      </c>
      <c r="EK177" s="9"/>
      <c r="EL177" s="9" t="str">
        <f>IF(COUNTIF($EJ$18:EJ176,EJ177)&gt;0,"",EJ177)</f>
        <v/>
      </c>
      <c r="EM177" s="9"/>
      <c r="EN177" s="14" t="str">
        <f>BQ177</f>
        <v/>
      </c>
      <c r="EO177" s="771">
        <f t="shared" si="112"/>
        <v>0</v>
      </c>
      <c r="EP177" s="8"/>
      <c r="EQ177" s="8"/>
      <c r="ER177" s="197">
        <f t="shared" si="101"/>
        <v>5</v>
      </c>
      <c r="ES177" s="773" t="str">
        <f t="shared" si="102"/>
        <v/>
      </c>
      <c r="ET177" s="203" t="str">
        <f t="shared" si="113"/>
        <v/>
      </c>
      <c r="EU177" s="9"/>
      <c r="EV177" s="11" t="str">
        <f>IF(COUNTIF($ET$18:ET176,ET177)&gt;0,"",ET177)</f>
        <v/>
      </c>
      <c r="EW177" s="9"/>
      <c r="EX177" s="124" t="str">
        <f>AG175</f>
        <v/>
      </c>
      <c r="EY177" s="771">
        <f t="shared" si="114"/>
        <v>0</v>
      </c>
      <c r="EZ177" s="8"/>
      <c r="FA177" s="8"/>
      <c r="FB177" s="197">
        <f t="shared" si="96"/>
        <v>10</v>
      </c>
      <c r="FC177" s="773" t="str">
        <f t="shared" si="97"/>
        <v/>
      </c>
      <c r="FD177" s="772" t="str">
        <f t="shared" si="115"/>
        <v/>
      </c>
      <c r="FE177" s="9"/>
      <c r="FF177" s="11" t="str">
        <f>IF(COUNTIF($FD$15:FD176,FD177)&gt;0,"",FD177)</f>
        <v/>
      </c>
      <c r="FG177" s="9"/>
      <c r="FH177" s="124" t="str">
        <f>BQ175</f>
        <v/>
      </c>
      <c r="FI177" s="771">
        <f t="shared" si="116"/>
        <v>0</v>
      </c>
    </row>
    <row r="178" spans="1:165" ht="12" customHeight="1" thickBot="1">
      <c r="A178" s="8"/>
      <c r="B178" s="23"/>
      <c r="C178" s="3893"/>
      <c r="D178" s="3893"/>
      <c r="E178" s="3893"/>
      <c r="F178" s="3896" t="s">
        <v>1074</v>
      </c>
      <c r="G178" s="3896"/>
      <c r="H178" s="3896"/>
      <c r="I178" s="3896"/>
      <c r="J178" s="3896"/>
      <c r="K178" s="3892" t="str">
        <f>IF(OR(C175="",C175="  RF",$B$2=0),"",IF(P178&lt;&gt;"",P178,DD175))</f>
        <v/>
      </c>
      <c r="L178" s="3892"/>
      <c r="M178" s="3892"/>
      <c r="N178" s="3892"/>
      <c r="O178" s="791" t="s">
        <v>34</v>
      </c>
      <c r="P178" s="3536"/>
      <c r="Q178" s="3536"/>
      <c r="R178" s="3536"/>
      <c r="S178" s="3536"/>
      <c r="T178" s="3555" t="str">
        <f>IF(R172="不",F175,IF(K178="","",DF175))</f>
        <v/>
      </c>
      <c r="U178" s="3555"/>
      <c r="V178" s="3555"/>
      <c r="W178" s="3555"/>
      <c r="X178" s="3892" t="str">
        <f>IF(R172="不","",IF(OR(C175="",K178=""),"",IF(AD178&lt;&gt;"",AD178,IF(DH175="","",DH175))))</f>
        <v/>
      </c>
      <c r="Y178" s="3892"/>
      <c r="Z178" s="3892"/>
      <c r="AA178" s="3892"/>
      <c r="AB178" s="3892"/>
      <c r="AC178" s="791" t="s">
        <v>34</v>
      </c>
      <c r="AD178" s="3533"/>
      <c r="AE178" s="3533"/>
      <c r="AF178" s="3533"/>
      <c r="AG178" s="3533"/>
      <c r="AH178" s="3533"/>
      <c r="AI178" s="3555" t="str">
        <f>IF(X178="","",DJ175)</f>
        <v/>
      </c>
      <c r="AJ178" s="3555"/>
      <c r="AK178" s="3555"/>
      <c r="AL178" s="3555"/>
      <c r="AM178" s="3896" t="s">
        <v>1073</v>
      </c>
      <c r="AN178" s="3896"/>
      <c r="AO178" s="3896"/>
      <c r="AP178" s="3896"/>
      <c r="AQ178" s="3896"/>
      <c r="AR178" s="3896"/>
      <c r="AS178" s="3892" t="str">
        <f>IF(OR(BI23="不要",$B$2=0,C175="",AB176&lt;&gt;"Ｃ"),"",IF(AX178&lt;&gt;"",AX178,DD177))</f>
        <v/>
      </c>
      <c r="AT178" s="3892"/>
      <c r="AU178" s="3892"/>
      <c r="AV178" s="3892"/>
      <c r="AW178" s="791" t="s">
        <v>34</v>
      </c>
      <c r="AX178" s="3536"/>
      <c r="AY178" s="3536"/>
      <c r="AZ178" s="3536"/>
      <c r="BA178" s="3536"/>
      <c r="BB178" s="3895" t="str">
        <f>IF(AS178="","",DF177)</f>
        <v/>
      </c>
      <c r="BC178" s="3895"/>
      <c r="BD178" s="3895"/>
      <c r="BE178" s="3895"/>
      <c r="BF178" s="3892" t="str">
        <f>IF(OR(C175="",AS178=""),"",IF(BL178&lt;&gt;"",BL178,DH177))</f>
        <v/>
      </c>
      <c r="BG178" s="3892"/>
      <c r="BH178" s="3892"/>
      <c r="BI178" s="3892"/>
      <c r="BJ178" s="3892"/>
      <c r="BK178" s="791" t="s">
        <v>34</v>
      </c>
      <c r="BL178" s="3533"/>
      <c r="BM178" s="3533"/>
      <c r="BN178" s="3533"/>
      <c r="BO178" s="3533"/>
      <c r="BP178" s="3533"/>
      <c r="BQ178" s="3555" t="str">
        <f>IF(BF178="","",DJ177)</f>
        <v/>
      </c>
      <c r="BR178" s="3555"/>
      <c r="BS178" s="3555"/>
      <c r="BT178" s="3556"/>
      <c r="BU178" s="19"/>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8" t="str">
        <f>IF(AND(AB185="Ａ",$X$11="2端子"),BI184+BQ184,IF(AND(AB185="Ａ",$X$11="1端子"),BE184+BM184,IF(AND(AB185="Ｂ",$X$11="1端子"),BM184,IF(AND(AB185="Ｂ",$X$11="2端子"),BQ184,IF(AND(AB185="Ｃ",$X$11="1端子"),BM184,BQ184)))))</f>
        <v/>
      </c>
      <c r="DC178" s="10"/>
      <c r="DD178" s="8"/>
      <c r="DE178" s="8"/>
      <c r="DF178" s="8"/>
      <c r="DG178" s="8"/>
      <c r="DH178" s="8"/>
      <c r="DI178" s="8"/>
      <c r="DJ178" s="8"/>
      <c r="DK178" s="8"/>
      <c r="DL178" s="8"/>
      <c r="DM178" s="8"/>
      <c r="DN178" s="8"/>
      <c r="DO178" s="8"/>
      <c r="DP178" s="15"/>
      <c r="DQ178" s="15"/>
      <c r="DR178" s="15"/>
      <c r="DS178" s="8"/>
      <c r="DT178" s="8"/>
      <c r="DU178" s="8"/>
      <c r="DV178" s="8"/>
      <c r="DW178" s="8"/>
      <c r="DX178" s="8"/>
      <c r="DY178" s="8"/>
      <c r="DZ178" s="8"/>
      <c r="EA178" s="8"/>
      <c r="EB178" s="769" t="str">
        <f>IF(OR($B$2=0,AK175=""),"","分岐器 2C")</f>
        <v/>
      </c>
      <c r="EC178" s="8"/>
      <c r="ED178" s="10"/>
      <c r="EE178" s="8"/>
      <c r="EF178" s="8"/>
      <c r="EG178" s="8"/>
      <c r="EH178" s="197">
        <f t="shared" si="98"/>
        <v>5</v>
      </c>
      <c r="EI178" s="773" t="str">
        <f t="shared" si="99"/>
        <v/>
      </c>
      <c r="EJ178" s="203" t="str">
        <f>BF178</f>
        <v/>
      </c>
      <c r="EK178" s="9"/>
      <c r="EL178" s="9" t="str">
        <f>IF(COUNTIF($EJ$18:EJ177,EJ178)&gt;0,"",EJ178)</f>
        <v/>
      </c>
      <c r="EM178" s="9"/>
      <c r="EN178" s="14" t="str">
        <f>BQ178</f>
        <v/>
      </c>
      <c r="EO178" s="771">
        <f t="shared" si="112"/>
        <v>0</v>
      </c>
      <c r="EP178" s="8"/>
      <c r="EQ178" s="8"/>
      <c r="ER178" s="197">
        <f t="shared" si="101"/>
        <v>5</v>
      </c>
      <c r="ES178" s="773" t="str">
        <f t="shared" si="102"/>
        <v/>
      </c>
      <c r="ET178" s="203" t="str">
        <f t="shared" si="113"/>
        <v/>
      </c>
      <c r="EU178" s="9"/>
      <c r="EV178" s="11" t="str">
        <f>IF(COUNTIF($ET$18:ET177,ET178)&gt;0,"",ET178)</f>
        <v/>
      </c>
      <c r="EW178" s="9"/>
      <c r="EX178" s="124" t="str">
        <f>AK175</f>
        <v/>
      </c>
      <c r="EY178" s="771">
        <f t="shared" si="114"/>
        <v>0</v>
      </c>
      <c r="EZ178" s="8"/>
      <c r="FA178" s="8"/>
      <c r="FB178" s="197">
        <f t="shared" ref="FB178:FB205" si="117">IF(FF178&lt;&gt;"",FB177+1,FB177)</f>
        <v>10</v>
      </c>
      <c r="FC178" s="773" t="str">
        <f t="shared" ref="FC178:FC205" si="118">IF(AND(FB178&lt;&gt;"",FF178&lt;&gt;""),FB178,"")</f>
        <v/>
      </c>
      <c r="FD178" s="772"/>
      <c r="FE178" s="9"/>
      <c r="FF178" s="11"/>
      <c r="FG178" s="9"/>
      <c r="FH178" s="124"/>
      <c r="FI178" s="771"/>
    </row>
    <row r="179" spans="1:165" ht="12" customHeight="1" thickBot="1">
      <c r="B179" s="23"/>
      <c r="C179" s="228"/>
      <c r="D179" s="228"/>
      <c r="E179" s="228"/>
      <c r="F179" s="228"/>
      <c r="G179" s="228"/>
      <c r="H179" s="228"/>
      <c r="I179" s="228"/>
      <c r="J179" s="228"/>
      <c r="K179" s="228"/>
      <c r="L179" s="228"/>
      <c r="M179" s="228"/>
      <c r="N179" s="228"/>
      <c r="O179" s="228"/>
      <c r="P179" s="228"/>
      <c r="Q179" s="790" t="str">
        <f>IF(AND(OR(AB185="Ａ",F266="Ａ"),DB178&gt;24),"直列ユニット数………配線方式Ａ：24以下!!",IF(AND(OR(AB185="Ｂ",F266="Ｂ"),DB178&gt;12),"直列ユニット数………配線方式Ｂ：12以下!!",IF(AND(OR(AB185="Ｃ",F266="Ｃ"),DB178&gt;180),"直列ユニット数………配線方式Ｃ：180以下!!","")))</f>
        <v/>
      </c>
      <c r="R179" s="228"/>
      <c r="S179" s="228"/>
      <c r="T179" s="228"/>
      <c r="U179" s="228"/>
      <c r="V179" s="228"/>
      <c r="W179" s="228"/>
      <c r="X179" s="228"/>
      <c r="Y179" s="228"/>
      <c r="Z179" s="228"/>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8"/>
      <c r="BL179" s="228"/>
      <c r="BM179" s="228"/>
      <c r="BN179" s="228"/>
      <c r="BO179" s="228"/>
      <c r="BP179" s="228"/>
      <c r="BQ179" s="228"/>
      <c r="BR179" s="228"/>
      <c r="BS179" s="228"/>
      <c r="BT179" s="228"/>
      <c r="BU179" s="19"/>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v>18</v>
      </c>
      <c r="DB179" s="92" t="str">
        <f>IF(OR(V150="不要",C184="",C184="  RF"),"",IF(DK179&lt;=12,"Ｂ",IF(DK179&lt;=24,"Ａ","Ｃ")))</f>
        <v/>
      </c>
      <c r="DC179" s="10"/>
      <c r="DD179" s="8"/>
      <c r="DE179" s="8"/>
      <c r="DF179" s="8"/>
      <c r="DG179" s="8"/>
      <c r="DH179" s="8"/>
      <c r="DI179" s="8"/>
      <c r="DJ179" s="8"/>
      <c r="DK179" s="159">
        <f>IF(OR(C184="",C184="  RF"),0,SUM(Q184:V184))</f>
        <v>0</v>
      </c>
      <c r="DL179" s="8"/>
      <c r="DM179" s="8"/>
      <c r="DN179" s="8"/>
      <c r="DO179" s="8"/>
      <c r="DP179" s="8"/>
      <c r="DQ179" s="8"/>
      <c r="DR179" s="8"/>
      <c r="DS179" s="8"/>
      <c r="DT179" s="8"/>
      <c r="DU179" s="8"/>
      <c r="DV179" s="8"/>
      <c r="DW179" s="8"/>
      <c r="DX179" s="8"/>
      <c r="DY179" s="8"/>
      <c r="DZ179" s="8"/>
      <c r="EA179" s="8"/>
      <c r="EB179" s="8"/>
      <c r="EC179" s="8"/>
      <c r="ED179" s="8"/>
      <c r="EE179" s="8"/>
      <c r="EF179" s="8"/>
      <c r="EG179" s="88">
        <v>18</v>
      </c>
      <c r="EH179" s="204">
        <f t="shared" si="98"/>
        <v>5</v>
      </c>
      <c r="EI179" s="768" t="str">
        <f t="shared" si="99"/>
        <v/>
      </c>
      <c r="EJ179" s="45"/>
      <c r="EK179" s="45"/>
      <c r="EL179" s="45"/>
      <c r="EM179" s="45"/>
      <c r="EN179" s="45"/>
      <c r="EO179" s="785"/>
      <c r="EP179" s="8"/>
      <c r="EQ179" s="88">
        <v>18</v>
      </c>
      <c r="ER179" s="204">
        <f t="shared" si="101"/>
        <v>5</v>
      </c>
      <c r="ES179" s="768" t="str">
        <f t="shared" si="102"/>
        <v/>
      </c>
      <c r="ET179" s="45"/>
      <c r="EU179" s="45"/>
      <c r="EV179" s="154"/>
      <c r="EW179" s="45"/>
      <c r="EX179" s="45"/>
      <c r="EY179" s="785"/>
      <c r="EZ179" s="8"/>
      <c r="FA179" s="88">
        <v>18</v>
      </c>
      <c r="FB179" s="204">
        <f t="shared" si="117"/>
        <v>10</v>
      </c>
      <c r="FC179" s="768" t="str">
        <f t="shared" si="118"/>
        <v/>
      </c>
      <c r="FD179" s="786"/>
      <c r="FE179" s="45"/>
      <c r="FF179" s="154"/>
      <c r="FG179" s="45"/>
      <c r="FH179" s="208"/>
      <c r="FI179" s="785"/>
    </row>
    <row r="180" spans="1:165" ht="11.25" customHeight="1" thickBot="1">
      <c r="B180" s="23"/>
      <c r="C180" s="3399" t="s">
        <v>1142</v>
      </c>
      <c r="D180" s="3412"/>
      <c r="E180" s="3412"/>
      <c r="F180" s="3412"/>
      <c r="G180" s="3412"/>
      <c r="H180" s="3412"/>
      <c r="I180" s="3412"/>
      <c r="J180" s="3412"/>
      <c r="K180" s="3412"/>
      <c r="L180" s="3413"/>
      <c r="M180" s="3853" t="str">
        <f>非誘!J123</f>
        <v/>
      </c>
      <c r="N180" s="3854"/>
      <c r="O180" s="3854"/>
      <c r="P180" s="3854"/>
      <c r="Q180" s="3855"/>
      <c r="R180" s="2299" t="str">
        <f>IF($B$2=0,"","共聴機器")</f>
        <v>共聴機器</v>
      </c>
      <c r="S180" s="2299"/>
      <c r="T180" s="2299"/>
      <c r="U180" s="2299"/>
      <c r="V180" s="2299"/>
      <c r="W180" s="3412" t="s">
        <v>1141</v>
      </c>
      <c r="X180" s="3412"/>
      <c r="Y180" s="3412"/>
      <c r="Z180" s="3413"/>
      <c r="AA180" s="2637" t="s">
        <v>1140</v>
      </c>
      <c r="AB180" s="2638"/>
      <c r="AC180" s="2638"/>
      <c r="AD180" s="2638"/>
      <c r="AE180" s="2638"/>
      <c r="AF180" s="2639"/>
      <c r="AG180" s="3879" t="s">
        <v>1139</v>
      </c>
      <c r="AH180" s="3879"/>
      <c r="AI180" s="3879"/>
      <c r="AJ180" s="3879"/>
      <c r="AK180" s="3879"/>
      <c r="AL180" s="3879"/>
      <c r="AM180" s="3879"/>
      <c r="AN180" s="3879"/>
      <c r="AO180" s="3879"/>
      <c r="AP180" s="3879"/>
      <c r="AQ180" s="3879"/>
      <c r="AR180" s="3879"/>
      <c r="AS180" s="2637" t="s">
        <v>1138</v>
      </c>
      <c r="AT180" s="2638"/>
      <c r="AU180" s="2638"/>
      <c r="AV180" s="2638"/>
      <c r="AW180" s="2638"/>
      <c r="AX180" s="2638"/>
      <c r="AY180" s="2638"/>
      <c r="AZ180" s="2638"/>
      <c r="BA180" s="2638"/>
      <c r="BB180" s="2638"/>
      <c r="BC180" s="2638"/>
      <c r="BD180" s="2639"/>
      <c r="BE180" s="2637" t="s">
        <v>1137</v>
      </c>
      <c r="BF180" s="2638"/>
      <c r="BG180" s="2638"/>
      <c r="BH180" s="2638"/>
      <c r="BI180" s="2638"/>
      <c r="BJ180" s="2638"/>
      <c r="BK180" s="2638"/>
      <c r="BL180" s="2638"/>
      <c r="BM180" s="2638"/>
      <c r="BN180" s="2638"/>
      <c r="BO180" s="2638"/>
      <c r="BP180" s="2638"/>
      <c r="BQ180" s="2638"/>
      <c r="BR180" s="2638"/>
      <c r="BS180" s="2638"/>
      <c r="BT180" s="3890"/>
      <c r="BU180" s="19"/>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15"/>
      <c r="DA180" s="788" t="str">
        <f>IF(DB198&lt;&gt;"","Amp-2","")</f>
        <v/>
      </c>
      <c r="DB180" s="97" t="str">
        <f>IF(C184="","",DB171+1)</f>
        <v/>
      </c>
      <c r="DC180" s="15" t="str">
        <f>IF($X$10=C184,"＝",IF(VLOOKUP(C184,[2]!階高,3,FALSE)-VLOOKUP($X$10,[2]!階高,3,FALSE)&gt;0,"＋","－"))</f>
        <v>－</v>
      </c>
      <c r="DD180" s="38"/>
      <c r="DE180" s="113" t="s">
        <v>1051</v>
      </c>
      <c r="DF180" s="113" t="s">
        <v>1050</v>
      </c>
      <c r="DG180" s="113" t="s">
        <v>1049</v>
      </c>
      <c r="DH180" s="113" t="s">
        <v>1048</v>
      </c>
      <c r="DI180" s="113" t="s">
        <v>1047</v>
      </c>
      <c r="DJ180" s="113" t="s">
        <v>1046</v>
      </c>
      <c r="DK180" s="90" t="s">
        <v>1136</v>
      </c>
      <c r="DL180" s="38"/>
      <c r="DM180" s="113" t="s">
        <v>1051</v>
      </c>
      <c r="DN180" s="113" t="s">
        <v>1050</v>
      </c>
      <c r="DO180" s="113" t="s">
        <v>1049</v>
      </c>
      <c r="DP180" s="113" t="s">
        <v>1048</v>
      </c>
      <c r="DQ180" s="113" t="s">
        <v>1047</v>
      </c>
      <c r="DR180" s="113" t="s">
        <v>1046</v>
      </c>
      <c r="DS180" s="38"/>
      <c r="DT180" s="113" t="s">
        <v>1051</v>
      </c>
      <c r="DU180" s="113" t="s">
        <v>1048</v>
      </c>
      <c r="DV180" s="113" t="s">
        <v>1047</v>
      </c>
      <c r="DW180" s="113" t="s">
        <v>1046</v>
      </c>
      <c r="DX180" s="113" t="s">
        <v>1048</v>
      </c>
      <c r="DY180" s="113" t="s">
        <v>1048</v>
      </c>
      <c r="DZ180" s="113" t="s">
        <v>1048</v>
      </c>
      <c r="EA180" s="113"/>
      <c r="EB180" s="776" t="str">
        <f>IF(OR($B$2=0,W184=""),"","混合器 U-U")</f>
        <v/>
      </c>
      <c r="EC180" s="15"/>
      <c r="ED180" s="782" t="str">
        <f>IF(AS184="","","分配器 2D")</f>
        <v/>
      </c>
      <c r="EE180" s="15" t="str">
        <f>AS184</f>
        <v/>
      </c>
      <c r="EF180" s="15"/>
      <c r="EG180" s="8"/>
      <c r="EH180" s="197">
        <f t="shared" si="98"/>
        <v>5</v>
      </c>
      <c r="EI180" s="773" t="str">
        <f t="shared" si="99"/>
        <v/>
      </c>
      <c r="EJ180" s="203" t="str">
        <f>K186</f>
        <v/>
      </c>
      <c r="EK180" s="9"/>
      <c r="EL180" s="9" t="str">
        <f>IF(COUNTIF($EJ$18:EJ179,EJ180)&gt;0,"",EJ180)</f>
        <v/>
      </c>
      <c r="EM180" s="9"/>
      <c r="EN180" s="14" t="str">
        <f>T186</f>
        <v/>
      </c>
      <c r="EO180" s="771">
        <f t="shared" ref="EO180:EO187" si="119">SUMIF($EJ$25:$EJ$225,EL180,$EN$25:$EN$225)</f>
        <v>0</v>
      </c>
      <c r="EP180" s="8"/>
      <c r="EQ180" s="8"/>
      <c r="ER180" s="197">
        <f t="shared" si="101"/>
        <v>5</v>
      </c>
      <c r="ES180" s="773" t="str">
        <f t="shared" si="102"/>
        <v/>
      </c>
      <c r="ET180" s="203" t="str">
        <f t="shared" ref="ET180:ET187" si="120">EB180</f>
        <v/>
      </c>
      <c r="EU180" s="9"/>
      <c r="EV180" s="11" t="str">
        <f>IF(COUNTIF($ET$18:ET179,ET180)&gt;0,"",ET180)</f>
        <v/>
      </c>
      <c r="EW180" s="9"/>
      <c r="EX180" s="124" t="str">
        <f>W184</f>
        <v/>
      </c>
      <c r="EY180" s="771">
        <f t="shared" ref="EY180:EY187" si="121">SUMIF($ET$25:$ET$225,EV180,$EX$25:$EX$225)</f>
        <v>0</v>
      </c>
      <c r="EZ180" s="8"/>
      <c r="FA180" s="8"/>
      <c r="FB180" s="197">
        <f t="shared" si="117"/>
        <v>10</v>
      </c>
      <c r="FC180" s="773" t="str">
        <f t="shared" si="118"/>
        <v/>
      </c>
      <c r="FD180" s="772" t="str">
        <f t="shared" ref="FD180:FD186" si="122">ED180</f>
        <v/>
      </c>
      <c r="FE180" s="9"/>
      <c r="FF180" s="11" t="str">
        <f>IF(COUNTIF($FD$15:FD179,FD180)&gt;0,"",FD180)</f>
        <v/>
      </c>
      <c r="FG180" s="9"/>
      <c r="FH180" s="124" t="str">
        <f>AS184</f>
        <v/>
      </c>
      <c r="FI180" s="771">
        <f t="shared" ref="FI180:FI186" si="123">SUMIF($FD$18:$FD$205,FF180,$FH$18:$FH$205)</f>
        <v>0</v>
      </c>
    </row>
    <row r="181" spans="1:165" ht="11.25" customHeight="1" thickBot="1">
      <c r="B181" s="23"/>
      <c r="C181" s="3857" t="str">
        <f>"　"&amp;非誘!M123</f>
        <v>　</v>
      </c>
      <c r="D181" s="3858"/>
      <c r="E181" s="3858"/>
      <c r="F181" s="3858"/>
      <c r="G181" s="3858"/>
      <c r="H181" s="3858"/>
      <c r="I181" s="3858"/>
      <c r="J181" s="3858"/>
      <c r="K181" s="3858"/>
      <c r="L181" s="3858"/>
      <c r="M181" s="3858"/>
      <c r="N181" s="3858"/>
      <c r="O181" s="3858"/>
      <c r="P181" s="3858"/>
      <c r="Q181" s="3859"/>
      <c r="R181" s="2337" t="str">
        <f>IF(U181&lt;&gt;"",U181,IF(C184="","","設"))</f>
        <v/>
      </c>
      <c r="S181" s="2337"/>
      <c r="T181" s="175" t="s">
        <v>68</v>
      </c>
      <c r="U181" s="2338"/>
      <c r="V181" s="2338"/>
      <c r="W181" s="3860" t="s">
        <v>1132</v>
      </c>
      <c r="X181" s="3863" t="s">
        <v>1131</v>
      </c>
      <c r="Y181" s="3863" t="s">
        <v>1130</v>
      </c>
      <c r="Z181" s="3866"/>
      <c r="AA181" s="3528" t="s">
        <v>1128</v>
      </c>
      <c r="AB181" s="3519"/>
      <c r="AC181" s="3519"/>
      <c r="AD181" s="3519"/>
      <c r="AE181" s="3519"/>
      <c r="AF181" s="3520"/>
      <c r="AG181" s="3528" t="s">
        <v>1051</v>
      </c>
      <c r="AH181" s="3519"/>
      <c r="AI181" s="3519"/>
      <c r="AJ181" s="3529"/>
      <c r="AK181" s="3518" t="s">
        <v>1050</v>
      </c>
      <c r="AL181" s="3519"/>
      <c r="AM181" s="3519"/>
      <c r="AN181" s="3529"/>
      <c r="AO181" s="3518" t="s">
        <v>1049</v>
      </c>
      <c r="AP181" s="3519"/>
      <c r="AQ181" s="3519"/>
      <c r="AR181" s="3520"/>
      <c r="AS181" s="3528" t="s">
        <v>1048</v>
      </c>
      <c r="AT181" s="3519"/>
      <c r="AU181" s="3519"/>
      <c r="AV181" s="3529"/>
      <c r="AW181" s="3518" t="s">
        <v>1047</v>
      </c>
      <c r="AX181" s="3519"/>
      <c r="AY181" s="3519"/>
      <c r="AZ181" s="3529"/>
      <c r="BA181" s="3518" t="s">
        <v>1046</v>
      </c>
      <c r="BB181" s="3519"/>
      <c r="BC181" s="3519"/>
      <c r="BD181" s="3520"/>
      <c r="BE181" s="3528" t="s">
        <v>1123</v>
      </c>
      <c r="BF181" s="3519"/>
      <c r="BG181" s="3519"/>
      <c r="BH181" s="3519"/>
      <c r="BI181" s="3519"/>
      <c r="BJ181" s="3519"/>
      <c r="BK181" s="3519"/>
      <c r="BL181" s="3529"/>
      <c r="BM181" s="3518" t="s">
        <v>1122</v>
      </c>
      <c r="BN181" s="3519"/>
      <c r="BO181" s="3519"/>
      <c r="BP181" s="3519"/>
      <c r="BQ181" s="3519"/>
      <c r="BR181" s="3519"/>
      <c r="BS181" s="3519"/>
      <c r="BT181" s="3894"/>
      <c r="BU181" s="19"/>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15"/>
      <c r="DA181" s="15">
        <f>IF(AG184&lt;&gt;"",2,IF(AK184&lt;&gt;"",3,0))</f>
        <v>0</v>
      </c>
      <c r="DB181" s="86" t="s">
        <v>370</v>
      </c>
      <c r="DC181" s="86" t="s">
        <v>71</v>
      </c>
      <c r="DD181" s="128" t="s">
        <v>1179</v>
      </c>
      <c r="DE181" s="86">
        <f>IF(AB185&lt;&gt;"Ａ",0,IF(AND(2*DK181&gt;=4,2*DK181&lt;=12),1,0))</f>
        <v>0</v>
      </c>
      <c r="DF181" s="86">
        <f>IF(AB185&lt;&gt;"Ａ",0,IF(AND(2*DK181&gt;=16,DK181&lt;=24),1,0))</f>
        <v>0</v>
      </c>
      <c r="DG181" s="97" t="s">
        <v>1177</v>
      </c>
      <c r="DH181" s="86">
        <f>IF(AB185&lt;&gt;"Ａ",0,IF(2*DK181&lt;=4,1,0))</f>
        <v>0</v>
      </c>
      <c r="DI181" s="86">
        <f>IF(AB185&lt;&gt;"Ａ",0,IF(OR(AND(2*DK181&gt;4,2*DK181&lt;=8),AND(2*DK181&gt;12,2*DK181&lt;=16)),1,0))</f>
        <v>0</v>
      </c>
      <c r="DJ181" s="183">
        <f>IF(AB185&lt;&gt;"Ａ",0,IF(OR(AND(2*DK181&gt;8,2*DK181&lt;=12),AND(2*DK181&gt;16,2*DK181&lt;=24)),1,0))</f>
        <v>0</v>
      </c>
      <c r="DK181" s="783">
        <f>IF(OR(C184="",C184="  RF"),0,IF(Q184="",INT((T184)/2),INT((Q184+INT(T184))/2)+1))</f>
        <v>0</v>
      </c>
      <c r="DL181" s="128" t="s">
        <v>1178</v>
      </c>
      <c r="DM181" s="86">
        <f>IF(AB185&lt;&gt;"Ｂ",0,IF(DB178&lt;=6,1,0))</f>
        <v>0</v>
      </c>
      <c r="DN181" s="86">
        <f>IF(AB185&lt;&gt;"Ｂ",0,IF(AND(DB178&gt;6,DB178&lt;=12),1,0))</f>
        <v>0</v>
      </c>
      <c r="DO181" s="97" t="s">
        <v>1177</v>
      </c>
      <c r="DP181" s="86">
        <f>IF(AB185&lt;&gt;"Ｂ",0,IF(DB178&lt;=2,1,0))</f>
        <v>0</v>
      </c>
      <c r="DQ181" s="86">
        <f>IF(AB185&lt;&gt;"Ｂ",0,IF(OR(AND(DB178&gt;2,DB178&lt;6),AND(DB178&gt;6,DB178&lt;=8)),1,0))</f>
        <v>0</v>
      </c>
      <c r="DR181" s="86">
        <f>IF(AB185&lt;&gt;"Ｂ",0,IF(OR(AND(DB178&gt;4,DB178&lt;6),AND(DB178&gt;8,DB178&lt;=12)),1,0))</f>
        <v>0</v>
      </c>
      <c r="DS181" s="128" t="s">
        <v>1078</v>
      </c>
      <c r="DT181" s="159">
        <f>IF(AB185&lt;&gt;"Ｃ",0,IF(DX181&lt;&gt;0,DX181,IF(DY181&lt;&gt;0,DY181,IF(DZ181&lt;&gt;0,DZ181,0))))</f>
        <v>0</v>
      </c>
      <c r="DU181" s="159">
        <f>IF(AB185&lt;&gt;"Ｃ",0,IF(DX181=0,0,1))</f>
        <v>0</v>
      </c>
      <c r="DV181" s="159">
        <f>IF(AB185&lt;&gt;"Ｃ",0,IF(DY181=0,0,1))</f>
        <v>0</v>
      </c>
      <c r="DW181" s="783">
        <f>IF(AB185&lt;&gt;"Ｃ",0,IF(DZ181=0,0,1))</f>
        <v>0</v>
      </c>
      <c r="DX181" s="714">
        <f>IF(AB185&lt;&gt;"Ｃ",0,IF(DB178&lt;=12,3,IF(AND(DB178&gt;12,DB178&lt;=16),4,IF(AND(DB178&gt;16,DB178&lt;=20),5,0))))</f>
        <v>0</v>
      </c>
      <c r="DY181" s="86">
        <f>IF(AB185&lt;&gt;"Ｃ",0,IF(AND(DB178&gt;20,DB178&lt;=24),3,IF(AND(DB178&gt;24,DB178&lt;=32),4,IF(AND(DB178&gt;32,DB178&lt;=40),5,0))))</f>
        <v>0</v>
      </c>
      <c r="DZ181" s="97">
        <f>IF(AB185&lt;&gt;"Ｃ",0,IF(AND(DB178&gt;40,DB178&lt;=48),4,IF(AND(DB178&gt;48,DB178&lt;=60),5,0)))</f>
        <v>0</v>
      </c>
      <c r="EA181" s="96"/>
      <c r="EB181" s="776" t="str">
        <f>IF(OR($B$2=0,X184=""),"","混合器 BS-CS")</f>
        <v/>
      </c>
      <c r="EC181" s="96"/>
      <c r="ED181" s="782" t="str">
        <f>IF(AW184="","","分配器 4D")</f>
        <v/>
      </c>
      <c r="EE181" s="96" t="str">
        <f>AW184</f>
        <v/>
      </c>
      <c r="EF181" s="96"/>
      <c r="EG181" s="96"/>
      <c r="EH181" s="197">
        <f t="shared" si="98"/>
        <v>5</v>
      </c>
      <c r="EI181" s="773" t="str">
        <f t="shared" si="99"/>
        <v/>
      </c>
      <c r="EJ181" s="203" t="str">
        <f>K187</f>
        <v/>
      </c>
      <c r="EK181" s="9"/>
      <c r="EL181" s="9" t="str">
        <f>IF(COUNTIF($EJ$18:EJ180,EJ181)&gt;0,"",EJ181)</f>
        <v/>
      </c>
      <c r="EM181" s="9"/>
      <c r="EN181" s="14" t="str">
        <f>T187</f>
        <v/>
      </c>
      <c r="EO181" s="771">
        <f t="shared" si="119"/>
        <v>0</v>
      </c>
      <c r="EP181" s="8"/>
      <c r="EQ181" s="96"/>
      <c r="ER181" s="197">
        <f t="shared" si="101"/>
        <v>5</v>
      </c>
      <c r="ES181" s="773" t="str">
        <f t="shared" si="102"/>
        <v/>
      </c>
      <c r="ET181" s="203" t="str">
        <f t="shared" si="120"/>
        <v/>
      </c>
      <c r="EU181" s="9"/>
      <c r="EV181" s="11" t="str">
        <f>IF(COUNTIF($ET$18:ET180,ET181)&gt;0,"",ET181)</f>
        <v/>
      </c>
      <c r="EW181" s="9"/>
      <c r="EX181" s="124" t="str">
        <f>X184</f>
        <v/>
      </c>
      <c r="EY181" s="771">
        <f t="shared" si="121"/>
        <v>0</v>
      </c>
      <c r="EZ181" s="8"/>
      <c r="FA181" s="96"/>
      <c r="FB181" s="197">
        <f t="shared" si="117"/>
        <v>10</v>
      </c>
      <c r="FC181" s="773" t="str">
        <f t="shared" si="118"/>
        <v/>
      </c>
      <c r="FD181" s="772" t="str">
        <f t="shared" si="122"/>
        <v/>
      </c>
      <c r="FE181" s="9"/>
      <c r="FF181" s="11" t="str">
        <f>IF(COUNTIF($FD$15:FD180,FD181)&gt;0,"",FD181)</f>
        <v/>
      </c>
      <c r="FG181" s="9"/>
      <c r="FH181" s="124" t="str">
        <f>AW184</f>
        <v/>
      </c>
      <c r="FI181" s="771">
        <f t="shared" si="123"/>
        <v>0</v>
      </c>
    </row>
    <row r="182" spans="1:165" ht="11.25" customHeight="1" thickBot="1">
      <c r="B182" s="23"/>
      <c r="C182" s="3819" t="s">
        <v>16</v>
      </c>
      <c r="D182" s="3820"/>
      <c r="E182" s="3821"/>
      <c r="F182" s="3869" t="s">
        <v>22</v>
      </c>
      <c r="G182" s="3870"/>
      <c r="H182" s="3871"/>
      <c r="I182" s="3869" t="s">
        <v>5</v>
      </c>
      <c r="J182" s="3870"/>
      <c r="K182" s="3870"/>
      <c r="L182" s="3871"/>
      <c r="M182" s="3819" t="s">
        <v>1176</v>
      </c>
      <c r="N182" s="3820"/>
      <c r="O182" s="3820"/>
      <c r="P182" s="3821"/>
      <c r="Q182" s="3819" t="s">
        <v>1175</v>
      </c>
      <c r="R182" s="3820"/>
      <c r="S182" s="3821"/>
      <c r="T182" s="3819" t="s">
        <v>1175</v>
      </c>
      <c r="U182" s="3820"/>
      <c r="V182" s="3821"/>
      <c r="W182" s="3861"/>
      <c r="X182" s="3864"/>
      <c r="Y182" s="3864"/>
      <c r="Z182" s="3867"/>
      <c r="AA182" s="3872" t="str">
        <f>IF($AG$15&lt;=65,"40/","35/")</f>
        <v>40/</v>
      </c>
      <c r="AB182" s="3873"/>
      <c r="AC182" s="3873"/>
      <c r="AD182" s="3873" t="str">
        <f>IF(CW267&gt;55,"40/","35/")</f>
        <v>35/</v>
      </c>
      <c r="AE182" s="3873"/>
      <c r="AF182" s="3875"/>
      <c r="AG182" s="3876" t="s">
        <v>1114</v>
      </c>
      <c r="AH182" s="3877"/>
      <c r="AI182" s="3877"/>
      <c r="AJ182" s="3877"/>
      <c r="AK182" s="3877"/>
      <c r="AL182" s="3877"/>
      <c r="AM182" s="3877"/>
      <c r="AN182" s="3877"/>
      <c r="AO182" s="3877"/>
      <c r="AP182" s="3877"/>
      <c r="AQ182" s="3877"/>
      <c r="AR182" s="3878"/>
      <c r="AS182" s="3549" t="s">
        <v>1113</v>
      </c>
      <c r="AT182" s="3550"/>
      <c r="AU182" s="3550"/>
      <c r="AV182" s="3550"/>
      <c r="AW182" s="3550"/>
      <c r="AX182" s="3550"/>
      <c r="AY182" s="3550"/>
      <c r="AZ182" s="3550"/>
      <c r="BA182" s="3550"/>
      <c r="BB182" s="3550"/>
      <c r="BC182" s="3550"/>
      <c r="BD182" s="3551"/>
      <c r="BE182" s="3552" t="s">
        <v>1112</v>
      </c>
      <c r="BF182" s="3553"/>
      <c r="BG182" s="3553"/>
      <c r="BH182" s="3553"/>
      <c r="BI182" s="3553" t="s">
        <v>1111</v>
      </c>
      <c r="BJ182" s="3553"/>
      <c r="BK182" s="3553"/>
      <c r="BL182" s="3553"/>
      <c r="BM182" s="3553" t="s">
        <v>1112</v>
      </c>
      <c r="BN182" s="3553"/>
      <c r="BO182" s="3553"/>
      <c r="BP182" s="3553"/>
      <c r="BQ182" s="3553" t="s">
        <v>1111</v>
      </c>
      <c r="BR182" s="3553"/>
      <c r="BS182" s="3553"/>
      <c r="BT182" s="3557"/>
      <c r="BU182" s="19"/>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15"/>
      <c r="DA182" s="67" t="e">
        <f>IF(DC180="＋",F184+F175+3,F184+F193+3)</f>
        <v>#VALUE!</v>
      </c>
      <c r="DB182" s="98" t="str">
        <f>IF(C184="  RF","",IF(AN185="","",非誘!BW125))</f>
        <v/>
      </c>
      <c r="DC182" s="98" t="str">
        <f>IF(DB182="","",IF(AN185="","",非誘!BX125))</f>
        <v/>
      </c>
      <c r="DD182" s="3822" t="s">
        <v>1060</v>
      </c>
      <c r="DE182" s="3823"/>
      <c r="DF182" s="3824" t="s">
        <v>1173</v>
      </c>
      <c r="DG182" s="3824"/>
      <c r="DH182" s="3824" t="s">
        <v>1174</v>
      </c>
      <c r="DI182" s="3824"/>
      <c r="DJ182" s="3823" t="s">
        <v>1173</v>
      </c>
      <c r="DK182" s="3823"/>
      <c r="DL182" s="8"/>
      <c r="DM182" s="113" t="s">
        <v>1172</v>
      </c>
      <c r="DN182" s="113" t="s">
        <v>1171</v>
      </c>
      <c r="DO182" s="113" t="s">
        <v>1170</v>
      </c>
      <c r="DP182" s="8"/>
      <c r="DQ182" s="8"/>
      <c r="DR182" s="8"/>
      <c r="DS182" s="8"/>
      <c r="DT182" s="113" t="s">
        <v>1051</v>
      </c>
      <c r="DU182" s="8"/>
      <c r="DV182" s="113" t="s">
        <v>1047</v>
      </c>
      <c r="DW182" s="113" t="s">
        <v>1046</v>
      </c>
      <c r="DX182" s="8"/>
      <c r="DY182" s="113" t="s">
        <v>1047</v>
      </c>
      <c r="DZ182" s="113" t="s">
        <v>1047</v>
      </c>
      <c r="EA182" s="113"/>
      <c r="EB182" s="776" t="str">
        <f>IF(OR($B$2=0,Y184=""),"","混合器 UV-BC")</f>
        <v/>
      </c>
      <c r="EC182" s="15"/>
      <c r="ED182" s="782" t="str">
        <f>IF(BA184="","","分配器 6D")</f>
        <v/>
      </c>
      <c r="EE182" s="15" t="str">
        <f>BA184</f>
        <v/>
      </c>
      <c r="EF182" s="15"/>
      <c r="EG182" s="15"/>
      <c r="EH182" s="197">
        <f t="shared" si="98"/>
        <v>5</v>
      </c>
      <c r="EI182" s="773" t="str">
        <f t="shared" si="99"/>
        <v/>
      </c>
      <c r="EJ182" s="203" t="str">
        <f>X186</f>
        <v/>
      </c>
      <c r="EK182" s="9"/>
      <c r="EL182" s="9" t="str">
        <f>IF(COUNTIF($EJ$18:EJ181,EJ182)&gt;0,"",EJ182)</f>
        <v/>
      </c>
      <c r="EM182" s="9"/>
      <c r="EN182" s="14" t="str">
        <f>AI186</f>
        <v/>
      </c>
      <c r="EO182" s="771">
        <f t="shared" si="119"/>
        <v>0</v>
      </c>
      <c r="EP182" s="8"/>
      <c r="EQ182" s="15"/>
      <c r="ER182" s="197">
        <f t="shared" si="101"/>
        <v>5</v>
      </c>
      <c r="ES182" s="773" t="str">
        <f t="shared" si="102"/>
        <v/>
      </c>
      <c r="ET182" s="203" t="str">
        <f t="shared" si="120"/>
        <v/>
      </c>
      <c r="EU182" s="9"/>
      <c r="EV182" s="11" t="str">
        <f>IF(COUNTIF($ET$18:ET181,ET182)&gt;0,"",ET182)</f>
        <v/>
      </c>
      <c r="EW182" s="9"/>
      <c r="EX182" s="124" t="str">
        <f>Y184</f>
        <v/>
      </c>
      <c r="EY182" s="771">
        <f t="shared" si="121"/>
        <v>0</v>
      </c>
      <c r="EZ182" s="8"/>
      <c r="FA182" s="15"/>
      <c r="FB182" s="197">
        <f t="shared" si="117"/>
        <v>10</v>
      </c>
      <c r="FC182" s="773" t="str">
        <f t="shared" si="118"/>
        <v/>
      </c>
      <c r="FD182" s="772" t="str">
        <f t="shared" si="122"/>
        <v/>
      </c>
      <c r="FE182" s="9"/>
      <c r="FF182" s="11" t="str">
        <f>IF(COUNTIF($FD$15:FD181,FD182)&gt;0,"",FD182)</f>
        <v/>
      </c>
      <c r="FG182" s="9"/>
      <c r="FH182" s="124" t="str">
        <f>BA184</f>
        <v/>
      </c>
      <c r="FI182" s="771">
        <f t="shared" si="123"/>
        <v>0</v>
      </c>
    </row>
    <row r="183" spans="1:165" ht="11.25" customHeight="1" thickBot="1">
      <c r="B183" s="23"/>
      <c r="C183" s="3819"/>
      <c r="D183" s="3820"/>
      <c r="E183" s="3821"/>
      <c r="F183" s="3827" t="s">
        <v>113</v>
      </c>
      <c r="G183" s="3769"/>
      <c r="H183" s="3828"/>
      <c r="I183" s="3819" t="s">
        <v>113</v>
      </c>
      <c r="J183" s="3820"/>
      <c r="K183" s="3820"/>
      <c r="L183" s="3821"/>
      <c r="M183" s="3819" t="s">
        <v>1103</v>
      </c>
      <c r="N183" s="3820"/>
      <c r="O183" s="3820"/>
      <c r="P183" s="3821"/>
      <c r="Q183" s="3819" t="s">
        <v>1102</v>
      </c>
      <c r="R183" s="3820"/>
      <c r="S183" s="3821"/>
      <c r="T183" s="3819" t="s">
        <v>115</v>
      </c>
      <c r="U183" s="3820"/>
      <c r="V183" s="3821"/>
      <c r="W183" s="3862"/>
      <c r="X183" s="3865"/>
      <c r="Y183" s="3865"/>
      <c r="Z183" s="3868"/>
      <c r="AA183" s="3829">
        <f>IF($AG$15&lt;=65,115,110)</f>
        <v>115</v>
      </c>
      <c r="AB183" s="3562"/>
      <c r="AC183" s="3562"/>
      <c r="AD183" s="3562">
        <f>IF(CW267&gt;55,115,110)</f>
        <v>110</v>
      </c>
      <c r="AE183" s="3562"/>
      <c r="AF183" s="3830"/>
      <c r="AG183" s="3831" t="s">
        <v>1101</v>
      </c>
      <c r="AH183" s="3832"/>
      <c r="AI183" s="3832"/>
      <c r="AJ183" s="3833"/>
      <c r="AK183" s="3834" t="s">
        <v>1100</v>
      </c>
      <c r="AL183" s="3832"/>
      <c r="AM183" s="3832"/>
      <c r="AN183" s="3833"/>
      <c r="AO183" s="3834" t="s">
        <v>1098</v>
      </c>
      <c r="AP183" s="3832"/>
      <c r="AQ183" s="3832"/>
      <c r="AR183" s="3835"/>
      <c r="AS183" s="3836" t="s">
        <v>1097</v>
      </c>
      <c r="AT183" s="3832"/>
      <c r="AU183" s="3832"/>
      <c r="AV183" s="3833"/>
      <c r="AW183" s="3844" t="s">
        <v>1095</v>
      </c>
      <c r="AX183" s="3845"/>
      <c r="AY183" s="3845"/>
      <c r="AZ183" s="3846"/>
      <c r="BA183" s="3558" t="s">
        <v>1169</v>
      </c>
      <c r="BB183" s="3559"/>
      <c r="BC183" s="3559"/>
      <c r="BD183" s="3560"/>
      <c r="BE183" s="3561" t="s">
        <v>1168</v>
      </c>
      <c r="BF183" s="3562"/>
      <c r="BG183" s="3562"/>
      <c r="BH183" s="3562"/>
      <c r="BI183" s="3850" t="s">
        <v>1167</v>
      </c>
      <c r="BJ183" s="3562"/>
      <c r="BK183" s="3562"/>
      <c r="BL183" s="3562"/>
      <c r="BM183" s="3850" t="s">
        <v>1166</v>
      </c>
      <c r="BN183" s="3562"/>
      <c r="BO183" s="3562"/>
      <c r="BP183" s="3562"/>
      <c r="BQ183" s="3850" t="s">
        <v>1165</v>
      </c>
      <c r="BR183" s="3562"/>
      <c r="BS183" s="3562"/>
      <c r="BT183" s="3891"/>
      <c r="BU183" s="19"/>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90"/>
      <c r="DA183" s="15"/>
      <c r="DB183" s="98" t="str">
        <f>IF(C184="","",IF(AZ185="①",DB182+DC182+3,IF(AZ185="②",DB182*5/8+DC182+3,IF(AZ185="③",DB182/2+DC182+3,IF(AZ185="④",DB182+DC182*5/8+3,IF(AZ185="⑤",(DB182+DC182)*5/8+3,IF(AZ185="⑥",DB182/2+DC182*5/8+3,IF(AZ185="⑦",DB182+DC182/2+3,IF(AZ185="⑧",DB182*5/8+DC182/2+3,IF(AZ185="⑨",(DB182+DC182)/2+3))))))))))</f>
        <v/>
      </c>
      <c r="DC183" s="180" t="s">
        <v>1164</v>
      </c>
      <c r="DD183" s="2589" t="str">
        <f>IF($AL$10="nC-FB","S-5C-FB",IF($AL$10="nD-FB","5D-FB","5C-2V"))</f>
        <v>S-5C-FB</v>
      </c>
      <c r="DE183" s="2591"/>
      <c r="DF183" s="3631">
        <f>IF(C184="  RF",DF174,IF($H$15="ＣＡＴＶ",DB182+DC182/2+F184-($AM$8-$AM$7)/1000+DR183,SUM(DM183:DO183)))</f>
        <v>0</v>
      </c>
      <c r="DG183" s="3812"/>
      <c r="DH183" s="2589" t="str">
        <f>IF($H$17="ＣＡＴＶ","G-22mm",IF(RIGHT($AB$17,1)+RIGHT($AF$17,1)+RIGHT($AJ$17,1)&gt;=4,"G-36mm","G-28mm"))</f>
        <v>G-28mm</v>
      </c>
      <c r="DI183" s="2591"/>
      <c r="DJ183" s="3631">
        <f>IF(C184="",0,IF(C184="  RF",DJ174,IF($H$15="ＣＡＴＶ",DB182+DC182/2+F184-($AM$8-$AM$7)/1000,10+F184-($AM$8-$AM$7)/1000)))</f>
        <v>0</v>
      </c>
      <c r="DK183" s="3812"/>
      <c r="DL183" s="15"/>
      <c r="DM183" s="98">
        <f>IF(OR($B$2=0,$H$15="ＣＡＴＶ",C184="",C184="  RF"),0,IF($AB$17="","",RIGHT($AB$17,1)*15+F184-($AM$8-$AM$7)/1000))</f>
        <v>0</v>
      </c>
      <c r="DN183" s="98">
        <f>IF(OR($B$2=0,$H$15="ＣＡＴＶ",C184="",C184="  RF"),0,IF($AF$17="","",15+F184-($AM$8-$AM$7)/1000))</f>
        <v>0</v>
      </c>
      <c r="DO183" s="98">
        <f>IF(OR($B$2=0,$H$15="ＣＡＴＶ",C184="",C184="  RF"),0,IF($AJ$17="","",15+F184-($AM$8-$AM$7)/1000))</f>
        <v>0</v>
      </c>
      <c r="DP183" s="15"/>
      <c r="DQ183" s="46" t="s">
        <v>1087</v>
      </c>
      <c r="DR183" s="98" t="str">
        <f>IF($H$17="ＣＡＴＶ",#REF!+#REF!,"")</f>
        <v/>
      </c>
      <c r="DS183" s="128" t="s">
        <v>1118</v>
      </c>
      <c r="DT183" s="159">
        <f>IF(AB185&lt;&gt;"Ｃ",0,IF(DY183&lt;&gt;0,DY183,IF(DZ183&lt;&gt;0,DZ183,0)))</f>
        <v>0</v>
      </c>
      <c r="DU183" s="8"/>
      <c r="DV183" s="86">
        <f>IF(AB185&lt;&gt;"Ｃ",0,IF(DY183=0,0,1))</f>
        <v>0</v>
      </c>
      <c r="DW183" s="86">
        <f>IF(AB185&lt;&gt;"Ｃ",0,IF(DZ183=0,0,1))</f>
        <v>0</v>
      </c>
      <c r="DX183" s="8"/>
      <c r="DY183" s="86">
        <f>IF(AB185&lt;&gt;"Ｃ",0,IF(AND(DB178&gt;60,DB178&lt;=64),4,IF(AND(DB178&gt;64,DB178&lt;=80),5,0)))</f>
        <v>0</v>
      </c>
      <c r="DZ183" s="86">
        <f>IF(AB185&lt;&gt;"Ｃ",0,IF(AND(DB178&gt;80,DB178&lt;=96),4,IF(AND(DB178&gt;96,DB178&lt;=120),5,0)))</f>
        <v>0</v>
      </c>
      <c r="EA183" s="38"/>
      <c r="EB183" s="776" t="str">
        <f>IF(OR($B$2=0,Z184=""),"","混合器 UV-BC")</f>
        <v/>
      </c>
      <c r="EC183" s="12"/>
      <c r="ED183" s="122" t="str">
        <f>IF(BE184="","","直列Unit-中間1端子")</f>
        <v/>
      </c>
      <c r="EE183" s="38" t="str">
        <f>BE184</f>
        <v/>
      </c>
      <c r="EF183" s="38"/>
      <c r="EG183" s="38"/>
      <c r="EH183" s="197">
        <f t="shared" si="98"/>
        <v>5</v>
      </c>
      <c r="EI183" s="773" t="str">
        <f t="shared" si="99"/>
        <v/>
      </c>
      <c r="EJ183" s="203" t="str">
        <f>X187</f>
        <v/>
      </c>
      <c r="EK183" s="9"/>
      <c r="EL183" s="9" t="str">
        <f>IF(COUNTIF($EJ$18:EJ182,EJ183)&gt;0,"",EJ183)</f>
        <v/>
      </c>
      <c r="EM183" s="9"/>
      <c r="EN183" s="14" t="str">
        <f>AI187</f>
        <v/>
      </c>
      <c r="EO183" s="771">
        <f t="shared" si="119"/>
        <v>0</v>
      </c>
      <c r="EP183" s="8"/>
      <c r="EQ183" s="38"/>
      <c r="ER183" s="197">
        <f t="shared" si="101"/>
        <v>5</v>
      </c>
      <c r="ES183" s="773" t="str">
        <f t="shared" si="102"/>
        <v/>
      </c>
      <c r="ET183" s="203" t="str">
        <f t="shared" si="120"/>
        <v/>
      </c>
      <c r="EU183" s="9"/>
      <c r="EV183" s="11" t="str">
        <f>IF(COUNTIF($ET$18:ET182,ET183)&gt;0,"",ET183)</f>
        <v/>
      </c>
      <c r="EW183" s="9"/>
      <c r="EX183" s="124">
        <f>Z184</f>
        <v>0</v>
      </c>
      <c r="EY183" s="771">
        <f t="shared" si="121"/>
        <v>0</v>
      </c>
      <c r="EZ183" s="8"/>
      <c r="FA183" s="38"/>
      <c r="FB183" s="197">
        <f t="shared" si="117"/>
        <v>10</v>
      </c>
      <c r="FC183" s="773" t="str">
        <f t="shared" si="118"/>
        <v/>
      </c>
      <c r="FD183" s="772" t="str">
        <f t="shared" si="122"/>
        <v/>
      </c>
      <c r="FE183" s="9"/>
      <c r="FF183" s="11" t="str">
        <f>IF(COUNTIF($FD$15:FD182,FD183)&gt;0,"",FD183)</f>
        <v/>
      </c>
      <c r="FG183" s="9"/>
      <c r="FH183" s="124" t="str">
        <f>BE184</f>
        <v/>
      </c>
      <c r="FI183" s="771">
        <f t="shared" si="123"/>
        <v>0</v>
      </c>
    </row>
    <row r="184" spans="1:165" ht="11.25" customHeight="1">
      <c r="A184" s="8">
        <v>18</v>
      </c>
      <c r="B184" s="23"/>
      <c r="C184" s="3837" t="str">
        <f>非誘!C125</f>
        <v/>
      </c>
      <c r="D184" s="3837"/>
      <c r="E184" s="3837"/>
      <c r="F184" s="3838" t="str">
        <f>非誘!F125</f>
        <v/>
      </c>
      <c r="G184" s="3839"/>
      <c r="H184" s="3840"/>
      <c r="I184" s="3838" t="str">
        <f>非誘!J125</f>
        <v/>
      </c>
      <c r="J184" s="3839"/>
      <c r="K184" s="3839"/>
      <c r="L184" s="3840"/>
      <c r="M184" s="3841" t="str">
        <f>非誘!N125</f>
        <v/>
      </c>
      <c r="N184" s="3842"/>
      <c r="O184" s="3842"/>
      <c r="P184" s="3843"/>
      <c r="Q184" s="3537" t="str">
        <f>非誘!AA125</f>
        <v/>
      </c>
      <c r="R184" s="3537"/>
      <c r="S184" s="3537"/>
      <c r="T184" s="3537" t="str">
        <f>非誘!AD125</f>
        <v/>
      </c>
      <c r="U184" s="3537"/>
      <c r="V184" s="3537"/>
      <c r="W184" s="781" t="str">
        <f>IF(OR(BL23="不要",C184&lt;&gt;$X$10),"",IF(AND($AB$17="UHF×3",$AF$17&lt;&gt;"",$AJ$17&lt;&gt;""),2,IF(OR(AND($AB$17="UHF×3",$AB$17="",$AJ$17=""),AND($AB$17="UHF×3",$AF$17&lt;&gt;"",$AJ$17=""),AND($AB$17="UHF×2",$AF$17&lt;&gt;"",$AJ$17&lt;&gt;"")),1,"")))</f>
        <v/>
      </c>
      <c r="X184" s="780" t="str">
        <f>IF(OR(BL23="不要",C184&lt;&gt;$X$10),"",IF(AND($AB$17&lt;&gt;"",$AF$17&lt;&gt;"",$AJ$17&lt;&gt;""),1,""))</f>
        <v/>
      </c>
      <c r="Y184" s="780" t="str">
        <f>IF(OR(BL23="不要",C184&lt;&gt;$X$10),"",IF(AND(OR($AB$17="UHF×2",$AB$17="UHF×3"),$AF$17&lt;&gt;"",$AJ$17=""),1,""))</f>
        <v/>
      </c>
      <c r="Z184" s="779"/>
      <c r="AA184" s="3847" t="str">
        <f>IF(C184="","",IF(AND(BL23&lt;&gt;"不要",DC180="＝"),1,""))</f>
        <v/>
      </c>
      <c r="AB184" s="3848"/>
      <c r="AC184" s="3848"/>
      <c r="AD184" s="3848" t="str">
        <f>IF($B$2=0,"",IF(OR(BL23="不要",C184="",C184="  RF"),"",IF(BL23="設置",1,"")))</f>
        <v/>
      </c>
      <c r="AE184" s="3848"/>
      <c r="AF184" s="3849"/>
      <c r="AG184" s="3817" t="str">
        <f>IF(OR(BL23="不要",C184="",C184="  RF"),"",IF(AI184&lt;&gt;"",AI184,IF(DE181+DM181+DT181+DT183+DT185=0,"",DE181+DM181+DT181+DT183+DT185)))</f>
        <v/>
      </c>
      <c r="AH184" s="3817"/>
      <c r="AI184" s="3815"/>
      <c r="AJ184" s="3815"/>
      <c r="AK184" s="3817" t="str">
        <f>IF(OR(BL23="不要",C184="",C184="  RF"),"",IF(AM184&lt;&gt;"",AM184,IF(DF181+DN181=0,"",DF181+DN181)))</f>
        <v/>
      </c>
      <c r="AL184" s="3817"/>
      <c r="AM184" s="3815"/>
      <c r="AN184" s="3815"/>
      <c r="AO184" s="3813" t="str">
        <f>IF(AQ184="","",AQ184)</f>
        <v/>
      </c>
      <c r="AP184" s="3814"/>
      <c r="AQ184" s="3815"/>
      <c r="AR184" s="3815"/>
      <c r="AS184" s="3816" t="str">
        <f>IF(OR(BL23="不要",C184="  RF"),"",IF(AU184&lt;&gt;"",AU184,IF(DH181+DP181+DU181+DX181+DY181+DZ181=0,"",DH181+DP181+DU181+DX181+DY181+DZ181)))</f>
        <v/>
      </c>
      <c r="AT184" s="3817"/>
      <c r="AU184" s="3815"/>
      <c r="AV184" s="3815"/>
      <c r="AW184" s="3817" t="str">
        <f>IF(OR(BL23="不要",C184="  RF"),"",IF(AY184&lt;&gt;"",AY184,IF(DI181+DQ181+DV181+DV183+DY183+DZ183=0,"",DI181+DQ181+DV181+DV183+DY183+DZ183)))</f>
        <v/>
      </c>
      <c r="AX184" s="3817"/>
      <c r="AY184" s="3815"/>
      <c r="AZ184" s="3815"/>
      <c r="BA184" s="3817" t="str">
        <f>IF(OR(BL23="不要",C184="  RF"),"",IF(BC184&lt;&gt;"",BC184,IF(DJ181+DR181+DW181+DW183+DW185+DZ185=0,"",DJ181+DR181+DW181+DW183+DW185+DZ185)))</f>
        <v/>
      </c>
      <c r="BB184" s="3817"/>
      <c r="BC184" s="3815"/>
      <c r="BD184" s="3815"/>
      <c r="BE184" s="3817" t="str">
        <f>IF(OR(BL23="不要",$X$11="2端子",C184="",C184="  RF"),"",IF(BG184&lt;&gt;"",BG184,IF(AND(AB185="Ａ",$X$11="1端子"),DK181,"")))</f>
        <v/>
      </c>
      <c r="BF184" s="3817"/>
      <c r="BG184" s="3817" t="str">
        <f>IF(AND(BO184&lt;&gt;"",AB185="Ａ",$X$11="1端子"),BO184,"")</f>
        <v/>
      </c>
      <c r="BH184" s="3817"/>
      <c r="BI184" s="3816" t="str">
        <f>IF(OR(BL23="不要",$X$11="1端子",C184="",C184="  RF"),"",IF(BK184&lt;&gt;"",BK184,IF(AND(AB185="Ａ",$X$11="2端子"),DK181,"")))</f>
        <v/>
      </c>
      <c r="BJ184" s="3817"/>
      <c r="BK184" s="3817" t="str">
        <f>IF(AND(BS184&lt;&gt;"",AB185="Ａ",$X$11="2端子"),BS184,"")</f>
        <v/>
      </c>
      <c r="BL184" s="3817"/>
      <c r="BM184" s="3817" t="str">
        <f>IF(OR(BL23="不要",C184="  RF",C184="",$X$11="2端子"),"",IF(BO184&lt;&gt;"",BO184,IF(AND(AB185="Ａ",$X$11="1端子"),DK181,DK179)))</f>
        <v/>
      </c>
      <c r="BN184" s="3817"/>
      <c r="BO184" s="3815"/>
      <c r="BP184" s="3815"/>
      <c r="BQ184" s="3817" t="str">
        <f>IF(OR(BL23="不要",C184="  RF",C184="",$X$11="1端子"),"",IF(BS184&lt;&gt;"",BS184,IF(AND(AB185="Ａ",$X$11="2端子"),DK181,DK179)))</f>
        <v/>
      </c>
      <c r="BR184" s="3817"/>
      <c r="BS184" s="3815"/>
      <c r="BT184" s="3886"/>
      <c r="BU184" s="19"/>
      <c r="BV184" s="8"/>
      <c r="BW184" s="88" t="str">
        <f>IF(I184="直天",F184,I184)</f>
        <v/>
      </c>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38"/>
      <c r="DA184" s="15"/>
      <c r="DB184" s="15"/>
      <c r="DC184" s="180" t="s">
        <v>1086</v>
      </c>
      <c r="DD184" s="2589" t="str">
        <f>IF($AL$10="nC-FB","S-7C-FB",IF($AL$10="nD-FB","8D-FB","7C-2V"))</f>
        <v>S-7C-FB</v>
      </c>
      <c r="DE184" s="2591"/>
      <c r="DF184" s="3631">
        <f>IF(OR(C184="",C184="  RF"),0,IF(AB185="Ｃ",2.5*AG184+(DB182+DC182),F184+2))</f>
        <v>0</v>
      </c>
      <c r="DG184" s="3812"/>
      <c r="DH184" s="2589" t="str">
        <f>IF(OR(H185="天井ケーブル",H185="天井-PF管"),"PF-S-22mm",IF(H185="天井-CD管","CD-22mm",IF(H185="天井-C 管","C-25mm",IF(H185="天井-G 管","G-22mm",""))))</f>
        <v>PF-S-22mm</v>
      </c>
      <c r="DI184" s="2591"/>
      <c r="DJ184" s="3631">
        <f>IF(OR(C184="",C184="  RF"),0,IF(AB185="Ｃ",F184-($AM$8-$AM$7)/1000,F184))</f>
        <v>0</v>
      </c>
      <c r="DK184" s="3812"/>
      <c r="DL184" s="778"/>
      <c r="DM184" s="112"/>
      <c r="DN184" s="190" t="s">
        <v>1085</v>
      </c>
      <c r="DO184" s="98">
        <f>IF(OR(C184="",C184="  RF"),0,(DB182+DC182)/2/SQRT(DK181))</f>
        <v>0</v>
      </c>
      <c r="DP184" s="15"/>
      <c r="DQ184" s="15"/>
      <c r="DR184" s="15"/>
      <c r="DS184" s="8"/>
      <c r="DT184" s="113" t="s">
        <v>1084</v>
      </c>
      <c r="DU184" s="8"/>
      <c r="DV184" s="113"/>
      <c r="DW184" s="113" t="s">
        <v>1083</v>
      </c>
      <c r="DX184" s="8"/>
      <c r="DY184" s="8"/>
      <c r="DZ184" s="113" t="s">
        <v>1083</v>
      </c>
      <c r="EA184" s="113"/>
      <c r="EB184" s="776" t="str">
        <f>IF(OR($B$2=0,AA184=""),"","増幅器 "&amp;AA182&amp;AA183)</f>
        <v/>
      </c>
      <c r="EC184" s="15"/>
      <c r="ED184" s="122" t="str">
        <f>IF(BI184="","","直列Unit-中間2端子")</f>
        <v/>
      </c>
      <c r="EE184" s="15" t="str">
        <f>BI184</f>
        <v/>
      </c>
      <c r="EF184" s="15"/>
      <c r="EG184" s="15"/>
      <c r="EH184" s="197">
        <f t="shared" si="98"/>
        <v>5</v>
      </c>
      <c r="EI184" s="773" t="str">
        <f t="shared" si="99"/>
        <v/>
      </c>
      <c r="EJ184" s="203" t="str">
        <f>AS186</f>
        <v/>
      </c>
      <c r="EK184" s="9"/>
      <c r="EL184" s="9" t="str">
        <f>IF(COUNTIF($EJ$18:EJ183,EJ184)&gt;0,"",EJ184)</f>
        <v/>
      </c>
      <c r="EM184" s="9"/>
      <c r="EN184" s="14" t="str">
        <f>BB186</f>
        <v/>
      </c>
      <c r="EO184" s="771">
        <f t="shared" si="119"/>
        <v>0</v>
      </c>
      <c r="EP184" s="8"/>
      <c r="EQ184" s="15"/>
      <c r="ER184" s="197">
        <f t="shared" si="101"/>
        <v>5</v>
      </c>
      <c r="ES184" s="773" t="str">
        <f t="shared" si="102"/>
        <v/>
      </c>
      <c r="ET184" s="203" t="str">
        <f t="shared" si="120"/>
        <v/>
      </c>
      <c r="EU184" s="9"/>
      <c r="EV184" s="11" t="str">
        <f>IF(COUNTIF($ET$18:ET183,ET184)&gt;0,"",ET184)</f>
        <v/>
      </c>
      <c r="EW184" s="9"/>
      <c r="EX184" s="124" t="str">
        <f>AA184</f>
        <v/>
      </c>
      <c r="EY184" s="771">
        <f t="shared" si="121"/>
        <v>0</v>
      </c>
      <c r="EZ184" s="8"/>
      <c r="FA184" s="15"/>
      <c r="FB184" s="197">
        <f t="shared" si="117"/>
        <v>10</v>
      </c>
      <c r="FC184" s="773" t="str">
        <f t="shared" si="118"/>
        <v/>
      </c>
      <c r="FD184" s="772" t="str">
        <f t="shared" si="122"/>
        <v/>
      </c>
      <c r="FE184" s="9"/>
      <c r="FF184" s="11" t="str">
        <f>IF(COUNTIF($FD$15:FD183,FD184)&gt;0,"",FD184)</f>
        <v/>
      </c>
      <c r="FG184" s="9"/>
      <c r="FH184" s="124" t="str">
        <f>BI184</f>
        <v/>
      </c>
      <c r="FI184" s="771">
        <f t="shared" si="123"/>
        <v>0</v>
      </c>
    </row>
    <row r="185" spans="1:165" ht="12" customHeight="1">
      <c r="A185" s="8"/>
      <c r="B185" s="23"/>
      <c r="C185" s="3794" t="s">
        <v>135</v>
      </c>
      <c r="D185" s="3794"/>
      <c r="E185" s="3794"/>
      <c r="F185" s="3794"/>
      <c r="G185" s="3794"/>
      <c r="H185" s="3795" t="str">
        <f>IF($B$2=0,"",IF(P185="","天井ケーブル",P185))</f>
        <v>天井ケーブル</v>
      </c>
      <c r="I185" s="3795"/>
      <c r="J185" s="3795"/>
      <c r="K185" s="3795"/>
      <c r="L185" s="3795"/>
      <c r="M185" s="3795"/>
      <c r="N185" s="3795"/>
      <c r="O185" s="775" t="s">
        <v>1163</v>
      </c>
      <c r="P185" s="3796"/>
      <c r="Q185" s="3797"/>
      <c r="R185" s="3797"/>
      <c r="S185" s="3797"/>
      <c r="T185" s="3797"/>
      <c r="U185" s="3797"/>
      <c r="V185" s="3798"/>
      <c r="W185" s="3794" t="s">
        <v>1082</v>
      </c>
      <c r="X185" s="3794"/>
      <c r="Y185" s="3794"/>
      <c r="Z185" s="3794"/>
      <c r="AA185" s="3794"/>
      <c r="AB185" s="3799" t="str">
        <f>IF(BL23="不要","",IF(AF185&lt;&gt;"",AF185,DB179))</f>
        <v/>
      </c>
      <c r="AC185" s="3799"/>
      <c r="AD185" s="3799"/>
      <c r="AE185" s="775" t="s">
        <v>1163</v>
      </c>
      <c r="AF185" s="3800"/>
      <c r="AG185" s="3801"/>
      <c r="AH185" s="3802"/>
      <c r="AI185" s="2634" t="s">
        <v>20</v>
      </c>
      <c r="AJ185" s="2634"/>
      <c r="AK185" s="2634"/>
      <c r="AL185" s="2634"/>
      <c r="AM185" s="2634"/>
      <c r="AN185" s="3522" t="str">
        <f>IF(OR(C184="",C184="  RF"),"",非誘!J124)</f>
        <v/>
      </c>
      <c r="AO185" s="3523"/>
      <c r="AP185" s="3523"/>
      <c r="AQ185" s="3524"/>
      <c r="AR185" s="3507" t="s">
        <v>1081</v>
      </c>
      <c r="AS185" s="3461"/>
      <c r="AT185" s="3461"/>
      <c r="AU185" s="3461"/>
      <c r="AV185" s="3461"/>
      <c r="AW185" s="3461"/>
      <c r="AX185" s="3461"/>
      <c r="AY185" s="3461"/>
      <c r="AZ185" s="3563" t="str">
        <f>IF(OR(C184="",C184="  RF"),"",IF(BC185="",$AN$11,BC185))</f>
        <v/>
      </c>
      <c r="BA185" s="3563"/>
      <c r="BB185" s="777" t="s">
        <v>1163</v>
      </c>
      <c r="BC185" s="3521"/>
      <c r="BD185" s="3521"/>
      <c r="BE185" s="3564"/>
      <c r="BF185" s="3565"/>
      <c r="BG185" s="3565"/>
      <c r="BH185" s="3565"/>
      <c r="BI185" s="3565"/>
      <c r="BJ185" s="3565"/>
      <c r="BK185" s="3565"/>
      <c r="BL185" s="3565"/>
      <c r="BM185" s="3565"/>
      <c r="BN185" s="3565"/>
      <c r="BO185" s="3565"/>
      <c r="BP185" s="3565"/>
      <c r="BQ185" s="3565"/>
      <c r="BR185" s="3565"/>
      <c r="BS185" s="3565"/>
      <c r="BT185" s="3566"/>
      <c r="BU185" s="19"/>
      <c r="BV185" s="3887"/>
      <c r="BW185" s="3888"/>
      <c r="BX185" s="3888"/>
      <c r="BY185" s="3888"/>
      <c r="BZ185" s="3888"/>
      <c r="CA185" s="3888"/>
      <c r="CB185" s="3888"/>
      <c r="CC185" s="3888"/>
      <c r="CD185" s="3888"/>
      <c r="CE185" s="3888"/>
      <c r="CF185" s="3888"/>
      <c r="CG185" s="3888"/>
      <c r="CH185" s="3888"/>
      <c r="CI185" s="3888"/>
      <c r="CJ185" s="3888"/>
      <c r="CK185" s="3888"/>
      <c r="CL185" s="3888"/>
      <c r="CM185" s="3888"/>
      <c r="CN185" s="3888"/>
      <c r="CO185" s="3888"/>
      <c r="CP185" s="3888"/>
      <c r="CQ185" s="3888"/>
      <c r="CR185" s="3888"/>
      <c r="CS185" s="3888"/>
      <c r="CT185" s="3888"/>
      <c r="CU185" s="3888"/>
      <c r="CV185" s="3888"/>
      <c r="CW185" s="3888"/>
      <c r="CX185" s="3888"/>
      <c r="CY185" s="3888"/>
      <c r="CZ185" s="3889"/>
      <c r="DA185" s="15"/>
      <c r="DB185" s="8"/>
      <c r="DC185" s="180" t="s">
        <v>1162</v>
      </c>
      <c r="DD185" s="2589" t="str">
        <f>IF($AL$10="nC-FB","S-5C-FB",IF($AL$10="nD-FB","5D-FB","5C-2V"))</f>
        <v>S-5C-FB</v>
      </c>
      <c r="DE185" s="2591"/>
      <c r="DF185" s="3631">
        <f>IF(AB185="Ａ",(DK181+2*BW184-($X$7+$X$9)/1000)*DO184+(12+2*BW184-2*$X$9/1000)*DK181+DO185,IF(AB185="Ｂ",(DO184+2*BW184-$X$9/1000)*DK179+DO185,0))</f>
        <v>0</v>
      </c>
      <c r="DG185" s="3812"/>
      <c r="DH185" s="2589" t="str">
        <f>IF(OR(H185="天井ケーブル",H185="天井-PF管"),"PF-S-16mm",IF(H185="天井-CD管","CD-16mm",IF(H185="天井-C 管","C-19mm",IF(H185="天井-G 管","G-16mm",""))))</f>
        <v>PF-S-16mm</v>
      </c>
      <c r="DI185" s="2591"/>
      <c r="DJ185" s="3786">
        <f>IF(OR(C184="",C184="  RF"),0,IF(H185="天井ケーブル",DK179*(BW184-($X$9-$AM$9)/1000),(DO184+2*BW184-$X$9/1000)*DK179+DO185))</f>
        <v>0</v>
      </c>
      <c r="DK185" s="3786"/>
      <c r="DL185" s="15"/>
      <c r="DM185" s="46"/>
      <c r="DN185" s="46" t="s">
        <v>1161</v>
      </c>
      <c r="DO185" s="98" t="str">
        <f>DB183</f>
        <v/>
      </c>
      <c r="DP185" s="15"/>
      <c r="DQ185" s="15"/>
      <c r="DR185" s="15"/>
      <c r="DS185" s="128" t="s">
        <v>1160</v>
      </c>
      <c r="DT185" s="86">
        <f>IF(AB185&lt;&gt;"Ｃ",0,IF(DZ185=0,0,DZ185))</f>
        <v>0</v>
      </c>
      <c r="DU185" s="8"/>
      <c r="DV185" s="8"/>
      <c r="DW185" s="86">
        <f>IF(AB185&lt;&gt;"Ｃ",0,IF(DZ185=0,0,1))</f>
        <v>0</v>
      </c>
      <c r="DX185" s="8"/>
      <c r="DY185" s="8"/>
      <c r="DZ185" s="86">
        <f>IF(AB185&lt;&gt;"Ｃ",0,IF(AND(DB178&gt;120,DB178&lt;=144),4,IF(AND(DB178&gt;144,DB178&lt;=180),5,0)))</f>
        <v>0</v>
      </c>
      <c r="EA185" s="38"/>
      <c r="EB185" s="776" t="str">
        <f>IF(OR($B$2=0,AD184=""),"","増幅器 "&amp;AD182&amp;AD183)</f>
        <v/>
      </c>
      <c r="EC185" s="38"/>
      <c r="ED185" s="122" t="str">
        <f>IF(BM184="","","直列Unit-終端1端子")</f>
        <v/>
      </c>
      <c r="EE185" s="38" t="str">
        <f>BM184</f>
        <v/>
      </c>
      <c r="EF185" s="38"/>
      <c r="EG185" s="38"/>
      <c r="EH185" s="197">
        <f t="shared" ref="EH185:EH205" si="124">IF(EL185&lt;&gt;"",EH184+1,EH184)</f>
        <v>5</v>
      </c>
      <c r="EI185" s="773" t="str">
        <f t="shared" ref="EI185:EI205" si="125">IF(AND(EH185&lt;&gt;"",EL185&lt;&gt;""),EH185,"")</f>
        <v/>
      </c>
      <c r="EJ185" s="203" t="str">
        <f>AS187</f>
        <v/>
      </c>
      <c r="EK185" s="9"/>
      <c r="EL185" s="9" t="str">
        <f>IF(COUNTIF($EJ$18:EJ184,EJ185)&gt;0,"",EJ185)</f>
        <v/>
      </c>
      <c r="EM185" s="9"/>
      <c r="EN185" s="14" t="str">
        <f>BB187</f>
        <v/>
      </c>
      <c r="EO185" s="771">
        <f t="shared" si="119"/>
        <v>0</v>
      </c>
      <c r="EP185" s="8"/>
      <c r="EQ185" s="38"/>
      <c r="ER185" s="197">
        <f t="shared" ref="ER185:ER205" si="126">IF(EV185&lt;&gt;"",ER184+1,ER184)</f>
        <v>5</v>
      </c>
      <c r="ES185" s="773" t="str">
        <f t="shared" ref="ES185:ES205" si="127">IF(AND(ER185&lt;&gt;"",EV185&lt;&gt;""),ER185,"")</f>
        <v/>
      </c>
      <c r="ET185" s="203" t="str">
        <f t="shared" si="120"/>
        <v/>
      </c>
      <c r="EU185" s="9"/>
      <c r="EV185" s="11" t="str">
        <f>IF(COUNTIF($ET$18:ET184,ET185)&gt;0,"",ET185)</f>
        <v/>
      </c>
      <c r="EW185" s="9"/>
      <c r="EX185" s="124" t="str">
        <f>AD184</f>
        <v/>
      </c>
      <c r="EY185" s="771">
        <f t="shared" si="121"/>
        <v>0</v>
      </c>
      <c r="EZ185" s="8"/>
      <c r="FA185" s="38"/>
      <c r="FB185" s="197">
        <f t="shared" si="117"/>
        <v>10</v>
      </c>
      <c r="FC185" s="773" t="str">
        <f t="shared" si="118"/>
        <v/>
      </c>
      <c r="FD185" s="772" t="str">
        <f t="shared" si="122"/>
        <v/>
      </c>
      <c r="FE185" s="9"/>
      <c r="FF185" s="11" t="str">
        <f>IF(COUNTIF($FD$15:FD184,FD185)&gt;0,"",FD185)</f>
        <v/>
      </c>
      <c r="FG185" s="9"/>
      <c r="FH185" s="124" t="str">
        <f>BM184</f>
        <v/>
      </c>
      <c r="FI185" s="771">
        <f t="shared" si="123"/>
        <v>0</v>
      </c>
    </row>
    <row r="186" spans="1:165" ht="12" customHeight="1">
      <c r="A186" s="8"/>
      <c r="B186" s="23"/>
      <c r="C186" s="3807" t="s">
        <v>449</v>
      </c>
      <c r="D186" s="3807"/>
      <c r="E186" s="3807"/>
      <c r="F186" s="3795" t="str">
        <f>IF($H$15="ＣＡＴＶ","CATV引込","アンテナ部")</f>
        <v>アンテナ部</v>
      </c>
      <c r="G186" s="3795"/>
      <c r="H186" s="3795"/>
      <c r="I186" s="3795"/>
      <c r="J186" s="3795"/>
      <c r="K186" s="3810" t="str">
        <f>IF(OR(BL23="不要",$B$2=0,C184&lt;&gt;$X$10),"",IF(P186&lt;&gt;"",P186,DD183))</f>
        <v/>
      </c>
      <c r="L186" s="3810"/>
      <c r="M186" s="3810"/>
      <c r="N186" s="3810"/>
      <c r="O186" s="775" t="s">
        <v>2</v>
      </c>
      <c r="P186" s="3517"/>
      <c r="Q186" s="3517"/>
      <c r="R186" s="3517"/>
      <c r="S186" s="3517"/>
      <c r="T186" s="3534" t="str">
        <f>IF(AND(C184&lt;&gt;"",K186&lt;&gt;""),DF183,"")</f>
        <v/>
      </c>
      <c r="U186" s="3534"/>
      <c r="V186" s="3534"/>
      <c r="W186" s="3534"/>
      <c r="X186" s="3810" t="str">
        <f>IF(OR($B$2=0,K186=""),"",IF(AD186&lt;&gt;"",AD186,DH183))</f>
        <v/>
      </c>
      <c r="Y186" s="3810"/>
      <c r="Z186" s="3810"/>
      <c r="AA186" s="3810"/>
      <c r="AB186" s="3810"/>
      <c r="AC186" s="775" t="s">
        <v>2</v>
      </c>
      <c r="AD186" s="3525"/>
      <c r="AE186" s="3525"/>
      <c r="AF186" s="3525"/>
      <c r="AG186" s="3525"/>
      <c r="AH186" s="3525"/>
      <c r="AI186" s="3534" t="str">
        <f>IF(X186="","",IF(DJ183="","",DJ183))</f>
        <v/>
      </c>
      <c r="AJ186" s="3534"/>
      <c r="AK186" s="3534"/>
      <c r="AL186" s="3534"/>
      <c r="AM186" s="3795" t="s">
        <v>1077</v>
      </c>
      <c r="AN186" s="3795"/>
      <c r="AO186" s="3795"/>
      <c r="AP186" s="3795"/>
      <c r="AQ186" s="3795"/>
      <c r="AR186" s="3795"/>
      <c r="AS186" s="3810" t="str">
        <f>IF(OR(BL23="不要",$B$2=0,C184="",C184="  RF",AB185="Ｃ"),"",IF(AX186&lt;&gt;"",AX186,DD185))</f>
        <v/>
      </c>
      <c r="AT186" s="3810"/>
      <c r="AU186" s="3810"/>
      <c r="AV186" s="3810"/>
      <c r="AW186" s="775" t="s">
        <v>2</v>
      </c>
      <c r="AX186" s="3517"/>
      <c r="AY186" s="3517"/>
      <c r="AZ186" s="3517"/>
      <c r="BA186" s="3517"/>
      <c r="BB186" s="3811" t="str">
        <f>IF(AS186&lt;&gt;"",DF185,"")</f>
        <v/>
      </c>
      <c r="BC186" s="3811"/>
      <c r="BD186" s="3811"/>
      <c r="BE186" s="3811"/>
      <c r="BF186" s="3810" t="str">
        <f>IF(OR(C184="",AS186=""),"",IF(AB185="Ａ",DH184,DH185))</f>
        <v/>
      </c>
      <c r="BG186" s="3810"/>
      <c r="BH186" s="3810"/>
      <c r="BI186" s="3810"/>
      <c r="BJ186" s="3810"/>
      <c r="BK186" s="775" t="s">
        <v>2</v>
      </c>
      <c r="BL186" s="3525"/>
      <c r="BM186" s="3525"/>
      <c r="BN186" s="3525"/>
      <c r="BO186" s="3525"/>
      <c r="BP186" s="3525"/>
      <c r="BQ186" s="3534" t="str">
        <f>IF(BF186="","",DJ185)</f>
        <v/>
      </c>
      <c r="BR186" s="3534"/>
      <c r="BS186" s="3534"/>
      <c r="BT186" s="3535"/>
      <c r="BU186" s="19"/>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774" t="s">
        <v>1159</v>
      </c>
      <c r="DD186" s="2589" t="str">
        <f>DD185</f>
        <v>S-5C-FB</v>
      </c>
      <c r="DE186" s="2591"/>
      <c r="DF186" s="3631">
        <f>IF(OR(C184="",C184="  RF",I184="直天"),0,1+INT(12+BW184-($X$9-$AM$9)/1000)*DK179+DO186)</f>
        <v>0</v>
      </c>
      <c r="DG186" s="3812"/>
      <c r="DH186" s="2589" t="str">
        <f>DH185</f>
        <v>PF-S-16mm</v>
      </c>
      <c r="DI186" s="2591"/>
      <c r="DJ186" s="3786">
        <f>IF(OR(C184="",C184="  RF"),0,IF(H185="天井ケーブル",DK179*(BW184-($X$9-2*$AM$9)/1000),1+INT(12+BW184-$X$9/1000)*DK179))</f>
        <v>0</v>
      </c>
      <c r="DK186" s="3786"/>
      <c r="DL186" s="15"/>
      <c r="DM186" s="15"/>
      <c r="DN186" s="46" t="s">
        <v>1075</v>
      </c>
      <c r="DO186" s="97">
        <f>IF(C184="",0,IF($AW$8=0,0,2*($AW$8/1000-0.15-0.1)*(INT(1000*DB182/$AW$10)+1)*(INT(1000*DC182/$AW$10)+1)*4))</f>
        <v>0</v>
      </c>
      <c r="DP186" s="15"/>
      <c r="DQ186" s="15"/>
      <c r="DR186" s="15"/>
      <c r="DS186" s="8"/>
      <c r="DT186" s="8"/>
      <c r="DU186" s="8"/>
      <c r="DV186" s="8"/>
      <c r="DW186" s="8"/>
      <c r="DX186" s="8"/>
      <c r="DY186" s="8"/>
      <c r="DZ186" s="8"/>
      <c r="EA186" s="8"/>
      <c r="EB186" s="769" t="str">
        <f>IF(OR($B$2=0,AG184=""),"","分岐器 1C")</f>
        <v/>
      </c>
      <c r="EC186" s="8"/>
      <c r="ED186" s="122" t="str">
        <f>IF(BQ184="","","直列Unit-終端2端子")</f>
        <v/>
      </c>
      <c r="EE186" s="8" t="str">
        <f>BQ184</f>
        <v/>
      </c>
      <c r="EF186" s="8"/>
      <c r="EG186" s="8"/>
      <c r="EH186" s="197">
        <f t="shared" si="124"/>
        <v>5</v>
      </c>
      <c r="EI186" s="773" t="str">
        <f t="shared" si="125"/>
        <v/>
      </c>
      <c r="EJ186" s="203" t="str">
        <f>BF186</f>
        <v/>
      </c>
      <c r="EK186" s="9"/>
      <c r="EL186" s="9" t="str">
        <f>IF(COUNTIF($EJ$18:EJ185,EJ186)&gt;0,"",EJ186)</f>
        <v/>
      </c>
      <c r="EM186" s="9"/>
      <c r="EN186" s="14" t="str">
        <f>BQ186</f>
        <v/>
      </c>
      <c r="EO186" s="771">
        <f t="shared" si="119"/>
        <v>0</v>
      </c>
      <c r="EP186" s="8"/>
      <c r="EQ186" s="8"/>
      <c r="ER186" s="197">
        <f t="shared" si="126"/>
        <v>5</v>
      </c>
      <c r="ES186" s="773" t="str">
        <f t="shared" si="127"/>
        <v/>
      </c>
      <c r="ET186" s="203" t="str">
        <f t="shared" si="120"/>
        <v/>
      </c>
      <c r="EU186" s="9"/>
      <c r="EV186" s="11" t="str">
        <f>IF(COUNTIF($ET$18:ET185,ET186)&gt;0,"",ET186)</f>
        <v/>
      </c>
      <c r="EW186" s="9"/>
      <c r="EX186" s="124" t="str">
        <f>AG184</f>
        <v/>
      </c>
      <c r="EY186" s="771">
        <f t="shared" si="121"/>
        <v>0</v>
      </c>
      <c r="EZ186" s="8"/>
      <c r="FA186" s="8"/>
      <c r="FB186" s="197">
        <f t="shared" si="117"/>
        <v>10</v>
      </c>
      <c r="FC186" s="773" t="str">
        <f t="shared" si="118"/>
        <v/>
      </c>
      <c r="FD186" s="772" t="str">
        <f t="shared" si="122"/>
        <v/>
      </c>
      <c r="FE186" s="9"/>
      <c r="FF186" s="11" t="str">
        <f>IF(COUNTIF($FD$15:FD185,FD186)&gt;0,"",FD186)</f>
        <v/>
      </c>
      <c r="FG186" s="9"/>
      <c r="FH186" s="124" t="str">
        <f>BQ184</f>
        <v/>
      </c>
      <c r="FI186" s="771">
        <f t="shared" si="123"/>
        <v>0</v>
      </c>
    </row>
    <row r="187" spans="1:165" ht="12" customHeight="1" thickBot="1">
      <c r="A187" s="8"/>
      <c r="B187" s="23"/>
      <c r="C187" s="3885"/>
      <c r="D187" s="3885"/>
      <c r="E187" s="3885"/>
      <c r="F187" s="3881" t="s">
        <v>1074</v>
      </c>
      <c r="G187" s="3881"/>
      <c r="H187" s="3881"/>
      <c r="I187" s="3881"/>
      <c r="J187" s="3881"/>
      <c r="K187" s="3882" t="str">
        <f>IF(OR(C184="",C184="  RF",$B$2=0),"",IF(P187&lt;&gt;"",P187,DD184))</f>
        <v/>
      </c>
      <c r="L187" s="3882"/>
      <c r="M187" s="3882"/>
      <c r="N187" s="3882"/>
      <c r="O187" s="789" t="s">
        <v>2</v>
      </c>
      <c r="P187" s="3536"/>
      <c r="Q187" s="3536"/>
      <c r="R187" s="3536"/>
      <c r="S187" s="3536"/>
      <c r="T187" s="3880" t="str">
        <f>IF(R181="不",F184,IF(K187="","",DF184))</f>
        <v/>
      </c>
      <c r="U187" s="3880"/>
      <c r="V187" s="3880"/>
      <c r="W187" s="3880"/>
      <c r="X187" s="3882" t="str">
        <f>IF(R181="不","",IF(OR(C184="",K187=""),"",IF(AD187&lt;&gt;"",AD187,IF(DH184="","",DH184))))</f>
        <v/>
      </c>
      <c r="Y187" s="3882"/>
      <c r="Z187" s="3882"/>
      <c r="AA187" s="3882"/>
      <c r="AB187" s="3882"/>
      <c r="AC187" s="789" t="s">
        <v>2</v>
      </c>
      <c r="AD187" s="3533"/>
      <c r="AE187" s="3533"/>
      <c r="AF187" s="3533"/>
      <c r="AG187" s="3533"/>
      <c r="AH187" s="3533"/>
      <c r="AI187" s="3880" t="str">
        <f>IF(X187="","",DJ184)</f>
        <v/>
      </c>
      <c r="AJ187" s="3880"/>
      <c r="AK187" s="3880"/>
      <c r="AL187" s="3880"/>
      <c r="AM187" s="3881" t="s">
        <v>1073</v>
      </c>
      <c r="AN187" s="3881"/>
      <c r="AO187" s="3881"/>
      <c r="AP187" s="3881"/>
      <c r="AQ187" s="3881"/>
      <c r="AR187" s="3881"/>
      <c r="AS187" s="3882" t="str">
        <f>IF(OR(BL23="不要",$B$2=0,C184="",AB185&lt;&gt;"Ｃ"),"",IF(AX187&lt;&gt;"",AX187,DD186))</f>
        <v/>
      </c>
      <c r="AT187" s="3882"/>
      <c r="AU187" s="3882"/>
      <c r="AV187" s="3882"/>
      <c r="AW187" s="789" t="s">
        <v>2</v>
      </c>
      <c r="AX187" s="3536"/>
      <c r="AY187" s="3536"/>
      <c r="AZ187" s="3536"/>
      <c r="BA187" s="3536"/>
      <c r="BB187" s="3883" t="str">
        <f>IF(AS187="","",DF186)</f>
        <v/>
      </c>
      <c r="BC187" s="3883"/>
      <c r="BD187" s="3883"/>
      <c r="BE187" s="3883"/>
      <c r="BF187" s="3882" t="str">
        <f>IF(OR(C184="",AS187=""),"",IF(BL187&lt;&gt;"",BL187,DH186))</f>
        <v/>
      </c>
      <c r="BG187" s="3882"/>
      <c r="BH187" s="3882"/>
      <c r="BI187" s="3882"/>
      <c r="BJ187" s="3882"/>
      <c r="BK187" s="789" t="s">
        <v>2</v>
      </c>
      <c r="BL187" s="3533"/>
      <c r="BM187" s="3533"/>
      <c r="BN187" s="3533"/>
      <c r="BO187" s="3533"/>
      <c r="BP187" s="3533"/>
      <c r="BQ187" s="3880" t="str">
        <f>IF(BF187="","",DJ186)</f>
        <v/>
      </c>
      <c r="BR187" s="3880"/>
      <c r="BS187" s="3880"/>
      <c r="BT187" s="3884"/>
      <c r="BU187" s="19"/>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8" t="str">
        <f>IF(AND(AB194="Ａ",$X$11="2端子"),BI193+BQ193,IF(AND(AB194="Ａ",$X$11="1端子"),BE193+BM193,IF(AND(AB194="Ｂ",$X$11="1端子"),BM193,IF(AND(AB194="Ｂ",$X$11="2端子"),BQ193,IF(AND(AB194="Ｃ",$X$11="1端子"),BM193,BQ193)))))</f>
        <v/>
      </c>
      <c r="DC187" s="10"/>
      <c r="DD187" s="8"/>
      <c r="DE187" s="8"/>
      <c r="DF187" s="8"/>
      <c r="DG187" s="8"/>
      <c r="DH187" s="8"/>
      <c r="DI187" s="8"/>
      <c r="DJ187" s="8"/>
      <c r="DK187" s="8"/>
      <c r="DL187" s="8"/>
      <c r="DM187" s="8"/>
      <c r="DN187" s="8"/>
      <c r="DO187" s="8"/>
      <c r="DP187" s="15"/>
      <c r="DQ187" s="15"/>
      <c r="DR187" s="15"/>
      <c r="DS187" s="8"/>
      <c r="DT187" s="8"/>
      <c r="DU187" s="8"/>
      <c r="DV187" s="8"/>
      <c r="DW187" s="8"/>
      <c r="DX187" s="8"/>
      <c r="DY187" s="8"/>
      <c r="DZ187" s="8"/>
      <c r="EA187" s="8"/>
      <c r="EB187" s="769" t="str">
        <f>IF(OR($B$2=0,AK184=""),"","分岐器 2C")</f>
        <v/>
      </c>
      <c r="EC187" s="8"/>
      <c r="ED187" s="10"/>
      <c r="EE187" s="8"/>
      <c r="EF187" s="8"/>
      <c r="EG187" s="8"/>
      <c r="EH187" s="197">
        <f t="shared" si="124"/>
        <v>5</v>
      </c>
      <c r="EI187" s="773" t="str">
        <f t="shared" si="125"/>
        <v/>
      </c>
      <c r="EJ187" s="203" t="str">
        <f>BF187</f>
        <v/>
      </c>
      <c r="EK187" s="9"/>
      <c r="EL187" s="9" t="str">
        <f>IF(COUNTIF($EJ$18:EJ186,EJ187)&gt;0,"",EJ187)</f>
        <v/>
      </c>
      <c r="EM187" s="9"/>
      <c r="EN187" s="14" t="str">
        <f>BQ187</f>
        <v/>
      </c>
      <c r="EO187" s="771">
        <f t="shared" si="119"/>
        <v>0</v>
      </c>
      <c r="EP187" s="8"/>
      <c r="EQ187" s="8"/>
      <c r="ER187" s="197">
        <f t="shared" si="126"/>
        <v>5</v>
      </c>
      <c r="ES187" s="773" t="str">
        <f t="shared" si="127"/>
        <v/>
      </c>
      <c r="ET187" s="203" t="str">
        <f t="shared" si="120"/>
        <v/>
      </c>
      <c r="EU187" s="9"/>
      <c r="EV187" s="11" t="str">
        <f>IF(COUNTIF($ET$18:ET186,ET187)&gt;0,"",ET187)</f>
        <v/>
      </c>
      <c r="EW187" s="9"/>
      <c r="EX187" s="124" t="str">
        <f>AK184</f>
        <v/>
      </c>
      <c r="EY187" s="771">
        <f t="shared" si="121"/>
        <v>0</v>
      </c>
      <c r="EZ187" s="8"/>
      <c r="FA187" s="8"/>
      <c r="FB187" s="197">
        <f t="shared" si="117"/>
        <v>10</v>
      </c>
      <c r="FC187" s="773" t="str">
        <f t="shared" si="118"/>
        <v/>
      </c>
      <c r="FD187" s="772"/>
      <c r="FE187" s="9"/>
      <c r="FF187" s="11"/>
      <c r="FG187" s="9"/>
      <c r="FH187" s="124"/>
      <c r="FI187" s="771"/>
    </row>
    <row r="188" spans="1:165" ht="12" customHeight="1" thickBot="1">
      <c r="B188" s="23"/>
      <c r="C188" s="20"/>
      <c r="D188" s="20"/>
      <c r="E188" s="20"/>
      <c r="F188" s="20"/>
      <c r="G188" s="20"/>
      <c r="H188" s="20"/>
      <c r="I188" s="20"/>
      <c r="J188" s="20"/>
      <c r="K188" s="20"/>
      <c r="L188" s="20"/>
      <c r="M188" s="20"/>
      <c r="N188" s="20"/>
      <c r="O188" s="20"/>
      <c r="P188" s="20"/>
      <c r="Q188" s="787" t="str">
        <f>IF(AND(OR(AB194="Ａ",F268="Ａ"),DB187&gt;24),"直列ユニット数………配線方式Ａ：24以下!!",IF(AND(OR(AB194="Ｂ",F268="Ｂ"),DB187&gt;12),"直列ユニット数………配線方式Ｂ：12以下!!",IF(AND(OR(AB194="Ｃ",F268="Ｃ"),DB187&gt;180),"直列ユニット数………配線方式Ｃ：180以下!!","")))</f>
        <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9"/>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v>19</v>
      </c>
      <c r="DB188" s="92" t="str">
        <f>IF(OR(V159="不要",C193="",C193="  RF"),"",IF(DK188&lt;=12,"Ｂ",IF(DK188&lt;=24,"Ａ","Ｃ")))</f>
        <v/>
      </c>
      <c r="DC188" s="10"/>
      <c r="DD188" s="8"/>
      <c r="DE188" s="8"/>
      <c r="DF188" s="195"/>
      <c r="DG188" s="195"/>
      <c r="DH188" s="8"/>
      <c r="DI188" s="8"/>
      <c r="DJ188" s="8"/>
      <c r="DK188" s="159">
        <f>IF(OR(C193="",C193="  RF"),0,SUM(Q193:V193))</f>
        <v>0</v>
      </c>
      <c r="DL188" s="8"/>
      <c r="DM188" s="8"/>
      <c r="DN188" s="8"/>
      <c r="DO188" s="8"/>
      <c r="DP188" s="8"/>
      <c r="DQ188" s="8"/>
      <c r="DR188" s="8"/>
      <c r="DS188" s="8"/>
      <c r="DT188" s="8"/>
      <c r="DU188" s="8"/>
      <c r="DV188" s="8"/>
      <c r="DW188" s="8"/>
      <c r="DX188" s="8"/>
      <c r="DY188" s="8"/>
      <c r="DZ188" s="8"/>
      <c r="EA188" s="8"/>
      <c r="EB188" s="8"/>
      <c r="EC188" s="8"/>
      <c r="ED188" s="8"/>
      <c r="EE188" s="8"/>
      <c r="EF188" s="8"/>
      <c r="EG188" s="88">
        <v>19</v>
      </c>
      <c r="EH188" s="204">
        <f t="shared" si="124"/>
        <v>5</v>
      </c>
      <c r="EI188" s="768" t="str">
        <f t="shared" si="125"/>
        <v/>
      </c>
      <c r="EJ188" s="45"/>
      <c r="EK188" s="45"/>
      <c r="EL188" s="45"/>
      <c r="EM188" s="45"/>
      <c r="EN188" s="45"/>
      <c r="EO188" s="785"/>
      <c r="EP188" s="8"/>
      <c r="EQ188" s="88">
        <v>19</v>
      </c>
      <c r="ER188" s="204">
        <f t="shared" si="126"/>
        <v>5</v>
      </c>
      <c r="ES188" s="768" t="str">
        <f t="shared" si="127"/>
        <v/>
      </c>
      <c r="ET188" s="45"/>
      <c r="EU188" s="45"/>
      <c r="EV188" s="154"/>
      <c r="EW188" s="45"/>
      <c r="EX188" s="45"/>
      <c r="EY188" s="785"/>
      <c r="EZ188" s="8"/>
      <c r="FA188" s="88">
        <v>19</v>
      </c>
      <c r="FB188" s="204">
        <f t="shared" si="117"/>
        <v>10</v>
      </c>
      <c r="FC188" s="768" t="str">
        <f t="shared" si="118"/>
        <v/>
      </c>
      <c r="FD188" s="786"/>
      <c r="FE188" s="45"/>
      <c r="FF188" s="154"/>
      <c r="FG188" s="45"/>
      <c r="FH188" s="208"/>
      <c r="FI188" s="785"/>
    </row>
    <row r="189" spans="1:165" ht="11.25" customHeight="1" thickBot="1">
      <c r="B189" s="23"/>
      <c r="C189" s="3399" t="s">
        <v>1142</v>
      </c>
      <c r="D189" s="3412"/>
      <c r="E189" s="3412"/>
      <c r="F189" s="3412"/>
      <c r="G189" s="3412"/>
      <c r="H189" s="3412"/>
      <c r="I189" s="3412"/>
      <c r="J189" s="3412"/>
      <c r="K189" s="3412"/>
      <c r="L189" s="3413"/>
      <c r="M189" s="3853" t="str">
        <f>非誘!J129</f>
        <v/>
      </c>
      <c r="N189" s="3854"/>
      <c r="O189" s="3854"/>
      <c r="P189" s="3854"/>
      <c r="Q189" s="3855"/>
      <c r="R189" s="2299" t="str">
        <f>IF($B$2=0,"","共聴機器")</f>
        <v>共聴機器</v>
      </c>
      <c r="S189" s="2299"/>
      <c r="T189" s="2299"/>
      <c r="U189" s="2299"/>
      <c r="V189" s="2299"/>
      <c r="W189" s="3412" t="s">
        <v>1141</v>
      </c>
      <c r="X189" s="3412"/>
      <c r="Y189" s="3412"/>
      <c r="Z189" s="3413"/>
      <c r="AA189" s="2637" t="s">
        <v>1140</v>
      </c>
      <c r="AB189" s="2638"/>
      <c r="AC189" s="2638"/>
      <c r="AD189" s="2638"/>
      <c r="AE189" s="2638"/>
      <c r="AF189" s="2639"/>
      <c r="AG189" s="3879" t="s">
        <v>1139</v>
      </c>
      <c r="AH189" s="3879"/>
      <c r="AI189" s="3879"/>
      <c r="AJ189" s="3879"/>
      <c r="AK189" s="3879"/>
      <c r="AL189" s="3879"/>
      <c r="AM189" s="3879"/>
      <c r="AN189" s="3879"/>
      <c r="AO189" s="3879"/>
      <c r="AP189" s="3879"/>
      <c r="AQ189" s="3879"/>
      <c r="AR189" s="3879"/>
      <c r="AS189" s="2637" t="s">
        <v>1138</v>
      </c>
      <c r="AT189" s="2638"/>
      <c r="AU189" s="2638"/>
      <c r="AV189" s="2638"/>
      <c r="AW189" s="2638"/>
      <c r="AX189" s="2638"/>
      <c r="AY189" s="2638"/>
      <c r="AZ189" s="2638"/>
      <c r="BA189" s="2638"/>
      <c r="BB189" s="2638"/>
      <c r="BC189" s="2638"/>
      <c r="BD189" s="2639"/>
      <c r="BE189" s="2637" t="s">
        <v>1137</v>
      </c>
      <c r="BF189" s="2638"/>
      <c r="BG189" s="2638"/>
      <c r="BH189" s="2638"/>
      <c r="BI189" s="2638"/>
      <c r="BJ189" s="2638"/>
      <c r="BK189" s="2638"/>
      <c r="BL189" s="2638"/>
      <c r="BM189" s="2638"/>
      <c r="BN189" s="2638"/>
      <c r="BO189" s="2638"/>
      <c r="BP189" s="2638"/>
      <c r="BQ189" s="2638"/>
      <c r="BR189" s="2638"/>
      <c r="BS189" s="2638"/>
      <c r="BT189" s="3856"/>
      <c r="BU189" s="19"/>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15"/>
      <c r="DA189" s="788" t="str">
        <f>IF(DB207&lt;&gt;"","Amp-2","")</f>
        <v/>
      </c>
      <c r="DB189" s="97" t="str">
        <f>IF(C193="","",DB180+1)</f>
        <v/>
      </c>
      <c r="DC189" s="15" t="str">
        <f>IF($X$10=C193,"＝",IF(VLOOKUP(C193,[2]!階高,3,FALSE)-VLOOKUP($X$10,[2]!階高,3,FALSE)&gt;0,"＋","－"))</f>
        <v>－</v>
      </c>
      <c r="DD189" s="38"/>
      <c r="DE189" s="113" t="s">
        <v>1127</v>
      </c>
      <c r="DF189" s="113" t="s">
        <v>1126</v>
      </c>
      <c r="DG189" s="113" t="s">
        <v>1125</v>
      </c>
      <c r="DH189" s="113" t="s">
        <v>1133</v>
      </c>
      <c r="DI189" s="113" t="s">
        <v>1124</v>
      </c>
      <c r="DJ189" s="113" t="s">
        <v>1134</v>
      </c>
      <c r="DK189" s="90" t="s">
        <v>1135</v>
      </c>
      <c r="DL189" s="38"/>
      <c r="DM189" s="113" t="s">
        <v>1127</v>
      </c>
      <c r="DN189" s="113" t="s">
        <v>1126</v>
      </c>
      <c r="DO189" s="113" t="s">
        <v>1125</v>
      </c>
      <c r="DP189" s="113" t="s">
        <v>1133</v>
      </c>
      <c r="DQ189" s="113" t="s">
        <v>1124</v>
      </c>
      <c r="DR189" s="113" t="s">
        <v>1134</v>
      </c>
      <c r="DS189" s="38"/>
      <c r="DT189" s="113" t="s">
        <v>1127</v>
      </c>
      <c r="DU189" s="113" t="s">
        <v>1133</v>
      </c>
      <c r="DV189" s="113" t="s">
        <v>1124</v>
      </c>
      <c r="DW189" s="113" t="s">
        <v>1134</v>
      </c>
      <c r="DX189" s="113" t="s">
        <v>1133</v>
      </c>
      <c r="DY189" s="113" t="s">
        <v>1133</v>
      </c>
      <c r="DZ189" s="113" t="s">
        <v>1133</v>
      </c>
      <c r="EA189" s="113"/>
      <c r="EB189" s="776" t="str">
        <f>IF(OR($B$2=0,W193=""),"","混合器 U-U")</f>
        <v/>
      </c>
      <c r="EC189" s="15"/>
      <c r="ED189" s="782" t="str">
        <f>IF(AS193="","","分配器 2D")</f>
        <v/>
      </c>
      <c r="EE189" s="15" t="str">
        <f>AS193</f>
        <v/>
      </c>
      <c r="EF189" s="15"/>
      <c r="EG189" s="8"/>
      <c r="EH189" s="197">
        <f t="shared" si="124"/>
        <v>5</v>
      </c>
      <c r="EI189" s="773" t="str">
        <f t="shared" si="125"/>
        <v/>
      </c>
      <c r="EJ189" s="203" t="str">
        <f>K195</f>
        <v/>
      </c>
      <c r="EK189" s="9"/>
      <c r="EL189" s="9" t="str">
        <f>IF(COUNTIF($EJ$18:EJ188,EJ189)&gt;0,"",EJ189)</f>
        <v/>
      </c>
      <c r="EM189" s="9"/>
      <c r="EN189" s="14" t="str">
        <f>T195</f>
        <v/>
      </c>
      <c r="EO189" s="771">
        <f t="shared" ref="EO189:EO196" si="128">SUMIF($EJ$25:$EJ$225,EL189,$EN$25:$EN$225)</f>
        <v>0</v>
      </c>
      <c r="EP189" s="8"/>
      <c r="EQ189" s="8"/>
      <c r="ER189" s="197">
        <f t="shared" si="126"/>
        <v>5</v>
      </c>
      <c r="ES189" s="773" t="str">
        <f t="shared" si="127"/>
        <v/>
      </c>
      <c r="ET189" s="203" t="str">
        <f t="shared" ref="ET189:ET196" si="129">EB189</f>
        <v/>
      </c>
      <c r="EU189" s="9"/>
      <c r="EV189" s="11" t="str">
        <f>IF(COUNTIF($ET$18:ET188,ET189)&gt;0,"",ET189)</f>
        <v/>
      </c>
      <c r="EW189" s="9"/>
      <c r="EX189" s="124" t="str">
        <f>W193</f>
        <v/>
      </c>
      <c r="EY189" s="771">
        <f t="shared" ref="EY189:EY196" si="130">SUMIF($ET$25:$ET$225,EV189,$EX$25:$EX$225)</f>
        <v>0</v>
      </c>
      <c r="EZ189" s="8"/>
      <c r="FA189" s="8"/>
      <c r="FB189" s="197">
        <f t="shared" si="117"/>
        <v>10</v>
      </c>
      <c r="FC189" s="773" t="str">
        <f t="shared" si="118"/>
        <v/>
      </c>
      <c r="FD189" s="772" t="str">
        <f t="shared" ref="FD189:FD195" si="131">ED189</f>
        <v/>
      </c>
      <c r="FE189" s="9"/>
      <c r="FF189" s="11" t="str">
        <f>IF(COUNTIF($FD$15:FD188,FD189)&gt;0,"",FD189)</f>
        <v/>
      </c>
      <c r="FG189" s="9"/>
      <c r="FH189" s="124" t="str">
        <f>AS193</f>
        <v/>
      </c>
      <c r="FI189" s="771">
        <f t="shared" ref="FI189:FI195" si="132">SUMIF($FD$18:$FD$205,FF189,$FH$18:$FH$205)</f>
        <v>0</v>
      </c>
    </row>
    <row r="190" spans="1:165" ht="11.25" customHeight="1" thickBot="1">
      <c r="B190" s="23"/>
      <c r="C190" s="3857" t="str">
        <f>"　"&amp;非誘!M129</f>
        <v>　</v>
      </c>
      <c r="D190" s="3858"/>
      <c r="E190" s="3858"/>
      <c r="F190" s="3858"/>
      <c r="G190" s="3858"/>
      <c r="H190" s="3858"/>
      <c r="I190" s="3858"/>
      <c r="J190" s="3858"/>
      <c r="K190" s="3858"/>
      <c r="L190" s="3858"/>
      <c r="M190" s="3858"/>
      <c r="N190" s="3858"/>
      <c r="O190" s="3858"/>
      <c r="P190" s="3858"/>
      <c r="Q190" s="3859"/>
      <c r="R190" s="2337" t="str">
        <f>IF(U190&lt;&gt;"",U190,IF(C193="","","設"))</f>
        <v/>
      </c>
      <c r="S190" s="2337"/>
      <c r="T190" s="175" t="s">
        <v>2</v>
      </c>
      <c r="U190" s="2338"/>
      <c r="V190" s="2338"/>
      <c r="W190" s="3860" t="s">
        <v>1158</v>
      </c>
      <c r="X190" s="3863" t="s">
        <v>1157</v>
      </c>
      <c r="Y190" s="3863" t="s">
        <v>1129</v>
      </c>
      <c r="Z190" s="3866"/>
      <c r="AA190" s="3528" t="s">
        <v>1156</v>
      </c>
      <c r="AB190" s="3519"/>
      <c r="AC190" s="3519"/>
      <c r="AD190" s="3519"/>
      <c r="AE190" s="3519"/>
      <c r="AF190" s="3520"/>
      <c r="AG190" s="3528" t="s">
        <v>1127</v>
      </c>
      <c r="AH190" s="3519"/>
      <c r="AI190" s="3519"/>
      <c r="AJ190" s="3529"/>
      <c r="AK190" s="3518" t="s">
        <v>1126</v>
      </c>
      <c r="AL190" s="3519"/>
      <c r="AM190" s="3519"/>
      <c r="AN190" s="3529"/>
      <c r="AO190" s="3518" t="s">
        <v>1125</v>
      </c>
      <c r="AP190" s="3519"/>
      <c r="AQ190" s="3519"/>
      <c r="AR190" s="3520"/>
      <c r="AS190" s="3528" t="s">
        <v>1133</v>
      </c>
      <c r="AT190" s="3519"/>
      <c r="AU190" s="3519"/>
      <c r="AV190" s="3529"/>
      <c r="AW190" s="3518" t="s">
        <v>1124</v>
      </c>
      <c r="AX190" s="3519"/>
      <c r="AY190" s="3519"/>
      <c r="AZ190" s="3529"/>
      <c r="BA190" s="3518" t="s">
        <v>1134</v>
      </c>
      <c r="BB190" s="3519"/>
      <c r="BC190" s="3519"/>
      <c r="BD190" s="3520"/>
      <c r="BE190" s="3528" t="s">
        <v>1123</v>
      </c>
      <c r="BF190" s="3519"/>
      <c r="BG190" s="3519"/>
      <c r="BH190" s="3519"/>
      <c r="BI190" s="3519"/>
      <c r="BJ190" s="3519"/>
      <c r="BK190" s="3519"/>
      <c r="BL190" s="3529"/>
      <c r="BM190" s="3518" t="s">
        <v>1122</v>
      </c>
      <c r="BN190" s="3519"/>
      <c r="BO190" s="3519"/>
      <c r="BP190" s="3519"/>
      <c r="BQ190" s="3519"/>
      <c r="BR190" s="3519"/>
      <c r="BS190" s="3519"/>
      <c r="BT190" s="3852"/>
      <c r="BU190" s="19"/>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15"/>
      <c r="DA190" s="15">
        <f>IF(AG193&lt;&gt;"",2,IF(AK193&lt;&gt;"",3,0))</f>
        <v>0</v>
      </c>
      <c r="DB190" s="86" t="s">
        <v>78</v>
      </c>
      <c r="DC190" s="86" t="s">
        <v>369</v>
      </c>
      <c r="DD190" s="128" t="s">
        <v>1120</v>
      </c>
      <c r="DE190" s="86">
        <f>IF(AB194&lt;&gt;"Ａ",0,IF(AND(2*DK190&gt;=4,2*DK190&lt;=12),1,0))</f>
        <v>0</v>
      </c>
      <c r="DF190" s="86">
        <f>IF(AB194&lt;&gt;"Ａ",0,IF(AND(2*DK190&gt;=16,DK190&lt;=24),1,0))</f>
        <v>0</v>
      </c>
      <c r="DG190" s="97" t="s">
        <v>98</v>
      </c>
      <c r="DH190" s="86">
        <f>IF(AB194&lt;&gt;"Ａ",0,IF(2*DK190&lt;=4,1,0))</f>
        <v>0</v>
      </c>
      <c r="DI190" s="86">
        <f>IF(AB194&lt;&gt;"Ａ",0,IF(OR(AND(2*DK190&gt;4,2*DK190&lt;=8),AND(2*DK190&gt;12,2*DK190&lt;=16)),1,0))</f>
        <v>0</v>
      </c>
      <c r="DJ190" s="183">
        <f>IF(AB194&lt;&gt;"Ａ",0,IF(OR(AND(2*DK190&gt;8,2*DK190&lt;=12),AND(2*DK190&gt;16,2*DK190&lt;=24)),1,0))</f>
        <v>0</v>
      </c>
      <c r="DK190" s="783">
        <f>IF(OR(C193="",C193="  RF"),0,IF(Q193="",INT((T193)/2),INT((Q193+INT(T193))/2)+1))</f>
        <v>0</v>
      </c>
      <c r="DL190" s="128" t="s">
        <v>1155</v>
      </c>
      <c r="DM190" s="86">
        <f>IF(AB194&lt;&gt;"Ｂ",0,IF(DB187&lt;=6,1,0))</f>
        <v>0</v>
      </c>
      <c r="DN190" s="86">
        <f>IF(AB194&lt;&gt;"Ｂ",0,IF(AND(DB187&gt;6,DB187&lt;=12),1,0))</f>
        <v>0</v>
      </c>
      <c r="DO190" s="97" t="s">
        <v>98</v>
      </c>
      <c r="DP190" s="86">
        <f>IF(AB194&lt;&gt;"Ｂ",0,IF(DB187&lt;=2,1,0))</f>
        <v>0</v>
      </c>
      <c r="DQ190" s="86">
        <f>IF(AB194&lt;&gt;"Ｂ",0,IF(OR(AND(DB187&gt;2,DB187&lt;6),AND(DB187&gt;6,DB187&lt;=8)),1,0))</f>
        <v>0</v>
      </c>
      <c r="DR190" s="86">
        <f>IF(AB194&lt;&gt;"Ｂ",0,IF(OR(AND(DB187&gt;4,DB187&lt;6),AND(DB187&gt;8,DB187&lt;=12)),1,0))</f>
        <v>0</v>
      </c>
      <c r="DS190" s="128" t="s">
        <v>1154</v>
      </c>
      <c r="DT190" s="159">
        <f>IF(AB194&lt;&gt;"Ｃ",0,IF(DX190&lt;&gt;0,DX190,IF(DY190&lt;&gt;0,DY190,IF(DZ190&lt;&gt;0,DZ190,0))))</f>
        <v>0</v>
      </c>
      <c r="DU190" s="159">
        <f>IF(AB194&lt;&gt;"Ｃ",0,IF(DX190=0,0,1))</f>
        <v>0</v>
      </c>
      <c r="DV190" s="159">
        <f>IF(AB194&lt;&gt;"Ｃ",0,IF(DY190=0,0,1))</f>
        <v>0</v>
      </c>
      <c r="DW190" s="783">
        <f>IF(AB194&lt;&gt;"Ｃ",0,IF(DZ190=0,0,1))</f>
        <v>0</v>
      </c>
      <c r="DX190" s="714">
        <f>IF(AB194&lt;&gt;"Ｃ",0,IF(DB187&lt;=12,3,IF(AND(DB187&gt;12,DB187&lt;=16),4,IF(AND(DB187&gt;16,DB187&lt;=20),5,0))))</f>
        <v>0</v>
      </c>
      <c r="DY190" s="86">
        <f>IF(AB194&lt;&gt;"Ｃ",0,IF(AND(DB187&gt;20,DB187&lt;=24),3,IF(AND(DB187&gt;24,DB187&lt;=32),4,IF(AND(DB187&gt;32,DB187&lt;=40),5,0))))</f>
        <v>0</v>
      </c>
      <c r="DZ190" s="97">
        <f>IF(AB194&lt;&gt;"Ｃ",0,IF(AND(DB187&gt;40,DB187&lt;=48),4,IF(AND(DB187&gt;48,DB187&lt;=60),5,0)))</f>
        <v>0</v>
      </c>
      <c r="EA190" s="96"/>
      <c r="EB190" s="776" t="str">
        <f>IF(OR($B$2=0,X193=""),"","混合器 BS-CS")</f>
        <v/>
      </c>
      <c r="EC190" s="96"/>
      <c r="ED190" s="782" t="str">
        <f>IF(AW193="","","分配器 4D")</f>
        <v/>
      </c>
      <c r="EE190" s="96" t="str">
        <f>AW193</f>
        <v/>
      </c>
      <c r="EF190" s="96"/>
      <c r="EG190" s="96"/>
      <c r="EH190" s="197">
        <f t="shared" si="124"/>
        <v>5</v>
      </c>
      <c r="EI190" s="773" t="str">
        <f t="shared" si="125"/>
        <v/>
      </c>
      <c r="EJ190" s="203" t="str">
        <f>K196</f>
        <v/>
      </c>
      <c r="EK190" s="9"/>
      <c r="EL190" s="9" t="str">
        <f>IF(COUNTIF($EJ$18:EJ189,EJ190)&gt;0,"",EJ190)</f>
        <v/>
      </c>
      <c r="EM190" s="9"/>
      <c r="EN190" s="14" t="str">
        <f>T196</f>
        <v/>
      </c>
      <c r="EO190" s="771">
        <f t="shared" si="128"/>
        <v>0</v>
      </c>
      <c r="EP190" s="8"/>
      <c r="EQ190" s="96"/>
      <c r="ER190" s="197">
        <f t="shared" si="126"/>
        <v>5</v>
      </c>
      <c r="ES190" s="773" t="str">
        <f t="shared" si="127"/>
        <v/>
      </c>
      <c r="ET190" s="203" t="str">
        <f t="shared" si="129"/>
        <v/>
      </c>
      <c r="EU190" s="9"/>
      <c r="EV190" s="11" t="str">
        <f>IF(COUNTIF($ET$18:ET189,ET190)&gt;0,"",ET190)</f>
        <v/>
      </c>
      <c r="EW190" s="9"/>
      <c r="EX190" s="124" t="str">
        <f>X193</f>
        <v/>
      </c>
      <c r="EY190" s="771">
        <f t="shared" si="130"/>
        <v>0</v>
      </c>
      <c r="EZ190" s="8"/>
      <c r="FA190" s="96"/>
      <c r="FB190" s="197">
        <f t="shared" si="117"/>
        <v>10</v>
      </c>
      <c r="FC190" s="773" t="str">
        <f t="shared" si="118"/>
        <v/>
      </c>
      <c r="FD190" s="772" t="str">
        <f t="shared" si="131"/>
        <v/>
      </c>
      <c r="FE190" s="9"/>
      <c r="FF190" s="11" t="str">
        <f>IF(COUNTIF($FD$15:FD189,FD190)&gt;0,"",FD190)</f>
        <v/>
      </c>
      <c r="FG190" s="9"/>
      <c r="FH190" s="124" t="str">
        <f>AW193</f>
        <v/>
      </c>
      <c r="FI190" s="771">
        <f t="shared" si="132"/>
        <v>0</v>
      </c>
    </row>
    <row r="191" spans="1:165" ht="11.25" customHeight="1" thickBot="1">
      <c r="B191" s="23"/>
      <c r="C191" s="3819" t="s">
        <v>16</v>
      </c>
      <c r="D191" s="3820"/>
      <c r="E191" s="3821"/>
      <c r="F191" s="3869" t="s">
        <v>22</v>
      </c>
      <c r="G191" s="3870"/>
      <c r="H191" s="3871"/>
      <c r="I191" s="3869" t="s">
        <v>5</v>
      </c>
      <c r="J191" s="3870"/>
      <c r="K191" s="3870"/>
      <c r="L191" s="3871"/>
      <c r="M191" s="3819" t="s">
        <v>1117</v>
      </c>
      <c r="N191" s="3820"/>
      <c r="O191" s="3820"/>
      <c r="P191" s="3821"/>
      <c r="Q191" s="3819" t="s">
        <v>1116</v>
      </c>
      <c r="R191" s="3820"/>
      <c r="S191" s="3821"/>
      <c r="T191" s="3819" t="s">
        <v>1116</v>
      </c>
      <c r="U191" s="3820"/>
      <c r="V191" s="3821"/>
      <c r="W191" s="3861"/>
      <c r="X191" s="3864"/>
      <c r="Y191" s="3864"/>
      <c r="Z191" s="3867"/>
      <c r="AA191" s="3872" t="str">
        <f>IF($AG$15&lt;=65,"40/","35/")</f>
        <v>40/</v>
      </c>
      <c r="AB191" s="3873"/>
      <c r="AC191" s="3873"/>
      <c r="AD191" s="3873" t="str">
        <f>IF(CW269&gt;55,"40/","35/")</f>
        <v>35/</v>
      </c>
      <c r="AE191" s="3873"/>
      <c r="AF191" s="3875"/>
      <c r="AG191" s="3876" t="s">
        <v>1114</v>
      </c>
      <c r="AH191" s="3877"/>
      <c r="AI191" s="3877"/>
      <c r="AJ191" s="3877"/>
      <c r="AK191" s="3877"/>
      <c r="AL191" s="3877"/>
      <c r="AM191" s="3877"/>
      <c r="AN191" s="3877"/>
      <c r="AO191" s="3877"/>
      <c r="AP191" s="3877"/>
      <c r="AQ191" s="3877"/>
      <c r="AR191" s="3878"/>
      <c r="AS191" s="3549" t="s">
        <v>1113</v>
      </c>
      <c r="AT191" s="3550"/>
      <c r="AU191" s="3550"/>
      <c r="AV191" s="3550"/>
      <c r="AW191" s="3550"/>
      <c r="AX191" s="3550"/>
      <c r="AY191" s="3550"/>
      <c r="AZ191" s="3550"/>
      <c r="BA191" s="3550"/>
      <c r="BB191" s="3550"/>
      <c r="BC191" s="3550"/>
      <c r="BD191" s="3551"/>
      <c r="BE191" s="3552" t="s">
        <v>1112</v>
      </c>
      <c r="BF191" s="3553"/>
      <c r="BG191" s="3553"/>
      <c r="BH191" s="3553"/>
      <c r="BI191" s="3553" t="s">
        <v>1111</v>
      </c>
      <c r="BJ191" s="3553"/>
      <c r="BK191" s="3553"/>
      <c r="BL191" s="3553"/>
      <c r="BM191" s="3553" t="s">
        <v>1112</v>
      </c>
      <c r="BN191" s="3553"/>
      <c r="BO191" s="3553"/>
      <c r="BP191" s="3553"/>
      <c r="BQ191" s="3553" t="s">
        <v>1111</v>
      </c>
      <c r="BR191" s="3553"/>
      <c r="BS191" s="3553"/>
      <c r="BT191" s="3874"/>
      <c r="BU191" s="19"/>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15"/>
      <c r="DA191" s="67" t="e">
        <f>IF(DC189="＋",F193+F184+3,F193+F202+3)</f>
        <v>#VALUE!</v>
      </c>
      <c r="DB191" s="98" t="str">
        <f>IF(C193="  RF","",IF(AN194="","",非誘!BW131))</f>
        <v/>
      </c>
      <c r="DC191" s="98" t="str">
        <f>IF(DB191="","",IF(AN194="","",非誘!BX131))</f>
        <v/>
      </c>
      <c r="DD191" s="3822" t="s">
        <v>1110</v>
      </c>
      <c r="DE191" s="3823"/>
      <c r="DF191" s="3824" t="s">
        <v>1108</v>
      </c>
      <c r="DG191" s="3824"/>
      <c r="DH191" s="3824" t="s">
        <v>1109</v>
      </c>
      <c r="DI191" s="3824"/>
      <c r="DJ191" s="3825" t="s">
        <v>1108</v>
      </c>
      <c r="DK191" s="3826"/>
      <c r="DL191" s="8"/>
      <c r="DM191" s="113" t="s">
        <v>1107</v>
      </c>
      <c r="DN191" s="113" t="s">
        <v>1106</v>
      </c>
      <c r="DO191" s="113" t="s">
        <v>1105</v>
      </c>
      <c r="DP191" s="8"/>
      <c r="DQ191" s="8"/>
      <c r="DR191" s="8"/>
      <c r="DS191" s="8"/>
      <c r="DT191" s="113" t="s">
        <v>1084</v>
      </c>
      <c r="DU191" s="8"/>
      <c r="DV191" s="113" t="s">
        <v>1104</v>
      </c>
      <c r="DW191" s="113" t="s">
        <v>1083</v>
      </c>
      <c r="DX191" s="8"/>
      <c r="DY191" s="113" t="s">
        <v>1104</v>
      </c>
      <c r="DZ191" s="113" t="s">
        <v>1104</v>
      </c>
      <c r="EA191" s="113"/>
      <c r="EB191" s="776" t="str">
        <f>IF(OR($B$2=0,Y193=""),"","混合器 UV-BC")</f>
        <v/>
      </c>
      <c r="EC191" s="15"/>
      <c r="ED191" s="782" t="str">
        <f>IF(BA193="","","分配器 6D")</f>
        <v/>
      </c>
      <c r="EE191" s="15" t="str">
        <f>BA193</f>
        <v/>
      </c>
      <c r="EF191" s="15"/>
      <c r="EG191" s="15"/>
      <c r="EH191" s="197">
        <f t="shared" si="124"/>
        <v>5</v>
      </c>
      <c r="EI191" s="773" t="str">
        <f t="shared" si="125"/>
        <v/>
      </c>
      <c r="EJ191" s="203" t="str">
        <f>X195</f>
        <v/>
      </c>
      <c r="EK191" s="9"/>
      <c r="EL191" s="9" t="str">
        <f>IF(COUNTIF($EJ$18:EJ190,EJ191)&gt;0,"",EJ191)</f>
        <v/>
      </c>
      <c r="EM191" s="9"/>
      <c r="EN191" s="14" t="str">
        <f>AI195</f>
        <v/>
      </c>
      <c r="EO191" s="771">
        <f t="shared" si="128"/>
        <v>0</v>
      </c>
      <c r="EP191" s="8"/>
      <c r="EQ191" s="15"/>
      <c r="ER191" s="197">
        <f t="shared" si="126"/>
        <v>5</v>
      </c>
      <c r="ES191" s="773" t="str">
        <f t="shared" si="127"/>
        <v/>
      </c>
      <c r="ET191" s="203" t="str">
        <f t="shared" si="129"/>
        <v/>
      </c>
      <c r="EU191" s="9"/>
      <c r="EV191" s="11" t="str">
        <f>IF(COUNTIF($ET$18:ET190,ET191)&gt;0,"",ET191)</f>
        <v/>
      </c>
      <c r="EW191" s="9"/>
      <c r="EX191" s="124" t="str">
        <f>Y193</f>
        <v/>
      </c>
      <c r="EY191" s="771">
        <f t="shared" si="130"/>
        <v>0</v>
      </c>
      <c r="EZ191" s="8"/>
      <c r="FA191" s="15"/>
      <c r="FB191" s="197">
        <f t="shared" si="117"/>
        <v>10</v>
      </c>
      <c r="FC191" s="773" t="str">
        <f t="shared" si="118"/>
        <v/>
      </c>
      <c r="FD191" s="772" t="str">
        <f t="shared" si="131"/>
        <v/>
      </c>
      <c r="FE191" s="9"/>
      <c r="FF191" s="11" t="str">
        <f>IF(COUNTIF($FD$15:FD190,FD191)&gt;0,"",FD191)</f>
        <v/>
      </c>
      <c r="FG191" s="9"/>
      <c r="FH191" s="124" t="str">
        <f>BA193</f>
        <v/>
      </c>
      <c r="FI191" s="771">
        <f t="shared" si="132"/>
        <v>0</v>
      </c>
    </row>
    <row r="192" spans="1:165" ht="11.25" customHeight="1" thickBot="1">
      <c r="B192" s="23"/>
      <c r="C192" s="3819"/>
      <c r="D192" s="3820"/>
      <c r="E192" s="3821"/>
      <c r="F192" s="3827" t="s">
        <v>420</v>
      </c>
      <c r="G192" s="3769"/>
      <c r="H192" s="3828"/>
      <c r="I192" s="3819" t="s">
        <v>420</v>
      </c>
      <c r="J192" s="3820"/>
      <c r="K192" s="3820"/>
      <c r="L192" s="3821"/>
      <c r="M192" s="3819" t="s">
        <v>1150</v>
      </c>
      <c r="N192" s="3820"/>
      <c r="O192" s="3820"/>
      <c r="P192" s="3821"/>
      <c r="Q192" s="3819" t="s">
        <v>1102</v>
      </c>
      <c r="R192" s="3820"/>
      <c r="S192" s="3821"/>
      <c r="T192" s="3819" t="s">
        <v>115</v>
      </c>
      <c r="U192" s="3820"/>
      <c r="V192" s="3821"/>
      <c r="W192" s="3862"/>
      <c r="X192" s="3865"/>
      <c r="Y192" s="3865"/>
      <c r="Z192" s="3868"/>
      <c r="AA192" s="3829">
        <f>IF($AG$15&lt;=65,115,110)</f>
        <v>115</v>
      </c>
      <c r="AB192" s="3562"/>
      <c r="AC192" s="3562"/>
      <c r="AD192" s="3562">
        <f>IF(CW269&gt;55,115,110)</f>
        <v>110</v>
      </c>
      <c r="AE192" s="3562"/>
      <c r="AF192" s="3830"/>
      <c r="AG192" s="3831" t="s">
        <v>1149</v>
      </c>
      <c r="AH192" s="3832"/>
      <c r="AI192" s="3832"/>
      <c r="AJ192" s="3833"/>
      <c r="AK192" s="3834" t="s">
        <v>1148</v>
      </c>
      <c r="AL192" s="3832"/>
      <c r="AM192" s="3832"/>
      <c r="AN192" s="3833"/>
      <c r="AO192" s="3834" t="s">
        <v>1147</v>
      </c>
      <c r="AP192" s="3832"/>
      <c r="AQ192" s="3832"/>
      <c r="AR192" s="3835"/>
      <c r="AS192" s="3836" t="s">
        <v>1146</v>
      </c>
      <c r="AT192" s="3832"/>
      <c r="AU192" s="3832"/>
      <c r="AV192" s="3833"/>
      <c r="AW192" s="3844" t="s">
        <v>1145</v>
      </c>
      <c r="AX192" s="3845"/>
      <c r="AY192" s="3845"/>
      <c r="AZ192" s="3846"/>
      <c r="BA192" s="3558" t="s">
        <v>1094</v>
      </c>
      <c r="BB192" s="3559"/>
      <c r="BC192" s="3559"/>
      <c r="BD192" s="3560"/>
      <c r="BE192" s="3561" t="s">
        <v>1092</v>
      </c>
      <c r="BF192" s="3562"/>
      <c r="BG192" s="3562"/>
      <c r="BH192" s="3562"/>
      <c r="BI192" s="3850" t="s">
        <v>1091</v>
      </c>
      <c r="BJ192" s="3562"/>
      <c r="BK192" s="3562"/>
      <c r="BL192" s="3562"/>
      <c r="BM192" s="3850" t="s">
        <v>1090</v>
      </c>
      <c r="BN192" s="3562"/>
      <c r="BO192" s="3562"/>
      <c r="BP192" s="3562"/>
      <c r="BQ192" s="3850" t="s">
        <v>1089</v>
      </c>
      <c r="BR192" s="3562"/>
      <c r="BS192" s="3562"/>
      <c r="BT192" s="3851"/>
      <c r="BU192" s="19"/>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90"/>
      <c r="DA192" s="15"/>
      <c r="DB192" s="98" t="str">
        <f>IF(C193="","",IF(AZ194="①",DB191+DC191+3,IF(AZ194="②",DB191*5/8+DC191+3,IF(AZ194="③",DB191/2+DC191+3,IF(AZ194="④",DB191+DC191*5/8+3,IF(AZ194="⑤",(DB191+DC191)*5/8+3,IF(AZ194="⑥",DB191/2+DC191*5/8+3,IF(AZ194="⑦",DB191+DC191/2+3,IF(AZ194="⑧",DB191*5/8+DC191/2+3,IF(AZ194="⑨",(DB191+DC191)/2+3))))))))))</f>
        <v/>
      </c>
      <c r="DC192" s="180" t="s">
        <v>1088</v>
      </c>
      <c r="DD192" s="2589" t="str">
        <f>IF($AL$10="nC-FB","S-5C-FB",IF($AL$10="nD-FB","5D-FB","5C-2V"))</f>
        <v>S-5C-FB</v>
      </c>
      <c r="DE192" s="2591"/>
      <c r="DF192" s="3786">
        <f>IF(C193="  RF",DF183,IF($H$15="ＣＡＴＶ",DB191+DC191/2+F193-($AM$8-$AM$7)/1000+DR192,SUM(DM192:DO192)))</f>
        <v>0</v>
      </c>
      <c r="DG192" s="3786"/>
      <c r="DH192" s="2589" t="str">
        <f>IF($H$17="ＣＡＴＶ","G-22mm",IF(RIGHT($AB$17,1)+RIGHT($AF$17,1)+RIGHT($AJ$17,1)&gt;=4,"G-36mm","G-28mm"))</f>
        <v>G-28mm</v>
      </c>
      <c r="DI192" s="2591"/>
      <c r="DJ192" s="3786">
        <f>IF(C193="",0,IF(C193="  RF",DJ183,IF($H$15="ＣＡＴＶ",DB191+DC191/2+F193-($AM$8-$AM$7)/1000,10+F193-($AM$8-$AM$7)/1000)))</f>
        <v>0</v>
      </c>
      <c r="DK192" s="3786"/>
      <c r="DL192" s="15"/>
      <c r="DM192" s="98">
        <f>IF(OR($B$2=0,$H$15="ＣＡＴＶ",C193="",C193="  RF"),0,IF($AB$17="","",RIGHT($AB$17,1)*15+F193-($AM$8-$AM$7)/1000))</f>
        <v>0</v>
      </c>
      <c r="DN192" s="98">
        <f>IF(OR($B$2=0,$H$15="ＣＡＴＶ",C193="",C193="  RF"),0,IF($AF$17="","",15+F193-($AM$8-$AM$7)/1000))</f>
        <v>0</v>
      </c>
      <c r="DO192" s="98">
        <f>IF(OR($B$2=0,$H$15="ＣＡＴＶ",C193="",C193="  RF"),0,IF($AJ$17="","",15+F193-($AM$8-$AM$7)/1000))</f>
        <v>0</v>
      </c>
      <c r="DP192" s="15"/>
      <c r="DQ192" s="46" t="s">
        <v>1087</v>
      </c>
      <c r="DR192" s="98" t="str">
        <f>IF($H$17="ＣＡＴＶ",#REF!+#REF!,"")</f>
        <v/>
      </c>
      <c r="DS192" s="128" t="s">
        <v>1078</v>
      </c>
      <c r="DT192" s="159">
        <f>IF(AB194&lt;&gt;"Ｃ",0,IF(DY192&lt;&gt;0,DY192,IF(DZ192&lt;&gt;0,DZ192,0)))</f>
        <v>0</v>
      </c>
      <c r="DU192" s="8"/>
      <c r="DV192" s="86">
        <f>IF(AB194&lt;&gt;"Ｃ",0,IF(DY192=0,0,1))</f>
        <v>0</v>
      </c>
      <c r="DW192" s="86">
        <f>IF(AB194&lt;&gt;"Ｃ",0,IF(DZ192=0,0,1))</f>
        <v>0</v>
      </c>
      <c r="DX192" s="8"/>
      <c r="DY192" s="86">
        <f>IF(AB194&lt;&gt;"Ｃ",0,IF(AND(DB187&gt;60,DB187&lt;=64),4,IF(AND(DB187&gt;64,DB187&lt;=80),5,0)))</f>
        <v>0</v>
      </c>
      <c r="DZ192" s="86">
        <f>IF(AB194&lt;&gt;"Ｃ",0,IF(AND(DB187&gt;80,DB187&lt;=96),4,IF(AND(DB187&gt;96,DB187&lt;=120),5,0)))</f>
        <v>0</v>
      </c>
      <c r="EA192" s="38"/>
      <c r="EB192" s="776" t="str">
        <f>IF(OR($B$2=0,Z193=""),"","混合器 UV-BC")</f>
        <v/>
      </c>
      <c r="EC192" s="12"/>
      <c r="ED192" s="122" t="str">
        <f>IF(BE193="","","直列Unit-中間1端子")</f>
        <v/>
      </c>
      <c r="EE192" s="38" t="str">
        <f>BE193</f>
        <v/>
      </c>
      <c r="EF192" s="38"/>
      <c r="EG192" s="38"/>
      <c r="EH192" s="197">
        <f t="shared" si="124"/>
        <v>5</v>
      </c>
      <c r="EI192" s="773" t="str">
        <f t="shared" si="125"/>
        <v/>
      </c>
      <c r="EJ192" s="203" t="str">
        <f>X196</f>
        <v/>
      </c>
      <c r="EK192" s="9"/>
      <c r="EL192" s="9" t="str">
        <f>IF(COUNTIF($EJ$18:EJ191,EJ192)&gt;0,"",EJ192)</f>
        <v/>
      </c>
      <c r="EM192" s="9"/>
      <c r="EN192" s="14" t="str">
        <f>AI196</f>
        <v/>
      </c>
      <c r="EO192" s="771">
        <f t="shared" si="128"/>
        <v>0</v>
      </c>
      <c r="EP192" s="8"/>
      <c r="EQ192" s="38"/>
      <c r="ER192" s="197">
        <f t="shared" si="126"/>
        <v>5</v>
      </c>
      <c r="ES192" s="773" t="str">
        <f t="shared" si="127"/>
        <v/>
      </c>
      <c r="ET192" s="203" t="str">
        <f t="shared" si="129"/>
        <v/>
      </c>
      <c r="EU192" s="9"/>
      <c r="EV192" s="11" t="str">
        <f>IF(COUNTIF($ET$18:ET191,ET192)&gt;0,"",ET192)</f>
        <v/>
      </c>
      <c r="EW192" s="9"/>
      <c r="EX192" s="124">
        <f>Z193</f>
        <v>0</v>
      </c>
      <c r="EY192" s="771">
        <f t="shared" si="130"/>
        <v>0</v>
      </c>
      <c r="EZ192" s="8"/>
      <c r="FA192" s="38"/>
      <c r="FB192" s="197">
        <f t="shared" si="117"/>
        <v>10</v>
      </c>
      <c r="FC192" s="773" t="str">
        <f t="shared" si="118"/>
        <v/>
      </c>
      <c r="FD192" s="772" t="str">
        <f t="shared" si="131"/>
        <v/>
      </c>
      <c r="FE192" s="9"/>
      <c r="FF192" s="11" t="str">
        <f>IF(COUNTIF($FD$15:FD191,FD192)&gt;0,"",FD192)</f>
        <v/>
      </c>
      <c r="FG192" s="9"/>
      <c r="FH192" s="124" t="str">
        <f>BE193</f>
        <v/>
      </c>
      <c r="FI192" s="771">
        <f t="shared" si="132"/>
        <v>0</v>
      </c>
    </row>
    <row r="193" spans="1:165" ht="11.25" customHeight="1">
      <c r="A193" s="8">
        <v>19</v>
      </c>
      <c r="B193" s="23"/>
      <c r="C193" s="3837" t="str">
        <f>非誘!C131</f>
        <v/>
      </c>
      <c r="D193" s="3837"/>
      <c r="E193" s="3837"/>
      <c r="F193" s="3838" t="str">
        <f>非誘!F131</f>
        <v/>
      </c>
      <c r="G193" s="3839"/>
      <c r="H193" s="3840"/>
      <c r="I193" s="3838" t="str">
        <f>非誘!J131</f>
        <v/>
      </c>
      <c r="J193" s="3839"/>
      <c r="K193" s="3839"/>
      <c r="L193" s="3840"/>
      <c r="M193" s="3841" t="str">
        <f>非誘!N131</f>
        <v/>
      </c>
      <c r="N193" s="3842"/>
      <c r="O193" s="3842"/>
      <c r="P193" s="3843"/>
      <c r="Q193" s="3537" t="str">
        <f>非誘!AA131</f>
        <v/>
      </c>
      <c r="R193" s="3537"/>
      <c r="S193" s="3537"/>
      <c r="T193" s="3537" t="str">
        <f>非誘!AD131</f>
        <v/>
      </c>
      <c r="U193" s="3537"/>
      <c r="V193" s="3537"/>
      <c r="W193" s="781" t="str">
        <f>IF(OR(BO23="不要",C193&lt;&gt;$X$10),"",IF(AND($AB$17="UHF×3",$AF$17&lt;&gt;"",$AJ$17&lt;&gt;""),2,IF(OR(AND($AB$17="UHF×3",$AB$17="",$AJ$17=""),AND($AB$17="UHF×3",$AF$17&lt;&gt;"",$AJ$17=""),AND($AB$17="UHF×2",$AF$17&lt;&gt;"",$AJ$17&lt;&gt;"")),1,"")))</f>
        <v/>
      </c>
      <c r="X193" s="780" t="str">
        <f>IF(OR(BO23="不要",C193&lt;&gt;$X$10),"",IF(AND($AB$17&lt;&gt;"",$AF$17&lt;&gt;"",$AJ$17&lt;&gt;""),1,""))</f>
        <v/>
      </c>
      <c r="Y193" s="780" t="str">
        <f>IF(OR(BO23="不要",C193&lt;&gt;$X$10),"",IF(AND(OR($AB$17="UHF×2",$AB$17="UHF×3"),$AF$17&lt;&gt;"",$AJ$17=""),1,""))</f>
        <v/>
      </c>
      <c r="Z193" s="779"/>
      <c r="AA193" s="3847" t="str">
        <f>IF(C193="","",IF(AND(BO23&lt;&gt;"不要",DC189="＝"),1,""))</f>
        <v/>
      </c>
      <c r="AB193" s="3848"/>
      <c r="AC193" s="3848"/>
      <c r="AD193" s="3848" t="str">
        <f>IF($B$2=0,"",IF(OR(BO23="不要",C193="",C193="  RF"),"",IF(BO23="設置",1,"")))</f>
        <v/>
      </c>
      <c r="AE193" s="3848"/>
      <c r="AF193" s="3849"/>
      <c r="AG193" s="3817" t="str">
        <f>IF(OR(BO23="不要",C193="",C193="  RF"),"",IF(AI193&lt;&gt;"",AI193,IF(DE190+DM190+DT190+DT192+DT194=0,"",DE190+DM190+DT190+DT192+DT194)))</f>
        <v/>
      </c>
      <c r="AH193" s="3817"/>
      <c r="AI193" s="3815"/>
      <c r="AJ193" s="3815"/>
      <c r="AK193" s="3817" t="str">
        <f>IF(OR(BO23="不要",C193="",C193="  RF"),"",IF(AM193&lt;&gt;"",AM193,IF(DF190+DN190=0,"",DF190+DN190)))</f>
        <v/>
      </c>
      <c r="AL193" s="3817"/>
      <c r="AM193" s="3815"/>
      <c r="AN193" s="3815"/>
      <c r="AO193" s="3813" t="str">
        <f>IF(AQ193="","",AQ193)</f>
        <v/>
      </c>
      <c r="AP193" s="3814"/>
      <c r="AQ193" s="3815"/>
      <c r="AR193" s="3815"/>
      <c r="AS193" s="3816" t="str">
        <f>IF(OR(BO23="不要",C193="  RF"),"",IF(AU193&lt;&gt;"",AU193,IF(DH190+DP190+DU190+DX190+DY190+DZ190=0,"",DH190+DP190+DU190+DX190+DY190+DZ190)))</f>
        <v/>
      </c>
      <c r="AT193" s="3817"/>
      <c r="AU193" s="3815"/>
      <c r="AV193" s="3815"/>
      <c r="AW193" s="3817" t="str">
        <f>IF(OR(BO23="不要",C193="  RF"),"",IF(AY193&lt;&gt;"",AY193,IF(DI190+DQ190+DV190+DV192+DY192+DZ192=0,"",DI190+DQ190+DV190+DV192+DY192+DZ192)))</f>
        <v/>
      </c>
      <c r="AX193" s="3817"/>
      <c r="AY193" s="3815"/>
      <c r="AZ193" s="3815"/>
      <c r="BA193" s="3817" t="str">
        <f>IF(OR(BO23="不要",C193="  RF"),"",IF(BC193&lt;&gt;"",BC193,IF(DJ190+DR190+DW190+DW192+DW194+DZ194=0,"",DJ190+DR190+DW190+DW192+DW194+DZ194)))</f>
        <v/>
      </c>
      <c r="BB193" s="3817"/>
      <c r="BC193" s="3815"/>
      <c r="BD193" s="3815"/>
      <c r="BE193" s="3817" t="str">
        <f>IF(OR(BO23="不要",$X$11="2端子",C193="",C193="  RF"),"",IF(BG193&lt;&gt;"",BG193,IF(AND(AB194="Ａ",$X$11="1端子"),DK190,"")))</f>
        <v/>
      </c>
      <c r="BF193" s="3817"/>
      <c r="BG193" s="3817" t="str">
        <f>IF(AND(BO193&lt;&gt;"",AB194="Ａ",$X$11="1端子"),BO193,"")</f>
        <v/>
      </c>
      <c r="BH193" s="3817"/>
      <c r="BI193" s="3816" t="str">
        <f>IF(OR(BO23="不要",$X$11="1端子",C193="",C193="  RF"),"",IF(BK193&lt;&gt;"",BK193,IF(AND(AB194="Ａ",$X$11="2端子"),DK190,"")))</f>
        <v/>
      </c>
      <c r="BJ193" s="3817"/>
      <c r="BK193" s="3817" t="str">
        <f>IF(AND(BS193&lt;&gt;"",AB194="Ａ",$X$11="2端子"),BS193,"")</f>
        <v/>
      </c>
      <c r="BL193" s="3817"/>
      <c r="BM193" s="3817" t="str">
        <f>IF(OR(BO23="不要",C193="  RF",C193="",$X$11="2端子"),"",IF(BO193&lt;&gt;"",BO193,IF(AND(AB194="Ａ",$X$11="1端子"),DK190,DK188)))</f>
        <v/>
      </c>
      <c r="BN193" s="3817"/>
      <c r="BO193" s="3815"/>
      <c r="BP193" s="3815"/>
      <c r="BQ193" s="3817" t="str">
        <f>IF(OR(BO23="不要",C193="  RF",C193="",$X$11="1端子"),"",IF(BS193&lt;&gt;"",BS193,IF(AND(AB194="Ａ",$X$11="2端子"),DK190,DK188)))</f>
        <v/>
      </c>
      <c r="BR193" s="3817"/>
      <c r="BS193" s="3815"/>
      <c r="BT193" s="3815"/>
      <c r="BU193" s="19"/>
      <c r="BV193" s="8"/>
      <c r="BW193" s="88" t="str">
        <f>IF(I193="直天",F193,I193)</f>
        <v/>
      </c>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38"/>
      <c r="DA193" s="15"/>
      <c r="DB193" s="15"/>
      <c r="DC193" s="180" t="s">
        <v>1144</v>
      </c>
      <c r="DD193" s="2589" t="str">
        <f>IF($AL$10="nC-FB","S-7C-FB",IF($AL$10="nD-FB","8D-FB","7C-2V"))</f>
        <v>S-7C-FB</v>
      </c>
      <c r="DE193" s="2591"/>
      <c r="DF193" s="3786">
        <f>IF(OR(C193="",C193="  RF"),0,IF(AB194="Ｃ",2.5*AG193+(DB191+DC191),F193+2))</f>
        <v>0</v>
      </c>
      <c r="DG193" s="3786"/>
      <c r="DH193" s="2589" t="str">
        <f>IF(OR(H194="天井ケーブル",H194="天井-PF管"),"PF-S-22mm",IF(H194="天井-CD管","CD-22mm",IF(H194="天井-C 管","C-25mm",IF(H194="天井-G 管","G-22mm",""))))</f>
        <v>PF-S-22mm</v>
      </c>
      <c r="DI193" s="2591"/>
      <c r="DJ193" s="3631">
        <f>IF(OR(C193="",C193="  RF"),0,IF(AB194="Ｃ",F193-($AM$8-$AM$7)/1000,F193))</f>
        <v>0</v>
      </c>
      <c r="DK193" s="3812"/>
      <c r="DL193" s="778"/>
      <c r="DM193" s="112"/>
      <c r="DN193" s="190" t="s">
        <v>1143</v>
      </c>
      <c r="DO193" s="98">
        <f>IF(OR(C193="",C193="  RF"),0,(DB191+DC191)/2/SQRT(DK190))</f>
        <v>0</v>
      </c>
      <c r="DP193" s="15"/>
      <c r="DQ193" s="15"/>
      <c r="DR193" s="15"/>
      <c r="DS193" s="8"/>
      <c r="DT193" s="113" t="s">
        <v>1051</v>
      </c>
      <c r="DU193" s="8"/>
      <c r="DV193" s="113"/>
      <c r="DW193" s="113" t="s">
        <v>1046</v>
      </c>
      <c r="DX193" s="8"/>
      <c r="DY193" s="8"/>
      <c r="DZ193" s="113" t="s">
        <v>1046</v>
      </c>
      <c r="EA193" s="113"/>
      <c r="EB193" s="776" t="str">
        <f>IF(OR($B$2=0,AA193=""),"","増幅器 "&amp;AA191&amp;AA192)</f>
        <v/>
      </c>
      <c r="EC193" s="15"/>
      <c r="ED193" s="122" t="str">
        <f>IF(BI193="","","直列Unit-中間2端子")</f>
        <v/>
      </c>
      <c r="EE193" s="15" t="str">
        <f>BI193</f>
        <v/>
      </c>
      <c r="EF193" s="15"/>
      <c r="EG193" s="15"/>
      <c r="EH193" s="197">
        <f t="shared" si="124"/>
        <v>5</v>
      </c>
      <c r="EI193" s="773" t="str">
        <f t="shared" si="125"/>
        <v/>
      </c>
      <c r="EJ193" s="203" t="str">
        <f>AS195</f>
        <v/>
      </c>
      <c r="EK193" s="9"/>
      <c r="EL193" s="9" t="str">
        <f>IF(COUNTIF($EJ$18:EJ192,EJ193)&gt;0,"",EJ193)</f>
        <v/>
      </c>
      <c r="EM193" s="9"/>
      <c r="EN193" s="14" t="str">
        <f>BB195</f>
        <v/>
      </c>
      <c r="EO193" s="771">
        <f t="shared" si="128"/>
        <v>0</v>
      </c>
      <c r="EP193" s="8"/>
      <c r="EQ193" s="15"/>
      <c r="ER193" s="197">
        <f t="shared" si="126"/>
        <v>5</v>
      </c>
      <c r="ES193" s="773" t="str">
        <f t="shared" si="127"/>
        <v/>
      </c>
      <c r="ET193" s="203" t="str">
        <f t="shared" si="129"/>
        <v/>
      </c>
      <c r="EU193" s="9"/>
      <c r="EV193" s="11" t="str">
        <f>IF(COUNTIF($ET$18:ET192,ET193)&gt;0,"",ET193)</f>
        <v/>
      </c>
      <c r="EW193" s="9"/>
      <c r="EX193" s="124" t="str">
        <f>AA193</f>
        <v/>
      </c>
      <c r="EY193" s="771">
        <f t="shared" si="130"/>
        <v>0</v>
      </c>
      <c r="EZ193" s="8"/>
      <c r="FA193" s="15"/>
      <c r="FB193" s="197">
        <f t="shared" si="117"/>
        <v>10</v>
      </c>
      <c r="FC193" s="773" t="str">
        <f t="shared" si="118"/>
        <v/>
      </c>
      <c r="FD193" s="772" t="str">
        <f t="shared" si="131"/>
        <v/>
      </c>
      <c r="FE193" s="9"/>
      <c r="FF193" s="11" t="str">
        <f>IF(COUNTIF($FD$15:FD192,FD193)&gt;0,"",FD193)</f>
        <v/>
      </c>
      <c r="FG193" s="9"/>
      <c r="FH193" s="124" t="str">
        <f>BI193</f>
        <v/>
      </c>
      <c r="FI193" s="771">
        <f t="shared" si="132"/>
        <v>0</v>
      </c>
    </row>
    <row r="194" spans="1:165" ht="12" customHeight="1">
      <c r="A194" s="8"/>
      <c r="B194" s="23"/>
      <c r="C194" s="3794" t="s">
        <v>135</v>
      </c>
      <c r="D194" s="3794"/>
      <c r="E194" s="3794"/>
      <c r="F194" s="3794"/>
      <c r="G194" s="3794"/>
      <c r="H194" s="3795" t="str">
        <f>IF($B$2=0,"",IF(P194="","天井ケーブル",P194))</f>
        <v>天井ケーブル</v>
      </c>
      <c r="I194" s="3795"/>
      <c r="J194" s="3795"/>
      <c r="K194" s="3795"/>
      <c r="L194" s="3795"/>
      <c r="M194" s="3795"/>
      <c r="N194" s="3795"/>
      <c r="O194" s="775" t="s">
        <v>68</v>
      </c>
      <c r="P194" s="3796"/>
      <c r="Q194" s="3797"/>
      <c r="R194" s="3797"/>
      <c r="S194" s="3797"/>
      <c r="T194" s="3797"/>
      <c r="U194" s="3797"/>
      <c r="V194" s="3798"/>
      <c r="W194" s="3794" t="s">
        <v>1082</v>
      </c>
      <c r="X194" s="3794"/>
      <c r="Y194" s="3794"/>
      <c r="Z194" s="3794"/>
      <c r="AA194" s="3794"/>
      <c r="AB194" s="3799" t="str">
        <f>IF(BO23="不要","",IF(AF194&lt;&gt;"",AF194,DB188))</f>
        <v/>
      </c>
      <c r="AC194" s="3799"/>
      <c r="AD194" s="3799"/>
      <c r="AE194" s="775" t="s">
        <v>68</v>
      </c>
      <c r="AF194" s="3800"/>
      <c r="AG194" s="3801"/>
      <c r="AH194" s="3802"/>
      <c r="AI194" s="2634" t="s">
        <v>20</v>
      </c>
      <c r="AJ194" s="2634"/>
      <c r="AK194" s="2634"/>
      <c r="AL194" s="2634"/>
      <c r="AM194" s="2634"/>
      <c r="AN194" s="3522" t="str">
        <f>IF(OR(C193="",C193="  RF"),"",非誘!J130)</f>
        <v/>
      </c>
      <c r="AO194" s="3523"/>
      <c r="AP194" s="3523"/>
      <c r="AQ194" s="3524"/>
      <c r="AR194" s="3507" t="s">
        <v>1081</v>
      </c>
      <c r="AS194" s="3461"/>
      <c r="AT194" s="3461"/>
      <c r="AU194" s="3461"/>
      <c r="AV194" s="3461"/>
      <c r="AW194" s="3461"/>
      <c r="AX194" s="3461"/>
      <c r="AY194" s="3461"/>
      <c r="AZ194" s="3563" t="str">
        <f>IF(OR(C193="",C193="  RF"),"",IF(BC194="",$AN$11,BC194))</f>
        <v/>
      </c>
      <c r="BA194" s="3563"/>
      <c r="BB194" s="777" t="s">
        <v>68</v>
      </c>
      <c r="BC194" s="3521"/>
      <c r="BD194" s="3521"/>
      <c r="BE194" s="3564"/>
      <c r="BF194" s="3565"/>
      <c r="BG194" s="3565"/>
      <c r="BH194" s="3565"/>
      <c r="BI194" s="3565"/>
      <c r="BJ194" s="3565"/>
      <c r="BK194" s="3565"/>
      <c r="BL194" s="3565"/>
      <c r="BM194" s="3565"/>
      <c r="BN194" s="3565"/>
      <c r="BO194" s="3565"/>
      <c r="BP194" s="3565"/>
      <c r="BQ194" s="3565"/>
      <c r="BR194" s="3565"/>
      <c r="BS194" s="3565"/>
      <c r="BT194" s="3566"/>
      <c r="BU194" s="19"/>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38"/>
      <c r="DA194" s="15"/>
      <c r="DB194" s="8"/>
      <c r="DC194" s="180" t="s">
        <v>1080</v>
      </c>
      <c r="DD194" s="2589" t="str">
        <f>IF($AL$10="nC-FB","S-5C-FB",IF($AL$10="nD-FB","5D-FB","5C-2V"))</f>
        <v>S-5C-FB</v>
      </c>
      <c r="DE194" s="2591"/>
      <c r="DF194" s="3631">
        <f>IF(AB194="Ａ",(DK190+2*BW193-($X$7+$X$9)/1000)*DO193+(12+2*BW193-2*$X$9/1000)*DK190+DO194,IF(AB194="Ｂ",(DO193+2*BW193-$X$9/1000)*DK188+DO194,0))</f>
        <v>0</v>
      </c>
      <c r="DG194" s="3812"/>
      <c r="DH194" s="2589" t="str">
        <f>IF(OR(H194="天井ケーブル",H194="天井-PF管"),"PF-S-16mm",IF(H194="天井-CD管","CD-16mm",IF(H194="天井-C 管","C-19mm",IF(H194="天井-G 管","G-16mm",""))))</f>
        <v>PF-S-16mm</v>
      </c>
      <c r="DI194" s="2591"/>
      <c r="DJ194" s="3786">
        <f>IF(OR(C193="",C193="  RF"),0,IF(H194="天井ケーブル",DK188*(BW193-($X$9-$AM$9)/1000),(DO193+2*BW193-$X$9/1000)*DK188+DO194))</f>
        <v>0</v>
      </c>
      <c r="DK194" s="3786"/>
      <c r="DL194" s="15"/>
      <c r="DM194" s="46"/>
      <c r="DN194" s="46" t="s">
        <v>1079</v>
      </c>
      <c r="DO194" s="98" t="str">
        <f>DB192</f>
        <v/>
      </c>
      <c r="DP194" s="15"/>
      <c r="DQ194" s="15"/>
      <c r="DR194" s="15"/>
      <c r="DS194" s="128" t="s">
        <v>1078</v>
      </c>
      <c r="DT194" s="86">
        <f>IF(AB194&lt;&gt;"Ｃ",0,IF(DZ194=0,0,DZ194))</f>
        <v>0</v>
      </c>
      <c r="DU194" s="8"/>
      <c r="DV194" s="8"/>
      <c r="DW194" s="86">
        <f>IF(AB194&lt;&gt;"Ｃ",0,IF(DZ194=0,0,1))</f>
        <v>0</v>
      </c>
      <c r="DX194" s="8"/>
      <c r="DY194" s="8"/>
      <c r="DZ194" s="86">
        <f>IF(AB194&lt;&gt;"Ｃ",0,IF(AND(DB187&gt;120,DB187&lt;=144),4,IF(AND(DB187&gt;144,DB187&lt;=180),5,0)))</f>
        <v>0</v>
      </c>
      <c r="EA194" s="38"/>
      <c r="EB194" s="776" t="str">
        <f>IF(OR($B$2=0,AD193=""),"","増幅器 "&amp;AD191&amp;AD192)</f>
        <v/>
      </c>
      <c r="EC194" s="38"/>
      <c r="ED194" s="122" t="str">
        <f>IF(BM193="","","直列Unit-終端1端子")</f>
        <v/>
      </c>
      <c r="EE194" s="38" t="str">
        <f>BM193</f>
        <v/>
      </c>
      <c r="EF194" s="38"/>
      <c r="EG194" s="38"/>
      <c r="EH194" s="197">
        <f t="shared" si="124"/>
        <v>5</v>
      </c>
      <c r="EI194" s="773" t="str">
        <f t="shared" si="125"/>
        <v/>
      </c>
      <c r="EJ194" s="203" t="str">
        <f>AS196</f>
        <v/>
      </c>
      <c r="EK194" s="9"/>
      <c r="EL194" s="9" t="str">
        <f>IF(COUNTIF($EJ$18:EJ193,EJ194)&gt;0,"",EJ194)</f>
        <v/>
      </c>
      <c r="EM194" s="9"/>
      <c r="EN194" s="14" t="str">
        <f>BB196</f>
        <v/>
      </c>
      <c r="EO194" s="771">
        <f t="shared" si="128"/>
        <v>0</v>
      </c>
      <c r="EP194" s="8"/>
      <c r="EQ194" s="38"/>
      <c r="ER194" s="197">
        <f t="shared" si="126"/>
        <v>5</v>
      </c>
      <c r="ES194" s="773" t="str">
        <f t="shared" si="127"/>
        <v/>
      </c>
      <c r="ET194" s="203" t="str">
        <f t="shared" si="129"/>
        <v/>
      </c>
      <c r="EU194" s="9"/>
      <c r="EV194" s="11" t="str">
        <f>IF(COUNTIF($ET$18:ET193,ET194)&gt;0,"",ET194)</f>
        <v/>
      </c>
      <c r="EW194" s="9"/>
      <c r="EX194" s="124" t="str">
        <f>AD193</f>
        <v/>
      </c>
      <c r="EY194" s="771">
        <f t="shared" si="130"/>
        <v>0</v>
      </c>
      <c r="EZ194" s="8"/>
      <c r="FA194" s="38"/>
      <c r="FB194" s="197">
        <f t="shared" si="117"/>
        <v>10</v>
      </c>
      <c r="FC194" s="773" t="str">
        <f t="shared" si="118"/>
        <v/>
      </c>
      <c r="FD194" s="772" t="str">
        <f t="shared" si="131"/>
        <v/>
      </c>
      <c r="FE194" s="9"/>
      <c r="FF194" s="11" t="str">
        <f>IF(COUNTIF($FD$15:FD193,FD194)&gt;0,"",FD194)</f>
        <v/>
      </c>
      <c r="FG194" s="9"/>
      <c r="FH194" s="124" t="str">
        <f>BM193</f>
        <v/>
      </c>
      <c r="FI194" s="771">
        <f t="shared" si="132"/>
        <v>0</v>
      </c>
    </row>
    <row r="195" spans="1:165" ht="12" customHeight="1">
      <c r="A195" s="8"/>
      <c r="B195" s="23"/>
      <c r="C195" s="3807" t="s">
        <v>449</v>
      </c>
      <c r="D195" s="3807"/>
      <c r="E195" s="3807"/>
      <c r="F195" s="3795" t="str">
        <f>IF($H$15="ＣＡＴＶ","CATV引込","アンテナ部")</f>
        <v>アンテナ部</v>
      </c>
      <c r="G195" s="3795"/>
      <c r="H195" s="3795"/>
      <c r="I195" s="3795"/>
      <c r="J195" s="3795"/>
      <c r="K195" s="3810" t="str">
        <f>IF(OR(BO23="不要",$B$2=0,C193&lt;&gt;$X$10),"",IF(P195&lt;&gt;"",P195,DD192))</f>
        <v/>
      </c>
      <c r="L195" s="3810"/>
      <c r="M195" s="3810"/>
      <c r="N195" s="3810"/>
      <c r="O195" s="775" t="s">
        <v>68</v>
      </c>
      <c r="P195" s="3517"/>
      <c r="Q195" s="3517"/>
      <c r="R195" s="3517"/>
      <c r="S195" s="3517"/>
      <c r="T195" s="3534" t="str">
        <f>IF(AND(C193&lt;&gt;"",K195&lt;&gt;""),DF192,"")</f>
        <v/>
      </c>
      <c r="U195" s="3534"/>
      <c r="V195" s="3534"/>
      <c r="W195" s="3534"/>
      <c r="X195" s="3810" t="str">
        <f>IF(OR($B$2=0,K195=""),"",IF(AD195&lt;&gt;"",AD195,DH192))</f>
        <v/>
      </c>
      <c r="Y195" s="3810"/>
      <c r="Z195" s="3810"/>
      <c r="AA195" s="3810"/>
      <c r="AB195" s="3810"/>
      <c r="AC195" s="775" t="s">
        <v>68</v>
      </c>
      <c r="AD195" s="3525"/>
      <c r="AE195" s="3525"/>
      <c r="AF195" s="3525"/>
      <c r="AG195" s="3525"/>
      <c r="AH195" s="3525"/>
      <c r="AI195" s="3534" t="str">
        <f>IF(X195="","",IF(DJ192="","",DJ192))</f>
        <v/>
      </c>
      <c r="AJ195" s="3534"/>
      <c r="AK195" s="3534"/>
      <c r="AL195" s="3534"/>
      <c r="AM195" s="3795" t="s">
        <v>1077</v>
      </c>
      <c r="AN195" s="3795"/>
      <c r="AO195" s="3795"/>
      <c r="AP195" s="3795"/>
      <c r="AQ195" s="3795"/>
      <c r="AR195" s="3795"/>
      <c r="AS195" s="3810" t="str">
        <f>IF(OR(BO23="不要",$B$2=0,C193="",C193="  RF",AB194="Ｃ"),"",IF(AX195&lt;&gt;"",AX195,DD194))</f>
        <v/>
      </c>
      <c r="AT195" s="3810"/>
      <c r="AU195" s="3810"/>
      <c r="AV195" s="3810"/>
      <c r="AW195" s="775" t="s">
        <v>68</v>
      </c>
      <c r="AX195" s="3517"/>
      <c r="AY195" s="3517"/>
      <c r="AZ195" s="3517"/>
      <c r="BA195" s="3517"/>
      <c r="BB195" s="3811" t="str">
        <f>IF(AS195&lt;&gt;"",DF194,"")</f>
        <v/>
      </c>
      <c r="BC195" s="3811"/>
      <c r="BD195" s="3811"/>
      <c r="BE195" s="3811"/>
      <c r="BF195" s="3810" t="str">
        <f>IF(OR(C193="",AS195=""),"",IF(AB194="Ａ",DH193,DH194))</f>
        <v/>
      </c>
      <c r="BG195" s="3810"/>
      <c r="BH195" s="3810"/>
      <c r="BI195" s="3810"/>
      <c r="BJ195" s="3810"/>
      <c r="BK195" s="775" t="s">
        <v>68</v>
      </c>
      <c r="BL195" s="3525"/>
      <c r="BM195" s="3525"/>
      <c r="BN195" s="3525"/>
      <c r="BO195" s="3525"/>
      <c r="BP195" s="3525"/>
      <c r="BQ195" s="3534" t="str">
        <f>IF(BF195="","",DJ194)</f>
        <v/>
      </c>
      <c r="BR195" s="3534"/>
      <c r="BS195" s="3534"/>
      <c r="BT195" s="3534"/>
      <c r="BU195" s="19"/>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774" t="s">
        <v>1076</v>
      </c>
      <c r="DD195" s="2589" t="str">
        <f>DD194</f>
        <v>S-5C-FB</v>
      </c>
      <c r="DE195" s="2591"/>
      <c r="DF195" s="3631">
        <f>IF(OR(C193="",C193="  RF",I193="直天"),0,1+INT(12+BW193-($X$9-$AM$9)/1000)*DK188+DO195)</f>
        <v>0</v>
      </c>
      <c r="DG195" s="3812"/>
      <c r="DH195" s="2589" t="str">
        <f>DH194</f>
        <v>PF-S-16mm</v>
      </c>
      <c r="DI195" s="2591"/>
      <c r="DJ195" s="3786">
        <f>IF(OR(C193="",C193="  RF"),0,IF(H194="天井ケーブル",DK188*(BW193-($X$9-2*$AM$9)/1000),1+INT(12+BW193-$X$9/1000)*DK188))</f>
        <v>0</v>
      </c>
      <c r="DK195" s="3786"/>
      <c r="DL195" s="15"/>
      <c r="DM195" s="15"/>
      <c r="DN195" s="46" t="s">
        <v>1075</v>
      </c>
      <c r="DO195" s="97">
        <f>IF(C193="",0,IF($AW$8=0,0,2*($AW$8/1000-0.15-0.1)*(INT(1000*DB191/$AW$10)+1)*(INT(1000*DC191/$AW$10)+1)*4))</f>
        <v>0</v>
      </c>
      <c r="DP195" s="15"/>
      <c r="DQ195" s="15"/>
      <c r="DR195" s="15"/>
      <c r="DS195" s="8"/>
      <c r="DT195" s="8"/>
      <c r="DU195" s="8"/>
      <c r="DV195" s="8"/>
      <c r="DW195" s="8"/>
      <c r="DX195" s="8"/>
      <c r="DY195" s="8"/>
      <c r="DZ195" s="8"/>
      <c r="EA195" s="8"/>
      <c r="EB195" s="769" t="str">
        <f>IF(OR($B$2=0,AG193=""),"","分岐器 1C")</f>
        <v/>
      </c>
      <c r="EC195" s="8"/>
      <c r="ED195" s="122" t="str">
        <f>IF(BQ193="","","直列Unit-終端2端子")</f>
        <v/>
      </c>
      <c r="EE195" s="8" t="str">
        <f>BQ193</f>
        <v/>
      </c>
      <c r="EF195" s="8"/>
      <c r="EG195" s="8"/>
      <c r="EH195" s="197">
        <f t="shared" si="124"/>
        <v>5</v>
      </c>
      <c r="EI195" s="773" t="str">
        <f t="shared" si="125"/>
        <v/>
      </c>
      <c r="EJ195" s="203" t="str">
        <f>BF195</f>
        <v/>
      </c>
      <c r="EK195" s="9"/>
      <c r="EL195" s="9" t="str">
        <f>IF(COUNTIF($EJ$18:EJ194,EJ195)&gt;0,"",EJ195)</f>
        <v/>
      </c>
      <c r="EM195" s="9"/>
      <c r="EN195" s="14" t="str">
        <f>BQ195</f>
        <v/>
      </c>
      <c r="EO195" s="771">
        <f t="shared" si="128"/>
        <v>0</v>
      </c>
      <c r="EP195" s="8"/>
      <c r="EQ195" s="8"/>
      <c r="ER195" s="197">
        <f t="shared" si="126"/>
        <v>5</v>
      </c>
      <c r="ES195" s="773" t="str">
        <f t="shared" si="127"/>
        <v/>
      </c>
      <c r="ET195" s="203" t="str">
        <f t="shared" si="129"/>
        <v/>
      </c>
      <c r="EU195" s="9"/>
      <c r="EV195" s="11" t="str">
        <f>IF(COUNTIF($ET$18:ET194,ET195)&gt;0,"",ET195)</f>
        <v/>
      </c>
      <c r="EW195" s="9"/>
      <c r="EX195" s="124" t="str">
        <f>AG193</f>
        <v/>
      </c>
      <c r="EY195" s="771">
        <f t="shared" si="130"/>
        <v>0</v>
      </c>
      <c r="EZ195" s="8"/>
      <c r="FA195" s="8"/>
      <c r="FB195" s="197">
        <f t="shared" si="117"/>
        <v>10</v>
      </c>
      <c r="FC195" s="773" t="str">
        <f t="shared" si="118"/>
        <v/>
      </c>
      <c r="FD195" s="772" t="str">
        <f t="shared" si="131"/>
        <v/>
      </c>
      <c r="FE195" s="9"/>
      <c r="FF195" s="11" t="str">
        <f>IF(COUNTIF($FD$15:FD194,FD195)&gt;0,"",FD195)</f>
        <v/>
      </c>
      <c r="FG195" s="9"/>
      <c r="FH195" s="124" t="str">
        <f>BQ193</f>
        <v/>
      </c>
      <c r="FI195" s="771">
        <f t="shared" si="132"/>
        <v>0</v>
      </c>
    </row>
    <row r="196" spans="1:165" ht="12" customHeight="1" thickBot="1">
      <c r="A196" s="8"/>
      <c r="B196" s="23"/>
      <c r="C196" s="3809"/>
      <c r="D196" s="3809"/>
      <c r="E196" s="3809"/>
      <c r="F196" s="3803" t="s">
        <v>1074</v>
      </c>
      <c r="G196" s="3803"/>
      <c r="H196" s="3803"/>
      <c r="I196" s="3803"/>
      <c r="J196" s="3803"/>
      <c r="K196" s="3804" t="str">
        <f>IF(OR(C193="",C193="  RF",$B$2=0),"",IF(P196&lt;&gt;"",P196,DD193))</f>
        <v/>
      </c>
      <c r="L196" s="3804"/>
      <c r="M196" s="3804"/>
      <c r="N196" s="3804"/>
      <c r="O196" s="770" t="s">
        <v>68</v>
      </c>
      <c r="P196" s="3536"/>
      <c r="Q196" s="3536"/>
      <c r="R196" s="3536"/>
      <c r="S196" s="3536"/>
      <c r="T196" s="3805" t="str">
        <f>IF(R190="不",F193,IF(K196="","",DF193))</f>
        <v/>
      </c>
      <c r="U196" s="3805"/>
      <c r="V196" s="3805"/>
      <c r="W196" s="3805"/>
      <c r="X196" s="3804" t="str">
        <f>IF(R190="不","",IF(OR(C193="",K196=""),"",IF(AD196&lt;&gt;"",AD196,IF(DH193="","",DH193))))</f>
        <v/>
      </c>
      <c r="Y196" s="3804"/>
      <c r="Z196" s="3804"/>
      <c r="AA196" s="3804"/>
      <c r="AB196" s="3804"/>
      <c r="AC196" s="770" t="s">
        <v>68</v>
      </c>
      <c r="AD196" s="3533"/>
      <c r="AE196" s="3533"/>
      <c r="AF196" s="3533"/>
      <c r="AG196" s="3533"/>
      <c r="AH196" s="3533"/>
      <c r="AI196" s="3805" t="str">
        <f>IF(X196="","",DJ193)</f>
        <v/>
      </c>
      <c r="AJ196" s="3805"/>
      <c r="AK196" s="3805"/>
      <c r="AL196" s="3805"/>
      <c r="AM196" s="3803" t="s">
        <v>1073</v>
      </c>
      <c r="AN196" s="3803"/>
      <c r="AO196" s="3803"/>
      <c r="AP196" s="3803"/>
      <c r="AQ196" s="3803"/>
      <c r="AR196" s="3803"/>
      <c r="AS196" s="3804" t="str">
        <f>IF(OR(BO23="不要",$B$2=0,C193="",AB194&lt;&gt;"Ｃ"),"",IF(AX196&lt;&gt;"",AX196,DD195))</f>
        <v/>
      </c>
      <c r="AT196" s="3804"/>
      <c r="AU196" s="3804"/>
      <c r="AV196" s="3804"/>
      <c r="AW196" s="770" t="s">
        <v>68</v>
      </c>
      <c r="AX196" s="3536"/>
      <c r="AY196" s="3536"/>
      <c r="AZ196" s="3536"/>
      <c r="BA196" s="3536"/>
      <c r="BB196" s="3818" t="str">
        <f>IF(AS196="","",DF195)</f>
        <v/>
      </c>
      <c r="BC196" s="3818"/>
      <c r="BD196" s="3818"/>
      <c r="BE196" s="3818"/>
      <c r="BF196" s="3804" t="str">
        <f>IF(OR(C193="",AS196=""),"",IF(BL196&lt;&gt;"",BL196,DH195))</f>
        <v/>
      </c>
      <c r="BG196" s="3804"/>
      <c r="BH196" s="3804"/>
      <c r="BI196" s="3804"/>
      <c r="BJ196" s="3804"/>
      <c r="BK196" s="770" t="s">
        <v>68</v>
      </c>
      <c r="BL196" s="3533"/>
      <c r="BM196" s="3533"/>
      <c r="BN196" s="3533"/>
      <c r="BO196" s="3533"/>
      <c r="BP196" s="3533"/>
      <c r="BQ196" s="3805" t="str">
        <f>IF(BF196="","",DJ195)</f>
        <v/>
      </c>
      <c r="BR196" s="3805"/>
      <c r="BS196" s="3805"/>
      <c r="BT196" s="3805"/>
      <c r="BU196" s="19"/>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8" t="str">
        <f>IF(AND(AB203="Ａ",$X$11="2端子"),BI202+BQ202,IF(AND(AB203="Ａ",$X$11="1端子"),BE202+BM202,IF(AND(AB203="Ｂ",$X$11="1端子"),BM202,IF(AND(AB203="Ｂ",$X$11="2端子"),BQ202,IF(AND(AB203="Ｃ",$X$11="1端子"),BM202,BQ202)))))</f>
        <v/>
      </c>
      <c r="DC196" s="10"/>
      <c r="DD196" s="8"/>
      <c r="DE196" s="8"/>
      <c r="DF196" s="8"/>
      <c r="DG196" s="8"/>
      <c r="DH196" s="8"/>
      <c r="DI196" s="8"/>
      <c r="DJ196" s="8"/>
      <c r="DK196" s="8"/>
      <c r="DL196" s="8"/>
      <c r="DM196" s="8"/>
      <c r="DN196" s="8"/>
      <c r="DO196" s="8"/>
      <c r="DP196" s="15"/>
      <c r="DQ196" s="15"/>
      <c r="DR196" s="15"/>
      <c r="DS196" s="8"/>
      <c r="DT196" s="8"/>
      <c r="DU196" s="8"/>
      <c r="DV196" s="8"/>
      <c r="DW196" s="8"/>
      <c r="DX196" s="8"/>
      <c r="DY196" s="8"/>
      <c r="DZ196" s="8"/>
      <c r="EA196" s="8"/>
      <c r="EB196" s="769" t="str">
        <f>IF(OR($B$2=0,AK193=""),"","分岐器 2C")</f>
        <v/>
      </c>
      <c r="EC196" s="8"/>
      <c r="ED196" s="10"/>
      <c r="EE196" s="8"/>
      <c r="EF196" s="8"/>
      <c r="EG196" s="8"/>
      <c r="EH196" s="197">
        <f t="shared" si="124"/>
        <v>5</v>
      </c>
      <c r="EI196" s="773" t="str">
        <f t="shared" si="125"/>
        <v/>
      </c>
      <c r="EJ196" s="203" t="str">
        <f>BF196</f>
        <v/>
      </c>
      <c r="EK196" s="9"/>
      <c r="EL196" s="9" t="str">
        <f>IF(COUNTIF($EJ$18:EJ195,EJ196)&gt;0,"",EJ196)</f>
        <v/>
      </c>
      <c r="EM196" s="9"/>
      <c r="EN196" s="14" t="str">
        <f>BQ196</f>
        <v/>
      </c>
      <c r="EO196" s="771">
        <f t="shared" si="128"/>
        <v>0</v>
      </c>
      <c r="EP196" s="8"/>
      <c r="EQ196" s="8"/>
      <c r="ER196" s="197">
        <f t="shared" si="126"/>
        <v>5</v>
      </c>
      <c r="ES196" s="773" t="str">
        <f t="shared" si="127"/>
        <v/>
      </c>
      <c r="ET196" s="203" t="str">
        <f t="shared" si="129"/>
        <v/>
      </c>
      <c r="EU196" s="9"/>
      <c r="EV196" s="11" t="str">
        <f>IF(COUNTIF($ET$18:ET195,ET196)&gt;0,"",ET196)</f>
        <v/>
      </c>
      <c r="EW196" s="9"/>
      <c r="EX196" s="124" t="str">
        <f>AK193</f>
        <v/>
      </c>
      <c r="EY196" s="771">
        <f t="shared" si="130"/>
        <v>0</v>
      </c>
      <c r="EZ196" s="8"/>
      <c r="FA196" s="8"/>
      <c r="FB196" s="197">
        <f t="shared" si="117"/>
        <v>10</v>
      </c>
      <c r="FC196" s="773" t="str">
        <f t="shared" si="118"/>
        <v/>
      </c>
      <c r="FD196" s="772"/>
      <c r="FE196" s="9"/>
      <c r="FF196" s="11"/>
      <c r="FG196" s="9"/>
      <c r="FH196" s="124"/>
      <c r="FI196" s="771"/>
    </row>
    <row r="197" spans="1:165" ht="12" customHeight="1" thickBot="1">
      <c r="B197" s="23"/>
      <c r="C197" s="20"/>
      <c r="D197" s="20"/>
      <c r="E197" s="20"/>
      <c r="F197" s="20"/>
      <c r="G197" s="20"/>
      <c r="H197" s="20"/>
      <c r="I197" s="20"/>
      <c r="J197" s="20"/>
      <c r="K197" s="20"/>
      <c r="L197" s="20"/>
      <c r="M197" s="20"/>
      <c r="N197" s="20"/>
      <c r="O197" s="20"/>
      <c r="P197" s="20"/>
      <c r="Q197" s="787" t="str">
        <f>IF(AND(OR(AB203="Ａ",F270="Ａ"),DB196&gt;24),"直列ユニット数………配線方式Ａ：24以下!!",IF(AND(OR(AB203="Ｂ",F270="Ｂ"),DB196&gt;12),"直列ユニット数………配線方式Ｂ：12以下!!",IF(AND(OR(AB203="Ｃ",F270="Ｃ"),DB196&gt;180),"直列ユニット数………配線方式Ｃ：180以下!!","")))</f>
        <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9"/>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v>20</v>
      </c>
      <c r="DB197" s="92" t="str">
        <f>IF(OR(V168="不要",C202="",C202="  RF"),"",IF(DK197&lt;=12,"Ｂ",IF(DK197&lt;=24,"Ａ","Ｃ")))</f>
        <v/>
      </c>
      <c r="DC197" s="10"/>
      <c r="DD197" s="8"/>
      <c r="DE197" s="8"/>
      <c r="DF197" s="8"/>
      <c r="DG197" s="8"/>
      <c r="DH197" s="8"/>
      <c r="DI197" s="8"/>
      <c r="DJ197" s="8"/>
      <c r="DK197" s="159">
        <f>IF(OR(C202="",C202="  RF"),0,SUM(Q202:V202))</f>
        <v>0</v>
      </c>
      <c r="DL197" s="8"/>
      <c r="DM197" s="8"/>
      <c r="DN197" s="8"/>
      <c r="DO197" s="8"/>
      <c r="DP197" s="8"/>
      <c r="DQ197" s="8"/>
      <c r="DR197" s="8"/>
      <c r="DS197" s="8"/>
      <c r="DT197" s="8"/>
      <c r="DU197" s="8"/>
      <c r="DV197" s="8"/>
      <c r="DW197" s="8"/>
      <c r="DX197" s="8"/>
      <c r="DY197" s="8"/>
      <c r="DZ197" s="8"/>
      <c r="EA197" s="8"/>
      <c r="EB197" s="8"/>
      <c r="EC197" s="8"/>
      <c r="ED197" s="8"/>
      <c r="EE197" s="8"/>
      <c r="EF197" s="8"/>
      <c r="EG197" s="88">
        <v>20</v>
      </c>
      <c r="EH197" s="204">
        <f t="shared" si="124"/>
        <v>5</v>
      </c>
      <c r="EI197" s="768" t="str">
        <f t="shared" si="125"/>
        <v/>
      </c>
      <c r="EJ197" s="45"/>
      <c r="EK197" s="45"/>
      <c r="EL197" s="45"/>
      <c r="EM197" s="45"/>
      <c r="EN197" s="45"/>
      <c r="EO197" s="785"/>
      <c r="EP197" s="8"/>
      <c r="EQ197" s="88">
        <v>20</v>
      </c>
      <c r="ER197" s="204">
        <f t="shared" si="126"/>
        <v>5</v>
      </c>
      <c r="ES197" s="768" t="str">
        <f t="shared" si="127"/>
        <v/>
      </c>
      <c r="ET197" s="45"/>
      <c r="EU197" s="45"/>
      <c r="EV197" s="154"/>
      <c r="EW197" s="45"/>
      <c r="EX197" s="45"/>
      <c r="EY197" s="785"/>
      <c r="EZ197" s="8"/>
      <c r="FA197" s="88">
        <v>20</v>
      </c>
      <c r="FB197" s="204">
        <f t="shared" si="117"/>
        <v>10</v>
      </c>
      <c r="FC197" s="768" t="str">
        <f t="shared" si="118"/>
        <v/>
      </c>
      <c r="FD197" s="786"/>
      <c r="FE197" s="45"/>
      <c r="FF197" s="154"/>
      <c r="FG197" s="45"/>
      <c r="FH197" s="208"/>
      <c r="FI197" s="785"/>
    </row>
    <row r="198" spans="1:165" ht="11.25" customHeight="1" thickBot="1">
      <c r="B198" s="23"/>
      <c r="C198" s="3399" t="s">
        <v>1142</v>
      </c>
      <c r="D198" s="3412"/>
      <c r="E198" s="3412"/>
      <c r="F198" s="3412"/>
      <c r="G198" s="3412"/>
      <c r="H198" s="3412"/>
      <c r="I198" s="3412"/>
      <c r="J198" s="3412"/>
      <c r="K198" s="3412"/>
      <c r="L198" s="3413"/>
      <c r="M198" s="3853" t="str">
        <f>非誘!J135</f>
        <v/>
      </c>
      <c r="N198" s="3854"/>
      <c r="O198" s="3854"/>
      <c r="P198" s="3854"/>
      <c r="Q198" s="3855"/>
      <c r="R198" s="2299" t="str">
        <f>IF($B$2=0,"","共聴機器")</f>
        <v>共聴機器</v>
      </c>
      <c r="S198" s="2299"/>
      <c r="T198" s="2299"/>
      <c r="U198" s="2299"/>
      <c r="V198" s="2299"/>
      <c r="W198" s="3412" t="s">
        <v>1141</v>
      </c>
      <c r="X198" s="3412"/>
      <c r="Y198" s="3412"/>
      <c r="Z198" s="3413"/>
      <c r="AA198" s="2637" t="s">
        <v>1140</v>
      </c>
      <c r="AB198" s="2638"/>
      <c r="AC198" s="2638"/>
      <c r="AD198" s="2638"/>
      <c r="AE198" s="2638"/>
      <c r="AF198" s="2639"/>
      <c r="AG198" s="3879" t="s">
        <v>1139</v>
      </c>
      <c r="AH198" s="3879"/>
      <c r="AI198" s="3879"/>
      <c r="AJ198" s="3879"/>
      <c r="AK198" s="3879"/>
      <c r="AL198" s="3879"/>
      <c r="AM198" s="3879"/>
      <c r="AN198" s="3879"/>
      <c r="AO198" s="3879"/>
      <c r="AP198" s="3879"/>
      <c r="AQ198" s="3879"/>
      <c r="AR198" s="3879"/>
      <c r="AS198" s="2637" t="s">
        <v>1138</v>
      </c>
      <c r="AT198" s="2638"/>
      <c r="AU198" s="2638"/>
      <c r="AV198" s="2638"/>
      <c r="AW198" s="2638"/>
      <c r="AX198" s="2638"/>
      <c r="AY198" s="2638"/>
      <c r="AZ198" s="2638"/>
      <c r="BA198" s="2638"/>
      <c r="BB198" s="2638"/>
      <c r="BC198" s="2638"/>
      <c r="BD198" s="2639"/>
      <c r="BE198" s="2637" t="s">
        <v>1137</v>
      </c>
      <c r="BF198" s="2638"/>
      <c r="BG198" s="2638"/>
      <c r="BH198" s="2638"/>
      <c r="BI198" s="2638"/>
      <c r="BJ198" s="2638"/>
      <c r="BK198" s="2638"/>
      <c r="BL198" s="2638"/>
      <c r="BM198" s="2638"/>
      <c r="BN198" s="2638"/>
      <c r="BO198" s="2638"/>
      <c r="BP198" s="2638"/>
      <c r="BQ198" s="2638"/>
      <c r="BR198" s="2638"/>
      <c r="BS198" s="2638"/>
      <c r="BT198" s="3856"/>
      <c r="BU198" s="19"/>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15"/>
      <c r="DA198" s="784"/>
      <c r="DB198" s="97" t="str">
        <f>IF(C202="","",DB189+1)</f>
        <v/>
      </c>
      <c r="DC198" s="15" t="str">
        <f>IF($X$10=C202,"＝",IF(VLOOKUP(C202,[2]!階高,3,FALSE)-VLOOKUP($X$10,[2]!階高,3,FALSE)&gt;0,"＋","－"))</f>
        <v>－</v>
      </c>
      <c r="DD198" s="38"/>
      <c r="DE198" s="113" t="s">
        <v>1051</v>
      </c>
      <c r="DF198" s="113" t="s">
        <v>1050</v>
      </c>
      <c r="DG198" s="113" t="s">
        <v>1049</v>
      </c>
      <c r="DH198" s="113" t="s">
        <v>1048</v>
      </c>
      <c r="DI198" s="113" t="s">
        <v>1047</v>
      </c>
      <c r="DJ198" s="113" t="s">
        <v>1046</v>
      </c>
      <c r="DK198" s="90" t="s">
        <v>1136</v>
      </c>
      <c r="DL198" s="38"/>
      <c r="DM198" s="113" t="s">
        <v>1051</v>
      </c>
      <c r="DN198" s="113" t="s">
        <v>1050</v>
      </c>
      <c r="DO198" s="113" t="s">
        <v>1049</v>
      </c>
      <c r="DP198" s="113" t="s">
        <v>1048</v>
      </c>
      <c r="DQ198" s="113" t="s">
        <v>1047</v>
      </c>
      <c r="DR198" s="113" t="s">
        <v>1046</v>
      </c>
      <c r="DS198" s="38"/>
      <c r="DT198" s="113" t="s">
        <v>1051</v>
      </c>
      <c r="DU198" s="113" t="s">
        <v>1048</v>
      </c>
      <c r="DV198" s="113" t="s">
        <v>1047</v>
      </c>
      <c r="DW198" s="113" t="s">
        <v>1046</v>
      </c>
      <c r="DX198" s="113" t="s">
        <v>1048</v>
      </c>
      <c r="DY198" s="113" t="s">
        <v>1048</v>
      </c>
      <c r="DZ198" s="113" t="s">
        <v>1048</v>
      </c>
      <c r="EA198" s="113"/>
      <c r="EB198" s="776" t="str">
        <f>IF(OR($B$2=0,W202=""),"","混合器 U-U")</f>
        <v/>
      </c>
      <c r="EC198" s="15"/>
      <c r="ED198" s="782" t="str">
        <f>IF(AS202="","","分配器 2D")</f>
        <v/>
      </c>
      <c r="EE198" s="15" t="str">
        <f>AS202</f>
        <v/>
      </c>
      <c r="EF198" s="15"/>
      <c r="EG198" s="8"/>
      <c r="EH198" s="197">
        <f t="shared" si="124"/>
        <v>5</v>
      </c>
      <c r="EI198" s="773" t="str">
        <f t="shared" si="125"/>
        <v/>
      </c>
      <c r="EJ198" s="203" t="str">
        <f>K204</f>
        <v/>
      </c>
      <c r="EK198" s="9"/>
      <c r="EL198" s="9" t="str">
        <f>IF(COUNTIF($EJ$18:EJ197,EJ198)&gt;0,"",EJ198)</f>
        <v/>
      </c>
      <c r="EM198" s="9"/>
      <c r="EN198" s="14" t="str">
        <f>T204</f>
        <v/>
      </c>
      <c r="EO198" s="771">
        <f t="shared" ref="EO198:EO205" si="133">SUMIF($EJ$25:$EJ$225,EL198,$EN$25:$EN$225)</f>
        <v>0</v>
      </c>
      <c r="EP198" s="8"/>
      <c r="EQ198" s="8"/>
      <c r="ER198" s="197">
        <f t="shared" si="126"/>
        <v>5</v>
      </c>
      <c r="ES198" s="773" t="str">
        <f t="shared" si="127"/>
        <v/>
      </c>
      <c r="ET198" s="203" t="str">
        <f t="shared" ref="ET198:ET205" si="134">EB198</f>
        <v/>
      </c>
      <c r="EU198" s="9"/>
      <c r="EV198" s="11" t="str">
        <f>IF(COUNTIF($ET$18:ET197,ET198)&gt;0,"",ET198)</f>
        <v/>
      </c>
      <c r="EW198" s="9"/>
      <c r="EX198" s="124" t="str">
        <f>W202</f>
        <v/>
      </c>
      <c r="EY198" s="771">
        <f t="shared" ref="EY198:EY205" si="135">SUMIF($ET$25:$ET$225,EV198,$EX$25:$EX$225)</f>
        <v>0</v>
      </c>
      <c r="EZ198" s="8"/>
      <c r="FA198" s="8"/>
      <c r="FB198" s="197">
        <f t="shared" si="117"/>
        <v>10</v>
      </c>
      <c r="FC198" s="773" t="str">
        <f t="shared" si="118"/>
        <v/>
      </c>
      <c r="FD198" s="772" t="str">
        <f t="shared" ref="FD198:FD204" si="136">ED198</f>
        <v/>
      </c>
      <c r="FE198" s="9"/>
      <c r="FF198" s="11" t="str">
        <f>IF(COUNTIF($FD$15:FD197,FD198)&gt;0,"",FD198)</f>
        <v/>
      </c>
      <c r="FG198" s="9"/>
      <c r="FH198" s="124" t="str">
        <f>AS202</f>
        <v/>
      </c>
      <c r="FI198" s="771">
        <f t="shared" ref="FI198:FI204" si="137">SUMIF($FD$18:$FD$205,FF198,$FH$18:$FH$205)</f>
        <v>0</v>
      </c>
    </row>
    <row r="199" spans="1:165" ht="11.25" customHeight="1" thickBot="1">
      <c r="B199" s="23"/>
      <c r="C199" s="3857" t="str">
        <f>"　"&amp;非誘!M135</f>
        <v>　</v>
      </c>
      <c r="D199" s="3858"/>
      <c r="E199" s="3858"/>
      <c r="F199" s="3858"/>
      <c r="G199" s="3858"/>
      <c r="H199" s="3858"/>
      <c r="I199" s="3858"/>
      <c r="J199" s="3858"/>
      <c r="K199" s="3858"/>
      <c r="L199" s="3858"/>
      <c r="M199" s="3858"/>
      <c r="N199" s="3858"/>
      <c r="O199" s="3858"/>
      <c r="P199" s="3858"/>
      <c r="Q199" s="3859"/>
      <c r="R199" s="2337" t="str">
        <f>IF(U199&lt;&gt;"",U199,IF(C202="","","設"))</f>
        <v/>
      </c>
      <c r="S199" s="2337"/>
      <c r="T199" s="175" t="s">
        <v>68</v>
      </c>
      <c r="U199" s="2338"/>
      <c r="V199" s="2338"/>
      <c r="W199" s="3860" t="s">
        <v>1132</v>
      </c>
      <c r="X199" s="3863" t="s">
        <v>1131</v>
      </c>
      <c r="Y199" s="3863" t="s">
        <v>1130</v>
      </c>
      <c r="Z199" s="3866"/>
      <c r="AA199" s="3528" t="s">
        <v>1128</v>
      </c>
      <c r="AB199" s="3519"/>
      <c r="AC199" s="3519"/>
      <c r="AD199" s="3519"/>
      <c r="AE199" s="3519"/>
      <c r="AF199" s="3520"/>
      <c r="AG199" s="3528" t="s">
        <v>1051</v>
      </c>
      <c r="AH199" s="3519"/>
      <c r="AI199" s="3519"/>
      <c r="AJ199" s="3529"/>
      <c r="AK199" s="3518" t="s">
        <v>1050</v>
      </c>
      <c r="AL199" s="3519"/>
      <c r="AM199" s="3519"/>
      <c r="AN199" s="3529"/>
      <c r="AO199" s="3518" t="s">
        <v>1049</v>
      </c>
      <c r="AP199" s="3519"/>
      <c r="AQ199" s="3519"/>
      <c r="AR199" s="3520"/>
      <c r="AS199" s="3528" t="s">
        <v>1048</v>
      </c>
      <c r="AT199" s="3519"/>
      <c r="AU199" s="3519"/>
      <c r="AV199" s="3529"/>
      <c r="AW199" s="3518" t="s">
        <v>1047</v>
      </c>
      <c r="AX199" s="3519"/>
      <c r="AY199" s="3519"/>
      <c r="AZ199" s="3529"/>
      <c r="BA199" s="3518" t="s">
        <v>1046</v>
      </c>
      <c r="BB199" s="3519"/>
      <c r="BC199" s="3519"/>
      <c r="BD199" s="3520"/>
      <c r="BE199" s="3528" t="s">
        <v>1123</v>
      </c>
      <c r="BF199" s="3519"/>
      <c r="BG199" s="3519"/>
      <c r="BH199" s="3519"/>
      <c r="BI199" s="3519"/>
      <c r="BJ199" s="3519"/>
      <c r="BK199" s="3519"/>
      <c r="BL199" s="3529"/>
      <c r="BM199" s="3518" t="s">
        <v>1122</v>
      </c>
      <c r="BN199" s="3519"/>
      <c r="BO199" s="3519"/>
      <c r="BP199" s="3519"/>
      <c r="BQ199" s="3519"/>
      <c r="BR199" s="3519"/>
      <c r="BS199" s="3519"/>
      <c r="BT199" s="3852"/>
      <c r="BU199" s="19"/>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15"/>
      <c r="DA199" s="15">
        <f>IF(AG202&lt;&gt;"",2,IF(AK202&lt;&gt;"",3,0))</f>
        <v>0</v>
      </c>
      <c r="DB199" s="86" t="s">
        <v>79</v>
      </c>
      <c r="DC199" s="86" t="s">
        <v>77</v>
      </c>
      <c r="DD199" s="128" t="s">
        <v>1121</v>
      </c>
      <c r="DE199" s="86">
        <f>IF(AB203&lt;&gt;"Ａ",0,IF(AND(2*DK199&gt;=4,2*DK199&lt;=12),1,0))</f>
        <v>0</v>
      </c>
      <c r="DF199" s="86">
        <f>IF(AB203&lt;&gt;"Ａ",0,IF(AND(2*DK199&gt;=16,DK199&lt;=24),1,0))</f>
        <v>0</v>
      </c>
      <c r="DG199" s="97" t="s">
        <v>96</v>
      </c>
      <c r="DH199" s="86">
        <f>IF(AB203&lt;&gt;"Ａ",0,IF(2*DK199&lt;=4,1,0))</f>
        <v>0</v>
      </c>
      <c r="DI199" s="86">
        <f>IF(AB203&lt;&gt;"Ａ",0,IF(OR(AND(2*DK199&gt;4,2*DK199&lt;=8),AND(2*DK199&gt;12,2*DK199&lt;=16)),1,0))</f>
        <v>0</v>
      </c>
      <c r="DJ199" s="183">
        <f>IF(AB203&lt;&gt;"Ａ",0,IF(OR(AND(2*DK199&gt;8,2*DK199&lt;=12),AND(2*DK199&gt;16,2*DK199&lt;=24)),1,0))</f>
        <v>0</v>
      </c>
      <c r="DK199" s="783">
        <f>IF(OR(C202="",C202="  RF"),0,IF(Q202="",INT((T202)/2),INT((Q202+INT(T202))/2)+1))</f>
        <v>0</v>
      </c>
      <c r="DL199" s="128" t="s">
        <v>1119</v>
      </c>
      <c r="DM199" s="86">
        <f>IF(AB203&lt;&gt;"Ｂ",0,IF(DB196&lt;=6,1,0))</f>
        <v>0</v>
      </c>
      <c r="DN199" s="86">
        <f>IF(AB203&lt;&gt;"Ｂ",0,IF(AND(DB196&gt;6,DB196&lt;=12),1,0))</f>
        <v>0</v>
      </c>
      <c r="DO199" s="97" t="s">
        <v>96</v>
      </c>
      <c r="DP199" s="86">
        <f>IF(AB203&lt;&gt;"Ｂ",0,IF(DB196&lt;=2,1,0))</f>
        <v>0</v>
      </c>
      <c r="DQ199" s="86">
        <f>IF(AB203&lt;&gt;"Ｂ",0,IF(OR(AND(DB196&gt;2,DB196&lt;6),AND(DB196&gt;6,DB196&lt;=8)),1,0))</f>
        <v>0</v>
      </c>
      <c r="DR199" s="86">
        <f>IF(AB203&lt;&gt;"Ｂ",0,IF(OR(AND(DB196&gt;4,DB196&lt;6),AND(DB196&gt;8,DB196&lt;=12)),1,0))</f>
        <v>0</v>
      </c>
      <c r="DS199" s="128" t="s">
        <v>1118</v>
      </c>
      <c r="DT199" s="159">
        <f>IF(AB203&lt;&gt;"Ｃ",0,IF(DX199&lt;&gt;0,DX199,IF(DY199&lt;&gt;0,DY199,IF(DZ199&lt;&gt;0,DZ199,0))))</f>
        <v>0</v>
      </c>
      <c r="DU199" s="159">
        <f>IF(AB203&lt;&gt;"Ｃ",0,IF(DX199=0,0,1))</f>
        <v>0</v>
      </c>
      <c r="DV199" s="159">
        <f>IF(AB203&lt;&gt;"Ｃ",0,IF(DY199=0,0,1))</f>
        <v>0</v>
      </c>
      <c r="DW199" s="783">
        <f>IF(AB203&lt;&gt;"Ｃ",0,IF(DZ199=0,0,1))</f>
        <v>0</v>
      </c>
      <c r="DX199" s="714">
        <f>IF(AB203&lt;&gt;"Ｃ",0,IF(DB196&lt;=12,3,IF(AND(DB196&gt;12,DB196&lt;=16),4,IF(AND(DB196&gt;16,DB196&lt;=20),5,0))))</f>
        <v>0</v>
      </c>
      <c r="DY199" s="86">
        <f>IF(AB203&lt;&gt;"Ｃ",0,IF(AND(DB196&gt;20,DB196&lt;=24),3,IF(AND(DB196&gt;24,DB196&lt;=32),4,IF(AND(DB196&gt;32,DB196&lt;=40),5,0))))</f>
        <v>0</v>
      </c>
      <c r="DZ199" s="97">
        <f>IF(AB203&lt;&gt;"Ｃ",0,IF(AND(DB196&gt;40,DB196&lt;=48),4,IF(AND(DB196&gt;48,DB196&lt;=60),5,0)))</f>
        <v>0</v>
      </c>
      <c r="EA199" s="96"/>
      <c r="EB199" s="776" t="str">
        <f>IF(OR($B$2=0,X202=""),"","混合器 BS-CS")</f>
        <v/>
      </c>
      <c r="EC199" s="96"/>
      <c r="ED199" s="782" t="str">
        <f>IF(AW202="","","分配器 4D")</f>
        <v/>
      </c>
      <c r="EE199" s="96" t="str">
        <f>AW202</f>
        <v/>
      </c>
      <c r="EF199" s="96"/>
      <c r="EG199" s="96"/>
      <c r="EH199" s="197">
        <f t="shared" si="124"/>
        <v>5</v>
      </c>
      <c r="EI199" s="773" t="str">
        <f t="shared" si="125"/>
        <v/>
      </c>
      <c r="EJ199" s="203" t="str">
        <f>K205</f>
        <v/>
      </c>
      <c r="EK199" s="9"/>
      <c r="EL199" s="9" t="str">
        <f>IF(COUNTIF($EJ$18:EJ198,EJ199)&gt;0,"",EJ199)</f>
        <v/>
      </c>
      <c r="EM199" s="9"/>
      <c r="EN199" s="14" t="str">
        <f>T205</f>
        <v/>
      </c>
      <c r="EO199" s="771">
        <f t="shared" si="133"/>
        <v>0</v>
      </c>
      <c r="EP199" s="8"/>
      <c r="EQ199" s="96"/>
      <c r="ER199" s="197">
        <f t="shared" si="126"/>
        <v>5</v>
      </c>
      <c r="ES199" s="773" t="str">
        <f t="shared" si="127"/>
        <v/>
      </c>
      <c r="ET199" s="203" t="str">
        <f t="shared" si="134"/>
        <v/>
      </c>
      <c r="EU199" s="9"/>
      <c r="EV199" s="11" t="str">
        <f>IF(COUNTIF($ET$18:ET198,ET199)&gt;0,"",ET199)</f>
        <v/>
      </c>
      <c r="EW199" s="9"/>
      <c r="EX199" s="124" t="str">
        <f>X202</f>
        <v/>
      </c>
      <c r="EY199" s="771">
        <f t="shared" si="135"/>
        <v>0</v>
      </c>
      <c r="EZ199" s="8"/>
      <c r="FA199" s="96"/>
      <c r="FB199" s="197">
        <f t="shared" si="117"/>
        <v>10</v>
      </c>
      <c r="FC199" s="773" t="str">
        <f t="shared" si="118"/>
        <v/>
      </c>
      <c r="FD199" s="772" t="str">
        <f t="shared" si="136"/>
        <v/>
      </c>
      <c r="FE199" s="9"/>
      <c r="FF199" s="11" t="str">
        <f>IF(COUNTIF($FD$15:FD198,FD199)&gt;0,"",FD199)</f>
        <v/>
      </c>
      <c r="FG199" s="9"/>
      <c r="FH199" s="124" t="str">
        <f>AW202</f>
        <v/>
      </c>
      <c r="FI199" s="771">
        <f t="shared" si="137"/>
        <v>0</v>
      </c>
    </row>
    <row r="200" spans="1:165" ht="11.25" customHeight="1" thickBot="1">
      <c r="B200" s="23"/>
      <c r="C200" s="3819" t="s">
        <v>16</v>
      </c>
      <c r="D200" s="3820"/>
      <c r="E200" s="3821"/>
      <c r="F200" s="3869" t="s">
        <v>22</v>
      </c>
      <c r="G200" s="3870"/>
      <c r="H200" s="3871"/>
      <c r="I200" s="3869" t="s">
        <v>5</v>
      </c>
      <c r="J200" s="3870"/>
      <c r="K200" s="3870"/>
      <c r="L200" s="3871"/>
      <c r="M200" s="3819" t="s">
        <v>1117</v>
      </c>
      <c r="N200" s="3820"/>
      <c r="O200" s="3820"/>
      <c r="P200" s="3821"/>
      <c r="Q200" s="3819" t="s">
        <v>1116</v>
      </c>
      <c r="R200" s="3820"/>
      <c r="S200" s="3821"/>
      <c r="T200" s="3819" t="s">
        <v>1116</v>
      </c>
      <c r="U200" s="3820"/>
      <c r="V200" s="3821"/>
      <c r="W200" s="3861"/>
      <c r="X200" s="3864"/>
      <c r="Y200" s="3864"/>
      <c r="Z200" s="3867"/>
      <c r="AA200" s="3872" t="str">
        <f>IF($AG$15&lt;=65,"40/","35/")</f>
        <v>40/</v>
      </c>
      <c r="AB200" s="3873"/>
      <c r="AC200" s="3873"/>
      <c r="AD200" s="3873" t="str">
        <f>IF(CW271&gt;55,"40/","35/")</f>
        <v>35/</v>
      </c>
      <c r="AE200" s="3873"/>
      <c r="AF200" s="3875"/>
      <c r="AG200" s="3876" t="s">
        <v>1114</v>
      </c>
      <c r="AH200" s="3877"/>
      <c r="AI200" s="3877"/>
      <c r="AJ200" s="3877"/>
      <c r="AK200" s="3877"/>
      <c r="AL200" s="3877"/>
      <c r="AM200" s="3877"/>
      <c r="AN200" s="3877"/>
      <c r="AO200" s="3877"/>
      <c r="AP200" s="3877"/>
      <c r="AQ200" s="3877"/>
      <c r="AR200" s="3878"/>
      <c r="AS200" s="3549" t="s">
        <v>1113</v>
      </c>
      <c r="AT200" s="3550"/>
      <c r="AU200" s="3550"/>
      <c r="AV200" s="3550"/>
      <c r="AW200" s="3550"/>
      <c r="AX200" s="3550"/>
      <c r="AY200" s="3550"/>
      <c r="AZ200" s="3550"/>
      <c r="BA200" s="3550"/>
      <c r="BB200" s="3550"/>
      <c r="BC200" s="3550"/>
      <c r="BD200" s="3551"/>
      <c r="BE200" s="3552" t="s">
        <v>1112</v>
      </c>
      <c r="BF200" s="3553"/>
      <c r="BG200" s="3553"/>
      <c r="BH200" s="3553"/>
      <c r="BI200" s="3553" t="s">
        <v>1111</v>
      </c>
      <c r="BJ200" s="3553"/>
      <c r="BK200" s="3553"/>
      <c r="BL200" s="3553"/>
      <c r="BM200" s="3553" t="s">
        <v>1112</v>
      </c>
      <c r="BN200" s="3553"/>
      <c r="BO200" s="3553"/>
      <c r="BP200" s="3553"/>
      <c r="BQ200" s="3553" t="s">
        <v>1111</v>
      </c>
      <c r="BR200" s="3553"/>
      <c r="BS200" s="3553"/>
      <c r="BT200" s="3874"/>
      <c r="BU200" s="19"/>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15"/>
      <c r="DA200" s="67">
        <f>IF(C202="  RF",0,IF(DC198="＋",F202+F193+3,0))</f>
        <v>0</v>
      </c>
      <c r="DB200" s="98" t="str">
        <f>IF(C202="  RF","",IF(AN203="","",非誘!BW137))</f>
        <v/>
      </c>
      <c r="DC200" s="98" t="str">
        <f>IF(DB200="","",IF(AN203="","",非誘!BX137))</f>
        <v/>
      </c>
      <c r="DD200" s="3822" t="s">
        <v>1110</v>
      </c>
      <c r="DE200" s="3823"/>
      <c r="DF200" s="3824" t="s">
        <v>1108</v>
      </c>
      <c r="DG200" s="3824"/>
      <c r="DH200" s="3824" t="s">
        <v>1109</v>
      </c>
      <c r="DI200" s="3824"/>
      <c r="DJ200" s="3825" t="s">
        <v>1108</v>
      </c>
      <c r="DK200" s="3826"/>
      <c r="DL200" s="8"/>
      <c r="DM200" s="113" t="s">
        <v>1107</v>
      </c>
      <c r="DN200" s="113" t="s">
        <v>1106</v>
      </c>
      <c r="DO200" s="113" t="s">
        <v>1105</v>
      </c>
      <c r="DP200" s="8"/>
      <c r="DQ200" s="8"/>
      <c r="DR200" s="8"/>
      <c r="DS200" s="8"/>
      <c r="DT200" s="113" t="s">
        <v>1084</v>
      </c>
      <c r="DU200" s="8"/>
      <c r="DV200" s="113" t="s">
        <v>1104</v>
      </c>
      <c r="DW200" s="113" t="s">
        <v>1083</v>
      </c>
      <c r="DX200" s="8"/>
      <c r="DY200" s="113" t="s">
        <v>1104</v>
      </c>
      <c r="DZ200" s="113" t="s">
        <v>1104</v>
      </c>
      <c r="EA200" s="113"/>
      <c r="EB200" s="776" t="str">
        <f>IF(OR($B$2=0,Y202=""),"","混合器 UV-BC")</f>
        <v/>
      </c>
      <c r="EC200" s="15"/>
      <c r="ED200" s="782" t="str">
        <f>IF(BA202="","","分配器 6D")</f>
        <v/>
      </c>
      <c r="EE200" s="15" t="str">
        <f>BA202</f>
        <v/>
      </c>
      <c r="EF200" s="15"/>
      <c r="EG200" s="15"/>
      <c r="EH200" s="197">
        <f t="shared" si="124"/>
        <v>5</v>
      </c>
      <c r="EI200" s="773" t="str">
        <f t="shared" si="125"/>
        <v/>
      </c>
      <c r="EJ200" s="203" t="str">
        <f>X204</f>
        <v/>
      </c>
      <c r="EK200" s="9"/>
      <c r="EL200" s="9" t="str">
        <f>IF(COUNTIF($EJ$18:EJ199,EJ200)&gt;0,"",EJ200)</f>
        <v/>
      </c>
      <c r="EM200" s="9"/>
      <c r="EN200" s="14" t="str">
        <f>AI204</f>
        <v/>
      </c>
      <c r="EO200" s="771">
        <f t="shared" si="133"/>
        <v>0</v>
      </c>
      <c r="EP200" s="8"/>
      <c r="EQ200" s="15"/>
      <c r="ER200" s="197">
        <f t="shared" si="126"/>
        <v>5</v>
      </c>
      <c r="ES200" s="773" t="str">
        <f t="shared" si="127"/>
        <v/>
      </c>
      <c r="ET200" s="203" t="str">
        <f t="shared" si="134"/>
        <v/>
      </c>
      <c r="EU200" s="9"/>
      <c r="EV200" s="11" t="str">
        <f>IF(COUNTIF($ET$18:ET199,ET200)&gt;0,"",ET200)</f>
        <v/>
      </c>
      <c r="EW200" s="9"/>
      <c r="EX200" s="124" t="str">
        <f>Y202</f>
        <v/>
      </c>
      <c r="EY200" s="771">
        <f t="shared" si="135"/>
        <v>0</v>
      </c>
      <c r="EZ200" s="8"/>
      <c r="FA200" s="15"/>
      <c r="FB200" s="197">
        <f t="shared" si="117"/>
        <v>10</v>
      </c>
      <c r="FC200" s="773" t="str">
        <f t="shared" si="118"/>
        <v/>
      </c>
      <c r="FD200" s="772" t="str">
        <f t="shared" si="136"/>
        <v/>
      </c>
      <c r="FE200" s="9"/>
      <c r="FF200" s="11" t="str">
        <f>IF(COUNTIF($FD$15:FD199,FD200)&gt;0,"",FD200)</f>
        <v/>
      </c>
      <c r="FG200" s="9"/>
      <c r="FH200" s="124" t="str">
        <f>BA202</f>
        <v/>
      </c>
      <c r="FI200" s="771">
        <f t="shared" si="137"/>
        <v>0</v>
      </c>
    </row>
    <row r="201" spans="1:165" ht="11.25" customHeight="1" thickBot="1">
      <c r="B201" s="23"/>
      <c r="C201" s="3819"/>
      <c r="D201" s="3820"/>
      <c r="E201" s="3821"/>
      <c r="F201" s="3827" t="s">
        <v>113</v>
      </c>
      <c r="G201" s="3769"/>
      <c r="H201" s="3828"/>
      <c r="I201" s="3819" t="s">
        <v>113</v>
      </c>
      <c r="J201" s="3820"/>
      <c r="K201" s="3820"/>
      <c r="L201" s="3821"/>
      <c r="M201" s="3819" t="s">
        <v>1103</v>
      </c>
      <c r="N201" s="3820"/>
      <c r="O201" s="3820"/>
      <c r="P201" s="3821"/>
      <c r="Q201" s="3819" t="s">
        <v>1102</v>
      </c>
      <c r="R201" s="3820"/>
      <c r="S201" s="3821"/>
      <c r="T201" s="3819" t="s">
        <v>115</v>
      </c>
      <c r="U201" s="3820"/>
      <c r="V201" s="3821"/>
      <c r="W201" s="3862"/>
      <c r="X201" s="3865"/>
      <c r="Y201" s="3865"/>
      <c r="Z201" s="3868"/>
      <c r="AA201" s="3829">
        <f>IF($AG$15&lt;=65,115,110)</f>
        <v>115</v>
      </c>
      <c r="AB201" s="3562"/>
      <c r="AC201" s="3562"/>
      <c r="AD201" s="3562">
        <f>IF(CW271&gt;55,115,110)</f>
        <v>110</v>
      </c>
      <c r="AE201" s="3562"/>
      <c r="AF201" s="3830"/>
      <c r="AG201" s="3831" t="s">
        <v>1101</v>
      </c>
      <c r="AH201" s="3832"/>
      <c r="AI201" s="3832"/>
      <c r="AJ201" s="3833"/>
      <c r="AK201" s="3834" t="s">
        <v>1100</v>
      </c>
      <c r="AL201" s="3832"/>
      <c r="AM201" s="3832"/>
      <c r="AN201" s="3833"/>
      <c r="AO201" s="3834" t="s">
        <v>1098</v>
      </c>
      <c r="AP201" s="3832"/>
      <c r="AQ201" s="3832"/>
      <c r="AR201" s="3835"/>
      <c r="AS201" s="3836" t="s">
        <v>1097</v>
      </c>
      <c r="AT201" s="3832"/>
      <c r="AU201" s="3832"/>
      <c r="AV201" s="3833"/>
      <c r="AW201" s="3844" t="s">
        <v>1095</v>
      </c>
      <c r="AX201" s="3845"/>
      <c r="AY201" s="3845"/>
      <c r="AZ201" s="3846"/>
      <c r="BA201" s="3558" t="s">
        <v>1094</v>
      </c>
      <c r="BB201" s="3559"/>
      <c r="BC201" s="3559"/>
      <c r="BD201" s="3560"/>
      <c r="BE201" s="3561" t="s">
        <v>1092</v>
      </c>
      <c r="BF201" s="3562"/>
      <c r="BG201" s="3562"/>
      <c r="BH201" s="3562"/>
      <c r="BI201" s="3850" t="s">
        <v>1091</v>
      </c>
      <c r="BJ201" s="3562"/>
      <c r="BK201" s="3562"/>
      <c r="BL201" s="3562"/>
      <c r="BM201" s="3850" t="s">
        <v>1090</v>
      </c>
      <c r="BN201" s="3562"/>
      <c r="BO201" s="3562"/>
      <c r="BP201" s="3562"/>
      <c r="BQ201" s="3850" t="s">
        <v>1089</v>
      </c>
      <c r="BR201" s="3562"/>
      <c r="BS201" s="3562"/>
      <c r="BT201" s="3851"/>
      <c r="BU201" s="19"/>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90"/>
      <c r="DA201" s="15"/>
      <c r="DB201" s="98" t="str">
        <f>IF(C202="","",IF(AZ203="①",DB200+DC200+3,IF(AZ203="②",DB200*5/8+DC200+3,IF(AZ203="③",DB200/2+DC200+3,IF(AZ203="④",DB200+DC200*5/8+3,IF(AZ203="⑤",(DB200+DC200)*5/8+3,IF(AZ203="⑥",DB200/2+DC200*5/8+3,IF(AZ203="⑦",DB200+DC200/2+3,IF(AZ203="⑧",DB200*5/8+DC200/2+3,IF(AZ203="⑨",(DB200+DC200)/2+3))))))))))</f>
        <v/>
      </c>
      <c r="DC201" s="180" t="s">
        <v>1088</v>
      </c>
      <c r="DD201" s="2589" t="str">
        <f>IF($AL$10="nC-FB","S-5C-FB",IF($AL$10="nD-FB","5D-FB","5C-2V"))</f>
        <v>S-5C-FB</v>
      </c>
      <c r="DE201" s="2591"/>
      <c r="DF201" s="3786">
        <f>IF(C202="  RF",DF191,IF($H$15="ＣＡＴＶ",DB200+DC200/2+F202-($AM$8-$AM$7)/1000+DR201,SUM(DM201:DO201)))</f>
        <v>0</v>
      </c>
      <c r="DG201" s="3786"/>
      <c r="DH201" s="2589" t="str">
        <f>IF($H$17="ＣＡＴＶ","G-22mm",IF(RIGHT($AB$17,1)+RIGHT($AF$17,1)+RIGHT($AJ$17,1)&gt;=4,"G-36mm","G-28mm"))</f>
        <v>G-28mm</v>
      </c>
      <c r="DI201" s="2591"/>
      <c r="DJ201" s="3786">
        <f>IF(C202="",0,IF(C202="  RF",DJ192,IF($H$15="ＣＡＴＶ",DB200+DC200/2+F202-($AM$8-$AM$7)/1000,10+F202-($AM$8-$AM$7)/1000)))</f>
        <v>0</v>
      </c>
      <c r="DK201" s="3786"/>
      <c r="DL201" s="15"/>
      <c r="DM201" s="98">
        <f>IF(OR($B$2=0,$H$15="ＣＡＴＶ",C202="",C202="  RF"),0,IF($AB$17="","",RIGHT($AB$17,1)*15+F202-($AM$8-$AM$7)/1000))</f>
        <v>0</v>
      </c>
      <c r="DN201" s="98">
        <f>IF(OR($B$2=0,$H$15="ＣＡＴＶ",C202="",C202="  RF"),0,IF($AF$17="","",15+F202-($AM$8-$AM$7)/1000))</f>
        <v>0</v>
      </c>
      <c r="DO201" s="98">
        <f>IF(OR($B$2=0,$H$15="ＣＡＴＶ",C202="",C202="  RF"),0,IF($AJ$17="","",15+F202-($AM$8-$AM$7)/1000))</f>
        <v>0</v>
      </c>
      <c r="DP201" s="15"/>
      <c r="DQ201" s="46" t="s">
        <v>1087</v>
      </c>
      <c r="DR201" s="98" t="str">
        <f>IF($H$17="ＣＡＴＶ",#REF!+#REF!,"")</f>
        <v/>
      </c>
      <c r="DS201" s="128" t="s">
        <v>1078</v>
      </c>
      <c r="DT201" s="159">
        <f>IF(AB203&lt;&gt;"Ｃ",0,IF(DY201&lt;&gt;0,DY201,IF(DZ201&lt;&gt;0,DZ201,0)))</f>
        <v>0</v>
      </c>
      <c r="DU201" s="8"/>
      <c r="DV201" s="86">
        <f>IF(AB203&lt;&gt;"Ｃ",0,IF(DY201=0,0,1))</f>
        <v>0</v>
      </c>
      <c r="DW201" s="86">
        <f>IF(AB203&lt;&gt;"Ｃ",0,IF(DZ201=0,0,1))</f>
        <v>0</v>
      </c>
      <c r="DX201" s="8"/>
      <c r="DY201" s="86">
        <f>IF(AB203&lt;&gt;"Ｃ",0,IF(AND(DB196&gt;60,DB196&lt;=64),4,IF(AND(DB196&gt;64,DB196&lt;=80),5,0)))</f>
        <v>0</v>
      </c>
      <c r="DZ201" s="86">
        <f>IF(AB203&lt;&gt;"Ｃ",0,IF(AND(DB196&gt;80,DB196&lt;=96),4,IF(AND(DB196&gt;96,DB196&lt;=120),5,0)))</f>
        <v>0</v>
      </c>
      <c r="EA201" s="38"/>
      <c r="EB201" s="776" t="str">
        <f>IF(OR($B$2=0,Z202=""),"","混合器 UV-BC")</f>
        <v/>
      </c>
      <c r="EC201" s="12"/>
      <c r="ED201" s="122" t="str">
        <f>IF(BE202="","","直列Unit-中間1端子")</f>
        <v/>
      </c>
      <c r="EE201" s="38" t="str">
        <f>BE202</f>
        <v/>
      </c>
      <c r="EF201" s="38"/>
      <c r="EG201" s="38"/>
      <c r="EH201" s="197">
        <f t="shared" si="124"/>
        <v>5</v>
      </c>
      <c r="EI201" s="773" t="str">
        <f t="shared" si="125"/>
        <v/>
      </c>
      <c r="EJ201" s="203" t="str">
        <f>X205</f>
        <v/>
      </c>
      <c r="EK201" s="9"/>
      <c r="EL201" s="9" t="str">
        <f>IF(COUNTIF($EJ$18:EJ200,EJ201)&gt;0,"",EJ201)</f>
        <v/>
      </c>
      <c r="EM201" s="9"/>
      <c r="EN201" s="14" t="str">
        <f>AI205</f>
        <v/>
      </c>
      <c r="EO201" s="771">
        <f t="shared" si="133"/>
        <v>0</v>
      </c>
      <c r="EP201" s="8"/>
      <c r="EQ201" s="38"/>
      <c r="ER201" s="197">
        <f t="shared" si="126"/>
        <v>5</v>
      </c>
      <c r="ES201" s="773" t="str">
        <f t="shared" si="127"/>
        <v/>
      </c>
      <c r="ET201" s="203" t="str">
        <f t="shared" si="134"/>
        <v/>
      </c>
      <c r="EU201" s="9"/>
      <c r="EV201" s="11" t="str">
        <f>IF(COUNTIF($ET$18:ET200,ET201)&gt;0,"",ET201)</f>
        <v/>
      </c>
      <c r="EW201" s="9"/>
      <c r="EX201" s="124">
        <f>Z202</f>
        <v>0</v>
      </c>
      <c r="EY201" s="771">
        <f t="shared" si="135"/>
        <v>0</v>
      </c>
      <c r="EZ201" s="8"/>
      <c r="FA201" s="38"/>
      <c r="FB201" s="197">
        <f t="shared" si="117"/>
        <v>10</v>
      </c>
      <c r="FC201" s="773" t="str">
        <f t="shared" si="118"/>
        <v/>
      </c>
      <c r="FD201" s="772" t="str">
        <f t="shared" si="136"/>
        <v/>
      </c>
      <c r="FE201" s="9"/>
      <c r="FF201" s="11" t="str">
        <f>IF(COUNTIF($FD$15:FD200,FD201)&gt;0,"",FD201)</f>
        <v/>
      </c>
      <c r="FG201" s="9"/>
      <c r="FH201" s="124" t="str">
        <f>BE202</f>
        <v/>
      </c>
      <c r="FI201" s="771">
        <f t="shared" si="137"/>
        <v>0</v>
      </c>
    </row>
    <row r="202" spans="1:165" ht="11.25" customHeight="1">
      <c r="A202" s="8">
        <v>20</v>
      </c>
      <c r="B202" s="23"/>
      <c r="C202" s="3837" t="str">
        <f>非誘!C137</f>
        <v/>
      </c>
      <c r="D202" s="3837"/>
      <c r="E202" s="3837"/>
      <c r="F202" s="3838" t="str">
        <f>非誘!F137</f>
        <v/>
      </c>
      <c r="G202" s="3839"/>
      <c r="H202" s="3840"/>
      <c r="I202" s="3838" t="str">
        <f>非誘!J137</f>
        <v/>
      </c>
      <c r="J202" s="3839"/>
      <c r="K202" s="3839"/>
      <c r="L202" s="3840"/>
      <c r="M202" s="3841" t="str">
        <f>非誘!N137</f>
        <v/>
      </c>
      <c r="N202" s="3842"/>
      <c r="O202" s="3842"/>
      <c r="P202" s="3843"/>
      <c r="Q202" s="3537" t="str">
        <f>非誘!AA137</f>
        <v/>
      </c>
      <c r="R202" s="3537"/>
      <c r="S202" s="3537"/>
      <c r="T202" s="3537" t="str">
        <f>非誘!AD137</f>
        <v/>
      </c>
      <c r="U202" s="3537"/>
      <c r="V202" s="3537"/>
      <c r="W202" s="781" t="str">
        <f>IF(OR(BR23="不要",C202&lt;&gt;$X$10),"",IF(AND($AB$17="UHF×3",$AF$17&lt;&gt;"",$AJ$17&lt;&gt;""),2,IF(OR(AND($AB$17="UHF×3",$AB$17="",$AJ$17=""),AND($AB$17="UHF×3",$AF$17&lt;&gt;"",$AJ$17=""),AND($AB$17="UHF×2",$AF$17&lt;&gt;"",$AJ$17&lt;&gt;"")),1,"")))</f>
        <v/>
      </c>
      <c r="X202" s="780" t="str">
        <f>IF(OR(BR23="不要",C202&lt;&gt;$X$10),"",IF(AND($AB$17&lt;&gt;"",$AF$17&lt;&gt;"",$AJ$17&lt;&gt;""),1,""))</f>
        <v/>
      </c>
      <c r="Y202" s="780" t="str">
        <f>IF(OR(BR23="不要",C202&lt;&gt;$X$10),"",IF(AND(OR($AB$17="UHF×2",$AB$17="UHF×3"),$AF$17&lt;&gt;"",$AJ$17=""),1,""))</f>
        <v/>
      </c>
      <c r="Z202" s="779"/>
      <c r="AA202" s="3847" t="str">
        <f>IF(C202="","",IF(AND(BR23&lt;&gt;"不要",DC198="＝"),1,""))</f>
        <v/>
      </c>
      <c r="AB202" s="3848"/>
      <c r="AC202" s="3848"/>
      <c r="AD202" s="3848" t="str">
        <f>IF($B$2=0,"",IF(OR(BR23="不要",C202="",C202="  RF"),"",IF(BR23="設置",1,"")))</f>
        <v/>
      </c>
      <c r="AE202" s="3848"/>
      <c r="AF202" s="3849"/>
      <c r="AG202" s="3817" t="str">
        <f>IF(OR(BR23="不要",C202="",C202="  RF"),"",IF(AI202&lt;&gt;"",AI202,IF(DE199+DM199+DT199+DT201+DT203=0,"",DE199+DM199+DT199+DT201+DT203)))</f>
        <v/>
      </c>
      <c r="AH202" s="3817"/>
      <c r="AI202" s="3815"/>
      <c r="AJ202" s="3815"/>
      <c r="AK202" s="3817" t="str">
        <f>IF(OR(BR23="不要",C202="",C202="  RF"),"",IF(AM202&lt;&gt;"",AM202,IF(DF199+DN199=0,"",DF199+DN199)))</f>
        <v/>
      </c>
      <c r="AL202" s="3817"/>
      <c r="AM202" s="3815"/>
      <c r="AN202" s="3815"/>
      <c r="AO202" s="3813" t="str">
        <f>IF(AQ202="","",AQ202)</f>
        <v/>
      </c>
      <c r="AP202" s="3814"/>
      <c r="AQ202" s="3815"/>
      <c r="AR202" s="3815"/>
      <c r="AS202" s="3816" t="str">
        <f>IF(OR(BR23="不要",C202="  RF"),"",IF(AU202&lt;&gt;"",AU202,IF(DH199+DP199+DU199+DX199+DY199+DZ199=0,"",DH199+DP199+DU199+DX199+DY199+DZ199)))</f>
        <v/>
      </c>
      <c r="AT202" s="3817"/>
      <c r="AU202" s="3815"/>
      <c r="AV202" s="3815"/>
      <c r="AW202" s="3817" t="str">
        <f>IF(OR(BR23="不要",C202="  RF"),"",IF(AY202&lt;&gt;"",AY202,IF(DI199+DQ199+DV199+DV201+DY201+DZ201=0,"",DI199+DQ199+DV199+DV201+DY201+DZ201)))</f>
        <v/>
      </c>
      <c r="AX202" s="3817"/>
      <c r="AY202" s="3815"/>
      <c r="AZ202" s="3815"/>
      <c r="BA202" s="3817" t="str">
        <f>IF(OR(BR23="不要",C202="  RF"),"",IF(BC202&lt;&gt;"",BC202,IF(DJ199+DR199+DW199+DW201+DW203+DZ203=0,"",DJ199+DR199+DW199+DW201+DW203+DZ203)))</f>
        <v/>
      </c>
      <c r="BB202" s="3817"/>
      <c r="BC202" s="3815"/>
      <c r="BD202" s="3815"/>
      <c r="BE202" s="3817" t="str">
        <f>IF(OR(BR23="不要",$X$11="2端子",C202="",C202="  RF"),"",IF(BG202&lt;&gt;"",BG202,IF(AND(AB203="Ａ",$X$11="1端子"),DK199,"")))</f>
        <v/>
      </c>
      <c r="BF202" s="3817"/>
      <c r="BG202" s="3817" t="str">
        <f>IF(AND(BO202&lt;&gt;"",AB203="Ａ",$X$11="1端子"),BO202,"")</f>
        <v/>
      </c>
      <c r="BH202" s="3817"/>
      <c r="BI202" s="3816" t="str">
        <f>IF(OR(BR23="不要",$X$11="1端子",C202="",C202="  RF"),"",IF(BK202&lt;&gt;"",BK202,IF(AND(AB203="Ａ",$X$11="2端子"),DK199,"")))</f>
        <v/>
      </c>
      <c r="BJ202" s="3817"/>
      <c r="BK202" s="3817" t="str">
        <f>IF(AND(BS202&lt;&gt;"",AB203="Ａ",$X$11="2端子"),BS202,"")</f>
        <v/>
      </c>
      <c r="BL202" s="3817"/>
      <c r="BM202" s="3817" t="str">
        <f>IF(OR(BR23="不要",C202="  RF",C202="",$X$11="2端子"),"",IF(BO202&lt;&gt;"",BO202,IF(AND(AB203="Ａ",$X$11="1端子"),DK199,DK197)))</f>
        <v/>
      </c>
      <c r="BN202" s="3817"/>
      <c r="BO202" s="3815"/>
      <c r="BP202" s="3815"/>
      <c r="BQ202" s="3817" t="str">
        <f>IF(OR(BR23="不要",C202="  RF",C202="",$X$11="1端子"),"",IF(BS202&lt;&gt;"",BS202,IF(AND(AB203="Ａ",$X$11="2端子"),DK199,DK197)))</f>
        <v/>
      </c>
      <c r="BR202" s="3817"/>
      <c r="BS202" s="3815"/>
      <c r="BT202" s="3815"/>
      <c r="BU202" s="19"/>
      <c r="BV202" s="8"/>
      <c r="BW202" s="88" t="str">
        <f>IF(I202="直天",F202,I202)</f>
        <v/>
      </c>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38"/>
      <c r="DA202" s="15"/>
      <c r="DB202" s="15"/>
      <c r="DC202" s="180" t="s">
        <v>1086</v>
      </c>
      <c r="DD202" s="2589" t="str">
        <f>IF($AL$10="nC-FB","S-7C-FB",IF($AL$10="nD-FB","8D-FB","7C-2V"))</f>
        <v>S-7C-FB</v>
      </c>
      <c r="DE202" s="2591"/>
      <c r="DF202" s="3786">
        <f>IF(OR(C202="",C202="  RF"),0,IF(AB203="Ｃ",2.5*AG202+(DB200+DC200),F202+2))</f>
        <v>0</v>
      </c>
      <c r="DG202" s="3786"/>
      <c r="DH202" s="2589" t="str">
        <f>IF(OR(H203="天井ケーブル",H203="天井-PF管"),"PF-S-22mm",IF(H203="天井-CD管","CD-22mm",IF(H203="天井-C 管","C-25mm",IF(H203="天井-G 管","G-22mm",""))))</f>
        <v>PF-S-22mm</v>
      </c>
      <c r="DI202" s="2591"/>
      <c r="DJ202" s="3631">
        <f>IF(OR(C202="",C202="  RF"),0,IF(AB203="Ｃ",F202-($AM$8-$AM$7)/1000,F202))</f>
        <v>0</v>
      </c>
      <c r="DK202" s="3812"/>
      <c r="DL202" s="778"/>
      <c r="DM202" s="112"/>
      <c r="DN202" s="190" t="s">
        <v>1085</v>
      </c>
      <c r="DO202" s="98">
        <f>IF(OR(C202="",C202="  RF"),0,(DB200+DC200)/2/SQRT(DK199))</f>
        <v>0</v>
      </c>
      <c r="DP202" s="15"/>
      <c r="DQ202" s="15"/>
      <c r="DR202" s="15"/>
      <c r="DS202" s="8"/>
      <c r="DT202" s="113" t="s">
        <v>1084</v>
      </c>
      <c r="DU202" s="8"/>
      <c r="DV202" s="113"/>
      <c r="DW202" s="113" t="s">
        <v>1083</v>
      </c>
      <c r="DX202" s="8"/>
      <c r="DY202" s="8"/>
      <c r="DZ202" s="113" t="s">
        <v>1083</v>
      </c>
      <c r="EA202" s="113"/>
      <c r="EB202" s="776" t="str">
        <f>IF(OR($B$2=0,AA202=""),"","増幅器 "&amp;AA200&amp;AA201)</f>
        <v/>
      </c>
      <c r="EC202" s="15"/>
      <c r="ED202" s="122" t="str">
        <f>IF(BI202="","","直列Unit-中間2端子")</f>
        <v/>
      </c>
      <c r="EE202" s="15" t="str">
        <f>BI202</f>
        <v/>
      </c>
      <c r="EF202" s="15"/>
      <c r="EG202" s="15"/>
      <c r="EH202" s="197">
        <f t="shared" si="124"/>
        <v>5</v>
      </c>
      <c r="EI202" s="773" t="str">
        <f t="shared" si="125"/>
        <v/>
      </c>
      <c r="EJ202" s="203" t="str">
        <f>AS204</f>
        <v/>
      </c>
      <c r="EK202" s="9"/>
      <c r="EL202" s="9" t="str">
        <f>IF(COUNTIF($EJ$18:EJ201,EJ202)&gt;0,"",EJ202)</f>
        <v/>
      </c>
      <c r="EM202" s="9"/>
      <c r="EN202" s="14" t="str">
        <f>BB204</f>
        <v/>
      </c>
      <c r="EO202" s="771">
        <f t="shared" si="133"/>
        <v>0</v>
      </c>
      <c r="EP202" s="8"/>
      <c r="EQ202" s="15"/>
      <c r="ER202" s="197">
        <f t="shared" si="126"/>
        <v>5</v>
      </c>
      <c r="ES202" s="773" t="str">
        <f t="shared" si="127"/>
        <v/>
      </c>
      <c r="ET202" s="203" t="str">
        <f t="shared" si="134"/>
        <v/>
      </c>
      <c r="EU202" s="9"/>
      <c r="EV202" s="11" t="str">
        <f>IF(COUNTIF($ET$18:ET201,ET202)&gt;0,"",ET202)</f>
        <v/>
      </c>
      <c r="EW202" s="9"/>
      <c r="EX202" s="124" t="str">
        <f>AA202</f>
        <v/>
      </c>
      <c r="EY202" s="771">
        <f t="shared" si="135"/>
        <v>0</v>
      </c>
      <c r="EZ202" s="8"/>
      <c r="FA202" s="15"/>
      <c r="FB202" s="197">
        <f t="shared" si="117"/>
        <v>10</v>
      </c>
      <c r="FC202" s="773" t="str">
        <f t="shared" si="118"/>
        <v/>
      </c>
      <c r="FD202" s="772" t="str">
        <f t="shared" si="136"/>
        <v/>
      </c>
      <c r="FE202" s="9"/>
      <c r="FF202" s="11" t="str">
        <f>IF(COUNTIF($FD$15:FD201,FD202)&gt;0,"",FD202)</f>
        <v/>
      </c>
      <c r="FG202" s="9"/>
      <c r="FH202" s="124" t="str">
        <f>BI202</f>
        <v/>
      </c>
      <c r="FI202" s="771">
        <f t="shared" si="137"/>
        <v>0</v>
      </c>
    </row>
    <row r="203" spans="1:165" ht="12" customHeight="1">
      <c r="A203" s="8"/>
      <c r="B203" s="23"/>
      <c r="C203" s="3793" t="s">
        <v>135</v>
      </c>
      <c r="D203" s="3794"/>
      <c r="E203" s="3794"/>
      <c r="F203" s="3794"/>
      <c r="G203" s="3794"/>
      <c r="H203" s="3795" t="str">
        <f>IF($B$2=0,"",IF(P203="","天井ケーブル",P203))</f>
        <v>天井ケーブル</v>
      </c>
      <c r="I203" s="3795"/>
      <c r="J203" s="3795"/>
      <c r="K203" s="3795"/>
      <c r="L203" s="3795"/>
      <c r="M203" s="3795"/>
      <c r="N203" s="3795"/>
      <c r="O203" s="775" t="s">
        <v>34</v>
      </c>
      <c r="P203" s="3796"/>
      <c r="Q203" s="3797"/>
      <c r="R203" s="3797"/>
      <c r="S203" s="3797"/>
      <c r="T203" s="3797"/>
      <c r="U203" s="3797"/>
      <c r="V203" s="3798"/>
      <c r="W203" s="3794" t="s">
        <v>1082</v>
      </c>
      <c r="X203" s="3794"/>
      <c r="Y203" s="3794"/>
      <c r="Z203" s="3794"/>
      <c r="AA203" s="3794"/>
      <c r="AB203" s="3799" t="str">
        <f>IF(BR23="不要","",IF(AF203&lt;&gt;"",AF203,DB197))</f>
        <v/>
      </c>
      <c r="AC203" s="3799"/>
      <c r="AD203" s="3799"/>
      <c r="AE203" s="775" t="s">
        <v>34</v>
      </c>
      <c r="AF203" s="3800"/>
      <c r="AG203" s="3801"/>
      <c r="AH203" s="3802"/>
      <c r="AI203" s="2634" t="s">
        <v>20</v>
      </c>
      <c r="AJ203" s="2634"/>
      <c r="AK203" s="2634"/>
      <c r="AL203" s="2634"/>
      <c r="AM203" s="2634"/>
      <c r="AN203" s="3522" t="str">
        <f>IF(OR(C202="",C202="  RF"),"",非誘!J136)</f>
        <v/>
      </c>
      <c r="AO203" s="3523"/>
      <c r="AP203" s="3523"/>
      <c r="AQ203" s="3524"/>
      <c r="AR203" s="3507" t="s">
        <v>1081</v>
      </c>
      <c r="AS203" s="3461"/>
      <c r="AT203" s="3461"/>
      <c r="AU203" s="3461"/>
      <c r="AV203" s="3461"/>
      <c r="AW203" s="3461"/>
      <c r="AX203" s="3461"/>
      <c r="AY203" s="3461"/>
      <c r="AZ203" s="3563" t="str">
        <f>IF(OR(C202="",C202="  RF"),"",IF(BC203="",$AN$11,BC203))</f>
        <v/>
      </c>
      <c r="BA203" s="3563"/>
      <c r="BB203" s="777" t="s">
        <v>34</v>
      </c>
      <c r="BC203" s="3521"/>
      <c r="BD203" s="3521"/>
      <c r="BE203" s="3564"/>
      <c r="BF203" s="3565"/>
      <c r="BG203" s="3565"/>
      <c r="BH203" s="3565"/>
      <c r="BI203" s="3565"/>
      <c r="BJ203" s="3565"/>
      <c r="BK203" s="3565"/>
      <c r="BL203" s="3565"/>
      <c r="BM203" s="3565"/>
      <c r="BN203" s="3565"/>
      <c r="BO203" s="3565"/>
      <c r="BP203" s="3565"/>
      <c r="BQ203" s="3565"/>
      <c r="BR203" s="3565"/>
      <c r="BS203" s="3565"/>
      <c r="BT203" s="3566"/>
      <c r="BU203" s="19"/>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38"/>
      <c r="DA203" s="15"/>
      <c r="DB203" s="8"/>
      <c r="DC203" s="180" t="s">
        <v>1080</v>
      </c>
      <c r="DD203" s="2589" t="str">
        <f>IF($AL$10="nC-FB","S-5C-FB",IF($AL$10="nD-FB","5D-FB","5C-2V"))</f>
        <v>S-5C-FB</v>
      </c>
      <c r="DE203" s="2591"/>
      <c r="DF203" s="3631">
        <f>IF(AB203="Ａ",(DK199+2*BW202-($X$7+$X$9)/1000)*DO202+(12+2*BW202-2*$X$9/1000)*DK199+DO203,IF(AB203="Ｂ",(DO202+2*BW202-$X$9/1000)*DK197+DO203,0))</f>
        <v>0</v>
      </c>
      <c r="DG203" s="3812"/>
      <c r="DH203" s="2589" t="str">
        <f>IF(OR(H203="天井ケーブル",H203="天井-PF管"),"PF-S-16mm",IF(H203="天井-CD管","CD-16mm",IF(H203="天井-C 管","C-19mm",IF(H203="天井-G 管","G-16mm",""))))</f>
        <v>PF-S-16mm</v>
      </c>
      <c r="DI203" s="2591"/>
      <c r="DJ203" s="3786">
        <f>IF(OR(C202="",C202="  RF"),0,IF(H203="天井ケーブル",DK197*(BW202-($X$9-$AM$9)/1000),(DO202+2*BW202-$X$9/1000)*DK197+DO203))</f>
        <v>0</v>
      </c>
      <c r="DK203" s="3786"/>
      <c r="DL203" s="15"/>
      <c r="DM203" s="46"/>
      <c r="DN203" s="46" t="s">
        <v>1079</v>
      </c>
      <c r="DO203" s="98" t="str">
        <f>DB201</f>
        <v/>
      </c>
      <c r="DP203" s="15"/>
      <c r="DQ203" s="15"/>
      <c r="DR203" s="15"/>
      <c r="DS203" s="128" t="s">
        <v>1078</v>
      </c>
      <c r="DT203" s="86">
        <f>IF(AB203&lt;&gt;"Ｃ",0,IF(DZ203=0,0,DZ203))</f>
        <v>0</v>
      </c>
      <c r="DU203" s="8"/>
      <c r="DV203" s="8"/>
      <c r="DW203" s="86">
        <f>IF(AB203&lt;&gt;"Ｃ",0,IF(DZ203=0,0,1))</f>
        <v>0</v>
      </c>
      <c r="DX203" s="8"/>
      <c r="DY203" s="8"/>
      <c r="DZ203" s="86">
        <f>IF(AB203&lt;&gt;"Ｃ",0,IF(AND(DB196&gt;120,DB196&lt;=144),4,IF(AND(DB196&gt;144,DB196&lt;=180),5,0)))</f>
        <v>0</v>
      </c>
      <c r="EA203" s="38"/>
      <c r="EB203" s="776" t="str">
        <f>IF(OR($B$2=0,AD202=""),"","増幅器 "&amp;AD200&amp;AD201)</f>
        <v/>
      </c>
      <c r="EC203" s="38"/>
      <c r="ED203" s="122" t="str">
        <f>IF(BM202="","","直列Unit-終端1端子")</f>
        <v/>
      </c>
      <c r="EE203" s="38" t="str">
        <f>BM202</f>
        <v/>
      </c>
      <c r="EF203" s="38"/>
      <c r="EG203" s="38"/>
      <c r="EH203" s="197">
        <f t="shared" si="124"/>
        <v>5</v>
      </c>
      <c r="EI203" s="773" t="str">
        <f t="shared" si="125"/>
        <v/>
      </c>
      <c r="EJ203" s="203" t="str">
        <f>AS205</f>
        <v/>
      </c>
      <c r="EK203" s="9"/>
      <c r="EL203" s="9" t="str">
        <f>IF(COUNTIF($EJ$18:EJ202,EJ203)&gt;0,"",EJ203)</f>
        <v/>
      </c>
      <c r="EM203" s="9"/>
      <c r="EN203" s="14" t="str">
        <f>BB205</f>
        <v/>
      </c>
      <c r="EO203" s="771">
        <f t="shared" si="133"/>
        <v>0</v>
      </c>
      <c r="EP203" s="8"/>
      <c r="EQ203" s="38"/>
      <c r="ER203" s="197">
        <f t="shared" si="126"/>
        <v>5</v>
      </c>
      <c r="ES203" s="773" t="str">
        <f t="shared" si="127"/>
        <v/>
      </c>
      <c r="ET203" s="203" t="str">
        <f t="shared" si="134"/>
        <v/>
      </c>
      <c r="EU203" s="9"/>
      <c r="EV203" s="11" t="str">
        <f>IF(COUNTIF($ET$18:ET202,ET203)&gt;0,"",ET203)</f>
        <v/>
      </c>
      <c r="EW203" s="9"/>
      <c r="EX203" s="124" t="str">
        <f>AD202</f>
        <v/>
      </c>
      <c r="EY203" s="771">
        <f t="shared" si="135"/>
        <v>0</v>
      </c>
      <c r="EZ203" s="8"/>
      <c r="FA203" s="38"/>
      <c r="FB203" s="197">
        <f t="shared" si="117"/>
        <v>10</v>
      </c>
      <c r="FC203" s="773" t="str">
        <f t="shared" si="118"/>
        <v/>
      </c>
      <c r="FD203" s="772" t="str">
        <f t="shared" si="136"/>
        <v/>
      </c>
      <c r="FE203" s="9"/>
      <c r="FF203" s="11" t="str">
        <f>IF(COUNTIF($FD$15:FD202,FD203)&gt;0,"",FD203)</f>
        <v/>
      </c>
      <c r="FG203" s="9"/>
      <c r="FH203" s="124" t="str">
        <f>BM202</f>
        <v/>
      </c>
      <c r="FI203" s="771">
        <f t="shared" si="137"/>
        <v>0</v>
      </c>
    </row>
    <row r="204" spans="1:165" ht="12" customHeight="1">
      <c r="A204" s="8"/>
      <c r="B204" s="23"/>
      <c r="C204" s="3806" t="s">
        <v>449</v>
      </c>
      <c r="D204" s="3807"/>
      <c r="E204" s="3807"/>
      <c r="F204" s="3795" t="str">
        <f>IF($H$15="ＣＡＴＶ","CATV引込","アンテナ部")</f>
        <v>アンテナ部</v>
      </c>
      <c r="G204" s="3795"/>
      <c r="H204" s="3795"/>
      <c r="I204" s="3795"/>
      <c r="J204" s="3795"/>
      <c r="K204" s="3810" t="str">
        <f>IF(OR(BR23="不要",$B$2=0,C202&lt;&gt;$X$10),"",IF(P204&lt;&gt;"",P204,DD201))</f>
        <v/>
      </c>
      <c r="L204" s="3810"/>
      <c r="M204" s="3810"/>
      <c r="N204" s="3810"/>
      <c r="O204" s="775" t="s">
        <v>68</v>
      </c>
      <c r="P204" s="3517"/>
      <c r="Q204" s="3517"/>
      <c r="R204" s="3517"/>
      <c r="S204" s="3517"/>
      <c r="T204" s="3534" t="str">
        <f>IF(AND(C202&lt;&gt;"",K204&lt;&gt;""),DF201,"")</f>
        <v/>
      </c>
      <c r="U204" s="3534"/>
      <c r="V204" s="3534"/>
      <c r="W204" s="3534"/>
      <c r="X204" s="3810" t="str">
        <f>IF(OR($B$2=0,K204=""),"",IF(AD204&lt;&gt;"",AD204,DH201))</f>
        <v/>
      </c>
      <c r="Y204" s="3810"/>
      <c r="Z204" s="3810"/>
      <c r="AA204" s="3810"/>
      <c r="AB204" s="3810"/>
      <c r="AC204" s="775" t="s">
        <v>68</v>
      </c>
      <c r="AD204" s="3525"/>
      <c r="AE204" s="3525"/>
      <c r="AF204" s="3525"/>
      <c r="AG204" s="3525"/>
      <c r="AH204" s="3525"/>
      <c r="AI204" s="3534" t="str">
        <f>IF(X204="","",IF(DJ201="","",DJ201))</f>
        <v/>
      </c>
      <c r="AJ204" s="3534"/>
      <c r="AK204" s="3534"/>
      <c r="AL204" s="3534"/>
      <c r="AM204" s="3795" t="s">
        <v>1077</v>
      </c>
      <c r="AN204" s="3795"/>
      <c r="AO204" s="3795"/>
      <c r="AP204" s="3795"/>
      <c r="AQ204" s="3795"/>
      <c r="AR204" s="3795"/>
      <c r="AS204" s="3810" t="str">
        <f>IF(OR(BR23="不要",$B$2=0,C202="",C202="  RF",AB203="Ｃ"),"",IF(AX204&lt;&gt;"",AX204,DD203))</f>
        <v/>
      </c>
      <c r="AT204" s="3810"/>
      <c r="AU204" s="3810"/>
      <c r="AV204" s="3810"/>
      <c r="AW204" s="775" t="s">
        <v>68</v>
      </c>
      <c r="AX204" s="3517"/>
      <c r="AY204" s="3517"/>
      <c r="AZ204" s="3517"/>
      <c r="BA204" s="3517"/>
      <c r="BB204" s="3811" t="str">
        <f>IF(AS204&lt;&gt;"",DF203,"")</f>
        <v/>
      </c>
      <c r="BC204" s="3811"/>
      <c r="BD204" s="3811"/>
      <c r="BE204" s="3811"/>
      <c r="BF204" s="3810" t="str">
        <f>IF(OR(C202="",AS204=""),"",IF(AB203="Ａ",DH202,DH203))</f>
        <v/>
      </c>
      <c r="BG204" s="3810"/>
      <c r="BH204" s="3810"/>
      <c r="BI204" s="3810"/>
      <c r="BJ204" s="3810"/>
      <c r="BK204" s="775" t="s">
        <v>68</v>
      </c>
      <c r="BL204" s="3525"/>
      <c r="BM204" s="3525"/>
      <c r="BN204" s="3525"/>
      <c r="BO204" s="3525"/>
      <c r="BP204" s="3525"/>
      <c r="BQ204" s="3534" t="str">
        <f>IF(BF204="","",DJ203)</f>
        <v/>
      </c>
      <c r="BR204" s="3534"/>
      <c r="BS204" s="3534"/>
      <c r="BT204" s="3534"/>
      <c r="BU204" s="19"/>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774" t="s">
        <v>1076</v>
      </c>
      <c r="DD204" s="2589" t="str">
        <f>DD203</f>
        <v>S-5C-FB</v>
      </c>
      <c r="DE204" s="2591"/>
      <c r="DF204" s="3631">
        <f>IF(OR(C202="",C202="  RF",I202="直天"),0,1+INT(12+BW202-($X$9-$AM$9)/1000)*DK197+DO204)</f>
        <v>0</v>
      </c>
      <c r="DG204" s="3812"/>
      <c r="DH204" s="2589" t="str">
        <f>DH203</f>
        <v>PF-S-16mm</v>
      </c>
      <c r="DI204" s="2591"/>
      <c r="DJ204" s="3786">
        <f>IF(OR(C202="",C202="  RF"),0,IF(H203="天井ケーブル",DK197*(BW202-($X$9-2*$AM$9)/1000),1+INT(12+BW202-$X$9/1000)*DK197))</f>
        <v>0</v>
      </c>
      <c r="DK204" s="3786"/>
      <c r="DL204" s="15"/>
      <c r="DM204" s="15"/>
      <c r="DN204" s="46" t="s">
        <v>1075</v>
      </c>
      <c r="DO204" s="97">
        <f>IF(OR(C202="",C270="  RF"),0,IF($AW$8=0,0,2*($AW$8/1000-0.15-0.1)*(INT(1000*DB200/$AW$10)+1)*(INT(1000*DC200/$AW$10)+1)*4))</f>
        <v>0</v>
      </c>
      <c r="DP204" s="15"/>
      <c r="DQ204" s="15"/>
      <c r="DR204" s="15"/>
      <c r="DS204" s="8"/>
      <c r="DT204" s="8"/>
      <c r="DU204" s="8"/>
      <c r="DV204" s="8"/>
      <c r="DW204" s="8"/>
      <c r="DX204" s="8"/>
      <c r="DY204" s="8"/>
      <c r="DZ204" s="8"/>
      <c r="EA204" s="8"/>
      <c r="EB204" s="769" t="str">
        <f>IF(OR($B$2=0,AG202=""),"","分岐器 1C")</f>
        <v/>
      </c>
      <c r="EC204" s="8"/>
      <c r="ED204" s="122" t="str">
        <f>IF(BQ202="","","直列Unit-終端2端子")</f>
        <v/>
      </c>
      <c r="EE204" s="8" t="str">
        <f>BQ202</f>
        <v/>
      </c>
      <c r="EF204" s="8"/>
      <c r="EG204" s="8"/>
      <c r="EH204" s="197">
        <f t="shared" si="124"/>
        <v>5</v>
      </c>
      <c r="EI204" s="773" t="str">
        <f t="shared" si="125"/>
        <v/>
      </c>
      <c r="EJ204" s="203" t="str">
        <f>BF204</f>
        <v/>
      </c>
      <c r="EK204" s="9"/>
      <c r="EL204" s="9" t="str">
        <f>IF(COUNTIF($EJ$18:EJ203,EJ204)&gt;0,"",EJ204)</f>
        <v/>
      </c>
      <c r="EM204" s="9"/>
      <c r="EN204" s="14" t="str">
        <f>BQ204</f>
        <v/>
      </c>
      <c r="EO204" s="771">
        <f t="shared" si="133"/>
        <v>0</v>
      </c>
      <c r="EP204" s="8"/>
      <c r="EQ204" s="8"/>
      <c r="ER204" s="197">
        <f t="shared" si="126"/>
        <v>5</v>
      </c>
      <c r="ES204" s="773" t="str">
        <f t="shared" si="127"/>
        <v/>
      </c>
      <c r="ET204" s="203" t="str">
        <f t="shared" si="134"/>
        <v/>
      </c>
      <c r="EU204" s="9"/>
      <c r="EV204" s="11" t="str">
        <f>IF(COUNTIF($ET$18:ET203,ET204)&gt;0,"",ET204)</f>
        <v/>
      </c>
      <c r="EW204" s="9"/>
      <c r="EX204" s="124" t="str">
        <f>AG202</f>
        <v/>
      </c>
      <c r="EY204" s="771">
        <f t="shared" si="135"/>
        <v>0</v>
      </c>
      <c r="EZ204" s="8"/>
      <c r="FA204" s="8"/>
      <c r="FB204" s="197">
        <f t="shared" si="117"/>
        <v>10</v>
      </c>
      <c r="FC204" s="773" t="str">
        <f t="shared" si="118"/>
        <v/>
      </c>
      <c r="FD204" s="772" t="str">
        <f t="shared" si="136"/>
        <v/>
      </c>
      <c r="FE204" s="9"/>
      <c r="FF204" s="11" t="str">
        <f>IF(COUNTIF($FD$15:FD203,FD204)&gt;0,"",FD204)</f>
        <v/>
      </c>
      <c r="FG204" s="9"/>
      <c r="FH204" s="124" t="str">
        <f>BQ202</f>
        <v/>
      </c>
      <c r="FI204" s="771">
        <f t="shared" si="137"/>
        <v>0</v>
      </c>
    </row>
    <row r="205" spans="1:165" ht="12" customHeight="1">
      <c r="A205" s="8"/>
      <c r="B205" s="23"/>
      <c r="C205" s="3808"/>
      <c r="D205" s="3809"/>
      <c r="E205" s="3809"/>
      <c r="F205" s="3803" t="s">
        <v>1074</v>
      </c>
      <c r="G205" s="3803"/>
      <c r="H205" s="3803"/>
      <c r="I205" s="3803"/>
      <c r="J205" s="3803"/>
      <c r="K205" s="3804" t="str">
        <f>IF(OR(C202="",C202="  RF",$B$2=0),"",IF(P205&lt;&gt;"",P205,DD202))</f>
        <v/>
      </c>
      <c r="L205" s="3804"/>
      <c r="M205" s="3804"/>
      <c r="N205" s="3804"/>
      <c r="O205" s="770" t="s">
        <v>68</v>
      </c>
      <c r="P205" s="3536"/>
      <c r="Q205" s="3536"/>
      <c r="R205" s="3536"/>
      <c r="S205" s="3536"/>
      <c r="T205" s="3805" t="str">
        <f>IF(R199="不",F202,IF(K205="","",DF202))</f>
        <v/>
      </c>
      <c r="U205" s="3805"/>
      <c r="V205" s="3805"/>
      <c r="W205" s="3805"/>
      <c r="X205" s="3804" t="str">
        <f>IF(R199="不","",IF(OR(C202="",K205=""),"",IF(AD205&lt;&gt;"",AD205,IF(DH202="","",DH202))))</f>
        <v/>
      </c>
      <c r="Y205" s="3804"/>
      <c r="Z205" s="3804"/>
      <c r="AA205" s="3804"/>
      <c r="AB205" s="3804"/>
      <c r="AC205" s="770" t="s">
        <v>68</v>
      </c>
      <c r="AD205" s="3533"/>
      <c r="AE205" s="3533"/>
      <c r="AF205" s="3533"/>
      <c r="AG205" s="3533"/>
      <c r="AH205" s="3533"/>
      <c r="AI205" s="3805" t="str">
        <f>IF(X205="","",DJ202)</f>
        <v/>
      </c>
      <c r="AJ205" s="3805"/>
      <c r="AK205" s="3805"/>
      <c r="AL205" s="3805"/>
      <c r="AM205" s="3803" t="s">
        <v>1073</v>
      </c>
      <c r="AN205" s="3803"/>
      <c r="AO205" s="3803"/>
      <c r="AP205" s="3803"/>
      <c r="AQ205" s="3803"/>
      <c r="AR205" s="3803"/>
      <c r="AS205" s="3804" t="str">
        <f>IF(OR(BR23="不要",$B$2=0,C202="",AB203&lt;&gt;"Ｃ"),"",IF(AX205&lt;&gt;"",AX205,DD204))</f>
        <v/>
      </c>
      <c r="AT205" s="3804"/>
      <c r="AU205" s="3804"/>
      <c r="AV205" s="3804"/>
      <c r="AW205" s="770" t="s">
        <v>68</v>
      </c>
      <c r="AX205" s="3536"/>
      <c r="AY205" s="3536"/>
      <c r="AZ205" s="3536"/>
      <c r="BA205" s="3536"/>
      <c r="BB205" s="3818" t="str">
        <f>IF(AS205="","",DF204)</f>
        <v/>
      </c>
      <c r="BC205" s="3818"/>
      <c r="BD205" s="3818"/>
      <c r="BE205" s="3818"/>
      <c r="BF205" s="3804" t="str">
        <f>IF(OR(C202="",AS205=""),"",IF(BL205&lt;&gt;"",BL205,DH204))</f>
        <v/>
      </c>
      <c r="BG205" s="3804"/>
      <c r="BH205" s="3804"/>
      <c r="BI205" s="3804"/>
      <c r="BJ205" s="3804"/>
      <c r="BK205" s="770" t="s">
        <v>68</v>
      </c>
      <c r="BL205" s="3533"/>
      <c r="BM205" s="3533"/>
      <c r="BN205" s="3533"/>
      <c r="BO205" s="3533"/>
      <c r="BP205" s="3533"/>
      <c r="BQ205" s="3805" t="str">
        <f>IF(BF205="","",DJ204)</f>
        <v/>
      </c>
      <c r="BR205" s="3805"/>
      <c r="BS205" s="3805"/>
      <c r="BT205" s="3805"/>
      <c r="BU205" s="19"/>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165"/>
      <c r="DC205" s="10"/>
      <c r="DD205" s="8"/>
      <c r="DE205" s="8"/>
      <c r="DF205" s="8"/>
      <c r="DG205" s="8"/>
      <c r="DH205" s="8"/>
      <c r="DI205" s="8"/>
      <c r="DJ205" s="8"/>
      <c r="DK205" s="8"/>
      <c r="DL205" s="8"/>
      <c r="DM205" s="8"/>
      <c r="DN205" s="8"/>
      <c r="DO205" s="8"/>
      <c r="DP205" s="15"/>
      <c r="DQ205" s="15"/>
      <c r="DR205" s="15"/>
      <c r="DS205" s="8"/>
      <c r="DT205" s="8"/>
      <c r="DU205" s="8"/>
      <c r="DV205" s="8"/>
      <c r="DW205" s="8"/>
      <c r="DX205" s="8"/>
      <c r="DY205" s="8"/>
      <c r="DZ205" s="8"/>
      <c r="EA205" s="8"/>
      <c r="EB205" s="769" t="str">
        <f>IF(OR($B$2=0,AK202=""),"","分岐器 2C")</f>
        <v/>
      </c>
      <c r="EC205" s="8"/>
      <c r="ED205" s="10"/>
      <c r="EE205" s="8"/>
      <c r="EF205" s="8"/>
      <c r="EG205" s="45"/>
      <c r="EH205" s="155">
        <f t="shared" si="124"/>
        <v>5</v>
      </c>
      <c r="EI205" s="768" t="str">
        <f t="shared" si="125"/>
        <v/>
      </c>
      <c r="EJ205" s="210" t="str">
        <f>BF205</f>
        <v/>
      </c>
      <c r="EK205" s="45"/>
      <c r="EL205" s="45" t="str">
        <f>IF(COUNTIF($EJ$18:EJ204,EJ205)&gt;0,"",EJ205)</f>
        <v/>
      </c>
      <c r="EM205" s="45"/>
      <c r="EN205" s="152" t="str">
        <f>BQ205</f>
        <v/>
      </c>
      <c r="EO205" s="766">
        <f t="shared" si="133"/>
        <v>0</v>
      </c>
      <c r="EP205" s="8"/>
      <c r="EQ205" s="45"/>
      <c r="ER205" s="155">
        <f t="shared" si="126"/>
        <v>5</v>
      </c>
      <c r="ES205" s="768" t="str">
        <f t="shared" si="127"/>
        <v/>
      </c>
      <c r="ET205" s="210" t="str">
        <f t="shared" si="134"/>
        <v/>
      </c>
      <c r="EU205" s="45"/>
      <c r="EV205" s="154" t="str">
        <f>IF(COUNTIF($ET$18:ET204,ET205)&gt;0,"",ET205)</f>
        <v/>
      </c>
      <c r="EW205" s="45"/>
      <c r="EX205" s="149" t="str">
        <f>AK202</f>
        <v/>
      </c>
      <c r="EY205" s="766">
        <f t="shared" si="135"/>
        <v>0</v>
      </c>
      <c r="EZ205" s="8"/>
      <c r="FA205" s="45"/>
      <c r="FB205" s="155">
        <f t="shared" si="117"/>
        <v>10</v>
      </c>
      <c r="FC205" s="768" t="str">
        <f t="shared" si="118"/>
        <v/>
      </c>
      <c r="FD205" s="767"/>
      <c r="FE205" s="45"/>
      <c r="FF205" s="154"/>
      <c r="FG205" s="45"/>
      <c r="FH205" s="149"/>
      <c r="FI205" s="766"/>
    </row>
    <row r="206" spans="1:165" ht="11.25" customHeight="1">
      <c r="A206" s="15"/>
      <c r="B206" s="23"/>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9"/>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54"/>
      <c r="DA206" s="11"/>
      <c r="DB206" s="186"/>
      <c r="DC206" s="765"/>
      <c r="DD206" s="765"/>
      <c r="DE206" s="765"/>
      <c r="DF206" s="186"/>
      <c r="DG206" s="765"/>
      <c r="DH206" s="765"/>
      <c r="DI206" s="765"/>
      <c r="DJ206" s="765"/>
      <c r="DK206" s="122"/>
      <c r="DL206" s="186"/>
      <c r="DM206" s="186"/>
      <c r="DN206" s="765"/>
      <c r="DO206" s="765"/>
      <c r="DP206" s="765"/>
      <c r="DQ206" s="765"/>
      <c r="DR206" s="122"/>
      <c r="DS206" s="186"/>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row>
    <row r="207" spans="1:165" ht="11.25" customHeight="1">
      <c r="A207" s="15"/>
      <c r="B207" s="23"/>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9"/>
      <c r="CZ207" s="709"/>
      <c r="DA207" s="708"/>
      <c r="DB207" s="534"/>
      <c r="DC207" s="707"/>
      <c r="DD207" s="707"/>
      <c r="DE207" s="707"/>
      <c r="DF207" s="534"/>
      <c r="DG207" s="707"/>
      <c r="DH207" s="707"/>
      <c r="DI207" s="707"/>
      <c r="DJ207" s="707"/>
      <c r="DK207" s="706"/>
      <c r="DL207" s="534"/>
      <c r="DM207" s="534"/>
      <c r="DN207" s="707"/>
      <c r="DO207" s="707"/>
      <c r="DP207" s="707"/>
      <c r="DQ207" s="707"/>
      <c r="DR207" s="706"/>
      <c r="DS207" s="534"/>
    </row>
    <row r="208" spans="1:165" ht="11.25" customHeight="1">
      <c r="A208" s="15"/>
      <c r="B208" s="23"/>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c r="BN208" s="130"/>
      <c r="BO208" s="130"/>
      <c r="BP208" s="130"/>
      <c r="BQ208" s="130"/>
      <c r="BR208" s="130"/>
      <c r="BS208" s="130"/>
      <c r="BT208" s="130"/>
      <c r="BU208" s="19"/>
      <c r="CZ208" s="709"/>
      <c r="DA208" s="708"/>
      <c r="DB208" s="534"/>
      <c r="DC208" s="707"/>
      <c r="DD208" s="707"/>
      <c r="DE208" s="707"/>
      <c r="DF208" s="534"/>
      <c r="DG208" s="707"/>
      <c r="DH208" s="707"/>
      <c r="DI208" s="707"/>
      <c r="DJ208" s="707"/>
      <c r="DK208" s="706"/>
      <c r="DL208" s="534"/>
      <c r="DM208" s="534"/>
      <c r="DN208" s="707"/>
      <c r="DO208" s="707"/>
      <c r="DP208" s="707"/>
      <c r="DQ208" s="707"/>
      <c r="DR208" s="706"/>
      <c r="DS208" s="534"/>
    </row>
    <row r="209" spans="1:123" ht="11.25" customHeight="1">
      <c r="A209" s="15"/>
      <c r="B209" s="23"/>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0"/>
      <c r="BT209" s="130"/>
      <c r="BU209" s="19"/>
      <c r="CZ209" s="709"/>
      <c r="DA209" s="708"/>
      <c r="DB209" s="534"/>
      <c r="DC209" s="707"/>
      <c r="DD209" s="707"/>
      <c r="DE209" s="707"/>
      <c r="DF209" s="534"/>
      <c r="DG209" s="707"/>
      <c r="DH209" s="707"/>
      <c r="DI209" s="707"/>
      <c r="DJ209" s="707"/>
      <c r="DK209" s="706"/>
      <c r="DL209" s="534"/>
      <c r="DM209" s="534"/>
      <c r="DN209" s="707"/>
      <c r="DO209" s="707"/>
      <c r="DP209" s="707"/>
      <c r="DQ209" s="707"/>
      <c r="DR209" s="706"/>
      <c r="DS209" s="534"/>
    </row>
    <row r="210" spans="1:123" ht="11.25" customHeight="1">
      <c r="A210" s="15"/>
      <c r="B210" s="23"/>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130"/>
      <c r="BN210" s="130"/>
      <c r="BO210" s="130"/>
      <c r="BP210" s="130"/>
      <c r="BQ210" s="130"/>
      <c r="BR210" s="130"/>
      <c r="BS210" s="130"/>
      <c r="BT210" s="130"/>
      <c r="BU210" s="19"/>
      <c r="CZ210" s="709"/>
      <c r="DA210" s="708"/>
      <c r="DB210" s="534"/>
      <c r="DC210" s="707"/>
      <c r="DD210" s="707"/>
      <c r="DE210" s="707"/>
      <c r="DF210" s="534"/>
      <c r="DG210" s="707"/>
      <c r="DH210" s="707"/>
      <c r="DI210" s="707"/>
      <c r="DJ210" s="707"/>
      <c r="DK210" s="706"/>
      <c r="DL210" s="534"/>
      <c r="DM210" s="534"/>
      <c r="DN210" s="707"/>
      <c r="DO210" s="707"/>
      <c r="DP210" s="707"/>
      <c r="DQ210" s="707"/>
      <c r="DR210" s="706"/>
      <c r="DS210" s="534"/>
    </row>
    <row r="211" spans="1:123" ht="11.25" customHeight="1">
      <c r="A211" s="15"/>
      <c r="B211" s="23"/>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30"/>
      <c r="BQ211" s="130"/>
      <c r="BR211" s="130"/>
      <c r="BS211" s="130"/>
      <c r="BT211" s="130"/>
      <c r="BU211" s="19"/>
      <c r="CZ211" s="709"/>
      <c r="DA211" s="708"/>
      <c r="DB211" s="534"/>
      <c r="DC211" s="707"/>
      <c r="DD211" s="707"/>
      <c r="DE211" s="707"/>
      <c r="DF211" s="534"/>
      <c r="DG211" s="707"/>
      <c r="DH211" s="707"/>
      <c r="DI211" s="707"/>
      <c r="DJ211" s="707"/>
      <c r="DK211" s="706"/>
      <c r="DL211" s="534"/>
      <c r="DM211" s="534"/>
      <c r="DN211" s="707"/>
      <c r="DO211" s="707"/>
      <c r="DP211" s="707"/>
      <c r="DQ211" s="707"/>
      <c r="DR211" s="706"/>
      <c r="DS211" s="534"/>
    </row>
    <row r="212" spans="1:123" ht="11.25" customHeight="1">
      <c r="A212" s="15"/>
      <c r="B212" s="23"/>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30"/>
      <c r="BQ212" s="130"/>
      <c r="BR212" s="130"/>
      <c r="BS212" s="130"/>
      <c r="BT212" s="130"/>
      <c r="BU212" s="19"/>
      <c r="CZ212" s="709"/>
      <c r="DA212" s="708"/>
      <c r="DB212" s="534"/>
      <c r="DC212" s="707"/>
      <c r="DD212" s="707"/>
      <c r="DE212" s="707"/>
      <c r="DF212" s="534"/>
      <c r="DG212" s="707"/>
      <c r="DH212" s="707"/>
      <c r="DI212" s="707"/>
      <c r="DJ212" s="707"/>
      <c r="DK212" s="706"/>
      <c r="DL212" s="534"/>
      <c r="DM212" s="534"/>
      <c r="DN212" s="707"/>
      <c r="DO212" s="707"/>
      <c r="DP212" s="707"/>
      <c r="DQ212" s="707"/>
      <c r="DR212" s="706"/>
      <c r="DS212" s="534"/>
    </row>
    <row r="213" spans="1:123" ht="11.25" customHeight="1">
      <c r="A213" s="15"/>
      <c r="B213" s="23"/>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130"/>
      <c r="BN213" s="130"/>
      <c r="BO213" s="130"/>
      <c r="BP213" s="130"/>
      <c r="BQ213" s="130"/>
      <c r="BR213" s="130"/>
      <c r="BS213" s="130"/>
      <c r="BT213" s="130"/>
      <c r="BU213" s="19"/>
      <c r="CZ213" s="709"/>
      <c r="DA213" s="708"/>
      <c r="DB213" s="534"/>
      <c r="DC213" s="707"/>
      <c r="DD213" s="707"/>
      <c r="DE213" s="707"/>
      <c r="DF213" s="534"/>
      <c r="DG213" s="707"/>
      <c r="DH213" s="707"/>
      <c r="DI213" s="707"/>
      <c r="DJ213" s="707"/>
      <c r="DK213" s="706"/>
      <c r="DL213" s="534"/>
      <c r="DM213" s="534"/>
      <c r="DN213" s="707"/>
      <c r="DO213" s="707"/>
      <c r="DP213" s="707"/>
      <c r="DQ213" s="707"/>
      <c r="DR213" s="706"/>
      <c r="DS213" s="534"/>
    </row>
    <row r="214" spans="1:123" ht="11.25" customHeight="1">
      <c r="A214" s="15"/>
      <c r="B214" s="23"/>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30"/>
      <c r="BQ214" s="130"/>
      <c r="BR214" s="130"/>
      <c r="BS214" s="130"/>
      <c r="BT214" s="130"/>
      <c r="BU214" s="19"/>
      <c r="CZ214" s="709"/>
      <c r="DA214" s="708"/>
      <c r="DB214" s="534"/>
      <c r="DC214" s="707"/>
      <c r="DD214" s="707"/>
      <c r="DE214" s="707"/>
      <c r="DF214" s="534"/>
      <c r="DG214" s="707"/>
      <c r="DH214" s="707"/>
      <c r="DI214" s="707"/>
      <c r="DJ214" s="707"/>
      <c r="DK214" s="706"/>
      <c r="DL214" s="534"/>
      <c r="DM214" s="534"/>
      <c r="DN214" s="707"/>
      <c r="DO214" s="707"/>
      <c r="DP214" s="707"/>
      <c r="DQ214" s="707"/>
      <c r="DR214" s="706"/>
      <c r="DS214" s="534"/>
    </row>
    <row r="215" spans="1:123" ht="11.25" customHeight="1">
      <c r="A215" s="15"/>
      <c r="B215" s="23"/>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c r="BM215" s="130"/>
      <c r="BN215" s="130"/>
      <c r="BO215" s="130"/>
      <c r="BP215" s="130"/>
      <c r="BQ215" s="130"/>
      <c r="BR215" s="130"/>
      <c r="BS215" s="130"/>
      <c r="BT215" s="130"/>
      <c r="BU215" s="19"/>
      <c r="CZ215" s="709"/>
      <c r="DA215" s="708"/>
      <c r="DB215" s="534"/>
      <c r="DC215" s="707"/>
      <c r="DD215" s="707"/>
      <c r="DE215" s="707"/>
      <c r="DF215" s="534"/>
      <c r="DG215" s="707"/>
      <c r="DH215" s="707"/>
      <c r="DI215" s="707"/>
      <c r="DJ215" s="707"/>
      <c r="DK215" s="706"/>
      <c r="DL215" s="534"/>
      <c r="DM215" s="534"/>
      <c r="DN215" s="707"/>
      <c r="DO215" s="707"/>
      <c r="DP215" s="707"/>
      <c r="DQ215" s="707"/>
      <c r="DR215" s="706"/>
      <c r="DS215" s="534"/>
    </row>
    <row r="216" spans="1:123" ht="11.25" customHeight="1">
      <c r="A216" s="15"/>
      <c r="B216" s="23"/>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0"/>
      <c r="BC216" s="130"/>
      <c r="BD216" s="130"/>
      <c r="BE216" s="130"/>
      <c r="BF216" s="130"/>
      <c r="BG216" s="130"/>
      <c r="BH216" s="130"/>
      <c r="BI216" s="130"/>
      <c r="BJ216" s="130"/>
      <c r="BK216" s="130"/>
      <c r="BL216" s="130"/>
      <c r="BM216" s="130"/>
      <c r="BN216" s="130"/>
      <c r="BO216" s="130"/>
      <c r="BP216" s="130"/>
      <c r="BQ216" s="130"/>
      <c r="BR216" s="130"/>
      <c r="BS216" s="130"/>
      <c r="BT216" s="130"/>
      <c r="BU216" s="19"/>
      <c r="CZ216" s="709"/>
      <c r="DA216" s="708"/>
      <c r="DB216" s="534"/>
      <c r="DC216" s="707"/>
      <c r="DD216" s="707"/>
      <c r="DE216" s="707"/>
      <c r="DF216" s="534"/>
      <c r="DG216" s="707"/>
      <c r="DH216" s="707"/>
      <c r="DI216" s="707"/>
      <c r="DJ216" s="707"/>
      <c r="DK216" s="706"/>
      <c r="DL216" s="534"/>
      <c r="DM216" s="534"/>
      <c r="DN216" s="707"/>
      <c r="DO216" s="707"/>
      <c r="DP216" s="707"/>
      <c r="DQ216" s="707"/>
      <c r="DR216" s="706"/>
      <c r="DS216" s="534"/>
    </row>
    <row r="217" spans="1:123" ht="11.25" customHeight="1">
      <c r="A217" s="15"/>
      <c r="B217" s="23"/>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c r="BE217" s="130"/>
      <c r="BF217" s="130"/>
      <c r="BG217" s="130"/>
      <c r="BH217" s="130"/>
      <c r="BI217" s="130"/>
      <c r="BJ217" s="130"/>
      <c r="BK217" s="130"/>
      <c r="BL217" s="130"/>
      <c r="BM217" s="130"/>
      <c r="BN217" s="130"/>
      <c r="BO217" s="130"/>
      <c r="BP217" s="130"/>
      <c r="BQ217" s="130"/>
      <c r="BR217" s="130"/>
      <c r="BS217" s="130"/>
      <c r="BT217" s="130"/>
      <c r="BU217" s="19"/>
      <c r="CZ217" s="709"/>
      <c r="DA217" s="708"/>
      <c r="DB217" s="534"/>
      <c r="DC217" s="707"/>
      <c r="DD217" s="707"/>
      <c r="DE217" s="707"/>
      <c r="DF217" s="534"/>
      <c r="DG217" s="707"/>
      <c r="DH217" s="707"/>
      <c r="DI217" s="707"/>
      <c r="DJ217" s="707"/>
      <c r="DK217" s="706"/>
      <c r="DL217" s="534"/>
      <c r="DM217" s="534"/>
      <c r="DN217" s="707"/>
      <c r="DO217" s="707"/>
      <c r="DP217" s="707"/>
      <c r="DQ217" s="707"/>
      <c r="DR217" s="706"/>
      <c r="DS217" s="534"/>
    </row>
    <row r="218" spans="1:123" ht="11.25" customHeight="1">
      <c r="A218" s="15"/>
      <c r="B218" s="23"/>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c r="BM218" s="130"/>
      <c r="BN218" s="130"/>
      <c r="BO218" s="130"/>
      <c r="BP218" s="130"/>
      <c r="BQ218" s="130"/>
      <c r="BR218" s="130"/>
      <c r="BS218" s="130"/>
      <c r="BT218" s="130"/>
      <c r="BU218" s="19"/>
      <c r="CZ218" s="709"/>
      <c r="DA218" s="708"/>
      <c r="DB218" s="534"/>
      <c r="DC218" s="707"/>
      <c r="DD218" s="707"/>
      <c r="DE218" s="707"/>
      <c r="DF218" s="534"/>
      <c r="DG218" s="707"/>
      <c r="DH218" s="707"/>
      <c r="DI218" s="707"/>
      <c r="DJ218" s="707"/>
      <c r="DK218" s="706"/>
      <c r="DL218" s="534"/>
      <c r="DM218" s="534"/>
      <c r="DN218" s="707"/>
      <c r="DO218" s="707"/>
      <c r="DP218" s="707"/>
      <c r="DQ218" s="707"/>
      <c r="DR218" s="706"/>
      <c r="DS218" s="534"/>
    </row>
    <row r="219" spans="1:123" ht="11.25" customHeight="1">
      <c r="A219" s="15"/>
      <c r="B219" s="23"/>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30"/>
      <c r="BQ219" s="130"/>
      <c r="BR219" s="130"/>
      <c r="BS219" s="130"/>
      <c r="BT219" s="130"/>
      <c r="BU219" s="19"/>
      <c r="CZ219" s="709"/>
      <c r="DA219" s="708"/>
      <c r="DB219" s="534"/>
      <c r="DC219" s="707"/>
      <c r="DD219" s="707"/>
      <c r="DE219" s="707"/>
      <c r="DF219" s="534"/>
      <c r="DG219" s="707"/>
      <c r="DH219" s="707"/>
      <c r="DI219" s="707"/>
      <c r="DJ219" s="707"/>
      <c r="DK219" s="706"/>
      <c r="DL219" s="534"/>
      <c r="DM219" s="534"/>
      <c r="DN219" s="707"/>
      <c r="DO219" s="707"/>
      <c r="DP219" s="707"/>
      <c r="DQ219" s="707"/>
      <c r="DR219" s="706"/>
      <c r="DS219" s="534"/>
    </row>
    <row r="220" spans="1:123" ht="11.25" customHeight="1">
      <c r="A220" s="15"/>
      <c r="B220" s="23"/>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30"/>
      <c r="BQ220" s="130"/>
      <c r="BR220" s="130"/>
      <c r="BS220" s="130"/>
      <c r="BT220" s="130"/>
      <c r="BU220" s="19"/>
      <c r="CZ220" s="709"/>
      <c r="DA220" s="708"/>
      <c r="DB220" s="534"/>
      <c r="DC220" s="707"/>
      <c r="DD220" s="707"/>
      <c r="DE220" s="707"/>
      <c r="DF220" s="534"/>
      <c r="DG220" s="707"/>
      <c r="DH220" s="707"/>
      <c r="DI220" s="707"/>
      <c r="DJ220" s="707"/>
      <c r="DK220" s="706"/>
      <c r="DL220" s="534"/>
      <c r="DM220" s="534"/>
      <c r="DN220" s="707"/>
      <c r="DO220" s="707"/>
      <c r="DP220" s="707"/>
      <c r="DQ220" s="707"/>
      <c r="DR220" s="706"/>
      <c r="DS220" s="534"/>
    </row>
    <row r="221" spans="1:123" ht="11.25" customHeight="1">
      <c r="A221" s="15"/>
      <c r="B221" s="23"/>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30"/>
      <c r="BQ221" s="130"/>
      <c r="BR221" s="130"/>
      <c r="BS221" s="130"/>
      <c r="BT221" s="130"/>
      <c r="BU221" s="19"/>
      <c r="CZ221" s="709"/>
      <c r="DA221" s="708"/>
      <c r="DB221" s="534"/>
      <c r="DC221" s="707"/>
      <c r="DD221" s="707"/>
      <c r="DE221" s="707"/>
      <c r="DF221" s="534"/>
      <c r="DG221" s="707"/>
      <c r="DH221" s="707"/>
      <c r="DI221" s="707"/>
      <c r="DJ221" s="707"/>
      <c r="DK221" s="706"/>
      <c r="DL221" s="534"/>
      <c r="DM221" s="534"/>
      <c r="DN221" s="707"/>
      <c r="DO221" s="707"/>
      <c r="DP221" s="707"/>
      <c r="DQ221" s="707"/>
      <c r="DR221" s="706"/>
      <c r="DS221" s="534"/>
    </row>
    <row r="222" spans="1:123" ht="11.25" customHeight="1">
      <c r="A222" s="15"/>
      <c r="B222" s="23"/>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c r="BQ222" s="130"/>
      <c r="BR222" s="130"/>
      <c r="BS222" s="130"/>
      <c r="BT222" s="130"/>
      <c r="BU222" s="19"/>
      <c r="CZ222" s="709"/>
      <c r="DA222" s="708"/>
      <c r="DB222" s="534"/>
      <c r="DC222" s="707"/>
      <c r="DD222" s="707"/>
      <c r="DE222" s="707"/>
      <c r="DF222" s="534"/>
      <c r="DG222" s="707"/>
      <c r="DH222" s="707"/>
      <c r="DI222" s="707"/>
      <c r="DJ222" s="707"/>
      <c r="DK222" s="706"/>
      <c r="DL222" s="534"/>
      <c r="DM222" s="534"/>
      <c r="DN222" s="707"/>
      <c r="DO222" s="707"/>
      <c r="DP222" s="707"/>
      <c r="DQ222" s="707"/>
      <c r="DR222" s="706"/>
      <c r="DS222" s="534"/>
    </row>
    <row r="223" spans="1:123" ht="11.25" customHeight="1">
      <c r="A223" s="15"/>
      <c r="B223" s="23"/>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30"/>
      <c r="BT223" s="130"/>
      <c r="BU223" s="19"/>
      <c r="CZ223" s="709"/>
      <c r="DA223" s="708"/>
      <c r="DB223" s="534"/>
      <c r="DC223" s="707"/>
      <c r="DD223" s="707"/>
      <c r="DE223" s="707"/>
      <c r="DF223" s="534"/>
      <c r="DG223" s="707"/>
      <c r="DH223" s="707"/>
      <c r="DI223" s="707"/>
      <c r="DJ223" s="707"/>
      <c r="DK223" s="706"/>
      <c r="DL223" s="534"/>
      <c r="DM223" s="534"/>
      <c r="DN223" s="707"/>
      <c r="DO223" s="707"/>
      <c r="DP223" s="707"/>
      <c r="DQ223" s="707"/>
      <c r="DR223" s="706"/>
      <c r="DS223" s="534"/>
    </row>
    <row r="224" spans="1:123" ht="11.25" customHeight="1">
      <c r="A224" s="15"/>
      <c r="B224" s="23"/>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c r="BQ224" s="130"/>
      <c r="BR224" s="130"/>
      <c r="BS224" s="130"/>
      <c r="BT224" s="130"/>
      <c r="BU224" s="19"/>
      <c r="CZ224" s="709"/>
      <c r="DA224" s="708"/>
      <c r="DB224" s="534"/>
      <c r="DC224" s="707"/>
      <c r="DD224" s="707"/>
      <c r="DE224" s="707"/>
      <c r="DF224" s="534"/>
      <c r="DG224" s="707"/>
      <c r="DH224" s="707"/>
      <c r="DI224" s="707"/>
      <c r="DJ224" s="707"/>
      <c r="DK224" s="706"/>
      <c r="DL224" s="534"/>
      <c r="DM224" s="534"/>
      <c r="DN224" s="707"/>
      <c r="DO224" s="707"/>
      <c r="DP224" s="707"/>
      <c r="DQ224" s="707"/>
      <c r="DR224" s="706"/>
      <c r="DS224" s="534"/>
    </row>
    <row r="225" spans="1:127" ht="11.25" customHeight="1">
      <c r="A225" s="15"/>
      <c r="B225" s="18"/>
      <c r="C225" s="390"/>
      <c r="D225" s="390"/>
      <c r="E225" s="390"/>
      <c r="F225" s="390"/>
      <c r="G225" s="390"/>
      <c r="H225" s="390"/>
      <c r="I225" s="390"/>
      <c r="J225" s="390"/>
      <c r="K225" s="390"/>
      <c r="L225" s="390"/>
      <c r="M225" s="390"/>
      <c r="N225" s="390"/>
      <c r="O225" s="390"/>
      <c r="P225" s="390"/>
      <c r="Q225" s="390"/>
      <c r="R225" s="390"/>
      <c r="S225" s="390"/>
      <c r="T225" s="390"/>
      <c r="U225" s="390"/>
      <c r="V225" s="390"/>
      <c r="W225" s="390"/>
      <c r="X225" s="390"/>
      <c r="Y225" s="390"/>
      <c r="Z225" s="390"/>
      <c r="AA225" s="390"/>
      <c r="AB225" s="390"/>
      <c r="AC225" s="390"/>
      <c r="AD225" s="390"/>
      <c r="AE225" s="390"/>
      <c r="AF225" s="390"/>
      <c r="AG225" s="390"/>
      <c r="AH225" s="390"/>
      <c r="AI225" s="390"/>
      <c r="AJ225" s="390"/>
      <c r="AK225" s="390"/>
      <c r="AL225" s="390"/>
      <c r="AM225" s="390"/>
      <c r="AN225" s="390"/>
      <c r="AO225" s="390"/>
      <c r="AP225" s="390"/>
      <c r="AQ225" s="390"/>
      <c r="AR225" s="390"/>
      <c r="AS225" s="390"/>
      <c r="AT225" s="390"/>
      <c r="AU225" s="390"/>
      <c r="AV225" s="390"/>
      <c r="AW225" s="390"/>
      <c r="AX225" s="390"/>
      <c r="AY225" s="390"/>
      <c r="AZ225" s="390"/>
      <c r="BA225" s="390"/>
      <c r="BB225" s="390"/>
      <c r="BC225" s="390"/>
      <c r="BD225" s="390"/>
      <c r="BE225" s="390"/>
      <c r="BF225" s="390"/>
      <c r="BG225" s="390"/>
      <c r="BH225" s="390"/>
      <c r="BI225" s="390"/>
      <c r="BJ225" s="390"/>
      <c r="BK225" s="390"/>
      <c r="BL225" s="390"/>
      <c r="BM225" s="390"/>
      <c r="BN225" s="390"/>
      <c r="BO225" s="390"/>
      <c r="BP225" s="390"/>
      <c r="BQ225" s="390"/>
      <c r="BR225" s="390"/>
      <c r="BS225" s="390"/>
      <c r="BT225" s="390"/>
      <c r="BU225" s="16"/>
      <c r="CZ225" s="709"/>
      <c r="DA225" s="708"/>
      <c r="DB225" s="534"/>
      <c r="DC225" s="707"/>
      <c r="DD225" s="707"/>
      <c r="DE225" s="707"/>
      <c r="DF225" s="534"/>
      <c r="DG225" s="707"/>
      <c r="DH225" s="707"/>
      <c r="DI225" s="707"/>
      <c r="DJ225" s="707"/>
      <c r="DK225" s="706"/>
      <c r="DL225" s="534"/>
      <c r="DM225" s="534"/>
      <c r="DN225" s="707"/>
      <c r="DO225" s="707"/>
      <c r="DP225" s="707"/>
      <c r="DQ225" s="707"/>
      <c r="DR225" s="706"/>
      <c r="DS225" s="534"/>
    </row>
    <row r="226" spans="1:127" ht="7.5" customHeight="1" thickBot="1">
      <c r="A226" s="15"/>
      <c r="B226" s="93"/>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c r="BC226" s="171"/>
      <c r="BD226" s="171"/>
      <c r="BE226" s="171"/>
      <c r="BF226" s="171"/>
      <c r="BG226" s="171"/>
      <c r="BH226" s="171"/>
      <c r="BI226" s="171"/>
      <c r="BJ226" s="171"/>
      <c r="BK226" s="171"/>
      <c r="BL226" s="171"/>
      <c r="BM226" s="171"/>
      <c r="BN226" s="171"/>
      <c r="BO226" s="171"/>
      <c r="BP226" s="171"/>
      <c r="BQ226" s="171"/>
      <c r="BR226" s="171"/>
      <c r="BS226" s="171"/>
      <c r="BT226" s="171"/>
      <c r="BU226" s="3589"/>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Z226" s="709"/>
      <c r="DA226" s="708"/>
      <c r="DB226" s="534"/>
      <c r="DC226" s="707"/>
      <c r="DD226" s="707"/>
      <c r="DE226" s="707"/>
      <c r="DF226" s="534"/>
      <c r="DG226" s="707"/>
      <c r="DH226" s="707"/>
      <c r="DI226" s="707"/>
      <c r="DJ226" s="707"/>
      <c r="DK226" s="706"/>
      <c r="DL226" s="534"/>
      <c r="DM226" s="534"/>
      <c r="DN226" s="707"/>
      <c r="DO226" s="707"/>
      <c r="DP226" s="707"/>
      <c r="DQ226" s="707"/>
      <c r="DR226" s="706"/>
      <c r="DS226" s="534"/>
    </row>
    <row r="227" spans="1:127" ht="15" customHeight="1" thickBot="1">
      <c r="A227" s="15"/>
      <c r="B227" s="23"/>
      <c r="C227" s="2453" t="s">
        <v>1072</v>
      </c>
      <c r="D227" s="2454"/>
      <c r="E227" s="2454"/>
      <c r="F227" s="2454"/>
      <c r="G227" s="2454"/>
      <c r="H227" s="2454"/>
      <c r="I227" s="2454"/>
      <c r="J227" s="2454"/>
      <c r="K227" s="2455"/>
      <c r="L227" s="37"/>
      <c r="M227" s="2453" t="s">
        <v>1071</v>
      </c>
      <c r="N227" s="2454"/>
      <c r="O227" s="2454"/>
      <c r="P227" s="2454"/>
      <c r="Q227" s="2454"/>
      <c r="R227" s="2454"/>
      <c r="S227" s="2454"/>
      <c r="T227" s="2455"/>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3591" t="s">
        <v>107</v>
      </c>
      <c r="BJ227" s="3592"/>
      <c r="BK227" s="3592"/>
      <c r="BL227" s="3592"/>
      <c r="BM227" s="3593"/>
      <c r="BN227" s="130"/>
      <c r="BO227" s="130"/>
      <c r="BP227" s="130"/>
      <c r="BQ227" s="3574" t="s">
        <v>295</v>
      </c>
      <c r="BR227" s="3575"/>
      <c r="BS227" s="3575"/>
      <c r="BT227" s="3576"/>
      <c r="BU227" s="3590"/>
      <c r="BV227" s="8"/>
      <c r="BW227" s="8"/>
      <c r="BX227" s="8"/>
      <c r="BY227" s="8"/>
      <c r="BZ227" s="764"/>
      <c r="CA227" s="764"/>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Z227" s="763"/>
      <c r="DA227" s="763"/>
      <c r="DB227" s="763"/>
      <c r="DC227" s="707"/>
      <c r="DD227" s="707"/>
      <c r="DE227" s="707"/>
      <c r="DF227" s="534"/>
      <c r="DG227" s="707"/>
      <c r="DH227" s="707"/>
      <c r="DI227" s="707"/>
      <c r="DJ227" s="707"/>
      <c r="DK227" s="706"/>
      <c r="DL227" s="534"/>
      <c r="DM227" s="534"/>
      <c r="DN227" s="707"/>
      <c r="DO227" s="707"/>
      <c r="DP227" s="707"/>
      <c r="DQ227" s="707"/>
      <c r="DR227" s="706"/>
      <c r="DS227" s="534"/>
    </row>
    <row r="228" spans="1:127" ht="3" customHeight="1">
      <c r="B228" s="23"/>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90"/>
      <c r="BV228" s="160"/>
      <c r="BW228" s="160"/>
      <c r="BX228" s="160"/>
      <c r="BY228" s="160"/>
      <c r="BZ228" s="160"/>
      <c r="CA228" s="160"/>
      <c r="CB228" s="160"/>
      <c r="CC228" s="160"/>
      <c r="CD228" s="160"/>
      <c r="CE228" s="160"/>
      <c r="CF228" s="160"/>
      <c r="CG228" s="160"/>
      <c r="CH228" s="160"/>
      <c r="CI228" s="160"/>
      <c r="CJ228" s="160"/>
      <c r="CK228" s="160"/>
      <c r="CL228" s="160"/>
      <c r="CM228" s="160"/>
      <c r="CN228" s="160"/>
      <c r="CO228" s="160"/>
      <c r="CP228" s="160"/>
      <c r="CQ228" s="160"/>
      <c r="CR228" s="160"/>
      <c r="CS228" s="160"/>
      <c r="CT228" s="160"/>
      <c r="CU228" s="160"/>
      <c r="CV228" s="160"/>
      <c r="CW228" s="160"/>
      <c r="CX228" s="160"/>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DS228" s="737"/>
      <c r="DT228" s="737"/>
      <c r="DU228" s="737"/>
      <c r="DV228" s="737"/>
      <c r="DW228" s="737"/>
    </row>
    <row r="229" spans="1:127" ht="11.25" customHeight="1">
      <c r="B229" s="23"/>
      <c r="C229" s="3748" t="s">
        <v>1070</v>
      </c>
      <c r="D229" s="3749"/>
      <c r="E229" s="3750"/>
      <c r="F229" s="3756" t="s">
        <v>1069</v>
      </c>
      <c r="G229" s="3757"/>
      <c r="H229" s="3757"/>
      <c r="I229" s="3757"/>
      <c r="J229" s="3758"/>
      <c r="K229" s="2453" t="s">
        <v>1068</v>
      </c>
      <c r="L229" s="2454"/>
      <c r="M229" s="2454"/>
      <c r="N229" s="2454"/>
      <c r="O229" s="2454"/>
      <c r="P229" s="2454"/>
      <c r="Q229" s="2454"/>
      <c r="R229" s="2454"/>
      <c r="S229" s="2454"/>
      <c r="T229" s="2454"/>
      <c r="U229" s="2455"/>
      <c r="V229" s="2327" t="s">
        <v>1067</v>
      </c>
      <c r="W229" s="2328"/>
      <c r="X229" s="2328"/>
      <c r="Y229" s="2328"/>
      <c r="Z229" s="2328"/>
      <c r="AA229" s="2328"/>
      <c r="AB229" s="2328"/>
      <c r="AC229" s="2328"/>
      <c r="AD229" s="2328"/>
      <c r="AE229" s="2328"/>
      <c r="AF229" s="2328"/>
      <c r="AG229" s="2328"/>
      <c r="AH229" s="2328"/>
      <c r="AI229" s="2328"/>
      <c r="AJ229" s="2328"/>
      <c r="AK229" s="2328"/>
      <c r="AL229" s="2328"/>
      <c r="AM229" s="2328"/>
      <c r="AN229" s="2328"/>
      <c r="AO229" s="2328"/>
      <c r="AP229" s="2328"/>
      <c r="AQ229" s="2328"/>
      <c r="AR229" s="2328"/>
      <c r="AS229" s="2328"/>
      <c r="AT229" s="2328"/>
      <c r="AU229" s="2328"/>
      <c r="AV229" s="2328"/>
      <c r="AW229" s="2328"/>
      <c r="AX229" s="2328"/>
      <c r="AY229" s="2328"/>
      <c r="AZ229" s="2328"/>
      <c r="BA229" s="2328"/>
      <c r="BB229" s="2328"/>
      <c r="BC229" s="2329"/>
      <c r="BD229" s="2327" t="s">
        <v>1066</v>
      </c>
      <c r="BE229" s="2328"/>
      <c r="BF229" s="2328"/>
      <c r="BG229" s="2328"/>
      <c r="BH229" s="2328"/>
      <c r="BI229" s="2328"/>
      <c r="BJ229" s="2328"/>
      <c r="BK229" s="2328"/>
      <c r="BL229" s="2328"/>
      <c r="BM229" s="2328"/>
      <c r="BN229" s="2328"/>
      <c r="BO229" s="2328"/>
      <c r="BP229" s="2328"/>
      <c r="BQ229" s="2328"/>
      <c r="BR229" s="2328"/>
      <c r="BS229" s="2328"/>
      <c r="BT229" s="2329"/>
      <c r="BU229" s="3590"/>
      <c r="BV229" s="160"/>
      <c r="BW229" s="160"/>
      <c r="BX229" s="160"/>
      <c r="BY229" s="160"/>
      <c r="BZ229" s="3784" t="s">
        <v>1065</v>
      </c>
      <c r="CA229" s="3778"/>
      <c r="CB229" s="3778"/>
      <c r="CC229" s="3778"/>
      <c r="CD229" s="3778"/>
      <c r="CE229" s="3733"/>
      <c r="CF229" s="3784" t="s">
        <v>1065</v>
      </c>
      <c r="CG229" s="3778"/>
      <c r="CH229" s="3778"/>
      <c r="CI229" s="3778"/>
      <c r="CJ229" s="3778"/>
      <c r="CK229" s="3779"/>
      <c r="CL229" s="3787" t="s">
        <v>1064</v>
      </c>
      <c r="CM229" s="3788"/>
      <c r="CN229" s="3788"/>
      <c r="CO229" s="3788"/>
      <c r="CP229" s="3788"/>
      <c r="CQ229" s="3788"/>
      <c r="CR229" s="3788"/>
      <c r="CS229" s="3788"/>
      <c r="CT229" s="160"/>
      <c r="CU229" s="160"/>
      <c r="CV229" s="160"/>
      <c r="CW229" s="160"/>
      <c r="CX229" s="160"/>
      <c r="CY229" s="163"/>
      <c r="CZ229" s="163"/>
      <c r="DA229" s="163"/>
      <c r="DB229" s="758"/>
      <c r="DC229" s="757"/>
      <c r="DD229" s="757"/>
      <c r="DE229" s="757"/>
      <c r="DF229" s="757"/>
      <c r="DG229" s="757"/>
      <c r="DH229" s="758"/>
      <c r="DI229" s="757"/>
      <c r="DJ229" s="757"/>
      <c r="DK229" s="757"/>
      <c r="DL229" s="757"/>
      <c r="DM229" s="757"/>
      <c r="DN229" s="758"/>
      <c r="DO229" s="758"/>
      <c r="DP229" s="758"/>
      <c r="DQ229" s="758"/>
      <c r="DR229" s="758"/>
      <c r="DS229" s="758"/>
      <c r="DT229" s="758"/>
      <c r="DU229" s="758"/>
      <c r="DV229" s="737"/>
      <c r="DW229" s="737"/>
    </row>
    <row r="230" spans="1:127" ht="11.25" customHeight="1">
      <c r="B230" s="23"/>
      <c r="C230" s="3751"/>
      <c r="D230" s="2385"/>
      <c r="E230" s="3752"/>
      <c r="F230" s="3759"/>
      <c r="G230" s="3760"/>
      <c r="H230" s="3760"/>
      <c r="I230" s="3760"/>
      <c r="J230" s="3761"/>
      <c r="K230" s="3789" t="s">
        <v>1063</v>
      </c>
      <c r="L230" s="3790"/>
      <c r="M230" s="3775"/>
      <c r="N230" s="2735" t="s">
        <v>1005</v>
      </c>
      <c r="O230" s="2735"/>
      <c r="P230" s="2735"/>
      <c r="Q230" s="2735"/>
      <c r="R230" s="2735"/>
      <c r="S230" s="2735"/>
      <c r="T230" s="2735"/>
      <c r="U230" s="2735"/>
      <c r="V230" s="2736" t="s">
        <v>1062</v>
      </c>
      <c r="W230" s="2737"/>
      <c r="X230" s="2737"/>
      <c r="Y230" s="2737"/>
      <c r="Z230" s="2737"/>
      <c r="AA230" s="2737"/>
      <c r="AB230" s="2737"/>
      <c r="AC230" s="2737"/>
      <c r="AD230" s="2738"/>
      <c r="AE230" s="2735" t="s">
        <v>1061</v>
      </c>
      <c r="AF230" s="2735"/>
      <c r="AG230" s="2735"/>
      <c r="AH230" s="2735"/>
      <c r="AI230" s="2735"/>
      <c r="AJ230" s="2735"/>
      <c r="AK230" s="2735"/>
      <c r="AL230" s="2735"/>
      <c r="AM230" s="2735"/>
      <c r="AN230" s="2736" t="s">
        <v>1060</v>
      </c>
      <c r="AO230" s="2737"/>
      <c r="AP230" s="2737"/>
      <c r="AQ230" s="2737"/>
      <c r="AR230" s="2737"/>
      <c r="AS230" s="2737"/>
      <c r="AT230" s="2737"/>
      <c r="AU230" s="2737"/>
      <c r="AV230" s="2737"/>
      <c r="AW230" s="2737"/>
      <c r="AX230" s="2737"/>
      <c r="AY230" s="2737"/>
      <c r="AZ230" s="2737"/>
      <c r="BA230" s="2737"/>
      <c r="BB230" s="2737"/>
      <c r="BC230" s="2738"/>
      <c r="BD230" s="3765" t="s">
        <v>1059</v>
      </c>
      <c r="BE230" s="3766"/>
      <c r="BF230" s="3766"/>
      <c r="BG230" s="3766"/>
      <c r="BH230" s="3766"/>
      <c r="BI230" s="3766"/>
      <c r="BJ230" s="3766" t="s">
        <v>1058</v>
      </c>
      <c r="BK230" s="3766"/>
      <c r="BL230" s="3766"/>
      <c r="BM230" s="3766"/>
      <c r="BN230" s="3766"/>
      <c r="BO230" s="3767"/>
      <c r="BP230" s="3768" t="s">
        <v>87</v>
      </c>
      <c r="BQ230" s="3769"/>
      <c r="BR230" s="3770"/>
      <c r="BS230" s="3774" t="s">
        <v>1057</v>
      </c>
      <c r="BT230" s="3775"/>
      <c r="BU230" s="3590"/>
      <c r="BV230" s="160"/>
      <c r="BW230" s="160"/>
      <c r="BX230" s="160"/>
      <c r="BY230" s="160"/>
      <c r="BZ230" s="762" t="s">
        <v>1056</v>
      </c>
      <c r="CA230" s="761" t="s">
        <v>1055</v>
      </c>
      <c r="CB230" s="3731" t="s">
        <v>1054</v>
      </c>
      <c r="CC230" s="3732"/>
      <c r="CD230" s="3778" t="s">
        <v>1054</v>
      </c>
      <c r="CE230" s="3779"/>
      <c r="CF230" s="762" t="s">
        <v>1056</v>
      </c>
      <c r="CG230" s="761" t="s">
        <v>1055</v>
      </c>
      <c r="CH230" s="3731" t="s">
        <v>1054</v>
      </c>
      <c r="CI230" s="3732"/>
      <c r="CJ230" s="3778" t="s">
        <v>1054</v>
      </c>
      <c r="CK230" s="3779"/>
      <c r="CL230" s="3784" t="s">
        <v>1055</v>
      </c>
      <c r="CM230" s="3785"/>
      <c r="CN230" s="760" t="s">
        <v>1056</v>
      </c>
      <c r="CO230" s="759" t="s">
        <v>1055</v>
      </c>
      <c r="CP230" s="3731" t="s">
        <v>1054</v>
      </c>
      <c r="CQ230" s="3732"/>
      <c r="CR230" s="3731" t="s">
        <v>1054</v>
      </c>
      <c r="CS230" s="3733"/>
      <c r="CT230" s="756"/>
      <c r="CU230" s="160"/>
      <c r="CV230" s="160"/>
      <c r="CW230" s="160"/>
      <c r="CX230" s="160"/>
      <c r="CY230" s="163"/>
      <c r="CZ230" s="163"/>
      <c r="DA230" s="163"/>
      <c r="DB230" s="758"/>
      <c r="DC230" s="757"/>
      <c r="DD230" s="757"/>
      <c r="DE230" s="757"/>
      <c r="DF230" s="757"/>
      <c r="DG230" s="757"/>
      <c r="DH230" s="758"/>
      <c r="DI230" s="757"/>
      <c r="DJ230" s="757"/>
      <c r="DK230" s="757"/>
      <c r="DL230" s="757"/>
      <c r="DM230" s="757"/>
      <c r="DN230" s="758"/>
      <c r="DO230" s="758"/>
      <c r="DP230" s="758"/>
      <c r="DQ230" s="758"/>
      <c r="DR230" s="757"/>
      <c r="DS230" s="757"/>
      <c r="DT230" s="757"/>
      <c r="DU230" s="757"/>
      <c r="DV230" s="757"/>
      <c r="DW230" s="737"/>
    </row>
    <row r="231" spans="1:127" ht="11.25" customHeight="1" thickBot="1">
      <c r="B231" s="23"/>
      <c r="C231" s="3753"/>
      <c r="D231" s="3754"/>
      <c r="E231" s="3755"/>
      <c r="F231" s="3762"/>
      <c r="G231" s="3763"/>
      <c r="H231" s="3763"/>
      <c r="I231" s="3763"/>
      <c r="J231" s="3764"/>
      <c r="K231" s="3791"/>
      <c r="L231" s="3792"/>
      <c r="M231" s="3777"/>
      <c r="N231" s="2736" t="s">
        <v>1053</v>
      </c>
      <c r="O231" s="2737"/>
      <c r="P231" s="2737"/>
      <c r="Q231" s="2738"/>
      <c r="R231" s="2736" t="s">
        <v>1052</v>
      </c>
      <c r="S231" s="2737"/>
      <c r="T231" s="2737"/>
      <c r="U231" s="2738"/>
      <c r="V231" s="2736" t="s">
        <v>1051</v>
      </c>
      <c r="W231" s="2737"/>
      <c r="X231" s="2737"/>
      <c r="Y231" s="3734" t="s">
        <v>1050</v>
      </c>
      <c r="Z231" s="2737"/>
      <c r="AA231" s="2749"/>
      <c r="AB231" s="3734" t="s">
        <v>1049</v>
      </c>
      <c r="AC231" s="2737"/>
      <c r="AD231" s="2738"/>
      <c r="AE231" s="2736" t="s">
        <v>1048</v>
      </c>
      <c r="AF231" s="2737"/>
      <c r="AG231" s="2737"/>
      <c r="AH231" s="3735" t="s">
        <v>1047</v>
      </c>
      <c r="AI231" s="3735"/>
      <c r="AJ231" s="3735"/>
      <c r="AK231" s="3736" t="s">
        <v>1046</v>
      </c>
      <c r="AL231" s="2735"/>
      <c r="AM231" s="2735"/>
      <c r="AN231" s="2735" t="str">
        <f>IF(OR(AL10="nC-FB",AL10="nD-FB"),"","3C-2V")</f>
        <v/>
      </c>
      <c r="AO231" s="2735"/>
      <c r="AP231" s="2735"/>
      <c r="AQ231" s="3737"/>
      <c r="AR231" s="3735" t="str">
        <f>IF(AL10="nC-FB","5C-FB",IF(AL10="nD-FB","5D-FB","5C-2V"))</f>
        <v>5C-FB</v>
      </c>
      <c r="AS231" s="3735"/>
      <c r="AT231" s="3735"/>
      <c r="AU231" s="3735"/>
      <c r="AV231" s="3735" t="str">
        <f>IF(AL10="nC-FB","7C-FB",IF(AL10="nD-FB","8D-FB","7C-2V"))</f>
        <v>7C-FB</v>
      </c>
      <c r="AW231" s="3735"/>
      <c r="AX231" s="3735"/>
      <c r="AY231" s="3735"/>
      <c r="AZ231" s="2737" t="str">
        <f>IF(AL10="nC-FB","10C-FB",IF(AL10="nD-FB","12D-FB","10C-2V"))</f>
        <v>10C-FB</v>
      </c>
      <c r="BA231" s="2737"/>
      <c r="BB231" s="2737"/>
      <c r="BC231" s="2738"/>
      <c r="BD231" s="3737" t="str">
        <f>BY277&amp;"ch"</f>
        <v>13ch</v>
      </c>
      <c r="BE231" s="3735"/>
      <c r="BF231" s="3735"/>
      <c r="BG231" s="3735" t="str">
        <f>BY279&amp;"ch"</f>
        <v>62ch</v>
      </c>
      <c r="BH231" s="3735"/>
      <c r="BI231" s="3736"/>
      <c r="BJ231" s="3737" t="str">
        <f>BY277&amp;"ch"</f>
        <v>13ch</v>
      </c>
      <c r="BK231" s="3735"/>
      <c r="BL231" s="3735"/>
      <c r="BM231" s="3735" t="str">
        <f>BY279&amp;"ch"</f>
        <v>62ch</v>
      </c>
      <c r="BN231" s="3735"/>
      <c r="BO231" s="3736"/>
      <c r="BP231" s="3771"/>
      <c r="BQ231" s="3772"/>
      <c r="BR231" s="3773"/>
      <c r="BS231" s="3776"/>
      <c r="BT231" s="3777"/>
      <c r="BU231" s="3590"/>
      <c r="BV231" s="160"/>
      <c r="BW231" s="160"/>
      <c r="BX231" s="160"/>
      <c r="BY231" s="160"/>
      <c r="BZ231" s="3738" t="s">
        <v>1030</v>
      </c>
      <c r="CA231" s="3739"/>
      <c r="CB231" s="3780" t="s">
        <v>1029</v>
      </c>
      <c r="CC231" s="3781"/>
      <c r="CD231" s="3782" t="s">
        <v>1028</v>
      </c>
      <c r="CE231" s="3783"/>
      <c r="CF231" s="3742" t="s">
        <v>1036</v>
      </c>
      <c r="CG231" s="3743"/>
      <c r="CH231" s="3744" t="s">
        <v>1035</v>
      </c>
      <c r="CI231" s="3745"/>
      <c r="CJ231" s="3740" t="s">
        <v>1033</v>
      </c>
      <c r="CK231" s="3746"/>
      <c r="CL231" s="3741" t="s">
        <v>1031</v>
      </c>
      <c r="CM231" s="3743"/>
      <c r="CN231" s="3747" t="s">
        <v>1030</v>
      </c>
      <c r="CO231" s="3747"/>
      <c r="CP231" s="3747" t="s">
        <v>1029</v>
      </c>
      <c r="CQ231" s="3747"/>
      <c r="CR231" s="3740" t="s">
        <v>1045</v>
      </c>
      <c r="CS231" s="3741"/>
      <c r="CT231" s="756"/>
      <c r="CU231" s="162" t="s">
        <v>1044</v>
      </c>
      <c r="CV231" s="9" t="s">
        <v>1043</v>
      </c>
      <c r="CW231" s="9" t="s">
        <v>80</v>
      </c>
      <c r="CX231" s="755" t="s">
        <v>1042</v>
      </c>
      <c r="CY231" s="163"/>
      <c r="CZ231" s="163"/>
      <c r="DA231" s="163"/>
      <c r="DB231" s="754"/>
      <c r="DC231" s="754"/>
      <c r="DD231" s="754"/>
      <c r="DE231" s="754"/>
      <c r="DF231" s="754"/>
      <c r="DG231" s="754"/>
      <c r="DH231" s="754"/>
      <c r="DI231" s="754"/>
      <c r="DJ231" s="754"/>
      <c r="DK231" s="754"/>
      <c r="DL231" s="754"/>
      <c r="DM231" s="754"/>
      <c r="DN231" s="754"/>
      <c r="DO231" s="754"/>
      <c r="DP231" s="754"/>
      <c r="DQ231" s="754"/>
      <c r="DR231" s="754"/>
      <c r="DS231" s="754"/>
      <c r="DT231" s="754"/>
      <c r="DU231" s="754"/>
      <c r="DV231" s="754"/>
      <c r="DW231" s="737"/>
    </row>
    <row r="232" spans="1:127" ht="11.25" customHeight="1">
      <c r="A232" s="8">
        <v>1</v>
      </c>
      <c r="B232" s="23"/>
      <c r="C232" s="3709" t="str">
        <f>IF(OR($B$2=0,$H$15="ＣＡＴＶ"),"",C29)</f>
        <v xml:space="preserve"> B2F</v>
      </c>
      <c r="D232" s="3710"/>
      <c r="E232" s="3711"/>
      <c r="F232" s="3712" t="str">
        <f>IF(I232&lt;&gt;"",I232,AB30)</f>
        <v>Ｃ</v>
      </c>
      <c r="G232" s="3713"/>
      <c r="H232" s="22" t="s">
        <v>2</v>
      </c>
      <c r="I232" s="3666"/>
      <c r="J232" s="3667"/>
      <c r="K232" s="3714" t="str">
        <f>IF(C232="","","Min.")</f>
        <v>Min.</v>
      </c>
      <c r="L232" s="3715"/>
      <c r="M232" s="3716"/>
      <c r="N232" s="3717" t="str">
        <f>IF(C232="","",IF(AA29="","",$AG$15-14.7+40))</f>
        <v/>
      </c>
      <c r="O232" s="3718"/>
      <c r="P232" s="3718"/>
      <c r="Q232" s="3719"/>
      <c r="R232" s="3720">
        <f>IF(M23="設置",AD28,"")</f>
        <v>110</v>
      </c>
      <c r="S232" s="3721"/>
      <c r="T232" s="3721"/>
      <c r="U232" s="3722"/>
      <c r="V232" s="3674">
        <f>IF(C232="","",IF(AB30="Ｃ",11+(AG29-2)+11,IF(AG29="",0,AG29*11)))</f>
        <v>25</v>
      </c>
      <c r="W232" s="3675"/>
      <c r="X232" s="3676"/>
      <c r="Y232" s="3677">
        <f>IF(C232="","",IF(AK29="",0,AK29*11))</f>
        <v>0</v>
      </c>
      <c r="Z232" s="3678"/>
      <c r="AA232" s="3679"/>
      <c r="AB232" s="3683">
        <f>IF(OR(C232="",C232="  RF"),"",IF(AO29="",0,AO29*11))</f>
        <v>0</v>
      </c>
      <c r="AC232" s="3684"/>
      <c r="AD232" s="3685"/>
      <c r="AE232" s="3689">
        <f>IF(C232="","",IF(AS29="",0,4))</f>
        <v>0</v>
      </c>
      <c r="AF232" s="3678"/>
      <c r="AG232" s="3679"/>
      <c r="AH232" s="3677">
        <f>IF(C232="","",IF(AW29="",0,8))</f>
        <v>8</v>
      </c>
      <c r="AI232" s="3678"/>
      <c r="AJ232" s="3679"/>
      <c r="AK232" s="3677">
        <f>IF(C232="","",IF(BA29="",0,IF(AND(DW30&lt;&gt;0,DZ30&lt;&gt;0),24,12)))</f>
        <v>0</v>
      </c>
      <c r="AL232" s="3678"/>
      <c r="AM232" s="3691"/>
      <c r="AN232" s="3693">
        <f>IF(OR(C232="",C232="  RF",R232=""),"",IF($AL$10="nC-2V･2W",CL232*$CL$283/100,0))</f>
        <v>0</v>
      </c>
      <c r="AO232" s="3693"/>
      <c r="AP232" s="3693"/>
      <c r="AQ232" s="3600"/>
      <c r="AR232" s="3596">
        <f>IF(OR(C232="",C232="  RF",R232=""),"",IF($AL$10="nC-2V･2W",CO232*$CM$283/100,IF($AL$10="nC-FB",CA232*$CA$283/100,IF($AL$10="nD-FB",CG232*$CE$283/100,0))))</f>
        <v>2.5553499999999998</v>
      </c>
      <c r="AS232" s="3597"/>
      <c r="AT232" s="3597"/>
      <c r="AU232" s="3598"/>
      <c r="AV232" s="3596">
        <f>IF(OR(C232="",C232="  RF",R232=""),"",IF($AL$10="nC-2V･2W",CP232*$CN$283/100,IF($AL$10="nC-FB",CB232*$CB$283/100,IF($AL$10="nD-FB",CH232*$CF$283/100,0))))</f>
        <v>3.2940000000000005</v>
      </c>
      <c r="AW232" s="3597"/>
      <c r="AX232" s="3597"/>
      <c r="AY232" s="3598"/>
      <c r="AZ232" s="3596">
        <f>IF(OR(C232="",C232="  RF",R232=""),"",IF($AL$10="nC-2V･2W",CR232*$CO$283/100,IF($AL$10="nC-FB",CD232*$CC$283/100,IF($AL$10="nD-FB",CJ232*$CH$283/100,0))))</f>
        <v>1.9520000000000002</v>
      </c>
      <c r="BA232" s="3597"/>
      <c r="BB232" s="3597"/>
      <c r="BC232" s="3599"/>
      <c r="BD232" s="3600" t="str">
        <f>IF(OR(C232="  RF",R232="",$X$11="2端子"),"","1端子")</f>
        <v>1端子</v>
      </c>
      <c r="BE232" s="3601"/>
      <c r="BF232" s="3601"/>
      <c r="BG232" s="3601" t="str">
        <f>IF(OR(C232="  RF",R232="",$X$11="1端子"),"","2端子")</f>
        <v/>
      </c>
      <c r="BH232" s="3601"/>
      <c r="BI232" s="3602"/>
      <c r="BJ232" s="3603" t="str">
        <f>IF(OR(C232="  RF",R232="",$X$11="2端子"),"","1端子")</f>
        <v>1端子</v>
      </c>
      <c r="BK232" s="3597"/>
      <c r="BL232" s="3598"/>
      <c r="BM232" s="3601" t="str">
        <f>IF(OR(C232="  RF",R232="",$X$11="1端子"),"","2端子")</f>
        <v/>
      </c>
      <c r="BN232" s="3601"/>
      <c r="BO232" s="3602"/>
      <c r="BP232" s="3634">
        <f>IF(OR(AK6="不要",F233="方式不適",R232=""),"",IF(N232&lt;&gt;"",N232-CX232,IF(F232="","",R232-CX232)))</f>
        <v>63.198650000000001</v>
      </c>
      <c r="BQ232" s="3635"/>
      <c r="BR232" s="3635"/>
      <c r="BS232" s="3636" t="str">
        <f t="shared" ref="BS232:BS271" si="138">IF(BP232="","",IF(BP232&lt;50,"非","良"))</f>
        <v>良</v>
      </c>
      <c r="BT232" s="3637"/>
      <c r="BU232" s="3590"/>
      <c r="BV232" s="738"/>
      <c r="BW232" s="738">
        <v>24</v>
      </c>
      <c r="BX232" s="3723" t="s">
        <v>1041</v>
      </c>
      <c r="BY232" s="3724"/>
      <c r="BZ232" s="753">
        <f>IF(K31="",0,IF($AL$10="nC-FB",DN28,0))</f>
        <v>0</v>
      </c>
      <c r="CA232" s="747">
        <f>IF($AL$10&lt;&gt;"nC-FB",0,IF(AB30="Ｃ",12+CY232-($X$9-$AM$9)/1000,12+DO30))</f>
        <v>17.149999999999999</v>
      </c>
      <c r="CB232" s="3725">
        <f>IF(OR(K32="10C-FB",$AL$10&lt;&gt;"nC-FB",AB30=""),0,IF(AB30="Ｃ",2+(DB27+DC27)/2,F29+2))</f>
        <v>30.5</v>
      </c>
      <c r="CC232" s="3726"/>
      <c r="CD232" s="3727">
        <f>IF(OR(K32="7C-FB",$AL$10&lt;&gt;"nC-FB",AB30=""),0,IF(AB30="Ｃ",2+(DB27+DC27)/2,F29+2))</f>
        <v>30.5</v>
      </c>
      <c r="CE232" s="3728"/>
      <c r="CF232" s="753">
        <f>IF(K31="",0,IF($AL$10="nD-FB",DN28,0))</f>
        <v>0</v>
      </c>
      <c r="CG232" s="752">
        <f>IF($AL$10&lt;&gt;"nD-FB",0,IF(AB30="Ｃ",12+CY232-($X$9-$AM$9)/1000+DO31/36,DO30+DO31/36))</f>
        <v>0</v>
      </c>
      <c r="CH232" s="3725">
        <f>IF(OR(K32="12D-FB",$AL$10&lt;&gt;"nD-FB"),0,IF(AB30="Ｃ",2+(DB27+DC27)/2,F29+2))</f>
        <v>0</v>
      </c>
      <c r="CI232" s="3726"/>
      <c r="CJ232" s="3707">
        <f>IF(OR(K32="8D-FB",$AL$10&lt;&gt;"nD-FB"),0,IF(AB30="Ｃ",2+(DB27+DC27)/2,F29+2))</f>
        <v>0</v>
      </c>
      <c r="CK232" s="3729"/>
      <c r="CL232" s="3707">
        <f>IF(OR(AS31="5C-2V",AS32="5C-2V",$AL$10&lt;&gt;"nC-2V･2W"),0,IF(AB30="Ｃ",12+CY232-($X$9-$AM$9)/1000+DO31/36,DO30+DO31/36))</f>
        <v>0</v>
      </c>
      <c r="CM232" s="3708"/>
      <c r="CN232" s="752">
        <f>IF(K31="",0,IF($AL$10="nC-2V･2W",DN28,0))</f>
        <v>0</v>
      </c>
      <c r="CO232" s="752">
        <f>IF(OR(AS31="3C-2V",AS32="3C-2V",$AL$10&lt;&gt;"nC-2V･2W"),0,IF(AB30="Ｃ",12+CY232-($X$9-$AM$9)/1000+DO31/36,DO30+DO31/36))</f>
        <v>0</v>
      </c>
      <c r="CP232" s="3704">
        <f>IF(OR(K32="10C-2V",$AL$10&lt;&gt;"nC-2V･2W"),0,IF(AB30="Ｃ",2+(DB27+DC27)/2,F29+2))</f>
        <v>0</v>
      </c>
      <c r="CQ232" s="3704"/>
      <c r="CR232" s="3707">
        <f>IF(OR(K32="7C-2V",$AL$10&lt;&gt;"nC-2V･2W"),0,IF(AB30="Ｃ",2+(DB27+DC27)/2,F29+2))</f>
        <v>0</v>
      </c>
      <c r="CS232" s="3730"/>
      <c r="CT232" s="746"/>
      <c r="CU232" s="86">
        <f>IF(R232="",0,IF($X$11="1端子",BD233,BG233))</f>
        <v>6</v>
      </c>
      <c r="CV232" s="95">
        <f>IF(OR(LEFT(K32,2)="5C",LEFT(K32,2)="5D"),$CA$285*(F29+2)/100,IF(OR(LEFT(K32,2)="7C",LEFT(K32,2)="8D"),$CB$285*(F29+2)/100,IF(OR(LEFT(K32,2)="10C",LEFT(K32,2)="12D"),$CC$285*(F29+2)/100,0)))</f>
        <v>0</v>
      </c>
      <c r="CW232" s="107">
        <f>IF(M23="設置",0,"")</f>
        <v>0</v>
      </c>
      <c r="CX232" s="107">
        <f>V232+Y232+AE232+AH232+AK232+AN232+AR232+AV232+AZ232+CU232</f>
        <v>46.801349999999999</v>
      </c>
      <c r="CY232" s="105">
        <f>IF(I29="直天",F29,I29)</f>
        <v>5</v>
      </c>
      <c r="CZ232" s="745"/>
      <c r="DA232" s="745"/>
      <c r="DB232" s="744"/>
      <c r="DC232" s="744"/>
      <c r="DD232" s="743"/>
      <c r="DE232" s="743"/>
      <c r="DF232" s="743"/>
      <c r="DG232" s="743"/>
      <c r="DH232" s="744"/>
      <c r="DI232" s="744"/>
      <c r="DJ232" s="743"/>
      <c r="DK232" s="743"/>
      <c r="DL232" s="743"/>
      <c r="DM232" s="743"/>
      <c r="DN232" s="743"/>
      <c r="DO232" s="743"/>
      <c r="DP232" s="744"/>
      <c r="DQ232" s="744"/>
      <c r="DR232" s="743"/>
      <c r="DS232" s="743"/>
      <c r="DT232" s="743"/>
      <c r="DU232" s="743"/>
      <c r="DV232" s="742"/>
      <c r="DW232" s="737"/>
    </row>
    <row r="233" spans="1:127" ht="11.25" customHeight="1">
      <c r="B233" s="23"/>
      <c r="C233" s="3661"/>
      <c r="D233" s="3662"/>
      <c r="E233" s="3663"/>
      <c r="F233" s="3616" t="str">
        <f>IF(Q24="","","方式不適")</f>
        <v/>
      </c>
      <c r="G233" s="3617"/>
      <c r="H233" s="3617"/>
      <c r="I233" s="3617"/>
      <c r="J233" s="3618"/>
      <c r="K233" s="3619" t="str">
        <f>IF(C232="","","Max.")</f>
        <v>Max.</v>
      </c>
      <c r="L233" s="3620"/>
      <c r="M233" s="3621"/>
      <c r="N233" s="3622" t="str">
        <f>IF(C232="","",IF(AA29="","",$AG$15-14.5+40))</f>
        <v/>
      </c>
      <c r="O233" s="3512"/>
      <c r="P233" s="3512"/>
      <c r="Q233" s="3513"/>
      <c r="R233" s="3516">
        <f>IF(R232="","",R232)</f>
        <v>110</v>
      </c>
      <c r="S233" s="3516"/>
      <c r="T233" s="3516"/>
      <c r="U233" s="3623"/>
      <c r="V233" s="3624">
        <f>IF(C232="","",IF(AB30="Ｃ",11+(AG29-2)*2+11,IF(AG29="",0,AG29*11)))</f>
        <v>28</v>
      </c>
      <c r="W233" s="3625"/>
      <c r="X233" s="3626"/>
      <c r="Y233" s="3680"/>
      <c r="Z233" s="3681"/>
      <c r="AA233" s="3682"/>
      <c r="AB233" s="3686"/>
      <c r="AC233" s="3687"/>
      <c r="AD233" s="3688"/>
      <c r="AE233" s="3690"/>
      <c r="AF233" s="3681"/>
      <c r="AG233" s="3682"/>
      <c r="AH233" s="3680"/>
      <c r="AI233" s="3681"/>
      <c r="AJ233" s="3682"/>
      <c r="AK233" s="3680"/>
      <c r="AL233" s="3681"/>
      <c r="AM233" s="3692"/>
      <c r="AN233" s="3694">
        <f>IF(OR(C232="",C232="  RF",R232=""),"",IF($AL$10="nC-2V･2W",CL233*$CL$285/100,0))</f>
        <v>0</v>
      </c>
      <c r="AO233" s="3694"/>
      <c r="AP233" s="3694"/>
      <c r="AQ233" s="3695"/>
      <c r="AR233" s="3511">
        <f>IF(OR(C232="",C232="  RF",R232=""),"",IF($AL$10="nC-2V･2W",CO233*$CM$285/100,IF($AL$10="nC-FB",CA233*$CA$285/100,IF($AL$10="nD-FB",CG233*$CE$285/100,0))))</f>
        <v>3.9292499999999997</v>
      </c>
      <c r="AS233" s="3512"/>
      <c r="AT233" s="3512"/>
      <c r="AU233" s="3513"/>
      <c r="AV233" s="3511">
        <f>IF(OR(C232="",C232="  RF",R232=""),"",IF($AL$10="nC-2V･2W",CP233*$CN$285/100,IF($AL$10="nC-FB",CB233*$CB$285/100,IF($AL$10="nD-FB",CH233*$CF$285/100,0))))</f>
        <v>5.8630000000000004</v>
      </c>
      <c r="AW233" s="3512"/>
      <c r="AX233" s="3512"/>
      <c r="AY233" s="3513"/>
      <c r="AZ233" s="3511">
        <f>IF(OR(C232="",C232="  RF",R232=""),"",IF($AL$10="nC-2V･2W",CR233*$CO$285/100,IF($AL$10="nC-FB",CD233*$CC$285/100,IF($AL$10="nD-FB",CJ233*$CH$285/100,0))))</f>
        <v>3.4440000000000004</v>
      </c>
      <c r="BA233" s="3512"/>
      <c r="BB233" s="3512"/>
      <c r="BC233" s="3514"/>
      <c r="BD233" s="3705">
        <f>IF(OR(C232="",C232="  RF",R232="",BD232=""),"",3+3)</f>
        <v>6</v>
      </c>
      <c r="BE233" s="3706"/>
      <c r="BF233" s="3706"/>
      <c r="BG233" s="3516" t="str">
        <f>IF(OR(C232="",C232="  RF",R232="",BG232=""),"",3+5)</f>
        <v/>
      </c>
      <c r="BH233" s="3516"/>
      <c r="BI233" s="3623"/>
      <c r="BJ233" s="3622">
        <f>IF(OR(C232="",C232="  RF",R232="",BJ232=""),"",10)</f>
        <v>10</v>
      </c>
      <c r="BK233" s="3512"/>
      <c r="BL233" s="3513"/>
      <c r="BM233" s="3516" t="str">
        <f>IF(OR(C232="",C232="  RF",R232="",BM232=""),"",12)</f>
        <v/>
      </c>
      <c r="BN233" s="3516"/>
      <c r="BO233" s="3623"/>
      <c r="BP233" s="3645">
        <f>IF(BP232="","",IF(N233&lt;&gt;"",N233-CX233,IF(F232="","",R233-CX233)))</f>
        <v>50.763750000000002</v>
      </c>
      <c r="BQ233" s="3646"/>
      <c r="BR233" s="3646"/>
      <c r="BS233" s="3647" t="str">
        <f t="shared" si="138"/>
        <v>良</v>
      </c>
      <c r="BT233" s="3648"/>
      <c r="BU233" s="3590"/>
      <c r="BV233" s="738"/>
      <c r="BW233" s="738"/>
      <c r="BX233" s="3649" t="s">
        <v>498</v>
      </c>
      <c r="BY233" s="3650"/>
      <c r="BZ233" s="741">
        <f>IF(K31="",0,IF($AL$10="nC-FB",DN28,0))</f>
        <v>0</v>
      </c>
      <c r="CA233" s="740">
        <f>IF($AL$10&lt;&gt;"nC-FB",0,IF(AB30="Ｃ",12+CY232-($X$9-$AM$9)/1000+DO31/36,12+DO30+DO31/36))</f>
        <v>20.149999999999999</v>
      </c>
      <c r="CB233" s="3612">
        <f>IF(OR(M22="不要",K32="10C-FB",$AL$10&lt;&gt;"nC-FB",AB30=""),0,IF(AB30="Ｃ",2.5*AG29+(DB27+DC27)/2,F29+2))</f>
        <v>41</v>
      </c>
      <c r="CC233" s="3613"/>
      <c r="CD233" s="3640">
        <f>IF(OR(M22="不要",K32="7C-FB",$AL$10&lt;&gt;"nC-FB",AB30=""),0,IF(AB30="Ｃ",2.5*AG29+(DB27+DC27)/2,F29+2))</f>
        <v>41</v>
      </c>
      <c r="CE233" s="3641"/>
      <c r="CF233" s="741">
        <f>IF(K31="",0,IF($AL$10="nD-FB",DN28,0))</f>
        <v>0</v>
      </c>
      <c r="CG233" s="740">
        <f>IF($AL$10&lt;&gt;"nD-FB",0,IF(AB30="Ｃ",12+CY232-($X$9-$AM$9)/1000+DO31/36,IF(AB30="Ｂ",12+DO30+DO31/36)))</f>
        <v>0</v>
      </c>
      <c r="CH233" s="3612">
        <f>IF(OR(K32="12D-FB",$AL$10&lt;&gt;"nD-FB"),0,IF(AB30="Ｃ",2.5*AG29+(DB27+DC27)/2,F29+2))</f>
        <v>0</v>
      </c>
      <c r="CI233" s="3613"/>
      <c r="CJ233" s="3614">
        <f>IF(OR(K32="8D-FB",$AL$10&lt;&gt;"nD-FB"),0,IF(AB30="Ｃ",2.5*AG29+(DB27+DC27)/2,F29+2))</f>
        <v>0</v>
      </c>
      <c r="CK233" s="3615"/>
      <c r="CL233" s="3614">
        <f>IF(OR(AS31="5C-2V",AS32="5C-2V",$AL$10&lt;&gt;"nC-2V･2W"),0,IF(AB30="Ｃ",12+CY232-($X$9-$AM$9)/1000+DO31/36,DO30+DO31/36))</f>
        <v>0</v>
      </c>
      <c r="CM233" s="3642"/>
      <c r="CN233" s="740">
        <f>IF(K31="",0,IF($AL$10="nC-2V･2W",DN28,0))</f>
        <v>0</v>
      </c>
      <c r="CO233" s="740">
        <f>IF(OR(AS31="3C-2V",AS32="3C-2V",$AL$10&lt;&gt;"nC-2V･2W"),0,IF(AB30="Ｃ",12+CY232-($X$9-$AM$9)/1000+DO31/36,DO30+DO31/36))</f>
        <v>0</v>
      </c>
      <c r="CP233" s="3643">
        <f>IF(OR(K32="10C-2V",$AL$10&lt;&gt;"nC-2V･2W"),0,IF(AB30="Ｃ",2.5*AG29+(DB27+DC27)/2,F29+2))</f>
        <v>0</v>
      </c>
      <c r="CQ233" s="3643"/>
      <c r="CR233" s="3614">
        <f>IF(OR(K32="7C-2V",$AL$10&lt;&gt;"nC-2V･2W"),0,IF(AB30="Ｃ",2.5*AG29+(DB27+DC27)/2,F29+2))</f>
        <v>0</v>
      </c>
      <c r="CS233" s="3644"/>
      <c r="CT233" s="14"/>
      <c r="CU233" s="86">
        <f>IF(R232="",0,IF($X$11="1端子",BJ233,BM233))</f>
        <v>10</v>
      </c>
      <c r="CV233" s="487"/>
      <c r="CW233" s="710"/>
      <c r="CX233" s="98">
        <f>V233+Y232+AE232+AH232+AK232+AN233+AR233+AV233+AZ233+CU233</f>
        <v>59.236249999999998</v>
      </c>
      <c r="CY233" s="738"/>
      <c r="CZ233" s="737"/>
      <c r="DA233" s="737"/>
      <c r="DB233" s="736"/>
      <c r="DC233" s="736"/>
      <c r="DD233" s="735"/>
      <c r="DE233" s="735"/>
      <c r="DF233" s="735"/>
      <c r="DG233" s="735"/>
      <c r="DH233" s="736"/>
      <c r="DI233" s="736"/>
      <c r="DJ233" s="735"/>
      <c r="DK233" s="735"/>
      <c r="DL233" s="735"/>
      <c r="DM233" s="735"/>
      <c r="DN233" s="735"/>
      <c r="DO233" s="735"/>
      <c r="DP233" s="736"/>
      <c r="DQ233" s="736"/>
      <c r="DR233" s="735"/>
      <c r="DS233" s="735"/>
      <c r="DT233" s="735"/>
      <c r="DU233" s="735"/>
      <c r="DV233" s="734"/>
      <c r="DW233" s="737"/>
    </row>
    <row r="234" spans="1:127" ht="11.25" customHeight="1">
      <c r="A234" s="8">
        <v>2</v>
      </c>
      <c r="B234" s="23"/>
      <c r="C234" s="3658" t="str">
        <f>IF(OR($B$2=0,$H$15="ＣＡＴＶ"),"",C38)</f>
        <v xml:space="preserve"> B1F</v>
      </c>
      <c r="D234" s="3659"/>
      <c r="E234" s="3660"/>
      <c r="F234" s="3664" t="str">
        <f>IF(I234&lt;&gt;"",I234,AB39)</f>
        <v>Ａ</v>
      </c>
      <c r="G234" s="3665"/>
      <c r="H234" s="91" t="s">
        <v>68</v>
      </c>
      <c r="I234" s="3666"/>
      <c r="J234" s="3667"/>
      <c r="K234" s="3668" t="str">
        <f>IF(C234="","","Min.")</f>
        <v>Min.</v>
      </c>
      <c r="L234" s="3669"/>
      <c r="M234" s="3670"/>
      <c r="N234" s="3603" t="str">
        <f>IF(C234="","",IF(AA38="","",$AG$15-14.7+40))</f>
        <v/>
      </c>
      <c r="O234" s="3597"/>
      <c r="P234" s="3597"/>
      <c r="Q234" s="3598"/>
      <c r="R234" s="3671">
        <f>IF(P23="設置",AD37,"")</f>
        <v>110</v>
      </c>
      <c r="S234" s="3672"/>
      <c r="T234" s="3672"/>
      <c r="U234" s="3673"/>
      <c r="V234" s="3674">
        <f>IF(OR(C234="",C234="  RF"),"",IF(AB39="Ｃ",11+(AG38-2)+11,IF(AG38="",0,AG38*11)))</f>
        <v>0</v>
      </c>
      <c r="W234" s="3675"/>
      <c r="X234" s="3676"/>
      <c r="Y234" s="3698">
        <f>IF(OR(C234="",C234="  RF"),"",IF(AK38="",0,AK38*11))</f>
        <v>11</v>
      </c>
      <c r="Z234" s="2781"/>
      <c r="AA234" s="3700"/>
      <c r="AB234" s="3683">
        <f>IF(OR(C234="",C234="  RF"),"",IF(AO38="",0,AO38*11))</f>
        <v>0</v>
      </c>
      <c r="AC234" s="3684"/>
      <c r="AD234" s="3685"/>
      <c r="AE234" s="2780">
        <f>IF(C234="","",IF(AS38="",0,4))</f>
        <v>0</v>
      </c>
      <c r="AF234" s="2781"/>
      <c r="AG234" s="3700"/>
      <c r="AH234" s="3698">
        <f>IF(C234="","",IF(AW38="",0,8))</f>
        <v>0</v>
      </c>
      <c r="AI234" s="2781"/>
      <c r="AJ234" s="3700"/>
      <c r="AK234" s="3698">
        <f>IF(C234="","",IF(BA38="",0,IF(AND(DW39&lt;&gt;0,DZ39&lt;&gt;0),24,12)))</f>
        <v>12</v>
      </c>
      <c r="AL234" s="2781"/>
      <c r="AM234" s="3699"/>
      <c r="AN234" s="3693">
        <f>IF(OR(C234="",C234="  RF",R234=""),"",IF($AL$10="nC-2V･2W",CL234*$CL$283/100,0))</f>
        <v>0</v>
      </c>
      <c r="AO234" s="3693"/>
      <c r="AP234" s="3693"/>
      <c r="AQ234" s="3600"/>
      <c r="AR234" s="3596">
        <f>IF(OR(C234="",C234="  RF",R234=""),"",IF($AL$10="nC-2V･2W",CO234*$CM$283/100,IF($AL$10="nC-FB",CA234*$CA$283/100,IF($AL$10="nD-FB",CG234*$CE$283/100,0))))</f>
        <v>8.2695000000000007</v>
      </c>
      <c r="AS234" s="3597"/>
      <c r="AT234" s="3597"/>
      <c r="AU234" s="3598"/>
      <c r="AV234" s="3596">
        <f>IF(OR(C234="",C234="  RF",R234=""),"",IF($AL$10="nC-2V･2W",CP234*$CN$283/100,IF($AL$10="nC-FB",CB234*$CB$283/100,IF($AL$10="nD-FB",CH234*$CF$283/100,0))))</f>
        <v>0.75600000000000012</v>
      </c>
      <c r="AW234" s="3597"/>
      <c r="AX234" s="3597"/>
      <c r="AY234" s="3598"/>
      <c r="AZ234" s="3596">
        <f>IF(OR(C234="",C234="  RF",R234=""),"",IF($AL$10="nC-2V･2W",CR234*$CO$283/100,IF($AL$10="nC-FB",CD234*$CC$283/100,IF($AL$10="nD-FB",CJ234*$CH$283/100,0))))</f>
        <v>0.44800000000000006</v>
      </c>
      <c r="BA234" s="3597"/>
      <c r="BB234" s="3597"/>
      <c r="BC234" s="3599"/>
      <c r="BD234" s="3600" t="str">
        <f>IF(OR(C234="  RF",R234="",$X$11="2端子"),"","1端子")</f>
        <v>1端子</v>
      </c>
      <c r="BE234" s="3601"/>
      <c r="BF234" s="3601"/>
      <c r="BG234" s="3601" t="str">
        <f>IF(OR(C234="  RF",R234="",$X$11="1端子"),"","2端子")</f>
        <v/>
      </c>
      <c r="BH234" s="3601"/>
      <c r="BI234" s="3602"/>
      <c r="BJ234" s="3603" t="str">
        <f>IF(OR(C234="  RF",R234="",$X$11="2端子"),"","1端子")</f>
        <v>1端子</v>
      </c>
      <c r="BK234" s="3597"/>
      <c r="BL234" s="3598"/>
      <c r="BM234" s="3601" t="str">
        <f>IF(OR(C234="  RF",R234="",$X$11="1端子"),"","2端子")</f>
        <v/>
      </c>
      <c r="BN234" s="3601"/>
      <c r="BO234" s="3602"/>
      <c r="BP234" s="3634">
        <f>IF(OR(AK8="不要",F235="方式不適",R234=""),"",IF(N234&lt;&gt;"",N234-CX234,IF(F234="","",R234-CX234)))</f>
        <v>71.526499999999999</v>
      </c>
      <c r="BQ234" s="3635"/>
      <c r="BR234" s="3635"/>
      <c r="BS234" s="3636" t="str">
        <f t="shared" si="138"/>
        <v>良</v>
      </c>
      <c r="BT234" s="3637"/>
      <c r="BU234" s="3590"/>
      <c r="BV234" s="738"/>
      <c r="BW234" s="738">
        <v>33</v>
      </c>
      <c r="BX234" s="3638" t="s">
        <v>1040</v>
      </c>
      <c r="BY234" s="3639"/>
      <c r="BZ234" s="748">
        <f>IF(K40="",0,IF($AL$10="nC-FB",DN37,0))</f>
        <v>0</v>
      </c>
      <c r="CA234" s="747">
        <f>IF($AL$10&lt;&gt;"nC-FB",0,IF(AB39="Ｃ",12+CY234-($X$9-$AM$9)/1000,12+DO39))</f>
        <v>55.5</v>
      </c>
      <c r="CB234" s="3604">
        <f>IF(OR(K41="10C-FB",$AL$10&lt;&gt;"nC-FB",AB39=""),0,IF(AB39="Ｃ",2+(DB36+DC36)/2,F38+2))</f>
        <v>7</v>
      </c>
      <c r="CC234" s="3605"/>
      <c r="CD234" s="3594">
        <f>IF(OR(K41="7C-FB",$AL$10&lt;&gt;"nC-FB",AB39=""),0,IF(AB39="Ｃ",2+(DB36+DC36)/2,F38+2))</f>
        <v>7</v>
      </c>
      <c r="CE234" s="3595"/>
      <c r="CF234" s="748">
        <f>IF(K40="",0,IF($AL$10="nD-FB",DN37,0))</f>
        <v>0</v>
      </c>
      <c r="CG234" s="747">
        <f>IF($AL$10&lt;&gt;"nD-FB",0,IF(AB39="Ｃ",12+CY232-($X$9-$AM$9)/1000+DO40/36,DO39+DO40/36))</f>
        <v>0</v>
      </c>
      <c r="CH234" s="3604">
        <f>IF(OR(K41="12D-FB",$AL$10&lt;&gt;"nD-FB"),0,IF(AB39="Ｃ",2+(DB36+DC36)/2,F38+2))</f>
        <v>0</v>
      </c>
      <c r="CI234" s="3605"/>
      <c r="CJ234" s="3606">
        <f>IF(OR(K41="8D-FB",$AL$10&lt;&gt;"nD-FB"),0,IF(AB39="Ｃ",2+(DB36+DC36)/2,F38+2))</f>
        <v>0</v>
      </c>
      <c r="CK234" s="3607"/>
      <c r="CL234" s="3606">
        <f>IF(OR(AS40="5C-2V",AS41="5C-2V",$AL$10&lt;&gt;"nC-2V･2W"),0,IF(AB39="Ｃ",12+CY234-($X$9-$AM$9)/1000+DO40/36,DO39+DO40/36))</f>
        <v>0</v>
      </c>
      <c r="CM234" s="3608"/>
      <c r="CN234" s="747">
        <f>IF(K40="",0,IF($AL$10="nC-2V･2W",DN37,0))</f>
        <v>0</v>
      </c>
      <c r="CO234" s="747">
        <f>IF(OR(AS40="3C-2V",AS41="3C-2V",$AL$10&lt;&gt;"nC-2V･2W"),0,IF(AB39="Ｃ",12+CY234-($X$9-$AM$9)/1000+DO40/36,DO39+DO40/36))</f>
        <v>0</v>
      </c>
      <c r="CP234" s="3609">
        <f>IF(OR(K41="10C-2V",$AL$10&lt;&gt;"nC-2V･2W"),0,IF(AB39="Ｃ",2+(DB36+DC36)/2,F38+2))</f>
        <v>0</v>
      </c>
      <c r="CQ234" s="3609"/>
      <c r="CR234" s="3606">
        <f>IF(OR(K41="7C-2V",$AL$10&lt;&gt;"nC-2V･2W"),0,IF(AB39="Ｃ",2+(DB36+DC36)/2,F38+2))</f>
        <v>0</v>
      </c>
      <c r="CS234" s="3633"/>
      <c r="CT234" s="746"/>
      <c r="CU234" s="86">
        <f>IF(R234="",0,IF($X$11="1端子",BD235,BG235))</f>
        <v>6</v>
      </c>
      <c r="CV234" s="95">
        <f>IF(OR(LEFT(K41,2)="5C",LEFT(K41,2)="5D"),$CA$285*(F38+2)/100,IF(OR(LEFT(K41,2)="7C",LEFT(K41,2)="8D"),$CB$285*(F38+2)/100,IF(OR(LEFT(K41,2)="10C",LEFT(K41,2)="12D"),$CC$285*(F38+2)/100,0)))</f>
        <v>0</v>
      </c>
      <c r="CW234" s="107">
        <f>IF(AND(P23="設置",DD34&lt;&gt;"＝"),2+11,0)</f>
        <v>13</v>
      </c>
      <c r="CX234" s="98">
        <f>V234+Y234+AE234+AH234+AK234+AN234+AR234+AV234+AZ234+CU234</f>
        <v>38.473500000000001</v>
      </c>
      <c r="CY234" s="105">
        <f>IF(I38="直天",F38,I38)</f>
        <v>3</v>
      </c>
      <c r="CZ234" s="745"/>
      <c r="DA234" s="745"/>
      <c r="DB234" s="744"/>
      <c r="DC234" s="744"/>
      <c r="DD234" s="743"/>
      <c r="DE234" s="743"/>
      <c r="DF234" s="743"/>
      <c r="DG234" s="743"/>
      <c r="DH234" s="744"/>
      <c r="DI234" s="744"/>
      <c r="DJ234" s="743"/>
      <c r="DK234" s="743"/>
      <c r="DL234" s="743"/>
      <c r="DM234" s="743"/>
      <c r="DN234" s="743"/>
      <c r="DO234" s="743"/>
      <c r="DP234" s="744"/>
      <c r="DQ234" s="744"/>
      <c r="DR234" s="743"/>
      <c r="DS234" s="743"/>
      <c r="DT234" s="743"/>
      <c r="DU234" s="743"/>
      <c r="DV234" s="742"/>
      <c r="DW234" s="737"/>
    </row>
    <row r="235" spans="1:127" ht="11.25" customHeight="1">
      <c r="B235" s="23"/>
      <c r="C235" s="3661"/>
      <c r="D235" s="3662"/>
      <c r="E235" s="3663"/>
      <c r="F235" s="3616" t="str">
        <f>IF(Q33="","","方式不適")</f>
        <v/>
      </c>
      <c r="G235" s="3617"/>
      <c r="H235" s="3617"/>
      <c r="I235" s="3617"/>
      <c r="J235" s="3618"/>
      <c r="K235" s="3619" t="str">
        <f>IF(C234="","","Max.")</f>
        <v>Max.</v>
      </c>
      <c r="L235" s="3620"/>
      <c r="M235" s="3621"/>
      <c r="N235" s="3622" t="str">
        <f>IF(C234="","",IF(AA38="","",$AG$15-14.5+40))</f>
        <v/>
      </c>
      <c r="O235" s="3512"/>
      <c r="P235" s="3512"/>
      <c r="Q235" s="3513"/>
      <c r="R235" s="3516">
        <f>IF(C234="","",IF(R234="","",R234))</f>
        <v>110</v>
      </c>
      <c r="S235" s="3516"/>
      <c r="T235" s="3516"/>
      <c r="U235" s="3623"/>
      <c r="V235" s="3624">
        <f>IF(OR(C234="",C234="  RF"),"",IF(AB39="Ｃ",11+(AG38-2)*2+11,IF(AG38="",0,AG38*11)))</f>
        <v>0</v>
      </c>
      <c r="W235" s="3625"/>
      <c r="X235" s="3626"/>
      <c r="Y235" s="3698"/>
      <c r="Z235" s="2781"/>
      <c r="AA235" s="3700"/>
      <c r="AB235" s="3686"/>
      <c r="AC235" s="3687"/>
      <c r="AD235" s="3688"/>
      <c r="AE235" s="2780"/>
      <c r="AF235" s="2781"/>
      <c r="AG235" s="3700"/>
      <c r="AH235" s="3698"/>
      <c r="AI235" s="2781"/>
      <c r="AJ235" s="3700"/>
      <c r="AK235" s="3698"/>
      <c r="AL235" s="2781"/>
      <c r="AM235" s="3699"/>
      <c r="AN235" s="3694">
        <f>IF(OR(C234="",C234="  RF",R234=""),"",IF($AL$10="nC-2V･2W",CL235*$CL$285/100,0))</f>
        <v>0</v>
      </c>
      <c r="AO235" s="3694"/>
      <c r="AP235" s="3694"/>
      <c r="AQ235" s="3695"/>
      <c r="AR235" s="3511">
        <f>IF(OR(C234="",C234="  RF",R234=""),"",IF($AL$10="nC-2V･2W",CO235*$CM$285/100,IF($AL$10="nC-FB",CA235*$CA$285/100,IF($AL$10="nD-FB",CG235*$CE$285/100,0))))</f>
        <v>11.407500000000001</v>
      </c>
      <c r="AS235" s="3512"/>
      <c r="AT235" s="3512"/>
      <c r="AU235" s="3513"/>
      <c r="AV235" s="3511">
        <f>IF(OR(C234="",C234="  RF",R234=""),"",IF($AL$10="nC-2V･2W",CP235*$CN$285/100,IF($AL$10="nC-FB",CB235*$CB$285/100,IF($AL$10="nD-FB",CH235*$CF$285/100,0))))</f>
        <v>1.0010000000000001</v>
      </c>
      <c r="AW235" s="3512"/>
      <c r="AX235" s="3512"/>
      <c r="AY235" s="3513"/>
      <c r="AZ235" s="3511">
        <f>IF(OR(C234="",C234="  RF",R234=""),"",IF($AL$10="nC-2V･2W",CR235*$CO$285/100,IF($AL$10="nC-FB",CD235*$CC$285/100,IF($AL$10="nD-FB",CJ235*$CH$285/100,0))))</f>
        <v>0.58800000000000008</v>
      </c>
      <c r="BA235" s="3512"/>
      <c r="BB235" s="3512"/>
      <c r="BC235" s="3514"/>
      <c r="BD235" s="3515">
        <f>IF(OR(C234="",C234="  RF",R234="",BD234=""),"",3+3)</f>
        <v>6</v>
      </c>
      <c r="BE235" s="3516"/>
      <c r="BF235" s="3516"/>
      <c r="BG235" s="3516" t="str">
        <f>IF(OR(C234="",C234="  RF",R234="",BG234=""),"",3+5)</f>
        <v/>
      </c>
      <c r="BH235" s="3516"/>
      <c r="BI235" s="3623"/>
      <c r="BJ235" s="3622">
        <f>IF(OR(C234="",C234="  RF",R234="",BJ234=""),"",10)</f>
        <v>10</v>
      </c>
      <c r="BK235" s="3512"/>
      <c r="BL235" s="3513"/>
      <c r="BM235" s="3516" t="str">
        <f>IF(OR(C234="",C234="  RF",R234="",BM234=""),"",12)</f>
        <v/>
      </c>
      <c r="BN235" s="3516"/>
      <c r="BO235" s="3623"/>
      <c r="BP235" s="3645">
        <f>IF(BP234="","",IF(N235&lt;&gt;"",N235-CX235,IF(F234="","",R235-CX235)))</f>
        <v>64.003500000000003</v>
      </c>
      <c r="BQ235" s="3646"/>
      <c r="BR235" s="3646"/>
      <c r="BS235" s="3647" t="str">
        <f t="shared" si="138"/>
        <v>良</v>
      </c>
      <c r="BT235" s="3648"/>
      <c r="BU235" s="3590"/>
      <c r="BV235" s="738"/>
      <c r="BW235" s="738"/>
      <c r="BX235" s="3649" t="s">
        <v>498</v>
      </c>
      <c r="BY235" s="3650"/>
      <c r="BZ235" s="741">
        <f>IF(K40="",0,IF($AL$10="nC-FB",DN37,0))</f>
        <v>0</v>
      </c>
      <c r="CA235" s="740">
        <f>IF($AL$10&lt;&gt;"nC-FB",0,IF(AB39="Ｃ",12+CY234-($X$9-$AM$9)/1000+DO40/36,12+DO39+DO40/36))</f>
        <v>58.5</v>
      </c>
      <c r="CB235" s="3612">
        <f>IF(OR(P22="不要",K41="10C-FB",$AL$10&lt;&gt;"nC-FB",AB39=""),0,IF(AB39="Ｃ",2.5*AG38+(DB36+DC36)/2,F38+2))</f>
        <v>7</v>
      </c>
      <c r="CC235" s="3613"/>
      <c r="CD235" s="3640">
        <f>IF(OR(P22="不要",K41="7C-FB",$AL$10&lt;&gt;"nC-FB",AB39=""),0,IF(AB39="Ｃ",2.5*AG38+(DB36+DC36)/2,F38+2))</f>
        <v>7</v>
      </c>
      <c r="CE235" s="3641"/>
      <c r="CF235" s="750">
        <f>IF(K40="",0,IF($AL$10="nD-FB",DN37,0))</f>
        <v>0</v>
      </c>
      <c r="CG235" s="749">
        <f>IF($AL$10&lt;&gt;"nD-FB",0,IF(AB39="Ｃ",12+CY234-($X$9-$AM$9)/1000+DO40/36,IF(AB39="Ｂ",12+DO39+DO40/36)))</f>
        <v>0</v>
      </c>
      <c r="CH235" s="3651">
        <f>IF(OR(K41="12D-FB",$AL$10&lt;&gt;"nD-FB"),0,IF(AB39="Ｃ",2.5*AG38+(DB36+DC36)/2,F38+2))</f>
        <v>0</v>
      </c>
      <c r="CI235" s="3652"/>
      <c r="CJ235" s="3653">
        <f>IF(OR(K41="8D-FB",$AL$10&lt;&gt;"nD-FB"),0,IF(AB39="Ｃ",2.5*AG38+(DB36+DC36)/2,F38+2))</f>
        <v>0</v>
      </c>
      <c r="CK235" s="3654"/>
      <c r="CL235" s="3653">
        <f>IF(OR(AS40="5C-2V",AS41="5C-2V",$AL$10&lt;&gt;"nC-2V･2W"),0,IF(AB39="Ｃ",12+CY234-($X$9-$AM$9)/1000+DO40/36,DO39+DO40/36))</f>
        <v>0</v>
      </c>
      <c r="CM235" s="3655"/>
      <c r="CN235" s="749">
        <f>IF(K40="",0,IF($AL$10="nC-2V･2W",DN37,0))</f>
        <v>0</v>
      </c>
      <c r="CO235" s="749">
        <f>IF(OR(AS40="3C-2V",AS41="3C-2V",$AL$10&lt;&gt;"nC-2V･2W"),0,IF(AB39="Ｃ",12+CY234-($X$9-$AM$9)/1000+DO40/36,DO39+DO40/36))</f>
        <v>0</v>
      </c>
      <c r="CP235" s="3656">
        <f>IF(OR(K41="10C-2V",$AL$10&lt;&gt;"nC-2V･2W"),0,IF(AB39="Ｃ",2.5*AG38+(DB36+DC36)/2,F38+2))</f>
        <v>0</v>
      </c>
      <c r="CQ235" s="3656"/>
      <c r="CR235" s="3653">
        <f>IF(OR(K41="7C-2V",$AL$10&lt;&gt;"nC-2V･2W"),0,IF(AB39="Ｃ",2.5*AG38+(DB36+DC36)/2,F38+2))</f>
        <v>0</v>
      </c>
      <c r="CS235" s="3657"/>
      <c r="CT235" s="14"/>
      <c r="CU235" s="86">
        <f>IF(R234="",0,IF($X$11="1端子",BJ235,BM235))</f>
        <v>10</v>
      </c>
      <c r="CV235" s="487"/>
      <c r="CW235" s="710"/>
      <c r="CX235" s="98">
        <f>V235+Y234+AE234+AH234+AK234+AN235+AR235+AV235+AZ235+CU235</f>
        <v>45.996499999999997</v>
      </c>
      <c r="CY235" s="738"/>
      <c r="CZ235" s="737"/>
      <c r="DA235" s="737"/>
      <c r="DB235" s="736"/>
      <c r="DC235" s="736"/>
      <c r="DD235" s="735"/>
      <c r="DE235" s="735"/>
      <c r="DF235" s="735"/>
      <c r="DG235" s="735"/>
      <c r="DH235" s="736"/>
      <c r="DI235" s="736"/>
      <c r="DJ235" s="735"/>
      <c r="DK235" s="735"/>
      <c r="DL235" s="735"/>
      <c r="DM235" s="735"/>
      <c r="DN235" s="735"/>
      <c r="DO235" s="735"/>
      <c r="DP235" s="736"/>
      <c r="DQ235" s="736"/>
      <c r="DR235" s="735"/>
      <c r="DS235" s="735"/>
      <c r="DT235" s="735"/>
      <c r="DU235" s="735"/>
      <c r="DV235" s="734"/>
      <c r="DW235" s="737"/>
    </row>
    <row r="236" spans="1:127" ht="11.25" customHeight="1">
      <c r="A236" s="8">
        <v>3</v>
      </c>
      <c r="B236" s="23"/>
      <c r="C236" s="3658" t="str">
        <f>IF(OR($B$2=0,$H$15="ＣＡＴＶ"),"",C47)</f>
        <v xml:space="preserve">  1F</v>
      </c>
      <c r="D236" s="3659"/>
      <c r="E236" s="3660"/>
      <c r="F236" s="3664" t="str">
        <f>IF(I236&lt;&gt;"",I236,AB48)</f>
        <v>Ｃ</v>
      </c>
      <c r="G236" s="3665"/>
      <c r="H236" s="91" t="s">
        <v>68</v>
      </c>
      <c r="I236" s="3666"/>
      <c r="J236" s="3667"/>
      <c r="K236" s="3668" t="str">
        <f>IF(C236="","","Min.")</f>
        <v>Min.</v>
      </c>
      <c r="L236" s="3669"/>
      <c r="M236" s="3670"/>
      <c r="N236" s="3603" t="str">
        <f>IF(C236="","",IF(AA47="","",$AG$15-14.7+40))</f>
        <v/>
      </c>
      <c r="O236" s="3597"/>
      <c r="P236" s="3597"/>
      <c r="Q236" s="3598"/>
      <c r="R236" s="3701">
        <f>IF(S23="設置",AD46,"")</f>
        <v>110</v>
      </c>
      <c r="S236" s="3702"/>
      <c r="T236" s="3702"/>
      <c r="U236" s="3703"/>
      <c r="V236" s="3674">
        <f>IF(OR(C236="",C236="  RF"),"",IF(AB48="Ｃ",11+(AG47-2)+11,IF(AG47="",0,AG47*11)))</f>
        <v>25</v>
      </c>
      <c r="W236" s="3675"/>
      <c r="X236" s="3676"/>
      <c r="Y236" s="3677">
        <f>IF(OR(C236="",C236="  RF"),"",IF(AK47="",0,AK47*11))</f>
        <v>0</v>
      </c>
      <c r="Z236" s="3678"/>
      <c r="AA236" s="3679"/>
      <c r="AB236" s="3683">
        <f>IF(OR(C236="",C236="  RF"),"",IF(AO47="",0,AO47*11))</f>
        <v>0</v>
      </c>
      <c r="AC236" s="3684"/>
      <c r="AD236" s="3685"/>
      <c r="AE236" s="2780">
        <f>IF(C236="","",IF(AS47="",0,4))</f>
        <v>4</v>
      </c>
      <c r="AF236" s="2781"/>
      <c r="AG236" s="3700"/>
      <c r="AH236" s="3698">
        <f>IF(C236="","",IF(AW47="",0,8))</f>
        <v>8</v>
      </c>
      <c r="AI236" s="2781"/>
      <c r="AJ236" s="3700"/>
      <c r="AK236" s="3698">
        <f>IF(C236="","",IF(BA47="",0,IF(AND(DW48&lt;&gt;0,DZ48&lt;&gt;0),24,12)))</f>
        <v>0</v>
      </c>
      <c r="AL236" s="2781"/>
      <c r="AM236" s="3699"/>
      <c r="AN236" s="3693">
        <f>IF(OR(C236="",C236="  RF",R236=""),"",IF($AL$10="nC-2V･2W",CL236*$CL$283/100,0))</f>
        <v>0</v>
      </c>
      <c r="AO236" s="3693"/>
      <c r="AP236" s="3693"/>
      <c r="AQ236" s="3600"/>
      <c r="AR236" s="3596">
        <f>IF(OR(C236="",C236="  RF",R236=""),"",IF($AL$10="nC-2V･2W",CO236*$CM$283/100,IF($AL$10="nC-FB",CA236*$CA$283/100,IF($AL$10="nD-FB",CG236*$CE$283/100,0))))</f>
        <v>2.2573500000000002</v>
      </c>
      <c r="AS236" s="3597"/>
      <c r="AT236" s="3597"/>
      <c r="AU236" s="3598"/>
      <c r="AV236" s="3596">
        <f>IF(OR(C236="",C236="  RF",R236=""),"",IF($AL$10="nC-2V･2W",CP236*$CN$283/100,IF($AL$10="nC-FB",CB236*$CB$283/100,IF($AL$10="nD-FB",CH236*$CF$283/100,0))))</f>
        <v>3.5531999999999999</v>
      </c>
      <c r="AW236" s="3597"/>
      <c r="AX236" s="3597"/>
      <c r="AY236" s="3598"/>
      <c r="AZ236" s="3596">
        <f>IF(OR(C236="",C236="  RF",R236=""),"",IF($AL$10="nC-2V･2W",CR236*$CO$283/100,IF($AL$10="nC-FB",CD236*$CC$283/100,IF($AL$10="nD-FB",CJ236*$CH$283/100,0))))</f>
        <v>2.1055999999999999</v>
      </c>
      <c r="BA236" s="3597"/>
      <c r="BB236" s="3597"/>
      <c r="BC236" s="3599"/>
      <c r="BD236" s="3600" t="str">
        <f>IF(OR(C236="  RF",R236="",$X$11="2端子"),"","1端子")</f>
        <v>1端子</v>
      </c>
      <c r="BE236" s="3601"/>
      <c r="BF236" s="3601"/>
      <c r="BG236" s="3601" t="str">
        <f>IF(OR(C236="  RF",R236="",$X$11="1端子"),"","2端子")</f>
        <v/>
      </c>
      <c r="BH236" s="3601"/>
      <c r="BI236" s="3602"/>
      <c r="BJ236" s="3603" t="str">
        <f>IF(OR(C236="  RF",R236="",$X$11="2端子"),"","1端子")</f>
        <v>1端子</v>
      </c>
      <c r="BK236" s="3597"/>
      <c r="BL236" s="3598"/>
      <c r="BM236" s="3601" t="str">
        <f>IF(OR(C236="  RF",R236="",$X$11="1端子"),"","2端子")</f>
        <v/>
      </c>
      <c r="BN236" s="3601"/>
      <c r="BO236" s="3602"/>
      <c r="BP236" s="3634">
        <f>IF(OR(AH10="不要",F237="方式不適",R236=""),"",IF(N236&lt;&gt;"",N236-CX236,IF(F236="","",R236-CX236)))</f>
        <v>59.083849999999998</v>
      </c>
      <c r="BQ236" s="3635"/>
      <c r="BR236" s="3635"/>
      <c r="BS236" s="3636" t="str">
        <f t="shared" si="138"/>
        <v>良</v>
      </c>
      <c r="BT236" s="3637"/>
      <c r="BU236" s="3590"/>
      <c r="BV236" s="738"/>
      <c r="BW236" s="738">
        <v>42</v>
      </c>
      <c r="BX236" s="3638" t="s">
        <v>1040</v>
      </c>
      <c r="BY236" s="3639"/>
      <c r="BZ236" s="748">
        <f>IF(K49="",0,IF($AL$10="nC-FB",DN46,0))</f>
        <v>0</v>
      </c>
      <c r="CA236" s="747">
        <f>IF($AL$10&lt;&gt;"nC-FB",0,IF(AB48="Ｃ",12+CY236-($X$9-$AM$9)/1000,12+DO48))</f>
        <v>15.15</v>
      </c>
      <c r="CB236" s="3604">
        <f>IF(OR(K50="10C-FB",$AL$10&lt;&gt;"nC-FB",AB48=""),0,IF(AB48="Ｃ",2+(DB45+DC45)/2,F47+2))</f>
        <v>32.9</v>
      </c>
      <c r="CC236" s="3605"/>
      <c r="CD236" s="3594">
        <f>IF(OR(K50="7C-FB",$AL$10&lt;&gt;"nC-FB",AB48=""),0,IF(AB48="Ｃ",2+(DB45+DC45)/2,F47+2))</f>
        <v>32.9</v>
      </c>
      <c r="CE236" s="3595"/>
      <c r="CF236" s="748">
        <f>IF(K49="",0,IF($AL$10="nD-FB",DN46,0))</f>
        <v>0</v>
      </c>
      <c r="CG236" s="747">
        <f>IF($AL$10&lt;&gt;"nD-FB",0,IF(AB48="Ｃ",12+CY236-($X$9-$AM$9)/1000+DO49/36,DO48+DO49/36))</f>
        <v>0</v>
      </c>
      <c r="CH236" s="3604">
        <f>IF(OR(K50="12D-FB",$AL$10&lt;&gt;"nD-FB"),0,IF(AB48="Ｃ",2+(DB45+DC45)/2,F47+2))</f>
        <v>0</v>
      </c>
      <c r="CI236" s="3605"/>
      <c r="CJ236" s="3606">
        <f>IF(OR(K50="8D-FB",$AL$10&lt;&gt;"nD-FB"),0,IF(AB48="Ｃ",2+(DB45+DC45)/2,F47+2))</f>
        <v>0</v>
      </c>
      <c r="CK236" s="3607"/>
      <c r="CL236" s="3606">
        <f>IF(OR(AS49="5C-2V",AS50="5C-2V",$AL$10&lt;&gt;"nC-2V･2W"),0,IF(AB48="Ｃ",12+CY236-($X$9-$AM$9)/1000+DO49/36,DO48+DO49/36))</f>
        <v>0</v>
      </c>
      <c r="CM236" s="3608"/>
      <c r="CN236" s="747">
        <f>IF(K49="",0,IF($AL$10="nC-2V･2W",DN46,0))</f>
        <v>0</v>
      </c>
      <c r="CO236" s="747">
        <f>IF(OR(AS49="3C-2V",AS50="3C-2V",$AL$10&lt;&gt;"nC-2V･2W"),0,IF(AB48="Ｃ",12+CY236-($X$9-$AM$9)/1000+DO49/36,DO48+DO49/36))</f>
        <v>0</v>
      </c>
      <c r="CP236" s="3609">
        <f>IF(OR(K50="10C-2V",$AL$10&lt;&gt;"nC-2V･2W"),0,IF(AB48="Ｃ",2+(DB45+DC45)/2,F47+2))</f>
        <v>0</v>
      </c>
      <c r="CQ236" s="3609"/>
      <c r="CR236" s="3606">
        <f>IF(OR(K50="7C-2V",$AL$10&lt;&gt;"nC-2V･2W"),0,IF(AB48="Ｃ",2+(DB45+DC45)/2,F47+2))</f>
        <v>0</v>
      </c>
      <c r="CS236" s="3633"/>
      <c r="CT236" s="746"/>
      <c r="CU236" s="86">
        <f>IF(R236="",0,IF($X$11="1端子",BD237,BG237))</f>
        <v>6</v>
      </c>
      <c r="CV236" s="95">
        <f>IF(OR(LEFT(K50,2)="5C",LEFT(K50,2)="5D"),$CA$285*(F47+2)/100,IF(OR(LEFT(K50,2)="7C",LEFT(K50,2)="8D"),$CB$285*(F47+2)/100,IF(OR(LEFT(K50,2)="10C",LEFT(K50,2)="12D"),$CC$285*(F47+2)/100,0)))</f>
        <v>0</v>
      </c>
      <c r="CW236" s="107">
        <f>IF(AND(AB48&lt;&gt;"Ｃ",AG47&lt;&gt;""),2+11,IF(AND(AB48&lt;&gt;"Ｃ",AK47&lt;&gt;""),3+11,0))</f>
        <v>0</v>
      </c>
      <c r="CX236" s="107">
        <f>V236+Y236+AE236+AH236+AK236+AN236+AR236+AV236+AZ236+CU236</f>
        <v>50.916150000000002</v>
      </c>
      <c r="CY236" s="105">
        <f>IF(I47="直天",F47,I47)</f>
        <v>3</v>
      </c>
      <c r="CZ236" s="745"/>
      <c r="DA236" s="745"/>
      <c r="DB236" s="744"/>
      <c r="DC236" s="744"/>
      <c r="DD236" s="743"/>
      <c r="DE236" s="743"/>
      <c r="DF236" s="743"/>
      <c r="DG236" s="743"/>
      <c r="DH236" s="744"/>
      <c r="DI236" s="744"/>
      <c r="DJ236" s="743"/>
      <c r="DK236" s="743"/>
      <c r="DL236" s="743"/>
      <c r="DM236" s="743"/>
      <c r="DN236" s="743"/>
      <c r="DO236" s="743"/>
      <c r="DP236" s="744"/>
      <c r="DQ236" s="744"/>
      <c r="DR236" s="743"/>
      <c r="DS236" s="743"/>
      <c r="DT236" s="743"/>
      <c r="DU236" s="743"/>
      <c r="DV236" s="742"/>
      <c r="DW236" s="737"/>
    </row>
    <row r="237" spans="1:127" ht="11.25" customHeight="1">
      <c r="B237" s="23"/>
      <c r="C237" s="3661"/>
      <c r="D237" s="3662"/>
      <c r="E237" s="3663"/>
      <c r="F237" s="3616" t="str">
        <f>IF(Q42="","","方式不適")</f>
        <v/>
      </c>
      <c r="G237" s="3617"/>
      <c r="H237" s="3617"/>
      <c r="I237" s="3617"/>
      <c r="J237" s="3618"/>
      <c r="K237" s="3619" t="str">
        <f>IF(C236="","","Max.")</f>
        <v>Max.</v>
      </c>
      <c r="L237" s="3620"/>
      <c r="M237" s="3621"/>
      <c r="N237" s="3622" t="str">
        <f>IF(C236="","",IF(AA47="","",$AG$15-14.5+40))</f>
        <v/>
      </c>
      <c r="O237" s="3512"/>
      <c r="P237" s="3512"/>
      <c r="Q237" s="3513"/>
      <c r="R237" s="3516">
        <f>IF(C236="","",IF(R236="","",R236))</f>
        <v>110</v>
      </c>
      <c r="S237" s="3516"/>
      <c r="T237" s="3516"/>
      <c r="U237" s="3623"/>
      <c r="V237" s="3624">
        <f>IF(OR(C236="",C236="  RF"),"",IF(AB48="Ｃ",11+(AG47-2)*2+11,IF(AG47="",0,AG47*11)))</f>
        <v>28</v>
      </c>
      <c r="W237" s="3625"/>
      <c r="X237" s="3626"/>
      <c r="Y237" s="3680"/>
      <c r="Z237" s="3681"/>
      <c r="AA237" s="3682"/>
      <c r="AB237" s="3686"/>
      <c r="AC237" s="3687"/>
      <c r="AD237" s="3688"/>
      <c r="AE237" s="2780"/>
      <c r="AF237" s="2781"/>
      <c r="AG237" s="3700"/>
      <c r="AH237" s="3698"/>
      <c r="AI237" s="2781"/>
      <c r="AJ237" s="3700"/>
      <c r="AK237" s="3698"/>
      <c r="AL237" s="2781"/>
      <c r="AM237" s="3699"/>
      <c r="AN237" s="3694">
        <f>IF(OR(C236="",C236="  RF",R236=""),"",IF($AL$10="nC-2V･2W",CL237*$CL$285/100,0))</f>
        <v>0</v>
      </c>
      <c r="AO237" s="3694"/>
      <c r="AP237" s="3694"/>
      <c r="AQ237" s="3695"/>
      <c r="AR237" s="3511">
        <f>IF(OR(C236="",C236="  RF",R236=""),"",IF($AL$10="nC-2V･2W",CO237*$CM$285/100,IF($AL$10="nC-FB",CA237*$CA$285/100,IF($AL$10="nD-FB",CG237*$CE$285/100,0))))</f>
        <v>3.65625</v>
      </c>
      <c r="AS237" s="3512"/>
      <c r="AT237" s="3512"/>
      <c r="AU237" s="3513"/>
      <c r="AV237" s="3511">
        <f>IF(OR(C236="",C236="  RF",R236=""),"",IF($AL$10="nC-2V･2W",CP237*$CN$285/100,IF($AL$10="nC-FB",CB237*$CB$285/100,IF($AL$10="nD-FB",CH237*$CF$285/100,0))))</f>
        <v>6.2061999999999999</v>
      </c>
      <c r="AW237" s="3512"/>
      <c r="AX237" s="3512"/>
      <c r="AY237" s="3513"/>
      <c r="AZ237" s="3511">
        <f>IF(OR(C236="",C236="  RF",R236=""),"",IF($AL$10="nC-2V･2W",CR237*$CO$285/100,IF($AL$10="nC-FB",CD237*$CC$285/100,IF($AL$10="nD-FB",CJ237*$CH$285/100,0))))</f>
        <v>3.6456</v>
      </c>
      <c r="BA237" s="3512"/>
      <c r="BB237" s="3512"/>
      <c r="BC237" s="3514"/>
      <c r="BD237" s="3515">
        <f>IF(OR(C236="",C236="  RF",R236="",BD236=""),"",3+3)</f>
        <v>6</v>
      </c>
      <c r="BE237" s="3516"/>
      <c r="BF237" s="3516"/>
      <c r="BG237" s="3516" t="str">
        <f>IF(OR(C236="",C236="  RF",R236="",BG236=""),"",3+5)</f>
        <v/>
      </c>
      <c r="BH237" s="3516"/>
      <c r="BI237" s="3623"/>
      <c r="BJ237" s="3622">
        <f>IF(OR(C236="",C236="  RF",R236="",BJ236=""),"",10)</f>
        <v>10</v>
      </c>
      <c r="BK237" s="3512"/>
      <c r="BL237" s="3513"/>
      <c r="BM237" s="3516" t="str">
        <f>IF(OR(C236="",C236="  RF",R236="",BM236=""),"",12)</f>
        <v/>
      </c>
      <c r="BN237" s="3516"/>
      <c r="BO237" s="3623"/>
      <c r="BP237" s="3645">
        <f>IF(BP236="","",IF(N237&lt;&gt;"",N237-CX237,IF(F236="","",R237-CX237)))</f>
        <v>46.491949999999996</v>
      </c>
      <c r="BQ237" s="3646"/>
      <c r="BR237" s="3646"/>
      <c r="BS237" s="3647" t="str">
        <f t="shared" si="138"/>
        <v>非</v>
      </c>
      <c r="BT237" s="3648"/>
      <c r="BU237" s="3590"/>
      <c r="BV237" s="738"/>
      <c r="BW237" s="738"/>
      <c r="BX237" s="3649" t="s">
        <v>498</v>
      </c>
      <c r="BY237" s="3650"/>
      <c r="BZ237" s="741">
        <f>IF(K49="",0,IF($AL$10="nC-FB",DN46,0))</f>
        <v>0</v>
      </c>
      <c r="CA237" s="740">
        <f>IF($AL$10&lt;&gt;"nC-FB",0,IF(AB48="Ｃ",12+CY236-($X$9-$AM$9)/1000+DO49/36,12+DO48+DO49/36))</f>
        <v>18.75</v>
      </c>
      <c r="CB237" s="3612">
        <f>IF(OR(K50="10C-FB",$AL$10&lt;&gt;"nC-FB",AB48=""),0,IF(AB48="Ｃ",2.5*AG47+(DB45+DC45)/2,F47+2))</f>
        <v>43.4</v>
      </c>
      <c r="CC237" s="3613"/>
      <c r="CD237" s="3640">
        <f>IF(OR(K50="7C-FB",$AL$10&lt;&gt;"nC-FB",AB48=""),0,IF(AB48="Ｃ",2.5*AG47+(DB45+DC45)/2,F47+2))</f>
        <v>43.4</v>
      </c>
      <c r="CE237" s="3641"/>
      <c r="CF237" s="750">
        <f>IF(K49="",0,IF($AL$10="nD-FB",DN46,0))</f>
        <v>0</v>
      </c>
      <c r="CG237" s="749">
        <f>IF($AL$10&lt;&gt;"nD-FB",0,IF(AB48="Ｃ",12+CY236-($X$9-$AM$9)/1000+DO49/36,IF(AB48="Ｂ",12+DO48+DO49/36)))</f>
        <v>0</v>
      </c>
      <c r="CH237" s="3651">
        <f>IF(OR(K50="12D-FB",$AL$10&lt;&gt;"nD-FB"),0,IF(AB48="Ｃ",2.5*AG47+(DB45+DC45)/2,F47+2))</f>
        <v>0</v>
      </c>
      <c r="CI237" s="3652"/>
      <c r="CJ237" s="3653">
        <f>IF(OR(K50="8D-FB",$AL$10&lt;&gt;"nD-FB"),0,IF(AB48="Ｃ",2.5*AG47+(DB45+DC45)/2,F47+2))</f>
        <v>0</v>
      </c>
      <c r="CK237" s="3654"/>
      <c r="CL237" s="3653">
        <f>IF(OR(AS49="5C-2V",AS50="5C-2V",$AL$10&lt;&gt;"nC-2V･2W"),0,IF(AB48="Ｃ",12+CY236-($X$9-$AM$9)/1000+DO49/36,DO48+DO49/36))</f>
        <v>0</v>
      </c>
      <c r="CM237" s="3655"/>
      <c r="CN237" s="749">
        <f>IF(K49="",0,IF($AL$10="nC-2V･2W",DN46,0))</f>
        <v>0</v>
      </c>
      <c r="CO237" s="749">
        <f>IF(OR(AS49="3C-2V",AS50="3C-2V",$AL$10&lt;&gt;"nC-2V･2W"),0,IF(AB48="Ｃ",12+CY236-($X$9-$AM$9)/1000+DO49/36,DO48+DO49/36))</f>
        <v>0</v>
      </c>
      <c r="CP237" s="3656">
        <f>IF(OR(K50="10C-2V",$AL$10&lt;&gt;"nC-2V･2W"),0,IF(AB48="Ｃ",2.5*AG47+(DB45+DC45)/2,F47+2))</f>
        <v>0</v>
      </c>
      <c r="CQ237" s="3656"/>
      <c r="CR237" s="3653">
        <f>IF(OR(K50="7C-2V",$AL$10&lt;&gt;"nC-2V･2W"),0,IF(AB48="Ｃ",2.5*AG47+(DB45+DC45)/2,F47+2))</f>
        <v>0</v>
      </c>
      <c r="CS237" s="3657"/>
      <c r="CT237" s="14"/>
      <c r="CU237" s="86">
        <f>IF(R236="",0,IF($X$11="1端子",BJ237,BM237))</f>
        <v>10</v>
      </c>
      <c r="CV237" s="487"/>
      <c r="CW237" s="710"/>
      <c r="CX237" s="98">
        <f>V237+Y236+AE236+AH236+AK236+AN237+AR237+AV237+AZ237+CU237</f>
        <v>63.508050000000004</v>
      </c>
      <c r="CY237" s="738"/>
      <c r="CZ237" s="737"/>
      <c r="DA237" s="737"/>
      <c r="DB237" s="736"/>
      <c r="DC237" s="736"/>
      <c r="DD237" s="735"/>
      <c r="DE237" s="735"/>
      <c r="DF237" s="735"/>
      <c r="DG237" s="735"/>
      <c r="DH237" s="736"/>
      <c r="DI237" s="736"/>
      <c r="DJ237" s="735"/>
      <c r="DK237" s="735"/>
      <c r="DL237" s="735"/>
      <c r="DM237" s="735"/>
      <c r="DN237" s="735"/>
      <c r="DO237" s="735"/>
      <c r="DP237" s="736"/>
      <c r="DQ237" s="736"/>
      <c r="DR237" s="735"/>
      <c r="DS237" s="735"/>
      <c r="DT237" s="735"/>
      <c r="DU237" s="735"/>
      <c r="DV237" s="734"/>
      <c r="DW237" s="737"/>
    </row>
    <row r="238" spans="1:127" ht="12" customHeight="1">
      <c r="A238" s="8">
        <v>4</v>
      </c>
      <c r="B238" s="23"/>
      <c r="C238" s="3658" t="str">
        <f>IF(OR($B$2=0,$H$15="ＣＡＴＶ"),"",C56)</f>
        <v xml:space="preserve">  2F</v>
      </c>
      <c r="D238" s="3659"/>
      <c r="E238" s="3660"/>
      <c r="F238" s="3664" t="str">
        <f>IF(I238&lt;&gt;"",I238,AB57)</f>
        <v>Ｃ</v>
      </c>
      <c r="G238" s="3665"/>
      <c r="H238" s="91" t="s">
        <v>68</v>
      </c>
      <c r="I238" s="3666"/>
      <c r="J238" s="3667"/>
      <c r="K238" s="3668" t="str">
        <f>IF(C238="","","Min.")</f>
        <v>Min.</v>
      </c>
      <c r="L238" s="3669"/>
      <c r="M238" s="3670"/>
      <c r="N238" s="3603" t="str">
        <f>IF(C238="","",IF(AA56="","",$AG$15-14.7+40))</f>
        <v/>
      </c>
      <c r="O238" s="3597"/>
      <c r="P238" s="3597"/>
      <c r="Q238" s="3598"/>
      <c r="R238" s="3671">
        <f>IF(V23="設置",AD55,"")</f>
        <v>110</v>
      </c>
      <c r="S238" s="3672"/>
      <c r="T238" s="3672"/>
      <c r="U238" s="3673"/>
      <c r="V238" s="3674">
        <f>IF(OR(C238="",C238="  RF"),"",IF(AB57="Ｃ",11+(AG56-2)+11,IF(AG56="",0,AG56*11)))</f>
        <v>25</v>
      </c>
      <c r="W238" s="3675"/>
      <c r="X238" s="3676"/>
      <c r="Y238" s="3677">
        <f>IF(OR(C238="",C238="  RF"),"",IF(AK56="",0,AK56*11))</f>
        <v>0</v>
      </c>
      <c r="Z238" s="3678"/>
      <c r="AA238" s="3679"/>
      <c r="AB238" s="3683">
        <f>IF(OR(C238="",C238="  RF"),"",IF(AO56="",0,AO56*11))</f>
        <v>0</v>
      </c>
      <c r="AC238" s="3684"/>
      <c r="AD238" s="3685"/>
      <c r="AE238" s="3689">
        <f>IF(C238="","",IF(AS56="",0,4))</f>
        <v>4</v>
      </c>
      <c r="AF238" s="3678"/>
      <c r="AG238" s="3679"/>
      <c r="AH238" s="3677">
        <f>IF(C238="","",IF(AW56="",0,8))</f>
        <v>0</v>
      </c>
      <c r="AI238" s="3678"/>
      <c r="AJ238" s="3679"/>
      <c r="AK238" s="3698">
        <f>IF(C238="","",IF(BA56="",0,IF(AND(DW57&lt;&gt;0,DZ57&lt;&gt;0),24,12)))</f>
        <v>12</v>
      </c>
      <c r="AL238" s="2781"/>
      <c r="AM238" s="3699"/>
      <c r="AN238" s="3693">
        <f>IF(OR(C238="",C238="  RF",R238=""),"",IF($AL$10="nC-2V･2W",CL238*$CL$283/100,0))</f>
        <v>0</v>
      </c>
      <c r="AO238" s="3693"/>
      <c r="AP238" s="3693"/>
      <c r="AQ238" s="3600"/>
      <c r="AR238" s="3596">
        <f>IF(OR(C238="",C238="  RF",R238=""),"",IF($AL$10="nC-2V･2W",CO238*$CM$283/100,IF($AL$10="nC-FB",CA238*$CA$283/100,IF($AL$10="nD-FB",CG238*$CE$283/100,0))))</f>
        <v>2.2573500000000002</v>
      </c>
      <c r="AS238" s="3597"/>
      <c r="AT238" s="3597"/>
      <c r="AU238" s="3598"/>
      <c r="AV238" s="3596">
        <f>IF(OR(C238="",C238="  RF",R238=""),"",IF($AL$10="nC-2V･2W",CP238*$CN$283/100,IF($AL$10="nC-FB",CB238*$CB$283/100,IF($AL$10="nD-FB",CH238*$CF$283/100,0))))</f>
        <v>3.5531999999999999</v>
      </c>
      <c r="AW238" s="3597"/>
      <c r="AX238" s="3597"/>
      <c r="AY238" s="3598"/>
      <c r="AZ238" s="3596">
        <f>IF(OR(C238="",C238="  RF",R238=""),"",IF($AL$10="nC-2V･2W",CR238*$CO$283/100,IF($AL$10="nC-FB",CD238*$CC$283/100,IF($AL$10="nD-FB",CJ238*$CH$283/100,0))))</f>
        <v>2.1055999999999999</v>
      </c>
      <c r="BA238" s="3597"/>
      <c r="BB238" s="3597"/>
      <c r="BC238" s="3599"/>
      <c r="BD238" s="3600" t="str">
        <f>IF(OR(C238="  RF",R238="",$X$11="2端子"),"","1端子")</f>
        <v>1端子</v>
      </c>
      <c r="BE238" s="3601"/>
      <c r="BF238" s="3601"/>
      <c r="BG238" s="3601" t="str">
        <f>IF(OR(C238="  RF",R238="",$X$11="1端子"),"","2端子")</f>
        <v/>
      </c>
      <c r="BH238" s="3601"/>
      <c r="BI238" s="3602"/>
      <c r="BJ238" s="3603" t="str">
        <f>IF(OR(C238="  RF",R238="",$X$11="2端子"),"","1端子")</f>
        <v>1端子</v>
      </c>
      <c r="BK238" s="3597"/>
      <c r="BL238" s="3598"/>
      <c r="BM238" s="3601" t="str">
        <f>IF(OR(C238="  RF",R238="",$X$11="1端子"),"","2端子")</f>
        <v/>
      </c>
      <c r="BN238" s="3601"/>
      <c r="BO238" s="3602"/>
      <c r="BP238" s="3634">
        <f>IF(OR(AK12="不要",F239="方式不適",R238=""),"",IF(N238&lt;&gt;"",N238-CX238,IF(F238="","",R238-CX238)))</f>
        <v>55.083849999999998</v>
      </c>
      <c r="BQ238" s="3635"/>
      <c r="BR238" s="3635"/>
      <c r="BS238" s="3636" t="str">
        <f t="shared" si="138"/>
        <v>良</v>
      </c>
      <c r="BT238" s="3637"/>
      <c r="BU238" s="3590"/>
      <c r="BV238" s="738"/>
      <c r="BW238" s="738">
        <v>51</v>
      </c>
      <c r="BX238" s="3638" t="s">
        <v>1040</v>
      </c>
      <c r="BY238" s="3639"/>
      <c r="BZ238" s="748">
        <f>IF(K58="",0,IF($AL$10="nC-FB",DN55,0))</f>
        <v>0</v>
      </c>
      <c r="CA238" s="747">
        <f>IF($AL$10&lt;&gt;"nC-FB",0,IF(AB57="Ｃ",12+CY238-($X$9-$AM$9)/1000,12+DO57))</f>
        <v>15.15</v>
      </c>
      <c r="CB238" s="3604">
        <f>IF(OR(K59="10C-FB",$AL$10&lt;&gt;"nC-FB",AB57=""),0,IF(AB57="Ｃ",2+(DB54+DC54)/2,F56+2))</f>
        <v>32.9</v>
      </c>
      <c r="CC238" s="3605"/>
      <c r="CD238" s="3594">
        <f>IF(OR(K59="7C-FB",$AL$10&lt;&gt;"nC-FB",AB57=""),0,IF(AB57="Ｃ",2+(DB54+DC54)/2,F56+2))</f>
        <v>32.9</v>
      </c>
      <c r="CE238" s="3595"/>
      <c r="CF238" s="748">
        <f>IF(K58="",0,IF($AL$10="nD-FB",DN55,0))</f>
        <v>0</v>
      </c>
      <c r="CG238" s="747">
        <f>IF($AL$10&lt;&gt;"nD-FB",0,IF(AB57="Ｃ",12+CY238-($X$9-$AM$9)/1000+DO58/36,DO57+DO58/36))</f>
        <v>0</v>
      </c>
      <c r="CH238" s="3604">
        <f>IF(OR(K59="12D-FB",$AL$10&lt;&gt;"nD-FB"),0,IF(AB57="Ｃ",2+(DB54+DC54)/2,F56+2))</f>
        <v>0</v>
      </c>
      <c r="CI238" s="3605"/>
      <c r="CJ238" s="3606">
        <f>IF(OR(K59="8D-FB",$AL$10&lt;&gt;"nD-FB"),0,IF(AB57="Ｃ",2+(DB54+DC54)/2,F56+2))</f>
        <v>0</v>
      </c>
      <c r="CK238" s="3607"/>
      <c r="CL238" s="3606">
        <f>IF(OR(AS58="5C-2V",AS59="5C-2V",$AL$10&lt;&gt;"nC-2V･2W"),0,IF(AB57="Ｃ",12+CY238-($X$9-$AM$9)/1000+DO58/36,DO57+DO58/36))</f>
        <v>0</v>
      </c>
      <c r="CM238" s="3608"/>
      <c r="CN238" s="747">
        <f>IF(K58="",0,IF($AL$10="nC-2V･2W",DN55,0))</f>
        <v>0</v>
      </c>
      <c r="CO238" s="747">
        <f>IF(OR(AS58="3C-2V",AS59="3C-2V",$AL$10&lt;&gt;"nC-2V･2W"),0,IF(AB57="Ｃ",12+CY238-($X$9-$AM$9)/1000+DO58/36,DO57+DO58/36))</f>
        <v>0</v>
      </c>
      <c r="CP238" s="3609">
        <f>IF(OR(K59="10C-2V",$AL$10&lt;&gt;"nC-2V･2W"),0,IF(AB57="Ｃ",2+(DB54+DC54)/2,F56+2))</f>
        <v>0</v>
      </c>
      <c r="CQ238" s="3609"/>
      <c r="CR238" s="3606">
        <f>IF(OR(K59="7C-2V",$AL$10&lt;&gt;"nC-2V･2W"),0,IF(AB57="Ｃ",2+(DB54+DC54)/2,F56+2))</f>
        <v>0</v>
      </c>
      <c r="CS238" s="3633"/>
      <c r="CT238" s="746"/>
      <c r="CU238" s="86">
        <f>IF(R238="",0,IF($X$11="1端子",BD239,BG239))</f>
        <v>6</v>
      </c>
      <c r="CV238" s="95">
        <f>IF(OR(LEFT(K59,2)="5C",LEFT(K59,2)="5D"),$CA$285*(F56+2)/100,IF(OR(LEFT(K59,2)="7C",LEFT(K59,2)="8D"),$CB$285*(F56+2)/100,IF(OR(LEFT(K59,2)="10C",LEFT(K59,2)="12D"),$CC$285*(F56+2)/100,0)))</f>
        <v>0</v>
      </c>
      <c r="CW238" s="107">
        <f>IF(AND(AB57&lt;&gt;"Ｃ",AG56&lt;&gt;""),2+11,IF(AND(AB57&lt;&gt;"Ｃ",AK56&lt;&gt;""),3+11,0))</f>
        <v>0</v>
      </c>
      <c r="CX238" s="107">
        <f>V238+Y238+AE238+AH238+AK238+AN238+AR238+AV238+AZ238+CU238</f>
        <v>54.916150000000002</v>
      </c>
      <c r="CY238" s="105">
        <f>IF(I56="直天",F56,I56)</f>
        <v>3</v>
      </c>
      <c r="CZ238" s="745"/>
      <c r="DA238" s="745"/>
      <c r="DB238" s="744"/>
      <c r="DC238" s="744"/>
      <c r="DD238" s="743"/>
      <c r="DE238" s="743"/>
      <c r="DF238" s="743"/>
      <c r="DG238" s="743"/>
      <c r="DH238" s="744"/>
      <c r="DI238" s="744"/>
      <c r="DJ238" s="743"/>
      <c r="DK238" s="743"/>
      <c r="DL238" s="743"/>
      <c r="DM238" s="743"/>
      <c r="DN238" s="743"/>
      <c r="DO238" s="743"/>
      <c r="DP238" s="744"/>
      <c r="DQ238" s="744"/>
      <c r="DR238" s="743"/>
      <c r="DS238" s="743"/>
      <c r="DT238" s="743"/>
      <c r="DU238" s="743"/>
      <c r="DV238" s="742"/>
      <c r="DW238" s="737"/>
    </row>
    <row r="239" spans="1:127" ht="11.25" customHeight="1">
      <c r="B239" s="23"/>
      <c r="C239" s="3661"/>
      <c r="D239" s="3662"/>
      <c r="E239" s="3663"/>
      <c r="F239" s="3616" t="str">
        <f>IF(Q51="","","方式不適")</f>
        <v/>
      </c>
      <c r="G239" s="3617"/>
      <c r="H239" s="3617"/>
      <c r="I239" s="3617"/>
      <c r="J239" s="3618"/>
      <c r="K239" s="3619" t="str">
        <f>IF(C238="","","Max.")</f>
        <v>Max.</v>
      </c>
      <c r="L239" s="3620"/>
      <c r="M239" s="3621"/>
      <c r="N239" s="3622" t="str">
        <f>IF(C238="","",IF(AA56="","",$AG$15-14.5+40))</f>
        <v/>
      </c>
      <c r="O239" s="3512"/>
      <c r="P239" s="3512"/>
      <c r="Q239" s="3513"/>
      <c r="R239" s="3516">
        <f>IF(C238="","",IF(R238="","",R238))</f>
        <v>110</v>
      </c>
      <c r="S239" s="3516"/>
      <c r="T239" s="3516"/>
      <c r="U239" s="3623"/>
      <c r="V239" s="3624">
        <f>IF(OR(C238="",C238="  RF"),"",IF(AB57="Ｃ",11+(AG56-2)*2+11,IF(AG56="",0,AG56*11)))</f>
        <v>28</v>
      </c>
      <c r="W239" s="3625"/>
      <c r="X239" s="3626"/>
      <c r="Y239" s="3680"/>
      <c r="Z239" s="3681"/>
      <c r="AA239" s="3682"/>
      <c r="AB239" s="3686"/>
      <c r="AC239" s="3687"/>
      <c r="AD239" s="3688"/>
      <c r="AE239" s="3690"/>
      <c r="AF239" s="3681"/>
      <c r="AG239" s="3682"/>
      <c r="AH239" s="3680"/>
      <c r="AI239" s="3681"/>
      <c r="AJ239" s="3682"/>
      <c r="AK239" s="3698"/>
      <c r="AL239" s="2781"/>
      <c r="AM239" s="3699"/>
      <c r="AN239" s="3694">
        <f>IF(OR(C238="",C238="  RF",R238=""),"",IF($AL$10="nC-2V･2W",CL239*$CL$285/100,0))</f>
        <v>0</v>
      </c>
      <c r="AO239" s="3694"/>
      <c r="AP239" s="3694"/>
      <c r="AQ239" s="3695"/>
      <c r="AR239" s="3511">
        <f>IF(OR(C238="",C238="  RF",R238=""),"",IF($AL$10="nC-2V･2W",CO239*$CM$285/100,IF($AL$10="nC-FB",CA239*$CA$285/100,IF($AL$10="nD-FB",CG239*$CE$285/100,0))))</f>
        <v>3.65625</v>
      </c>
      <c r="AS239" s="3512"/>
      <c r="AT239" s="3512"/>
      <c r="AU239" s="3513"/>
      <c r="AV239" s="3511">
        <f>IF(OR(C238="",C238="  RF",R238=""),"",IF($AL$10="nC-2V･2W",CP239*$CN$285/100,IF($AL$10="nC-FB",CB239*$CB$285/100,IF($AL$10="nD-FB",CH239*$CF$285/100,0))))</f>
        <v>6.2061999999999999</v>
      </c>
      <c r="AW239" s="3512"/>
      <c r="AX239" s="3512"/>
      <c r="AY239" s="3513"/>
      <c r="AZ239" s="3511">
        <f>IF(OR(C238="",C238="  RF",R238=""),"",IF($AL$10="nC-2V･2W",CR239*$CO$285/100,IF($AL$10="nC-FB",CD239*$CC$285/100,IF($AL$10="nD-FB",CJ239*$CH$285/100,0))))</f>
        <v>3.6456</v>
      </c>
      <c r="BA239" s="3512"/>
      <c r="BB239" s="3512"/>
      <c r="BC239" s="3514"/>
      <c r="BD239" s="3515">
        <f>IF(OR(C238="",C238="  RF",R238="",BD238=""),"",3+3)</f>
        <v>6</v>
      </c>
      <c r="BE239" s="3516"/>
      <c r="BF239" s="3516"/>
      <c r="BG239" s="3516" t="str">
        <f>IF(OR(C238="",C238="  RF",R238="",BG238=""),"",3+5)</f>
        <v/>
      </c>
      <c r="BH239" s="3516"/>
      <c r="BI239" s="3623"/>
      <c r="BJ239" s="3622">
        <f>IF(OR(C238="",C238="  RF",R238="",BJ238=""),"",10)</f>
        <v>10</v>
      </c>
      <c r="BK239" s="3512"/>
      <c r="BL239" s="3513"/>
      <c r="BM239" s="3516" t="str">
        <f>IF(OR(C238="",C238="  RF",R238="",BM238=""),"",12)</f>
        <v/>
      </c>
      <c r="BN239" s="3516"/>
      <c r="BO239" s="3623"/>
      <c r="BP239" s="3645">
        <f>IF(BP238="","",IF(N239&lt;&gt;"",N239-CX239,IF(F238="","",R239-CX239)))</f>
        <v>42.491950000000003</v>
      </c>
      <c r="BQ239" s="3646"/>
      <c r="BR239" s="3646"/>
      <c r="BS239" s="3647" t="str">
        <f t="shared" si="138"/>
        <v>非</v>
      </c>
      <c r="BT239" s="3648"/>
      <c r="BU239" s="3590"/>
      <c r="BV239" s="738"/>
      <c r="BW239" s="738"/>
      <c r="BX239" s="3649" t="s">
        <v>498</v>
      </c>
      <c r="BY239" s="3650"/>
      <c r="BZ239" s="741">
        <f>IF(K58="",0,IF($AL$10="nC-FB",DN55,0))</f>
        <v>0</v>
      </c>
      <c r="CA239" s="740">
        <f>IF($AL$10&lt;&gt;"nC-FB",0,IF(AB57="Ｃ",12+CY238-($X$9-$AM$9)/1000+DO58/36,12+DO57+DO58/36))</f>
        <v>18.75</v>
      </c>
      <c r="CB239" s="3612">
        <f>IF(OR(K59="10C-FB",$AL$10&lt;&gt;"nC-FB",AB57=""),0,IF(AB57="Ｃ",2.5*AG56+(DB54+DC54)/2,F56+2))</f>
        <v>43.4</v>
      </c>
      <c r="CC239" s="3613"/>
      <c r="CD239" s="3640">
        <f>IF(OR(K59="7C-FB",$AL$10&lt;&gt;"nC-FB",AB57=""),0,IF(AB57="Ｃ",2.5*AG56+(DB54+DC54)/2,F56+2))</f>
        <v>43.4</v>
      </c>
      <c r="CE239" s="3641"/>
      <c r="CF239" s="750">
        <f>IF(K58="",0,IF($AL$10="nD-FB",DN55,0))</f>
        <v>0</v>
      </c>
      <c r="CG239" s="749">
        <f>IF($AL$10&lt;&gt;"nD-FB",0,IF(AB57="Ｃ",12+CY238-($X$9-$AM$9)/1000+DO58/36,IF(AB57="Ｂ",12+DO57+DO58/36)))</f>
        <v>0</v>
      </c>
      <c r="CH239" s="3651">
        <f>IF(OR(K59="12D-FB",$AL$10&lt;&gt;"nD-FB"),0,IF(AB57="Ｃ",2.5*AG56+(DB54+DC54)/2,F56+2))</f>
        <v>0</v>
      </c>
      <c r="CI239" s="3652"/>
      <c r="CJ239" s="3653">
        <f>IF(OR(K59="8D-FB",$AL$10&lt;&gt;"nD-FB"),0,IF(AB57="Ｃ",2.5*AG56+(DB54+DC54)/2,F56+2))</f>
        <v>0</v>
      </c>
      <c r="CK239" s="3654"/>
      <c r="CL239" s="3653">
        <f>IF(OR(AS58="5C-2V",AS59="5C-2V",$AL$10&lt;&gt;"nC-2V･2W"),0,IF(AB57="Ｃ",12+CY238-($X$9-$AM$9)/1000+DO58/36,DO57+DO58/36))</f>
        <v>0</v>
      </c>
      <c r="CM239" s="3655"/>
      <c r="CN239" s="749">
        <f>IF(K58="",0,IF($AL$10="nC-2V･2W",DN55,0))</f>
        <v>0</v>
      </c>
      <c r="CO239" s="749">
        <f>IF(OR(AS58="3C-2V",AS59="3C-2V",$AL$10&lt;&gt;"nC-2V･2W"),0,IF(AB57="Ｃ",12+CY238-($X$9-$AM$9)/1000+DO58/36,DO57+DO58/36))</f>
        <v>0</v>
      </c>
      <c r="CP239" s="3656">
        <f>IF(OR(K59="10C-2V",$AL$10&lt;&gt;"nC-2V･2W"),0,IF(AB57="Ｃ",2.5*AG56+(DB54+DC54)/2,F56+2))</f>
        <v>0</v>
      </c>
      <c r="CQ239" s="3656"/>
      <c r="CR239" s="3653">
        <f>IF(OR(K59="7C-2V",$AL$10&lt;&gt;"nC-2V･2W"),0,IF(AB57="Ｃ",2.5*AG56+(DB54+DC54)/2,F56+2))</f>
        <v>0</v>
      </c>
      <c r="CS239" s="3657"/>
      <c r="CT239" s="14"/>
      <c r="CU239" s="86">
        <f>IF(R238="",0,IF($X$11="1端子",BJ239,BM239))</f>
        <v>10</v>
      </c>
      <c r="CV239" s="487"/>
      <c r="CW239" s="710"/>
      <c r="CX239" s="98">
        <f>V239+Y238+AE238+AH238+AK238+AN239+AR239+AV239+AZ239+CU239</f>
        <v>67.508049999999997</v>
      </c>
      <c r="CY239" s="738"/>
      <c r="CZ239" s="737"/>
      <c r="DA239" s="737"/>
      <c r="DB239" s="736"/>
      <c r="DC239" s="736"/>
      <c r="DD239" s="735"/>
      <c r="DE239" s="735"/>
      <c r="DF239" s="735"/>
      <c r="DG239" s="735"/>
      <c r="DH239" s="736"/>
      <c r="DI239" s="736"/>
      <c r="DJ239" s="735"/>
      <c r="DK239" s="735"/>
      <c r="DL239" s="735"/>
      <c r="DM239" s="735"/>
      <c r="DN239" s="735"/>
      <c r="DO239" s="735"/>
      <c r="DP239" s="736"/>
      <c r="DQ239" s="736"/>
      <c r="DR239" s="735"/>
      <c r="DS239" s="735"/>
      <c r="DT239" s="735"/>
      <c r="DU239" s="735"/>
      <c r="DV239" s="734"/>
      <c r="DW239" s="737"/>
    </row>
    <row r="240" spans="1:127" ht="11.25" customHeight="1">
      <c r="A240" s="8">
        <v>5</v>
      </c>
      <c r="B240" s="23"/>
      <c r="C240" s="3658" t="str">
        <f>IF(OR($B$2=0,$H$15="ＣＡＴＶ"),"",C65)</f>
        <v xml:space="preserve">  3F</v>
      </c>
      <c r="D240" s="3659"/>
      <c r="E240" s="3660"/>
      <c r="F240" s="3664" t="str">
        <f>IF(I240&lt;&gt;"",I240,AB66)</f>
        <v>Ｃ</v>
      </c>
      <c r="G240" s="3665"/>
      <c r="H240" s="91" t="s">
        <v>68</v>
      </c>
      <c r="I240" s="3666"/>
      <c r="J240" s="3667"/>
      <c r="K240" s="3668" t="str">
        <f>IF(C240="","","Min.")</f>
        <v>Min.</v>
      </c>
      <c r="L240" s="3669"/>
      <c r="M240" s="3670"/>
      <c r="N240" s="3603" t="str">
        <f>IF(C240="","",IF(AA65="","",$AG$15-14.7+40))</f>
        <v/>
      </c>
      <c r="O240" s="3597"/>
      <c r="P240" s="3597"/>
      <c r="Q240" s="3598"/>
      <c r="R240" s="3671">
        <f>IF(Y23="設置",AD64,"")</f>
        <v>110</v>
      </c>
      <c r="S240" s="3672"/>
      <c r="T240" s="3672"/>
      <c r="U240" s="3673"/>
      <c r="V240" s="3674">
        <f>IF(OR(C240="",C240="  RF"),"",IF(AB66="Ｃ",11+(AG65-2)+11,IF(AG65="",0,AG65*11)))</f>
        <v>25</v>
      </c>
      <c r="W240" s="3675"/>
      <c r="X240" s="3676"/>
      <c r="Y240" s="3677">
        <f>IF(OR(C240="",C240="  RF"),"",IF(AK65="",0,AK65*11))</f>
        <v>0</v>
      </c>
      <c r="Z240" s="3678"/>
      <c r="AA240" s="3679"/>
      <c r="AB240" s="3683">
        <f>IF(OR(C240="",C240="  RF"),"",IF(AO65="",0,AO65*11))</f>
        <v>0</v>
      </c>
      <c r="AC240" s="3684"/>
      <c r="AD240" s="3685"/>
      <c r="AE240" s="3689">
        <f>IF(C240="","",IF(AS65="",0,4))</f>
        <v>4</v>
      </c>
      <c r="AF240" s="3678"/>
      <c r="AG240" s="3679"/>
      <c r="AH240" s="3677">
        <f>IF(C240="","",IF(AW65="",0,8))</f>
        <v>8</v>
      </c>
      <c r="AI240" s="3678"/>
      <c r="AJ240" s="3679"/>
      <c r="AK240" s="3698">
        <f>IF(C240="","",IF(BA65="",0,IF(AND(DW66&lt;&gt;0,DZ66&lt;&gt;0),24,12)))</f>
        <v>0</v>
      </c>
      <c r="AL240" s="2781"/>
      <c r="AM240" s="3699"/>
      <c r="AN240" s="3693">
        <f>IF(OR(C240="",C240="  RF",R240=""),"",IF($AL$10="nC-2V･2W",CL240*$CL$283/100,0))</f>
        <v>0</v>
      </c>
      <c r="AO240" s="3693"/>
      <c r="AP240" s="3693"/>
      <c r="AQ240" s="3600"/>
      <c r="AR240" s="3596">
        <f>IF(OR(C240="",C240="  RF",R240=""),"",IF($AL$10="nC-2V･2W",CO240*$CM$283/100,IF($AL$10="nC-FB",CA240*$CA$283/100,IF($AL$10="nD-FB",CG240*$CE$283/100,0))))</f>
        <v>2.2573500000000002</v>
      </c>
      <c r="AS240" s="3597"/>
      <c r="AT240" s="3597"/>
      <c r="AU240" s="3598"/>
      <c r="AV240" s="3596">
        <f>IF(OR(C240="",C240="  RF",R240=""),"",IF($AL$10="nC-2V･2W",CP240*$CN$283/100,IF($AL$10="nC-FB",CB240*$CB$283/100,IF($AL$10="nD-FB",CH240*$CF$283/100,0))))</f>
        <v>3.5531999999999999</v>
      </c>
      <c r="AW240" s="3597"/>
      <c r="AX240" s="3597"/>
      <c r="AY240" s="3598"/>
      <c r="AZ240" s="3596">
        <f>IF(OR(C240="",C240="  RF",R240=""),"",IF($AL$10="nC-2V･2W",CR240*$CO$283/100,IF($AL$10="nC-FB",CD240*$CC$283/100,IF($AL$10="nD-FB",CJ240*$CH$283/100,0))))</f>
        <v>2.1055999999999999</v>
      </c>
      <c r="BA240" s="3597"/>
      <c r="BB240" s="3597"/>
      <c r="BC240" s="3599"/>
      <c r="BD240" s="3600" t="str">
        <f>IF(OR(C240="  RF",R240="",$X$11="2端子"),"","1端子")</f>
        <v>1端子</v>
      </c>
      <c r="BE240" s="3601"/>
      <c r="BF240" s="3601"/>
      <c r="BG240" s="3601" t="str">
        <f>IF(OR(C240="  RF",R240="",$X$11="1端子"),"","2端子")</f>
        <v/>
      </c>
      <c r="BH240" s="3601"/>
      <c r="BI240" s="3602"/>
      <c r="BJ240" s="3603" t="str">
        <f>IF(OR(C240="  RF",R240="",$X$11="2端子"),"","1端子")</f>
        <v>1端子</v>
      </c>
      <c r="BK240" s="3597"/>
      <c r="BL240" s="3598"/>
      <c r="BM240" s="3601" t="str">
        <f>IF(OR(C240="  RF",R240="",$X$11="1端子"),"","2端子")</f>
        <v/>
      </c>
      <c r="BN240" s="3601"/>
      <c r="BO240" s="3602"/>
      <c r="BP240" s="3634">
        <f>IF(OR(AK14="不要",F241="方式不適",R240=""),"",IF(N240&lt;&gt;"",N240-CX240,IF(F240="","",R240-CX240)))</f>
        <v>59.083849999999998</v>
      </c>
      <c r="BQ240" s="3635"/>
      <c r="BR240" s="3635"/>
      <c r="BS240" s="3636" t="str">
        <f t="shared" si="138"/>
        <v>良</v>
      </c>
      <c r="BT240" s="3637"/>
      <c r="BU240" s="3590"/>
      <c r="BV240" s="82"/>
      <c r="BW240" s="82">
        <v>60</v>
      </c>
      <c r="BX240" s="3638" t="s">
        <v>1040</v>
      </c>
      <c r="BY240" s="3639"/>
      <c r="BZ240" s="748">
        <f>IF(K67="",0,IF($AL$10="nC-FB",DN64,0))</f>
        <v>0</v>
      </c>
      <c r="CA240" s="747">
        <f>IF($AL$10&lt;&gt;"nC-FB",0,IF(AB66="Ｃ",12+CY240-($X$9-$AM$9)/1000,12+DO66))</f>
        <v>15.15</v>
      </c>
      <c r="CB240" s="3604">
        <f>IF(OR(K68="10C-FB",$AL$10&lt;&gt;"nC-FB",AB66=""),0,IF(AB66="Ｃ",2+(DB63+DC63)/2,F65+2))</f>
        <v>32.9</v>
      </c>
      <c r="CC240" s="3605"/>
      <c r="CD240" s="3594">
        <f>IF(OR(K68="7C-FB",$AL$10&lt;&gt;"nC-FB",AB66=""),0,IF(AB66="Ｃ",2+(DB63+DC63)/2,F65+2))</f>
        <v>32.9</v>
      </c>
      <c r="CE240" s="3595"/>
      <c r="CF240" s="748">
        <f>IF(K67="",0,IF($AL$10="nD-FB",DN64,0))</f>
        <v>0</v>
      </c>
      <c r="CG240" s="747">
        <f>IF($AL$10&lt;&gt;"nD-FB",0,IF(AB66="Ｃ",12+CY240-($X$9-$AM$9)/1000+DO67/36,DO66+DO67/36))</f>
        <v>0</v>
      </c>
      <c r="CH240" s="3604">
        <f>IF(OR(K68="12D-FB",$AL$10&lt;&gt;"nD-FB"),0,IF(AB66="Ｃ",2+(DB63+DC63)/2,F65+2))</f>
        <v>0</v>
      </c>
      <c r="CI240" s="3605"/>
      <c r="CJ240" s="3606">
        <f>IF(OR(K68="8D-FB",$AL$10&lt;&gt;"nD-FB"),0,IF(AB66="Ｃ",2+(DB63+DC63)/2,F65+2))</f>
        <v>0</v>
      </c>
      <c r="CK240" s="3607"/>
      <c r="CL240" s="3606">
        <f>IF(OR(AS67="5C-2V",AS68="5C-2V",$AL$10&lt;&gt;"nC-2V･2W"),0,IF(AB66="Ｃ",12+CY240-($X$9-$AM$9)/1000+DO67/36,DO66+DO67/36))</f>
        <v>0</v>
      </c>
      <c r="CM240" s="3608"/>
      <c r="CN240" s="747">
        <f>IF(K67="",0,IF($AL$10="nC-2V･2W",DN64,0))</f>
        <v>0</v>
      </c>
      <c r="CO240" s="747">
        <f>IF(OR(AS67="3C-2V",AS68="3C-2V",$AL$10&lt;&gt;"nC-2V･2W"),0,IF(AB66="Ｃ",12+CY240-($X$9-$AM$9)/1000+DO67/36,DO66+DO67/36))</f>
        <v>0</v>
      </c>
      <c r="CP240" s="3609">
        <f>IF(OR(K68="10C-2V",$AL$10&lt;&gt;"nC-2V･2W"),0,IF(AB66="Ｃ",2+(DB63+DC63)/2,F65+2))</f>
        <v>0</v>
      </c>
      <c r="CQ240" s="3609"/>
      <c r="CR240" s="3606">
        <f>IF(OR(K68="7C-2V",$AL$10&lt;&gt;"nC-2V･2W"),0,IF(AB66="Ｃ",2+(DB63+DC63)/2,F65+2))</f>
        <v>0</v>
      </c>
      <c r="CS240" s="3633"/>
      <c r="CT240" s="746"/>
      <c r="CU240" s="86">
        <f>IF(R240="",0,IF($X$11="1端子",BD241,BG241))</f>
        <v>6</v>
      </c>
      <c r="CV240" s="95">
        <f>IF(OR(LEFT(K68,2)="5C",LEFT(K68,2)="5D"),$CA$285*(F65+2)/100,IF(OR(LEFT(K68,2)="7C",LEFT(K68,2)="8D"),$CB$285*(F65+2)/100,IF(OR(LEFT(K68,2)="10C",LEFT(K68,2)="12D"),$CC$285*(F65+2)/100,0)))</f>
        <v>0</v>
      </c>
      <c r="CW240" s="107">
        <f>IF(AND(AB66&lt;&gt;"Ｃ",AG65&lt;&gt;""),2+11,IF(AND(AB66&lt;&gt;"Ｃ",AK65&lt;&gt;""),3+11,0))</f>
        <v>0</v>
      </c>
      <c r="CX240" s="107">
        <f>V240+Y240+AE240+AH240+AK240+AN240+AR240+AV240+AZ240+CU240</f>
        <v>50.916150000000002</v>
      </c>
      <c r="CY240" s="105">
        <f>IF(I65="直天",F65,I65)</f>
        <v>3</v>
      </c>
      <c r="CZ240" s="745"/>
      <c r="DA240" s="745"/>
      <c r="DB240" s="744"/>
      <c r="DC240" s="744"/>
      <c r="DD240" s="743"/>
      <c r="DE240" s="743"/>
      <c r="DF240" s="743"/>
      <c r="DG240" s="743"/>
      <c r="DH240" s="744"/>
      <c r="DI240" s="744"/>
      <c r="DJ240" s="743"/>
      <c r="DK240" s="743"/>
      <c r="DL240" s="743"/>
      <c r="DM240" s="743"/>
      <c r="DN240" s="743"/>
      <c r="DO240" s="743"/>
      <c r="DP240" s="744"/>
      <c r="DQ240" s="744"/>
      <c r="DR240" s="743"/>
      <c r="DS240" s="743"/>
      <c r="DT240" s="743"/>
      <c r="DU240" s="743"/>
      <c r="DV240" s="742"/>
      <c r="DW240" s="737"/>
    </row>
    <row r="241" spans="1:127" ht="11.25" customHeight="1">
      <c r="B241" s="23"/>
      <c r="C241" s="3661"/>
      <c r="D241" s="3662"/>
      <c r="E241" s="3663"/>
      <c r="F241" s="3616" t="str">
        <f>IF(Q60="","","方式不適")</f>
        <v/>
      </c>
      <c r="G241" s="3617"/>
      <c r="H241" s="3617"/>
      <c r="I241" s="3617"/>
      <c r="J241" s="3618"/>
      <c r="K241" s="3619" t="str">
        <f>IF(C240="","","Max.")</f>
        <v>Max.</v>
      </c>
      <c r="L241" s="3620"/>
      <c r="M241" s="3621"/>
      <c r="N241" s="3622" t="str">
        <f>IF(C240="","",IF(AA65="","",$AG$15-14.5+40))</f>
        <v/>
      </c>
      <c r="O241" s="3512"/>
      <c r="P241" s="3512"/>
      <c r="Q241" s="3513"/>
      <c r="R241" s="3516">
        <f>IF(C240="","",IF(R240="","",R240))</f>
        <v>110</v>
      </c>
      <c r="S241" s="3516"/>
      <c r="T241" s="3516"/>
      <c r="U241" s="3623"/>
      <c r="V241" s="3624">
        <f>IF(OR(C240="",C240="  RF"),"",IF(AB66="Ｃ",11+(AG65-2)*2+11,IF(AG65="",0,AG65*11)))</f>
        <v>28</v>
      </c>
      <c r="W241" s="3625"/>
      <c r="X241" s="3626"/>
      <c r="Y241" s="3680"/>
      <c r="Z241" s="3681"/>
      <c r="AA241" s="3682"/>
      <c r="AB241" s="3686"/>
      <c r="AC241" s="3687"/>
      <c r="AD241" s="3688"/>
      <c r="AE241" s="3690"/>
      <c r="AF241" s="3681"/>
      <c r="AG241" s="3682"/>
      <c r="AH241" s="3680"/>
      <c r="AI241" s="3681"/>
      <c r="AJ241" s="3682"/>
      <c r="AK241" s="3698"/>
      <c r="AL241" s="2781"/>
      <c r="AM241" s="3699"/>
      <c r="AN241" s="3694">
        <f>IF(OR(C240="",C240="  RF",R240=""),"",IF($AL$10="nC-2V･2W",CL241*$CL$285/100,0))</f>
        <v>0</v>
      </c>
      <c r="AO241" s="3694"/>
      <c r="AP241" s="3694"/>
      <c r="AQ241" s="3695"/>
      <c r="AR241" s="3511">
        <f>IF(OR(C240="",C240="  RF",R240=""),"",IF($AL$10="nC-2V･2W",CO241*$CM$285/100,IF($AL$10="nC-FB",CA241*$CA$285/100,IF($AL$10="nD-FB",CG241*$CE$285/100,0))))</f>
        <v>3.65625</v>
      </c>
      <c r="AS241" s="3512"/>
      <c r="AT241" s="3512"/>
      <c r="AU241" s="3513"/>
      <c r="AV241" s="3511">
        <f>IF(OR(C240="",C240="  RF",R240=""),"",IF($AL$10="nC-2V･2W",CP241*$CN$285/100,IF($AL$10="nC-FB",CB241*$CB$285/100,IF($AL$10="nD-FB",CH241*$CF$285/100,0))))</f>
        <v>6.2061999999999999</v>
      </c>
      <c r="AW241" s="3512"/>
      <c r="AX241" s="3512"/>
      <c r="AY241" s="3513"/>
      <c r="AZ241" s="3511">
        <f>IF(OR(C240="",C240="  RF",R240=""),"",IF($AL$10="nC-2V･2W",CR241*$CO$285/100,IF($AL$10="nC-FB",CD241*$CC$285/100,IF($AL$10="nD-FB",CJ241*$CH$285/100,0))))</f>
        <v>3.6456</v>
      </c>
      <c r="BA241" s="3512"/>
      <c r="BB241" s="3512"/>
      <c r="BC241" s="3514"/>
      <c r="BD241" s="3515">
        <f>IF(OR(C240="",C240="  RF",R240="",BD240=""),"",3+3)</f>
        <v>6</v>
      </c>
      <c r="BE241" s="3516"/>
      <c r="BF241" s="3516"/>
      <c r="BG241" s="3516" t="str">
        <f>IF(OR(C240="",C240="  RF",R240="",BG240=""),"",3+5)</f>
        <v/>
      </c>
      <c r="BH241" s="3516"/>
      <c r="BI241" s="3623"/>
      <c r="BJ241" s="3622">
        <f>IF(OR(C240="",C240="  RF",R240="",BJ240=""),"",10)</f>
        <v>10</v>
      </c>
      <c r="BK241" s="3512"/>
      <c r="BL241" s="3513"/>
      <c r="BM241" s="3516" t="str">
        <f>IF(OR(C240="",C240="  RF",R240="",BM240=""),"",12)</f>
        <v/>
      </c>
      <c r="BN241" s="3516"/>
      <c r="BO241" s="3623"/>
      <c r="BP241" s="3645">
        <f>IF(BP240="","",IF(N241&lt;&gt;"",N241-CX241,IF(F240="","",R241-CX241)))</f>
        <v>46.491949999999996</v>
      </c>
      <c r="BQ241" s="3646"/>
      <c r="BR241" s="3646"/>
      <c r="BS241" s="3647" t="str">
        <f t="shared" si="138"/>
        <v>非</v>
      </c>
      <c r="BT241" s="3648"/>
      <c r="BU241" s="3590"/>
      <c r="BV241" s="82"/>
      <c r="BW241" s="82"/>
      <c r="BX241" s="3649" t="s">
        <v>498</v>
      </c>
      <c r="BY241" s="3650"/>
      <c r="BZ241" s="741">
        <f>IF(K67="",0,IF($AL$10="nC-FB",DN64,0))</f>
        <v>0</v>
      </c>
      <c r="CA241" s="740">
        <f>IF($AL$10&lt;&gt;"nC-FB",0,IF(AB66="Ｃ",12+CY240-($X$9-$AM$9)/1000+DO67/36,12+DO66+DO67/36))</f>
        <v>18.75</v>
      </c>
      <c r="CB241" s="3612">
        <f>IF(OR(K68="10C-FB",$AL$10&lt;&gt;"nC-FB",AB66=""),0,IF(AB66="Ｃ",2.5*AG65+(DB63+DC63)/2,F65+2))</f>
        <v>43.4</v>
      </c>
      <c r="CC241" s="3613"/>
      <c r="CD241" s="3640">
        <f>IF(OR(K68="7C-FB",$AL$10&lt;&gt;"nC-FB",AB66=""),0,IF(AB66="Ｃ",2.5*AG65+(DB63+DC63)/2,F65+2))</f>
        <v>43.4</v>
      </c>
      <c r="CE241" s="3641"/>
      <c r="CF241" s="750">
        <f>IF(K67="",0,IF($AL$10="nD-FB",DN64,0))</f>
        <v>0</v>
      </c>
      <c r="CG241" s="749">
        <f>IF($AL$10&lt;&gt;"nD-FB",0,IF(AB66="Ｃ",12+CY240-($X$9-$AM$9)/1000+DO67/36,IF(AB66="Ｂ",12+DO66+DO67/36)))</f>
        <v>0</v>
      </c>
      <c r="CH241" s="3651">
        <f>IF(OR(K68="12D-FB",$AL$10&lt;&gt;"nD-FB"),0,IF(AB66="Ｃ",2.5*AG65+(DB63+DC63)/2,F65+2))</f>
        <v>0</v>
      </c>
      <c r="CI241" s="3652"/>
      <c r="CJ241" s="3653">
        <f>IF(OR(K68="8D-FB",$AL$10&lt;&gt;"nD-FB"),0,IF(AB66="Ｃ",2.5*AG65+(DB63+DC63)/2,F65+2))</f>
        <v>0</v>
      </c>
      <c r="CK241" s="3654"/>
      <c r="CL241" s="3653">
        <f>IF(OR(AS67="5C-2V",AS68="5C-2V",$AL$10&lt;&gt;"nC-2V･2W"),0,IF(AB66="Ｃ",12+CY240-($X$9-$AM$9)/1000+DO67/36,DO66+DO67/36))</f>
        <v>0</v>
      </c>
      <c r="CM241" s="3655"/>
      <c r="CN241" s="749">
        <f>IF(K67="",0,IF($AL$10="nC-2V･2W",DN64,0))</f>
        <v>0</v>
      </c>
      <c r="CO241" s="749">
        <f>IF(OR(AS67="3C-2V",AS68="3C-2V",$AL$10&lt;&gt;"nC-2V･2W"),0,IF(AB66="Ｃ",12+CY240-($X$9-$AM$9)/1000+DO67/36,DO66+DO67/36))</f>
        <v>0</v>
      </c>
      <c r="CP241" s="3656">
        <f>IF(OR(K68="10C-2V",$AL$10&lt;&gt;"nC-2V･2W"),0,IF(AB66="Ｃ",2.5*AG65+(DB63+DC63)/2,F65+2))</f>
        <v>0</v>
      </c>
      <c r="CQ241" s="3656"/>
      <c r="CR241" s="3653">
        <f>IF(OR(K68="7C-2V",$AL$10&lt;&gt;"nC-2V･2W"),0,IF(AB66="Ｃ",2.5*AG65+(DB63+DC63)/2,F65+2))</f>
        <v>0</v>
      </c>
      <c r="CS241" s="3657"/>
      <c r="CT241" s="14"/>
      <c r="CU241" s="86">
        <f>IF(R240="",0,IF($X$11="1端子",BJ241,BM241))</f>
        <v>10</v>
      </c>
      <c r="CV241" s="487"/>
      <c r="CW241" s="710"/>
      <c r="CX241" s="98">
        <f>V241+Y240+AE240+AH240+AK240+AN241+AR241+AV241+AZ241+CU241</f>
        <v>63.508050000000004</v>
      </c>
      <c r="CY241" s="738"/>
      <c r="CZ241" s="737"/>
      <c r="DA241" s="737"/>
      <c r="DB241" s="736"/>
      <c r="DC241" s="736"/>
      <c r="DD241" s="735"/>
      <c r="DE241" s="735"/>
      <c r="DF241" s="735"/>
      <c r="DG241" s="735"/>
      <c r="DH241" s="736"/>
      <c r="DI241" s="736"/>
      <c r="DJ241" s="735"/>
      <c r="DK241" s="735"/>
      <c r="DL241" s="735"/>
      <c r="DM241" s="735"/>
      <c r="DN241" s="735"/>
      <c r="DO241" s="735"/>
      <c r="DP241" s="736"/>
      <c r="DQ241" s="736"/>
      <c r="DR241" s="735"/>
      <c r="DS241" s="735"/>
      <c r="DT241" s="735"/>
      <c r="DU241" s="735"/>
      <c r="DV241" s="734"/>
      <c r="DW241" s="737"/>
    </row>
    <row r="242" spans="1:127" ht="11.25" customHeight="1">
      <c r="A242" s="8">
        <v>6</v>
      </c>
      <c r="B242" s="23"/>
      <c r="C242" s="3658" t="str">
        <f>IF(OR($B$2=0,$H$15="ＣＡＴＶ"),"",C74)</f>
        <v xml:space="preserve">  4F</v>
      </c>
      <c r="D242" s="3659"/>
      <c r="E242" s="3660"/>
      <c r="F242" s="3664" t="str">
        <f>IF(I242&lt;&gt;"",I242,AB75)</f>
        <v>Ｂ</v>
      </c>
      <c r="G242" s="3665"/>
      <c r="H242" s="91" t="s">
        <v>68</v>
      </c>
      <c r="I242" s="3666"/>
      <c r="J242" s="3667"/>
      <c r="K242" s="3668" t="str">
        <f>IF(C242="","","Min.")</f>
        <v>Min.</v>
      </c>
      <c r="L242" s="3669"/>
      <c r="M242" s="3670"/>
      <c r="N242" s="3603" t="str">
        <f>IF(C242="","",IF(AA74="","",$AG$15-14.7+40))</f>
        <v/>
      </c>
      <c r="O242" s="3597"/>
      <c r="P242" s="3597"/>
      <c r="Q242" s="3598"/>
      <c r="R242" s="3671">
        <f>IF(AB23="設置",AD73,"")</f>
        <v>110</v>
      </c>
      <c r="S242" s="3672"/>
      <c r="T242" s="3672"/>
      <c r="U242" s="3673"/>
      <c r="V242" s="3674">
        <f>IF(OR(C242="",C242="  RF"),"",IF(AB75="Ｃ",11+(AG74-2)+11,IF(AG74="",0,AG74*11)))</f>
        <v>0</v>
      </c>
      <c r="W242" s="3675"/>
      <c r="X242" s="3676"/>
      <c r="Y242" s="3677">
        <f>IF(OR(C242="",C242="  RF"),"",IF(AK74="",0,AK74*11))</f>
        <v>11</v>
      </c>
      <c r="Z242" s="3678"/>
      <c r="AA242" s="3679"/>
      <c r="AB242" s="3683">
        <f>IF(OR(C242="",C242="  RF"),"",IF(AO74="",0,AO74*11))</f>
        <v>0</v>
      </c>
      <c r="AC242" s="3684"/>
      <c r="AD242" s="3685"/>
      <c r="AE242" s="3689">
        <f>IF(C242="","",IF(AS74="",0,4))</f>
        <v>0</v>
      </c>
      <c r="AF242" s="3678"/>
      <c r="AG242" s="3679"/>
      <c r="AH242" s="3677">
        <f>IF(C242="","",IF(AW74="",0,8))</f>
        <v>0</v>
      </c>
      <c r="AI242" s="3678"/>
      <c r="AJ242" s="3679"/>
      <c r="AK242" s="3677">
        <f>IF(C242="","",IF(BA74="",0,12))</f>
        <v>12</v>
      </c>
      <c r="AL242" s="3678"/>
      <c r="AM242" s="3691"/>
      <c r="AN242" s="3693">
        <f>IF(OR(C242="",C242="  RF",R242=""),"",IF($AL$10="nC-2V･2W",CL242*$CL$283/100,0))</f>
        <v>0</v>
      </c>
      <c r="AO242" s="3693"/>
      <c r="AP242" s="3693"/>
      <c r="AQ242" s="3600"/>
      <c r="AR242" s="3596">
        <f>IF(OR(C242="",C242="  RF",R242=""),"",IF($AL$10="nC-2V･2W",CO242*$CM$283/100,IF($AL$10="nC-FB",CA242*$CA$283/100,IF($AL$10="nD-FB",CG242*$CE$283/100,0))))</f>
        <v>5.8109999999999999</v>
      </c>
      <c r="AS242" s="3597"/>
      <c r="AT242" s="3597"/>
      <c r="AU242" s="3598"/>
      <c r="AV242" s="3596">
        <f>IF(OR(C242="",C242="  RF",R242=""),"",IF($AL$10="nC-2V･2W",CP242*$CN$283/100,IF($AL$10="nC-FB",CB242*$CB$283/100,IF($AL$10="nD-FB",CH242*$CF$283/100,0))))</f>
        <v>0.64800000000000013</v>
      </c>
      <c r="AW242" s="3597"/>
      <c r="AX242" s="3597"/>
      <c r="AY242" s="3598"/>
      <c r="AZ242" s="3596">
        <f>IF(OR(C242="",C242="  RF",R242=""),"",IF($AL$10="nC-2V･2W",CR242*$CO$283/100,IF($AL$10="nC-FB",CD242*$CC$283/100,IF($AL$10="nD-FB",CJ242*$CH$283/100,0))))</f>
        <v>0.38400000000000006</v>
      </c>
      <c r="BA242" s="3597"/>
      <c r="BB242" s="3597"/>
      <c r="BC242" s="3599"/>
      <c r="BD242" s="3600" t="str">
        <f>IF(OR(C242="  RF",R242="",$X$11="2端子"),"","1端子")</f>
        <v>1端子</v>
      </c>
      <c r="BE242" s="3601"/>
      <c r="BF242" s="3601"/>
      <c r="BG242" s="3601" t="str">
        <f>IF(OR(C242="  RF",R242="",$X$11="1端子"),"","2端子")</f>
        <v/>
      </c>
      <c r="BH242" s="3601"/>
      <c r="BI242" s="3602"/>
      <c r="BJ242" s="3603" t="str">
        <f>IF(OR(C242="  RF",R242="",$X$11="2端子"),"","1端子")</f>
        <v>1端子</v>
      </c>
      <c r="BK242" s="3597"/>
      <c r="BL242" s="3598"/>
      <c r="BM242" s="3601" t="str">
        <f>IF(OR(C242="  RF",R242="",$X$11="1端子"),"","2端子")</f>
        <v/>
      </c>
      <c r="BN242" s="3601"/>
      <c r="BO242" s="3602"/>
      <c r="BP242" s="3634">
        <f>IF(OR(AK16="不要",F243="方式不適",R242=""),"",IF(N242&lt;&gt;"",N242-CX242,IF(F242="","",R242-CX242)))</f>
        <v>74.156999999999996</v>
      </c>
      <c r="BQ242" s="3635"/>
      <c r="BR242" s="3635"/>
      <c r="BS242" s="3636" t="str">
        <f t="shared" si="138"/>
        <v>良</v>
      </c>
      <c r="BT242" s="3637"/>
      <c r="BU242" s="3590"/>
      <c r="BV242" s="82"/>
      <c r="BW242" s="82">
        <v>69</v>
      </c>
      <c r="BX242" s="3638" t="s">
        <v>1040</v>
      </c>
      <c r="BY242" s="3639"/>
      <c r="BZ242" s="748">
        <f>IF(K76="",0,IF($AL$10="nC-FB",DN72,0))</f>
        <v>0</v>
      </c>
      <c r="CA242" s="747">
        <f>IF($AL$10&lt;&gt;"nC-FB",0,IF(AB75="Ｃ",12+CY242-($X$9-$AM$9)/1000,12+DO75))</f>
        <v>39</v>
      </c>
      <c r="CB242" s="3604">
        <f>IF(OR(K77="10C-FB",$AL$10&lt;&gt;"nC-FB",AB75=""),0,IF(AB75="Ｃ",2+(DB72+DC72)/2,F74+2))</f>
        <v>6</v>
      </c>
      <c r="CC242" s="3605"/>
      <c r="CD242" s="3594">
        <f>IF(OR(K77="7C-FB",$AL$10&lt;&gt;"nC-FB",AB75=""),0,IF(AB75="Ｃ",2+(DB72+DC72)/2,F74+2))</f>
        <v>6</v>
      </c>
      <c r="CE242" s="3595"/>
      <c r="CF242" s="748">
        <f>IF(K76="",0,IF($AL$10="nD-FB",DN73,0))</f>
        <v>0</v>
      </c>
      <c r="CG242" s="747">
        <f>IF($AL$10&lt;&gt;"nD-FB",0,IF(AB75="Ｃ",12+CY242-($X$9-$AM$9)/1000+DO76/36,DO75+DO76/36))</f>
        <v>0</v>
      </c>
      <c r="CH242" s="3604">
        <f>IF(OR(K77="12D-FB",$AL$10&lt;&gt;"nD-FB"),0,IF(AB75="Ｃ",2+(DB72+DC72)/2,F74+2))</f>
        <v>0</v>
      </c>
      <c r="CI242" s="3605"/>
      <c r="CJ242" s="3606">
        <f>IF(OR(K77="8D-FB",$AL$10&lt;&gt;"nD-FB"),0,IF(AB75="Ｃ",2+(DB72+DC72)/2,F74+2))</f>
        <v>0</v>
      </c>
      <c r="CK242" s="3607"/>
      <c r="CL242" s="3606">
        <f>IF(OR(AS76="5C-2V",AS77="5C-2V",$AL$10&lt;&gt;"nC-2V･2W"),0,IF(AB75="Ｃ",12+CY242-($X$9-$AM$9)/1000+DO76/36,DO75+DO76/36))</f>
        <v>0</v>
      </c>
      <c r="CM242" s="3608"/>
      <c r="CN242" s="747">
        <f>IF(K76="",0,IF($AL$10="nC-2V･2W",DN73,0))</f>
        <v>0</v>
      </c>
      <c r="CO242" s="747">
        <f>IF(OR(AS76="3C-2V",AS77="3C-2V",$AL$10&lt;&gt;"nC-2V･2W"),0,IF(AB75="Ｃ",12+CY242-($X$9-$AM$9)/1000+DO76/36,DO75+DO76/36))</f>
        <v>0</v>
      </c>
      <c r="CP242" s="3609">
        <f>IF(OR(K77="10C-2V",$AL$10&lt;&gt;"nC-2V･2W"),0,IF(AB75="Ｃ",2+(DB72+DC72)/2,F74+2))</f>
        <v>0</v>
      </c>
      <c r="CQ242" s="3609"/>
      <c r="CR242" s="3606">
        <f>IF(OR(K77="7C-2V",$AL$10&lt;&gt;"nC-2V･2W"),0,IF(AB75="Ｃ",2+(DB72+DC72)/2,F74+2))</f>
        <v>0</v>
      </c>
      <c r="CS242" s="3633"/>
      <c r="CT242" s="746"/>
      <c r="CU242" s="86">
        <f>IF(R242="",0,IF($X$11="1端子",BD243,BG243))</f>
        <v>6</v>
      </c>
      <c r="CV242" s="95">
        <f>IF(OR(LEFT(K77,2)="5C",LEFT(K77,2)="5D"),$CA$285*(F74+2)/100,IF(OR(LEFT(K77,2)="7C",LEFT(K77,2)="8D"),$CB$285*(F74+2)/100,IF(OR(LEFT(K77,2)="10C",LEFT(K77,2)="12D"),$CC$285*(F74+2)/100,0)))</f>
        <v>0</v>
      </c>
      <c r="CW242" s="107">
        <f>IF(AND(AB75&lt;&gt;"Ｃ",AG74&lt;&gt;""),2+11,IF(AND(AB75&lt;&gt;"Ｃ",AK74&lt;&gt;""),3+11,0))</f>
        <v>14</v>
      </c>
      <c r="CX242" s="107">
        <f>V242+Y242+AE242+AH242+AK242+AN242+AR242+AV242+AZ242+CU242</f>
        <v>35.843000000000004</v>
      </c>
      <c r="CY242" s="105">
        <f>IF(I74="直天",F74,I74)</f>
        <v>3</v>
      </c>
      <c r="CZ242" s="745"/>
      <c r="DA242" s="745"/>
      <c r="DB242" s="744"/>
      <c r="DC242" s="744"/>
      <c r="DD242" s="743"/>
      <c r="DE242" s="743"/>
      <c r="DF242" s="743"/>
      <c r="DG242" s="743"/>
      <c r="DH242" s="744"/>
      <c r="DI242" s="744"/>
      <c r="DJ242" s="743"/>
      <c r="DK242" s="743"/>
      <c r="DL242" s="743"/>
      <c r="DM242" s="743"/>
      <c r="DN242" s="743"/>
      <c r="DO242" s="743"/>
      <c r="DP242" s="744"/>
      <c r="DQ242" s="744"/>
      <c r="DR242" s="743"/>
      <c r="DS242" s="743"/>
      <c r="DT242" s="743"/>
      <c r="DU242" s="743"/>
      <c r="DV242" s="742"/>
      <c r="DW242" s="737"/>
    </row>
    <row r="243" spans="1:127" ht="11.25" customHeight="1">
      <c r="B243" s="23"/>
      <c r="C243" s="3661"/>
      <c r="D243" s="3662"/>
      <c r="E243" s="3663"/>
      <c r="F243" s="3616" t="str">
        <f>IF(Q69="","","方式不適")</f>
        <v/>
      </c>
      <c r="G243" s="3617"/>
      <c r="H243" s="3617"/>
      <c r="I243" s="3617"/>
      <c r="J243" s="3618"/>
      <c r="K243" s="3619" t="str">
        <f>IF(C242="","","Max.")</f>
        <v>Max.</v>
      </c>
      <c r="L243" s="3620"/>
      <c r="M243" s="3621"/>
      <c r="N243" s="3622" t="str">
        <f>IF(C242="","",IF(AA74="","",$AG$15-14.5+40))</f>
        <v/>
      </c>
      <c r="O243" s="3512"/>
      <c r="P243" s="3512"/>
      <c r="Q243" s="3513"/>
      <c r="R243" s="3516">
        <f>IF(C242="","",IF(R242="","",R242))</f>
        <v>110</v>
      </c>
      <c r="S243" s="3516"/>
      <c r="T243" s="3516"/>
      <c r="U243" s="3623"/>
      <c r="V243" s="3624">
        <f>IF(OR(C242="",C242="  RF"),"",IF(AB75="Ｃ",11+(AG74-2)*2+11,IF(AG74="",0,AG74*11)))</f>
        <v>0</v>
      </c>
      <c r="W243" s="3625"/>
      <c r="X243" s="3626"/>
      <c r="Y243" s="3680"/>
      <c r="Z243" s="3681"/>
      <c r="AA243" s="3682"/>
      <c r="AB243" s="3686"/>
      <c r="AC243" s="3687"/>
      <c r="AD243" s="3688"/>
      <c r="AE243" s="3690"/>
      <c r="AF243" s="3681"/>
      <c r="AG243" s="3682"/>
      <c r="AH243" s="3680"/>
      <c r="AI243" s="3681"/>
      <c r="AJ243" s="3682"/>
      <c r="AK243" s="3680"/>
      <c r="AL243" s="3681"/>
      <c r="AM243" s="3692"/>
      <c r="AN243" s="3694">
        <f>IF(OR(C242="",C242="  RF",R242=""),"",IF($AL$10="nC-2V･2W",CL243*$CL$285/100,0))</f>
        <v>0</v>
      </c>
      <c r="AO243" s="3694"/>
      <c r="AP243" s="3694"/>
      <c r="AQ243" s="3695"/>
      <c r="AR243" s="3511">
        <f>IF(OR(C242="",C242="  RF",R242=""),"",IF($AL$10="nC-2V･2W",CO243*$CM$285/100,IF($AL$10="nC-FB",CA243*$CA$285/100,IF($AL$10="nD-FB",CG243*$CE$285/100,0))))</f>
        <v>7.8975</v>
      </c>
      <c r="AS243" s="3512"/>
      <c r="AT243" s="3512"/>
      <c r="AU243" s="3513"/>
      <c r="AV243" s="3511">
        <f>IF(OR(C242="",C242="  RF",R242=""),"",IF($AL$10="nC-2V･2W",CP243*$CN$285/100,IF($AL$10="nC-FB",CB243*$CB$285/100,IF($AL$10="nD-FB",CH243*$CF$285/100,0))))</f>
        <v>0.8580000000000001</v>
      </c>
      <c r="AW243" s="3512"/>
      <c r="AX243" s="3512"/>
      <c r="AY243" s="3513"/>
      <c r="AZ243" s="3511">
        <f>IF(OR(C242="",C242="  RF",R242=""),"",IF($AL$10="nC-2V･2W",CR243*$CO$285/100,IF($AL$10="nC-FB",CD243*$CC$285/100,IF($AL$10="nD-FB",CJ243*$CH$285/100,0))))</f>
        <v>0.504</v>
      </c>
      <c r="BA243" s="3512"/>
      <c r="BB243" s="3512"/>
      <c r="BC243" s="3514"/>
      <c r="BD243" s="3515">
        <f>IF(OR(C242="",C242="  RF",R242="",BD242=""),"",3+3)</f>
        <v>6</v>
      </c>
      <c r="BE243" s="3516"/>
      <c r="BF243" s="3516"/>
      <c r="BG243" s="3516" t="str">
        <f>IF(OR(C242="",C242="  RF",R242="",BG242=""),"",3+5)</f>
        <v/>
      </c>
      <c r="BH243" s="3516"/>
      <c r="BI243" s="3623"/>
      <c r="BJ243" s="3622">
        <f>IF(OR(C242="",C242="  RF",R242="",BJ242=""),"",10)</f>
        <v>10</v>
      </c>
      <c r="BK243" s="3512"/>
      <c r="BL243" s="3513"/>
      <c r="BM243" s="3516" t="str">
        <f>IF(OR(C242="",C242="  RF",R242="",BM242=""),"",12)</f>
        <v/>
      </c>
      <c r="BN243" s="3516"/>
      <c r="BO243" s="3623"/>
      <c r="BP243" s="3645">
        <f>IF(BP242="","",IF(N243&lt;&gt;"",N243-CX243,IF(F242="","",R243-CX243)))</f>
        <v>67.740499999999997</v>
      </c>
      <c r="BQ243" s="3646"/>
      <c r="BR243" s="3646"/>
      <c r="BS243" s="3647" t="str">
        <f t="shared" si="138"/>
        <v>良</v>
      </c>
      <c r="BT243" s="3648"/>
      <c r="BU243" s="3590"/>
      <c r="BV243" s="82"/>
      <c r="BW243" s="82"/>
      <c r="BX243" s="3649" t="s">
        <v>498</v>
      </c>
      <c r="BY243" s="3650"/>
      <c r="BZ243" s="741">
        <f>IF(K76="",0,IF($AL$10="nC-FB",DN72,0))</f>
        <v>0</v>
      </c>
      <c r="CA243" s="740">
        <f>IF($AL$10&lt;&gt;"nC-FB",0,IF(AB75="Ｃ",12+CY242-($X$9-$AM$9)/1000+DO76/36,12+DO75+DO76/36))</f>
        <v>40.5</v>
      </c>
      <c r="CB243" s="3612">
        <f>IF(OR(K77="10C-FB",$AL$10&lt;&gt;"nC-FB",AB75=""),0,IF(AB75="Ｃ",2.5*AG74+(DB72+DC72)/2,F74+2))</f>
        <v>6</v>
      </c>
      <c r="CC243" s="3613"/>
      <c r="CD243" s="3640">
        <f>IF(OR(K77="7C-FB",$AL$10&lt;&gt;"nC-FB",AB75=""),0,IF(AB75="Ｃ",2.5*AG74+(DB72+DC72)/2,F74+2))</f>
        <v>6</v>
      </c>
      <c r="CE243" s="3641"/>
      <c r="CF243" s="750">
        <f>IF(K76="",0,IF($AL$10="nD-FB",DN73,0))</f>
        <v>0</v>
      </c>
      <c r="CG243" s="749">
        <f>IF($AL$10&lt;&gt;"nD-FB",0,IF(AB75="Ｃ",12+CY242-($X$9-$AM$9)/1000+DO76/36,IF(AB75="Ｂ",12+DO75+DO76/36)))</f>
        <v>0</v>
      </c>
      <c r="CH243" s="3651">
        <f>IF(OR(K77="12D-FB",$AL$10&lt;&gt;"nD-FB"),0,IF(AB75="Ｃ",2.5*AG74+(DB72+DC72)/2,F74+2))</f>
        <v>0</v>
      </c>
      <c r="CI243" s="3652"/>
      <c r="CJ243" s="3653">
        <f>IF(OR(K77="8D-FB",$AL$10&lt;&gt;"nD-FB"),0,IF(AB75="Ｃ",2.5*AG74+(DB72+DC72)/2,F74+2))</f>
        <v>0</v>
      </c>
      <c r="CK243" s="3654"/>
      <c r="CL243" s="3653">
        <f>IF(OR(AS76="5C-2V",AS77="5C-2V",$AL$10&lt;&gt;"nC-2V･2W"),0,IF(AB75="Ｃ",12+CY242-($X$9-$AM$9)/1000+DO76/36,DO75+DO76/36))</f>
        <v>0</v>
      </c>
      <c r="CM243" s="3655"/>
      <c r="CN243" s="749">
        <f>IF(K76="",0,IF($AL$10="nC-2V･2W",DN73,0))</f>
        <v>0</v>
      </c>
      <c r="CO243" s="749">
        <f>IF(OR(AS76="3C-2V",AS77="3C-2V",$AL$10&lt;&gt;"nC-2V･2W"),0,IF(AB75="Ｃ",12+CY242-($X$9-$AM$9)/1000+DO76/36,DO75+DO76/36))</f>
        <v>0</v>
      </c>
      <c r="CP243" s="3656">
        <f>IF(OR(K77="10C-2V",$AL$10&lt;&gt;"nC-2V･2W"),0,IF(AB75="Ｃ",2.5*AG74+(DB72+DC72)/2,F74+2))</f>
        <v>0</v>
      </c>
      <c r="CQ243" s="3656"/>
      <c r="CR243" s="3653">
        <f>IF(OR(K77="7C-2V",$AL$10&lt;&gt;"nC-2V･2W"),0,IF(AB75="Ｃ",2.5*AG74+(DB72+DC72)/2,F74+2))</f>
        <v>0</v>
      </c>
      <c r="CS243" s="3657"/>
      <c r="CT243" s="14"/>
      <c r="CU243" s="86">
        <f>IF(R242="",0,IF($X$11="1端子",BJ243,BM243))</f>
        <v>10</v>
      </c>
      <c r="CV243" s="487"/>
      <c r="CW243" s="710"/>
      <c r="CX243" s="98">
        <f>V243+Y242+AE242+AH242+AK242+AN243+AR243+AV243+AZ243+CU243</f>
        <v>42.259500000000003</v>
      </c>
      <c r="CY243" s="738"/>
      <c r="CZ243" s="737"/>
      <c r="DA243" s="737"/>
      <c r="DB243" s="736"/>
      <c r="DC243" s="736"/>
      <c r="DD243" s="735"/>
      <c r="DE243" s="735"/>
      <c r="DF243" s="735"/>
      <c r="DG243" s="735"/>
      <c r="DH243" s="736"/>
      <c r="DI243" s="736"/>
      <c r="DJ243" s="735"/>
      <c r="DK243" s="735"/>
      <c r="DL243" s="735"/>
      <c r="DM243" s="735"/>
      <c r="DN243" s="735"/>
      <c r="DO243" s="735"/>
      <c r="DP243" s="736"/>
      <c r="DQ243" s="736"/>
      <c r="DR243" s="735"/>
      <c r="DS243" s="735"/>
      <c r="DT243" s="735"/>
      <c r="DU243" s="735"/>
      <c r="DV243" s="734"/>
      <c r="DW243" s="737"/>
    </row>
    <row r="244" spans="1:127" ht="11.25" customHeight="1">
      <c r="A244" s="8">
        <v>7</v>
      </c>
      <c r="B244" s="23"/>
      <c r="C244" s="3658" t="str">
        <f>IF(OR($B$2=0,$H$15="ＣＡＴＶ"),"",C84)</f>
        <v xml:space="preserve">  5F</v>
      </c>
      <c r="D244" s="3659"/>
      <c r="E244" s="3660"/>
      <c r="F244" s="3664" t="str">
        <f>IF(I244&lt;&gt;"",I244,AB85)</f>
        <v>Ｂ</v>
      </c>
      <c r="G244" s="3665"/>
      <c r="H244" s="91" t="s">
        <v>68</v>
      </c>
      <c r="I244" s="3666"/>
      <c r="J244" s="3667"/>
      <c r="K244" s="3668" t="str">
        <f>IF(C244="","","Min.")</f>
        <v>Min.</v>
      </c>
      <c r="L244" s="3669"/>
      <c r="M244" s="3670"/>
      <c r="N244" s="3603" t="str">
        <f>IF(C244="","",IF(AA84="","",$AG$15-14.7+40))</f>
        <v/>
      </c>
      <c r="O244" s="3597"/>
      <c r="P244" s="3597"/>
      <c r="Q244" s="3598"/>
      <c r="R244" s="3671">
        <f>IF(AE23="設置",AD83,"")</f>
        <v>110</v>
      </c>
      <c r="S244" s="3672"/>
      <c r="T244" s="3672"/>
      <c r="U244" s="3673"/>
      <c r="V244" s="3674">
        <f>IF(OR(C244="",C244="  RF"),"",IF(AB85="Ｃ",11+(AG84-2)+11,IF(AG84="",0,AG84*11)))</f>
        <v>0</v>
      </c>
      <c r="W244" s="3675"/>
      <c r="X244" s="3676"/>
      <c r="Y244" s="3677">
        <f>IF(OR(C244="",C244="  RF"),"",IF(AK84="",0,AK84*11))</f>
        <v>11</v>
      </c>
      <c r="Z244" s="3678"/>
      <c r="AA244" s="3679"/>
      <c r="AB244" s="3683">
        <f>IF(OR(C244="",C244="  RF"),"",IF(AO84="",0,AO84*11))</f>
        <v>0</v>
      </c>
      <c r="AC244" s="3684"/>
      <c r="AD244" s="3685"/>
      <c r="AE244" s="3689">
        <f>IF(C244="","",IF(AS84="",0,4))</f>
        <v>0</v>
      </c>
      <c r="AF244" s="3678"/>
      <c r="AG244" s="3679"/>
      <c r="AH244" s="3677">
        <f>IF(C244="","",IF(AW84="",0,8))</f>
        <v>0</v>
      </c>
      <c r="AI244" s="3678"/>
      <c r="AJ244" s="3679"/>
      <c r="AK244" s="3677">
        <f>IF(C244="","",IF(BA84="",0,12))</f>
        <v>12</v>
      </c>
      <c r="AL244" s="3678"/>
      <c r="AM244" s="3691"/>
      <c r="AN244" s="3693">
        <f>IF(OR(C244="",C244="  RF",R244=""),"",IF($AL$10="nC-2V･2W",CL244*$CL$283/100,0))</f>
        <v>0</v>
      </c>
      <c r="AO244" s="3693"/>
      <c r="AP244" s="3693"/>
      <c r="AQ244" s="3600"/>
      <c r="AR244" s="3596">
        <f>IF(OR(C244="",C244="  RF",R244=""),"",IF($AL$10="nC-2V･2W",CO244*$CM$283/100,IF($AL$10="nC-FB",CA244*$CA$283/100,IF($AL$10="nD-FB",CG244*$CE$283/100,0))))</f>
        <v>5.8109999999999999</v>
      </c>
      <c r="AS244" s="3597"/>
      <c r="AT244" s="3597"/>
      <c r="AU244" s="3598"/>
      <c r="AV244" s="3596">
        <f>IF(OR(C244="",C244="  RF",R244=""),"",IF($AL$10="nC-2V･2W",CP244*$CN$283/100,IF($AL$10="nC-FB",CB244*$CB$283/100,IF($AL$10="nD-FB",CH244*$CF$283/100,0))))</f>
        <v>0.64800000000000013</v>
      </c>
      <c r="AW244" s="3597"/>
      <c r="AX244" s="3597"/>
      <c r="AY244" s="3598"/>
      <c r="AZ244" s="3596">
        <f>IF(OR(C244="",C244="  RF",R244=""),"",IF($AL$10="nC-2V･2W",CR244*$CO$283/100,IF($AL$10="nC-FB",CD244*$CC$283/100,IF($AL$10="nD-FB",CJ244*$CH$283/100,0))))</f>
        <v>0.38400000000000006</v>
      </c>
      <c r="BA244" s="3597"/>
      <c r="BB244" s="3597"/>
      <c r="BC244" s="3599"/>
      <c r="BD244" s="3600" t="str">
        <f>IF(OR(C244="  RF",R244="",$X$11="2端子"),"","1端子")</f>
        <v>1端子</v>
      </c>
      <c r="BE244" s="3601"/>
      <c r="BF244" s="3601"/>
      <c r="BG244" s="3601" t="str">
        <f>IF(OR(C244="  RF",R244="",$X$11="1端子"),"","2端子")</f>
        <v/>
      </c>
      <c r="BH244" s="3601"/>
      <c r="BI244" s="3602"/>
      <c r="BJ244" s="3603" t="str">
        <f>IF(OR(C244="  RF",R244="",$X$11="2端子"),"","1端子")</f>
        <v>1端子</v>
      </c>
      <c r="BK244" s="3597"/>
      <c r="BL244" s="3598"/>
      <c r="BM244" s="3601" t="str">
        <f>IF(OR(C244="  RF",R244="",$X$11="1端子"),"","2端子")</f>
        <v/>
      </c>
      <c r="BN244" s="3601"/>
      <c r="BO244" s="3602"/>
      <c r="BP244" s="3634">
        <f>IF(OR(AK18="不要",F245="方式不適",R244=""),"",IF(N244&lt;&gt;"",N244-CX244,IF(F244="","",R244-CX244)))</f>
        <v>74.156999999999996</v>
      </c>
      <c r="BQ244" s="3635"/>
      <c r="BR244" s="3635"/>
      <c r="BS244" s="3636" t="str">
        <f t="shared" si="138"/>
        <v>良</v>
      </c>
      <c r="BT244" s="3637"/>
      <c r="BU244" s="3590"/>
      <c r="BV244" s="82"/>
      <c r="BW244" s="82">
        <v>81</v>
      </c>
      <c r="BX244" s="3638" t="s">
        <v>1040</v>
      </c>
      <c r="BY244" s="3639"/>
      <c r="BZ244" s="748">
        <f>IF(K86="",0,IF($AL$10="nC-FB",DN82,0))</f>
        <v>0</v>
      </c>
      <c r="CA244" s="747">
        <f>IF($AL$10&lt;&gt;"nC-FB",0,IF(AB85="Ｃ",12+CY244-($X$9-$AM$9)/1000,12+DO85))</f>
        <v>39</v>
      </c>
      <c r="CB244" s="3604">
        <f>IF(OR(K87="10C-FB",$AL$10&lt;&gt;"nC-FB",AB85=""),0,IF(AB85="Ｃ",2+(DB82+DC82)/2,F84+2))</f>
        <v>6</v>
      </c>
      <c r="CC244" s="3605"/>
      <c r="CD244" s="3594">
        <f>IF(OR(K87="7C-FB",$AL$10&lt;&gt;"nC-FB",AB85=""),0,IF(AB85="Ｃ",2+(DB82+DC82)/2,F84+2))</f>
        <v>6</v>
      </c>
      <c r="CE244" s="3595"/>
      <c r="CF244" s="748">
        <f>IF(K86="",0,IF($AL$10="nD-FB",DN83,0))</f>
        <v>0</v>
      </c>
      <c r="CG244" s="747">
        <f>IF($AL$10&lt;&gt;"nD-FB",0,IF(AB85="Ｃ",12+CY244-($X$9-$AM$9)/1000+DO86/36,DO85+DO86/36))</f>
        <v>0</v>
      </c>
      <c r="CH244" s="3604">
        <f>IF(OR(K87="12D-FB",$AL$10&lt;&gt;"nD-FB"),0,IF(AB85="Ｃ",2+(DB82+DC82)/2,F84+2))</f>
        <v>0</v>
      </c>
      <c r="CI244" s="3605"/>
      <c r="CJ244" s="3606">
        <f>IF(OR(K87="8D-FB",$AL$10&lt;&gt;"nD-FB"),0,IF(AB85="Ｃ",2+(DB82+DC82)/2,F84+2))</f>
        <v>0</v>
      </c>
      <c r="CK244" s="3607"/>
      <c r="CL244" s="3606">
        <f>IF(OR(AS86="5C-2V",AS87="5C-2V",$AL$10&lt;&gt;"nC-2V･2W"),0,IF(AB85="Ｃ",12+CY244-($X$9-$AM$9)/1000+DO86/36,DO85+DO86/36))</f>
        <v>0</v>
      </c>
      <c r="CM244" s="3608"/>
      <c r="CN244" s="747">
        <f>IF(K86="",0,IF($AL$10="nC-2V･2W",DN83,0))</f>
        <v>0</v>
      </c>
      <c r="CO244" s="747">
        <f>IF(OR(AS86="3C-2V",AS87="3C-2V",$AL$10&lt;&gt;"nC-2V･2W"),0,IF(AB85="Ｃ",12+CY244-($X$9-$AM$9)/1000+DO86/36,DO85+DO86/36))</f>
        <v>0</v>
      </c>
      <c r="CP244" s="3609">
        <f>IF(OR(K87="10C-2V",$AL$10&lt;&gt;"nC-2V･2W"),0,IF(AB85="Ｃ",2+(DB82+DC82)/2,F84+2))</f>
        <v>0</v>
      </c>
      <c r="CQ244" s="3609"/>
      <c r="CR244" s="3606">
        <f>IF(OR(K87="7C-2V",$AL$10&lt;&gt;"nC-2V･2W"),0,IF(AB85="Ｃ",2+(DB82+DC82)/2,F84+2))</f>
        <v>0</v>
      </c>
      <c r="CS244" s="3633"/>
      <c r="CT244" s="746"/>
      <c r="CU244" s="86">
        <f>IF(R244="",0,IF($X$11="1端子",BD245,BG245))</f>
        <v>6</v>
      </c>
      <c r="CV244" s="95">
        <f>IF(OR(LEFT(K87,2)="5C",LEFT(K87,2)="5D"),$CA$285*(F84+2)/100,IF(OR(LEFT(K87,2)="7C",LEFT(K87,2)="8D"),$CB$285*(F84+2)/100,IF(OR(LEFT(K87,2)="10C",LEFT(K87,2)="12D"),$CC$285*(F84+2)/100,0)))</f>
        <v>0</v>
      </c>
      <c r="CW244" s="107">
        <f>IF(AND(AB85&lt;&gt;"Ｃ",AG84&lt;&gt;""),2+11,IF(AND(AB85&lt;&gt;"Ｃ",AK84&lt;&gt;""),3+11,0))</f>
        <v>14</v>
      </c>
      <c r="CX244" s="107">
        <f>V244+Y244+AE244+AH244+AK244+AN244+AR244+AV244+AZ244+CU244</f>
        <v>35.843000000000004</v>
      </c>
      <c r="CY244" s="105">
        <f>IF(I84="直天",F84,I84)</f>
        <v>3</v>
      </c>
      <c r="CZ244" s="745"/>
      <c r="DA244" s="745"/>
      <c r="DB244" s="744"/>
      <c r="DC244" s="744"/>
      <c r="DD244" s="743"/>
      <c r="DE244" s="743"/>
      <c r="DF244" s="743"/>
      <c r="DG244" s="743"/>
      <c r="DH244" s="744"/>
      <c r="DI244" s="744"/>
      <c r="DJ244" s="743"/>
      <c r="DK244" s="743"/>
      <c r="DL244" s="743"/>
      <c r="DM244" s="743"/>
      <c r="DN244" s="743"/>
      <c r="DO244" s="743"/>
      <c r="DP244" s="744"/>
      <c r="DQ244" s="744"/>
      <c r="DR244" s="743"/>
      <c r="DS244" s="743"/>
      <c r="DT244" s="743"/>
      <c r="DU244" s="743"/>
      <c r="DV244" s="742"/>
    </row>
    <row r="245" spans="1:127" ht="11.25" customHeight="1">
      <c r="B245" s="23"/>
      <c r="C245" s="3661"/>
      <c r="D245" s="3662"/>
      <c r="E245" s="3663"/>
      <c r="F245" s="3616" t="str">
        <f>IF(Q79="","","方式不適")</f>
        <v/>
      </c>
      <c r="G245" s="3617"/>
      <c r="H245" s="3617"/>
      <c r="I245" s="3617"/>
      <c r="J245" s="3618"/>
      <c r="K245" s="3619" t="str">
        <f>IF(C244="","","Max.")</f>
        <v>Max.</v>
      </c>
      <c r="L245" s="3620"/>
      <c r="M245" s="3621"/>
      <c r="N245" s="3622" t="str">
        <f>IF(C244="","",IF(AA84="","",$AG$15-14.5+40))</f>
        <v/>
      </c>
      <c r="O245" s="3512"/>
      <c r="P245" s="3512"/>
      <c r="Q245" s="3513"/>
      <c r="R245" s="3516">
        <f>IF(C244="","",IF(R244="","",R244))</f>
        <v>110</v>
      </c>
      <c r="S245" s="3516"/>
      <c r="T245" s="3516"/>
      <c r="U245" s="3623"/>
      <c r="V245" s="3624">
        <f>IF(OR(C244="",C244="  RF"),"",IF(AB85="Ｃ",11+(AG84-2)*2+11,IF(AG84="",0,AG84*11)))</f>
        <v>0</v>
      </c>
      <c r="W245" s="3625"/>
      <c r="X245" s="3626"/>
      <c r="Y245" s="3680"/>
      <c r="Z245" s="3681"/>
      <c r="AA245" s="3682"/>
      <c r="AB245" s="3686"/>
      <c r="AC245" s="3687"/>
      <c r="AD245" s="3688"/>
      <c r="AE245" s="3690"/>
      <c r="AF245" s="3681"/>
      <c r="AG245" s="3682"/>
      <c r="AH245" s="3680"/>
      <c r="AI245" s="3681"/>
      <c r="AJ245" s="3682"/>
      <c r="AK245" s="3680"/>
      <c r="AL245" s="3681"/>
      <c r="AM245" s="3692"/>
      <c r="AN245" s="3694">
        <f>IF(OR(C244="",C244="  RF",R244=""),"",IF($AL$10="nC-2V･2W",CL245*$CL$285/100,0))</f>
        <v>0</v>
      </c>
      <c r="AO245" s="3694"/>
      <c r="AP245" s="3694"/>
      <c r="AQ245" s="3695"/>
      <c r="AR245" s="3511">
        <f>IF(OR(C244="",C244="  RF",R244=""),"",IF($AL$10="nC-2V･2W",CO245*$CM$285/100,IF($AL$10="nC-FB",CA245*$CA$285/100,IF($AL$10="nD-FB",CG245*$CE$285/100,0))))</f>
        <v>7.8975</v>
      </c>
      <c r="AS245" s="3512"/>
      <c r="AT245" s="3512"/>
      <c r="AU245" s="3513"/>
      <c r="AV245" s="3511">
        <f>IF(OR(C244="",C244="  RF",R244=""),"",IF($AL$10="nC-2V･2W",CP245*$CN$285/100,IF($AL$10="nC-FB",CB245*$CB$285/100,IF($AL$10="nD-FB",CH245*$CF$285/100,0))))</f>
        <v>0.8580000000000001</v>
      </c>
      <c r="AW245" s="3512"/>
      <c r="AX245" s="3512"/>
      <c r="AY245" s="3513"/>
      <c r="AZ245" s="3511">
        <f>IF(OR(C244="",C244="  RF",R244=""),"",IF($AL$10="nC-2V･2W",CR245*$CO$285/100,IF($AL$10="nC-FB",CD245*$CC$285/100,IF($AL$10="nD-FB",CJ245*$CH$285/100,0))))</f>
        <v>0.504</v>
      </c>
      <c r="BA245" s="3512"/>
      <c r="BB245" s="3512"/>
      <c r="BC245" s="3514"/>
      <c r="BD245" s="3515">
        <f>IF(OR(C244="",C244="  RF",R244="",BD244=""),"",3+3)</f>
        <v>6</v>
      </c>
      <c r="BE245" s="3516"/>
      <c r="BF245" s="3516"/>
      <c r="BG245" s="3516" t="str">
        <f>IF(OR(C244="",C244="  RF",R244="",BG244=""),"",3+5)</f>
        <v/>
      </c>
      <c r="BH245" s="3516"/>
      <c r="BI245" s="3623"/>
      <c r="BJ245" s="3622">
        <f>IF(OR(C244="",C244="  RF",R244="",BJ244=""),"",10)</f>
        <v>10</v>
      </c>
      <c r="BK245" s="3512"/>
      <c r="BL245" s="3513"/>
      <c r="BM245" s="3516" t="str">
        <f>IF(OR(C244="",C244="  RF",R244="",BM244=""),"",12)</f>
        <v/>
      </c>
      <c r="BN245" s="3516"/>
      <c r="BO245" s="3623"/>
      <c r="BP245" s="3645">
        <f>IF(BP244="","",IF(N245&lt;&gt;"",N245-CX245,IF(F244="","",R245-CX245)))</f>
        <v>67.740499999999997</v>
      </c>
      <c r="BQ245" s="3646"/>
      <c r="BR245" s="3646"/>
      <c r="BS245" s="3647" t="str">
        <f t="shared" si="138"/>
        <v>良</v>
      </c>
      <c r="BT245" s="3648"/>
      <c r="BU245" s="3590"/>
      <c r="BV245" s="82"/>
      <c r="BW245" s="82"/>
      <c r="BX245" s="3649" t="s">
        <v>498</v>
      </c>
      <c r="BY245" s="3650"/>
      <c r="BZ245" s="741">
        <f>IF(K86="",0,IF($AL$10="nC-FB",DN82,0))</f>
        <v>0</v>
      </c>
      <c r="CA245" s="740">
        <f>IF($AL$10&lt;&gt;"nC-FB",0,IF(AB85="Ｃ",12+CY244-($X$9-$AM$9)/1000+DO86/36,12+DO85+DO86/36))</f>
        <v>40.5</v>
      </c>
      <c r="CB245" s="3612">
        <f>IF(OR(K87="10C-FB",$AL$10&lt;&gt;"nC-FB",AB85=""),0,IF(AB85="Ｃ",2.5*AG84+(DB82+DC82)/2,F84+2))</f>
        <v>6</v>
      </c>
      <c r="CC245" s="3613"/>
      <c r="CD245" s="3640">
        <f>IF(OR(K87="7C-FB",$AL$10&lt;&gt;"nC-FB",AB85=""),0,IF(AB85="Ｃ",2.5*AG84+(DB82+DC82)/2,F84+2))</f>
        <v>6</v>
      </c>
      <c r="CE245" s="3641"/>
      <c r="CF245" s="750">
        <f>IF(K86="",0,IF($AL$10="nD-FB",DN83,0))</f>
        <v>0</v>
      </c>
      <c r="CG245" s="749">
        <f>IF($AL$10&lt;&gt;"nD-FB",0,IF(AB85="Ｃ",12+CY244-($X$9-$AM$9)/1000+DO86/36,IF(AB85="Ｂ",12+DO85+DO86/36)))</f>
        <v>0</v>
      </c>
      <c r="CH245" s="3651">
        <f>IF(OR(K87="12D-FB",$AL$10&lt;&gt;"nD-FB"),0,IF(AB85="Ｃ",2.5*AG84+(DB82+DC82)/2,F76+2))</f>
        <v>0</v>
      </c>
      <c r="CI245" s="3652"/>
      <c r="CJ245" s="3653">
        <f>IF(OR(K87="8D-FB",$AL$10&lt;&gt;"nD-FB"),0,IF(AB85="Ｃ",2.5*AG84+(DB82+DC82)/2,F84+2))</f>
        <v>0</v>
      </c>
      <c r="CK245" s="3654"/>
      <c r="CL245" s="3653">
        <f>IF(OR(AS86="5C-2V",AS87="5C-2V",$AL$10&lt;&gt;"nC-2V･2W"),0,IF(AB85="Ｃ",12+CY244-($X$9-$AM$9)/1000+DO86/36,DO85+DO86/36))</f>
        <v>0</v>
      </c>
      <c r="CM245" s="3655"/>
      <c r="CN245" s="749">
        <f>IF(K86="",0,IF($AL$10="nC-2V･2W",DN83,0))</f>
        <v>0</v>
      </c>
      <c r="CO245" s="749">
        <f>IF(OR(AS86="3C-2V",AS87="3C-2V",$AL$10&lt;&gt;"nC-2V･2W"),0,IF(AB85="Ｃ",12+CY244-($X$9-$AM$9)/1000+DO86/36,DO85+DO86/36))</f>
        <v>0</v>
      </c>
      <c r="CP245" s="3656">
        <f>IF(OR(K87="10C-2V",$AL$10&lt;&gt;"nC-2V･2W"),0,IF(AB85="Ｃ",2.5*AG84+(DB82+DC82)/2,F84+2))</f>
        <v>0</v>
      </c>
      <c r="CQ245" s="3656"/>
      <c r="CR245" s="3653">
        <f>IF(OR(K87="7C-2V",$AL$10&lt;&gt;"nC-2V･2W"),0,IF(AB85="Ｃ",2.5*AG84+(DB82+DC82)/2,F84+2))</f>
        <v>0</v>
      </c>
      <c r="CS245" s="3657"/>
      <c r="CT245" s="14"/>
      <c r="CU245" s="86">
        <f>IF(R244="",0,IF($X$11="1端子",BJ245,BM245))</f>
        <v>10</v>
      </c>
      <c r="CV245" s="487"/>
      <c r="CW245" s="710"/>
      <c r="CX245" s="98">
        <f>V245+Y244+AE244+AH244+AK244+AN245+AR245+AV245+AZ245+CU245</f>
        <v>42.259500000000003</v>
      </c>
      <c r="CY245" s="738"/>
      <c r="CZ245" s="737"/>
      <c r="DA245" s="737"/>
      <c r="DB245" s="736"/>
      <c r="DC245" s="736"/>
      <c r="DD245" s="735"/>
      <c r="DE245" s="735"/>
      <c r="DF245" s="735"/>
      <c r="DG245" s="735"/>
      <c r="DH245" s="736"/>
      <c r="DI245" s="736"/>
      <c r="DJ245" s="735"/>
      <c r="DK245" s="735"/>
      <c r="DL245" s="735"/>
      <c r="DM245" s="735"/>
      <c r="DN245" s="735"/>
      <c r="DO245" s="735"/>
      <c r="DP245" s="736"/>
      <c r="DQ245" s="736"/>
      <c r="DR245" s="735"/>
      <c r="DS245" s="735"/>
      <c r="DT245" s="735"/>
      <c r="DU245" s="735"/>
      <c r="DV245" s="734"/>
    </row>
    <row r="246" spans="1:127" ht="11.25" customHeight="1">
      <c r="A246" s="8">
        <v>8</v>
      </c>
      <c r="B246" s="23"/>
      <c r="C246" s="3658" t="str">
        <f>IF(OR($B$2=0,$H$15="ＣＡＴＶ"),"",C93)</f>
        <v xml:space="preserve">  6F</v>
      </c>
      <c r="D246" s="3659"/>
      <c r="E246" s="3660"/>
      <c r="F246" s="3664" t="str">
        <f>IF(I246&lt;&gt;"",I246,AB94)</f>
        <v>Ｂ</v>
      </c>
      <c r="G246" s="3665"/>
      <c r="H246" s="91" t="s">
        <v>68</v>
      </c>
      <c r="I246" s="3666"/>
      <c r="J246" s="3667"/>
      <c r="K246" s="3668" t="str">
        <f>IF(C246="","","Min.")</f>
        <v>Min.</v>
      </c>
      <c r="L246" s="3669"/>
      <c r="M246" s="3670"/>
      <c r="N246" s="3603" t="str">
        <f>IF(C246="","",IF(AA93="","",$AG$15-14.7+40))</f>
        <v/>
      </c>
      <c r="O246" s="3597"/>
      <c r="P246" s="3597"/>
      <c r="Q246" s="3598"/>
      <c r="R246" s="3671">
        <f>IF(AND(AH23="設置",N246=""),AD92,"")</f>
        <v>110</v>
      </c>
      <c r="S246" s="3672"/>
      <c r="T246" s="3672"/>
      <c r="U246" s="3673"/>
      <c r="V246" s="3674">
        <f>IF(OR(C246="",C246="  RF"),"",IF(AB94="Ｃ",11+(AG93-2)+11,IF(AG93="",0,AG93*11)))</f>
        <v>0</v>
      </c>
      <c r="W246" s="3675"/>
      <c r="X246" s="3676"/>
      <c r="Y246" s="3677">
        <f>IF(OR(C246="",C246="  RF"),"",IF(AK93="",0,AK93*11))</f>
        <v>11</v>
      </c>
      <c r="Z246" s="3678"/>
      <c r="AA246" s="3679"/>
      <c r="AB246" s="3683">
        <f>IF(OR(C246="",C246="  RF"),"",IF(AO93="",0,AO93*11))</f>
        <v>0</v>
      </c>
      <c r="AC246" s="3684"/>
      <c r="AD246" s="3685"/>
      <c r="AE246" s="3689">
        <f>IF(C246="","",IF(AS93="",0,4))</f>
        <v>0</v>
      </c>
      <c r="AF246" s="3678"/>
      <c r="AG246" s="3679"/>
      <c r="AH246" s="3677">
        <f>IF(C246="","",IF(AW93="",0,8))</f>
        <v>0</v>
      </c>
      <c r="AI246" s="3678"/>
      <c r="AJ246" s="3679"/>
      <c r="AK246" s="3677">
        <f>IF(C246="","",IF(BA93="",0,12))</f>
        <v>12</v>
      </c>
      <c r="AL246" s="3678"/>
      <c r="AM246" s="3691"/>
      <c r="AN246" s="3693">
        <f>IF(OR(C246="",C246="  RF",R246=""),"",IF($AL$10="nC-2V･2W",CL246*$CL$283/100,0))</f>
        <v>0</v>
      </c>
      <c r="AO246" s="3693"/>
      <c r="AP246" s="3693"/>
      <c r="AQ246" s="3600"/>
      <c r="AR246" s="3596">
        <f>IF(OR(C246="",C246="  RF",R246=""),"",IF($AL$10="nC-2V･2W",CO246*$CM$283/100,IF($AL$10="nC-FB",CA246*$CA$283/100,IF($AL$10="nD-FB",CG246*$CE$283/100,0))))</f>
        <v>5.8109999999999999</v>
      </c>
      <c r="AS246" s="3597"/>
      <c r="AT246" s="3597"/>
      <c r="AU246" s="3598"/>
      <c r="AV246" s="3596">
        <f>IF(OR(C246="",C246="  RF",R246=""),"",IF($AL$10="nC-2V･2W",CP246*$CN$283/100,IF($AL$10="nC-FB",CB246*$CB$283/100,IF($AL$10="nD-FB",CH246*$CF$283/100,0))))</f>
        <v>0.64800000000000013</v>
      </c>
      <c r="AW246" s="3597"/>
      <c r="AX246" s="3597"/>
      <c r="AY246" s="3598"/>
      <c r="AZ246" s="3596">
        <f>IF(OR(C246="",C246="  RF",R246=""),"",IF($AL$10="nC-2V･2W",CR246*$CO$283/100,IF($AL$10="nC-FB",CD246*$CC$283/100,IF($AL$10="nD-FB",CJ246*$CH$283/100,0))))</f>
        <v>0.38400000000000006</v>
      </c>
      <c r="BA246" s="3597"/>
      <c r="BB246" s="3597"/>
      <c r="BC246" s="3599"/>
      <c r="BD246" s="3600" t="str">
        <f>IF(OR(C246="  RF",R246="",$X$11="2端子"),"","1端子")</f>
        <v>1端子</v>
      </c>
      <c r="BE246" s="3601"/>
      <c r="BF246" s="3601"/>
      <c r="BG246" s="3601" t="str">
        <f>IF(OR(C246="  RF",R246="",$X$11="1端子"),"","2端子")</f>
        <v/>
      </c>
      <c r="BH246" s="3601"/>
      <c r="BI246" s="3602"/>
      <c r="BJ246" s="3603" t="str">
        <f>IF(OR(C246="  RF",R246="",$X$11="2端子"),"","1端子")</f>
        <v>1端子</v>
      </c>
      <c r="BK246" s="3597"/>
      <c r="BL246" s="3598"/>
      <c r="BM246" s="3601" t="str">
        <f>IF(OR(C246="  RF",R246="",$X$11="1端子"),"","2端子")</f>
        <v/>
      </c>
      <c r="BN246" s="3601"/>
      <c r="BO246" s="3602"/>
      <c r="BP246" s="3634">
        <f>IF(OR(AK20="不要",F247="方式不適",R246=""),"",IF(N246&lt;&gt;"",N246-CX246,IF(F246="","",R246-CX246)))</f>
        <v>74.156999999999996</v>
      </c>
      <c r="BQ246" s="3635"/>
      <c r="BR246" s="3635"/>
      <c r="BS246" s="3636" t="str">
        <f t="shared" si="138"/>
        <v>良</v>
      </c>
      <c r="BT246" s="3637"/>
      <c r="BU246" s="3590"/>
      <c r="BV246" s="82"/>
      <c r="BW246" s="82">
        <v>90</v>
      </c>
      <c r="BX246" s="3638" t="s">
        <v>1040</v>
      </c>
      <c r="BY246" s="3639"/>
      <c r="BZ246" s="748">
        <f>IF(K95="",0,IF($AL$10="nC-FB",DN91,0))</f>
        <v>0</v>
      </c>
      <c r="CA246" s="747">
        <f>IF($AL$10&lt;&gt;"nC-FB",0,IF(AB94="Ｃ",12+CY246-($X$9-$AM$9)/1000,12+DO94))</f>
        <v>39</v>
      </c>
      <c r="CB246" s="3604">
        <f>IF(OR(K96="10C-FB",$AL$10&lt;&gt;"nC-FB",AB94=""),0,IF(AB94="Ｃ",2+(DB91+DC91)/2,F93+2))</f>
        <v>6</v>
      </c>
      <c r="CC246" s="3605"/>
      <c r="CD246" s="3594">
        <f>IF(OR(K96="7C-FB",$AL$10&lt;&gt;"nC-FB",AB94=""),0,IF(AB94="Ｃ",2+(DB91+DC91)/2,F93+2))</f>
        <v>6</v>
      </c>
      <c r="CE246" s="3595"/>
      <c r="CF246" s="748">
        <f>IF(K95="",0,IF($AL$10="nD-FB",DN92,0))</f>
        <v>0</v>
      </c>
      <c r="CG246" s="747">
        <f>IF($AL$10&lt;&gt;"nD-FB",0,IF(AB94="Ｃ",12+CY246-($X$9-$AM$9)/1000+DO95/36,DO94+DO95/36))</f>
        <v>0</v>
      </c>
      <c r="CH246" s="3604">
        <f>IF(OR(K96="12D-FB",$AL$10&lt;&gt;"nD-FB"),0,IF(AB94="Ｃ",2+(DB91+DC91)/2,F93+2))</f>
        <v>0</v>
      </c>
      <c r="CI246" s="3605"/>
      <c r="CJ246" s="3606">
        <f>IF(OR(K96="8D-FB",$AL$10&lt;&gt;"nD-FB"),0,IF(AB94="Ｃ",2+(DB91+DC91)/2,F93+2))</f>
        <v>0</v>
      </c>
      <c r="CK246" s="3607"/>
      <c r="CL246" s="3606">
        <f>IF(OR(AS95="5C-2V",AS96="5C-2V",$AL$10&lt;&gt;"nC-2V･2W"),0,IF(AB94="Ｃ",12+CY246-($X$9-$AM$9)/1000+DO95/36,DO94+DO95/36))</f>
        <v>0</v>
      </c>
      <c r="CM246" s="3608"/>
      <c r="CN246" s="747">
        <f>IF(K95="",0,IF($AL$10="nC-2V･2W",DN92,0))</f>
        <v>0</v>
      </c>
      <c r="CO246" s="747">
        <f>IF(OR(AS95="3C-2V",AS96="3C-2V",$AL$10&lt;&gt;"nC-2V･2W"),0,IF(AB94="Ｃ",12+CY246-($X$9-$AM$9)/1000+DO95/36,DO94+DO95/36))</f>
        <v>0</v>
      </c>
      <c r="CP246" s="3609">
        <f>IF(OR(K96="10C-2V",$AL$10&lt;&gt;"nC-2V･2W"),0,IF(AB94="Ｃ",2+(DB91+DC91)/2,F93+2))</f>
        <v>0</v>
      </c>
      <c r="CQ246" s="3609"/>
      <c r="CR246" s="3606">
        <f>IF(OR(K96="7C-2V",$AL$10&lt;&gt;"nC-2V･2W"),0,IF(AB94="Ｃ",2+(DB91+DC91)/2,F93+2))</f>
        <v>0</v>
      </c>
      <c r="CS246" s="3633"/>
      <c r="CT246" s="746"/>
      <c r="CU246" s="86">
        <f>IF(R246="",0,IF($X$11="1端子",BD247,BG247))</f>
        <v>6</v>
      </c>
      <c r="CV246" s="95">
        <f>IF(OR(LEFT(K96,2)="5C",LEFT(K96,2)="5D"),$CA$285*(F93+2)/100,IF(OR(LEFT(K96,2)="7C",LEFT(K96,2)="8D"),$CB$285*(F93+2)/100,IF(OR(LEFT(K96,2)="10C",LEFT(K96,2)="12D"),$CC$285*(F93+2)/100,0)))</f>
        <v>0</v>
      </c>
      <c r="CW246" s="107">
        <f>IF(AND(AB94&lt;&gt;"Ｃ",AG93&lt;&gt;""),2+11,IF(AND(AB94&lt;&gt;"Ｃ",AK93&lt;&gt;""),3+11,0))</f>
        <v>14</v>
      </c>
      <c r="CX246" s="107">
        <f>V246+Y246+AE246+AH246+AK246+AN246+AR246+AV246+AZ246+CU246</f>
        <v>35.843000000000004</v>
      </c>
      <c r="CY246" s="105">
        <f>IF(I93="直天",F93,I93)</f>
        <v>3</v>
      </c>
      <c r="CZ246" s="745"/>
      <c r="DA246" s="745"/>
      <c r="DB246" s="744"/>
      <c r="DC246" s="744"/>
      <c r="DD246" s="743"/>
      <c r="DE246" s="743"/>
      <c r="DF246" s="743"/>
      <c r="DG246" s="743"/>
      <c r="DH246" s="744"/>
      <c r="DI246" s="744"/>
      <c r="DJ246" s="743"/>
      <c r="DK246" s="743"/>
      <c r="DL246" s="743"/>
      <c r="DM246" s="743"/>
      <c r="DN246" s="743"/>
      <c r="DO246" s="743"/>
      <c r="DP246" s="744"/>
      <c r="DQ246" s="744"/>
      <c r="DR246" s="743"/>
      <c r="DS246" s="743"/>
      <c r="DT246" s="743"/>
      <c r="DU246" s="743"/>
      <c r="DV246" s="742"/>
    </row>
    <row r="247" spans="1:127" ht="11.25" customHeight="1">
      <c r="B247" s="23"/>
      <c r="C247" s="3661"/>
      <c r="D247" s="3662"/>
      <c r="E247" s="3663"/>
      <c r="F247" s="3616" t="str">
        <f>IF(Q88="","","方式不適")</f>
        <v/>
      </c>
      <c r="G247" s="3617"/>
      <c r="H247" s="3617"/>
      <c r="I247" s="3617"/>
      <c r="J247" s="3618"/>
      <c r="K247" s="3619" t="str">
        <f>IF(C246="","","Max.")</f>
        <v>Max.</v>
      </c>
      <c r="L247" s="3620"/>
      <c r="M247" s="3621"/>
      <c r="N247" s="3622" t="str">
        <f>IF(C246="","",IF(AA93="","",$AG$15-14.5+40))</f>
        <v/>
      </c>
      <c r="O247" s="3512"/>
      <c r="P247" s="3512"/>
      <c r="Q247" s="3513"/>
      <c r="R247" s="3516">
        <f>IF(C246="","",IF(R246="","",R246))</f>
        <v>110</v>
      </c>
      <c r="S247" s="3516"/>
      <c r="T247" s="3516"/>
      <c r="U247" s="3623"/>
      <c r="V247" s="3624">
        <f>IF(OR(C246="",C246="  RF"),"",IF(AB94="Ｃ",11+(AG93-2)*2+11,IF(AG93="",0,AG93*11)))</f>
        <v>0</v>
      </c>
      <c r="W247" s="3625"/>
      <c r="X247" s="3626"/>
      <c r="Y247" s="3680"/>
      <c r="Z247" s="3681"/>
      <c r="AA247" s="3682"/>
      <c r="AB247" s="3686"/>
      <c r="AC247" s="3687"/>
      <c r="AD247" s="3688"/>
      <c r="AE247" s="3690"/>
      <c r="AF247" s="3681"/>
      <c r="AG247" s="3682"/>
      <c r="AH247" s="3680"/>
      <c r="AI247" s="3681"/>
      <c r="AJ247" s="3682"/>
      <c r="AK247" s="3680"/>
      <c r="AL247" s="3681"/>
      <c r="AM247" s="3692"/>
      <c r="AN247" s="3694">
        <f>IF(OR(C246="",C246="  RF",R246=""),"",IF($AL$10="nC-2V･2W",CL247*$CL$285/100,0))</f>
        <v>0</v>
      </c>
      <c r="AO247" s="3694"/>
      <c r="AP247" s="3694"/>
      <c r="AQ247" s="3695"/>
      <c r="AR247" s="3511">
        <f>IF(OR(C246="",C246="  RF",R246=""),"",IF($AL$10="nC-2V･2W",CO247*$CM$285/100,IF($AL$10="nC-FB",CA247*$CA$285/100,IF($AL$10="nD-FB",CG247*$CE$285/100,0))))</f>
        <v>7.8975</v>
      </c>
      <c r="AS247" s="3512"/>
      <c r="AT247" s="3512"/>
      <c r="AU247" s="3513"/>
      <c r="AV247" s="3511">
        <f>IF(OR(C246="",C246="  RF",R246=""),"",IF($AL$10="nC-2V･2W",CP247*$CN$285/100,IF($AL$10="nC-FB",CB247*$CB$285/100,IF($AL$10="nD-FB",CH247*$CF$285/100,0))))</f>
        <v>0.8580000000000001</v>
      </c>
      <c r="AW247" s="3512"/>
      <c r="AX247" s="3512"/>
      <c r="AY247" s="3513"/>
      <c r="AZ247" s="3511">
        <f>IF(OR(C246="",C246="  RF",R246=""),"",IF($AL$10="nC-2V･2W",CR247*$CO$285/100,IF($AL$10="nC-FB",CD247*$CC$285/100,IF($AL$10="nD-FB",CJ247*$CH$285/100,0))))</f>
        <v>0.504</v>
      </c>
      <c r="BA247" s="3512"/>
      <c r="BB247" s="3512"/>
      <c r="BC247" s="3514"/>
      <c r="BD247" s="3515">
        <f>IF(OR(C246="",C246="  RF",R246="",BD246=""),"",3+3)</f>
        <v>6</v>
      </c>
      <c r="BE247" s="3516"/>
      <c r="BF247" s="3516"/>
      <c r="BG247" s="3516" t="str">
        <f>IF(OR(C246="",C246="  RF",R246="",BG246=""),"",3+5)</f>
        <v/>
      </c>
      <c r="BH247" s="3516"/>
      <c r="BI247" s="3623"/>
      <c r="BJ247" s="3622">
        <f>IF(OR(C246="",C246="  RF",R246="",BJ246=""),"",10)</f>
        <v>10</v>
      </c>
      <c r="BK247" s="3512"/>
      <c r="BL247" s="3513"/>
      <c r="BM247" s="3516" t="str">
        <f>IF(OR(C246="",C246="  RF",R246="",BM246=""),"",12)</f>
        <v/>
      </c>
      <c r="BN247" s="3516"/>
      <c r="BO247" s="3623"/>
      <c r="BP247" s="3645">
        <f>IF(BP246="","",IF(N247&lt;&gt;"",N247-CX247,IF(F246="","",R247-CX247)))</f>
        <v>67.740499999999997</v>
      </c>
      <c r="BQ247" s="3646"/>
      <c r="BR247" s="3646"/>
      <c r="BS247" s="3647" t="str">
        <f t="shared" si="138"/>
        <v>良</v>
      </c>
      <c r="BT247" s="3648"/>
      <c r="BU247" s="3590"/>
      <c r="BV247" s="82"/>
      <c r="BW247" s="82"/>
      <c r="BX247" s="3649" t="s">
        <v>498</v>
      </c>
      <c r="BY247" s="3650"/>
      <c r="BZ247" s="741">
        <f>IF(K95="",0,IF($AL$10="nC-FB",DN91,0))</f>
        <v>0</v>
      </c>
      <c r="CA247" s="740">
        <f>IF($AL$10&lt;&gt;"nC-FB",0,IF(AB94="Ｃ",12+CY246-($X$9-$AM$9)/1000+DO95/36,12+DO94+DO95/36))</f>
        <v>40.5</v>
      </c>
      <c r="CB247" s="3612">
        <f>IF(OR(K96="10C-FB",$AL$10&lt;&gt;"nC-FB",AB94=""),0,IF(AB94="Ｃ",2.5*AG93+(DB91+DC91)/2,F93+2))</f>
        <v>6</v>
      </c>
      <c r="CC247" s="3613"/>
      <c r="CD247" s="3640">
        <f>IF(OR(K96="7C-FB",$AL$10&lt;&gt;"nC-FB",AB94=""),0,IF(AB94="Ｃ",2.5*AG93+(DB91+DC91)/2,F93+2))</f>
        <v>6</v>
      </c>
      <c r="CE247" s="3641"/>
      <c r="CF247" s="750">
        <f>IF(K95="",0,IF($AL$10="nD-FB",DN92,0))</f>
        <v>0</v>
      </c>
      <c r="CG247" s="749">
        <f>IF($AL$10&lt;&gt;"nD-FB",0,IF(AB94="Ｃ",12+CY246-($X$9-$AM$9)/1000+DO95/36,IF(AB94="Ｂ",12+DO94+DO95/36)))</f>
        <v>0</v>
      </c>
      <c r="CH247" s="3651">
        <f>IF(OR(K96="12D-FB",$AL$10&lt;&gt;"nD-FB"),0,IF(AB94="Ｃ",2.5*AG93+(DB91+DC91)/2,F83+2))</f>
        <v>0</v>
      </c>
      <c r="CI247" s="3652"/>
      <c r="CJ247" s="3653">
        <f>IF(OR(K96="8D-FB",$AL$10&lt;&gt;"nD-FB"),0,IF(AB94="Ｃ",2.5*AG93+(DB91+DC91)/2,F93+2))</f>
        <v>0</v>
      </c>
      <c r="CK247" s="3654"/>
      <c r="CL247" s="3653">
        <f>IF(OR(AS95="5C-2V",AS96="5C-2V",$AL$10&lt;&gt;"nC-2V･2W"),0,IF(AB94="Ｃ",12+CY246-($X$9-$AM$9)/1000+DO95/36,DO94+DO95/36))</f>
        <v>0</v>
      </c>
      <c r="CM247" s="3655"/>
      <c r="CN247" s="749">
        <f>IF(K95="",0,IF($AL$10="nC-2V･2W",DN92,0))</f>
        <v>0</v>
      </c>
      <c r="CO247" s="749">
        <f>IF(OR(AS95="3C-2V",AS96="3C-2V",$AL$10&lt;&gt;"nC-2V･2W"),0,IF(AB94="Ｃ",12+CY246-($X$9-$AM$9)/1000+DO95/36,DO94+DO95/36))</f>
        <v>0</v>
      </c>
      <c r="CP247" s="3656">
        <f>IF(OR(K96="10C-2V",$AL$10&lt;&gt;"nC-2V･2W"),0,IF(AB94="Ｃ",2.5*AG93+(DB91+DC91)/2,F93+2))</f>
        <v>0</v>
      </c>
      <c r="CQ247" s="3656"/>
      <c r="CR247" s="3653">
        <f>IF(OR(K96="7C-2V",$AL$10&lt;&gt;"nC-2V･2W"),0,IF(AB94="Ｃ",2.5*AG93+(DB91+DC91)/2,F93+2))</f>
        <v>0</v>
      </c>
      <c r="CS247" s="3657"/>
      <c r="CT247" s="14"/>
      <c r="CU247" s="86">
        <f>IF(R246="",0,IF($X$11="1端子",BJ247,BM247))</f>
        <v>10</v>
      </c>
      <c r="CV247" s="487"/>
      <c r="CW247" s="710"/>
      <c r="CX247" s="98">
        <f>V247+Y246+AE246+AH246+AK246+AN247+AR247+AV247+AZ247+CU247</f>
        <v>42.259500000000003</v>
      </c>
      <c r="CY247" s="738"/>
      <c r="CZ247" s="737"/>
      <c r="DA247" s="737"/>
      <c r="DB247" s="736"/>
      <c r="DC247" s="736"/>
      <c r="DD247" s="735"/>
      <c r="DE247" s="735"/>
      <c r="DF247" s="735"/>
      <c r="DG247" s="735"/>
      <c r="DH247" s="736"/>
      <c r="DI247" s="736"/>
      <c r="DJ247" s="735"/>
      <c r="DK247" s="735"/>
      <c r="DL247" s="735"/>
      <c r="DM247" s="735"/>
      <c r="DN247" s="735"/>
      <c r="DO247" s="735"/>
      <c r="DP247" s="736"/>
      <c r="DQ247" s="736"/>
      <c r="DR247" s="735"/>
      <c r="DS247" s="735"/>
      <c r="DT247" s="735"/>
      <c r="DU247" s="735"/>
      <c r="DV247" s="734"/>
    </row>
    <row r="248" spans="1:127" ht="11.25" customHeight="1">
      <c r="A248" s="8">
        <v>9</v>
      </c>
      <c r="B248" s="23"/>
      <c r="C248" s="3658" t="str">
        <f>IF(OR($B$2=0,$H$15="ＣＡＴＶ"),"",C102)</f>
        <v xml:space="preserve">  7F</v>
      </c>
      <c r="D248" s="3659"/>
      <c r="E248" s="3660"/>
      <c r="F248" s="3664" t="str">
        <f>IF(I248&lt;&gt;"",I248,AB103)</f>
        <v>Ｂ</v>
      </c>
      <c r="G248" s="3665"/>
      <c r="H248" s="91" t="s">
        <v>68</v>
      </c>
      <c r="I248" s="3666"/>
      <c r="J248" s="3667"/>
      <c r="K248" s="3668" t="str">
        <f>IF(C248="","","Min.")</f>
        <v>Min.</v>
      </c>
      <c r="L248" s="3669"/>
      <c r="M248" s="3670"/>
      <c r="N248" s="3603" t="str">
        <f>IF(C248="","",IF(AA102="","",$AG$15-14.7+40))</f>
        <v/>
      </c>
      <c r="O248" s="3597"/>
      <c r="P248" s="3597"/>
      <c r="Q248" s="3598"/>
      <c r="R248" s="3671">
        <f>IF(AND(AK23="設置",N248=""),AD101,"")</f>
        <v>110</v>
      </c>
      <c r="S248" s="3672"/>
      <c r="T248" s="3672"/>
      <c r="U248" s="3673"/>
      <c r="V248" s="3674">
        <f>IF(OR(C248="",C248="  RF"),"",IF(AB103="Ｃ",11+(AG102-2)+11,IF(AG102="",0,AG102*11)))</f>
        <v>0</v>
      </c>
      <c r="W248" s="3675"/>
      <c r="X248" s="3676"/>
      <c r="Y248" s="3677">
        <f>IF(OR(C248="",C248="  RF"),"",IF(AK102="",0,AK102*11))</f>
        <v>11</v>
      </c>
      <c r="Z248" s="3678"/>
      <c r="AA248" s="3679"/>
      <c r="AB248" s="3683">
        <f>IF(OR(C248="",C248="  RF"),"",IF(AO102="",0,AO102*11))</f>
        <v>0</v>
      </c>
      <c r="AC248" s="3684"/>
      <c r="AD248" s="3685"/>
      <c r="AE248" s="3689">
        <f>IF(OR(C248="",C248="  RF"),"",IF(AS102="",0,4))</f>
        <v>0</v>
      </c>
      <c r="AF248" s="3678"/>
      <c r="AG248" s="3679"/>
      <c r="AH248" s="3677">
        <f>IF(OR(C248="",C248="  RF"),"",IF(AW102="",0,8))</f>
        <v>0</v>
      </c>
      <c r="AI248" s="3678"/>
      <c r="AJ248" s="3679"/>
      <c r="AK248" s="3677">
        <f>IF(OR(C248="",C248="  RF"),"",IF(BA102="",0,12))</f>
        <v>12</v>
      </c>
      <c r="AL248" s="3678"/>
      <c r="AM248" s="3691"/>
      <c r="AN248" s="3693">
        <f>IF(OR(C248="",C248="  RF",R248=""),"",IF($AL$10="nC-2V･2W",CL248*$CL$283/100,0))</f>
        <v>0</v>
      </c>
      <c r="AO248" s="3693"/>
      <c r="AP248" s="3693"/>
      <c r="AQ248" s="3600"/>
      <c r="AR248" s="3596">
        <f>IF(OR(C248="",C248="  RF",R248=""),"",IF($AL$10="nC-2V･2W",CO248*$CM$283/100,IF($AL$10="nC-FB",CA248*$CA$283/100,IF($AL$10="nD-FB",CG248*$CE$283/100,0))))</f>
        <v>5.8109999999999999</v>
      </c>
      <c r="AS248" s="3597"/>
      <c r="AT248" s="3597"/>
      <c r="AU248" s="3598"/>
      <c r="AV248" s="3596">
        <f>IF(OR(C248="",C248="  RF",R248=""),"",IF($AL$10="nC-2V･2W",CP248*$CN$283/100,IF($AL$10="nC-FB",CB248*$CB$283/100,IF($AL$10="nD-FB",CH248*$CF$283/100,0))))</f>
        <v>0.64800000000000013</v>
      </c>
      <c r="AW248" s="3597"/>
      <c r="AX248" s="3597"/>
      <c r="AY248" s="3598"/>
      <c r="AZ248" s="3596">
        <f>IF(OR(C248="",C248="  RF",R248=""),"",IF($AL$10="nC-2V･2W",CR248*$CO$283/100,IF($AL$10="nC-FB",CD248*$CC$283/100,IF($AL$10="nD-FB",CJ248*$CH$283/100,0))))</f>
        <v>0.38400000000000006</v>
      </c>
      <c r="BA248" s="3597"/>
      <c r="BB248" s="3597"/>
      <c r="BC248" s="3599"/>
      <c r="BD248" s="3600" t="str">
        <f>IF(OR(C248="  RF",R248="",$X$11="2端子"),"","1端子")</f>
        <v>1端子</v>
      </c>
      <c r="BE248" s="3601"/>
      <c r="BF248" s="3601"/>
      <c r="BG248" s="3601" t="str">
        <f>IF(OR(C248="  RF",R248="",$X$11="1端子"),"","2端子")</f>
        <v/>
      </c>
      <c r="BH248" s="3601"/>
      <c r="BI248" s="3602"/>
      <c r="BJ248" s="3603" t="str">
        <f>IF(OR(C248="  RF",R248="",$X$11="2端子"),"","1端子")</f>
        <v>1端子</v>
      </c>
      <c r="BK248" s="3597"/>
      <c r="BL248" s="3598"/>
      <c r="BM248" s="3601" t="str">
        <f>IF(OR(C248="  RF",R248="",$X$11="1端子"),"","2端子")</f>
        <v/>
      </c>
      <c r="BN248" s="3601"/>
      <c r="BO248" s="3602"/>
      <c r="BP248" s="3634">
        <f>IF(OR(AK22="不要",F249="方式不適",R248=""),"",IF(N248&lt;&gt;"",N248-CX248,IF(F248="","",R248-CX248)))</f>
        <v>74.156999999999996</v>
      </c>
      <c r="BQ248" s="3635"/>
      <c r="BR248" s="3635"/>
      <c r="BS248" s="3636" t="str">
        <f t="shared" si="138"/>
        <v>良</v>
      </c>
      <c r="BT248" s="3637"/>
      <c r="BU248" s="3590"/>
      <c r="BV248" s="82"/>
      <c r="BW248" s="82">
        <v>99</v>
      </c>
      <c r="BX248" s="3638" t="s">
        <v>1040</v>
      </c>
      <c r="BY248" s="3639"/>
      <c r="BZ248" s="748">
        <f>IF(K104="",0,IF($AL$10="nC-FB",DN101,0))</f>
        <v>0</v>
      </c>
      <c r="CA248" s="747">
        <f>IF($AL$10&lt;&gt;"nC-FB",0,IF(AB103="Ｃ",12+CY248-($X$9-$AM$9)/1000,12+DO103))</f>
        <v>39</v>
      </c>
      <c r="CB248" s="3604">
        <f>IF(OR(K105="10C-FB",$AL$10&lt;&gt;"nC-FB",AB103=""),0,IF(AB103="Ｃ",2+(DB100+DC100)/2,F102+2))</f>
        <v>6</v>
      </c>
      <c r="CC248" s="3605"/>
      <c r="CD248" s="3594">
        <f>IF(OR(K105="7C-FB",$AL$10&lt;&gt;"nC-FB",AB103=""),0,IF(AB103="Ｃ",2+(DB100+DC100)/2,F102+2))</f>
        <v>6</v>
      </c>
      <c r="CE248" s="3595"/>
      <c r="CF248" s="748">
        <f>IF(K104="",0,IF($AL$10="nD-FB",DN101,0))</f>
        <v>0</v>
      </c>
      <c r="CG248" s="747">
        <f>IF($AL$10&lt;&gt;"nD-FB",0,IF(AB103="Ｃ",12+CY248-($X$9-$AM$9)/1000+DO104/36,DO103+DO104/36))</f>
        <v>0</v>
      </c>
      <c r="CH248" s="3604">
        <f>IF(OR(K105="12D-FB",$AL$10&lt;&gt;"nD-FB"),0,IF(AB103="Ｃ",2+(DB100+DC100)/2,F102+2))</f>
        <v>0</v>
      </c>
      <c r="CI248" s="3605"/>
      <c r="CJ248" s="3606">
        <f>IF(OR(K105="8D-FB",$AL$10&lt;&gt;"nD-FB"),0,IF(AB103="Ｃ",2+(DB100+DC100)/2,F102+2))</f>
        <v>0</v>
      </c>
      <c r="CK248" s="3607"/>
      <c r="CL248" s="3606">
        <f>IF(OR(AS104="5C-2V",AS105="5C-2V",$AL$10&lt;&gt;"nC-2V･2W"),0,IF(AB103="Ｃ",12+CY248-($X$9-$AM$9)/1000+DO104/36,DO103+DO104/36))</f>
        <v>0</v>
      </c>
      <c r="CM248" s="3608"/>
      <c r="CN248" s="747">
        <f>IF(K104="",0,IF($AL$10="nC-2V･2W",DN101,0))</f>
        <v>0</v>
      </c>
      <c r="CO248" s="747">
        <f>IF(OR(AS104="3C-2V",AS105="3C-2V",$AL$10&lt;&gt;"nC-2V･2W"),0,IF(AB103="Ｃ",12+CY248-($X$9-$AM$9)/1000+DO104/36,DO103+DO104/36))</f>
        <v>0</v>
      </c>
      <c r="CP248" s="3609">
        <f>IF(OR(K105="10C-2V",$AL$10&lt;&gt;"nC-2V･2W"),0,IF(AB103="Ｃ",2+(DB100+DC100)/2,F102+2))</f>
        <v>0</v>
      </c>
      <c r="CQ248" s="3609"/>
      <c r="CR248" s="3606">
        <f>IF(OR(K105="7C-2V",$AL$10&lt;&gt;"nC-2V･2W"),0,IF(AB103="Ｃ",2+(DB100+DC100)/2,F102+2))</f>
        <v>0</v>
      </c>
      <c r="CS248" s="3633"/>
      <c r="CT248" s="746"/>
      <c r="CU248" s="86">
        <f>IF(R248="",0,IF($X$11="1端子",BD249,BG249))</f>
        <v>6</v>
      </c>
      <c r="CV248" s="95">
        <f>IF(OR(LEFT(K105,2)="5C",LEFT(K105,2)="5D"),$CA$285*(F102+2)/100,IF(OR(LEFT(K105,2)="7C",LEFT(K105,2)="8D"),$CB$285*(F102+2)/100,IF(OR(LEFT(K105,2)="10C",LEFT(K105,2)="12D"),$CC$285*(F102+2)/100,0)))</f>
        <v>0</v>
      </c>
      <c r="CW248" s="107">
        <f>IF(AND(AB103&lt;&gt;"Ｃ",AG102&lt;&gt;""),2+11,IF(AND(AB103&lt;&gt;"Ｃ",AK102&lt;&gt;""),3+11,0))</f>
        <v>14</v>
      </c>
      <c r="CX248" s="107">
        <f>V248+Y248+AE248+AH248+AK248+AN248+AR248+AV248+AZ248+CU248</f>
        <v>35.843000000000004</v>
      </c>
      <c r="CY248" s="105">
        <f>IF(I102="直天",F102,I102)</f>
        <v>3</v>
      </c>
      <c r="CZ248" s="745"/>
      <c r="DA248" s="745"/>
      <c r="DB248" s="744"/>
      <c r="DC248" s="744"/>
      <c r="DD248" s="743"/>
      <c r="DE248" s="743"/>
      <c r="DF248" s="743"/>
      <c r="DG248" s="743"/>
      <c r="DH248" s="744"/>
      <c r="DI248" s="744"/>
      <c r="DJ248" s="743"/>
      <c r="DK248" s="743"/>
      <c r="DL248" s="743"/>
      <c r="DM248" s="743"/>
      <c r="DN248" s="743"/>
      <c r="DO248" s="743"/>
      <c r="DP248" s="744"/>
      <c r="DQ248" s="744"/>
      <c r="DR248" s="743"/>
      <c r="DS248" s="743"/>
      <c r="DT248" s="743"/>
      <c r="DU248" s="743"/>
      <c r="DV248" s="742"/>
    </row>
    <row r="249" spans="1:127" ht="11.25" customHeight="1">
      <c r="B249" s="23"/>
      <c r="C249" s="3661"/>
      <c r="D249" s="3662"/>
      <c r="E249" s="3663"/>
      <c r="F249" s="3616" t="str">
        <f>IF(Q97="","","方式不適")</f>
        <v/>
      </c>
      <c r="G249" s="3617"/>
      <c r="H249" s="3617"/>
      <c r="I249" s="3617"/>
      <c r="J249" s="3618"/>
      <c r="K249" s="3619" t="str">
        <f>IF(C248="","","Max.")</f>
        <v>Max.</v>
      </c>
      <c r="L249" s="3620"/>
      <c r="M249" s="3621"/>
      <c r="N249" s="3622" t="str">
        <f>IF(C248="","",IF(AA102="","",$AG$15-14.5+40))</f>
        <v/>
      </c>
      <c r="O249" s="3512"/>
      <c r="P249" s="3512"/>
      <c r="Q249" s="3513"/>
      <c r="R249" s="3516">
        <f>IF(C248="","",IF(R248="","",R248))</f>
        <v>110</v>
      </c>
      <c r="S249" s="3516"/>
      <c r="T249" s="3516"/>
      <c r="U249" s="3623"/>
      <c r="V249" s="3624">
        <f>IF(OR(C248="",C248="  RF"),"",IF(AB103="Ｃ",11+(AG102-2)*2+11,IF(AG102="",0,AG102*11)))</f>
        <v>0</v>
      </c>
      <c r="W249" s="3625"/>
      <c r="X249" s="3626"/>
      <c r="Y249" s="3680"/>
      <c r="Z249" s="3681"/>
      <c r="AA249" s="3682"/>
      <c r="AB249" s="3686"/>
      <c r="AC249" s="3687"/>
      <c r="AD249" s="3688"/>
      <c r="AE249" s="3690"/>
      <c r="AF249" s="3681"/>
      <c r="AG249" s="3682"/>
      <c r="AH249" s="3680"/>
      <c r="AI249" s="3681"/>
      <c r="AJ249" s="3682"/>
      <c r="AK249" s="3680"/>
      <c r="AL249" s="3681"/>
      <c r="AM249" s="3692"/>
      <c r="AN249" s="3694">
        <f>IF(OR(C248="",C248="  RF",R248=""),"",IF($AL$10="nC-2V･2W",CL249*$CL$285/100,0))</f>
        <v>0</v>
      </c>
      <c r="AO249" s="3694"/>
      <c r="AP249" s="3694"/>
      <c r="AQ249" s="3695"/>
      <c r="AR249" s="3511">
        <f>IF(OR(C248="",C248="  RF",R248=""),"",IF($AL$10="nC-2V･2W",CO249*$CM$285/100,IF($AL$10="nC-FB",CA249*$CA$285/100,IF($AL$10="nD-FB",CG249*$CE$285/100,0))))</f>
        <v>7.8975</v>
      </c>
      <c r="AS249" s="3512"/>
      <c r="AT249" s="3512"/>
      <c r="AU249" s="3513"/>
      <c r="AV249" s="3511">
        <f>IF(OR(C248="",C248="  RF",R248=""),"",IF($AL$10="nC-2V･2W",CP249*$CN$285/100,IF($AL$10="nC-FB",CB249*$CB$285/100,IF($AL$10="nD-FB",CH249*$CF$285/100,0))))</f>
        <v>0.8580000000000001</v>
      </c>
      <c r="AW249" s="3512"/>
      <c r="AX249" s="3512"/>
      <c r="AY249" s="3513"/>
      <c r="AZ249" s="3511">
        <f>IF(OR(C248="",C248="  RF",R248=""),"",IF($AL$10="nC-2V･2W",CR249*$CO$285/100,IF($AL$10="nC-FB",CD249*$CC$285/100,IF($AL$10="nD-FB",CJ249*$CH$285/100,0))))</f>
        <v>0.504</v>
      </c>
      <c r="BA249" s="3512"/>
      <c r="BB249" s="3512"/>
      <c r="BC249" s="3514"/>
      <c r="BD249" s="3515">
        <f>IF(OR(C248="",C248="  RF",R248="",BD248=""),"",3+3)</f>
        <v>6</v>
      </c>
      <c r="BE249" s="3516"/>
      <c r="BF249" s="3516"/>
      <c r="BG249" s="3516" t="str">
        <f>IF(OR(C248="",C248="  RF",R248="",BG248=""),"",3+5)</f>
        <v/>
      </c>
      <c r="BH249" s="3516"/>
      <c r="BI249" s="3623"/>
      <c r="BJ249" s="3622">
        <f>IF(OR(C248="",C248="  RF",R248="",BJ248=""),"",10)</f>
        <v>10</v>
      </c>
      <c r="BK249" s="3512"/>
      <c r="BL249" s="3513"/>
      <c r="BM249" s="3516" t="str">
        <f>IF(OR(C248="",C248="  RF",R248="",BM248=""),"",12)</f>
        <v/>
      </c>
      <c r="BN249" s="3516"/>
      <c r="BO249" s="3623"/>
      <c r="BP249" s="3645">
        <f>IF(BP248="","",IF(N249&lt;&gt;"",N249-CX249,IF(F248="","",R249-CX249)))</f>
        <v>67.740499999999997</v>
      </c>
      <c r="BQ249" s="3646"/>
      <c r="BR249" s="3646"/>
      <c r="BS249" s="3647" t="str">
        <f t="shared" si="138"/>
        <v>良</v>
      </c>
      <c r="BT249" s="3648"/>
      <c r="BU249" s="3590"/>
      <c r="BV249" s="82"/>
      <c r="BW249" s="82"/>
      <c r="BX249" s="3649" t="s">
        <v>498</v>
      </c>
      <c r="BY249" s="3650"/>
      <c r="BZ249" s="741">
        <f>IF(K104="",0,IF($AL$10="nC-FB",DN101,0))</f>
        <v>0</v>
      </c>
      <c r="CA249" s="740">
        <f>IF($AL$10&lt;&gt;"nC-FB",0,IF(AB103="Ｃ",12+CY248-($X$9-$AM$9)/1000+DO104/36,12+DO103+DO104/36))</f>
        <v>40.5</v>
      </c>
      <c r="CB249" s="3612">
        <f>IF(OR(K105="10C-FB",$AL$10&lt;&gt;"nC-FB",AB103=""),0,IF(AB103="Ｃ",2.5*AG102+(DB100+DC100)/2,F102+2))</f>
        <v>6</v>
      </c>
      <c r="CC249" s="3613"/>
      <c r="CD249" s="3640">
        <f>IF(OR(K105="7C-FB",$AL$10&lt;&gt;"nC-FB",AB103=""),0,IF(AB103="Ｃ",2.5*AG102+(DB100+DC100)/2,F102+2))</f>
        <v>6</v>
      </c>
      <c r="CE249" s="3641"/>
      <c r="CF249" s="750">
        <f>IF(K104="",0,IF($AL$10="nD-FB",DN101,0))</f>
        <v>0</v>
      </c>
      <c r="CG249" s="749">
        <f>IF($AL$10&lt;&gt;"nD-FB",0,IF(AB103="Ｃ",12+CY248-($X$9-$AM$9)/1000+DO104/36,IF(AB103="Ｂ",12+DO103+DO104/36)))</f>
        <v>0</v>
      </c>
      <c r="CH249" s="3651">
        <f>IF(OR(K105="12D-FB",$AL$10&lt;&gt;"nD-FB"),0,IF(AB103="Ｃ",2.5*AG102+(DB100+DC100)/2,F92+2))</f>
        <v>0</v>
      </c>
      <c r="CI249" s="3652"/>
      <c r="CJ249" s="3653">
        <f>IF(OR(K105="8D-FB",$AL$10&lt;&gt;"nD-FB"),0,IF(AB103="Ｃ",2.5*AG102+(DB100+DC100)/2,F102+2))</f>
        <v>0</v>
      </c>
      <c r="CK249" s="3654"/>
      <c r="CL249" s="3653">
        <f>IF(OR(AS104="5C-2V",AS105="5C-2V",$AL$10&lt;&gt;"nC-2V･2W"),0,IF(AB103="Ｃ",12+CY248-($X$9-$AM$9)/1000+DO104/36,DO103+DO104/36))</f>
        <v>0</v>
      </c>
      <c r="CM249" s="3655"/>
      <c r="CN249" s="749">
        <f>IF(K104="",0,IF($AL$10="nC-2V･2W",DN101,0))</f>
        <v>0</v>
      </c>
      <c r="CO249" s="749">
        <f>IF(OR(AS104="3C-2V",AS105="3C-2V",$AL$10&lt;&gt;"nC-2V･2W"),0,IF(AB103="Ｃ",12+CY248-($X$9-$AM$9)/1000+DO104/36,DO103+DO104/36))</f>
        <v>0</v>
      </c>
      <c r="CP249" s="3656">
        <f>IF(OR(K105="10C-2V",$AL$10&lt;&gt;"nC-2V･2W"),0,IF(AB103="Ｃ",2.5*AG102+(DB100+DC100)/2,F102+2))</f>
        <v>0</v>
      </c>
      <c r="CQ249" s="3656"/>
      <c r="CR249" s="3653">
        <f>IF(OR(K105="7C-2V",$AL$10&lt;&gt;"nC-2V･2W"),0,IF(AB103="Ｃ",2.5*AG102+(DB100+DC100)/2,F102+2))</f>
        <v>0</v>
      </c>
      <c r="CS249" s="3657"/>
      <c r="CT249" s="14"/>
      <c r="CU249" s="86">
        <f>IF(R248="",0,IF($X$11="1端子",BJ249,BM249))</f>
        <v>10</v>
      </c>
      <c r="CV249" s="487"/>
      <c r="CW249" s="710"/>
      <c r="CX249" s="98">
        <f>V249+Y248+AE248+AH248+AK248+AN249+AR249+AV249+AZ249+CU249</f>
        <v>42.259500000000003</v>
      </c>
      <c r="CY249" s="738"/>
      <c r="CZ249" s="737"/>
      <c r="DA249" s="737"/>
      <c r="DB249" s="736"/>
      <c r="DC249" s="736"/>
      <c r="DD249" s="735"/>
      <c r="DE249" s="735"/>
      <c r="DF249" s="735"/>
      <c r="DG249" s="735"/>
      <c r="DH249" s="736"/>
      <c r="DI249" s="736"/>
      <c r="DJ249" s="735"/>
      <c r="DK249" s="735"/>
      <c r="DL249" s="735"/>
      <c r="DM249" s="735"/>
      <c r="DN249" s="735"/>
      <c r="DO249" s="735"/>
      <c r="DP249" s="736"/>
      <c r="DQ249" s="736"/>
      <c r="DR249" s="735"/>
      <c r="DS249" s="735"/>
      <c r="DT249" s="735"/>
      <c r="DU249" s="735"/>
      <c r="DV249" s="734"/>
    </row>
    <row r="250" spans="1:127" ht="11.25" customHeight="1">
      <c r="A250" s="8">
        <v>10</v>
      </c>
      <c r="B250" s="23"/>
      <c r="C250" s="3658" t="str">
        <f>IF(OR($B$2=0,$H$15="ＣＡＴＶ"),"",C111)</f>
        <v xml:space="preserve">  8F</v>
      </c>
      <c r="D250" s="3659"/>
      <c r="E250" s="3660"/>
      <c r="F250" s="3664" t="str">
        <f>IF(I250&lt;&gt;"",I250,AB112)</f>
        <v>Ｂ</v>
      </c>
      <c r="G250" s="3665"/>
      <c r="H250" s="751" t="s">
        <v>68</v>
      </c>
      <c r="I250" s="3666"/>
      <c r="J250" s="3667"/>
      <c r="K250" s="3668" t="str">
        <f>IF(C250="","","Min.")</f>
        <v>Min.</v>
      </c>
      <c r="L250" s="3669"/>
      <c r="M250" s="3670"/>
      <c r="N250" s="3603" t="str">
        <f>IF(C250="","",IF(AA111="","",$AG$15-14.7+40))</f>
        <v/>
      </c>
      <c r="O250" s="3597"/>
      <c r="P250" s="3597"/>
      <c r="Q250" s="3598"/>
      <c r="R250" s="3671">
        <f>IF(AND(AN23="設置",N250=""),AD110,"")</f>
        <v>110</v>
      </c>
      <c r="S250" s="3672"/>
      <c r="T250" s="3672"/>
      <c r="U250" s="3673"/>
      <c r="V250" s="3674">
        <f>IF(C250="","",IF(AB112="Ｃ",11+(AG111-2)+11,IF(AG111="",0,AG111*11)))</f>
        <v>0</v>
      </c>
      <c r="W250" s="3675"/>
      <c r="X250" s="3676"/>
      <c r="Y250" s="3677">
        <f>IF(C250="","",IF(AK111="",0,AK111*11))</f>
        <v>11</v>
      </c>
      <c r="Z250" s="3678"/>
      <c r="AA250" s="3679"/>
      <c r="AB250" s="3683">
        <f>IF(OR(C250="",C250="  RF"),"",IF(AO111="",0,AO111*11))</f>
        <v>0</v>
      </c>
      <c r="AC250" s="3684"/>
      <c r="AD250" s="3685"/>
      <c r="AE250" s="3689">
        <f>IF(C250="","",IF(AS111="",0,4))</f>
        <v>0</v>
      </c>
      <c r="AF250" s="3678"/>
      <c r="AG250" s="3679"/>
      <c r="AH250" s="3677">
        <f>IF(C250="","",IF(AW111="",0,8))</f>
        <v>0</v>
      </c>
      <c r="AI250" s="3678"/>
      <c r="AJ250" s="3679"/>
      <c r="AK250" s="3677">
        <f>IF(C250="","",IF(BA111="",0,12))</f>
        <v>12</v>
      </c>
      <c r="AL250" s="3678"/>
      <c r="AM250" s="3691"/>
      <c r="AN250" s="3693">
        <f>IF(OR(C250="",C250="  RF",R250=""),"",IF($AL$10="nC-2V･2W",CL250*$CL$283/100,0))</f>
        <v>0</v>
      </c>
      <c r="AO250" s="3693"/>
      <c r="AP250" s="3693"/>
      <c r="AQ250" s="3600"/>
      <c r="AR250" s="3596">
        <f>IF(OR(C250="",C250="  RF",R250=""),"",IF($AL$10="nC-2V･2W",CO250*$CM$283/100,IF($AL$10="nC-FB",CA250*$CA$283/100,IF($AL$10="nD-FB",CG250*$CE$283/100,0))))</f>
        <v>5.8109999999999999</v>
      </c>
      <c r="AS250" s="3597"/>
      <c r="AT250" s="3597"/>
      <c r="AU250" s="3598"/>
      <c r="AV250" s="3596">
        <f>IF(OR(C250="",C250="  RF",R250=""),"",IF($AL$10="nC-2V･2W",CP250*$CN$283/100,IF($AL$10="nC-FB",CB250*$CB$283/100,IF($AL$10="nD-FB",CH250*$CF$283/100,0))))</f>
        <v>0.64800000000000013</v>
      </c>
      <c r="AW250" s="3597"/>
      <c r="AX250" s="3597"/>
      <c r="AY250" s="3598"/>
      <c r="AZ250" s="3596">
        <f>IF(OR(C250="",C250="  RF",R250=""),"",IF($AL$10="nC-2V･2W",CR250*$CO$283/100,IF($AL$10="nC-FB",CD250*$CC$283/100,IF($AL$10="nD-FB",CJ250*$CH$283/100,0))))</f>
        <v>0.38400000000000006</v>
      </c>
      <c r="BA250" s="3597"/>
      <c r="BB250" s="3597"/>
      <c r="BC250" s="3599"/>
      <c r="BD250" s="3600" t="str">
        <f>IF(OR(C250="  RF",R250="",$X$11="2端子"),"","1端子")</f>
        <v>1端子</v>
      </c>
      <c r="BE250" s="3601"/>
      <c r="BF250" s="3601"/>
      <c r="BG250" s="3601" t="str">
        <f>IF(OR(C250="  RF",R250="",$X$11="1端子"),"","2端子")</f>
        <v/>
      </c>
      <c r="BH250" s="3601"/>
      <c r="BI250" s="3602"/>
      <c r="BJ250" s="3603" t="str">
        <f>IF(OR(C250="  RF",R250="",$X$11="2端子"),"","1端子")</f>
        <v>1端子</v>
      </c>
      <c r="BK250" s="3597"/>
      <c r="BL250" s="3598"/>
      <c r="BM250" s="3601" t="str">
        <f>IF(OR(C250="  RF",R250="",$X$11="1端子"),"","2端子")</f>
        <v/>
      </c>
      <c r="BN250" s="3601"/>
      <c r="BO250" s="3602"/>
      <c r="BP250" s="3634">
        <f>IF(OR(AK24="不要",F251="方式不適",R250=""),"",IF(N250&lt;&gt;"",N250-CX250,IF(F250="","",R250-CX250)))</f>
        <v>74.156999999999996</v>
      </c>
      <c r="BQ250" s="3635"/>
      <c r="BR250" s="3635"/>
      <c r="BS250" s="3636" t="str">
        <f t="shared" si="138"/>
        <v>良</v>
      </c>
      <c r="BT250" s="3637"/>
      <c r="BU250" s="3590"/>
      <c r="BV250" s="82"/>
      <c r="BW250" s="82">
        <v>108</v>
      </c>
      <c r="BX250" s="3638" t="s">
        <v>1040</v>
      </c>
      <c r="BY250" s="3639"/>
      <c r="BZ250" s="748">
        <f>IF(K113="",0,IF($AL$10="nC-FB",DN110,0))</f>
        <v>0</v>
      </c>
      <c r="CA250" s="747">
        <f>IF($AL$10&lt;&gt;"nC-FB",0,IF(AB112="Ｃ",12+CY250-($X$9-$AM$9)/1000,12+DO112))</f>
        <v>39</v>
      </c>
      <c r="CB250" s="3604">
        <f>IF(OR(K114="10C-FB",$AL$10&lt;&gt;"nC-FB",AB112=""),0,IF(AB112="Ｃ",2+(DB109+DC109)/2,F111+2))</f>
        <v>6</v>
      </c>
      <c r="CC250" s="3605"/>
      <c r="CD250" s="3594">
        <f>IF(OR(K114="7C-FB",$AL$10&lt;&gt;"nC-FB",AB112=""),0,IF(AB112="Ｃ",2+(DB109+DC109)/2,F111+2))</f>
        <v>6</v>
      </c>
      <c r="CE250" s="3595"/>
      <c r="CF250" s="748">
        <f>IF(K113="",0,IF($AL$10="nD-FB",DN110,0))</f>
        <v>0</v>
      </c>
      <c r="CG250" s="747">
        <f>IF($AL$10&lt;&gt;"nD-FB",0,IF(AB112="Ｃ",12+CY250-($X$9-$AM$9)/1000+DO113/36,DO112+DO113/36))</f>
        <v>0</v>
      </c>
      <c r="CH250" s="3604">
        <f>IF(OR(K114="12D-FB",$AL$10&lt;&gt;"nD-FB"),0,IF(AB112="Ｃ",2+(DB109+DC109)/2,F111+2))</f>
        <v>0</v>
      </c>
      <c r="CI250" s="3605"/>
      <c r="CJ250" s="3606">
        <f>IF(OR(K114="8D-FB",$AL$10&lt;&gt;"nD-FB"),0,IF(AB112="Ｃ",2+(DB109+DC109)/2,F111+2))</f>
        <v>0</v>
      </c>
      <c r="CK250" s="3607"/>
      <c r="CL250" s="3606">
        <f>IF(OR(AS113="5C-2V",AS114="5C-2V",$AL$10&lt;&gt;"nC-2V･2W"),0,IF(AB112="Ｃ",12+CY250-($X$9-$AM$9)/1000+DO113/36,DO112+DO113/36))</f>
        <v>0</v>
      </c>
      <c r="CM250" s="3608"/>
      <c r="CN250" s="747">
        <f>IF(K113="",0,IF($AL$10="nC-2V･2W",DN110,0))</f>
        <v>0</v>
      </c>
      <c r="CO250" s="747">
        <f>IF(OR(AS113="3C-2V",AS114="3C-2V",$AL$10&lt;&gt;"nC-2V･2W"),0,IF(AB112="Ｃ",12+CY250-($X$9-$AM$9)/1000+DO113/36,DO112+DO113/36))</f>
        <v>0</v>
      </c>
      <c r="CP250" s="3609">
        <f>IF(OR(K114="10C-2V",$AL$10&lt;&gt;"nC-2V･2W"),0,IF(AB112="Ｃ",2+(DB109+DC109)/2,F111+2))</f>
        <v>0</v>
      </c>
      <c r="CQ250" s="3609"/>
      <c r="CR250" s="3606">
        <f>IF(OR(K114="7C-2V",$AL$10&lt;&gt;"nC-2V･2W"),0,IF(AB112="Ｃ",2+(DB109+DC109)/2,F111+2))</f>
        <v>0</v>
      </c>
      <c r="CS250" s="3633"/>
      <c r="CT250" s="746"/>
      <c r="CU250" s="86">
        <f>IF(R250="",0,IF($X$11="1端子",BD251,BG251))</f>
        <v>6</v>
      </c>
      <c r="CV250" s="95">
        <f>IF(OR(LEFT(K114,2)="5C",LEFT(K114,2)="5D"),$CA$285*(F111+2)/100,IF(OR(LEFT(K114,2)="7C",LEFT(K114,2)="8D"),$CB$285*(F111+2)/100,IF(OR(LEFT(K114,2)="10C",LEFT(K114,2)="12D"),$CC$285*(F111+2)/100,0)))</f>
        <v>0</v>
      </c>
      <c r="CW250" s="107">
        <f>IF(AND(AB112&lt;&gt;"Ｃ",AG111&lt;&gt;""),2+11,IF(AND(AB112&lt;&gt;"Ｃ",AK111&lt;&gt;""),3+11,0))</f>
        <v>14</v>
      </c>
      <c r="CX250" s="107">
        <f>V250+Y250+AE250+AH250+AK250+AN250+AR250+AV250+AZ250+CU250</f>
        <v>35.843000000000004</v>
      </c>
      <c r="CY250" s="105">
        <f>IF(I111="直天",F111,I111)</f>
        <v>3</v>
      </c>
      <c r="CZ250" s="745"/>
      <c r="DA250" s="745"/>
      <c r="DB250" s="744"/>
      <c r="DC250" s="744"/>
      <c r="DD250" s="743"/>
      <c r="DE250" s="743"/>
      <c r="DF250" s="743"/>
      <c r="DG250" s="743"/>
      <c r="DH250" s="744"/>
      <c r="DI250" s="744"/>
      <c r="DJ250" s="743"/>
      <c r="DK250" s="743"/>
      <c r="DL250" s="743"/>
      <c r="DM250" s="743"/>
      <c r="DN250" s="743"/>
      <c r="DO250" s="743"/>
      <c r="DP250" s="744"/>
      <c r="DQ250" s="744"/>
      <c r="DR250" s="743"/>
      <c r="DS250" s="743"/>
      <c r="DT250" s="743"/>
      <c r="DU250" s="743"/>
      <c r="DV250" s="742"/>
    </row>
    <row r="251" spans="1:127" ht="11.25" customHeight="1">
      <c r="B251" s="23"/>
      <c r="C251" s="3661"/>
      <c r="D251" s="3662"/>
      <c r="E251" s="3663"/>
      <c r="F251" s="3616" t="str">
        <f>IF(Q106="","","方式不適")</f>
        <v/>
      </c>
      <c r="G251" s="3617"/>
      <c r="H251" s="3617"/>
      <c r="I251" s="3617"/>
      <c r="J251" s="3618"/>
      <c r="K251" s="3619" t="str">
        <f>IF(C250="","","Max.")</f>
        <v>Max.</v>
      </c>
      <c r="L251" s="3620"/>
      <c r="M251" s="3621"/>
      <c r="N251" s="3622" t="str">
        <f>IF(C250="","",IF(AA111="","",$AG$15-14.5+40))</f>
        <v/>
      </c>
      <c r="O251" s="3512"/>
      <c r="P251" s="3512"/>
      <c r="Q251" s="3513"/>
      <c r="R251" s="3516">
        <f>IF(C250="","",IF(R250="","",R250))</f>
        <v>110</v>
      </c>
      <c r="S251" s="3516"/>
      <c r="T251" s="3516"/>
      <c r="U251" s="3623"/>
      <c r="V251" s="3624">
        <f>IF(C250="","",IF(AB112="Ｃ",11+(AG111-2)*2+11,IF(AG111="",0,AG111*11)))</f>
        <v>0</v>
      </c>
      <c r="W251" s="3625"/>
      <c r="X251" s="3626"/>
      <c r="Y251" s="3680"/>
      <c r="Z251" s="3681"/>
      <c r="AA251" s="3682"/>
      <c r="AB251" s="3686"/>
      <c r="AC251" s="3687"/>
      <c r="AD251" s="3688"/>
      <c r="AE251" s="3690"/>
      <c r="AF251" s="3681"/>
      <c r="AG251" s="3682"/>
      <c r="AH251" s="3680"/>
      <c r="AI251" s="3681"/>
      <c r="AJ251" s="3682"/>
      <c r="AK251" s="3680"/>
      <c r="AL251" s="3681"/>
      <c r="AM251" s="3692"/>
      <c r="AN251" s="3694">
        <f>IF(OR(C250="",C250="  RF",R250=""),"",IF($AL$10="nC-2V･2W",CL251*$CL$285/100,0))</f>
        <v>0</v>
      </c>
      <c r="AO251" s="3694"/>
      <c r="AP251" s="3694"/>
      <c r="AQ251" s="3695"/>
      <c r="AR251" s="3511">
        <f>IF(OR(C250="",C250="  RF",R250=""),"",IF($AL$10="nC-2V･2W",CO251*$CM$285/100,IF($AL$10="nC-FB",CA251*$CA$285/100,IF($AL$10="nD-FB",CG251*$CE$285/100,0))))</f>
        <v>7.8975</v>
      </c>
      <c r="AS251" s="3512"/>
      <c r="AT251" s="3512"/>
      <c r="AU251" s="3513"/>
      <c r="AV251" s="3511">
        <f>IF(OR(C250="",C250="  RF",R250=""),"",IF($AL$10="nC-2V･2W",CP251*$CN$285/100,IF($AL$10="nC-FB",CB251*$CB$285/100,IF($AL$10="nD-FB",CH251*$CF$285/100,0))))</f>
        <v>0.8580000000000001</v>
      </c>
      <c r="AW251" s="3512"/>
      <c r="AX251" s="3512"/>
      <c r="AY251" s="3513"/>
      <c r="AZ251" s="3511">
        <f>IF(OR(C250="",C250="  RF",R250=""),"",IF($AL$10="nC-2V･2W",CR251*$CO$285/100,IF($AL$10="nC-FB",CD251*$CC$285/100,IF($AL$10="nD-FB",CJ251*$CH$285/100,0))))</f>
        <v>0.504</v>
      </c>
      <c r="BA251" s="3512"/>
      <c r="BB251" s="3512"/>
      <c r="BC251" s="3514"/>
      <c r="BD251" s="3515">
        <f>IF(OR(C250="",C250="  RF",R250="",BD250=""),"",3+3)</f>
        <v>6</v>
      </c>
      <c r="BE251" s="3516"/>
      <c r="BF251" s="3516"/>
      <c r="BG251" s="3516" t="str">
        <f>IF(OR(C250="",C250="  RF",R250="",BG250=""),"",3+5)</f>
        <v/>
      </c>
      <c r="BH251" s="3516"/>
      <c r="BI251" s="3623"/>
      <c r="BJ251" s="3622">
        <f>IF(OR(C250="",C250="  RF",R250="",BJ250=""),"",10)</f>
        <v>10</v>
      </c>
      <c r="BK251" s="3512"/>
      <c r="BL251" s="3513"/>
      <c r="BM251" s="3516" t="str">
        <f>IF(OR(C250="",C250="  RF",R250="",BM250=""),"",12)</f>
        <v/>
      </c>
      <c r="BN251" s="3516"/>
      <c r="BO251" s="3623"/>
      <c r="BP251" s="3645">
        <f>IF(BP250="","",IF(N251&lt;&gt;"",N251-CX251,IF(F250="","",R251-CX251)))</f>
        <v>67.740499999999997</v>
      </c>
      <c r="BQ251" s="3646"/>
      <c r="BR251" s="3646"/>
      <c r="BS251" s="3647" t="str">
        <f t="shared" si="138"/>
        <v>良</v>
      </c>
      <c r="BT251" s="3648"/>
      <c r="BU251" s="3590"/>
      <c r="BV251" s="82"/>
      <c r="BW251" s="82"/>
      <c r="BX251" s="3649" t="s">
        <v>498</v>
      </c>
      <c r="BY251" s="3650"/>
      <c r="BZ251" s="741">
        <f>IF(K113="",0,IF($AL$10="nC-FB",DN110,0))</f>
        <v>0</v>
      </c>
      <c r="CA251" s="740">
        <f>IF($AL$10&lt;&gt;"nC-FB",0,IF(AB112="Ｃ",12+CY250-($X$9-$AM$9)/1000+DO113/36,12+DO112+DO113/36))</f>
        <v>40.5</v>
      </c>
      <c r="CB251" s="3612">
        <f>IF(OR(K114="10C-FB",$AL$10&lt;&gt;"nC-FB",AB112=""),0,IF(AB112="Ｃ",2.5*AG111+(DB109+DC109)/2,F111+2))</f>
        <v>6</v>
      </c>
      <c r="CC251" s="3613"/>
      <c r="CD251" s="3640">
        <f>IF(OR(K114="7C-FB",$AL$10&lt;&gt;"nC-FB",AB112=""),0,IF(AB112="Ｃ",2.5*AG111+(DB109+DC109)/2,F111+2))</f>
        <v>6</v>
      </c>
      <c r="CE251" s="3641"/>
      <c r="CF251" s="750">
        <f>IF(K113="",0,IF($AL$10="nD-FB",DN110,0))</f>
        <v>0</v>
      </c>
      <c r="CG251" s="749">
        <f>IF($AL$10&lt;&gt;"nD-FB",0,IF(AB112="Ｃ",12+CY250-($X$9-$AM$9)/1000+DO113/36,IF(AB112="Ｂ",12+DO112+DO113/36)))</f>
        <v>0</v>
      </c>
      <c r="CH251" s="3651">
        <f>IF(OR(K114="12D-FB",$AL$10&lt;&gt;"nD-FB"),0,IF(AB112="Ｃ",2.5*AG111+(DB109+DC109)/2,F111+2))</f>
        <v>0</v>
      </c>
      <c r="CI251" s="3652"/>
      <c r="CJ251" s="3653">
        <f>IF(OR(K114="8D-FB",$AL$10&lt;&gt;"nD-FB"),0,IF(AB112="Ｃ",2.5*AG111+(DB109+DC109)/2,F111+2))</f>
        <v>0</v>
      </c>
      <c r="CK251" s="3654"/>
      <c r="CL251" s="3653">
        <f>IF(OR(AS113="5C-2V",AS114="5C-2V",$AL$10&lt;&gt;"nC-2V･2W"),0,IF(AB112="Ｃ",12+CY250-($X$9-$AM$9)/1000+DO113/36,DO112+DO113/36))</f>
        <v>0</v>
      </c>
      <c r="CM251" s="3655"/>
      <c r="CN251" s="749">
        <f>IF(K113="",0,IF($AL$10="nC-2V･2W",DN110,0))</f>
        <v>0</v>
      </c>
      <c r="CO251" s="749">
        <f>IF(OR(AS113="3C-2V",AS114="3C-2V",$AL$10&lt;&gt;"nC-2V･2W"),0,IF(AB112="Ｃ",12+CY250-($X$9-$AM$9)/1000+DO113/36,DO112+DO113/36))</f>
        <v>0</v>
      </c>
      <c r="CP251" s="3656">
        <f>IF(OR(K114="10C-2V",$AL$10&lt;&gt;"nC-2V･2W"),0,IF(AB112="Ｃ",2.5*AG111+(DB109+DC109)/2,F111+2))</f>
        <v>0</v>
      </c>
      <c r="CQ251" s="3656"/>
      <c r="CR251" s="3653">
        <f>IF(OR(K114="7C-2V",$AL$10&lt;&gt;"nC-2V･2W"),0,IF(AB112="Ｃ",2.5*AG111+(DB109+DC109)/2,F111+2))</f>
        <v>0</v>
      </c>
      <c r="CS251" s="3657"/>
      <c r="CT251" s="14"/>
      <c r="CU251" s="86">
        <f>IF(R250="",0,IF($X$11="1端子",BJ251,BM251))</f>
        <v>10</v>
      </c>
      <c r="CV251" s="487"/>
      <c r="CW251" s="710"/>
      <c r="CX251" s="98">
        <f>V251+Y250+AE250+AH250+AK250+AN251+AR251+AV251+AZ251+CU251</f>
        <v>42.259500000000003</v>
      </c>
      <c r="CY251" s="738"/>
      <c r="CZ251" s="737"/>
      <c r="DA251" s="737"/>
      <c r="DB251" s="736"/>
      <c r="DC251" s="736"/>
      <c r="DD251" s="735"/>
      <c r="DE251" s="735"/>
      <c r="DF251" s="735"/>
      <c r="DG251" s="735"/>
      <c r="DH251" s="736"/>
      <c r="DI251" s="736"/>
      <c r="DJ251" s="735"/>
      <c r="DK251" s="735"/>
      <c r="DL251" s="735"/>
      <c r="DM251" s="735"/>
      <c r="DN251" s="735"/>
      <c r="DO251" s="735"/>
      <c r="DP251" s="736"/>
      <c r="DQ251" s="736"/>
      <c r="DR251" s="735"/>
      <c r="DS251" s="735"/>
      <c r="DT251" s="735"/>
      <c r="DU251" s="735"/>
      <c r="DV251" s="734"/>
    </row>
    <row r="252" spans="1:127" ht="11.25" customHeight="1">
      <c r="A252" s="8">
        <v>11</v>
      </c>
      <c r="B252" s="23"/>
      <c r="C252" s="3658" t="str">
        <f>IF(OR($B$2=0,$H$15="ＣＡＴＶ"),"",C120)</f>
        <v xml:space="preserve">  9F</v>
      </c>
      <c r="D252" s="3659"/>
      <c r="E252" s="3660"/>
      <c r="F252" s="3664" t="str">
        <f>IF(I252&lt;&gt;"",I252,AB121)</f>
        <v>Ｂ</v>
      </c>
      <c r="G252" s="3665"/>
      <c r="H252" s="91" t="s">
        <v>68</v>
      </c>
      <c r="I252" s="3666"/>
      <c r="J252" s="3667"/>
      <c r="K252" s="3668" t="str">
        <f>IF(C252="","","Min.")</f>
        <v>Min.</v>
      </c>
      <c r="L252" s="3669"/>
      <c r="M252" s="3670"/>
      <c r="N252" s="3603" t="str">
        <f>IF(OR(C252="",AA120=""),"",$AG$15-14.7+40)</f>
        <v/>
      </c>
      <c r="O252" s="3597"/>
      <c r="P252" s="3597"/>
      <c r="Q252" s="3598"/>
      <c r="R252" s="3671">
        <f>IF(AND(AQ23="設置",N252=""),AD119,"")</f>
        <v>110</v>
      </c>
      <c r="S252" s="3672"/>
      <c r="T252" s="3672"/>
      <c r="U252" s="3673"/>
      <c r="V252" s="3674">
        <f>IF(C252="","",IF(AB121="Ｃ",11+(AG120-2)+11,IF(AG120="",0,AG120*11)))</f>
        <v>0</v>
      </c>
      <c r="W252" s="3675"/>
      <c r="X252" s="3676"/>
      <c r="Y252" s="3677">
        <f>IF(C252="","",IF(AK120="",0,AK120*11))</f>
        <v>11</v>
      </c>
      <c r="Z252" s="3678"/>
      <c r="AA252" s="3679"/>
      <c r="AB252" s="3683">
        <f>IF(OR(C252="",C252="  RF"),"",IF(AO120="",0,AO120*11))</f>
        <v>0</v>
      </c>
      <c r="AC252" s="3684"/>
      <c r="AD252" s="3685"/>
      <c r="AE252" s="3689">
        <f>IF(C252="","",IF(AS120="",0,4))</f>
        <v>0</v>
      </c>
      <c r="AF252" s="3678"/>
      <c r="AG252" s="3679"/>
      <c r="AH252" s="3677">
        <f>IF(C252="","",IF(AW120="",0,8))</f>
        <v>0</v>
      </c>
      <c r="AI252" s="3678"/>
      <c r="AJ252" s="3679"/>
      <c r="AK252" s="3677">
        <f>IF(C252="","",IF(BA120="",0,12))</f>
        <v>12</v>
      </c>
      <c r="AL252" s="3678"/>
      <c r="AM252" s="3691"/>
      <c r="AN252" s="3693">
        <f>IF(OR(C252="",C252="  RF",R252=""),"",IF($AL$10="nC-2V･2W",CL252*$CL$283/100,0))</f>
        <v>0</v>
      </c>
      <c r="AO252" s="3693"/>
      <c r="AP252" s="3693"/>
      <c r="AQ252" s="3600"/>
      <c r="AR252" s="3596">
        <f>IF(OR(C252="",C252="  RF",R252=""),"",IF($AL$10="nC-2V･2W",CO252*$CM$283/100,IF($AL$10="nC-FB",CA252*$CA$283/100,IF($AL$10="nD-FB",CG252*$CE$283/100,0))))</f>
        <v>5.8109999999999999</v>
      </c>
      <c r="AS252" s="3597"/>
      <c r="AT252" s="3597"/>
      <c r="AU252" s="3598"/>
      <c r="AV252" s="3596">
        <f>IF(OR(C252="",C252="  RF",R252=""),"",IF($AL$10="nC-2V･2W",CP252*$CN$283/100,IF($AL$10="nC-FB",CB252*$CB$283/100,IF($AL$10="nD-FB",CH252*$CF$283/100,0))))</f>
        <v>0.64800000000000013</v>
      </c>
      <c r="AW252" s="3597"/>
      <c r="AX252" s="3597"/>
      <c r="AY252" s="3598"/>
      <c r="AZ252" s="3596">
        <f>IF(OR(C252="",C252="  RF",R252=""),"",IF($AL$10="nC-2V･2W",CR252*$CO$283/100,IF($AL$10="nC-FB",CD252*$CC$283/100,IF($AL$10="nD-FB",CJ252*$CH$283/100,0))))</f>
        <v>0.38400000000000006</v>
      </c>
      <c r="BA252" s="3597"/>
      <c r="BB252" s="3597"/>
      <c r="BC252" s="3599"/>
      <c r="BD252" s="3600" t="str">
        <f>IF(OR(C252="  RF",R252="",$X$11="2端子"),"","1端子")</f>
        <v>1端子</v>
      </c>
      <c r="BE252" s="3601"/>
      <c r="BF252" s="3601"/>
      <c r="BG252" s="3601" t="str">
        <f>IF(OR(C252="  RF",R252="",$X$11="1端子"),"","2端子")</f>
        <v/>
      </c>
      <c r="BH252" s="3601"/>
      <c r="BI252" s="3602"/>
      <c r="BJ252" s="3603" t="str">
        <f>IF(OR(C252="  RF",R252="",$X$11="2端子"),"","1端子")</f>
        <v>1端子</v>
      </c>
      <c r="BK252" s="3597"/>
      <c r="BL252" s="3598"/>
      <c r="BM252" s="3601" t="str">
        <f>IF(OR(C252="  RF",R252="",$X$11="1端子"),"","2端子")</f>
        <v/>
      </c>
      <c r="BN252" s="3601"/>
      <c r="BO252" s="3602"/>
      <c r="BP252" s="3634">
        <f>IF(OR(AK26="不要",F253="方式不適",R252=""),"",IF(N252&lt;&gt;"",N252-CX252,IF(F252="","",R252-CX252)))</f>
        <v>74.156999999999996</v>
      </c>
      <c r="BQ252" s="3635"/>
      <c r="BR252" s="3635"/>
      <c r="BS252" s="3636" t="str">
        <f t="shared" si="138"/>
        <v>良</v>
      </c>
      <c r="BT252" s="3637"/>
      <c r="BU252" s="3590"/>
      <c r="BV252" s="82"/>
      <c r="BW252" s="82">
        <v>117</v>
      </c>
      <c r="BX252" s="3638" t="s">
        <v>1040</v>
      </c>
      <c r="BY252" s="3639"/>
      <c r="BZ252" s="748">
        <f>IF(K122="",0,IF($AL$10="nC-FB",DN119,0))</f>
        <v>0</v>
      </c>
      <c r="CA252" s="747">
        <f>IF($AL$10&lt;&gt;"nC-FB",0,IF(AB121="Ｃ",12+CY252-($X$9-$AM$9)/1000,12+DO121))</f>
        <v>39</v>
      </c>
      <c r="CB252" s="3604">
        <f>IF(OR(K123="10C-FB",$AL$10&lt;&gt;"nC-FB",AB121=""),0,IF(AB121="Ｃ",2+(DB118+DC118)/2,F120+2))</f>
        <v>6</v>
      </c>
      <c r="CC252" s="3605"/>
      <c r="CD252" s="3594">
        <f>IF(OR(K123="7C-FB",$AL$10&lt;&gt;"nC-FB",AB121=""),0,IF(AB121="Ｃ",2+(DB118+DC118)/2,F120+2))</f>
        <v>6</v>
      </c>
      <c r="CE252" s="3595"/>
      <c r="CF252" s="748">
        <f>IF(K122="",0,IF($AL$10="nD-FB",DN119,0))</f>
        <v>0</v>
      </c>
      <c r="CG252" s="747">
        <f>IF($AL$10&lt;&gt;"nD-FB",0,IF(AB121="Ｃ",12+CY252-($X$9-$AM$9)/1000+DO122/36,DO121+DO122/36))</f>
        <v>0</v>
      </c>
      <c r="CH252" s="3604">
        <f>IF(OR(K123="12D-FB",$AL$10&lt;&gt;"nD-FB"),0,IF(AB121="Ｃ",2+(DB118+DC118)/2,F120+2))</f>
        <v>0</v>
      </c>
      <c r="CI252" s="3605"/>
      <c r="CJ252" s="3606">
        <f>IF(OR(K123="8D-FB",$AL$10&lt;&gt;"nD-FB"),0,IF(AB121="Ｃ",2+(DB118+DC118)/2,F120+2))</f>
        <v>0</v>
      </c>
      <c r="CK252" s="3607"/>
      <c r="CL252" s="3606">
        <f>IF(OR(AS122="5C-2V",AS123="5C-2V",$AL$10&lt;&gt;"nC-2V･2W"),0,IF(AB121="Ｃ",12+CY252-($X$9-$AM$9)/1000+DO122/36,DO121+DO122/36))</f>
        <v>0</v>
      </c>
      <c r="CM252" s="3608"/>
      <c r="CN252" s="747">
        <f>IF(K122="",0,IF($AL$10="nC-2V･2W",DN119,0))</f>
        <v>0</v>
      </c>
      <c r="CO252" s="747">
        <f>IF(OR(AS122="3C-2V",AS123="3C-2V",$AL$10&lt;&gt;"nC-2V･2W"),0,IF(AB121="Ｃ",12+CY252-($X$9-$AM$9)/1000+DO122/36,DO121+DO122/36))</f>
        <v>0</v>
      </c>
      <c r="CP252" s="3609">
        <f>IF(OR(K123="10C-2V",$AL$10&lt;&gt;"nC-2V･2W"),0,IF(AB121="Ｃ",2+(DB118+DC118)/2,F120+2))</f>
        <v>0</v>
      </c>
      <c r="CQ252" s="3609"/>
      <c r="CR252" s="3606">
        <f>IF(OR(K123="7C-2V",$AL$10&lt;&gt;"nC-2V･2W"),0,IF(AB121="Ｃ",2+(DB118+DC118)/2,F120+2))</f>
        <v>0</v>
      </c>
      <c r="CS252" s="3633"/>
      <c r="CT252" s="746"/>
      <c r="CU252" s="86">
        <f>IF(R252="",0,IF($X$11="1端子",BD253,BG253))</f>
        <v>6</v>
      </c>
      <c r="CV252" s="95">
        <f>IF(OR(LEFT(K123,2)="5C",LEFT(K123,2)="5D"),$CA$285*(F120+2)/100,IF(OR(LEFT(K123,2)="7C",LEFT(K123,2)="8D"),$CB$285*(F120+2)/100,IF(OR(LEFT(K123,2)="10C",LEFT(K123,2)="12D"),$CC$285*(F120+2)/100,0)))</f>
        <v>0</v>
      </c>
      <c r="CW252" s="107">
        <f>IF(AND(AB121&lt;&gt;"Ｃ",AG120&lt;&gt;""),2+11,IF(AND(AB121&lt;&gt;"Ｃ",AK120&lt;&gt;""),3+11,0))</f>
        <v>14</v>
      </c>
      <c r="CX252" s="107">
        <f>V252+Y252+AE252+AH252+AK252+AN252+AR252+AV252+AZ252+CU252</f>
        <v>35.843000000000004</v>
      </c>
      <c r="CY252" s="105">
        <f>IF(I120="直天",F120,I120)</f>
        <v>3</v>
      </c>
      <c r="CZ252" s="745"/>
      <c r="DA252" s="745"/>
      <c r="DB252" s="744"/>
      <c r="DC252" s="744"/>
      <c r="DD252" s="743"/>
      <c r="DE252" s="743"/>
      <c r="DF252" s="743"/>
      <c r="DG252" s="743"/>
      <c r="DH252" s="744"/>
      <c r="DI252" s="744"/>
      <c r="DJ252" s="743"/>
      <c r="DK252" s="743"/>
      <c r="DL252" s="743"/>
      <c r="DM252" s="743"/>
      <c r="DN252" s="743"/>
      <c r="DO252" s="743"/>
      <c r="DP252" s="744"/>
      <c r="DQ252" s="744"/>
      <c r="DR252" s="743"/>
      <c r="DS252" s="743"/>
      <c r="DT252" s="743"/>
      <c r="DU252" s="743"/>
      <c r="DV252" s="742"/>
    </row>
    <row r="253" spans="1:127" ht="11.25" customHeight="1">
      <c r="B253" s="23"/>
      <c r="C253" s="3661"/>
      <c r="D253" s="3662"/>
      <c r="E253" s="3663"/>
      <c r="F253" s="3616" t="str">
        <f>IF(Q115="","","方式不適")</f>
        <v/>
      </c>
      <c r="G253" s="3617"/>
      <c r="H253" s="3617"/>
      <c r="I253" s="3617"/>
      <c r="J253" s="3618"/>
      <c r="K253" s="3619" t="str">
        <f>IF(C252="","","Max.")</f>
        <v>Max.</v>
      </c>
      <c r="L253" s="3620"/>
      <c r="M253" s="3621"/>
      <c r="N253" s="3622" t="str">
        <f>IF(OR(C252="",AA120=""),"",$AG$15-14.5+40)</f>
        <v/>
      </c>
      <c r="O253" s="3512"/>
      <c r="P253" s="3512"/>
      <c r="Q253" s="3513"/>
      <c r="R253" s="3696">
        <f>IF(R252="","",R252)</f>
        <v>110</v>
      </c>
      <c r="S253" s="3625"/>
      <c r="T253" s="3625"/>
      <c r="U253" s="3697"/>
      <c r="V253" s="3624">
        <f>IF(C252="","",IF(AB121="Ｃ",11+(AG120-2)*2+11,IF(AG120="",0,AG120*11)))</f>
        <v>0</v>
      </c>
      <c r="W253" s="3625"/>
      <c r="X253" s="3626"/>
      <c r="Y253" s="3680"/>
      <c r="Z253" s="3681"/>
      <c r="AA253" s="3682"/>
      <c r="AB253" s="3686"/>
      <c r="AC253" s="3687"/>
      <c r="AD253" s="3688"/>
      <c r="AE253" s="3690"/>
      <c r="AF253" s="3681"/>
      <c r="AG253" s="3682"/>
      <c r="AH253" s="3680"/>
      <c r="AI253" s="3681"/>
      <c r="AJ253" s="3682"/>
      <c r="AK253" s="3680"/>
      <c r="AL253" s="3681"/>
      <c r="AM253" s="3692"/>
      <c r="AN253" s="3694">
        <f>IF(OR(C252="",C252="  RF",R252=""),"",IF($AL$10="nC-2V･2W",CL253*$CL$285/100,0))</f>
        <v>0</v>
      </c>
      <c r="AO253" s="3694"/>
      <c r="AP253" s="3694"/>
      <c r="AQ253" s="3695"/>
      <c r="AR253" s="3511">
        <f>IF(OR(C252="",C252="  RF",R252=""),"",IF($AL$10="nC-2V･2W",CO253*$CM$285/100,IF($AL$10="nC-FB",CA253*$CA$285/100,IF($AL$10="nD-FB",CG253*$CE$285/100,0))))</f>
        <v>7.8975</v>
      </c>
      <c r="AS253" s="3512"/>
      <c r="AT253" s="3512"/>
      <c r="AU253" s="3513"/>
      <c r="AV253" s="3511">
        <f>IF(OR(C252="",C252="  RF",R252=""),"",IF($AL$10="nC-2V･2W",CP253*$CN$285/100,IF($AL$10="nC-FB",CB253*$CB$285/100,IF($AL$10="nD-FB",CH253*$CF$285/100,0))))</f>
        <v>0.8580000000000001</v>
      </c>
      <c r="AW253" s="3512"/>
      <c r="AX253" s="3512"/>
      <c r="AY253" s="3513"/>
      <c r="AZ253" s="3511">
        <f>IF(OR(C252="",C252="  RF",R252=""),"",IF($AL$10="nC-2V･2W",CR253*$CO$285/100,IF($AL$10="nC-FB",CD253*$CC$285/100,IF($AL$10="nD-FB",CJ253*$CH$285/100,0))))</f>
        <v>0.504</v>
      </c>
      <c r="BA253" s="3512"/>
      <c r="BB253" s="3512"/>
      <c r="BC253" s="3514"/>
      <c r="BD253" s="3515">
        <f>IF(OR(C252="",C252="  RF",R252="",BD252=""),"",3+3)</f>
        <v>6</v>
      </c>
      <c r="BE253" s="3516"/>
      <c r="BF253" s="3516"/>
      <c r="BG253" s="3516" t="str">
        <f>IF(OR(C252="",C252="  RF",R252="",BG252=""),"",3+5)</f>
        <v/>
      </c>
      <c r="BH253" s="3516"/>
      <c r="BI253" s="3623"/>
      <c r="BJ253" s="3622">
        <f>IF(OR(C252="",C252="  RF",R252="",BJ252=""),"",10)</f>
        <v>10</v>
      </c>
      <c r="BK253" s="3512"/>
      <c r="BL253" s="3513"/>
      <c r="BM253" s="3516" t="str">
        <f>IF(OR(C252="",C252="  RF",R252="",BM252=""),"",12)</f>
        <v/>
      </c>
      <c r="BN253" s="3516"/>
      <c r="BO253" s="3623"/>
      <c r="BP253" s="3645">
        <f>IF(BP252="","",IF(N253&lt;&gt;"",N253-CX253,IF(F252="","",R253-CX253)))</f>
        <v>67.740499999999997</v>
      </c>
      <c r="BQ253" s="3646"/>
      <c r="BR253" s="3646"/>
      <c r="BS253" s="3647" t="str">
        <f t="shared" si="138"/>
        <v>良</v>
      </c>
      <c r="BT253" s="3648"/>
      <c r="BU253" s="3590"/>
      <c r="BV253" s="82"/>
      <c r="BW253" s="82"/>
      <c r="BX253" s="3649" t="s">
        <v>498</v>
      </c>
      <c r="BY253" s="3650"/>
      <c r="BZ253" s="741">
        <f>IF(K122="",0,IF($AL$10="nC-FB",DN119,0))</f>
        <v>0</v>
      </c>
      <c r="CA253" s="740">
        <f>IF($AL$10&lt;&gt;"nC-FB",0,IF(AB121="Ｃ",12+CY252-($X$9-$AM$9)/1000+DO122/36,12+DO121+DO122/36))</f>
        <v>40.5</v>
      </c>
      <c r="CB253" s="3612">
        <f>IF(OR(K123="10C-FB",$AL$10&lt;&gt;"nC-FB",AB121=""),0,IF(AB121="Ｃ",2.5*AG120+(DB118+DC118)/2,F120+2))</f>
        <v>6</v>
      </c>
      <c r="CC253" s="3613"/>
      <c r="CD253" s="3640">
        <f>IF(OR(K123="7C-FB",$AL$10&lt;&gt;"nC-FB",AB121=""),0,IF(AB121="Ｃ",2.5*AG120+(DB118+DC118)/2,F120+2))</f>
        <v>6</v>
      </c>
      <c r="CE253" s="3641"/>
      <c r="CF253" s="750">
        <f>IF(K122="",0,IF($AL$10="nD-FB",DN119,0))</f>
        <v>0</v>
      </c>
      <c r="CG253" s="749">
        <f>IF($AL$10&lt;&gt;"nD-FB",0,IF(AB121="Ｃ",12+CY252-($X$9-$AM$9)/1000+DO122/36,IF(AB121="Ｂ",12+DO121+DO122/36)))</f>
        <v>0</v>
      </c>
      <c r="CH253" s="3651">
        <f>IF(OR(K123="12D-FB",$AL$10&lt;&gt;"nD-FB"),0,IF(AB121="Ｃ",2.5*AG120+(DB118+DC118)/2,F120+2))</f>
        <v>0</v>
      </c>
      <c r="CI253" s="3652"/>
      <c r="CJ253" s="3653">
        <f>IF(OR(K123="8D-FB",$AL$10&lt;&gt;"nD-FB"),0,IF(AB121="Ｃ",2.5*AG120+(DB118+DC118)/2,F120+2))</f>
        <v>0</v>
      </c>
      <c r="CK253" s="3654"/>
      <c r="CL253" s="3653">
        <f>IF(OR(AS122="5C-2V",AS123="5C-2V",$AL$10&lt;&gt;"nC-2V･2W"),0,IF(AB121="Ｃ",12+CY252-($X$9-$AM$9)/1000+DO122/36,DO121+DO122/36))</f>
        <v>0</v>
      </c>
      <c r="CM253" s="3655"/>
      <c r="CN253" s="749">
        <f>IF(K122="",0,IF($AL$10="nC-2V･2W",DN119,0))</f>
        <v>0</v>
      </c>
      <c r="CO253" s="749">
        <f>IF(OR(AS122="3C-2V",AS123="3C-2V",$AL$10&lt;&gt;"nC-2V･2W"),0,IF(AB121="Ｃ",12+CY252-($X$9-$AM$9)/1000+DO122/36,DO121+DO122/36))</f>
        <v>0</v>
      </c>
      <c r="CP253" s="3656">
        <f>IF(OR(K123="10C-2V",$AL$10&lt;&gt;"nC-2V･2W"),0,IF(AB121="Ｃ",2.5*AG120+(DB118+DC118)/2,F120+2))</f>
        <v>0</v>
      </c>
      <c r="CQ253" s="3656"/>
      <c r="CR253" s="3653">
        <f>IF(OR(K123="7C-2V",$AL$10&lt;&gt;"nC-2V･2W"),0,IF(AB121="Ｃ",2.5*AG120+(DB118+DC118)/2,F120+2))</f>
        <v>0</v>
      </c>
      <c r="CS253" s="3657"/>
      <c r="CT253" s="14"/>
      <c r="CU253" s="86">
        <f>IF(R252="",0,IF($X$11="1端子",BJ253,BM253))</f>
        <v>10</v>
      </c>
      <c r="CV253" s="487"/>
      <c r="CW253" s="710"/>
      <c r="CX253" s="98">
        <f>V253+Y252+AE252+AH252+AK252+AN253+AR253+AV253+AZ253+CU253</f>
        <v>42.259500000000003</v>
      </c>
      <c r="CY253" s="738"/>
      <c r="CZ253" s="737"/>
      <c r="DA253" s="737"/>
      <c r="DB253" s="736"/>
      <c r="DC253" s="736"/>
      <c r="DD253" s="735"/>
      <c r="DE253" s="735"/>
      <c r="DF253" s="735"/>
      <c r="DG253" s="735"/>
      <c r="DH253" s="736"/>
      <c r="DI253" s="736"/>
      <c r="DJ253" s="735"/>
      <c r="DK253" s="735"/>
      <c r="DL253" s="735"/>
      <c r="DM253" s="735"/>
      <c r="DN253" s="735"/>
      <c r="DO253" s="735"/>
      <c r="DP253" s="736"/>
      <c r="DQ253" s="736"/>
      <c r="DR253" s="735"/>
      <c r="DS253" s="735"/>
      <c r="DT253" s="735"/>
      <c r="DU253" s="735"/>
      <c r="DV253" s="734"/>
    </row>
    <row r="254" spans="1:127" ht="11.25" customHeight="1">
      <c r="A254" s="8">
        <v>12</v>
      </c>
      <c r="B254" s="23"/>
      <c r="C254" s="3658" t="str">
        <f>IF(OR($B$2=0,$H$15="ＣＡＴＶ"),"",C129)</f>
        <v xml:space="preserve"> 10F</v>
      </c>
      <c r="D254" s="3659"/>
      <c r="E254" s="3660"/>
      <c r="F254" s="3664" t="str">
        <f>IF(I254&lt;&gt;"",I254,AB130)</f>
        <v>Ｂ</v>
      </c>
      <c r="G254" s="3665"/>
      <c r="H254" s="91" t="s">
        <v>68</v>
      </c>
      <c r="I254" s="3666"/>
      <c r="J254" s="3667"/>
      <c r="K254" s="3668" t="str">
        <f>IF(C254="","","Min.")</f>
        <v>Min.</v>
      </c>
      <c r="L254" s="3669"/>
      <c r="M254" s="3670"/>
      <c r="N254" s="3603" t="str">
        <f>IF(OR(C254="",AA129=""),"",$AG$15-14.7+40)</f>
        <v/>
      </c>
      <c r="O254" s="3597"/>
      <c r="P254" s="3597"/>
      <c r="Q254" s="3598"/>
      <c r="R254" s="3671">
        <f>IF(AND(AT23="設置",N254=""),AD128,"")</f>
        <v>110</v>
      </c>
      <c r="S254" s="3672"/>
      <c r="T254" s="3672"/>
      <c r="U254" s="3673"/>
      <c r="V254" s="3674">
        <f>IF(C254="","",IF(AB130="Ｃ",11+(AG129-2)+11,IF(AG129="",0,AG129*11)))</f>
        <v>0</v>
      </c>
      <c r="W254" s="3675"/>
      <c r="X254" s="3676"/>
      <c r="Y254" s="3677">
        <f>IF(C254="","",IF(AK129="",0,AK129*11))</f>
        <v>11</v>
      </c>
      <c r="Z254" s="3678"/>
      <c r="AA254" s="3679"/>
      <c r="AB254" s="3683">
        <f>IF(OR(C254="",C254="  RF"),"",IF(AO129="",0,AO129*11))</f>
        <v>0</v>
      </c>
      <c r="AC254" s="3684"/>
      <c r="AD254" s="3685"/>
      <c r="AE254" s="3689">
        <f>IF(C254="","",IF(AS129="",0,4))</f>
        <v>0</v>
      </c>
      <c r="AF254" s="3678"/>
      <c r="AG254" s="3679"/>
      <c r="AH254" s="3677">
        <f>IF(C254="","",IF(AW129="",0,8))</f>
        <v>0</v>
      </c>
      <c r="AI254" s="3678"/>
      <c r="AJ254" s="3679"/>
      <c r="AK254" s="3677">
        <f>IF(C254="","",IF(BA129="",0,12))</f>
        <v>12</v>
      </c>
      <c r="AL254" s="3678"/>
      <c r="AM254" s="3691"/>
      <c r="AN254" s="3693">
        <f>IF(OR(C254="",C254="  RF",R254=""),"",IF($AL$10="nC-2V･2W",CL254*$CL$283/100,0))</f>
        <v>0</v>
      </c>
      <c r="AO254" s="3693"/>
      <c r="AP254" s="3693"/>
      <c r="AQ254" s="3600"/>
      <c r="AR254" s="3596">
        <f>IF(OR(C254="",C254="  RF",R254=""),"",IF($AL$10="nC-2V･2W",CO254*$CM$283/100,IF($AL$10="nC-FB",CA254*$CA$283/100,IF($AL$10="nD-FB",CG254*$CE$283/100,0))))</f>
        <v>5.8109999999999999</v>
      </c>
      <c r="AS254" s="3597"/>
      <c r="AT254" s="3597"/>
      <c r="AU254" s="3598"/>
      <c r="AV254" s="3596">
        <f>IF(OR(C254="",C254="  RF",R254=""),"",IF($AL$10="nC-2V･2W",CP254*$CN$283/100,IF($AL$10="nC-FB",CB254*$CB$283/100,IF($AL$10="nD-FB",CH254*$CF$283/100,0))))</f>
        <v>0.64800000000000013</v>
      </c>
      <c r="AW254" s="3597"/>
      <c r="AX254" s="3597"/>
      <c r="AY254" s="3598"/>
      <c r="AZ254" s="3596">
        <f>IF(OR(C254="",C254="  RF",R254=""),"",IF($AL$10="nC-2V･2W",CR254*$CO$283/100,IF($AL$10="nC-FB",CD254*$CC$283/100,IF($AL$10="nD-FB",CJ254*$CH$283/100,0))))</f>
        <v>0.38400000000000006</v>
      </c>
      <c r="BA254" s="3597"/>
      <c r="BB254" s="3597"/>
      <c r="BC254" s="3599"/>
      <c r="BD254" s="3600" t="str">
        <f>IF(OR(C254="  RF",R254="",$X$11="2端子"),"","1端子")</f>
        <v>1端子</v>
      </c>
      <c r="BE254" s="3601"/>
      <c r="BF254" s="3601"/>
      <c r="BG254" s="3601" t="str">
        <f>IF(OR(C254="  RF",R254="",$X$11="1端子"),"","2端子")</f>
        <v/>
      </c>
      <c r="BH254" s="3601"/>
      <c r="BI254" s="3602"/>
      <c r="BJ254" s="3603" t="str">
        <f>IF(OR(C254="  RF",R254="",$X$11="2端子"),"","1端子")</f>
        <v>1端子</v>
      </c>
      <c r="BK254" s="3597"/>
      <c r="BL254" s="3598"/>
      <c r="BM254" s="3601" t="str">
        <f>IF(OR(C254="  RF",R254="",$X$11="1端子"),"","2端子")</f>
        <v/>
      </c>
      <c r="BN254" s="3601"/>
      <c r="BO254" s="3602"/>
      <c r="BP254" s="3634">
        <f>IF(OR(AK28="不要",F255="方式不適",R254=""),"",IF(N254&lt;&gt;"",N254-CX254,IF(F254="","",R254-CX254)))</f>
        <v>74.156999999999996</v>
      </c>
      <c r="BQ254" s="3635"/>
      <c r="BR254" s="3635"/>
      <c r="BS254" s="3636" t="str">
        <f t="shared" si="138"/>
        <v>良</v>
      </c>
      <c r="BT254" s="3637"/>
      <c r="BU254" s="3590"/>
      <c r="BV254" s="82"/>
      <c r="BW254" s="82">
        <v>126</v>
      </c>
      <c r="BX254" s="3638" t="s">
        <v>1040</v>
      </c>
      <c r="BY254" s="3639"/>
      <c r="BZ254" s="748">
        <f>IF(K131="",0,IF($AL$10="nC-FB",DN128,0))</f>
        <v>0</v>
      </c>
      <c r="CA254" s="747">
        <f>IF($AL$10&lt;&gt;"nC-FB",0,IF(AB130="Ｃ",12+CY254-($X$9-$AM$9)/1000,12+DO130))</f>
        <v>39</v>
      </c>
      <c r="CB254" s="3604">
        <f>IF(OR(K132="10C-FB",$AL$10&lt;&gt;"nC-FB",AB130=""),0,IF(AB130="Ｃ",2+(DB127+DC127)/2,F129+2))</f>
        <v>6</v>
      </c>
      <c r="CC254" s="3605"/>
      <c r="CD254" s="3594">
        <f>IF(OR(K132="7C-FB",$AL$10&lt;&gt;"nC-FB",AB130=""),0,IF(AB130="Ｃ",2+(DB127+DC127)/2,F129+2))</f>
        <v>6</v>
      </c>
      <c r="CE254" s="3595"/>
      <c r="CF254" s="748">
        <f>IF(K131="",0,IF($AL$10="nD-FB",DN128,0))</f>
        <v>0</v>
      </c>
      <c r="CG254" s="747">
        <f>IF($AL$10&lt;&gt;"nD-FB",0,IF(AB130="Ｃ",12+CY254-($X$9-$AM$9)/1000+DO131/36,DO130+DO131/36))</f>
        <v>0</v>
      </c>
      <c r="CH254" s="3604">
        <f>IF(OR(K132="12D-FB",$AL$10&lt;&gt;"nD-FB"),0,IF(AB130="Ｃ",2+(DB127+DC127)/2,F129+2))</f>
        <v>0</v>
      </c>
      <c r="CI254" s="3605"/>
      <c r="CJ254" s="3606">
        <f>IF(OR(K132="8D-FB",$AL$10&lt;&gt;"nD-FB"),0,IF(AB130="Ｃ",2+(DB127+DC127)/2,F129+2))</f>
        <v>0</v>
      </c>
      <c r="CK254" s="3607"/>
      <c r="CL254" s="3606">
        <f>IF(OR(AS131="5C-2V",AS132="5C-2V",$AL$10&lt;&gt;"nC-2V･2W"),0,IF(AB130="Ｃ",12+CY254-($X$9-$AM$9)/1000+DO131/36,DO130+DO131/36))</f>
        <v>0</v>
      </c>
      <c r="CM254" s="3608"/>
      <c r="CN254" s="747">
        <f>IF(K131="",0,IF($AL$10="nC-2V･2W",DN128,0))</f>
        <v>0</v>
      </c>
      <c r="CO254" s="747">
        <f>IF(OR(AS131="3C-2V",AS132="3C-2V",$AL$10&lt;&gt;"nC-2V･2W"),0,IF(AB130="Ｃ",12+CY254-($X$9-$AM$9)/1000+DO131/36,DO130+DO131/36))</f>
        <v>0</v>
      </c>
      <c r="CP254" s="3609">
        <f>IF(OR(K132="10C-2V",$AL$10&lt;&gt;"nC-2V･2W"),0,IF(AB130="Ｃ",2+(DB127+DC127)/2,F129+2))</f>
        <v>0</v>
      </c>
      <c r="CQ254" s="3609"/>
      <c r="CR254" s="3606">
        <f>IF(OR(K132="7C-2V",$AL$10&lt;&gt;"nC-2V･2W"),0,IF(AB130="Ｃ",2+(DB127+DC127)/2,F129+2))</f>
        <v>0</v>
      </c>
      <c r="CS254" s="3633"/>
      <c r="CT254" s="746"/>
      <c r="CU254" s="86">
        <f>IF(R254="",0,IF($X$11="1端子",BD255,BG255))</f>
        <v>6</v>
      </c>
      <c r="CV254" s="95">
        <f>IF(OR(LEFT(K132,2)="5C",LEFT(K132,2)="5D"),$CA$285*(F129+2)/100,IF(OR(LEFT(K132,2)="7C",LEFT(K132,2)="8D"),$CB$285*(F129+2)/100,IF(OR(LEFT(K132,2)="10C",LEFT(K132,2)="12D"),$CC$285*(F129+2)/100,0)))</f>
        <v>0</v>
      </c>
      <c r="CW254" s="107">
        <f>IF(AND(AB130&lt;&gt;"Ｃ",AG129&lt;&gt;""),2+11,IF(AND(AB130&lt;&gt;"Ｃ",AK129&lt;&gt;""),3+11,0))</f>
        <v>14</v>
      </c>
      <c r="CX254" s="107">
        <f>V254+Y254+AE254+AH254+AK254+AN254+AR254+AV254+AZ254+CU254</f>
        <v>35.843000000000004</v>
      </c>
      <c r="CY254" s="105">
        <f>IF(I129="直天",F129,I129)</f>
        <v>3</v>
      </c>
      <c r="CZ254" s="745"/>
      <c r="DA254" s="745"/>
      <c r="DB254" s="744"/>
      <c r="DC254" s="744"/>
      <c r="DD254" s="743"/>
      <c r="DE254" s="743"/>
      <c r="DF254" s="743"/>
      <c r="DG254" s="743"/>
      <c r="DH254" s="744"/>
      <c r="DI254" s="744"/>
      <c r="DJ254" s="743"/>
      <c r="DK254" s="743"/>
      <c r="DL254" s="743"/>
      <c r="DM254" s="743"/>
      <c r="DN254" s="743"/>
      <c r="DO254" s="743"/>
      <c r="DP254" s="744"/>
      <c r="DQ254" s="744"/>
      <c r="DR254" s="743"/>
      <c r="DS254" s="743"/>
      <c r="DT254" s="743"/>
      <c r="DU254" s="743"/>
      <c r="DV254" s="742"/>
    </row>
    <row r="255" spans="1:127" ht="11.25" customHeight="1">
      <c r="B255" s="23"/>
      <c r="C255" s="3661"/>
      <c r="D255" s="3662"/>
      <c r="E255" s="3663"/>
      <c r="F255" s="3616" t="str">
        <f>IF(Q124="","","方式不適")</f>
        <v/>
      </c>
      <c r="G255" s="3617"/>
      <c r="H255" s="3617"/>
      <c r="I255" s="3617"/>
      <c r="J255" s="3618"/>
      <c r="K255" s="3619" t="str">
        <f>IF(C254="","","Max.")</f>
        <v>Max.</v>
      </c>
      <c r="L255" s="3620"/>
      <c r="M255" s="3621"/>
      <c r="N255" s="3622" t="str">
        <f>IF(OR(C254="",AA129=""),"",$AG$15-14.5+40)</f>
        <v/>
      </c>
      <c r="O255" s="3512"/>
      <c r="P255" s="3512"/>
      <c r="Q255" s="3513"/>
      <c r="R255" s="3516">
        <f>IF(R254="","",R254)</f>
        <v>110</v>
      </c>
      <c r="S255" s="3516"/>
      <c r="T255" s="3516"/>
      <c r="U255" s="3623"/>
      <c r="V255" s="3624">
        <f>IF(C254="","",IF(AB130="Ｃ",11+(AG129-2)*2+11,IF(AG129="",0,AG129*11)))</f>
        <v>0</v>
      </c>
      <c r="W255" s="3625"/>
      <c r="X255" s="3626"/>
      <c r="Y255" s="3680"/>
      <c r="Z255" s="3681"/>
      <c r="AA255" s="3682"/>
      <c r="AB255" s="3686"/>
      <c r="AC255" s="3687"/>
      <c r="AD255" s="3688"/>
      <c r="AE255" s="3690"/>
      <c r="AF255" s="3681"/>
      <c r="AG255" s="3682"/>
      <c r="AH255" s="3680"/>
      <c r="AI255" s="3681"/>
      <c r="AJ255" s="3682"/>
      <c r="AK255" s="3680"/>
      <c r="AL255" s="3681"/>
      <c r="AM255" s="3692"/>
      <c r="AN255" s="3694">
        <f>IF(OR(C254="",C254="  RF",R254=""),"",IF($AL$10="nC-2V･2W",CL255*$CL$285/100,0))</f>
        <v>0</v>
      </c>
      <c r="AO255" s="3694"/>
      <c r="AP255" s="3694"/>
      <c r="AQ255" s="3695"/>
      <c r="AR255" s="3511">
        <f>IF(OR(C254="",C254="  RF",R254=""),"",IF($AL$10="nC-2V･2W",CO255*$CM$285/100,IF($AL$10="nC-FB",CA255*$CA$285/100,IF($AL$10="nD-FB",CG255*$CE$285/100,0))))</f>
        <v>7.8975</v>
      </c>
      <c r="AS255" s="3512"/>
      <c r="AT255" s="3512"/>
      <c r="AU255" s="3513"/>
      <c r="AV255" s="3511">
        <f>IF(OR(C254="",C254="  RF",R254=""),"",IF($AL$10="nC-2V･2W",CP255*$CN$285/100,IF($AL$10="nC-FB",CB255*$CB$285/100,IF($AL$10="nD-FB",CH255*$CF$285/100,0))))</f>
        <v>0.8580000000000001</v>
      </c>
      <c r="AW255" s="3512"/>
      <c r="AX255" s="3512"/>
      <c r="AY255" s="3513"/>
      <c r="AZ255" s="3511">
        <f>IF(OR(C254="",C254="  RF",R254=""),"",IF($AL$10="nC-2V･2W",CR255*$CO$285/100,IF($AL$10="nC-FB",CD255*$CC$285/100,IF($AL$10="nD-FB",CJ255*$CH$285/100,0))))</f>
        <v>0.504</v>
      </c>
      <c r="BA255" s="3512"/>
      <c r="BB255" s="3512"/>
      <c r="BC255" s="3514"/>
      <c r="BD255" s="3515">
        <f>IF(OR(C254="",C254="  RF",R254="",BD254=""),"",3+3)</f>
        <v>6</v>
      </c>
      <c r="BE255" s="3516"/>
      <c r="BF255" s="3516"/>
      <c r="BG255" s="3516" t="str">
        <f>IF(OR(C254="",C254="  RF",R254="",BG254=""),"",3+5)</f>
        <v/>
      </c>
      <c r="BH255" s="3516"/>
      <c r="BI255" s="3623"/>
      <c r="BJ255" s="3622">
        <f>IF(OR(C254="",C254="  RF",R254="",BJ254=""),"",10)</f>
        <v>10</v>
      </c>
      <c r="BK255" s="3512"/>
      <c r="BL255" s="3513"/>
      <c r="BM255" s="3516" t="str">
        <f>IF(OR(C254="",C254="  RF",R254="",BM254=""),"",12)</f>
        <v/>
      </c>
      <c r="BN255" s="3516"/>
      <c r="BO255" s="3623"/>
      <c r="BP255" s="3645">
        <f>IF(BP254="","",IF(N255&lt;&gt;"",N255-CX255,IF(F254="","",R255-CX255)))</f>
        <v>67.740499999999997</v>
      </c>
      <c r="BQ255" s="3646"/>
      <c r="BR255" s="3646"/>
      <c r="BS255" s="3647" t="str">
        <f t="shared" si="138"/>
        <v>良</v>
      </c>
      <c r="BT255" s="3648"/>
      <c r="BU255" s="3590"/>
      <c r="BV255" s="82"/>
      <c r="BW255" s="82"/>
      <c r="BX255" s="3649" t="s">
        <v>498</v>
      </c>
      <c r="BY255" s="3650"/>
      <c r="BZ255" s="741">
        <f>IF(K131="",0,IF($AL$10="nC-FB",DN128,0))</f>
        <v>0</v>
      </c>
      <c r="CA255" s="740">
        <f>IF($AL$10&lt;&gt;"nC-FB",0,IF(AB130="Ｃ",12+CY254-($X$9-$AM$9)/1000+DO131/36,12+DO130+DO131/36))</f>
        <v>40.5</v>
      </c>
      <c r="CB255" s="3612">
        <f>IF(OR(K132="10C-FB",$AL$10&lt;&gt;"nC-FB",AB130=""),0,IF(AB130="Ｃ",2.5*AG129+(DB127+DC127)/2,F129+2))</f>
        <v>6</v>
      </c>
      <c r="CC255" s="3613"/>
      <c r="CD255" s="3640">
        <f>IF(OR(K132="7C-FB",$AL$10&lt;&gt;"nC-FB",AB130=""),0,IF(AB130="Ｃ",2.5*AG129+(DB127+DC127)/2,F129+2))</f>
        <v>6</v>
      </c>
      <c r="CE255" s="3641"/>
      <c r="CF255" s="750">
        <f>IF(K131="",0,IF($AL$10="nD-FB",DN128,0))</f>
        <v>0</v>
      </c>
      <c r="CG255" s="749">
        <f>IF($AL$10&lt;&gt;"nD-FB",0,IF(AB130="Ｃ",12+CY254-($X$9-$AM$9)/1000+DO131/36,IF(AB130="Ｂ",12+DO130+DO131/36)))</f>
        <v>0</v>
      </c>
      <c r="CH255" s="3651">
        <f>IF(OR(K132="12D-FB",$AL$10&lt;&gt;"nD-FB"),0,IF(AB130="Ｃ",2.5*AG129+(DB127+DC127)/2,F129+2))</f>
        <v>0</v>
      </c>
      <c r="CI255" s="3652"/>
      <c r="CJ255" s="3653">
        <f>IF(OR(K132="8D-FB",$AL$10&lt;&gt;"nD-FB"),0,IF(AB130="Ｃ",2.5*AG129+(DB127+DC127)/2,F129+2))</f>
        <v>0</v>
      </c>
      <c r="CK255" s="3654"/>
      <c r="CL255" s="3653">
        <f>IF(OR(AS131="5C-2V",AS132="5C-2V",$AL$10&lt;&gt;"nC-2V･2W"),0,IF(AB130="Ｃ",12+CY254-($X$9-$AM$9)/1000+DO131/36,DO130+DO131/36))</f>
        <v>0</v>
      </c>
      <c r="CM255" s="3655"/>
      <c r="CN255" s="749">
        <f>IF(K131="",0,IF($AL$10="nC-2V･2W",DN128,0))</f>
        <v>0</v>
      </c>
      <c r="CO255" s="749">
        <f>IF(OR(AS131="3C-2V",AS132="3C-2V",$AL$10&lt;&gt;"nC-2V･2W"),0,IF(AB130="Ｃ",12+CY254-($X$9-$AM$9)/1000+DO131/36,DO130+DO131/36))</f>
        <v>0</v>
      </c>
      <c r="CP255" s="3656">
        <f>IF(OR(K132="10C-2V",$AL$10&lt;&gt;"nC-2V･2W"),0,IF(AB130="Ｃ",2.5*AG129+(DB127+DC127)/2,F129+2))</f>
        <v>0</v>
      </c>
      <c r="CQ255" s="3656"/>
      <c r="CR255" s="3653">
        <f>IF(OR(K132="7C-2V",$AL$10&lt;&gt;"nC-2V･2W"),0,IF(AB130="Ｃ",2.5*AG129+(DB127+DC127)/2,F129+2))</f>
        <v>0</v>
      </c>
      <c r="CS255" s="3657"/>
      <c r="CT255" s="14"/>
      <c r="CU255" s="86">
        <f>IF(R254="",0,IF($X$11="1端子",BJ255,BM255))</f>
        <v>10</v>
      </c>
      <c r="CV255" s="487"/>
      <c r="CW255" s="710"/>
      <c r="CX255" s="98">
        <f>V255+Y254+AE254+AH254+AK254+AN255+AR255+AV255+AZ255+CU255</f>
        <v>42.259500000000003</v>
      </c>
      <c r="CY255" s="738"/>
      <c r="CZ255" s="737"/>
      <c r="DA255" s="737"/>
      <c r="DB255" s="736"/>
      <c r="DC255" s="736"/>
      <c r="DD255" s="735"/>
      <c r="DE255" s="735"/>
      <c r="DF255" s="735"/>
      <c r="DG255" s="735"/>
      <c r="DH255" s="736"/>
      <c r="DI255" s="736"/>
      <c r="DJ255" s="735"/>
      <c r="DK255" s="735"/>
      <c r="DL255" s="735"/>
      <c r="DM255" s="735"/>
      <c r="DN255" s="735"/>
      <c r="DO255" s="735"/>
      <c r="DP255" s="736"/>
      <c r="DQ255" s="736"/>
      <c r="DR255" s="735"/>
      <c r="DS255" s="735"/>
      <c r="DT255" s="735"/>
      <c r="DU255" s="735"/>
      <c r="DV255" s="734"/>
    </row>
    <row r="256" spans="1:127" ht="11.25" customHeight="1">
      <c r="A256" s="8">
        <v>13</v>
      </c>
      <c r="B256" s="23"/>
      <c r="C256" s="3658" t="str">
        <f>IF(OR($B$2=0,$H$15="ＣＡＴＶ"),"",C138)</f>
        <v xml:space="preserve"> 11F</v>
      </c>
      <c r="D256" s="3659"/>
      <c r="E256" s="3660"/>
      <c r="F256" s="3664" t="str">
        <f>IF(I256&lt;&gt;"",I256,AB139)</f>
        <v>Ｂ</v>
      </c>
      <c r="G256" s="3665"/>
      <c r="H256" s="91" t="s">
        <v>68</v>
      </c>
      <c r="I256" s="3666"/>
      <c r="J256" s="3667"/>
      <c r="K256" s="3668" t="str">
        <f>IF(C256="","","Min.")</f>
        <v>Min.</v>
      </c>
      <c r="L256" s="3669"/>
      <c r="M256" s="3670"/>
      <c r="N256" s="3603" t="str">
        <f>IF(OR(C256="",AA138=""),"",$AG$15-14.7+40)</f>
        <v/>
      </c>
      <c r="O256" s="3597"/>
      <c r="P256" s="3597"/>
      <c r="Q256" s="3598"/>
      <c r="R256" s="3671">
        <f>IF(AND(AW23="設置",N256=""),AD137,"")</f>
        <v>110</v>
      </c>
      <c r="S256" s="3672"/>
      <c r="T256" s="3672"/>
      <c r="U256" s="3673"/>
      <c r="V256" s="3674">
        <f>IF(C256="","",IF(AB139="Ｃ",11+(AG138-2)+11,IF(AG138="",0,AG138*11)))</f>
        <v>0</v>
      </c>
      <c r="W256" s="3675"/>
      <c r="X256" s="3676"/>
      <c r="Y256" s="3677">
        <f>IF(C256="","",IF(AK138="",0,AK138*11))</f>
        <v>11</v>
      </c>
      <c r="Z256" s="3678"/>
      <c r="AA256" s="3679"/>
      <c r="AB256" s="3683">
        <f>IF(OR(C256="",C256="  RF"),"",IF(AO138="",0,AO138*11))</f>
        <v>0</v>
      </c>
      <c r="AC256" s="3684"/>
      <c r="AD256" s="3685"/>
      <c r="AE256" s="3689">
        <f>IF(C256="","",IF(AS138="",0,4))</f>
        <v>0</v>
      </c>
      <c r="AF256" s="3678"/>
      <c r="AG256" s="3679"/>
      <c r="AH256" s="3677">
        <f>IF(C256="","",IF(AW138="",0,8))</f>
        <v>0</v>
      </c>
      <c r="AI256" s="3678"/>
      <c r="AJ256" s="3679"/>
      <c r="AK256" s="3677">
        <f>IF(C256="","",IF(BA138="",0,12))</f>
        <v>12</v>
      </c>
      <c r="AL256" s="3678"/>
      <c r="AM256" s="3691"/>
      <c r="AN256" s="3693">
        <f>IF(OR(C256="",C256="  RF",R256=""),"",IF($AL$10="nC-2V･2W",CL256*$CL$283/100,0))</f>
        <v>0</v>
      </c>
      <c r="AO256" s="3693"/>
      <c r="AP256" s="3693"/>
      <c r="AQ256" s="3600"/>
      <c r="AR256" s="3596">
        <f>IF(OR(C256="",C256="  RF",R256=""),"",IF($AL$10="nC-2V･2W",CO256*$CM$283/100,IF($AL$10="nC-FB",CA256*$CA$283/100,IF($AL$10="nD-FB",CG256*$CE$283/100,0))))</f>
        <v>5.8109999999999999</v>
      </c>
      <c r="AS256" s="3597"/>
      <c r="AT256" s="3597"/>
      <c r="AU256" s="3598"/>
      <c r="AV256" s="3596">
        <f>IF(OR(C256="",C256="  RF",R256=""),"",IF($AL$10="nC-2V･2W",CP256*$CN$283/100,IF($AL$10="nC-FB",CB256*$CB$283/100,IF($AL$10="nD-FB",CH256*$CF$283/100,0))))</f>
        <v>0.64800000000000013</v>
      </c>
      <c r="AW256" s="3597"/>
      <c r="AX256" s="3597"/>
      <c r="AY256" s="3598"/>
      <c r="AZ256" s="3596">
        <f>IF(OR(C256="",C256="  RF",R256=""),"",IF($AL$10="nC-2V･2W",CR256*$CO$283/100,IF($AL$10="nC-FB",CD256*$CC$283/100,IF($AL$10="nD-FB",CJ256*$CH$283/100,0))))</f>
        <v>0.38400000000000006</v>
      </c>
      <c r="BA256" s="3597"/>
      <c r="BB256" s="3597"/>
      <c r="BC256" s="3599"/>
      <c r="BD256" s="3600" t="str">
        <f>IF(OR(C256="  RF",R256="",$X$11="2端子"),"","1端子")</f>
        <v>1端子</v>
      </c>
      <c r="BE256" s="3601"/>
      <c r="BF256" s="3601"/>
      <c r="BG256" s="3601" t="str">
        <f>IF(OR(C256="  RF",R256="",$X$11="1端子"),"","2端子")</f>
        <v/>
      </c>
      <c r="BH256" s="3601"/>
      <c r="BI256" s="3602"/>
      <c r="BJ256" s="3603" t="str">
        <f>IF(OR(C256="  RF",R256="",$X$11="2端子"),"","1端子")</f>
        <v>1端子</v>
      </c>
      <c r="BK256" s="3597"/>
      <c r="BL256" s="3598"/>
      <c r="BM256" s="3601" t="str">
        <f>IF(OR(C256="  RF",R256="",$X$11="1端子"),"","2端子")</f>
        <v/>
      </c>
      <c r="BN256" s="3601"/>
      <c r="BO256" s="3602"/>
      <c r="BP256" s="3634">
        <f>IF(OR(AK30="不要",F257="方式不適",R256=""),"",IF(N256&lt;&gt;"",N256-CX256,IF(F256="","",R256-CX256)))</f>
        <v>74.156999999999996</v>
      </c>
      <c r="BQ256" s="3635"/>
      <c r="BR256" s="3635"/>
      <c r="BS256" s="3636" t="str">
        <f t="shared" si="138"/>
        <v>良</v>
      </c>
      <c r="BT256" s="3637"/>
      <c r="BU256" s="3590"/>
      <c r="BV256" s="82"/>
      <c r="BW256" s="82">
        <v>135</v>
      </c>
      <c r="BX256" s="3638" t="s">
        <v>1040</v>
      </c>
      <c r="BY256" s="3639"/>
      <c r="BZ256" s="748">
        <f>IF(K140="",0,IF($AL$10="nC-FB",DN137,0))</f>
        <v>0</v>
      </c>
      <c r="CA256" s="747">
        <f>IF($AL$10&lt;&gt;"nC-FB",0,IF(AB139="Ｃ",12+CY256-($X$9-$AM$9)/1000,12+DO139))</f>
        <v>39</v>
      </c>
      <c r="CB256" s="3604">
        <f>IF(OR(K141="10C-FB",$AL$10&lt;&gt;"nC-FB",AB139=""),0,IF(AB139="Ｃ",2+(DB136+DC136)/2,F138+2))</f>
        <v>6</v>
      </c>
      <c r="CC256" s="3605"/>
      <c r="CD256" s="3594">
        <f>IF(OR(K141="7C-FB",$AL$10&lt;&gt;"nC-FB",AB139=""),0,IF(AB139="Ｃ",2+(DB136+DC136)/2,F138+2))</f>
        <v>6</v>
      </c>
      <c r="CE256" s="3595"/>
      <c r="CF256" s="748">
        <f>IF(K140="",0,IF($AL$10="nD-FB",DN137,0))</f>
        <v>0</v>
      </c>
      <c r="CG256" s="747">
        <f>IF($AL$10&lt;&gt;"nD-FB",0,IF(AB139="Ｃ",12+CY256-($X$9-$AM$9)/1000+DO140/36,DO139+DO140/36))</f>
        <v>0</v>
      </c>
      <c r="CH256" s="3604">
        <f>IF(OR(K141="12D-FB",$AL$10&lt;&gt;"nD-FB"),0,IF(AB139="Ｃ",2+(DB136+DC136)/2,F138+2))</f>
        <v>0</v>
      </c>
      <c r="CI256" s="3605"/>
      <c r="CJ256" s="3606">
        <f>IF(OR(K141="8D-FB",$AL$10&lt;&gt;"nD-FB"),0,IF(AB139="Ｃ",2+(DB136+DC136)/2,F138+2))</f>
        <v>0</v>
      </c>
      <c r="CK256" s="3607"/>
      <c r="CL256" s="3606">
        <f>IF(OR(AS140="5C-2V",AS141="5C-2V",$AL$10&lt;&gt;"nC-2V･2W"),0,IF(AB139="Ｃ",12+CY256-($X$9-$AM$9)/1000+DO140/36,DO139+DO140/36))</f>
        <v>0</v>
      </c>
      <c r="CM256" s="3608"/>
      <c r="CN256" s="747">
        <f>IF(K140="",0,IF($AL$10="nC-2V･2W",DN137,0))</f>
        <v>0</v>
      </c>
      <c r="CO256" s="747">
        <f>IF(OR(AS140="3C-2V",AS141="3C-2V",$AL$10&lt;&gt;"nC-2V･2W"),0,IF(AB139="Ｃ",12+CY256-($X$9-$AM$9)/1000+DO140/36,DO139+DO140/36))</f>
        <v>0</v>
      </c>
      <c r="CP256" s="3609">
        <f>IF(OR(K141="10C-2V",$AL$10&lt;&gt;"nC-2V･2W"),0,IF(AB139="Ｃ",2+(DB136+DC136)/2,F138+2))</f>
        <v>0</v>
      </c>
      <c r="CQ256" s="3609"/>
      <c r="CR256" s="3606">
        <f>IF(OR(K141="7C-2V",$AL$10&lt;&gt;"nC-2V･2W"),0,IF(AB139="Ｃ",2+(DB136+DC136)/2,F138+2))</f>
        <v>0</v>
      </c>
      <c r="CS256" s="3633"/>
      <c r="CT256" s="746"/>
      <c r="CU256" s="86">
        <f>IF(R256="",0,IF($X$11="1端子",BD257,BG257))</f>
        <v>6</v>
      </c>
      <c r="CV256" s="95">
        <f>IF(OR(LEFT(K141,2)="5C",LEFT(K141,2)="5D"),$CA$285*(F138+2)/100,IF(OR(LEFT(K141,2)="7C",LEFT(K141,2)="8D"),$CB$285*(F138+2)/100,IF(OR(LEFT(K141,2)="10C",LEFT(K141,2)="12D"),$CC$285*(F138+2)/100,0)))</f>
        <v>0</v>
      </c>
      <c r="CW256" s="107">
        <f>IF(AND(AB139&lt;&gt;"Ｃ",AG138&lt;&gt;""),2+11,IF(AND(AB139&lt;&gt;"Ｃ",AK138&lt;&gt;""),3+11,0))</f>
        <v>14</v>
      </c>
      <c r="CX256" s="107">
        <f>V256+Y256+AE256+AH256+AK256+AN256+AR256+AV256+AZ256+CU256</f>
        <v>35.843000000000004</v>
      </c>
      <c r="CY256" s="105">
        <f>IF(I138="直天",F138,I138)</f>
        <v>3</v>
      </c>
      <c r="CZ256" s="745"/>
      <c r="DA256" s="745"/>
      <c r="DB256" s="744"/>
      <c r="DC256" s="744"/>
      <c r="DD256" s="743"/>
      <c r="DE256" s="743"/>
      <c r="DF256" s="743"/>
      <c r="DG256" s="743"/>
      <c r="DH256" s="744"/>
      <c r="DI256" s="744"/>
      <c r="DJ256" s="743"/>
      <c r="DK256" s="743"/>
      <c r="DL256" s="743"/>
      <c r="DM256" s="743"/>
      <c r="DN256" s="743"/>
      <c r="DO256" s="743"/>
      <c r="DP256" s="744"/>
      <c r="DQ256" s="744"/>
      <c r="DR256" s="743"/>
      <c r="DS256" s="743"/>
      <c r="DT256" s="743"/>
      <c r="DU256" s="743"/>
      <c r="DV256" s="742"/>
    </row>
    <row r="257" spans="1:126" ht="11.25" customHeight="1">
      <c r="B257" s="23"/>
      <c r="C257" s="3661"/>
      <c r="D257" s="3662"/>
      <c r="E257" s="3663"/>
      <c r="F257" s="3616" t="str">
        <f>IF(Q133="","","方式不適")</f>
        <v/>
      </c>
      <c r="G257" s="3617"/>
      <c r="H257" s="3617"/>
      <c r="I257" s="3617"/>
      <c r="J257" s="3618"/>
      <c r="K257" s="3619" t="str">
        <f>IF(C256="","","Max.")</f>
        <v>Max.</v>
      </c>
      <c r="L257" s="3620"/>
      <c r="M257" s="3621"/>
      <c r="N257" s="3622" t="str">
        <f>IF(OR(C256="",AA138=""),"",$AG$15-14.5+40)</f>
        <v/>
      </c>
      <c r="O257" s="3512"/>
      <c r="P257" s="3512"/>
      <c r="Q257" s="3513"/>
      <c r="R257" s="3516">
        <f>IF(R256="","",R256)</f>
        <v>110</v>
      </c>
      <c r="S257" s="3516"/>
      <c r="T257" s="3516"/>
      <c r="U257" s="3623"/>
      <c r="V257" s="3624">
        <f>IF(C256="","",IF(AB139="Ｃ",11+(AG138-2)*2+11,IF(AG138="",0,AG138*11)))</f>
        <v>0</v>
      </c>
      <c r="W257" s="3625"/>
      <c r="X257" s="3626"/>
      <c r="Y257" s="3680"/>
      <c r="Z257" s="3681"/>
      <c r="AA257" s="3682"/>
      <c r="AB257" s="3686"/>
      <c r="AC257" s="3687"/>
      <c r="AD257" s="3688"/>
      <c r="AE257" s="3690"/>
      <c r="AF257" s="3681"/>
      <c r="AG257" s="3682"/>
      <c r="AH257" s="3680"/>
      <c r="AI257" s="3681"/>
      <c r="AJ257" s="3682"/>
      <c r="AK257" s="3680"/>
      <c r="AL257" s="3681"/>
      <c r="AM257" s="3692"/>
      <c r="AN257" s="3694">
        <f>IF(OR(C256="",C256="  RF",R256=""),"",IF($AL$10="nC-2V･2W",CL257*$CL$285/100,0))</f>
        <v>0</v>
      </c>
      <c r="AO257" s="3694"/>
      <c r="AP257" s="3694"/>
      <c r="AQ257" s="3695"/>
      <c r="AR257" s="3511">
        <f>IF(OR(C256="",C256="  RF",R256=""),"",IF($AL$10="nC-2V･2W",CO257*$CM$285/100,IF($AL$10="nC-FB",CA257*$CA$285/100,IF($AL$10="nD-FB",CG257*$CE$285/100,0))))</f>
        <v>7.8975</v>
      </c>
      <c r="AS257" s="3512"/>
      <c r="AT257" s="3512"/>
      <c r="AU257" s="3513"/>
      <c r="AV257" s="3511">
        <f>IF(OR(C256="",C256="  RF",R256=""),"",IF($AL$10="nC-2V･2W",CP257*$CN$285/100,IF($AL$10="nC-FB",CB257*$CB$285/100,IF($AL$10="nD-FB",CH257*$CF$285/100,0))))</f>
        <v>0.8580000000000001</v>
      </c>
      <c r="AW257" s="3512"/>
      <c r="AX257" s="3512"/>
      <c r="AY257" s="3513"/>
      <c r="AZ257" s="3511">
        <f>IF(OR(C256="",C256="  RF",R256=""),"",IF($AL$10="nC-2V･2W",CR257*$CO$285/100,IF($AL$10="nC-FB",CD257*$CC$285/100,IF($AL$10="nD-FB",CJ257*$CH$285/100,0))))</f>
        <v>0.504</v>
      </c>
      <c r="BA257" s="3512"/>
      <c r="BB257" s="3512"/>
      <c r="BC257" s="3514"/>
      <c r="BD257" s="3515">
        <f>IF(OR(C256="",C256="  RF",R256="",BD256=""),"",3+3)</f>
        <v>6</v>
      </c>
      <c r="BE257" s="3516"/>
      <c r="BF257" s="3516"/>
      <c r="BG257" s="3516" t="str">
        <f>IF(OR(C256="",C256="  RF",R256="",BG256=""),"",3+5)</f>
        <v/>
      </c>
      <c r="BH257" s="3516"/>
      <c r="BI257" s="3623"/>
      <c r="BJ257" s="3622">
        <f>IF(OR(C256="",C256="  RF",R256="",BJ256=""),"",10)</f>
        <v>10</v>
      </c>
      <c r="BK257" s="3512"/>
      <c r="BL257" s="3513"/>
      <c r="BM257" s="3516" t="str">
        <f>IF(OR(C256="",C256="  RF",R256="",BM256=""),"",12)</f>
        <v/>
      </c>
      <c r="BN257" s="3516"/>
      <c r="BO257" s="3623"/>
      <c r="BP257" s="3645">
        <f>IF(BP256="","",IF(N257&lt;&gt;"",N257-CX257,IF(F256="","",R257-CX257)))</f>
        <v>67.740499999999997</v>
      </c>
      <c r="BQ257" s="3646"/>
      <c r="BR257" s="3646"/>
      <c r="BS257" s="3647" t="str">
        <f t="shared" si="138"/>
        <v>良</v>
      </c>
      <c r="BT257" s="3648"/>
      <c r="BU257" s="3590"/>
      <c r="BV257" s="82"/>
      <c r="BW257" s="82"/>
      <c r="BX257" s="3649" t="s">
        <v>498</v>
      </c>
      <c r="BY257" s="3650"/>
      <c r="BZ257" s="741">
        <f>IF(K140="",0,IF($AL$10="nC-FB",DN137,0))</f>
        <v>0</v>
      </c>
      <c r="CA257" s="740">
        <f>IF($AL$10&lt;&gt;"nC-FB",0,IF(AB139="Ｃ",12+CY256-($X$9-$AM$9)/1000+DO140/36,12+DO139+DO140/36))</f>
        <v>40.5</v>
      </c>
      <c r="CB257" s="3612">
        <f>IF(OR(K141="10C-FB",$AL$10&lt;&gt;"nC-FB",AB139=""),0,IF(AB139="Ｃ",2.5*AG138+(DB136+DC136)/2,F138+2))</f>
        <v>6</v>
      </c>
      <c r="CC257" s="3613"/>
      <c r="CD257" s="3640">
        <f>IF(OR(K141="7C-FB",$AL$10&lt;&gt;"nC-FB",AB139=""),0,IF(AB139="Ｃ",2.5*AG138+(DB136+DC136)/2,F138+2))</f>
        <v>6</v>
      </c>
      <c r="CE257" s="3641"/>
      <c r="CF257" s="750">
        <f>IF(K140="",0,IF($AL$10="nD-FB",DN137,0))</f>
        <v>0</v>
      </c>
      <c r="CG257" s="749">
        <f>IF($AL$10&lt;&gt;"nD-FB",0,IF(AB139="Ｃ",12+CY256-($X$9-$AM$9)/1000+DO140/36,IF(AB139="Ｂ",12+DO139+DO140/36)))</f>
        <v>0</v>
      </c>
      <c r="CH257" s="3651">
        <f>IF(OR(K141="12D-FB",$AL$10&lt;&gt;"nD-FB"),0,IF(AB139="Ｃ",2.5*AG138+(DB136+DC136)/2,F138+2))</f>
        <v>0</v>
      </c>
      <c r="CI257" s="3652"/>
      <c r="CJ257" s="3653">
        <f>IF(OR(K141="8D-FB",$AL$10&lt;&gt;"nD-FB"),0,IF(AB139="Ｃ",2.5*AG138+(DB136+DC136)/2,F138+2))</f>
        <v>0</v>
      </c>
      <c r="CK257" s="3654"/>
      <c r="CL257" s="3653">
        <f>IF(OR(AS140="5C-2V",AS141="5C-2V",$AL$10&lt;&gt;"nC-2V･2W"),0,IF(AB139="Ｃ",12+CY256-($X$9-$AM$9)/1000+DO140/36,DO139+DO140/36))</f>
        <v>0</v>
      </c>
      <c r="CM257" s="3655"/>
      <c r="CN257" s="749">
        <f>IF(K140="",0,IF($AL$10="nC-2V･2W",DN137,0))</f>
        <v>0</v>
      </c>
      <c r="CO257" s="749">
        <f>IF(OR(AS140="3C-2V",AS141="3C-2V",$AL$10&lt;&gt;"nC-2V･2W"),0,IF(AB139="Ｃ",12+CY256-($X$9-$AM$9)/1000+DO140/36,DO139+DO140/36))</f>
        <v>0</v>
      </c>
      <c r="CP257" s="3656">
        <f>IF(OR(K141="10C-2V",$AL$10&lt;&gt;"nC-2V･2W"),0,IF(AB139="Ｃ",2.5*AG138+(DB136+DC136)/2,F138+2))</f>
        <v>0</v>
      </c>
      <c r="CQ257" s="3656"/>
      <c r="CR257" s="3653">
        <f>IF(OR(K141="7C-2V",$AL$10&lt;&gt;"nC-2V･2W"),0,IF(AB139="Ｃ",2.5*AG138+(DB136+DC136)/2,F138+2))</f>
        <v>0</v>
      </c>
      <c r="CS257" s="3657"/>
      <c r="CT257" s="14"/>
      <c r="CU257" s="86">
        <f>IF(R256="",0,IF($X$11="1端子",BJ257,BM257))</f>
        <v>10</v>
      </c>
      <c r="CV257" s="487"/>
      <c r="CW257" s="710"/>
      <c r="CX257" s="98">
        <f>V257+Y256+AE256+AH256+AK256+AN257+AR257+AV257+AZ257+CU257</f>
        <v>42.259500000000003</v>
      </c>
      <c r="CY257" s="738"/>
      <c r="CZ257" s="737"/>
      <c r="DA257" s="737"/>
      <c r="DB257" s="736"/>
      <c r="DC257" s="736"/>
      <c r="DD257" s="735"/>
      <c r="DE257" s="735"/>
      <c r="DF257" s="735"/>
      <c r="DG257" s="735"/>
      <c r="DH257" s="736"/>
      <c r="DI257" s="736"/>
      <c r="DJ257" s="735"/>
      <c r="DK257" s="735"/>
      <c r="DL257" s="735"/>
      <c r="DM257" s="735"/>
      <c r="DN257" s="735"/>
      <c r="DO257" s="735"/>
      <c r="DP257" s="736"/>
      <c r="DQ257" s="736"/>
      <c r="DR257" s="735"/>
      <c r="DS257" s="735"/>
      <c r="DT257" s="735"/>
      <c r="DU257" s="735"/>
      <c r="DV257" s="734"/>
    </row>
    <row r="258" spans="1:126" ht="11.25" customHeight="1">
      <c r="A258" s="8">
        <v>14</v>
      </c>
      <c r="B258" s="23"/>
      <c r="C258" s="3658" t="str">
        <f>IF(OR($B$2=0,$H$15="ＣＡＴＶ"),"",C147)</f>
        <v xml:space="preserve"> 12F</v>
      </c>
      <c r="D258" s="3659"/>
      <c r="E258" s="3660"/>
      <c r="F258" s="3664" t="str">
        <f>IF(I258&lt;&gt;"",I258,AB148)</f>
        <v>Ａ</v>
      </c>
      <c r="G258" s="3665"/>
      <c r="H258" s="91" t="s">
        <v>68</v>
      </c>
      <c r="I258" s="3666"/>
      <c r="J258" s="3667"/>
      <c r="K258" s="3668" t="str">
        <f>IF(C258="","","Min.")</f>
        <v>Min.</v>
      </c>
      <c r="L258" s="3669"/>
      <c r="M258" s="3670"/>
      <c r="N258" s="3603" t="str">
        <f>IF(OR(C258="",AA147=""),"",$AG$15-14.7+40)</f>
        <v/>
      </c>
      <c r="O258" s="3597"/>
      <c r="P258" s="3597"/>
      <c r="Q258" s="3598"/>
      <c r="R258" s="3671">
        <f>IF(AND(AZ23="設置",N258=""),AD146,"")</f>
        <v>110</v>
      </c>
      <c r="S258" s="3672"/>
      <c r="T258" s="3672"/>
      <c r="U258" s="3673"/>
      <c r="V258" s="3674">
        <f>IF(C258="","",IF(AB148="Ｃ",11+(AG147-2)+11,IF(AG147="",0,AG147*11)))</f>
        <v>0</v>
      </c>
      <c r="W258" s="3675"/>
      <c r="X258" s="3676"/>
      <c r="Y258" s="3677">
        <f>IF(C258="","",IF(AK147="",0,AK147*11))</f>
        <v>11</v>
      </c>
      <c r="Z258" s="3678"/>
      <c r="AA258" s="3679"/>
      <c r="AB258" s="3683">
        <f>IF(OR(C258="",C258="  RF"),"",IF(AO147="",0,AO147*11))</f>
        <v>0</v>
      </c>
      <c r="AC258" s="3684"/>
      <c r="AD258" s="3685"/>
      <c r="AE258" s="3689">
        <f>IF(C258="","",IF(AS147="",0,4))</f>
        <v>0</v>
      </c>
      <c r="AF258" s="3678"/>
      <c r="AG258" s="3679"/>
      <c r="AH258" s="3677">
        <f>IF(C258="","",IF(AW147="",0,8))</f>
        <v>0</v>
      </c>
      <c r="AI258" s="3678"/>
      <c r="AJ258" s="3679"/>
      <c r="AK258" s="3677">
        <f>IF(C258="","",IF(BA147="",0,12))</f>
        <v>12</v>
      </c>
      <c r="AL258" s="3678"/>
      <c r="AM258" s="3691"/>
      <c r="AN258" s="3693">
        <f>IF(OR(C258="",C258="  RF",R258=""),"",IF($AL$10="nC-2V･2W",CL258*$CL$283/100,0))</f>
        <v>0</v>
      </c>
      <c r="AO258" s="3693"/>
      <c r="AP258" s="3693"/>
      <c r="AQ258" s="3600"/>
      <c r="AR258" s="3596">
        <f>IF(OR(C258="",C258="  RF",R258=""),"",IF($AL$10="nC-2V･2W",CO258*$CM$283/100,IF($AL$10="nC-FB",CA258*$CA$283/100,IF($AL$10="nD-FB",CG258*$CE$283/100,0))))</f>
        <v>5.8109999999999999</v>
      </c>
      <c r="AS258" s="3597"/>
      <c r="AT258" s="3597"/>
      <c r="AU258" s="3598"/>
      <c r="AV258" s="3596">
        <f>IF(OR(C258="",C258="  RF",R258=""),"",IF($AL$10="nC-2V･2W",CP258*$CN$283/100,IF($AL$10="nC-FB",CB258*$CB$283/100,IF($AL$10="nD-FB",CH258*$CF$283/100,0))))</f>
        <v>0.64800000000000013</v>
      </c>
      <c r="AW258" s="3597"/>
      <c r="AX258" s="3597"/>
      <c r="AY258" s="3598"/>
      <c r="AZ258" s="3596">
        <f>IF(OR(C258="",C258="  RF",R258=""),"",IF($AL$10="nC-2V･2W",CR258*$CO$283/100,IF($AL$10="nC-FB",CD258*$CC$283/100,IF($AL$10="nD-FB",CJ258*$CH$283/100,0))))</f>
        <v>0.38400000000000006</v>
      </c>
      <c r="BA258" s="3597"/>
      <c r="BB258" s="3597"/>
      <c r="BC258" s="3599"/>
      <c r="BD258" s="3600" t="str">
        <f>IF(OR(C258="  RF",R258="",$X$11="2端子"),"","1端子")</f>
        <v>1端子</v>
      </c>
      <c r="BE258" s="3601"/>
      <c r="BF258" s="3601"/>
      <c r="BG258" s="3601" t="str">
        <f>IF(OR(C258="  RF",R258="",$X$11="1端子"),"","2端子")</f>
        <v/>
      </c>
      <c r="BH258" s="3601"/>
      <c r="BI258" s="3602"/>
      <c r="BJ258" s="3603" t="str">
        <f>IF(OR(C258="  RF",R258="",$X$11="2端子"),"","1端子")</f>
        <v>1端子</v>
      </c>
      <c r="BK258" s="3597"/>
      <c r="BL258" s="3598"/>
      <c r="BM258" s="3601" t="str">
        <f>IF(OR(C258="  RF",R258="",$X$11="1端子"),"","2端子")</f>
        <v/>
      </c>
      <c r="BN258" s="3601"/>
      <c r="BO258" s="3602"/>
      <c r="BP258" s="3634">
        <f>IF(OR(AK32="不要",F259="方式不適",R258=""),"",IF(N258&lt;&gt;"",N258-CX258,IF(F258="","",R258-CX258)))</f>
        <v>74.156999999999996</v>
      </c>
      <c r="BQ258" s="3635"/>
      <c r="BR258" s="3635"/>
      <c r="BS258" s="3636" t="str">
        <f t="shared" si="138"/>
        <v>良</v>
      </c>
      <c r="BT258" s="3637"/>
      <c r="BU258" s="19"/>
      <c r="BV258" s="82"/>
      <c r="BW258" s="82">
        <v>144</v>
      </c>
      <c r="BX258" s="3638" t="s">
        <v>1040</v>
      </c>
      <c r="BY258" s="3639"/>
      <c r="BZ258" s="748">
        <f>IF(K149="",0,IF($AL$10="nC-FB",DN146,0))</f>
        <v>0</v>
      </c>
      <c r="CA258" s="747">
        <f>IF($AL$10&lt;&gt;"nC-FB",0,IF(AB148="Ｃ",12+CY258-($X$9-$AM$9)/1000,12+DO148))</f>
        <v>39</v>
      </c>
      <c r="CB258" s="3604">
        <f>IF(OR(K150="10C-FB",$AL$10&lt;&gt;"nC-FB",AB148=""),0,IF(AB148="Ｃ",2+(DB145+DC145)/2,F147+2))</f>
        <v>6</v>
      </c>
      <c r="CC258" s="3605"/>
      <c r="CD258" s="3594">
        <f>IF(OR(K150="7C-FB",$AL$10&lt;&gt;"nC-FB",AB148=""),0,IF(AB148="Ｃ",2+(DB145+DC145)/2,F147+2))</f>
        <v>6</v>
      </c>
      <c r="CE258" s="3595"/>
      <c r="CF258" s="748">
        <f>IF(K149="",0,IF($AL$10="nD-FB",DN146,0))</f>
        <v>0</v>
      </c>
      <c r="CG258" s="747">
        <f>IF($AL$10&lt;&gt;"nD-FB",0,IF(AB148="Ｃ",12+CY258-($X$9-$AM$9)/1000+DO149/36,DO148+DO149/36))</f>
        <v>0</v>
      </c>
      <c r="CH258" s="3604">
        <f>IF(OR(K150="12D-FB",$AL$10&lt;&gt;"nD-FB"),0,IF(AB148="Ｃ",2+(DB145+DC145)/2,F147+2))</f>
        <v>0</v>
      </c>
      <c r="CI258" s="3605"/>
      <c r="CJ258" s="3606">
        <f>IF(OR(K150="8D-FB",$AL$10&lt;&gt;"nD-FB"),0,IF(AB148="Ｃ",2+(DB145+DC145)/2,F147+2))</f>
        <v>0</v>
      </c>
      <c r="CK258" s="3607"/>
      <c r="CL258" s="3606">
        <f>IF(OR(AS149="5C-2V",AS150="5C-2V",$AL$10&lt;&gt;"nC-2V･2W"),0,IF(AB148="Ｃ",12+CY258-($X$9-$AM$9)/1000+DO149/36,DO148+DO149/36))</f>
        <v>0</v>
      </c>
      <c r="CM258" s="3608"/>
      <c r="CN258" s="747">
        <f>IF(K149="",0,IF($AL$10="nC-2V･2W",DN146,0))</f>
        <v>0</v>
      </c>
      <c r="CO258" s="747">
        <f>IF(OR(AS149="3C-2V",AS150="3C-2V",$AL$10&lt;&gt;"nC-2V･2W"),0,IF(AB148="Ｃ",12+CY258-($X$9-$AM$9)/1000+DO149/36,DO148+DO149/36))</f>
        <v>0</v>
      </c>
      <c r="CP258" s="3609">
        <f>IF(OR(K150="10C-2V",$AL$10&lt;&gt;"nC-2V･2W"),0,IF(AB148="Ｃ",2+(DB145+DC145)/2,F147+2))</f>
        <v>0</v>
      </c>
      <c r="CQ258" s="3609"/>
      <c r="CR258" s="3606">
        <f>IF(OR(K150="7C-2V",$AL$10&lt;&gt;"nC-2V･2W"),0,IF(AB148="Ｃ",2+(DB145+DC145)/2,F147+2))</f>
        <v>0</v>
      </c>
      <c r="CS258" s="3633"/>
      <c r="CT258" s="746"/>
      <c r="CU258" s="86">
        <f>IF(R258="",0,IF($X$11="1端子",BD259,BG259))</f>
        <v>6</v>
      </c>
      <c r="CV258" s="95">
        <f>IF(OR(LEFT(K150,2)="5C",LEFT(K150,2)="5D"),$CA$285*(F147+2)/100,IF(OR(LEFT(K150,2)="7C",LEFT(K150,2)="8D"),$CB$285*(F147+2)/100,IF(OR(LEFT(K150,2)="10C",LEFT(K150,2)="12D"),$CC$285*(F147+2)/100,0)))</f>
        <v>0</v>
      </c>
      <c r="CW258" s="107">
        <f>IF(AND(AB148&lt;&gt;"Ｃ",AG147&lt;&gt;""),2+11,IF(AND(AB148&lt;&gt;"Ｃ",AK147&lt;&gt;""),3+11,0))</f>
        <v>14</v>
      </c>
      <c r="CX258" s="107">
        <f>V258+Y258+AE258+AH258+AK258+AN258+AR258+AV258+AZ258+CU258</f>
        <v>35.843000000000004</v>
      </c>
      <c r="CY258" s="105">
        <f>IF(I147="直天",F147,I147)</f>
        <v>3</v>
      </c>
      <c r="CZ258" s="745"/>
      <c r="DA258" s="745"/>
      <c r="DB258" s="744"/>
      <c r="DC258" s="744"/>
      <c r="DD258" s="743"/>
      <c r="DE258" s="743"/>
      <c r="DF258" s="743"/>
      <c r="DG258" s="743"/>
      <c r="DH258" s="744"/>
      <c r="DI258" s="744"/>
      <c r="DJ258" s="743"/>
      <c r="DK258" s="743"/>
      <c r="DL258" s="743"/>
      <c r="DM258" s="743"/>
      <c r="DN258" s="743"/>
      <c r="DO258" s="743"/>
      <c r="DP258" s="744"/>
      <c r="DQ258" s="744"/>
      <c r="DR258" s="743"/>
      <c r="DS258" s="743"/>
      <c r="DT258" s="743"/>
      <c r="DU258" s="743"/>
      <c r="DV258" s="742"/>
    </row>
    <row r="259" spans="1:126" ht="11.25" customHeight="1">
      <c r="B259" s="23"/>
      <c r="C259" s="3661"/>
      <c r="D259" s="3662"/>
      <c r="E259" s="3663"/>
      <c r="F259" s="3616" t="str">
        <f>IF(Q142="","","方式不適")</f>
        <v/>
      </c>
      <c r="G259" s="3617"/>
      <c r="H259" s="3617"/>
      <c r="I259" s="3617"/>
      <c r="J259" s="3618"/>
      <c r="K259" s="3619" t="str">
        <f>IF(C258="","","Max.")</f>
        <v>Max.</v>
      </c>
      <c r="L259" s="3620"/>
      <c r="M259" s="3621"/>
      <c r="N259" s="3622" t="str">
        <f>IF(OR(C258="",AA147=""),"",$AG$15-14.5+40)</f>
        <v/>
      </c>
      <c r="O259" s="3512"/>
      <c r="P259" s="3512"/>
      <c r="Q259" s="3513"/>
      <c r="R259" s="3516">
        <f>IF(R258="","",R258)</f>
        <v>110</v>
      </c>
      <c r="S259" s="3516"/>
      <c r="T259" s="3516"/>
      <c r="U259" s="3623"/>
      <c r="V259" s="3624">
        <f>IF(C258="","",IF(AB148="Ｃ",11+(AG147-2)*2+11,IF(AG147="",0,AG147*11)))</f>
        <v>0</v>
      </c>
      <c r="W259" s="3625"/>
      <c r="X259" s="3626"/>
      <c r="Y259" s="3680"/>
      <c r="Z259" s="3681"/>
      <c r="AA259" s="3682"/>
      <c r="AB259" s="3686"/>
      <c r="AC259" s="3687"/>
      <c r="AD259" s="3688"/>
      <c r="AE259" s="3690"/>
      <c r="AF259" s="3681"/>
      <c r="AG259" s="3682"/>
      <c r="AH259" s="3680"/>
      <c r="AI259" s="3681"/>
      <c r="AJ259" s="3682"/>
      <c r="AK259" s="3680"/>
      <c r="AL259" s="3681"/>
      <c r="AM259" s="3692"/>
      <c r="AN259" s="3694">
        <f>IF(OR(C258="",C258="  RF",R258=""),"",IF($AL$10="nC-2V･2W",CL259*$CL$285/100,0))</f>
        <v>0</v>
      </c>
      <c r="AO259" s="3694"/>
      <c r="AP259" s="3694"/>
      <c r="AQ259" s="3695"/>
      <c r="AR259" s="3511">
        <f>IF(OR(C258="",C258="  RF",R258=""),"",IF($AL$10="nC-2V･2W",CO259*$CM$285/100,IF($AL$10="nC-FB",CA259*$CA$285/100,IF($AL$10="nD-FB",CG259*$CE$285/100,0))))</f>
        <v>7.8975</v>
      </c>
      <c r="AS259" s="3512"/>
      <c r="AT259" s="3512"/>
      <c r="AU259" s="3513"/>
      <c r="AV259" s="3511">
        <f>IF(OR(C258="",C258="  RF",R258=""),"",IF($AL$10="nC-2V･2W",CP259*$CN$285/100,IF($AL$10="nC-FB",CB259*$CB$285/100,IF($AL$10="nD-FB",CH259*$CF$285/100,0))))</f>
        <v>0.8580000000000001</v>
      </c>
      <c r="AW259" s="3512"/>
      <c r="AX259" s="3512"/>
      <c r="AY259" s="3513"/>
      <c r="AZ259" s="3511">
        <f>IF(OR(C258="",C258="  RF",R258=""),"",IF($AL$10="nC-2V･2W",CR259*$CO$285/100,IF($AL$10="nC-FB",CD259*$CC$285/100,IF($AL$10="nD-FB",CJ259*$CH$285/100,0))))</f>
        <v>0.504</v>
      </c>
      <c r="BA259" s="3512"/>
      <c r="BB259" s="3512"/>
      <c r="BC259" s="3514"/>
      <c r="BD259" s="3515">
        <f>IF(OR(C258="",C258="  RF",R258="",BD258=""),"",3+3)</f>
        <v>6</v>
      </c>
      <c r="BE259" s="3516"/>
      <c r="BF259" s="3516"/>
      <c r="BG259" s="3516" t="str">
        <f>IF(OR(C258="",C258="  RF",R258="",BG258=""),"",3+5)</f>
        <v/>
      </c>
      <c r="BH259" s="3516"/>
      <c r="BI259" s="3623"/>
      <c r="BJ259" s="3622">
        <f>IF(OR(C258="",C258="  RF",R258="",BJ258=""),"",10)</f>
        <v>10</v>
      </c>
      <c r="BK259" s="3512"/>
      <c r="BL259" s="3513"/>
      <c r="BM259" s="3516" t="str">
        <f>IF(OR(C258="",C258="  RF",R258="",BM258=""),"",12)</f>
        <v/>
      </c>
      <c r="BN259" s="3516"/>
      <c r="BO259" s="3623"/>
      <c r="BP259" s="3645">
        <f>IF(BP258="","",IF(N259&lt;&gt;"",N259-CX259,IF(F258="","",R259-CX259)))</f>
        <v>67.740499999999997</v>
      </c>
      <c r="BQ259" s="3646"/>
      <c r="BR259" s="3646"/>
      <c r="BS259" s="3647" t="str">
        <f t="shared" si="138"/>
        <v>良</v>
      </c>
      <c r="BT259" s="3648"/>
      <c r="BU259" s="19"/>
      <c r="BV259" s="82"/>
      <c r="BW259" s="82"/>
      <c r="BX259" s="3649" t="s">
        <v>498</v>
      </c>
      <c r="BY259" s="3650"/>
      <c r="BZ259" s="741">
        <f>IF(K149="",0,IF($AL$10="nC-FB",DN146,0))</f>
        <v>0</v>
      </c>
      <c r="CA259" s="740">
        <f>IF($AL$10&lt;&gt;"nC-FB",0,IF(AB148="Ｃ",12+CY258-($X$9-$AM$9)/1000+DO149/36,12+DO148+DO149/36))</f>
        <v>40.5</v>
      </c>
      <c r="CB259" s="3612">
        <f>IF(OR(K150="10C-FB",$AL$10&lt;&gt;"nC-FB",AB148=""),0,IF(AB148="Ｃ",2.5*AG147+(DB145+DC145)/2,F147+2))</f>
        <v>6</v>
      </c>
      <c r="CC259" s="3613"/>
      <c r="CD259" s="3640">
        <f>IF(OR(K150="7C-FB",$AL$10&lt;&gt;"nC-FB",AB148=""),0,IF(AB148="Ｃ",2.5*AG147+(DB145+DC145)/2,F147+2))</f>
        <v>6</v>
      </c>
      <c r="CE259" s="3641"/>
      <c r="CF259" s="750">
        <f>IF(K149="",0,IF($AL$10="nD-FB",DN146,0))</f>
        <v>0</v>
      </c>
      <c r="CG259" s="749">
        <f>IF($AL$10&lt;&gt;"nD-FB",0,IF(AB148="Ｃ",12+CY258-($X$9-$AM$9)/1000+DO149/36,IF(AB148="Ｂ",12+DO148+DO149/36)))</f>
        <v>0</v>
      </c>
      <c r="CH259" s="3651">
        <f>IF(OR(K150="12D-FB",$AL$10&lt;&gt;"nD-FB"),0,IF(AB148="Ｃ",2.5*AG147+(DB145+DC145)/2,F147+2))</f>
        <v>0</v>
      </c>
      <c r="CI259" s="3652"/>
      <c r="CJ259" s="3653">
        <f>IF(OR(K150="8D-FB",$AL$10&lt;&gt;"nD-FB"),0,IF(AB148="Ｃ",2.5*AG147+(DB145+DC145)/2,F147+2))</f>
        <v>0</v>
      </c>
      <c r="CK259" s="3654"/>
      <c r="CL259" s="3653">
        <f>IF(OR(AS149="5C-2V",AS150="5C-2V",$AL$10&lt;&gt;"nC-2V･2W"),0,IF(AB148="Ｃ",12+CY258-($X$9-$AM$9)/1000+DO149/36,DO148+DO149/36))</f>
        <v>0</v>
      </c>
      <c r="CM259" s="3655"/>
      <c r="CN259" s="749">
        <f>IF(K149="",0,IF($AL$10="nC-2V･2W",DN146,0))</f>
        <v>0</v>
      </c>
      <c r="CO259" s="749">
        <f>IF(OR(AS149="3C-2V",AS150="3C-2V",$AL$10&lt;&gt;"nC-2V･2W"),0,IF(AB148="Ｃ",12+CY258-($X$9-$AM$9)/1000+DO149/36,DO148+DO149/36))</f>
        <v>0</v>
      </c>
      <c r="CP259" s="3656">
        <f>IF(OR(K150="10C-2V",$AL$10&lt;&gt;"nC-2V･2W"),0,IF(AB148="Ｃ",2.5*AG147+(DB145+DC145)/2,F147+2))</f>
        <v>0</v>
      </c>
      <c r="CQ259" s="3656"/>
      <c r="CR259" s="3653">
        <f>IF(OR(K150="7C-2V",$AL$10&lt;&gt;"nC-2V･2W"),0,IF(AB148="Ｃ",2.5*AG147+(DB145+DC145)/2,F147+2))</f>
        <v>0</v>
      </c>
      <c r="CS259" s="3657"/>
      <c r="CT259" s="14"/>
      <c r="CU259" s="86">
        <f>IF(R258="",0,IF($X$11="1端子",BJ259,BM259))</f>
        <v>10</v>
      </c>
      <c r="CV259" s="487"/>
      <c r="CW259" s="710"/>
      <c r="CX259" s="98">
        <f>V259+Y258+AE258+AH258+AK258+AN259+AR259+AV259+AZ259+CU259</f>
        <v>42.259500000000003</v>
      </c>
      <c r="CY259" s="738"/>
      <c r="CZ259" s="737"/>
      <c r="DA259" s="737"/>
      <c r="DB259" s="736"/>
      <c r="DC259" s="736"/>
      <c r="DD259" s="735"/>
      <c r="DE259" s="735"/>
      <c r="DF259" s="735"/>
      <c r="DG259" s="735"/>
      <c r="DH259" s="736"/>
      <c r="DI259" s="736"/>
      <c r="DJ259" s="735"/>
      <c r="DK259" s="735"/>
      <c r="DL259" s="735"/>
      <c r="DM259" s="735"/>
      <c r="DN259" s="735"/>
      <c r="DO259" s="735"/>
      <c r="DP259" s="736"/>
      <c r="DQ259" s="736"/>
      <c r="DR259" s="735"/>
      <c r="DS259" s="735"/>
      <c r="DT259" s="735"/>
      <c r="DU259" s="735"/>
      <c r="DV259" s="734"/>
    </row>
    <row r="260" spans="1:126" ht="11.25" customHeight="1">
      <c r="A260" s="8">
        <v>15</v>
      </c>
      <c r="B260" s="23"/>
      <c r="C260" s="3658" t="str">
        <f>IF(OR($B$2=0,$H$15="ＣＡＴＶ"),"",C157)</f>
        <v>PH1F</v>
      </c>
      <c r="D260" s="3659"/>
      <c r="E260" s="3660"/>
      <c r="F260" s="3664" t="str">
        <f>IF(I260&lt;&gt;"",I260,AB158)</f>
        <v>Ｂ</v>
      </c>
      <c r="G260" s="3665"/>
      <c r="H260" s="91" t="s">
        <v>68</v>
      </c>
      <c r="I260" s="3666"/>
      <c r="J260" s="3667"/>
      <c r="K260" s="3668" t="str">
        <f>IF(C260="","","Min.")</f>
        <v>Min.</v>
      </c>
      <c r="L260" s="3669"/>
      <c r="M260" s="3670"/>
      <c r="N260" s="3603" t="str">
        <f>IF(OR(C260="",AA157=""),"",$AG$15-14.7+40)</f>
        <v/>
      </c>
      <c r="O260" s="3597"/>
      <c r="P260" s="3597"/>
      <c r="Q260" s="3598"/>
      <c r="R260" s="3671">
        <f>IF(AND(BC23="設置",N260=""),AD156,"")</f>
        <v>110</v>
      </c>
      <c r="S260" s="3672"/>
      <c r="T260" s="3672"/>
      <c r="U260" s="3673"/>
      <c r="V260" s="3674">
        <f>IF(C260="","",IF(AB158="Ｃ",11+(AG157-2)+11,IF(AG157="",0,AG157*11)))</f>
        <v>0</v>
      </c>
      <c r="W260" s="3675"/>
      <c r="X260" s="3676"/>
      <c r="Y260" s="3677">
        <f>IF(C260="","",IF(AK157="",0,AK157*11))</f>
        <v>11</v>
      </c>
      <c r="Z260" s="3678"/>
      <c r="AA260" s="3679"/>
      <c r="AB260" s="3683">
        <f>IF(OR(C260="",C260="  RF"),"",IF(AO157="",0,AO157*11))</f>
        <v>0</v>
      </c>
      <c r="AC260" s="3684"/>
      <c r="AD260" s="3685"/>
      <c r="AE260" s="3689">
        <f>IF(C260="","",IF(AS157="",0,4))</f>
        <v>0</v>
      </c>
      <c r="AF260" s="3678"/>
      <c r="AG260" s="3679"/>
      <c r="AH260" s="3677">
        <f>IF(C260="","",IF(AW157="",0,8))</f>
        <v>8</v>
      </c>
      <c r="AI260" s="3678"/>
      <c r="AJ260" s="3679"/>
      <c r="AK260" s="3677">
        <f>IF(C260="","",IF(BA157="",0,12))</f>
        <v>0</v>
      </c>
      <c r="AL260" s="3678"/>
      <c r="AM260" s="3691"/>
      <c r="AN260" s="3693">
        <f>IF(OR(C260="",C260="  RF",R260=""),"",IF($AL$10="nC-2V･2W",CL260*$CL$283/100,0))</f>
        <v>0</v>
      </c>
      <c r="AO260" s="3693"/>
      <c r="AP260" s="3693"/>
      <c r="AQ260" s="3600"/>
      <c r="AR260" s="3596">
        <f>IF(OR(C260="",C260="  RF",R260=""),"",IF($AL$10="nC-2V･2W",CO260*$CM$283/100,IF($AL$10="nC-FB",CA260*$CA$283/100,IF($AL$10="nD-FB",CG260*$CE$283/100,0))))</f>
        <v>3.5015000000000005</v>
      </c>
      <c r="AS260" s="3597"/>
      <c r="AT260" s="3597"/>
      <c r="AU260" s="3598"/>
      <c r="AV260" s="3596">
        <f>IF(OR(C260="",C260="  RF",R260=""),"",IF($AL$10="nC-2V･2W",CP260*$CN$283/100,IF($AL$10="nC-FB",CB260*$CB$283/100,IF($AL$10="nD-FB",CH260*$CF$283/100,0))))</f>
        <v>0.64800000000000013</v>
      </c>
      <c r="AW260" s="3597"/>
      <c r="AX260" s="3597"/>
      <c r="AY260" s="3598"/>
      <c r="AZ260" s="3596">
        <f>IF(OR(C260="",C260="  RF",R260=""),"",IF($AL$10="nC-2V･2W",CR260*$CO$283/100,IF($AL$10="nC-FB",CD260*$CC$283/100,IF($AL$10="nD-FB",CJ260*$CH$283/100,0))))</f>
        <v>0.38400000000000006</v>
      </c>
      <c r="BA260" s="3597"/>
      <c r="BB260" s="3597"/>
      <c r="BC260" s="3599"/>
      <c r="BD260" s="3600" t="str">
        <f>IF(OR(C260="  RF",R260="",$X$11="2端子"),"","1端子")</f>
        <v>1端子</v>
      </c>
      <c r="BE260" s="3601"/>
      <c r="BF260" s="3601"/>
      <c r="BG260" s="3601" t="str">
        <f>IF(OR(C260="  RF",R260="",$X$11="1端子"),"","2端子")</f>
        <v/>
      </c>
      <c r="BH260" s="3601"/>
      <c r="BI260" s="3602"/>
      <c r="BJ260" s="3603" t="str">
        <f>IF(OR(C260="  RF",R260="",$X$11="2端子"),"","1端子")</f>
        <v>1端子</v>
      </c>
      <c r="BK260" s="3597"/>
      <c r="BL260" s="3598"/>
      <c r="BM260" s="3601" t="str">
        <f>IF(OR(C260="  RF",R260="",$X$11="1端子"),"","2端子")</f>
        <v/>
      </c>
      <c r="BN260" s="3601"/>
      <c r="BO260" s="3602"/>
      <c r="BP260" s="3634">
        <f>IF(OR(AK34="不要",F261="方式不適",R260=""),"",IF(N260&lt;&gt;"",N260-CX260,IF(F260="","",R260-CX260)))</f>
        <v>80.466499999999996</v>
      </c>
      <c r="BQ260" s="3635"/>
      <c r="BR260" s="3635"/>
      <c r="BS260" s="3636" t="str">
        <f t="shared" si="138"/>
        <v>良</v>
      </c>
      <c r="BT260" s="3637"/>
      <c r="BU260" s="19"/>
      <c r="BV260" s="82"/>
      <c r="BW260" s="82">
        <v>154</v>
      </c>
      <c r="BX260" s="3638" t="s">
        <v>1040</v>
      </c>
      <c r="BY260" s="3639"/>
      <c r="BZ260" s="748">
        <f>IF(K159="",0,IF($AL$10="nC-FB",DN156,0))</f>
        <v>0</v>
      </c>
      <c r="CA260" s="747">
        <f>IF($AL$10&lt;&gt;"nC-FB",0,IF(AB158="Ｃ",12+CY260-($X$9-$AM$9)/1000,12+DO158))</f>
        <v>23.5</v>
      </c>
      <c r="CB260" s="3604">
        <f>IF(OR(K160="10C-FB",$AL$10&lt;&gt;"nC-FB",AB158=""),0,IF(AB158="Ｃ",2+(DB155+DC155)/2,F157+2))</f>
        <v>6</v>
      </c>
      <c r="CC260" s="3605"/>
      <c r="CD260" s="3594">
        <f>IF(OR(K160="7C-FB",$AL$10&lt;&gt;"nC-FB",AB158=""),0,IF(AB158="Ｃ",2+(DB155+DC155)/2,F157+2))</f>
        <v>6</v>
      </c>
      <c r="CE260" s="3595"/>
      <c r="CF260" s="748">
        <f>IF(K159="",0,IF($AL$10="nD-FB",DN156,0))</f>
        <v>0</v>
      </c>
      <c r="CG260" s="747">
        <f>IF($AL$10&lt;&gt;"nD-FB",0,IF(AB158="Ｃ",12+CY260-($X$9-$AM$9)/1000+DO159/36,DO158+DO159/36))</f>
        <v>0</v>
      </c>
      <c r="CH260" s="3604">
        <f>IF(OR(K160="12D-FB",$AL$10&lt;&gt;"nD-FB"),0,IF(AB158="Ｃ",2+(DB155+DC155)/2,F157+2))</f>
        <v>0</v>
      </c>
      <c r="CI260" s="3605"/>
      <c r="CJ260" s="3606">
        <f>IF(OR(K160="8D-FB",$AL$10&lt;&gt;"nD-FB"),0,IF(AB158="Ｃ",2+(DB155+DC155)/2,F157+2))</f>
        <v>0</v>
      </c>
      <c r="CK260" s="3607"/>
      <c r="CL260" s="3606">
        <f>IF(OR(AS159="5C-2V",AS160="5C-2V",$AL$10&lt;&gt;"nC-2V･2W"),0,IF(AB158="Ｃ",12+CY260-($X$9-$AM$9)/1000+DO159/36,DO158+DO159/36))</f>
        <v>0</v>
      </c>
      <c r="CM260" s="3608"/>
      <c r="CN260" s="747">
        <f>IF(K159="",0,IF($AL$10="nC-2V･2W",DN156,0))</f>
        <v>0</v>
      </c>
      <c r="CO260" s="747">
        <f>IF(OR(AS159="3C-2V",AS160="3C-2V",$AL$10&lt;&gt;"nC-2V･2W"),0,IF(AB158="Ｃ",12+CY260-($X$9-$AM$9)/1000+DO159/36,DO158+DO159/36))</f>
        <v>0</v>
      </c>
      <c r="CP260" s="3609">
        <f>IF(OR(K160="10C-2V",$AL$10&lt;&gt;"nC-2V･2W"),0,IF(AB158="Ｃ",2+(DB155+DC155)/2,F157+2))</f>
        <v>0</v>
      </c>
      <c r="CQ260" s="3609"/>
      <c r="CR260" s="3606">
        <f>IF(OR(K160="7C-2V",$AL$10&lt;&gt;"nC-2V･2W"),0,IF(AB158="Ｃ",2+(DB155+DC155)/2,F157+2))</f>
        <v>0</v>
      </c>
      <c r="CS260" s="3633"/>
      <c r="CT260" s="746"/>
      <c r="CU260" s="86">
        <f>IF(R260="",0,IF($X$11="1端子",BD261,BG261))</f>
        <v>6</v>
      </c>
      <c r="CV260" s="95">
        <f>IF(OR(LEFT(K160,2)="5C",LEFT(K160,2)="5D"),$CA$285*(F157+2)/100,IF(OR(LEFT(K160,2)="7C",LEFT(K160,2)="8D"),$CB$285*(F157+2)/100,IF(OR(LEFT(K160,2)="10C",LEFT(K160,2)="12D"),$CC$285*(F157+2)/100,0)))</f>
        <v>0</v>
      </c>
      <c r="CW260" s="107">
        <f>IF(AND(AB158&lt;&gt;"Ｃ",AG157&lt;&gt;""),2+11,IF(AND(AB158&lt;&gt;"Ｃ",AK157&lt;&gt;""),3+11,0))</f>
        <v>14</v>
      </c>
      <c r="CX260" s="107">
        <f>V260+Y260+AE260+AH260+AK260+AN260+AR260+AV260+AZ260+CU260</f>
        <v>29.5335</v>
      </c>
      <c r="CY260" s="105">
        <f>IF(I157="直天",F157,I157)</f>
        <v>4</v>
      </c>
      <c r="CZ260" s="745"/>
      <c r="DA260" s="745"/>
      <c r="DB260" s="744"/>
      <c r="DC260" s="744"/>
      <c r="DD260" s="743"/>
      <c r="DE260" s="743"/>
      <c r="DF260" s="743"/>
      <c r="DG260" s="743"/>
      <c r="DH260" s="744"/>
      <c r="DI260" s="744"/>
      <c r="DJ260" s="743"/>
      <c r="DK260" s="743"/>
      <c r="DL260" s="743"/>
      <c r="DM260" s="743"/>
      <c r="DN260" s="743"/>
      <c r="DO260" s="743"/>
      <c r="DP260" s="744"/>
      <c r="DQ260" s="744"/>
      <c r="DR260" s="743"/>
      <c r="DS260" s="743"/>
      <c r="DT260" s="743"/>
      <c r="DU260" s="743"/>
      <c r="DV260" s="742"/>
    </row>
    <row r="261" spans="1:126" ht="11.25" customHeight="1">
      <c r="B261" s="23"/>
      <c r="C261" s="3661"/>
      <c r="D261" s="3662"/>
      <c r="E261" s="3663"/>
      <c r="F261" s="3616" t="str">
        <f>IF(Q152="","","方式不適")</f>
        <v/>
      </c>
      <c r="G261" s="3617"/>
      <c r="H261" s="3617"/>
      <c r="I261" s="3617"/>
      <c r="J261" s="3618"/>
      <c r="K261" s="3619" t="str">
        <f>IF(C260="","","Max.")</f>
        <v>Max.</v>
      </c>
      <c r="L261" s="3620"/>
      <c r="M261" s="3621"/>
      <c r="N261" s="3622" t="str">
        <f>IF(OR(C260="",AA157=""),"",$AG$15-14.5+40)</f>
        <v/>
      </c>
      <c r="O261" s="3512"/>
      <c r="P261" s="3512"/>
      <c r="Q261" s="3513"/>
      <c r="R261" s="3516">
        <f>IF(R260="","",R260)</f>
        <v>110</v>
      </c>
      <c r="S261" s="3516"/>
      <c r="T261" s="3516"/>
      <c r="U261" s="3623"/>
      <c r="V261" s="3624">
        <f>IF(C260="","",IF(AB158="Ｃ",11+(AG157-2)*2+11,IF(AG157="",0,AG157*11)))</f>
        <v>0</v>
      </c>
      <c r="W261" s="3625"/>
      <c r="X261" s="3626"/>
      <c r="Y261" s="3680"/>
      <c r="Z261" s="3681"/>
      <c r="AA261" s="3682"/>
      <c r="AB261" s="3686"/>
      <c r="AC261" s="3687"/>
      <c r="AD261" s="3688"/>
      <c r="AE261" s="3690"/>
      <c r="AF261" s="3681"/>
      <c r="AG261" s="3682"/>
      <c r="AH261" s="3680"/>
      <c r="AI261" s="3681"/>
      <c r="AJ261" s="3682"/>
      <c r="AK261" s="3680"/>
      <c r="AL261" s="3681"/>
      <c r="AM261" s="3692"/>
      <c r="AN261" s="3694">
        <f>IF(OR(C260="",C260="  RF",R260=""),"",IF($AL$10="nC-2V･2W",CL261*$CL$285/100,0))</f>
        <v>0</v>
      </c>
      <c r="AO261" s="3694"/>
      <c r="AP261" s="3694"/>
      <c r="AQ261" s="3695"/>
      <c r="AR261" s="3511">
        <f>IF(OR(C260="",C260="  RF",R260=""),"",IF($AL$10="nC-2V･2W",CO261*$CM$285/100,IF($AL$10="nC-FB",CA261*$CA$285/100,IF($AL$10="nD-FB",CG261*$CE$285/100,0))))</f>
        <v>4.6215000000000002</v>
      </c>
      <c r="AS261" s="3512"/>
      <c r="AT261" s="3512"/>
      <c r="AU261" s="3513"/>
      <c r="AV261" s="3511">
        <f>IF(OR(C260="",C260="  RF",R260=""),"",IF($AL$10="nC-2V･2W",CP261*$CN$285/100,IF($AL$10="nC-FB",CB261*$CB$285/100,IF($AL$10="nD-FB",CH261*$CF$285/100,0))))</f>
        <v>0.8580000000000001</v>
      </c>
      <c r="AW261" s="3512"/>
      <c r="AX261" s="3512"/>
      <c r="AY261" s="3513"/>
      <c r="AZ261" s="3511">
        <f>IF(OR(C260="",C260="  RF",R260=""),"",IF($AL$10="nC-2V･2W",CR261*$CO$285/100,IF($AL$10="nC-FB",CD261*$CC$285/100,IF($AL$10="nD-FB",CJ261*$CH$285/100,0))))</f>
        <v>0.504</v>
      </c>
      <c r="BA261" s="3512"/>
      <c r="BB261" s="3512"/>
      <c r="BC261" s="3514"/>
      <c r="BD261" s="3515">
        <f>IF(OR(C260="",C260="  RF",R260="",BD260=""),"",3+3)</f>
        <v>6</v>
      </c>
      <c r="BE261" s="3516"/>
      <c r="BF261" s="3516"/>
      <c r="BG261" s="3516" t="str">
        <f>IF(OR(C260="",C260="  RF",R260="",BG260=""),"",3+5)</f>
        <v/>
      </c>
      <c r="BH261" s="3516"/>
      <c r="BI261" s="3623"/>
      <c r="BJ261" s="3622">
        <f>IF(OR(C260="",C260="  RF",R260="",BJ260=""),"",10)</f>
        <v>10</v>
      </c>
      <c r="BK261" s="3512"/>
      <c r="BL261" s="3513"/>
      <c r="BM261" s="3516" t="str">
        <f>IF(OR(C260="",C260="  RF",R260="",BM260=""),"",12)</f>
        <v/>
      </c>
      <c r="BN261" s="3516"/>
      <c r="BO261" s="3623"/>
      <c r="BP261" s="3645">
        <f>IF(BP260="","",IF(N261&lt;&gt;"",N261-CX261,IF(F260="","",R261-CX261)))</f>
        <v>75.016499999999994</v>
      </c>
      <c r="BQ261" s="3646"/>
      <c r="BR261" s="3646"/>
      <c r="BS261" s="3647" t="str">
        <f t="shared" si="138"/>
        <v>良</v>
      </c>
      <c r="BT261" s="3648"/>
      <c r="BU261" s="19"/>
      <c r="BV261" s="82"/>
      <c r="BW261" s="82"/>
      <c r="BX261" s="3649" t="s">
        <v>498</v>
      </c>
      <c r="BY261" s="3650"/>
      <c r="BZ261" s="741">
        <f>IF(K159="",0,IF($AL$10="nC-FB",DN156,0))</f>
        <v>0</v>
      </c>
      <c r="CA261" s="740">
        <f>IF($AL$10&lt;&gt;"nC-FB",0,IF(AB158="Ｃ",12+CY260-($X$9-$AM$9)/1000+DO159/36,12+DO158+DO159/36))</f>
        <v>23.7</v>
      </c>
      <c r="CB261" s="3612">
        <f>IF(OR(K160="10C-FB",$AL$10&lt;&gt;"nC-FB",AB158=""),0,IF(AB158="Ｃ",2.5*AG157+(DB155+DC155)/2,F157+2))</f>
        <v>6</v>
      </c>
      <c r="CC261" s="3613"/>
      <c r="CD261" s="3640">
        <f>IF(OR(K160="7C-FB",$AL$10&lt;&gt;"nC-FB",AB158=""),0,IF(AB158="Ｃ",2.5*AG157+(DB155+DC155)/2,F157+2))</f>
        <v>6</v>
      </c>
      <c r="CE261" s="3641"/>
      <c r="CF261" s="750">
        <f>IF(K159="",0,IF($AL$10="nD-FB",DN156,0))</f>
        <v>0</v>
      </c>
      <c r="CG261" s="749">
        <f>IF($AL$10&lt;&gt;"nD-FB",0,IF(AB158="Ｃ",12+CY260-($X$9-$AM$9)/1000+DO159/36,IF(AB158="Ｂ",12+DO158+DO159/36)))</f>
        <v>0</v>
      </c>
      <c r="CH261" s="3651">
        <f>IF(OR(K160="12D-FB",$AL$10&lt;&gt;"nD-FB"),0,IF(AB158="Ｃ",2.5*AG157+(DB155+DC155)/2,F157+2))</f>
        <v>0</v>
      </c>
      <c r="CI261" s="3652"/>
      <c r="CJ261" s="3653">
        <f>IF(OR(K160="8D-FB",$AL$10&lt;&gt;"nD-FB"),0,IF(AB158="Ｃ",2.5*AG157+(DB155+DC155)/2,F157+2))</f>
        <v>0</v>
      </c>
      <c r="CK261" s="3654"/>
      <c r="CL261" s="3653">
        <f>IF(OR(AS159="5C-2V",AS160="5C-2V",$AL$10&lt;&gt;"nC-2V･2W"),0,IF(AB158="Ｃ",12+CY260-($X$9-$AM$9)/1000+DO159/36,DO158+DO159/36))</f>
        <v>0</v>
      </c>
      <c r="CM261" s="3655"/>
      <c r="CN261" s="749">
        <f>IF(K159="",0,IF($AL$10="nC-2V･2W",DN156,0))</f>
        <v>0</v>
      </c>
      <c r="CO261" s="749">
        <f>IF(OR(AS159="3C-2V",AS160="3C-2V",$AL$10&lt;&gt;"nC-2V･2W"),0,IF(AB158="Ｃ",12+CY260-($X$9-$AM$9)/1000+DO159/36,DO158+DO159/36))</f>
        <v>0</v>
      </c>
      <c r="CP261" s="3656">
        <f>IF(OR(K160="10C-2V",$AL$10&lt;&gt;"nC-2V･2W"),0,IF(AB158="Ｃ",2.5*AG157+(DB155+DC155)/2,F157+2))</f>
        <v>0</v>
      </c>
      <c r="CQ261" s="3656"/>
      <c r="CR261" s="3653">
        <f>IF(OR(K160="7C-2V",$AL$10&lt;&gt;"nC-2V･2W"),0,IF(AB158="Ｃ",2.5*AG157+(DB155+DC155)/2,F157+2))</f>
        <v>0</v>
      </c>
      <c r="CS261" s="3657"/>
      <c r="CT261" s="14"/>
      <c r="CU261" s="86">
        <f>IF(R260="",0,IF($X$11="1端子",BJ261,BM261))</f>
        <v>10</v>
      </c>
      <c r="CV261" s="487"/>
      <c r="CW261" s="710"/>
      <c r="CX261" s="98">
        <f>V261+Y260+AE260+AH260+AK260+AN261+AR261+AV261+AZ261+CU261</f>
        <v>34.983500000000006</v>
      </c>
      <c r="CY261" s="738"/>
      <c r="CZ261" s="737"/>
      <c r="DA261" s="737"/>
      <c r="DB261" s="736"/>
      <c r="DC261" s="736"/>
      <c r="DD261" s="735"/>
      <c r="DE261" s="735"/>
      <c r="DF261" s="735"/>
      <c r="DG261" s="735"/>
      <c r="DH261" s="736"/>
      <c r="DI261" s="736"/>
      <c r="DJ261" s="735"/>
      <c r="DK261" s="735"/>
      <c r="DL261" s="735"/>
      <c r="DM261" s="735"/>
      <c r="DN261" s="735"/>
      <c r="DO261" s="735"/>
      <c r="DP261" s="736"/>
      <c r="DQ261" s="736"/>
      <c r="DR261" s="735"/>
      <c r="DS261" s="735"/>
      <c r="DT261" s="735"/>
      <c r="DU261" s="735"/>
      <c r="DV261" s="734"/>
    </row>
    <row r="262" spans="1:126" ht="11.25" customHeight="1">
      <c r="A262" s="8">
        <v>16</v>
      </c>
      <c r="B262" s="23"/>
      <c r="C262" s="3658" t="str">
        <f>IF(OR($B$2=0,$H$15="ＣＡＴＶ"),"",C166)</f>
        <v>PH2F</v>
      </c>
      <c r="D262" s="3659"/>
      <c r="E262" s="3660"/>
      <c r="F262" s="3664" t="str">
        <f>IF(I262&lt;&gt;"",I262,AB167)</f>
        <v>Ｂ</v>
      </c>
      <c r="G262" s="3665"/>
      <c r="H262" s="91" t="s">
        <v>68</v>
      </c>
      <c r="I262" s="3666"/>
      <c r="J262" s="3667"/>
      <c r="K262" s="3668" t="str">
        <f>IF(C262="","","Min.")</f>
        <v>Min.</v>
      </c>
      <c r="L262" s="3669"/>
      <c r="M262" s="3670"/>
      <c r="N262" s="3603">
        <f>IF(OR(C262="",AA166=""),"",$AG$15-14.7+40)</f>
        <v>90.3</v>
      </c>
      <c r="O262" s="3597"/>
      <c r="P262" s="3597"/>
      <c r="Q262" s="3598"/>
      <c r="R262" s="3671" t="str">
        <f>IF(AND(BF23="設置",N262=""),AD165,"")</f>
        <v/>
      </c>
      <c r="S262" s="3672"/>
      <c r="T262" s="3672"/>
      <c r="U262" s="3673"/>
      <c r="V262" s="3674">
        <f>IF(C262="","",IF(AB167="Ｃ",11+(AG166-2)+11,IF(AG166="",0,AG166*11)))</f>
        <v>0</v>
      </c>
      <c r="W262" s="3675"/>
      <c r="X262" s="3676"/>
      <c r="Y262" s="3677">
        <f>IF(C262="","",IF(AK166="",0,AK166*11))</f>
        <v>11</v>
      </c>
      <c r="Z262" s="3678"/>
      <c r="AA262" s="3679"/>
      <c r="AB262" s="3683">
        <f>IF(OR(C262="",C262="  RF"),"",IF(AO166="",0,AO166*11))</f>
        <v>0</v>
      </c>
      <c r="AC262" s="3684"/>
      <c r="AD262" s="3685"/>
      <c r="AE262" s="3689">
        <f>IF(C262="","",IF(AS166="",0,4))</f>
        <v>0</v>
      </c>
      <c r="AF262" s="3678"/>
      <c r="AG262" s="3679"/>
      <c r="AH262" s="3677">
        <f>IF(C262="","",IF(AW166="",0,8))</f>
        <v>8</v>
      </c>
      <c r="AI262" s="3678"/>
      <c r="AJ262" s="3679"/>
      <c r="AK262" s="3677">
        <f>IF(C262="","",IF(BA166="",0,12))</f>
        <v>0</v>
      </c>
      <c r="AL262" s="3678"/>
      <c r="AM262" s="3691"/>
      <c r="AN262" s="3693" t="str">
        <f>IF(OR(C262="",C262="  RF",R262=""),"",IF($AL$10="nC-2V･2W",CL262*$CL$283/100,0))</f>
        <v/>
      </c>
      <c r="AO262" s="3693"/>
      <c r="AP262" s="3693"/>
      <c r="AQ262" s="3600"/>
      <c r="AR262" s="3596" t="str">
        <f>IF(OR(C262="",C262="  RF",R262=""),"",IF($AL$10="nC-2V･2W",CO262*$CM$283/100,IF($AL$10="nC-FB",CA262*$CA$283/100,IF($AL$10="nD-FB",CG262*$CE$283/100,0))))</f>
        <v/>
      </c>
      <c r="AS262" s="3597"/>
      <c r="AT262" s="3597"/>
      <c r="AU262" s="3598"/>
      <c r="AV262" s="3596" t="str">
        <f>IF(OR(C262="",C262="  RF",R262=""),"",IF($AL$10="nC-2V･2W",CP262*$CN$283/100,IF($AL$10="nC-FB",CB262*$CB$283/100,IF($AL$10="nD-FB",CH262*$CF$283/100,0))))</f>
        <v/>
      </c>
      <c r="AW262" s="3597"/>
      <c r="AX262" s="3597"/>
      <c r="AY262" s="3598"/>
      <c r="AZ262" s="3596" t="str">
        <f>IF(OR(C262="",C262="  RF",R262=""),"",IF($AL$10="nC-2V･2W",CR262*$CO$283/100,IF($AL$10="nC-FB",CD262*$CC$283/100,IF($AL$10="nD-FB",CJ262*$CH$283/100,0))))</f>
        <v/>
      </c>
      <c r="BA262" s="3597"/>
      <c r="BB262" s="3597"/>
      <c r="BC262" s="3599"/>
      <c r="BD262" s="3600" t="str">
        <f>IF(OR(C262="  RF",R262="",$X$11="2端子"),"","1端子")</f>
        <v/>
      </c>
      <c r="BE262" s="3601"/>
      <c r="BF262" s="3601"/>
      <c r="BG262" s="3601" t="str">
        <f>IF(OR(C262="  RF",R262="",$X$11="1端子"),"","2端子")</f>
        <v/>
      </c>
      <c r="BH262" s="3601"/>
      <c r="BI262" s="3602"/>
      <c r="BJ262" s="3603" t="str">
        <f>IF(OR(C262="  RF",R262="",$X$11="2端子"),"","1端子")</f>
        <v/>
      </c>
      <c r="BK262" s="3597"/>
      <c r="BL262" s="3598"/>
      <c r="BM262" s="3601" t="str">
        <f>IF(OR(C262="  RF",R262="",$X$11="1端子"),"","2端子")</f>
        <v/>
      </c>
      <c r="BN262" s="3601"/>
      <c r="BO262" s="3602"/>
      <c r="BP262" s="3634" t="str">
        <f>IF(OR(AK36="不要",F263="方式不適",R262=""),"",IF(N262&lt;&gt;"",N262-CX262,IF(F262="","",R262-CX262)))</f>
        <v/>
      </c>
      <c r="BQ262" s="3635"/>
      <c r="BR262" s="3635"/>
      <c r="BS262" s="3636" t="str">
        <f t="shared" si="138"/>
        <v/>
      </c>
      <c r="BT262" s="3637"/>
      <c r="BU262" s="19"/>
      <c r="BV262" s="82"/>
      <c r="BW262" s="82">
        <v>163</v>
      </c>
      <c r="BX262" s="3638" t="s">
        <v>1040</v>
      </c>
      <c r="BY262" s="3639"/>
      <c r="BZ262" s="748">
        <f>IF(K168="",0,IF($AL$10="nC-FB",DN165,0))</f>
        <v>19.5</v>
      </c>
      <c r="CA262" s="747">
        <f>IF($AL$10&lt;&gt;"nC-FB",0,IF(AB167="Ｃ",12+CY262-($X$9-$AM$9)/1000,12+DO167))</f>
        <v>23.5</v>
      </c>
      <c r="CB262" s="3604">
        <f>IF(OR(K169="10C-FB",$AL$10&lt;&gt;"nC-FB",AB167=""),0,IF(AB167="Ｃ",2+(DB164+DC164)/2,F166+2))</f>
        <v>6</v>
      </c>
      <c r="CC262" s="3605"/>
      <c r="CD262" s="3594">
        <f>IF(OR(K169="7C-FB",$AL$10&lt;&gt;"nC-FB",AB167=""),0,IF(AB167="Ｃ",2+(DB164+DC164)/2,F166+2))</f>
        <v>6</v>
      </c>
      <c r="CE262" s="3595"/>
      <c r="CF262" s="748">
        <f>IF(K168="",0,IF($AL$10="nD-FB",DN165,0))</f>
        <v>0</v>
      </c>
      <c r="CG262" s="747">
        <f>IF($AL$10&lt;&gt;"nD-FB",0,IF(AB167="Ｃ",12+CY262-($X$9-$AM$9)/1000+DO168/36,DO167+DO168/36))</f>
        <v>0</v>
      </c>
      <c r="CH262" s="3604">
        <f>IF(OR(K169="12D-FB",$AL$10&lt;&gt;"nD-FB"),0,IF(AB167="Ｃ",2+(DB164+DC164)/2,F166+2))</f>
        <v>0</v>
      </c>
      <c r="CI262" s="3605"/>
      <c r="CJ262" s="3606">
        <f>IF(OR(K169="8D-FB",$AL$10&lt;&gt;"nD-FB"),0,IF(AB167="Ｃ",2+(DB164+DC164)/2,F166+2))</f>
        <v>0</v>
      </c>
      <c r="CK262" s="3607"/>
      <c r="CL262" s="3606">
        <f>IF(OR(AS168="5C-2V",AS169="5C-2V",$AL$10&lt;&gt;"nC-2V･2W"),0,IF(AB167="Ｃ",12+CY262-($X$9-$AM$9)/1000+DO168/36,DO167+DO168/36))</f>
        <v>0</v>
      </c>
      <c r="CM262" s="3608"/>
      <c r="CN262" s="747">
        <f>IF(K168="",0,IF($AL$10="nC-2V･2W",DN165,0))</f>
        <v>0</v>
      </c>
      <c r="CO262" s="747">
        <f>IF(OR(AS168="3C-2V",AS169="3C-2V",$AL$10&lt;&gt;"nC-2V･2W"),0,IF(AB167="Ｃ",12+CY262-($X$9-$AM$9)/1000+DO168/36,DO167+DO168/36))</f>
        <v>0</v>
      </c>
      <c r="CP262" s="3609">
        <f>IF(OR(K169="10C-2V",$AL$10&lt;&gt;"nC-2V･2W"),0,IF(AB167="Ｃ",2+(DB164+DC164)/2,F166+2))</f>
        <v>0</v>
      </c>
      <c r="CQ262" s="3609"/>
      <c r="CR262" s="3606">
        <f>IF(OR(K169="7C-2V",$AL$10&lt;&gt;"nC-2V･2W"),0,IF(AB167="Ｃ",2+(DB164+DC164)/2,F166+2))</f>
        <v>0</v>
      </c>
      <c r="CS262" s="3633"/>
      <c r="CT262" s="746"/>
      <c r="CU262" s="86">
        <f>IF(R262="",0,IF($X$11="1端子",BD263,BG263))</f>
        <v>0</v>
      </c>
      <c r="CV262" s="95">
        <f>IF(OR(LEFT(K169,2)="5C",LEFT(K169,2)="5D"),$CA$285*(F166+2)/100,IF(OR(LEFT(K169,2)="7C",LEFT(K169,2)="8D"),$CB$285*(F166+2)/100,IF(OR(LEFT(K169,2)="10C",LEFT(K169,2)="12D"),$CC$285*(F166+2)/100,0)))</f>
        <v>0</v>
      </c>
      <c r="CW262" s="107">
        <f>IF(AND(AB167&lt;&gt;"Ｃ",AG166&lt;&gt;""),2+11,IF(AND(AB167&lt;&gt;"Ｃ",AK166&lt;&gt;""),3+11,0))</f>
        <v>14</v>
      </c>
      <c r="CX262" s="107" t="e">
        <f>V262+Y262+AE262+AH262+AK262+AN262+AR262+AV262+AZ262+CU262</f>
        <v>#VALUE!</v>
      </c>
      <c r="CY262" s="105">
        <f>IF(I166="直天",F166,I166)</f>
        <v>4</v>
      </c>
      <c r="CZ262" s="745"/>
      <c r="DA262" s="745"/>
      <c r="DB262" s="744"/>
      <c r="DC262" s="744"/>
      <c r="DD262" s="743"/>
      <c r="DE262" s="743"/>
      <c r="DF262" s="743"/>
      <c r="DG262" s="743"/>
      <c r="DH262" s="744"/>
      <c r="DI262" s="744"/>
      <c r="DJ262" s="743"/>
      <c r="DK262" s="743"/>
      <c r="DL262" s="743"/>
      <c r="DM262" s="743"/>
      <c r="DN262" s="743"/>
      <c r="DO262" s="743"/>
      <c r="DP262" s="744"/>
      <c r="DQ262" s="744"/>
      <c r="DR262" s="743"/>
      <c r="DS262" s="743"/>
      <c r="DT262" s="743"/>
      <c r="DU262" s="743"/>
      <c r="DV262" s="742"/>
    </row>
    <row r="263" spans="1:126" ht="11.25" customHeight="1">
      <c r="B263" s="23"/>
      <c r="C263" s="3661"/>
      <c r="D263" s="3662"/>
      <c r="E263" s="3663"/>
      <c r="F263" s="3616" t="str">
        <f>IF(Q161="","","方式不適")</f>
        <v/>
      </c>
      <c r="G263" s="3617"/>
      <c r="H263" s="3617"/>
      <c r="I263" s="3617"/>
      <c r="J263" s="3618"/>
      <c r="K263" s="3619" t="str">
        <f>IF(C262="","","Max.")</f>
        <v>Max.</v>
      </c>
      <c r="L263" s="3620"/>
      <c r="M263" s="3621"/>
      <c r="N263" s="3622">
        <f>IF(OR(C262="",AA166=""),"",$AG$15-14.5+40)</f>
        <v>90.5</v>
      </c>
      <c r="O263" s="3512"/>
      <c r="P263" s="3512"/>
      <c r="Q263" s="3513"/>
      <c r="R263" s="3516" t="str">
        <f>IF(R262="","",R262)</f>
        <v/>
      </c>
      <c r="S263" s="3516"/>
      <c r="T263" s="3516"/>
      <c r="U263" s="3623"/>
      <c r="V263" s="3624">
        <f>IF(C262="","",IF(AB167="Ｃ",11+(AG166-2)*2+11,IF(AG166="",0,AG166*11)))</f>
        <v>0</v>
      </c>
      <c r="W263" s="3625"/>
      <c r="X263" s="3626"/>
      <c r="Y263" s="3680"/>
      <c r="Z263" s="3681"/>
      <c r="AA263" s="3682"/>
      <c r="AB263" s="3686"/>
      <c r="AC263" s="3687"/>
      <c r="AD263" s="3688"/>
      <c r="AE263" s="3690"/>
      <c r="AF263" s="3681"/>
      <c r="AG263" s="3682"/>
      <c r="AH263" s="3680"/>
      <c r="AI263" s="3681"/>
      <c r="AJ263" s="3682"/>
      <c r="AK263" s="3680"/>
      <c r="AL263" s="3681"/>
      <c r="AM263" s="3692"/>
      <c r="AN263" s="3694" t="str">
        <f>IF(OR(C262="",C262="  RF",R262=""),"",IF($AL$10="nC-2V･2W",CL263*$CL$285/100,0))</f>
        <v/>
      </c>
      <c r="AO263" s="3694"/>
      <c r="AP263" s="3694"/>
      <c r="AQ263" s="3695"/>
      <c r="AR263" s="3511" t="str">
        <f>IF(OR(C262="",C262="  RF",R262=""),"",IF($AL$10="nC-2V･2W",CO263*$CM$285/100,IF($AL$10="nC-FB",CA263*$CA$285/100,IF($AL$10="nD-FB",CG263*$CE$285/100,0))))</f>
        <v/>
      </c>
      <c r="AS263" s="3512"/>
      <c r="AT263" s="3512"/>
      <c r="AU263" s="3513"/>
      <c r="AV263" s="3511" t="str">
        <f>IF(OR(C262="",C262="  RF",R262=""),"",IF($AL$10="nC-2V･2W",CP263*$CN$285/100,IF($AL$10="nC-FB",CB263*$CB$285/100,IF($AL$10="nD-FB",CH263*$CF$285/100,0))))</f>
        <v/>
      </c>
      <c r="AW263" s="3512"/>
      <c r="AX263" s="3512"/>
      <c r="AY263" s="3513"/>
      <c r="AZ263" s="3511" t="str">
        <f>IF(OR(C262="",C262="  RF",R262=""),"",IF($AL$10="nC-2V･2W",CR263*$CO$285/100,IF($AL$10="nC-FB",CD263*$CC$285/100,IF($AL$10="nD-FB",CJ263*$CH$285/100,0))))</f>
        <v/>
      </c>
      <c r="BA263" s="3512"/>
      <c r="BB263" s="3512"/>
      <c r="BC263" s="3514"/>
      <c r="BD263" s="3515" t="str">
        <f>IF(OR(C262="",C262="  RF",R262="",BD262=""),"",3+3)</f>
        <v/>
      </c>
      <c r="BE263" s="3516"/>
      <c r="BF263" s="3516"/>
      <c r="BG263" s="3516" t="str">
        <f>IF(OR(C262="",C262="  RF",R262="",BG262=""),"",3+5)</f>
        <v/>
      </c>
      <c r="BH263" s="3516"/>
      <c r="BI263" s="3623"/>
      <c r="BJ263" s="3622" t="str">
        <f>IF(OR(C262="",C262="  RF",R262="",BJ262=""),"",10)</f>
        <v/>
      </c>
      <c r="BK263" s="3512"/>
      <c r="BL263" s="3513"/>
      <c r="BM263" s="3516" t="str">
        <f>IF(OR(C262="",C262="  RF",R262="",BM262=""),"",12)</f>
        <v/>
      </c>
      <c r="BN263" s="3516"/>
      <c r="BO263" s="3623"/>
      <c r="BP263" s="3645" t="str">
        <f>IF(BP262="","",IF(N263&lt;&gt;"",N263-CX263,IF(F262="","",R263-CX263)))</f>
        <v/>
      </c>
      <c r="BQ263" s="3646"/>
      <c r="BR263" s="3646"/>
      <c r="BS263" s="3647" t="str">
        <f t="shared" si="138"/>
        <v/>
      </c>
      <c r="BT263" s="3648"/>
      <c r="BU263" s="19"/>
      <c r="BV263" s="82"/>
      <c r="BW263" s="82"/>
      <c r="BX263" s="3649" t="s">
        <v>498</v>
      </c>
      <c r="BY263" s="3650"/>
      <c r="BZ263" s="741">
        <f>IF(K168="",0,IF($AL$10="nC-FB",DN165,0))</f>
        <v>19.5</v>
      </c>
      <c r="CA263" s="740">
        <f>IF($AL$10&lt;&gt;"nC-FB",0,IF(AB167="Ｃ",12+CY262-($X$9-$AM$9)/1000+DO168/36,12+DO167+DO168/36))</f>
        <v>23.7</v>
      </c>
      <c r="CB263" s="3612">
        <f>IF(OR(K169="10C-FB",$AL$10&lt;&gt;"nC-FB",AB167=""),0,IF(AB167="Ｃ",2.5*AG166+(DB164+DC164)/2,F166+2))</f>
        <v>6</v>
      </c>
      <c r="CC263" s="3613"/>
      <c r="CD263" s="3640">
        <f>IF(OR(K169="7C-FB",$AL$10&lt;&gt;"nC-FB",AB167=""),0,IF(AB167="Ｃ",2.5*AG166+(DB164+DC164)/2,F166+2))</f>
        <v>6</v>
      </c>
      <c r="CE263" s="3641"/>
      <c r="CF263" s="750">
        <f>IF(K168="",0,IF($AL$10="nD-FB",DN165,0))</f>
        <v>0</v>
      </c>
      <c r="CG263" s="749">
        <f>IF($AL$10&lt;&gt;"nD-FB",0,IF(AB167="Ｃ",12+CY262-($X$9-$AM$9)/1000+DO168/36,IF(AB167="Ｂ",12+DO167+DO168/36)))</f>
        <v>0</v>
      </c>
      <c r="CH263" s="3651">
        <f>IF(OR(K169="12D-FB",$AL$10&lt;&gt;"nD-FB"),0,IF(AB167="Ｃ",2.5*AG166+(DB164+DC164)/2,F166+2))</f>
        <v>0</v>
      </c>
      <c r="CI263" s="3652"/>
      <c r="CJ263" s="3653">
        <f>IF(OR(K169="8D-FB",$AL$10&lt;&gt;"nD-FB"),0,IF(AB167="Ｃ",2.5*AG166+(DB164+DC164)/2,F166+2))</f>
        <v>0</v>
      </c>
      <c r="CK263" s="3654"/>
      <c r="CL263" s="3653">
        <f>IF(OR(AS168="5C-2V",AS169="5C-2V",$AL$10&lt;&gt;"nC-2V･2W"),0,IF(AB167="Ｃ",12+CY262-($X$9-$AM$9)/1000+DO168/36,DO167+DO168/36))</f>
        <v>0</v>
      </c>
      <c r="CM263" s="3655"/>
      <c r="CN263" s="749">
        <f>IF(K168="",0,IF($AL$10="nC-2V･2W",DN165,0))</f>
        <v>0</v>
      </c>
      <c r="CO263" s="749">
        <f>IF(OR(AS168="3C-2V",AS169="3C-2V",$AL$10&lt;&gt;"nC-2V･2W"),0,IF(AB167="Ｃ",12+CY262-($X$9-$AM$9)/1000+DO168/36,DO167+DO168/36))</f>
        <v>0</v>
      </c>
      <c r="CP263" s="3656">
        <f>IF(OR(K169="10C-2V",$AL$10&lt;&gt;"nC-2V･2W"),0,IF(AB167="Ｃ",2.5*AG166+(DB164+DC164)/2,F166+2))</f>
        <v>0</v>
      </c>
      <c r="CQ263" s="3656"/>
      <c r="CR263" s="3653">
        <f>IF(OR(K169="7C-2V",$AL$10&lt;&gt;"nC-2V･2W"),0,IF(AB167="Ｃ",2.5*AG166+(DB164+DC164)/2,F166+2))</f>
        <v>0</v>
      </c>
      <c r="CS263" s="3657"/>
      <c r="CT263" s="14"/>
      <c r="CU263" s="86">
        <f>IF(R262="",0,IF($X$11="1端子",BJ263,BM263))</f>
        <v>0</v>
      </c>
      <c r="CV263" s="487"/>
      <c r="CW263" s="710"/>
      <c r="CX263" s="98" t="e">
        <f>V263+Y262+AE262+AH262+AK262+AN263+AR263+AV263+AZ263+CU263</f>
        <v>#VALUE!</v>
      </c>
      <c r="CY263" s="738"/>
      <c r="CZ263" s="737"/>
      <c r="DA263" s="737"/>
      <c r="DB263" s="736"/>
      <c r="DC263" s="736"/>
      <c r="DD263" s="735"/>
      <c r="DE263" s="735"/>
      <c r="DF263" s="735"/>
      <c r="DG263" s="735"/>
      <c r="DH263" s="736"/>
      <c r="DI263" s="736"/>
      <c r="DJ263" s="735"/>
      <c r="DK263" s="735"/>
      <c r="DL263" s="735"/>
      <c r="DM263" s="735"/>
      <c r="DN263" s="735"/>
      <c r="DO263" s="735"/>
      <c r="DP263" s="736"/>
      <c r="DQ263" s="736"/>
      <c r="DR263" s="735"/>
      <c r="DS263" s="735"/>
      <c r="DT263" s="735"/>
      <c r="DU263" s="735"/>
      <c r="DV263" s="734"/>
    </row>
    <row r="264" spans="1:126" ht="11.25" customHeight="1">
      <c r="A264" s="8">
        <v>17</v>
      </c>
      <c r="B264" s="23"/>
      <c r="C264" s="3658" t="str">
        <f>IF(OR($B$2=0,$H$15="ＣＡＴＶ"),"",C175)</f>
        <v/>
      </c>
      <c r="D264" s="3659"/>
      <c r="E264" s="3660"/>
      <c r="F264" s="3664" t="str">
        <f>IF(I264&lt;&gt;"",I264,AB176)</f>
        <v/>
      </c>
      <c r="G264" s="3665"/>
      <c r="H264" s="91" t="s">
        <v>68</v>
      </c>
      <c r="I264" s="3666"/>
      <c r="J264" s="3667"/>
      <c r="K264" s="3668" t="str">
        <f>IF(C264="","","Min.")</f>
        <v/>
      </c>
      <c r="L264" s="3669"/>
      <c r="M264" s="3670"/>
      <c r="N264" s="3603" t="str">
        <f>IF(OR(C264="",AA175=""),"",$AG$15-14.7+40)</f>
        <v/>
      </c>
      <c r="O264" s="3597"/>
      <c r="P264" s="3597"/>
      <c r="Q264" s="3598"/>
      <c r="R264" s="3671" t="str">
        <f>IF(AND(BI23="設置",N264=""),AD174,"")</f>
        <v/>
      </c>
      <c r="S264" s="3672"/>
      <c r="T264" s="3672"/>
      <c r="U264" s="3673"/>
      <c r="V264" s="3674" t="str">
        <f>IF(C264="","",IF(AB176="Ｃ",11+(AG175-2)+11,IF(AG175="",0,AG175*11)))</f>
        <v/>
      </c>
      <c r="W264" s="3675"/>
      <c r="X264" s="3676"/>
      <c r="Y264" s="3677" t="str">
        <f>IF(C264="","",IF(AK175="",0,AK175*11))</f>
        <v/>
      </c>
      <c r="Z264" s="3678"/>
      <c r="AA264" s="3679"/>
      <c r="AB264" s="3683" t="str">
        <f>IF(OR(C264="",C264="  RF"),"",IF(AO175="",0,AO175*11))</f>
        <v/>
      </c>
      <c r="AC264" s="3684"/>
      <c r="AD264" s="3685"/>
      <c r="AE264" s="3689" t="str">
        <f>IF(C264="","",IF(AS175="",0,4))</f>
        <v/>
      </c>
      <c r="AF264" s="3678"/>
      <c r="AG264" s="3679"/>
      <c r="AH264" s="3677" t="str">
        <f>IF(C264="","",IF(AW175="",0,8))</f>
        <v/>
      </c>
      <c r="AI264" s="3678"/>
      <c r="AJ264" s="3679"/>
      <c r="AK264" s="3677" t="str">
        <f>IF(C264="","",IF(BA175="",0,12))</f>
        <v/>
      </c>
      <c r="AL264" s="3678"/>
      <c r="AM264" s="3691"/>
      <c r="AN264" s="3693" t="str">
        <f>IF(OR(C264="",C264="  RF",R264=""),"",IF($AL$10="nC-2V･2W",CL264*$CL$283/100,0))</f>
        <v/>
      </c>
      <c r="AO264" s="3693"/>
      <c r="AP264" s="3693"/>
      <c r="AQ264" s="3600"/>
      <c r="AR264" s="3596" t="str">
        <f>IF(OR(C264="",C264="  RF",R264=""),"",IF($AL$10="nC-2V･2W",CO264*$CM$283/100,IF($AL$10="nC-FB",CA264*$CA$283/100,IF($AL$10="nD-FB",CG264*$CE$283/100,0))))</f>
        <v/>
      </c>
      <c r="AS264" s="3597"/>
      <c r="AT264" s="3597"/>
      <c r="AU264" s="3598"/>
      <c r="AV264" s="3596" t="str">
        <f>IF(OR(C264="",C264="  RF",R264=""),"",IF($AL$10="nC-2V･2W",CP264*$CN$283/100,IF($AL$10="nC-FB",CB264*$CB$283/100,IF($AL$10="nD-FB",CH264*$CF$283/100,0))))</f>
        <v/>
      </c>
      <c r="AW264" s="3597"/>
      <c r="AX264" s="3597"/>
      <c r="AY264" s="3598"/>
      <c r="AZ264" s="3596" t="str">
        <f>IF(OR(C264="",C264="  RF",R264=""),"",IF($AL$10="nC-2V･2W",CR264*$CO$283/100,IF($AL$10="nC-FB",CD264*$CC$283/100,IF($AL$10="nD-FB",CJ264*$CH$283/100,0))))</f>
        <v/>
      </c>
      <c r="BA264" s="3597"/>
      <c r="BB264" s="3597"/>
      <c r="BC264" s="3599"/>
      <c r="BD264" s="3600" t="str">
        <f>IF(OR(C264="  RF",R264="",$X$11="2端子"),"","1端子")</f>
        <v/>
      </c>
      <c r="BE264" s="3601"/>
      <c r="BF264" s="3601"/>
      <c r="BG264" s="3601" t="str">
        <f>IF(OR(C264="  RF",R264="",$X$11="1端子"),"","2端子")</f>
        <v/>
      </c>
      <c r="BH264" s="3601"/>
      <c r="BI264" s="3602"/>
      <c r="BJ264" s="3603" t="str">
        <f>IF(OR(C264="  RF",R264="",$X$11="2端子"),"","1端子")</f>
        <v/>
      </c>
      <c r="BK264" s="3597"/>
      <c r="BL264" s="3598"/>
      <c r="BM264" s="3601" t="str">
        <f>IF(OR(C264="  RF",R264="",$X$11="1端子"),"","2端子")</f>
        <v/>
      </c>
      <c r="BN264" s="3601"/>
      <c r="BO264" s="3602"/>
      <c r="BP264" s="3634" t="str">
        <f>IF(OR(AK38="不要",F265="方式不適",R264=""),"",IF(N264&lt;&gt;"",N264-CX264,IF(F264="","",R264-CX264)))</f>
        <v/>
      </c>
      <c r="BQ264" s="3635"/>
      <c r="BR264" s="3635"/>
      <c r="BS264" s="3636" t="str">
        <f t="shared" si="138"/>
        <v/>
      </c>
      <c r="BT264" s="3637"/>
      <c r="BU264" s="19"/>
      <c r="BV264" s="82"/>
      <c r="BW264" s="82">
        <v>172</v>
      </c>
      <c r="BX264" s="3638" t="s">
        <v>1040</v>
      </c>
      <c r="BY264" s="3639"/>
      <c r="BZ264" s="748">
        <f>IF(K177="",0,IF($AL$10="nC-FB",DN174,0))</f>
        <v>0</v>
      </c>
      <c r="CA264" s="747" t="e">
        <f>IF($AL$10&lt;&gt;"nC-FB",0,IF(AB176="Ｃ",12+CY264-($X$9-$AM$9)/1000,12+DO176))</f>
        <v>#VALUE!</v>
      </c>
      <c r="CB264" s="3604">
        <f>IF(OR(K178="10C-FB",$AL$10&lt;&gt;"nC-FB",AB169=""),0,IF(AB176="Ｃ",2+(DB173+DC173)/2,F175+2))</f>
        <v>0</v>
      </c>
      <c r="CC264" s="3605"/>
      <c r="CD264" s="3594">
        <f>IF(OR(K178="7C-FB",$AL$10&lt;&gt;"nC-FB",AB176=""),0,IF(AB176="Ｃ",2+(DB173+DC173)/2,F175+2))</f>
        <v>0</v>
      </c>
      <c r="CE264" s="3595"/>
      <c r="CF264" s="748">
        <f>IF(K177="",0,IF($AL$10="nD-FB",DN174,0))</f>
        <v>0</v>
      </c>
      <c r="CG264" s="747">
        <f>IF($AL$10&lt;&gt;"nD-FB",0,IF(AB176="Ｃ",12+CY264-($X$9-$AM$9)/1000+DO177/36,DO176+DO177/36))</f>
        <v>0</v>
      </c>
      <c r="CH264" s="3604">
        <f>IF(OR(K178="12D-FB",$AL$10&lt;&gt;"nD-FB"),0,IF(AB176="Ｃ",2+(DB173+DC173)/2,F175+2))</f>
        <v>0</v>
      </c>
      <c r="CI264" s="3605"/>
      <c r="CJ264" s="3606">
        <f>IF(OR(K178="8D-FB",$AL$10&lt;&gt;"nD-FB"),0,IF(AB176="Ｃ",2+(DB173+DC173)/2,F175+2))</f>
        <v>0</v>
      </c>
      <c r="CK264" s="3607"/>
      <c r="CL264" s="3606">
        <f>IF(OR(AS177="5C-2V",AS178="5C-2V",$AL$10&lt;&gt;"nC-2V･2W"),0,IF(AB176="Ｃ",12+CY264-($X$9-$AM$9)/1000+DO177/36,DO176+DO177/36))</f>
        <v>0</v>
      </c>
      <c r="CM264" s="3608"/>
      <c r="CN264" s="747">
        <f>IF(K177="",0,IF($AL$10="nC-2V･2W",DN174,0))</f>
        <v>0</v>
      </c>
      <c r="CO264" s="747">
        <f>IF(OR(AS177="3C-2V",AS178="3C-2V",$AL$10&lt;&gt;"nC-2V･2W"),0,IF(AB176="Ｃ",12+CY264-($X$9-$AM$9)/1000+DO177/36,DO176+DO177/36))</f>
        <v>0</v>
      </c>
      <c r="CP264" s="3609">
        <f>IF(OR(K178="10C-2V",$AL$10&lt;&gt;"nC-2V･2W"),0,IF(AB176="Ｃ",2+(DB173+DC173)/2,F175+2))</f>
        <v>0</v>
      </c>
      <c r="CQ264" s="3609"/>
      <c r="CR264" s="3606">
        <f>IF(OR(K178="7C-2V",$AL$10&lt;&gt;"nC-2V･2W"),0,IF(AB176="Ｃ",2+(DB173+DC173)/2,F175+2))</f>
        <v>0</v>
      </c>
      <c r="CS264" s="3633"/>
      <c r="CT264" s="746"/>
      <c r="CU264" s="86">
        <f>IF(R264="",0,IF($X$11="1端子",BD265,BG265))</f>
        <v>0</v>
      </c>
      <c r="CV264" s="95">
        <f>IF(OR(LEFT(K178,2)="5C",LEFT(K178,2)="5D"),$CA$285*(F175+2)/100,IF(OR(LEFT(K178,2)="7C",LEFT(K178,2)="8D"),$CB$285*(F175+2)/100,IF(OR(LEFT(K178,2)="10C",LEFT(K178,2)="12D"),$CC$285*(F175+2)/100,0)))</f>
        <v>0</v>
      </c>
      <c r="CW264" s="107">
        <f>IF(AND(AB176&lt;&gt;"Ｃ",AG175&lt;&gt;""),2+11,IF(AND(AB176&lt;&gt;"Ｃ",AK175&lt;&gt;""),3+11,0))</f>
        <v>0</v>
      </c>
      <c r="CX264" s="107" t="e">
        <f>V264+Y264+AE264+AH264+AK264+AN264+AR264+AV264+AZ264+CU264</f>
        <v>#VALUE!</v>
      </c>
      <c r="CY264" s="105" t="str">
        <f>IF(I175="直天",F175,I175)</f>
        <v/>
      </c>
      <c r="CZ264" s="745"/>
      <c r="DA264" s="745"/>
      <c r="DB264" s="744"/>
      <c r="DC264" s="744"/>
      <c r="DD264" s="743"/>
      <c r="DE264" s="743"/>
      <c r="DF264" s="743"/>
      <c r="DG264" s="743"/>
      <c r="DH264" s="744"/>
      <c r="DI264" s="744"/>
      <c r="DJ264" s="743"/>
      <c r="DK264" s="743"/>
      <c r="DL264" s="743"/>
      <c r="DM264" s="743"/>
      <c r="DN264" s="743"/>
      <c r="DO264" s="743"/>
      <c r="DP264" s="744"/>
      <c r="DQ264" s="744"/>
      <c r="DR264" s="743"/>
      <c r="DS264" s="743"/>
      <c r="DT264" s="743"/>
      <c r="DU264" s="743"/>
      <c r="DV264" s="742"/>
    </row>
    <row r="265" spans="1:126" ht="11.25" customHeight="1">
      <c r="B265" s="23"/>
      <c r="C265" s="3661"/>
      <c r="D265" s="3662"/>
      <c r="E265" s="3663"/>
      <c r="F265" s="3616" t="str">
        <f>IF(Q170="","","方式不適")</f>
        <v/>
      </c>
      <c r="G265" s="3617"/>
      <c r="H265" s="3617"/>
      <c r="I265" s="3617"/>
      <c r="J265" s="3618"/>
      <c r="K265" s="3619" t="str">
        <f>IF(C264="","","Max.")</f>
        <v/>
      </c>
      <c r="L265" s="3620"/>
      <c r="M265" s="3621"/>
      <c r="N265" s="3622" t="str">
        <f>IF(OR(C264="",AA175=""),"",$AG$15-14.5+40)</f>
        <v/>
      </c>
      <c r="O265" s="3512"/>
      <c r="P265" s="3512"/>
      <c r="Q265" s="3513"/>
      <c r="R265" s="3516" t="str">
        <f>IF(R264="","",R264)</f>
        <v/>
      </c>
      <c r="S265" s="3516"/>
      <c r="T265" s="3516"/>
      <c r="U265" s="3623"/>
      <c r="V265" s="3624" t="str">
        <f>IF(C264="","",IF(AB176="Ｃ",11+(AG175-2)*2+11,IF(AG175="",0,AG175*11)))</f>
        <v/>
      </c>
      <c r="W265" s="3625"/>
      <c r="X265" s="3626"/>
      <c r="Y265" s="3680"/>
      <c r="Z265" s="3681"/>
      <c r="AA265" s="3682"/>
      <c r="AB265" s="3686"/>
      <c r="AC265" s="3687"/>
      <c r="AD265" s="3688"/>
      <c r="AE265" s="3690"/>
      <c r="AF265" s="3681"/>
      <c r="AG265" s="3682"/>
      <c r="AH265" s="3680"/>
      <c r="AI265" s="3681"/>
      <c r="AJ265" s="3682"/>
      <c r="AK265" s="3680"/>
      <c r="AL265" s="3681"/>
      <c r="AM265" s="3692"/>
      <c r="AN265" s="3694" t="str">
        <f>IF(OR(C264="",C264="  RF",R264=""),"",IF($AL$10="nC-2V･2W",CL265*$CL$285/100,0))</f>
        <v/>
      </c>
      <c r="AO265" s="3694"/>
      <c r="AP265" s="3694"/>
      <c r="AQ265" s="3695"/>
      <c r="AR265" s="3511" t="str">
        <f>IF(OR(C264="",C264="  RF",R264=""),"",IF($AL$10="nC-2V･2W",CO265*$CM$285/100,IF($AL$10="nC-FB",CA265*$CA$285/100,IF($AL$10="nD-FB",CG265*$CE$285/100,0))))</f>
        <v/>
      </c>
      <c r="AS265" s="3512"/>
      <c r="AT265" s="3512"/>
      <c r="AU265" s="3513"/>
      <c r="AV265" s="3511" t="str">
        <f>IF(OR(C264="",C264="  RF",R264=""),"",IF($AL$10="nC-2V･2W",CP265*$CN$285/100,IF($AL$10="nC-FB",CB265*$CB$285/100,IF($AL$10="nD-FB",CH265*$CF$285/100,0))))</f>
        <v/>
      </c>
      <c r="AW265" s="3512"/>
      <c r="AX265" s="3512"/>
      <c r="AY265" s="3513"/>
      <c r="AZ265" s="3511" t="str">
        <f>IF(OR(C264="",C264="  RF",R264=""),"",IF($AL$10="nC-2V･2W",CR265*$CO$285/100,IF($AL$10="nC-FB",CD265*$CC$285/100,IF($AL$10="nD-FB",CJ265*$CH$285/100,0))))</f>
        <v/>
      </c>
      <c r="BA265" s="3512"/>
      <c r="BB265" s="3512"/>
      <c r="BC265" s="3514"/>
      <c r="BD265" s="3515" t="str">
        <f>IF(OR(C264="",C264="  RF",R264="",BD264=""),"",3+3)</f>
        <v/>
      </c>
      <c r="BE265" s="3516"/>
      <c r="BF265" s="3516"/>
      <c r="BG265" s="3516" t="str">
        <f>IF(OR(C264="",C264="  RF",R264="",BG264=""),"",3+5)</f>
        <v/>
      </c>
      <c r="BH265" s="3516"/>
      <c r="BI265" s="3623"/>
      <c r="BJ265" s="3622" t="str">
        <f>IF(OR(C264="",C264="  RF",R264="",BJ264=""),"",10)</f>
        <v/>
      </c>
      <c r="BK265" s="3512"/>
      <c r="BL265" s="3513"/>
      <c r="BM265" s="3516" t="str">
        <f>IF(OR(C264="",C264="  RF",R264="",BM264=""),"",12)</f>
        <v/>
      </c>
      <c r="BN265" s="3516"/>
      <c r="BO265" s="3623"/>
      <c r="BP265" s="3645" t="str">
        <f>IF(BP264="","",IF(N265&lt;&gt;"",N265-CX265,IF(F264="","",R265-CX265)))</f>
        <v/>
      </c>
      <c r="BQ265" s="3646"/>
      <c r="BR265" s="3646"/>
      <c r="BS265" s="3647" t="str">
        <f t="shared" si="138"/>
        <v/>
      </c>
      <c r="BT265" s="3648"/>
      <c r="BU265" s="19"/>
      <c r="BV265" s="82"/>
      <c r="BW265" s="82"/>
      <c r="BX265" s="3649" t="s">
        <v>498</v>
      </c>
      <c r="BY265" s="3650"/>
      <c r="BZ265" s="741">
        <f>IF(K177="",0,IF($AL$10="nC-FB",DN174,0))</f>
        <v>0</v>
      </c>
      <c r="CA265" s="740" t="e">
        <f>IF($AL$10&lt;&gt;"nC-FB",0,IF(AB176="Ｃ",12+CY264-($X$9-$AM$9)/1000+DO177/36,12+DO176+DO177/36))</f>
        <v>#VALUE!</v>
      </c>
      <c r="CB265" s="3612">
        <f>IF(OR(K178="10C-FB",$AL$10&lt;&gt;"nC-FB",AB176=""),0,IF(AB176="Ｃ",2.5*AG175+(DB173+DC173)/2,F175+2))</f>
        <v>0</v>
      </c>
      <c r="CC265" s="3613"/>
      <c r="CD265" s="3640">
        <f>IF(OR(K178="7C-FB",$AL$10&lt;&gt;"nC-FB",AB176=""),0,IF(AB176="Ｃ",2.5*AG175+(DB173+DC173)/2,F175+2))</f>
        <v>0</v>
      </c>
      <c r="CE265" s="3641"/>
      <c r="CF265" s="750">
        <f>IF(K177="",0,IF($AL$10="nD-FB",DN174,0))</f>
        <v>0</v>
      </c>
      <c r="CG265" s="749">
        <f>IF($AL$10&lt;&gt;"nD-FB",0,IF(AB176="Ｃ",12+CY264-($X$9-$AM$9)/1000+DO177/36,IF(AB176="Ｂ",12+DO176+DO177/36)))</f>
        <v>0</v>
      </c>
      <c r="CH265" s="3651">
        <f>IF(OR(K178="12D-FB",$AL$10&lt;&gt;"nD-FB"),0,IF(AB176="Ｃ",2.5*AG175+(DB173+DC173)/2,F175+2))</f>
        <v>0</v>
      </c>
      <c r="CI265" s="3652"/>
      <c r="CJ265" s="3653">
        <f>IF(OR(K178="8D-FB",$AL$10&lt;&gt;"nD-FB"),0,IF(AB176="Ｃ",2.5*AG175+(DB173+DC173)/2,F175+2))</f>
        <v>0</v>
      </c>
      <c r="CK265" s="3654"/>
      <c r="CL265" s="3653">
        <f>IF(OR(AS177="5C-2V",AS178="5C-2V",$AL$10&lt;&gt;"nC-2V･2W"),0,IF(AB176="Ｃ",12+CY264-($X$9-$AM$9)/1000+DO177/36,DO176+DO177/36))</f>
        <v>0</v>
      </c>
      <c r="CM265" s="3655"/>
      <c r="CN265" s="749">
        <f>IF(K177="",0,IF($AL$10="nC-2V･2W",DN174,0))</f>
        <v>0</v>
      </c>
      <c r="CO265" s="749">
        <f>IF(OR(AS177="3C-2V",AS178="3C-2V",$AL$10&lt;&gt;"nC-2V･2W"),0,IF(AB176="Ｃ",12+CY264-($X$9-$AM$9)/1000+DO177/36,DO176+DO177/36))</f>
        <v>0</v>
      </c>
      <c r="CP265" s="3656">
        <f>IF(OR(K178="10C-2V",$AL$10&lt;&gt;"nC-2V･2W"),0,IF(AB176="Ｃ",2.5*AG175+(DB173+DC173)/2,F175+2))</f>
        <v>0</v>
      </c>
      <c r="CQ265" s="3656"/>
      <c r="CR265" s="3653">
        <f>IF(OR(K178="7C-2V",$AL$10&lt;&gt;"nC-2V･2W"),0,IF(AB176="Ｃ",2.5*AG175+(DB173+DC173)/2,F175+2))</f>
        <v>0</v>
      </c>
      <c r="CS265" s="3657"/>
      <c r="CT265" s="14"/>
      <c r="CU265" s="86">
        <f>IF(R264="",0,IF($X$11="1端子",BJ265,BM265))</f>
        <v>0</v>
      </c>
      <c r="CV265" s="487"/>
      <c r="CW265" s="710"/>
      <c r="CX265" s="98" t="e">
        <f>V265+Y264+AE264+AH264+AK264+AN265+AR265+AV265+AZ265+CU265</f>
        <v>#VALUE!</v>
      </c>
      <c r="CY265" s="738"/>
      <c r="CZ265" s="737"/>
      <c r="DA265" s="737"/>
      <c r="DB265" s="736"/>
      <c r="DC265" s="736"/>
      <c r="DD265" s="735"/>
      <c r="DE265" s="735"/>
      <c r="DF265" s="735"/>
      <c r="DG265" s="735"/>
      <c r="DH265" s="736"/>
      <c r="DI265" s="736"/>
      <c r="DJ265" s="735"/>
      <c r="DK265" s="735"/>
      <c r="DL265" s="735"/>
      <c r="DM265" s="735"/>
      <c r="DN265" s="735"/>
      <c r="DO265" s="735"/>
      <c r="DP265" s="736"/>
      <c r="DQ265" s="736"/>
      <c r="DR265" s="735"/>
      <c r="DS265" s="735"/>
      <c r="DT265" s="735"/>
      <c r="DU265" s="735"/>
      <c r="DV265" s="734"/>
    </row>
    <row r="266" spans="1:126" ht="11.25" customHeight="1">
      <c r="A266" s="8">
        <v>18</v>
      </c>
      <c r="B266" s="23"/>
      <c r="C266" s="3658" t="str">
        <f>IF(OR($B$2=0,$H$15="ＣＡＴＶ"),"",C184)</f>
        <v/>
      </c>
      <c r="D266" s="3659"/>
      <c r="E266" s="3660"/>
      <c r="F266" s="3664" t="str">
        <f>IF(I266&lt;&gt;"",I266,AB185)</f>
        <v/>
      </c>
      <c r="G266" s="3665"/>
      <c r="H266" s="91" t="s">
        <v>68</v>
      </c>
      <c r="I266" s="3666"/>
      <c r="J266" s="3667"/>
      <c r="K266" s="3668" t="str">
        <f>IF(C266="","","Min.")</f>
        <v/>
      </c>
      <c r="L266" s="3669"/>
      <c r="M266" s="3670"/>
      <c r="N266" s="3603" t="str">
        <f>IF(OR(C266="",AA184=""),"",$AG$15-14.7+40)</f>
        <v/>
      </c>
      <c r="O266" s="3597"/>
      <c r="P266" s="3597"/>
      <c r="Q266" s="3598"/>
      <c r="R266" s="3671" t="str">
        <f>IF(AND(BL23="設置",N266=""),AD183,"")</f>
        <v/>
      </c>
      <c r="S266" s="3672"/>
      <c r="T266" s="3672"/>
      <c r="U266" s="3673"/>
      <c r="V266" s="3674" t="str">
        <f>IF(C266="","",IF(AB185="Ｃ",11+(AG184-2)+11,IF(AG184="",0,AG184*11)))</f>
        <v/>
      </c>
      <c r="W266" s="3675"/>
      <c r="X266" s="3676"/>
      <c r="Y266" s="3677" t="str">
        <f>IF(C266="","",IF(AK184="",0,AK184*11))</f>
        <v/>
      </c>
      <c r="Z266" s="3678"/>
      <c r="AA266" s="3679"/>
      <c r="AB266" s="3683" t="str">
        <f>IF(OR(C266="",C266="  RF"),"",IF(AO184="",0,AO184*11))</f>
        <v/>
      </c>
      <c r="AC266" s="3684"/>
      <c r="AD266" s="3685"/>
      <c r="AE266" s="3689" t="str">
        <f>IF(C266="","",IF(AS184="",0,4))</f>
        <v/>
      </c>
      <c r="AF266" s="3678"/>
      <c r="AG266" s="3679"/>
      <c r="AH266" s="3677" t="str">
        <f>IF(C266="","",IF(AW184="",0,8))</f>
        <v/>
      </c>
      <c r="AI266" s="3678"/>
      <c r="AJ266" s="3679"/>
      <c r="AK266" s="3677" t="str">
        <f>IF(C266="","",IF(BA184="",0,12))</f>
        <v/>
      </c>
      <c r="AL266" s="3678"/>
      <c r="AM266" s="3691"/>
      <c r="AN266" s="3693" t="str">
        <f>IF(OR(C266="",C266="  RF",R266=""),"",IF($AL$10="nC-2V･2W",CL266*$CL$283/100,0))</f>
        <v/>
      </c>
      <c r="AO266" s="3693"/>
      <c r="AP266" s="3693"/>
      <c r="AQ266" s="3600"/>
      <c r="AR266" s="3596" t="str">
        <f>IF(OR(C266="",C266="  RF",R266=""),"",IF($AL$10="nC-2V･2W",CO266*$CM$283/100,IF($AL$10="nC-FB",CA266*$CA$283/100,IF($AL$10="nD-FB",CG266*$CE$283/100,0))))</f>
        <v/>
      </c>
      <c r="AS266" s="3597"/>
      <c r="AT266" s="3597"/>
      <c r="AU266" s="3598"/>
      <c r="AV266" s="3596" t="str">
        <f>IF(OR(C266="",C266="  RF",R266=""),"",IF($AL$10="nC-2V･2W",CP266*$CN$283/100,IF($AL$10="nC-FB",CB266*$CB$283/100,IF($AL$10="nD-FB",CH266*$CF$283/100,0))))</f>
        <v/>
      </c>
      <c r="AW266" s="3597"/>
      <c r="AX266" s="3597"/>
      <c r="AY266" s="3598"/>
      <c r="AZ266" s="3596" t="str">
        <f>IF(OR(C266="",C266="  RF",R266=""),"",IF($AL$10="nC-2V･2W",CR266*$CO$283/100,IF($AL$10="nC-FB",CD266*$CC$283/100,IF($AL$10="nD-FB",CJ266*$CH$283/100,0))))</f>
        <v/>
      </c>
      <c r="BA266" s="3597"/>
      <c r="BB266" s="3597"/>
      <c r="BC266" s="3599"/>
      <c r="BD266" s="3600" t="str">
        <f>IF(OR(C266="  RF",R266="",$X$11="2端子"),"","1端子")</f>
        <v/>
      </c>
      <c r="BE266" s="3601"/>
      <c r="BF266" s="3601"/>
      <c r="BG266" s="3601" t="str">
        <f>IF(OR(C266="  RF",R266="",$X$11="1端子"),"","2端子")</f>
        <v/>
      </c>
      <c r="BH266" s="3601"/>
      <c r="BI266" s="3602"/>
      <c r="BJ266" s="3603" t="str">
        <f>IF(OR(C266="  RF",R266="",$X$11="2端子"),"","1端子")</f>
        <v/>
      </c>
      <c r="BK266" s="3597"/>
      <c r="BL266" s="3598"/>
      <c r="BM266" s="3601" t="str">
        <f>IF(OR(C266="  RF",R266="",$X$11="1端子"),"","2端子")</f>
        <v/>
      </c>
      <c r="BN266" s="3601"/>
      <c r="BO266" s="3602"/>
      <c r="BP266" s="3634" t="str">
        <f>IF(OR(AK40="不要",F267="方式不適",R266=""),"",IF(N266&lt;&gt;"",N266-CX266,IF(F266="","",R266-CX266)))</f>
        <v/>
      </c>
      <c r="BQ266" s="3635"/>
      <c r="BR266" s="3635"/>
      <c r="BS266" s="3636" t="str">
        <f t="shared" si="138"/>
        <v/>
      </c>
      <c r="BT266" s="3637"/>
      <c r="BU266" s="19"/>
      <c r="BV266" s="82"/>
      <c r="BW266" s="82">
        <v>181</v>
      </c>
      <c r="BX266" s="3638" t="s">
        <v>1040</v>
      </c>
      <c r="BY266" s="3639"/>
      <c r="BZ266" s="748">
        <f>IF(K186="",0,IF($AL$10="nC-FB",DN183,0))</f>
        <v>0</v>
      </c>
      <c r="CA266" s="747" t="e">
        <f>IF($AL$10&lt;&gt;"nC-FB",0,IF(AB185="Ｃ",12+CY266-($X$9-$AM$9)/1000,12+DO185))</f>
        <v>#VALUE!</v>
      </c>
      <c r="CB266" s="3604">
        <f>IF(OR(K187="10C-FB",$AL$10&lt;&gt;"nC-FB",AB185=""),0,IF(AB185="Ｃ",2+(DB182+DC182)/2,F184+2))</f>
        <v>0</v>
      </c>
      <c r="CC266" s="3605"/>
      <c r="CD266" s="3594">
        <f>IF(OR(K187="7C-FB",$AL$10&lt;&gt;"nC-FB",AB185=""),0,IF(AB185="Ｃ",2+(DB182+DC182)/2,F184+2))</f>
        <v>0</v>
      </c>
      <c r="CE266" s="3595"/>
      <c r="CF266" s="748">
        <f>IF(K186="",0,IF($AL$10="nD-FB",DN183,0))</f>
        <v>0</v>
      </c>
      <c r="CG266" s="747">
        <f>IF($AL$10&lt;&gt;"nD-FB",0,IF(AB185="Ｃ",12+CY266-($X$9-$AM$9)/1000+DO186/36,DO185+DO186/36))</f>
        <v>0</v>
      </c>
      <c r="CH266" s="3604">
        <f>IF(OR(K187="12D-FB",$AL$10&lt;&gt;"nD-FB"),0,IF(AB185="Ｃ",2+(DB182+DC182)/2,F184+2))</f>
        <v>0</v>
      </c>
      <c r="CI266" s="3605"/>
      <c r="CJ266" s="3606">
        <f>IF(OR(K187="8D-FB",$AL$10&lt;&gt;"nD-FB"),0,IF(AB185="Ｃ",2+(DB182+DC182)/2,F184+2))</f>
        <v>0</v>
      </c>
      <c r="CK266" s="3607"/>
      <c r="CL266" s="3606">
        <f>IF(OR(AS186="5C-2V",AS187="5C-2V",$AL$10&lt;&gt;"nC-2V･2W"),0,IF(AB185="Ｃ",12+CY266-($X$9-$AM$9)/1000+DO186/36,DO185+DO186/36))</f>
        <v>0</v>
      </c>
      <c r="CM266" s="3608"/>
      <c r="CN266" s="747">
        <f>IF(K186="",0,IF($AL$10="nC-2V･2W",DN183,0))</f>
        <v>0</v>
      </c>
      <c r="CO266" s="747">
        <f>IF(OR(AS186="3C-2V",AS187="3C-2V",$AL$10&lt;&gt;"nC-2V･2W"),0,IF(AB185="Ｃ",12+CY266-($X$9-$AM$9)/1000+DO186/36,DO185+DO186/36))</f>
        <v>0</v>
      </c>
      <c r="CP266" s="3609">
        <f>IF(OR(K187="10C-2V",$AL$10&lt;&gt;"nC-2V･2W"),0,IF(AB185="Ｃ",2+(DB182+DC182)/2,F184+2))</f>
        <v>0</v>
      </c>
      <c r="CQ266" s="3609"/>
      <c r="CR266" s="3606">
        <f>IF(OR(K187="7C-2V",$AL$10&lt;&gt;"nC-2V･2W"),0,IF(AB185="Ｃ",2+(DB182+DC182)/2,F184+2))</f>
        <v>0</v>
      </c>
      <c r="CS266" s="3633"/>
      <c r="CT266" s="746"/>
      <c r="CU266" s="86">
        <f>IF(R266="",0,IF($X$11="1端子",BD267,BG267))</f>
        <v>0</v>
      </c>
      <c r="CV266" s="95">
        <f>IF(OR(LEFT(K187,2)="5C",LEFT(K187,2)="5D"),$CA$285*(F184+2)/100,IF(OR(LEFT(K187,2)="7C",LEFT(K187,2)="8D"),$CB$285*(F184+2)/100,IF(OR(LEFT(K187,2)="10C",LEFT(K187,2)="12D"),$CC$285*(F184+2)/100,0)))</f>
        <v>0</v>
      </c>
      <c r="CW266" s="107">
        <f>IF(AND(AB185&lt;&gt;"Ｃ",AG184&lt;&gt;""),2+11,IF(AND(AB185&lt;&gt;"Ｃ",AK184&lt;&gt;""),3+11,0))</f>
        <v>0</v>
      </c>
      <c r="CX266" s="107" t="e">
        <f>V266+Y266+AE266+AH266+AK266+AN266+AR266+AV266+AZ266+CU266</f>
        <v>#VALUE!</v>
      </c>
      <c r="CY266" s="105" t="str">
        <f>IF(I184="直天",F184,I184)</f>
        <v/>
      </c>
      <c r="CZ266" s="745"/>
      <c r="DA266" s="745"/>
      <c r="DB266" s="744"/>
      <c r="DC266" s="744"/>
      <c r="DD266" s="743"/>
      <c r="DE266" s="743"/>
      <c r="DF266" s="743"/>
      <c r="DG266" s="743"/>
      <c r="DH266" s="744"/>
      <c r="DI266" s="744"/>
      <c r="DJ266" s="743"/>
      <c r="DK266" s="743"/>
      <c r="DL266" s="743"/>
      <c r="DM266" s="743"/>
      <c r="DN266" s="743"/>
      <c r="DO266" s="743"/>
      <c r="DP266" s="744"/>
      <c r="DQ266" s="744"/>
      <c r="DR266" s="743"/>
      <c r="DS266" s="743"/>
      <c r="DT266" s="743"/>
      <c r="DU266" s="743"/>
      <c r="DV266" s="742"/>
    </row>
    <row r="267" spans="1:126" ht="11.25" customHeight="1">
      <c r="B267" s="23"/>
      <c r="C267" s="3661"/>
      <c r="D267" s="3662"/>
      <c r="E267" s="3663"/>
      <c r="F267" s="3616" t="str">
        <f>IF(Q179="","","方式不適")</f>
        <v/>
      </c>
      <c r="G267" s="3617"/>
      <c r="H267" s="3617"/>
      <c r="I267" s="3617"/>
      <c r="J267" s="3618"/>
      <c r="K267" s="3619" t="str">
        <f>IF(C266="","","Max.")</f>
        <v/>
      </c>
      <c r="L267" s="3620"/>
      <c r="M267" s="3621"/>
      <c r="N267" s="3622" t="str">
        <f>IF(OR(C266="",AA184=""),"",$AG$15-14.5+40)</f>
        <v/>
      </c>
      <c r="O267" s="3512"/>
      <c r="P267" s="3512"/>
      <c r="Q267" s="3513"/>
      <c r="R267" s="3516" t="str">
        <f>IF(R266="","",R266)</f>
        <v/>
      </c>
      <c r="S267" s="3516"/>
      <c r="T267" s="3516"/>
      <c r="U267" s="3623"/>
      <c r="V267" s="3624" t="str">
        <f>IF(C266="","",IF(AB185="Ｃ",11+(AG184-2)*2+11,IF(AG184="",0,AG184*11)))</f>
        <v/>
      </c>
      <c r="W267" s="3625"/>
      <c r="X267" s="3626"/>
      <c r="Y267" s="3680"/>
      <c r="Z267" s="3681"/>
      <c r="AA267" s="3682"/>
      <c r="AB267" s="3686"/>
      <c r="AC267" s="3687"/>
      <c r="AD267" s="3688"/>
      <c r="AE267" s="3690"/>
      <c r="AF267" s="3681"/>
      <c r="AG267" s="3682"/>
      <c r="AH267" s="3680"/>
      <c r="AI267" s="3681"/>
      <c r="AJ267" s="3682"/>
      <c r="AK267" s="3680"/>
      <c r="AL267" s="3681"/>
      <c r="AM267" s="3692"/>
      <c r="AN267" s="3694" t="str">
        <f>IF(OR(C266="",C266="  RF",R266=""),"",IF($AL$10="nC-2V･2W",CL267*$CL$285/100,0))</f>
        <v/>
      </c>
      <c r="AO267" s="3694"/>
      <c r="AP267" s="3694"/>
      <c r="AQ267" s="3695"/>
      <c r="AR267" s="3511" t="str">
        <f>IF(OR(C266="",C266="  RF",R266=""),"",IF($AL$10="nC-2V･2W",CO267*$CM$285/100,IF($AL$10="nC-FB",CA267*$CA$285/100,IF($AL$10="nD-FB",CG267*$CE$285/100,0))))</f>
        <v/>
      </c>
      <c r="AS267" s="3512"/>
      <c r="AT267" s="3512"/>
      <c r="AU267" s="3513"/>
      <c r="AV267" s="3511" t="str">
        <f>IF(OR(C266="",C266="  RF",R266=""),"",IF($AL$10="nC-2V･2W",CP267*$CN$285/100,IF($AL$10="nC-FB",CB267*$CB$285/100,IF($AL$10="nD-FB",CH267*$CF$285/100,0))))</f>
        <v/>
      </c>
      <c r="AW267" s="3512"/>
      <c r="AX267" s="3512"/>
      <c r="AY267" s="3513"/>
      <c r="AZ267" s="3511" t="str">
        <f>IF(OR(C266="",C266="  RF",R266=""),"",IF($AL$10="nC-2V･2W",CR267*$CO$285/100,IF($AL$10="nC-FB",CD267*$CC$285/100,IF($AL$10="nD-FB",CJ267*$CH$285/100,0))))</f>
        <v/>
      </c>
      <c r="BA267" s="3512"/>
      <c r="BB267" s="3512"/>
      <c r="BC267" s="3514"/>
      <c r="BD267" s="3515" t="str">
        <f>IF(OR(C266="",C266="  RF",R266="",BD266=""),"",3+3)</f>
        <v/>
      </c>
      <c r="BE267" s="3516"/>
      <c r="BF267" s="3516"/>
      <c r="BG267" s="3516" t="str">
        <f>IF(OR(C266="",C266="  RF",R266="",BG266=""),"",3+5)</f>
        <v/>
      </c>
      <c r="BH267" s="3516"/>
      <c r="BI267" s="3623"/>
      <c r="BJ267" s="3622" t="str">
        <f>IF(OR(C266="",C266="  RF",R266="",BJ266=""),"",10)</f>
        <v/>
      </c>
      <c r="BK267" s="3512"/>
      <c r="BL267" s="3513"/>
      <c r="BM267" s="3516" t="str">
        <f>IF(OR(C266="",C266="  RF",R266="",BM266=""),"",12)</f>
        <v/>
      </c>
      <c r="BN267" s="3516"/>
      <c r="BO267" s="3623"/>
      <c r="BP267" s="3645" t="str">
        <f>IF(BP266="","",IF(N267&lt;&gt;"",N267-CX267,IF(F266="","",R267-CX267)))</f>
        <v/>
      </c>
      <c r="BQ267" s="3646"/>
      <c r="BR267" s="3646"/>
      <c r="BS267" s="3647" t="str">
        <f t="shared" si="138"/>
        <v/>
      </c>
      <c r="BT267" s="3648"/>
      <c r="BU267" s="19"/>
      <c r="BV267" s="82"/>
      <c r="BW267" s="82"/>
      <c r="BX267" s="3649" t="s">
        <v>498</v>
      </c>
      <c r="BY267" s="3650"/>
      <c r="BZ267" s="741">
        <f>IF(K186="",0,IF($AL$10="nC-FB",DN183,0))</f>
        <v>0</v>
      </c>
      <c r="CA267" s="740" t="e">
        <f>IF($AL$10&lt;&gt;"nC-FB",0,IF(AB185="Ｃ",12+CY266-($X$9-$AM$9)/1000+DO186/36,12+DO185+DO186/36))</f>
        <v>#VALUE!</v>
      </c>
      <c r="CB267" s="3612">
        <f>IF(OR(K187="10C-FB",$AL$10&lt;&gt;"nC-FB",AB185=""),0,IF(AB185="Ｃ",2.5*AG184+(DB182+DC182)/2,F184+2))</f>
        <v>0</v>
      </c>
      <c r="CC267" s="3613"/>
      <c r="CD267" s="3640">
        <f>IF(OR(K187="7C-FB",$AL$10&lt;&gt;"nC-FB",AB185=""),0,IF(AB185="Ｃ",2.5*AG184+(DB182+DC182)/2,F184+2))</f>
        <v>0</v>
      </c>
      <c r="CE267" s="3641"/>
      <c r="CF267" s="750">
        <f>IF(K186="",0,IF($AL$10="nD-FB",DN183,0))</f>
        <v>0</v>
      </c>
      <c r="CG267" s="749">
        <f>IF($AL$10&lt;&gt;"nD-FB",0,IF(AB185="Ｃ",12+CY266-($X$9-$AM$9)/1000+DO186/36,IF(AB185="Ｂ",12+DO185+DO186/36)))</f>
        <v>0</v>
      </c>
      <c r="CH267" s="3651">
        <f>IF(OR(K187="12D-FB",$AL$10&lt;&gt;"nD-FB"),0,IF(AB185="Ｃ",2.5*AG184+(DB182+DC182)/2,F184+2))</f>
        <v>0</v>
      </c>
      <c r="CI267" s="3652"/>
      <c r="CJ267" s="3653">
        <f>IF(OR(K187="8D-FB",$AL$10&lt;&gt;"nD-FB"),0,IF(AB185="Ｃ",2.5*AG184+(DB182+DC182)/2,F184+2))</f>
        <v>0</v>
      </c>
      <c r="CK267" s="3654"/>
      <c r="CL267" s="3653">
        <f>IF(OR(AS186="5C-2V",AS187="5C-2V",$AL$10&lt;&gt;"nC-2V･2W"),0,IF(AB185="Ｃ",12+CY266-($X$9-$AM$9)/1000+DO186/36,DO185+DO186/36))</f>
        <v>0</v>
      </c>
      <c r="CM267" s="3655"/>
      <c r="CN267" s="749">
        <f>IF(K186="",0,IF($AL$10="nC-2V･2W",DN183,0))</f>
        <v>0</v>
      </c>
      <c r="CO267" s="749">
        <f>IF(OR(AS186="3C-2V",AS187="3C-2V",$AL$10&lt;&gt;"nC-2V･2W"),0,IF(AB185="Ｃ",12+CY266-($X$9-$AM$9)/1000+DO186/36,DO185+DO186/36))</f>
        <v>0</v>
      </c>
      <c r="CP267" s="3656">
        <f>IF(OR(K187="10C-2V",$AL$10&lt;&gt;"nC-2V･2W"),0,IF(AB185="Ｃ",2.5*AG184+(DB182+DC182)/2,F184+2))</f>
        <v>0</v>
      </c>
      <c r="CQ267" s="3656"/>
      <c r="CR267" s="3653">
        <f>IF(OR(K187="7C-2V",$AL$10&lt;&gt;"nC-2V･2W"),0,IF(AB185="Ｃ",2.5*AG184+(DB182+DC182)/2,F184+2))</f>
        <v>0</v>
      </c>
      <c r="CS267" s="3657"/>
      <c r="CT267" s="14"/>
      <c r="CU267" s="86">
        <f>IF(R266="",0,IF($X$11="1端子",BJ267,BM267))</f>
        <v>0</v>
      </c>
      <c r="CV267" s="487"/>
      <c r="CW267" s="710"/>
      <c r="CX267" s="98" t="e">
        <f>V267+Y266+AE266+AH266+AK266+AN267+AR267+AV267+AZ267+CU267</f>
        <v>#VALUE!</v>
      </c>
      <c r="CY267" s="738"/>
      <c r="CZ267" s="737"/>
      <c r="DA267" s="737"/>
      <c r="DB267" s="736"/>
      <c r="DC267" s="736"/>
      <c r="DD267" s="735"/>
      <c r="DE267" s="735"/>
      <c r="DF267" s="735"/>
      <c r="DG267" s="735"/>
      <c r="DH267" s="736"/>
      <c r="DI267" s="736"/>
      <c r="DJ267" s="735"/>
      <c r="DK267" s="735"/>
      <c r="DL267" s="735"/>
      <c r="DM267" s="735"/>
      <c r="DN267" s="735"/>
      <c r="DO267" s="735"/>
      <c r="DP267" s="736"/>
      <c r="DQ267" s="736"/>
      <c r="DR267" s="735"/>
      <c r="DS267" s="735"/>
      <c r="DT267" s="735"/>
      <c r="DU267" s="735"/>
      <c r="DV267" s="734"/>
    </row>
    <row r="268" spans="1:126" ht="11.25" customHeight="1">
      <c r="A268" s="8">
        <v>19</v>
      </c>
      <c r="B268" s="23"/>
      <c r="C268" s="3658" t="str">
        <f>IF(OR($B$2=0,$H$15="ＣＡＴＶ"),"",C193)</f>
        <v/>
      </c>
      <c r="D268" s="3659"/>
      <c r="E268" s="3660"/>
      <c r="F268" s="3664" t="str">
        <f>IF(I268&lt;&gt;"",I268,AB194)</f>
        <v/>
      </c>
      <c r="G268" s="3665"/>
      <c r="H268" s="91" t="s">
        <v>68</v>
      </c>
      <c r="I268" s="3666"/>
      <c r="J268" s="3667"/>
      <c r="K268" s="3668" t="str">
        <f>IF(C268="","","Min.")</f>
        <v/>
      </c>
      <c r="L268" s="3669"/>
      <c r="M268" s="3670"/>
      <c r="N268" s="3603" t="str">
        <f>IF(OR(C268="",AA193=""),"",$AG$15-14.7+40)</f>
        <v/>
      </c>
      <c r="O268" s="3597"/>
      <c r="P268" s="3597"/>
      <c r="Q268" s="3598"/>
      <c r="R268" s="3671" t="str">
        <f>IF(AND(BO23="設置",N268=""),AD192,"")</f>
        <v/>
      </c>
      <c r="S268" s="3672"/>
      <c r="T268" s="3672"/>
      <c r="U268" s="3673"/>
      <c r="V268" s="3674" t="str">
        <f>IF(C268="","",IF(AB194="Ｃ",11+(AG193-2)+11,IF(AG193="",0,AG193*11)))</f>
        <v/>
      </c>
      <c r="W268" s="3675"/>
      <c r="X268" s="3676"/>
      <c r="Y268" s="3677" t="str">
        <f>IF(C268="","",IF(AK193="",0,AK143*11))</f>
        <v/>
      </c>
      <c r="Z268" s="3678"/>
      <c r="AA268" s="3679"/>
      <c r="AB268" s="3683" t="str">
        <f>IF(OR(C268="",C268="  RF"),"",IF(AO193="",0,AO193*11))</f>
        <v/>
      </c>
      <c r="AC268" s="3684"/>
      <c r="AD268" s="3685"/>
      <c r="AE268" s="3689" t="str">
        <f>IF(C268="","",IF(AS193="",0,4))</f>
        <v/>
      </c>
      <c r="AF268" s="3678"/>
      <c r="AG268" s="3679"/>
      <c r="AH268" s="3677" t="str">
        <f>IF(C268="","",IF(AW193="",0,8))</f>
        <v/>
      </c>
      <c r="AI268" s="3678"/>
      <c r="AJ268" s="3679"/>
      <c r="AK268" s="3677" t="str">
        <f>IF(C268="","",IF(BA193="",0,12))</f>
        <v/>
      </c>
      <c r="AL268" s="3678"/>
      <c r="AM268" s="3691"/>
      <c r="AN268" s="3693" t="str">
        <f>IF(OR(C268="",C268="  RF",R268=""),"",IF($AL$10="nC-2V･2W",CL268*$CL$283/100,0))</f>
        <v/>
      </c>
      <c r="AO268" s="3693"/>
      <c r="AP268" s="3693"/>
      <c r="AQ268" s="3600"/>
      <c r="AR268" s="3596" t="str">
        <f>IF(OR(C268="",C268="  RF",R268=""),"",IF($AL$10="nC-2V･2W",CO268*$CM$283/100,IF($AL$10="nC-FB",CA268*$CA$283/100,IF($AL$10="nD-FB",CG268*$CE$283/100,0))))</f>
        <v/>
      </c>
      <c r="AS268" s="3597"/>
      <c r="AT268" s="3597"/>
      <c r="AU268" s="3598"/>
      <c r="AV268" s="3596" t="str">
        <f>IF(OR(C268="",C268="  RF",R268=""),"",IF($AL$10="nC-2V･2W",CP268*$CN$283/100,IF($AL$10="nC-FB",CB268*$CB$283/100,IF($AL$10="nD-FB",CH268*$CF$283/100,0))))</f>
        <v/>
      </c>
      <c r="AW268" s="3597"/>
      <c r="AX268" s="3597"/>
      <c r="AY268" s="3598"/>
      <c r="AZ268" s="3596" t="str">
        <f>IF(OR(C268="",C268="  RF",R268=""),"",IF($AL$10="nC-2V･2W",CR268*$CO$283/100,IF($AL$10="nC-FB",CD268*$CC$283/100,IF($AL$10="nD-FB",CJ268*$CH$283/100,0))))</f>
        <v/>
      </c>
      <c r="BA268" s="3597"/>
      <c r="BB268" s="3597"/>
      <c r="BC268" s="3599"/>
      <c r="BD268" s="3600" t="str">
        <f>IF(OR(C268="  RF",R268="",$X$11="2端子"),"","1端子")</f>
        <v/>
      </c>
      <c r="BE268" s="3601"/>
      <c r="BF268" s="3601"/>
      <c r="BG268" s="3601" t="str">
        <f>IF(OR(C268="  RF",R268="",$X$11="1端子"),"","2端子")</f>
        <v/>
      </c>
      <c r="BH268" s="3601"/>
      <c r="BI268" s="3602"/>
      <c r="BJ268" s="3603" t="str">
        <f>IF(OR(C268="  RF",R268="",$X$11="2端子"),"","1端子")</f>
        <v/>
      </c>
      <c r="BK268" s="3597"/>
      <c r="BL268" s="3598"/>
      <c r="BM268" s="3601" t="str">
        <f>IF(OR(C268="  RF",R268="",$X$11="1端子"),"","2端子")</f>
        <v/>
      </c>
      <c r="BN268" s="3601"/>
      <c r="BO268" s="3602"/>
      <c r="BP268" s="3634" t="str">
        <f>IF(OR(AK42="不要",F269="方式不適",R268=""),"",IF(N268&lt;&gt;"",N268-CX268,IF(F268="","",R268-CX268)))</f>
        <v/>
      </c>
      <c r="BQ268" s="3635"/>
      <c r="BR268" s="3635"/>
      <c r="BS268" s="3636" t="str">
        <f t="shared" si="138"/>
        <v/>
      </c>
      <c r="BT268" s="3637"/>
      <c r="BU268" s="19"/>
      <c r="BV268" s="82"/>
      <c r="BW268" s="82">
        <v>191</v>
      </c>
      <c r="BX268" s="3638" t="s">
        <v>1040</v>
      </c>
      <c r="BY268" s="3639"/>
      <c r="BZ268" s="748">
        <f>IF(K195="",0,IF($AL$10="nC-FB",DN192,0))</f>
        <v>0</v>
      </c>
      <c r="CA268" s="747" t="e">
        <f>IF($AL$10&lt;&gt;"nC-FB",0,IF(AB194="Ｃ",12+CY268-($X$9-$AM$9)/1000,12+DO194))</f>
        <v>#VALUE!</v>
      </c>
      <c r="CB268" s="3604">
        <f>IF(OR(K196="10C-FB",$AL$10&lt;&gt;"nC-FB",AB194=""),0,IF(AB194="Ｃ",2+(DB191+DC191)/2,F193+2))</f>
        <v>0</v>
      </c>
      <c r="CC268" s="3605"/>
      <c r="CD268" s="3594">
        <f>IF(OR(K196="7C-FB",$AL$10&lt;&gt;"nC-FB",AB194=""),0,IF(AB194="Ｃ",2+(DB191+DC191)/2,F193+2))</f>
        <v>0</v>
      </c>
      <c r="CE268" s="3595"/>
      <c r="CF268" s="748">
        <f>IF(K195="",0,IF($AL$10="nD-FB",DN192,0))</f>
        <v>0</v>
      </c>
      <c r="CG268" s="747">
        <f>IF($AL$10&lt;&gt;"nD-FB",0,IF(AB194="Ｃ",12+CY268-($X$9-$AM$9)/1000+DO195/36,DO194+DO195/36))</f>
        <v>0</v>
      </c>
      <c r="CH268" s="3604">
        <f>IF(OR(K196="12D-FB",$AL$10&lt;&gt;"nD-FB"),0,IF(AB194="Ｃ",2+(DB191+DC191)/2,F193+2))</f>
        <v>0</v>
      </c>
      <c r="CI268" s="3605"/>
      <c r="CJ268" s="3606">
        <f>IF(OR(K196="8D-FB",$AL$10&lt;&gt;"nD-FB"),0,IF(AB194="Ｃ",2+(DB191+DC191)/2,F193+2))</f>
        <v>0</v>
      </c>
      <c r="CK268" s="3607"/>
      <c r="CL268" s="3606">
        <f>IF(OR(AS195="5C-2V",AS196="5C-2V",$AL$10&lt;&gt;"nC-2V･2W"),0,IF(AB194="Ｃ",12+CY268-($X$9-$AM$9)/1000+DO195/36,DO194+DO195/36))</f>
        <v>0</v>
      </c>
      <c r="CM268" s="3608"/>
      <c r="CN268" s="747">
        <f>IF(K195="",0,IF($AL$10="nC-2V･2W",DN192,0))</f>
        <v>0</v>
      </c>
      <c r="CO268" s="747">
        <f>IF(OR(AS195="3C-2V",AS196="3C-2V",$AL$10&lt;&gt;"nC-2V･2W"),0,IF(AB194="Ｃ",12+CY268-($X$9-$AM$9)/1000+DO195/36,DO194+DO195/36))</f>
        <v>0</v>
      </c>
      <c r="CP268" s="3609">
        <f>IF(OR(K196="10C-2V",$AL$10&lt;&gt;"nC-2V･2W"),0,IF(AB194="Ｃ",2+(DB191+DC191)/2,F193+2))</f>
        <v>0</v>
      </c>
      <c r="CQ268" s="3609"/>
      <c r="CR268" s="3606">
        <f>IF(OR(K196="7C-2V",$AL$10&lt;&gt;"nC-2V･2W"),0,IF(AB194="Ｃ",2+(DB191+DC191)/2,F193+2))</f>
        <v>0</v>
      </c>
      <c r="CS268" s="3633"/>
      <c r="CT268" s="746"/>
      <c r="CU268" s="86">
        <f>IF(R268="",0,IF($X$11="1端子",BD269,BG269))</f>
        <v>0</v>
      </c>
      <c r="CV268" s="95">
        <f>IF(OR(LEFT(K196,2)="5C",LEFT(K196,2)="5D"),$CA$285*(F193+2)/100,IF(OR(LEFT(K196,2)="7C",LEFT(K196,2)="8D"),$CB$285*(F193+2)/100,IF(OR(LEFT(K196,2)="10C",LEFT(K196,2)="12D"),$CC$285*(F193+2)/100,0)))</f>
        <v>0</v>
      </c>
      <c r="CW268" s="107">
        <f>IF(AND(AB194&lt;&gt;"Ｃ",AG193&lt;&gt;""),2+11,IF(AND(AB194&lt;&gt;"Ｃ",AK193&lt;&gt;""),3+11,0))</f>
        <v>0</v>
      </c>
      <c r="CX268" s="107" t="e">
        <f>V268+Y268+AE268+AH268+AK268+AN268+AR268+AV268+AZ268+CU268</f>
        <v>#VALUE!</v>
      </c>
      <c r="CY268" s="105" t="str">
        <f>IF(I193="直天",F193,I193)</f>
        <v/>
      </c>
      <c r="CZ268" s="745"/>
      <c r="DA268" s="745"/>
      <c r="DB268" s="744"/>
      <c r="DC268" s="744"/>
      <c r="DD268" s="743"/>
      <c r="DE268" s="743"/>
      <c r="DF268" s="743"/>
      <c r="DG268" s="743"/>
      <c r="DH268" s="744"/>
      <c r="DI268" s="744"/>
      <c r="DJ268" s="743"/>
      <c r="DK268" s="743"/>
      <c r="DL268" s="743"/>
      <c r="DM268" s="743"/>
      <c r="DN268" s="743"/>
      <c r="DO268" s="743"/>
      <c r="DP268" s="744"/>
      <c r="DQ268" s="744"/>
      <c r="DR268" s="743"/>
      <c r="DS268" s="743"/>
      <c r="DT268" s="743"/>
      <c r="DU268" s="743"/>
      <c r="DV268" s="742"/>
    </row>
    <row r="269" spans="1:126" ht="11.25" customHeight="1">
      <c r="B269" s="23"/>
      <c r="C269" s="3661"/>
      <c r="D269" s="3662"/>
      <c r="E269" s="3663"/>
      <c r="F269" s="3616" t="str">
        <f>IF(Q188="","","方式不適")</f>
        <v/>
      </c>
      <c r="G269" s="3617"/>
      <c r="H269" s="3617"/>
      <c r="I269" s="3617"/>
      <c r="J269" s="3618"/>
      <c r="K269" s="3619" t="str">
        <f>IF(C268="","","Max.")</f>
        <v/>
      </c>
      <c r="L269" s="3620"/>
      <c r="M269" s="3621"/>
      <c r="N269" s="3622" t="str">
        <f>IF(OR(C268="",AA193=""),"",$AG$15-14.5+40)</f>
        <v/>
      </c>
      <c r="O269" s="3512"/>
      <c r="P269" s="3512"/>
      <c r="Q269" s="3513"/>
      <c r="R269" s="3516" t="str">
        <f>IF(R268="","",R268)</f>
        <v/>
      </c>
      <c r="S269" s="3516"/>
      <c r="T269" s="3516"/>
      <c r="U269" s="3623"/>
      <c r="V269" s="3624" t="str">
        <f>IF(C268="","",IF(AB194="Ｃ",11+(AG193-2)*2+11,IF(AG193="",0,AG193*11)))</f>
        <v/>
      </c>
      <c r="W269" s="3625"/>
      <c r="X269" s="3626"/>
      <c r="Y269" s="3680"/>
      <c r="Z269" s="3681"/>
      <c r="AA269" s="3682"/>
      <c r="AB269" s="3686"/>
      <c r="AC269" s="3687"/>
      <c r="AD269" s="3688"/>
      <c r="AE269" s="3690"/>
      <c r="AF269" s="3681"/>
      <c r="AG269" s="3682"/>
      <c r="AH269" s="3680"/>
      <c r="AI269" s="3681"/>
      <c r="AJ269" s="3682"/>
      <c r="AK269" s="3680"/>
      <c r="AL269" s="3681"/>
      <c r="AM269" s="3692"/>
      <c r="AN269" s="3694" t="str">
        <f>IF(OR(C268="",C268="  RF",R268=""),"",IF($AL$10="nC-2V･2W",CL269*$CL$285/100,0))</f>
        <v/>
      </c>
      <c r="AO269" s="3694"/>
      <c r="AP269" s="3694"/>
      <c r="AQ269" s="3695"/>
      <c r="AR269" s="3511" t="str">
        <f>IF(OR(C268="",C268="  RF",R268=""),"",IF($AL$10="nC-2V･2W",CO269*$CM$285/100,IF($AL$10="nC-FB",CA269*$CA$285/100,IF($AL$10="nD-FB",CG269*$CE$285/100,0))))</f>
        <v/>
      </c>
      <c r="AS269" s="3512"/>
      <c r="AT269" s="3512"/>
      <c r="AU269" s="3513"/>
      <c r="AV269" s="3511" t="str">
        <f>IF(OR(C268="",C268="  RF",R268=""),"",IF($AL$10="nC-2V･2W",CP269*$CN$285/100,IF($AL$10="nC-FB",CB269*$CB$285/100,IF($AL$10="nD-FB",CH269*$CF$285/100,0))))</f>
        <v/>
      </c>
      <c r="AW269" s="3512"/>
      <c r="AX269" s="3512"/>
      <c r="AY269" s="3513"/>
      <c r="AZ269" s="3511" t="str">
        <f>IF(OR(C268="",C268="  RF",R268=""),"",IF($AL$10="nC-2V･2W",CR269*$CO$285/100,IF($AL$10="nC-FB",CD269*$CC$285/100,IF($AL$10="nD-FB",CJ269*$CH$285/100,0))))</f>
        <v/>
      </c>
      <c r="BA269" s="3512"/>
      <c r="BB269" s="3512"/>
      <c r="BC269" s="3514"/>
      <c r="BD269" s="3515" t="str">
        <f>IF(OR(C268="",C268="  RF",R268="",BD268=""),"",3+3)</f>
        <v/>
      </c>
      <c r="BE269" s="3516"/>
      <c r="BF269" s="3516"/>
      <c r="BG269" s="3516" t="str">
        <f>IF(OR(C268="",C268="  RF",R268="",BG268=""),"",3+5)</f>
        <v/>
      </c>
      <c r="BH269" s="3516"/>
      <c r="BI269" s="3623"/>
      <c r="BJ269" s="3622" t="str">
        <f>IF(OR(C268="",C268="  RF",R268="",BJ268=""),"",10)</f>
        <v/>
      </c>
      <c r="BK269" s="3512"/>
      <c r="BL269" s="3513"/>
      <c r="BM269" s="3516" t="str">
        <f>IF(OR(C268="",C268="  RF",R268="",BM268=""),"",12)</f>
        <v/>
      </c>
      <c r="BN269" s="3516"/>
      <c r="BO269" s="3623"/>
      <c r="BP269" s="3645" t="str">
        <f>IF(BP268="","",IF(N269&lt;&gt;"",N269-CX269,IF(F268="","",R269-CX269)))</f>
        <v/>
      </c>
      <c r="BQ269" s="3646"/>
      <c r="BR269" s="3646"/>
      <c r="BS269" s="3647" t="str">
        <f t="shared" si="138"/>
        <v/>
      </c>
      <c r="BT269" s="3648"/>
      <c r="BU269" s="19"/>
      <c r="BV269" s="82"/>
      <c r="BW269" s="82"/>
      <c r="BX269" s="3649" t="s">
        <v>498</v>
      </c>
      <c r="BY269" s="3650"/>
      <c r="BZ269" s="741">
        <f>IF(K195="",0,IF($AL$10="nC-FB",DN192,0))</f>
        <v>0</v>
      </c>
      <c r="CA269" s="740" t="e">
        <f>IF($AL$10&lt;&gt;"nC-FB",0,IF(AB194="Ｃ",12+CY268-($X$9-$AM$9)/1000+DO195/36,12+DO194+DO195/36))</f>
        <v>#VALUE!</v>
      </c>
      <c r="CB269" s="3612">
        <f>IF(OR(K196="10C-FB",$AL$10&lt;&gt;"nC-FB",AB194=""),0,IF(AB194="Ｃ",2.5*AG193+(DB191+DC191)/2,F193+2))</f>
        <v>0</v>
      </c>
      <c r="CC269" s="3613"/>
      <c r="CD269" s="3640">
        <f>IF(OR(K196="7C-FB",$AL$10&lt;&gt;"nC-FB",AB194=""),0,IF(AB194="Ｃ",2.5*AG193+(DB191+DC191)/2,F193+2))</f>
        <v>0</v>
      </c>
      <c r="CE269" s="3641"/>
      <c r="CF269" s="750">
        <f>IF(K195="",0,IF($AL$10="nD-FB",DN192,0))</f>
        <v>0</v>
      </c>
      <c r="CG269" s="749">
        <f>IF($AL$10&lt;&gt;"nD-FB",0,IF(AB194="Ｃ",12+CY268-($X$9-$AM$9)/1000+DO195/36,IF(AB194="Ｂ",12+DO194+DO195/36)))</f>
        <v>0</v>
      </c>
      <c r="CH269" s="3651">
        <f>IF(OR(K196="12D-FB",$AL$10&lt;&gt;"nD-FB"),0,IF(AB194="Ｃ",2.5*AG193+(DB191+DC191)/2,F193+2))</f>
        <v>0</v>
      </c>
      <c r="CI269" s="3652"/>
      <c r="CJ269" s="3653">
        <f>IF(OR(K196="8D-FB",$AL$10&lt;&gt;"nD-FB"),0,IF(AB194="Ｃ",2.5*AG193+(DB191+DC191)/2,F193+2))</f>
        <v>0</v>
      </c>
      <c r="CK269" s="3654"/>
      <c r="CL269" s="3653">
        <f>IF(OR(AS195="5C-2V",AS196="5C-2V",$AL$10&lt;&gt;"nC-2V･2W"),0,IF(AB194="Ｃ",12+CY268-($X$9-$AM$9)/1000+DO195/36,DO194+DO195/36))</f>
        <v>0</v>
      </c>
      <c r="CM269" s="3655"/>
      <c r="CN269" s="749">
        <f>IF(K195="",0,IF($AL$10="nC-2V･2W",DN192,0))</f>
        <v>0</v>
      </c>
      <c r="CO269" s="749">
        <f>IF(OR(AS195="3C-2V",AS196="3C-2V",$AL$10&lt;&gt;"nC-2V･2W"),0,IF(AB194="Ｃ",12+CY268-($X$9-$AM$9)/1000+DO195/36,DO194+DO195/36))</f>
        <v>0</v>
      </c>
      <c r="CP269" s="3656">
        <f>IF(OR(K196="10C-2V",$AL$10&lt;&gt;"nC-2V･2W"),0,IF(AB194="Ｃ",2.5*AG193+(DB191+DC191)/2,F193+2))</f>
        <v>0</v>
      </c>
      <c r="CQ269" s="3656"/>
      <c r="CR269" s="3653">
        <f>IF(OR(K196="7C-2V",$AL$10&lt;&gt;"nC-2V･2W"),0,IF(AB194="Ｃ",2.5*AG193+(DB191+DC191)/2,F193+2))</f>
        <v>0</v>
      </c>
      <c r="CS269" s="3657"/>
      <c r="CT269" s="14"/>
      <c r="CU269" s="86">
        <f>IF(R268="",0,IF($X$11="1端子",BJ269,BM269))</f>
        <v>0</v>
      </c>
      <c r="CV269" s="487"/>
      <c r="CW269" s="710"/>
      <c r="CX269" s="98" t="e">
        <f>V269+Y268+AE268+AH268+AK268+AN269+AR269+AV269+AZ269+CU269</f>
        <v>#VALUE!</v>
      </c>
      <c r="CY269" s="738"/>
      <c r="CZ269" s="737"/>
      <c r="DA269" s="737"/>
      <c r="DB269" s="736"/>
      <c r="DC269" s="736"/>
      <c r="DD269" s="735"/>
      <c r="DE269" s="735"/>
      <c r="DF269" s="735"/>
      <c r="DG269" s="735"/>
      <c r="DH269" s="736"/>
      <c r="DI269" s="736"/>
      <c r="DJ269" s="735"/>
      <c r="DK269" s="735"/>
      <c r="DL269" s="735"/>
      <c r="DM269" s="735"/>
      <c r="DN269" s="735"/>
      <c r="DO269" s="735"/>
      <c r="DP269" s="736"/>
      <c r="DQ269" s="736"/>
      <c r="DR269" s="735"/>
      <c r="DS269" s="735"/>
      <c r="DT269" s="735"/>
      <c r="DU269" s="735"/>
      <c r="DV269" s="734"/>
    </row>
    <row r="270" spans="1:126" ht="11.25" customHeight="1">
      <c r="A270" s="8">
        <v>20</v>
      </c>
      <c r="B270" s="23"/>
      <c r="C270" s="3658" t="str">
        <f>IF(OR($B$2=0,$H$15="ＣＡＴＶ"),"",C202)</f>
        <v/>
      </c>
      <c r="D270" s="3659"/>
      <c r="E270" s="3660"/>
      <c r="F270" s="3664" t="str">
        <f>IF(I270&lt;&gt;"",I270,AB203)</f>
        <v/>
      </c>
      <c r="G270" s="3665"/>
      <c r="H270" s="91" t="s">
        <v>68</v>
      </c>
      <c r="I270" s="3666"/>
      <c r="J270" s="3667"/>
      <c r="K270" s="3668" t="str">
        <f>IF(C270="","","Min.")</f>
        <v/>
      </c>
      <c r="L270" s="3669"/>
      <c r="M270" s="3670"/>
      <c r="N270" s="3603" t="str">
        <f>IF(OR(C270="",AA202=""),"",$AG$15-14.7+40)</f>
        <v/>
      </c>
      <c r="O270" s="3597"/>
      <c r="P270" s="3597"/>
      <c r="Q270" s="3598"/>
      <c r="R270" s="3671" t="str">
        <f>IF(AND(BR23="設置",N270=""),AD201,"")</f>
        <v/>
      </c>
      <c r="S270" s="3672"/>
      <c r="T270" s="3672"/>
      <c r="U270" s="3673"/>
      <c r="V270" s="3674" t="str">
        <f>IF(C270="","",IF(AB203="Ｃ",11+(AG202-2)+11,IF(AG202="",0,AG202*11)))</f>
        <v/>
      </c>
      <c r="W270" s="3675"/>
      <c r="X270" s="3676"/>
      <c r="Y270" s="3677" t="str">
        <f>IF(C270="","",IF(AK202="",0,AK202*11))</f>
        <v/>
      </c>
      <c r="Z270" s="3678"/>
      <c r="AA270" s="3679"/>
      <c r="AB270" s="3683" t="str">
        <f>IF(OR(C270="",C270="  RF"),"",IF(AO202="",0,AO202*11))</f>
        <v/>
      </c>
      <c r="AC270" s="3684"/>
      <c r="AD270" s="3685"/>
      <c r="AE270" s="3689" t="str">
        <f>IF(C270="","",IF(AS202="",0,4))</f>
        <v/>
      </c>
      <c r="AF270" s="3678"/>
      <c r="AG270" s="3679"/>
      <c r="AH270" s="3677" t="str">
        <f>IF(C270="","",IF(AW202="",0,8))</f>
        <v/>
      </c>
      <c r="AI270" s="3678"/>
      <c r="AJ270" s="3679"/>
      <c r="AK270" s="3677" t="str">
        <f>IF(C270="","",IF(BA202="",0,12))</f>
        <v/>
      </c>
      <c r="AL270" s="3678"/>
      <c r="AM270" s="3691"/>
      <c r="AN270" s="3693" t="str">
        <f>IF(OR(C270="",C270="  RF",R270=""),"",IF($AL$10="nC-2V･2W",CL270*$CL$283/100,0))</f>
        <v/>
      </c>
      <c r="AO270" s="3693"/>
      <c r="AP270" s="3693"/>
      <c r="AQ270" s="3600"/>
      <c r="AR270" s="3596" t="str">
        <f>IF(OR(C270="",C270="  RF",R270=""),"",IF($AL$10="nC-2V･2W",CO270*$CM$283/100,IF($AL$10="nC-FB",CA270*$CA$283/100,IF($AL$10="nD-FB",CG270*$CE$283/100,0))))</f>
        <v/>
      </c>
      <c r="AS270" s="3597"/>
      <c r="AT270" s="3597"/>
      <c r="AU270" s="3598"/>
      <c r="AV270" s="3596" t="str">
        <f>IF(OR(C270="",C270="  RF",R270=""),"",IF($AL$10="nC-2V･2W",CP270*$CN$283/100,IF($AL$10="nC-FB",CB270*$CB$283/100,IF($AL$10="nD-FB",CH270*$CF$283/100,0))))</f>
        <v/>
      </c>
      <c r="AW270" s="3597"/>
      <c r="AX270" s="3597"/>
      <c r="AY270" s="3598"/>
      <c r="AZ270" s="3596" t="str">
        <f>IF(OR(C270="",C270="  RF",R270=""),"",IF($AL$10="nC-2V･2W",CR270*$CO$283/100,IF($AL$10="nC-FB",CD270*$CC$283/100,IF($AL$10="nD-FB",CJ270*$CH$283/100,0))))</f>
        <v/>
      </c>
      <c r="BA270" s="3597"/>
      <c r="BB270" s="3597"/>
      <c r="BC270" s="3599"/>
      <c r="BD270" s="3600" t="str">
        <f>IF(OR(C270="  RF",R270="",$X$11="2端子"),"","1端子")</f>
        <v/>
      </c>
      <c r="BE270" s="3601"/>
      <c r="BF270" s="3601"/>
      <c r="BG270" s="3601" t="str">
        <f>IF(OR(C270="  RF",R270="",$X$11="1端子"),"","2端子")</f>
        <v/>
      </c>
      <c r="BH270" s="3601"/>
      <c r="BI270" s="3602"/>
      <c r="BJ270" s="3603" t="str">
        <f>IF(OR(C270="  RF",R270="",$X$11="2端子"),"","1端子")</f>
        <v/>
      </c>
      <c r="BK270" s="3597"/>
      <c r="BL270" s="3598"/>
      <c r="BM270" s="3601" t="str">
        <f>IF(OR(C270="  RF",R270="",$X$11="1端子"),"","2端子")</f>
        <v/>
      </c>
      <c r="BN270" s="3601"/>
      <c r="BO270" s="3602"/>
      <c r="BP270" s="3634" t="str">
        <f>IF(OR(AK44="不要",F271="方式不適",R270=""),"",IF(N270&lt;&gt;"",N270-CX270,IF(F270="","",R270-CX270)))</f>
        <v/>
      </c>
      <c r="BQ270" s="3635"/>
      <c r="BR270" s="3635"/>
      <c r="BS270" s="3636" t="str">
        <f t="shared" si="138"/>
        <v/>
      </c>
      <c r="BT270" s="3637"/>
      <c r="BU270" s="19"/>
      <c r="BV270" s="82"/>
      <c r="BW270" s="82">
        <v>200</v>
      </c>
      <c r="BX270" s="3638" t="s">
        <v>1040</v>
      </c>
      <c r="BY270" s="3639"/>
      <c r="BZ270" s="748">
        <f>IF(K204="",0,IF($AL$10="nC-FB",DN201,0))</f>
        <v>0</v>
      </c>
      <c r="CA270" s="747" t="e">
        <f>IF($AL$10&lt;&gt;"nC-FB",0,IF(AB203="Ｃ",12+CY270-($X$9-$AM$9)/1000,12+DO203))</f>
        <v>#VALUE!</v>
      </c>
      <c r="CB270" s="3604">
        <f>IF(OR(K205="10C-FB",$AL$10&lt;&gt;"nC-FB",AB203=""),0,IF(AB203="Ｃ",2+(DB200+DC200)/2,F202+2))</f>
        <v>0</v>
      </c>
      <c r="CC270" s="3605"/>
      <c r="CD270" s="3594">
        <f>IF(OR(K205="7C-FB",$AL$10&lt;&gt;"nC-FB",AB203=""),0,IF(AB203="Ｃ",2+(DB200+DC200)/2,F202+2))</f>
        <v>0</v>
      </c>
      <c r="CE270" s="3595"/>
      <c r="CF270" s="748">
        <f>IF(K204="",0,IF($AL$10="nD-FB",DN201,0))</f>
        <v>0</v>
      </c>
      <c r="CG270" s="747">
        <f>IF($AL$10&lt;&gt;"nD-FB",0,IF(AB203="Ｃ",12+CY270-($X$9-$AM$9)/1000+DO204/36,DO203+DO204/36))</f>
        <v>0</v>
      </c>
      <c r="CH270" s="3604">
        <f>IF(OR(K205="12D-FB",$AL$10&lt;&gt;"nD-FB"),0,IF(AB203="Ｃ",2+(DB200+DC200)/2,F202+2))</f>
        <v>0</v>
      </c>
      <c r="CI270" s="3605"/>
      <c r="CJ270" s="3606">
        <f>IF(OR(K205="8D-FB",$AL$10&lt;&gt;"nD-FB"),0,IF(AB203="Ｃ",2+(DB200+DC200)/2,F202+2))</f>
        <v>0</v>
      </c>
      <c r="CK270" s="3607"/>
      <c r="CL270" s="3606">
        <f>IF(OR(AS204="5C-2V",AS205="5C-2V",$AL$10&lt;&gt;"nC-2V･2W"),0,IF(AB203="Ｃ",12+CY270-($X$9-$AM$9)/1000+DO204/36,DO203+DO204/36))</f>
        <v>0</v>
      </c>
      <c r="CM270" s="3608"/>
      <c r="CN270" s="747">
        <f>IF(K204="",0,IF($AL$10="nC-2V･2W",DN201,0))</f>
        <v>0</v>
      </c>
      <c r="CO270" s="747">
        <f>IF(OR(AS204="3C-2V",AS205="3C-2V",$AL$10&lt;&gt;"nC-2V･2W"),0,IF(AB203="Ｃ",12+CY270-($X$9-$AM$9)/1000+DO204/36,DO203+DO204/36))</f>
        <v>0</v>
      </c>
      <c r="CP270" s="3609">
        <f>IF(OR(K205="10C-2V",$AL$10&lt;&gt;"nC-2V･2W"),0,IF(AB203="Ｃ",2+(DB200+DC200)/2,F202+2))</f>
        <v>0</v>
      </c>
      <c r="CQ270" s="3609"/>
      <c r="CR270" s="3606">
        <f>IF(OR(K205="7C-2V",$AL$10&lt;&gt;"nC-2V･2W"),0,IF(AB203="Ｃ",2+(DB200+DC200)/2,F202+2))</f>
        <v>0</v>
      </c>
      <c r="CS270" s="3633"/>
      <c r="CT270" s="746"/>
      <c r="CU270" s="86">
        <f>IF(R270="",0,IF($X$11="1端子",BD271,BG271))</f>
        <v>0</v>
      </c>
      <c r="CV270" s="95">
        <f>IF(OR(LEFT(K205,2)="5C",LEFT(K205,2)="5D"),$CA$285*(F202+2)/100,IF(OR(LEFT(K205,2)="7C",LEFT(K205,2)="8D"),$CB$285*(F202+2)/100,IF(OR(LEFT(K205,2)="10C",LEFT(K205,2)="12D"),$CC$285*(F202+2)/100,0)))</f>
        <v>0</v>
      </c>
      <c r="CW270" s="107">
        <f>IF(AND(AB203&lt;&gt;"Ｃ",AG202&lt;&gt;""),2+11,IF(AND(AB203&lt;&gt;"Ｃ",AK202&lt;&gt;""),3+11,0))</f>
        <v>0</v>
      </c>
      <c r="CX270" s="107" t="e">
        <f>V270+Y270+AE270+AH270+AK270+AN270+AR270+AV270+AZ270+CU270</f>
        <v>#VALUE!</v>
      </c>
      <c r="CY270" s="105" t="str">
        <f>IF(I202="直天",F202,I202)</f>
        <v/>
      </c>
      <c r="CZ270" s="745"/>
      <c r="DA270" s="745"/>
      <c r="DB270" s="744"/>
      <c r="DC270" s="744"/>
      <c r="DD270" s="743"/>
      <c r="DE270" s="743"/>
      <c r="DF270" s="743"/>
      <c r="DG270" s="743"/>
      <c r="DH270" s="744"/>
      <c r="DI270" s="744"/>
      <c r="DJ270" s="743"/>
      <c r="DK270" s="743"/>
      <c r="DL270" s="743"/>
      <c r="DM270" s="743"/>
      <c r="DN270" s="743"/>
      <c r="DO270" s="743"/>
      <c r="DP270" s="744"/>
      <c r="DQ270" s="744"/>
      <c r="DR270" s="743"/>
      <c r="DS270" s="743"/>
      <c r="DT270" s="743"/>
      <c r="DU270" s="743"/>
      <c r="DV270" s="742"/>
    </row>
    <row r="271" spans="1:126" ht="11.25" customHeight="1">
      <c r="B271" s="23"/>
      <c r="C271" s="3661"/>
      <c r="D271" s="3662"/>
      <c r="E271" s="3663"/>
      <c r="F271" s="3616" t="str">
        <f>IF(Q197="","","方式不適")</f>
        <v/>
      </c>
      <c r="G271" s="3617"/>
      <c r="H271" s="3617"/>
      <c r="I271" s="3617"/>
      <c r="J271" s="3618"/>
      <c r="K271" s="3619" t="str">
        <f>IF(C270="","","Max.")</f>
        <v/>
      </c>
      <c r="L271" s="3620"/>
      <c r="M271" s="3621"/>
      <c r="N271" s="3622" t="str">
        <f>IF(OR(C270="",AA202=""),"",$AG$15-14.5+40)</f>
        <v/>
      </c>
      <c r="O271" s="3512"/>
      <c r="P271" s="3512"/>
      <c r="Q271" s="3513"/>
      <c r="R271" s="3516" t="str">
        <f>IF(R270="","",R270)</f>
        <v/>
      </c>
      <c r="S271" s="3516"/>
      <c r="T271" s="3516"/>
      <c r="U271" s="3623"/>
      <c r="V271" s="3624" t="str">
        <f>IF(C270="","",IF(AB203="Ｃ",11+(AG202-2)*2+11,IF(AG202="",0,AG202*11)))</f>
        <v/>
      </c>
      <c r="W271" s="3625"/>
      <c r="X271" s="3626"/>
      <c r="Y271" s="3680"/>
      <c r="Z271" s="3681"/>
      <c r="AA271" s="3682"/>
      <c r="AB271" s="3686"/>
      <c r="AC271" s="3687"/>
      <c r="AD271" s="3688"/>
      <c r="AE271" s="3690"/>
      <c r="AF271" s="3681"/>
      <c r="AG271" s="3682"/>
      <c r="AH271" s="3680"/>
      <c r="AI271" s="3681"/>
      <c r="AJ271" s="3682"/>
      <c r="AK271" s="3680"/>
      <c r="AL271" s="3681"/>
      <c r="AM271" s="3692"/>
      <c r="AN271" s="3694" t="str">
        <f>IF(OR(C270="",C270="  RF",R270=""),"",IF($AL$10="nC-2V･2W",CL271*$CL$285/100,0))</f>
        <v/>
      </c>
      <c r="AO271" s="3694"/>
      <c r="AP271" s="3694"/>
      <c r="AQ271" s="3695"/>
      <c r="AR271" s="3511" t="str">
        <f>IF(OR(C270="",C270="  RF",R270=""),"",IF($AL$10="nC-2V･2W",CO271*$CM$285/100,IF($AL$10="nC-FB",CA271*$CA$285/100,IF($AL$10="nD-FB",CG271*$CE$285/100,0))))</f>
        <v/>
      </c>
      <c r="AS271" s="3512"/>
      <c r="AT271" s="3512"/>
      <c r="AU271" s="3513"/>
      <c r="AV271" s="3511" t="str">
        <f>IF(OR(C270="",C270="  RF",R270=""),"",IF($AL$10="nC-2V･2W",CP271*$CN$285/100,IF($AL$10="nC-FB",CB271*$CB$285/100,IF($AL$10="nD-FB",CH271*$CF$285/100,0))))</f>
        <v/>
      </c>
      <c r="AW271" s="3512"/>
      <c r="AX271" s="3512"/>
      <c r="AY271" s="3513"/>
      <c r="AZ271" s="3511" t="str">
        <f>IF(OR(C270="",C270="  RF",R270=""),"",IF($AL$10="nC-2V･2W",CR271*$CO$285/100,IF($AL$10="nC-FB",CD271*$CC$285/100,IF($AL$10="nD-FB",CJ271*$CH$285/100,0))))</f>
        <v/>
      </c>
      <c r="BA271" s="3512"/>
      <c r="BB271" s="3512"/>
      <c r="BC271" s="3514"/>
      <c r="BD271" s="3515" t="str">
        <f>IF(OR(C270="",C270="  RF",R270="",BD270=""),"",3+3)</f>
        <v/>
      </c>
      <c r="BE271" s="3516"/>
      <c r="BF271" s="3516"/>
      <c r="BG271" s="3516" t="str">
        <f>IF(OR(C270="",C270="  RF",R270="",BG270=""),"",3+5)</f>
        <v/>
      </c>
      <c r="BH271" s="3516"/>
      <c r="BI271" s="3623"/>
      <c r="BJ271" s="3622" t="str">
        <f>IF(OR(C270="",C270="  RF",R270="",BJ270=""),"",10)</f>
        <v/>
      </c>
      <c r="BK271" s="3512"/>
      <c r="BL271" s="3513"/>
      <c r="BM271" s="3516" t="str">
        <f>IF(OR(C270="",C270="  RF",R270="",BM270=""),"",12)</f>
        <v/>
      </c>
      <c r="BN271" s="3516"/>
      <c r="BO271" s="3623"/>
      <c r="BP271" s="3645" t="str">
        <f>IF(BP270="","",IF(N271&lt;&gt;"",N271-CX271,IF(F270="","",R271-CX271)))</f>
        <v/>
      </c>
      <c r="BQ271" s="3646"/>
      <c r="BR271" s="3646"/>
      <c r="BS271" s="3647" t="str">
        <f t="shared" si="138"/>
        <v/>
      </c>
      <c r="BT271" s="3648"/>
      <c r="BU271" s="19"/>
      <c r="BV271" s="82"/>
      <c r="BW271" s="82"/>
      <c r="BX271" s="3649" t="s">
        <v>498</v>
      </c>
      <c r="BY271" s="3650"/>
      <c r="BZ271" s="741">
        <f>IF(K204="",0,IF($AL$10="nC-FB",DN201,0))</f>
        <v>0</v>
      </c>
      <c r="CA271" s="740" t="e">
        <f>IF($AL$10&lt;&gt;"nC-FB",0,IF(AB203="Ｃ",12+CY270-($X$9-$AM$9)/1000+DO204/36,12+DO203+DO204/36))</f>
        <v>#VALUE!</v>
      </c>
      <c r="CB271" s="3612">
        <f>IF(OR(K205="10C-FB",$AL$10&lt;&gt;"nC-FB",AB203=""),0,IF(AB203="Ｃ",2.5*AG202+(DB200+DC200)/2,F202+2))</f>
        <v>0</v>
      </c>
      <c r="CC271" s="3613"/>
      <c r="CD271" s="3640">
        <f>IF(OR(K205="7C-FB",$AL$10&lt;&gt;"nC-FB",AB203=""),0,IF(AB203="Ｃ",2.5*AG202+(DB200+DC200)/2,F202+2))</f>
        <v>0</v>
      </c>
      <c r="CE271" s="3641"/>
      <c r="CF271" s="741">
        <f>IF(K204="",0,IF($AL$10="nD-FB",DN201,0))</f>
        <v>0</v>
      </c>
      <c r="CG271" s="740">
        <f>IF($AL$10&lt;&gt;"nD-FB",0,IF(AB203="Ｃ",12+CY270-($X$9-$AM$9)/1000+DO204/36,IF(AB203="Ｂ",12+DO203+DO204/36)))</f>
        <v>0</v>
      </c>
      <c r="CH271" s="3612">
        <f>IF(OR(K205="12D-FB",$AL$10&lt;&gt;"nD-FB"),0,IF(AB203="Ｃ",2.5*AG202+(DB200+DC200)/2,F202+2))</f>
        <v>0</v>
      </c>
      <c r="CI271" s="3613"/>
      <c r="CJ271" s="3614">
        <f>IF(OR(K205="8D-FB",$AL$10&lt;&gt;"nD-FB"),0,IF(AB203="Ｃ",2.5*AG202+(DB200+DC200)/2,F202+2))</f>
        <v>0</v>
      </c>
      <c r="CK271" s="3615"/>
      <c r="CL271" s="3614">
        <f>IF(OR(AS204="5C-2V",AS205="5C-2V",$AL$10&lt;&gt;"nC-2V･2W"),0,IF(AB203="Ｃ",12+CY270-($X$9-$AM$9)/1000+DO204/36,DO203+DO204/36))</f>
        <v>0</v>
      </c>
      <c r="CM271" s="3642"/>
      <c r="CN271" s="740">
        <f>IF(K204="",0,IF($AL$10="nC-2V･2W",DN201,0))</f>
        <v>0</v>
      </c>
      <c r="CO271" s="740">
        <f>IF(OR(AS204="3C-2V",AS205="3C-2V",$AL$10&lt;&gt;"nC-2V･2W"),0,IF(AB203="Ｃ",12+CY270-($X$9-$AM$9)/1000+DO204/36,DO203+DO204/36))</f>
        <v>0</v>
      </c>
      <c r="CP271" s="3643">
        <f>IF(OR(K205="10C-2V",$AL$10&lt;&gt;"nC-2V･2W"),0,IF(AB203="Ｃ",2.5*AG202+(DB200+DC200)/2,F202+2))</f>
        <v>0</v>
      </c>
      <c r="CQ271" s="3643"/>
      <c r="CR271" s="3614">
        <f>IF(OR(K205="7C-2V",$AL$10&lt;&gt;"nC-2V･2W"),0,IF(AB203="Ｃ",2.5*AG202+(DB200+DC200)/2,F202+2))</f>
        <v>0</v>
      </c>
      <c r="CS271" s="3644"/>
      <c r="CT271" s="14"/>
      <c r="CU271" s="86">
        <f>IF(R270="",0,IF($X$11="1端子",BJ271,BM271))</f>
        <v>0</v>
      </c>
      <c r="CV271" s="739"/>
      <c r="CW271" s="140"/>
      <c r="CX271" s="98" t="e">
        <f>V271+Y270+AE270+AH270+AK270+AN271+AR271+AV271+AZ271+CU271</f>
        <v>#VALUE!</v>
      </c>
      <c r="CY271" s="738"/>
      <c r="CZ271" s="737"/>
      <c r="DA271" s="737"/>
      <c r="DB271" s="736"/>
      <c r="DC271" s="736"/>
      <c r="DD271" s="735"/>
      <c r="DE271" s="735"/>
      <c r="DF271" s="735"/>
      <c r="DG271" s="735"/>
      <c r="DH271" s="736"/>
      <c r="DI271" s="736"/>
      <c r="DJ271" s="735"/>
      <c r="DK271" s="735"/>
      <c r="DL271" s="735"/>
      <c r="DM271" s="735"/>
      <c r="DN271" s="735"/>
      <c r="DO271" s="735"/>
      <c r="DP271" s="736"/>
      <c r="DQ271" s="736"/>
      <c r="DR271" s="735"/>
      <c r="DS271" s="735"/>
      <c r="DT271" s="735"/>
      <c r="DU271" s="735"/>
      <c r="DV271" s="734"/>
    </row>
    <row r="272" spans="1:126" ht="15" customHeight="1">
      <c r="B272" s="23"/>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19"/>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row>
    <row r="273" spans="2:126" ht="15" customHeight="1">
      <c r="B273" s="23"/>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19"/>
      <c r="BV273" s="8"/>
      <c r="BW273" s="8"/>
      <c r="BX273" s="8"/>
      <c r="BY273" s="90" t="s">
        <v>1039</v>
      </c>
      <c r="BZ273" s="10" t="str">
        <f>"ch(チャンネル)No.は、変更できます"</f>
        <v>ch(チャンネル)No.は、変更できます</v>
      </c>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6"/>
      <c r="CZ273" s="6"/>
      <c r="DA273" s="732"/>
      <c r="DB273" s="731"/>
      <c r="DC273" s="6"/>
      <c r="DD273" s="6"/>
      <c r="DE273" s="6"/>
      <c r="DF273" s="6"/>
      <c r="DG273" s="6"/>
      <c r="DH273" s="6"/>
      <c r="DI273" s="6"/>
      <c r="DJ273" s="6"/>
      <c r="DK273" s="6"/>
      <c r="DL273" s="6"/>
      <c r="DM273" s="6"/>
      <c r="DN273" s="6"/>
      <c r="DO273" s="6"/>
      <c r="DP273" s="6"/>
      <c r="DQ273" s="6"/>
      <c r="DR273" s="6"/>
      <c r="DS273" s="6"/>
      <c r="DT273" s="6"/>
      <c r="DU273" s="6"/>
      <c r="DV273" s="6"/>
    </row>
    <row r="274" spans="2:126" ht="3.75" customHeight="1" thickBot="1">
      <c r="B274" s="23"/>
      <c r="C274" s="733"/>
      <c r="D274" s="733"/>
      <c r="E274" s="733"/>
      <c r="F274" s="733"/>
      <c r="G274" s="68"/>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19"/>
      <c r="BV274" s="8"/>
      <c r="BW274" s="8"/>
      <c r="BX274" s="8"/>
      <c r="BY274" s="8" t="s">
        <v>1038</v>
      </c>
      <c r="BZ274" s="10"/>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6"/>
      <c r="CZ274" s="6"/>
      <c r="DA274" s="732"/>
      <c r="DB274" s="731"/>
      <c r="DC274" s="6"/>
      <c r="DD274" s="6"/>
      <c r="DE274" s="6"/>
      <c r="DF274" s="6"/>
      <c r="DG274" s="6"/>
      <c r="DH274" s="6"/>
      <c r="DI274" s="6"/>
      <c r="DJ274" s="6"/>
      <c r="DK274" s="6"/>
      <c r="DL274" s="6"/>
      <c r="DM274" s="6"/>
      <c r="DN274" s="6"/>
      <c r="DO274" s="6"/>
      <c r="DP274" s="6"/>
      <c r="DQ274" s="6"/>
      <c r="DR274" s="6"/>
      <c r="DS274" s="6"/>
      <c r="DT274" s="6"/>
      <c r="DU274" s="6"/>
      <c r="DV274" s="6"/>
    </row>
    <row r="275" spans="2:126" ht="11.25" customHeight="1" thickBot="1">
      <c r="B275" s="23"/>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19"/>
      <c r="BV275" s="8"/>
      <c r="BW275" s="8"/>
      <c r="BX275" s="8"/>
      <c r="BY275" s="8" t="s">
        <v>1038</v>
      </c>
      <c r="BZ275" s="159" t="s">
        <v>1037</v>
      </c>
      <c r="CA275" s="728" t="s">
        <v>1030</v>
      </c>
      <c r="CB275" s="727" t="s">
        <v>1029</v>
      </c>
      <c r="CC275" s="730" t="s">
        <v>1028</v>
      </c>
      <c r="CD275" s="159" t="s">
        <v>1037</v>
      </c>
      <c r="CE275" s="729" t="s">
        <v>1036</v>
      </c>
      <c r="CF275" s="727" t="s">
        <v>1035</v>
      </c>
      <c r="CG275" s="727" t="s">
        <v>1034</v>
      </c>
      <c r="CH275" s="727" t="s">
        <v>1033</v>
      </c>
      <c r="CI275" s="8"/>
      <c r="CJ275" s="3610" t="s">
        <v>1032</v>
      </c>
      <c r="CK275" s="3611"/>
      <c r="CL275" s="728" t="s">
        <v>1031</v>
      </c>
      <c r="CM275" s="727" t="s">
        <v>1030</v>
      </c>
      <c r="CN275" s="727" t="s">
        <v>1029</v>
      </c>
      <c r="CO275" s="727" t="s">
        <v>1028</v>
      </c>
      <c r="CP275" s="186"/>
      <c r="CQ275" s="8"/>
      <c r="CR275" s="8"/>
      <c r="CS275" s="8"/>
      <c r="CT275" s="8"/>
      <c r="CU275" s="8"/>
      <c r="CV275" s="8"/>
      <c r="CW275" s="8"/>
      <c r="CX275" s="8"/>
      <c r="CY275" s="6"/>
      <c r="CZ275" s="6"/>
      <c r="DA275" s="726"/>
      <c r="DB275" s="62"/>
      <c r="DC275" s="62"/>
      <c r="DD275" s="62"/>
      <c r="DE275" s="62"/>
      <c r="DF275" s="62"/>
      <c r="DG275" s="62"/>
      <c r="DH275" s="62"/>
      <c r="DI275" s="62"/>
      <c r="DJ275" s="62"/>
      <c r="DK275" s="6"/>
      <c r="DL275" s="534"/>
      <c r="DM275" s="534"/>
      <c r="DN275" s="62"/>
      <c r="DO275" s="62"/>
      <c r="DP275" s="62"/>
      <c r="DQ275" s="62"/>
      <c r="DR275" s="534"/>
      <c r="DS275" s="6"/>
      <c r="DT275" s="6"/>
      <c r="DU275" s="6"/>
      <c r="DV275" s="6"/>
    </row>
    <row r="276" spans="2:126" ht="11.25" customHeight="1">
      <c r="B276" s="23"/>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19"/>
      <c r="BV276" s="8"/>
      <c r="BW276" s="8"/>
      <c r="BX276" s="8"/>
      <c r="BY276" s="8" t="s">
        <v>1027</v>
      </c>
      <c r="BZ276" s="725" t="s">
        <v>380</v>
      </c>
      <c r="CA276" s="66">
        <v>220</v>
      </c>
      <c r="CB276" s="181">
        <v>220</v>
      </c>
      <c r="CC276" s="181">
        <v>220</v>
      </c>
      <c r="CD276" s="724" t="s">
        <v>380</v>
      </c>
      <c r="CE276" s="66">
        <v>200</v>
      </c>
      <c r="CF276" s="66">
        <v>200</v>
      </c>
      <c r="CG276" s="66">
        <v>200</v>
      </c>
      <c r="CH276" s="66">
        <v>200</v>
      </c>
      <c r="CI276" s="122" t="s">
        <v>1026</v>
      </c>
      <c r="CJ276" s="3627" t="s">
        <v>380</v>
      </c>
      <c r="CK276" s="3628"/>
      <c r="CL276" s="66">
        <v>200</v>
      </c>
      <c r="CM276" s="181">
        <v>200</v>
      </c>
      <c r="CN276" s="181">
        <v>200</v>
      </c>
      <c r="CO276" s="181">
        <v>200</v>
      </c>
      <c r="CP276" s="122" t="s">
        <v>1026</v>
      </c>
      <c r="CQ276" s="8"/>
      <c r="CR276" s="8"/>
      <c r="CS276" s="8"/>
      <c r="CT276" s="8"/>
      <c r="CU276" s="8"/>
      <c r="CV276" s="8"/>
      <c r="CW276" s="8"/>
      <c r="CX276" s="8"/>
      <c r="CY276" s="6"/>
      <c r="CZ276" s="6"/>
      <c r="DA276" s="723"/>
      <c r="DB276" s="62"/>
      <c r="DC276" s="62"/>
      <c r="DD276" s="62"/>
      <c r="DE276" s="62"/>
      <c r="DF276" s="62"/>
      <c r="DG276" s="62"/>
      <c r="DH276" s="62"/>
      <c r="DI276" s="62"/>
      <c r="DJ276" s="62"/>
      <c r="DK276" s="706"/>
      <c r="DL276" s="534"/>
      <c r="DM276" s="534"/>
      <c r="DN276" s="62"/>
      <c r="DO276" s="62"/>
      <c r="DP276" s="62"/>
      <c r="DQ276" s="62"/>
      <c r="DR276" s="706"/>
      <c r="DS276" s="6"/>
      <c r="DT276" s="6"/>
      <c r="DU276" s="6"/>
      <c r="DV276" s="6"/>
    </row>
    <row r="277" spans="2:126" ht="11.25" customHeight="1">
      <c r="B277" s="23"/>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19"/>
      <c r="BV277" s="8"/>
      <c r="BW277" s="8"/>
      <c r="BX277" s="46" t="s">
        <v>1024</v>
      </c>
      <c r="BY277" s="722">
        <v>13</v>
      </c>
      <c r="BZ277" s="3584" t="s">
        <v>377</v>
      </c>
      <c r="CA277" s="721">
        <f>(BY277-12)*6+467</f>
        <v>473</v>
      </c>
      <c r="CB277" s="719">
        <f>(BY277-12)*6+467</f>
        <v>473</v>
      </c>
      <c r="CC277" s="719">
        <f>(BY277-12)*6+467</f>
        <v>473</v>
      </c>
      <c r="CD277" s="3580" t="s">
        <v>377</v>
      </c>
      <c r="CE277" s="721">
        <f>(BY277-12)*6+467</f>
        <v>473</v>
      </c>
      <c r="CF277" s="721">
        <f>(BY277-12)*6+467</f>
        <v>473</v>
      </c>
      <c r="CG277" s="721">
        <f>(BY277-12)*6+467</f>
        <v>473</v>
      </c>
      <c r="CH277" s="721">
        <f>(BY277-12)*6+467</f>
        <v>473</v>
      </c>
      <c r="CI277" s="122" t="s">
        <v>1026</v>
      </c>
      <c r="CJ277" s="3583" t="s">
        <v>377</v>
      </c>
      <c r="CK277" s="3584"/>
      <c r="CL277" s="720">
        <f>(BY277-12)*6+467</f>
        <v>473</v>
      </c>
      <c r="CM277" s="719">
        <f>(BY277-12)*6+467</f>
        <v>473</v>
      </c>
      <c r="CN277" s="719">
        <f>(BY277-12)*6+467</f>
        <v>473</v>
      </c>
      <c r="CO277" s="719">
        <f>(BY277-12)*6+467</f>
        <v>473</v>
      </c>
      <c r="CP277" s="122" t="s">
        <v>1026</v>
      </c>
      <c r="CQ277" s="8"/>
      <c r="CR277" s="8"/>
      <c r="CS277" s="8"/>
      <c r="CT277" s="8"/>
      <c r="CU277" s="8"/>
      <c r="CV277" s="8"/>
      <c r="CW277" s="8"/>
      <c r="CX277" s="8"/>
      <c r="CY277" s="6"/>
      <c r="CZ277" s="709"/>
      <c r="DA277" s="718"/>
      <c r="DB277" s="534"/>
      <c r="DC277" s="716"/>
      <c r="DD277" s="716"/>
      <c r="DE277" s="716"/>
      <c r="DF277" s="534"/>
      <c r="DG277" s="716"/>
      <c r="DH277" s="716"/>
      <c r="DI277" s="716"/>
      <c r="DJ277" s="716"/>
      <c r="DK277" s="706"/>
      <c r="DL277" s="534"/>
      <c r="DM277" s="534"/>
      <c r="DN277" s="717"/>
      <c r="DO277" s="716"/>
      <c r="DP277" s="716"/>
      <c r="DQ277" s="716"/>
      <c r="DR277" s="706"/>
      <c r="DS277" s="6"/>
      <c r="DT277" s="6"/>
      <c r="DU277" s="6"/>
      <c r="DV277" s="6"/>
    </row>
    <row r="278" spans="2:126" ht="11.25" customHeight="1">
      <c r="B278" s="23"/>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19"/>
      <c r="BV278" s="8"/>
      <c r="BW278" s="8"/>
      <c r="BX278" s="46" t="s">
        <v>1024</v>
      </c>
      <c r="BY278" s="722">
        <v>38</v>
      </c>
      <c r="BZ278" s="3586"/>
      <c r="CA278" s="721">
        <f>(BY278-12)*6+467</f>
        <v>623</v>
      </c>
      <c r="CB278" s="719">
        <f>(BY278-12)*6+467</f>
        <v>623</v>
      </c>
      <c r="CC278" s="719">
        <f>(BY278-12)*6+467</f>
        <v>623</v>
      </c>
      <c r="CD278" s="3581"/>
      <c r="CE278" s="721">
        <f>(BY278-12)*6+467</f>
        <v>623</v>
      </c>
      <c r="CF278" s="721">
        <f>(BY278-12)*6+467</f>
        <v>623</v>
      </c>
      <c r="CG278" s="721">
        <f>(BY278-12)*6+467</f>
        <v>623</v>
      </c>
      <c r="CH278" s="721">
        <f>(BY278-12)*6+467</f>
        <v>623</v>
      </c>
      <c r="CI278" s="122" t="s">
        <v>1026</v>
      </c>
      <c r="CJ278" s="3585"/>
      <c r="CK278" s="3586"/>
      <c r="CL278" s="720">
        <f>(BY278-12)*6+467</f>
        <v>623</v>
      </c>
      <c r="CM278" s="719">
        <f>(BY278-12)*6+467</f>
        <v>623</v>
      </c>
      <c r="CN278" s="719">
        <f>(BY278-12)*6+467</f>
        <v>623</v>
      </c>
      <c r="CO278" s="719">
        <f>(BY278-12)*6+467</f>
        <v>623</v>
      </c>
      <c r="CP278" s="122" t="s">
        <v>1026</v>
      </c>
      <c r="CQ278" s="8"/>
      <c r="CR278" s="8"/>
      <c r="CS278" s="8"/>
      <c r="CT278" s="8"/>
      <c r="CU278" s="8"/>
      <c r="CV278" s="8"/>
      <c r="CW278" s="8"/>
      <c r="CX278" s="8"/>
      <c r="CY278" s="6"/>
      <c r="CZ278" s="709"/>
      <c r="DA278" s="718"/>
      <c r="DB278" s="534"/>
      <c r="DC278" s="716"/>
      <c r="DD278" s="716"/>
      <c r="DE278" s="716"/>
      <c r="DF278" s="534"/>
      <c r="DG278" s="716"/>
      <c r="DH278" s="716"/>
      <c r="DI278" s="716"/>
      <c r="DJ278" s="716"/>
      <c r="DK278" s="706"/>
      <c r="DL278" s="534"/>
      <c r="DM278" s="534"/>
      <c r="DN278" s="717"/>
      <c r="DO278" s="716"/>
      <c r="DP278" s="716"/>
      <c r="DQ278" s="716"/>
      <c r="DR278" s="706"/>
      <c r="DS278" s="6"/>
      <c r="DT278" s="6"/>
      <c r="DU278" s="6"/>
      <c r="DV278" s="6"/>
    </row>
    <row r="279" spans="2:126" ht="11.25" customHeight="1">
      <c r="B279" s="23"/>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19"/>
      <c r="BV279" s="8"/>
      <c r="BW279" s="8"/>
      <c r="BX279" s="46" t="s">
        <v>1024</v>
      </c>
      <c r="BY279" s="722">
        <v>62</v>
      </c>
      <c r="BZ279" s="3588"/>
      <c r="CA279" s="721">
        <f>(BY279-12)*6+467</f>
        <v>767</v>
      </c>
      <c r="CB279" s="719">
        <f>(BY279-12)*6+467</f>
        <v>767</v>
      </c>
      <c r="CC279" s="719">
        <f>(BY279-12)*6+467</f>
        <v>767</v>
      </c>
      <c r="CD279" s="3582"/>
      <c r="CE279" s="721">
        <f>(BY279-12)*6+467</f>
        <v>767</v>
      </c>
      <c r="CF279" s="721">
        <f>(BY279-12)*6+467</f>
        <v>767</v>
      </c>
      <c r="CG279" s="721">
        <f>(BY279-12)*6+467</f>
        <v>767</v>
      </c>
      <c r="CH279" s="721">
        <f>(BY279-12)*6+467</f>
        <v>767</v>
      </c>
      <c r="CI279" s="122" t="s">
        <v>1026</v>
      </c>
      <c r="CJ279" s="3587"/>
      <c r="CK279" s="3588"/>
      <c r="CL279" s="720">
        <f>(BY279-12)*6+467</f>
        <v>767</v>
      </c>
      <c r="CM279" s="719">
        <f>(BY279-12)*6+467</f>
        <v>767</v>
      </c>
      <c r="CN279" s="719">
        <f>(BY279-12)*6+467</f>
        <v>767</v>
      </c>
      <c r="CO279" s="719">
        <f>(BY279-12)*6+467</f>
        <v>767</v>
      </c>
      <c r="CP279" s="122" t="s">
        <v>1026</v>
      </c>
      <c r="CQ279" s="8"/>
      <c r="CR279" s="8"/>
      <c r="CS279" s="8"/>
      <c r="CT279" s="8"/>
      <c r="CU279" s="8"/>
      <c r="CV279" s="8"/>
      <c r="CW279" s="8"/>
      <c r="CX279" s="8"/>
      <c r="CY279" s="6"/>
      <c r="CZ279" s="709"/>
      <c r="DA279" s="718"/>
      <c r="DB279" s="534"/>
      <c r="DC279" s="716"/>
      <c r="DD279" s="716"/>
      <c r="DE279" s="716"/>
      <c r="DF279" s="534"/>
      <c r="DG279" s="716"/>
      <c r="DH279" s="716"/>
      <c r="DI279" s="716"/>
      <c r="DJ279" s="716"/>
      <c r="DK279" s="706"/>
      <c r="DL279" s="534"/>
      <c r="DM279" s="534"/>
      <c r="DN279" s="717"/>
      <c r="DO279" s="716"/>
      <c r="DP279" s="716"/>
      <c r="DQ279" s="716"/>
      <c r="DR279" s="706"/>
      <c r="DS279" s="6"/>
      <c r="DT279" s="6"/>
      <c r="DU279" s="6"/>
      <c r="DV279" s="6"/>
    </row>
    <row r="280" spans="2:126" ht="11.25" customHeight="1">
      <c r="B280" s="23"/>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19"/>
      <c r="BV280" s="8"/>
      <c r="BW280" s="8"/>
      <c r="BX280" s="46"/>
      <c r="BY280" s="10"/>
      <c r="BZ280" s="715" t="s">
        <v>797</v>
      </c>
      <c r="CA280" s="714">
        <v>1300</v>
      </c>
      <c r="CB280" s="86">
        <v>1300</v>
      </c>
      <c r="CC280" s="86">
        <v>1300</v>
      </c>
      <c r="CD280" s="715" t="s">
        <v>797</v>
      </c>
      <c r="CE280" s="714">
        <v>900</v>
      </c>
      <c r="CF280" s="714">
        <v>900</v>
      </c>
      <c r="CG280" s="714">
        <v>900</v>
      </c>
      <c r="CH280" s="714">
        <v>900</v>
      </c>
      <c r="CI280" s="122" t="s">
        <v>1026</v>
      </c>
      <c r="CJ280" s="3629" t="s">
        <v>797</v>
      </c>
      <c r="CK280" s="3630"/>
      <c r="CL280" s="714">
        <v>1000</v>
      </c>
      <c r="CM280" s="86">
        <v>1000</v>
      </c>
      <c r="CN280" s="86">
        <v>1000</v>
      </c>
      <c r="CO280" s="86">
        <v>1000</v>
      </c>
      <c r="CP280" s="122" t="s">
        <v>1026</v>
      </c>
      <c r="CQ280" s="8"/>
      <c r="CR280" s="8"/>
      <c r="CS280" s="8"/>
      <c r="CT280" s="8"/>
      <c r="CU280" s="8"/>
      <c r="CV280" s="8"/>
      <c r="CW280" s="8"/>
      <c r="CX280" s="8"/>
      <c r="CY280" s="6"/>
      <c r="CZ280" s="709"/>
      <c r="DA280" s="179"/>
      <c r="DB280" s="62"/>
      <c r="DC280" s="62"/>
      <c r="DD280" s="62"/>
      <c r="DE280" s="62"/>
      <c r="DF280" s="62"/>
      <c r="DG280" s="62"/>
      <c r="DH280" s="62"/>
      <c r="DI280" s="62"/>
      <c r="DJ280" s="62"/>
      <c r="DK280" s="706"/>
      <c r="DL280" s="534"/>
      <c r="DM280" s="534"/>
      <c r="DN280" s="62"/>
      <c r="DO280" s="62"/>
      <c r="DP280" s="62"/>
      <c r="DQ280" s="62"/>
      <c r="DR280" s="706"/>
      <c r="DS280" s="6"/>
      <c r="DT280" s="6"/>
      <c r="DU280" s="6"/>
      <c r="DV280" s="6"/>
    </row>
    <row r="281" spans="2:126" ht="11.25" customHeight="1">
      <c r="B281" s="23"/>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19"/>
      <c r="BV281" s="8"/>
      <c r="BW281" s="8"/>
      <c r="BX281" s="46"/>
      <c r="BY281" s="10"/>
      <c r="BZ281" s="713" t="s">
        <v>76</v>
      </c>
      <c r="CA281" s="710">
        <v>9.5</v>
      </c>
      <c r="CB281" s="98">
        <v>6.8</v>
      </c>
      <c r="CC281" s="98">
        <v>4.22</v>
      </c>
      <c r="CD281" s="713" t="s">
        <v>76</v>
      </c>
      <c r="CE281" s="710">
        <v>9</v>
      </c>
      <c r="CF281" s="710">
        <v>5.8</v>
      </c>
      <c r="CG281" s="710">
        <v>4.8</v>
      </c>
      <c r="CH281" s="710">
        <v>3.8</v>
      </c>
      <c r="CI281" s="122" t="s">
        <v>1023</v>
      </c>
      <c r="CJ281" s="3631" t="s">
        <v>76</v>
      </c>
      <c r="CK281" s="3632"/>
      <c r="CL281" s="710">
        <v>19.5</v>
      </c>
      <c r="CM281" s="98">
        <v>12.5</v>
      </c>
      <c r="CN281" s="98">
        <v>10.5</v>
      </c>
      <c r="CO281" s="98">
        <v>8</v>
      </c>
      <c r="CP281" s="122" t="s">
        <v>1023</v>
      </c>
      <c r="CQ281" s="8"/>
      <c r="CR281" s="8"/>
      <c r="CS281" s="8"/>
      <c r="CT281" s="8"/>
      <c r="CU281" s="8"/>
      <c r="CV281" s="8"/>
      <c r="CW281" s="8"/>
      <c r="CX281" s="8"/>
      <c r="CY281" s="6"/>
      <c r="CZ281" s="709"/>
      <c r="DA281" s="179"/>
      <c r="DB281" s="711"/>
      <c r="DC281" s="711"/>
      <c r="DD281" s="711"/>
      <c r="DE281" s="711"/>
      <c r="DF281" s="711"/>
      <c r="DG281" s="711"/>
      <c r="DH281" s="711"/>
      <c r="DI281" s="711"/>
      <c r="DJ281" s="711"/>
      <c r="DK281" s="706"/>
      <c r="DL281" s="712"/>
      <c r="DM281" s="712"/>
      <c r="DN281" s="711"/>
      <c r="DO281" s="711"/>
      <c r="DP281" s="711"/>
      <c r="DQ281" s="711"/>
      <c r="DR281" s="706"/>
      <c r="DS281" s="6"/>
      <c r="DT281" s="6"/>
      <c r="DU281" s="6"/>
      <c r="DV281" s="6"/>
    </row>
    <row r="282" spans="2:126" ht="11.25" customHeight="1">
      <c r="B282" s="23"/>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19"/>
      <c r="BV282" s="8"/>
      <c r="BW282" s="8"/>
      <c r="BX282" s="46"/>
      <c r="BY282" s="10"/>
      <c r="BZ282" s="713" t="s">
        <v>1025</v>
      </c>
      <c r="CA282" s="710">
        <v>26.1</v>
      </c>
      <c r="CB282" s="98">
        <v>19.3</v>
      </c>
      <c r="CC282" s="98">
        <v>11.2</v>
      </c>
      <c r="CD282" s="713" t="s">
        <v>1025</v>
      </c>
      <c r="CE282" s="710">
        <v>20</v>
      </c>
      <c r="CF282" s="710">
        <v>13</v>
      </c>
      <c r="CG282" s="710">
        <v>11</v>
      </c>
      <c r="CH282" s="710">
        <v>9.3000000000000007</v>
      </c>
      <c r="CI282" s="122" t="s">
        <v>1023</v>
      </c>
      <c r="CJ282" s="3631" t="s">
        <v>1025</v>
      </c>
      <c r="CK282" s="3632"/>
      <c r="CL282" s="710">
        <v>46.5</v>
      </c>
      <c r="CM282" s="98">
        <v>32</v>
      </c>
      <c r="CN282" s="98">
        <v>27</v>
      </c>
      <c r="CO282" s="98">
        <v>21.5</v>
      </c>
      <c r="CP282" s="122" t="s">
        <v>1023</v>
      </c>
      <c r="CQ282" s="8"/>
      <c r="CR282" s="8"/>
      <c r="CS282" s="8"/>
      <c r="CT282" s="8"/>
      <c r="CU282" s="8"/>
      <c r="CV282" s="8"/>
      <c r="CW282" s="8"/>
      <c r="CX282" s="8"/>
      <c r="CY282" s="6"/>
      <c r="CZ282" s="709"/>
      <c r="DA282" s="179"/>
      <c r="DB282" s="711"/>
      <c r="DC282" s="711"/>
      <c r="DD282" s="711"/>
      <c r="DE282" s="711"/>
      <c r="DF282" s="711"/>
      <c r="DG282" s="711"/>
      <c r="DH282" s="711"/>
      <c r="DI282" s="711"/>
      <c r="DJ282" s="711"/>
      <c r="DK282" s="706"/>
      <c r="DL282" s="712"/>
      <c r="DM282" s="712"/>
      <c r="DN282" s="711"/>
      <c r="DO282" s="711"/>
      <c r="DP282" s="711"/>
      <c r="DQ282" s="711"/>
      <c r="DR282" s="706"/>
      <c r="DS282" s="6"/>
      <c r="DT282" s="6"/>
      <c r="DU282" s="6"/>
      <c r="DV282" s="6"/>
    </row>
    <row r="283" spans="2:126" ht="11.25" customHeight="1">
      <c r="B283" s="23"/>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19"/>
      <c r="BV283" s="8"/>
      <c r="BW283" s="8"/>
      <c r="BX283" s="46" t="s">
        <v>1024</v>
      </c>
      <c r="BY283" s="10">
        <f>BY277</f>
        <v>13</v>
      </c>
      <c r="BZ283" s="3580" t="s">
        <v>370</v>
      </c>
      <c r="CA283" s="710">
        <f>(INT((((-CA282*SQRT(CA276))+(CA281*SQRT(CA280))+((CA282-CA281)*SQRT(CA277)))/(SQRT(CA280)-SQRT(CA276)))*10))/10</f>
        <v>14.9</v>
      </c>
      <c r="CB283" s="98">
        <f>(INT((((-CB282*SQRT(CB276))+(CB281*SQRT(CB280))+((CB282-CB281)*SQRT(CB277)))/(SQRT(CB280)-SQRT(CB276)))*10))/10</f>
        <v>10.8</v>
      </c>
      <c r="CC283" s="98">
        <f>(INT((((-CC282*SQRT(CC276))+(CC281*SQRT(CC280))+((CC282-CC281)*SQRT(CC277)))/(SQRT(CC280)-SQRT(CC276)))*10))/10</f>
        <v>6.4</v>
      </c>
      <c r="CD283" s="3580" t="s">
        <v>370</v>
      </c>
      <c r="CE283" s="710">
        <f>(INT((((-CE282*SQRT(CE276))+(CE281*SQRT(CE280))+((CE282-CE281)*SQRT(CE277)))/(SQRT(CE280)-SQRT(CE276)))*10))/10</f>
        <v>14.2</v>
      </c>
      <c r="CF283" s="710">
        <f>(INT((((-CF282*SQRT(CF276))+(CF281*SQRT(CF280))+((CF282-CF281)*SQRT(CF277)))/(SQRT(CF280)-SQRT(CF276)))*10))/10</f>
        <v>9.1999999999999993</v>
      </c>
      <c r="CG283" s="710">
        <f>(INT((((-CG282*SQRT(CG276))+(CG281*SQRT(CG280))+((CG282-CG281)*SQRT(CG277)))/(SQRT(CG280)-SQRT(CG276)))*10))/10</f>
        <v>7.7</v>
      </c>
      <c r="CH283" s="710">
        <f>(INT((((-CH282*SQRT(CH276))+(CH281*SQRT(CH280))+((CH282-CH281)*SQRT(CH277)))/(SQRT(CH280)-SQRT(CH276)))*10))/10</f>
        <v>6.4</v>
      </c>
      <c r="CI283" s="122" t="s">
        <v>1023</v>
      </c>
      <c r="CJ283" s="3583" t="s">
        <v>370</v>
      </c>
      <c r="CK283" s="3584"/>
      <c r="CL283" s="710">
        <f>(INT((((-CL282*SQRT(CL276))+(CL281*SQRT(CL280))+((CL282-CL281)*SQRT(CL277)))/(SQRT(CL280)-SQRT(CL276)))*10))/10</f>
        <v>31.2</v>
      </c>
      <c r="CM283" s="98">
        <f>(INT((((-CM282*SQRT(CM276))+(CM281*SQRT(CM280))+((CM282-CM281)*SQRT(CM277)))/(SQRT(CM280)-SQRT(CM276)))*10))/10</f>
        <v>20.9</v>
      </c>
      <c r="CN283" s="98">
        <f>(INT((((-CN282*SQRT(CN276))+(CN281*SQRT(CN280))+((CN282-CN281)*SQRT(CN277)))/(SQRT(CN280)-SQRT(CN276)))*10))/10</f>
        <v>17.600000000000001</v>
      </c>
      <c r="CO283" s="98">
        <f>(INT((((-CO282*SQRT(CO276))+(CO281*SQRT(CO280))+((CO282-CO281)*SQRT(CO277)))/(SQRT(CO280)-SQRT(CO276)))*10))/10</f>
        <v>13.8</v>
      </c>
      <c r="CP283" s="122" t="s">
        <v>1023</v>
      </c>
      <c r="CQ283" s="8"/>
      <c r="CR283" s="8"/>
      <c r="CS283" s="8"/>
      <c r="CT283" s="8"/>
      <c r="CU283" s="8"/>
      <c r="CV283" s="8"/>
      <c r="CW283" s="8"/>
      <c r="CX283" s="8"/>
      <c r="CY283" s="6"/>
      <c r="CZ283" s="709"/>
      <c r="DA283" s="708"/>
      <c r="DB283" s="534"/>
      <c r="DC283" s="707"/>
      <c r="DD283" s="707"/>
      <c r="DE283" s="707"/>
      <c r="DF283" s="534"/>
      <c r="DG283" s="707"/>
      <c r="DH283" s="707"/>
      <c r="DI283" s="707"/>
      <c r="DJ283" s="707"/>
      <c r="DK283" s="706"/>
      <c r="DL283" s="534"/>
      <c r="DM283" s="534"/>
      <c r="DN283" s="707"/>
      <c r="DO283" s="707"/>
      <c r="DP283" s="707"/>
      <c r="DQ283" s="707"/>
      <c r="DR283" s="706"/>
      <c r="DS283" s="6"/>
      <c r="DT283" s="6"/>
      <c r="DU283" s="6"/>
      <c r="DV283" s="6"/>
    </row>
    <row r="284" spans="2:126" ht="11.25" customHeight="1">
      <c r="B284" s="23"/>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19"/>
      <c r="BV284" s="8"/>
      <c r="BW284" s="8"/>
      <c r="BX284" s="46" t="s">
        <v>1024</v>
      </c>
      <c r="BY284" s="10">
        <f>BY278</f>
        <v>38</v>
      </c>
      <c r="BZ284" s="3581"/>
      <c r="CA284" s="710">
        <f>(INT((((-CA282*SQRT(CA276))+(CA281*SQRT(CA280))+((CA282-CA281)*SQRT(CA278)))/(SQRT(CA280)-SQRT(CA276)))*10))/10</f>
        <v>17.399999999999999</v>
      </c>
      <c r="CB284" s="98">
        <f>(INT((((-CB282*SQRT(CB276))+(CB281*SQRT(CB280))+((CB282-CB281)*SQRT(CB278)))/(SQRT(CB280)-SQRT(CB276)))*10))/10</f>
        <v>12.7</v>
      </c>
      <c r="CC284" s="98">
        <f>(INT((((-CC282*SQRT(CC276))+(CC281*SQRT(CC280))+((CC282-CC281)*SQRT(CC278)))/(SQRT(CC280)-SQRT(CC276)))*10))/10</f>
        <v>7.5</v>
      </c>
      <c r="CD284" s="3581"/>
      <c r="CE284" s="710">
        <f>(INT((((-CE282*SQRT(CE276))+(CE281*SQRT(CE280))+((CE282-CE281)*SQRT(CE278)))/(SQRT(CE280)-SQRT(CE276)))*10))/10</f>
        <v>16.5</v>
      </c>
      <c r="CF284" s="710">
        <f>(INT((((-CF282*SQRT(CF276))+(CF281*SQRT(CF280))+((CF282-CF281)*SQRT(CF278)))/(SQRT(CF280)-SQRT(CF276)))*10))/10</f>
        <v>10.7</v>
      </c>
      <c r="CG284" s="710">
        <f>(INT((((-CG282*SQRT(CG276))+(CG281*SQRT(CG280))+((CG282-CG281)*SQRT(CG278)))/(SQRT(CG280)-SQRT(CG276)))*10))/10</f>
        <v>9</v>
      </c>
      <c r="CH284" s="710">
        <f>(INT((((-CH282*SQRT(CH276))+(CH281*SQRT(CH280))+((CH282-CH281)*SQRT(CH278)))/(SQRT(CH280)-SQRT(CH276)))*10))/10</f>
        <v>7.5</v>
      </c>
      <c r="CI284" s="122" t="s">
        <v>1023</v>
      </c>
      <c r="CJ284" s="3585"/>
      <c r="CK284" s="3586"/>
      <c r="CL284" s="710">
        <f>(INT((((-CL282*SQRT(CL276))+(CL281*SQRT(CL280))+((CL282-CL281)*SQRT(CL278)))/(SQRT(CL280)-SQRT(CL276)))*10))/10</f>
        <v>36.200000000000003</v>
      </c>
      <c r="CM284" s="98">
        <f>(INT((((-CM282*SQRT(CM276))+(CM281*SQRT(CM280))+((CM282-CM281)*SQRT(CM278)))/(SQRT(CM280)-SQRT(CM276)))*10))/10</f>
        <v>24.5</v>
      </c>
      <c r="CN284" s="98">
        <f>(INT((((-CN282*SQRT(CN276))+(CN281*SQRT(CN280))+((CN282-CN281)*SQRT(CN278)))/(SQRT(CN280)-SQRT(CN276)))*10))/10</f>
        <v>20.7</v>
      </c>
      <c r="CO284" s="98">
        <f>(INT((((-CO282*SQRT(CO276))+(CO281*SQRT(CO280))+((CO282-CO281)*SQRT(CO278)))/(SQRT(CO280)-SQRT(CO276)))*10))/10</f>
        <v>16.3</v>
      </c>
      <c r="CP284" s="122" t="s">
        <v>1023</v>
      </c>
      <c r="CQ284" s="8"/>
      <c r="CR284" s="8"/>
      <c r="CS284" s="8"/>
      <c r="CT284" s="8"/>
      <c r="CU284" s="8"/>
      <c r="CV284" s="8"/>
      <c r="CW284" s="8"/>
      <c r="CX284" s="8"/>
      <c r="CY284" s="6"/>
      <c r="CZ284" s="709"/>
      <c r="DA284" s="708"/>
      <c r="DB284" s="534"/>
      <c r="DC284" s="707"/>
      <c r="DD284" s="707"/>
      <c r="DE284" s="707"/>
      <c r="DF284" s="534"/>
      <c r="DG284" s="707"/>
      <c r="DH284" s="707"/>
      <c r="DI284" s="707"/>
      <c r="DJ284" s="707"/>
      <c r="DK284" s="706"/>
      <c r="DL284" s="534"/>
      <c r="DM284" s="534"/>
      <c r="DN284" s="707"/>
      <c r="DO284" s="707"/>
      <c r="DP284" s="707"/>
      <c r="DQ284" s="707"/>
      <c r="DR284" s="706"/>
      <c r="DS284" s="6"/>
      <c r="DT284" s="6"/>
      <c r="DU284" s="6"/>
      <c r="DV284" s="6"/>
    </row>
    <row r="285" spans="2:126" ht="11.25" customHeight="1">
      <c r="B285" s="23"/>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19"/>
      <c r="BV285" s="8"/>
      <c r="BW285" s="8"/>
      <c r="BX285" s="46" t="s">
        <v>1024</v>
      </c>
      <c r="BY285" s="10">
        <f>BY279</f>
        <v>62</v>
      </c>
      <c r="BZ285" s="3582"/>
      <c r="CA285" s="710">
        <f>(INT((((-CA282*SQRT(CA276))+(CA281*SQRT(CA280))+((CA282-CA281)*SQRT(CA279)))/(SQRT(CA280)-SQRT(CA276)))*10))/10</f>
        <v>19.5</v>
      </c>
      <c r="CB285" s="98">
        <f>(INT((((-CB282*SQRT(CB276))+(CB281*SQRT(CB280))+((CB282-CB281)*SQRT(CB279)))/(SQRT(CB280)-SQRT(CB276)))*10))/10</f>
        <v>14.3</v>
      </c>
      <c r="CC285" s="98">
        <f>(INT((((-CC282*SQRT(CC276))+(CC281*SQRT(CC280))+((CC282-CC281)*SQRT(CC279)))/(SQRT(CC280)-SQRT(CC276)))*10))/10</f>
        <v>8.4</v>
      </c>
      <c r="CD285" s="3582"/>
      <c r="CE285" s="710">
        <f>(INT((((-CE282*SQRT(CE276))+(CE281*SQRT(CE280))+((CE282-CE281)*SQRT(CE279)))/(SQRT(CE280)-SQRT(CE276)))*10))/10</f>
        <v>18.399999999999999</v>
      </c>
      <c r="CF285" s="710">
        <f>(INT((((-CF282*SQRT(CF276))+(CF281*SQRT(CF280))+((CF282-CF281)*SQRT(CF279)))/(SQRT(CF280)-SQRT(CF276)))*10))/10</f>
        <v>11.9</v>
      </c>
      <c r="CG285" s="710">
        <f>(INT((((-CG282*SQRT(CG276))+(CG281*SQRT(CG280))+((CG282-CG281)*SQRT(CG279)))/(SQRT(CG280)-SQRT(CG276)))*10))/10</f>
        <v>10</v>
      </c>
      <c r="CH285" s="710">
        <f>(INT((((-CH282*SQRT(CH276))+(CH281*SQRT(CH280))+((CH282-CH281)*SQRT(CH279)))/(SQRT(CH280)-SQRT(CH276)))*10))/10</f>
        <v>8.5</v>
      </c>
      <c r="CI285" s="122" t="s">
        <v>1023</v>
      </c>
      <c r="CJ285" s="3587"/>
      <c r="CK285" s="3588"/>
      <c r="CL285" s="710">
        <f>(INT((((-CL282*SQRT(CL276))+(CL281*SQRT(CL280))+((CL282-CL281)*SQRT(CL279)))/(SQRT(CL280)-SQRT(CL276)))*10))/10</f>
        <v>40.4</v>
      </c>
      <c r="CM285" s="98">
        <f>(INT((((-CM282*SQRT(CM276))+(CM281*SQRT(CM280))+((CM282-CM281)*SQRT(CM279)))/(SQRT(CM280)-SQRT(CM276)))*10))/10</f>
        <v>27.6</v>
      </c>
      <c r="CN285" s="98">
        <f>(INT((((-CN282*SQRT(CN276))+(CN281*SQRT(CN280))+((CN282-CN281)*SQRT(CN279)))/(SQRT(CN280)-SQRT(CN276)))*10))/10</f>
        <v>23.2</v>
      </c>
      <c r="CO285" s="98">
        <f>(INT((((-CO282*SQRT(CO276))+(CO281*SQRT(CO280))+((CO282-CO281)*SQRT(CO279)))/(SQRT(CO280)-SQRT(CO276)))*10))/10</f>
        <v>18.399999999999999</v>
      </c>
      <c r="CP285" s="122" t="s">
        <v>1023</v>
      </c>
      <c r="CQ285" s="8"/>
      <c r="CR285" s="8"/>
      <c r="CS285" s="8"/>
      <c r="CT285" s="8"/>
      <c r="CU285" s="8"/>
      <c r="CV285" s="8"/>
      <c r="CW285" s="8"/>
      <c r="CX285" s="8"/>
      <c r="CY285" s="6"/>
      <c r="CZ285" s="709"/>
      <c r="DA285" s="708"/>
      <c r="DB285" s="534"/>
      <c r="DC285" s="707"/>
      <c r="DD285" s="707"/>
      <c r="DE285" s="707"/>
      <c r="DF285" s="534"/>
      <c r="DG285" s="707"/>
      <c r="DH285" s="707"/>
      <c r="DI285" s="707"/>
      <c r="DJ285" s="707"/>
      <c r="DK285" s="706"/>
      <c r="DL285" s="534"/>
      <c r="DM285" s="534"/>
      <c r="DN285" s="707"/>
      <c r="DO285" s="707"/>
      <c r="DP285" s="707"/>
      <c r="DQ285" s="707"/>
      <c r="DR285" s="706"/>
      <c r="DS285" s="6"/>
      <c r="DT285" s="6"/>
      <c r="DU285" s="6"/>
      <c r="DV285" s="6"/>
    </row>
    <row r="286" spans="2:126" ht="11.25" customHeight="1">
      <c r="B286" s="23"/>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19"/>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row>
    <row r="287" spans="2:126" ht="11.25" customHeight="1">
      <c r="B287" s="23"/>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19"/>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row>
    <row r="288" spans="2:126" ht="11.25" customHeight="1">
      <c r="B288" s="23"/>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19"/>
    </row>
    <row r="289" spans="2:73" ht="11.25" customHeight="1">
      <c r="B289" s="23"/>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19"/>
    </row>
    <row r="290" spans="2:73" ht="11.25" customHeight="1">
      <c r="B290" s="23"/>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19"/>
    </row>
    <row r="291" spans="2:73" ht="11.25" customHeight="1">
      <c r="B291" s="23"/>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19"/>
    </row>
    <row r="292" spans="2:73" ht="11.25" customHeight="1">
      <c r="B292" s="23"/>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19"/>
    </row>
    <row r="293" spans="2:73" ht="11.25" customHeight="1">
      <c r="B293" s="23"/>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19"/>
    </row>
    <row r="294" spans="2:73" ht="11.25" customHeight="1">
      <c r="B294" s="23"/>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19"/>
    </row>
    <row r="295" spans="2:73" ht="11.25" customHeight="1">
      <c r="B295" s="23"/>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19"/>
    </row>
    <row r="296" spans="2:73" ht="11.25" customHeight="1">
      <c r="B296" s="23"/>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19"/>
    </row>
    <row r="297" spans="2:73" ht="11.25" customHeight="1">
      <c r="B297" s="23"/>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19"/>
    </row>
    <row r="298" spans="2:73" ht="11.25" customHeight="1">
      <c r="B298" s="23"/>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19"/>
    </row>
    <row r="299" spans="2:73" ht="11.25" customHeight="1">
      <c r="B299" s="23"/>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19"/>
    </row>
    <row r="300" spans="2:73" ht="11.25" customHeight="1">
      <c r="B300" s="23"/>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19"/>
    </row>
    <row r="301" spans="2:73" ht="11.25" customHeight="1">
      <c r="B301" s="18"/>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c r="BE301" s="83"/>
      <c r="BF301" s="83"/>
      <c r="BG301" s="83"/>
      <c r="BH301" s="83"/>
      <c r="BI301" s="83"/>
      <c r="BJ301" s="83"/>
      <c r="BK301" s="83"/>
      <c r="BL301" s="83"/>
      <c r="BM301" s="83"/>
      <c r="BN301" s="83"/>
      <c r="BO301" s="83"/>
      <c r="BP301" s="83"/>
      <c r="BQ301" s="83"/>
      <c r="BR301" s="83"/>
      <c r="BS301" s="83"/>
      <c r="BT301" s="83"/>
      <c r="BU301" s="16"/>
    </row>
    <row r="302" spans="2:73" ht="7.5" customHeight="1" thickBot="1">
      <c r="B302" s="93"/>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79"/>
      <c r="BF302" s="79"/>
      <c r="BG302" s="79"/>
      <c r="BH302" s="79"/>
      <c r="BI302" s="79"/>
      <c r="BJ302" s="79"/>
      <c r="BK302" s="79"/>
      <c r="BL302" s="79"/>
      <c r="BM302" s="79"/>
      <c r="BN302" s="79"/>
      <c r="BO302" s="79"/>
      <c r="BP302" s="79"/>
      <c r="BQ302" s="79"/>
      <c r="BR302" s="79"/>
      <c r="BS302" s="79"/>
      <c r="BT302" s="79"/>
      <c r="BU302" s="3589"/>
    </row>
    <row r="303" spans="2:73" ht="15" customHeight="1" thickBot="1">
      <c r="B303" s="23"/>
      <c r="C303" s="3262" t="s">
        <v>107</v>
      </c>
      <c r="D303" s="3263"/>
      <c r="E303" s="3263"/>
      <c r="F303" s="3263"/>
      <c r="G303" s="3263"/>
      <c r="H303" s="3264"/>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91" t="s">
        <v>1022</v>
      </c>
      <c r="BI303" s="3592"/>
      <c r="BJ303" s="3592"/>
      <c r="BK303" s="3592"/>
      <c r="BL303" s="3593"/>
      <c r="BM303" s="35"/>
      <c r="BN303" s="35"/>
      <c r="BO303" s="35"/>
      <c r="BP303" s="3574" t="s">
        <v>295</v>
      </c>
      <c r="BQ303" s="3575"/>
      <c r="BR303" s="3575"/>
      <c r="BS303" s="3576"/>
      <c r="BT303" s="35"/>
      <c r="BU303" s="3590"/>
    </row>
    <row r="304" spans="2:73" ht="3.75" customHeight="1">
      <c r="B304" s="23"/>
      <c r="C304" s="20"/>
      <c r="D304" s="20"/>
      <c r="E304" s="20"/>
      <c r="F304" s="20"/>
      <c r="G304" s="20"/>
      <c r="H304" s="20"/>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90"/>
    </row>
    <row r="305" spans="2:77" ht="11.25" customHeight="1">
      <c r="B305" s="23"/>
      <c r="C305" s="3262" t="s">
        <v>449</v>
      </c>
      <c r="D305" s="3263"/>
      <c r="E305" s="3263"/>
      <c r="F305" s="3263"/>
      <c r="G305" s="3263"/>
      <c r="H305" s="3264"/>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90"/>
      <c r="BX305" s="705"/>
      <c r="BY305" s="705"/>
    </row>
    <row r="306" spans="2:77" ht="3.75" customHeight="1">
      <c r="B306" s="23"/>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90"/>
    </row>
    <row r="307" spans="2:77" ht="11.25" customHeight="1">
      <c r="B307" s="23"/>
      <c r="C307" s="2327" t="s">
        <v>485</v>
      </c>
      <c r="D307" s="2328"/>
      <c r="E307" s="2328"/>
      <c r="F307" s="2328"/>
      <c r="G307" s="2328"/>
      <c r="H307" s="2328"/>
      <c r="I307" s="2328"/>
      <c r="J307" s="2328"/>
      <c r="K307" s="2328"/>
      <c r="L307" s="2328"/>
      <c r="M307" s="2328"/>
      <c r="N307" s="2328"/>
      <c r="O307" s="2328"/>
      <c r="P307" s="2328"/>
      <c r="Q307" s="2328"/>
      <c r="R307" s="2328"/>
      <c r="S307" s="2328"/>
      <c r="T307" s="2328"/>
      <c r="U307" s="2328"/>
      <c r="V307" s="2328"/>
      <c r="W307" s="2328"/>
      <c r="X307" s="2329"/>
      <c r="Y307" s="2327" t="s">
        <v>92</v>
      </c>
      <c r="Z307" s="2328"/>
      <c r="AA307" s="2328"/>
      <c r="AB307" s="2328"/>
      <c r="AC307" s="2328"/>
      <c r="AD307" s="2329"/>
      <c r="AE307" s="34" t="s">
        <v>68</v>
      </c>
      <c r="AF307" s="2327" t="s">
        <v>484</v>
      </c>
      <c r="AG307" s="2328"/>
      <c r="AH307" s="2328"/>
      <c r="AI307" s="2328"/>
      <c r="AJ307" s="2328"/>
      <c r="AK307" s="2329"/>
      <c r="AL307" s="2327" t="s">
        <v>483</v>
      </c>
      <c r="AM307" s="2328"/>
      <c r="AN307" s="2328"/>
      <c r="AO307" s="2329"/>
      <c r="AP307" s="2327" t="s">
        <v>482</v>
      </c>
      <c r="AQ307" s="2328"/>
      <c r="AR307" s="2328"/>
      <c r="AS307" s="2328"/>
      <c r="AT307" s="2328"/>
      <c r="AU307" s="2328"/>
      <c r="AV307" s="2329"/>
      <c r="AW307" s="2327" t="s">
        <v>481</v>
      </c>
      <c r="AX307" s="2328"/>
      <c r="AY307" s="2328"/>
      <c r="AZ307" s="2328"/>
      <c r="BA307" s="2328"/>
      <c r="BB307" s="2328"/>
      <c r="BC307" s="2328"/>
      <c r="BD307" s="2328"/>
      <c r="BE307" s="2328"/>
      <c r="BF307" s="2329"/>
      <c r="BG307" s="33">
        <f>IF(BO361="北海道",4,IF(BO361="東北",6,IF(BO361="関東",8,IF(BO361="中部",10,IF(BO361="近畿",12,IF(BO361="北陸",14,IF(BO361="中国",16,IF(BO361="四国",18,IF(BO361="九州",20,IF(BO361="沖縄",22,RIGHT(BA361,1)+21))))))))))</f>
        <v>12</v>
      </c>
      <c r="BH307" s="2327" t="s">
        <v>537</v>
      </c>
      <c r="BI307" s="2328"/>
      <c r="BJ307" s="2328"/>
      <c r="BK307" s="2328"/>
      <c r="BL307" s="2328"/>
      <c r="BM307" s="2329"/>
      <c r="BN307" s="2327" t="s">
        <v>480</v>
      </c>
      <c r="BO307" s="2328"/>
      <c r="BP307" s="2328"/>
      <c r="BQ307" s="2328"/>
      <c r="BR307" s="2328"/>
      <c r="BS307" s="2328"/>
      <c r="BT307" s="2329"/>
      <c r="BU307" s="3590"/>
    </row>
    <row r="308" spans="2:77" ht="11.25" customHeight="1">
      <c r="B308" s="23"/>
      <c r="C308" s="3568" t="str">
        <f t="shared" ref="C308:C322" si="139">IF($B$2=0,"",IF(ISNA(VLOOKUP(BV308,TV_W,4,FALSE)),"",VLOOKUP(BV308,TV_W,4,FALSE)))</f>
        <v>S-7C-FB</v>
      </c>
      <c r="D308" s="3569"/>
      <c r="E308" s="3569"/>
      <c r="F308" s="3569"/>
      <c r="G308" s="3569"/>
      <c r="H308" s="3569"/>
      <c r="I308" s="3569"/>
      <c r="J308" s="3569"/>
      <c r="K308" s="3569"/>
      <c r="L308" s="3569"/>
      <c r="M308" s="3569"/>
      <c r="N308" s="3569"/>
      <c r="O308" s="3569"/>
      <c r="P308" s="3569"/>
      <c r="Q308" s="3569"/>
      <c r="R308" s="3569"/>
      <c r="S308" s="3569"/>
      <c r="T308" s="3569"/>
      <c r="U308" s="3569"/>
      <c r="V308" s="3569"/>
      <c r="W308" s="3569"/>
      <c r="X308" s="3570"/>
      <c r="Y308" s="2207">
        <f t="shared" ref="Y308:Y322" si="140">IF(C308="","",IF(AF308&lt;&gt;"",AF308,VLOOKUP(BV308,TV_W,7,FALSE)))</f>
        <v>365.40000000000003</v>
      </c>
      <c r="Z308" s="2208"/>
      <c r="AA308" s="2208"/>
      <c r="AB308" s="2208"/>
      <c r="AC308" s="2208"/>
      <c r="AD308" s="2249"/>
      <c r="AE308" s="31" t="str">
        <f t="shared" ref="AE308:AE322" si="141">IF(Y308="","","▼")</f>
        <v>▼</v>
      </c>
      <c r="AF308" s="3508"/>
      <c r="AG308" s="3509"/>
      <c r="AH308" s="3509"/>
      <c r="AI308" s="3509"/>
      <c r="AJ308" s="3509"/>
      <c r="AK308" s="3510"/>
      <c r="AL308" s="3251" t="str">
        <f>IF(C308="","",VLOOKUP(C308,[7]建物1802!$E$5:$AL$3275,2,FALSE))</f>
        <v>ｍ</v>
      </c>
      <c r="AM308" s="2873"/>
      <c r="AN308" s="2873"/>
      <c r="AO308" s="2874"/>
      <c r="AP308" s="2504">
        <f>IF(C308="","",VLOOKUP(C308,[7]建物1802!$E$5:$AL$3275,$BG$307,FALSE))</f>
        <v>133</v>
      </c>
      <c r="AQ308" s="2208"/>
      <c r="AR308" s="2208"/>
      <c r="AS308" s="2208"/>
      <c r="AT308" s="2208"/>
      <c r="AU308" s="2208"/>
      <c r="AV308" s="2249"/>
      <c r="AW308" s="2209">
        <f t="shared" ref="AW308:AW322" si="142">IF(Y308="","",Y308*AP308)</f>
        <v>48598.200000000004</v>
      </c>
      <c r="AX308" s="2210"/>
      <c r="AY308" s="2210"/>
      <c r="AZ308" s="2210"/>
      <c r="BA308" s="2210"/>
      <c r="BB308" s="2210"/>
      <c r="BC308" s="2210"/>
      <c r="BD308" s="2210"/>
      <c r="BE308" s="2210"/>
      <c r="BF308" s="2211"/>
      <c r="BG308" s="21">
        <f>RIGHT(BA362,1)+25</f>
        <v>26</v>
      </c>
      <c r="BH308" s="2486">
        <f>IF(C308="","",VLOOKUP(C308,[7]建物1802!$E$5:$AL$3275,$BG$308,FALSE))</f>
        <v>0.02</v>
      </c>
      <c r="BI308" s="2487"/>
      <c r="BJ308" s="2487"/>
      <c r="BK308" s="2487"/>
      <c r="BL308" s="2487"/>
      <c r="BM308" s="2488"/>
      <c r="BN308" s="2257">
        <f t="shared" ref="BN308:BN322" si="143">IF(Y308="","",Y308*BH308)</f>
        <v>7.3080000000000007</v>
      </c>
      <c r="BO308" s="2258"/>
      <c r="BP308" s="2258"/>
      <c r="BQ308" s="2258"/>
      <c r="BR308" s="2258"/>
      <c r="BS308" s="2258"/>
      <c r="BT308" s="2259"/>
      <c r="BU308" s="3590"/>
      <c r="BV308" s="8">
        <v>1</v>
      </c>
    </row>
    <row r="309" spans="2:77" ht="11.25" customHeight="1">
      <c r="B309" s="23"/>
      <c r="C309" s="3568" t="str">
        <f t="shared" si="139"/>
        <v>PF-S-22mm</v>
      </c>
      <c r="D309" s="3569"/>
      <c r="E309" s="3569"/>
      <c r="F309" s="3569"/>
      <c r="G309" s="3569"/>
      <c r="H309" s="3569"/>
      <c r="I309" s="3569"/>
      <c r="J309" s="3569"/>
      <c r="K309" s="3569"/>
      <c r="L309" s="3569"/>
      <c r="M309" s="3569"/>
      <c r="N309" s="3569"/>
      <c r="O309" s="3569"/>
      <c r="P309" s="3569"/>
      <c r="Q309" s="3569"/>
      <c r="R309" s="3569"/>
      <c r="S309" s="3569"/>
      <c r="T309" s="3569"/>
      <c r="U309" s="3569"/>
      <c r="V309" s="3569"/>
      <c r="W309" s="3569"/>
      <c r="X309" s="3570"/>
      <c r="Y309" s="2207">
        <f t="shared" si="140"/>
        <v>191.85000000000002</v>
      </c>
      <c r="Z309" s="2208"/>
      <c r="AA309" s="2208"/>
      <c r="AB309" s="2208"/>
      <c r="AC309" s="2208"/>
      <c r="AD309" s="2249"/>
      <c r="AE309" s="31" t="str">
        <f t="shared" si="141"/>
        <v>▼</v>
      </c>
      <c r="AF309" s="3508"/>
      <c r="AG309" s="3509"/>
      <c r="AH309" s="3509"/>
      <c r="AI309" s="3509"/>
      <c r="AJ309" s="3509"/>
      <c r="AK309" s="3510"/>
      <c r="AL309" s="3251" t="str">
        <f>IF(C309="","",VLOOKUP(C309,[7]建物1802!$E$5:$AL$3275,2,FALSE))</f>
        <v>ｍ</v>
      </c>
      <c r="AM309" s="2873"/>
      <c r="AN309" s="2873"/>
      <c r="AO309" s="2874"/>
      <c r="AP309" s="2504">
        <f>IF(C309="","",VLOOKUP(C309,[7]建物1802!$E$5:$AL$3275,$BG$307,FALSE))</f>
        <v>81</v>
      </c>
      <c r="AQ309" s="2208"/>
      <c r="AR309" s="2208"/>
      <c r="AS309" s="2208"/>
      <c r="AT309" s="2208"/>
      <c r="AU309" s="2208"/>
      <c r="AV309" s="2249"/>
      <c r="AW309" s="2209">
        <f t="shared" si="142"/>
        <v>15539.850000000002</v>
      </c>
      <c r="AX309" s="2210"/>
      <c r="AY309" s="2210"/>
      <c r="AZ309" s="2210"/>
      <c r="BA309" s="2210"/>
      <c r="BB309" s="2210"/>
      <c r="BC309" s="2210"/>
      <c r="BD309" s="2210"/>
      <c r="BE309" s="2210"/>
      <c r="BF309" s="2211"/>
      <c r="BG309" s="20"/>
      <c r="BH309" s="2486">
        <f>IF(C309="","",VLOOKUP(C309,[7]建物1802!$E$5:$AL$3275,$BG$308,FALSE))</f>
        <v>4.1000000000000002E-2</v>
      </c>
      <c r="BI309" s="2487"/>
      <c r="BJ309" s="2487"/>
      <c r="BK309" s="2487"/>
      <c r="BL309" s="2487"/>
      <c r="BM309" s="2488"/>
      <c r="BN309" s="2257">
        <f t="shared" si="143"/>
        <v>7.8658500000000009</v>
      </c>
      <c r="BO309" s="2258"/>
      <c r="BP309" s="2258"/>
      <c r="BQ309" s="2258"/>
      <c r="BR309" s="2258"/>
      <c r="BS309" s="2258"/>
      <c r="BT309" s="2259"/>
      <c r="BU309" s="3590"/>
      <c r="BV309" s="8">
        <v>2</v>
      </c>
    </row>
    <row r="310" spans="2:77" ht="11.25" customHeight="1">
      <c r="B310" s="23"/>
      <c r="C310" s="3568" t="str">
        <f t="shared" si="139"/>
        <v>S-5C-FB</v>
      </c>
      <c r="D310" s="3569"/>
      <c r="E310" s="3569"/>
      <c r="F310" s="3569"/>
      <c r="G310" s="3569"/>
      <c r="H310" s="3569"/>
      <c r="I310" s="3569"/>
      <c r="J310" s="3569"/>
      <c r="K310" s="3569"/>
      <c r="L310" s="3569"/>
      <c r="M310" s="3569"/>
      <c r="N310" s="3569"/>
      <c r="O310" s="3569"/>
      <c r="P310" s="3569"/>
      <c r="Q310" s="3569"/>
      <c r="R310" s="3569"/>
      <c r="S310" s="3569"/>
      <c r="T310" s="3569"/>
      <c r="U310" s="3569"/>
      <c r="V310" s="3569"/>
      <c r="W310" s="3569"/>
      <c r="X310" s="3570"/>
      <c r="Y310" s="2207">
        <f t="shared" si="140"/>
        <v>4699.4380052027636</v>
      </c>
      <c r="Z310" s="2208"/>
      <c r="AA310" s="2208"/>
      <c r="AB310" s="2208"/>
      <c r="AC310" s="2208"/>
      <c r="AD310" s="2249"/>
      <c r="AE310" s="31" t="str">
        <f t="shared" si="141"/>
        <v>▼</v>
      </c>
      <c r="AF310" s="3508"/>
      <c r="AG310" s="3509"/>
      <c r="AH310" s="3509"/>
      <c r="AI310" s="3509"/>
      <c r="AJ310" s="3509"/>
      <c r="AK310" s="3510"/>
      <c r="AL310" s="3251" t="str">
        <f>IF(C310="","",VLOOKUP(C310,[7]建物1802!$E$5:$AL$3275,2,FALSE))</f>
        <v>ｍ</v>
      </c>
      <c r="AM310" s="2873"/>
      <c r="AN310" s="2873"/>
      <c r="AO310" s="2874"/>
      <c r="AP310" s="2504">
        <f>IF(C310="","",VLOOKUP(C310,[7]建物1802!$E$5:$AL$3275,$BG$307,FALSE))</f>
        <v>64.8</v>
      </c>
      <c r="AQ310" s="2208"/>
      <c r="AR310" s="2208"/>
      <c r="AS310" s="2208"/>
      <c r="AT310" s="2208"/>
      <c r="AU310" s="2208"/>
      <c r="AV310" s="2249"/>
      <c r="AW310" s="2209">
        <f t="shared" si="142"/>
        <v>304523.58273713908</v>
      </c>
      <c r="AX310" s="2210"/>
      <c r="AY310" s="2210"/>
      <c r="AZ310" s="2210"/>
      <c r="BA310" s="2210"/>
      <c r="BB310" s="2210"/>
      <c r="BC310" s="2210"/>
      <c r="BD310" s="2210"/>
      <c r="BE310" s="2210"/>
      <c r="BF310" s="2211"/>
      <c r="BG310" s="20"/>
      <c r="BH310" s="2486">
        <f>IF(C310="","",VLOOKUP(C310,[7]建物1802!$E$5:$AL$3275,$BG$308,FALSE))</f>
        <v>3.4000000000000002E-2</v>
      </c>
      <c r="BI310" s="2487"/>
      <c r="BJ310" s="2487"/>
      <c r="BK310" s="2487"/>
      <c r="BL310" s="2487"/>
      <c r="BM310" s="2488"/>
      <c r="BN310" s="2257">
        <f t="shared" si="143"/>
        <v>159.78089217689399</v>
      </c>
      <c r="BO310" s="2258"/>
      <c r="BP310" s="2258"/>
      <c r="BQ310" s="2258"/>
      <c r="BR310" s="2258"/>
      <c r="BS310" s="2258"/>
      <c r="BT310" s="2259"/>
      <c r="BU310" s="3590"/>
      <c r="BV310" s="8">
        <v>3</v>
      </c>
    </row>
    <row r="311" spans="2:77" ht="11.25" customHeight="1">
      <c r="B311" s="23"/>
      <c r="C311" s="3568" t="str">
        <f t="shared" si="139"/>
        <v>PF-S-16mm</v>
      </c>
      <c r="D311" s="3569"/>
      <c r="E311" s="3569"/>
      <c r="F311" s="3569"/>
      <c r="G311" s="3569"/>
      <c r="H311" s="3569"/>
      <c r="I311" s="3569"/>
      <c r="J311" s="3569"/>
      <c r="K311" s="3569"/>
      <c r="L311" s="3569"/>
      <c r="M311" s="3569"/>
      <c r="N311" s="3569"/>
      <c r="O311" s="3569"/>
      <c r="P311" s="3569"/>
      <c r="Q311" s="3569"/>
      <c r="R311" s="3569"/>
      <c r="S311" s="3569"/>
      <c r="T311" s="3569"/>
      <c r="U311" s="3569"/>
      <c r="V311" s="3569"/>
      <c r="W311" s="3569"/>
      <c r="X311" s="3570"/>
      <c r="Y311" s="2207">
        <f t="shared" si="140"/>
        <v>1180.4499999999998</v>
      </c>
      <c r="Z311" s="2208"/>
      <c r="AA311" s="2208"/>
      <c r="AB311" s="2208"/>
      <c r="AC311" s="2208"/>
      <c r="AD311" s="2249"/>
      <c r="AE311" s="31" t="str">
        <f t="shared" si="141"/>
        <v>▼</v>
      </c>
      <c r="AF311" s="3508"/>
      <c r="AG311" s="3509"/>
      <c r="AH311" s="3509"/>
      <c r="AI311" s="3509"/>
      <c r="AJ311" s="3509"/>
      <c r="AK311" s="3510"/>
      <c r="AL311" s="3251" t="str">
        <f>IF(C311="","",VLOOKUP(C311,[7]建物1802!$E$5:$AL$3275,2,FALSE))</f>
        <v>ｍ</v>
      </c>
      <c r="AM311" s="2873"/>
      <c r="AN311" s="2873"/>
      <c r="AO311" s="2874"/>
      <c r="AP311" s="2504">
        <f>IF(C311="","",VLOOKUP(C311,[7]建物1802!$E$5:$AL$3275,$BG$307,FALSE))</f>
        <v>56</v>
      </c>
      <c r="AQ311" s="2208"/>
      <c r="AR311" s="2208"/>
      <c r="AS311" s="2208"/>
      <c r="AT311" s="2208"/>
      <c r="AU311" s="2208"/>
      <c r="AV311" s="2249"/>
      <c r="AW311" s="2209">
        <f t="shared" si="142"/>
        <v>66105.199999999983</v>
      </c>
      <c r="AX311" s="2210"/>
      <c r="AY311" s="2210"/>
      <c r="AZ311" s="2210"/>
      <c r="BA311" s="2210"/>
      <c r="BB311" s="2210"/>
      <c r="BC311" s="2210"/>
      <c r="BD311" s="2210"/>
      <c r="BE311" s="2210"/>
      <c r="BF311" s="2211"/>
      <c r="BG311" s="20"/>
      <c r="BH311" s="2486">
        <f>IF(C311="","",VLOOKUP(C311,[7]建物1802!$E$5:$AL$3275,$BG$308,FALSE))</f>
        <v>3.1E-2</v>
      </c>
      <c r="BI311" s="2487"/>
      <c r="BJ311" s="2487"/>
      <c r="BK311" s="2487"/>
      <c r="BL311" s="2487"/>
      <c r="BM311" s="2488"/>
      <c r="BN311" s="2257">
        <f t="shared" si="143"/>
        <v>36.593949999999992</v>
      </c>
      <c r="BO311" s="2258"/>
      <c r="BP311" s="2258"/>
      <c r="BQ311" s="2258"/>
      <c r="BR311" s="2258"/>
      <c r="BS311" s="2258"/>
      <c r="BT311" s="2259"/>
      <c r="BU311" s="3590"/>
      <c r="BV311" s="8">
        <v>4</v>
      </c>
    </row>
    <row r="312" spans="2:77" ht="11.25" customHeight="1">
      <c r="B312" s="23"/>
      <c r="C312" s="3568" t="str">
        <f t="shared" si="139"/>
        <v>G-28mm</v>
      </c>
      <c r="D312" s="3569"/>
      <c r="E312" s="3569"/>
      <c r="F312" s="3569"/>
      <c r="G312" s="3569"/>
      <c r="H312" s="3569"/>
      <c r="I312" s="3569"/>
      <c r="J312" s="3569"/>
      <c r="K312" s="3569"/>
      <c r="L312" s="3569"/>
      <c r="M312" s="3569"/>
      <c r="N312" s="3569"/>
      <c r="O312" s="3569"/>
      <c r="P312" s="3569"/>
      <c r="Q312" s="3569"/>
      <c r="R312" s="3569"/>
      <c r="S312" s="3569"/>
      <c r="T312" s="3569"/>
      <c r="U312" s="3569"/>
      <c r="V312" s="3569"/>
      <c r="W312" s="3569"/>
      <c r="X312" s="3570"/>
      <c r="Y312" s="2207">
        <f t="shared" si="140"/>
        <v>14.5</v>
      </c>
      <c r="Z312" s="2208"/>
      <c r="AA312" s="2208"/>
      <c r="AB312" s="2208"/>
      <c r="AC312" s="2208"/>
      <c r="AD312" s="2249"/>
      <c r="AE312" s="31" t="str">
        <f t="shared" si="141"/>
        <v>▼</v>
      </c>
      <c r="AF312" s="3508"/>
      <c r="AG312" s="3509"/>
      <c r="AH312" s="3509"/>
      <c r="AI312" s="3509"/>
      <c r="AJ312" s="3509"/>
      <c r="AK312" s="3510"/>
      <c r="AL312" s="3251" t="str">
        <f>IF(C312="","",VLOOKUP(C312,[7]建物1802!$E$5:$AL$3275,2,FALSE))</f>
        <v>ｍ</v>
      </c>
      <c r="AM312" s="2873"/>
      <c r="AN312" s="2873"/>
      <c r="AO312" s="2874"/>
      <c r="AP312" s="2504">
        <f>IF(C312="","",VLOOKUP(C312,[7]建物1802!$E$5:$AL$3275,$BG$307,FALSE))</f>
        <v>382</v>
      </c>
      <c r="AQ312" s="2208"/>
      <c r="AR312" s="2208"/>
      <c r="AS312" s="2208"/>
      <c r="AT312" s="2208"/>
      <c r="AU312" s="2208"/>
      <c r="AV312" s="2249"/>
      <c r="AW312" s="2209">
        <f t="shared" si="142"/>
        <v>5539</v>
      </c>
      <c r="AX312" s="2210"/>
      <c r="AY312" s="2210"/>
      <c r="AZ312" s="2210"/>
      <c r="BA312" s="2210"/>
      <c r="BB312" s="2210"/>
      <c r="BC312" s="2210"/>
      <c r="BD312" s="2210"/>
      <c r="BE312" s="2210"/>
      <c r="BF312" s="2211"/>
      <c r="BG312" s="20"/>
      <c r="BH312" s="2486">
        <f>IF(C312="","",VLOOKUP(C312,[7]建物1802!$E$5:$AL$3275,$BG$308,FALSE))</f>
        <v>0.10299999999999999</v>
      </c>
      <c r="BI312" s="2487"/>
      <c r="BJ312" s="2487"/>
      <c r="BK312" s="2487"/>
      <c r="BL312" s="2487"/>
      <c r="BM312" s="2488"/>
      <c r="BN312" s="2257">
        <f t="shared" si="143"/>
        <v>1.4934999999999998</v>
      </c>
      <c r="BO312" s="2258"/>
      <c r="BP312" s="2258"/>
      <c r="BQ312" s="2258"/>
      <c r="BR312" s="2258"/>
      <c r="BS312" s="2258"/>
      <c r="BT312" s="2259"/>
      <c r="BU312" s="3590"/>
      <c r="BV312" s="8">
        <v>5</v>
      </c>
    </row>
    <row r="313" spans="2:77" ht="11.25" customHeight="1">
      <c r="B313" s="23"/>
      <c r="C313" s="3568" t="str">
        <f t="shared" si="139"/>
        <v/>
      </c>
      <c r="D313" s="3569"/>
      <c r="E313" s="3569"/>
      <c r="F313" s="3569"/>
      <c r="G313" s="3569"/>
      <c r="H313" s="3569"/>
      <c r="I313" s="3569"/>
      <c r="J313" s="3569"/>
      <c r="K313" s="3569"/>
      <c r="L313" s="3569"/>
      <c r="M313" s="3569"/>
      <c r="N313" s="3569"/>
      <c r="O313" s="3569"/>
      <c r="P313" s="3569"/>
      <c r="Q313" s="3569"/>
      <c r="R313" s="3569"/>
      <c r="S313" s="3569"/>
      <c r="T313" s="3569"/>
      <c r="U313" s="3569"/>
      <c r="V313" s="3569"/>
      <c r="W313" s="3569"/>
      <c r="X313" s="3570"/>
      <c r="Y313" s="2207" t="str">
        <f t="shared" si="140"/>
        <v/>
      </c>
      <c r="Z313" s="2208"/>
      <c r="AA313" s="2208"/>
      <c r="AB313" s="2208"/>
      <c r="AC313" s="2208"/>
      <c r="AD313" s="2249"/>
      <c r="AE313" s="31" t="str">
        <f t="shared" si="141"/>
        <v/>
      </c>
      <c r="AF313" s="3508"/>
      <c r="AG313" s="3509"/>
      <c r="AH313" s="3509"/>
      <c r="AI313" s="3509"/>
      <c r="AJ313" s="3509"/>
      <c r="AK313" s="3510"/>
      <c r="AL313" s="3251" t="str">
        <f>IF(C313="","",VLOOKUP(C313,[7]建物1802!$E$5:$AL$3275,2,FALSE))</f>
        <v/>
      </c>
      <c r="AM313" s="2873"/>
      <c r="AN313" s="2873"/>
      <c r="AO313" s="2874"/>
      <c r="AP313" s="2504" t="str">
        <f>IF(C313="","",VLOOKUP(C313,[7]建物1802!$E$5:$AL$3275,$BG$307,FALSE))</f>
        <v/>
      </c>
      <c r="AQ313" s="2208"/>
      <c r="AR313" s="2208"/>
      <c r="AS313" s="2208"/>
      <c r="AT313" s="2208"/>
      <c r="AU313" s="2208"/>
      <c r="AV313" s="2249"/>
      <c r="AW313" s="2209" t="str">
        <f t="shared" si="142"/>
        <v/>
      </c>
      <c r="AX313" s="2210"/>
      <c r="AY313" s="2210"/>
      <c r="AZ313" s="2210"/>
      <c r="BA313" s="2210"/>
      <c r="BB313" s="2210"/>
      <c r="BC313" s="2210"/>
      <c r="BD313" s="2210"/>
      <c r="BE313" s="2210"/>
      <c r="BF313" s="2211"/>
      <c r="BG313" s="20"/>
      <c r="BH313" s="2486" t="str">
        <f>IF(C313="","",VLOOKUP(C313,[7]建物1802!$E$5:$AL$3275,$BG$308,FALSE))</f>
        <v/>
      </c>
      <c r="BI313" s="2487"/>
      <c r="BJ313" s="2487"/>
      <c r="BK313" s="2487"/>
      <c r="BL313" s="2487"/>
      <c r="BM313" s="2488"/>
      <c r="BN313" s="2257" t="str">
        <f t="shared" si="143"/>
        <v/>
      </c>
      <c r="BO313" s="2258"/>
      <c r="BP313" s="2258"/>
      <c r="BQ313" s="2258"/>
      <c r="BR313" s="2258"/>
      <c r="BS313" s="2258"/>
      <c r="BT313" s="2259"/>
      <c r="BU313" s="3590"/>
      <c r="BV313" s="8">
        <v>6</v>
      </c>
    </row>
    <row r="314" spans="2:77" ht="11.25" customHeight="1">
      <c r="B314" s="23"/>
      <c r="C314" s="3568" t="str">
        <f t="shared" si="139"/>
        <v/>
      </c>
      <c r="D314" s="3569"/>
      <c r="E314" s="3569"/>
      <c r="F314" s="3569"/>
      <c r="G314" s="3569"/>
      <c r="H314" s="3569"/>
      <c r="I314" s="3569"/>
      <c r="J314" s="3569"/>
      <c r="K314" s="3569"/>
      <c r="L314" s="3569"/>
      <c r="M314" s="3569"/>
      <c r="N314" s="3569"/>
      <c r="O314" s="3569"/>
      <c r="P314" s="3569"/>
      <c r="Q314" s="3569"/>
      <c r="R314" s="3569"/>
      <c r="S314" s="3569"/>
      <c r="T314" s="3569"/>
      <c r="U314" s="3569"/>
      <c r="V314" s="3569"/>
      <c r="W314" s="3569"/>
      <c r="X314" s="3570"/>
      <c r="Y314" s="2207" t="str">
        <f t="shared" si="140"/>
        <v/>
      </c>
      <c r="Z314" s="2208"/>
      <c r="AA314" s="2208"/>
      <c r="AB314" s="2208"/>
      <c r="AC314" s="2208"/>
      <c r="AD314" s="2249"/>
      <c r="AE314" s="31" t="str">
        <f t="shared" si="141"/>
        <v/>
      </c>
      <c r="AF314" s="3508"/>
      <c r="AG314" s="3509"/>
      <c r="AH314" s="3509"/>
      <c r="AI314" s="3509"/>
      <c r="AJ314" s="3509"/>
      <c r="AK314" s="3510"/>
      <c r="AL314" s="3251" t="str">
        <f>IF(C314="","",VLOOKUP(C314,[7]建物1802!$E$5:$AL$3275,2,FALSE))</f>
        <v/>
      </c>
      <c r="AM314" s="2873"/>
      <c r="AN314" s="2873"/>
      <c r="AO314" s="2874"/>
      <c r="AP314" s="2504" t="str">
        <f>IF(C314="","",VLOOKUP(C314,[7]建物1802!$E$5:$AL$3275,$BG$307,FALSE))</f>
        <v/>
      </c>
      <c r="AQ314" s="2208"/>
      <c r="AR314" s="2208"/>
      <c r="AS314" s="2208"/>
      <c r="AT314" s="2208"/>
      <c r="AU314" s="2208"/>
      <c r="AV314" s="2249"/>
      <c r="AW314" s="2209" t="str">
        <f t="shared" si="142"/>
        <v/>
      </c>
      <c r="AX314" s="2210"/>
      <c r="AY314" s="2210"/>
      <c r="AZ314" s="2210"/>
      <c r="BA314" s="2210"/>
      <c r="BB314" s="2210"/>
      <c r="BC314" s="2210"/>
      <c r="BD314" s="2210"/>
      <c r="BE314" s="2210"/>
      <c r="BF314" s="2211"/>
      <c r="BG314" s="20"/>
      <c r="BH314" s="2486" t="str">
        <f>IF(C314="","",VLOOKUP(C314,[7]建物1802!$E$5:$AL$3275,$BG$308,FALSE))</f>
        <v/>
      </c>
      <c r="BI314" s="2487"/>
      <c r="BJ314" s="2487"/>
      <c r="BK314" s="2487"/>
      <c r="BL314" s="2487"/>
      <c r="BM314" s="2488"/>
      <c r="BN314" s="2257" t="str">
        <f t="shared" si="143"/>
        <v/>
      </c>
      <c r="BO314" s="2258"/>
      <c r="BP314" s="2258"/>
      <c r="BQ314" s="2258"/>
      <c r="BR314" s="2258"/>
      <c r="BS314" s="2258"/>
      <c r="BT314" s="2259"/>
      <c r="BU314" s="3590"/>
      <c r="BV314" s="8">
        <v>7</v>
      </c>
    </row>
    <row r="315" spans="2:77" ht="11.25" customHeight="1">
      <c r="B315" s="23"/>
      <c r="C315" s="3568" t="str">
        <f t="shared" si="139"/>
        <v/>
      </c>
      <c r="D315" s="3569"/>
      <c r="E315" s="3569"/>
      <c r="F315" s="3569"/>
      <c r="G315" s="3569"/>
      <c r="H315" s="3569"/>
      <c r="I315" s="3569"/>
      <c r="J315" s="3569"/>
      <c r="K315" s="3569"/>
      <c r="L315" s="3569"/>
      <c r="M315" s="3569"/>
      <c r="N315" s="3569"/>
      <c r="O315" s="3569"/>
      <c r="P315" s="3569"/>
      <c r="Q315" s="3569"/>
      <c r="R315" s="3569"/>
      <c r="S315" s="3569"/>
      <c r="T315" s="3569"/>
      <c r="U315" s="3569"/>
      <c r="V315" s="3569"/>
      <c r="W315" s="3569"/>
      <c r="X315" s="3570"/>
      <c r="Y315" s="2207" t="str">
        <f t="shared" si="140"/>
        <v/>
      </c>
      <c r="Z315" s="2208"/>
      <c r="AA315" s="2208"/>
      <c r="AB315" s="2208"/>
      <c r="AC315" s="2208"/>
      <c r="AD315" s="2249"/>
      <c r="AE315" s="31" t="str">
        <f t="shared" si="141"/>
        <v/>
      </c>
      <c r="AF315" s="3508"/>
      <c r="AG315" s="3509"/>
      <c r="AH315" s="3509"/>
      <c r="AI315" s="3509"/>
      <c r="AJ315" s="3509"/>
      <c r="AK315" s="3510"/>
      <c r="AL315" s="3251" t="str">
        <f>IF(C315="","",VLOOKUP(C315,[7]建物1802!$E$5:$AL$3275,2,FALSE))</f>
        <v/>
      </c>
      <c r="AM315" s="2873"/>
      <c r="AN315" s="2873"/>
      <c r="AO315" s="2874"/>
      <c r="AP315" s="2504" t="str">
        <f>IF(C315="","",VLOOKUP(C315,[7]建物1802!$E$5:$AL$3275,$BG$307,FALSE))</f>
        <v/>
      </c>
      <c r="AQ315" s="2208"/>
      <c r="AR315" s="2208"/>
      <c r="AS315" s="2208"/>
      <c r="AT315" s="2208"/>
      <c r="AU315" s="2208"/>
      <c r="AV315" s="2249"/>
      <c r="AW315" s="2209" t="str">
        <f t="shared" si="142"/>
        <v/>
      </c>
      <c r="AX315" s="2210"/>
      <c r="AY315" s="2210"/>
      <c r="AZ315" s="2210"/>
      <c r="BA315" s="2210"/>
      <c r="BB315" s="2210"/>
      <c r="BC315" s="2210"/>
      <c r="BD315" s="2210"/>
      <c r="BE315" s="2210"/>
      <c r="BF315" s="2211"/>
      <c r="BG315" s="20"/>
      <c r="BH315" s="2486" t="str">
        <f>IF(C315="","",VLOOKUP(C315,[7]建物1802!$E$5:$AL$3275,$BG$308,FALSE))</f>
        <v/>
      </c>
      <c r="BI315" s="2487"/>
      <c r="BJ315" s="2487"/>
      <c r="BK315" s="2487"/>
      <c r="BL315" s="2487"/>
      <c r="BM315" s="2488"/>
      <c r="BN315" s="2257" t="str">
        <f t="shared" si="143"/>
        <v/>
      </c>
      <c r="BO315" s="2258"/>
      <c r="BP315" s="2258"/>
      <c r="BQ315" s="2258"/>
      <c r="BR315" s="2258"/>
      <c r="BS315" s="2258"/>
      <c r="BT315" s="2259"/>
      <c r="BU315" s="3590"/>
      <c r="BV315" s="8">
        <v>8</v>
      </c>
    </row>
    <row r="316" spans="2:77" ht="11.25" customHeight="1">
      <c r="B316" s="23"/>
      <c r="C316" s="3568" t="str">
        <f t="shared" si="139"/>
        <v/>
      </c>
      <c r="D316" s="3569"/>
      <c r="E316" s="3569"/>
      <c r="F316" s="3569"/>
      <c r="G316" s="3569"/>
      <c r="H316" s="3569"/>
      <c r="I316" s="3569"/>
      <c r="J316" s="3569"/>
      <c r="K316" s="3569"/>
      <c r="L316" s="3569"/>
      <c r="M316" s="3569"/>
      <c r="N316" s="3569"/>
      <c r="O316" s="3569"/>
      <c r="P316" s="3569"/>
      <c r="Q316" s="3569"/>
      <c r="R316" s="3569"/>
      <c r="S316" s="3569"/>
      <c r="T316" s="3569"/>
      <c r="U316" s="3569"/>
      <c r="V316" s="3569"/>
      <c r="W316" s="3569"/>
      <c r="X316" s="3570"/>
      <c r="Y316" s="2207" t="str">
        <f t="shared" si="140"/>
        <v/>
      </c>
      <c r="Z316" s="2208"/>
      <c r="AA316" s="2208"/>
      <c r="AB316" s="2208"/>
      <c r="AC316" s="2208"/>
      <c r="AD316" s="2249"/>
      <c r="AE316" s="31" t="str">
        <f t="shared" si="141"/>
        <v/>
      </c>
      <c r="AF316" s="3508"/>
      <c r="AG316" s="3509"/>
      <c r="AH316" s="3509"/>
      <c r="AI316" s="3509"/>
      <c r="AJ316" s="3509"/>
      <c r="AK316" s="3510"/>
      <c r="AL316" s="3251" t="str">
        <f>IF(C316="","",VLOOKUP(C316,[7]建物1802!$E$5:$AL$3275,2,FALSE))</f>
        <v/>
      </c>
      <c r="AM316" s="2873"/>
      <c r="AN316" s="2873"/>
      <c r="AO316" s="2874"/>
      <c r="AP316" s="2504" t="str">
        <f>IF(C316="","",VLOOKUP(C316,[7]建物1802!$E$5:$AL$3275,$BG$307,FALSE))</f>
        <v/>
      </c>
      <c r="AQ316" s="2208"/>
      <c r="AR316" s="2208"/>
      <c r="AS316" s="2208"/>
      <c r="AT316" s="2208"/>
      <c r="AU316" s="2208"/>
      <c r="AV316" s="2249"/>
      <c r="AW316" s="2209" t="str">
        <f t="shared" si="142"/>
        <v/>
      </c>
      <c r="AX316" s="2210"/>
      <c r="AY316" s="2210"/>
      <c r="AZ316" s="2210"/>
      <c r="BA316" s="2210"/>
      <c r="BB316" s="2210"/>
      <c r="BC316" s="2210"/>
      <c r="BD316" s="2210"/>
      <c r="BE316" s="2210"/>
      <c r="BF316" s="2211"/>
      <c r="BG316" s="20"/>
      <c r="BH316" s="2486" t="str">
        <f>IF(C316="","",VLOOKUP(C316,[7]建物1802!$E$5:$AL$3275,$BG$308,FALSE))</f>
        <v/>
      </c>
      <c r="BI316" s="2487"/>
      <c r="BJ316" s="2487"/>
      <c r="BK316" s="2487"/>
      <c r="BL316" s="2487"/>
      <c r="BM316" s="2488"/>
      <c r="BN316" s="2257" t="str">
        <f t="shared" si="143"/>
        <v/>
      </c>
      <c r="BO316" s="2258"/>
      <c r="BP316" s="2258"/>
      <c r="BQ316" s="2258"/>
      <c r="BR316" s="2258"/>
      <c r="BS316" s="2258"/>
      <c r="BT316" s="2259"/>
      <c r="BU316" s="3590"/>
      <c r="BV316" s="8">
        <v>9</v>
      </c>
    </row>
    <row r="317" spans="2:77" ht="11.25" customHeight="1">
      <c r="B317" s="23"/>
      <c r="C317" s="3568" t="str">
        <f t="shared" si="139"/>
        <v/>
      </c>
      <c r="D317" s="3569"/>
      <c r="E317" s="3569"/>
      <c r="F317" s="3569"/>
      <c r="G317" s="3569"/>
      <c r="H317" s="3569"/>
      <c r="I317" s="3569"/>
      <c r="J317" s="3569"/>
      <c r="K317" s="3569"/>
      <c r="L317" s="3569"/>
      <c r="M317" s="3569"/>
      <c r="N317" s="3569"/>
      <c r="O317" s="3569"/>
      <c r="P317" s="3569"/>
      <c r="Q317" s="3569"/>
      <c r="R317" s="3569"/>
      <c r="S317" s="3569"/>
      <c r="T317" s="3569"/>
      <c r="U317" s="3569"/>
      <c r="V317" s="3569"/>
      <c r="W317" s="3569"/>
      <c r="X317" s="3570"/>
      <c r="Y317" s="2207" t="str">
        <f t="shared" si="140"/>
        <v/>
      </c>
      <c r="Z317" s="2208"/>
      <c r="AA317" s="2208"/>
      <c r="AB317" s="2208"/>
      <c r="AC317" s="2208"/>
      <c r="AD317" s="2249"/>
      <c r="AE317" s="31" t="str">
        <f t="shared" si="141"/>
        <v/>
      </c>
      <c r="AF317" s="3508"/>
      <c r="AG317" s="3509"/>
      <c r="AH317" s="3509"/>
      <c r="AI317" s="3509"/>
      <c r="AJ317" s="3509"/>
      <c r="AK317" s="3510"/>
      <c r="AL317" s="3251" t="str">
        <f>IF(C317="","",VLOOKUP(C317,[7]建物1802!$E$5:$AL$3275,2,FALSE))</f>
        <v/>
      </c>
      <c r="AM317" s="2873"/>
      <c r="AN317" s="2873"/>
      <c r="AO317" s="2874"/>
      <c r="AP317" s="2504" t="str">
        <f>IF(C317="","",VLOOKUP(C317,[7]建物1802!$E$5:$AL$3275,$BG$307,FALSE))</f>
        <v/>
      </c>
      <c r="AQ317" s="2208"/>
      <c r="AR317" s="2208"/>
      <c r="AS317" s="2208"/>
      <c r="AT317" s="2208"/>
      <c r="AU317" s="2208"/>
      <c r="AV317" s="2249"/>
      <c r="AW317" s="2209" t="str">
        <f t="shared" si="142"/>
        <v/>
      </c>
      <c r="AX317" s="2210"/>
      <c r="AY317" s="2210"/>
      <c r="AZ317" s="2210"/>
      <c r="BA317" s="2210"/>
      <c r="BB317" s="2210"/>
      <c r="BC317" s="2210"/>
      <c r="BD317" s="2210"/>
      <c r="BE317" s="2210"/>
      <c r="BF317" s="2211"/>
      <c r="BG317" s="20"/>
      <c r="BH317" s="2486" t="str">
        <f>IF(C317="","",VLOOKUP(C317,[7]建物1802!$E$5:$AL$3275,$BG$308,FALSE))</f>
        <v/>
      </c>
      <c r="BI317" s="2487"/>
      <c r="BJ317" s="2487"/>
      <c r="BK317" s="2487"/>
      <c r="BL317" s="2487"/>
      <c r="BM317" s="2488"/>
      <c r="BN317" s="2257" t="str">
        <f t="shared" si="143"/>
        <v/>
      </c>
      <c r="BO317" s="2258"/>
      <c r="BP317" s="2258"/>
      <c r="BQ317" s="2258"/>
      <c r="BR317" s="2258"/>
      <c r="BS317" s="2258"/>
      <c r="BT317" s="2259"/>
      <c r="BU317" s="3590"/>
      <c r="BV317" s="8">
        <v>10</v>
      </c>
    </row>
    <row r="318" spans="2:77" ht="11.25" customHeight="1">
      <c r="B318" s="23"/>
      <c r="C318" s="3568" t="str">
        <f t="shared" si="139"/>
        <v/>
      </c>
      <c r="D318" s="3569"/>
      <c r="E318" s="3569"/>
      <c r="F318" s="3569"/>
      <c r="G318" s="3569"/>
      <c r="H318" s="3569"/>
      <c r="I318" s="3569"/>
      <c r="J318" s="3569"/>
      <c r="K318" s="3569"/>
      <c r="L318" s="3569"/>
      <c r="M318" s="3569"/>
      <c r="N318" s="3569"/>
      <c r="O318" s="3569"/>
      <c r="P318" s="3569"/>
      <c r="Q318" s="3569"/>
      <c r="R318" s="3569"/>
      <c r="S318" s="3569"/>
      <c r="T318" s="3569"/>
      <c r="U318" s="3569"/>
      <c r="V318" s="3569"/>
      <c r="W318" s="3569"/>
      <c r="X318" s="3570"/>
      <c r="Y318" s="2207" t="str">
        <f t="shared" si="140"/>
        <v/>
      </c>
      <c r="Z318" s="2208"/>
      <c r="AA318" s="2208"/>
      <c r="AB318" s="2208"/>
      <c r="AC318" s="2208"/>
      <c r="AD318" s="2249"/>
      <c r="AE318" s="31" t="str">
        <f t="shared" si="141"/>
        <v/>
      </c>
      <c r="AF318" s="3508"/>
      <c r="AG318" s="3509"/>
      <c r="AH318" s="3509"/>
      <c r="AI318" s="3509"/>
      <c r="AJ318" s="3509"/>
      <c r="AK318" s="3510"/>
      <c r="AL318" s="3251" t="str">
        <f>IF(C318="","",VLOOKUP(C318,[7]建物1802!$E$5:$AL$3275,2,FALSE))</f>
        <v/>
      </c>
      <c r="AM318" s="2873"/>
      <c r="AN318" s="2873"/>
      <c r="AO318" s="2874"/>
      <c r="AP318" s="2504" t="str">
        <f>IF(C318="","",VLOOKUP(C318,[7]建物1802!$E$5:$AL$3275,$BG$307,FALSE))</f>
        <v/>
      </c>
      <c r="AQ318" s="2208"/>
      <c r="AR318" s="2208"/>
      <c r="AS318" s="2208"/>
      <c r="AT318" s="2208"/>
      <c r="AU318" s="2208"/>
      <c r="AV318" s="2249"/>
      <c r="AW318" s="2209" t="str">
        <f t="shared" si="142"/>
        <v/>
      </c>
      <c r="AX318" s="2210"/>
      <c r="AY318" s="2210"/>
      <c r="AZ318" s="2210"/>
      <c r="BA318" s="2210"/>
      <c r="BB318" s="2210"/>
      <c r="BC318" s="2210"/>
      <c r="BD318" s="2210"/>
      <c r="BE318" s="2210"/>
      <c r="BF318" s="2211"/>
      <c r="BG318" s="20"/>
      <c r="BH318" s="2486" t="str">
        <f>IF(C318="","",VLOOKUP(C318,[7]建物1802!$E$5:$AL$3275,$BG$308,FALSE))</f>
        <v/>
      </c>
      <c r="BI318" s="2487"/>
      <c r="BJ318" s="2487"/>
      <c r="BK318" s="2487"/>
      <c r="BL318" s="2487"/>
      <c r="BM318" s="2488"/>
      <c r="BN318" s="2257" t="str">
        <f t="shared" si="143"/>
        <v/>
      </c>
      <c r="BO318" s="2258"/>
      <c r="BP318" s="2258"/>
      <c r="BQ318" s="2258"/>
      <c r="BR318" s="2258"/>
      <c r="BS318" s="2258"/>
      <c r="BT318" s="2259"/>
      <c r="BU318" s="3590"/>
      <c r="BV318" s="8">
        <v>11</v>
      </c>
    </row>
    <row r="319" spans="2:77" ht="11.25" customHeight="1">
      <c r="B319" s="23"/>
      <c r="C319" s="3568" t="str">
        <f t="shared" si="139"/>
        <v/>
      </c>
      <c r="D319" s="3569"/>
      <c r="E319" s="3569"/>
      <c r="F319" s="3569"/>
      <c r="G319" s="3569"/>
      <c r="H319" s="3569"/>
      <c r="I319" s="3569"/>
      <c r="J319" s="3569"/>
      <c r="K319" s="3569"/>
      <c r="L319" s="3569"/>
      <c r="M319" s="3569"/>
      <c r="N319" s="3569"/>
      <c r="O319" s="3569"/>
      <c r="P319" s="3569"/>
      <c r="Q319" s="3569"/>
      <c r="R319" s="3569"/>
      <c r="S319" s="3569"/>
      <c r="T319" s="3569"/>
      <c r="U319" s="3569"/>
      <c r="V319" s="3569"/>
      <c r="W319" s="3569"/>
      <c r="X319" s="3570"/>
      <c r="Y319" s="2207" t="str">
        <f t="shared" si="140"/>
        <v/>
      </c>
      <c r="Z319" s="2208"/>
      <c r="AA319" s="2208"/>
      <c r="AB319" s="2208"/>
      <c r="AC319" s="2208"/>
      <c r="AD319" s="2249"/>
      <c r="AE319" s="31" t="str">
        <f t="shared" si="141"/>
        <v/>
      </c>
      <c r="AF319" s="3508"/>
      <c r="AG319" s="3509"/>
      <c r="AH319" s="3509"/>
      <c r="AI319" s="3509"/>
      <c r="AJ319" s="3509"/>
      <c r="AK319" s="3510"/>
      <c r="AL319" s="3251" t="str">
        <f>IF(C319="","",VLOOKUP(C319,[7]建物1802!$E$5:$AL$3275,2,FALSE))</f>
        <v/>
      </c>
      <c r="AM319" s="2873"/>
      <c r="AN319" s="2873"/>
      <c r="AO319" s="2874"/>
      <c r="AP319" s="2504" t="str">
        <f>IF(C319="","",VLOOKUP(C319,[7]建物1802!$E$5:$AL$3275,$BG$307,FALSE))</f>
        <v/>
      </c>
      <c r="AQ319" s="2208"/>
      <c r="AR319" s="2208"/>
      <c r="AS319" s="2208"/>
      <c r="AT319" s="2208"/>
      <c r="AU319" s="2208"/>
      <c r="AV319" s="2249"/>
      <c r="AW319" s="2209" t="str">
        <f t="shared" si="142"/>
        <v/>
      </c>
      <c r="AX319" s="2210"/>
      <c r="AY319" s="2210"/>
      <c r="AZ319" s="2210"/>
      <c r="BA319" s="2210"/>
      <c r="BB319" s="2210"/>
      <c r="BC319" s="2210"/>
      <c r="BD319" s="2210"/>
      <c r="BE319" s="2210"/>
      <c r="BF319" s="2211"/>
      <c r="BG319" s="20"/>
      <c r="BH319" s="2486" t="str">
        <f>IF(C319="","",VLOOKUP(C319,[7]建物1802!$E$5:$AL$3275,$BG$308,FALSE))</f>
        <v/>
      </c>
      <c r="BI319" s="2487"/>
      <c r="BJ319" s="2487"/>
      <c r="BK319" s="2487"/>
      <c r="BL319" s="2487"/>
      <c r="BM319" s="2488"/>
      <c r="BN319" s="2257" t="str">
        <f t="shared" si="143"/>
        <v/>
      </c>
      <c r="BO319" s="2258"/>
      <c r="BP319" s="2258"/>
      <c r="BQ319" s="2258"/>
      <c r="BR319" s="2258"/>
      <c r="BS319" s="2258"/>
      <c r="BT319" s="2259"/>
      <c r="BU319" s="3590"/>
      <c r="BV319" s="8">
        <v>12</v>
      </c>
    </row>
    <row r="320" spans="2:77" ht="11.25" customHeight="1">
      <c r="B320" s="23"/>
      <c r="C320" s="3568" t="str">
        <f t="shared" si="139"/>
        <v/>
      </c>
      <c r="D320" s="3569"/>
      <c r="E320" s="3569"/>
      <c r="F320" s="3569"/>
      <c r="G320" s="3569"/>
      <c r="H320" s="3569"/>
      <c r="I320" s="3569"/>
      <c r="J320" s="3569"/>
      <c r="K320" s="3569"/>
      <c r="L320" s="3569"/>
      <c r="M320" s="3569"/>
      <c r="N320" s="3569"/>
      <c r="O320" s="3569"/>
      <c r="P320" s="3569"/>
      <c r="Q320" s="3569"/>
      <c r="R320" s="3569"/>
      <c r="S320" s="3569"/>
      <c r="T320" s="3569"/>
      <c r="U320" s="3569"/>
      <c r="V320" s="3569"/>
      <c r="W320" s="3569"/>
      <c r="X320" s="3570"/>
      <c r="Y320" s="2207" t="str">
        <f t="shared" si="140"/>
        <v/>
      </c>
      <c r="Z320" s="2208"/>
      <c r="AA320" s="2208"/>
      <c r="AB320" s="2208"/>
      <c r="AC320" s="2208"/>
      <c r="AD320" s="2249"/>
      <c r="AE320" s="31" t="str">
        <f t="shared" si="141"/>
        <v/>
      </c>
      <c r="AF320" s="3508"/>
      <c r="AG320" s="3509"/>
      <c r="AH320" s="3509"/>
      <c r="AI320" s="3509"/>
      <c r="AJ320" s="3509"/>
      <c r="AK320" s="3510"/>
      <c r="AL320" s="3251" t="str">
        <f>IF(C320="","",VLOOKUP(C320,[7]建物1802!$E$5:$AL$3275,2,FALSE))</f>
        <v/>
      </c>
      <c r="AM320" s="2873"/>
      <c r="AN320" s="2873"/>
      <c r="AO320" s="2874"/>
      <c r="AP320" s="2504" t="str">
        <f>IF(C320="","",VLOOKUP(C320,[7]建物1802!$E$5:$AL$3275,$BG$307,FALSE))</f>
        <v/>
      </c>
      <c r="AQ320" s="2208"/>
      <c r="AR320" s="2208"/>
      <c r="AS320" s="2208"/>
      <c r="AT320" s="2208"/>
      <c r="AU320" s="2208"/>
      <c r="AV320" s="2249"/>
      <c r="AW320" s="2209" t="str">
        <f t="shared" si="142"/>
        <v/>
      </c>
      <c r="AX320" s="2210"/>
      <c r="AY320" s="2210"/>
      <c r="AZ320" s="2210"/>
      <c r="BA320" s="2210"/>
      <c r="BB320" s="2210"/>
      <c r="BC320" s="2210"/>
      <c r="BD320" s="2210"/>
      <c r="BE320" s="2210"/>
      <c r="BF320" s="2211"/>
      <c r="BG320" s="20"/>
      <c r="BH320" s="2486" t="str">
        <f>IF(C320="","",VLOOKUP(C320,[7]建物1802!$E$5:$AL$3275,$BG$308,FALSE))</f>
        <v/>
      </c>
      <c r="BI320" s="2487"/>
      <c r="BJ320" s="2487"/>
      <c r="BK320" s="2487"/>
      <c r="BL320" s="2487"/>
      <c r="BM320" s="2488"/>
      <c r="BN320" s="2257" t="str">
        <f t="shared" si="143"/>
        <v/>
      </c>
      <c r="BO320" s="2258"/>
      <c r="BP320" s="2258"/>
      <c r="BQ320" s="2258"/>
      <c r="BR320" s="2258"/>
      <c r="BS320" s="2258"/>
      <c r="BT320" s="2259"/>
      <c r="BU320" s="3590"/>
      <c r="BV320" s="8">
        <v>13</v>
      </c>
    </row>
    <row r="321" spans="2:74" ht="11.25" customHeight="1">
      <c r="B321" s="23"/>
      <c r="C321" s="3568" t="str">
        <f t="shared" si="139"/>
        <v/>
      </c>
      <c r="D321" s="3569"/>
      <c r="E321" s="3569"/>
      <c r="F321" s="3569"/>
      <c r="G321" s="3569"/>
      <c r="H321" s="3569"/>
      <c r="I321" s="3569"/>
      <c r="J321" s="3569"/>
      <c r="K321" s="3569"/>
      <c r="L321" s="3569"/>
      <c r="M321" s="3569"/>
      <c r="N321" s="3569"/>
      <c r="O321" s="3569"/>
      <c r="P321" s="3569"/>
      <c r="Q321" s="3569"/>
      <c r="R321" s="3569"/>
      <c r="S321" s="3569"/>
      <c r="T321" s="3569"/>
      <c r="U321" s="3569"/>
      <c r="V321" s="3569"/>
      <c r="W321" s="3569"/>
      <c r="X321" s="3570"/>
      <c r="Y321" s="2207" t="str">
        <f t="shared" si="140"/>
        <v/>
      </c>
      <c r="Z321" s="2208"/>
      <c r="AA321" s="2208"/>
      <c r="AB321" s="2208"/>
      <c r="AC321" s="2208"/>
      <c r="AD321" s="2249"/>
      <c r="AE321" s="31" t="str">
        <f t="shared" si="141"/>
        <v/>
      </c>
      <c r="AF321" s="3508"/>
      <c r="AG321" s="3509"/>
      <c r="AH321" s="3509"/>
      <c r="AI321" s="3509"/>
      <c r="AJ321" s="3509"/>
      <c r="AK321" s="3510"/>
      <c r="AL321" s="3251" t="str">
        <f>IF(C321="","",VLOOKUP(C321,[7]建物1802!$E$5:$AL$3275,2,FALSE))</f>
        <v/>
      </c>
      <c r="AM321" s="2873"/>
      <c r="AN321" s="2873"/>
      <c r="AO321" s="2874"/>
      <c r="AP321" s="2504" t="str">
        <f>IF(C321="","",VLOOKUP(C321,[7]建物1802!$E$5:$AL$3275,$BG$307,FALSE))</f>
        <v/>
      </c>
      <c r="AQ321" s="2208"/>
      <c r="AR321" s="2208"/>
      <c r="AS321" s="2208"/>
      <c r="AT321" s="2208"/>
      <c r="AU321" s="2208"/>
      <c r="AV321" s="2249"/>
      <c r="AW321" s="2209" t="str">
        <f t="shared" si="142"/>
        <v/>
      </c>
      <c r="AX321" s="2210"/>
      <c r="AY321" s="2210"/>
      <c r="AZ321" s="2210"/>
      <c r="BA321" s="2210"/>
      <c r="BB321" s="2210"/>
      <c r="BC321" s="2210"/>
      <c r="BD321" s="2210"/>
      <c r="BE321" s="2210"/>
      <c r="BF321" s="2211"/>
      <c r="BG321" s="20"/>
      <c r="BH321" s="2486" t="str">
        <f>IF(C321="","",VLOOKUP(C321,[7]建物1802!$E$5:$AL$3275,$BG$308,FALSE))</f>
        <v/>
      </c>
      <c r="BI321" s="2487"/>
      <c r="BJ321" s="2487"/>
      <c r="BK321" s="2487"/>
      <c r="BL321" s="2487"/>
      <c r="BM321" s="2488"/>
      <c r="BN321" s="2257" t="str">
        <f t="shared" si="143"/>
        <v/>
      </c>
      <c r="BO321" s="2258"/>
      <c r="BP321" s="2258"/>
      <c r="BQ321" s="2258"/>
      <c r="BR321" s="2258"/>
      <c r="BS321" s="2258"/>
      <c r="BT321" s="2259"/>
      <c r="BU321" s="3590"/>
      <c r="BV321" s="8">
        <v>14</v>
      </c>
    </row>
    <row r="322" spans="2:74" ht="11.25" customHeight="1">
      <c r="B322" s="23"/>
      <c r="C322" s="3568" t="str">
        <f t="shared" si="139"/>
        <v/>
      </c>
      <c r="D322" s="3569"/>
      <c r="E322" s="3569"/>
      <c r="F322" s="3569"/>
      <c r="G322" s="3569"/>
      <c r="H322" s="3569"/>
      <c r="I322" s="3569"/>
      <c r="J322" s="3569"/>
      <c r="K322" s="3569"/>
      <c r="L322" s="3569"/>
      <c r="M322" s="3569"/>
      <c r="N322" s="3569"/>
      <c r="O322" s="3569"/>
      <c r="P322" s="3569"/>
      <c r="Q322" s="3569"/>
      <c r="R322" s="3569"/>
      <c r="S322" s="3569"/>
      <c r="T322" s="3569"/>
      <c r="U322" s="3569"/>
      <c r="V322" s="3569"/>
      <c r="W322" s="3569"/>
      <c r="X322" s="3570"/>
      <c r="Y322" s="2207" t="str">
        <f t="shared" si="140"/>
        <v/>
      </c>
      <c r="Z322" s="2208"/>
      <c r="AA322" s="2208"/>
      <c r="AB322" s="2208"/>
      <c r="AC322" s="2208"/>
      <c r="AD322" s="2249"/>
      <c r="AE322" s="31" t="str">
        <f t="shared" si="141"/>
        <v/>
      </c>
      <c r="AF322" s="3508"/>
      <c r="AG322" s="3509"/>
      <c r="AH322" s="3509"/>
      <c r="AI322" s="3509"/>
      <c r="AJ322" s="3509"/>
      <c r="AK322" s="3510"/>
      <c r="AL322" s="3251" t="str">
        <f>IF(C322="","",VLOOKUP(C322,[7]建物1802!$E$5:$AL$3275,2,FALSE))</f>
        <v/>
      </c>
      <c r="AM322" s="2873"/>
      <c r="AN322" s="2873"/>
      <c r="AO322" s="2874"/>
      <c r="AP322" s="2504" t="str">
        <f>IF(C322="","",VLOOKUP(C322,[7]建物1802!$E$5:$AL$3275,$BG$307,FALSE))</f>
        <v/>
      </c>
      <c r="AQ322" s="2208"/>
      <c r="AR322" s="2208"/>
      <c r="AS322" s="2208"/>
      <c r="AT322" s="2208"/>
      <c r="AU322" s="2208"/>
      <c r="AV322" s="2249"/>
      <c r="AW322" s="2209" t="str">
        <f t="shared" si="142"/>
        <v/>
      </c>
      <c r="AX322" s="2210"/>
      <c r="AY322" s="2210"/>
      <c r="AZ322" s="2210"/>
      <c r="BA322" s="2210"/>
      <c r="BB322" s="2210"/>
      <c r="BC322" s="2210"/>
      <c r="BD322" s="2210"/>
      <c r="BE322" s="2210"/>
      <c r="BF322" s="2211"/>
      <c r="BG322" s="20"/>
      <c r="BH322" s="2486" t="str">
        <f>IF(C322="","",VLOOKUP(C322,[7]建物1802!$E$5:$AL$3275,$BG$308,FALSE))</f>
        <v/>
      </c>
      <c r="BI322" s="2487"/>
      <c r="BJ322" s="2487"/>
      <c r="BK322" s="2487"/>
      <c r="BL322" s="2487"/>
      <c r="BM322" s="2488"/>
      <c r="BN322" s="2257" t="str">
        <f t="shared" si="143"/>
        <v/>
      </c>
      <c r="BO322" s="2258"/>
      <c r="BP322" s="2258"/>
      <c r="BQ322" s="2258"/>
      <c r="BR322" s="2258"/>
      <c r="BS322" s="2258"/>
      <c r="BT322" s="2259"/>
      <c r="BU322" s="3590"/>
      <c r="BV322" s="8">
        <v>15</v>
      </c>
    </row>
    <row r="323" spans="2:74" ht="11.25" customHeight="1">
      <c r="B323" s="23"/>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762">
        <f>IF(SUM(AW308:BF322)=0,"",SUM(AW308:BF322))</f>
        <v>440305.83273713908</v>
      </c>
      <c r="AX323" s="2763"/>
      <c r="AY323" s="2763"/>
      <c r="AZ323" s="2763"/>
      <c r="BA323" s="2763"/>
      <c r="BB323" s="2763"/>
      <c r="BC323" s="2763"/>
      <c r="BD323" s="2763"/>
      <c r="BE323" s="2763"/>
      <c r="BF323" s="2764"/>
      <c r="BG323" s="20"/>
      <c r="BH323" s="20"/>
      <c r="BI323" s="20"/>
      <c r="BJ323" s="20"/>
      <c r="BK323" s="20"/>
      <c r="BL323" s="20"/>
      <c r="BM323" s="20"/>
      <c r="BN323" s="2768">
        <f>IF(SUM(BN308:BT322)=0,"",SUM(BN308:BT322))</f>
        <v>213.04219217689402</v>
      </c>
      <c r="BO323" s="2769"/>
      <c r="BP323" s="2769"/>
      <c r="BQ323" s="2769"/>
      <c r="BR323" s="2769"/>
      <c r="BS323" s="2769"/>
      <c r="BT323" s="2770"/>
      <c r="BU323" s="3590"/>
    </row>
    <row r="324" spans="2:74" ht="11.25" customHeight="1">
      <c r="B324" s="23"/>
      <c r="C324" s="3262" t="s">
        <v>1021</v>
      </c>
      <c r="D324" s="3263"/>
      <c r="E324" s="3263"/>
      <c r="F324" s="3263"/>
      <c r="G324" s="3263"/>
      <c r="H324" s="3264"/>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3590"/>
    </row>
    <row r="325" spans="2:74" ht="3.75" customHeight="1">
      <c r="B325" s="23"/>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3590"/>
    </row>
    <row r="326" spans="2:74" ht="11.25" customHeight="1">
      <c r="B326" s="23"/>
      <c r="C326" s="2327" t="s">
        <v>485</v>
      </c>
      <c r="D326" s="2328"/>
      <c r="E326" s="2328"/>
      <c r="F326" s="2328"/>
      <c r="G326" s="2328"/>
      <c r="H326" s="2328"/>
      <c r="I326" s="2328"/>
      <c r="J326" s="2328"/>
      <c r="K326" s="2328"/>
      <c r="L326" s="2328"/>
      <c r="M326" s="2328"/>
      <c r="N326" s="2328"/>
      <c r="O326" s="2328"/>
      <c r="P326" s="2328"/>
      <c r="Q326" s="2328"/>
      <c r="R326" s="2328"/>
      <c r="S326" s="2328"/>
      <c r="T326" s="2328"/>
      <c r="U326" s="2328"/>
      <c r="V326" s="2328"/>
      <c r="W326" s="2328"/>
      <c r="X326" s="2329"/>
      <c r="Y326" s="2327" t="s">
        <v>92</v>
      </c>
      <c r="Z326" s="2328"/>
      <c r="AA326" s="2328"/>
      <c r="AB326" s="2328"/>
      <c r="AC326" s="2328"/>
      <c r="AD326" s="2329"/>
      <c r="AE326" s="34" t="s">
        <v>68</v>
      </c>
      <c r="AF326" s="2327" t="s">
        <v>484</v>
      </c>
      <c r="AG326" s="2328"/>
      <c r="AH326" s="2328"/>
      <c r="AI326" s="2328"/>
      <c r="AJ326" s="2328"/>
      <c r="AK326" s="2329"/>
      <c r="AL326" s="2327" t="s">
        <v>483</v>
      </c>
      <c r="AM326" s="2328"/>
      <c r="AN326" s="2328"/>
      <c r="AO326" s="2329"/>
      <c r="AP326" s="2327" t="s">
        <v>482</v>
      </c>
      <c r="AQ326" s="2328"/>
      <c r="AR326" s="2328"/>
      <c r="AS326" s="2328"/>
      <c r="AT326" s="2328"/>
      <c r="AU326" s="2328"/>
      <c r="AV326" s="2329"/>
      <c r="AW326" s="2327" t="s">
        <v>481</v>
      </c>
      <c r="AX326" s="2328"/>
      <c r="AY326" s="2328"/>
      <c r="AZ326" s="2328"/>
      <c r="BA326" s="2328"/>
      <c r="BB326" s="2328"/>
      <c r="BC326" s="2328"/>
      <c r="BD326" s="2328"/>
      <c r="BE326" s="2328"/>
      <c r="BF326" s="2329"/>
      <c r="BG326" s="21">
        <f>RIGHT(BA361,1)+3</f>
        <v>4</v>
      </c>
      <c r="BH326" s="2327" t="s">
        <v>537</v>
      </c>
      <c r="BI326" s="2328"/>
      <c r="BJ326" s="2328"/>
      <c r="BK326" s="2328"/>
      <c r="BL326" s="2328"/>
      <c r="BM326" s="2329"/>
      <c r="BN326" s="2327" t="s">
        <v>480</v>
      </c>
      <c r="BO326" s="2328"/>
      <c r="BP326" s="2328"/>
      <c r="BQ326" s="2328"/>
      <c r="BR326" s="2328"/>
      <c r="BS326" s="2328"/>
      <c r="BT326" s="2329"/>
      <c r="BU326" s="3590"/>
    </row>
    <row r="327" spans="2:74" ht="11.25" customHeight="1">
      <c r="B327" s="23"/>
      <c r="C327" s="3568" t="str">
        <f t="shared" ref="C327:C337" si="144">IF($B$2=0,"",IF(ISNA(VLOOKUP(BV327,TV_W,4,FALSE)),"",VLOOKUP(BV327,TV_W,4,FALSE)))</f>
        <v>S-7C-FB</v>
      </c>
      <c r="D327" s="3569"/>
      <c r="E327" s="3569"/>
      <c r="F327" s="3569"/>
      <c r="G327" s="3569"/>
      <c r="H327" s="3569"/>
      <c r="I327" s="3569"/>
      <c r="J327" s="3569"/>
      <c r="K327" s="3569"/>
      <c r="L327" s="3569"/>
      <c r="M327" s="3569"/>
      <c r="N327" s="3569"/>
      <c r="O327" s="3569"/>
      <c r="P327" s="3569"/>
      <c r="Q327" s="3569"/>
      <c r="R327" s="3569"/>
      <c r="S327" s="3569"/>
      <c r="T327" s="3569"/>
      <c r="U327" s="3569"/>
      <c r="V327" s="3569"/>
      <c r="W327" s="3569"/>
      <c r="X327" s="3570"/>
      <c r="Y327" s="2207">
        <f t="shared" ref="Y327:Y337" si="145">IF(C327="","",IF(AF327&lt;&gt;"",AF327,VLOOKUP(BV327,TV_W,7,FALSE)))</f>
        <v>365.40000000000003</v>
      </c>
      <c r="Z327" s="2208"/>
      <c r="AA327" s="2208"/>
      <c r="AB327" s="2208"/>
      <c r="AC327" s="2208"/>
      <c r="AD327" s="2249"/>
      <c r="AE327" s="31" t="str">
        <f t="shared" ref="AE327:AE356" si="146">IF(Y327="","","▼")</f>
        <v>▼</v>
      </c>
      <c r="AF327" s="3508"/>
      <c r="AG327" s="3509"/>
      <c r="AH327" s="3509"/>
      <c r="AI327" s="3509"/>
      <c r="AJ327" s="3509"/>
      <c r="AK327" s="3510"/>
      <c r="AL327" s="3251" t="str">
        <f>IF(C327="","",VLOOKUP(C327,[7]建物1802!$E$5:$AL$3275,2,FALSE))</f>
        <v>ｍ</v>
      </c>
      <c r="AM327" s="2873"/>
      <c r="AN327" s="2873"/>
      <c r="AO327" s="2874"/>
      <c r="AP327" s="2504">
        <f>IF(C327="","",VLOOKUP(C327,[7]建物1802!$E$5:$AL$3275,$BG$307,FALSE))</f>
        <v>133</v>
      </c>
      <c r="AQ327" s="2208"/>
      <c r="AR327" s="2208"/>
      <c r="AS327" s="2208"/>
      <c r="AT327" s="2208"/>
      <c r="AU327" s="2208"/>
      <c r="AV327" s="2249"/>
      <c r="AW327" s="2209">
        <f t="shared" ref="AW327:AW356" si="147">IF(Y327="","",Y327*AP327)</f>
        <v>48598.200000000004</v>
      </c>
      <c r="AX327" s="2210"/>
      <c r="AY327" s="2210"/>
      <c r="AZ327" s="2210"/>
      <c r="BA327" s="2210"/>
      <c r="BB327" s="2210"/>
      <c r="BC327" s="2210"/>
      <c r="BD327" s="2210"/>
      <c r="BE327" s="2210"/>
      <c r="BF327" s="2211"/>
      <c r="BG327" s="21">
        <f>RIGHT(BA362,1)+7</f>
        <v>8</v>
      </c>
      <c r="BH327" s="2486">
        <f>IF(C327="","",VLOOKUP(C327,[7]建物1802!$E$5:$AL$3275,$BG$308,FALSE))</f>
        <v>0.02</v>
      </c>
      <c r="BI327" s="2487"/>
      <c r="BJ327" s="2487"/>
      <c r="BK327" s="2487"/>
      <c r="BL327" s="2487"/>
      <c r="BM327" s="2488"/>
      <c r="BN327" s="2257">
        <f t="shared" ref="BN327:BN356" si="148">IF(Y327="","",Y327*BH327)</f>
        <v>7.3080000000000007</v>
      </c>
      <c r="BO327" s="2258"/>
      <c r="BP327" s="2258"/>
      <c r="BQ327" s="2258"/>
      <c r="BR327" s="2258"/>
      <c r="BS327" s="2258"/>
      <c r="BT327" s="2259"/>
      <c r="BU327" s="3590"/>
      <c r="BV327" s="8">
        <v>1</v>
      </c>
    </row>
    <row r="328" spans="2:74" ht="11.25" customHeight="1">
      <c r="B328" s="23"/>
      <c r="C328" s="3568" t="str">
        <f t="shared" si="144"/>
        <v>PF-S-22mm</v>
      </c>
      <c r="D328" s="3569"/>
      <c r="E328" s="3569"/>
      <c r="F328" s="3569"/>
      <c r="G328" s="3569"/>
      <c r="H328" s="3569"/>
      <c r="I328" s="3569"/>
      <c r="J328" s="3569"/>
      <c r="K328" s="3569"/>
      <c r="L328" s="3569"/>
      <c r="M328" s="3569"/>
      <c r="N328" s="3569"/>
      <c r="O328" s="3569"/>
      <c r="P328" s="3569"/>
      <c r="Q328" s="3569"/>
      <c r="R328" s="3569"/>
      <c r="S328" s="3569"/>
      <c r="T328" s="3569"/>
      <c r="U328" s="3569"/>
      <c r="V328" s="3569"/>
      <c r="W328" s="3569"/>
      <c r="X328" s="3570"/>
      <c r="Y328" s="2207">
        <f t="shared" si="145"/>
        <v>191.85000000000002</v>
      </c>
      <c r="Z328" s="2208"/>
      <c r="AA328" s="2208"/>
      <c r="AB328" s="2208"/>
      <c r="AC328" s="2208"/>
      <c r="AD328" s="2249"/>
      <c r="AE328" s="31" t="str">
        <f t="shared" si="146"/>
        <v>▼</v>
      </c>
      <c r="AF328" s="3508"/>
      <c r="AG328" s="3509"/>
      <c r="AH328" s="3509"/>
      <c r="AI328" s="3509"/>
      <c r="AJ328" s="3509"/>
      <c r="AK328" s="3510"/>
      <c r="AL328" s="3251" t="str">
        <f>IF(C328="","",VLOOKUP(C328,[7]建物1802!$E$5:$AL$3275,2,FALSE))</f>
        <v>ｍ</v>
      </c>
      <c r="AM328" s="2873"/>
      <c r="AN328" s="2873"/>
      <c r="AO328" s="2874"/>
      <c r="AP328" s="2504">
        <f>IF(C328="","",VLOOKUP(C328,[7]建物1802!$E$5:$AL$3275,$BG$307,FALSE))</f>
        <v>81</v>
      </c>
      <c r="AQ328" s="2208"/>
      <c r="AR328" s="2208"/>
      <c r="AS328" s="2208"/>
      <c r="AT328" s="2208"/>
      <c r="AU328" s="2208"/>
      <c r="AV328" s="2249"/>
      <c r="AW328" s="2209">
        <f t="shared" si="147"/>
        <v>15539.850000000002</v>
      </c>
      <c r="AX328" s="2210"/>
      <c r="AY328" s="2210"/>
      <c r="AZ328" s="2210"/>
      <c r="BA328" s="2210"/>
      <c r="BB328" s="2210"/>
      <c r="BC328" s="2210"/>
      <c r="BD328" s="2210"/>
      <c r="BE328" s="2210"/>
      <c r="BF328" s="2211"/>
      <c r="BG328" s="20"/>
      <c r="BH328" s="2486">
        <f>IF(C328="","",VLOOKUP(C328,[7]建物1802!$E$5:$AL$3275,$BG$308,FALSE))</f>
        <v>4.1000000000000002E-2</v>
      </c>
      <c r="BI328" s="2487"/>
      <c r="BJ328" s="2487"/>
      <c r="BK328" s="2487"/>
      <c r="BL328" s="2487"/>
      <c r="BM328" s="2488"/>
      <c r="BN328" s="2257">
        <f t="shared" si="148"/>
        <v>7.8658500000000009</v>
      </c>
      <c r="BO328" s="2258"/>
      <c r="BP328" s="2258"/>
      <c r="BQ328" s="2258"/>
      <c r="BR328" s="2258"/>
      <c r="BS328" s="2258"/>
      <c r="BT328" s="2259"/>
      <c r="BU328" s="3590"/>
      <c r="BV328" s="8">
        <v>2</v>
      </c>
    </row>
    <row r="329" spans="2:74" ht="11.25" customHeight="1">
      <c r="B329" s="23"/>
      <c r="C329" s="3568" t="str">
        <f t="shared" si="144"/>
        <v>S-5C-FB</v>
      </c>
      <c r="D329" s="3569"/>
      <c r="E329" s="3569"/>
      <c r="F329" s="3569"/>
      <c r="G329" s="3569"/>
      <c r="H329" s="3569"/>
      <c r="I329" s="3569"/>
      <c r="J329" s="3569"/>
      <c r="K329" s="3569"/>
      <c r="L329" s="3569"/>
      <c r="M329" s="3569"/>
      <c r="N329" s="3569"/>
      <c r="O329" s="3569"/>
      <c r="P329" s="3569"/>
      <c r="Q329" s="3569"/>
      <c r="R329" s="3569"/>
      <c r="S329" s="3569"/>
      <c r="T329" s="3569"/>
      <c r="U329" s="3569"/>
      <c r="V329" s="3569"/>
      <c r="W329" s="3569"/>
      <c r="X329" s="3570"/>
      <c r="Y329" s="2207">
        <f t="shared" si="145"/>
        <v>4699.4380052027636</v>
      </c>
      <c r="Z329" s="2208"/>
      <c r="AA329" s="2208"/>
      <c r="AB329" s="2208"/>
      <c r="AC329" s="2208"/>
      <c r="AD329" s="2249"/>
      <c r="AE329" s="31" t="str">
        <f t="shared" si="146"/>
        <v>▼</v>
      </c>
      <c r="AF329" s="3508"/>
      <c r="AG329" s="3509"/>
      <c r="AH329" s="3509"/>
      <c r="AI329" s="3509"/>
      <c r="AJ329" s="3509"/>
      <c r="AK329" s="3510"/>
      <c r="AL329" s="3251" t="str">
        <f>IF(C329="","",VLOOKUP(C329,[7]建物1802!$E$5:$AL$3275,2,FALSE))</f>
        <v>ｍ</v>
      </c>
      <c r="AM329" s="2873"/>
      <c r="AN329" s="2873"/>
      <c r="AO329" s="2874"/>
      <c r="AP329" s="2504">
        <f>IF(C329="","",VLOOKUP(C329,[7]建物1802!$E$5:$AL$3275,$BG$307,FALSE))</f>
        <v>64.8</v>
      </c>
      <c r="AQ329" s="2208"/>
      <c r="AR329" s="2208"/>
      <c r="AS329" s="2208"/>
      <c r="AT329" s="2208"/>
      <c r="AU329" s="2208"/>
      <c r="AV329" s="2249"/>
      <c r="AW329" s="2209">
        <f t="shared" si="147"/>
        <v>304523.58273713908</v>
      </c>
      <c r="AX329" s="2210"/>
      <c r="AY329" s="2210"/>
      <c r="AZ329" s="2210"/>
      <c r="BA329" s="2210"/>
      <c r="BB329" s="2210"/>
      <c r="BC329" s="2210"/>
      <c r="BD329" s="2210"/>
      <c r="BE329" s="2210"/>
      <c r="BF329" s="2211"/>
      <c r="BG329" s="20"/>
      <c r="BH329" s="2486">
        <f>IF(C329="","",VLOOKUP(C329,[7]建物1802!$E$5:$AL$3275,$BG$308,FALSE))</f>
        <v>3.4000000000000002E-2</v>
      </c>
      <c r="BI329" s="2487"/>
      <c r="BJ329" s="2487"/>
      <c r="BK329" s="2487"/>
      <c r="BL329" s="2487"/>
      <c r="BM329" s="2488"/>
      <c r="BN329" s="2257">
        <f t="shared" si="148"/>
        <v>159.78089217689399</v>
      </c>
      <c r="BO329" s="2258"/>
      <c r="BP329" s="2258"/>
      <c r="BQ329" s="2258"/>
      <c r="BR329" s="2258"/>
      <c r="BS329" s="2258"/>
      <c r="BT329" s="2259"/>
      <c r="BU329" s="3590"/>
      <c r="BV329" s="8">
        <v>3</v>
      </c>
    </row>
    <row r="330" spans="2:74" ht="11.25" customHeight="1">
      <c r="B330" s="23"/>
      <c r="C330" s="3568" t="str">
        <f t="shared" si="144"/>
        <v>PF-S-16mm</v>
      </c>
      <c r="D330" s="3569"/>
      <c r="E330" s="3569"/>
      <c r="F330" s="3569"/>
      <c r="G330" s="3569"/>
      <c r="H330" s="3569"/>
      <c r="I330" s="3569"/>
      <c r="J330" s="3569"/>
      <c r="K330" s="3569"/>
      <c r="L330" s="3569"/>
      <c r="M330" s="3569"/>
      <c r="N330" s="3569"/>
      <c r="O330" s="3569"/>
      <c r="P330" s="3569"/>
      <c r="Q330" s="3569"/>
      <c r="R330" s="3569"/>
      <c r="S330" s="3569"/>
      <c r="T330" s="3569"/>
      <c r="U330" s="3569"/>
      <c r="V330" s="3569"/>
      <c r="W330" s="3569"/>
      <c r="X330" s="3570"/>
      <c r="Y330" s="2207">
        <f t="shared" si="145"/>
        <v>1180.4499999999998</v>
      </c>
      <c r="Z330" s="2208"/>
      <c r="AA330" s="2208"/>
      <c r="AB330" s="2208"/>
      <c r="AC330" s="2208"/>
      <c r="AD330" s="2249"/>
      <c r="AE330" s="31" t="str">
        <f t="shared" si="146"/>
        <v>▼</v>
      </c>
      <c r="AF330" s="3508"/>
      <c r="AG330" s="3509"/>
      <c r="AH330" s="3509"/>
      <c r="AI330" s="3509"/>
      <c r="AJ330" s="3509"/>
      <c r="AK330" s="3510"/>
      <c r="AL330" s="3251" t="str">
        <f>IF(C330="","",VLOOKUP(C330,[7]建物1802!$E$5:$AL$3275,2,FALSE))</f>
        <v>ｍ</v>
      </c>
      <c r="AM330" s="2873"/>
      <c r="AN330" s="2873"/>
      <c r="AO330" s="2874"/>
      <c r="AP330" s="2504">
        <f>IF(C330="","",VLOOKUP(C330,[7]建物1802!$E$5:$AL$3275,$BG$307,FALSE))</f>
        <v>56</v>
      </c>
      <c r="AQ330" s="2208"/>
      <c r="AR330" s="2208"/>
      <c r="AS330" s="2208"/>
      <c r="AT330" s="2208"/>
      <c r="AU330" s="2208"/>
      <c r="AV330" s="2249"/>
      <c r="AW330" s="2209">
        <f t="shared" si="147"/>
        <v>66105.199999999983</v>
      </c>
      <c r="AX330" s="2210"/>
      <c r="AY330" s="2210"/>
      <c r="AZ330" s="2210"/>
      <c r="BA330" s="2210"/>
      <c r="BB330" s="2210"/>
      <c r="BC330" s="2210"/>
      <c r="BD330" s="2210"/>
      <c r="BE330" s="2210"/>
      <c r="BF330" s="2211"/>
      <c r="BG330" s="20"/>
      <c r="BH330" s="2486">
        <f>IF(C330="","",VLOOKUP(C330,[7]建物1802!$E$5:$AL$3275,$BG$308,FALSE))</f>
        <v>3.1E-2</v>
      </c>
      <c r="BI330" s="2487"/>
      <c r="BJ330" s="2487"/>
      <c r="BK330" s="2487"/>
      <c r="BL330" s="2487"/>
      <c r="BM330" s="2488"/>
      <c r="BN330" s="2257">
        <f t="shared" si="148"/>
        <v>36.593949999999992</v>
      </c>
      <c r="BO330" s="2258"/>
      <c r="BP330" s="2258"/>
      <c r="BQ330" s="2258"/>
      <c r="BR330" s="2258"/>
      <c r="BS330" s="2258"/>
      <c r="BT330" s="2259"/>
      <c r="BU330" s="3590"/>
      <c r="BV330" s="8">
        <v>4</v>
      </c>
    </row>
    <row r="331" spans="2:74" ht="11.25" customHeight="1">
      <c r="B331" s="23"/>
      <c r="C331" s="3568" t="str">
        <f t="shared" si="144"/>
        <v>G-28mm</v>
      </c>
      <c r="D331" s="3569"/>
      <c r="E331" s="3569"/>
      <c r="F331" s="3569"/>
      <c r="G331" s="3569"/>
      <c r="H331" s="3569"/>
      <c r="I331" s="3569"/>
      <c r="J331" s="3569"/>
      <c r="K331" s="3569"/>
      <c r="L331" s="3569"/>
      <c r="M331" s="3569"/>
      <c r="N331" s="3569"/>
      <c r="O331" s="3569"/>
      <c r="P331" s="3569"/>
      <c r="Q331" s="3569"/>
      <c r="R331" s="3569"/>
      <c r="S331" s="3569"/>
      <c r="T331" s="3569"/>
      <c r="U331" s="3569"/>
      <c r="V331" s="3569"/>
      <c r="W331" s="3569"/>
      <c r="X331" s="3570"/>
      <c r="Y331" s="2207">
        <f t="shared" si="145"/>
        <v>14.5</v>
      </c>
      <c r="Z331" s="2208"/>
      <c r="AA331" s="2208"/>
      <c r="AB331" s="2208"/>
      <c r="AC331" s="2208"/>
      <c r="AD331" s="2249"/>
      <c r="AE331" s="31" t="str">
        <f t="shared" si="146"/>
        <v>▼</v>
      </c>
      <c r="AF331" s="3508"/>
      <c r="AG331" s="3509"/>
      <c r="AH331" s="3509"/>
      <c r="AI331" s="3509"/>
      <c r="AJ331" s="3509"/>
      <c r="AK331" s="3510"/>
      <c r="AL331" s="3251" t="str">
        <f>IF(C331="","",VLOOKUP(C331,[7]建物1802!$E$5:$AL$3275,2,FALSE))</f>
        <v>ｍ</v>
      </c>
      <c r="AM331" s="2873"/>
      <c r="AN331" s="2873"/>
      <c r="AO331" s="2874"/>
      <c r="AP331" s="2504">
        <f>IF(C331="","",VLOOKUP(C331,[7]建物1802!$E$5:$AL$3275,$BG$307,FALSE))</f>
        <v>382</v>
      </c>
      <c r="AQ331" s="2208"/>
      <c r="AR331" s="2208"/>
      <c r="AS331" s="2208"/>
      <c r="AT331" s="2208"/>
      <c r="AU331" s="2208"/>
      <c r="AV331" s="2249"/>
      <c r="AW331" s="2209">
        <f t="shared" si="147"/>
        <v>5539</v>
      </c>
      <c r="AX331" s="2210"/>
      <c r="AY331" s="2210"/>
      <c r="AZ331" s="2210"/>
      <c r="BA331" s="2210"/>
      <c r="BB331" s="2210"/>
      <c r="BC331" s="2210"/>
      <c r="BD331" s="2210"/>
      <c r="BE331" s="2210"/>
      <c r="BF331" s="2211"/>
      <c r="BG331" s="20"/>
      <c r="BH331" s="2486">
        <f>IF(C331="","",VLOOKUP(C331,[7]建物1802!$E$5:$AL$3275,$BG$308,FALSE))</f>
        <v>0.10299999999999999</v>
      </c>
      <c r="BI331" s="2487"/>
      <c r="BJ331" s="2487"/>
      <c r="BK331" s="2487"/>
      <c r="BL331" s="2487"/>
      <c r="BM331" s="2488"/>
      <c r="BN331" s="2257">
        <f t="shared" si="148"/>
        <v>1.4934999999999998</v>
      </c>
      <c r="BO331" s="2258"/>
      <c r="BP331" s="2258"/>
      <c r="BQ331" s="2258"/>
      <c r="BR331" s="2258"/>
      <c r="BS331" s="2258"/>
      <c r="BT331" s="2259"/>
      <c r="BU331" s="3590"/>
      <c r="BV331" s="8">
        <v>5</v>
      </c>
    </row>
    <row r="332" spans="2:74" ht="11.25" customHeight="1">
      <c r="B332" s="23"/>
      <c r="C332" s="3568" t="str">
        <f t="shared" si="144"/>
        <v/>
      </c>
      <c r="D332" s="3569"/>
      <c r="E332" s="3569"/>
      <c r="F332" s="3569"/>
      <c r="G332" s="3569"/>
      <c r="H332" s="3569"/>
      <c r="I332" s="3569"/>
      <c r="J332" s="3569"/>
      <c r="K332" s="3569"/>
      <c r="L332" s="3569"/>
      <c r="M332" s="3569"/>
      <c r="N332" s="3569"/>
      <c r="O332" s="3569"/>
      <c r="P332" s="3569"/>
      <c r="Q332" s="3569"/>
      <c r="R332" s="3569"/>
      <c r="S332" s="3569"/>
      <c r="T332" s="3569"/>
      <c r="U332" s="3569"/>
      <c r="V332" s="3569"/>
      <c r="W332" s="3569"/>
      <c r="X332" s="3570"/>
      <c r="Y332" s="2207" t="str">
        <f t="shared" si="145"/>
        <v/>
      </c>
      <c r="Z332" s="2208"/>
      <c r="AA332" s="2208"/>
      <c r="AB332" s="2208"/>
      <c r="AC332" s="2208"/>
      <c r="AD332" s="2249"/>
      <c r="AE332" s="31" t="str">
        <f t="shared" si="146"/>
        <v/>
      </c>
      <c r="AF332" s="3508"/>
      <c r="AG332" s="3509"/>
      <c r="AH332" s="3509"/>
      <c r="AI332" s="3509"/>
      <c r="AJ332" s="3509"/>
      <c r="AK332" s="3510"/>
      <c r="AL332" s="3251" t="str">
        <f>IF(C332="","",VLOOKUP(C332,[7]建物1802!$E$5:$AL$3275,2,FALSE))</f>
        <v/>
      </c>
      <c r="AM332" s="2873"/>
      <c r="AN332" s="2873"/>
      <c r="AO332" s="2874"/>
      <c r="AP332" s="2504" t="str">
        <f>IF(C332="","",VLOOKUP(C332,[7]建物1802!$E$5:$AL$3275,$BG$307,FALSE))</f>
        <v/>
      </c>
      <c r="AQ332" s="2208"/>
      <c r="AR332" s="2208"/>
      <c r="AS332" s="2208"/>
      <c r="AT332" s="2208"/>
      <c r="AU332" s="2208"/>
      <c r="AV332" s="2249"/>
      <c r="AW332" s="2209" t="str">
        <f t="shared" si="147"/>
        <v/>
      </c>
      <c r="AX332" s="2210"/>
      <c r="AY332" s="2210"/>
      <c r="AZ332" s="2210"/>
      <c r="BA332" s="2210"/>
      <c r="BB332" s="2210"/>
      <c r="BC332" s="2210"/>
      <c r="BD332" s="2210"/>
      <c r="BE332" s="2210"/>
      <c r="BF332" s="2211"/>
      <c r="BG332" s="20"/>
      <c r="BH332" s="2486" t="str">
        <f>IF(C332="","",VLOOKUP(C332,[7]建物1802!$E$5:$AL$3275,$BG$308,FALSE))</f>
        <v/>
      </c>
      <c r="BI332" s="2487"/>
      <c r="BJ332" s="2487"/>
      <c r="BK332" s="2487"/>
      <c r="BL332" s="2487"/>
      <c r="BM332" s="2488"/>
      <c r="BN332" s="2257" t="str">
        <f t="shared" si="148"/>
        <v/>
      </c>
      <c r="BO332" s="2258"/>
      <c r="BP332" s="2258"/>
      <c r="BQ332" s="2258"/>
      <c r="BR332" s="2258"/>
      <c r="BS332" s="2258"/>
      <c r="BT332" s="2259"/>
      <c r="BU332" s="3590"/>
      <c r="BV332" s="8">
        <v>6</v>
      </c>
    </row>
    <row r="333" spans="2:74" ht="11.25" customHeight="1">
      <c r="B333" s="23"/>
      <c r="C333" s="3568" t="str">
        <f t="shared" si="144"/>
        <v/>
      </c>
      <c r="D333" s="3569"/>
      <c r="E333" s="3569"/>
      <c r="F333" s="3569"/>
      <c r="G333" s="3569"/>
      <c r="H333" s="3569"/>
      <c r="I333" s="3569"/>
      <c r="J333" s="3569"/>
      <c r="K333" s="3569"/>
      <c r="L333" s="3569"/>
      <c r="M333" s="3569"/>
      <c r="N333" s="3569"/>
      <c r="O333" s="3569"/>
      <c r="P333" s="3569"/>
      <c r="Q333" s="3569"/>
      <c r="R333" s="3569"/>
      <c r="S333" s="3569"/>
      <c r="T333" s="3569"/>
      <c r="U333" s="3569"/>
      <c r="V333" s="3569"/>
      <c r="W333" s="3569"/>
      <c r="X333" s="3570"/>
      <c r="Y333" s="2207" t="str">
        <f t="shared" si="145"/>
        <v/>
      </c>
      <c r="Z333" s="2208"/>
      <c r="AA333" s="2208"/>
      <c r="AB333" s="2208"/>
      <c r="AC333" s="2208"/>
      <c r="AD333" s="2249"/>
      <c r="AE333" s="31" t="str">
        <f t="shared" si="146"/>
        <v/>
      </c>
      <c r="AF333" s="3508"/>
      <c r="AG333" s="3509"/>
      <c r="AH333" s="3509"/>
      <c r="AI333" s="3509"/>
      <c r="AJ333" s="3509"/>
      <c r="AK333" s="3510"/>
      <c r="AL333" s="3251" t="str">
        <f>IF(C333="","",VLOOKUP(C333,[7]建物1802!$E$5:$AL$3275,2,FALSE))</f>
        <v/>
      </c>
      <c r="AM333" s="2873"/>
      <c r="AN333" s="2873"/>
      <c r="AO333" s="2874"/>
      <c r="AP333" s="2504" t="str">
        <f>IF(C333="","",VLOOKUP(C333,[7]建物1802!$E$5:$AL$3275,$BG$307,FALSE))</f>
        <v/>
      </c>
      <c r="AQ333" s="2208"/>
      <c r="AR333" s="2208"/>
      <c r="AS333" s="2208"/>
      <c r="AT333" s="2208"/>
      <c r="AU333" s="2208"/>
      <c r="AV333" s="2249"/>
      <c r="AW333" s="2209" t="str">
        <f t="shared" si="147"/>
        <v/>
      </c>
      <c r="AX333" s="2210"/>
      <c r="AY333" s="2210"/>
      <c r="AZ333" s="2210"/>
      <c r="BA333" s="2210"/>
      <c r="BB333" s="2210"/>
      <c r="BC333" s="2210"/>
      <c r="BD333" s="2210"/>
      <c r="BE333" s="2210"/>
      <c r="BF333" s="2211"/>
      <c r="BG333" s="20"/>
      <c r="BH333" s="2486" t="str">
        <f>IF(C333="","",VLOOKUP(C333,[7]建物1802!$E$5:$AL$3275,$BG$308,FALSE))</f>
        <v/>
      </c>
      <c r="BI333" s="2487"/>
      <c r="BJ333" s="2487"/>
      <c r="BK333" s="2487"/>
      <c r="BL333" s="2487"/>
      <c r="BM333" s="2488"/>
      <c r="BN333" s="2257" t="str">
        <f t="shared" si="148"/>
        <v/>
      </c>
      <c r="BO333" s="2258"/>
      <c r="BP333" s="2258"/>
      <c r="BQ333" s="2258"/>
      <c r="BR333" s="2258"/>
      <c r="BS333" s="2258"/>
      <c r="BT333" s="2259"/>
      <c r="BU333" s="3590"/>
      <c r="BV333" s="8">
        <v>7</v>
      </c>
    </row>
    <row r="334" spans="2:74" ht="11.25" customHeight="1">
      <c r="B334" s="23"/>
      <c r="C334" s="3568" t="str">
        <f t="shared" si="144"/>
        <v/>
      </c>
      <c r="D334" s="3569"/>
      <c r="E334" s="3569"/>
      <c r="F334" s="3569"/>
      <c r="G334" s="3569"/>
      <c r="H334" s="3569"/>
      <c r="I334" s="3569"/>
      <c r="J334" s="3569"/>
      <c r="K334" s="3569"/>
      <c r="L334" s="3569"/>
      <c r="M334" s="3569"/>
      <c r="N334" s="3569"/>
      <c r="O334" s="3569"/>
      <c r="P334" s="3569"/>
      <c r="Q334" s="3569"/>
      <c r="R334" s="3569"/>
      <c r="S334" s="3569"/>
      <c r="T334" s="3569"/>
      <c r="U334" s="3569"/>
      <c r="V334" s="3569"/>
      <c r="W334" s="3569"/>
      <c r="X334" s="3570"/>
      <c r="Y334" s="2207" t="str">
        <f t="shared" si="145"/>
        <v/>
      </c>
      <c r="Z334" s="2208"/>
      <c r="AA334" s="2208"/>
      <c r="AB334" s="2208"/>
      <c r="AC334" s="2208"/>
      <c r="AD334" s="2249"/>
      <c r="AE334" s="31" t="str">
        <f t="shared" si="146"/>
        <v/>
      </c>
      <c r="AF334" s="3508"/>
      <c r="AG334" s="3509"/>
      <c r="AH334" s="3509"/>
      <c r="AI334" s="3509"/>
      <c r="AJ334" s="3509"/>
      <c r="AK334" s="3510"/>
      <c r="AL334" s="3251" t="str">
        <f>IF(C334="","",VLOOKUP(C334,[7]建物1802!$E$5:$AL$3275,2,FALSE))</f>
        <v/>
      </c>
      <c r="AM334" s="2873"/>
      <c r="AN334" s="2873"/>
      <c r="AO334" s="2874"/>
      <c r="AP334" s="2504" t="str">
        <f>IF(C334="","",VLOOKUP(C334,[7]建物1802!$E$5:$AL$3275,$BG$307,FALSE))</f>
        <v/>
      </c>
      <c r="AQ334" s="2208"/>
      <c r="AR334" s="2208"/>
      <c r="AS334" s="2208"/>
      <c r="AT334" s="2208"/>
      <c r="AU334" s="2208"/>
      <c r="AV334" s="2249"/>
      <c r="AW334" s="2209" t="str">
        <f t="shared" si="147"/>
        <v/>
      </c>
      <c r="AX334" s="2210"/>
      <c r="AY334" s="2210"/>
      <c r="AZ334" s="2210"/>
      <c r="BA334" s="2210"/>
      <c r="BB334" s="2210"/>
      <c r="BC334" s="2210"/>
      <c r="BD334" s="2210"/>
      <c r="BE334" s="2210"/>
      <c r="BF334" s="2211"/>
      <c r="BG334" s="20"/>
      <c r="BH334" s="2486" t="str">
        <f>IF(C334="","",VLOOKUP(C334,[7]建物1802!$E$5:$AL$3275,$BG$308,FALSE))</f>
        <v/>
      </c>
      <c r="BI334" s="2487"/>
      <c r="BJ334" s="2487"/>
      <c r="BK334" s="2487"/>
      <c r="BL334" s="2487"/>
      <c r="BM334" s="2488"/>
      <c r="BN334" s="2257" t="str">
        <f t="shared" si="148"/>
        <v/>
      </c>
      <c r="BO334" s="2258"/>
      <c r="BP334" s="2258"/>
      <c r="BQ334" s="2258"/>
      <c r="BR334" s="2258"/>
      <c r="BS334" s="2258"/>
      <c r="BT334" s="2259"/>
      <c r="BU334" s="3590"/>
      <c r="BV334" s="8">
        <v>8</v>
      </c>
    </row>
    <row r="335" spans="2:74" ht="11.25" customHeight="1">
      <c r="B335" s="23"/>
      <c r="C335" s="3568" t="str">
        <f t="shared" si="144"/>
        <v/>
      </c>
      <c r="D335" s="3569"/>
      <c r="E335" s="3569"/>
      <c r="F335" s="3569"/>
      <c r="G335" s="3569"/>
      <c r="H335" s="3569"/>
      <c r="I335" s="3569"/>
      <c r="J335" s="3569"/>
      <c r="K335" s="3569"/>
      <c r="L335" s="3569"/>
      <c r="M335" s="3569"/>
      <c r="N335" s="3569"/>
      <c r="O335" s="3569"/>
      <c r="P335" s="3569"/>
      <c r="Q335" s="3569"/>
      <c r="R335" s="3569"/>
      <c r="S335" s="3569"/>
      <c r="T335" s="3569"/>
      <c r="U335" s="3569"/>
      <c r="V335" s="3569"/>
      <c r="W335" s="3569"/>
      <c r="X335" s="3570"/>
      <c r="Y335" s="2207" t="str">
        <f t="shared" si="145"/>
        <v/>
      </c>
      <c r="Z335" s="2208"/>
      <c r="AA335" s="2208"/>
      <c r="AB335" s="2208"/>
      <c r="AC335" s="2208"/>
      <c r="AD335" s="2249"/>
      <c r="AE335" s="31" t="str">
        <f t="shared" si="146"/>
        <v/>
      </c>
      <c r="AF335" s="3577"/>
      <c r="AG335" s="3578"/>
      <c r="AH335" s="3578"/>
      <c r="AI335" s="3578"/>
      <c r="AJ335" s="3578"/>
      <c r="AK335" s="3579"/>
      <c r="AL335" s="3251" t="str">
        <f>IF(C335="","",VLOOKUP(C335,[7]建物1802!$E$5:$AL$3275,2,FALSE))</f>
        <v/>
      </c>
      <c r="AM335" s="2873"/>
      <c r="AN335" s="2873"/>
      <c r="AO335" s="2874"/>
      <c r="AP335" s="2504" t="str">
        <f>IF(C335="","",VLOOKUP(C335,[7]建物1802!$E$5:$AL$3275,$BG$307,FALSE))</f>
        <v/>
      </c>
      <c r="AQ335" s="2208"/>
      <c r="AR335" s="2208"/>
      <c r="AS335" s="2208"/>
      <c r="AT335" s="2208"/>
      <c r="AU335" s="2208"/>
      <c r="AV335" s="2249"/>
      <c r="AW335" s="2209" t="str">
        <f t="shared" si="147"/>
        <v/>
      </c>
      <c r="AX335" s="2210"/>
      <c r="AY335" s="2210"/>
      <c r="AZ335" s="2210"/>
      <c r="BA335" s="2210"/>
      <c r="BB335" s="2210"/>
      <c r="BC335" s="2210"/>
      <c r="BD335" s="2210"/>
      <c r="BE335" s="2210"/>
      <c r="BF335" s="2211"/>
      <c r="BG335" s="20"/>
      <c r="BH335" s="2486" t="str">
        <f>IF(C335="","",VLOOKUP(C335,[7]建物1802!$E$5:$AL$3275,$BG$308,FALSE))</f>
        <v/>
      </c>
      <c r="BI335" s="2487"/>
      <c r="BJ335" s="2487"/>
      <c r="BK335" s="2487"/>
      <c r="BL335" s="2487"/>
      <c r="BM335" s="2488"/>
      <c r="BN335" s="2257" t="str">
        <f t="shared" si="148"/>
        <v/>
      </c>
      <c r="BO335" s="2258"/>
      <c r="BP335" s="2258"/>
      <c r="BQ335" s="2258"/>
      <c r="BR335" s="2258"/>
      <c r="BS335" s="2258"/>
      <c r="BT335" s="2259"/>
      <c r="BU335" s="19"/>
      <c r="BV335" s="8">
        <v>9</v>
      </c>
    </row>
    <row r="336" spans="2:74" ht="11.25" customHeight="1">
      <c r="B336" s="23"/>
      <c r="C336" s="3568" t="str">
        <f t="shared" si="144"/>
        <v/>
      </c>
      <c r="D336" s="3569"/>
      <c r="E336" s="3569"/>
      <c r="F336" s="3569"/>
      <c r="G336" s="3569"/>
      <c r="H336" s="3569"/>
      <c r="I336" s="3569"/>
      <c r="J336" s="3569"/>
      <c r="K336" s="3569"/>
      <c r="L336" s="3569"/>
      <c r="M336" s="3569"/>
      <c r="N336" s="3569"/>
      <c r="O336" s="3569"/>
      <c r="P336" s="3569"/>
      <c r="Q336" s="3569"/>
      <c r="R336" s="3569"/>
      <c r="S336" s="3569"/>
      <c r="T336" s="3569"/>
      <c r="U336" s="3569"/>
      <c r="V336" s="3569"/>
      <c r="W336" s="3569"/>
      <c r="X336" s="3570"/>
      <c r="Y336" s="2207" t="str">
        <f t="shared" si="145"/>
        <v/>
      </c>
      <c r="Z336" s="2208"/>
      <c r="AA336" s="2208"/>
      <c r="AB336" s="2208"/>
      <c r="AC336" s="2208"/>
      <c r="AD336" s="2249"/>
      <c r="AE336" s="31" t="str">
        <f t="shared" si="146"/>
        <v/>
      </c>
      <c r="AF336" s="3508"/>
      <c r="AG336" s="3509"/>
      <c r="AH336" s="3509"/>
      <c r="AI336" s="3509"/>
      <c r="AJ336" s="3509"/>
      <c r="AK336" s="3510"/>
      <c r="AL336" s="3251" t="str">
        <f>IF(C336="","",VLOOKUP(C336,[7]建物1802!$E$5:$AL$3275,2,FALSE))</f>
        <v/>
      </c>
      <c r="AM336" s="2873"/>
      <c r="AN336" s="2873"/>
      <c r="AO336" s="2874"/>
      <c r="AP336" s="2504" t="str">
        <f>IF(C336="","",VLOOKUP(C336,[7]建物1802!$E$5:$AL$3275,$BG$307,FALSE))</f>
        <v/>
      </c>
      <c r="AQ336" s="2208"/>
      <c r="AR336" s="2208"/>
      <c r="AS336" s="2208"/>
      <c r="AT336" s="2208"/>
      <c r="AU336" s="2208"/>
      <c r="AV336" s="2249"/>
      <c r="AW336" s="2209" t="str">
        <f t="shared" si="147"/>
        <v/>
      </c>
      <c r="AX336" s="2210"/>
      <c r="AY336" s="2210"/>
      <c r="AZ336" s="2210"/>
      <c r="BA336" s="2210"/>
      <c r="BB336" s="2210"/>
      <c r="BC336" s="2210"/>
      <c r="BD336" s="2210"/>
      <c r="BE336" s="2210"/>
      <c r="BF336" s="2211"/>
      <c r="BG336" s="20"/>
      <c r="BH336" s="2486" t="str">
        <f>IF(C336="","",VLOOKUP(C336,[7]建物1802!$E$5:$AL$3275,$BG$308,FALSE))</f>
        <v/>
      </c>
      <c r="BI336" s="2487"/>
      <c r="BJ336" s="2487"/>
      <c r="BK336" s="2487"/>
      <c r="BL336" s="2487"/>
      <c r="BM336" s="2488"/>
      <c r="BN336" s="2257" t="str">
        <f t="shared" si="148"/>
        <v/>
      </c>
      <c r="BO336" s="2258"/>
      <c r="BP336" s="2258"/>
      <c r="BQ336" s="2258"/>
      <c r="BR336" s="2258"/>
      <c r="BS336" s="2258"/>
      <c r="BT336" s="2259"/>
      <c r="BU336" s="19"/>
      <c r="BV336" s="8">
        <v>10</v>
      </c>
    </row>
    <row r="337" spans="2:74" ht="11.25" customHeight="1">
      <c r="B337" s="23"/>
      <c r="C337" s="3568" t="str">
        <f t="shared" si="144"/>
        <v/>
      </c>
      <c r="D337" s="3569"/>
      <c r="E337" s="3569"/>
      <c r="F337" s="3569"/>
      <c r="G337" s="3569"/>
      <c r="H337" s="3569"/>
      <c r="I337" s="3569"/>
      <c r="J337" s="3569"/>
      <c r="K337" s="3569"/>
      <c r="L337" s="3569"/>
      <c r="M337" s="3569"/>
      <c r="N337" s="3569"/>
      <c r="O337" s="3569"/>
      <c r="P337" s="3569"/>
      <c r="Q337" s="3569"/>
      <c r="R337" s="3569"/>
      <c r="S337" s="3569"/>
      <c r="T337" s="3569"/>
      <c r="U337" s="3569"/>
      <c r="V337" s="3569"/>
      <c r="W337" s="3569"/>
      <c r="X337" s="3570"/>
      <c r="Y337" s="2207" t="str">
        <f t="shared" si="145"/>
        <v/>
      </c>
      <c r="Z337" s="2208"/>
      <c r="AA337" s="2208"/>
      <c r="AB337" s="2208"/>
      <c r="AC337" s="2208"/>
      <c r="AD337" s="2249"/>
      <c r="AE337" s="31" t="str">
        <f t="shared" si="146"/>
        <v/>
      </c>
      <c r="AF337" s="3508"/>
      <c r="AG337" s="3509"/>
      <c r="AH337" s="3509"/>
      <c r="AI337" s="3509"/>
      <c r="AJ337" s="3509"/>
      <c r="AK337" s="3510"/>
      <c r="AL337" s="3251" t="str">
        <f>IF(C337="","",VLOOKUP(C337,[7]建物1802!$E$5:$AL$3275,2,FALSE))</f>
        <v/>
      </c>
      <c r="AM337" s="2873"/>
      <c r="AN337" s="2873"/>
      <c r="AO337" s="2874"/>
      <c r="AP337" s="2504" t="str">
        <f>IF(C337="","",VLOOKUP(C337,[7]建物1802!$E$5:$AL$3275,$BG$307,FALSE))</f>
        <v/>
      </c>
      <c r="AQ337" s="2208"/>
      <c r="AR337" s="2208"/>
      <c r="AS337" s="2208"/>
      <c r="AT337" s="2208"/>
      <c r="AU337" s="2208"/>
      <c r="AV337" s="2249"/>
      <c r="AW337" s="2209" t="str">
        <f t="shared" si="147"/>
        <v/>
      </c>
      <c r="AX337" s="2210"/>
      <c r="AY337" s="2210"/>
      <c r="AZ337" s="2210"/>
      <c r="BA337" s="2210"/>
      <c r="BB337" s="2210"/>
      <c r="BC337" s="2210"/>
      <c r="BD337" s="2210"/>
      <c r="BE337" s="2210"/>
      <c r="BF337" s="2211"/>
      <c r="BG337" s="20"/>
      <c r="BH337" s="2486" t="str">
        <f>IF(C337="","",VLOOKUP(C337,[7]建物1802!$E$5:$AL$3275,$BG$308,FALSE))</f>
        <v/>
      </c>
      <c r="BI337" s="2487"/>
      <c r="BJ337" s="2487"/>
      <c r="BK337" s="2487"/>
      <c r="BL337" s="2487"/>
      <c r="BM337" s="2488"/>
      <c r="BN337" s="2257" t="str">
        <f t="shared" si="148"/>
        <v/>
      </c>
      <c r="BO337" s="2258"/>
      <c r="BP337" s="2258"/>
      <c r="BQ337" s="2258"/>
      <c r="BR337" s="2258"/>
      <c r="BS337" s="2258"/>
      <c r="BT337" s="2259"/>
      <c r="BU337" s="19"/>
      <c r="BV337" s="8">
        <v>11</v>
      </c>
    </row>
    <row r="338" spans="2:74" ht="11.25" customHeight="1">
      <c r="B338" s="23"/>
      <c r="C338" s="3568" t="str">
        <f>IF($B$2=0,"",IF(Y338&lt;&gt;"","C-OBox4角中深",""))</f>
        <v>C-OBox4角中深</v>
      </c>
      <c r="D338" s="3569"/>
      <c r="E338" s="3569"/>
      <c r="F338" s="3569"/>
      <c r="G338" s="3569"/>
      <c r="H338" s="3569"/>
      <c r="I338" s="3569"/>
      <c r="J338" s="3569"/>
      <c r="K338" s="3569"/>
      <c r="L338" s="3569"/>
      <c r="M338" s="3569"/>
      <c r="N338" s="3569"/>
      <c r="O338" s="3569"/>
      <c r="P338" s="3569"/>
      <c r="Q338" s="3569"/>
      <c r="R338" s="3569"/>
      <c r="S338" s="3569"/>
      <c r="T338" s="3569"/>
      <c r="U338" s="3569"/>
      <c r="V338" s="3569"/>
      <c r="W338" s="3569"/>
      <c r="X338" s="3570"/>
      <c r="Y338" s="2207">
        <f>IF($B$2=0,"",SUM(Y339:AD356))</f>
        <v>392</v>
      </c>
      <c r="Z338" s="2208"/>
      <c r="AA338" s="2208"/>
      <c r="AB338" s="2208"/>
      <c r="AC338" s="2208"/>
      <c r="AD338" s="2249"/>
      <c r="AE338" s="31" t="str">
        <f t="shared" si="146"/>
        <v>▼</v>
      </c>
      <c r="AF338" s="3508"/>
      <c r="AG338" s="3509"/>
      <c r="AH338" s="3509"/>
      <c r="AI338" s="3509"/>
      <c r="AJ338" s="3509"/>
      <c r="AK338" s="3510"/>
      <c r="AL338" s="3251" t="str">
        <f>IF(C338="","",VLOOKUP(C338,[7]建物1802!$E$5:$AL$3275,2,FALSE))</f>
        <v>個</v>
      </c>
      <c r="AM338" s="2873"/>
      <c r="AN338" s="2873"/>
      <c r="AO338" s="2874"/>
      <c r="AP338" s="2504">
        <f>IF(C338="","",VLOOKUP(C338,[7]建物1802!$E$5:$AL$3275,$BG$307,FALSE))</f>
        <v>155</v>
      </c>
      <c r="AQ338" s="2208"/>
      <c r="AR338" s="2208"/>
      <c r="AS338" s="2208"/>
      <c r="AT338" s="2208"/>
      <c r="AU338" s="2208"/>
      <c r="AV338" s="2249"/>
      <c r="AW338" s="2209">
        <f t="shared" si="147"/>
        <v>60760</v>
      </c>
      <c r="AX338" s="2210"/>
      <c r="AY338" s="2210"/>
      <c r="AZ338" s="2210"/>
      <c r="BA338" s="2210"/>
      <c r="BB338" s="2210"/>
      <c r="BC338" s="2210"/>
      <c r="BD338" s="2210"/>
      <c r="BE338" s="2210"/>
      <c r="BF338" s="2211"/>
      <c r="BG338" s="20"/>
      <c r="BH338" s="2486">
        <f>IF(C338="","",VLOOKUP(C338,[7]建物1802!$E$5:$AL$3275,$BG$308,FALSE))</f>
        <v>0.1</v>
      </c>
      <c r="BI338" s="2487"/>
      <c r="BJ338" s="2487"/>
      <c r="BK338" s="2487"/>
      <c r="BL338" s="2487"/>
      <c r="BM338" s="2488"/>
      <c r="BN338" s="2257">
        <f t="shared" si="148"/>
        <v>39.200000000000003</v>
      </c>
      <c r="BO338" s="2258"/>
      <c r="BP338" s="2258"/>
      <c r="BQ338" s="2258"/>
      <c r="BR338" s="2258"/>
      <c r="BS338" s="2258"/>
      <c r="BT338" s="2259"/>
      <c r="BU338" s="19"/>
      <c r="BV338" s="8">
        <v>12</v>
      </c>
    </row>
    <row r="339" spans="2:74" ht="11.25" customHeight="1">
      <c r="B339" s="23"/>
      <c r="C339" s="3568" t="str">
        <f t="shared" ref="C339:C356" si="149">IF($B$2=0,"",IF(ISNA(VLOOKUP(BV339,TV_AP2,4,FALSE)),"",VLOOKUP(BV339,TV_AP2,4,FALSE)))</f>
        <v>共聴アンテナ UHF</v>
      </c>
      <c r="D339" s="3569"/>
      <c r="E339" s="3569"/>
      <c r="F339" s="3569"/>
      <c r="G339" s="3569"/>
      <c r="H339" s="3569"/>
      <c r="I339" s="3569"/>
      <c r="J339" s="3569"/>
      <c r="K339" s="3569"/>
      <c r="L339" s="3569"/>
      <c r="M339" s="3569"/>
      <c r="N339" s="3569"/>
      <c r="O339" s="3569"/>
      <c r="P339" s="3569"/>
      <c r="Q339" s="3569"/>
      <c r="R339" s="3569"/>
      <c r="S339" s="3569"/>
      <c r="T339" s="3569"/>
      <c r="U339" s="3569"/>
      <c r="V339" s="3569"/>
      <c r="W339" s="3569"/>
      <c r="X339" s="3570"/>
      <c r="Y339" s="2207">
        <f t="shared" ref="Y339:Y356" si="150">IF(C339="","",IF(AF339&lt;&gt;"",AF339,VLOOKUP(BV339,TV_AP2,7,FALSE)))</f>
        <v>1</v>
      </c>
      <c r="Z339" s="2208"/>
      <c r="AA339" s="2208"/>
      <c r="AB339" s="2208"/>
      <c r="AC339" s="2208"/>
      <c r="AD339" s="2249"/>
      <c r="AE339" s="31" t="str">
        <f t="shared" si="146"/>
        <v>▼</v>
      </c>
      <c r="AF339" s="3508"/>
      <c r="AG339" s="3509"/>
      <c r="AH339" s="3509"/>
      <c r="AI339" s="3509"/>
      <c r="AJ339" s="3509"/>
      <c r="AK339" s="3510"/>
      <c r="AL339" s="3251" t="str">
        <f>IF(C339="","",VLOOKUP(C339,[7]建物1802!$E$5:$AL$3275,2,FALSE))</f>
        <v>個</v>
      </c>
      <c r="AM339" s="2873"/>
      <c r="AN339" s="2873"/>
      <c r="AO339" s="2874"/>
      <c r="AP339" s="2504">
        <f>IF(C339="","",VLOOKUP(C339,[7]建物1802!$E$5:$AL$3275,$BG$307,FALSE))</f>
        <v>48100</v>
      </c>
      <c r="AQ339" s="2208"/>
      <c r="AR339" s="2208"/>
      <c r="AS339" s="2208"/>
      <c r="AT339" s="2208"/>
      <c r="AU339" s="2208"/>
      <c r="AV339" s="2249"/>
      <c r="AW339" s="2209">
        <f t="shared" si="147"/>
        <v>48100</v>
      </c>
      <c r="AX339" s="2210"/>
      <c r="AY339" s="2210"/>
      <c r="AZ339" s="2210"/>
      <c r="BA339" s="2210"/>
      <c r="BB339" s="2210"/>
      <c r="BC339" s="2210"/>
      <c r="BD339" s="2210"/>
      <c r="BE339" s="2210"/>
      <c r="BF339" s="2211"/>
      <c r="BG339" s="20"/>
      <c r="BH339" s="2486">
        <f>IF(C339="","",VLOOKUP(C339,[7]建物1802!$E$5:$AL$3275,$BG$308,FALSE))</f>
        <v>1.56</v>
      </c>
      <c r="BI339" s="2487"/>
      <c r="BJ339" s="2487"/>
      <c r="BK339" s="2487"/>
      <c r="BL339" s="2487"/>
      <c r="BM339" s="2488"/>
      <c r="BN339" s="2257">
        <f t="shared" si="148"/>
        <v>1.56</v>
      </c>
      <c r="BO339" s="2258"/>
      <c r="BP339" s="2258"/>
      <c r="BQ339" s="2258"/>
      <c r="BR339" s="2258"/>
      <c r="BS339" s="2258"/>
      <c r="BT339" s="2259"/>
      <c r="BU339" s="19"/>
      <c r="BV339" s="8">
        <v>1</v>
      </c>
    </row>
    <row r="340" spans="2:74" ht="11.25" customHeight="1">
      <c r="B340" s="23"/>
      <c r="C340" s="3568" t="str">
        <f t="shared" si="149"/>
        <v>共聴アンテナ BS</v>
      </c>
      <c r="D340" s="3569"/>
      <c r="E340" s="3569"/>
      <c r="F340" s="3569"/>
      <c r="G340" s="3569"/>
      <c r="H340" s="3569"/>
      <c r="I340" s="3569"/>
      <c r="J340" s="3569"/>
      <c r="K340" s="3569"/>
      <c r="L340" s="3569"/>
      <c r="M340" s="3569"/>
      <c r="N340" s="3569"/>
      <c r="O340" s="3569"/>
      <c r="P340" s="3569"/>
      <c r="Q340" s="3569"/>
      <c r="R340" s="3569"/>
      <c r="S340" s="3569"/>
      <c r="T340" s="3569"/>
      <c r="U340" s="3569"/>
      <c r="V340" s="3569"/>
      <c r="W340" s="3569"/>
      <c r="X340" s="3570"/>
      <c r="Y340" s="2207">
        <f t="shared" si="150"/>
        <v>1</v>
      </c>
      <c r="Z340" s="2208"/>
      <c r="AA340" s="2208"/>
      <c r="AB340" s="2208"/>
      <c r="AC340" s="2208"/>
      <c r="AD340" s="2249"/>
      <c r="AE340" s="31" t="str">
        <f t="shared" si="146"/>
        <v>▼</v>
      </c>
      <c r="AF340" s="3508"/>
      <c r="AG340" s="3509"/>
      <c r="AH340" s="3509"/>
      <c r="AI340" s="3509"/>
      <c r="AJ340" s="3509"/>
      <c r="AK340" s="3510"/>
      <c r="AL340" s="3251" t="str">
        <f>IF(C340="","",VLOOKUP(C340,[7]建物1802!$E$5:$AL$3275,2,FALSE))</f>
        <v>個</v>
      </c>
      <c r="AM340" s="2873"/>
      <c r="AN340" s="2873"/>
      <c r="AO340" s="2874"/>
      <c r="AP340" s="2504">
        <f>IF(C340="","",VLOOKUP(C340,[7]建物1802!$E$5:$AL$3275,$BG$307,FALSE))</f>
        <v>58900</v>
      </c>
      <c r="AQ340" s="2208"/>
      <c r="AR340" s="2208"/>
      <c r="AS340" s="2208"/>
      <c r="AT340" s="2208"/>
      <c r="AU340" s="2208"/>
      <c r="AV340" s="2249"/>
      <c r="AW340" s="2209">
        <f t="shared" si="147"/>
        <v>58900</v>
      </c>
      <c r="AX340" s="2210"/>
      <c r="AY340" s="2210"/>
      <c r="AZ340" s="2210"/>
      <c r="BA340" s="2210"/>
      <c r="BB340" s="2210"/>
      <c r="BC340" s="2210"/>
      <c r="BD340" s="2210"/>
      <c r="BE340" s="2210"/>
      <c r="BF340" s="2211"/>
      <c r="BG340" s="20"/>
      <c r="BH340" s="2486">
        <f>IF(C340="","",VLOOKUP(C340,[7]建物1802!$E$5:$AL$3275,$BG$308,FALSE))</f>
        <v>1.56</v>
      </c>
      <c r="BI340" s="2487"/>
      <c r="BJ340" s="2487"/>
      <c r="BK340" s="2487"/>
      <c r="BL340" s="2487"/>
      <c r="BM340" s="2488"/>
      <c r="BN340" s="2257">
        <f t="shared" si="148"/>
        <v>1.56</v>
      </c>
      <c r="BO340" s="2258"/>
      <c r="BP340" s="2258"/>
      <c r="BQ340" s="2258"/>
      <c r="BR340" s="2258"/>
      <c r="BS340" s="2258"/>
      <c r="BT340" s="2259"/>
      <c r="BU340" s="19"/>
      <c r="BV340" s="8">
        <v>2</v>
      </c>
    </row>
    <row r="341" spans="2:74" ht="11.25" customHeight="1">
      <c r="B341" s="23"/>
      <c r="C341" s="3568" t="str">
        <f t="shared" si="149"/>
        <v>共聴アンテナ CS</v>
      </c>
      <c r="D341" s="3569"/>
      <c r="E341" s="3569"/>
      <c r="F341" s="3569"/>
      <c r="G341" s="3569"/>
      <c r="H341" s="3569"/>
      <c r="I341" s="3569"/>
      <c r="J341" s="3569"/>
      <c r="K341" s="3569"/>
      <c r="L341" s="3569"/>
      <c r="M341" s="3569"/>
      <c r="N341" s="3569"/>
      <c r="O341" s="3569"/>
      <c r="P341" s="3569"/>
      <c r="Q341" s="3569"/>
      <c r="R341" s="3569"/>
      <c r="S341" s="3569"/>
      <c r="T341" s="3569"/>
      <c r="U341" s="3569"/>
      <c r="V341" s="3569"/>
      <c r="W341" s="3569"/>
      <c r="X341" s="3570"/>
      <c r="Y341" s="2207">
        <f t="shared" si="150"/>
        <v>1</v>
      </c>
      <c r="Z341" s="2208"/>
      <c r="AA341" s="2208"/>
      <c r="AB341" s="2208"/>
      <c r="AC341" s="2208"/>
      <c r="AD341" s="2249"/>
      <c r="AE341" s="31" t="str">
        <f t="shared" si="146"/>
        <v>▼</v>
      </c>
      <c r="AF341" s="3508"/>
      <c r="AG341" s="3509"/>
      <c r="AH341" s="3509"/>
      <c r="AI341" s="3509"/>
      <c r="AJ341" s="3509"/>
      <c r="AK341" s="3510"/>
      <c r="AL341" s="3251" t="str">
        <f>IF(C341="","",VLOOKUP(C341,[7]建物1802!$E$5:$AL$3275,2,FALSE))</f>
        <v>個</v>
      </c>
      <c r="AM341" s="2873"/>
      <c r="AN341" s="2873"/>
      <c r="AO341" s="2874"/>
      <c r="AP341" s="2504">
        <f>IF(C341="","",VLOOKUP(C341,[7]建物1802!$E$5:$AL$3275,$BG$307,FALSE))</f>
        <v>58900</v>
      </c>
      <c r="AQ341" s="2208"/>
      <c r="AR341" s="2208"/>
      <c r="AS341" s="2208"/>
      <c r="AT341" s="2208"/>
      <c r="AU341" s="2208"/>
      <c r="AV341" s="2249"/>
      <c r="AW341" s="2209">
        <f t="shared" si="147"/>
        <v>58900</v>
      </c>
      <c r="AX341" s="2210"/>
      <c r="AY341" s="2210"/>
      <c r="AZ341" s="2210"/>
      <c r="BA341" s="2210"/>
      <c r="BB341" s="2210"/>
      <c r="BC341" s="2210"/>
      <c r="BD341" s="2210"/>
      <c r="BE341" s="2210"/>
      <c r="BF341" s="2211"/>
      <c r="BG341" s="20"/>
      <c r="BH341" s="2486">
        <f>IF(C341="","",VLOOKUP(C341,[7]建物1802!$E$5:$AL$3275,$BG$308,FALSE))</f>
        <v>1.56</v>
      </c>
      <c r="BI341" s="2487"/>
      <c r="BJ341" s="2487"/>
      <c r="BK341" s="2487"/>
      <c r="BL341" s="2487"/>
      <c r="BM341" s="2488"/>
      <c r="BN341" s="2257">
        <f t="shared" si="148"/>
        <v>1.56</v>
      </c>
      <c r="BO341" s="2258"/>
      <c r="BP341" s="2258"/>
      <c r="BQ341" s="2258"/>
      <c r="BR341" s="2258"/>
      <c r="BS341" s="2258"/>
      <c r="BT341" s="2259"/>
      <c r="BU341" s="19"/>
      <c r="BV341" s="8">
        <v>3</v>
      </c>
    </row>
    <row r="342" spans="2:74" ht="11.25" customHeight="1">
      <c r="B342" s="23"/>
      <c r="C342" s="3568" t="str">
        <f t="shared" si="149"/>
        <v>アンテナポールBP付 SGP50A-4.5m</v>
      </c>
      <c r="D342" s="3569"/>
      <c r="E342" s="3569"/>
      <c r="F342" s="3569"/>
      <c r="G342" s="3569"/>
      <c r="H342" s="3569"/>
      <c r="I342" s="3569"/>
      <c r="J342" s="3569"/>
      <c r="K342" s="3569"/>
      <c r="L342" s="3569"/>
      <c r="M342" s="3569"/>
      <c r="N342" s="3569"/>
      <c r="O342" s="3569"/>
      <c r="P342" s="3569"/>
      <c r="Q342" s="3569"/>
      <c r="R342" s="3569"/>
      <c r="S342" s="3569"/>
      <c r="T342" s="3569"/>
      <c r="U342" s="3569"/>
      <c r="V342" s="3569"/>
      <c r="W342" s="3569"/>
      <c r="X342" s="3570"/>
      <c r="Y342" s="2207">
        <f t="shared" si="150"/>
        <v>1</v>
      </c>
      <c r="Z342" s="2208"/>
      <c r="AA342" s="2208"/>
      <c r="AB342" s="2208"/>
      <c r="AC342" s="2208"/>
      <c r="AD342" s="2249"/>
      <c r="AE342" s="31" t="str">
        <f t="shared" si="146"/>
        <v>▼</v>
      </c>
      <c r="AF342" s="3508"/>
      <c r="AG342" s="3509"/>
      <c r="AH342" s="3509"/>
      <c r="AI342" s="3509"/>
      <c r="AJ342" s="3509"/>
      <c r="AK342" s="3510"/>
      <c r="AL342" s="3251" t="str">
        <f>IF(C342="","",VLOOKUP(C342,[7]建物1802!$E$5:$AL$3275,2,FALSE))</f>
        <v>基</v>
      </c>
      <c r="AM342" s="2873"/>
      <c r="AN342" s="2873"/>
      <c r="AO342" s="2874"/>
      <c r="AP342" s="2504">
        <f>IF(C342="","",VLOOKUP(C342,[7]建物1802!$E$5:$AL$3275,$BG$307,FALSE))</f>
        <v>33000</v>
      </c>
      <c r="AQ342" s="2208"/>
      <c r="AR342" s="2208"/>
      <c r="AS342" s="2208"/>
      <c r="AT342" s="2208"/>
      <c r="AU342" s="2208"/>
      <c r="AV342" s="2249"/>
      <c r="AW342" s="2209">
        <f t="shared" si="147"/>
        <v>33000</v>
      </c>
      <c r="AX342" s="2210"/>
      <c r="AY342" s="2210"/>
      <c r="AZ342" s="2210"/>
      <c r="BA342" s="2210"/>
      <c r="BB342" s="2210"/>
      <c r="BC342" s="2210"/>
      <c r="BD342" s="2210"/>
      <c r="BE342" s="2210"/>
      <c r="BF342" s="2211"/>
      <c r="BG342" s="20"/>
      <c r="BH342" s="2486">
        <f>IF(C342="","",VLOOKUP(C342,[7]建物1802!$E$5:$AL$3275,$BG$308,FALSE))</f>
        <v>1.41</v>
      </c>
      <c r="BI342" s="2487"/>
      <c r="BJ342" s="2487"/>
      <c r="BK342" s="2487"/>
      <c r="BL342" s="2487"/>
      <c r="BM342" s="2488"/>
      <c r="BN342" s="2257">
        <f t="shared" si="148"/>
        <v>1.41</v>
      </c>
      <c r="BO342" s="2258"/>
      <c r="BP342" s="2258"/>
      <c r="BQ342" s="2258"/>
      <c r="BR342" s="2258"/>
      <c r="BS342" s="2258"/>
      <c r="BT342" s="2259"/>
      <c r="BU342" s="19"/>
      <c r="BV342" s="8">
        <v>4</v>
      </c>
    </row>
    <row r="343" spans="2:74" ht="11.25" customHeight="1">
      <c r="B343" s="23"/>
      <c r="C343" s="3568" t="str">
        <f t="shared" si="149"/>
        <v>CSアンテナポールBP付 SGP80A-1.5m</v>
      </c>
      <c r="D343" s="3569"/>
      <c r="E343" s="3569"/>
      <c r="F343" s="3569"/>
      <c r="G343" s="3569"/>
      <c r="H343" s="3569"/>
      <c r="I343" s="3569"/>
      <c r="J343" s="3569"/>
      <c r="K343" s="3569"/>
      <c r="L343" s="3569"/>
      <c r="M343" s="3569"/>
      <c r="N343" s="3569"/>
      <c r="O343" s="3569"/>
      <c r="P343" s="3569"/>
      <c r="Q343" s="3569"/>
      <c r="R343" s="3569"/>
      <c r="S343" s="3569"/>
      <c r="T343" s="3569"/>
      <c r="U343" s="3569"/>
      <c r="V343" s="3569"/>
      <c r="W343" s="3569"/>
      <c r="X343" s="3570"/>
      <c r="Y343" s="2207">
        <f t="shared" si="150"/>
        <v>1</v>
      </c>
      <c r="Z343" s="2208"/>
      <c r="AA343" s="2208"/>
      <c r="AB343" s="2208"/>
      <c r="AC343" s="2208"/>
      <c r="AD343" s="2249"/>
      <c r="AE343" s="31" t="str">
        <f t="shared" si="146"/>
        <v>▼</v>
      </c>
      <c r="AF343" s="3508"/>
      <c r="AG343" s="3509"/>
      <c r="AH343" s="3509"/>
      <c r="AI343" s="3509"/>
      <c r="AJ343" s="3509"/>
      <c r="AK343" s="3510"/>
      <c r="AL343" s="3251" t="str">
        <f>IF(C343="","",VLOOKUP(C343,[7]建物1802!$E$5:$AL$3275,2,FALSE))</f>
        <v>基</v>
      </c>
      <c r="AM343" s="2873"/>
      <c r="AN343" s="2873"/>
      <c r="AO343" s="2874"/>
      <c r="AP343" s="2504">
        <f>IF(C343="","",VLOOKUP(C343,[7]建物1802!$E$5:$AL$3275,$BG$307,FALSE))</f>
        <v>33000</v>
      </c>
      <c r="AQ343" s="2208"/>
      <c r="AR343" s="2208"/>
      <c r="AS343" s="2208"/>
      <c r="AT343" s="2208"/>
      <c r="AU343" s="2208"/>
      <c r="AV343" s="2249"/>
      <c r="AW343" s="2209">
        <f t="shared" si="147"/>
        <v>33000</v>
      </c>
      <c r="AX343" s="2210"/>
      <c r="AY343" s="2210"/>
      <c r="AZ343" s="2210"/>
      <c r="BA343" s="2210"/>
      <c r="BB343" s="2210"/>
      <c r="BC343" s="2210"/>
      <c r="BD343" s="2210"/>
      <c r="BE343" s="2210"/>
      <c r="BF343" s="2211"/>
      <c r="BG343" s="20"/>
      <c r="BH343" s="2486">
        <f>IF(C343="","",VLOOKUP(C343,[7]建物1802!$E$5:$AL$3275,$BG$308,FALSE))</f>
        <v>2.11</v>
      </c>
      <c r="BI343" s="2487"/>
      <c r="BJ343" s="2487"/>
      <c r="BK343" s="2487"/>
      <c r="BL343" s="2487"/>
      <c r="BM343" s="2488"/>
      <c r="BN343" s="2257">
        <f t="shared" si="148"/>
        <v>2.11</v>
      </c>
      <c r="BO343" s="2258"/>
      <c r="BP343" s="2258"/>
      <c r="BQ343" s="2258"/>
      <c r="BR343" s="2258"/>
      <c r="BS343" s="2258"/>
      <c r="BT343" s="2259"/>
      <c r="BU343" s="19"/>
      <c r="BV343" s="8">
        <v>5</v>
      </c>
    </row>
    <row r="344" spans="2:74" ht="11.25" customHeight="1">
      <c r="B344" s="23"/>
      <c r="C344" s="3568" t="str">
        <f t="shared" si="149"/>
        <v>分配器 4D</v>
      </c>
      <c r="D344" s="3569"/>
      <c r="E344" s="3569"/>
      <c r="F344" s="3569"/>
      <c r="G344" s="3569"/>
      <c r="H344" s="3569"/>
      <c r="I344" s="3569"/>
      <c r="J344" s="3569"/>
      <c r="K344" s="3569"/>
      <c r="L344" s="3569"/>
      <c r="M344" s="3569"/>
      <c r="N344" s="3569"/>
      <c r="O344" s="3569"/>
      <c r="P344" s="3569"/>
      <c r="Q344" s="3569"/>
      <c r="R344" s="3569"/>
      <c r="S344" s="3569"/>
      <c r="T344" s="3569"/>
      <c r="U344" s="3569"/>
      <c r="V344" s="3569"/>
      <c r="W344" s="3569"/>
      <c r="X344" s="3570"/>
      <c r="Y344" s="2207">
        <f t="shared" si="150"/>
        <v>10</v>
      </c>
      <c r="Z344" s="2208"/>
      <c r="AA344" s="2208"/>
      <c r="AB344" s="2208"/>
      <c r="AC344" s="2208"/>
      <c r="AD344" s="2249"/>
      <c r="AE344" s="31" t="str">
        <f t="shared" si="146"/>
        <v>▼</v>
      </c>
      <c r="AF344" s="3508"/>
      <c r="AG344" s="3509"/>
      <c r="AH344" s="3509"/>
      <c r="AI344" s="3509"/>
      <c r="AJ344" s="3509"/>
      <c r="AK344" s="3510"/>
      <c r="AL344" s="3251" t="str">
        <f>IF(C344="","",VLOOKUP(C344,[7]建物1802!$E$5:$AL$3275,2,FALSE))</f>
        <v>個</v>
      </c>
      <c r="AM344" s="2873"/>
      <c r="AN344" s="2873"/>
      <c r="AO344" s="2874"/>
      <c r="AP344" s="2504">
        <f>IF(C344="","",VLOOKUP(C344,[7]建物1802!$E$5:$AL$3275,$BG$307,FALSE))</f>
        <v>3780</v>
      </c>
      <c r="AQ344" s="2208"/>
      <c r="AR344" s="2208"/>
      <c r="AS344" s="2208"/>
      <c r="AT344" s="2208"/>
      <c r="AU344" s="2208"/>
      <c r="AV344" s="2249"/>
      <c r="AW344" s="2209">
        <f t="shared" si="147"/>
        <v>37800</v>
      </c>
      <c r="AX344" s="2210"/>
      <c r="AY344" s="2210"/>
      <c r="AZ344" s="2210"/>
      <c r="BA344" s="2210"/>
      <c r="BB344" s="2210"/>
      <c r="BC344" s="2210"/>
      <c r="BD344" s="2210"/>
      <c r="BE344" s="2210"/>
      <c r="BF344" s="2211"/>
      <c r="BG344" s="20"/>
      <c r="BH344" s="2486">
        <f>IF(C344="","",VLOOKUP(C344,[7]建物1802!$E$5:$AL$3275,$BG$308,FALSE))</f>
        <v>0.23899999999999999</v>
      </c>
      <c r="BI344" s="2487"/>
      <c r="BJ344" s="2487"/>
      <c r="BK344" s="2487"/>
      <c r="BL344" s="2487"/>
      <c r="BM344" s="2488"/>
      <c r="BN344" s="2257">
        <f t="shared" si="148"/>
        <v>2.3899999999999997</v>
      </c>
      <c r="BO344" s="2258"/>
      <c r="BP344" s="2258"/>
      <c r="BQ344" s="2258"/>
      <c r="BR344" s="2258"/>
      <c r="BS344" s="2258"/>
      <c r="BT344" s="2259"/>
      <c r="BU344" s="19"/>
      <c r="BV344" s="8">
        <v>6</v>
      </c>
    </row>
    <row r="345" spans="2:74" ht="11.25" customHeight="1">
      <c r="B345" s="23"/>
      <c r="C345" s="3568" t="str">
        <f t="shared" si="149"/>
        <v>直列Unit-終端1端子</v>
      </c>
      <c r="D345" s="3569"/>
      <c r="E345" s="3569"/>
      <c r="F345" s="3569"/>
      <c r="G345" s="3569"/>
      <c r="H345" s="3569"/>
      <c r="I345" s="3569"/>
      <c r="J345" s="3569"/>
      <c r="K345" s="3569"/>
      <c r="L345" s="3569"/>
      <c r="M345" s="3569"/>
      <c r="N345" s="3569"/>
      <c r="O345" s="3569"/>
      <c r="P345" s="3569"/>
      <c r="Q345" s="3569"/>
      <c r="R345" s="3569"/>
      <c r="S345" s="3569"/>
      <c r="T345" s="3569"/>
      <c r="U345" s="3569"/>
      <c r="V345" s="3569"/>
      <c r="W345" s="3569"/>
      <c r="X345" s="3570"/>
      <c r="Y345" s="2207">
        <f t="shared" si="150"/>
        <v>330</v>
      </c>
      <c r="Z345" s="2208"/>
      <c r="AA345" s="2208"/>
      <c r="AB345" s="2208"/>
      <c r="AC345" s="2208"/>
      <c r="AD345" s="2249"/>
      <c r="AE345" s="31" t="str">
        <f t="shared" si="146"/>
        <v>▼</v>
      </c>
      <c r="AF345" s="3508"/>
      <c r="AG345" s="3509"/>
      <c r="AH345" s="3509"/>
      <c r="AI345" s="3509"/>
      <c r="AJ345" s="3509"/>
      <c r="AK345" s="3510"/>
      <c r="AL345" s="3251" t="str">
        <f>IF(C345="","",VLOOKUP(C345,[7]建物1802!$E$5:$AL$3275,2,FALSE))</f>
        <v>個</v>
      </c>
      <c r="AM345" s="2873"/>
      <c r="AN345" s="2873"/>
      <c r="AO345" s="2874"/>
      <c r="AP345" s="2504">
        <f>IF(C345="","",VLOOKUP(C345,[7]建物1802!$E$5:$AL$3275,$BG$307,FALSE))</f>
        <v>3720</v>
      </c>
      <c r="AQ345" s="2208"/>
      <c r="AR345" s="2208"/>
      <c r="AS345" s="2208"/>
      <c r="AT345" s="2208"/>
      <c r="AU345" s="2208"/>
      <c r="AV345" s="2249"/>
      <c r="AW345" s="2209">
        <f t="shared" si="147"/>
        <v>1227600</v>
      </c>
      <c r="AX345" s="2210"/>
      <c r="AY345" s="2210"/>
      <c r="AZ345" s="2210"/>
      <c r="BA345" s="2210"/>
      <c r="BB345" s="2210"/>
      <c r="BC345" s="2210"/>
      <c r="BD345" s="2210"/>
      <c r="BE345" s="2210"/>
      <c r="BF345" s="2211"/>
      <c r="BG345" s="20"/>
      <c r="BH345" s="2486">
        <f>IF(C345="","",VLOOKUP(C345,[7]建物1802!$E$5:$AL$3275,$BG$308,FALSE))</f>
        <v>0.13300000000000001</v>
      </c>
      <c r="BI345" s="2487"/>
      <c r="BJ345" s="2487"/>
      <c r="BK345" s="2487"/>
      <c r="BL345" s="2487"/>
      <c r="BM345" s="2488"/>
      <c r="BN345" s="2257">
        <f t="shared" si="148"/>
        <v>43.89</v>
      </c>
      <c r="BO345" s="2258"/>
      <c r="BP345" s="2258"/>
      <c r="BQ345" s="2258"/>
      <c r="BR345" s="2258"/>
      <c r="BS345" s="2258"/>
      <c r="BT345" s="2259"/>
      <c r="BU345" s="19"/>
      <c r="BV345" s="8">
        <v>7</v>
      </c>
    </row>
    <row r="346" spans="2:74" ht="11.25" customHeight="1">
      <c r="B346" s="23"/>
      <c r="C346" s="3568" t="str">
        <f t="shared" si="149"/>
        <v>分配器 6D</v>
      </c>
      <c r="D346" s="3569"/>
      <c r="E346" s="3569"/>
      <c r="F346" s="3569"/>
      <c r="G346" s="3569"/>
      <c r="H346" s="3569"/>
      <c r="I346" s="3569"/>
      <c r="J346" s="3569"/>
      <c r="K346" s="3569"/>
      <c r="L346" s="3569"/>
      <c r="M346" s="3569"/>
      <c r="N346" s="3569"/>
      <c r="O346" s="3569"/>
      <c r="P346" s="3569"/>
      <c r="Q346" s="3569"/>
      <c r="R346" s="3569"/>
      <c r="S346" s="3569"/>
      <c r="T346" s="3569"/>
      <c r="U346" s="3569"/>
      <c r="V346" s="3569"/>
      <c r="W346" s="3569"/>
      <c r="X346" s="3570"/>
      <c r="Y346" s="2207">
        <f t="shared" si="150"/>
        <v>11</v>
      </c>
      <c r="Z346" s="2208"/>
      <c r="AA346" s="2208"/>
      <c r="AB346" s="2208"/>
      <c r="AC346" s="2208"/>
      <c r="AD346" s="2249"/>
      <c r="AE346" s="31" t="str">
        <f t="shared" si="146"/>
        <v>▼</v>
      </c>
      <c r="AF346" s="3508"/>
      <c r="AG346" s="3509"/>
      <c r="AH346" s="3509"/>
      <c r="AI346" s="3509"/>
      <c r="AJ346" s="3509"/>
      <c r="AK346" s="3510"/>
      <c r="AL346" s="3251" t="str">
        <f>IF(C346="","",VLOOKUP(C346,[7]建物1802!$E$5:$AL$3275,2,FALSE))</f>
        <v>個</v>
      </c>
      <c r="AM346" s="2873"/>
      <c r="AN346" s="2873"/>
      <c r="AO346" s="2874"/>
      <c r="AP346" s="2504">
        <f>IF(C346="","",VLOOKUP(C346,[7]建物1802!$E$5:$AL$3275,$BG$307,FALSE))</f>
        <v>5700</v>
      </c>
      <c r="AQ346" s="2208"/>
      <c r="AR346" s="2208"/>
      <c r="AS346" s="2208"/>
      <c r="AT346" s="2208"/>
      <c r="AU346" s="2208"/>
      <c r="AV346" s="2249"/>
      <c r="AW346" s="2209">
        <f t="shared" si="147"/>
        <v>62700</v>
      </c>
      <c r="AX346" s="2210"/>
      <c r="AY346" s="2210"/>
      <c r="AZ346" s="2210"/>
      <c r="BA346" s="2210"/>
      <c r="BB346" s="2210"/>
      <c r="BC346" s="2210"/>
      <c r="BD346" s="2210"/>
      <c r="BE346" s="2210"/>
      <c r="BF346" s="2211"/>
      <c r="BG346" s="20"/>
      <c r="BH346" s="2486">
        <f>IF(C346="","",VLOOKUP(C346,[7]建物1802!$E$5:$AL$3275,$BG$308,FALSE))</f>
        <v>0.29199999999999998</v>
      </c>
      <c r="BI346" s="2487"/>
      <c r="BJ346" s="2487"/>
      <c r="BK346" s="2487"/>
      <c r="BL346" s="2487"/>
      <c r="BM346" s="2488"/>
      <c r="BN346" s="2257">
        <f t="shared" si="148"/>
        <v>3.2119999999999997</v>
      </c>
      <c r="BO346" s="2258"/>
      <c r="BP346" s="2258"/>
      <c r="BQ346" s="2258"/>
      <c r="BR346" s="2258"/>
      <c r="BS346" s="2258"/>
      <c r="BT346" s="2259"/>
      <c r="BU346" s="19"/>
      <c r="BV346" s="8">
        <v>8</v>
      </c>
    </row>
    <row r="347" spans="2:74" ht="11.25" customHeight="1">
      <c r="B347" s="23"/>
      <c r="C347" s="3568" t="str">
        <f t="shared" si="149"/>
        <v>直列Unit-中間1端子</v>
      </c>
      <c r="D347" s="3569"/>
      <c r="E347" s="3569"/>
      <c r="F347" s="3569"/>
      <c r="G347" s="3569"/>
      <c r="H347" s="3569"/>
      <c r="I347" s="3569"/>
      <c r="J347" s="3569"/>
      <c r="K347" s="3569"/>
      <c r="L347" s="3569"/>
      <c r="M347" s="3569"/>
      <c r="N347" s="3569"/>
      <c r="O347" s="3569"/>
      <c r="P347" s="3569"/>
      <c r="Q347" s="3569"/>
      <c r="R347" s="3569"/>
      <c r="S347" s="3569"/>
      <c r="T347" s="3569"/>
      <c r="U347" s="3569"/>
      <c r="V347" s="3569"/>
      <c r="W347" s="3569"/>
      <c r="X347" s="3570"/>
      <c r="Y347" s="2207">
        <f t="shared" si="150"/>
        <v>21</v>
      </c>
      <c r="Z347" s="2208"/>
      <c r="AA347" s="2208"/>
      <c r="AB347" s="2208"/>
      <c r="AC347" s="2208"/>
      <c r="AD347" s="2249"/>
      <c r="AE347" s="31" t="str">
        <f t="shared" si="146"/>
        <v>▼</v>
      </c>
      <c r="AF347" s="3508"/>
      <c r="AG347" s="3509"/>
      <c r="AH347" s="3509"/>
      <c r="AI347" s="3509"/>
      <c r="AJ347" s="3509"/>
      <c r="AK347" s="3510"/>
      <c r="AL347" s="3251" t="str">
        <f>IF(C347="","",VLOOKUP(C347,[7]建物1802!$E$5:$AL$3275,2,FALSE))</f>
        <v>個</v>
      </c>
      <c r="AM347" s="2873"/>
      <c r="AN347" s="2873"/>
      <c r="AO347" s="2874"/>
      <c r="AP347" s="2504">
        <f>IF(C347="","",VLOOKUP(C347,[7]建物1802!$E$5:$AL$3275,$BG$307,FALSE))</f>
        <v>4140</v>
      </c>
      <c r="AQ347" s="2208"/>
      <c r="AR347" s="2208"/>
      <c r="AS347" s="2208"/>
      <c r="AT347" s="2208"/>
      <c r="AU347" s="2208"/>
      <c r="AV347" s="2249"/>
      <c r="AW347" s="2209">
        <f t="shared" si="147"/>
        <v>86940</v>
      </c>
      <c r="AX347" s="2210"/>
      <c r="AY347" s="2210"/>
      <c r="AZ347" s="2210"/>
      <c r="BA347" s="2210"/>
      <c r="BB347" s="2210"/>
      <c r="BC347" s="2210"/>
      <c r="BD347" s="2210"/>
      <c r="BE347" s="2210"/>
      <c r="BF347" s="2211"/>
      <c r="BG347" s="20"/>
      <c r="BH347" s="2486">
        <f>IF(C347="","",VLOOKUP(C347,[7]建物1802!$E$5:$AL$3275,$BG$308,FALSE))</f>
        <v>0.15</v>
      </c>
      <c r="BI347" s="2487"/>
      <c r="BJ347" s="2487"/>
      <c r="BK347" s="2487"/>
      <c r="BL347" s="2487"/>
      <c r="BM347" s="2488"/>
      <c r="BN347" s="2257">
        <f t="shared" si="148"/>
        <v>3.15</v>
      </c>
      <c r="BO347" s="2258"/>
      <c r="BP347" s="2258"/>
      <c r="BQ347" s="2258"/>
      <c r="BR347" s="2258"/>
      <c r="BS347" s="2258"/>
      <c r="BT347" s="2259"/>
      <c r="BU347" s="19"/>
      <c r="BV347" s="8">
        <v>9</v>
      </c>
    </row>
    <row r="348" spans="2:74" ht="11.25" customHeight="1">
      <c r="B348" s="23"/>
      <c r="C348" s="3568" t="str">
        <f t="shared" si="149"/>
        <v>分配器 2D</v>
      </c>
      <c r="D348" s="3569"/>
      <c r="E348" s="3569"/>
      <c r="F348" s="3569"/>
      <c r="G348" s="3569"/>
      <c r="H348" s="3569"/>
      <c r="I348" s="3569"/>
      <c r="J348" s="3569"/>
      <c r="K348" s="3569"/>
      <c r="L348" s="3569"/>
      <c r="M348" s="3569"/>
      <c r="N348" s="3569"/>
      <c r="O348" s="3569"/>
      <c r="P348" s="3569"/>
      <c r="Q348" s="3569"/>
      <c r="R348" s="3569"/>
      <c r="S348" s="3569"/>
      <c r="T348" s="3569"/>
      <c r="U348" s="3569"/>
      <c r="V348" s="3569"/>
      <c r="W348" s="3569"/>
      <c r="X348" s="3570"/>
      <c r="Y348" s="2207">
        <f t="shared" si="150"/>
        <v>15</v>
      </c>
      <c r="Z348" s="2208"/>
      <c r="AA348" s="2208"/>
      <c r="AB348" s="2208"/>
      <c r="AC348" s="2208"/>
      <c r="AD348" s="2249"/>
      <c r="AE348" s="31" t="str">
        <f t="shared" si="146"/>
        <v>▼</v>
      </c>
      <c r="AF348" s="3508"/>
      <c r="AG348" s="3509"/>
      <c r="AH348" s="3509"/>
      <c r="AI348" s="3509"/>
      <c r="AJ348" s="3509"/>
      <c r="AK348" s="3510"/>
      <c r="AL348" s="3251" t="str">
        <f>IF(C348="","",VLOOKUP(C348,[7]建物1802!$E$5:$AL$3275,2,FALSE))</f>
        <v>個</v>
      </c>
      <c r="AM348" s="2873"/>
      <c r="AN348" s="2873"/>
      <c r="AO348" s="2874"/>
      <c r="AP348" s="2504">
        <f>IF(C348="","",VLOOKUP(C348,[7]建物1802!$E$5:$AL$3275,$BG$307,FALSE))</f>
        <v>2760</v>
      </c>
      <c r="AQ348" s="2208"/>
      <c r="AR348" s="2208"/>
      <c r="AS348" s="2208"/>
      <c r="AT348" s="2208"/>
      <c r="AU348" s="2208"/>
      <c r="AV348" s="2249"/>
      <c r="AW348" s="2209">
        <f t="shared" si="147"/>
        <v>41400</v>
      </c>
      <c r="AX348" s="2210"/>
      <c r="AY348" s="2210"/>
      <c r="AZ348" s="2210"/>
      <c r="BA348" s="2210"/>
      <c r="BB348" s="2210"/>
      <c r="BC348" s="2210"/>
      <c r="BD348" s="2210"/>
      <c r="BE348" s="2210"/>
      <c r="BF348" s="2211"/>
      <c r="BG348" s="20"/>
      <c r="BH348" s="2486">
        <f>IF(C348="","",VLOOKUP(C348,[7]建物1802!$E$5:$AL$3275,$BG$308,FALSE))</f>
        <v>0.186</v>
      </c>
      <c r="BI348" s="2487"/>
      <c r="BJ348" s="2487"/>
      <c r="BK348" s="2487"/>
      <c r="BL348" s="2487"/>
      <c r="BM348" s="2488"/>
      <c r="BN348" s="2257">
        <f t="shared" si="148"/>
        <v>2.79</v>
      </c>
      <c r="BO348" s="2258"/>
      <c r="BP348" s="2258"/>
      <c r="BQ348" s="2258"/>
      <c r="BR348" s="2258"/>
      <c r="BS348" s="2258"/>
      <c r="BT348" s="2259"/>
      <c r="BU348" s="19"/>
      <c r="BV348" s="8">
        <v>10</v>
      </c>
    </row>
    <row r="349" spans="2:74" ht="11.25" customHeight="1">
      <c r="B349" s="23"/>
      <c r="C349" s="3568" t="str">
        <f t="shared" si="149"/>
        <v/>
      </c>
      <c r="D349" s="3569"/>
      <c r="E349" s="3569"/>
      <c r="F349" s="3569"/>
      <c r="G349" s="3569"/>
      <c r="H349" s="3569"/>
      <c r="I349" s="3569"/>
      <c r="J349" s="3569"/>
      <c r="K349" s="3569"/>
      <c r="L349" s="3569"/>
      <c r="M349" s="3569"/>
      <c r="N349" s="3569"/>
      <c r="O349" s="3569"/>
      <c r="P349" s="3569"/>
      <c r="Q349" s="3569"/>
      <c r="R349" s="3569"/>
      <c r="S349" s="3569"/>
      <c r="T349" s="3569"/>
      <c r="U349" s="3569"/>
      <c r="V349" s="3569"/>
      <c r="W349" s="3569"/>
      <c r="X349" s="3570"/>
      <c r="Y349" s="2207" t="str">
        <f t="shared" si="150"/>
        <v/>
      </c>
      <c r="Z349" s="2208"/>
      <c r="AA349" s="2208"/>
      <c r="AB349" s="2208"/>
      <c r="AC349" s="2208"/>
      <c r="AD349" s="2249"/>
      <c r="AE349" s="31" t="str">
        <f t="shared" si="146"/>
        <v/>
      </c>
      <c r="AF349" s="3508"/>
      <c r="AG349" s="3509"/>
      <c r="AH349" s="3509"/>
      <c r="AI349" s="3509"/>
      <c r="AJ349" s="3509"/>
      <c r="AK349" s="3510"/>
      <c r="AL349" s="3251" t="str">
        <f>IF(C349="","",VLOOKUP(C349,[7]建物1802!$E$5:$AL$3275,2,FALSE))</f>
        <v/>
      </c>
      <c r="AM349" s="2873"/>
      <c r="AN349" s="2873"/>
      <c r="AO349" s="2874"/>
      <c r="AP349" s="2504" t="str">
        <f>IF(C349="","",VLOOKUP(C349,[7]建物1802!$E$5:$AL$3275,$BG$307,FALSE))</f>
        <v/>
      </c>
      <c r="AQ349" s="2208"/>
      <c r="AR349" s="2208"/>
      <c r="AS349" s="2208"/>
      <c r="AT349" s="2208"/>
      <c r="AU349" s="2208"/>
      <c r="AV349" s="2249"/>
      <c r="AW349" s="2209" t="str">
        <f t="shared" si="147"/>
        <v/>
      </c>
      <c r="AX349" s="2210"/>
      <c r="AY349" s="2210"/>
      <c r="AZ349" s="2210"/>
      <c r="BA349" s="2210"/>
      <c r="BB349" s="2210"/>
      <c r="BC349" s="2210"/>
      <c r="BD349" s="2210"/>
      <c r="BE349" s="2210"/>
      <c r="BF349" s="2211"/>
      <c r="BG349" s="20"/>
      <c r="BH349" s="2486" t="str">
        <f>IF(C349="","",VLOOKUP(C349,[7]建物1802!$E$5:$AL$3275,$BG$308,FALSE))</f>
        <v/>
      </c>
      <c r="BI349" s="2487"/>
      <c r="BJ349" s="2487"/>
      <c r="BK349" s="2487"/>
      <c r="BL349" s="2487"/>
      <c r="BM349" s="2488"/>
      <c r="BN349" s="2257" t="str">
        <f t="shared" si="148"/>
        <v/>
      </c>
      <c r="BO349" s="2258"/>
      <c r="BP349" s="2258"/>
      <c r="BQ349" s="2258"/>
      <c r="BR349" s="2258"/>
      <c r="BS349" s="2258"/>
      <c r="BT349" s="2259"/>
      <c r="BU349" s="19"/>
      <c r="BV349" s="8">
        <v>11</v>
      </c>
    </row>
    <row r="350" spans="2:74" ht="11.25" customHeight="1">
      <c r="B350" s="23"/>
      <c r="C350" s="3568" t="str">
        <f t="shared" si="149"/>
        <v/>
      </c>
      <c r="D350" s="3569"/>
      <c r="E350" s="3569"/>
      <c r="F350" s="3569"/>
      <c r="G350" s="3569"/>
      <c r="H350" s="3569"/>
      <c r="I350" s="3569"/>
      <c r="J350" s="3569"/>
      <c r="K350" s="3569"/>
      <c r="L350" s="3569"/>
      <c r="M350" s="3569"/>
      <c r="N350" s="3569"/>
      <c r="O350" s="3569"/>
      <c r="P350" s="3569"/>
      <c r="Q350" s="3569"/>
      <c r="R350" s="3569"/>
      <c r="S350" s="3569"/>
      <c r="T350" s="3569"/>
      <c r="U350" s="3569"/>
      <c r="V350" s="3569"/>
      <c r="W350" s="3569"/>
      <c r="X350" s="3570"/>
      <c r="Y350" s="2207" t="str">
        <f t="shared" si="150"/>
        <v/>
      </c>
      <c r="Z350" s="2208"/>
      <c r="AA350" s="2208"/>
      <c r="AB350" s="2208"/>
      <c r="AC350" s="2208"/>
      <c r="AD350" s="2249"/>
      <c r="AE350" s="31" t="str">
        <f t="shared" si="146"/>
        <v/>
      </c>
      <c r="AF350" s="3508"/>
      <c r="AG350" s="3509"/>
      <c r="AH350" s="3509"/>
      <c r="AI350" s="3509"/>
      <c r="AJ350" s="3509"/>
      <c r="AK350" s="3510"/>
      <c r="AL350" s="3251" t="str">
        <f>IF(C350="","",VLOOKUP(C350,[7]建物1802!$E$5:$AL$3275,2,FALSE))</f>
        <v/>
      </c>
      <c r="AM350" s="2873"/>
      <c r="AN350" s="2873"/>
      <c r="AO350" s="2874"/>
      <c r="AP350" s="2504" t="str">
        <f>IF(C350="","",VLOOKUP(C350,[7]建物1802!$E$5:$AL$3275,$BG$307,FALSE))</f>
        <v/>
      </c>
      <c r="AQ350" s="2208"/>
      <c r="AR350" s="2208"/>
      <c r="AS350" s="2208"/>
      <c r="AT350" s="2208"/>
      <c r="AU350" s="2208"/>
      <c r="AV350" s="2249"/>
      <c r="AW350" s="2209" t="str">
        <f t="shared" si="147"/>
        <v/>
      </c>
      <c r="AX350" s="2210"/>
      <c r="AY350" s="2210"/>
      <c r="AZ350" s="2210"/>
      <c r="BA350" s="2210"/>
      <c r="BB350" s="2210"/>
      <c r="BC350" s="2210"/>
      <c r="BD350" s="2210"/>
      <c r="BE350" s="2210"/>
      <c r="BF350" s="2211"/>
      <c r="BG350" s="20"/>
      <c r="BH350" s="2486" t="str">
        <f>IF(C350="","",VLOOKUP(C350,[7]建物1802!$E$5:$AL$3275,$BG$308,FALSE))</f>
        <v/>
      </c>
      <c r="BI350" s="2487"/>
      <c r="BJ350" s="2487"/>
      <c r="BK350" s="2487"/>
      <c r="BL350" s="2487"/>
      <c r="BM350" s="2488"/>
      <c r="BN350" s="2257" t="str">
        <f t="shared" si="148"/>
        <v/>
      </c>
      <c r="BO350" s="2258"/>
      <c r="BP350" s="2258"/>
      <c r="BQ350" s="2258"/>
      <c r="BR350" s="2258"/>
      <c r="BS350" s="2258"/>
      <c r="BT350" s="2259"/>
      <c r="BU350" s="19"/>
      <c r="BV350" s="8">
        <v>12</v>
      </c>
    </row>
    <row r="351" spans="2:74" ht="11.25" customHeight="1">
      <c r="B351" s="23"/>
      <c r="C351" s="3568" t="str">
        <f t="shared" si="149"/>
        <v/>
      </c>
      <c r="D351" s="3569"/>
      <c r="E351" s="3569"/>
      <c r="F351" s="3569"/>
      <c r="G351" s="3569"/>
      <c r="H351" s="3569"/>
      <c r="I351" s="3569"/>
      <c r="J351" s="3569"/>
      <c r="K351" s="3569"/>
      <c r="L351" s="3569"/>
      <c r="M351" s="3569"/>
      <c r="N351" s="3569"/>
      <c r="O351" s="3569"/>
      <c r="P351" s="3569"/>
      <c r="Q351" s="3569"/>
      <c r="R351" s="3569"/>
      <c r="S351" s="3569"/>
      <c r="T351" s="3569"/>
      <c r="U351" s="3569"/>
      <c r="V351" s="3569"/>
      <c r="W351" s="3569"/>
      <c r="X351" s="3570"/>
      <c r="Y351" s="2207" t="str">
        <f t="shared" si="150"/>
        <v/>
      </c>
      <c r="Z351" s="2208"/>
      <c r="AA351" s="2208"/>
      <c r="AB351" s="2208"/>
      <c r="AC351" s="2208"/>
      <c r="AD351" s="2249"/>
      <c r="AE351" s="31" t="str">
        <f t="shared" si="146"/>
        <v/>
      </c>
      <c r="AF351" s="3508"/>
      <c r="AG351" s="3509"/>
      <c r="AH351" s="3509"/>
      <c r="AI351" s="3509"/>
      <c r="AJ351" s="3509"/>
      <c r="AK351" s="3510"/>
      <c r="AL351" s="3251" t="str">
        <f>IF(C351="","",VLOOKUP(C351,[7]建物1802!$E$5:$AL$3275,2,FALSE))</f>
        <v/>
      </c>
      <c r="AM351" s="2873"/>
      <c r="AN351" s="2873"/>
      <c r="AO351" s="2874"/>
      <c r="AP351" s="2504" t="str">
        <f>IF(C351="","",VLOOKUP(C351,[7]建物1802!$E$5:$AL$3275,$BG$307,FALSE))</f>
        <v/>
      </c>
      <c r="AQ351" s="2208"/>
      <c r="AR351" s="2208"/>
      <c r="AS351" s="2208"/>
      <c r="AT351" s="2208"/>
      <c r="AU351" s="2208"/>
      <c r="AV351" s="2249"/>
      <c r="AW351" s="2209" t="str">
        <f t="shared" si="147"/>
        <v/>
      </c>
      <c r="AX351" s="2210"/>
      <c r="AY351" s="2210"/>
      <c r="AZ351" s="2210"/>
      <c r="BA351" s="2210"/>
      <c r="BB351" s="2210"/>
      <c r="BC351" s="2210"/>
      <c r="BD351" s="2210"/>
      <c r="BE351" s="2210"/>
      <c r="BF351" s="2211"/>
      <c r="BG351" s="20"/>
      <c r="BH351" s="2486" t="str">
        <f>IF(C351="","",VLOOKUP(C351,[7]建物1802!$E$5:$AL$3275,$BG$308,FALSE))</f>
        <v/>
      </c>
      <c r="BI351" s="2487"/>
      <c r="BJ351" s="2487"/>
      <c r="BK351" s="2487"/>
      <c r="BL351" s="2487"/>
      <c r="BM351" s="2488"/>
      <c r="BN351" s="2257" t="str">
        <f t="shared" si="148"/>
        <v/>
      </c>
      <c r="BO351" s="2258"/>
      <c r="BP351" s="2258"/>
      <c r="BQ351" s="2258"/>
      <c r="BR351" s="2258"/>
      <c r="BS351" s="2258"/>
      <c r="BT351" s="2259"/>
      <c r="BU351" s="19"/>
      <c r="BV351" s="8">
        <v>13</v>
      </c>
    </row>
    <row r="352" spans="2:74" ht="11.25" customHeight="1">
      <c r="B352" s="23"/>
      <c r="C352" s="3568" t="str">
        <f t="shared" si="149"/>
        <v/>
      </c>
      <c r="D352" s="3569"/>
      <c r="E352" s="3569"/>
      <c r="F352" s="3569"/>
      <c r="G352" s="3569"/>
      <c r="H352" s="3569"/>
      <c r="I352" s="3569"/>
      <c r="J352" s="3569"/>
      <c r="K352" s="3569"/>
      <c r="L352" s="3569"/>
      <c r="M352" s="3569"/>
      <c r="N352" s="3569"/>
      <c r="O352" s="3569"/>
      <c r="P352" s="3569"/>
      <c r="Q352" s="3569"/>
      <c r="R352" s="3569"/>
      <c r="S352" s="3569"/>
      <c r="T352" s="3569"/>
      <c r="U352" s="3569"/>
      <c r="V352" s="3569"/>
      <c r="W352" s="3569"/>
      <c r="X352" s="3570"/>
      <c r="Y352" s="2207" t="str">
        <f t="shared" si="150"/>
        <v/>
      </c>
      <c r="Z352" s="2208"/>
      <c r="AA352" s="2208"/>
      <c r="AB352" s="2208"/>
      <c r="AC352" s="2208"/>
      <c r="AD352" s="2249"/>
      <c r="AE352" s="31" t="str">
        <f t="shared" si="146"/>
        <v/>
      </c>
      <c r="AF352" s="3508"/>
      <c r="AG352" s="3509"/>
      <c r="AH352" s="3509"/>
      <c r="AI352" s="3509"/>
      <c r="AJ352" s="3509"/>
      <c r="AK352" s="3510"/>
      <c r="AL352" s="3251" t="str">
        <f>IF(C352="","",VLOOKUP(C352,[7]建物1802!$E$5:$AL$3275,2,FALSE))</f>
        <v/>
      </c>
      <c r="AM352" s="2873"/>
      <c r="AN352" s="2873"/>
      <c r="AO352" s="2874"/>
      <c r="AP352" s="2504" t="str">
        <f>IF(C352="","",VLOOKUP(C352,[7]建物1802!$E$5:$AL$3275,$BG$307,FALSE))</f>
        <v/>
      </c>
      <c r="AQ352" s="2208"/>
      <c r="AR352" s="2208"/>
      <c r="AS352" s="2208"/>
      <c r="AT352" s="2208"/>
      <c r="AU352" s="2208"/>
      <c r="AV352" s="2249"/>
      <c r="AW352" s="2209" t="str">
        <f t="shared" si="147"/>
        <v/>
      </c>
      <c r="AX352" s="2210"/>
      <c r="AY352" s="2210"/>
      <c r="AZ352" s="2210"/>
      <c r="BA352" s="2210"/>
      <c r="BB352" s="2210"/>
      <c r="BC352" s="2210"/>
      <c r="BD352" s="2210"/>
      <c r="BE352" s="2210"/>
      <c r="BF352" s="2211"/>
      <c r="BG352" s="20"/>
      <c r="BH352" s="2486" t="str">
        <f>IF(C352="","",VLOOKUP(C352,[7]建物1802!$E$5:$AL$3275,$BG$308,FALSE))</f>
        <v/>
      </c>
      <c r="BI352" s="2487"/>
      <c r="BJ352" s="2487"/>
      <c r="BK352" s="2487"/>
      <c r="BL352" s="2487"/>
      <c r="BM352" s="2488"/>
      <c r="BN352" s="2257" t="str">
        <f t="shared" si="148"/>
        <v/>
      </c>
      <c r="BO352" s="2258"/>
      <c r="BP352" s="2258"/>
      <c r="BQ352" s="2258"/>
      <c r="BR352" s="2258"/>
      <c r="BS352" s="2258"/>
      <c r="BT352" s="2259"/>
      <c r="BU352" s="19"/>
      <c r="BV352" s="8">
        <v>14</v>
      </c>
    </row>
    <row r="353" spans="2:74" ht="11.25" customHeight="1">
      <c r="B353" s="23"/>
      <c r="C353" s="3568" t="str">
        <f t="shared" si="149"/>
        <v/>
      </c>
      <c r="D353" s="3569"/>
      <c r="E353" s="3569"/>
      <c r="F353" s="3569"/>
      <c r="G353" s="3569"/>
      <c r="H353" s="3569"/>
      <c r="I353" s="3569"/>
      <c r="J353" s="3569"/>
      <c r="K353" s="3569"/>
      <c r="L353" s="3569"/>
      <c r="M353" s="3569"/>
      <c r="N353" s="3569"/>
      <c r="O353" s="3569"/>
      <c r="P353" s="3569"/>
      <c r="Q353" s="3569"/>
      <c r="R353" s="3569"/>
      <c r="S353" s="3569"/>
      <c r="T353" s="3569"/>
      <c r="U353" s="3569"/>
      <c r="V353" s="3569"/>
      <c r="W353" s="3569"/>
      <c r="X353" s="3570"/>
      <c r="Y353" s="2207" t="str">
        <f t="shared" si="150"/>
        <v/>
      </c>
      <c r="Z353" s="2208"/>
      <c r="AA353" s="2208"/>
      <c r="AB353" s="2208"/>
      <c r="AC353" s="2208"/>
      <c r="AD353" s="2249"/>
      <c r="AE353" s="31" t="str">
        <f t="shared" si="146"/>
        <v/>
      </c>
      <c r="AF353" s="3508"/>
      <c r="AG353" s="3509"/>
      <c r="AH353" s="3509"/>
      <c r="AI353" s="3509"/>
      <c r="AJ353" s="3509"/>
      <c r="AK353" s="3510"/>
      <c r="AL353" s="3251" t="str">
        <f>IF(C353="","",VLOOKUP(C353,[7]建物1802!$E$5:$AL$3275,2,FALSE))</f>
        <v/>
      </c>
      <c r="AM353" s="2873"/>
      <c r="AN353" s="2873"/>
      <c r="AO353" s="2874"/>
      <c r="AP353" s="2504" t="str">
        <f>IF(C353="","",VLOOKUP(C353,[7]建物1802!$E$5:$AL$3275,$BG$307,FALSE))</f>
        <v/>
      </c>
      <c r="AQ353" s="2208"/>
      <c r="AR353" s="2208"/>
      <c r="AS353" s="2208"/>
      <c r="AT353" s="2208"/>
      <c r="AU353" s="2208"/>
      <c r="AV353" s="2249"/>
      <c r="AW353" s="2209" t="str">
        <f t="shared" si="147"/>
        <v/>
      </c>
      <c r="AX353" s="2210"/>
      <c r="AY353" s="2210"/>
      <c r="AZ353" s="2210"/>
      <c r="BA353" s="2210"/>
      <c r="BB353" s="2210"/>
      <c r="BC353" s="2210"/>
      <c r="BD353" s="2210"/>
      <c r="BE353" s="2210"/>
      <c r="BF353" s="2211"/>
      <c r="BG353" s="20"/>
      <c r="BH353" s="2486" t="str">
        <f>IF(C353="","",VLOOKUP(C353,[7]建物1802!$E$5:$AL$3275,$BG$308,FALSE))</f>
        <v/>
      </c>
      <c r="BI353" s="2487"/>
      <c r="BJ353" s="2487"/>
      <c r="BK353" s="2487"/>
      <c r="BL353" s="2487"/>
      <c r="BM353" s="2488"/>
      <c r="BN353" s="2257" t="str">
        <f t="shared" si="148"/>
        <v/>
      </c>
      <c r="BO353" s="2258"/>
      <c r="BP353" s="2258"/>
      <c r="BQ353" s="2258"/>
      <c r="BR353" s="2258"/>
      <c r="BS353" s="2258"/>
      <c r="BT353" s="2259"/>
      <c r="BU353" s="19"/>
      <c r="BV353" s="8">
        <v>15</v>
      </c>
    </row>
    <row r="354" spans="2:74" ht="11.25" customHeight="1">
      <c r="B354" s="23"/>
      <c r="C354" s="3568" t="str">
        <f t="shared" si="149"/>
        <v/>
      </c>
      <c r="D354" s="3569"/>
      <c r="E354" s="3569"/>
      <c r="F354" s="3569"/>
      <c r="G354" s="3569"/>
      <c r="H354" s="3569"/>
      <c r="I354" s="3569"/>
      <c r="J354" s="3569"/>
      <c r="K354" s="3569"/>
      <c r="L354" s="3569"/>
      <c r="M354" s="3569"/>
      <c r="N354" s="3569"/>
      <c r="O354" s="3569"/>
      <c r="P354" s="3569"/>
      <c r="Q354" s="3569"/>
      <c r="R354" s="3569"/>
      <c r="S354" s="3569"/>
      <c r="T354" s="3569"/>
      <c r="U354" s="3569"/>
      <c r="V354" s="3569"/>
      <c r="W354" s="3569"/>
      <c r="X354" s="3570"/>
      <c r="Y354" s="2207" t="str">
        <f t="shared" si="150"/>
        <v/>
      </c>
      <c r="Z354" s="2208"/>
      <c r="AA354" s="2208"/>
      <c r="AB354" s="2208"/>
      <c r="AC354" s="2208"/>
      <c r="AD354" s="2249"/>
      <c r="AE354" s="31" t="str">
        <f t="shared" si="146"/>
        <v/>
      </c>
      <c r="AF354" s="3508"/>
      <c r="AG354" s="3509"/>
      <c r="AH354" s="3509"/>
      <c r="AI354" s="3509"/>
      <c r="AJ354" s="3509"/>
      <c r="AK354" s="3510"/>
      <c r="AL354" s="3251" t="str">
        <f>IF(C354="","",VLOOKUP(C354,[7]建物1802!$E$5:$AL$3275,2,FALSE))</f>
        <v/>
      </c>
      <c r="AM354" s="2873"/>
      <c r="AN354" s="2873"/>
      <c r="AO354" s="2874"/>
      <c r="AP354" s="2504" t="str">
        <f>IF(C354="","",VLOOKUP(C354,[7]建物1802!$E$5:$AL$3275,$BG$307,FALSE))</f>
        <v/>
      </c>
      <c r="AQ354" s="2208"/>
      <c r="AR354" s="2208"/>
      <c r="AS354" s="2208"/>
      <c r="AT354" s="2208"/>
      <c r="AU354" s="2208"/>
      <c r="AV354" s="2249"/>
      <c r="AW354" s="2209" t="str">
        <f t="shared" si="147"/>
        <v/>
      </c>
      <c r="AX354" s="2210"/>
      <c r="AY354" s="2210"/>
      <c r="AZ354" s="2210"/>
      <c r="BA354" s="2210"/>
      <c r="BB354" s="2210"/>
      <c r="BC354" s="2210"/>
      <c r="BD354" s="2210"/>
      <c r="BE354" s="2210"/>
      <c r="BF354" s="2211"/>
      <c r="BG354" s="20"/>
      <c r="BH354" s="2486" t="str">
        <f>IF(C354="","",VLOOKUP(C354,[7]建物1802!$E$5:$AL$3275,$BG$308,FALSE))</f>
        <v/>
      </c>
      <c r="BI354" s="2487"/>
      <c r="BJ354" s="2487"/>
      <c r="BK354" s="2487"/>
      <c r="BL354" s="2487"/>
      <c r="BM354" s="2488"/>
      <c r="BN354" s="2257" t="str">
        <f t="shared" si="148"/>
        <v/>
      </c>
      <c r="BO354" s="2258"/>
      <c r="BP354" s="2258"/>
      <c r="BQ354" s="2258"/>
      <c r="BR354" s="2258"/>
      <c r="BS354" s="2258"/>
      <c r="BT354" s="2259"/>
      <c r="BU354" s="19"/>
      <c r="BV354" s="8">
        <v>16</v>
      </c>
    </row>
    <row r="355" spans="2:74" ht="11.25" customHeight="1">
      <c r="B355" s="23"/>
      <c r="C355" s="3568" t="str">
        <f t="shared" si="149"/>
        <v/>
      </c>
      <c r="D355" s="3569"/>
      <c r="E355" s="3569"/>
      <c r="F355" s="3569"/>
      <c r="G355" s="3569"/>
      <c r="H355" s="3569"/>
      <c r="I355" s="3569"/>
      <c r="J355" s="3569"/>
      <c r="K355" s="3569"/>
      <c r="L355" s="3569"/>
      <c r="M355" s="3569"/>
      <c r="N355" s="3569"/>
      <c r="O355" s="3569"/>
      <c r="P355" s="3569"/>
      <c r="Q355" s="3569"/>
      <c r="R355" s="3569"/>
      <c r="S355" s="3569"/>
      <c r="T355" s="3569"/>
      <c r="U355" s="3569"/>
      <c r="V355" s="3569"/>
      <c r="W355" s="3569"/>
      <c r="X355" s="3570"/>
      <c r="Y355" s="2207" t="str">
        <f t="shared" si="150"/>
        <v/>
      </c>
      <c r="Z355" s="2208"/>
      <c r="AA355" s="2208"/>
      <c r="AB355" s="2208"/>
      <c r="AC355" s="2208"/>
      <c r="AD355" s="2249"/>
      <c r="AE355" s="31" t="str">
        <f t="shared" si="146"/>
        <v/>
      </c>
      <c r="AF355" s="3508"/>
      <c r="AG355" s="3509"/>
      <c r="AH355" s="3509"/>
      <c r="AI355" s="3509"/>
      <c r="AJ355" s="3509"/>
      <c r="AK355" s="3510"/>
      <c r="AL355" s="3251" t="str">
        <f>IF(C355="","",VLOOKUP(C355,[7]建物1802!$E$5:$AL$3275,2,FALSE))</f>
        <v/>
      </c>
      <c r="AM355" s="2873"/>
      <c r="AN355" s="2873"/>
      <c r="AO355" s="2874"/>
      <c r="AP355" s="2504" t="str">
        <f>IF(C355="","",VLOOKUP(C355,[7]建物1802!$E$5:$AL$3275,$BG$307,FALSE))</f>
        <v/>
      </c>
      <c r="AQ355" s="2208"/>
      <c r="AR355" s="2208"/>
      <c r="AS355" s="2208"/>
      <c r="AT355" s="2208"/>
      <c r="AU355" s="2208"/>
      <c r="AV355" s="2249"/>
      <c r="AW355" s="2209" t="str">
        <f t="shared" si="147"/>
        <v/>
      </c>
      <c r="AX355" s="2210"/>
      <c r="AY355" s="2210"/>
      <c r="AZ355" s="2210"/>
      <c r="BA355" s="2210"/>
      <c r="BB355" s="2210"/>
      <c r="BC355" s="2210"/>
      <c r="BD355" s="2210"/>
      <c r="BE355" s="2210"/>
      <c r="BF355" s="2211"/>
      <c r="BG355" s="20"/>
      <c r="BH355" s="2486" t="str">
        <f>IF(C355="","",VLOOKUP(C355,[7]建物1802!$E$5:$AL$3275,$BG$308,FALSE))</f>
        <v/>
      </c>
      <c r="BI355" s="2487"/>
      <c r="BJ355" s="2487"/>
      <c r="BK355" s="2487"/>
      <c r="BL355" s="2487"/>
      <c r="BM355" s="2488"/>
      <c r="BN355" s="2257" t="str">
        <f t="shared" si="148"/>
        <v/>
      </c>
      <c r="BO355" s="2258"/>
      <c r="BP355" s="2258"/>
      <c r="BQ355" s="2258"/>
      <c r="BR355" s="2258"/>
      <c r="BS355" s="2258"/>
      <c r="BT355" s="2259"/>
      <c r="BU355" s="19"/>
      <c r="BV355" s="8">
        <v>17</v>
      </c>
    </row>
    <row r="356" spans="2:74" ht="11.25" customHeight="1">
      <c r="B356" s="23"/>
      <c r="C356" s="3568" t="str">
        <f t="shared" si="149"/>
        <v/>
      </c>
      <c r="D356" s="3569"/>
      <c r="E356" s="3569"/>
      <c r="F356" s="3569"/>
      <c r="G356" s="3569"/>
      <c r="H356" s="3569"/>
      <c r="I356" s="3569"/>
      <c r="J356" s="3569"/>
      <c r="K356" s="3569"/>
      <c r="L356" s="3569"/>
      <c r="M356" s="3569"/>
      <c r="N356" s="3569"/>
      <c r="O356" s="3569"/>
      <c r="P356" s="3569"/>
      <c r="Q356" s="3569"/>
      <c r="R356" s="3569"/>
      <c r="S356" s="3569"/>
      <c r="T356" s="3569"/>
      <c r="U356" s="3569"/>
      <c r="V356" s="3569"/>
      <c r="W356" s="3569"/>
      <c r="X356" s="3570"/>
      <c r="Y356" s="2207" t="str">
        <f t="shared" si="150"/>
        <v/>
      </c>
      <c r="Z356" s="2208"/>
      <c r="AA356" s="2208"/>
      <c r="AB356" s="2208"/>
      <c r="AC356" s="2208"/>
      <c r="AD356" s="2249"/>
      <c r="AE356" s="31" t="str">
        <f t="shared" si="146"/>
        <v/>
      </c>
      <c r="AF356" s="3508"/>
      <c r="AG356" s="3509"/>
      <c r="AH356" s="3509"/>
      <c r="AI356" s="3509"/>
      <c r="AJ356" s="3509"/>
      <c r="AK356" s="3510"/>
      <c r="AL356" s="3251" t="str">
        <f>IF(C356="","",VLOOKUP(C356,[7]建物1802!$E$5:$AL$3275,2,FALSE))</f>
        <v/>
      </c>
      <c r="AM356" s="2873"/>
      <c r="AN356" s="2873"/>
      <c r="AO356" s="2874"/>
      <c r="AP356" s="2504" t="str">
        <f>IF(C356="","",VLOOKUP(C356,[7]建物1802!$E$5:$AL$3275,$BG$307,FALSE))</f>
        <v/>
      </c>
      <c r="AQ356" s="2208"/>
      <c r="AR356" s="2208"/>
      <c r="AS356" s="2208"/>
      <c r="AT356" s="2208"/>
      <c r="AU356" s="2208"/>
      <c r="AV356" s="2249"/>
      <c r="AW356" s="2209" t="str">
        <f t="shared" si="147"/>
        <v/>
      </c>
      <c r="AX356" s="2210"/>
      <c r="AY356" s="2210"/>
      <c r="AZ356" s="2210"/>
      <c r="BA356" s="2210"/>
      <c r="BB356" s="2210"/>
      <c r="BC356" s="2210"/>
      <c r="BD356" s="2210"/>
      <c r="BE356" s="2210"/>
      <c r="BF356" s="2211"/>
      <c r="BG356" s="20"/>
      <c r="BH356" s="2486" t="str">
        <f>IF(C356="","",VLOOKUP(C356,[7]建物1802!$E$5:$AL$3275,$BG$308,FALSE))</f>
        <v/>
      </c>
      <c r="BI356" s="2487"/>
      <c r="BJ356" s="2487"/>
      <c r="BK356" s="2487"/>
      <c r="BL356" s="2487"/>
      <c r="BM356" s="2488"/>
      <c r="BN356" s="2257" t="str">
        <f t="shared" si="148"/>
        <v/>
      </c>
      <c r="BO356" s="2258"/>
      <c r="BP356" s="2258"/>
      <c r="BQ356" s="2258"/>
      <c r="BR356" s="2258"/>
      <c r="BS356" s="2258"/>
      <c r="BT356" s="2259"/>
      <c r="BU356" s="19"/>
      <c r="BV356" s="8">
        <v>18</v>
      </c>
    </row>
    <row r="357" spans="2:74" ht="11.25" customHeight="1">
      <c r="B357" s="23"/>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762">
        <f>IF(SUM(AW327:BF356)=0,"",SUM(AW327:BF356))</f>
        <v>2189405.832737139</v>
      </c>
      <c r="AX357" s="2763"/>
      <c r="AY357" s="2763"/>
      <c r="AZ357" s="2763"/>
      <c r="BA357" s="2763"/>
      <c r="BB357" s="2763"/>
      <c r="BC357" s="2763"/>
      <c r="BD357" s="2763"/>
      <c r="BE357" s="2763"/>
      <c r="BF357" s="2764"/>
      <c r="BG357" s="20"/>
      <c r="BH357" s="20"/>
      <c r="BI357" s="20"/>
      <c r="BJ357" s="20"/>
      <c r="BK357" s="20"/>
      <c r="BL357" s="20"/>
      <c r="BM357" s="20"/>
      <c r="BN357" s="2768">
        <f>IF(SUM(BN327:BT356)=0,"",SUM(BN327:BT356))</f>
        <v>315.87419217689404</v>
      </c>
      <c r="BO357" s="2769"/>
      <c r="BP357" s="2769"/>
      <c r="BQ357" s="2769"/>
      <c r="BR357" s="2769"/>
      <c r="BS357" s="2769"/>
      <c r="BT357" s="2770"/>
      <c r="BU357" s="19"/>
    </row>
    <row r="358" spans="2:74" ht="11.25" customHeight="1">
      <c r="B358" s="23"/>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19"/>
    </row>
    <row r="359" spans="2:74" ht="11.25" customHeight="1">
      <c r="B359" s="23"/>
      <c r="C359" s="2262" t="str">
        <f>IF(B2=1,"電工-管線","")</f>
        <v>電工-管線</v>
      </c>
      <c r="D359" s="2262"/>
      <c r="E359" s="2262"/>
      <c r="F359" s="2262"/>
      <c r="G359" s="2262"/>
      <c r="H359" s="2262"/>
      <c r="I359" s="3571">
        <f>IF(B2=0,"",IF(P359="",BN323*BA359,P359))</f>
        <v>1278253.1530613641</v>
      </c>
      <c r="J359" s="3572"/>
      <c r="K359" s="3572"/>
      <c r="L359" s="3572"/>
      <c r="M359" s="3572"/>
      <c r="N359" s="3572"/>
      <c r="O359" s="3572"/>
      <c r="P359" s="3573"/>
      <c r="Q359" s="31" t="s">
        <v>68</v>
      </c>
      <c r="R359" s="3530"/>
      <c r="S359" s="3531"/>
      <c r="T359" s="3531"/>
      <c r="U359" s="3531"/>
      <c r="V359" s="3531"/>
      <c r="W359" s="3532"/>
      <c r="X359" s="20"/>
      <c r="Y359" s="20"/>
      <c r="Z359" s="2453" t="str">
        <f>IF(B2=1,"配管配線　掛率％","")</f>
        <v>配管配線　掛率％</v>
      </c>
      <c r="AA359" s="2454"/>
      <c r="AB359" s="2454"/>
      <c r="AC359" s="2454"/>
      <c r="AD359" s="2454"/>
      <c r="AE359" s="2454"/>
      <c r="AF359" s="2454"/>
      <c r="AG359" s="2454"/>
      <c r="AH359" s="2454"/>
      <c r="AI359" s="2455"/>
      <c r="AJ359" s="3297" t="str">
        <f>IF(AO359="","",AO359)</f>
        <v/>
      </c>
      <c r="AK359" s="3298"/>
      <c r="AL359" s="3298"/>
      <c r="AM359" s="3299"/>
      <c r="AN359" s="31" t="s">
        <v>68</v>
      </c>
      <c r="AO359" s="3300"/>
      <c r="AP359" s="3301"/>
      <c r="AQ359" s="3301"/>
      <c r="AR359" s="3302"/>
      <c r="AS359" s="29"/>
      <c r="AT359" s="29"/>
      <c r="AU359" s="2271" t="str">
        <f>IF(B2=0,"","電工単価")</f>
        <v>電工単価</v>
      </c>
      <c r="AV359" s="2272"/>
      <c r="AW359" s="2272"/>
      <c r="AX359" s="2272"/>
      <c r="AY359" s="2272"/>
      <c r="AZ359" s="2273"/>
      <c r="BA359" s="3267">
        <f>IF($B$2=0,"",IF(BH359="",[6]原価!$AD$44,BH359))</f>
        <v>6000</v>
      </c>
      <c r="BB359" s="3268"/>
      <c r="BC359" s="3268"/>
      <c r="BD359" s="3268"/>
      <c r="BE359" s="3268"/>
      <c r="BF359" s="3269"/>
      <c r="BG359" s="31" t="s">
        <v>68</v>
      </c>
      <c r="BH359" s="2265"/>
      <c r="BI359" s="2266"/>
      <c r="BJ359" s="2266"/>
      <c r="BK359" s="2266"/>
      <c r="BL359" s="2266"/>
      <c r="BM359" s="2267"/>
      <c r="BN359" s="29"/>
      <c r="BO359" s="29"/>
      <c r="BP359" s="29"/>
      <c r="BQ359" s="29"/>
      <c r="BR359" s="20"/>
      <c r="BS359" s="20"/>
      <c r="BT359" s="20"/>
      <c r="BU359" s="19"/>
    </row>
    <row r="360" spans="2:74" ht="11.25" customHeight="1" thickBot="1">
      <c r="B360" s="23"/>
      <c r="C360" s="2262" t="str">
        <f>IF(B2=1,"電工-機器","")</f>
        <v>電工-機器</v>
      </c>
      <c r="D360" s="2262"/>
      <c r="E360" s="2262"/>
      <c r="F360" s="2262"/>
      <c r="G360" s="2262"/>
      <c r="H360" s="2262"/>
      <c r="I360" s="3267">
        <f>IF(B2=0,"",IF(P360="",BN357*BA359,P360))</f>
        <v>1895245.1530613643</v>
      </c>
      <c r="J360" s="3268"/>
      <c r="K360" s="3268"/>
      <c r="L360" s="3268"/>
      <c r="M360" s="3268"/>
      <c r="N360" s="3268"/>
      <c r="O360" s="3268"/>
      <c r="P360" s="3269"/>
      <c r="Q360" s="31" t="s">
        <v>68</v>
      </c>
      <c r="R360" s="3530"/>
      <c r="S360" s="3531"/>
      <c r="T360" s="3531"/>
      <c r="U360" s="3531"/>
      <c r="V360" s="3531"/>
      <c r="W360" s="3532"/>
      <c r="X360" s="20"/>
      <c r="Y360" s="20"/>
      <c r="Z360" s="20"/>
      <c r="AA360" s="20"/>
      <c r="AB360" s="20"/>
      <c r="AC360" s="20"/>
      <c r="AD360" s="20"/>
      <c r="AE360" s="20"/>
      <c r="AF360" s="4017" t="str">
        <f>IF(AJ360="","","元の値")</f>
        <v/>
      </c>
      <c r="AG360" s="4017"/>
      <c r="AH360" s="4017"/>
      <c r="AI360" s="4018"/>
      <c r="AJ360" s="2755" t="str">
        <f>IF(AJ359="","",1000*INT(1.3*AW323/1000))</f>
        <v/>
      </c>
      <c r="AK360" s="2756"/>
      <c r="AL360" s="2756"/>
      <c r="AM360" s="2756"/>
      <c r="AN360" s="2756"/>
      <c r="AO360" s="2756"/>
      <c r="AP360" s="2756"/>
      <c r="AQ360" s="2756"/>
      <c r="AR360" s="2757"/>
      <c r="AS360" s="29"/>
      <c r="AT360" s="29"/>
      <c r="AU360" s="29"/>
      <c r="AV360" s="29"/>
      <c r="AW360" s="29"/>
      <c r="AX360" s="29"/>
      <c r="AY360" s="29"/>
      <c r="AZ360" s="29"/>
      <c r="BA360" s="29"/>
      <c r="BB360" s="29"/>
      <c r="BC360" s="29"/>
      <c r="BD360" s="29"/>
      <c r="BE360" s="29"/>
      <c r="BF360" s="29"/>
      <c r="BG360" s="29"/>
      <c r="BH360" s="29"/>
      <c r="BI360" s="29"/>
      <c r="BJ360" s="29"/>
      <c r="BK360" s="423"/>
      <c r="BL360" s="29"/>
      <c r="BM360" s="29"/>
      <c r="BN360" s="29"/>
      <c r="BO360" s="29"/>
      <c r="BP360" s="29"/>
      <c r="BQ360" s="29"/>
      <c r="BR360" s="20"/>
      <c r="BS360" s="20"/>
      <c r="BT360" s="20"/>
      <c r="BU360" s="19"/>
    </row>
    <row r="361" spans="2:74" ht="11.25" customHeight="1" thickTop="1" thickBot="1">
      <c r="B361" s="23"/>
      <c r="C361" s="2261">
        <f>B3</f>
        <v>13</v>
      </c>
      <c r="D361" s="2261"/>
      <c r="E361" s="2261"/>
      <c r="F361" s="3271" t="str">
        <f>E3</f>
        <v xml:space="preserve"> テレビ共聴設備工事</v>
      </c>
      <c r="G361" s="3272"/>
      <c r="H361" s="3272"/>
      <c r="I361" s="3272"/>
      <c r="J361" s="3272"/>
      <c r="K361" s="3272"/>
      <c r="L361" s="3272"/>
      <c r="M361" s="3272"/>
      <c r="N361" s="3272"/>
      <c r="O361" s="3272"/>
      <c r="P361" s="3272"/>
      <c r="Q361" s="3272"/>
      <c r="R361" s="3272"/>
      <c r="S361" s="3272"/>
      <c r="T361" s="3272"/>
      <c r="U361" s="3272"/>
      <c r="V361" s="3272"/>
      <c r="W361" s="3273"/>
      <c r="X361" s="20"/>
      <c r="Y361" s="20"/>
      <c r="Z361" s="2453" t="str">
        <f>IF(B2=1,"機　器　類 掛率％","")</f>
        <v>機　器　類 掛率％</v>
      </c>
      <c r="AA361" s="2454"/>
      <c r="AB361" s="2454"/>
      <c r="AC361" s="2454"/>
      <c r="AD361" s="2454"/>
      <c r="AE361" s="2454"/>
      <c r="AF361" s="2454"/>
      <c r="AG361" s="2454"/>
      <c r="AH361" s="2454"/>
      <c r="AI361" s="2455"/>
      <c r="AJ361" s="3297" t="str">
        <f>IF(AO361="","",AO361)</f>
        <v/>
      </c>
      <c r="AK361" s="3298"/>
      <c r="AL361" s="3298"/>
      <c r="AM361" s="3299"/>
      <c r="AN361" s="31" t="s">
        <v>68</v>
      </c>
      <c r="AO361" s="3300"/>
      <c r="AP361" s="3301"/>
      <c r="AQ361" s="3301"/>
      <c r="AR361" s="3302"/>
      <c r="AS361" s="20"/>
      <c r="AT361" s="20"/>
      <c r="AU361" s="2253" t="str">
        <f>IF(B2=0,"","単価設定")</f>
        <v>単価設定</v>
      </c>
      <c r="AV361" s="2254"/>
      <c r="AW361" s="2254"/>
      <c r="AX361" s="2254"/>
      <c r="AY361" s="2254"/>
      <c r="AZ361" s="2254"/>
      <c r="BA361" s="2255" t="str">
        <f>IF(OR(B2=0,C107=0),"",IF(BH361="",[6]原価!$AD$42,BH361))</f>
        <v>単価-1</v>
      </c>
      <c r="BB361" s="2255"/>
      <c r="BC361" s="2255"/>
      <c r="BD361" s="2255"/>
      <c r="BE361" s="2255"/>
      <c r="BF361" s="2255"/>
      <c r="BG361" s="27" t="s">
        <v>68</v>
      </c>
      <c r="BH361" s="2256"/>
      <c r="BI361" s="2256"/>
      <c r="BJ361" s="2256"/>
      <c r="BK361" s="2256"/>
      <c r="BL361" s="2256"/>
      <c r="BM361" s="2256"/>
      <c r="BN361" s="28"/>
      <c r="BO361" s="2233" t="str">
        <f>IF(B2=0,"",IF(AND(BA361="単価-1",BA362="歩掛-1"),[6]Top!$BH$15,"User"))</f>
        <v>近畿</v>
      </c>
      <c r="BP361" s="2233"/>
      <c r="BQ361" s="2233"/>
      <c r="BR361" s="2233"/>
      <c r="BS361" s="28"/>
      <c r="BT361" s="20"/>
      <c r="BU361" s="19"/>
    </row>
    <row r="362" spans="2:74" ht="11.25" customHeight="1" thickTop="1" thickBot="1">
      <c r="B362" s="23"/>
      <c r="C362" s="2261" t="str">
        <f>IF(B2=1,"配管配線材料","")</f>
        <v>配管配線材料</v>
      </c>
      <c r="D362" s="2261"/>
      <c r="E362" s="2261"/>
      <c r="F362" s="3270"/>
      <c r="G362" s="3270"/>
      <c r="H362" s="3270"/>
      <c r="I362" s="3270"/>
      <c r="J362" s="3270"/>
      <c r="K362" s="3270"/>
      <c r="L362" s="3270"/>
      <c r="M362" s="2260">
        <f>IF(B2=0,"",IF(AW323=0,"",IF(AJ359&lt;&gt;"",1000*INT((1+AJ359/100)*(1.3*AW323)/1000),1000*INT(1.3*AW323/1000))))</f>
        <v>572000</v>
      </c>
      <c r="N362" s="2260"/>
      <c r="O362" s="2260"/>
      <c r="P362" s="2260"/>
      <c r="Q362" s="2260"/>
      <c r="R362" s="2260"/>
      <c r="S362" s="2260"/>
      <c r="T362" s="2260"/>
      <c r="U362" s="2260"/>
      <c r="V362" s="2260"/>
      <c r="W362" s="2260"/>
      <c r="X362" s="29"/>
      <c r="Y362" s="29"/>
      <c r="Z362" s="29"/>
      <c r="AA362" s="29"/>
      <c r="AB362" s="29"/>
      <c r="AC362" s="29"/>
      <c r="AD362" s="29"/>
      <c r="AE362" s="29"/>
      <c r="AF362" s="4019" t="str">
        <f>IF(AJ362="","","元の値")</f>
        <v/>
      </c>
      <c r="AG362" s="4019"/>
      <c r="AH362" s="4019"/>
      <c r="AI362" s="4020"/>
      <c r="AJ362" s="2755" t="str">
        <f>IF(AO361="","",1000*INT(AW357/1000))</f>
        <v/>
      </c>
      <c r="AK362" s="2756"/>
      <c r="AL362" s="2756"/>
      <c r="AM362" s="2756"/>
      <c r="AN362" s="2756"/>
      <c r="AO362" s="2756"/>
      <c r="AP362" s="2756"/>
      <c r="AQ362" s="2756"/>
      <c r="AR362" s="2757"/>
      <c r="AS362" s="29"/>
      <c r="AT362" s="29"/>
      <c r="AU362" s="2253" t="str">
        <f>IF(B2=0,"","歩掛設定")</f>
        <v>歩掛設定</v>
      </c>
      <c r="AV362" s="2254"/>
      <c r="AW362" s="2254"/>
      <c r="AX362" s="2254"/>
      <c r="AY362" s="2254"/>
      <c r="AZ362" s="2254"/>
      <c r="BA362" s="2255" t="str">
        <f>IF(OR(B2=0,C107=0),"",IF(BH362="",[6]原価!$AD$43,BH362))</f>
        <v>歩掛-1</v>
      </c>
      <c r="BB362" s="2255"/>
      <c r="BC362" s="2255"/>
      <c r="BD362" s="2255"/>
      <c r="BE362" s="2255"/>
      <c r="BF362" s="2255"/>
      <c r="BG362" s="27" t="s">
        <v>68</v>
      </c>
      <c r="BH362" s="2256"/>
      <c r="BI362" s="2256"/>
      <c r="BJ362" s="2256"/>
      <c r="BK362" s="2256"/>
      <c r="BL362" s="2256"/>
      <c r="BM362" s="2256"/>
      <c r="BN362" s="2231" t="str">
        <f>IF(OR(B2=0,C107=0),"","建設物価")</f>
        <v>建設物価</v>
      </c>
      <c r="BO362" s="2232"/>
      <c r="BP362" s="2232"/>
      <c r="BQ362" s="2232"/>
      <c r="BR362" s="2232"/>
      <c r="BS362" s="2232"/>
      <c r="BT362" s="20"/>
      <c r="BU362" s="19"/>
    </row>
    <row r="363" spans="2:74" ht="11.25" customHeight="1" thickTop="1">
      <c r="B363" s="23"/>
      <c r="C363" s="2261" t="str">
        <f>IF(B2=1,"機　　器　　類","")</f>
        <v>機　　器　　類</v>
      </c>
      <c r="D363" s="2261"/>
      <c r="E363" s="2261"/>
      <c r="F363" s="2261"/>
      <c r="G363" s="2261"/>
      <c r="H363" s="2261"/>
      <c r="I363" s="2261"/>
      <c r="J363" s="2261"/>
      <c r="K363" s="2261"/>
      <c r="L363" s="2261"/>
      <c r="M363" s="2260">
        <f>IF(OR(B2=0,AW357=AD3640),"",IF(AJ361&lt;&gt;"",1000*INT((1+AJ361/100)*AW357/1000),1000*INT(AW357/1000)))</f>
        <v>2189000</v>
      </c>
      <c r="N363" s="2260"/>
      <c r="O363" s="2260"/>
      <c r="P363" s="2260"/>
      <c r="Q363" s="2260"/>
      <c r="R363" s="2260"/>
      <c r="S363" s="2260"/>
      <c r="T363" s="2260"/>
      <c r="U363" s="2260"/>
      <c r="V363" s="2260"/>
      <c r="W363" s="226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9"/>
      <c r="AT363" s="29"/>
      <c r="AU363" s="29"/>
      <c r="AV363" s="29"/>
      <c r="AW363" s="29"/>
      <c r="AX363" s="29"/>
      <c r="AY363" s="29"/>
      <c r="AZ363" s="29"/>
      <c r="BA363" s="29"/>
      <c r="BB363" s="29"/>
      <c r="BC363" s="29"/>
      <c r="BD363" s="29"/>
      <c r="BE363" s="2777"/>
      <c r="BF363" s="2777"/>
      <c r="BG363" s="2777"/>
      <c r="BH363" s="2777"/>
      <c r="BI363" s="2777"/>
      <c r="BJ363" s="2777"/>
      <c r="BK363" s="423"/>
      <c r="BL363" s="2777"/>
      <c r="BM363" s="2777"/>
      <c r="BN363" s="2777"/>
      <c r="BO363" s="2777"/>
      <c r="BP363" s="2777"/>
      <c r="BQ363" s="2777"/>
      <c r="BR363" s="20"/>
      <c r="BS363" s="20"/>
      <c r="BT363" s="20"/>
      <c r="BU363" s="19"/>
    </row>
    <row r="364" spans="2:74" ht="11.25" customHeight="1" thickBot="1">
      <c r="B364" s="23"/>
      <c r="C364" s="2261" t="str">
        <f>IF(B2=1,"電　　工　　費","")</f>
        <v>電　　工　　費</v>
      </c>
      <c r="D364" s="2261"/>
      <c r="E364" s="2261"/>
      <c r="F364" s="2261"/>
      <c r="G364" s="2261"/>
      <c r="H364" s="2261"/>
      <c r="I364" s="2261"/>
      <c r="J364" s="2261"/>
      <c r="K364" s="2261"/>
      <c r="L364" s="2261"/>
      <c r="M364" s="2260">
        <f>IF(B2=0,"",BA359*1000*INT(1.15*BN323+BN357)/1000)</f>
        <v>3360000</v>
      </c>
      <c r="N364" s="2260"/>
      <c r="O364" s="2260"/>
      <c r="P364" s="2260"/>
      <c r="Q364" s="2260"/>
      <c r="R364" s="2260"/>
      <c r="S364" s="2260"/>
      <c r="T364" s="2260"/>
      <c r="U364" s="2260"/>
      <c r="V364" s="2260"/>
      <c r="W364" s="2260"/>
      <c r="X364" s="29"/>
      <c r="Y364" s="29"/>
      <c r="Z364" s="29"/>
      <c r="AA364" s="29"/>
      <c r="AB364" s="29"/>
      <c r="AC364" s="29"/>
      <c r="AD364" s="704" t="str">
        <f>IF(W364="","","元の値")</f>
        <v/>
      </c>
      <c r="AE364" s="29"/>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19"/>
    </row>
    <row r="365" spans="2:74" ht="11.25" customHeight="1" thickBot="1">
      <c r="B365" s="23"/>
      <c r="C365" s="2261">
        <f>B3</f>
        <v>13</v>
      </c>
      <c r="D365" s="2261"/>
      <c r="E365" s="2261"/>
      <c r="F365" s="2274" t="str">
        <f>IF(M365="","","　の 計")</f>
        <v>　の 計</v>
      </c>
      <c r="G365" s="2274"/>
      <c r="H365" s="2274"/>
      <c r="I365" s="2274"/>
      <c r="J365" s="2274"/>
      <c r="K365" s="2274"/>
      <c r="L365" s="2274"/>
      <c r="M365" s="2260">
        <f>IF(B2=0,"",1000*INT(SUM(M362:W364)/1000))</f>
        <v>6121000</v>
      </c>
      <c r="N365" s="2260"/>
      <c r="O365" s="2260"/>
      <c r="P365" s="2260"/>
      <c r="Q365" s="2260"/>
      <c r="R365" s="2260"/>
      <c r="S365" s="2260"/>
      <c r="T365" s="2260"/>
      <c r="U365" s="2260"/>
      <c r="V365" s="2260"/>
      <c r="W365" s="226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3574" t="s">
        <v>295</v>
      </c>
      <c r="BO365" s="3575"/>
      <c r="BP365" s="3575"/>
      <c r="BQ365" s="3576"/>
      <c r="BR365" s="20"/>
      <c r="BS365" s="20"/>
      <c r="BT365" s="20"/>
      <c r="BU365" s="19"/>
    </row>
    <row r="366" spans="2:74" ht="11.25" customHeight="1">
      <c r="B366" s="23"/>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19"/>
    </row>
    <row r="367" spans="2:74" ht="11.25" customHeight="1">
      <c r="B367" s="23"/>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19"/>
    </row>
    <row r="368" spans="2:74" ht="11.25" customHeight="1">
      <c r="B368" s="23"/>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19"/>
    </row>
    <row r="369" spans="2:73" ht="11.25" customHeight="1">
      <c r="B369" s="23"/>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19"/>
    </row>
    <row r="370" spans="2:73" ht="11.25" customHeight="1">
      <c r="B370" s="23"/>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19"/>
    </row>
    <row r="371" spans="2:73" ht="11.25" customHeight="1">
      <c r="B371" s="23"/>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19"/>
    </row>
    <row r="372" spans="2:73" ht="12" customHeight="1">
      <c r="B372" s="23"/>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68"/>
      <c r="AG372" s="68"/>
      <c r="AH372" s="68"/>
      <c r="AI372" s="68"/>
      <c r="AJ372" s="68"/>
      <c r="AK372" s="68"/>
      <c r="AL372" s="68"/>
      <c r="AM372" s="68"/>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19"/>
    </row>
    <row r="373" spans="2:73" ht="11.25" customHeight="1">
      <c r="B373" s="23"/>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c r="BO373" s="35"/>
      <c r="BP373" s="35"/>
      <c r="BQ373" s="35"/>
      <c r="BR373" s="35"/>
      <c r="BS373" s="35"/>
      <c r="BT373" s="35"/>
      <c r="BU373" s="19"/>
    </row>
    <row r="374" spans="2:73" ht="11.25" customHeight="1">
      <c r="B374" s="23"/>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19"/>
    </row>
    <row r="375" spans="2:73" ht="12" customHeight="1">
      <c r="B375" s="23"/>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19"/>
    </row>
    <row r="376" spans="2:73" ht="11.25" customHeight="1">
      <c r="B376" s="23"/>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19"/>
    </row>
    <row r="377" spans="2:73" ht="11.25" customHeight="1">
      <c r="B377" s="23"/>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19"/>
    </row>
    <row r="378" spans="2:73" ht="12" customHeight="1">
      <c r="B378" s="18"/>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16"/>
    </row>
  </sheetData>
  <sheetProtection password="8220" sheet="1" objects="1" scenarios="1"/>
  <mergeCells count="4592">
    <mergeCell ref="AF360:AI360"/>
    <mergeCell ref="AF362:AI362"/>
    <mergeCell ref="E7:L7"/>
    <mergeCell ref="BY10:BZ10"/>
    <mergeCell ref="BY11:BZ11"/>
    <mergeCell ref="BM3:BS3"/>
    <mergeCell ref="O6:R6"/>
    <mergeCell ref="AC6:AG6"/>
    <mergeCell ref="AR6:AU6"/>
    <mergeCell ref="AV6:BD6"/>
    <mergeCell ref="AQ3:AU3"/>
    <mergeCell ref="AR8:AU8"/>
    <mergeCell ref="AW8:AZ8"/>
    <mergeCell ref="BA8:BD8"/>
    <mergeCell ref="AR9:AU9"/>
    <mergeCell ref="AR7:AU7"/>
    <mergeCell ref="AW7:AZ7"/>
    <mergeCell ref="BA7:BD7"/>
    <mergeCell ref="BA9:BD9"/>
    <mergeCell ref="AH11:AM11"/>
    <mergeCell ref="AN11:AP11"/>
    <mergeCell ref="AO15:AT15"/>
    <mergeCell ref="AU15:BG15"/>
    <mergeCell ref="BI15:BT15"/>
    <mergeCell ref="B20:U20"/>
    <mergeCell ref="V20:BU20"/>
    <mergeCell ref="AN21:AP21"/>
    <mergeCell ref="AQ21:AS21"/>
    <mergeCell ref="AT21:AV21"/>
    <mergeCell ref="AW21:AY21"/>
    <mergeCell ref="AZ21:BB21"/>
    <mergeCell ref="BC21:BE21"/>
    <mergeCell ref="B3:D3"/>
    <mergeCell ref="E3:W3"/>
    <mergeCell ref="Y3:AC3"/>
    <mergeCell ref="AE3:AI3"/>
    <mergeCell ref="AK3:AO3"/>
    <mergeCell ref="N7:W7"/>
    <mergeCell ref="N8:W8"/>
    <mergeCell ref="X7:AA7"/>
    <mergeCell ref="AM7:AP7"/>
    <mergeCell ref="AM8:AP8"/>
    <mergeCell ref="BE17:BG17"/>
    <mergeCell ref="BI17:BT17"/>
    <mergeCell ref="C16:BT16"/>
    <mergeCell ref="C17:G17"/>
    <mergeCell ref="H17:M17"/>
    <mergeCell ref="O17:T17"/>
    <mergeCell ref="X8:AA8"/>
    <mergeCell ref="AB7:AF7"/>
    <mergeCell ref="AB8:AF8"/>
    <mergeCell ref="AH7:AL7"/>
    <mergeCell ref="AH8:AL8"/>
    <mergeCell ref="AR11:AU11"/>
    <mergeCell ref="AH10:AK10"/>
    <mergeCell ref="AL10:AP10"/>
    <mergeCell ref="AR10:AU10"/>
    <mergeCell ref="AB9:AF9"/>
    <mergeCell ref="BI12:BO13"/>
    <mergeCell ref="C14:BT14"/>
    <mergeCell ref="C15:T15"/>
    <mergeCell ref="V15:AF15"/>
    <mergeCell ref="AG15:AI15"/>
    <mergeCell ref="AK15:AM15"/>
    <mergeCell ref="AC10:AF10"/>
    <mergeCell ref="AC11:AF11"/>
    <mergeCell ref="AH9:AL9"/>
    <mergeCell ref="AM9:AP9"/>
    <mergeCell ref="BP12:BQ13"/>
    <mergeCell ref="AW9:AZ9"/>
    <mergeCell ref="N9:W9"/>
    <mergeCell ref="N10:W10"/>
    <mergeCell ref="N11:W11"/>
    <mergeCell ref="X9:AA9"/>
    <mergeCell ref="X10:AA10"/>
    <mergeCell ref="X11:AA11"/>
    <mergeCell ref="C18:BT18"/>
    <mergeCell ref="C19:Q19"/>
    <mergeCell ref="V19:AC19"/>
    <mergeCell ref="AD19:AH19"/>
    <mergeCell ref="AJ19:AN19"/>
    <mergeCell ref="BI19:BT19"/>
    <mergeCell ref="AW10:AZ10"/>
    <mergeCell ref="BA10:BD10"/>
    <mergeCell ref="BU14:BU19"/>
    <mergeCell ref="BI22:BK22"/>
    <mergeCell ref="V17:AA17"/>
    <mergeCell ref="AB17:AE17"/>
    <mergeCell ref="AF17:AI17"/>
    <mergeCell ref="AJ17:AM17"/>
    <mergeCell ref="AO17:AY17"/>
    <mergeCell ref="AZ17:BD17"/>
    <mergeCell ref="BL22:BN22"/>
    <mergeCell ref="BO22:BQ22"/>
    <mergeCell ref="BR22:BT22"/>
    <mergeCell ref="AO19:AY19"/>
    <mergeCell ref="AZ19:BD19"/>
    <mergeCell ref="BE19:BG19"/>
    <mergeCell ref="BI21:BK21"/>
    <mergeCell ref="BL21:BN21"/>
    <mergeCell ref="BO21:BQ21"/>
    <mergeCell ref="BR21:BT21"/>
    <mergeCell ref="BF21:BH21"/>
    <mergeCell ref="C22:L22"/>
    <mergeCell ref="M22:O22"/>
    <mergeCell ref="P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Y23:AA23"/>
    <mergeCell ref="BA26:BD26"/>
    <mergeCell ref="BE26:BL26"/>
    <mergeCell ref="BM26:BT26"/>
    <mergeCell ref="BY26:BZ26"/>
    <mergeCell ref="CC26:CD26"/>
    <mergeCell ref="AG26:AJ26"/>
    <mergeCell ref="AK26:AN26"/>
    <mergeCell ref="AO26:AR26"/>
    <mergeCell ref="AS26:AV26"/>
    <mergeCell ref="C23:I23"/>
    <mergeCell ref="J23:L23"/>
    <mergeCell ref="M23:O23"/>
    <mergeCell ref="P23:R23"/>
    <mergeCell ref="S23:U23"/>
    <mergeCell ref="V23:X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C25:L25"/>
    <mergeCell ref="DJ27:DK27"/>
    <mergeCell ref="F28:H28"/>
    <mergeCell ref="I28:L28"/>
    <mergeCell ref="M28:P28"/>
    <mergeCell ref="Q28:S28"/>
    <mergeCell ref="T28:V28"/>
    <mergeCell ref="AA28:AC28"/>
    <mergeCell ref="AD28:AF28"/>
    <mergeCell ref="AW26:AZ26"/>
    <mergeCell ref="BE25:BT25"/>
    <mergeCell ref="BY25:BZ25"/>
    <mergeCell ref="CC25:CD25"/>
    <mergeCell ref="C26:Q26"/>
    <mergeCell ref="R26:S26"/>
    <mergeCell ref="U26:V26"/>
    <mergeCell ref="W26:W28"/>
    <mergeCell ref="X26:X28"/>
    <mergeCell ref="Y26:Y28"/>
    <mergeCell ref="C27:E28"/>
    <mergeCell ref="F27:H27"/>
    <mergeCell ref="I27:L27"/>
    <mergeCell ref="M27:P27"/>
    <mergeCell ref="Q27:S27"/>
    <mergeCell ref="AA26:AF26"/>
    <mergeCell ref="Z26:Z28"/>
    <mergeCell ref="M25:Q25"/>
    <mergeCell ref="R25:V25"/>
    <mergeCell ref="W25:Z25"/>
    <mergeCell ref="AA25:AF25"/>
    <mergeCell ref="AG25:AR25"/>
    <mergeCell ref="AS25:BD25"/>
    <mergeCell ref="T29:V29"/>
    <mergeCell ref="BE28:BH28"/>
    <mergeCell ref="BI28:BL28"/>
    <mergeCell ref="BM28:BP28"/>
    <mergeCell ref="BQ28:BT28"/>
    <mergeCell ref="BY28:BZ28"/>
    <mergeCell ref="BY29:BZ29"/>
    <mergeCell ref="AO29:AP29"/>
    <mergeCell ref="AQ29:AR29"/>
    <mergeCell ref="AS29:AT29"/>
    <mergeCell ref="BE27:BH27"/>
    <mergeCell ref="DD28:DE28"/>
    <mergeCell ref="DF28:DG28"/>
    <mergeCell ref="DH28:DI28"/>
    <mergeCell ref="DJ28:DK28"/>
    <mergeCell ref="C29:E29"/>
    <mergeCell ref="F29:H29"/>
    <mergeCell ref="I29:L29"/>
    <mergeCell ref="M29:P29"/>
    <mergeCell ref="Q29:S29"/>
    <mergeCell ref="BI27:BL27"/>
    <mergeCell ref="BM27:BP27"/>
    <mergeCell ref="BQ27:BT27"/>
    <mergeCell ref="CC27:CD27"/>
    <mergeCell ref="DD27:DE27"/>
    <mergeCell ref="T27:V27"/>
    <mergeCell ref="AA27:AC27"/>
    <mergeCell ref="AD27:AF27"/>
    <mergeCell ref="AG27:AR27"/>
    <mergeCell ref="AS27:BD27"/>
    <mergeCell ref="DF27:DG27"/>
    <mergeCell ref="DH27:DI27"/>
    <mergeCell ref="DD29:DE29"/>
    <mergeCell ref="DF29:DG29"/>
    <mergeCell ref="DH29:DI29"/>
    <mergeCell ref="DJ29:DK29"/>
    <mergeCell ref="AB30:AD30"/>
    <mergeCell ref="AF30:AH30"/>
    <mergeCell ref="BM29:BN29"/>
    <mergeCell ref="BO29:BP29"/>
    <mergeCell ref="BQ29:BR29"/>
    <mergeCell ref="BS29:BT29"/>
    <mergeCell ref="CC28:CD28"/>
    <mergeCell ref="AG28:AJ28"/>
    <mergeCell ref="AK28:AN28"/>
    <mergeCell ref="AO28:AR28"/>
    <mergeCell ref="AS28:AV28"/>
    <mergeCell ref="AW28:AZ28"/>
    <mergeCell ref="BA28:BD28"/>
    <mergeCell ref="BC30:BD30"/>
    <mergeCell ref="BE30:BT30"/>
    <mergeCell ref="DD30:DE30"/>
    <mergeCell ref="DF30:DG30"/>
    <mergeCell ref="DH30:DI30"/>
    <mergeCell ref="BY31:BZ31"/>
    <mergeCell ref="BQ31:BT31"/>
    <mergeCell ref="BY30:BZ30"/>
    <mergeCell ref="AU29:AV29"/>
    <mergeCell ref="AW29:AX29"/>
    <mergeCell ref="AY29:AZ29"/>
    <mergeCell ref="AA29:AC29"/>
    <mergeCell ref="AD29:AF29"/>
    <mergeCell ref="AG29:AH29"/>
    <mergeCell ref="AI29:AJ29"/>
    <mergeCell ref="AK29:AL29"/>
    <mergeCell ref="AM29:AN29"/>
    <mergeCell ref="CC29:CD29"/>
    <mergeCell ref="BA29:BB29"/>
    <mergeCell ref="BC29:BD29"/>
    <mergeCell ref="BE29:BF29"/>
    <mergeCell ref="BG29:BH29"/>
    <mergeCell ref="BI29:BJ29"/>
    <mergeCell ref="BK29:BL29"/>
    <mergeCell ref="CC30:CD30"/>
    <mergeCell ref="AI30:AM30"/>
    <mergeCell ref="C30:G30"/>
    <mergeCell ref="H30:N30"/>
    <mergeCell ref="P30:V30"/>
    <mergeCell ref="W30:AA30"/>
    <mergeCell ref="DJ30:DK30"/>
    <mergeCell ref="C31:E32"/>
    <mergeCell ref="F31:J31"/>
    <mergeCell ref="K31:N31"/>
    <mergeCell ref="P31:S31"/>
    <mergeCell ref="T31:W31"/>
    <mergeCell ref="X31:AB31"/>
    <mergeCell ref="AD31:AH31"/>
    <mergeCell ref="AI31:AL31"/>
    <mergeCell ref="AM31:AR31"/>
    <mergeCell ref="CC31:CD31"/>
    <mergeCell ref="DD31:DE31"/>
    <mergeCell ref="DF31:DG31"/>
    <mergeCell ref="DH31:DI31"/>
    <mergeCell ref="DJ31:DK31"/>
    <mergeCell ref="AS31:AV31"/>
    <mergeCell ref="AX31:BA31"/>
    <mergeCell ref="BB31:BE31"/>
    <mergeCell ref="BF31:BJ31"/>
    <mergeCell ref="BL31:BP31"/>
    <mergeCell ref="AN30:AQ30"/>
    <mergeCell ref="AR30:AY30"/>
    <mergeCell ref="AZ30:BA30"/>
    <mergeCell ref="F32:J32"/>
    <mergeCell ref="K32:N32"/>
    <mergeCell ref="P32:S32"/>
    <mergeCell ref="T32:W32"/>
    <mergeCell ref="X32:AB32"/>
    <mergeCell ref="AD32:AH32"/>
    <mergeCell ref="AI32:AL32"/>
    <mergeCell ref="AM32:AR32"/>
    <mergeCell ref="AS32:AV32"/>
    <mergeCell ref="AX32:BA32"/>
    <mergeCell ref="BB32:BE32"/>
    <mergeCell ref="BF32:BJ32"/>
    <mergeCell ref="BL32:BP32"/>
    <mergeCell ref="BQ32:BT32"/>
    <mergeCell ref="BY32:BZ32"/>
    <mergeCell ref="CC32:CD32"/>
    <mergeCell ref="C34:L34"/>
    <mergeCell ref="M34:Q34"/>
    <mergeCell ref="R34:V34"/>
    <mergeCell ref="W34:Z34"/>
    <mergeCell ref="AA34:AF34"/>
    <mergeCell ref="AG34:AR34"/>
    <mergeCell ref="AS34:BD34"/>
    <mergeCell ref="BE34:BT34"/>
    <mergeCell ref="C35:Q35"/>
    <mergeCell ref="R35:S35"/>
    <mergeCell ref="U35:V35"/>
    <mergeCell ref="W35:W37"/>
    <mergeCell ref="X35:X37"/>
    <mergeCell ref="Y35:Y37"/>
    <mergeCell ref="Z35:Z37"/>
    <mergeCell ref="AA35:AF35"/>
    <mergeCell ref="C36:E37"/>
    <mergeCell ref="AD36:AF36"/>
    <mergeCell ref="AG35:AJ35"/>
    <mergeCell ref="AK35:AN35"/>
    <mergeCell ref="AO35:AR35"/>
    <mergeCell ref="F36:H36"/>
    <mergeCell ref="I36:L36"/>
    <mergeCell ref="M36:P36"/>
    <mergeCell ref="Q36:S36"/>
    <mergeCell ref="T36:V36"/>
    <mergeCell ref="AA36:AC36"/>
    <mergeCell ref="AD37:AF37"/>
    <mergeCell ref="BE36:BH36"/>
    <mergeCell ref="BI36:BL36"/>
    <mergeCell ref="BM36:BP36"/>
    <mergeCell ref="BQ36:BT36"/>
    <mergeCell ref="BE35:BL35"/>
    <mergeCell ref="BM35:BT35"/>
    <mergeCell ref="BA35:BD35"/>
    <mergeCell ref="DJ38:DK38"/>
    <mergeCell ref="DD36:DE36"/>
    <mergeCell ref="AI39:AM39"/>
    <mergeCell ref="BO38:BP38"/>
    <mergeCell ref="BQ38:BR38"/>
    <mergeCell ref="BS38:BT38"/>
    <mergeCell ref="DD38:DE38"/>
    <mergeCell ref="DF38:DG38"/>
    <mergeCell ref="DH38:DI38"/>
    <mergeCell ref="DD37:DE37"/>
    <mergeCell ref="DF37:DG37"/>
    <mergeCell ref="DH37:DI37"/>
    <mergeCell ref="DJ37:DK37"/>
    <mergeCell ref="DF36:DG36"/>
    <mergeCell ref="DH36:DI36"/>
    <mergeCell ref="DJ36:DK36"/>
    <mergeCell ref="AS35:AV35"/>
    <mergeCell ref="AW35:AZ35"/>
    <mergeCell ref="AS36:BD36"/>
    <mergeCell ref="AG37:AJ37"/>
    <mergeCell ref="AK37:AN37"/>
    <mergeCell ref="AO37:AR37"/>
    <mergeCell ref="AS37:AV37"/>
    <mergeCell ref="AW37:AZ37"/>
    <mergeCell ref="AG36:AR36"/>
    <mergeCell ref="BA37:BD37"/>
    <mergeCell ref="BE37:BH37"/>
    <mergeCell ref="BI37:BL37"/>
    <mergeCell ref="BM37:BP37"/>
    <mergeCell ref="BQ37:BT37"/>
    <mergeCell ref="BC38:BD38"/>
    <mergeCell ref="BE38:BF38"/>
    <mergeCell ref="BG38:BH38"/>
    <mergeCell ref="BI38:BJ38"/>
    <mergeCell ref="AR39:AY39"/>
    <mergeCell ref="AD38:AF38"/>
    <mergeCell ref="AG38:AH38"/>
    <mergeCell ref="C38:E38"/>
    <mergeCell ref="AM40:AR40"/>
    <mergeCell ref="AS40:AV40"/>
    <mergeCell ref="AX40:BA40"/>
    <mergeCell ref="AZ39:BA39"/>
    <mergeCell ref="BC39:BD39"/>
    <mergeCell ref="BE39:BT39"/>
    <mergeCell ref="AN39:AQ39"/>
    <mergeCell ref="F37:H37"/>
    <mergeCell ref="I37:L37"/>
    <mergeCell ref="M37:P37"/>
    <mergeCell ref="Q37:S37"/>
    <mergeCell ref="T37:V37"/>
    <mergeCell ref="AA37:AC37"/>
    <mergeCell ref="H39:N39"/>
    <mergeCell ref="P39:V39"/>
    <mergeCell ref="W39:AA39"/>
    <mergeCell ref="AB39:AD39"/>
    <mergeCell ref="AF39:AH39"/>
    <mergeCell ref="BM45:BP45"/>
    <mergeCell ref="BQ45:BT45"/>
    <mergeCell ref="DD45:DE45"/>
    <mergeCell ref="C40:E41"/>
    <mergeCell ref="DD40:DE40"/>
    <mergeCell ref="DF40:DG40"/>
    <mergeCell ref="BB40:BE40"/>
    <mergeCell ref="BF40:BJ40"/>
    <mergeCell ref="BL40:BP40"/>
    <mergeCell ref="DF39:DG39"/>
    <mergeCell ref="BK38:BL38"/>
    <mergeCell ref="BM38:BN38"/>
    <mergeCell ref="AQ38:AR38"/>
    <mergeCell ref="AS38:AT38"/>
    <mergeCell ref="AU38:AV38"/>
    <mergeCell ref="AW38:AX38"/>
    <mergeCell ref="AY38:AZ38"/>
    <mergeCell ref="BA38:BB38"/>
    <mergeCell ref="F38:H38"/>
    <mergeCell ref="I38:L38"/>
    <mergeCell ref="M38:P38"/>
    <mergeCell ref="Q38:S38"/>
    <mergeCell ref="T38:V38"/>
    <mergeCell ref="AI38:AJ38"/>
    <mergeCell ref="AK38:AL38"/>
    <mergeCell ref="AM38:AN38"/>
    <mergeCell ref="AO38:AP38"/>
    <mergeCell ref="BQ40:BT40"/>
    <mergeCell ref="AA38:AC38"/>
    <mergeCell ref="AA44:AF44"/>
    <mergeCell ref="AG44:AJ44"/>
    <mergeCell ref="C39:G39"/>
    <mergeCell ref="DH39:DI39"/>
    <mergeCell ref="DJ39:DK39"/>
    <mergeCell ref="F40:J40"/>
    <mergeCell ref="K40:N40"/>
    <mergeCell ref="P40:S40"/>
    <mergeCell ref="T40:W40"/>
    <mergeCell ref="X40:AB40"/>
    <mergeCell ref="AD40:AH40"/>
    <mergeCell ref="AI40:AL40"/>
    <mergeCell ref="DD39:DE39"/>
    <mergeCell ref="DH40:DI40"/>
    <mergeCell ref="DJ40:DK40"/>
    <mergeCell ref="F41:J41"/>
    <mergeCell ref="K41:N41"/>
    <mergeCell ref="P41:S41"/>
    <mergeCell ref="T41:W41"/>
    <mergeCell ref="X41:AB41"/>
    <mergeCell ref="DJ45:DK45"/>
    <mergeCell ref="F46:H46"/>
    <mergeCell ref="I46:L46"/>
    <mergeCell ref="M46:P46"/>
    <mergeCell ref="Q46:S46"/>
    <mergeCell ref="T46:V46"/>
    <mergeCell ref="AA46:AC46"/>
    <mergeCell ref="AD46:AF46"/>
    <mergeCell ref="AD41:AH41"/>
    <mergeCell ref="AI41:AL41"/>
    <mergeCell ref="AM41:AR41"/>
    <mergeCell ref="AS41:AV41"/>
    <mergeCell ref="AX41:BA41"/>
    <mergeCell ref="BB41:BE41"/>
    <mergeCell ref="BF41:BJ41"/>
    <mergeCell ref="BL41:BP41"/>
    <mergeCell ref="BQ41:BT41"/>
    <mergeCell ref="C43:L43"/>
    <mergeCell ref="M43:Q43"/>
    <mergeCell ref="R43:V43"/>
    <mergeCell ref="W43:Z43"/>
    <mergeCell ref="AA43:AF43"/>
    <mergeCell ref="AG43:AR43"/>
    <mergeCell ref="AS43:BD43"/>
    <mergeCell ref="BE43:BT43"/>
    <mergeCell ref="C44:Q44"/>
    <mergeCell ref="R44:S44"/>
    <mergeCell ref="DJ46:DK46"/>
    <mergeCell ref="BM44:BT44"/>
    <mergeCell ref="X44:X46"/>
    <mergeCell ref="Y44:Y46"/>
    <mergeCell ref="Z44:Z46"/>
    <mergeCell ref="C47:E47"/>
    <mergeCell ref="F47:H47"/>
    <mergeCell ref="I47:L47"/>
    <mergeCell ref="M47:P47"/>
    <mergeCell ref="Q47:S47"/>
    <mergeCell ref="T47:V47"/>
    <mergeCell ref="AA47:AC47"/>
    <mergeCell ref="AD47:AF47"/>
    <mergeCell ref="AO44:AR44"/>
    <mergeCell ref="AS44:AV44"/>
    <mergeCell ref="AW44:AZ44"/>
    <mergeCell ref="BA44:BD44"/>
    <mergeCell ref="BE44:BL44"/>
    <mergeCell ref="AK47:AL47"/>
    <mergeCell ref="AM47:AN47"/>
    <mergeCell ref="AO47:AP47"/>
    <mergeCell ref="AQ47:AR47"/>
    <mergeCell ref="BE46:BH46"/>
    <mergeCell ref="F45:H45"/>
    <mergeCell ref="I45:L45"/>
    <mergeCell ref="M45:P45"/>
    <mergeCell ref="Q45:S45"/>
    <mergeCell ref="T45:V45"/>
    <mergeCell ref="AA45:AC45"/>
    <mergeCell ref="AD45:AF45"/>
    <mergeCell ref="AG45:AR45"/>
    <mergeCell ref="AK44:AN44"/>
    <mergeCell ref="AS45:BD45"/>
    <mergeCell ref="BE45:BH45"/>
    <mergeCell ref="BI45:BL45"/>
    <mergeCell ref="U44:V44"/>
    <mergeCell ref="W44:W46"/>
    <mergeCell ref="BM47:BN47"/>
    <mergeCell ref="DH45:DI45"/>
    <mergeCell ref="F49:J49"/>
    <mergeCell ref="K49:N49"/>
    <mergeCell ref="P49:S49"/>
    <mergeCell ref="T49:W49"/>
    <mergeCell ref="AI48:AM48"/>
    <mergeCell ref="C48:G48"/>
    <mergeCell ref="H48:N48"/>
    <mergeCell ref="P48:V48"/>
    <mergeCell ref="W48:AA48"/>
    <mergeCell ref="BA46:BD46"/>
    <mergeCell ref="C45:E46"/>
    <mergeCell ref="BQ47:BR47"/>
    <mergeCell ref="BS47:BT47"/>
    <mergeCell ref="DD47:DE47"/>
    <mergeCell ref="DF45:DG45"/>
    <mergeCell ref="BO47:BP47"/>
    <mergeCell ref="AS47:AT47"/>
    <mergeCell ref="AU47:AV47"/>
    <mergeCell ref="AW47:AX47"/>
    <mergeCell ref="BI46:BL46"/>
    <mergeCell ref="BM46:BP46"/>
    <mergeCell ref="BQ46:BT46"/>
    <mergeCell ref="DD46:DE46"/>
    <mergeCell ref="DF46:DG46"/>
    <mergeCell ref="AG46:AJ46"/>
    <mergeCell ref="AK46:AN46"/>
    <mergeCell ref="AO46:AR46"/>
    <mergeCell ref="AS46:AV46"/>
    <mergeCell ref="AW46:AZ46"/>
    <mergeCell ref="DH46:DI46"/>
    <mergeCell ref="DH49:DI49"/>
    <mergeCell ref="DJ49:DK49"/>
    <mergeCell ref="F50:J50"/>
    <mergeCell ref="K50:N50"/>
    <mergeCell ref="P50:S50"/>
    <mergeCell ref="T50:W50"/>
    <mergeCell ref="X50:AB50"/>
    <mergeCell ref="DJ48:DK48"/>
    <mergeCell ref="AG47:AH47"/>
    <mergeCell ref="AI47:AJ47"/>
    <mergeCell ref="C49:E50"/>
    <mergeCell ref="T55:V55"/>
    <mergeCell ref="AA55:AC55"/>
    <mergeCell ref="AG54:AR54"/>
    <mergeCell ref="AS54:BD54"/>
    <mergeCell ref="BE54:BH54"/>
    <mergeCell ref="BI54:BL54"/>
    <mergeCell ref="AY47:AZ47"/>
    <mergeCell ref="BA47:BB47"/>
    <mergeCell ref="BC47:BD47"/>
    <mergeCell ref="DD48:DE48"/>
    <mergeCell ref="DF48:DG48"/>
    <mergeCell ref="DH48:DI48"/>
    <mergeCell ref="AB48:AD48"/>
    <mergeCell ref="AF48:AH48"/>
    <mergeCell ref="DF47:DG47"/>
    <mergeCell ref="DH47:DI47"/>
    <mergeCell ref="DJ47:DK47"/>
    <mergeCell ref="BE47:BF47"/>
    <mergeCell ref="BG47:BH47"/>
    <mergeCell ref="BI47:BJ47"/>
    <mergeCell ref="BK47:BL47"/>
    <mergeCell ref="AS52:BD52"/>
    <mergeCell ref="AA54:AC54"/>
    <mergeCell ref="AG53:AJ53"/>
    <mergeCell ref="AK53:AN53"/>
    <mergeCell ref="AO53:AR53"/>
    <mergeCell ref="AS53:AV53"/>
    <mergeCell ref="AW53:AZ53"/>
    <mergeCell ref="BQ49:BT49"/>
    <mergeCell ref="DD49:DE49"/>
    <mergeCell ref="DF49:DG49"/>
    <mergeCell ref="X49:AB49"/>
    <mergeCell ref="AD49:AH49"/>
    <mergeCell ref="AI49:AL49"/>
    <mergeCell ref="AM49:AR49"/>
    <mergeCell ref="AS49:AV49"/>
    <mergeCell ref="AX49:BA49"/>
    <mergeCell ref="AD50:AH50"/>
    <mergeCell ref="AI50:AL50"/>
    <mergeCell ref="AM50:AR50"/>
    <mergeCell ref="BB49:BE49"/>
    <mergeCell ref="BF49:BJ49"/>
    <mergeCell ref="BL49:BP49"/>
    <mergeCell ref="AG52:AR52"/>
    <mergeCell ref="BM53:BT53"/>
    <mergeCell ref="BE52:BT52"/>
    <mergeCell ref="BB50:BE50"/>
    <mergeCell ref="BF50:BJ50"/>
    <mergeCell ref="BL50:BP50"/>
    <mergeCell ref="BQ54:BT54"/>
    <mergeCell ref="BE53:BL53"/>
    <mergeCell ref="DF54:DG54"/>
    <mergeCell ref="AS50:AV50"/>
    <mergeCell ref="C52:L52"/>
    <mergeCell ref="M52:Q52"/>
    <mergeCell ref="R52:V52"/>
    <mergeCell ref="W52:Z52"/>
    <mergeCell ref="AA52:AF52"/>
    <mergeCell ref="C54:E55"/>
    <mergeCell ref="F54:H54"/>
    <mergeCell ref="I54:L54"/>
    <mergeCell ref="C53:Q53"/>
    <mergeCell ref="R53:S53"/>
    <mergeCell ref="U53:V53"/>
    <mergeCell ref="W53:W55"/>
    <mergeCell ref="X53:X55"/>
    <mergeCell ref="Y53:Y55"/>
    <mergeCell ref="M54:P54"/>
    <mergeCell ref="Q54:S54"/>
    <mergeCell ref="T54:V54"/>
    <mergeCell ref="DH54:DI54"/>
    <mergeCell ref="DJ54:DK54"/>
    <mergeCell ref="F55:H55"/>
    <mergeCell ref="I55:L55"/>
    <mergeCell ref="M55:P55"/>
    <mergeCell ref="Q55:S55"/>
    <mergeCell ref="BQ56:BR56"/>
    <mergeCell ref="AY56:AZ56"/>
    <mergeCell ref="BA56:BB56"/>
    <mergeCell ref="AD56:AF56"/>
    <mergeCell ref="AG56:AH56"/>
    <mergeCell ref="AI56:AJ56"/>
    <mergeCell ref="AK56:AL56"/>
    <mergeCell ref="AM56:AN56"/>
    <mergeCell ref="AO56:AP56"/>
    <mergeCell ref="DD55:DE55"/>
    <mergeCell ref="AD55:AF55"/>
    <mergeCell ref="AG55:AJ55"/>
    <mergeCell ref="AK55:AN55"/>
    <mergeCell ref="AO55:AR55"/>
    <mergeCell ref="AS55:AV55"/>
    <mergeCell ref="AW55:AZ55"/>
    <mergeCell ref="DF55:DG55"/>
    <mergeCell ref="DH55:DI55"/>
    <mergeCell ref="DJ55:DK55"/>
    <mergeCell ref="BE55:BH55"/>
    <mergeCell ref="BI55:BL55"/>
    <mergeCell ref="BM55:BP55"/>
    <mergeCell ref="BQ55:BT55"/>
    <mergeCell ref="AD54:AF54"/>
    <mergeCell ref="BM54:BP54"/>
    <mergeCell ref="DF58:DG58"/>
    <mergeCell ref="DH58:DI58"/>
    <mergeCell ref="DJ58:DK58"/>
    <mergeCell ref="F59:J59"/>
    <mergeCell ref="K59:N59"/>
    <mergeCell ref="P59:S59"/>
    <mergeCell ref="T59:W59"/>
    <mergeCell ref="X59:AB59"/>
    <mergeCell ref="BS56:BT56"/>
    <mergeCell ref="DD56:DE56"/>
    <mergeCell ref="DF56:DG56"/>
    <mergeCell ref="DH56:DI56"/>
    <mergeCell ref="BC56:BD56"/>
    <mergeCell ref="BE56:BF56"/>
    <mergeCell ref="BG56:BH56"/>
    <mergeCell ref="BI56:BJ56"/>
    <mergeCell ref="BK56:BL56"/>
    <mergeCell ref="BM56:BN56"/>
    <mergeCell ref="P57:V57"/>
    <mergeCell ref="W57:AA57"/>
    <mergeCell ref="AB57:AD57"/>
    <mergeCell ref="AF57:AH57"/>
    <mergeCell ref="AI57:AM57"/>
    <mergeCell ref="BO56:BP56"/>
    <mergeCell ref="AQ56:AR56"/>
    <mergeCell ref="AS56:AT56"/>
    <mergeCell ref="AU56:AV56"/>
    <mergeCell ref="AW56:AX56"/>
    <mergeCell ref="DJ56:DK56"/>
    <mergeCell ref="F56:H56"/>
    <mergeCell ref="I56:L56"/>
    <mergeCell ref="M56:P56"/>
    <mergeCell ref="DF57:DG57"/>
    <mergeCell ref="C57:G57"/>
    <mergeCell ref="H57:N57"/>
    <mergeCell ref="W62:W64"/>
    <mergeCell ref="X62:X64"/>
    <mergeCell ref="Y62:Y64"/>
    <mergeCell ref="Z62:Z64"/>
    <mergeCell ref="AA62:AF62"/>
    <mergeCell ref="AG62:AJ62"/>
    <mergeCell ref="BF59:BJ59"/>
    <mergeCell ref="DH57:DI57"/>
    <mergeCell ref="DJ57:DK57"/>
    <mergeCell ref="F58:J58"/>
    <mergeCell ref="K58:N58"/>
    <mergeCell ref="P58:S58"/>
    <mergeCell ref="T58:W58"/>
    <mergeCell ref="X58:AB58"/>
    <mergeCell ref="AD58:AH58"/>
    <mergeCell ref="AI58:AL58"/>
    <mergeCell ref="DD57:DE57"/>
    <mergeCell ref="AM58:AR58"/>
    <mergeCell ref="AS58:AV58"/>
    <mergeCell ref="AX58:BA58"/>
    <mergeCell ref="BB58:BE58"/>
    <mergeCell ref="BF58:BJ58"/>
    <mergeCell ref="BL58:BP58"/>
    <mergeCell ref="BQ58:BT58"/>
    <mergeCell ref="BE61:BT61"/>
    <mergeCell ref="DJ63:DK63"/>
    <mergeCell ref="F64:H64"/>
    <mergeCell ref="I64:L64"/>
    <mergeCell ref="DD58:DE58"/>
    <mergeCell ref="AI59:AL59"/>
    <mergeCell ref="AM59:AR59"/>
    <mergeCell ref="AS59:AV59"/>
    <mergeCell ref="AX59:BA59"/>
    <mergeCell ref="BB59:BE59"/>
    <mergeCell ref="C58:E59"/>
    <mergeCell ref="BL59:BP59"/>
    <mergeCell ref="BQ59:BT59"/>
    <mergeCell ref="C61:L61"/>
    <mergeCell ref="M61:Q61"/>
    <mergeCell ref="R61:V61"/>
    <mergeCell ref="W61:Z61"/>
    <mergeCell ref="AA61:AF61"/>
    <mergeCell ref="AG61:AR61"/>
    <mergeCell ref="AS61:BD61"/>
    <mergeCell ref="AD59:AH59"/>
    <mergeCell ref="DD54:DE54"/>
    <mergeCell ref="C56:E56"/>
    <mergeCell ref="Q56:S56"/>
    <mergeCell ref="T56:V56"/>
    <mergeCell ref="AA56:AC56"/>
    <mergeCell ref="BA55:BD55"/>
    <mergeCell ref="Z53:Z55"/>
    <mergeCell ref="AA53:AF53"/>
    <mergeCell ref="BA53:BD53"/>
    <mergeCell ref="AO62:AR62"/>
    <mergeCell ref="AS62:AV62"/>
    <mergeCell ref="AW62:AZ62"/>
    <mergeCell ref="BA62:BD62"/>
    <mergeCell ref="BE62:BL62"/>
    <mergeCell ref="C62:Q62"/>
    <mergeCell ref="R62:S62"/>
    <mergeCell ref="U62:V62"/>
    <mergeCell ref="BM62:BT62"/>
    <mergeCell ref="F63:H63"/>
    <mergeCell ref="I63:L63"/>
    <mergeCell ref="M63:P63"/>
    <mergeCell ref="Q63:S63"/>
    <mergeCell ref="T63:V63"/>
    <mergeCell ref="AA63:AC63"/>
    <mergeCell ref="AD63:AF63"/>
    <mergeCell ref="AG63:AR63"/>
    <mergeCell ref="AK62:AN62"/>
    <mergeCell ref="AS63:BD63"/>
    <mergeCell ref="BE63:BH63"/>
    <mergeCell ref="BI63:BL63"/>
    <mergeCell ref="BM63:BP63"/>
    <mergeCell ref="BQ63:BT63"/>
    <mergeCell ref="C63:E64"/>
    <mergeCell ref="M64:P64"/>
    <mergeCell ref="Q64:S64"/>
    <mergeCell ref="T64:V64"/>
    <mergeCell ref="AA64:AC64"/>
    <mergeCell ref="AD64:AF64"/>
    <mergeCell ref="DF63:DG63"/>
    <mergeCell ref="DH63:DI63"/>
    <mergeCell ref="AS65:AT65"/>
    <mergeCell ref="AU65:AV65"/>
    <mergeCell ref="AW65:AX65"/>
    <mergeCell ref="AY65:AZ65"/>
    <mergeCell ref="AA65:AC65"/>
    <mergeCell ref="AD65:AF65"/>
    <mergeCell ref="BE64:BH64"/>
    <mergeCell ref="BI64:BL64"/>
    <mergeCell ref="BM64:BP64"/>
    <mergeCell ref="BQ64:BT64"/>
    <mergeCell ref="AG64:AJ64"/>
    <mergeCell ref="AK64:AN64"/>
    <mergeCell ref="AO64:AR64"/>
    <mergeCell ref="AS64:AV64"/>
    <mergeCell ref="DJ64:DK64"/>
    <mergeCell ref="DD64:DE64"/>
    <mergeCell ref="DF64:DG64"/>
    <mergeCell ref="AW64:AZ64"/>
    <mergeCell ref="BA64:BD64"/>
    <mergeCell ref="DD63:DE63"/>
    <mergeCell ref="C65:E65"/>
    <mergeCell ref="F65:H65"/>
    <mergeCell ref="I65:L65"/>
    <mergeCell ref="M65:P65"/>
    <mergeCell ref="Q65:S65"/>
    <mergeCell ref="T65:V65"/>
    <mergeCell ref="AK65:AL65"/>
    <mergeCell ref="AM65:AN65"/>
    <mergeCell ref="AO65:AP65"/>
    <mergeCell ref="AQ65:AR65"/>
    <mergeCell ref="DH64:DI64"/>
    <mergeCell ref="DD66:DE66"/>
    <mergeCell ref="DF66:DG66"/>
    <mergeCell ref="DH66:DI66"/>
    <mergeCell ref="DJ66:DK66"/>
    <mergeCell ref="BC66:BD66"/>
    <mergeCell ref="BE66:BT66"/>
    <mergeCell ref="AF66:AH66"/>
    <mergeCell ref="DF65:DG65"/>
    <mergeCell ref="DH65:DI65"/>
    <mergeCell ref="DJ65:DK65"/>
    <mergeCell ref="BE65:BF65"/>
    <mergeCell ref="BG65:BH65"/>
    <mergeCell ref="BI65:BJ65"/>
    <mergeCell ref="BK65:BL65"/>
    <mergeCell ref="BM65:BN65"/>
    <mergeCell ref="BO65:BP65"/>
    <mergeCell ref="BQ65:BR65"/>
    <mergeCell ref="BS65:BT65"/>
    <mergeCell ref="DD65:DE65"/>
    <mergeCell ref="AG65:AH65"/>
    <mergeCell ref="AI65:AJ65"/>
    <mergeCell ref="AI66:AM66"/>
    <mergeCell ref="C66:G66"/>
    <mergeCell ref="H66:N66"/>
    <mergeCell ref="P66:V66"/>
    <mergeCell ref="W66:AA66"/>
    <mergeCell ref="AB66:AD66"/>
    <mergeCell ref="AD68:AH68"/>
    <mergeCell ref="AI68:AL68"/>
    <mergeCell ref="AM68:AR68"/>
    <mergeCell ref="AS72:BD72"/>
    <mergeCell ref="BE72:BH72"/>
    <mergeCell ref="BI72:BL72"/>
    <mergeCell ref="BM72:BP72"/>
    <mergeCell ref="BA71:BD71"/>
    <mergeCell ref="AG70:AR70"/>
    <mergeCell ref="BB67:BE67"/>
    <mergeCell ref="BF67:BJ67"/>
    <mergeCell ref="BL67:BP67"/>
    <mergeCell ref="AS68:AV68"/>
    <mergeCell ref="AX68:BA68"/>
    <mergeCell ref="BB68:BE68"/>
    <mergeCell ref="BE71:BL71"/>
    <mergeCell ref="BM71:BT71"/>
    <mergeCell ref="C67:E68"/>
    <mergeCell ref="F68:J68"/>
    <mergeCell ref="K68:N68"/>
    <mergeCell ref="P68:S68"/>
    <mergeCell ref="T68:W68"/>
    <mergeCell ref="X68:AB68"/>
    <mergeCell ref="X67:AB67"/>
    <mergeCell ref="AD67:AH67"/>
    <mergeCell ref="AI67:AL67"/>
    <mergeCell ref="AM67:AR67"/>
    <mergeCell ref="BA65:BB65"/>
    <mergeCell ref="BC65:BD65"/>
    <mergeCell ref="DH73:DI73"/>
    <mergeCell ref="DJ73:DK73"/>
    <mergeCell ref="AS70:BD70"/>
    <mergeCell ref="BE70:BT70"/>
    <mergeCell ref="C71:Q71"/>
    <mergeCell ref="R71:S71"/>
    <mergeCell ref="U71:V71"/>
    <mergeCell ref="W71:W73"/>
    <mergeCell ref="X71:X73"/>
    <mergeCell ref="AS67:AV67"/>
    <mergeCell ref="AX67:BA67"/>
    <mergeCell ref="AD72:AF72"/>
    <mergeCell ref="AG71:AJ71"/>
    <mergeCell ref="AK71:AN71"/>
    <mergeCell ref="AO71:AR71"/>
    <mergeCell ref="AS71:AV71"/>
    <mergeCell ref="AW71:AZ71"/>
    <mergeCell ref="F67:J67"/>
    <mergeCell ref="BQ67:BT67"/>
    <mergeCell ref="DD67:DE67"/>
    <mergeCell ref="DF67:DG67"/>
    <mergeCell ref="DH67:DI67"/>
    <mergeCell ref="DJ67:DK67"/>
    <mergeCell ref="K67:N67"/>
    <mergeCell ref="P67:S67"/>
    <mergeCell ref="T67:W67"/>
    <mergeCell ref="DH72:DI72"/>
    <mergeCell ref="DJ72:DK72"/>
    <mergeCell ref="M72:P72"/>
    <mergeCell ref="C74:E74"/>
    <mergeCell ref="F74:H74"/>
    <mergeCell ref="I74:L74"/>
    <mergeCell ref="M74:P74"/>
    <mergeCell ref="Q74:S74"/>
    <mergeCell ref="T74:V74"/>
    <mergeCell ref="Y71:Y73"/>
    <mergeCell ref="Z71:Z73"/>
    <mergeCell ref="AA71:AF71"/>
    <mergeCell ref="C70:L70"/>
    <mergeCell ref="M70:Q70"/>
    <mergeCell ref="R70:V70"/>
    <mergeCell ref="W70:Z70"/>
    <mergeCell ref="AA70:AF70"/>
    <mergeCell ref="C72:E73"/>
    <mergeCell ref="DF73:DG73"/>
    <mergeCell ref="DD72:DE72"/>
    <mergeCell ref="DF72:DG72"/>
    <mergeCell ref="T73:V73"/>
    <mergeCell ref="AA73:AC73"/>
    <mergeCell ref="AG72:AR72"/>
    <mergeCell ref="F73:H73"/>
    <mergeCell ref="I73:L73"/>
    <mergeCell ref="M73:P73"/>
    <mergeCell ref="Q73:S73"/>
    <mergeCell ref="BQ74:BR74"/>
    <mergeCell ref="AI74:AJ74"/>
    <mergeCell ref="AK74:AL74"/>
    <mergeCell ref="AM74:AN74"/>
    <mergeCell ref="AO74:AP74"/>
    <mergeCell ref="F72:H72"/>
    <mergeCell ref="I72:L72"/>
    <mergeCell ref="Q72:S72"/>
    <mergeCell ref="T72:V72"/>
    <mergeCell ref="AA72:AC72"/>
    <mergeCell ref="DD73:DE73"/>
    <mergeCell ref="AD73:AF73"/>
    <mergeCell ref="AG73:AJ73"/>
    <mergeCell ref="AK73:AN73"/>
    <mergeCell ref="AO73:AR73"/>
    <mergeCell ref="AS73:AV73"/>
    <mergeCell ref="AW73:AZ73"/>
    <mergeCell ref="AA74:AC74"/>
    <mergeCell ref="BA73:BD73"/>
    <mergeCell ref="BE73:BH73"/>
    <mergeCell ref="BI73:BL73"/>
    <mergeCell ref="BM73:BP73"/>
    <mergeCell ref="BQ73:BT73"/>
    <mergeCell ref="BQ72:BT72"/>
    <mergeCell ref="AG74:AH74"/>
    <mergeCell ref="DH76:DI76"/>
    <mergeCell ref="DJ76:DK76"/>
    <mergeCell ref="F77:J77"/>
    <mergeCell ref="K77:N77"/>
    <mergeCell ref="P77:S77"/>
    <mergeCell ref="T77:W77"/>
    <mergeCell ref="X77:AB77"/>
    <mergeCell ref="AM76:AR76"/>
    <mergeCell ref="BS74:BT74"/>
    <mergeCell ref="DD74:DE74"/>
    <mergeCell ref="DF74:DG74"/>
    <mergeCell ref="DH74:DI74"/>
    <mergeCell ref="BC74:BD74"/>
    <mergeCell ref="BE74:BF74"/>
    <mergeCell ref="BG74:BH74"/>
    <mergeCell ref="BI74:BJ74"/>
    <mergeCell ref="BK74:BL74"/>
    <mergeCell ref="BM74:BN74"/>
    <mergeCell ref="P75:V75"/>
    <mergeCell ref="W75:AA75"/>
    <mergeCell ref="AB75:AD75"/>
    <mergeCell ref="AF75:AH75"/>
    <mergeCell ref="AI75:AM75"/>
    <mergeCell ref="BO74:BP74"/>
    <mergeCell ref="AQ74:AR74"/>
    <mergeCell ref="AS74:AT74"/>
    <mergeCell ref="AU74:AV74"/>
    <mergeCell ref="AW74:AX74"/>
    <mergeCell ref="DJ74:DK74"/>
    <mergeCell ref="AY74:AZ74"/>
    <mergeCell ref="BA74:BB74"/>
    <mergeCell ref="AD74:AF74"/>
    <mergeCell ref="C75:G75"/>
    <mergeCell ref="H75:N75"/>
    <mergeCell ref="BE80:BT80"/>
    <mergeCell ref="C81:Q81"/>
    <mergeCell ref="R81:S81"/>
    <mergeCell ref="U81:V81"/>
    <mergeCell ref="W81:W83"/>
    <mergeCell ref="X81:X83"/>
    <mergeCell ref="Y81:Y83"/>
    <mergeCell ref="Z81:Z83"/>
    <mergeCell ref="DJ75:DK75"/>
    <mergeCell ref="F76:J76"/>
    <mergeCell ref="K76:N76"/>
    <mergeCell ref="P76:S76"/>
    <mergeCell ref="T76:W76"/>
    <mergeCell ref="X76:AB76"/>
    <mergeCell ref="AD76:AH76"/>
    <mergeCell ref="AI76:AL76"/>
    <mergeCell ref="DD75:DE75"/>
    <mergeCell ref="DF75:DG75"/>
    <mergeCell ref="AS76:AV76"/>
    <mergeCell ref="AX76:BA76"/>
    <mergeCell ref="BB76:BE76"/>
    <mergeCell ref="BF76:BJ76"/>
    <mergeCell ref="BL76:BP76"/>
    <mergeCell ref="DH75:DI75"/>
    <mergeCell ref="AR75:AY75"/>
    <mergeCell ref="AZ75:BA75"/>
    <mergeCell ref="BC75:BD75"/>
    <mergeCell ref="BE75:BT75"/>
    <mergeCell ref="DD76:DE76"/>
    <mergeCell ref="DF76:DG76"/>
    <mergeCell ref="C76:E77"/>
    <mergeCell ref="BQ76:BT76"/>
    <mergeCell ref="M83:P83"/>
    <mergeCell ref="Q83:S83"/>
    <mergeCell ref="T83:V83"/>
    <mergeCell ref="AA83:AC83"/>
    <mergeCell ref="AS82:BD82"/>
    <mergeCell ref="BE82:BH82"/>
    <mergeCell ref="BI82:BL82"/>
    <mergeCell ref="BM82:BP82"/>
    <mergeCell ref="AG80:AR80"/>
    <mergeCell ref="AS80:BD80"/>
    <mergeCell ref="AD77:AH77"/>
    <mergeCell ref="AI77:AL77"/>
    <mergeCell ref="AM77:AR77"/>
    <mergeCell ref="AS77:AV77"/>
    <mergeCell ref="AX77:BA77"/>
    <mergeCell ref="BB77:BE77"/>
    <mergeCell ref="AA81:AF81"/>
    <mergeCell ref="AG81:AJ81"/>
    <mergeCell ref="BF77:BJ77"/>
    <mergeCell ref="BL77:BP77"/>
    <mergeCell ref="BQ77:BT77"/>
    <mergeCell ref="C80:L80"/>
    <mergeCell ref="M80:Q80"/>
    <mergeCell ref="R80:V80"/>
    <mergeCell ref="W80:Z80"/>
    <mergeCell ref="AA80:AF80"/>
    <mergeCell ref="AD83:AF83"/>
    <mergeCell ref="BE81:BL81"/>
    <mergeCell ref="DH83:DI83"/>
    <mergeCell ref="DJ83:DK83"/>
    <mergeCell ref="C84:E84"/>
    <mergeCell ref="F84:H84"/>
    <mergeCell ref="I84:L84"/>
    <mergeCell ref="M84:P84"/>
    <mergeCell ref="Q84:S84"/>
    <mergeCell ref="T84:V84"/>
    <mergeCell ref="AA84:AC84"/>
    <mergeCell ref="AG82:AR82"/>
    <mergeCell ref="AK81:AN81"/>
    <mergeCell ref="AO81:AR81"/>
    <mergeCell ref="AS81:AV81"/>
    <mergeCell ref="AW81:AZ81"/>
    <mergeCell ref="BA81:BD81"/>
    <mergeCell ref="BQ82:BT82"/>
    <mergeCell ref="DD82:DE82"/>
    <mergeCell ref="BM81:BT81"/>
    <mergeCell ref="F82:H82"/>
    <mergeCell ref="I82:L82"/>
    <mergeCell ref="M82:P82"/>
    <mergeCell ref="Q82:S82"/>
    <mergeCell ref="T82:V82"/>
    <mergeCell ref="AA82:AC82"/>
    <mergeCell ref="AD82:AF82"/>
    <mergeCell ref="DJ82:DK82"/>
    <mergeCell ref="F83:H83"/>
    <mergeCell ref="I83:L83"/>
    <mergeCell ref="C85:G85"/>
    <mergeCell ref="H85:N85"/>
    <mergeCell ref="P85:V85"/>
    <mergeCell ref="W85:AA85"/>
    <mergeCell ref="AB85:AD85"/>
    <mergeCell ref="C82:E83"/>
    <mergeCell ref="BQ84:BR84"/>
    <mergeCell ref="BS84:BT84"/>
    <mergeCell ref="DD84:DE84"/>
    <mergeCell ref="DF82:DG82"/>
    <mergeCell ref="DH82:DI82"/>
    <mergeCell ref="AS84:AT84"/>
    <mergeCell ref="AU84:AV84"/>
    <mergeCell ref="AW84:AX84"/>
    <mergeCell ref="AY84:AZ84"/>
    <mergeCell ref="DF83:DG83"/>
    <mergeCell ref="AG83:AJ83"/>
    <mergeCell ref="AK83:AN83"/>
    <mergeCell ref="AO83:AR83"/>
    <mergeCell ref="AS83:AV83"/>
    <mergeCell ref="AW83:AZ83"/>
    <mergeCell ref="BA83:BD83"/>
    <mergeCell ref="AD84:AF84"/>
    <mergeCell ref="BE83:BH83"/>
    <mergeCell ref="BI83:BL83"/>
    <mergeCell ref="BM83:BP83"/>
    <mergeCell ref="BQ83:BT83"/>
    <mergeCell ref="DD85:DE85"/>
    <mergeCell ref="DF85:DG85"/>
    <mergeCell ref="DH85:DI85"/>
    <mergeCell ref="DD83:DE83"/>
    <mergeCell ref="BA84:BB84"/>
    <mergeCell ref="DJ85:DK85"/>
    <mergeCell ref="AG84:AH84"/>
    <mergeCell ref="AI84:AJ84"/>
    <mergeCell ref="AK84:AL84"/>
    <mergeCell ref="AM84:AN84"/>
    <mergeCell ref="AO84:AP84"/>
    <mergeCell ref="AQ84:AR84"/>
    <mergeCell ref="AF85:AH85"/>
    <mergeCell ref="DF84:DG84"/>
    <mergeCell ref="DH84:DI84"/>
    <mergeCell ref="DJ84:DK84"/>
    <mergeCell ref="BE84:BF84"/>
    <mergeCell ref="BG84:BH84"/>
    <mergeCell ref="BI84:BJ84"/>
    <mergeCell ref="BK84:BL84"/>
    <mergeCell ref="BM84:BN84"/>
    <mergeCell ref="BO84:BP84"/>
    <mergeCell ref="AR85:AY85"/>
    <mergeCell ref="AZ85:BA85"/>
    <mergeCell ref="BC85:BD85"/>
    <mergeCell ref="BE85:BT85"/>
    <mergeCell ref="AI85:AM85"/>
    <mergeCell ref="BC84:BD84"/>
    <mergeCell ref="X86:AB86"/>
    <mergeCell ref="AD86:AH86"/>
    <mergeCell ref="AI86:AL86"/>
    <mergeCell ref="AM86:AR86"/>
    <mergeCell ref="AS86:AV86"/>
    <mergeCell ref="AX86:BA86"/>
    <mergeCell ref="BB86:BE86"/>
    <mergeCell ref="BF86:BJ86"/>
    <mergeCell ref="BL86:BP86"/>
    <mergeCell ref="BQ86:BT86"/>
    <mergeCell ref="DD86:DE86"/>
    <mergeCell ref="DF86:DG86"/>
    <mergeCell ref="DH86:DI86"/>
    <mergeCell ref="DJ86:DK86"/>
    <mergeCell ref="F87:J87"/>
    <mergeCell ref="K87:N87"/>
    <mergeCell ref="P87:S87"/>
    <mergeCell ref="T87:W87"/>
    <mergeCell ref="X87:AB87"/>
    <mergeCell ref="AD87:AH87"/>
    <mergeCell ref="AI87:AL87"/>
    <mergeCell ref="AM87:AR87"/>
    <mergeCell ref="C86:E87"/>
    <mergeCell ref="T92:V92"/>
    <mergeCell ref="AA92:AC92"/>
    <mergeCell ref="AG91:AR91"/>
    <mergeCell ref="AS91:BD91"/>
    <mergeCell ref="BE91:BH91"/>
    <mergeCell ref="BI91:BL91"/>
    <mergeCell ref="Z90:Z92"/>
    <mergeCell ref="AA90:AF90"/>
    <mergeCell ref="C89:L89"/>
    <mergeCell ref="M89:Q89"/>
    <mergeCell ref="R89:V89"/>
    <mergeCell ref="W89:Z89"/>
    <mergeCell ref="AA89:AF89"/>
    <mergeCell ref="AD91:AF91"/>
    <mergeCell ref="AD92:AF92"/>
    <mergeCell ref="C90:Q90"/>
    <mergeCell ref="R90:S90"/>
    <mergeCell ref="U90:V90"/>
    <mergeCell ref="W90:W92"/>
    <mergeCell ref="X90:X92"/>
    <mergeCell ref="Y90:Y92"/>
    <mergeCell ref="F86:J86"/>
    <mergeCell ref="K86:N86"/>
    <mergeCell ref="P86:S86"/>
    <mergeCell ref="T86:W86"/>
    <mergeCell ref="AS89:BD89"/>
    <mergeCell ref="BE89:BT89"/>
    <mergeCell ref="AG89:AR89"/>
    <mergeCell ref="AS87:AV87"/>
    <mergeCell ref="AX87:BA87"/>
    <mergeCell ref="BB87:BE87"/>
    <mergeCell ref="AG90:AJ90"/>
    <mergeCell ref="AK90:AN90"/>
    <mergeCell ref="AO90:AR90"/>
    <mergeCell ref="AS90:AV90"/>
    <mergeCell ref="AW90:AZ90"/>
    <mergeCell ref="BA90:BD90"/>
    <mergeCell ref="BM91:BP91"/>
    <mergeCell ref="BQ91:BT91"/>
    <mergeCell ref="BE90:BL90"/>
    <mergeCell ref="BM90:BT90"/>
    <mergeCell ref="F91:H91"/>
    <mergeCell ref="I91:L91"/>
    <mergeCell ref="M91:P91"/>
    <mergeCell ref="Q91:S91"/>
    <mergeCell ref="T91:V91"/>
    <mergeCell ref="AA91:AC91"/>
    <mergeCell ref="BF87:BJ87"/>
    <mergeCell ref="BL87:BP87"/>
    <mergeCell ref="BQ87:BT87"/>
    <mergeCell ref="DJ92:DK92"/>
    <mergeCell ref="C93:E93"/>
    <mergeCell ref="F93:H93"/>
    <mergeCell ref="I93:L93"/>
    <mergeCell ref="M93:P93"/>
    <mergeCell ref="Q93:S93"/>
    <mergeCell ref="T93:V93"/>
    <mergeCell ref="AA93:AC93"/>
    <mergeCell ref="DJ93:DK93"/>
    <mergeCell ref="DD91:DE91"/>
    <mergeCell ref="DF91:DG91"/>
    <mergeCell ref="DH91:DI91"/>
    <mergeCell ref="DJ91:DK91"/>
    <mergeCell ref="F92:H92"/>
    <mergeCell ref="I92:L92"/>
    <mergeCell ref="M92:P92"/>
    <mergeCell ref="Q92:S92"/>
    <mergeCell ref="BQ93:BR93"/>
    <mergeCell ref="AY93:AZ93"/>
    <mergeCell ref="BA93:BB93"/>
    <mergeCell ref="AD93:AF93"/>
    <mergeCell ref="AG93:AH93"/>
    <mergeCell ref="AI93:AJ93"/>
    <mergeCell ref="AG92:AJ92"/>
    <mergeCell ref="AK92:AN92"/>
    <mergeCell ref="AO92:AR92"/>
    <mergeCell ref="AS92:AV92"/>
    <mergeCell ref="AW92:AZ92"/>
    <mergeCell ref="BS93:BT93"/>
    <mergeCell ref="DD93:DE93"/>
    <mergeCell ref="DF93:DG93"/>
    <mergeCell ref="DH93:DI93"/>
    <mergeCell ref="BC93:BD93"/>
    <mergeCell ref="BE93:BF93"/>
    <mergeCell ref="BG93:BH93"/>
    <mergeCell ref="BI93:BJ93"/>
    <mergeCell ref="BK93:BL93"/>
    <mergeCell ref="BM93:BN93"/>
    <mergeCell ref="C91:E92"/>
    <mergeCell ref="BA92:BD92"/>
    <mergeCell ref="BE92:BH92"/>
    <mergeCell ref="BI92:BL92"/>
    <mergeCell ref="BM92:BP92"/>
    <mergeCell ref="BQ92:BT92"/>
    <mergeCell ref="DD92:DE92"/>
    <mergeCell ref="DF92:DG92"/>
    <mergeCell ref="DH92:DI92"/>
    <mergeCell ref="BO93:BP93"/>
    <mergeCell ref="AQ93:AR93"/>
    <mergeCell ref="AS93:AT93"/>
    <mergeCell ref="AU93:AV93"/>
    <mergeCell ref="AW93:AX93"/>
    <mergeCell ref="AK93:AL93"/>
    <mergeCell ref="AM93:AN93"/>
    <mergeCell ref="AO93:AP93"/>
    <mergeCell ref="BE98:BT98"/>
    <mergeCell ref="C99:Q99"/>
    <mergeCell ref="R99:S99"/>
    <mergeCell ref="U99:V99"/>
    <mergeCell ref="W99:W101"/>
    <mergeCell ref="X99:X101"/>
    <mergeCell ref="Y99:Y101"/>
    <mergeCell ref="Z99:Z101"/>
    <mergeCell ref="F96:J96"/>
    <mergeCell ref="K96:N96"/>
    <mergeCell ref="C95:E96"/>
    <mergeCell ref="M101:P101"/>
    <mergeCell ref="Q101:S101"/>
    <mergeCell ref="T101:V101"/>
    <mergeCell ref="AA101:AC101"/>
    <mergeCell ref="AS100:BD100"/>
    <mergeCell ref="BE100:BH100"/>
    <mergeCell ref="BI100:BL100"/>
    <mergeCell ref="BM100:BP100"/>
    <mergeCell ref="AG98:AR98"/>
    <mergeCell ref="AS98:BD98"/>
    <mergeCell ref="AD96:AH96"/>
    <mergeCell ref="AI96:AL96"/>
    <mergeCell ref="AM96:AR96"/>
    <mergeCell ref="AS96:AV96"/>
    <mergeCell ref="AX96:BA96"/>
    <mergeCell ref="BB96:BE96"/>
    <mergeCell ref="AA99:AF99"/>
    <mergeCell ref="AG99:AJ99"/>
    <mergeCell ref="BF96:BJ96"/>
    <mergeCell ref="BL96:BP96"/>
    <mergeCell ref="BQ96:BT96"/>
    <mergeCell ref="DJ94:DK94"/>
    <mergeCell ref="F95:J95"/>
    <mergeCell ref="K95:N95"/>
    <mergeCell ref="P95:S95"/>
    <mergeCell ref="T95:W95"/>
    <mergeCell ref="X95:AB95"/>
    <mergeCell ref="AD95:AH95"/>
    <mergeCell ref="AI95:AL95"/>
    <mergeCell ref="DD94:DE94"/>
    <mergeCell ref="DF94:DG94"/>
    <mergeCell ref="AS95:AV95"/>
    <mergeCell ref="AX95:BA95"/>
    <mergeCell ref="BB95:BE95"/>
    <mergeCell ref="BF95:BJ95"/>
    <mergeCell ref="BL95:BP95"/>
    <mergeCell ref="DH94:DI94"/>
    <mergeCell ref="DD95:DE95"/>
    <mergeCell ref="DF95:DG95"/>
    <mergeCell ref="DH95:DI95"/>
    <mergeCell ref="DJ95:DK95"/>
    <mergeCell ref="BQ95:BT95"/>
    <mergeCell ref="AM95:AR95"/>
    <mergeCell ref="AZ94:BA94"/>
    <mergeCell ref="BC94:BD94"/>
    <mergeCell ref="BE94:BT94"/>
    <mergeCell ref="P94:V94"/>
    <mergeCell ref="W94:AA94"/>
    <mergeCell ref="AB94:AD94"/>
    <mergeCell ref="AF94:AH94"/>
    <mergeCell ref="AI94:AM94"/>
    <mergeCell ref="C94:G94"/>
    <mergeCell ref="H94:N94"/>
    <mergeCell ref="C98:L98"/>
    <mergeCell ref="M98:Q98"/>
    <mergeCell ref="R98:V98"/>
    <mergeCell ref="W98:Z98"/>
    <mergeCell ref="AA98:AF98"/>
    <mergeCell ref="P96:S96"/>
    <mergeCell ref="T96:W96"/>
    <mergeCell ref="X96:AB96"/>
    <mergeCell ref="DD101:DE101"/>
    <mergeCell ref="BA102:BB102"/>
    <mergeCell ref="BC102:BD102"/>
    <mergeCell ref="BE99:BL99"/>
    <mergeCell ref="DH101:DI101"/>
    <mergeCell ref="DJ101:DK101"/>
    <mergeCell ref="C102:E102"/>
    <mergeCell ref="F102:H102"/>
    <mergeCell ref="I102:L102"/>
    <mergeCell ref="M102:P102"/>
    <mergeCell ref="Q102:S102"/>
    <mergeCell ref="T102:V102"/>
    <mergeCell ref="AA102:AC102"/>
    <mergeCell ref="AG100:AR100"/>
    <mergeCell ref="AK99:AN99"/>
    <mergeCell ref="AO99:AR99"/>
    <mergeCell ref="AS99:AV99"/>
    <mergeCell ref="AW99:AZ99"/>
    <mergeCell ref="BA99:BD99"/>
    <mergeCell ref="BQ100:BT100"/>
    <mergeCell ref="DD100:DE100"/>
    <mergeCell ref="BM99:BT99"/>
    <mergeCell ref="F100:H100"/>
    <mergeCell ref="I100:L100"/>
    <mergeCell ref="M100:P100"/>
    <mergeCell ref="Q100:S100"/>
    <mergeCell ref="T100:V100"/>
    <mergeCell ref="AA100:AC100"/>
    <mergeCell ref="AD100:AF100"/>
    <mergeCell ref="DJ100:DK100"/>
    <mergeCell ref="F101:H101"/>
    <mergeCell ref="I101:L101"/>
    <mergeCell ref="AD101:AF101"/>
    <mergeCell ref="AI103:AM103"/>
    <mergeCell ref="C103:G103"/>
    <mergeCell ref="H103:N103"/>
    <mergeCell ref="P103:V103"/>
    <mergeCell ref="W103:AA103"/>
    <mergeCell ref="AB103:AD103"/>
    <mergeCell ref="C100:E101"/>
    <mergeCell ref="BQ102:BR102"/>
    <mergeCell ref="BS102:BT102"/>
    <mergeCell ref="DD102:DE102"/>
    <mergeCell ref="DF100:DG100"/>
    <mergeCell ref="DH100:DI100"/>
    <mergeCell ref="AS102:AT102"/>
    <mergeCell ref="AU102:AV102"/>
    <mergeCell ref="AW102:AX102"/>
    <mergeCell ref="AY102:AZ102"/>
    <mergeCell ref="DF101:DG101"/>
    <mergeCell ref="AG101:AJ101"/>
    <mergeCell ref="AK101:AN101"/>
    <mergeCell ref="AO101:AR101"/>
    <mergeCell ref="AS101:AV101"/>
    <mergeCell ref="AW101:AZ101"/>
    <mergeCell ref="BA101:BD101"/>
    <mergeCell ref="AD102:AF102"/>
    <mergeCell ref="BE101:BH101"/>
    <mergeCell ref="BI101:BL101"/>
    <mergeCell ref="BM101:BP101"/>
    <mergeCell ref="BQ101:BT101"/>
    <mergeCell ref="AZ103:BA103"/>
    <mergeCell ref="BC103:BD103"/>
    <mergeCell ref="BE103:BT103"/>
    <mergeCell ref="DD103:DE103"/>
    <mergeCell ref="DF103:DG103"/>
    <mergeCell ref="DH103:DI103"/>
    <mergeCell ref="DJ103:DK103"/>
    <mergeCell ref="AG102:AH102"/>
    <mergeCell ref="AI102:AJ102"/>
    <mergeCell ref="AK102:AL102"/>
    <mergeCell ref="AM102:AN102"/>
    <mergeCell ref="AO102:AP102"/>
    <mergeCell ref="AQ102:AR102"/>
    <mergeCell ref="AF103:AH103"/>
    <mergeCell ref="DF102:DG102"/>
    <mergeCell ref="DH102:DI102"/>
    <mergeCell ref="DJ102:DK102"/>
    <mergeCell ref="BE102:BF102"/>
    <mergeCell ref="BG102:BH102"/>
    <mergeCell ref="BI102:BJ102"/>
    <mergeCell ref="BK102:BL102"/>
    <mergeCell ref="BM102:BN102"/>
    <mergeCell ref="BO102:BP102"/>
    <mergeCell ref="AR103:AY103"/>
    <mergeCell ref="AN103:AQ103"/>
    <mergeCell ref="DD104:DE104"/>
    <mergeCell ref="DF104:DG104"/>
    <mergeCell ref="X104:AB104"/>
    <mergeCell ref="AD104:AH104"/>
    <mergeCell ref="AI104:AL104"/>
    <mergeCell ref="AM104:AR104"/>
    <mergeCell ref="AS104:AV104"/>
    <mergeCell ref="C107:L107"/>
    <mergeCell ref="M107:Q107"/>
    <mergeCell ref="DJ104:DK104"/>
    <mergeCell ref="F105:J105"/>
    <mergeCell ref="K105:N105"/>
    <mergeCell ref="P105:S105"/>
    <mergeCell ref="T105:W105"/>
    <mergeCell ref="X105:AB105"/>
    <mergeCell ref="AD105:AH105"/>
    <mergeCell ref="AI105:AL105"/>
    <mergeCell ref="AM105:AR105"/>
    <mergeCell ref="BB104:BE104"/>
    <mergeCell ref="DH104:DI104"/>
    <mergeCell ref="BB105:BE105"/>
    <mergeCell ref="BF105:BJ105"/>
    <mergeCell ref="BL105:BP105"/>
    <mergeCell ref="BQ105:BT105"/>
    <mergeCell ref="C104:E105"/>
    <mergeCell ref="BE109:BH109"/>
    <mergeCell ref="AX104:BA104"/>
    <mergeCell ref="F104:J104"/>
    <mergeCell ref="K104:N104"/>
    <mergeCell ref="P104:S104"/>
    <mergeCell ref="T104:W104"/>
    <mergeCell ref="AS105:AV105"/>
    <mergeCell ref="AX105:BA105"/>
    <mergeCell ref="BF104:BJ104"/>
    <mergeCell ref="BL104:BP104"/>
    <mergeCell ref="BQ104:BT104"/>
    <mergeCell ref="AW110:AZ110"/>
    <mergeCell ref="AS107:BD107"/>
    <mergeCell ref="BE107:BT107"/>
    <mergeCell ref="C108:Q108"/>
    <mergeCell ref="R108:S108"/>
    <mergeCell ref="U108:V108"/>
    <mergeCell ref="W108:W110"/>
    <mergeCell ref="X108:X110"/>
    <mergeCell ref="Y108:Y110"/>
    <mergeCell ref="Z108:Z110"/>
    <mergeCell ref="C109:E110"/>
    <mergeCell ref="AG108:AJ108"/>
    <mergeCell ref="AG107:AR107"/>
    <mergeCell ref="M111:P111"/>
    <mergeCell ref="Q111:S111"/>
    <mergeCell ref="T111:V111"/>
    <mergeCell ref="AA111:AC111"/>
    <mergeCell ref="AA108:AF108"/>
    <mergeCell ref="R107:V107"/>
    <mergeCell ref="W107:Z107"/>
    <mergeCell ref="AA107:AF107"/>
    <mergeCell ref="DJ110:DK110"/>
    <mergeCell ref="BI110:BL110"/>
    <mergeCell ref="BM110:BP110"/>
    <mergeCell ref="BQ110:BT110"/>
    <mergeCell ref="DD110:DE110"/>
    <mergeCell ref="AD110:AF110"/>
    <mergeCell ref="AG110:AJ110"/>
    <mergeCell ref="AK110:AN110"/>
    <mergeCell ref="AO110:AR110"/>
    <mergeCell ref="AS110:AV110"/>
    <mergeCell ref="BI109:BL109"/>
    <mergeCell ref="BM109:BP109"/>
    <mergeCell ref="BQ109:BT109"/>
    <mergeCell ref="BE108:BL108"/>
    <mergeCell ref="AK108:AN108"/>
    <mergeCell ref="AO108:AR108"/>
    <mergeCell ref="AS108:AV108"/>
    <mergeCell ref="AW108:AZ108"/>
    <mergeCell ref="BA108:BD108"/>
    <mergeCell ref="DF110:DG110"/>
    <mergeCell ref="DH110:DI110"/>
    <mergeCell ref="BM108:BT108"/>
    <mergeCell ref="DJ111:DK111"/>
    <mergeCell ref="DD109:DE109"/>
    <mergeCell ref="DF109:DG109"/>
    <mergeCell ref="DH109:DI109"/>
    <mergeCell ref="DJ109:DK109"/>
    <mergeCell ref="F110:H110"/>
    <mergeCell ref="AW111:AX111"/>
    <mergeCell ref="DH112:DI112"/>
    <mergeCell ref="DJ112:DK112"/>
    <mergeCell ref="F113:J113"/>
    <mergeCell ref="K113:N113"/>
    <mergeCell ref="P113:S113"/>
    <mergeCell ref="T113:W113"/>
    <mergeCell ref="X113:AB113"/>
    <mergeCell ref="AD113:AH113"/>
    <mergeCell ref="AI113:AL113"/>
    <mergeCell ref="DF111:DG111"/>
    <mergeCell ref="DH111:DI111"/>
    <mergeCell ref="BC111:BD111"/>
    <mergeCell ref="BE111:BF111"/>
    <mergeCell ref="BG111:BH111"/>
    <mergeCell ref="BI111:BJ111"/>
    <mergeCell ref="BK111:BL111"/>
    <mergeCell ref="BM111:BN111"/>
    <mergeCell ref="AD111:AF111"/>
    <mergeCell ref="AG111:AH111"/>
    <mergeCell ref="AI111:AJ111"/>
    <mergeCell ref="AK111:AL111"/>
    <mergeCell ref="AM111:AN111"/>
    <mergeCell ref="AS111:AT111"/>
    <mergeCell ref="AU111:AV111"/>
    <mergeCell ref="M109:P109"/>
    <mergeCell ref="BE112:BT112"/>
    <mergeCell ref="AY111:AZ111"/>
    <mergeCell ref="BA111:BB111"/>
    <mergeCell ref="AQ111:AR111"/>
    <mergeCell ref="DJ113:DK113"/>
    <mergeCell ref="F114:J114"/>
    <mergeCell ref="K114:N114"/>
    <mergeCell ref="P114:S114"/>
    <mergeCell ref="T114:W114"/>
    <mergeCell ref="X114:AB114"/>
    <mergeCell ref="AM113:AR113"/>
    <mergeCell ref="BB114:BE114"/>
    <mergeCell ref="C113:E114"/>
    <mergeCell ref="BQ113:BT113"/>
    <mergeCell ref="AD114:AH114"/>
    <mergeCell ref="AI114:AL114"/>
    <mergeCell ref="AM114:AR114"/>
    <mergeCell ref="AS114:AV114"/>
    <mergeCell ref="AX114:BA114"/>
    <mergeCell ref="AF112:AH112"/>
    <mergeCell ref="AI112:AM112"/>
    <mergeCell ref="BO111:BP111"/>
    <mergeCell ref="BQ111:BR111"/>
    <mergeCell ref="BS111:BT111"/>
    <mergeCell ref="DD111:DE111"/>
    <mergeCell ref="P112:V112"/>
    <mergeCell ref="W112:AA112"/>
    <mergeCell ref="AB112:AD112"/>
    <mergeCell ref="DD112:DE112"/>
    <mergeCell ref="AO111:AP111"/>
    <mergeCell ref="DF112:DG112"/>
    <mergeCell ref="C112:G112"/>
    <mergeCell ref="BQ114:BT114"/>
    <mergeCell ref="AN112:AQ112"/>
    <mergeCell ref="C117:Q117"/>
    <mergeCell ref="R117:S117"/>
    <mergeCell ref="U117:V117"/>
    <mergeCell ref="W117:W119"/>
    <mergeCell ref="X117:X119"/>
    <mergeCell ref="Y117:Y119"/>
    <mergeCell ref="Z117:Z119"/>
    <mergeCell ref="AD118:AF118"/>
    <mergeCell ref="AS118:BD118"/>
    <mergeCell ref="M118:P118"/>
    <mergeCell ref="Q118:S118"/>
    <mergeCell ref="T118:V118"/>
    <mergeCell ref="C111:E111"/>
    <mergeCell ref="F111:H111"/>
    <mergeCell ref="I111:L111"/>
    <mergeCell ref="F109:H109"/>
    <mergeCell ref="I109:L109"/>
    <mergeCell ref="AR112:AY112"/>
    <mergeCell ref="AZ112:BA112"/>
    <mergeCell ref="BC112:BD112"/>
    <mergeCell ref="I110:L110"/>
    <mergeCell ref="M110:P110"/>
    <mergeCell ref="Q110:S110"/>
    <mergeCell ref="H112:N112"/>
    <mergeCell ref="Q109:S109"/>
    <mergeCell ref="T109:V109"/>
    <mergeCell ref="AA109:AC109"/>
    <mergeCell ref="AD109:AF109"/>
    <mergeCell ref="T110:V110"/>
    <mergeCell ref="AA110:AC110"/>
    <mergeCell ref="AG109:AR109"/>
    <mergeCell ref="AS109:BD109"/>
    <mergeCell ref="AK120:AL120"/>
    <mergeCell ref="AM120:AN120"/>
    <mergeCell ref="AO120:AP120"/>
    <mergeCell ref="DF113:DG113"/>
    <mergeCell ref="DH113:DI113"/>
    <mergeCell ref="C116:L116"/>
    <mergeCell ref="M116:Q116"/>
    <mergeCell ref="R116:V116"/>
    <mergeCell ref="W116:Z116"/>
    <mergeCell ref="AA116:AF116"/>
    <mergeCell ref="AG116:AR116"/>
    <mergeCell ref="BA117:BD117"/>
    <mergeCell ref="M119:P119"/>
    <mergeCell ref="Q119:S119"/>
    <mergeCell ref="T119:V119"/>
    <mergeCell ref="AA119:AC119"/>
    <mergeCell ref="AS113:AV113"/>
    <mergeCell ref="AX113:BA113"/>
    <mergeCell ref="BB113:BE113"/>
    <mergeCell ref="AG118:AR118"/>
    <mergeCell ref="AK117:AN117"/>
    <mergeCell ref="AO117:AR117"/>
    <mergeCell ref="AS117:AV117"/>
    <mergeCell ref="AW117:AZ117"/>
    <mergeCell ref="AA117:AF117"/>
    <mergeCell ref="AG117:AJ117"/>
    <mergeCell ref="BF113:BJ113"/>
    <mergeCell ref="BL113:BP113"/>
    <mergeCell ref="DD118:DE118"/>
    <mergeCell ref="BM117:BT117"/>
    <mergeCell ref="BE117:BL117"/>
    <mergeCell ref="BE116:BT116"/>
    <mergeCell ref="AY120:AZ120"/>
    <mergeCell ref="DF119:DG119"/>
    <mergeCell ref="AG119:AJ119"/>
    <mergeCell ref="AK119:AN119"/>
    <mergeCell ref="AO119:AR119"/>
    <mergeCell ref="AS119:AV119"/>
    <mergeCell ref="AW119:AZ119"/>
    <mergeCell ref="BA119:BD119"/>
    <mergeCell ref="DJ119:DK119"/>
    <mergeCell ref="C120:E120"/>
    <mergeCell ref="F120:H120"/>
    <mergeCell ref="I120:L120"/>
    <mergeCell ref="F118:H118"/>
    <mergeCell ref="I118:L118"/>
    <mergeCell ref="DD113:DE113"/>
    <mergeCell ref="Q120:S120"/>
    <mergeCell ref="T120:V120"/>
    <mergeCell ref="AA120:AC120"/>
    <mergeCell ref="AD120:AF120"/>
    <mergeCell ref="BE119:BH119"/>
    <mergeCell ref="BQ118:BT118"/>
    <mergeCell ref="AS116:BD116"/>
    <mergeCell ref="BE118:BH118"/>
    <mergeCell ref="BI118:BL118"/>
    <mergeCell ref="BM118:BP118"/>
    <mergeCell ref="DH119:DI119"/>
    <mergeCell ref="BI119:BL119"/>
    <mergeCell ref="BM119:BP119"/>
    <mergeCell ref="BQ119:BT119"/>
    <mergeCell ref="DD119:DE119"/>
    <mergeCell ref="AG120:AH120"/>
    <mergeCell ref="AI120:AJ120"/>
    <mergeCell ref="DH121:DI121"/>
    <mergeCell ref="DJ121:DK121"/>
    <mergeCell ref="AF121:AH121"/>
    <mergeCell ref="DF120:DG120"/>
    <mergeCell ref="DH120:DI120"/>
    <mergeCell ref="DJ120:DK120"/>
    <mergeCell ref="BE120:BF120"/>
    <mergeCell ref="BG120:BH120"/>
    <mergeCell ref="BI120:BJ120"/>
    <mergeCell ref="BK120:BL120"/>
    <mergeCell ref="BM120:BN120"/>
    <mergeCell ref="BO120:BP120"/>
    <mergeCell ref="AA118:AC118"/>
    <mergeCell ref="DJ118:DK118"/>
    <mergeCell ref="F119:H119"/>
    <mergeCell ref="I119:L119"/>
    <mergeCell ref="AD119:AF119"/>
    <mergeCell ref="AI121:AM121"/>
    <mergeCell ref="C121:G121"/>
    <mergeCell ref="H121:N121"/>
    <mergeCell ref="P121:V121"/>
    <mergeCell ref="W121:AA121"/>
    <mergeCell ref="AB121:AD121"/>
    <mergeCell ref="C118:E119"/>
    <mergeCell ref="BQ120:BR120"/>
    <mergeCell ref="BS120:BT120"/>
    <mergeCell ref="DD120:DE120"/>
    <mergeCell ref="DF118:DG118"/>
    <mergeCell ref="DH118:DI118"/>
    <mergeCell ref="AS120:AT120"/>
    <mergeCell ref="AU120:AV120"/>
    <mergeCell ref="AW120:AX120"/>
    <mergeCell ref="C127:E128"/>
    <mergeCell ref="BI128:BL128"/>
    <mergeCell ref="BM128:BP128"/>
    <mergeCell ref="DF122:DG122"/>
    <mergeCell ref="AR121:AY121"/>
    <mergeCell ref="AZ121:BA121"/>
    <mergeCell ref="BC121:BD121"/>
    <mergeCell ref="BE121:BT121"/>
    <mergeCell ref="AQ120:AR120"/>
    <mergeCell ref="DJ122:DK122"/>
    <mergeCell ref="F123:J123"/>
    <mergeCell ref="K123:N123"/>
    <mergeCell ref="P123:S123"/>
    <mergeCell ref="T123:W123"/>
    <mergeCell ref="X123:AB123"/>
    <mergeCell ref="AD123:AH123"/>
    <mergeCell ref="AI123:AL123"/>
    <mergeCell ref="AM123:AR123"/>
    <mergeCell ref="BB122:BE122"/>
    <mergeCell ref="BL123:BP123"/>
    <mergeCell ref="BQ123:BT123"/>
    <mergeCell ref="DH122:DI122"/>
    <mergeCell ref="BF122:BJ122"/>
    <mergeCell ref="BL122:BP122"/>
    <mergeCell ref="BQ122:BT122"/>
    <mergeCell ref="DD122:DE122"/>
    <mergeCell ref="T122:W122"/>
    <mergeCell ref="M120:P120"/>
    <mergeCell ref="BA120:BB120"/>
    <mergeCell ref="BC120:BD120"/>
    <mergeCell ref="DD121:DE121"/>
    <mergeCell ref="DF121:DG121"/>
    <mergeCell ref="W125:Z125"/>
    <mergeCell ref="W126:W128"/>
    <mergeCell ref="X126:X128"/>
    <mergeCell ref="Y126:Y128"/>
    <mergeCell ref="BM126:BT126"/>
    <mergeCell ref="F127:H127"/>
    <mergeCell ref="I127:L127"/>
    <mergeCell ref="M127:P127"/>
    <mergeCell ref="Q127:S127"/>
    <mergeCell ref="X122:AB122"/>
    <mergeCell ref="AD122:AH122"/>
    <mergeCell ref="AI122:AL122"/>
    <mergeCell ref="AM122:AR122"/>
    <mergeCell ref="AS122:AV122"/>
    <mergeCell ref="AX122:BA122"/>
    <mergeCell ref="BQ128:BT128"/>
    <mergeCell ref="BE127:BH127"/>
    <mergeCell ref="BI127:BL127"/>
    <mergeCell ref="BM127:BP127"/>
    <mergeCell ref="BF123:BJ123"/>
    <mergeCell ref="AQ129:AR129"/>
    <mergeCell ref="AS129:AT129"/>
    <mergeCell ref="AO126:AR126"/>
    <mergeCell ref="AS126:AV126"/>
    <mergeCell ref="AW126:AZ126"/>
    <mergeCell ref="BA126:BD126"/>
    <mergeCell ref="C126:Q126"/>
    <mergeCell ref="R126:S126"/>
    <mergeCell ref="U126:V126"/>
    <mergeCell ref="C122:E123"/>
    <mergeCell ref="T128:V128"/>
    <mergeCell ref="AA128:AC128"/>
    <mergeCell ref="AG127:AR127"/>
    <mergeCell ref="AS127:BD127"/>
    <mergeCell ref="AA125:AF125"/>
    <mergeCell ref="AG125:AR125"/>
    <mergeCell ref="AS123:AV123"/>
    <mergeCell ref="AX123:BA123"/>
    <mergeCell ref="BB123:BE123"/>
    <mergeCell ref="AS125:BD125"/>
    <mergeCell ref="BE125:BT125"/>
    <mergeCell ref="F122:J122"/>
    <mergeCell ref="K122:N122"/>
    <mergeCell ref="P122:S122"/>
    <mergeCell ref="AG126:AJ126"/>
    <mergeCell ref="AK126:AN126"/>
    <mergeCell ref="AA126:AF126"/>
    <mergeCell ref="C129:E129"/>
    <mergeCell ref="F129:H129"/>
    <mergeCell ref="C125:L125"/>
    <mergeCell ref="M125:Q125"/>
    <mergeCell ref="R125:V125"/>
    <mergeCell ref="T129:V129"/>
    <mergeCell ref="DJ129:DK129"/>
    <mergeCell ref="DD127:DE127"/>
    <mergeCell ref="DF127:DG127"/>
    <mergeCell ref="DH127:DI127"/>
    <mergeCell ref="DJ127:DK127"/>
    <mergeCell ref="F128:H128"/>
    <mergeCell ref="I128:L128"/>
    <mergeCell ref="M128:P128"/>
    <mergeCell ref="AA129:AC129"/>
    <mergeCell ref="Z126:Z128"/>
    <mergeCell ref="Q128:S128"/>
    <mergeCell ref="DD128:DE128"/>
    <mergeCell ref="AD128:AF128"/>
    <mergeCell ref="AG128:AJ128"/>
    <mergeCell ref="AK128:AN128"/>
    <mergeCell ref="AO128:AR128"/>
    <mergeCell ref="AS128:AV128"/>
    <mergeCell ref="AW128:AZ128"/>
    <mergeCell ref="BQ127:BT127"/>
    <mergeCell ref="BE126:BL126"/>
    <mergeCell ref="DF128:DG128"/>
    <mergeCell ref="DH128:DI128"/>
    <mergeCell ref="DJ128:DK128"/>
    <mergeCell ref="T127:V127"/>
    <mergeCell ref="AA127:AC127"/>
    <mergeCell ref="AD127:AF127"/>
    <mergeCell ref="BA128:BD128"/>
    <mergeCell ref="BE128:BH128"/>
    <mergeCell ref="AK129:AL129"/>
    <mergeCell ref="AM129:AN129"/>
    <mergeCell ref="AO129:AP129"/>
    <mergeCell ref="DJ130:DK130"/>
    <mergeCell ref="F131:J131"/>
    <mergeCell ref="K131:N131"/>
    <mergeCell ref="P131:S131"/>
    <mergeCell ref="T131:W131"/>
    <mergeCell ref="X131:AB131"/>
    <mergeCell ref="AD131:AH131"/>
    <mergeCell ref="AI131:AL131"/>
    <mergeCell ref="DD130:DE130"/>
    <mergeCell ref="DF130:DG130"/>
    <mergeCell ref="AU129:AV129"/>
    <mergeCell ref="AW129:AX129"/>
    <mergeCell ref="DH130:DI130"/>
    <mergeCell ref="AZ130:BA130"/>
    <mergeCell ref="BC130:BD130"/>
    <mergeCell ref="BE130:BT130"/>
    <mergeCell ref="BQ129:BR129"/>
    <mergeCell ref="BS129:BT129"/>
    <mergeCell ref="DD129:DE129"/>
    <mergeCell ref="DF129:DG129"/>
    <mergeCell ref="DH129:DI129"/>
    <mergeCell ref="BC129:BD129"/>
    <mergeCell ref="BE129:BF129"/>
    <mergeCell ref="BG129:BH129"/>
    <mergeCell ref="BF131:BJ131"/>
    <mergeCell ref="BL131:BP131"/>
    <mergeCell ref="AR130:AY130"/>
    <mergeCell ref="DD131:DE131"/>
    <mergeCell ref="DF131:DG131"/>
    <mergeCell ref="DH131:DI131"/>
    <mergeCell ref="DJ131:DK131"/>
    <mergeCell ref="BQ131:BT131"/>
    <mergeCell ref="AD132:AH132"/>
    <mergeCell ref="AI132:AL132"/>
    <mergeCell ref="AM132:AR132"/>
    <mergeCell ref="AS132:AV132"/>
    <mergeCell ref="AX132:BA132"/>
    <mergeCell ref="P130:V130"/>
    <mergeCell ref="W130:AA130"/>
    <mergeCell ref="AB130:AD130"/>
    <mergeCell ref="AF130:AH130"/>
    <mergeCell ref="AI130:AM130"/>
    <mergeCell ref="BO129:BP129"/>
    <mergeCell ref="C130:G130"/>
    <mergeCell ref="H130:N130"/>
    <mergeCell ref="BI129:BJ129"/>
    <mergeCell ref="BK129:BL129"/>
    <mergeCell ref="BM129:BN129"/>
    <mergeCell ref="AY129:AZ129"/>
    <mergeCell ref="BA129:BB129"/>
    <mergeCell ref="AD129:AF129"/>
    <mergeCell ref="AG129:AH129"/>
    <mergeCell ref="AI129:AJ129"/>
    <mergeCell ref="F132:J132"/>
    <mergeCell ref="K132:N132"/>
    <mergeCell ref="P132:S132"/>
    <mergeCell ref="T132:W132"/>
    <mergeCell ref="X132:AB132"/>
    <mergeCell ref="AM131:AR131"/>
    <mergeCell ref="BB132:BE132"/>
    <mergeCell ref="C131:E132"/>
    <mergeCell ref="I129:L129"/>
    <mergeCell ref="M129:P129"/>
    <mergeCell ref="Q129:S129"/>
    <mergeCell ref="M137:P137"/>
    <mergeCell ref="Q137:S137"/>
    <mergeCell ref="T137:V137"/>
    <mergeCell ref="AA137:AC137"/>
    <mergeCell ref="AS131:AV131"/>
    <mergeCell ref="AX131:BA131"/>
    <mergeCell ref="BB131:BE131"/>
    <mergeCell ref="C134:L134"/>
    <mergeCell ref="M134:Q134"/>
    <mergeCell ref="R134:V134"/>
    <mergeCell ref="W134:Z134"/>
    <mergeCell ref="AA134:AF134"/>
    <mergeCell ref="AG134:AR134"/>
    <mergeCell ref="BA135:BD135"/>
    <mergeCell ref="BE135:BL135"/>
    <mergeCell ref="BE134:BT134"/>
    <mergeCell ref="C135:Q135"/>
    <mergeCell ref="R135:S135"/>
    <mergeCell ref="U135:V135"/>
    <mergeCell ref="W135:W137"/>
    <mergeCell ref="X135:X137"/>
    <mergeCell ref="Y135:Y137"/>
    <mergeCell ref="Z135:Z137"/>
    <mergeCell ref="AD136:AF136"/>
    <mergeCell ref="AG136:AR136"/>
    <mergeCell ref="AK135:AN135"/>
    <mergeCell ref="AO135:AR135"/>
    <mergeCell ref="AS135:AV135"/>
    <mergeCell ref="AW135:AZ135"/>
    <mergeCell ref="AA135:AF135"/>
    <mergeCell ref="AG135:AJ135"/>
    <mergeCell ref="AS136:BD136"/>
    <mergeCell ref="F137:H137"/>
    <mergeCell ref="I137:L137"/>
    <mergeCell ref="BM135:BT135"/>
    <mergeCell ref="F136:H136"/>
    <mergeCell ref="I136:L136"/>
    <mergeCell ref="M136:P136"/>
    <mergeCell ref="Q136:S136"/>
    <mergeCell ref="C136:E137"/>
    <mergeCell ref="BQ138:BR138"/>
    <mergeCell ref="BS138:BT138"/>
    <mergeCell ref="DD138:DE138"/>
    <mergeCell ref="DF136:DG136"/>
    <mergeCell ref="DH136:DI136"/>
    <mergeCell ref="AS138:AT138"/>
    <mergeCell ref="AU138:AV138"/>
    <mergeCell ref="AW138:AX138"/>
    <mergeCell ref="AY138:AZ138"/>
    <mergeCell ref="BQ137:BT137"/>
    <mergeCell ref="DD137:DE137"/>
    <mergeCell ref="DF137:DG137"/>
    <mergeCell ref="AG137:AJ137"/>
    <mergeCell ref="AK137:AN137"/>
    <mergeCell ref="AO137:AR137"/>
    <mergeCell ref="AS137:AV137"/>
    <mergeCell ref="AW137:AZ137"/>
    <mergeCell ref="BA137:BD137"/>
    <mergeCell ref="T138:V138"/>
    <mergeCell ref="AA138:AC138"/>
    <mergeCell ref="AD138:AF138"/>
    <mergeCell ref="BE137:BH137"/>
    <mergeCell ref="AG138:AH138"/>
    <mergeCell ref="AI138:AJ138"/>
    <mergeCell ref="C138:E138"/>
    <mergeCell ref="F138:H138"/>
    <mergeCell ref="I138:L138"/>
    <mergeCell ref="M138:P138"/>
    <mergeCell ref="Q138:S138"/>
    <mergeCell ref="DD136:DE136"/>
    <mergeCell ref="T136:V136"/>
    <mergeCell ref="AK138:AL138"/>
    <mergeCell ref="AM138:AN138"/>
    <mergeCell ref="AO138:AP138"/>
    <mergeCell ref="BC139:BD139"/>
    <mergeCell ref="AF139:AH139"/>
    <mergeCell ref="DF138:DG138"/>
    <mergeCell ref="DH138:DI138"/>
    <mergeCell ref="DJ138:DK138"/>
    <mergeCell ref="BE138:BF138"/>
    <mergeCell ref="BG138:BH138"/>
    <mergeCell ref="BI138:BJ138"/>
    <mergeCell ref="BK138:BL138"/>
    <mergeCell ref="BM138:BN138"/>
    <mergeCell ref="BO138:BP138"/>
    <mergeCell ref="DJ136:DK136"/>
    <mergeCell ref="BI137:BL137"/>
    <mergeCell ref="BM137:BP137"/>
    <mergeCell ref="BA138:BB138"/>
    <mergeCell ref="BC138:BD138"/>
    <mergeCell ref="AQ138:AR138"/>
    <mergeCell ref="BE136:BH136"/>
    <mergeCell ref="BI136:BL136"/>
    <mergeCell ref="BM136:BP136"/>
    <mergeCell ref="DH137:DI137"/>
    <mergeCell ref="DJ137:DK137"/>
    <mergeCell ref="AR139:AY139"/>
    <mergeCell ref="AZ139:BA139"/>
    <mergeCell ref="BQ136:BT136"/>
    <mergeCell ref="AD137:AF137"/>
    <mergeCell ref="AI139:AM139"/>
    <mergeCell ref="AB139:AD139"/>
    <mergeCell ref="AA136:AC136"/>
    <mergeCell ref="DF146:DG146"/>
    <mergeCell ref="DH146:DI146"/>
    <mergeCell ref="DJ140:DK140"/>
    <mergeCell ref="F141:J141"/>
    <mergeCell ref="K141:N141"/>
    <mergeCell ref="P141:S141"/>
    <mergeCell ref="T141:W141"/>
    <mergeCell ref="X141:AB141"/>
    <mergeCell ref="AD141:AH141"/>
    <mergeCell ref="AI141:AL141"/>
    <mergeCell ref="DD139:DE139"/>
    <mergeCell ref="DF139:DG139"/>
    <mergeCell ref="DH139:DI139"/>
    <mergeCell ref="DJ139:DK139"/>
    <mergeCell ref="DH140:DI140"/>
    <mergeCell ref="AA145:AC145"/>
    <mergeCell ref="AD145:AF145"/>
    <mergeCell ref="AG144:AJ144"/>
    <mergeCell ref="AK144:AN144"/>
    <mergeCell ref="AO144:AR144"/>
    <mergeCell ref="AS144:AV144"/>
    <mergeCell ref="AW144:AZ144"/>
    <mergeCell ref="BA144:BD144"/>
    <mergeCell ref="AG143:AR143"/>
    <mergeCell ref="BI145:BL145"/>
    <mergeCell ref="BM145:BP145"/>
    <mergeCell ref="BQ145:BT145"/>
    <mergeCell ref="C139:G139"/>
    <mergeCell ref="H139:N139"/>
    <mergeCell ref="P139:V139"/>
    <mergeCell ref="W139:AA139"/>
    <mergeCell ref="T140:W140"/>
    <mergeCell ref="AS141:AV141"/>
    <mergeCell ref="AX141:BA141"/>
    <mergeCell ref="DF140:DG140"/>
    <mergeCell ref="X140:AB140"/>
    <mergeCell ref="AD140:AH140"/>
    <mergeCell ref="AI140:AL140"/>
    <mergeCell ref="AM140:AR140"/>
    <mergeCell ref="AS140:AV140"/>
    <mergeCell ref="AX140:BA140"/>
    <mergeCell ref="AM141:AR141"/>
    <mergeCell ref="BB140:BE140"/>
    <mergeCell ref="BF140:BJ140"/>
    <mergeCell ref="BL140:BP140"/>
    <mergeCell ref="BQ140:BT140"/>
    <mergeCell ref="DD140:DE140"/>
    <mergeCell ref="BB141:BE141"/>
    <mergeCell ref="BF141:BJ141"/>
    <mergeCell ref="BL141:BP141"/>
    <mergeCell ref="BQ141:BT141"/>
    <mergeCell ref="AS143:BD143"/>
    <mergeCell ref="BE143:BT143"/>
    <mergeCell ref="AS145:BD145"/>
    <mergeCell ref="BE145:BH145"/>
    <mergeCell ref="BE139:BT139"/>
    <mergeCell ref="BM144:BT144"/>
    <mergeCell ref="BQ146:BT146"/>
    <mergeCell ref="AY147:AZ147"/>
    <mergeCell ref="AD147:AF147"/>
    <mergeCell ref="AG147:AH147"/>
    <mergeCell ref="C140:E141"/>
    <mergeCell ref="T146:V146"/>
    <mergeCell ref="AA146:AC146"/>
    <mergeCell ref="AG145:AR145"/>
    <mergeCell ref="C147:E147"/>
    <mergeCell ref="F147:H147"/>
    <mergeCell ref="I147:L147"/>
    <mergeCell ref="M147:P147"/>
    <mergeCell ref="Q147:S147"/>
    <mergeCell ref="T147:V147"/>
    <mergeCell ref="Z144:Z146"/>
    <mergeCell ref="AA144:AF144"/>
    <mergeCell ref="C143:L143"/>
    <mergeCell ref="M143:Q143"/>
    <mergeCell ref="R143:V143"/>
    <mergeCell ref="W143:Z143"/>
    <mergeCell ref="AA143:AF143"/>
    <mergeCell ref="C145:E146"/>
    <mergeCell ref="C144:Q144"/>
    <mergeCell ref="R144:S144"/>
    <mergeCell ref="U144:V144"/>
    <mergeCell ref="W144:W146"/>
    <mergeCell ref="X144:X146"/>
    <mergeCell ref="Y144:Y146"/>
    <mergeCell ref="BE144:BL144"/>
    <mergeCell ref="F140:J140"/>
    <mergeCell ref="K140:N140"/>
    <mergeCell ref="P140:S140"/>
    <mergeCell ref="DJ147:DK147"/>
    <mergeCell ref="BA147:BB147"/>
    <mergeCell ref="DD145:DE145"/>
    <mergeCell ref="DF145:DG145"/>
    <mergeCell ref="DH145:DI145"/>
    <mergeCell ref="DJ145:DK145"/>
    <mergeCell ref="F146:H146"/>
    <mergeCell ref="I146:L146"/>
    <mergeCell ref="M146:P146"/>
    <mergeCell ref="Q146:S146"/>
    <mergeCell ref="BQ147:BR147"/>
    <mergeCell ref="AI147:AJ147"/>
    <mergeCell ref="AK147:AL147"/>
    <mergeCell ref="AM147:AN147"/>
    <mergeCell ref="AO147:AP147"/>
    <mergeCell ref="F145:H145"/>
    <mergeCell ref="I145:L145"/>
    <mergeCell ref="M145:P145"/>
    <mergeCell ref="Q145:S145"/>
    <mergeCell ref="T145:V145"/>
    <mergeCell ref="DD146:DE146"/>
    <mergeCell ref="AD146:AF146"/>
    <mergeCell ref="AG146:AJ146"/>
    <mergeCell ref="AK146:AN146"/>
    <mergeCell ref="AO146:AR146"/>
    <mergeCell ref="AS146:AV146"/>
    <mergeCell ref="AW146:AZ146"/>
    <mergeCell ref="AA147:AC147"/>
    <mergeCell ref="BA146:BD146"/>
    <mergeCell ref="BE146:BH146"/>
    <mergeCell ref="BI146:BL146"/>
    <mergeCell ref="BM146:BP146"/>
    <mergeCell ref="I156:L156"/>
    <mergeCell ref="M156:P156"/>
    <mergeCell ref="DJ146:DK146"/>
    <mergeCell ref="DD149:DE149"/>
    <mergeCell ref="DF149:DG149"/>
    <mergeCell ref="DH149:DI149"/>
    <mergeCell ref="DJ149:DK149"/>
    <mergeCell ref="F150:J150"/>
    <mergeCell ref="K150:N150"/>
    <mergeCell ref="P150:S150"/>
    <mergeCell ref="T150:W150"/>
    <mergeCell ref="X150:AB150"/>
    <mergeCell ref="BS147:BT147"/>
    <mergeCell ref="DD147:DE147"/>
    <mergeCell ref="DF147:DG147"/>
    <mergeCell ref="DH147:DI147"/>
    <mergeCell ref="BC147:BD147"/>
    <mergeCell ref="BE147:BF147"/>
    <mergeCell ref="BG147:BH147"/>
    <mergeCell ref="BI147:BJ147"/>
    <mergeCell ref="BK147:BL147"/>
    <mergeCell ref="BM147:BN147"/>
    <mergeCell ref="P148:V148"/>
    <mergeCell ref="W148:AA148"/>
    <mergeCell ref="AB148:AD148"/>
    <mergeCell ref="AF148:AH148"/>
    <mergeCell ref="AI148:AM148"/>
    <mergeCell ref="BO147:BP147"/>
    <mergeCell ref="AQ147:AR147"/>
    <mergeCell ref="AS147:AT147"/>
    <mergeCell ref="AU147:AV147"/>
    <mergeCell ref="AW147:AX147"/>
    <mergeCell ref="DH148:DI148"/>
    <mergeCell ref="DJ148:DK148"/>
    <mergeCell ref="F149:J149"/>
    <mergeCell ref="K149:N149"/>
    <mergeCell ref="P149:S149"/>
    <mergeCell ref="T149:W149"/>
    <mergeCell ref="X149:AB149"/>
    <mergeCell ref="AD149:AH149"/>
    <mergeCell ref="AI149:AL149"/>
    <mergeCell ref="DD148:DE148"/>
    <mergeCell ref="AM149:AR149"/>
    <mergeCell ref="AS149:AV149"/>
    <mergeCell ref="AX149:BA149"/>
    <mergeCell ref="BB149:BE149"/>
    <mergeCell ref="BF149:BJ149"/>
    <mergeCell ref="BL149:BP149"/>
    <mergeCell ref="BQ149:BT149"/>
    <mergeCell ref="AI150:AL150"/>
    <mergeCell ref="AM150:AR150"/>
    <mergeCell ref="AS150:AV150"/>
    <mergeCell ref="AX150:BA150"/>
    <mergeCell ref="BB150:BE150"/>
    <mergeCell ref="C149:E150"/>
    <mergeCell ref="BL150:BP150"/>
    <mergeCell ref="BQ150:BT150"/>
    <mergeCell ref="C153:L153"/>
    <mergeCell ref="M153:Q153"/>
    <mergeCell ref="R153:V153"/>
    <mergeCell ref="W153:Z153"/>
    <mergeCell ref="AA153:AF153"/>
    <mergeCell ref="AG153:AR153"/>
    <mergeCell ref="AS153:BD153"/>
    <mergeCell ref="AD150:AH150"/>
    <mergeCell ref="DF148:DG148"/>
    <mergeCell ref="C148:G148"/>
    <mergeCell ref="H148:N148"/>
    <mergeCell ref="BF150:BJ150"/>
    <mergeCell ref="BE153:BT153"/>
    <mergeCell ref="AR148:AY148"/>
    <mergeCell ref="AZ148:BA148"/>
    <mergeCell ref="BC148:BD148"/>
    <mergeCell ref="BE148:BT148"/>
    <mergeCell ref="BA154:BD154"/>
    <mergeCell ref="BE154:BL154"/>
    <mergeCell ref="C154:Q154"/>
    <mergeCell ref="R154:S154"/>
    <mergeCell ref="U154:V154"/>
    <mergeCell ref="BM154:BT154"/>
    <mergeCell ref="F155:H155"/>
    <mergeCell ref="I155:L155"/>
    <mergeCell ref="M155:P155"/>
    <mergeCell ref="Q155:S155"/>
    <mergeCell ref="T155:V155"/>
    <mergeCell ref="AA155:AC155"/>
    <mergeCell ref="AD155:AF155"/>
    <mergeCell ref="AG155:AR155"/>
    <mergeCell ref="AK154:AN154"/>
    <mergeCell ref="AS155:BD155"/>
    <mergeCell ref="BE155:BH155"/>
    <mergeCell ref="BI155:BL155"/>
    <mergeCell ref="BM155:BP155"/>
    <mergeCell ref="BQ155:BT155"/>
    <mergeCell ref="C155:E156"/>
    <mergeCell ref="Q156:S156"/>
    <mergeCell ref="T156:V156"/>
    <mergeCell ref="AA156:AC156"/>
    <mergeCell ref="AD156:AF156"/>
    <mergeCell ref="W154:W156"/>
    <mergeCell ref="X154:X156"/>
    <mergeCell ref="Y154:Y156"/>
    <mergeCell ref="Z154:Z156"/>
    <mergeCell ref="AA154:AF154"/>
    <mergeCell ref="AG154:AJ154"/>
    <mergeCell ref="F156:H156"/>
    <mergeCell ref="DF155:DG155"/>
    <mergeCell ref="DH155:DI155"/>
    <mergeCell ref="AS157:AT157"/>
    <mergeCell ref="AU157:AV157"/>
    <mergeCell ref="AW157:AX157"/>
    <mergeCell ref="AY157:AZ157"/>
    <mergeCell ref="AA157:AC157"/>
    <mergeCell ref="AD157:AF157"/>
    <mergeCell ref="BE156:BH156"/>
    <mergeCell ref="BI156:BL156"/>
    <mergeCell ref="BM156:BP156"/>
    <mergeCell ref="BQ156:BT156"/>
    <mergeCell ref="AG156:AJ156"/>
    <mergeCell ref="AK156:AN156"/>
    <mergeCell ref="AO156:AR156"/>
    <mergeCell ref="AS156:AV156"/>
    <mergeCell ref="DJ156:DK156"/>
    <mergeCell ref="DD156:DE156"/>
    <mergeCell ref="DF156:DG156"/>
    <mergeCell ref="AW156:AZ156"/>
    <mergeCell ref="BA156:BD156"/>
    <mergeCell ref="DD155:DE155"/>
    <mergeCell ref="DJ155:DK155"/>
    <mergeCell ref="DH156:DI156"/>
    <mergeCell ref="DD158:DE158"/>
    <mergeCell ref="DF158:DG158"/>
    <mergeCell ref="DH158:DI158"/>
    <mergeCell ref="DJ158:DK158"/>
    <mergeCell ref="AF158:AH158"/>
    <mergeCell ref="DF157:DG157"/>
    <mergeCell ref="DH157:DI157"/>
    <mergeCell ref="DJ157:DK157"/>
    <mergeCell ref="BE157:BF157"/>
    <mergeCell ref="BG157:BH157"/>
    <mergeCell ref="BI157:BJ157"/>
    <mergeCell ref="BK157:BL157"/>
    <mergeCell ref="BM157:BN157"/>
    <mergeCell ref="BO157:BP157"/>
    <mergeCell ref="BQ157:BR157"/>
    <mergeCell ref="BS157:BT157"/>
    <mergeCell ref="DD157:DE157"/>
    <mergeCell ref="C158:G158"/>
    <mergeCell ref="H158:N158"/>
    <mergeCell ref="P158:V158"/>
    <mergeCell ref="W158:AA158"/>
    <mergeCell ref="AB158:AD158"/>
    <mergeCell ref="X160:AB160"/>
    <mergeCell ref="AD160:AH160"/>
    <mergeCell ref="AI160:AL160"/>
    <mergeCell ref="AM160:AR160"/>
    <mergeCell ref="AS164:BD164"/>
    <mergeCell ref="BE164:BH164"/>
    <mergeCell ref="BI164:BL164"/>
    <mergeCell ref="C157:E157"/>
    <mergeCell ref="F157:H157"/>
    <mergeCell ref="I157:L157"/>
    <mergeCell ref="M157:P157"/>
    <mergeCell ref="Q157:S157"/>
    <mergeCell ref="T157:V157"/>
    <mergeCell ref="AK157:AL157"/>
    <mergeCell ref="AM157:AN157"/>
    <mergeCell ref="AO157:AP157"/>
    <mergeCell ref="AQ157:AR157"/>
    <mergeCell ref="BF160:BJ160"/>
    <mergeCell ref="AR158:AY158"/>
    <mergeCell ref="AZ158:BA158"/>
    <mergeCell ref="BC158:BD158"/>
    <mergeCell ref="BE158:BT158"/>
    <mergeCell ref="AS160:AV160"/>
    <mergeCell ref="AS159:AV159"/>
    <mergeCell ref="AX159:BA159"/>
    <mergeCell ref="BB159:BE159"/>
    <mergeCell ref="BF159:BJ159"/>
    <mergeCell ref="DD159:DE159"/>
    <mergeCell ref="DF159:DG159"/>
    <mergeCell ref="DH159:DI159"/>
    <mergeCell ref="DJ159:DK159"/>
    <mergeCell ref="F160:J160"/>
    <mergeCell ref="K160:N160"/>
    <mergeCell ref="P160:S160"/>
    <mergeCell ref="T160:W160"/>
    <mergeCell ref="BQ165:BT165"/>
    <mergeCell ref="BM164:BP164"/>
    <mergeCell ref="BQ164:BT164"/>
    <mergeCell ref="BE163:BL163"/>
    <mergeCell ref="BM163:BT163"/>
    <mergeCell ref="AG157:AH157"/>
    <mergeCell ref="AI157:AJ157"/>
    <mergeCell ref="C159:E160"/>
    <mergeCell ref="T165:V165"/>
    <mergeCell ref="AA165:AC165"/>
    <mergeCell ref="AG164:AR164"/>
    <mergeCell ref="X159:AB159"/>
    <mergeCell ref="AD159:AH159"/>
    <mergeCell ref="AI159:AL159"/>
    <mergeCell ref="AM159:AR159"/>
    <mergeCell ref="BA157:BB157"/>
    <mergeCell ref="BC157:BD157"/>
    <mergeCell ref="DF165:DG165"/>
    <mergeCell ref="BQ160:BT160"/>
    <mergeCell ref="F159:J159"/>
    <mergeCell ref="K159:N159"/>
    <mergeCell ref="P159:S159"/>
    <mergeCell ref="T159:W159"/>
    <mergeCell ref="AI158:AM158"/>
    <mergeCell ref="C166:E166"/>
    <mergeCell ref="F166:H166"/>
    <mergeCell ref="I166:L166"/>
    <mergeCell ref="M166:P166"/>
    <mergeCell ref="Q166:S166"/>
    <mergeCell ref="T166:V166"/>
    <mergeCell ref="Y163:Y165"/>
    <mergeCell ref="Z163:Z165"/>
    <mergeCell ref="AA163:AF163"/>
    <mergeCell ref="C162:L162"/>
    <mergeCell ref="M162:Q162"/>
    <mergeCell ref="R162:V162"/>
    <mergeCell ref="W162:Z162"/>
    <mergeCell ref="AA162:AF162"/>
    <mergeCell ref="C164:E165"/>
    <mergeCell ref="DH165:DI165"/>
    <mergeCell ref="DJ165:DK165"/>
    <mergeCell ref="AS162:BD162"/>
    <mergeCell ref="BE162:BT162"/>
    <mergeCell ref="C163:Q163"/>
    <mergeCell ref="R163:S163"/>
    <mergeCell ref="U163:V163"/>
    <mergeCell ref="W163:W165"/>
    <mergeCell ref="X163:X165"/>
    <mergeCell ref="AD164:AF164"/>
    <mergeCell ref="AG163:AJ163"/>
    <mergeCell ref="AK163:AN163"/>
    <mergeCell ref="AO163:AR163"/>
    <mergeCell ref="AS163:AV163"/>
    <mergeCell ref="AW163:AZ163"/>
    <mergeCell ref="BA163:BD163"/>
    <mergeCell ref="AG162:AR162"/>
    <mergeCell ref="DJ166:DK166"/>
    <mergeCell ref="DD164:DE164"/>
    <mergeCell ref="DF164:DG164"/>
    <mergeCell ref="DH164:DI164"/>
    <mergeCell ref="DJ164:DK164"/>
    <mergeCell ref="F165:H165"/>
    <mergeCell ref="I165:L165"/>
    <mergeCell ref="M165:P165"/>
    <mergeCell ref="Q165:S165"/>
    <mergeCell ref="BQ166:BR166"/>
    <mergeCell ref="AI166:AJ166"/>
    <mergeCell ref="AK166:AL166"/>
    <mergeCell ref="AM166:AN166"/>
    <mergeCell ref="AO166:AP166"/>
    <mergeCell ref="F164:H164"/>
    <mergeCell ref="I164:L164"/>
    <mergeCell ref="M164:P164"/>
    <mergeCell ref="Q164:S164"/>
    <mergeCell ref="T164:V164"/>
    <mergeCell ref="AA164:AC164"/>
    <mergeCell ref="DD165:DE165"/>
    <mergeCell ref="AD165:AF165"/>
    <mergeCell ref="AG165:AJ165"/>
    <mergeCell ref="AK165:AN165"/>
    <mergeCell ref="AO165:AR165"/>
    <mergeCell ref="AS165:AV165"/>
    <mergeCell ref="AW165:AZ165"/>
    <mergeCell ref="AA166:AC166"/>
    <mergeCell ref="BA165:BD165"/>
    <mergeCell ref="BE165:BH165"/>
    <mergeCell ref="BI165:BL165"/>
    <mergeCell ref="BM165:BP165"/>
    <mergeCell ref="DD166:DE166"/>
    <mergeCell ref="DF166:DG166"/>
    <mergeCell ref="DH166:DI166"/>
    <mergeCell ref="BC166:BD166"/>
    <mergeCell ref="BE166:BF166"/>
    <mergeCell ref="BG166:BH166"/>
    <mergeCell ref="BI166:BJ166"/>
    <mergeCell ref="BK166:BL166"/>
    <mergeCell ref="BM166:BN166"/>
    <mergeCell ref="P167:V167"/>
    <mergeCell ref="W167:AA167"/>
    <mergeCell ref="AB167:AD167"/>
    <mergeCell ref="AF167:AH167"/>
    <mergeCell ref="AI167:AM167"/>
    <mergeCell ref="BO166:BP166"/>
    <mergeCell ref="AQ166:AR166"/>
    <mergeCell ref="AS166:AT166"/>
    <mergeCell ref="AU166:AV166"/>
    <mergeCell ref="AW166:AX166"/>
    <mergeCell ref="AY166:AZ166"/>
    <mergeCell ref="BA166:BB166"/>
    <mergeCell ref="AD166:AF166"/>
    <mergeCell ref="AG166:AH166"/>
    <mergeCell ref="BS166:BT166"/>
    <mergeCell ref="AD169:AH169"/>
    <mergeCell ref="AI169:AL169"/>
    <mergeCell ref="DF173:DG173"/>
    <mergeCell ref="AM169:AR169"/>
    <mergeCell ref="AS169:AV169"/>
    <mergeCell ref="AX169:BA169"/>
    <mergeCell ref="BB169:BE169"/>
    <mergeCell ref="DF167:DG167"/>
    <mergeCell ref="C167:G167"/>
    <mergeCell ref="H167:N167"/>
    <mergeCell ref="AR167:AY167"/>
    <mergeCell ref="AZ167:BA167"/>
    <mergeCell ref="BC167:BD167"/>
    <mergeCell ref="BE167:BT167"/>
    <mergeCell ref="DH167:DI167"/>
    <mergeCell ref="DJ167:DK167"/>
    <mergeCell ref="F168:J168"/>
    <mergeCell ref="K168:N168"/>
    <mergeCell ref="P168:S168"/>
    <mergeCell ref="T168:W168"/>
    <mergeCell ref="X168:AB168"/>
    <mergeCell ref="AD168:AH168"/>
    <mergeCell ref="AI168:AL168"/>
    <mergeCell ref="DD167:DE167"/>
    <mergeCell ref="BL168:BP168"/>
    <mergeCell ref="BQ169:BT169"/>
    <mergeCell ref="R171:V171"/>
    <mergeCell ref="W171:Z171"/>
    <mergeCell ref="AA171:AF171"/>
    <mergeCell ref="AX168:BA168"/>
    <mergeCell ref="BB168:BE168"/>
    <mergeCell ref="BF168:BJ168"/>
    <mergeCell ref="DJ174:DK174"/>
    <mergeCell ref="BI174:BL174"/>
    <mergeCell ref="BM174:BP174"/>
    <mergeCell ref="DD173:DE173"/>
    <mergeCell ref="BM172:BT172"/>
    <mergeCell ref="F173:H173"/>
    <mergeCell ref="I173:L173"/>
    <mergeCell ref="M173:P173"/>
    <mergeCell ref="C172:Q172"/>
    <mergeCell ref="R172:S172"/>
    <mergeCell ref="U172:V172"/>
    <mergeCell ref="W172:W174"/>
    <mergeCell ref="DD168:DE168"/>
    <mergeCell ref="DF168:DG168"/>
    <mergeCell ref="DH168:DI168"/>
    <mergeCell ref="DJ168:DK168"/>
    <mergeCell ref="F169:J169"/>
    <mergeCell ref="K169:N169"/>
    <mergeCell ref="P169:S169"/>
    <mergeCell ref="T169:W169"/>
    <mergeCell ref="X169:AB169"/>
    <mergeCell ref="AM168:AR168"/>
    <mergeCell ref="C168:E169"/>
    <mergeCell ref="BQ168:BT168"/>
    <mergeCell ref="M174:P174"/>
    <mergeCell ref="Q174:S174"/>
    <mergeCell ref="T174:V174"/>
    <mergeCell ref="AA174:AC174"/>
    <mergeCell ref="AS168:AV168"/>
    <mergeCell ref="BE172:BL172"/>
    <mergeCell ref="BE171:BT171"/>
    <mergeCell ref="AS171:BD171"/>
    <mergeCell ref="BK175:BL175"/>
    <mergeCell ref="C175:E175"/>
    <mergeCell ref="F175:H175"/>
    <mergeCell ref="I175:L175"/>
    <mergeCell ref="M175:P175"/>
    <mergeCell ref="BE174:BH174"/>
    <mergeCell ref="DH173:DI173"/>
    <mergeCell ref="DJ173:DK173"/>
    <mergeCell ref="F174:H174"/>
    <mergeCell ref="I174:L174"/>
    <mergeCell ref="AD174:AF174"/>
    <mergeCell ref="Q173:S173"/>
    <mergeCell ref="T173:V173"/>
    <mergeCell ref="AA173:AC173"/>
    <mergeCell ref="AD173:AF173"/>
    <mergeCell ref="AG171:AR171"/>
    <mergeCell ref="AW174:AZ174"/>
    <mergeCell ref="BA174:BD174"/>
    <mergeCell ref="C173:E174"/>
    <mergeCell ref="AK172:AN172"/>
    <mergeCell ref="AO172:AR172"/>
    <mergeCell ref="AS172:AV172"/>
    <mergeCell ref="AW172:AZ172"/>
    <mergeCell ref="BA172:BD172"/>
    <mergeCell ref="AG173:AR173"/>
    <mergeCell ref="X172:X174"/>
    <mergeCell ref="Y172:Y174"/>
    <mergeCell ref="Z172:Z174"/>
    <mergeCell ref="AA172:AF172"/>
    <mergeCell ref="AG172:AJ172"/>
    <mergeCell ref="C171:L171"/>
    <mergeCell ref="M171:Q171"/>
    <mergeCell ref="BL177:BP177"/>
    <mergeCell ref="BQ177:BT177"/>
    <mergeCell ref="DD177:DE177"/>
    <mergeCell ref="DF177:DG177"/>
    <mergeCell ref="BQ174:BT174"/>
    <mergeCell ref="DJ177:DK177"/>
    <mergeCell ref="C176:G176"/>
    <mergeCell ref="H176:N176"/>
    <mergeCell ref="P176:V176"/>
    <mergeCell ref="W176:AA176"/>
    <mergeCell ref="AB176:AD176"/>
    <mergeCell ref="DH174:DI174"/>
    <mergeCell ref="AS175:AT175"/>
    <mergeCell ref="AU175:AV175"/>
    <mergeCell ref="AW175:AX175"/>
    <mergeCell ref="AY175:AZ175"/>
    <mergeCell ref="AG181:AJ181"/>
    <mergeCell ref="AF176:AH176"/>
    <mergeCell ref="DF175:DG175"/>
    <mergeCell ref="DH175:DI175"/>
    <mergeCell ref="AG175:AH175"/>
    <mergeCell ref="AI175:AJ175"/>
    <mergeCell ref="AK175:AL175"/>
    <mergeCell ref="BA175:BB175"/>
    <mergeCell ref="BC175:BD175"/>
    <mergeCell ref="BQ175:BR175"/>
    <mergeCell ref="AG174:AJ174"/>
    <mergeCell ref="AK174:AN174"/>
    <mergeCell ref="AO174:AR174"/>
    <mergeCell ref="AS174:AV174"/>
    <mergeCell ref="BG175:BH175"/>
    <mergeCell ref="BI175:BJ175"/>
    <mergeCell ref="F178:J178"/>
    <mergeCell ref="K178:N178"/>
    <mergeCell ref="P178:S178"/>
    <mergeCell ref="T178:W178"/>
    <mergeCell ref="X178:AB178"/>
    <mergeCell ref="AD178:AH178"/>
    <mergeCell ref="AI178:AL178"/>
    <mergeCell ref="AM178:AR178"/>
    <mergeCell ref="BS175:BT175"/>
    <mergeCell ref="DD175:DE175"/>
    <mergeCell ref="BE175:BF175"/>
    <mergeCell ref="AM175:AN175"/>
    <mergeCell ref="AO175:AP175"/>
    <mergeCell ref="AQ175:AR175"/>
    <mergeCell ref="DJ176:DK176"/>
    <mergeCell ref="DD174:DE174"/>
    <mergeCell ref="DF174:DG174"/>
    <mergeCell ref="DD176:DE176"/>
    <mergeCell ref="DF176:DG176"/>
    <mergeCell ref="DH176:DI176"/>
    <mergeCell ref="DH177:DI177"/>
    <mergeCell ref="BM175:BN175"/>
    <mergeCell ref="BO175:BP175"/>
    <mergeCell ref="AI177:AL177"/>
    <mergeCell ref="AM177:AR177"/>
    <mergeCell ref="AS177:AV177"/>
    <mergeCell ref="Q175:S175"/>
    <mergeCell ref="T175:V175"/>
    <mergeCell ref="AA175:AC175"/>
    <mergeCell ref="AD175:AF175"/>
    <mergeCell ref="BB177:BE177"/>
    <mergeCell ref="BF177:BJ177"/>
    <mergeCell ref="AK181:AN181"/>
    <mergeCell ref="AI176:AM176"/>
    <mergeCell ref="DD183:DE183"/>
    <mergeCell ref="AG183:AJ183"/>
    <mergeCell ref="AK183:AN183"/>
    <mergeCell ref="AO183:AR183"/>
    <mergeCell ref="AS183:AV183"/>
    <mergeCell ref="T183:V183"/>
    <mergeCell ref="AA183:AC183"/>
    <mergeCell ref="AG182:AR182"/>
    <mergeCell ref="AS182:BD182"/>
    <mergeCell ref="BE182:BH182"/>
    <mergeCell ref="BI182:BL182"/>
    <mergeCell ref="AD183:AF183"/>
    <mergeCell ref="AW183:AZ183"/>
    <mergeCell ref="W181:W183"/>
    <mergeCell ref="X181:X183"/>
    <mergeCell ref="R180:V180"/>
    <mergeCell ref="W180:Z180"/>
    <mergeCell ref="AA180:AF180"/>
    <mergeCell ref="AG180:AR180"/>
    <mergeCell ref="BM181:BT181"/>
    <mergeCell ref="R181:S181"/>
    <mergeCell ref="U181:V181"/>
    <mergeCell ref="Y181:Y183"/>
    <mergeCell ref="Z181:Z183"/>
    <mergeCell ref="X177:AB177"/>
    <mergeCell ref="AD177:AH177"/>
    <mergeCell ref="AA181:AF181"/>
    <mergeCell ref="AS178:AV178"/>
    <mergeCell ref="AX178:BA178"/>
    <mergeCell ref="BB178:BE178"/>
    <mergeCell ref="C180:L180"/>
    <mergeCell ref="M180:Q180"/>
    <mergeCell ref="C182:E183"/>
    <mergeCell ref="AD184:AF184"/>
    <mergeCell ref="AG184:AH184"/>
    <mergeCell ref="DJ175:DK175"/>
    <mergeCell ref="DF183:DG183"/>
    <mergeCell ref="DH183:DI183"/>
    <mergeCell ref="DJ183:DK183"/>
    <mergeCell ref="AS180:BD180"/>
    <mergeCell ref="BE180:BT180"/>
    <mergeCell ref="BM182:BP182"/>
    <mergeCell ref="BQ183:BT183"/>
    <mergeCell ref="BF178:BJ178"/>
    <mergeCell ref="BL178:BP178"/>
    <mergeCell ref="AA184:AC184"/>
    <mergeCell ref="BA183:BD183"/>
    <mergeCell ref="BE183:BH183"/>
    <mergeCell ref="BI183:BL183"/>
    <mergeCell ref="BM183:BP183"/>
    <mergeCell ref="F177:J177"/>
    <mergeCell ref="K177:N177"/>
    <mergeCell ref="P177:S177"/>
    <mergeCell ref="T177:W177"/>
    <mergeCell ref="C181:Q181"/>
    <mergeCell ref="BE176:BT176"/>
    <mergeCell ref="AZ176:BA176"/>
    <mergeCell ref="BC176:BD176"/>
    <mergeCell ref="C177:E178"/>
    <mergeCell ref="C184:E184"/>
    <mergeCell ref="F184:H184"/>
    <mergeCell ref="AQ184:AR184"/>
    <mergeCell ref="AS184:AT184"/>
    <mergeCell ref="AU184:AV184"/>
    <mergeCell ref="AW184:AX184"/>
    <mergeCell ref="DJ184:DK184"/>
    <mergeCell ref="DD182:DE182"/>
    <mergeCell ref="DF182:DG182"/>
    <mergeCell ref="DH182:DI182"/>
    <mergeCell ref="DJ182:DK182"/>
    <mergeCell ref="F183:H183"/>
    <mergeCell ref="I183:L183"/>
    <mergeCell ref="M183:P183"/>
    <mergeCell ref="Q183:S183"/>
    <mergeCell ref="AD182:AF182"/>
    <mergeCell ref="AI184:AJ184"/>
    <mergeCell ref="AK184:AL184"/>
    <mergeCell ref="AM184:AN184"/>
    <mergeCell ref="AO184:AP184"/>
    <mergeCell ref="F182:H182"/>
    <mergeCell ref="I182:L182"/>
    <mergeCell ref="M182:P182"/>
    <mergeCell ref="Q182:S182"/>
    <mergeCell ref="T182:V182"/>
    <mergeCell ref="AA182:AC182"/>
    <mergeCell ref="I184:L184"/>
    <mergeCell ref="M184:P184"/>
    <mergeCell ref="Q184:S184"/>
    <mergeCell ref="T184:V184"/>
    <mergeCell ref="AY184:AZ184"/>
    <mergeCell ref="BA184:BB184"/>
    <mergeCell ref="DH186:DI186"/>
    <mergeCell ref="DJ186:DK186"/>
    <mergeCell ref="DF185:DG185"/>
    <mergeCell ref="DH185:DI185"/>
    <mergeCell ref="DJ185:DK185"/>
    <mergeCell ref="DF184:DG184"/>
    <mergeCell ref="DH184:DI184"/>
    <mergeCell ref="BC184:BD184"/>
    <mergeCell ref="BE184:BF184"/>
    <mergeCell ref="BG184:BH184"/>
    <mergeCell ref="BI184:BJ184"/>
    <mergeCell ref="BK184:BL184"/>
    <mergeCell ref="BM184:BN184"/>
    <mergeCell ref="BO184:BP184"/>
    <mergeCell ref="BQ184:BR184"/>
    <mergeCell ref="BS184:BT184"/>
    <mergeCell ref="DD184:DE184"/>
    <mergeCell ref="BV185:CZ185"/>
    <mergeCell ref="DD185:DE185"/>
    <mergeCell ref="P186:S186"/>
    <mergeCell ref="T186:W186"/>
    <mergeCell ref="X186:AB186"/>
    <mergeCell ref="F187:J187"/>
    <mergeCell ref="K187:N187"/>
    <mergeCell ref="P187:S187"/>
    <mergeCell ref="T187:W187"/>
    <mergeCell ref="AI186:AL186"/>
    <mergeCell ref="AM186:AR186"/>
    <mergeCell ref="AS186:AV186"/>
    <mergeCell ref="DD186:DE186"/>
    <mergeCell ref="DF186:DG186"/>
    <mergeCell ref="AX186:BA186"/>
    <mergeCell ref="BB186:BE186"/>
    <mergeCell ref="BF186:BJ186"/>
    <mergeCell ref="AF185:AH185"/>
    <mergeCell ref="AI185:AM185"/>
    <mergeCell ref="AS189:BD189"/>
    <mergeCell ref="BE189:BT189"/>
    <mergeCell ref="AI187:AL187"/>
    <mergeCell ref="AM187:AR187"/>
    <mergeCell ref="AS187:AV187"/>
    <mergeCell ref="AX187:BA187"/>
    <mergeCell ref="BB187:BE187"/>
    <mergeCell ref="BF187:BJ187"/>
    <mergeCell ref="C189:L189"/>
    <mergeCell ref="M189:Q189"/>
    <mergeCell ref="R189:V189"/>
    <mergeCell ref="W189:Z189"/>
    <mergeCell ref="AA189:AF189"/>
    <mergeCell ref="AG189:AR189"/>
    <mergeCell ref="BL187:BP187"/>
    <mergeCell ref="BQ187:BT187"/>
    <mergeCell ref="BC185:BD185"/>
    <mergeCell ref="BE185:BT185"/>
    <mergeCell ref="BL186:BP186"/>
    <mergeCell ref="AB185:AD185"/>
    <mergeCell ref="X187:AB187"/>
    <mergeCell ref="AD187:AH187"/>
    <mergeCell ref="AD186:AH186"/>
    <mergeCell ref="AR185:AY185"/>
    <mergeCell ref="AZ185:BA185"/>
    <mergeCell ref="C185:G185"/>
    <mergeCell ref="H185:N185"/>
    <mergeCell ref="P185:V185"/>
    <mergeCell ref="W185:AA185"/>
    <mergeCell ref="C186:E187"/>
    <mergeCell ref="F186:J186"/>
    <mergeCell ref="K186:N186"/>
    <mergeCell ref="BM191:BP191"/>
    <mergeCell ref="BQ191:BT191"/>
    <mergeCell ref="DD191:DE191"/>
    <mergeCell ref="DF191:DG191"/>
    <mergeCell ref="AW190:AZ190"/>
    <mergeCell ref="BA190:BD190"/>
    <mergeCell ref="BE190:BL190"/>
    <mergeCell ref="BM190:BT190"/>
    <mergeCell ref="T192:V192"/>
    <mergeCell ref="AA192:AC192"/>
    <mergeCell ref="AD192:AF192"/>
    <mergeCell ref="AG192:AJ192"/>
    <mergeCell ref="BE191:BH191"/>
    <mergeCell ref="BI191:BL191"/>
    <mergeCell ref="X190:X192"/>
    <mergeCell ref="Y190:Y192"/>
    <mergeCell ref="BI192:BL192"/>
    <mergeCell ref="BE192:BH192"/>
    <mergeCell ref="I193:L193"/>
    <mergeCell ref="M193:P193"/>
    <mergeCell ref="Q193:S193"/>
    <mergeCell ref="T193:V193"/>
    <mergeCell ref="AA193:AC193"/>
    <mergeCell ref="AD193:AF193"/>
    <mergeCell ref="AG193:AH193"/>
    <mergeCell ref="AA190:AF190"/>
    <mergeCell ref="AG190:AJ190"/>
    <mergeCell ref="AK190:AN190"/>
    <mergeCell ref="AO190:AR190"/>
    <mergeCell ref="AS190:AV190"/>
    <mergeCell ref="AA191:AC191"/>
    <mergeCell ref="F191:H191"/>
    <mergeCell ref="I191:L191"/>
    <mergeCell ref="M191:P191"/>
    <mergeCell ref="Q191:S191"/>
    <mergeCell ref="T191:V191"/>
    <mergeCell ref="Z190:Z192"/>
    <mergeCell ref="C190:Q190"/>
    <mergeCell ref="R190:S190"/>
    <mergeCell ref="U190:V190"/>
    <mergeCell ref="W190:W192"/>
    <mergeCell ref="BG193:BH193"/>
    <mergeCell ref="BI193:BJ193"/>
    <mergeCell ref="BK193:BL193"/>
    <mergeCell ref="BM193:BN193"/>
    <mergeCell ref="BO193:BP193"/>
    <mergeCell ref="AI193:AJ193"/>
    <mergeCell ref="AK193:AL193"/>
    <mergeCell ref="AM193:AN193"/>
    <mergeCell ref="AO193:AP193"/>
    <mergeCell ref="C191:E192"/>
    <mergeCell ref="AD191:AF191"/>
    <mergeCell ref="AG191:AR191"/>
    <mergeCell ref="AS191:BD191"/>
    <mergeCell ref="DH191:DI191"/>
    <mergeCell ref="DJ191:DK191"/>
    <mergeCell ref="F192:H192"/>
    <mergeCell ref="I192:L192"/>
    <mergeCell ref="M192:P192"/>
    <mergeCell ref="Q192:S192"/>
    <mergeCell ref="BM192:BP192"/>
    <mergeCell ref="BQ192:BT192"/>
    <mergeCell ref="DD192:DE192"/>
    <mergeCell ref="DF192:DG192"/>
    <mergeCell ref="DH192:DI192"/>
    <mergeCell ref="AK192:AN192"/>
    <mergeCell ref="AO192:AR192"/>
    <mergeCell ref="AS192:AV192"/>
    <mergeCell ref="AW192:AZ192"/>
    <mergeCell ref="BA192:BD192"/>
    <mergeCell ref="DJ192:DK192"/>
    <mergeCell ref="C193:E193"/>
    <mergeCell ref="F193:H193"/>
    <mergeCell ref="DD193:DE193"/>
    <mergeCell ref="DF193:DG193"/>
    <mergeCell ref="DH193:DI193"/>
    <mergeCell ref="DJ193:DK193"/>
    <mergeCell ref="DJ195:DK195"/>
    <mergeCell ref="F196:J196"/>
    <mergeCell ref="K196:N196"/>
    <mergeCell ref="P196:S196"/>
    <mergeCell ref="T196:W196"/>
    <mergeCell ref="X196:AB196"/>
    <mergeCell ref="DD194:DE194"/>
    <mergeCell ref="DF194:DG194"/>
    <mergeCell ref="DH194:DI194"/>
    <mergeCell ref="DJ194:DK194"/>
    <mergeCell ref="AF194:AH194"/>
    <mergeCell ref="AI194:AM194"/>
    <mergeCell ref="AQ193:AR193"/>
    <mergeCell ref="AS193:AT193"/>
    <mergeCell ref="AR194:AY194"/>
    <mergeCell ref="AZ194:BA194"/>
    <mergeCell ref="BC194:BD194"/>
    <mergeCell ref="BE194:BT194"/>
    <mergeCell ref="AN194:AQ194"/>
    <mergeCell ref="BS193:BT193"/>
    <mergeCell ref="BQ193:BR193"/>
    <mergeCell ref="AU193:AV193"/>
    <mergeCell ref="AW193:AX193"/>
    <mergeCell ref="AY193:AZ193"/>
    <mergeCell ref="BA193:BB193"/>
    <mergeCell ref="BC193:BD193"/>
    <mergeCell ref="BE193:BF193"/>
    <mergeCell ref="AB194:AD194"/>
    <mergeCell ref="P195:S195"/>
    <mergeCell ref="T195:W195"/>
    <mergeCell ref="X195:AB195"/>
    <mergeCell ref="AG198:AR198"/>
    <mergeCell ref="BQ195:BT195"/>
    <mergeCell ref="DD195:DE195"/>
    <mergeCell ref="DF195:DG195"/>
    <mergeCell ref="DH195:DI195"/>
    <mergeCell ref="AD195:AH195"/>
    <mergeCell ref="C194:G194"/>
    <mergeCell ref="H194:N194"/>
    <mergeCell ref="P194:V194"/>
    <mergeCell ref="W194:AA194"/>
    <mergeCell ref="AI195:AL195"/>
    <mergeCell ref="AD196:AH196"/>
    <mergeCell ref="AI196:AL196"/>
    <mergeCell ref="AM196:AR196"/>
    <mergeCell ref="AS196:AV196"/>
    <mergeCell ref="BF195:BJ195"/>
    <mergeCell ref="BL195:BP195"/>
    <mergeCell ref="AM195:AR195"/>
    <mergeCell ref="AS195:AV195"/>
    <mergeCell ref="AX195:BA195"/>
    <mergeCell ref="BB195:BE195"/>
    <mergeCell ref="C195:E196"/>
    <mergeCell ref="F195:J195"/>
    <mergeCell ref="K195:N195"/>
    <mergeCell ref="AX196:BA196"/>
    <mergeCell ref="BB196:BE196"/>
    <mergeCell ref="BF196:BJ196"/>
    <mergeCell ref="BL196:BP196"/>
    <mergeCell ref="BQ196:BT196"/>
    <mergeCell ref="C198:L198"/>
    <mergeCell ref="M198:Q198"/>
    <mergeCell ref="R198:V198"/>
    <mergeCell ref="W198:Z198"/>
    <mergeCell ref="AA198:AF198"/>
    <mergeCell ref="AS198:BD198"/>
    <mergeCell ref="BE198:BT198"/>
    <mergeCell ref="C199:Q199"/>
    <mergeCell ref="R199:S199"/>
    <mergeCell ref="U199:V199"/>
    <mergeCell ref="W199:W201"/>
    <mergeCell ref="X199:X201"/>
    <mergeCell ref="Y199:Y201"/>
    <mergeCell ref="Z199:Z201"/>
    <mergeCell ref="BA199:BD199"/>
    <mergeCell ref="AK199:AN199"/>
    <mergeCell ref="AO199:AR199"/>
    <mergeCell ref="AS199:AV199"/>
    <mergeCell ref="F200:H200"/>
    <mergeCell ref="I200:L200"/>
    <mergeCell ref="M200:P200"/>
    <mergeCell ref="Q200:S200"/>
    <mergeCell ref="T200:V200"/>
    <mergeCell ref="AA200:AC200"/>
    <mergeCell ref="AA199:AF199"/>
    <mergeCell ref="AG199:AJ199"/>
    <mergeCell ref="BQ200:BT200"/>
    <mergeCell ref="Q201:S201"/>
    <mergeCell ref="T201:V201"/>
    <mergeCell ref="AD200:AF200"/>
    <mergeCell ref="AG200:AR200"/>
    <mergeCell ref="AS200:BD200"/>
    <mergeCell ref="BE200:BH200"/>
    <mergeCell ref="BI200:BL200"/>
    <mergeCell ref="BM200:BP200"/>
    <mergeCell ref="AW201:AZ201"/>
    <mergeCell ref="BA201:BD201"/>
    <mergeCell ref="AA202:AC202"/>
    <mergeCell ref="AD202:AF202"/>
    <mergeCell ref="AG202:AH202"/>
    <mergeCell ref="AI202:AJ202"/>
    <mergeCell ref="AK202:AL202"/>
    <mergeCell ref="AM202:AN202"/>
    <mergeCell ref="AW199:AZ199"/>
    <mergeCell ref="DD201:DE201"/>
    <mergeCell ref="DF201:DG201"/>
    <mergeCell ref="BE201:BH201"/>
    <mergeCell ref="BI201:BL201"/>
    <mergeCell ref="BM201:BP201"/>
    <mergeCell ref="BQ201:BT201"/>
    <mergeCell ref="BE199:BL199"/>
    <mergeCell ref="BM199:BT199"/>
    <mergeCell ref="DH203:DI203"/>
    <mergeCell ref="DJ203:DK203"/>
    <mergeCell ref="BE203:BT203"/>
    <mergeCell ref="BM202:BN202"/>
    <mergeCell ref="BO202:BP202"/>
    <mergeCell ref="BQ202:BR202"/>
    <mergeCell ref="BS202:BT202"/>
    <mergeCell ref="AN203:AQ203"/>
    <mergeCell ref="C200:E201"/>
    <mergeCell ref="DH202:DI202"/>
    <mergeCell ref="DJ202:DK202"/>
    <mergeCell ref="DD200:DE200"/>
    <mergeCell ref="DF200:DG200"/>
    <mergeCell ref="DH200:DI200"/>
    <mergeCell ref="DJ200:DK200"/>
    <mergeCell ref="F201:H201"/>
    <mergeCell ref="I201:L201"/>
    <mergeCell ref="M201:P201"/>
    <mergeCell ref="AA201:AC201"/>
    <mergeCell ref="AD201:AF201"/>
    <mergeCell ref="AG201:AJ201"/>
    <mergeCell ref="AK201:AN201"/>
    <mergeCell ref="AO201:AR201"/>
    <mergeCell ref="AS201:AV201"/>
    <mergeCell ref="DH201:DI201"/>
    <mergeCell ref="DJ201:DK201"/>
    <mergeCell ref="C202:E202"/>
    <mergeCell ref="F202:H202"/>
    <mergeCell ref="I202:L202"/>
    <mergeCell ref="M202:P202"/>
    <mergeCell ref="Q202:S202"/>
    <mergeCell ref="T202:V202"/>
    <mergeCell ref="BQ204:BT204"/>
    <mergeCell ref="DD204:DE204"/>
    <mergeCell ref="DF204:DG204"/>
    <mergeCell ref="BL205:BP205"/>
    <mergeCell ref="BQ205:BT205"/>
    <mergeCell ref="AO202:AP202"/>
    <mergeCell ref="AQ202:AR202"/>
    <mergeCell ref="AS202:AT202"/>
    <mergeCell ref="AU202:AV202"/>
    <mergeCell ref="AW202:AX202"/>
    <mergeCell ref="AY202:AZ202"/>
    <mergeCell ref="DD202:DE202"/>
    <mergeCell ref="DF202:DG202"/>
    <mergeCell ref="BA202:BB202"/>
    <mergeCell ref="BC202:BD202"/>
    <mergeCell ref="BE202:BF202"/>
    <mergeCell ref="BG202:BH202"/>
    <mergeCell ref="BI202:BJ202"/>
    <mergeCell ref="BK202:BL202"/>
    <mergeCell ref="DF203:DG203"/>
    <mergeCell ref="AX205:BA205"/>
    <mergeCell ref="BB205:BE205"/>
    <mergeCell ref="BF205:BJ205"/>
    <mergeCell ref="C204:E205"/>
    <mergeCell ref="F204:J204"/>
    <mergeCell ref="K204:N204"/>
    <mergeCell ref="P204:S204"/>
    <mergeCell ref="T204:W204"/>
    <mergeCell ref="X204:AB204"/>
    <mergeCell ref="AD204:AH204"/>
    <mergeCell ref="AI204:AL204"/>
    <mergeCell ref="AM204:AR204"/>
    <mergeCell ref="AS204:AV204"/>
    <mergeCell ref="AX204:BA204"/>
    <mergeCell ref="BB204:BE204"/>
    <mergeCell ref="BF204:BJ204"/>
    <mergeCell ref="BL204:BP204"/>
    <mergeCell ref="C234:E235"/>
    <mergeCell ref="AR235:AU235"/>
    <mergeCell ref="AV235:AY235"/>
    <mergeCell ref="AR234:AU234"/>
    <mergeCell ref="AV234:AY234"/>
    <mergeCell ref="AZ234:BC234"/>
    <mergeCell ref="BD234:BF234"/>
    <mergeCell ref="BG234:BI234"/>
    <mergeCell ref="BJ234:BL234"/>
    <mergeCell ref="AN233:AQ233"/>
    <mergeCell ref="AR233:AU233"/>
    <mergeCell ref="DH204:DI204"/>
    <mergeCell ref="DJ204:DK204"/>
    <mergeCell ref="BZ229:CE229"/>
    <mergeCell ref="CF229:CK229"/>
    <mergeCell ref="CL229:CS229"/>
    <mergeCell ref="K230:M231"/>
    <mergeCell ref="N230:U230"/>
    <mergeCell ref="V230:AD230"/>
    <mergeCell ref="AE230:AM230"/>
    <mergeCell ref="AN230:BC230"/>
    <mergeCell ref="DD203:DE203"/>
    <mergeCell ref="C203:G203"/>
    <mergeCell ref="H203:N203"/>
    <mergeCell ref="P203:V203"/>
    <mergeCell ref="W203:AA203"/>
    <mergeCell ref="AB203:AD203"/>
    <mergeCell ref="AF203:AH203"/>
    <mergeCell ref="AI203:AM203"/>
    <mergeCell ref="AR203:AY203"/>
    <mergeCell ref="AZ203:BA203"/>
    <mergeCell ref="F205:J205"/>
    <mergeCell ref="K205:N205"/>
    <mergeCell ref="P205:S205"/>
    <mergeCell ref="T205:W205"/>
    <mergeCell ref="X205:AB205"/>
    <mergeCell ref="AD205:AH205"/>
    <mergeCell ref="AI205:AL205"/>
    <mergeCell ref="AM205:AR205"/>
    <mergeCell ref="AS205:AV205"/>
    <mergeCell ref="C227:K227"/>
    <mergeCell ref="M227:T227"/>
    <mergeCell ref="BI227:BM227"/>
    <mergeCell ref="BQ227:BT227"/>
    <mergeCell ref="C229:E231"/>
    <mergeCell ref="F229:J231"/>
    <mergeCell ref="K229:U229"/>
    <mergeCell ref="V229:BC229"/>
    <mergeCell ref="BD229:BT229"/>
    <mergeCell ref="BD230:BI230"/>
    <mergeCell ref="BJ230:BO230"/>
    <mergeCell ref="BP230:BR231"/>
    <mergeCell ref="BS230:BT231"/>
    <mergeCell ref="CB230:CC230"/>
    <mergeCell ref="CD230:CE230"/>
    <mergeCell ref="CB231:CC231"/>
    <mergeCell ref="CD231:CE231"/>
    <mergeCell ref="CH230:CI230"/>
    <mergeCell ref="CJ230:CK230"/>
    <mergeCell ref="CL230:CM230"/>
    <mergeCell ref="CP230:CQ230"/>
    <mergeCell ref="CR230:CS230"/>
    <mergeCell ref="N231:Q231"/>
    <mergeCell ref="R231:U231"/>
    <mergeCell ref="V231:X231"/>
    <mergeCell ref="Y231:AA231"/>
    <mergeCell ref="AB231:AD231"/>
    <mergeCell ref="AE231:AG231"/>
    <mergeCell ref="AH231:AJ231"/>
    <mergeCell ref="AK231:AM231"/>
    <mergeCell ref="AN231:AQ231"/>
    <mergeCell ref="AR231:AU231"/>
    <mergeCell ref="AV231:AY231"/>
    <mergeCell ref="AZ231:BC231"/>
    <mergeCell ref="BD231:BF231"/>
    <mergeCell ref="BG231:BI231"/>
    <mergeCell ref="BJ231:BL231"/>
    <mergeCell ref="BM231:BO231"/>
    <mergeCell ref="BZ231:CA231"/>
    <mergeCell ref="CR231:CS231"/>
    <mergeCell ref="CF231:CG231"/>
    <mergeCell ref="CH231:CI231"/>
    <mergeCell ref="CJ231:CK231"/>
    <mergeCell ref="CL231:CM231"/>
    <mergeCell ref="CN231:CO231"/>
    <mergeCell ref="CP231:CQ231"/>
    <mergeCell ref="BU226:BU257"/>
    <mergeCell ref="AZ232:BC232"/>
    <mergeCell ref="BD232:BF232"/>
    <mergeCell ref="BX233:BY233"/>
    <mergeCell ref="CB233:CC233"/>
    <mergeCell ref="CD233:CE233"/>
    <mergeCell ref="CP233:CQ233"/>
    <mergeCell ref="CR233:CS233"/>
    <mergeCell ref="C232:E233"/>
    <mergeCell ref="F232:G232"/>
    <mergeCell ref="I232:J232"/>
    <mergeCell ref="K232:M232"/>
    <mergeCell ref="N232:Q232"/>
    <mergeCell ref="R232:U232"/>
    <mergeCell ref="V232:X232"/>
    <mergeCell ref="BM232:BO232"/>
    <mergeCell ref="BP232:BR232"/>
    <mergeCell ref="AE232:AG233"/>
    <mergeCell ref="AH232:AJ233"/>
    <mergeCell ref="AK232:AM233"/>
    <mergeCell ref="AN232:AQ232"/>
    <mergeCell ref="AR232:AU232"/>
    <mergeCell ref="AV232:AY232"/>
    <mergeCell ref="AV233:AY233"/>
    <mergeCell ref="AZ233:BC233"/>
    <mergeCell ref="BX232:BY232"/>
    <mergeCell ref="CB232:CC232"/>
    <mergeCell ref="CD232:CE232"/>
    <mergeCell ref="CH232:CI232"/>
    <mergeCell ref="CJ232:CK232"/>
    <mergeCell ref="BG232:BI232"/>
    <mergeCell ref="BJ232:BL232"/>
    <mergeCell ref="CR232:CS232"/>
    <mergeCell ref="F233:J233"/>
    <mergeCell ref="K233:M233"/>
    <mergeCell ref="N233:Q233"/>
    <mergeCell ref="R233:U233"/>
    <mergeCell ref="V233:X233"/>
    <mergeCell ref="BS232:BT232"/>
    <mergeCell ref="BD233:BF233"/>
    <mergeCell ref="BG233:BI233"/>
    <mergeCell ref="BJ233:BL233"/>
    <mergeCell ref="BM233:BO233"/>
    <mergeCell ref="BP233:BR233"/>
    <mergeCell ref="CH234:CI234"/>
    <mergeCell ref="BS234:BT234"/>
    <mergeCell ref="BX234:BY234"/>
    <mergeCell ref="CB234:CC234"/>
    <mergeCell ref="CD234:CE234"/>
    <mergeCell ref="Y232:AA233"/>
    <mergeCell ref="AB232:AD233"/>
    <mergeCell ref="CL232:CM232"/>
    <mergeCell ref="F234:G234"/>
    <mergeCell ref="I234:J234"/>
    <mergeCell ref="K234:M234"/>
    <mergeCell ref="N234:Q234"/>
    <mergeCell ref="R234:U234"/>
    <mergeCell ref="CP232:CQ232"/>
    <mergeCell ref="BS233:BT233"/>
    <mergeCell ref="CH233:CI233"/>
    <mergeCell ref="CJ233:CK233"/>
    <mergeCell ref="CL233:CM233"/>
    <mergeCell ref="C238:E239"/>
    <mergeCell ref="F238:G238"/>
    <mergeCell ref="I238:J238"/>
    <mergeCell ref="K238:M238"/>
    <mergeCell ref="N238:Q238"/>
    <mergeCell ref="R238:U238"/>
    <mergeCell ref="AK236:AM237"/>
    <mergeCell ref="AN236:AQ236"/>
    <mergeCell ref="AR236:AU236"/>
    <mergeCell ref="AV236:AY236"/>
    <mergeCell ref="AZ236:BC236"/>
    <mergeCell ref="BD236:BF236"/>
    <mergeCell ref="BD237:BF237"/>
    <mergeCell ref="CP236:CQ236"/>
    <mergeCell ref="BG236:BI236"/>
    <mergeCell ref="BJ236:BL236"/>
    <mergeCell ref="BM236:BO236"/>
    <mergeCell ref="C236:E237"/>
    <mergeCell ref="F237:J237"/>
    <mergeCell ref="BX235:BY235"/>
    <mergeCell ref="CB235:CC235"/>
    <mergeCell ref="CD235:CE235"/>
    <mergeCell ref="CH235:CI235"/>
    <mergeCell ref="CL234:CM234"/>
    <mergeCell ref="CP234:CQ234"/>
    <mergeCell ref="K239:M239"/>
    <mergeCell ref="N239:Q239"/>
    <mergeCell ref="CR234:CS234"/>
    <mergeCell ref="F235:J235"/>
    <mergeCell ref="K235:M235"/>
    <mergeCell ref="N235:Q235"/>
    <mergeCell ref="R235:U235"/>
    <mergeCell ref="V235:X235"/>
    <mergeCell ref="BM234:BO234"/>
    <mergeCell ref="BP234:BR234"/>
    <mergeCell ref="V234:X234"/>
    <mergeCell ref="CP235:CQ235"/>
    <mergeCell ref="CR237:CS237"/>
    <mergeCell ref="CR235:CS235"/>
    <mergeCell ref="CR236:CS236"/>
    <mergeCell ref="CJ234:CK234"/>
    <mergeCell ref="CP239:CQ239"/>
    <mergeCell ref="BJ239:BL239"/>
    <mergeCell ref="BM239:BO239"/>
    <mergeCell ref="BP239:BR239"/>
    <mergeCell ref="F236:G236"/>
    <mergeCell ref="I236:J236"/>
    <mergeCell ref="K236:M236"/>
    <mergeCell ref="N236:Q236"/>
    <mergeCell ref="Y234:AA235"/>
    <mergeCell ref="AB234:AD235"/>
    <mergeCell ref="AE234:AG235"/>
    <mergeCell ref="AH234:AJ235"/>
    <mergeCell ref="AK234:AM235"/>
    <mergeCell ref="AN234:AQ234"/>
    <mergeCell ref="AN235:AQ235"/>
    <mergeCell ref="CJ237:CK237"/>
    <mergeCell ref="CL237:CM237"/>
    <mergeCell ref="F239:J239"/>
    <mergeCell ref="BP236:BR236"/>
    <mergeCell ref="R239:U239"/>
    <mergeCell ref="V239:X239"/>
    <mergeCell ref="AN239:AQ239"/>
    <mergeCell ref="AR239:AU239"/>
    <mergeCell ref="R236:U236"/>
    <mergeCell ref="AZ235:BC235"/>
    <mergeCell ref="BD235:BF235"/>
    <mergeCell ref="BG235:BI235"/>
    <mergeCell ref="BJ235:BL235"/>
    <mergeCell ref="BM235:BO235"/>
    <mergeCell ref="BP235:BR235"/>
    <mergeCell ref="BS235:BT235"/>
    <mergeCell ref="CB238:CC238"/>
    <mergeCell ref="CD238:CE238"/>
    <mergeCell ref="CH238:CI238"/>
    <mergeCell ref="CJ238:CK238"/>
    <mergeCell ref="CJ235:CK235"/>
    <mergeCell ref="BS236:BT236"/>
    <mergeCell ref="BX236:BY236"/>
    <mergeCell ref="AZ237:BC237"/>
    <mergeCell ref="CB236:CC236"/>
    <mergeCell ref="CD236:CE236"/>
    <mergeCell ref="CH236:CI236"/>
    <mergeCell ref="CJ236:CK236"/>
    <mergeCell ref="AZ238:BC238"/>
    <mergeCell ref="BD238:BF238"/>
    <mergeCell ref="BG238:BI238"/>
    <mergeCell ref="BJ238:BL238"/>
    <mergeCell ref="BM238:BO238"/>
    <mergeCell ref="V241:X241"/>
    <mergeCell ref="BM240:BO240"/>
    <mergeCell ref="BP240:BR240"/>
    <mergeCell ref="CL235:CM235"/>
    <mergeCell ref="K237:M237"/>
    <mergeCell ref="N237:Q237"/>
    <mergeCell ref="R237:U237"/>
    <mergeCell ref="V237:X237"/>
    <mergeCell ref="AN237:AQ237"/>
    <mergeCell ref="AR237:AU237"/>
    <mergeCell ref="AV237:AY237"/>
    <mergeCell ref="CP237:CQ237"/>
    <mergeCell ref="BG237:BI237"/>
    <mergeCell ref="BJ237:BL237"/>
    <mergeCell ref="BM237:BO237"/>
    <mergeCell ref="BP237:BR237"/>
    <mergeCell ref="BS237:BT237"/>
    <mergeCell ref="BX237:BY237"/>
    <mergeCell ref="V238:X238"/>
    <mergeCell ref="Y238:AA239"/>
    <mergeCell ref="AB238:AD239"/>
    <mergeCell ref="CB237:CC237"/>
    <mergeCell ref="CD237:CE237"/>
    <mergeCell ref="CH237:CI237"/>
    <mergeCell ref="AB236:AD237"/>
    <mergeCell ref="AE236:AG237"/>
    <mergeCell ref="AH236:AJ237"/>
    <mergeCell ref="BS238:BT238"/>
    <mergeCell ref="V236:X236"/>
    <mergeCell ref="Y236:AA237"/>
    <mergeCell ref="CD239:CE239"/>
    <mergeCell ref="CH239:CI239"/>
    <mergeCell ref="BJ241:BL241"/>
    <mergeCell ref="BM241:BO241"/>
    <mergeCell ref="BP241:BR241"/>
    <mergeCell ref="BS241:BT241"/>
    <mergeCell ref="BX241:BY241"/>
    <mergeCell ref="CB241:CC241"/>
    <mergeCell ref="CD241:CE241"/>
    <mergeCell ref="CH241:CI241"/>
    <mergeCell ref="CJ241:CK241"/>
    <mergeCell ref="CL241:CM241"/>
    <mergeCell ref="CP241:CQ241"/>
    <mergeCell ref="CL236:CM236"/>
    <mergeCell ref="CR239:CS239"/>
    <mergeCell ref="C240:E241"/>
    <mergeCell ref="F240:G240"/>
    <mergeCell ref="I240:J240"/>
    <mergeCell ref="K240:M240"/>
    <mergeCell ref="N240:Q240"/>
    <mergeCell ref="R240:U240"/>
    <mergeCell ref="V240:X240"/>
    <mergeCell ref="BP238:BR238"/>
    <mergeCell ref="AE238:AG239"/>
    <mergeCell ref="AH238:AJ239"/>
    <mergeCell ref="AK238:AM239"/>
    <mergeCell ref="AN238:AQ238"/>
    <mergeCell ref="AR238:AU238"/>
    <mergeCell ref="AV238:AY238"/>
    <mergeCell ref="AV239:AY239"/>
    <mergeCell ref="AZ239:BC239"/>
    <mergeCell ref="BD239:BF239"/>
    <mergeCell ref="BX238:BY238"/>
    <mergeCell ref="BJ240:BL240"/>
    <mergeCell ref="CL238:CM238"/>
    <mergeCell ref="CP238:CQ238"/>
    <mergeCell ref="CR238:CS238"/>
    <mergeCell ref="BG239:BI239"/>
    <mergeCell ref="CH240:CI240"/>
    <mergeCell ref="CJ240:CK240"/>
    <mergeCell ref="BS240:BT240"/>
    <mergeCell ref="BX240:BY240"/>
    <mergeCell ref="CB240:CC240"/>
    <mergeCell ref="CD240:CE240"/>
    <mergeCell ref="BS239:BT239"/>
    <mergeCell ref="BX239:BY239"/>
    <mergeCell ref="CB239:CC239"/>
    <mergeCell ref="CL240:CM240"/>
    <mergeCell ref="CP240:CQ240"/>
    <mergeCell ref="CR240:CS240"/>
    <mergeCell ref="CJ239:CK239"/>
    <mergeCell ref="CL239:CM239"/>
    <mergeCell ref="C242:E243"/>
    <mergeCell ref="F242:G242"/>
    <mergeCell ref="I242:J242"/>
    <mergeCell ref="K242:M242"/>
    <mergeCell ref="N242:Q242"/>
    <mergeCell ref="Y240:AA241"/>
    <mergeCell ref="AB240:AD241"/>
    <mergeCell ref="AE240:AG241"/>
    <mergeCell ref="AH240:AJ241"/>
    <mergeCell ref="AK240:AM241"/>
    <mergeCell ref="AN240:AQ240"/>
    <mergeCell ref="AN241:AQ241"/>
    <mergeCell ref="AR240:AU240"/>
    <mergeCell ref="AV240:AY240"/>
    <mergeCell ref="AZ240:BC240"/>
    <mergeCell ref="BD240:BF240"/>
    <mergeCell ref="BG240:BI240"/>
    <mergeCell ref="AZ241:BC241"/>
    <mergeCell ref="BD241:BF241"/>
    <mergeCell ref="BG241:BI241"/>
    <mergeCell ref="R242:U242"/>
    <mergeCell ref="V242:X242"/>
    <mergeCell ref="AN243:AQ243"/>
    <mergeCell ref="AR243:AU243"/>
    <mergeCell ref="AV243:AY243"/>
    <mergeCell ref="AZ243:BC243"/>
    <mergeCell ref="AR241:AU241"/>
    <mergeCell ref="AV241:AY241"/>
    <mergeCell ref="F241:J241"/>
    <mergeCell ref="K241:M241"/>
    <mergeCell ref="N241:Q241"/>
    <mergeCell ref="R241:U241"/>
    <mergeCell ref="CR243:CS243"/>
    <mergeCell ref="BS242:BT242"/>
    <mergeCell ref="BX242:BY242"/>
    <mergeCell ref="CB242:CC242"/>
    <mergeCell ref="CD242:CE242"/>
    <mergeCell ref="CJ242:CK242"/>
    <mergeCell ref="CL242:CM242"/>
    <mergeCell ref="CP242:CQ242"/>
    <mergeCell ref="CR242:CS242"/>
    <mergeCell ref="CR241:CS241"/>
    <mergeCell ref="C244:E245"/>
    <mergeCell ref="F244:G244"/>
    <mergeCell ref="I244:J244"/>
    <mergeCell ref="K244:M244"/>
    <mergeCell ref="N244:Q244"/>
    <mergeCell ref="R244:U244"/>
    <mergeCell ref="AK242:AM243"/>
    <mergeCell ref="AN242:AQ242"/>
    <mergeCell ref="AR242:AU242"/>
    <mergeCell ref="AV242:AY242"/>
    <mergeCell ref="AZ242:BC242"/>
    <mergeCell ref="BD242:BF242"/>
    <mergeCell ref="BD243:BF243"/>
    <mergeCell ref="BG242:BI242"/>
    <mergeCell ref="BJ242:BL242"/>
    <mergeCell ref="BM242:BO242"/>
    <mergeCell ref="BP242:BR242"/>
    <mergeCell ref="AB242:AD243"/>
    <mergeCell ref="AE242:AG243"/>
    <mergeCell ref="AH242:AJ243"/>
    <mergeCell ref="BD244:BF244"/>
    <mergeCell ref="BG244:BI244"/>
    <mergeCell ref="CJ243:CK243"/>
    <mergeCell ref="CL243:CM243"/>
    <mergeCell ref="CP243:CQ243"/>
    <mergeCell ref="BG243:BI243"/>
    <mergeCell ref="BJ243:BL243"/>
    <mergeCell ref="BM243:BO243"/>
    <mergeCell ref="BP243:BR243"/>
    <mergeCell ref="BS243:BT243"/>
    <mergeCell ref="BX243:BY243"/>
    <mergeCell ref="V244:X244"/>
    <mergeCell ref="Y244:AA245"/>
    <mergeCell ref="AB244:AD245"/>
    <mergeCell ref="CB243:CC243"/>
    <mergeCell ref="CD243:CE243"/>
    <mergeCell ref="CH243:CI243"/>
    <mergeCell ref="CL244:CM244"/>
    <mergeCell ref="CP244:CQ244"/>
    <mergeCell ref="Y242:AA243"/>
    <mergeCell ref="CH242:CI242"/>
    <mergeCell ref="F247:J247"/>
    <mergeCell ref="K247:M247"/>
    <mergeCell ref="BJ244:BL244"/>
    <mergeCell ref="BM244:BO244"/>
    <mergeCell ref="N247:Q247"/>
    <mergeCell ref="R247:U247"/>
    <mergeCell ref="V247:X247"/>
    <mergeCell ref="BP246:BR246"/>
    <mergeCell ref="AR247:AU247"/>
    <mergeCell ref="F243:J243"/>
    <mergeCell ref="K243:M243"/>
    <mergeCell ref="N243:Q243"/>
    <mergeCell ref="R243:U243"/>
    <mergeCell ref="V243:X243"/>
    <mergeCell ref="F245:J245"/>
    <mergeCell ref="K245:M245"/>
    <mergeCell ref="N245:Q245"/>
    <mergeCell ref="R245:U245"/>
    <mergeCell ref="V245:X245"/>
    <mergeCell ref="AN245:AQ245"/>
    <mergeCell ref="AR245:AU245"/>
    <mergeCell ref="Y246:AA247"/>
    <mergeCell ref="AB246:AD247"/>
    <mergeCell ref="AE246:AG247"/>
    <mergeCell ref="AH246:AJ247"/>
    <mergeCell ref="AK246:AM247"/>
    <mergeCell ref="AN246:AQ246"/>
    <mergeCell ref="AV247:AY247"/>
    <mergeCell ref="AZ247:BC247"/>
    <mergeCell ref="BD247:BF247"/>
    <mergeCell ref="BG247:BI247"/>
    <mergeCell ref="BJ247:BL247"/>
    <mergeCell ref="CL246:CM246"/>
    <mergeCell ref="CP246:CQ246"/>
    <mergeCell ref="CR246:CS246"/>
    <mergeCell ref="CP245:CQ245"/>
    <mergeCell ref="CR245:CS245"/>
    <mergeCell ref="BX244:BY244"/>
    <mergeCell ref="CB244:CC244"/>
    <mergeCell ref="CD244:CE244"/>
    <mergeCell ref="CH244:CI244"/>
    <mergeCell ref="CJ244:CK244"/>
    <mergeCell ref="BM246:BO246"/>
    <mergeCell ref="C246:E247"/>
    <mergeCell ref="F246:G246"/>
    <mergeCell ref="I246:J246"/>
    <mergeCell ref="K246:M246"/>
    <mergeCell ref="N246:Q246"/>
    <mergeCell ref="R246:U246"/>
    <mergeCell ref="V246:X246"/>
    <mergeCell ref="BP244:BR244"/>
    <mergeCell ref="AE244:AG245"/>
    <mergeCell ref="AH244:AJ245"/>
    <mergeCell ref="AK244:AM245"/>
    <mergeCell ref="AN244:AQ244"/>
    <mergeCell ref="AR244:AU244"/>
    <mergeCell ref="AV244:AY244"/>
    <mergeCell ref="AV245:AY245"/>
    <mergeCell ref="AZ245:BC245"/>
    <mergeCell ref="BD245:BF245"/>
    <mergeCell ref="AZ244:BC244"/>
    <mergeCell ref="AN247:AQ247"/>
    <mergeCell ref="AR246:AU246"/>
    <mergeCell ref="AV246:AY246"/>
    <mergeCell ref="CH247:CI247"/>
    <mergeCell ref="CJ247:CK247"/>
    <mergeCell ref="CL247:CM247"/>
    <mergeCell ref="CP247:CQ247"/>
    <mergeCell ref="CR247:CS247"/>
    <mergeCell ref="BX248:BY248"/>
    <mergeCell ref="CB248:CC248"/>
    <mergeCell ref="CD248:CE248"/>
    <mergeCell ref="CH248:CI248"/>
    <mergeCell ref="CJ248:CK248"/>
    <mergeCell ref="CL248:CM248"/>
    <mergeCell ref="CP248:CQ248"/>
    <mergeCell ref="CR248:CS248"/>
    <mergeCell ref="CR244:CS244"/>
    <mergeCell ref="BG245:BI245"/>
    <mergeCell ref="BJ245:BL245"/>
    <mergeCell ref="BM245:BO245"/>
    <mergeCell ref="BP245:BR245"/>
    <mergeCell ref="CH246:CI246"/>
    <mergeCell ref="CJ246:CK246"/>
    <mergeCell ref="BS246:BT246"/>
    <mergeCell ref="BX246:BY246"/>
    <mergeCell ref="CB246:CC246"/>
    <mergeCell ref="CD246:CE246"/>
    <mergeCell ref="BS245:BT245"/>
    <mergeCell ref="BX245:BY245"/>
    <mergeCell ref="CB245:CC245"/>
    <mergeCell ref="CD245:CE245"/>
    <mergeCell ref="CH245:CI245"/>
    <mergeCell ref="CJ245:CK245"/>
    <mergeCell ref="CL245:CM245"/>
    <mergeCell ref="BS244:BT244"/>
    <mergeCell ref="BM247:BO247"/>
    <mergeCell ref="BP247:BR247"/>
    <mergeCell ref="BS247:BT247"/>
    <mergeCell ref="BX247:BY247"/>
    <mergeCell ref="CB247:CC247"/>
    <mergeCell ref="CD247:CE247"/>
    <mergeCell ref="BG246:BI246"/>
    <mergeCell ref="BJ246:BL246"/>
    <mergeCell ref="AZ246:BC246"/>
    <mergeCell ref="BD246:BF246"/>
    <mergeCell ref="C250:E251"/>
    <mergeCell ref="F250:G250"/>
    <mergeCell ref="I250:J250"/>
    <mergeCell ref="K250:M250"/>
    <mergeCell ref="N250:Q250"/>
    <mergeCell ref="R250:U250"/>
    <mergeCell ref="AK248:AM249"/>
    <mergeCell ref="AN248:AQ248"/>
    <mergeCell ref="AR248:AU248"/>
    <mergeCell ref="AV248:AY248"/>
    <mergeCell ref="AZ248:BC248"/>
    <mergeCell ref="BD248:BF248"/>
    <mergeCell ref="BD249:BF249"/>
    <mergeCell ref="BG248:BI248"/>
    <mergeCell ref="BJ248:BL248"/>
    <mergeCell ref="BM248:BO248"/>
    <mergeCell ref="BP248:BR248"/>
    <mergeCell ref="C248:E249"/>
    <mergeCell ref="F249:J249"/>
    <mergeCell ref="K249:M249"/>
    <mergeCell ref="N249:Q249"/>
    <mergeCell ref="R249:U249"/>
    <mergeCell ref="V249:X249"/>
    <mergeCell ref="AN249:AQ249"/>
    <mergeCell ref="AR249:AU249"/>
    <mergeCell ref="AV249:AY249"/>
    <mergeCell ref="AZ249:BC249"/>
    <mergeCell ref="F248:G248"/>
    <mergeCell ref="I248:J248"/>
    <mergeCell ref="K248:M248"/>
    <mergeCell ref="N248:Q248"/>
    <mergeCell ref="CR250:CS250"/>
    <mergeCell ref="F251:J251"/>
    <mergeCell ref="K251:M251"/>
    <mergeCell ref="N251:Q251"/>
    <mergeCell ref="R251:U251"/>
    <mergeCell ref="V251:X251"/>
    <mergeCell ref="AN251:AQ251"/>
    <mergeCell ref="AR251:AU251"/>
    <mergeCell ref="CJ249:CK249"/>
    <mergeCell ref="CL249:CM249"/>
    <mergeCell ref="CP249:CQ249"/>
    <mergeCell ref="BG249:BI249"/>
    <mergeCell ref="BJ249:BL249"/>
    <mergeCell ref="BM249:BO249"/>
    <mergeCell ref="BP249:BR249"/>
    <mergeCell ref="BS249:BT249"/>
    <mergeCell ref="BX249:BY249"/>
    <mergeCell ref="V250:X250"/>
    <mergeCell ref="Y250:AA251"/>
    <mergeCell ref="AB250:AD251"/>
    <mergeCell ref="CB249:CC249"/>
    <mergeCell ref="CD249:CE249"/>
    <mergeCell ref="CH249:CI249"/>
    <mergeCell ref="AB248:AD249"/>
    <mergeCell ref="AE248:AG249"/>
    <mergeCell ref="AH248:AJ249"/>
    <mergeCell ref="BS250:BT250"/>
    <mergeCell ref="R248:U248"/>
    <mergeCell ref="V248:X248"/>
    <mergeCell ref="Y248:AA249"/>
    <mergeCell ref="CR249:CS249"/>
    <mergeCell ref="BS248:BT248"/>
    <mergeCell ref="CL251:CM251"/>
    <mergeCell ref="CP251:CQ251"/>
    <mergeCell ref="CR251:CS251"/>
    <mergeCell ref="C252:E253"/>
    <mergeCell ref="F252:G252"/>
    <mergeCell ref="I252:J252"/>
    <mergeCell ref="K252:M252"/>
    <mergeCell ref="N252:Q252"/>
    <mergeCell ref="R252:U252"/>
    <mergeCell ref="V252:X252"/>
    <mergeCell ref="BP250:BR250"/>
    <mergeCell ref="AE250:AG251"/>
    <mergeCell ref="AH250:AJ251"/>
    <mergeCell ref="AK250:AM251"/>
    <mergeCell ref="AN250:AQ250"/>
    <mergeCell ref="AR250:AU250"/>
    <mergeCell ref="AV250:AY250"/>
    <mergeCell ref="AV251:AY251"/>
    <mergeCell ref="AZ251:BC251"/>
    <mergeCell ref="BD251:BF251"/>
    <mergeCell ref="BX250:BY250"/>
    <mergeCell ref="CB250:CC250"/>
    <mergeCell ref="CD250:CE250"/>
    <mergeCell ref="CH250:CI250"/>
    <mergeCell ref="CJ250:CK250"/>
    <mergeCell ref="AZ250:BC250"/>
    <mergeCell ref="BD250:BF250"/>
    <mergeCell ref="BG250:BI250"/>
    <mergeCell ref="BJ250:BL250"/>
    <mergeCell ref="BM250:BO250"/>
    <mergeCell ref="CL250:CM250"/>
    <mergeCell ref="CP250:CQ250"/>
    <mergeCell ref="BM252:BO252"/>
    <mergeCell ref="BP252:BR252"/>
    <mergeCell ref="BG251:BI251"/>
    <mergeCell ref="BJ251:BL251"/>
    <mergeCell ref="BM251:BO251"/>
    <mergeCell ref="BP251:BR251"/>
    <mergeCell ref="CH252:CI252"/>
    <mergeCell ref="CJ252:CK252"/>
    <mergeCell ref="BS252:BT252"/>
    <mergeCell ref="BX252:BY252"/>
    <mergeCell ref="CB252:CC252"/>
    <mergeCell ref="CD252:CE252"/>
    <mergeCell ref="BS251:BT251"/>
    <mergeCell ref="BX251:BY251"/>
    <mergeCell ref="CB251:CC251"/>
    <mergeCell ref="CD251:CE251"/>
    <mergeCell ref="CH251:CI251"/>
    <mergeCell ref="CJ251:CK251"/>
    <mergeCell ref="CB253:CC253"/>
    <mergeCell ref="CD253:CE253"/>
    <mergeCell ref="CH253:CI253"/>
    <mergeCell ref="CJ253:CK253"/>
    <mergeCell ref="CL253:CM253"/>
    <mergeCell ref="CP253:CQ253"/>
    <mergeCell ref="CR253:CS253"/>
    <mergeCell ref="C254:E255"/>
    <mergeCell ref="F254:G254"/>
    <mergeCell ref="I254:J254"/>
    <mergeCell ref="K254:M254"/>
    <mergeCell ref="N254:Q254"/>
    <mergeCell ref="Y252:AA253"/>
    <mergeCell ref="AB252:AD253"/>
    <mergeCell ref="AE252:AG253"/>
    <mergeCell ref="AH252:AJ253"/>
    <mergeCell ref="AK252:AM253"/>
    <mergeCell ref="AN252:AQ252"/>
    <mergeCell ref="AN253:AQ253"/>
    <mergeCell ref="AR252:AU252"/>
    <mergeCell ref="AV252:AY252"/>
    <mergeCell ref="AZ252:BC252"/>
    <mergeCell ref="BD252:BF252"/>
    <mergeCell ref="BG252:BI252"/>
    <mergeCell ref="BJ252:BL252"/>
    <mergeCell ref="CL252:CM252"/>
    <mergeCell ref="CP252:CQ252"/>
    <mergeCell ref="CR252:CS252"/>
    <mergeCell ref="F253:J253"/>
    <mergeCell ref="K253:M253"/>
    <mergeCell ref="N253:Q253"/>
    <mergeCell ref="R253:U253"/>
    <mergeCell ref="N255:Q255"/>
    <mergeCell ref="R255:U255"/>
    <mergeCell ref="V255:X255"/>
    <mergeCell ref="AN255:AQ255"/>
    <mergeCell ref="AR255:AU255"/>
    <mergeCell ref="AV255:AY255"/>
    <mergeCell ref="AZ255:BC255"/>
    <mergeCell ref="AR253:AU253"/>
    <mergeCell ref="AV253:AY253"/>
    <mergeCell ref="AZ253:BC253"/>
    <mergeCell ref="BD253:BF253"/>
    <mergeCell ref="BG253:BI253"/>
    <mergeCell ref="BJ253:BL253"/>
    <mergeCell ref="BM253:BO253"/>
    <mergeCell ref="BP253:BR253"/>
    <mergeCell ref="BS253:BT253"/>
    <mergeCell ref="BX253:BY253"/>
    <mergeCell ref="V253:X253"/>
    <mergeCell ref="R254:U254"/>
    <mergeCell ref="V254:X254"/>
    <mergeCell ref="Y254:AA255"/>
    <mergeCell ref="BG255:BI255"/>
    <mergeCell ref="BJ255:BL255"/>
    <mergeCell ref="BM255:BO255"/>
    <mergeCell ref="BP255:BR255"/>
    <mergeCell ref="BS255:BT255"/>
    <mergeCell ref="BX255:BY255"/>
    <mergeCell ref="CR255:CS255"/>
    <mergeCell ref="C256:E257"/>
    <mergeCell ref="F256:G256"/>
    <mergeCell ref="I256:J256"/>
    <mergeCell ref="K256:M256"/>
    <mergeCell ref="N256:Q256"/>
    <mergeCell ref="R256:U256"/>
    <mergeCell ref="AK254:AM255"/>
    <mergeCell ref="AN254:AQ254"/>
    <mergeCell ref="AR254:AU254"/>
    <mergeCell ref="AV254:AY254"/>
    <mergeCell ref="AZ254:BC254"/>
    <mergeCell ref="BD254:BF254"/>
    <mergeCell ref="BD255:BF255"/>
    <mergeCell ref="BG254:BI254"/>
    <mergeCell ref="BJ254:BL254"/>
    <mergeCell ref="BM254:BO254"/>
    <mergeCell ref="BP254:BR254"/>
    <mergeCell ref="BS254:BT254"/>
    <mergeCell ref="BX254:BY254"/>
    <mergeCell ref="CB254:CC254"/>
    <mergeCell ref="CD254:CE254"/>
    <mergeCell ref="CH254:CI254"/>
    <mergeCell ref="CJ254:CK254"/>
    <mergeCell ref="CL254:CM254"/>
    <mergeCell ref="CP254:CQ254"/>
    <mergeCell ref="CR254:CS254"/>
    <mergeCell ref="F255:J255"/>
    <mergeCell ref="K255:M255"/>
    <mergeCell ref="CJ255:CK255"/>
    <mergeCell ref="CL255:CM255"/>
    <mergeCell ref="CP255:CQ255"/>
    <mergeCell ref="CB255:CC255"/>
    <mergeCell ref="CD255:CE255"/>
    <mergeCell ref="CH255:CI255"/>
    <mergeCell ref="AB254:AD255"/>
    <mergeCell ref="AE254:AG255"/>
    <mergeCell ref="AH254:AJ255"/>
    <mergeCell ref="BS256:BT256"/>
    <mergeCell ref="BX256:BY256"/>
    <mergeCell ref="CB256:CC256"/>
    <mergeCell ref="CD256:CE256"/>
    <mergeCell ref="CH256:CI256"/>
    <mergeCell ref="CJ256:CK256"/>
    <mergeCell ref="AZ256:BC256"/>
    <mergeCell ref="BD256:BF256"/>
    <mergeCell ref="BG256:BI256"/>
    <mergeCell ref="BJ256:BL256"/>
    <mergeCell ref="BM256:BO256"/>
    <mergeCell ref="C258:E259"/>
    <mergeCell ref="F258:G258"/>
    <mergeCell ref="I258:J258"/>
    <mergeCell ref="K258:M258"/>
    <mergeCell ref="N258:Q258"/>
    <mergeCell ref="R258:U258"/>
    <mergeCell ref="V258:X258"/>
    <mergeCell ref="BP256:BR256"/>
    <mergeCell ref="AE256:AG257"/>
    <mergeCell ref="AH256:AJ257"/>
    <mergeCell ref="AK256:AM257"/>
    <mergeCell ref="AN256:AQ256"/>
    <mergeCell ref="AR256:AU256"/>
    <mergeCell ref="AV256:AY256"/>
    <mergeCell ref="AV257:AY257"/>
    <mergeCell ref="AZ257:BC257"/>
    <mergeCell ref="BD257:BF257"/>
    <mergeCell ref="F259:J259"/>
    <mergeCell ref="K259:M259"/>
    <mergeCell ref="N259:Q259"/>
    <mergeCell ref="V256:X256"/>
    <mergeCell ref="Y256:AA257"/>
    <mergeCell ref="AB256:AD257"/>
    <mergeCell ref="BG257:BI257"/>
    <mergeCell ref="BJ257:BL257"/>
    <mergeCell ref="BM257:BO257"/>
    <mergeCell ref="BP257:BR257"/>
    <mergeCell ref="AR258:AU258"/>
    <mergeCell ref="AV258:AY258"/>
    <mergeCell ref="AZ258:BC258"/>
    <mergeCell ref="BD258:BF258"/>
    <mergeCell ref="BS257:BT257"/>
    <mergeCell ref="BX257:BY257"/>
    <mergeCell ref="CB257:CC257"/>
    <mergeCell ref="CD257:CE257"/>
    <mergeCell ref="CH257:CI257"/>
    <mergeCell ref="CJ257:CK257"/>
    <mergeCell ref="BG258:BI258"/>
    <mergeCell ref="BJ258:BL258"/>
    <mergeCell ref="CL257:CM257"/>
    <mergeCell ref="CP257:CQ257"/>
    <mergeCell ref="CR257:CS257"/>
    <mergeCell ref="BM258:BO258"/>
    <mergeCell ref="BP258:BR258"/>
    <mergeCell ref="CL256:CM256"/>
    <mergeCell ref="CP256:CQ256"/>
    <mergeCell ref="CR256:CS256"/>
    <mergeCell ref="F257:J257"/>
    <mergeCell ref="K257:M257"/>
    <mergeCell ref="N257:Q257"/>
    <mergeCell ref="R257:U257"/>
    <mergeCell ref="V257:X257"/>
    <mergeCell ref="AN257:AQ257"/>
    <mergeCell ref="AR257:AU257"/>
    <mergeCell ref="CP258:CQ258"/>
    <mergeCell ref="CR258:CS258"/>
    <mergeCell ref="Y258:AA259"/>
    <mergeCell ref="AB258:AD259"/>
    <mergeCell ref="AE258:AG259"/>
    <mergeCell ref="AH258:AJ259"/>
    <mergeCell ref="AK258:AM259"/>
    <mergeCell ref="AN258:AQ258"/>
    <mergeCell ref="AN259:AQ259"/>
    <mergeCell ref="CL258:CM258"/>
    <mergeCell ref="BX260:BY260"/>
    <mergeCell ref="CB260:CC260"/>
    <mergeCell ref="CH258:CI258"/>
    <mergeCell ref="CJ258:CK258"/>
    <mergeCell ref="BS258:BT258"/>
    <mergeCell ref="BX258:BY258"/>
    <mergeCell ref="CB258:CC258"/>
    <mergeCell ref="CD258:CE258"/>
    <mergeCell ref="CD260:CE260"/>
    <mergeCell ref="CH260:CI260"/>
    <mergeCell ref="CJ260:CK260"/>
    <mergeCell ref="CL260:CM260"/>
    <mergeCell ref="CP260:CQ260"/>
    <mergeCell ref="CR260:CS260"/>
    <mergeCell ref="F261:J261"/>
    <mergeCell ref="K261:M261"/>
    <mergeCell ref="N261:Q261"/>
    <mergeCell ref="R261:U261"/>
    <mergeCell ref="V261:X261"/>
    <mergeCell ref="AN261:AQ261"/>
    <mergeCell ref="AR261:AU261"/>
    <mergeCell ref="AV261:AY261"/>
    <mergeCell ref="AZ261:BC261"/>
    <mergeCell ref="R259:U259"/>
    <mergeCell ref="V259:X259"/>
    <mergeCell ref="BG259:BI259"/>
    <mergeCell ref="BJ259:BL259"/>
    <mergeCell ref="BM259:BO259"/>
    <mergeCell ref="BP259:BR259"/>
    <mergeCell ref="BS259:BT259"/>
    <mergeCell ref="BX259:BY259"/>
    <mergeCell ref="CB259:CC259"/>
    <mergeCell ref="CD259:CE259"/>
    <mergeCell ref="CH259:CI259"/>
    <mergeCell ref="CJ259:CK259"/>
    <mergeCell ref="CL259:CM259"/>
    <mergeCell ref="CP259:CQ259"/>
    <mergeCell ref="CR259:CS259"/>
    <mergeCell ref="F260:G260"/>
    <mergeCell ref="I260:J260"/>
    <mergeCell ref="C262:E263"/>
    <mergeCell ref="F262:G262"/>
    <mergeCell ref="I262:J262"/>
    <mergeCell ref="K262:M262"/>
    <mergeCell ref="N262:Q262"/>
    <mergeCell ref="R262:U262"/>
    <mergeCell ref="AK260:AM261"/>
    <mergeCell ref="AN260:AQ260"/>
    <mergeCell ref="AR260:AU260"/>
    <mergeCell ref="AV260:AY260"/>
    <mergeCell ref="AZ260:BC260"/>
    <mergeCell ref="BD260:BF260"/>
    <mergeCell ref="BD261:BF261"/>
    <mergeCell ref="BG260:BI260"/>
    <mergeCell ref="BJ260:BL260"/>
    <mergeCell ref="BM260:BO260"/>
    <mergeCell ref="BP260:BR260"/>
    <mergeCell ref="C260:E261"/>
    <mergeCell ref="K260:M260"/>
    <mergeCell ref="N260:Q260"/>
    <mergeCell ref="CR262:CS262"/>
    <mergeCell ref="F263:J263"/>
    <mergeCell ref="K263:M263"/>
    <mergeCell ref="N263:Q263"/>
    <mergeCell ref="R263:U263"/>
    <mergeCell ref="V263:X263"/>
    <mergeCell ref="AN263:AQ263"/>
    <mergeCell ref="AR263:AU263"/>
    <mergeCell ref="CJ261:CK261"/>
    <mergeCell ref="CL261:CM261"/>
    <mergeCell ref="CP261:CQ261"/>
    <mergeCell ref="BG261:BI261"/>
    <mergeCell ref="BJ261:BL261"/>
    <mergeCell ref="BM261:BO261"/>
    <mergeCell ref="BP261:BR261"/>
    <mergeCell ref="BS261:BT261"/>
    <mergeCell ref="BX261:BY261"/>
    <mergeCell ref="V262:X262"/>
    <mergeCell ref="Y262:AA263"/>
    <mergeCell ref="AB262:AD263"/>
    <mergeCell ref="CB261:CC261"/>
    <mergeCell ref="CD261:CE261"/>
    <mergeCell ref="CH261:CI261"/>
    <mergeCell ref="AB260:AD261"/>
    <mergeCell ref="AE260:AG261"/>
    <mergeCell ref="AH260:AJ261"/>
    <mergeCell ref="BS262:BT262"/>
    <mergeCell ref="R260:U260"/>
    <mergeCell ref="V260:X260"/>
    <mergeCell ref="Y260:AA261"/>
    <mergeCell ref="CL262:CM262"/>
    <mergeCell ref="CP262:CQ262"/>
    <mergeCell ref="CR261:CS261"/>
    <mergeCell ref="BS260:BT260"/>
    <mergeCell ref="CL263:CM263"/>
    <mergeCell ref="CP263:CQ263"/>
    <mergeCell ref="CR263:CS263"/>
    <mergeCell ref="C264:E265"/>
    <mergeCell ref="F264:G264"/>
    <mergeCell ref="I264:J264"/>
    <mergeCell ref="K264:M264"/>
    <mergeCell ref="N264:Q264"/>
    <mergeCell ref="R264:U264"/>
    <mergeCell ref="V264:X264"/>
    <mergeCell ref="BP262:BR262"/>
    <mergeCell ref="AE262:AG263"/>
    <mergeCell ref="AH262:AJ263"/>
    <mergeCell ref="AK262:AM263"/>
    <mergeCell ref="AN262:AQ262"/>
    <mergeCell ref="AR262:AU262"/>
    <mergeCell ref="AV262:AY262"/>
    <mergeCell ref="AV263:AY263"/>
    <mergeCell ref="AZ263:BC263"/>
    <mergeCell ref="BD263:BF263"/>
    <mergeCell ref="BX262:BY262"/>
    <mergeCell ref="CB262:CC262"/>
    <mergeCell ref="CD262:CE262"/>
    <mergeCell ref="CH262:CI262"/>
    <mergeCell ref="CJ262:CK262"/>
    <mergeCell ref="AZ262:BC262"/>
    <mergeCell ref="BD262:BF262"/>
    <mergeCell ref="BG262:BI262"/>
    <mergeCell ref="BJ262:BL262"/>
    <mergeCell ref="BM262:BO262"/>
    <mergeCell ref="BM264:BO264"/>
    <mergeCell ref="BP264:BR264"/>
    <mergeCell ref="BG263:BI263"/>
    <mergeCell ref="BJ263:BL263"/>
    <mergeCell ref="BM263:BO263"/>
    <mergeCell ref="BP263:BR263"/>
    <mergeCell ref="CH264:CI264"/>
    <mergeCell ref="CJ264:CK264"/>
    <mergeCell ref="BS264:BT264"/>
    <mergeCell ref="BX264:BY264"/>
    <mergeCell ref="CB264:CC264"/>
    <mergeCell ref="CD264:CE264"/>
    <mergeCell ref="BS263:BT263"/>
    <mergeCell ref="BX263:BY263"/>
    <mergeCell ref="CB263:CC263"/>
    <mergeCell ref="CD263:CE263"/>
    <mergeCell ref="CH263:CI263"/>
    <mergeCell ref="CJ263:CK263"/>
    <mergeCell ref="BX265:BY265"/>
    <mergeCell ref="CB265:CC265"/>
    <mergeCell ref="CD265:CE265"/>
    <mergeCell ref="CH265:CI265"/>
    <mergeCell ref="CJ265:CK265"/>
    <mergeCell ref="CL265:CM265"/>
    <mergeCell ref="CP265:CQ265"/>
    <mergeCell ref="CR265:CS265"/>
    <mergeCell ref="C266:E267"/>
    <mergeCell ref="F266:G266"/>
    <mergeCell ref="I266:J266"/>
    <mergeCell ref="K266:M266"/>
    <mergeCell ref="N266:Q266"/>
    <mergeCell ref="Y264:AA265"/>
    <mergeCell ref="AB264:AD265"/>
    <mergeCell ref="AE264:AG265"/>
    <mergeCell ref="AH264:AJ265"/>
    <mergeCell ref="AK264:AM265"/>
    <mergeCell ref="AN264:AQ264"/>
    <mergeCell ref="AN265:AQ265"/>
    <mergeCell ref="AR264:AU264"/>
    <mergeCell ref="AV264:AY264"/>
    <mergeCell ref="AZ264:BC264"/>
    <mergeCell ref="BD264:BF264"/>
    <mergeCell ref="BG264:BI264"/>
    <mergeCell ref="BJ264:BL264"/>
    <mergeCell ref="CL264:CM264"/>
    <mergeCell ref="CP264:CQ264"/>
    <mergeCell ref="CR264:CS264"/>
    <mergeCell ref="F265:J265"/>
    <mergeCell ref="K265:M265"/>
    <mergeCell ref="N265:Q265"/>
    <mergeCell ref="K267:M267"/>
    <mergeCell ref="N267:Q267"/>
    <mergeCell ref="R267:U267"/>
    <mergeCell ref="V267:X267"/>
    <mergeCell ref="AN267:AQ267"/>
    <mergeCell ref="AR267:AU267"/>
    <mergeCell ref="AV267:AY267"/>
    <mergeCell ref="AZ267:BC267"/>
    <mergeCell ref="AR265:AU265"/>
    <mergeCell ref="AV265:AY265"/>
    <mergeCell ref="AZ265:BC265"/>
    <mergeCell ref="BD265:BF265"/>
    <mergeCell ref="BG265:BI265"/>
    <mergeCell ref="BJ265:BL265"/>
    <mergeCell ref="BM265:BO265"/>
    <mergeCell ref="BP265:BR265"/>
    <mergeCell ref="BS265:BT265"/>
    <mergeCell ref="R265:U265"/>
    <mergeCell ref="V265:X265"/>
    <mergeCell ref="BX268:BY268"/>
    <mergeCell ref="R266:U266"/>
    <mergeCell ref="V266:X266"/>
    <mergeCell ref="Y266:AA267"/>
    <mergeCell ref="CR267:CS267"/>
    <mergeCell ref="C268:E269"/>
    <mergeCell ref="F268:G268"/>
    <mergeCell ref="I268:J268"/>
    <mergeCell ref="K268:M268"/>
    <mergeCell ref="N268:Q268"/>
    <mergeCell ref="R268:U268"/>
    <mergeCell ref="AK266:AM267"/>
    <mergeCell ref="AN266:AQ266"/>
    <mergeCell ref="AR266:AU266"/>
    <mergeCell ref="AV266:AY266"/>
    <mergeCell ref="AZ266:BC266"/>
    <mergeCell ref="BD266:BF266"/>
    <mergeCell ref="BD267:BF267"/>
    <mergeCell ref="BG266:BI266"/>
    <mergeCell ref="BJ266:BL266"/>
    <mergeCell ref="BM266:BO266"/>
    <mergeCell ref="BP266:BR266"/>
    <mergeCell ref="BS266:BT266"/>
    <mergeCell ref="BX266:BY266"/>
    <mergeCell ref="CB266:CC266"/>
    <mergeCell ref="CD266:CE266"/>
    <mergeCell ref="CH266:CI266"/>
    <mergeCell ref="CJ266:CK266"/>
    <mergeCell ref="CL266:CM266"/>
    <mergeCell ref="CP266:CQ266"/>
    <mergeCell ref="CR266:CS266"/>
    <mergeCell ref="F267:J267"/>
    <mergeCell ref="BG268:BI268"/>
    <mergeCell ref="BJ268:BL268"/>
    <mergeCell ref="BM268:BO268"/>
    <mergeCell ref="BP268:BR268"/>
    <mergeCell ref="CL268:CM268"/>
    <mergeCell ref="CP268:CQ268"/>
    <mergeCell ref="CR268:CS268"/>
    <mergeCell ref="F269:J269"/>
    <mergeCell ref="N269:Q269"/>
    <mergeCell ref="R269:U269"/>
    <mergeCell ref="V269:X269"/>
    <mergeCell ref="AN269:AQ269"/>
    <mergeCell ref="AR269:AU269"/>
    <mergeCell ref="BS268:BT268"/>
    <mergeCell ref="CJ267:CK267"/>
    <mergeCell ref="CL267:CM267"/>
    <mergeCell ref="CP267:CQ267"/>
    <mergeCell ref="BG267:BI267"/>
    <mergeCell ref="BJ267:BL267"/>
    <mergeCell ref="BM267:BO267"/>
    <mergeCell ref="BP267:BR267"/>
    <mergeCell ref="BS267:BT267"/>
    <mergeCell ref="BX267:BY267"/>
    <mergeCell ref="V268:X268"/>
    <mergeCell ref="Y268:AA269"/>
    <mergeCell ref="AB268:AD269"/>
    <mergeCell ref="CB267:CC267"/>
    <mergeCell ref="CD267:CE267"/>
    <mergeCell ref="CH267:CI267"/>
    <mergeCell ref="AB266:AD267"/>
    <mergeCell ref="AE266:AG267"/>
    <mergeCell ref="AH266:AJ267"/>
    <mergeCell ref="CH269:CI269"/>
    <mergeCell ref="CJ269:CK269"/>
    <mergeCell ref="CL269:CM269"/>
    <mergeCell ref="CP269:CQ269"/>
    <mergeCell ref="CR269:CS269"/>
    <mergeCell ref="C270:E271"/>
    <mergeCell ref="F270:G270"/>
    <mergeCell ref="I270:J270"/>
    <mergeCell ref="K270:M270"/>
    <mergeCell ref="N270:Q270"/>
    <mergeCell ref="R270:U270"/>
    <mergeCell ref="V270:X270"/>
    <mergeCell ref="Y270:AA271"/>
    <mergeCell ref="AB270:AD271"/>
    <mergeCell ref="AE270:AG271"/>
    <mergeCell ref="AH270:AJ271"/>
    <mergeCell ref="AK270:AM271"/>
    <mergeCell ref="AN270:AQ270"/>
    <mergeCell ref="AN271:AQ271"/>
    <mergeCell ref="AE268:AG269"/>
    <mergeCell ref="AH268:AJ269"/>
    <mergeCell ref="AK268:AM269"/>
    <mergeCell ref="AN268:AQ268"/>
    <mergeCell ref="AR268:AU268"/>
    <mergeCell ref="AV268:AY268"/>
    <mergeCell ref="AV269:AY269"/>
    <mergeCell ref="CB268:CC268"/>
    <mergeCell ref="CD268:CE268"/>
    <mergeCell ref="CH268:CI268"/>
    <mergeCell ref="CJ268:CK268"/>
    <mergeCell ref="AZ268:BC268"/>
    <mergeCell ref="BD268:BF268"/>
    <mergeCell ref="CR270:CS270"/>
    <mergeCell ref="BM270:BO270"/>
    <mergeCell ref="BP270:BR270"/>
    <mergeCell ref="BS270:BT270"/>
    <mergeCell ref="BX270:BY270"/>
    <mergeCell ref="CB270:CC270"/>
    <mergeCell ref="CD271:CE271"/>
    <mergeCell ref="AR271:AU271"/>
    <mergeCell ref="AV271:AY271"/>
    <mergeCell ref="AZ271:BC271"/>
    <mergeCell ref="BD271:BF271"/>
    <mergeCell ref="BG271:BI271"/>
    <mergeCell ref="BJ271:BL271"/>
    <mergeCell ref="CL271:CM271"/>
    <mergeCell ref="CP271:CQ271"/>
    <mergeCell ref="K269:M269"/>
    <mergeCell ref="CR271:CS271"/>
    <mergeCell ref="BM271:BO271"/>
    <mergeCell ref="BP271:BR271"/>
    <mergeCell ref="BS271:BT271"/>
    <mergeCell ref="BX271:BY271"/>
    <mergeCell ref="CB271:CC271"/>
    <mergeCell ref="AZ269:BC269"/>
    <mergeCell ref="BD269:BF269"/>
    <mergeCell ref="BG269:BI269"/>
    <mergeCell ref="BJ269:BL269"/>
    <mergeCell ref="BM269:BO269"/>
    <mergeCell ref="BP269:BR269"/>
    <mergeCell ref="BS269:BT269"/>
    <mergeCell ref="BX269:BY269"/>
    <mergeCell ref="CB269:CC269"/>
    <mergeCell ref="CD269:CE269"/>
    <mergeCell ref="BU302:BU334"/>
    <mergeCell ref="C303:H303"/>
    <mergeCell ref="BH303:BL303"/>
    <mergeCell ref="BP303:BS303"/>
    <mergeCell ref="C305:H305"/>
    <mergeCell ref="C307:X307"/>
    <mergeCell ref="CD270:CE270"/>
    <mergeCell ref="AR270:AU270"/>
    <mergeCell ref="AV270:AY270"/>
    <mergeCell ref="AZ270:BC270"/>
    <mergeCell ref="BD270:BF270"/>
    <mergeCell ref="BG270:BI270"/>
    <mergeCell ref="BJ270:BL270"/>
    <mergeCell ref="CH270:CI270"/>
    <mergeCell ref="CJ270:CK270"/>
    <mergeCell ref="CL270:CM270"/>
    <mergeCell ref="CP270:CQ270"/>
    <mergeCell ref="CJ275:CK275"/>
    <mergeCell ref="CH271:CI271"/>
    <mergeCell ref="CJ271:CK271"/>
    <mergeCell ref="F271:J271"/>
    <mergeCell ref="K271:M271"/>
    <mergeCell ref="N271:Q271"/>
    <mergeCell ref="R271:U271"/>
    <mergeCell ref="V271:X271"/>
    <mergeCell ref="CJ276:CK276"/>
    <mergeCell ref="BZ277:BZ279"/>
    <mergeCell ref="CD277:CD279"/>
    <mergeCell ref="CJ277:CK279"/>
    <mergeCell ref="CJ280:CK280"/>
    <mergeCell ref="CJ281:CK281"/>
    <mergeCell ref="CJ282:CK282"/>
    <mergeCell ref="BZ283:BZ285"/>
    <mergeCell ref="CD283:CD285"/>
    <mergeCell ref="CJ283:CK285"/>
    <mergeCell ref="C309:X309"/>
    <mergeCell ref="Y309:AD309"/>
    <mergeCell ref="AF309:AK309"/>
    <mergeCell ref="BH311:BM311"/>
    <mergeCell ref="BN311:BT311"/>
    <mergeCell ref="C312:X312"/>
    <mergeCell ref="Y312:AD312"/>
    <mergeCell ref="AF312:AK312"/>
    <mergeCell ref="AL312:AO312"/>
    <mergeCell ref="AP312:AV312"/>
    <mergeCell ref="BN308:BT308"/>
    <mergeCell ref="Y307:AD307"/>
    <mergeCell ref="AF307:AK307"/>
    <mergeCell ref="AL307:AO307"/>
    <mergeCell ref="AP307:AV307"/>
    <mergeCell ref="AW307:BF307"/>
    <mergeCell ref="BH307:BM307"/>
    <mergeCell ref="AP309:AV309"/>
    <mergeCell ref="AW309:BF309"/>
    <mergeCell ref="BN307:BT307"/>
    <mergeCell ref="C308:X308"/>
    <mergeCell ref="Y308:AD308"/>
    <mergeCell ref="AF308:AK308"/>
    <mergeCell ref="AL308:AO308"/>
    <mergeCell ref="AP308:AV308"/>
    <mergeCell ref="AW308:BF308"/>
    <mergeCell ref="BH308:BM308"/>
    <mergeCell ref="BH309:BM309"/>
    <mergeCell ref="BN309:BT309"/>
    <mergeCell ref="C310:X310"/>
    <mergeCell ref="Y310:AD310"/>
    <mergeCell ref="AF310:AK310"/>
    <mergeCell ref="BN310:BT310"/>
    <mergeCell ref="BH315:BM315"/>
    <mergeCell ref="BN315:BT315"/>
    <mergeCell ref="C316:X316"/>
    <mergeCell ref="Y316:AD316"/>
    <mergeCell ref="AF316:AK316"/>
    <mergeCell ref="AL316:AO316"/>
    <mergeCell ref="AP316:AV316"/>
    <mergeCell ref="AW316:BF316"/>
    <mergeCell ref="BH316:BM316"/>
    <mergeCell ref="AW312:BF312"/>
    <mergeCell ref="BH312:BM312"/>
    <mergeCell ref="BN312:BT312"/>
    <mergeCell ref="C311:X311"/>
    <mergeCell ref="Y311:AD311"/>
    <mergeCell ref="AF311:AK311"/>
    <mergeCell ref="AL311:AO311"/>
    <mergeCell ref="AP311:AV311"/>
    <mergeCell ref="AW311:BF311"/>
    <mergeCell ref="AL310:AO310"/>
    <mergeCell ref="AP310:AV310"/>
    <mergeCell ref="AW310:BF310"/>
    <mergeCell ref="BH310:BM310"/>
    <mergeCell ref="C320:X320"/>
    <mergeCell ref="Y320:AD320"/>
    <mergeCell ref="AF320:AK320"/>
    <mergeCell ref="AL320:AO320"/>
    <mergeCell ref="AP320:AV320"/>
    <mergeCell ref="AW320:BF320"/>
    <mergeCell ref="BH320:BM320"/>
    <mergeCell ref="BN320:BT320"/>
    <mergeCell ref="C313:X313"/>
    <mergeCell ref="Y313:AD313"/>
    <mergeCell ref="AF313:AK313"/>
    <mergeCell ref="AL313:AO313"/>
    <mergeCell ref="AP313:AV313"/>
    <mergeCell ref="AW313:BF313"/>
    <mergeCell ref="BH313:BM313"/>
    <mergeCell ref="BN313:BT313"/>
    <mergeCell ref="C314:X314"/>
    <mergeCell ref="Y314:AD314"/>
    <mergeCell ref="AF314:AK314"/>
    <mergeCell ref="AL314:AO314"/>
    <mergeCell ref="AP314:AV314"/>
    <mergeCell ref="AW314:BF314"/>
    <mergeCell ref="BH314:BM314"/>
    <mergeCell ref="BN314:BT314"/>
    <mergeCell ref="BN316:BT316"/>
    <mergeCell ref="C315:X315"/>
    <mergeCell ref="Y315:AD315"/>
    <mergeCell ref="AF315:AK315"/>
    <mergeCell ref="AL315:AO315"/>
    <mergeCell ref="AP315:AV315"/>
    <mergeCell ref="AW315:BF315"/>
    <mergeCell ref="C317:X317"/>
    <mergeCell ref="AF317:AK317"/>
    <mergeCell ref="AL317:AO317"/>
    <mergeCell ref="AP317:AV317"/>
    <mergeCell ref="AW317:BF317"/>
    <mergeCell ref="BH317:BM317"/>
    <mergeCell ref="BN317:BT317"/>
    <mergeCell ref="C318:X318"/>
    <mergeCell ref="Y318:AD318"/>
    <mergeCell ref="AF318:AK318"/>
    <mergeCell ref="AL318:AO318"/>
    <mergeCell ref="AP318:AV318"/>
    <mergeCell ref="AW318:BF318"/>
    <mergeCell ref="BH318:BM318"/>
    <mergeCell ref="BN318:BT318"/>
    <mergeCell ref="C319:X319"/>
    <mergeCell ref="Y319:AD319"/>
    <mergeCell ref="AF319:AK319"/>
    <mergeCell ref="AL319:AO319"/>
    <mergeCell ref="AP319:AV319"/>
    <mergeCell ref="AW319:BF319"/>
    <mergeCell ref="BH319:BM319"/>
    <mergeCell ref="BN319:BT319"/>
    <mergeCell ref="BH329:BM329"/>
    <mergeCell ref="BN329:BT329"/>
    <mergeCell ref="C321:X321"/>
    <mergeCell ref="Y321:AD321"/>
    <mergeCell ref="AF321:AK321"/>
    <mergeCell ref="AL321:AO321"/>
    <mergeCell ref="AP321:AV321"/>
    <mergeCell ref="AW321:BF321"/>
    <mergeCell ref="BH321:BM321"/>
    <mergeCell ref="BN321:BT321"/>
    <mergeCell ref="C322:X322"/>
    <mergeCell ref="Y322:AD322"/>
    <mergeCell ref="AF322:AK322"/>
    <mergeCell ref="AL322:AO322"/>
    <mergeCell ref="AP322:AV322"/>
    <mergeCell ref="AW322:BF322"/>
    <mergeCell ref="BH322:BM322"/>
    <mergeCell ref="BN322:BT322"/>
    <mergeCell ref="AW323:BF323"/>
    <mergeCell ref="BN323:BT323"/>
    <mergeCell ref="C324:H324"/>
    <mergeCell ref="C326:X326"/>
    <mergeCell ref="Y326:AD326"/>
    <mergeCell ref="AF326:AK326"/>
    <mergeCell ref="AL326:AO326"/>
    <mergeCell ref="AP326:AV326"/>
    <mergeCell ref="AW326:BF326"/>
    <mergeCell ref="BH326:BM326"/>
    <mergeCell ref="BN332:BT332"/>
    <mergeCell ref="C333:X333"/>
    <mergeCell ref="Y333:AD333"/>
    <mergeCell ref="AF333:AK333"/>
    <mergeCell ref="AL333:AO333"/>
    <mergeCell ref="AP333:AV333"/>
    <mergeCell ref="AW333:BF333"/>
    <mergeCell ref="BH333:BM333"/>
    <mergeCell ref="BN333:BT333"/>
    <mergeCell ref="BN326:BT326"/>
    <mergeCell ref="C327:X327"/>
    <mergeCell ref="Y327:AD327"/>
    <mergeCell ref="AF327:AK327"/>
    <mergeCell ref="AL327:AO327"/>
    <mergeCell ref="AP327:AV327"/>
    <mergeCell ref="AW327:BF327"/>
    <mergeCell ref="BH327:BM327"/>
    <mergeCell ref="BN327:BT327"/>
    <mergeCell ref="C328:X328"/>
    <mergeCell ref="Y328:AD328"/>
    <mergeCell ref="AF328:AK328"/>
    <mergeCell ref="AL328:AO328"/>
    <mergeCell ref="AP328:AV328"/>
    <mergeCell ref="AW328:BF328"/>
    <mergeCell ref="BH328:BM328"/>
    <mergeCell ref="BN328:BT328"/>
    <mergeCell ref="C329:X329"/>
    <mergeCell ref="Y329:AD329"/>
    <mergeCell ref="AF329:AK329"/>
    <mergeCell ref="AL329:AO329"/>
    <mergeCell ref="AP329:AV329"/>
    <mergeCell ref="AW329:BF329"/>
    <mergeCell ref="C337:X337"/>
    <mergeCell ref="Y337:AD337"/>
    <mergeCell ref="AF337:AK337"/>
    <mergeCell ref="AL337:AO337"/>
    <mergeCell ref="AP337:AV337"/>
    <mergeCell ref="AW337:BF337"/>
    <mergeCell ref="BH337:BM337"/>
    <mergeCell ref="BN337:BT337"/>
    <mergeCell ref="C336:X336"/>
    <mergeCell ref="C330:X330"/>
    <mergeCell ref="Y330:AD330"/>
    <mergeCell ref="AF330:AK330"/>
    <mergeCell ref="AL330:AO330"/>
    <mergeCell ref="AP330:AV330"/>
    <mergeCell ref="AW330:BF330"/>
    <mergeCell ref="BH330:BM330"/>
    <mergeCell ref="BN330:BT330"/>
    <mergeCell ref="C331:X331"/>
    <mergeCell ref="Y331:AD331"/>
    <mergeCell ref="AF331:AK331"/>
    <mergeCell ref="AL331:AO331"/>
    <mergeCell ref="AP331:AV331"/>
    <mergeCell ref="AW331:BF331"/>
    <mergeCell ref="BH331:BM331"/>
    <mergeCell ref="BN331:BT331"/>
    <mergeCell ref="C332:X332"/>
    <mergeCell ref="Y332:AD332"/>
    <mergeCell ref="AF332:AK332"/>
    <mergeCell ref="AL332:AO332"/>
    <mergeCell ref="AP332:AV332"/>
    <mergeCell ref="AW332:BF332"/>
    <mergeCell ref="BH332:BM332"/>
    <mergeCell ref="BN334:BT334"/>
    <mergeCell ref="C335:X335"/>
    <mergeCell ref="Y335:AD335"/>
    <mergeCell ref="AF335:AK335"/>
    <mergeCell ref="AL335:AO335"/>
    <mergeCell ref="AP335:AV335"/>
    <mergeCell ref="AW335:BF335"/>
    <mergeCell ref="BH335:BM335"/>
    <mergeCell ref="BN335:BT335"/>
    <mergeCell ref="C334:X334"/>
    <mergeCell ref="Y336:AD336"/>
    <mergeCell ref="AF336:AK336"/>
    <mergeCell ref="AL336:AO336"/>
    <mergeCell ref="AP336:AV336"/>
    <mergeCell ref="AW336:BF336"/>
    <mergeCell ref="BH334:BM334"/>
    <mergeCell ref="Y334:AD334"/>
    <mergeCell ref="AF334:AK334"/>
    <mergeCell ref="AL334:AO334"/>
    <mergeCell ref="AP334:AV334"/>
    <mergeCell ref="BN336:BT336"/>
    <mergeCell ref="BH338:BM338"/>
    <mergeCell ref="BN338:BT338"/>
    <mergeCell ref="C339:X339"/>
    <mergeCell ref="Y339:AD339"/>
    <mergeCell ref="AF339:AK339"/>
    <mergeCell ref="AL339:AO339"/>
    <mergeCell ref="AP339:AV339"/>
    <mergeCell ref="AW339:BF339"/>
    <mergeCell ref="BH339:BM339"/>
    <mergeCell ref="BN339:BT339"/>
    <mergeCell ref="BH341:BM341"/>
    <mergeCell ref="BN341:BT341"/>
    <mergeCell ref="C340:X340"/>
    <mergeCell ref="Y340:AD340"/>
    <mergeCell ref="AF340:AK340"/>
    <mergeCell ref="AL340:AO340"/>
    <mergeCell ref="AP340:AV340"/>
    <mergeCell ref="AW340:BF340"/>
    <mergeCell ref="BH340:BM340"/>
    <mergeCell ref="BN340:BT340"/>
    <mergeCell ref="C341:X341"/>
    <mergeCell ref="Y341:AD341"/>
    <mergeCell ref="AF341:AK341"/>
    <mergeCell ref="AL341:AO341"/>
    <mergeCell ref="AP341:AV341"/>
    <mergeCell ref="AW341:BF341"/>
    <mergeCell ref="C338:X338"/>
    <mergeCell ref="Y338:AD338"/>
    <mergeCell ref="AF338:AK338"/>
    <mergeCell ref="BH342:BM342"/>
    <mergeCell ref="BN342:BT342"/>
    <mergeCell ref="C343:X343"/>
    <mergeCell ref="Y343:AD343"/>
    <mergeCell ref="AF343:AK343"/>
    <mergeCell ref="AL343:AO343"/>
    <mergeCell ref="AP343:AV343"/>
    <mergeCell ref="AW343:BF343"/>
    <mergeCell ref="BH343:BM343"/>
    <mergeCell ref="BN343:BT343"/>
    <mergeCell ref="BH345:BM345"/>
    <mergeCell ref="BN345:BT345"/>
    <mergeCell ref="C344:X344"/>
    <mergeCell ref="Y344:AD344"/>
    <mergeCell ref="AF344:AK344"/>
    <mergeCell ref="AL344:AO344"/>
    <mergeCell ref="AP344:AV344"/>
    <mergeCell ref="AW344:BF344"/>
    <mergeCell ref="BH344:BM344"/>
    <mergeCell ref="BN344:BT344"/>
    <mergeCell ref="C345:X345"/>
    <mergeCell ref="Y345:AD345"/>
    <mergeCell ref="AF345:AK345"/>
    <mergeCell ref="AL345:AO345"/>
    <mergeCell ref="AP345:AV345"/>
    <mergeCell ref="AW345:BF345"/>
    <mergeCell ref="C342:X342"/>
    <mergeCell ref="AP347:AV347"/>
    <mergeCell ref="AW347:BF347"/>
    <mergeCell ref="BH347:BM347"/>
    <mergeCell ref="BN347:BT347"/>
    <mergeCell ref="AW349:BF349"/>
    <mergeCell ref="BH349:BM349"/>
    <mergeCell ref="BN349:BT349"/>
    <mergeCell ref="C348:X348"/>
    <mergeCell ref="Y348:AD348"/>
    <mergeCell ref="AF348:AK348"/>
    <mergeCell ref="AL348:AO348"/>
    <mergeCell ref="AP348:AV348"/>
    <mergeCell ref="AW348:BF348"/>
    <mergeCell ref="C349:X349"/>
    <mergeCell ref="Y349:AD349"/>
    <mergeCell ref="AF349:AK349"/>
    <mergeCell ref="AL349:AO349"/>
    <mergeCell ref="AP349:AV349"/>
    <mergeCell ref="BH348:BM348"/>
    <mergeCell ref="BN348:BT348"/>
    <mergeCell ref="BN365:BQ365"/>
    <mergeCell ref="C364:L364"/>
    <mergeCell ref="C365:E365"/>
    <mergeCell ref="F365:L365"/>
    <mergeCell ref="C363:L363"/>
    <mergeCell ref="BE363:BJ363"/>
    <mergeCell ref="BL363:BQ363"/>
    <mergeCell ref="M363:W363"/>
    <mergeCell ref="M364:W364"/>
    <mergeCell ref="M365:W365"/>
    <mergeCell ref="AU359:AZ359"/>
    <mergeCell ref="BA359:BF359"/>
    <mergeCell ref="BH359:BM359"/>
    <mergeCell ref="AJ359:AM359"/>
    <mergeCell ref="AO359:AR359"/>
    <mergeCell ref="Z359:AI359"/>
    <mergeCell ref="C354:X354"/>
    <mergeCell ref="Y354:AD354"/>
    <mergeCell ref="AW354:BF354"/>
    <mergeCell ref="C355:X355"/>
    <mergeCell ref="Y355:AD355"/>
    <mergeCell ref="AF355:AK355"/>
    <mergeCell ref="AL355:AO355"/>
    <mergeCell ref="AP355:AV355"/>
    <mergeCell ref="AW355:BF355"/>
    <mergeCell ref="AL354:AO354"/>
    <mergeCell ref="AP354:AV354"/>
    <mergeCell ref="AW357:BF357"/>
    <mergeCell ref="BH356:BM356"/>
    <mergeCell ref="BN356:BT356"/>
    <mergeCell ref="AJ360:AR360"/>
    <mergeCell ref="BH354:BM354"/>
    <mergeCell ref="C362:L362"/>
    <mergeCell ref="AU361:AZ361"/>
    <mergeCell ref="BA361:BF361"/>
    <mergeCell ref="BH361:BM361"/>
    <mergeCell ref="BO361:BR361"/>
    <mergeCell ref="AU362:AZ362"/>
    <mergeCell ref="BA362:BF362"/>
    <mergeCell ref="BH362:BM362"/>
    <mergeCell ref="BN362:BS362"/>
    <mergeCell ref="BL68:BP68"/>
    <mergeCell ref="BQ68:BT68"/>
    <mergeCell ref="C352:X352"/>
    <mergeCell ref="Y352:AD352"/>
    <mergeCell ref="AF352:AK352"/>
    <mergeCell ref="AL352:AO352"/>
    <mergeCell ref="AP352:AV352"/>
    <mergeCell ref="AW352:BF352"/>
    <mergeCell ref="BH352:BM352"/>
    <mergeCell ref="BN352:BT352"/>
    <mergeCell ref="C353:X353"/>
    <mergeCell ref="Y353:AD353"/>
    <mergeCell ref="BN355:BT355"/>
    <mergeCell ref="BN351:BT351"/>
    <mergeCell ref="C350:X350"/>
    <mergeCell ref="Y350:AD350"/>
    <mergeCell ref="AF350:AK350"/>
    <mergeCell ref="AL350:AO350"/>
    <mergeCell ref="AP350:AV350"/>
    <mergeCell ref="AW350:BF350"/>
    <mergeCell ref="AF354:AK354"/>
    <mergeCell ref="BH350:BM350"/>
    <mergeCell ref="BN350:BT350"/>
    <mergeCell ref="C360:H360"/>
    <mergeCell ref="BF132:BJ132"/>
    <mergeCell ref="BL132:BP132"/>
    <mergeCell ref="BF68:BJ68"/>
    <mergeCell ref="BL114:BP114"/>
    <mergeCell ref="BN357:BT357"/>
    <mergeCell ref="C359:H359"/>
    <mergeCell ref="C356:X356"/>
    <mergeCell ref="AW356:BF356"/>
    <mergeCell ref="I359:P359"/>
    <mergeCell ref="C361:E361"/>
    <mergeCell ref="C351:X351"/>
    <mergeCell ref="Y351:AD351"/>
    <mergeCell ref="AF351:AK351"/>
    <mergeCell ref="AL351:AO351"/>
    <mergeCell ref="AP351:AV351"/>
    <mergeCell ref="AW351:BF351"/>
    <mergeCell ref="BH351:BM351"/>
    <mergeCell ref="C346:X346"/>
    <mergeCell ref="Y346:AD346"/>
    <mergeCell ref="AF346:AK346"/>
    <mergeCell ref="AL346:AO346"/>
    <mergeCell ref="AP346:AV346"/>
    <mergeCell ref="AW346:BF346"/>
    <mergeCell ref="BH346:BM346"/>
    <mergeCell ref="BN346:BT346"/>
    <mergeCell ref="AN85:AQ85"/>
    <mergeCell ref="AN94:AQ94"/>
    <mergeCell ref="C347:X347"/>
    <mergeCell ref="Y347:AD347"/>
    <mergeCell ref="AF347:AK347"/>
    <mergeCell ref="AL347:AO347"/>
    <mergeCell ref="BN5:BS6"/>
    <mergeCell ref="BJ7:BN7"/>
    <mergeCell ref="BO7:BQ7"/>
    <mergeCell ref="AN48:AQ48"/>
    <mergeCell ref="AN57:AQ57"/>
    <mergeCell ref="AN66:AQ66"/>
    <mergeCell ref="AN75:AQ75"/>
    <mergeCell ref="AS173:BD173"/>
    <mergeCell ref="BE173:BH173"/>
    <mergeCell ref="BI173:BL173"/>
    <mergeCell ref="BM173:BP173"/>
    <mergeCell ref="BQ173:BT173"/>
    <mergeCell ref="BA181:BD181"/>
    <mergeCell ref="AS181:AV181"/>
    <mergeCell ref="AW181:AZ181"/>
    <mergeCell ref="BQ178:BT178"/>
    <mergeCell ref="BQ182:BT182"/>
    <mergeCell ref="BE181:BL181"/>
    <mergeCell ref="BA110:BD110"/>
    <mergeCell ref="BE110:BH110"/>
    <mergeCell ref="AR48:AY48"/>
    <mergeCell ref="AZ48:BA48"/>
    <mergeCell ref="BC48:BD48"/>
    <mergeCell ref="BE48:BT48"/>
    <mergeCell ref="AR57:AY57"/>
    <mergeCell ref="AZ57:BA57"/>
    <mergeCell ref="BC57:BD57"/>
    <mergeCell ref="AX50:BA50"/>
    <mergeCell ref="BQ50:BT50"/>
    <mergeCell ref="BE57:BT57"/>
    <mergeCell ref="AR66:AY66"/>
    <mergeCell ref="AZ66:BA66"/>
    <mergeCell ref="AN121:AQ121"/>
    <mergeCell ref="AN130:AQ130"/>
    <mergeCell ref="BL159:BP159"/>
    <mergeCell ref="BQ159:BT159"/>
    <mergeCell ref="AO154:AR154"/>
    <mergeCell ref="AS154:AV154"/>
    <mergeCell ref="AW154:AZ154"/>
    <mergeCell ref="AJ362:AR362"/>
    <mergeCell ref="R359:W359"/>
    <mergeCell ref="R360:W360"/>
    <mergeCell ref="F361:W361"/>
    <mergeCell ref="M362:W362"/>
    <mergeCell ref="BH336:BM336"/>
    <mergeCell ref="AP356:AV356"/>
    <mergeCell ref="BL160:BP160"/>
    <mergeCell ref="BQ186:BT186"/>
    <mergeCell ref="I360:P360"/>
    <mergeCell ref="AF353:AK353"/>
    <mergeCell ref="AL353:AO353"/>
    <mergeCell ref="AP353:AV353"/>
    <mergeCell ref="AW353:BF353"/>
    <mergeCell ref="BH353:BM353"/>
    <mergeCell ref="BN353:BT353"/>
    <mergeCell ref="BN354:BT354"/>
    <mergeCell ref="BH355:BM355"/>
    <mergeCell ref="AX160:BA160"/>
    <mergeCell ref="BB160:BE160"/>
    <mergeCell ref="Y317:AD317"/>
    <mergeCell ref="BQ132:BT132"/>
    <mergeCell ref="AS134:BD134"/>
    <mergeCell ref="BF169:BJ169"/>
    <mergeCell ref="BL169:BP169"/>
    <mergeCell ref="BF114:BJ114"/>
    <mergeCell ref="AJ361:AM361"/>
    <mergeCell ref="AO361:AR361"/>
    <mergeCell ref="Z361:AI361"/>
    <mergeCell ref="AR94:AY94"/>
    <mergeCell ref="Y342:AD342"/>
    <mergeCell ref="AF342:AK342"/>
    <mergeCell ref="AL342:AO342"/>
    <mergeCell ref="AP342:AV342"/>
    <mergeCell ref="AW342:BF342"/>
    <mergeCell ref="AL338:AO338"/>
    <mergeCell ref="AP338:AV338"/>
    <mergeCell ref="AW338:BF338"/>
    <mergeCell ref="AW334:BF334"/>
    <mergeCell ref="AL309:AO309"/>
    <mergeCell ref="AR259:AU259"/>
    <mergeCell ref="AV259:AY259"/>
    <mergeCell ref="AZ259:BC259"/>
    <mergeCell ref="BD259:BF259"/>
    <mergeCell ref="AX177:BA177"/>
    <mergeCell ref="AR176:AY176"/>
    <mergeCell ref="AO181:AR181"/>
    <mergeCell ref="AL356:AO356"/>
    <mergeCell ref="BC203:BD203"/>
    <mergeCell ref="Y356:AD356"/>
    <mergeCell ref="AF356:AK356"/>
    <mergeCell ref="AN139:AQ139"/>
    <mergeCell ref="AN148:AQ148"/>
    <mergeCell ref="AN158:AQ158"/>
    <mergeCell ref="AN167:AQ167"/>
    <mergeCell ref="AN176:AQ176"/>
    <mergeCell ref="AN185:AQ185"/>
  </mergeCells>
  <phoneticPr fontId="1"/>
  <dataValidations count="14">
    <dataValidation type="list" allowBlank="1" showInputMessage="1" showErrorMessage="1" sqref="BH361:BM361">
      <formula1>"単価-1,単価-2,単価-3,単価-4"</formula1>
    </dataValidation>
    <dataValidation type="list" allowBlank="1" showInputMessage="1" showErrorMessage="1" sqref="BH362:BM362">
      <formula1>"歩掛-1,歩掛-2,歩掛-3"</formula1>
    </dataValidation>
    <dataValidation type="list" errorStyle="information" allowBlank="1" showInputMessage="1" showErrorMessage="1" sqref="AD31:AH32 BL31:BP32 AD40:AH41 BL40:BP41 AD49:AH50 BL49:BP50 AD58:AH59 AD67:AH68 BL58:BP59 BL67:BP68 AD76:AH77 AD86:AH87 BL76:BP77 BL86:BP87 AD95:AH96 AD104:AH105 BL95:BP96 BL104:BP105 AD113:AH114 AD122:AH123 BL113:BP114 BL122:BP123 AD131:AH132 AD140:AH141 BL131:BP132 BL140:BP141 AD149:AH150 AD159:AH160 BL149:BP150 BL159:BP160 AD168:AH169 AD177:AH178 BL168:BP169 BL177:BP178 AD186:AH187 AD195:AH196 BL186:BP187 BL195:BP196 AD204:AH205 BL204:BP205">
      <formula1>$DB$15:$DQ$15</formula1>
    </dataValidation>
    <dataValidation type="list" allowBlank="1" showInputMessage="1" showErrorMessage="1" sqref="P31:S32 AX31:BA32 P40:S41 AX40:BA41 P49:S50 AX49:BA50 P58:S59 P67:S68 AX58:BA59 AX67:BA68 P76:S77 P86:S87 AX76:BA77 AX86:BA87 P95:S96 P104:S105 AX95:BA96 AX104:BA105 P113:S114 P122:S123 AX113:BA114 AX122:BA123 P131:S132 P140:S141 AX131:BA132 AX140:BA141 P149:S150 P159:S160 AX149:BA150 AX159:BA160 P168:S169 P177:S178 AX168:BA169 AX177:BA178 P186:S187 P195:S196 AX186:BA187 AX195:BA196 P204:S205 AX204:BA205">
      <formula1>$DB$17:$DK$17</formula1>
    </dataValidation>
    <dataValidation type="list" allowBlank="1" showInputMessage="1" showErrorMessage="1" sqref="AR11:AU11 BC203:BD203 BC39:BD39 BC48:BD48 BC57:BD57 BC66:BD66 BC75:BD75 BC85:BD85 BC94:BD94 BC103:BD103 BC112:BD112 BC121:BD121 BC130:BD130 BC139:BD139 BC148:BD148 BC158:BD158 BC167:BD167 BC176:BD176 BC185:BD185 BC194:BD194 BC30:BD30">
      <formula1>"①,②,③,④,⑤,⑥,⑦,⑧,⑨"</formula1>
    </dataValidation>
    <dataValidation type="list" allowBlank="1" showInputMessage="1" showErrorMessage="1" sqref="AR10:AU10">
      <formula1>"nC-FB,nC-2V･2W"</formula1>
    </dataValidation>
    <dataValidation type="list" allowBlank="1" showInputMessage="1" showErrorMessage="1" sqref="AC11">
      <formula1>"1端子,2端子"</formula1>
    </dataValidation>
    <dataValidation type="list" allowBlank="1" showInputMessage="1" showErrorMessage="1" sqref="AJ19:AN19">
      <formula1>"自立型,外壁取付"</formula1>
    </dataValidation>
    <dataValidation type="list" errorStyle="information" allowBlank="1" showInputMessage="1" showErrorMessage="1" sqref="AK15:AM15">
      <formula1>"55,56,57,58,59,60,61,62,63,64,65,66,67,68,69,70,71,72,73,74,75,76,77,78,79,80"</formula1>
    </dataValidation>
    <dataValidation type="list" errorStyle="information" allowBlank="1" showInputMessage="1" showErrorMessage="1" sqref="O17:T17">
      <formula1>"共聴アンテナ,ＣＡＴＶ"</formula1>
    </dataValidation>
    <dataValidation type="list" errorStyle="information" allowBlank="1" showInputMessage="1" showErrorMessage="1" sqref="BI15">
      <formula1>$DB$2:$DB$13</formula1>
    </dataValidation>
    <dataValidation type="list" allowBlank="1" showInputMessage="1" showErrorMessage="1" sqref="P30:V30 P39:V39 P48:V48 P57:V57 P66:V66 P75:V75 P85:V85 P94:V94 P103:V103 P112:V112 P121:V121 P130:V130 P139:V139 P148:V148 P158:V158 P167:V167 P176:V176 P185:V185 P194:V194 P203:V203">
      <formula1>$DG$2:$DG$7</formula1>
    </dataValidation>
    <dataValidation type="list" allowBlank="1" showInputMessage="1" showErrorMessage="1" sqref="AF30 AF39 AF48 AF57 AF66 AF75 AF85 AF94 AF103 AF112 AF121 AF130 AF139 AF148 AF158 AF167 AF176 AF185 AF194 AF203 I232 I234 I236 I238 I240 I242 I244 I246 I248 I250 I252 I254 I256 I258 I260 I262 I264 I266 I268 I270">
      <formula1>"Ａ,Ｂ,Ｃ"</formula1>
    </dataValidation>
    <dataValidation type="list" allowBlank="1" showInputMessage="1" showErrorMessage="1" error="&quot;設置&quot;または&quot;不要&quot;のいづれかを選択してください!!" sqref="U26:V26 U35:V35 U44:V44 U53:V53 U62:V62 U71:V71 U81:V81 U90:V90 U99:V99 U108:V108 U117:V117 U126:V126 U135:V135 U144:V144 U154:V154 U163:V163 U172:V172 U181:V181 U199:V199 U190:V190">
      <formula1>"設,不"</formula1>
    </dataValidation>
  </dataValidations>
  <hyperlinks>
    <hyperlink ref="AE3:AI3" location="ＴＶ!BU226" display="減 衰 量"/>
    <hyperlink ref="BQ227:BT227" location="ＴＶ!A1" display="Top"/>
    <hyperlink ref="AK3:AO3" location="ＴＶ!BU302" display="集 計 表"/>
    <hyperlink ref="BM3:BS3" location="雷保!A1" display="雷保護設備"/>
    <hyperlink ref="BP303:BS303" location="ＴＶ!A1" display="Top"/>
    <hyperlink ref="BN365:BQ365" location="ＴＶ!A1" display="Top"/>
    <hyperlink ref="BI227:BM227" location="ＴＶ!BU302" display="集 計 表"/>
    <hyperlink ref="BH303:BL303" location="ＴＶ!BU226" display="減 衰 量"/>
    <hyperlink ref="AQ3:AU3" r:id="rId1" location="Help!A1638" display="Help"/>
    <hyperlink ref="Y3:AC3" r:id="rId2" location="Top!A43" display="TopPage"/>
  </hyperlinks>
  <pageMargins left="0.78740157480314965" right="0.39370078740157483" top="0.47244094488188981" bottom="0.39370078740157483" header="0.31496062992125984" footer="0.31496062992125984"/>
  <pageSetup paperSize="9" scale="96" fitToHeight="0" orientation="portrait" r:id="rId3"/>
  <rowBreaks count="4" manualBreakCount="4">
    <brk id="78" min="1" max="72" man="1"/>
    <brk id="151" min="1" max="72" man="1"/>
    <brk id="225" min="1" max="72" man="1"/>
    <brk id="301" min="1" max="72" man="1"/>
  </rowBreaks>
  <colBreaks count="1" manualBreakCount="1">
    <brk id="73" min="1" max="377" man="1"/>
  </col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火煙!#REF!</xm:f>
          </x14:formula1>
          <xm:sqref>AC10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EA164"/>
  <sheetViews>
    <sheetView view="pageBreakPreview" zoomScale="160" zoomScaleSheetLayoutView="160" workbookViewId="0"/>
  </sheetViews>
  <sheetFormatPr defaultRowHeight="14.25"/>
  <cols>
    <col min="1" max="1" width="2.85546875" style="864" customWidth="1"/>
    <col min="2" max="93" width="1.140625" style="864" customWidth="1"/>
    <col min="94" max="94" width="8.5703125" style="864" hidden="1" customWidth="1"/>
    <col min="95" max="103" width="1.140625" style="864" hidden="1" customWidth="1"/>
    <col min="104" max="104" width="0.85546875" style="864" hidden="1" customWidth="1"/>
    <col min="105" max="130" width="1.140625" style="864" hidden="1" customWidth="1"/>
    <col min="131" max="16384" width="9.140625" style="864"/>
  </cols>
  <sheetData>
    <row r="1" spans="2:131" ht="15" customHeight="1">
      <c r="CE1" s="866"/>
      <c r="CF1" s="866"/>
      <c r="CG1" s="866"/>
      <c r="CH1" s="866"/>
      <c r="CI1" s="866"/>
      <c r="CJ1" s="866"/>
      <c r="CK1" s="866"/>
      <c r="CL1" s="866"/>
      <c r="CM1" s="866"/>
      <c r="CN1" s="866"/>
      <c r="CO1" s="866"/>
      <c r="CP1" s="866"/>
      <c r="CQ1" s="866"/>
      <c r="CR1" s="866"/>
      <c r="CS1" s="866"/>
      <c r="CT1" s="866"/>
      <c r="CU1" s="866"/>
      <c r="CV1" s="866"/>
      <c r="CW1" s="866"/>
      <c r="CX1" s="866"/>
      <c r="CY1" s="866"/>
      <c r="CZ1" s="866"/>
      <c r="DA1" s="866"/>
      <c r="DB1" s="866"/>
      <c r="DC1" s="866"/>
      <c r="DD1" s="866"/>
      <c r="DE1" s="866"/>
      <c r="DF1" s="866"/>
      <c r="DG1" s="866"/>
      <c r="DH1" s="866"/>
      <c r="DI1" s="866"/>
      <c r="DJ1" s="866"/>
      <c r="DK1" s="866"/>
      <c r="DL1" s="866"/>
      <c r="DM1" s="866"/>
      <c r="DN1" s="866"/>
      <c r="DO1" s="866"/>
      <c r="DP1" s="866"/>
      <c r="DQ1" s="866"/>
      <c r="DR1" s="866"/>
      <c r="DS1" s="866"/>
      <c r="DT1" s="866"/>
      <c r="DU1" s="866"/>
      <c r="DV1" s="866"/>
      <c r="DW1" s="866"/>
      <c r="DX1" s="866"/>
      <c r="DY1" s="866"/>
      <c r="DZ1" s="866"/>
      <c r="EA1" s="866"/>
    </row>
    <row r="2" spans="2:131" ht="7.5" customHeight="1" thickBot="1">
      <c r="B2" s="1182"/>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4073"/>
      <c r="AF2" s="4073"/>
      <c r="AG2" s="4073"/>
      <c r="AH2" s="4073"/>
      <c r="AI2" s="4073"/>
      <c r="AJ2" s="4073"/>
      <c r="AK2" s="4073"/>
      <c r="AL2" s="4073"/>
      <c r="AM2" s="4073"/>
      <c r="AN2" s="4073"/>
      <c r="AO2" s="4073"/>
      <c r="AP2" s="4073"/>
      <c r="AQ2" s="4073"/>
      <c r="AR2" s="4073"/>
      <c r="AS2" s="4073"/>
      <c r="AT2" s="4073"/>
      <c r="AU2" s="4073"/>
      <c r="AV2" s="4073"/>
      <c r="AW2" s="4073"/>
      <c r="AX2" s="4073"/>
      <c r="AY2" s="4073"/>
      <c r="AZ2" s="4073"/>
      <c r="BA2" s="4073"/>
      <c r="BB2" s="4073"/>
      <c r="BC2" s="4073"/>
      <c r="BD2" s="4073"/>
      <c r="BE2" s="4073"/>
      <c r="BF2" s="4073"/>
      <c r="BG2" s="4073"/>
      <c r="BH2" s="4073"/>
      <c r="BI2" s="4073"/>
      <c r="BJ2" s="4073"/>
      <c r="BK2" s="4073"/>
      <c r="BL2" s="4073"/>
      <c r="BM2" s="4073"/>
      <c r="BN2" s="4073"/>
      <c r="BO2" s="4073"/>
      <c r="BP2" s="4073"/>
      <c r="BQ2" s="4073"/>
      <c r="BR2" s="4073"/>
      <c r="BS2" s="4073"/>
      <c r="BT2" s="4073"/>
      <c r="BU2" s="4073"/>
      <c r="BV2" s="4073"/>
      <c r="BW2" s="893"/>
      <c r="BX2" s="893"/>
      <c r="BY2" s="893"/>
      <c r="BZ2" s="893"/>
      <c r="CA2" s="893"/>
      <c r="CB2" s="893"/>
      <c r="CC2" s="893"/>
      <c r="CD2" s="1181"/>
      <c r="CE2" s="871"/>
      <c r="CF2" s="871"/>
      <c r="CG2" s="871"/>
      <c r="CH2" s="871"/>
      <c r="CI2" s="871"/>
      <c r="CJ2" s="871"/>
      <c r="CK2" s="871"/>
      <c r="CL2" s="871"/>
      <c r="CM2" s="871"/>
      <c r="CN2" s="871"/>
      <c r="CO2" s="871"/>
      <c r="CP2" s="1172"/>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8"/>
      <c r="DS2" s="867"/>
      <c r="DT2" s="866"/>
      <c r="DU2" s="866"/>
      <c r="DV2" s="866"/>
      <c r="DW2" s="866"/>
      <c r="DX2" s="866"/>
      <c r="DY2" s="866"/>
      <c r="DZ2" s="866"/>
    </row>
    <row r="3" spans="2:131" ht="6" customHeight="1" thickBot="1">
      <c r="B3" s="889"/>
      <c r="C3" s="1176"/>
      <c r="D3" s="4048" t="s">
        <v>1494</v>
      </c>
      <c r="E3" s="4049"/>
      <c r="F3" s="4049"/>
      <c r="G3" s="4049"/>
      <c r="H3" s="4049"/>
      <c r="I3" s="4049"/>
      <c r="J3" s="4049"/>
      <c r="K3" s="4049"/>
      <c r="L3" s="4049"/>
      <c r="M3" s="4050"/>
      <c r="N3" s="1176"/>
      <c r="O3" s="1176"/>
      <c r="P3" s="1180"/>
      <c r="Q3" s="1179"/>
      <c r="R3" s="4054" t="s">
        <v>1493</v>
      </c>
      <c r="S3" s="4054"/>
      <c r="T3" s="4054"/>
      <c r="U3" s="4054"/>
      <c r="V3" s="4054"/>
      <c r="W3" s="4054"/>
      <c r="X3" s="4054"/>
      <c r="Y3" s="4054"/>
      <c r="Z3" s="4054"/>
      <c r="AA3" s="4054"/>
      <c r="AB3" s="4054"/>
      <c r="AC3" s="4054"/>
      <c r="AD3" s="4054"/>
      <c r="AE3" s="4074"/>
      <c r="AF3" s="4074"/>
      <c r="AG3" s="4074"/>
      <c r="AH3" s="4074"/>
      <c r="AI3" s="4074"/>
      <c r="AJ3" s="4074"/>
      <c r="AK3" s="4074"/>
      <c r="AL3" s="4074"/>
      <c r="AM3" s="4074"/>
      <c r="AN3" s="4074"/>
      <c r="AO3" s="4074"/>
      <c r="AP3" s="4074"/>
      <c r="AQ3" s="4074"/>
      <c r="AR3" s="4074"/>
      <c r="AS3" s="4074"/>
      <c r="AT3" s="4074"/>
      <c r="AU3" s="4074"/>
      <c r="AV3" s="4074"/>
      <c r="AW3" s="4074"/>
      <c r="AX3" s="4074"/>
      <c r="AY3" s="4074"/>
      <c r="AZ3" s="4074"/>
      <c r="BA3" s="4074"/>
      <c r="BB3" s="4074"/>
      <c r="BC3" s="4074"/>
      <c r="BD3" s="4074"/>
      <c r="BE3" s="4074"/>
      <c r="BF3" s="4074"/>
      <c r="BG3" s="4074"/>
      <c r="BH3" s="4074"/>
      <c r="BI3" s="4074"/>
      <c r="BJ3" s="4074"/>
      <c r="BK3" s="4074"/>
      <c r="BL3" s="4074"/>
      <c r="BM3" s="4074"/>
      <c r="BN3" s="4074"/>
      <c r="BO3" s="4074"/>
      <c r="BP3" s="4074"/>
      <c r="BQ3" s="4074"/>
      <c r="BR3" s="4074"/>
      <c r="BS3" s="4074"/>
      <c r="BT3" s="4074"/>
      <c r="BU3" s="4074"/>
      <c r="BV3" s="4074"/>
      <c r="BW3" s="4055" t="s">
        <v>1492</v>
      </c>
      <c r="BX3" s="4056"/>
      <c r="BY3" s="4056"/>
      <c r="BZ3" s="4056"/>
      <c r="CA3" s="4056"/>
      <c r="CB3" s="4057"/>
      <c r="CC3" s="871"/>
      <c r="CD3" s="888"/>
      <c r="CE3" s="871"/>
      <c r="CF3" s="4067" t="s">
        <v>1383</v>
      </c>
      <c r="CG3" s="4068"/>
      <c r="CH3" s="4068"/>
      <c r="CI3" s="4068"/>
      <c r="CJ3" s="4069"/>
      <c r="CK3" s="871"/>
      <c r="CL3" s="871"/>
      <c r="CM3" s="871"/>
      <c r="CN3" s="871"/>
      <c r="CO3" s="871"/>
      <c r="CP3" s="1172"/>
      <c r="CQ3" s="4061" t="s">
        <v>1383</v>
      </c>
      <c r="CR3" s="4062"/>
      <c r="CS3" s="4062"/>
      <c r="CT3" s="4062"/>
      <c r="CU3" s="4063"/>
      <c r="CV3" s="869"/>
      <c r="CW3" s="869"/>
      <c r="CX3" s="869"/>
      <c r="CY3" s="869"/>
      <c r="CZ3" s="869"/>
      <c r="DA3" s="869"/>
      <c r="DB3" s="869"/>
      <c r="DC3" s="869"/>
      <c r="DD3" s="869"/>
      <c r="DE3" s="869"/>
      <c r="DF3" s="869"/>
      <c r="DG3" s="869"/>
      <c r="DH3" s="869"/>
      <c r="DI3" s="869"/>
      <c r="DJ3" s="869"/>
      <c r="DK3" s="869"/>
      <c r="DL3" s="869"/>
      <c r="DM3" s="869"/>
      <c r="DN3" s="869"/>
      <c r="DO3" s="869"/>
      <c r="DP3" s="869"/>
      <c r="DQ3" s="869"/>
      <c r="DR3" s="868"/>
      <c r="DS3" s="867"/>
      <c r="DT3" s="866"/>
      <c r="DU3" s="866"/>
      <c r="DV3" s="866"/>
      <c r="DW3" s="866"/>
      <c r="DX3" s="866"/>
      <c r="DY3" s="866"/>
      <c r="DZ3" s="866"/>
    </row>
    <row r="4" spans="2:131" ht="6" customHeight="1" thickTop="1" thickBot="1">
      <c r="B4" s="889"/>
      <c r="C4" s="1176"/>
      <c r="D4" s="4051"/>
      <c r="E4" s="4052"/>
      <c r="F4" s="4052"/>
      <c r="G4" s="4052"/>
      <c r="H4" s="4052"/>
      <c r="I4" s="4052"/>
      <c r="J4" s="4052"/>
      <c r="K4" s="4052"/>
      <c r="L4" s="4052"/>
      <c r="M4" s="4053"/>
      <c r="N4" s="1176"/>
      <c r="O4" s="1176"/>
      <c r="P4" s="1178"/>
      <c r="Q4" s="1177"/>
      <c r="R4" s="4054"/>
      <c r="S4" s="4054"/>
      <c r="T4" s="4054"/>
      <c r="U4" s="4054"/>
      <c r="V4" s="4054"/>
      <c r="W4" s="4054"/>
      <c r="X4" s="4054"/>
      <c r="Y4" s="4054"/>
      <c r="Z4" s="4054"/>
      <c r="AA4" s="4054"/>
      <c r="AB4" s="4054"/>
      <c r="AC4" s="4054"/>
      <c r="AD4" s="4054"/>
      <c r="AE4" s="4074"/>
      <c r="AF4" s="4074"/>
      <c r="AG4" s="4074"/>
      <c r="AH4" s="4074"/>
      <c r="AI4" s="4074"/>
      <c r="AJ4" s="4074"/>
      <c r="AK4" s="4074"/>
      <c r="AL4" s="4074"/>
      <c r="AM4" s="4074"/>
      <c r="AN4" s="4074"/>
      <c r="AO4" s="4074"/>
      <c r="AP4" s="4074"/>
      <c r="AQ4" s="4074"/>
      <c r="AR4" s="4074"/>
      <c r="AS4" s="4074"/>
      <c r="AT4" s="4074"/>
      <c r="AU4" s="4074"/>
      <c r="AV4" s="4074"/>
      <c r="AW4" s="4074"/>
      <c r="AX4" s="4074"/>
      <c r="AY4" s="4074"/>
      <c r="AZ4" s="4074"/>
      <c r="BA4" s="4074"/>
      <c r="BB4" s="4074"/>
      <c r="BC4" s="4074"/>
      <c r="BD4" s="4074"/>
      <c r="BE4" s="4074"/>
      <c r="BF4" s="4074"/>
      <c r="BG4" s="4074"/>
      <c r="BH4" s="4074"/>
      <c r="BI4" s="4074"/>
      <c r="BJ4" s="4074"/>
      <c r="BK4" s="4074"/>
      <c r="BL4" s="4074"/>
      <c r="BM4" s="4074"/>
      <c r="BN4" s="4074"/>
      <c r="BO4" s="4074"/>
      <c r="BP4" s="4074"/>
      <c r="BQ4" s="4074"/>
      <c r="BR4" s="4074"/>
      <c r="BS4" s="4074"/>
      <c r="BT4" s="4074"/>
      <c r="BU4" s="4074"/>
      <c r="BV4" s="4074"/>
      <c r="BW4" s="4058"/>
      <c r="BX4" s="4059"/>
      <c r="BY4" s="4059"/>
      <c r="BZ4" s="4059"/>
      <c r="CA4" s="4059"/>
      <c r="CB4" s="4060"/>
      <c r="CC4" s="871"/>
      <c r="CD4" s="888"/>
      <c r="CE4" s="871"/>
      <c r="CF4" s="4070"/>
      <c r="CG4" s="4071"/>
      <c r="CH4" s="4071"/>
      <c r="CI4" s="4071"/>
      <c r="CJ4" s="4072"/>
      <c r="CK4" s="871"/>
      <c r="CL4" s="871"/>
      <c r="CM4" s="871"/>
      <c r="CN4" s="871"/>
      <c r="CO4" s="871"/>
      <c r="CP4" s="1172"/>
      <c r="CQ4" s="4064"/>
      <c r="CR4" s="4065"/>
      <c r="CS4" s="4065"/>
      <c r="CT4" s="4065"/>
      <c r="CU4" s="4066"/>
      <c r="CV4" s="869"/>
      <c r="CW4" s="869"/>
      <c r="CX4" s="869"/>
      <c r="CY4" s="869"/>
      <c r="CZ4" s="869"/>
      <c r="DA4" s="869"/>
      <c r="DB4" s="869"/>
      <c r="DC4" s="869"/>
      <c r="DD4" s="869"/>
      <c r="DE4" s="869"/>
      <c r="DF4" s="869"/>
      <c r="DG4" s="869"/>
      <c r="DH4" s="869"/>
      <c r="DI4" s="869"/>
      <c r="DJ4" s="869"/>
      <c r="DK4" s="869"/>
      <c r="DL4" s="869"/>
      <c r="DM4" s="869"/>
      <c r="DN4" s="869"/>
      <c r="DO4" s="869"/>
      <c r="DP4" s="869"/>
      <c r="DQ4" s="869"/>
      <c r="DR4" s="868"/>
      <c r="DS4" s="867"/>
      <c r="DT4" s="866"/>
      <c r="DU4" s="866"/>
      <c r="DV4" s="866"/>
      <c r="DW4" s="866"/>
      <c r="DX4" s="866"/>
      <c r="DY4" s="866"/>
      <c r="DZ4" s="866"/>
    </row>
    <row r="5" spans="2:131" ht="6" customHeight="1">
      <c r="B5" s="889"/>
      <c r="C5" s="871"/>
      <c r="D5" s="871"/>
      <c r="E5" s="871"/>
      <c r="F5" s="871"/>
      <c r="G5" s="871"/>
      <c r="H5" s="871"/>
      <c r="I5" s="871"/>
      <c r="J5" s="871"/>
      <c r="K5" s="871"/>
      <c r="L5" s="871"/>
      <c r="M5" s="871"/>
      <c r="N5" s="871"/>
      <c r="O5" s="871"/>
      <c r="P5" s="1176"/>
      <c r="Q5" s="1176"/>
      <c r="R5" s="1175"/>
      <c r="S5" s="1175"/>
      <c r="T5" s="1175"/>
      <c r="U5" s="1175"/>
      <c r="V5" s="1175"/>
      <c r="W5" s="1175"/>
      <c r="X5" s="1175"/>
      <c r="Y5" s="1175"/>
      <c r="Z5" s="1175"/>
      <c r="AA5" s="1175"/>
      <c r="AB5" s="1175"/>
      <c r="AC5" s="1175"/>
      <c r="AD5" s="1175"/>
      <c r="AE5" s="4075"/>
      <c r="AF5" s="4075"/>
      <c r="AG5" s="4075"/>
      <c r="AH5" s="4075"/>
      <c r="AI5" s="4075"/>
      <c r="AJ5" s="4075"/>
      <c r="AK5" s="4075"/>
      <c r="AL5" s="4075"/>
      <c r="AM5" s="4075"/>
      <c r="AN5" s="4075"/>
      <c r="AO5" s="4075"/>
      <c r="AP5" s="4075"/>
      <c r="AQ5" s="4075"/>
      <c r="AR5" s="4075"/>
      <c r="AS5" s="4075"/>
      <c r="AT5" s="4075"/>
      <c r="AU5" s="4075"/>
      <c r="AV5" s="4075"/>
      <c r="AW5" s="4075"/>
      <c r="AX5" s="4075"/>
      <c r="AY5" s="4075"/>
      <c r="AZ5" s="4075"/>
      <c r="BA5" s="4075"/>
      <c r="BB5" s="4075"/>
      <c r="BC5" s="4075"/>
      <c r="BD5" s="4075"/>
      <c r="BE5" s="4075"/>
      <c r="BF5" s="4075"/>
      <c r="BG5" s="4075"/>
      <c r="BH5" s="4075"/>
      <c r="BI5" s="4075"/>
      <c r="BJ5" s="4075"/>
      <c r="BK5" s="4075"/>
      <c r="BL5" s="4075"/>
      <c r="BM5" s="4075"/>
      <c r="BN5" s="4075"/>
      <c r="BO5" s="4075"/>
      <c r="BP5" s="4075"/>
      <c r="BQ5" s="4075"/>
      <c r="BR5" s="4075"/>
      <c r="BS5" s="4075"/>
      <c r="BT5" s="4075"/>
      <c r="BU5" s="4075"/>
      <c r="BV5" s="4075"/>
      <c r="BW5" s="1174"/>
      <c r="BX5" s="1173"/>
      <c r="BY5" s="871"/>
      <c r="BZ5" s="871"/>
      <c r="CA5" s="871"/>
      <c r="CB5" s="871"/>
      <c r="CC5" s="871"/>
      <c r="CD5" s="888"/>
      <c r="CE5" s="871"/>
      <c r="CF5" s="871"/>
      <c r="CG5" s="871"/>
      <c r="CH5" s="871"/>
      <c r="CI5" s="871"/>
      <c r="CJ5" s="871"/>
      <c r="CK5" s="871"/>
      <c r="CL5" s="871"/>
      <c r="CM5" s="871"/>
      <c r="CN5" s="871"/>
      <c r="CO5" s="871"/>
      <c r="CP5" s="1172"/>
      <c r="CQ5" s="869"/>
      <c r="CR5" s="869"/>
      <c r="CS5" s="869"/>
      <c r="CT5" s="869"/>
      <c r="CU5" s="869"/>
      <c r="CV5" s="869"/>
      <c r="CW5" s="869"/>
      <c r="CX5" s="869"/>
      <c r="CY5" s="869"/>
      <c r="CZ5" s="978"/>
      <c r="DA5" s="978"/>
      <c r="DB5" s="978"/>
      <c r="DC5" s="978"/>
      <c r="DD5" s="978"/>
      <c r="DE5" s="978"/>
      <c r="DF5" s="978"/>
      <c r="DG5" s="978"/>
      <c r="DH5" s="978"/>
      <c r="DI5" s="978"/>
      <c r="DJ5" s="978"/>
      <c r="DK5" s="978"/>
      <c r="DL5" s="978"/>
      <c r="DM5" s="978"/>
      <c r="DN5" s="978"/>
      <c r="DO5" s="978"/>
      <c r="DP5" s="978"/>
      <c r="DQ5" s="978"/>
      <c r="DR5" s="977"/>
      <c r="DS5" s="867"/>
      <c r="DT5" s="866"/>
      <c r="DU5" s="866"/>
      <c r="DV5" s="866"/>
      <c r="DW5" s="866"/>
      <c r="DX5" s="866"/>
      <c r="DY5" s="866"/>
      <c r="DZ5" s="866"/>
    </row>
    <row r="6" spans="2:131" ht="7.5" customHeight="1">
      <c r="B6" s="976"/>
      <c r="C6" s="975"/>
      <c r="D6" s="975"/>
      <c r="E6" s="975"/>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5"/>
      <c r="AP6" s="975"/>
      <c r="AQ6" s="975"/>
      <c r="AR6" s="975"/>
      <c r="AS6" s="975"/>
      <c r="AT6" s="975"/>
      <c r="AU6" s="975"/>
      <c r="AV6" s="975"/>
      <c r="AW6" s="975"/>
      <c r="AX6" s="975"/>
      <c r="AY6" s="975"/>
      <c r="AZ6" s="975"/>
      <c r="BA6" s="975"/>
      <c r="BB6" s="975"/>
      <c r="BC6" s="975"/>
      <c r="BD6" s="975"/>
      <c r="BE6" s="975"/>
      <c r="BF6" s="975"/>
      <c r="BG6" s="975"/>
      <c r="BH6" s="975"/>
      <c r="BI6" s="975"/>
      <c r="BJ6" s="975"/>
      <c r="BK6" s="975"/>
      <c r="BL6" s="975"/>
      <c r="BM6" s="975"/>
      <c r="BN6" s="975"/>
      <c r="BO6" s="975"/>
      <c r="BP6" s="975"/>
      <c r="BQ6" s="975"/>
      <c r="BR6" s="975"/>
      <c r="BS6" s="975"/>
      <c r="BT6" s="975"/>
      <c r="BU6" s="975"/>
      <c r="BV6" s="975"/>
      <c r="BW6" s="975"/>
      <c r="BX6" s="975"/>
      <c r="BY6" s="975"/>
      <c r="BZ6" s="975"/>
      <c r="CA6" s="975"/>
      <c r="CB6" s="975"/>
      <c r="CC6" s="975"/>
      <c r="CD6" s="974"/>
      <c r="CE6" s="871"/>
      <c r="CF6" s="871"/>
      <c r="CG6" s="871"/>
      <c r="CH6" s="871"/>
      <c r="CI6" s="871"/>
      <c r="CJ6" s="871"/>
      <c r="CK6" s="871"/>
      <c r="CL6" s="871"/>
      <c r="CM6" s="871"/>
      <c r="CN6" s="871"/>
      <c r="CO6" s="871"/>
      <c r="CP6" s="1171"/>
      <c r="CQ6" s="995"/>
      <c r="CR6" s="995"/>
      <c r="CS6" s="995"/>
      <c r="CT6" s="995"/>
      <c r="CU6" s="995"/>
      <c r="CV6" s="995"/>
      <c r="CW6" s="995"/>
      <c r="CX6" s="995"/>
      <c r="CY6" s="995"/>
      <c r="CZ6" s="995"/>
      <c r="DA6" s="995"/>
      <c r="DB6" s="995"/>
      <c r="DC6" s="995"/>
      <c r="DD6" s="995"/>
      <c r="DE6" s="995"/>
      <c r="DF6" s="995"/>
      <c r="DG6" s="995"/>
      <c r="DH6" s="995"/>
      <c r="DI6" s="995"/>
      <c r="DJ6" s="995"/>
      <c r="DK6" s="995"/>
      <c r="DL6" s="995"/>
      <c r="DM6" s="995"/>
      <c r="DN6" s="995"/>
      <c r="DO6" s="995"/>
      <c r="DP6" s="995"/>
      <c r="DQ6" s="995"/>
      <c r="DR6" s="1036"/>
      <c r="DS6" s="867"/>
      <c r="DT6" s="866"/>
      <c r="DU6" s="866"/>
      <c r="DV6" s="866"/>
      <c r="DW6" s="866"/>
      <c r="DX6" s="866"/>
      <c r="DY6" s="866"/>
      <c r="DZ6" s="866"/>
    </row>
    <row r="7" spans="2:131" ht="6" customHeight="1">
      <c r="B7" s="889"/>
      <c r="C7" s="871"/>
      <c r="D7" s="871"/>
      <c r="E7" s="871"/>
      <c r="F7" s="871"/>
      <c r="G7" s="871"/>
      <c r="H7" s="4047" t="s">
        <v>1491</v>
      </c>
      <c r="I7" s="4047"/>
      <c r="J7" s="4047"/>
      <c r="K7" s="4047"/>
      <c r="L7" s="4046" t="s">
        <v>1384</v>
      </c>
      <c r="M7" s="4046"/>
      <c r="N7" s="4046"/>
      <c r="O7" s="4046"/>
      <c r="P7" s="871"/>
      <c r="Q7" s="871"/>
      <c r="R7" s="871"/>
      <c r="S7" s="871"/>
      <c r="T7" s="871"/>
      <c r="U7" s="871"/>
      <c r="V7" s="871"/>
      <c r="W7" s="871"/>
      <c r="X7" s="4047" t="s">
        <v>1490</v>
      </c>
      <c r="Y7" s="4047"/>
      <c r="Z7" s="4047"/>
      <c r="AA7" s="4047"/>
      <c r="AB7" s="4046" t="s">
        <v>1384</v>
      </c>
      <c r="AC7" s="4046"/>
      <c r="AD7" s="4046"/>
      <c r="AE7" s="4046"/>
      <c r="AF7" s="871"/>
      <c r="AG7" s="871"/>
      <c r="AH7" s="871"/>
      <c r="AI7" s="871"/>
      <c r="AJ7" s="871"/>
      <c r="AK7" s="871"/>
      <c r="AL7" s="871"/>
      <c r="AM7" s="871"/>
      <c r="AN7" s="4047" t="s">
        <v>1489</v>
      </c>
      <c r="AO7" s="4047"/>
      <c r="AP7" s="4047"/>
      <c r="AQ7" s="4047"/>
      <c r="AR7" s="4046" t="s">
        <v>1384</v>
      </c>
      <c r="AS7" s="4046"/>
      <c r="AT7" s="4046"/>
      <c r="AU7" s="4046"/>
      <c r="AV7" s="871"/>
      <c r="AW7" s="871"/>
      <c r="AX7" s="871"/>
      <c r="AY7" s="871"/>
      <c r="AZ7" s="871"/>
      <c r="BA7" s="871"/>
      <c r="BB7" s="871"/>
      <c r="BC7" s="871"/>
      <c r="BD7" s="4047" t="s">
        <v>1488</v>
      </c>
      <c r="BE7" s="4047"/>
      <c r="BF7" s="4047"/>
      <c r="BG7" s="4047"/>
      <c r="BH7" s="4046" t="s">
        <v>1384</v>
      </c>
      <c r="BI7" s="4046"/>
      <c r="BJ7" s="4046"/>
      <c r="BK7" s="4046"/>
      <c r="BL7" s="871"/>
      <c r="BM7" s="871"/>
      <c r="BN7" s="871"/>
      <c r="BO7" s="871"/>
      <c r="BP7" s="871"/>
      <c r="BQ7" s="871"/>
      <c r="BR7" s="871"/>
      <c r="BS7" s="871"/>
      <c r="BT7" s="4047" t="s">
        <v>1487</v>
      </c>
      <c r="BU7" s="4047"/>
      <c r="BV7" s="4047"/>
      <c r="BW7" s="4047"/>
      <c r="BX7" s="4046" t="s">
        <v>1384</v>
      </c>
      <c r="BY7" s="4046"/>
      <c r="BZ7" s="4046"/>
      <c r="CA7" s="4046"/>
      <c r="CB7" s="871"/>
      <c r="CC7" s="871"/>
      <c r="CD7" s="888"/>
      <c r="CE7" s="871"/>
      <c r="CF7" s="871"/>
      <c r="CG7" s="871"/>
      <c r="CH7" s="871"/>
      <c r="CI7" s="871"/>
      <c r="CJ7" s="871"/>
      <c r="CK7" s="871"/>
      <c r="CL7" s="871"/>
      <c r="CM7" s="871"/>
      <c r="CN7" s="871"/>
      <c r="CO7" s="871"/>
      <c r="CP7" s="1035"/>
      <c r="CQ7" s="972"/>
      <c r="CR7" s="972"/>
      <c r="CS7" s="972"/>
      <c r="CT7" s="4038" t="s">
        <v>1484</v>
      </c>
      <c r="CU7" s="4038"/>
      <c r="CV7" s="4038"/>
      <c r="CW7" s="4038"/>
      <c r="CX7" s="4038" t="s">
        <v>1483</v>
      </c>
      <c r="CY7" s="4038"/>
      <c r="CZ7" s="4038"/>
      <c r="DA7" s="4038"/>
      <c r="DB7" s="4038" t="s">
        <v>1486</v>
      </c>
      <c r="DC7" s="4038"/>
      <c r="DD7" s="4038"/>
      <c r="DE7" s="4038"/>
      <c r="DF7" s="4038" t="s">
        <v>1485</v>
      </c>
      <c r="DG7" s="4038"/>
      <c r="DH7" s="4038"/>
      <c r="DI7" s="4038"/>
      <c r="DJ7" s="4038" t="s">
        <v>1480</v>
      </c>
      <c r="DK7" s="4038"/>
      <c r="DL7" s="4038"/>
      <c r="DM7" s="4038"/>
      <c r="DN7" s="1170"/>
      <c r="DO7" s="1170"/>
      <c r="DP7" s="869"/>
      <c r="DQ7" s="869"/>
      <c r="DR7" s="868"/>
      <c r="DS7" s="4040" t="s">
        <v>1484</v>
      </c>
      <c r="DT7" s="4041"/>
      <c r="DU7" s="4042"/>
      <c r="DV7" s="4086" t="str">
        <f>IF(DV8&gt;=1,DV8,1/DV8)</f>
        <v/>
      </c>
      <c r="DW7" s="4087"/>
      <c r="DX7" s="4087"/>
      <c r="DY7" s="4088"/>
      <c r="DZ7" s="866"/>
    </row>
    <row r="8" spans="2:131" ht="6" customHeight="1">
      <c r="B8" s="889"/>
      <c r="C8" s="871"/>
      <c r="D8" s="871"/>
      <c r="E8" s="871"/>
      <c r="F8" s="871"/>
      <c r="G8" s="871"/>
      <c r="H8" s="4047"/>
      <c r="I8" s="4047"/>
      <c r="J8" s="4047"/>
      <c r="K8" s="4047"/>
      <c r="L8" s="4046"/>
      <c r="M8" s="4046"/>
      <c r="N8" s="4046"/>
      <c r="O8" s="4046"/>
      <c r="P8" s="871"/>
      <c r="Q8" s="871"/>
      <c r="R8" s="871"/>
      <c r="S8" s="871"/>
      <c r="T8" s="871"/>
      <c r="U8" s="871"/>
      <c r="V8" s="871"/>
      <c r="W8" s="871"/>
      <c r="X8" s="4047"/>
      <c r="Y8" s="4047"/>
      <c r="Z8" s="4047"/>
      <c r="AA8" s="4047"/>
      <c r="AB8" s="4046"/>
      <c r="AC8" s="4046"/>
      <c r="AD8" s="4046"/>
      <c r="AE8" s="4046"/>
      <c r="AF8" s="871"/>
      <c r="AG8" s="871"/>
      <c r="AH8" s="871"/>
      <c r="AI8" s="871"/>
      <c r="AJ8" s="871"/>
      <c r="AK8" s="871"/>
      <c r="AL8" s="871"/>
      <c r="AM8" s="871"/>
      <c r="AN8" s="4047"/>
      <c r="AO8" s="4047"/>
      <c r="AP8" s="4047"/>
      <c r="AQ8" s="4047"/>
      <c r="AR8" s="4046"/>
      <c r="AS8" s="4046"/>
      <c r="AT8" s="4046"/>
      <c r="AU8" s="4046"/>
      <c r="AV8" s="871"/>
      <c r="AW8" s="871"/>
      <c r="AX8" s="871"/>
      <c r="AY8" s="871"/>
      <c r="AZ8" s="871"/>
      <c r="BA8" s="871"/>
      <c r="BB8" s="871"/>
      <c r="BC8" s="871"/>
      <c r="BD8" s="4047"/>
      <c r="BE8" s="4047"/>
      <c r="BF8" s="4047"/>
      <c r="BG8" s="4047"/>
      <c r="BH8" s="4046"/>
      <c r="BI8" s="4046"/>
      <c r="BJ8" s="4046"/>
      <c r="BK8" s="4046"/>
      <c r="BL8" s="871"/>
      <c r="BM8" s="871"/>
      <c r="BN8" s="871"/>
      <c r="BO8" s="871"/>
      <c r="BP8" s="871"/>
      <c r="BQ8" s="871"/>
      <c r="BR8" s="871"/>
      <c r="BS8" s="871"/>
      <c r="BT8" s="4047"/>
      <c r="BU8" s="4047"/>
      <c r="BV8" s="4047"/>
      <c r="BW8" s="4047"/>
      <c r="BX8" s="4046"/>
      <c r="BY8" s="4046"/>
      <c r="BZ8" s="4046"/>
      <c r="CA8" s="4046"/>
      <c r="CB8" s="871"/>
      <c r="CC8" s="871"/>
      <c r="CD8" s="888"/>
      <c r="CE8" s="871"/>
      <c r="CF8" s="871"/>
      <c r="CG8" s="871"/>
      <c r="CH8" s="871"/>
      <c r="CI8" s="871"/>
      <c r="CJ8" s="871"/>
      <c r="CK8" s="871"/>
      <c r="CL8" s="871"/>
      <c r="CM8" s="871"/>
      <c r="CN8" s="871"/>
      <c r="CO8" s="871"/>
      <c r="CP8" s="1035"/>
      <c r="CQ8" s="972"/>
      <c r="CR8" s="972"/>
      <c r="CS8" s="972"/>
      <c r="CT8" s="4039"/>
      <c r="CU8" s="4039"/>
      <c r="CV8" s="4039"/>
      <c r="CW8" s="4039"/>
      <c r="CX8" s="4039"/>
      <c r="CY8" s="4039"/>
      <c r="CZ8" s="4039"/>
      <c r="DA8" s="4039"/>
      <c r="DB8" s="4039"/>
      <c r="DC8" s="4039"/>
      <c r="DD8" s="4039"/>
      <c r="DE8" s="4039"/>
      <c r="DF8" s="4039"/>
      <c r="DG8" s="4039"/>
      <c r="DH8" s="4039"/>
      <c r="DI8" s="4039"/>
      <c r="DJ8" s="4039"/>
      <c r="DK8" s="4039"/>
      <c r="DL8" s="4039"/>
      <c r="DM8" s="4039"/>
      <c r="DN8" s="1170"/>
      <c r="DO8" s="1170"/>
      <c r="DP8" s="869"/>
      <c r="DQ8" s="869"/>
      <c r="DR8" s="868"/>
      <c r="DS8" s="4043"/>
      <c r="DT8" s="4044"/>
      <c r="DU8" s="4045"/>
      <c r="DV8" s="4089" t="str">
        <f>IF(CQ17="","",CT9/CT13)</f>
        <v/>
      </c>
      <c r="DW8" s="4090"/>
      <c r="DX8" s="4090"/>
      <c r="DY8" s="4091"/>
      <c r="DZ8" s="866"/>
    </row>
    <row r="9" spans="2:131" ht="6" customHeight="1">
      <c r="B9" s="889"/>
      <c r="C9" s="871"/>
      <c r="D9" s="871"/>
      <c r="E9" s="871"/>
      <c r="F9" s="971"/>
      <c r="G9" s="971"/>
      <c r="H9" s="971"/>
      <c r="I9" s="4092" t="s">
        <v>1379</v>
      </c>
      <c r="J9" s="4092"/>
      <c r="K9" s="4092"/>
      <c r="L9" s="971"/>
      <c r="M9" s="971"/>
      <c r="N9" s="894"/>
      <c r="O9" s="894"/>
      <c r="P9" s="894"/>
      <c r="Q9" s="894"/>
      <c r="R9" s="894"/>
      <c r="S9" s="1006"/>
      <c r="T9" s="1006"/>
      <c r="U9" s="894"/>
      <c r="V9" s="4076" t="s">
        <v>1379</v>
      </c>
      <c r="W9" s="4076"/>
      <c r="X9" s="4076"/>
      <c r="Y9" s="971"/>
      <c r="Z9" s="971"/>
      <c r="AA9" s="4076" t="s">
        <v>1378</v>
      </c>
      <c r="AB9" s="4076"/>
      <c r="AC9" s="4076"/>
      <c r="AD9" s="894"/>
      <c r="AE9" s="894"/>
      <c r="AF9" s="894"/>
      <c r="AG9" s="894"/>
      <c r="AH9" s="894"/>
      <c r="AI9" s="894"/>
      <c r="AJ9" s="894"/>
      <c r="AK9" s="894"/>
      <c r="AL9" s="4076" t="s">
        <v>1379</v>
      </c>
      <c r="AM9" s="4076"/>
      <c r="AN9" s="4076"/>
      <c r="AO9" s="971"/>
      <c r="AP9" s="971"/>
      <c r="AQ9" s="4076" t="s">
        <v>1378</v>
      </c>
      <c r="AR9" s="4076"/>
      <c r="AS9" s="4076"/>
      <c r="AT9" s="894"/>
      <c r="AU9" s="894"/>
      <c r="AV9" s="894"/>
      <c r="AW9" s="894"/>
      <c r="AX9" s="894"/>
      <c r="AY9" s="894"/>
      <c r="AZ9" s="894"/>
      <c r="BA9" s="894"/>
      <c r="BB9" s="4076" t="s">
        <v>1379</v>
      </c>
      <c r="BC9" s="4076"/>
      <c r="BD9" s="4076"/>
      <c r="BE9" s="971"/>
      <c r="BF9" s="971"/>
      <c r="BG9" s="4076" t="s">
        <v>1378</v>
      </c>
      <c r="BH9" s="4076"/>
      <c r="BI9" s="4076"/>
      <c r="BJ9" s="894"/>
      <c r="BK9" s="894"/>
      <c r="BL9" s="894"/>
      <c r="BM9" s="894"/>
      <c r="BN9" s="894"/>
      <c r="BO9" s="894"/>
      <c r="BP9" s="894"/>
      <c r="BQ9" s="894"/>
      <c r="BR9" s="4076" t="s">
        <v>1379</v>
      </c>
      <c r="BS9" s="4076"/>
      <c r="BT9" s="4076"/>
      <c r="BU9" s="971"/>
      <c r="BV9" s="971"/>
      <c r="BW9" s="4076" t="s">
        <v>1378</v>
      </c>
      <c r="BX9" s="4076"/>
      <c r="BY9" s="4076"/>
      <c r="BZ9" s="894"/>
      <c r="CA9" s="894"/>
      <c r="CB9" s="894"/>
      <c r="CC9" s="894"/>
      <c r="CD9" s="931"/>
      <c r="CE9" s="894"/>
      <c r="CF9" s="894"/>
      <c r="CG9" s="894"/>
      <c r="CH9" s="894"/>
      <c r="CI9" s="894"/>
      <c r="CJ9" s="894"/>
      <c r="CK9" s="894"/>
      <c r="CL9" s="894"/>
      <c r="CM9" s="894"/>
      <c r="CN9" s="894"/>
      <c r="CO9" s="894"/>
      <c r="CP9" s="1158"/>
      <c r="CQ9" s="4078" t="s">
        <v>1379</v>
      </c>
      <c r="CR9" s="4078"/>
      <c r="CS9" s="4079" t="s">
        <v>1404</v>
      </c>
      <c r="CT9" s="4080"/>
      <c r="CU9" s="4081"/>
      <c r="CV9" s="4081"/>
      <c r="CW9" s="4082"/>
      <c r="CX9" s="4080"/>
      <c r="CY9" s="4081"/>
      <c r="CZ9" s="4081"/>
      <c r="DA9" s="4082"/>
      <c r="DB9" s="4080"/>
      <c r="DC9" s="4081"/>
      <c r="DD9" s="4081"/>
      <c r="DE9" s="4082"/>
      <c r="DF9" s="4080"/>
      <c r="DG9" s="4081"/>
      <c r="DH9" s="4081"/>
      <c r="DI9" s="4082"/>
      <c r="DJ9" s="4080"/>
      <c r="DK9" s="4081"/>
      <c r="DL9" s="4081"/>
      <c r="DM9" s="4082"/>
      <c r="DN9" s="1157"/>
      <c r="DO9" s="1157"/>
      <c r="DP9" s="869"/>
      <c r="DQ9" s="869"/>
      <c r="DR9" s="868"/>
      <c r="DS9" s="4040" t="s">
        <v>1483</v>
      </c>
      <c r="DT9" s="4041"/>
      <c r="DU9" s="4042"/>
      <c r="DV9" s="4086" t="e">
        <f>IF(DV10&gt;=1,DV10,1/DV10)</f>
        <v>#DIV/0!</v>
      </c>
      <c r="DW9" s="4087"/>
      <c r="DX9" s="4087"/>
      <c r="DY9" s="4088"/>
      <c r="DZ9" s="866"/>
    </row>
    <row r="10" spans="2:131" ht="6" customHeight="1">
      <c r="B10" s="889"/>
      <c r="C10" s="871"/>
      <c r="D10" s="871"/>
      <c r="E10" s="1169"/>
      <c r="F10" s="970"/>
      <c r="G10" s="970"/>
      <c r="H10" s="970"/>
      <c r="I10" s="4093"/>
      <c r="J10" s="4093"/>
      <c r="K10" s="4093"/>
      <c r="L10" s="970"/>
      <c r="M10" s="970"/>
      <c r="N10" s="940"/>
      <c r="O10" s="964"/>
      <c r="P10" s="894"/>
      <c r="Q10" s="894"/>
      <c r="R10" s="894"/>
      <c r="S10" s="1006"/>
      <c r="T10" s="1006"/>
      <c r="U10" s="1168"/>
      <c r="V10" s="4077"/>
      <c r="W10" s="4077"/>
      <c r="X10" s="4077"/>
      <c r="Y10" s="970"/>
      <c r="Z10" s="1167"/>
      <c r="AA10" s="4077"/>
      <c r="AB10" s="4077"/>
      <c r="AC10" s="4077"/>
      <c r="AD10" s="940"/>
      <c r="AE10" s="964"/>
      <c r="AF10" s="894"/>
      <c r="AG10" s="894"/>
      <c r="AH10" s="894"/>
      <c r="AI10" s="894"/>
      <c r="AJ10" s="1076"/>
      <c r="AK10" s="940"/>
      <c r="AL10" s="4077"/>
      <c r="AM10" s="4077"/>
      <c r="AN10" s="4077"/>
      <c r="AO10" s="970"/>
      <c r="AP10" s="1167"/>
      <c r="AQ10" s="4077"/>
      <c r="AR10" s="4077"/>
      <c r="AS10" s="4077"/>
      <c r="AT10" s="940"/>
      <c r="AU10" s="964"/>
      <c r="AV10" s="894"/>
      <c r="AW10" s="894"/>
      <c r="AX10" s="894"/>
      <c r="AY10" s="894"/>
      <c r="AZ10" s="1076"/>
      <c r="BA10" s="940"/>
      <c r="BB10" s="4077"/>
      <c r="BC10" s="4077"/>
      <c r="BD10" s="4077"/>
      <c r="BE10" s="970"/>
      <c r="BF10" s="1167"/>
      <c r="BG10" s="4077"/>
      <c r="BH10" s="4077"/>
      <c r="BI10" s="4077"/>
      <c r="BJ10" s="940"/>
      <c r="BK10" s="964"/>
      <c r="BL10" s="894"/>
      <c r="BM10" s="894"/>
      <c r="BN10" s="894"/>
      <c r="BO10" s="894"/>
      <c r="BP10" s="1076"/>
      <c r="BQ10" s="940"/>
      <c r="BR10" s="4077"/>
      <c r="BS10" s="4077"/>
      <c r="BT10" s="4077"/>
      <c r="BU10" s="970"/>
      <c r="BV10" s="1167"/>
      <c r="BW10" s="4077"/>
      <c r="BX10" s="4077"/>
      <c r="BY10" s="4077"/>
      <c r="BZ10" s="940"/>
      <c r="CA10" s="964"/>
      <c r="CB10" s="894"/>
      <c r="CC10" s="894"/>
      <c r="CD10" s="931"/>
      <c r="CE10" s="894"/>
      <c r="CF10" s="894"/>
      <c r="CG10" s="894"/>
      <c r="CH10" s="894"/>
      <c r="CI10" s="894"/>
      <c r="CJ10" s="894"/>
      <c r="CK10" s="894"/>
      <c r="CL10" s="894"/>
      <c r="CM10" s="894"/>
      <c r="CN10" s="894"/>
      <c r="CO10" s="894"/>
      <c r="CP10" s="1158"/>
      <c r="CQ10" s="4078"/>
      <c r="CR10" s="4078"/>
      <c r="CS10" s="4079"/>
      <c r="CT10" s="4083"/>
      <c r="CU10" s="4084"/>
      <c r="CV10" s="4084"/>
      <c r="CW10" s="4085"/>
      <c r="CX10" s="4083"/>
      <c r="CY10" s="4084"/>
      <c r="CZ10" s="4084"/>
      <c r="DA10" s="4085"/>
      <c r="DB10" s="4083"/>
      <c r="DC10" s="4084"/>
      <c r="DD10" s="4084"/>
      <c r="DE10" s="4085"/>
      <c r="DF10" s="4083"/>
      <c r="DG10" s="4084"/>
      <c r="DH10" s="4084"/>
      <c r="DI10" s="4085"/>
      <c r="DJ10" s="4083"/>
      <c r="DK10" s="4084"/>
      <c r="DL10" s="4084"/>
      <c r="DM10" s="4085"/>
      <c r="DN10" s="1157"/>
      <c r="DO10" s="1157"/>
      <c r="DP10" s="869"/>
      <c r="DQ10" s="869"/>
      <c r="DR10" s="868"/>
      <c r="DS10" s="4043"/>
      <c r="DT10" s="4044"/>
      <c r="DU10" s="4045"/>
      <c r="DV10" s="4089" t="e">
        <f>(CX9+CX11)^2/(CX9*CX15+(CX9+CX11)*CX13)</f>
        <v>#DIV/0!</v>
      </c>
      <c r="DW10" s="4090"/>
      <c r="DX10" s="4090"/>
      <c r="DY10" s="4091"/>
      <c r="DZ10" s="866"/>
    </row>
    <row r="11" spans="2:131" ht="6" customHeight="1" thickBot="1">
      <c r="B11" s="889"/>
      <c r="C11" s="871"/>
      <c r="D11" s="871"/>
      <c r="E11" s="1166"/>
      <c r="F11" s="893"/>
      <c r="G11" s="893"/>
      <c r="H11" s="936"/>
      <c r="I11" s="942"/>
      <c r="J11" s="942"/>
      <c r="K11" s="936"/>
      <c r="L11" s="936"/>
      <c r="M11" s="936"/>
      <c r="N11" s="936"/>
      <c r="O11" s="1106"/>
      <c r="P11" s="959"/>
      <c r="Q11" s="894"/>
      <c r="R11" s="894"/>
      <c r="S11" s="1006"/>
      <c r="T11" s="1006"/>
      <c r="U11" s="1164"/>
      <c r="V11" s="936"/>
      <c r="W11" s="936"/>
      <c r="X11" s="936"/>
      <c r="Y11" s="936"/>
      <c r="Z11" s="1075"/>
      <c r="AA11" s="1165"/>
      <c r="AB11" s="1165"/>
      <c r="AC11" s="1165"/>
      <c r="AD11" s="1165"/>
      <c r="AE11" s="1106"/>
      <c r="AF11" s="959"/>
      <c r="AG11" s="894"/>
      <c r="AH11" s="894"/>
      <c r="AI11" s="894"/>
      <c r="AJ11" s="1076"/>
      <c r="AK11" s="936"/>
      <c r="AL11" s="936"/>
      <c r="AM11" s="936"/>
      <c r="AN11" s="936"/>
      <c r="AO11" s="936"/>
      <c r="AP11" s="1164"/>
      <c r="AQ11" s="936"/>
      <c r="AR11" s="936"/>
      <c r="AS11" s="936"/>
      <c r="AT11" s="936"/>
      <c r="AU11" s="1106"/>
      <c r="AV11" s="959"/>
      <c r="AW11" s="894"/>
      <c r="AX11" s="894"/>
      <c r="AY11" s="894"/>
      <c r="AZ11" s="1076"/>
      <c r="BA11" s="936"/>
      <c r="BB11" s="936"/>
      <c r="BC11" s="936"/>
      <c r="BD11" s="936"/>
      <c r="BE11" s="942"/>
      <c r="BF11" s="1164"/>
      <c r="BG11" s="936"/>
      <c r="BH11" s="936"/>
      <c r="BI11" s="936"/>
      <c r="BJ11" s="936"/>
      <c r="BK11" s="1106"/>
      <c r="BL11" s="959"/>
      <c r="BM11" s="894"/>
      <c r="BN11" s="894"/>
      <c r="BO11" s="894"/>
      <c r="BP11" s="1076"/>
      <c r="BQ11" s="936"/>
      <c r="BR11" s="936"/>
      <c r="BS11" s="936"/>
      <c r="BT11" s="936"/>
      <c r="BU11" s="942"/>
      <c r="BV11" s="1164"/>
      <c r="BW11" s="936"/>
      <c r="BX11" s="936"/>
      <c r="BY11" s="936"/>
      <c r="BZ11" s="936"/>
      <c r="CA11" s="1106"/>
      <c r="CB11" s="959"/>
      <c r="CC11" s="894"/>
      <c r="CD11" s="931"/>
      <c r="CE11" s="894"/>
      <c r="CF11" s="894"/>
      <c r="CG11" s="894"/>
      <c r="CH11" s="894"/>
      <c r="CI11" s="894"/>
      <c r="CJ11" s="894"/>
      <c r="CK11" s="894"/>
      <c r="CL11" s="894"/>
      <c r="CM11" s="894"/>
      <c r="CN11" s="894"/>
      <c r="CO11" s="894"/>
      <c r="CP11" s="1158"/>
      <c r="CQ11" s="4078" t="s">
        <v>1402</v>
      </c>
      <c r="CR11" s="4078"/>
      <c r="CS11" s="4079" t="s">
        <v>1399</v>
      </c>
      <c r="CT11" s="4094"/>
      <c r="CU11" s="4095"/>
      <c r="CV11" s="4095"/>
      <c r="CW11" s="4096"/>
      <c r="CX11" s="4080"/>
      <c r="CY11" s="4081"/>
      <c r="CZ11" s="4081"/>
      <c r="DA11" s="4082"/>
      <c r="DB11" s="4080"/>
      <c r="DC11" s="4081"/>
      <c r="DD11" s="4081"/>
      <c r="DE11" s="4082"/>
      <c r="DF11" s="4080"/>
      <c r="DG11" s="4081"/>
      <c r="DH11" s="4081"/>
      <c r="DI11" s="4082"/>
      <c r="DJ11" s="4080"/>
      <c r="DK11" s="4081"/>
      <c r="DL11" s="4081"/>
      <c r="DM11" s="4082"/>
      <c r="DN11" s="1157"/>
      <c r="DO11" s="1157"/>
      <c r="DP11" s="869"/>
      <c r="DQ11" s="869"/>
      <c r="DR11" s="868"/>
      <c r="DS11" s="4040" t="s">
        <v>1482</v>
      </c>
      <c r="DT11" s="4041"/>
      <c r="DU11" s="4042"/>
      <c r="DV11" s="4086" t="e">
        <f>IF(DV12&gt;=1,DV12,1/DV12)</f>
        <v>#DIV/0!</v>
      </c>
      <c r="DW11" s="4087"/>
      <c r="DX11" s="4087"/>
      <c r="DY11" s="4088"/>
      <c r="DZ11" s="866"/>
    </row>
    <row r="12" spans="2:131" ht="6" customHeight="1">
      <c r="B12" s="889"/>
      <c r="C12" s="871"/>
      <c r="D12" s="871"/>
      <c r="E12" s="1163"/>
      <c r="F12" s="1162"/>
      <c r="G12" s="1162"/>
      <c r="H12" s="923"/>
      <c r="I12" s="923"/>
      <c r="J12" s="923"/>
      <c r="K12" s="923"/>
      <c r="L12" s="923"/>
      <c r="M12" s="923"/>
      <c r="N12" s="922"/>
      <c r="O12" s="911"/>
      <c r="P12" s="932"/>
      <c r="Q12" s="894"/>
      <c r="R12" s="894"/>
      <c r="S12" s="1006"/>
      <c r="T12" s="1006"/>
      <c r="U12" s="937"/>
      <c r="V12" s="923"/>
      <c r="W12" s="923"/>
      <c r="X12" s="923"/>
      <c r="Y12" s="923"/>
      <c r="Z12" s="919"/>
      <c r="AA12" s="894"/>
      <c r="AB12" s="894"/>
      <c r="AC12" s="894"/>
      <c r="AD12" s="894"/>
      <c r="AE12" s="1161"/>
      <c r="AF12" s="932"/>
      <c r="AG12" s="894"/>
      <c r="AH12" s="894"/>
      <c r="AI12" s="894"/>
      <c r="AJ12" s="1076"/>
      <c r="AK12" s="894"/>
      <c r="AL12" s="894"/>
      <c r="AM12" s="894"/>
      <c r="AN12" s="894"/>
      <c r="AO12" s="894"/>
      <c r="AP12" s="937"/>
      <c r="AQ12" s="923"/>
      <c r="AR12" s="923"/>
      <c r="AS12" s="923"/>
      <c r="AT12" s="922"/>
      <c r="AU12" s="911"/>
      <c r="AV12" s="932"/>
      <c r="AW12" s="894"/>
      <c r="AX12" s="894"/>
      <c r="AY12" s="894"/>
      <c r="AZ12" s="894"/>
      <c r="BA12" s="937"/>
      <c r="BB12" s="923"/>
      <c r="BC12" s="923"/>
      <c r="BD12" s="923"/>
      <c r="BE12" s="923"/>
      <c r="BF12" s="923"/>
      <c r="BG12" s="923"/>
      <c r="BH12" s="923"/>
      <c r="BI12" s="923"/>
      <c r="BJ12" s="922"/>
      <c r="BK12" s="911"/>
      <c r="BL12" s="932"/>
      <c r="BM12" s="894"/>
      <c r="BN12" s="894"/>
      <c r="BO12" s="894"/>
      <c r="BP12" s="894"/>
      <c r="BQ12" s="937"/>
      <c r="BR12" s="923"/>
      <c r="BS12" s="923"/>
      <c r="BT12" s="923"/>
      <c r="BU12" s="923"/>
      <c r="BV12" s="923"/>
      <c r="BW12" s="923"/>
      <c r="BX12" s="923"/>
      <c r="BY12" s="923"/>
      <c r="BZ12" s="922"/>
      <c r="CA12" s="911"/>
      <c r="CB12" s="932"/>
      <c r="CC12" s="894"/>
      <c r="CD12" s="931"/>
      <c r="CE12" s="894"/>
      <c r="CF12" s="894"/>
      <c r="CG12" s="894"/>
      <c r="CH12" s="894"/>
      <c r="CI12" s="894"/>
      <c r="CJ12" s="894"/>
      <c r="CK12" s="894"/>
      <c r="CL12" s="894"/>
      <c r="CM12" s="894"/>
      <c r="CN12" s="894"/>
      <c r="CO12" s="894"/>
      <c r="CP12" s="1158"/>
      <c r="CQ12" s="4078"/>
      <c r="CR12" s="4078"/>
      <c r="CS12" s="4079"/>
      <c r="CT12" s="4097"/>
      <c r="CU12" s="4098"/>
      <c r="CV12" s="4098"/>
      <c r="CW12" s="4099"/>
      <c r="CX12" s="4083"/>
      <c r="CY12" s="4084"/>
      <c r="CZ12" s="4084"/>
      <c r="DA12" s="4085"/>
      <c r="DB12" s="4083"/>
      <c r="DC12" s="4084"/>
      <c r="DD12" s="4084"/>
      <c r="DE12" s="4085"/>
      <c r="DF12" s="4083"/>
      <c r="DG12" s="4084"/>
      <c r="DH12" s="4084"/>
      <c r="DI12" s="4085"/>
      <c r="DJ12" s="4083"/>
      <c r="DK12" s="4084"/>
      <c r="DL12" s="4084"/>
      <c r="DM12" s="4085"/>
      <c r="DN12" s="1157"/>
      <c r="DO12" s="1157"/>
      <c r="DP12" s="869"/>
      <c r="DQ12" s="869"/>
      <c r="DR12" s="868"/>
      <c r="DS12" s="4043"/>
      <c r="DT12" s="4044"/>
      <c r="DU12" s="4045"/>
      <c r="DV12" s="4089" t="e">
        <f>(DB9+DB11)^2/(DB11*DB15+(DB9+DB11)*DB13)</f>
        <v>#DIV/0!</v>
      </c>
      <c r="DW12" s="4090"/>
      <c r="DX12" s="4090"/>
      <c r="DY12" s="4091"/>
      <c r="DZ12" s="866"/>
    </row>
    <row r="13" spans="2:131" ht="6" customHeight="1">
      <c r="B13" s="889"/>
      <c r="C13" s="4100"/>
      <c r="D13" s="4101"/>
      <c r="E13" s="1156"/>
      <c r="F13" s="1155"/>
      <c r="G13" s="1155"/>
      <c r="H13" s="902"/>
      <c r="I13" s="902"/>
      <c r="J13" s="902"/>
      <c r="K13" s="902"/>
      <c r="L13" s="902"/>
      <c r="M13" s="902"/>
      <c r="N13" s="901"/>
      <c r="O13" s="911"/>
      <c r="P13" s="1084"/>
      <c r="Q13" s="949"/>
      <c r="R13" s="949"/>
      <c r="S13" s="1006"/>
      <c r="T13" s="1006"/>
      <c r="U13" s="903"/>
      <c r="V13" s="902"/>
      <c r="W13" s="902"/>
      <c r="X13" s="902"/>
      <c r="Y13" s="902"/>
      <c r="Z13" s="919"/>
      <c r="AA13" s="894"/>
      <c r="AB13" s="894"/>
      <c r="AC13" s="894"/>
      <c r="AD13" s="894"/>
      <c r="AE13" s="1161"/>
      <c r="AF13" s="4102" t="s">
        <v>1431</v>
      </c>
      <c r="AG13" s="4103"/>
      <c r="AH13" s="4103"/>
      <c r="AI13" s="894"/>
      <c r="AJ13" s="1076"/>
      <c r="AK13" s="894"/>
      <c r="AL13" s="894"/>
      <c r="AM13" s="894"/>
      <c r="AN13" s="894"/>
      <c r="AO13" s="894"/>
      <c r="AP13" s="903"/>
      <c r="AQ13" s="902"/>
      <c r="AR13" s="902"/>
      <c r="AS13" s="902"/>
      <c r="AT13" s="901"/>
      <c r="AU13" s="911"/>
      <c r="AV13" s="4102" t="s">
        <v>1431</v>
      </c>
      <c r="AW13" s="4103"/>
      <c r="AX13" s="4103"/>
      <c r="AY13" s="894"/>
      <c r="AZ13" s="894"/>
      <c r="BA13" s="903"/>
      <c r="BB13" s="1153"/>
      <c r="BC13" s="1153"/>
      <c r="BD13" s="1153"/>
      <c r="BE13" s="1153"/>
      <c r="BF13" s="1153"/>
      <c r="BG13" s="1153"/>
      <c r="BH13" s="902"/>
      <c r="BI13" s="902"/>
      <c r="BJ13" s="901"/>
      <c r="BK13" s="911"/>
      <c r="BL13" s="4102" t="s">
        <v>1431</v>
      </c>
      <c r="BM13" s="4103"/>
      <c r="BN13" s="4103"/>
      <c r="BO13" s="894"/>
      <c r="BP13" s="894"/>
      <c r="BQ13" s="903"/>
      <c r="BR13" s="902"/>
      <c r="BS13" s="902"/>
      <c r="BT13" s="902"/>
      <c r="BU13" s="1153"/>
      <c r="BV13" s="1153"/>
      <c r="BW13" s="902"/>
      <c r="BX13" s="902"/>
      <c r="BY13" s="902"/>
      <c r="BZ13" s="901"/>
      <c r="CA13" s="911"/>
      <c r="CB13" s="4104" t="s">
        <v>1431</v>
      </c>
      <c r="CC13" s="4105"/>
      <c r="CD13" s="998"/>
      <c r="CE13" s="949"/>
      <c r="CF13" s="949"/>
      <c r="CG13" s="949"/>
      <c r="CH13" s="949"/>
      <c r="CI13" s="949"/>
      <c r="CJ13" s="949"/>
      <c r="CK13" s="949"/>
      <c r="CL13" s="949"/>
      <c r="CM13" s="949"/>
      <c r="CN13" s="949"/>
      <c r="CO13" s="949"/>
      <c r="CP13" s="1151"/>
      <c r="CQ13" s="4108" t="s">
        <v>1370</v>
      </c>
      <c r="CR13" s="4108"/>
      <c r="CS13" s="4079" t="s">
        <v>1399</v>
      </c>
      <c r="CT13" s="4080"/>
      <c r="CU13" s="4081"/>
      <c r="CV13" s="4081"/>
      <c r="CW13" s="4082"/>
      <c r="CX13" s="4080"/>
      <c r="CY13" s="4081"/>
      <c r="CZ13" s="4081"/>
      <c r="DA13" s="4082"/>
      <c r="DB13" s="4080"/>
      <c r="DC13" s="4081"/>
      <c r="DD13" s="4081"/>
      <c r="DE13" s="4082"/>
      <c r="DF13" s="4080"/>
      <c r="DG13" s="4081"/>
      <c r="DH13" s="4081"/>
      <c r="DI13" s="4082"/>
      <c r="DJ13" s="4080"/>
      <c r="DK13" s="4081"/>
      <c r="DL13" s="4081"/>
      <c r="DM13" s="4082"/>
      <c r="DN13" s="1157"/>
      <c r="DO13" s="1157"/>
      <c r="DP13" s="869"/>
      <c r="DQ13" s="869"/>
      <c r="DR13" s="868"/>
      <c r="DS13" s="4040" t="s">
        <v>1481</v>
      </c>
      <c r="DT13" s="4041"/>
      <c r="DU13" s="4042"/>
      <c r="DV13" s="4086" t="e">
        <f>IF(DV14&gt;=1,DV14,1/DV14)</f>
        <v>#DIV/0!</v>
      </c>
      <c r="DW13" s="4087"/>
      <c r="DX13" s="4087"/>
      <c r="DY13" s="4088"/>
      <c r="DZ13" s="866"/>
    </row>
    <row r="14" spans="2:131" ht="6" customHeight="1">
      <c r="B14" s="889"/>
      <c r="C14" s="4100"/>
      <c r="D14" s="4101"/>
      <c r="E14" s="1156"/>
      <c r="F14" s="1155"/>
      <c r="G14" s="1155"/>
      <c r="H14" s="902"/>
      <c r="I14" s="902"/>
      <c r="J14" s="902"/>
      <c r="K14" s="902"/>
      <c r="L14" s="902"/>
      <c r="M14" s="902"/>
      <c r="N14" s="901"/>
      <c r="O14" s="911"/>
      <c r="P14" s="1084"/>
      <c r="Q14" s="949"/>
      <c r="R14" s="949"/>
      <c r="S14" s="1006"/>
      <c r="T14" s="1006"/>
      <c r="U14" s="903"/>
      <c r="V14" s="902"/>
      <c r="W14" s="902"/>
      <c r="X14" s="902"/>
      <c r="Y14" s="902"/>
      <c r="Z14" s="919"/>
      <c r="AA14" s="894"/>
      <c r="AB14" s="894"/>
      <c r="AC14" s="894"/>
      <c r="AD14" s="894"/>
      <c r="AE14" s="1161"/>
      <c r="AF14" s="4102"/>
      <c r="AG14" s="4103"/>
      <c r="AH14" s="4103"/>
      <c r="AI14" s="894"/>
      <c r="AJ14" s="1076"/>
      <c r="AK14" s="894"/>
      <c r="AL14" s="894"/>
      <c r="AM14" s="894"/>
      <c r="AN14" s="894"/>
      <c r="AO14" s="894"/>
      <c r="AP14" s="903"/>
      <c r="AQ14" s="902"/>
      <c r="AR14" s="902"/>
      <c r="AS14" s="902"/>
      <c r="AT14" s="901"/>
      <c r="AU14" s="911"/>
      <c r="AV14" s="4102"/>
      <c r="AW14" s="4103"/>
      <c r="AX14" s="4103"/>
      <c r="AY14" s="894"/>
      <c r="AZ14" s="894"/>
      <c r="BA14" s="903"/>
      <c r="BB14" s="1153"/>
      <c r="BC14" s="1153"/>
      <c r="BD14" s="1153"/>
      <c r="BE14" s="1153"/>
      <c r="BF14" s="1153"/>
      <c r="BG14" s="1153"/>
      <c r="BH14" s="902"/>
      <c r="BI14" s="902"/>
      <c r="BJ14" s="901"/>
      <c r="BK14" s="911"/>
      <c r="BL14" s="4102"/>
      <c r="BM14" s="4103"/>
      <c r="BN14" s="4103"/>
      <c r="BO14" s="894"/>
      <c r="BP14" s="894"/>
      <c r="BQ14" s="903"/>
      <c r="BR14" s="902"/>
      <c r="BS14" s="902"/>
      <c r="BT14" s="902"/>
      <c r="BU14" s="1153"/>
      <c r="BV14" s="1153"/>
      <c r="BW14" s="902"/>
      <c r="BX14" s="902"/>
      <c r="BY14" s="902"/>
      <c r="BZ14" s="901"/>
      <c r="CA14" s="911"/>
      <c r="CB14" s="4104"/>
      <c r="CC14" s="4105"/>
      <c r="CD14" s="998"/>
      <c r="CE14" s="949"/>
      <c r="CF14" s="949"/>
      <c r="CG14" s="949"/>
      <c r="CH14" s="949"/>
      <c r="CI14" s="949"/>
      <c r="CJ14" s="949"/>
      <c r="CK14" s="949"/>
      <c r="CL14" s="949"/>
      <c r="CM14" s="949"/>
      <c r="CN14" s="949"/>
      <c r="CO14" s="949"/>
      <c r="CP14" s="1151"/>
      <c r="CQ14" s="4108"/>
      <c r="CR14" s="4108"/>
      <c r="CS14" s="4079"/>
      <c r="CT14" s="4083"/>
      <c r="CU14" s="4084"/>
      <c r="CV14" s="4084"/>
      <c r="CW14" s="4085"/>
      <c r="CX14" s="4083"/>
      <c r="CY14" s="4084"/>
      <c r="CZ14" s="4084"/>
      <c r="DA14" s="4085"/>
      <c r="DB14" s="4083"/>
      <c r="DC14" s="4084"/>
      <c r="DD14" s="4084"/>
      <c r="DE14" s="4085"/>
      <c r="DF14" s="4083"/>
      <c r="DG14" s="4084"/>
      <c r="DH14" s="4084"/>
      <c r="DI14" s="4085"/>
      <c r="DJ14" s="4083"/>
      <c r="DK14" s="4084"/>
      <c r="DL14" s="4084"/>
      <c r="DM14" s="4085"/>
      <c r="DN14" s="1157"/>
      <c r="DO14" s="1157"/>
      <c r="DP14" s="869"/>
      <c r="DQ14" s="869"/>
      <c r="DR14" s="868"/>
      <c r="DS14" s="4043"/>
      <c r="DT14" s="4044"/>
      <c r="DU14" s="4045"/>
      <c r="DV14" s="4089" t="e">
        <f>(DF9+DF11)^2/(DF9*DF13+(DF9+DF11)*DF15)</f>
        <v>#DIV/0!</v>
      </c>
      <c r="DW14" s="4090"/>
      <c r="DX14" s="4090"/>
      <c r="DY14" s="4091"/>
      <c r="DZ14" s="866"/>
    </row>
    <row r="15" spans="2:131" ht="6" customHeight="1" thickBot="1">
      <c r="B15" s="889"/>
      <c r="C15" s="4100"/>
      <c r="D15" s="4101"/>
      <c r="E15" s="1156"/>
      <c r="F15" s="1155"/>
      <c r="G15" s="1155"/>
      <c r="H15" s="1153"/>
      <c r="I15" s="1153"/>
      <c r="J15" s="1153"/>
      <c r="K15" s="1160"/>
      <c r="L15" s="1159"/>
      <c r="M15" s="902"/>
      <c r="N15" s="901"/>
      <c r="O15" s="911"/>
      <c r="P15" s="4106" t="s">
        <v>1372</v>
      </c>
      <c r="Q15" s="4107"/>
      <c r="R15" s="4107"/>
      <c r="S15" s="1006"/>
      <c r="T15" s="1006"/>
      <c r="U15" s="903"/>
      <c r="V15" s="902"/>
      <c r="W15" s="902"/>
      <c r="X15" s="902"/>
      <c r="Y15" s="902"/>
      <c r="Z15" s="914"/>
      <c r="AA15" s="913"/>
      <c r="AB15" s="913"/>
      <c r="AC15" s="913"/>
      <c r="AD15" s="913"/>
      <c r="AE15" s="1081"/>
      <c r="AF15" s="1096"/>
      <c r="AG15" s="894"/>
      <c r="AH15" s="894"/>
      <c r="AI15" s="894"/>
      <c r="AJ15" s="894"/>
      <c r="AK15" s="894"/>
      <c r="AL15" s="894"/>
      <c r="AM15" s="894"/>
      <c r="AN15" s="894"/>
      <c r="AO15" s="894"/>
      <c r="AP15" s="903"/>
      <c r="AQ15" s="1099"/>
      <c r="AR15" s="1099"/>
      <c r="AS15" s="1099"/>
      <c r="AT15" s="1098"/>
      <c r="AU15" s="1097"/>
      <c r="AV15" s="1096"/>
      <c r="AW15" s="894"/>
      <c r="AX15" s="894"/>
      <c r="AY15" s="894"/>
      <c r="AZ15" s="894"/>
      <c r="BA15" s="903"/>
      <c r="BB15" s="902"/>
      <c r="BC15" s="902"/>
      <c r="BD15" s="902"/>
      <c r="BE15" s="902"/>
      <c r="BF15" s="896"/>
      <c r="BG15" s="896"/>
      <c r="BH15" s="896"/>
      <c r="BI15" s="896"/>
      <c r="BJ15" s="895"/>
      <c r="BK15" s="911"/>
      <c r="BL15" s="932"/>
      <c r="BM15" s="894"/>
      <c r="BN15" s="894"/>
      <c r="BO15" s="894"/>
      <c r="BP15" s="894"/>
      <c r="BQ15" s="957"/>
      <c r="BR15" s="896"/>
      <c r="BS15" s="896"/>
      <c r="BT15" s="896"/>
      <c r="BU15" s="896"/>
      <c r="BV15" s="902"/>
      <c r="BW15" s="902"/>
      <c r="BX15" s="902"/>
      <c r="BY15" s="902"/>
      <c r="BZ15" s="901"/>
      <c r="CA15" s="911"/>
      <c r="CB15" s="932"/>
      <c r="CC15" s="894"/>
      <c r="CD15" s="931"/>
      <c r="CE15" s="894"/>
      <c r="CF15" s="894"/>
      <c r="CG15" s="894"/>
      <c r="CH15" s="894"/>
      <c r="CI15" s="894"/>
      <c r="CJ15" s="894"/>
      <c r="CK15" s="894"/>
      <c r="CL15" s="894"/>
      <c r="CM15" s="894"/>
      <c r="CN15" s="894"/>
      <c r="CO15" s="894"/>
      <c r="CP15" s="1158"/>
      <c r="CQ15" s="4108" t="s">
        <v>1373</v>
      </c>
      <c r="CR15" s="4108"/>
      <c r="CS15" s="4079" t="s">
        <v>1404</v>
      </c>
      <c r="CT15" s="4094"/>
      <c r="CU15" s="4095"/>
      <c r="CV15" s="4095"/>
      <c r="CW15" s="4096"/>
      <c r="CX15" s="4080"/>
      <c r="CY15" s="4081"/>
      <c r="CZ15" s="4081"/>
      <c r="DA15" s="4082"/>
      <c r="DB15" s="4080"/>
      <c r="DC15" s="4081"/>
      <c r="DD15" s="4081"/>
      <c r="DE15" s="4082"/>
      <c r="DF15" s="4080"/>
      <c r="DG15" s="4081"/>
      <c r="DH15" s="4081"/>
      <c r="DI15" s="4082"/>
      <c r="DJ15" s="4080"/>
      <c r="DK15" s="4081"/>
      <c r="DL15" s="4081"/>
      <c r="DM15" s="4082"/>
      <c r="DN15" s="1157"/>
      <c r="DO15" s="1157"/>
      <c r="DP15" s="869"/>
      <c r="DQ15" s="869"/>
      <c r="DR15" s="868"/>
      <c r="DS15" s="4040" t="s">
        <v>1480</v>
      </c>
      <c r="DT15" s="4041"/>
      <c r="DU15" s="4042"/>
      <c r="DV15" s="4086" t="e">
        <f>IF(DV16&gt;=1,DV16,1/DV16)</f>
        <v>#DIV/0!</v>
      </c>
      <c r="DW15" s="4087"/>
      <c r="DX15" s="4087"/>
      <c r="DY15" s="4088"/>
      <c r="DZ15" s="866"/>
    </row>
    <row r="16" spans="2:131" ht="6" customHeight="1">
      <c r="B16" s="889"/>
      <c r="C16" s="871"/>
      <c r="D16" s="871"/>
      <c r="E16" s="1156"/>
      <c r="F16" s="1155"/>
      <c r="G16" s="1155"/>
      <c r="H16" s="1153"/>
      <c r="I16" s="1153"/>
      <c r="J16" s="1153"/>
      <c r="K16" s="1153"/>
      <c r="L16" s="902"/>
      <c r="M16" s="902"/>
      <c r="N16" s="901"/>
      <c r="O16" s="911"/>
      <c r="P16" s="4106"/>
      <c r="Q16" s="4107"/>
      <c r="R16" s="4107"/>
      <c r="S16" s="1006"/>
      <c r="T16" s="1006"/>
      <c r="U16" s="903"/>
      <c r="V16" s="902"/>
      <c r="W16" s="902"/>
      <c r="X16" s="902"/>
      <c r="Y16" s="902"/>
      <c r="Z16" s="923"/>
      <c r="AA16" s="923"/>
      <c r="AB16" s="923"/>
      <c r="AC16" s="923"/>
      <c r="AD16" s="922"/>
      <c r="AE16" s="931"/>
      <c r="AF16" s="932"/>
      <c r="AG16" s="894"/>
      <c r="AH16" s="894"/>
      <c r="AI16" s="894"/>
      <c r="AJ16" s="894"/>
      <c r="AK16" s="937"/>
      <c r="AL16" s="923"/>
      <c r="AM16" s="923"/>
      <c r="AN16" s="923"/>
      <c r="AO16" s="923"/>
      <c r="AP16" s="902"/>
      <c r="AQ16" s="902"/>
      <c r="AR16" s="902"/>
      <c r="AS16" s="902"/>
      <c r="AT16" s="901"/>
      <c r="AU16" s="911"/>
      <c r="AV16" s="932"/>
      <c r="AW16" s="894"/>
      <c r="AX16" s="894"/>
      <c r="AY16" s="894"/>
      <c r="AZ16" s="894"/>
      <c r="BA16" s="903"/>
      <c r="BB16" s="902"/>
      <c r="BC16" s="902"/>
      <c r="BD16" s="902"/>
      <c r="BE16" s="901"/>
      <c r="BF16" s="919"/>
      <c r="BG16" s="894"/>
      <c r="BH16" s="894"/>
      <c r="BI16" s="894"/>
      <c r="BJ16" s="894"/>
      <c r="BK16" s="1090"/>
      <c r="BL16" s="1087"/>
      <c r="BM16" s="894"/>
      <c r="BN16" s="894"/>
      <c r="BO16" s="894"/>
      <c r="BP16" s="894"/>
      <c r="BQ16" s="965"/>
      <c r="BR16" s="894"/>
      <c r="BS16" s="894"/>
      <c r="BT16" s="894"/>
      <c r="BU16" s="894"/>
      <c r="BV16" s="903"/>
      <c r="BW16" s="1093"/>
      <c r="BX16" s="1093"/>
      <c r="BY16" s="1093"/>
      <c r="BZ16" s="1092"/>
      <c r="CA16" s="1090"/>
      <c r="CB16" s="1087"/>
      <c r="CC16" s="894"/>
      <c r="CD16" s="931"/>
      <c r="CE16" s="894"/>
      <c r="CF16" s="894"/>
      <c r="CG16" s="894"/>
      <c r="CH16" s="894"/>
      <c r="CI16" s="894"/>
      <c r="CJ16" s="894"/>
      <c r="CK16" s="894"/>
      <c r="CL16" s="894"/>
      <c r="CM16" s="894"/>
      <c r="CN16" s="894"/>
      <c r="CO16" s="894"/>
      <c r="CP16" s="1158"/>
      <c r="CQ16" s="4108"/>
      <c r="CR16" s="4108"/>
      <c r="CS16" s="4079"/>
      <c r="CT16" s="4097"/>
      <c r="CU16" s="4098"/>
      <c r="CV16" s="4098"/>
      <c r="CW16" s="4099"/>
      <c r="CX16" s="4083"/>
      <c r="CY16" s="4084"/>
      <c r="CZ16" s="4084"/>
      <c r="DA16" s="4085"/>
      <c r="DB16" s="4083"/>
      <c r="DC16" s="4084"/>
      <c r="DD16" s="4084"/>
      <c r="DE16" s="4085"/>
      <c r="DF16" s="4083"/>
      <c r="DG16" s="4084"/>
      <c r="DH16" s="4084"/>
      <c r="DI16" s="4085"/>
      <c r="DJ16" s="4083"/>
      <c r="DK16" s="4084"/>
      <c r="DL16" s="4084"/>
      <c r="DM16" s="4085"/>
      <c r="DN16" s="1157"/>
      <c r="DO16" s="1157"/>
      <c r="DP16" s="869"/>
      <c r="DQ16" s="869"/>
      <c r="DR16" s="868"/>
      <c r="DS16" s="4043"/>
      <c r="DT16" s="4044"/>
      <c r="DU16" s="4045"/>
      <c r="DV16" s="4089" t="e">
        <f>(DJ9+DJ11)^2/(DJ11*DJ13+(DJ9+DJ11)*DJ15)</f>
        <v>#DIV/0!</v>
      </c>
      <c r="DW16" s="4090"/>
      <c r="DX16" s="4090"/>
      <c r="DY16" s="4091"/>
      <c r="DZ16" s="866"/>
    </row>
    <row r="17" spans="2:130" ht="6" customHeight="1">
      <c r="B17" s="889"/>
      <c r="C17" s="871"/>
      <c r="D17" s="871"/>
      <c r="E17" s="1156"/>
      <c r="F17" s="1155"/>
      <c r="G17" s="1155"/>
      <c r="H17" s="1155"/>
      <c r="I17" s="1155"/>
      <c r="J17" s="1155"/>
      <c r="K17" s="1155"/>
      <c r="L17" s="1155"/>
      <c r="M17" s="1155"/>
      <c r="N17" s="1154"/>
      <c r="O17" s="1143"/>
      <c r="P17" s="1084"/>
      <c r="Q17" s="949"/>
      <c r="R17" s="949"/>
      <c r="S17" s="1006"/>
      <c r="T17" s="1006"/>
      <c r="U17" s="903"/>
      <c r="V17" s="902"/>
      <c r="W17" s="902"/>
      <c r="X17" s="1153"/>
      <c r="Y17" s="1153"/>
      <c r="Z17" s="1153"/>
      <c r="AA17" s="1153"/>
      <c r="AB17" s="902"/>
      <c r="AC17" s="902"/>
      <c r="AD17" s="901"/>
      <c r="AE17" s="931"/>
      <c r="AF17" s="4102" t="s">
        <v>1372</v>
      </c>
      <c r="AG17" s="4103"/>
      <c r="AH17" s="4103"/>
      <c r="AI17" s="894"/>
      <c r="AJ17" s="894"/>
      <c r="AK17" s="903"/>
      <c r="AL17" s="902"/>
      <c r="AM17" s="902"/>
      <c r="AN17" s="1153"/>
      <c r="AO17" s="1153"/>
      <c r="AP17" s="1153"/>
      <c r="AQ17" s="1153"/>
      <c r="AR17" s="902"/>
      <c r="AS17" s="902"/>
      <c r="AT17" s="901"/>
      <c r="AU17" s="911"/>
      <c r="AV17" s="4102" t="s">
        <v>1372</v>
      </c>
      <c r="AW17" s="4103"/>
      <c r="AX17" s="4103"/>
      <c r="AY17" s="894"/>
      <c r="AZ17" s="894"/>
      <c r="BA17" s="903"/>
      <c r="BB17" s="1152"/>
      <c r="BC17" s="1152"/>
      <c r="BD17" s="1152"/>
      <c r="BE17" s="901"/>
      <c r="BF17" s="919"/>
      <c r="BG17" s="894"/>
      <c r="BH17" s="894"/>
      <c r="BI17" s="894"/>
      <c r="BJ17" s="894"/>
      <c r="BK17" s="931"/>
      <c r="BL17" s="4102" t="s">
        <v>1372</v>
      </c>
      <c r="BM17" s="4103"/>
      <c r="BN17" s="4103"/>
      <c r="BO17" s="894"/>
      <c r="BP17" s="894"/>
      <c r="BQ17" s="964"/>
      <c r="BR17" s="894"/>
      <c r="BS17" s="894"/>
      <c r="BT17" s="894"/>
      <c r="BU17" s="894"/>
      <c r="BV17" s="903"/>
      <c r="BW17" s="902"/>
      <c r="BX17" s="902"/>
      <c r="BY17" s="902"/>
      <c r="BZ17" s="901"/>
      <c r="CA17" s="931"/>
      <c r="CB17" s="4104" t="s">
        <v>1372</v>
      </c>
      <c r="CC17" s="4105"/>
      <c r="CD17" s="998"/>
      <c r="CE17" s="949"/>
      <c r="CF17" s="949"/>
      <c r="CG17" s="949"/>
      <c r="CH17" s="949"/>
      <c r="CI17" s="949"/>
      <c r="CJ17" s="949"/>
      <c r="CK17" s="949"/>
      <c r="CL17" s="949"/>
      <c r="CM17" s="949"/>
      <c r="CN17" s="949"/>
      <c r="CO17" s="949"/>
      <c r="CP17" s="1151"/>
      <c r="CQ17" s="4109"/>
      <c r="CR17" s="4110"/>
      <c r="CS17" s="4111"/>
      <c r="CT17" s="4115" t="str">
        <f>IF(CQ17="","⇐ type選択","")</f>
        <v>⇐ type選択</v>
      </c>
      <c r="CU17" s="4116"/>
      <c r="CV17" s="4116"/>
      <c r="CW17" s="4116"/>
      <c r="CX17" s="4116"/>
      <c r="CY17" s="4116"/>
      <c r="CZ17" s="4116"/>
      <c r="DA17" s="995"/>
      <c r="DB17" s="869"/>
      <c r="DC17" s="869"/>
      <c r="DD17" s="869"/>
      <c r="DE17" s="869"/>
      <c r="DF17" s="869"/>
      <c r="DG17" s="869"/>
      <c r="DH17" s="869"/>
      <c r="DI17" s="869"/>
      <c r="DJ17" s="869"/>
      <c r="DK17" s="869"/>
      <c r="DL17" s="869"/>
      <c r="DM17" s="869"/>
      <c r="DN17" s="869"/>
      <c r="DO17" s="869"/>
      <c r="DP17" s="869"/>
      <c r="DQ17" s="869"/>
      <c r="DR17" s="868"/>
      <c r="DS17" s="867"/>
      <c r="DT17" s="866"/>
      <c r="DU17" s="866"/>
      <c r="DV17" s="866"/>
      <c r="DW17" s="866"/>
      <c r="DX17" s="866"/>
      <c r="DY17" s="866"/>
      <c r="DZ17" s="866"/>
    </row>
    <row r="18" spans="2:130" ht="6" customHeight="1">
      <c r="B18" s="889"/>
      <c r="C18" s="871"/>
      <c r="D18" s="871"/>
      <c r="E18" s="1156"/>
      <c r="F18" s="1155"/>
      <c r="G18" s="1155"/>
      <c r="H18" s="1155"/>
      <c r="I18" s="1155"/>
      <c r="J18" s="1155"/>
      <c r="K18" s="1155"/>
      <c r="L18" s="1155"/>
      <c r="M18" s="1155"/>
      <c r="N18" s="1154"/>
      <c r="O18" s="1143"/>
      <c r="P18" s="1084"/>
      <c r="Q18" s="949"/>
      <c r="R18" s="949"/>
      <c r="S18" s="1006"/>
      <c r="T18" s="1006"/>
      <c r="U18" s="903"/>
      <c r="V18" s="902"/>
      <c r="W18" s="902"/>
      <c r="X18" s="1153"/>
      <c r="Y18" s="1153"/>
      <c r="Z18" s="1153"/>
      <c r="AA18" s="1153"/>
      <c r="AB18" s="902"/>
      <c r="AC18" s="902"/>
      <c r="AD18" s="901"/>
      <c r="AE18" s="931"/>
      <c r="AF18" s="4102"/>
      <c r="AG18" s="4103"/>
      <c r="AH18" s="4103"/>
      <c r="AI18" s="894"/>
      <c r="AJ18" s="894"/>
      <c r="AK18" s="903"/>
      <c r="AL18" s="902"/>
      <c r="AM18" s="902"/>
      <c r="AN18" s="1153"/>
      <c r="AO18" s="1153"/>
      <c r="AP18" s="1153"/>
      <c r="AQ18" s="1153"/>
      <c r="AR18" s="902"/>
      <c r="AS18" s="902"/>
      <c r="AT18" s="901"/>
      <c r="AU18" s="911"/>
      <c r="AV18" s="4102"/>
      <c r="AW18" s="4103"/>
      <c r="AX18" s="4103"/>
      <c r="AY18" s="894"/>
      <c r="AZ18" s="894"/>
      <c r="BA18" s="903"/>
      <c r="BB18" s="1152"/>
      <c r="BC18" s="1152"/>
      <c r="BD18" s="1152"/>
      <c r="BE18" s="901"/>
      <c r="BF18" s="919"/>
      <c r="BG18" s="894"/>
      <c r="BH18" s="894"/>
      <c r="BI18" s="894"/>
      <c r="BJ18" s="894"/>
      <c r="BK18" s="931"/>
      <c r="BL18" s="4102"/>
      <c r="BM18" s="4103"/>
      <c r="BN18" s="4103"/>
      <c r="BO18" s="894"/>
      <c r="BP18" s="894"/>
      <c r="BQ18" s="964"/>
      <c r="BR18" s="894"/>
      <c r="BS18" s="894"/>
      <c r="BT18" s="894"/>
      <c r="BU18" s="894"/>
      <c r="BV18" s="903"/>
      <c r="BW18" s="902"/>
      <c r="BX18" s="902"/>
      <c r="BY18" s="902"/>
      <c r="BZ18" s="901"/>
      <c r="CA18" s="931"/>
      <c r="CB18" s="4104"/>
      <c r="CC18" s="4105"/>
      <c r="CD18" s="998"/>
      <c r="CE18" s="949"/>
      <c r="CF18" s="949"/>
      <c r="CG18" s="949"/>
      <c r="CH18" s="949"/>
      <c r="CI18" s="949"/>
      <c r="CJ18" s="949"/>
      <c r="CK18" s="949"/>
      <c r="CL18" s="949"/>
      <c r="CM18" s="949"/>
      <c r="CN18" s="949"/>
      <c r="CO18" s="949"/>
      <c r="CP18" s="1151"/>
      <c r="CQ18" s="4112"/>
      <c r="CR18" s="4113"/>
      <c r="CS18" s="4114"/>
      <c r="CT18" s="4115"/>
      <c r="CU18" s="4116"/>
      <c r="CV18" s="4116"/>
      <c r="CW18" s="4116"/>
      <c r="CX18" s="4116"/>
      <c r="CY18" s="4116"/>
      <c r="CZ18" s="4116"/>
      <c r="DA18" s="869"/>
      <c r="DB18" s="869"/>
      <c r="DC18" s="869"/>
      <c r="DD18" s="869"/>
      <c r="DE18" s="869"/>
      <c r="DF18" s="869"/>
      <c r="DG18" s="869"/>
      <c r="DH18" s="869"/>
      <c r="DI18" s="869"/>
      <c r="DJ18" s="869"/>
      <c r="DK18" s="869"/>
      <c r="DL18" s="869"/>
      <c r="DM18" s="869"/>
      <c r="DN18" s="869"/>
      <c r="DO18" s="869"/>
      <c r="DP18" s="869"/>
      <c r="DQ18" s="869"/>
      <c r="DR18" s="868"/>
      <c r="DS18" s="867"/>
      <c r="DT18" s="866"/>
      <c r="DU18" s="866"/>
      <c r="DV18" s="866"/>
      <c r="DW18" s="866"/>
      <c r="DX18" s="866"/>
      <c r="DY18" s="866"/>
      <c r="DZ18" s="866"/>
    </row>
    <row r="19" spans="2:130" ht="6" customHeight="1" thickBot="1">
      <c r="B19" s="889"/>
      <c r="C19" s="871"/>
      <c r="D19" s="1138"/>
      <c r="E19" s="1142"/>
      <c r="F19" s="1133"/>
      <c r="G19" s="1133"/>
      <c r="H19" s="1133"/>
      <c r="I19" s="1133"/>
      <c r="J19" s="1133"/>
      <c r="K19" s="1133"/>
      <c r="L19" s="1133"/>
      <c r="M19" s="1133"/>
      <c r="N19" s="1132"/>
      <c r="O19" s="1150"/>
      <c r="P19" s="1149"/>
      <c r="Q19" s="871"/>
      <c r="R19" s="871"/>
      <c r="S19" s="1006"/>
      <c r="T19" s="1148"/>
      <c r="U19" s="1147"/>
      <c r="V19" s="1146"/>
      <c r="W19" s="1146"/>
      <c r="X19" s="1146"/>
      <c r="Y19" s="1146"/>
      <c r="Z19" s="1146"/>
      <c r="AA19" s="1146"/>
      <c r="AB19" s="1146"/>
      <c r="AC19" s="1146"/>
      <c r="AD19" s="1145"/>
      <c r="AE19" s="1058"/>
      <c r="AF19" s="1144"/>
      <c r="AG19" s="1006"/>
      <c r="AH19" s="1006"/>
      <c r="AI19" s="1006"/>
      <c r="AJ19" s="1138"/>
      <c r="AK19" s="1142"/>
      <c r="AL19" s="1133"/>
      <c r="AM19" s="1133"/>
      <c r="AN19" s="1133"/>
      <c r="AO19" s="1133"/>
      <c r="AP19" s="1133"/>
      <c r="AQ19" s="1133"/>
      <c r="AR19" s="1133"/>
      <c r="AS19" s="1133"/>
      <c r="AT19" s="1132"/>
      <c r="AU19" s="1143"/>
      <c r="AV19" s="889"/>
      <c r="AW19" s="871"/>
      <c r="AX19" s="871"/>
      <c r="AY19" s="871"/>
      <c r="AZ19" s="1138"/>
      <c r="BA19" s="1142"/>
      <c r="BB19" s="1133"/>
      <c r="BC19" s="1133"/>
      <c r="BD19" s="1133"/>
      <c r="BE19" s="1132"/>
      <c r="BF19" s="1141"/>
      <c r="BG19" s="871"/>
      <c r="BH19" s="871"/>
      <c r="BI19" s="871"/>
      <c r="BJ19" s="871"/>
      <c r="BK19" s="888"/>
      <c r="BL19" s="1140"/>
      <c r="BM19" s="1139"/>
      <c r="BN19" s="1139"/>
      <c r="BO19" s="871"/>
      <c r="BP19" s="1138"/>
      <c r="BQ19" s="1137"/>
      <c r="BR19" s="1136"/>
      <c r="BS19" s="1136"/>
      <c r="BT19" s="1136"/>
      <c r="BU19" s="1135"/>
      <c r="BV19" s="1134"/>
      <c r="BW19" s="1133"/>
      <c r="BX19" s="1133"/>
      <c r="BY19" s="1133"/>
      <c r="BZ19" s="1132"/>
      <c r="CA19" s="888"/>
      <c r="CB19" s="889"/>
      <c r="CC19" s="871"/>
      <c r="CD19" s="888"/>
      <c r="CE19" s="871"/>
      <c r="CF19" s="871"/>
      <c r="CG19" s="871"/>
      <c r="CH19" s="871"/>
      <c r="CI19" s="871"/>
      <c r="CJ19" s="871"/>
      <c r="CK19" s="871"/>
      <c r="CL19" s="871"/>
      <c r="CM19" s="871"/>
      <c r="CN19" s="871"/>
      <c r="CO19" s="871"/>
      <c r="CP19" s="870"/>
      <c r="CQ19" s="4117" t="str">
        <f>IF(CQ17="","","n=")</f>
        <v/>
      </c>
      <c r="CR19" s="4117"/>
      <c r="CS19" s="4117"/>
      <c r="CT19" s="4118" t="b">
        <f>IF(CQ17="A",DV7,IF(CQ17="B1",DV9,IF(CQ17="B2",DV11,IF(CQ17="B3",DV13,IF(CQ17="B4",DV15)))))</f>
        <v>0</v>
      </c>
      <c r="CU19" s="4118"/>
      <c r="CV19" s="4118"/>
      <c r="CW19" s="4118"/>
      <c r="CX19" s="869"/>
      <c r="CY19" s="869"/>
      <c r="CZ19" s="869"/>
      <c r="DA19" s="869"/>
      <c r="DB19" s="1014"/>
      <c r="DC19" s="1014"/>
      <c r="DD19" s="1014"/>
      <c r="DE19" s="1014"/>
      <c r="DF19" s="869"/>
      <c r="DG19" s="869"/>
      <c r="DH19" s="869"/>
      <c r="DI19" s="869"/>
      <c r="DJ19" s="869"/>
      <c r="DK19" s="869"/>
      <c r="DL19" s="869"/>
      <c r="DM19" s="869"/>
      <c r="DN19" s="869"/>
      <c r="DO19" s="869"/>
      <c r="DP19" s="869"/>
      <c r="DQ19" s="869"/>
      <c r="DR19" s="868"/>
      <c r="DS19" s="867"/>
      <c r="DT19" s="866"/>
      <c r="DU19" s="866"/>
      <c r="DV19" s="866"/>
      <c r="DW19" s="866"/>
      <c r="DX19" s="866"/>
      <c r="DY19" s="866"/>
      <c r="DZ19" s="866"/>
    </row>
    <row r="20" spans="2:130" ht="6" customHeight="1" thickTop="1" thickBot="1">
      <c r="B20" s="889"/>
      <c r="C20" s="871"/>
      <c r="D20" s="892"/>
      <c r="E20" s="891"/>
      <c r="F20" s="871"/>
      <c r="G20" s="1131"/>
      <c r="H20" s="1131"/>
      <c r="I20" s="871"/>
      <c r="J20" s="871"/>
      <c r="K20" s="871"/>
      <c r="L20" s="1130"/>
      <c r="M20" s="1130"/>
      <c r="N20" s="1130"/>
      <c r="O20" s="871"/>
      <c r="P20" s="871"/>
      <c r="Q20" s="871"/>
      <c r="R20" s="871"/>
      <c r="S20" s="1006"/>
      <c r="T20" s="1129"/>
      <c r="U20" s="1128"/>
      <c r="V20" s="1006"/>
      <c r="W20" s="1006"/>
      <c r="X20" s="1006"/>
      <c r="Y20" s="1127"/>
      <c r="Z20" s="1127"/>
      <c r="AA20" s="1006"/>
      <c r="AB20" s="1006"/>
      <c r="AC20" s="1006"/>
      <c r="AD20" s="1006"/>
      <c r="AE20" s="1126"/>
      <c r="AF20" s="1126"/>
      <c r="AG20" s="1006"/>
      <c r="AH20" s="1006"/>
      <c r="AI20" s="1006"/>
      <c r="AJ20" s="892"/>
      <c r="AK20" s="891"/>
      <c r="AL20" s="871"/>
      <c r="AM20" s="871"/>
      <c r="AN20" s="871"/>
      <c r="AO20" s="871"/>
      <c r="AP20" s="871"/>
      <c r="AQ20" s="871"/>
      <c r="AR20" s="871"/>
      <c r="AS20" s="871"/>
      <c r="AT20" s="871"/>
      <c r="AU20" s="1125"/>
      <c r="AV20" s="1125"/>
      <c r="AW20" s="871"/>
      <c r="AX20" s="871"/>
      <c r="AY20" s="871"/>
      <c r="AZ20" s="892"/>
      <c r="BA20" s="891"/>
      <c r="BB20" s="871"/>
      <c r="BC20" s="871"/>
      <c r="BD20" s="871"/>
      <c r="BE20" s="871"/>
      <c r="BF20" s="871"/>
      <c r="BG20" s="1125"/>
      <c r="BH20" s="1125"/>
      <c r="BI20" s="1125"/>
      <c r="BJ20" s="1125"/>
      <c r="BK20" s="1125"/>
      <c r="BL20" s="1125"/>
      <c r="BM20" s="871"/>
      <c r="BN20" s="871"/>
      <c r="BO20" s="871"/>
      <c r="BP20" s="892"/>
      <c r="BQ20" s="891"/>
      <c r="BR20" s="871"/>
      <c r="BS20" s="871"/>
      <c r="BT20" s="871"/>
      <c r="BU20" s="871"/>
      <c r="BV20" s="871"/>
      <c r="BW20" s="871"/>
      <c r="BX20" s="871"/>
      <c r="BY20" s="871"/>
      <c r="BZ20" s="871"/>
      <c r="CA20" s="1125"/>
      <c r="CB20" s="1125"/>
      <c r="CC20" s="871"/>
      <c r="CD20" s="888"/>
      <c r="CE20" s="871"/>
      <c r="CF20" s="871"/>
      <c r="CG20" s="871"/>
      <c r="CH20" s="871"/>
      <c r="CI20" s="871"/>
      <c r="CJ20" s="871"/>
      <c r="CK20" s="871"/>
      <c r="CL20" s="871"/>
      <c r="CM20" s="871"/>
      <c r="CN20" s="871"/>
      <c r="CO20" s="871"/>
      <c r="CP20" s="870"/>
      <c r="CQ20" s="4117"/>
      <c r="CR20" s="4117"/>
      <c r="CS20" s="4117"/>
      <c r="CT20" s="4118"/>
      <c r="CU20" s="4118"/>
      <c r="CV20" s="4118"/>
      <c r="CW20" s="4118"/>
      <c r="CX20" s="869"/>
      <c r="CY20" s="869"/>
      <c r="CZ20" s="869"/>
      <c r="DA20" s="869"/>
      <c r="DB20" s="1014"/>
      <c r="DC20" s="1014"/>
      <c r="DD20" s="1014"/>
      <c r="DE20" s="1014"/>
      <c r="DF20" s="869"/>
      <c r="DG20" s="869"/>
      <c r="DH20" s="869"/>
      <c r="DI20" s="869"/>
      <c r="DJ20" s="869"/>
      <c r="DK20" s="869"/>
      <c r="DL20" s="869"/>
      <c r="DM20" s="869"/>
      <c r="DN20" s="869"/>
      <c r="DO20" s="869"/>
      <c r="DP20" s="869"/>
      <c r="DQ20" s="869"/>
      <c r="DR20" s="868"/>
      <c r="DS20" s="867"/>
      <c r="DT20" s="866"/>
      <c r="DU20" s="866"/>
      <c r="DV20" s="866"/>
      <c r="DW20" s="866"/>
      <c r="DX20" s="866"/>
      <c r="DY20" s="866"/>
      <c r="DZ20" s="866"/>
    </row>
    <row r="21" spans="2:130" ht="7.5" customHeight="1">
      <c r="B21" s="889"/>
      <c r="C21" s="871"/>
      <c r="D21" s="1123" t="s">
        <v>1479</v>
      </c>
      <c r="E21" s="1123"/>
      <c r="F21" s="872"/>
      <c r="G21" s="1124"/>
      <c r="H21" s="1124"/>
      <c r="I21" s="872"/>
      <c r="J21" s="872"/>
      <c r="K21" s="872"/>
      <c r="L21" s="1124"/>
      <c r="M21" s="1124"/>
      <c r="N21" s="1124"/>
      <c r="O21" s="872"/>
      <c r="P21" s="872"/>
      <c r="Q21" s="872"/>
      <c r="R21" s="872"/>
      <c r="S21" s="872"/>
      <c r="T21" s="890" t="s">
        <v>1478</v>
      </c>
      <c r="U21" s="1123"/>
      <c r="V21" s="872"/>
      <c r="W21" s="872"/>
      <c r="X21" s="872"/>
      <c r="Y21" s="872"/>
      <c r="Z21" s="872"/>
      <c r="AA21" s="872"/>
      <c r="AB21" s="872"/>
      <c r="AC21" s="872"/>
      <c r="AD21" s="872"/>
      <c r="AE21" s="872"/>
      <c r="AF21" s="872"/>
      <c r="AG21" s="872"/>
      <c r="AH21" s="872"/>
      <c r="AI21" s="872"/>
      <c r="AJ21" s="890" t="s">
        <v>1478</v>
      </c>
      <c r="AK21" s="872"/>
      <c r="AL21" s="872"/>
      <c r="AM21" s="872"/>
      <c r="AN21" s="872"/>
      <c r="AO21" s="872"/>
      <c r="AP21" s="872"/>
      <c r="AQ21" s="872"/>
      <c r="AR21" s="872"/>
      <c r="AS21" s="872"/>
      <c r="AT21" s="872"/>
      <c r="AU21" s="872"/>
      <c r="AV21" s="872"/>
      <c r="AW21" s="872"/>
      <c r="AX21" s="872"/>
      <c r="AY21" s="872"/>
      <c r="AZ21" s="890" t="s">
        <v>1478</v>
      </c>
      <c r="BA21" s="872"/>
      <c r="BB21" s="872"/>
      <c r="BC21" s="872"/>
      <c r="BD21" s="872"/>
      <c r="BE21" s="872"/>
      <c r="BF21" s="872"/>
      <c r="BG21" s="872"/>
      <c r="BH21" s="872"/>
      <c r="BI21" s="872"/>
      <c r="BJ21" s="872"/>
      <c r="BK21" s="872"/>
      <c r="BL21" s="872"/>
      <c r="BM21" s="872"/>
      <c r="BN21" s="872"/>
      <c r="BO21" s="872"/>
      <c r="BP21" s="890" t="s">
        <v>1478</v>
      </c>
      <c r="BQ21" s="872"/>
      <c r="BR21" s="872"/>
      <c r="BS21" s="872"/>
      <c r="BT21" s="872"/>
      <c r="BU21" s="872"/>
      <c r="BV21" s="872"/>
      <c r="BW21" s="872"/>
      <c r="BX21" s="872"/>
      <c r="BY21" s="872"/>
      <c r="BZ21" s="1006"/>
      <c r="CA21" s="1006"/>
      <c r="CB21" s="1006"/>
      <c r="CC21" s="1006"/>
      <c r="CD21" s="1058"/>
      <c r="CE21" s="1006"/>
      <c r="CF21" s="4128" t="s">
        <v>1477</v>
      </c>
      <c r="CG21" s="4129"/>
      <c r="CH21" s="4129"/>
      <c r="CI21" s="4129"/>
      <c r="CJ21" s="4129"/>
      <c r="CK21" s="4129"/>
      <c r="CL21" s="4129"/>
      <c r="CM21" s="4130"/>
      <c r="CN21" s="1006"/>
      <c r="CO21" s="1006"/>
      <c r="CP21" s="870"/>
      <c r="CQ21" s="4119" t="s">
        <v>1477</v>
      </c>
      <c r="CR21" s="4120"/>
      <c r="CS21" s="4120"/>
      <c r="CT21" s="4120"/>
      <c r="CU21" s="4120"/>
      <c r="CV21" s="4120"/>
      <c r="CW21" s="4120"/>
      <c r="CX21" s="4121"/>
      <c r="CY21" s="869"/>
      <c r="CZ21" s="869"/>
      <c r="DA21" s="869"/>
      <c r="DB21" s="869"/>
      <c r="DC21" s="869"/>
      <c r="DD21" s="869"/>
      <c r="DE21" s="869"/>
      <c r="DF21" s="869"/>
      <c r="DG21" s="869"/>
      <c r="DH21" s="869"/>
      <c r="DI21" s="869"/>
      <c r="DJ21" s="869"/>
      <c r="DK21" s="869"/>
      <c r="DL21" s="869"/>
      <c r="DM21" s="869"/>
      <c r="DN21" s="869"/>
      <c r="DO21" s="869"/>
      <c r="DP21" s="869"/>
      <c r="DQ21" s="869"/>
      <c r="DR21" s="868"/>
      <c r="DS21" s="867"/>
      <c r="DT21" s="866"/>
      <c r="DU21" s="866"/>
      <c r="DV21" s="866"/>
      <c r="DW21" s="866"/>
      <c r="DX21" s="866"/>
      <c r="DY21" s="866"/>
      <c r="DZ21" s="866"/>
    </row>
    <row r="22" spans="2:130" ht="7.5" customHeight="1">
      <c r="B22" s="889"/>
      <c r="C22" s="871"/>
      <c r="D22" s="1119"/>
      <c r="E22" s="1119"/>
      <c r="F22" s="1118"/>
      <c r="G22" s="1121"/>
      <c r="H22" s="1121"/>
      <c r="I22" s="1118"/>
      <c r="J22" s="1118"/>
      <c r="K22" s="1118"/>
      <c r="L22" s="1121"/>
      <c r="M22" s="1121"/>
      <c r="N22" s="1121"/>
      <c r="O22" s="1118"/>
      <c r="P22" s="1118"/>
      <c r="Q22" s="1118"/>
      <c r="R22" s="1118"/>
      <c r="S22" s="1118"/>
      <c r="T22" s="1120" t="s">
        <v>1476</v>
      </c>
      <c r="U22" s="1119"/>
      <c r="V22" s="1118"/>
      <c r="W22" s="1118"/>
      <c r="X22" s="1118"/>
      <c r="Y22" s="1118"/>
      <c r="Z22" s="1118"/>
      <c r="AA22" s="1118"/>
      <c r="AB22" s="1118"/>
      <c r="AC22" s="1118"/>
      <c r="AD22" s="1118"/>
      <c r="AE22" s="1118"/>
      <c r="AF22" s="1118"/>
      <c r="AG22" s="1118"/>
      <c r="AH22" s="1118"/>
      <c r="AI22" s="1118"/>
      <c r="AJ22" s="1120" t="s">
        <v>1475</v>
      </c>
      <c r="AK22" s="1118"/>
      <c r="AL22" s="1118"/>
      <c r="AM22" s="1118"/>
      <c r="AN22" s="1118"/>
      <c r="AO22" s="1118"/>
      <c r="AP22" s="1118"/>
      <c r="AQ22" s="1118"/>
      <c r="AR22" s="1118"/>
      <c r="AS22" s="1118"/>
      <c r="AT22" s="1118"/>
      <c r="AU22" s="1118"/>
      <c r="AV22" s="1118"/>
      <c r="AW22" s="1118"/>
      <c r="AX22" s="1118"/>
      <c r="AY22" s="1118"/>
      <c r="AZ22" s="1120" t="s">
        <v>1474</v>
      </c>
      <c r="BA22" s="1118"/>
      <c r="BB22" s="1118"/>
      <c r="BC22" s="1118"/>
      <c r="BD22" s="1118"/>
      <c r="BE22" s="1118"/>
      <c r="BF22" s="1118"/>
      <c r="BG22" s="1118"/>
      <c r="BH22" s="1118"/>
      <c r="BI22" s="1118"/>
      <c r="BJ22" s="1118"/>
      <c r="BK22" s="1118"/>
      <c r="BL22" s="1118"/>
      <c r="BM22" s="1118"/>
      <c r="BN22" s="1118"/>
      <c r="BO22" s="1118"/>
      <c r="BP22" s="1120" t="s">
        <v>1473</v>
      </c>
      <c r="BQ22" s="1118"/>
      <c r="BR22" s="1118"/>
      <c r="BS22" s="1118"/>
      <c r="BT22" s="1118"/>
      <c r="BU22" s="1118"/>
      <c r="BV22" s="1118"/>
      <c r="BW22" s="1118"/>
      <c r="BX22" s="1118"/>
      <c r="BY22" s="1118"/>
      <c r="BZ22" s="1116"/>
      <c r="CA22" s="1116"/>
      <c r="CB22" s="1116"/>
      <c r="CC22" s="1116"/>
      <c r="CD22" s="1117"/>
      <c r="CE22" s="1116"/>
      <c r="CF22" s="4131"/>
      <c r="CG22" s="4132"/>
      <c r="CH22" s="4132"/>
      <c r="CI22" s="4132"/>
      <c r="CJ22" s="4132"/>
      <c r="CK22" s="4132"/>
      <c r="CL22" s="4132"/>
      <c r="CM22" s="4133"/>
      <c r="CN22" s="1116"/>
      <c r="CO22" s="1116"/>
      <c r="CP22" s="1122"/>
      <c r="CQ22" s="4122"/>
      <c r="CR22" s="4123"/>
      <c r="CS22" s="4123"/>
      <c r="CT22" s="4123"/>
      <c r="CU22" s="4123"/>
      <c r="CV22" s="4123"/>
      <c r="CW22" s="4123"/>
      <c r="CX22" s="4124"/>
      <c r="CY22" s="869"/>
      <c r="CZ22" s="869"/>
      <c r="DA22" s="869"/>
      <c r="DB22" s="869"/>
      <c r="DC22" s="869"/>
      <c r="DD22" s="869"/>
      <c r="DE22" s="869"/>
      <c r="DF22" s="869"/>
      <c r="DG22" s="869"/>
      <c r="DH22" s="869"/>
      <c r="DI22" s="869"/>
      <c r="DJ22" s="869"/>
      <c r="DK22" s="869"/>
      <c r="DL22" s="869"/>
      <c r="DM22" s="869"/>
      <c r="DN22" s="869"/>
      <c r="DO22" s="869"/>
      <c r="DP22" s="869"/>
      <c r="DQ22" s="869"/>
      <c r="DR22" s="868"/>
      <c r="DS22" s="867"/>
      <c r="DT22" s="866"/>
      <c r="DU22" s="866"/>
      <c r="DV22" s="866"/>
      <c r="DW22" s="866"/>
      <c r="DX22" s="866"/>
      <c r="DY22" s="866"/>
      <c r="DZ22" s="866"/>
    </row>
    <row r="23" spans="2:130" ht="7.5" customHeight="1" thickBot="1">
      <c r="B23" s="889"/>
      <c r="C23" s="871"/>
      <c r="D23" s="1119"/>
      <c r="E23" s="1119"/>
      <c r="F23" s="1118"/>
      <c r="G23" s="1121"/>
      <c r="H23" s="1121"/>
      <c r="I23" s="1118"/>
      <c r="J23" s="1118"/>
      <c r="K23" s="1118"/>
      <c r="L23" s="1121"/>
      <c r="M23" s="1121"/>
      <c r="N23" s="1121"/>
      <c r="O23" s="1118"/>
      <c r="P23" s="1118"/>
      <c r="Q23" s="1118"/>
      <c r="R23" s="1118"/>
      <c r="S23" s="1118"/>
      <c r="T23" s="1120"/>
      <c r="U23" s="1119"/>
      <c r="V23" s="1118"/>
      <c r="W23" s="1118"/>
      <c r="X23" s="1118"/>
      <c r="Y23" s="1118"/>
      <c r="Z23" s="1118"/>
      <c r="AA23" s="1118"/>
      <c r="AB23" s="1118"/>
      <c r="AC23" s="1118"/>
      <c r="AD23" s="1118"/>
      <c r="AE23" s="1118"/>
      <c r="AF23" s="1118"/>
      <c r="AG23" s="1118"/>
      <c r="AH23" s="1118"/>
      <c r="AI23" s="1118"/>
      <c r="AJ23" s="1119"/>
      <c r="AK23" s="1118"/>
      <c r="AL23" s="1118"/>
      <c r="AM23" s="1118"/>
      <c r="AN23" s="1118"/>
      <c r="AO23" s="1118"/>
      <c r="AP23" s="1118"/>
      <c r="AQ23" s="1118"/>
      <c r="AR23" s="1118"/>
      <c r="AS23" s="1118"/>
      <c r="AT23" s="1118"/>
      <c r="AU23" s="1118"/>
      <c r="AV23" s="1118"/>
      <c r="AW23" s="1118"/>
      <c r="AX23" s="1118"/>
      <c r="AY23" s="1118"/>
      <c r="AZ23" s="1119"/>
      <c r="BA23" s="1118"/>
      <c r="BB23" s="1118"/>
      <c r="BC23" s="1118"/>
      <c r="BD23" s="1118"/>
      <c r="BE23" s="1118"/>
      <c r="BF23" s="1118"/>
      <c r="BG23" s="1118"/>
      <c r="BH23" s="1118"/>
      <c r="BI23" s="1118"/>
      <c r="BJ23" s="1118"/>
      <c r="BK23" s="1118"/>
      <c r="BL23" s="1118"/>
      <c r="BM23" s="1118"/>
      <c r="BN23" s="1118"/>
      <c r="BO23" s="1118"/>
      <c r="BP23" s="1119"/>
      <c r="BQ23" s="1118"/>
      <c r="BR23" s="1118"/>
      <c r="BS23" s="1118"/>
      <c r="BT23" s="1118"/>
      <c r="BU23" s="1118"/>
      <c r="BV23" s="1118"/>
      <c r="BW23" s="1118"/>
      <c r="BX23" s="1118"/>
      <c r="BY23" s="1118"/>
      <c r="BZ23" s="1116"/>
      <c r="CA23" s="1116"/>
      <c r="CB23" s="1116"/>
      <c r="CC23" s="1116"/>
      <c r="CD23" s="1117"/>
      <c r="CE23" s="1116"/>
      <c r="CF23" s="4134"/>
      <c r="CG23" s="4135"/>
      <c r="CH23" s="4135"/>
      <c r="CI23" s="4135"/>
      <c r="CJ23" s="4135"/>
      <c r="CK23" s="4135"/>
      <c r="CL23" s="4135"/>
      <c r="CM23" s="4136"/>
      <c r="CN23" s="1116"/>
      <c r="CO23" s="1116"/>
      <c r="CP23" s="1115"/>
      <c r="CQ23" s="4125"/>
      <c r="CR23" s="4126"/>
      <c r="CS23" s="4126"/>
      <c r="CT23" s="4126"/>
      <c r="CU23" s="4126"/>
      <c r="CV23" s="4126"/>
      <c r="CW23" s="4126"/>
      <c r="CX23" s="4127"/>
      <c r="CY23" s="880"/>
      <c r="CZ23" s="880"/>
      <c r="DA23" s="978"/>
      <c r="DB23" s="978"/>
      <c r="DC23" s="978"/>
      <c r="DD23" s="978"/>
      <c r="DE23" s="978"/>
      <c r="DF23" s="978"/>
      <c r="DG23" s="978"/>
      <c r="DH23" s="978"/>
      <c r="DI23" s="978"/>
      <c r="DJ23" s="978"/>
      <c r="DK23" s="978"/>
      <c r="DL23" s="978"/>
      <c r="DM23" s="978"/>
      <c r="DN23" s="978"/>
      <c r="DO23" s="978"/>
      <c r="DP23" s="978"/>
      <c r="DQ23" s="978"/>
      <c r="DR23" s="977"/>
      <c r="DS23" s="867"/>
      <c r="DT23" s="866"/>
      <c r="DU23" s="866"/>
      <c r="DV23" s="866"/>
      <c r="DW23" s="866"/>
      <c r="DX23" s="866"/>
      <c r="DY23" s="866"/>
      <c r="DZ23" s="866"/>
    </row>
    <row r="24" spans="2:130" ht="7.5" customHeight="1">
      <c r="B24" s="976"/>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c r="AL24" s="975"/>
      <c r="AM24" s="975"/>
      <c r="AN24" s="975"/>
      <c r="AO24" s="975"/>
      <c r="AP24" s="975"/>
      <c r="AQ24" s="975"/>
      <c r="AR24" s="975"/>
      <c r="AS24" s="975"/>
      <c r="AT24" s="975"/>
      <c r="AU24" s="975"/>
      <c r="AV24" s="975"/>
      <c r="AW24" s="975"/>
      <c r="AX24" s="975"/>
      <c r="AY24" s="975"/>
      <c r="AZ24" s="975"/>
      <c r="BA24" s="975"/>
      <c r="BB24" s="975"/>
      <c r="BC24" s="975"/>
      <c r="BD24" s="975"/>
      <c r="BE24" s="975"/>
      <c r="BF24" s="975"/>
      <c r="BG24" s="975"/>
      <c r="BH24" s="975"/>
      <c r="BI24" s="975"/>
      <c r="BJ24" s="975"/>
      <c r="BK24" s="975"/>
      <c r="BL24" s="975"/>
      <c r="BM24" s="975"/>
      <c r="BN24" s="975"/>
      <c r="BO24" s="975"/>
      <c r="BP24" s="975"/>
      <c r="BQ24" s="975"/>
      <c r="BR24" s="975"/>
      <c r="BS24" s="975"/>
      <c r="BT24" s="975"/>
      <c r="BU24" s="975"/>
      <c r="BV24" s="975"/>
      <c r="BW24" s="975"/>
      <c r="BX24" s="975"/>
      <c r="BY24" s="975"/>
      <c r="BZ24" s="975"/>
      <c r="CA24" s="975"/>
      <c r="CB24" s="975"/>
      <c r="CC24" s="975"/>
      <c r="CD24" s="974"/>
      <c r="CE24" s="871"/>
      <c r="CF24" s="871"/>
      <c r="CG24" s="871"/>
      <c r="CH24" s="871"/>
      <c r="CI24" s="871"/>
      <c r="CJ24" s="871"/>
      <c r="CK24" s="871"/>
      <c r="CL24" s="871"/>
      <c r="CM24" s="871"/>
      <c r="CN24" s="871"/>
      <c r="CO24" s="871"/>
      <c r="CP24" s="1035"/>
      <c r="CQ24" s="972"/>
      <c r="CR24" s="972"/>
      <c r="CS24" s="972"/>
      <c r="CT24" s="4038" t="s">
        <v>1466</v>
      </c>
      <c r="CU24" s="4038"/>
      <c r="CV24" s="4038"/>
      <c r="CW24" s="4038"/>
      <c r="CX24" s="4038" t="s">
        <v>1465</v>
      </c>
      <c r="CY24" s="4038"/>
      <c r="CZ24" s="4038"/>
      <c r="DA24" s="4038"/>
      <c r="DB24" s="4038" t="s">
        <v>1472</v>
      </c>
      <c r="DC24" s="4038"/>
      <c r="DD24" s="4038"/>
      <c r="DE24" s="4038"/>
      <c r="DF24" s="4038" t="s">
        <v>1471</v>
      </c>
      <c r="DG24" s="4038"/>
      <c r="DH24" s="4038"/>
      <c r="DI24" s="4038"/>
      <c r="DJ24" s="869"/>
      <c r="DK24" s="869"/>
      <c r="DL24" s="869"/>
      <c r="DM24" s="869"/>
      <c r="DN24" s="869"/>
      <c r="DO24" s="869"/>
      <c r="DP24" s="869"/>
      <c r="DQ24" s="869"/>
      <c r="DR24" s="868"/>
      <c r="DS24" s="867"/>
      <c r="DT24" s="866"/>
      <c r="DU24" s="866"/>
      <c r="DV24" s="866"/>
      <c r="DW24" s="866"/>
      <c r="DX24" s="866"/>
      <c r="DY24" s="866"/>
      <c r="DZ24" s="866"/>
    </row>
    <row r="25" spans="2:130" ht="6" customHeight="1">
      <c r="B25" s="889"/>
      <c r="C25" s="871"/>
      <c r="D25" s="871"/>
      <c r="E25" s="871"/>
      <c r="F25" s="871"/>
      <c r="G25" s="871"/>
      <c r="H25" s="871"/>
      <c r="I25" s="871"/>
      <c r="J25" s="871"/>
      <c r="K25" s="4047" t="s">
        <v>1470</v>
      </c>
      <c r="L25" s="4047"/>
      <c r="M25" s="4047"/>
      <c r="N25" s="4047"/>
      <c r="O25" s="4046" t="s">
        <v>1384</v>
      </c>
      <c r="P25" s="4046"/>
      <c r="Q25" s="4046"/>
      <c r="R25" s="4046"/>
      <c r="S25" s="871"/>
      <c r="T25" s="871"/>
      <c r="U25" s="871"/>
      <c r="V25" s="871"/>
      <c r="W25" s="871"/>
      <c r="X25" s="871"/>
      <c r="Y25" s="871"/>
      <c r="Z25" s="871"/>
      <c r="AA25" s="871"/>
      <c r="AB25" s="871"/>
      <c r="AC25" s="871"/>
      <c r="AD25" s="871"/>
      <c r="AE25" s="871"/>
      <c r="AF25" s="871"/>
      <c r="AG25" s="4047" t="s">
        <v>1469</v>
      </c>
      <c r="AH25" s="4047"/>
      <c r="AI25" s="4047"/>
      <c r="AJ25" s="4047"/>
      <c r="AK25" s="4046" t="s">
        <v>1384</v>
      </c>
      <c r="AL25" s="4046"/>
      <c r="AM25" s="4046"/>
      <c r="AN25" s="4046"/>
      <c r="AO25" s="871"/>
      <c r="AP25" s="871"/>
      <c r="AQ25" s="871"/>
      <c r="AR25" s="871"/>
      <c r="AS25" s="871"/>
      <c r="AT25" s="871"/>
      <c r="AU25" s="871"/>
      <c r="AV25" s="871"/>
      <c r="AW25" s="871"/>
      <c r="AX25" s="871"/>
      <c r="AY25" s="871"/>
      <c r="AZ25" s="871"/>
      <c r="BA25" s="4047" t="s">
        <v>1468</v>
      </c>
      <c r="BB25" s="4047"/>
      <c r="BC25" s="4047"/>
      <c r="BD25" s="4047"/>
      <c r="BE25" s="4046" t="s">
        <v>1384</v>
      </c>
      <c r="BF25" s="4046"/>
      <c r="BG25" s="4046"/>
      <c r="BH25" s="4046"/>
      <c r="BI25" s="1112"/>
      <c r="BJ25" s="871"/>
      <c r="BK25" s="871"/>
      <c r="BL25" s="871"/>
      <c r="BM25" s="871"/>
      <c r="BN25" s="1112"/>
      <c r="BO25" s="1112"/>
      <c r="BP25" s="871"/>
      <c r="BQ25" s="871"/>
      <c r="BR25" s="871"/>
      <c r="BS25" s="871"/>
      <c r="BT25" s="4047" t="s">
        <v>1467</v>
      </c>
      <c r="BU25" s="4047"/>
      <c r="BV25" s="4047"/>
      <c r="BW25" s="4047"/>
      <c r="BX25" s="4137" t="s">
        <v>1384</v>
      </c>
      <c r="BY25" s="4137"/>
      <c r="BZ25" s="4137"/>
      <c r="CA25" s="4137"/>
      <c r="CB25" s="871"/>
      <c r="CC25" s="871"/>
      <c r="CD25" s="888"/>
      <c r="CE25" s="871"/>
      <c r="CF25" s="871"/>
      <c r="CG25" s="871"/>
      <c r="CH25" s="871"/>
      <c r="CI25" s="871"/>
      <c r="CJ25" s="871"/>
      <c r="CK25" s="871"/>
      <c r="CL25" s="871"/>
      <c r="CM25" s="871"/>
      <c r="CN25" s="871"/>
      <c r="CO25" s="871"/>
      <c r="CP25" s="1035"/>
      <c r="CQ25" s="972"/>
      <c r="CR25" s="972"/>
      <c r="CS25" s="972"/>
      <c r="CT25" s="4039"/>
      <c r="CU25" s="4039"/>
      <c r="CV25" s="4039"/>
      <c r="CW25" s="4039"/>
      <c r="CX25" s="4039"/>
      <c r="CY25" s="4039"/>
      <c r="CZ25" s="4039"/>
      <c r="DA25" s="4039"/>
      <c r="DB25" s="4039"/>
      <c r="DC25" s="4039"/>
      <c r="DD25" s="4039"/>
      <c r="DE25" s="4039"/>
      <c r="DF25" s="4039"/>
      <c r="DG25" s="4039"/>
      <c r="DH25" s="4039"/>
      <c r="DI25" s="4039"/>
      <c r="DJ25" s="869"/>
      <c r="DK25" s="1032"/>
      <c r="DL25" s="1032"/>
      <c r="DM25" s="1032"/>
      <c r="DN25" s="1032"/>
      <c r="DO25" s="1032"/>
      <c r="DP25" s="1032"/>
      <c r="DQ25" s="1032"/>
      <c r="DR25" s="1114"/>
      <c r="DS25" s="1034"/>
      <c r="DT25" s="1033"/>
      <c r="DU25" s="1033"/>
      <c r="DV25" s="1033"/>
      <c r="DW25" s="866"/>
      <c r="DX25" s="866"/>
      <c r="DY25" s="866"/>
      <c r="DZ25" s="866"/>
    </row>
    <row r="26" spans="2:130" ht="6" customHeight="1">
      <c r="B26" s="889"/>
      <c r="C26" s="871"/>
      <c r="D26" s="871"/>
      <c r="E26" s="1113"/>
      <c r="F26" s="1113"/>
      <c r="G26" s="1113"/>
      <c r="H26" s="871"/>
      <c r="I26" s="871"/>
      <c r="J26" s="871"/>
      <c r="K26" s="4047"/>
      <c r="L26" s="4047"/>
      <c r="M26" s="4047"/>
      <c r="N26" s="4047"/>
      <c r="O26" s="4046"/>
      <c r="P26" s="4046"/>
      <c r="Q26" s="4046"/>
      <c r="R26" s="4046"/>
      <c r="S26" s="871"/>
      <c r="T26" s="871"/>
      <c r="U26" s="871"/>
      <c r="V26" s="871"/>
      <c r="W26" s="871"/>
      <c r="X26" s="871"/>
      <c r="Y26" s="871"/>
      <c r="Z26" s="871"/>
      <c r="AA26" s="871"/>
      <c r="AB26" s="871"/>
      <c r="AC26" s="871"/>
      <c r="AD26" s="871"/>
      <c r="AE26" s="871"/>
      <c r="AF26" s="871"/>
      <c r="AG26" s="4047"/>
      <c r="AH26" s="4047"/>
      <c r="AI26" s="4047"/>
      <c r="AJ26" s="4047"/>
      <c r="AK26" s="4046"/>
      <c r="AL26" s="4046"/>
      <c r="AM26" s="4046"/>
      <c r="AN26" s="4046"/>
      <c r="AO26" s="871"/>
      <c r="AP26" s="871"/>
      <c r="AQ26" s="871"/>
      <c r="AR26" s="871"/>
      <c r="AS26" s="871"/>
      <c r="AT26" s="871"/>
      <c r="AU26" s="871"/>
      <c r="AV26" s="871"/>
      <c r="AW26" s="871"/>
      <c r="AX26" s="871"/>
      <c r="AY26" s="871"/>
      <c r="AZ26" s="871"/>
      <c r="BA26" s="4047"/>
      <c r="BB26" s="4047"/>
      <c r="BC26" s="4047"/>
      <c r="BD26" s="4047"/>
      <c r="BE26" s="4046"/>
      <c r="BF26" s="4046"/>
      <c r="BG26" s="4046"/>
      <c r="BH26" s="4046"/>
      <c r="BI26" s="1112"/>
      <c r="BJ26" s="871"/>
      <c r="BK26" s="871"/>
      <c r="BL26" s="871"/>
      <c r="BM26" s="871"/>
      <c r="BN26" s="1112"/>
      <c r="BO26" s="1112"/>
      <c r="BP26" s="871"/>
      <c r="BQ26" s="871"/>
      <c r="BR26" s="871"/>
      <c r="BS26" s="871"/>
      <c r="BT26" s="4047"/>
      <c r="BU26" s="4047"/>
      <c r="BV26" s="4047"/>
      <c r="BW26" s="4047"/>
      <c r="BX26" s="4137"/>
      <c r="BY26" s="4137"/>
      <c r="BZ26" s="4137"/>
      <c r="CA26" s="4137"/>
      <c r="CB26" s="871"/>
      <c r="CC26" s="871"/>
      <c r="CD26" s="888"/>
      <c r="CE26" s="871"/>
      <c r="CF26" s="871"/>
      <c r="CG26" s="871"/>
      <c r="CH26" s="871"/>
      <c r="CI26" s="871"/>
      <c r="CJ26" s="871"/>
      <c r="CK26" s="871"/>
      <c r="CL26" s="871"/>
      <c r="CM26" s="871"/>
      <c r="CN26" s="871"/>
      <c r="CO26" s="871"/>
      <c r="CP26" s="870"/>
      <c r="CQ26" s="4078" t="s">
        <v>1379</v>
      </c>
      <c r="CR26" s="4078"/>
      <c r="CS26" s="4079" t="s">
        <v>1404</v>
      </c>
      <c r="CT26" s="4080"/>
      <c r="CU26" s="4081"/>
      <c r="CV26" s="4081"/>
      <c r="CW26" s="4082"/>
      <c r="CX26" s="4080"/>
      <c r="CY26" s="4081"/>
      <c r="CZ26" s="4081"/>
      <c r="DA26" s="4082"/>
      <c r="DB26" s="4080"/>
      <c r="DC26" s="4081"/>
      <c r="DD26" s="4081"/>
      <c r="DE26" s="4082"/>
      <c r="DF26" s="4080"/>
      <c r="DG26" s="4081"/>
      <c r="DH26" s="4081"/>
      <c r="DI26" s="4082"/>
      <c r="DJ26" s="869"/>
      <c r="DK26" s="1032"/>
      <c r="DL26" s="1056"/>
      <c r="DM26" s="1056"/>
      <c r="DN26" s="1056"/>
      <c r="DO26" s="1056"/>
      <c r="DP26" s="1056"/>
      <c r="DQ26" s="1056"/>
      <c r="DR26" s="1069"/>
      <c r="DS26" s="4040" t="s">
        <v>1466</v>
      </c>
      <c r="DT26" s="4041"/>
      <c r="DU26" s="4042"/>
      <c r="DV26" s="4086" t="str">
        <f>IF(DV27&gt;=1,DV27,1/DV27)</f>
        <v/>
      </c>
      <c r="DW26" s="4087"/>
      <c r="DX26" s="4087"/>
      <c r="DY26" s="4088"/>
      <c r="DZ26" s="866"/>
    </row>
    <row r="27" spans="2:130" ht="6" customHeight="1">
      <c r="B27" s="889"/>
      <c r="C27" s="894"/>
      <c r="D27" s="894"/>
      <c r="E27" s="894"/>
      <c r="F27" s="894"/>
      <c r="G27" s="4138" t="s">
        <v>1379</v>
      </c>
      <c r="H27" s="4138"/>
      <c r="I27" s="4138"/>
      <c r="J27" s="1030"/>
      <c r="K27" s="4138" t="s">
        <v>1378</v>
      </c>
      <c r="L27" s="4138"/>
      <c r="M27" s="4138"/>
      <c r="N27" s="1030"/>
      <c r="O27" s="4138" t="s">
        <v>1377</v>
      </c>
      <c r="P27" s="4138"/>
      <c r="Q27" s="4138"/>
      <c r="R27" s="894"/>
      <c r="S27" s="894"/>
      <c r="T27" s="894"/>
      <c r="U27" s="894"/>
      <c r="V27" s="894"/>
      <c r="W27" s="1111"/>
      <c r="X27" s="894"/>
      <c r="Y27" s="894"/>
      <c r="Z27" s="894"/>
      <c r="AA27" s="894"/>
      <c r="AB27" s="894"/>
      <c r="AC27" s="4138" t="s">
        <v>1379</v>
      </c>
      <c r="AD27" s="4138"/>
      <c r="AE27" s="4138"/>
      <c r="AF27" s="1030"/>
      <c r="AG27" s="4138" t="s">
        <v>1378</v>
      </c>
      <c r="AH27" s="4138"/>
      <c r="AI27" s="4138"/>
      <c r="AJ27" s="1030"/>
      <c r="AK27" s="4138" t="s">
        <v>1377</v>
      </c>
      <c r="AL27" s="4138"/>
      <c r="AM27" s="4138"/>
      <c r="AN27" s="894"/>
      <c r="AO27" s="894"/>
      <c r="AP27" s="894"/>
      <c r="AQ27" s="894"/>
      <c r="AR27" s="894"/>
      <c r="AS27" s="894"/>
      <c r="AT27" s="894"/>
      <c r="AU27" s="894"/>
      <c r="AV27" s="894"/>
      <c r="AW27" s="894"/>
      <c r="AX27" s="894"/>
      <c r="AY27" s="871"/>
      <c r="AZ27" s="871"/>
      <c r="BA27" s="871"/>
      <c r="BB27" s="4076" t="s">
        <v>1377</v>
      </c>
      <c r="BC27" s="4076"/>
      <c r="BD27" s="4076"/>
      <c r="BE27" s="894"/>
      <c r="BF27" s="894"/>
      <c r="BG27" s="894"/>
      <c r="BH27" s="894"/>
      <c r="BI27" s="894"/>
      <c r="BJ27" s="894"/>
      <c r="BK27" s="894"/>
      <c r="BL27" s="971"/>
      <c r="BM27" s="971"/>
      <c r="BN27" s="971"/>
      <c r="BO27" s="894"/>
      <c r="BP27" s="971"/>
      <c r="BQ27" s="894"/>
      <c r="BR27" s="4138" t="s">
        <v>1379</v>
      </c>
      <c r="BS27" s="4138"/>
      <c r="BT27" s="4138"/>
      <c r="BU27" s="894"/>
      <c r="BV27" s="4138" t="s">
        <v>1378</v>
      </c>
      <c r="BW27" s="4138"/>
      <c r="BX27" s="4138"/>
      <c r="BY27" s="894"/>
      <c r="BZ27" s="894"/>
      <c r="CA27" s="894"/>
      <c r="CB27" s="894"/>
      <c r="CC27" s="894"/>
      <c r="CD27" s="931"/>
      <c r="CE27" s="894"/>
      <c r="CF27" s="894"/>
      <c r="CG27" s="894"/>
      <c r="CH27" s="894"/>
      <c r="CI27" s="894"/>
      <c r="CJ27" s="894"/>
      <c r="CK27" s="894"/>
      <c r="CL27" s="894"/>
      <c r="CM27" s="894"/>
      <c r="CN27" s="894"/>
      <c r="CO27" s="894"/>
      <c r="CP27" s="870"/>
      <c r="CQ27" s="4078"/>
      <c r="CR27" s="4078"/>
      <c r="CS27" s="4079"/>
      <c r="CT27" s="4083"/>
      <c r="CU27" s="4084"/>
      <c r="CV27" s="4084"/>
      <c r="CW27" s="4085"/>
      <c r="CX27" s="4083"/>
      <c r="CY27" s="4084"/>
      <c r="CZ27" s="4084"/>
      <c r="DA27" s="4085"/>
      <c r="DB27" s="4083"/>
      <c r="DC27" s="4084"/>
      <c r="DD27" s="4084"/>
      <c r="DE27" s="4085"/>
      <c r="DF27" s="4083"/>
      <c r="DG27" s="4084"/>
      <c r="DH27" s="4084"/>
      <c r="DI27" s="4085"/>
      <c r="DJ27" s="869"/>
      <c r="DK27" s="869"/>
      <c r="DL27" s="1056"/>
      <c r="DM27" s="1056"/>
      <c r="DN27" s="1056"/>
      <c r="DO27" s="1056"/>
      <c r="DP27" s="1056"/>
      <c r="DQ27" s="1056"/>
      <c r="DR27" s="1085"/>
      <c r="DS27" s="4043"/>
      <c r="DT27" s="4044"/>
      <c r="DU27" s="4045"/>
      <c r="DV27" s="4140" t="str">
        <f>IF(CQ38="","",CP30^2/(CT26*CT34+CT30*CT36+CP30*CT32))</f>
        <v/>
      </c>
      <c r="DW27" s="4090"/>
      <c r="DX27" s="4090"/>
      <c r="DY27" s="4091"/>
      <c r="DZ27" s="866"/>
    </row>
    <row r="28" spans="2:130" ht="6" customHeight="1">
      <c r="B28" s="889"/>
      <c r="C28" s="894"/>
      <c r="D28" s="894"/>
      <c r="E28" s="894"/>
      <c r="F28" s="1076"/>
      <c r="G28" s="4139"/>
      <c r="H28" s="4139"/>
      <c r="I28" s="4139"/>
      <c r="J28" s="1110"/>
      <c r="K28" s="4139"/>
      <c r="L28" s="4139"/>
      <c r="M28" s="4139"/>
      <c r="N28" s="1110"/>
      <c r="O28" s="4139"/>
      <c r="P28" s="4139"/>
      <c r="Q28" s="4139"/>
      <c r="R28" s="940"/>
      <c r="S28" s="964"/>
      <c r="T28" s="894"/>
      <c r="U28" s="894"/>
      <c r="V28" s="894"/>
      <c r="W28" s="894"/>
      <c r="X28" s="894"/>
      <c r="Y28" s="894"/>
      <c r="Z28" s="894"/>
      <c r="AA28" s="894"/>
      <c r="AB28" s="1076"/>
      <c r="AC28" s="4139"/>
      <c r="AD28" s="4139"/>
      <c r="AE28" s="4139"/>
      <c r="AF28" s="1110"/>
      <c r="AG28" s="4139"/>
      <c r="AH28" s="4139"/>
      <c r="AI28" s="4139"/>
      <c r="AJ28" s="1110"/>
      <c r="AK28" s="4139"/>
      <c r="AL28" s="4139"/>
      <c r="AM28" s="4139"/>
      <c r="AN28" s="940"/>
      <c r="AO28" s="964"/>
      <c r="AP28" s="894"/>
      <c r="AQ28" s="894"/>
      <c r="AR28" s="894"/>
      <c r="AS28" s="894"/>
      <c r="AT28" s="894"/>
      <c r="AU28" s="894"/>
      <c r="AV28" s="894"/>
      <c r="AW28" s="894"/>
      <c r="AX28" s="1076"/>
      <c r="AY28" s="871"/>
      <c r="AZ28" s="871"/>
      <c r="BA28" s="871"/>
      <c r="BB28" s="4077"/>
      <c r="BC28" s="4077"/>
      <c r="BD28" s="4077"/>
      <c r="BE28" s="940"/>
      <c r="BF28" s="940"/>
      <c r="BG28" s="940"/>
      <c r="BH28" s="964"/>
      <c r="BI28" s="894"/>
      <c r="BJ28" s="894"/>
      <c r="BK28" s="894"/>
      <c r="BL28" s="971"/>
      <c r="BM28" s="971"/>
      <c r="BN28" s="971"/>
      <c r="BO28" s="894"/>
      <c r="BP28" s="971"/>
      <c r="BQ28" s="1076"/>
      <c r="BR28" s="4139"/>
      <c r="BS28" s="4139"/>
      <c r="BT28" s="4139"/>
      <c r="BU28" s="1109"/>
      <c r="BV28" s="4139"/>
      <c r="BW28" s="4139"/>
      <c r="BX28" s="4139"/>
      <c r="BY28" s="940"/>
      <c r="BZ28" s="964"/>
      <c r="CA28" s="894"/>
      <c r="CB28" s="894"/>
      <c r="CC28" s="894"/>
      <c r="CD28" s="931"/>
      <c r="CE28" s="894"/>
      <c r="CF28" s="894"/>
      <c r="CG28" s="894"/>
      <c r="CH28" s="894"/>
      <c r="CI28" s="894"/>
      <c r="CJ28" s="894"/>
      <c r="CK28" s="894"/>
      <c r="CL28" s="894"/>
      <c r="CM28" s="894"/>
      <c r="CN28" s="894"/>
      <c r="CO28" s="894"/>
      <c r="CP28" s="870"/>
      <c r="CQ28" s="4078" t="s">
        <v>1378</v>
      </c>
      <c r="CR28" s="4078"/>
      <c r="CS28" s="4079" t="s">
        <v>1404</v>
      </c>
      <c r="CT28" s="4080"/>
      <c r="CU28" s="4081"/>
      <c r="CV28" s="4081"/>
      <c r="CW28" s="4082"/>
      <c r="CX28" s="4080"/>
      <c r="CY28" s="4081"/>
      <c r="CZ28" s="4081"/>
      <c r="DA28" s="4082"/>
      <c r="DB28" s="4080"/>
      <c r="DC28" s="4081"/>
      <c r="DD28" s="4081"/>
      <c r="DE28" s="4082"/>
      <c r="DF28" s="4080"/>
      <c r="DG28" s="4081"/>
      <c r="DH28" s="4081"/>
      <c r="DI28" s="4082"/>
      <c r="DJ28" s="869"/>
      <c r="DK28" s="869"/>
      <c r="DL28" s="1056"/>
      <c r="DM28" s="1056"/>
      <c r="DN28" s="1056"/>
      <c r="DO28" s="1056"/>
      <c r="DP28" s="1056"/>
      <c r="DQ28" s="1056"/>
      <c r="DR28" s="1069"/>
      <c r="DS28" s="4040" t="s">
        <v>1465</v>
      </c>
      <c r="DT28" s="4041"/>
      <c r="DU28" s="4042"/>
      <c r="DV28" s="4086" t="str">
        <f>IF(DV29&gt;=1,DV29,1/DV29)</f>
        <v/>
      </c>
      <c r="DW28" s="4087"/>
      <c r="DX28" s="4087"/>
      <c r="DY28" s="4088"/>
      <c r="DZ28" s="866"/>
    </row>
    <row r="29" spans="2:130" ht="6" customHeight="1" thickBot="1">
      <c r="B29" s="889"/>
      <c r="C29" s="894"/>
      <c r="D29" s="894"/>
      <c r="E29" s="959"/>
      <c r="F29" s="1105"/>
      <c r="G29" s="1018"/>
      <c r="H29" s="1018"/>
      <c r="I29" s="1018"/>
      <c r="J29" s="1108"/>
      <c r="K29" s="1018"/>
      <c r="L29" s="1018"/>
      <c r="M29" s="1018"/>
      <c r="N29" s="1107"/>
      <c r="O29" s="1018"/>
      <c r="P29" s="1018"/>
      <c r="Q29" s="1018"/>
      <c r="R29" s="936"/>
      <c r="S29" s="964"/>
      <c r="T29" s="894"/>
      <c r="U29" s="894"/>
      <c r="V29" s="894"/>
      <c r="W29" s="894"/>
      <c r="X29" s="894"/>
      <c r="Y29" s="894"/>
      <c r="Z29" s="894"/>
      <c r="AA29" s="894"/>
      <c r="AB29" s="1076"/>
      <c r="AC29" s="1018"/>
      <c r="AD29" s="1018"/>
      <c r="AE29" s="1018"/>
      <c r="AF29" s="1107"/>
      <c r="AG29" s="1018"/>
      <c r="AH29" s="1018"/>
      <c r="AI29" s="1018"/>
      <c r="AJ29" s="1107"/>
      <c r="AK29" s="1018"/>
      <c r="AL29" s="1018"/>
      <c r="AM29" s="1018"/>
      <c r="AN29" s="936"/>
      <c r="AO29" s="1106"/>
      <c r="AP29" s="959"/>
      <c r="AQ29" s="894"/>
      <c r="AR29" s="894"/>
      <c r="AS29" s="894"/>
      <c r="AT29" s="894"/>
      <c r="AU29" s="894"/>
      <c r="AV29" s="894"/>
      <c r="AW29" s="959"/>
      <c r="AX29" s="1105"/>
      <c r="AY29" s="942"/>
      <c r="AZ29" s="942"/>
      <c r="BA29" s="942"/>
      <c r="BB29" s="942"/>
      <c r="BC29" s="894"/>
      <c r="BD29" s="894"/>
      <c r="BE29" s="894"/>
      <c r="BF29" s="894"/>
      <c r="BG29" s="913"/>
      <c r="BH29" s="964"/>
      <c r="BI29" s="894"/>
      <c r="BJ29" s="894"/>
      <c r="BK29" s="894"/>
      <c r="BL29" s="894"/>
      <c r="BM29" s="894"/>
      <c r="BN29" s="894"/>
      <c r="BO29" s="894"/>
      <c r="BP29" s="894"/>
      <c r="BQ29" s="1076"/>
      <c r="BR29" s="913"/>
      <c r="BS29" s="913"/>
      <c r="BT29" s="913"/>
      <c r="BU29" s="1104"/>
      <c r="BV29" s="894"/>
      <c r="BW29" s="894"/>
      <c r="BX29" s="894"/>
      <c r="BY29" s="942"/>
      <c r="BZ29" s="964"/>
      <c r="CA29" s="959"/>
      <c r="CB29" s="959"/>
      <c r="CC29" s="894"/>
      <c r="CD29" s="931"/>
      <c r="CE29" s="894"/>
      <c r="CF29" s="894"/>
      <c r="CG29" s="894"/>
      <c r="CH29" s="894"/>
      <c r="CI29" s="894"/>
      <c r="CJ29" s="894"/>
      <c r="CK29" s="894"/>
      <c r="CL29" s="894"/>
      <c r="CM29" s="894"/>
      <c r="CN29" s="894"/>
      <c r="CO29" s="894"/>
      <c r="CP29" s="870"/>
      <c r="CQ29" s="4078"/>
      <c r="CR29" s="4078"/>
      <c r="CS29" s="4079"/>
      <c r="CT29" s="4083"/>
      <c r="CU29" s="4084"/>
      <c r="CV29" s="4084"/>
      <c r="CW29" s="4085"/>
      <c r="CX29" s="4083"/>
      <c r="CY29" s="4084"/>
      <c r="CZ29" s="4084"/>
      <c r="DA29" s="4085"/>
      <c r="DB29" s="4083"/>
      <c r="DC29" s="4084"/>
      <c r="DD29" s="4084"/>
      <c r="DE29" s="4085"/>
      <c r="DF29" s="4083"/>
      <c r="DG29" s="4084"/>
      <c r="DH29" s="4084"/>
      <c r="DI29" s="4085"/>
      <c r="DJ29" s="1010"/>
      <c r="DK29" s="1010"/>
      <c r="DL29" s="1056"/>
      <c r="DM29" s="1056"/>
      <c r="DN29" s="1056"/>
      <c r="DO29" s="1056"/>
      <c r="DP29" s="1056"/>
      <c r="DQ29" s="1056"/>
      <c r="DR29" s="1055"/>
      <c r="DS29" s="4043"/>
      <c r="DT29" s="4044"/>
      <c r="DU29" s="4045"/>
      <c r="DV29" s="4089" t="str">
        <f>IF(CQ38="","",(CX26+CX28+CX30)^2/(CX26*CX32+CX30*CX34+(CX26+CX28+CX30)*CX36))</f>
        <v/>
      </c>
      <c r="DW29" s="4090"/>
      <c r="DX29" s="4090"/>
      <c r="DY29" s="4091"/>
      <c r="DZ29" s="866"/>
    </row>
    <row r="30" spans="2:130" ht="6" customHeight="1" thickBot="1">
      <c r="B30" s="889"/>
      <c r="C30" s="894"/>
      <c r="D30" s="894"/>
      <c r="E30" s="931"/>
      <c r="F30" s="904"/>
      <c r="G30" s="937"/>
      <c r="H30" s="923"/>
      <c r="I30" s="923"/>
      <c r="J30" s="922"/>
      <c r="K30" s="894"/>
      <c r="L30" s="894"/>
      <c r="M30" s="894"/>
      <c r="N30" s="894"/>
      <c r="O30" s="894"/>
      <c r="P30" s="894"/>
      <c r="Q30" s="894"/>
      <c r="R30" s="894"/>
      <c r="S30" s="959"/>
      <c r="T30" s="959"/>
      <c r="U30" s="894"/>
      <c r="V30" s="894"/>
      <c r="W30" s="894"/>
      <c r="X30" s="894"/>
      <c r="Y30" s="894"/>
      <c r="Z30" s="894"/>
      <c r="AA30" s="894"/>
      <c r="AB30" s="918"/>
      <c r="AC30" s="937"/>
      <c r="AD30" s="923"/>
      <c r="AE30" s="923"/>
      <c r="AF30" s="1103"/>
      <c r="AG30" s="923"/>
      <c r="AH30" s="923"/>
      <c r="AI30" s="923"/>
      <c r="AJ30" s="1103"/>
      <c r="AK30" s="923"/>
      <c r="AL30" s="923"/>
      <c r="AM30" s="923"/>
      <c r="AN30" s="922"/>
      <c r="AO30" s="911"/>
      <c r="AP30" s="932"/>
      <c r="AQ30" s="894"/>
      <c r="AR30" s="894"/>
      <c r="AS30" s="894"/>
      <c r="AT30" s="894"/>
      <c r="AU30" s="894"/>
      <c r="AV30" s="894"/>
      <c r="AW30" s="931"/>
      <c r="AX30" s="904"/>
      <c r="AY30" s="937"/>
      <c r="AZ30" s="923"/>
      <c r="BA30" s="923"/>
      <c r="BB30" s="923"/>
      <c r="BC30" s="923"/>
      <c r="BD30" s="923"/>
      <c r="BE30" s="923"/>
      <c r="BF30" s="923"/>
      <c r="BG30" s="922"/>
      <c r="BH30" s="894"/>
      <c r="BI30" s="894"/>
      <c r="BJ30" s="894"/>
      <c r="BK30" s="894"/>
      <c r="BL30" s="894"/>
      <c r="BM30" s="894"/>
      <c r="BN30" s="894"/>
      <c r="BO30" s="894"/>
      <c r="BP30" s="894"/>
      <c r="BQ30" s="894"/>
      <c r="BR30" s="937"/>
      <c r="BS30" s="923"/>
      <c r="BT30" s="923"/>
      <c r="BU30" s="1103"/>
      <c r="BV30" s="923"/>
      <c r="BW30" s="923"/>
      <c r="BX30" s="923"/>
      <c r="BY30" s="922"/>
      <c r="BZ30" s="894"/>
      <c r="CA30" s="931"/>
      <c r="CB30" s="932"/>
      <c r="CC30" s="894"/>
      <c r="CD30" s="931"/>
      <c r="CE30" s="894"/>
      <c r="CF30" s="894"/>
      <c r="CG30" s="894"/>
      <c r="CH30" s="894"/>
      <c r="CI30" s="894"/>
      <c r="CJ30" s="894"/>
      <c r="CK30" s="894"/>
      <c r="CL30" s="894"/>
      <c r="CM30" s="894"/>
      <c r="CN30" s="894"/>
      <c r="CO30" s="894"/>
      <c r="CP30" s="4145"/>
      <c r="CQ30" s="4078" t="s">
        <v>1401</v>
      </c>
      <c r="CR30" s="4078"/>
      <c r="CS30" s="4079" t="s">
        <v>1399</v>
      </c>
      <c r="CT30" s="4080"/>
      <c r="CU30" s="4081"/>
      <c r="CV30" s="4081"/>
      <c r="CW30" s="4082"/>
      <c r="CX30" s="4080"/>
      <c r="CY30" s="4081"/>
      <c r="CZ30" s="4081"/>
      <c r="DA30" s="4082"/>
      <c r="DB30" s="4080"/>
      <c r="DC30" s="4081"/>
      <c r="DD30" s="4081"/>
      <c r="DE30" s="4082"/>
      <c r="DF30" s="4080"/>
      <c r="DG30" s="4081"/>
      <c r="DH30" s="4081"/>
      <c r="DI30" s="4082"/>
      <c r="DJ30" s="1010"/>
      <c r="DK30" s="1010"/>
      <c r="DL30" s="1056"/>
      <c r="DM30" s="1056"/>
      <c r="DN30" s="1056"/>
      <c r="DO30" s="1056"/>
      <c r="DP30" s="1056"/>
      <c r="DQ30" s="1056"/>
      <c r="DR30" s="1069"/>
      <c r="DS30" s="4040" t="s">
        <v>1464</v>
      </c>
      <c r="DT30" s="4041"/>
      <c r="DU30" s="4042"/>
      <c r="DV30" s="4086" t="str">
        <f>IF(DV31&gt;=1,DV31,1/DV31)</f>
        <v/>
      </c>
      <c r="DW30" s="4087"/>
      <c r="DX30" s="4087"/>
      <c r="DY30" s="4088"/>
      <c r="DZ30" s="866"/>
    </row>
    <row r="31" spans="2:130" ht="6" customHeight="1">
      <c r="B31" s="889"/>
      <c r="C31" s="894"/>
      <c r="D31" s="894"/>
      <c r="E31" s="931"/>
      <c r="F31" s="904"/>
      <c r="G31" s="903"/>
      <c r="H31" s="902"/>
      <c r="I31" s="902"/>
      <c r="J31" s="901"/>
      <c r="K31" s="919"/>
      <c r="L31" s="894"/>
      <c r="M31" s="894"/>
      <c r="N31" s="918"/>
      <c r="O31" s="937"/>
      <c r="P31" s="923"/>
      <c r="Q31" s="923"/>
      <c r="R31" s="922"/>
      <c r="S31" s="911"/>
      <c r="T31" s="932"/>
      <c r="U31" s="894"/>
      <c r="V31" s="894"/>
      <c r="W31" s="894"/>
      <c r="X31" s="894"/>
      <c r="Y31" s="894"/>
      <c r="Z31" s="894"/>
      <c r="AA31" s="894"/>
      <c r="AB31" s="918"/>
      <c r="AC31" s="903"/>
      <c r="AD31" s="902"/>
      <c r="AE31" s="902"/>
      <c r="AF31" s="1102"/>
      <c r="AG31" s="902"/>
      <c r="AH31" s="902"/>
      <c r="AI31" s="902"/>
      <c r="AJ31" s="1102"/>
      <c r="AK31" s="902"/>
      <c r="AL31" s="902"/>
      <c r="AM31" s="902"/>
      <c r="AN31" s="901"/>
      <c r="AO31" s="911"/>
      <c r="AP31" s="1084"/>
      <c r="AQ31" s="949"/>
      <c r="AR31" s="949"/>
      <c r="AS31" s="949"/>
      <c r="AT31" s="949"/>
      <c r="AU31" s="4141" t="s">
        <v>1375</v>
      </c>
      <c r="AV31" s="4141"/>
      <c r="AW31" s="4142"/>
      <c r="AX31" s="904"/>
      <c r="AY31" s="903"/>
      <c r="AZ31" s="902"/>
      <c r="BA31" s="902"/>
      <c r="BB31" s="902"/>
      <c r="BC31" s="902"/>
      <c r="BD31" s="902"/>
      <c r="BE31" s="902"/>
      <c r="BF31" s="902"/>
      <c r="BG31" s="901"/>
      <c r="BH31" s="894"/>
      <c r="BI31" s="894"/>
      <c r="BJ31" s="894"/>
      <c r="BK31" s="894"/>
      <c r="BL31" s="894"/>
      <c r="BM31" s="894"/>
      <c r="BN31" s="894"/>
      <c r="BO31" s="894"/>
      <c r="BP31" s="894"/>
      <c r="BQ31" s="894"/>
      <c r="BR31" s="903"/>
      <c r="BS31" s="902"/>
      <c r="BT31" s="902"/>
      <c r="BU31" s="1102"/>
      <c r="BV31" s="902"/>
      <c r="BW31" s="902"/>
      <c r="BX31" s="902"/>
      <c r="BY31" s="901"/>
      <c r="BZ31" s="894"/>
      <c r="CA31" s="931"/>
      <c r="CB31" s="4143" t="s">
        <v>1375</v>
      </c>
      <c r="CC31" s="4144"/>
      <c r="CD31" s="998"/>
      <c r="CE31" s="949"/>
      <c r="CF31" s="949"/>
      <c r="CG31" s="949"/>
      <c r="CH31" s="949"/>
      <c r="CI31" s="949"/>
      <c r="CJ31" s="949"/>
      <c r="CK31" s="949"/>
      <c r="CL31" s="949"/>
      <c r="CM31" s="949"/>
      <c r="CN31" s="949"/>
      <c r="CO31" s="949"/>
      <c r="CP31" s="4146"/>
      <c r="CQ31" s="4078"/>
      <c r="CR31" s="4078"/>
      <c r="CS31" s="4079"/>
      <c r="CT31" s="4083"/>
      <c r="CU31" s="4084"/>
      <c r="CV31" s="4084"/>
      <c r="CW31" s="4085"/>
      <c r="CX31" s="4083"/>
      <c r="CY31" s="4084"/>
      <c r="CZ31" s="4084"/>
      <c r="DA31" s="4085"/>
      <c r="DB31" s="4083"/>
      <c r="DC31" s="4084"/>
      <c r="DD31" s="4084"/>
      <c r="DE31" s="4085"/>
      <c r="DF31" s="4083"/>
      <c r="DG31" s="4084"/>
      <c r="DH31" s="4084"/>
      <c r="DI31" s="4085"/>
      <c r="DJ31" s="1010"/>
      <c r="DK31" s="1010"/>
      <c r="DL31" s="1056"/>
      <c r="DM31" s="1056"/>
      <c r="DN31" s="1056"/>
      <c r="DO31" s="1056"/>
      <c r="DP31" s="1056"/>
      <c r="DQ31" s="1056"/>
      <c r="DR31" s="1055"/>
      <c r="DS31" s="4043"/>
      <c r="DT31" s="4044"/>
      <c r="DU31" s="4045"/>
      <c r="DV31" s="4089" t="str">
        <f>IF(CQ38="","",(DB32+DB34+DB36)^2/(DB30*DB36+DB28*DB34+(DB26+DB28)*DB32))</f>
        <v/>
      </c>
      <c r="DW31" s="4090"/>
      <c r="DX31" s="4090"/>
      <c r="DY31" s="4091"/>
      <c r="DZ31" s="866"/>
    </row>
    <row r="32" spans="2:130" ht="6" customHeight="1" thickBot="1">
      <c r="B32" s="889"/>
      <c r="C32" s="4141" t="s">
        <v>1431</v>
      </c>
      <c r="D32" s="4141"/>
      <c r="E32" s="4142"/>
      <c r="F32" s="904"/>
      <c r="G32" s="903"/>
      <c r="H32" s="902"/>
      <c r="I32" s="902"/>
      <c r="J32" s="901"/>
      <c r="K32" s="919"/>
      <c r="L32" s="894"/>
      <c r="M32" s="894"/>
      <c r="N32" s="918"/>
      <c r="O32" s="903"/>
      <c r="P32" s="902"/>
      <c r="Q32" s="902"/>
      <c r="R32" s="901"/>
      <c r="S32" s="911"/>
      <c r="T32" s="4102" t="s">
        <v>1375</v>
      </c>
      <c r="U32" s="4103"/>
      <c r="V32" s="4103"/>
      <c r="W32" s="894"/>
      <c r="X32" s="894"/>
      <c r="Y32" s="894"/>
      <c r="Z32" s="894"/>
      <c r="AA32" s="894"/>
      <c r="AB32" s="918"/>
      <c r="AC32" s="903"/>
      <c r="AD32" s="902"/>
      <c r="AE32" s="902"/>
      <c r="AF32" s="1102"/>
      <c r="AG32" s="902"/>
      <c r="AH32" s="902"/>
      <c r="AI32" s="902"/>
      <c r="AJ32" s="1102"/>
      <c r="AK32" s="902"/>
      <c r="AL32" s="902"/>
      <c r="AM32" s="902"/>
      <c r="AN32" s="901"/>
      <c r="AO32" s="911"/>
      <c r="AP32" s="4102" t="s">
        <v>1375</v>
      </c>
      <c r="AQ32" s="4103"/>
      <c r="AR32" s="4103"/>
      <c r="AS32" s="949"/>
      <c r="AT32" s="949"/>
      <c r="AU32" s="4141"/>
      <c r="AV32" s="4141"/>
      <c r="AW32" s="4142"/>
      <c r="AX32" s="904"/>
      <c r="AY32" s="957"/>
      <c r="AZ32" s="896"/>
      <c r="BA32" s="896"/>
      <c r="BB32" s="896"/>
      <c r="BC32" s="902"/>
      <c r="BD32" s="902"/>
      <c r="BE32" s="902"/>
      <c r="BF32" s="902"/>
      <c r="BG32" s="901"/>
      <c r="BH32" s="894"/>
      <c r="BI32" s="894"/>
      <c r="BJ32" s="894"/>
      <c r="BK32" s="894"/>
      <c r="BL32" s="894"/>
      <c r="BM32" s="894"/>
      <c r="BN32" s="894"/>
      <c r="BO32" s="894"/>
      <c r="BP32" s="894"/>
      <c r="BQ32" s="894"/>
      <c r="BR32" s="903"/>
      <c r="BS32" s="902"/>
      <c r="BT32" s="902"/>
      <c r="BU32" s="902"/>
      <c r="BV32" s="902"/>
      <c r="BW32" s="896"/>
      <c r="BX32" s="896"/>
      <c r="BY32" s="895"/>
      <c r="BZ32" s="894"/>
      <c r="CA32" s="931"/>
      <c r="CB32" s="4143"/>
      <c r="CC32" s="4144"/>
      <c r="CD32" s="998"/>
      <c r="CE32" s="949"/>
      <c r="CF32" s="949"/>
      <c r="CG32" s="949"/>
      <c r="CH32" s="949"/>
      <c r="CI32" s="949"/>
      <c r="CJ32" s="949"/>
      <c r="CK32" s="949"/>
      <c r="CL32" s="949"/>
      <c r="CM32" s="949"/>
      <c r="CN32" s="949"/>
      <c r="CO32" s="949"/>
      <c r="CP32" s="870"/>
      <c r="CQ32" s="4108" t="s">
        <v>1370</v>
      </c>
      <c r="CR32" s="4108"/>
      <c r="CS32" s="4079" t="s">
        <v>1399</v>
      </c>
      <c r="CT32" s="4080"/>
      <c r="CU32" s="4081"/>
      <c r="CV32" s="4081"/>
      <c r="CW32" s="4082"/>
      <c r="CX32" s="4080"/>
      <c r="CY32" s="4081"/>
      <c r="CZ32" s="4081"/>
      <c r="DA32" s="4082"/>
      <c r="DB32" s="4080"/>
      <c r="DC32" s="4081"/>
      <c r="DD32" s="4081"/>
      <c r="DE32" s="4082"/>
      <c r="DF32" s="4080"/>
      <c r="DG32" s="4081"/>
      <c r="DH32" s="4081"/>
      <c r="DI32" s="4082"/>
      <c r="DJ32" s="1010"/>
      <c r="DK32" s="1010"/>
      <c r="DL32" s="1056"/>
      <c r="DM32" s="1056"/>
      <c r="DN32" s="1056"/>
      <c r="DO32" s="1056"/>
      <c r="DP32" s="1056"/>
      <c r="DQ32" s="1056"/>
      <c r="DR32" s="1069"/>
      <c r="DS32" s="4040" t="s">
        <v>1463</v>
      </c>
      <c r="DT32" s="4041"/>
      <c r="DU32" s="4042"/>
      <c r="DV32" s="4086" t="str">
        <f>IF(DV33&gt;=1,DV33,1/DV33)</f>
        <v/>
      </c>
      <c r="DW32" s="4087"/>
      <c r="DX32" s="4087"/>
      <c r="DY32" s="4088"/>
      <c r="DZ32" s="866"/>
    </row>
    <row r="33" spans="2:130" ht="6" customHeight="1">
      <c r="B33" s="889"/>
      <c r="C33" s="4141"/>
      <c r="D33" s="4141"/>
      <c r="E33" s="4142"/>
      <c r="F33" s="904"/>
      <c r="G33" s="903"/>
      <c r="H33" s="902"/>
      <c r="I33" s="902"/>
      <c r="J33" s="901"/>
      <c r="K33" s="919"/>
      <c r="L33" s="894"/>
      <c r="M33" s="894"/>
      <c r="N33" s="918"/>
      <c r="O33" s="903"/>
      <c r="P33" s="902"/>
      <c r="Q33" s="902"/>
      <c r="R33" s="901"/>
      <c r="S33" s="911"/>
      <c r="T33" s="4102"/>
      <c r="U33" s="4103"/>
      <c r="V33" s="4103"/>
      <c r="W33" s="949"/>
      <c r="X33" s="949"/>
      <c r="Y33" s="949"/>
      <c r="Z33" s="949"/>
      <c r="AA33" s="949"/>
      <c r="AB33" s="918"/>
      <c r="AC33" s="903"/>
      <c r="AD33" s="902"/>
      <c r="AE33" s="902"/>
      <c r="AF33" s="1102"/>
      <c r="AG33" s="902"/>
      <c r="AH33" s="902"/>
      <c r="AI33" s="902"/>
      <c r="AJ33" s="1102"/>
      <c r="AK33" s="902"/>
      <c r="AL33" s="902"/>
      <c r="AM33" s="902"/>
      <c r="AN33" s="901"/>
      <c r="AO33" s="911"/>
      <c r="AP33" s="4102"/>
      <c r="AQ33" s="4103"/>
      <c r="AR33" s="4103"/>
      <c r="AS33" s="894"/>
      <c r="AT33" s="894"/>
      <c r="AU33" s="894"/>
      <c r="AV33" s="894"/>
      <c r="AW33" s="1090"/>
      <c r="AX33" s="1089"/>
      <c r="AY33" s="965"/>
      <c r="AZ33" s="928"/>
      <c r="BA33" s="928"/>
      <c r="BB33" s="927"/>
      <c r="BC33" s="903"/>
      <c r="BD33" s="902"/>
      <c r="BE33" s="902"/>
      <c r="BF33" s="902"/>
      <c r="BG33" s="901"/>
      <c r="BH33" s="894"/>
      <c r="BI33" s="894"/>
      <c r="BJ33" s="894"/>
      <c r="BK33" s="894"/>
      <c r="BL33" s="894"/>
      <c r="BM33" s="894"/>
      <c r="BN33" s="894"/>
      <c r="BO33" s="894"/>
      <c r="BP33" s="894"/>
      <c r="BQ33" s="894"/>
      <c r="BR33" s="903"/>
      <c r="BS33" s="902"/>
      <c r="BT33" s="902"/>
      <c r="BU33" s="901"/>
      <c r="BV33" s="929"/>
      <c r="BW33" s="894"/>
      <c r="BX33" s="894"/>
      <c r="BY33" s="894"/>
      <c r="BZ33" s="894"/>
      <c r="CA33" s="1090"/>
      <c r="CB33" s="1087"/>
      <c r="CC33" s="894"/>
      <c r="CD33" s="931"/>
      <c r="CE33" s="894"/>
      <c r="CF33" s="894"/>
      <c r="CG33" s="894"/>
      <c r="CH33" s="894"/>
      <c r="CI33" s="894"/>
      <c r="CJ33" s="894"/>
      <c r="CK33" s="894"/>
      <c r="CL33" s="894"/>
      <c r="CM33" s="894"/>
      <c r="CN33" s="894"/>
      <c r="CO33" s="894"/>
      <c r="CP33" s="870"/>
      <c r="CQ33" s="4108"/>
      <c r="CR33" s="4108"/>
      <c r="CS33" s="4079"/>
      <c r="CT33" s="4083"/>
      <c r="CU33" s="4084"/>
      <c r="CV33" s="4084"/>
      <c r="CW33" s="4085"/>
      <c r="CX33" s="4083"/>
      <c r="CY33" s="4084"/>
      <c r="CZ33" s="4084"/>
      <c r="DA33" s="4085"/>
      <c r="DB33" s="4083"/>
      <c r="DC33" s="4084"/>
      <c r="DD33" s="4084"/>
      <c r="DE33" s="4085"/>
      <c r="DF33" s="4083"/>
      <c r="DG33" s="4084"/>
      <c r="DH33" s="4084"/>
      <c r="DI33" s="4085"/>
      <c r="DJ33" s="1010"/>
      <c r="DK33" s="1010"/>
      <c r="DL33" s="1056"/>
      <c r="DM33" s="1056"/>
      <c r="DN33" s="1056"/>
      <c r="DO33" s="1056"/>
      <c r="DP33" s="1056"/>
      <c r="DQ33" s="1056"/>
      <c r="DR33" s="1055"/>
      <c r="DS33" s="4043"/>
      <c r="DT33" s="4044"/>
      <c r="DU33" s="4045"/>
      <c r="DV33" s="4089" t="str">
        <f>IF(CQ38="","",(DF32+DF34+DF36)^2/((DF26+DF28)*DF36+DF26*DF34+DF30*DF32))</f>
        <v/>
      </c>
      <c r="DW33" s="4090"/>
      <c r="DX33" s="4090"/>
      <c r="DY33" s="4091"/>
      <c r="DZ33" s="866"/>
    </row>
    <row r="34" spans="2:130" ht="6" customHeight="1" thickBot="1">
      <c r="B34" s="889"/>
      <c r="C34" s="949"/>
      <c r="D34" s="949"/>
      <c r="E34" s="998"/>
      <c r="F34" s="904"/>
      <c r="G34" s="903"/>
      <c r="H34" s="902"/>
      <c r="I34" s="902"/>
      <c r="J34" s="901"/>
      <c r="K34" s="914"/>
      <c r="L34" s="913"/>
      <c r="M34" s="913"/>
      <c r="N34" s="912"/>
      <c r="O34" s="903"/>
      <c r="P34" s="902"/>
      <c r="Q34" s="902"/>
      <c r="R34" s="901"/>
      <c r="S34" s="911"/>
      <c r="T34" s="932"/>
      <c r="U34" s="894"/>
      <c r="V34" s="894"/>
      <c r="W34" s="949"/>
      <c r="X34" s="949"/>
      <c r="Y34" s="949"/>
      <c r="Z34" s="949"/>
      <c r="AA34" s="1101"/>
      <c r="AB34" s="958"/>
      <c r="AC34" s="1100"/>
      <c r="AD34" s="1099"/>
      <c r="AE34" s="1099"/>
      <c r="AF34" s="902"/>
      <c r="AG34" s="902"/>
      <c r="AH34" s="902"/>
      <c r="AI34" s="902"/>
      <c r="AJ34" s="902"/>
      <c r="AK34" s="902"/>
      <c r="AL34" s="1099"/>
      <c r="AM34" s="1099"/>
      <c r="AN34" s="1098"/>
      <c r="AO34" s="1097"/>
      <c r="AP34" s="1096"/>
      <c r="AQ34" s="894"/>
      <c r="AR34" s="894"/>
      <c r="AS34" s="949"/>
      <c r="AT34" s="949"/>
      <c r="AU34" s="4141" t="s">
        <v>1373</v>
      </c>
      <c r="AV34" s="4141"/>
      <c r="AW34" s="4142"/>
      <c r="AX34" s="932"/>
      <c r="AY34" s="964"/>
      <c r="AZ34" s="894"/>
      <c r="BA34" s="894"/>
      <c r="BB34" s="918"/>
      <c r="BC34" s="903"/>
      <c r="BD34" s="902"/>
      <c r="BE34" s="902"/>
      <c r="BF34" s="902"/>
      <c r="BG34" s="901"/>
      <c r="BH34" s="894"/>
      <c r="BI34" s="894"/>
      <c r="BJ34" s="894"/>
      <c r="BK34" s="894"/>
      <c r="BL34" s="894"/>
      <c r="BM34" s="894"/>
      <c r="BN34" s="894"/>
      <c r="BO34" s="894"/>
      <c r="BP34" s="894"/>
      <c r="BQ34" s="894"/>
      <c r="BR34" s="903"/>
      <c r="BS34" s="902"/>
      <c r="BT34" s="902"/>
      <c r="BU34" s="901"/>
      <c r="BV34" s="919"/>
      <c r="BW34" s="894"/>
      <c r="BX34" s="894"/>
      <c r="BY34" s="894"/>
      <c r="BZ34" s="894"/>
      <c r="CA34" s="931"/>
      <c r="CB34" s="4149" t="s">
        <v>1373</v>
      </c>
      <c r="CC34" s="4150"/>
      <c r="CD34" s="998"/>
      <c r="CE34" s="949"/>
      <c r="CF34" s="949"/>
      <c r="CG34" s="949"/>
      <c r="CH34" s="949"/>
      <c r="CI34" s="949"/>
      <c r="CJ34" s="949"/>
      <c r="CK34" s="949"/>
      <c r="CL34" s="949"/>
      <c r="CM34" s="949"/>
      <c r="CN34" s="949"/>
      <c r="CO34" s="949"/>
      <c r="CP34" s="870"/>
      <c r="CQ34" s="4108" t="s">
        <v>1373</v>
      </c>
      <c r="CR34" s="4108"/>
      <c r="CS34" s="4079" t="s">
        <v>1404</v>
      </c>
      <c r="CT34" s="4080"/>
      <c r="CU34" s="4081"/>
      <c r="CV34" s="4081"/>
      <c r="CW34" s="4082"/>
      <c r="CX34" s="4080"/>
      <c r="CY34" s="4081"/>
      <c r="CZ34" s="4081"/>
      <c r="DA34" s="4082"/>
      <c r="DB34" s="4080"/>
      <c r="DC34" s="4081"/>
      <c r="DD34" s="4081"/>
      <c r="DE34" s="4082"/>
      <c r="DF34" s="4080"/>
      <c r="DG34" s="4081"/>
      <c r="DH34" s="4081"/>
      <c r="DI34" s="4082"/>
      <c r="DJ34" s="1010"/>
      <c r="DK34" s="1010"/>
      <c r="DL34" s="1010"/>
      <c r="DM34" s="1010"/>
      <c r="DN34" s="1010"/>
      <c r="DO34" s="1010"/>
      <c r="DP34" s="1010"/>
      <c r="DQ34" s="1010"/>
      <c r="DR34" s="1008"/>
      <c r="DS34" s="1001"/>
      <c r="DT34" s="1000"/>
      <c r="DU34" s="1000"/>
      <c r="DV34" s="1000"/>
      <c r="DW34" s="1000"/>
      <c r="DX34" s="1000"/>
      <c r="DY34" s="1000"/>
      <c r="DZ34" s="866"/>
    </row>
    <row r="35" spans="2:130" ht="6" customHeight="1" thickBot="1">
      <c r="B35" s="889"/>
      <c r="C35" s="894"/>
      <c r="D35" s="894"/>
      <c r="E35" s="1090"/>
      <c r="F35" s="1095"/>
      <c r="G35" s="1094"/>
      <c r="H35" s="1093"/>
      <c r="I35" s="1093"/>
      <c r="J35" s="902"/>
      <c r="K35" s="902"/>
      <c r="L35" s="902"/>
      <c r="M35" s="902"/>
      <c r="N35" s="902"/>
      <c r="O35" s="902"/>
      <c r="P35" s="1093"/>
      <c r="Q35" s="1093"/>
      <c r="R35" s="1092"/>
      <c r="S35" s="1091"/>
      <c r="T35" s="1077"/>
      <c r="U35" s="894"/>
      <c r="V35" s="894"/>
      <c r="W35" s="894"/>
      <c r="X35" s="894"/>
      <c r="Y35" s="894"/>
      <c r="Z35" s="894"/>
      <c r="AA35" s="931"/>
      <c r="AB35" s="904"/>
      <c r="AC35" s="903"/>
      <c r="AD35" s="902"/>
      <c r="AE35" s="902"/>
      <c r="AF35" s="901"/>
      <c r="AG35" s="929"/>
      <c r="AH35" s="928"/>
      <c r="AI35" s="928"/>
      <c r="AJ35" s="927"/>
      <c r="AK35" s="902"/>
      <c r="AL35" s="902"/>
      <c r="AM35" s="902"/>
      <c r="AN35" s="901"/>
      <c r="AO35" s="911"/>
      <c r="AP35" s="932"/>
      <c r="AQ35" s="894"/>
      <c r="AR35" s="894"/>
      <c r="AS35" s="949"/>
      <c r="AT35" s="949"/>
      <c r="AU35" s="4141"/>
      <c r="AV35" s="4141"/>
      <c r="AW35" s="4142"/>
      <c r="AX35" s="932"/>
      <c r="AY35" s="964"/>
      <c r="AZ35" s="894"/>
      <c r="BA35" s="894"/>
      <c r="BB35" s="918"/>
      <c r="BC35" s="903"/>
      <c r="BD35" s="902"/>
      <c r="BE35" s="902"/>
      <c r="BF35" s="902"/>
      <c r="BG35" s="901"/>
      <c r="BH35" s="894"/>
      <c r="BI35" s="894"/>
      <c r="BJ35" s="894"/>
      <c r="BK35" s="894"/>
      <c r="BL35" s="894"/>
      <c r="BM35" s="894"/>
      <c r="BN35" s="894"/>
      <c r="BO35" s="894"/>
      <c r="BP35" s="894"/>
      <c r="BQ35" s="894"/>
      <c r="BR35" s="903"/>
      <c r="BS35" s="902"/>
      <c r="BT35" s="902"/>
      <c r="BU35" s="901"/>
      <c r="BV35" s="914"/>
      <c r="BW35" s="894"/>
      <c r="BX35" s="894"/>
      <c r="BY35" s="894"/>
      <c r="BZ35" s="894"/>
      <c r="CA35" s="931"/>
      <c r="CB35" s="4149"/>
      <c r="CC35" s="4150"/>
      <c r="CD35" s="998"/>
      <c r="CE35" s="949"/>
      <c r="CF35" s="949"/>
      <c r="CG35" s="949"/>
      <c r="CH35" s="949"/>
      <c r="CI35" s="949"/>
      <c r="CJ35" s="949"/>
      <c r="CK35" s="949"/>
      <c r="CL35" s="949"/>
      <c r="CM35" s="949"/>
      <c r="CN35" s="949"/>
      <c r="CO35" s="949"/>
      <c r="CP35" s="870"/>
      <c r="CQ35" s="4108"/>
      <c r="CR35" s="4108"/>
      <c r="CS35" s="4079"/>
      <c r="CT35" s="4083"/>
      <c r="CU35" s="4084"/>
      <c r="CV35" s="4084"/>
      <c r="CW35" s="4085"/>
      <c r="CX35" s="4083"/>
      <c r="CY35" s="4084"/>
      <c r="CZ35" s="4084"/>
      <c r="DA35" s="4085"/>
      <c r="DB35" s="4083"/>
      <c r="DC35" s="4084"/>
      <c r="DD35" s="4084"/>
      <c r="DE35" s="4085"/>
      <c r="DF35" s="4083"/>
      <c r="DG35" s="4084"/>
      <c r="DH35" s="4084"/>
      <c r="DI35" s="4085"/>
      <c r="DJ35" s="1010"/>
      <c r="DK35" s="1010"/>
      <c r="DL35" s="1010"/>
      <c r="DM35" s="1010"/>
      <c r="DN35" s="1010"/>
      <c r="DO35" s="1010"/>
      <c r="DP35" s="1010"/>
      <c r="DQ35" s="1010"/>
      <c r="DR35" s="1008"/>
      <c r="DS35" s="1001"/>
      <c r="DT35" s="1000"/>
      <c r="DU35" s="1000"/>
      <c r="DV35" s="1000"/>
      <c r="DW35" s="1000"/>
      <c r="DX35" s="1000"/>
      <c r="DY35" s="1000"/>
      <c r="DZ35" s="866"/>
    </row>
    <row r="36" spans="2:130" ht="6" customHeight="1">
      <c r="B36" s="889"/>
      <c r="C36" s="894"/>
      <c r="D36" s="894"/>
      <c r="E36" s="931"/>
      <c r="F36" s="904"/>
      <c r="G36" s="903"/>
      <c r="H36" s="902"/>
      <c r="I36" s="902"/>
      <c r="J36" s="902"/>
      <c r="K36" s="902"/>
      <c r="L36" s="902"/>
      <c r="M36" s="902"/>
      <c r="N36" s="902"/>
      <c r="O36" s="902"/>
      <c r="P36" s="902"/>
      <c r="Q36" s="902"/>
      <c r="R36" s="901"/>
      <c r="S36" s="919"/>
      <c r="T36" s="894"/>
      <c r="U36" s="894"/>
      <c r="V36" s="894"/>
      <c r="W36" s="894"/>
      <c r="X36" s="894"/>
      <c r="Y36" s="894"/>
      <c r="Z36" s="894"/>
      <c r="AA36" s="931"/>
      <c r="AB36" s="904"/>
      <c r="AC36" s="903"/>
      <c r="AD36" s="902"/>
      <c r="AE36" s="902"/>
      <c r="AF36" s="901"/>
      <c r="AG36" s="919"/>
      <c r="AH36" s="894"/>
      <c r="AI36" s="894"/>
      <c r="AJ36" s="918"/>
      <c r="AK36" s="902"/>
      <c r="AL36" s="902"/>
      <c r="AM36" s="902"/>
      <c r="AN36" s="901"/>
      <c r="AO36" s="911"/>
      <c r="AP36" s="4102" t="s">
        <v>1431</v>
      </c>
      <c r="AQ36" s="4103"/>
      <c r="AR36" s="4103"/>
      <c r="AS36" s="894"/>
      <c r="AT36" s="894"/>
      <c r="AU36" s="894"/>
      <c r="AV36" s="894"/>
      <c r="AW36" s="1090"/>
      <c r="AX36" s="1089"/>
      <c r="AY36" s="964"/>
      <c r="AZ36" s="937"/>
      <c r="BA36" s="923"/>
      <c r="BB36" s="923"/>
      <c r="BC36" s="902"/>
      <c r="BD36" s="902"/>
      <c r="BE36" s="902"/>
      <c r="BF36" s="902"/>
      <c r="BG36" s="901"/>
      <c r="BH36" s="894"/>
      <c r="BI36" s="894"/>
      <c r="BJ36" s="894"/>
      <c r="BK36" s="894"/>
      <c r="BL36" s="894"/>
      <c r="BM36" s="894"/>
      <c r="BN36" s="894"/>
      <c r="BO36" s="894"/>
      <c r="BP36" s="894"/>
      <c r="BQ36" s="894"/>
      <c r="BR36" s="903"/>
      <c r="BS36" s="902"/>
      <c r="BT36" s="902"/>
      <c r="BU36" s="902"/>
      <c r="BV36" s="923"/>
      <c r="BW36" s="923"/>
      <c r="BX36" s="923"/>
      <c r="BY36" s="923"/>
      <c r="BZ36" s="922"/>
      <c r="CA36" s="1088"/>
      <c r="CB36" s="1087"/>
      <c r="CC36" s="894"/>
      <c r="CD36" s="931"/>
      <c r="CE36" s="894"/>
      <c r="CF36" s="894"/>
      <c r="CG36" s="894"/>
      <c r="CH36" s="894"/>
      <c r="CI36" s="894"/>
      <c r="CJ36" s="894"/>
      <c r="CK36" s="894"/>
      <c r="CL36" s="894"/>
      <c r="CM36" s="894"/>
      <c r="CN36" s="894"/>
      <c r="CO36" s="894"/>
      <c r="CP36" s="4157"/>
      <c r="CQ36" s="4108" t="s">
        <v>1405</v>
      </c>
      <c r="CR36" s="4108"/>
      <c r="CS36" s="4079" t="s">
        <v>1404</v>
      </c>
      <c r="CT36" s="4080"/>
      <c r="CU36" s="4081"/>
      <c r="CV36" s="4081"/>
      <c r="CW36" s="4082"/>
      <c r="CX36" s="4080"/>
      <c r="CY36" s="4081"/>
      <c r="CZ36" s="4081"/>
      <c r="DA36" s="4082"/>
      <c r="DB36" s="4080"/>
      <c r="DC36" s="4081"/>
      <c r="DD36" s="4081"/>
      <c r="DE36" s="4082"/>
      <c r="DF36" s="4080"/>
      <c r="DG36" s="4081"/>
      <c r="DH36" s="4081"/>
      <c r="DI36" s="4082"/>
      <c r="DJ36" s="1010"/>
      <c r="DK36" s="1010"/>
      <c r="DL36" s="1056"/>
      <c r="DM36" s="1056"/>
      <c r="DN36" s="1056"/>
      <c r="DO36" s="1056"/>
      <c r="DP36" s="1056"/>
      <c r="DQ36" s="1056"/>
      <c r="DR36" s="1069"/>
      <c r="DS36" s="1068"/>
      <c r="DT36" s="1067"/>
      <c r="DU36" s="1067"/>
      <c r="DV36" s="1000"/>
      <c r="DW36" s="1000"/>
      <c r="DX36" s="1020"/>
      <c r="DY36" s="1020"/>
      <c r="DZ36" s="866"/>
    </row>
    <row r="37" spans="2:130" ht="6" customHeight="1">
      <c r="B37" s="889"/>
      <c r="C37" s="4141" t="s">
        <v>1372</v>
      </c>
      <c r="D37" s="4141"/>
      <c r="E37" s="4142"/>
      <c r="F37" s="904"/>
      <c r="G37" s="903"/>
      <c r="H37" s="902"/>
      <c r="I37" s="902"/>
      <c r="J37" s="902"/>
      <c r="K37" s="902"/>
      <c r="L37" s="902"/>
      <c r="M37" s="902"/>
      <c r="N37" s="902"/>
      <c r="O37" s="902"/>
      <c r="P37" s="902"/>
      <c r="Q37" s="902"/>
      <c r="R37" s="901"/>
      <c r="S37" s="919"/>
      <c r="T37" s="949"/>
      <c r="U37" s="949"/>
      <c r="V37" s="949"/>
      <c r="W37" s="894"/>
      <c r="X37" s="894"/>
      <c r="Y37" s="4147" t="s">
        <v>1372</v>
      </c>
      <c r="Z37" s="4147"/>
      <c r="AA37" s="4148"/>
      <c r="AB37" s="904"/>
      <c r="AC37" s="903"/>
      <c r="AD37" s="902"/>
      <c r="AE37" s="902"/>
      <c r="AF37" s="901"/>
      <c r="AG37" s="919"/>
      <c r="AH37" s="894"/>
      <c r="AI37" s="894"/>
      <c r="AJ37" s="918"/>
      <c r="AK37" s="902"/>
      <c r="AL37" s="902"/>
      <c r="AM37" s="902"/>
      <c r="AN37" s="901"/>
      <c r="AO37" s="911"/>
      <c r="AP37" s="4102"/>
      <c r="AQ37" s="4103"/>
      <c r="AR37" s="4103"/>
      <c r="AS37" s="949"/>
      <c r="AT37" s="949"/>
      <c r="AU37" s="4141" t="s">
        <v>1372</v>
      </c>
      <c r="AV37" s="4141"/>
      <c r="AW37" s="4142"/>
      <c r="AX37" s="932"/>
      <c r="AY37" s="964"/>
      <c r="AZ37" s="903"/>
      <c r="BA37" s="902"/>
      <c r="BB37" s="902"/>
      <c r="BC37" s="1086"/>
      <c r="BD37" s="902"/>
      <c r="BE37" s="902"/>
      <c r="BF37" s="902"/>
      <c r="BG37" s="901"/>
      <c r="BH37" s="894"/>
      <c r="BI37" s="894"/>
      <c r="BJ37" s="894"/>
      <c r="BK37" s="894"/>
      <c r="BL37" s="894"/>
      <c r="BM37" s="894"/>
      <c r="BN37" s="894"/>
      <c r="BO37" s="894"/>
      <c r="BP37" s="894"/>
      <c r="BQ37" s="894"/>
      <c r="BR37" s="903"/>
      <c r="BS37" s="902"/>
      <c r="BT37" s="902"/>
      <c r="BU37" s="902"/>
      <c r="BV37" s="902"/>
      <c r="BW37" s="902"/>
      <c r="BX37" s="902"/>
      <c r="BY37" s="902"/>
      <c r="BZ37" s="901"/>
      <c r="CA37" s="911"/>
      <c r="CB37" s="4149" t="s">
        <v>1370</v>
      </c>
      <c r="CC37" s="4150"/>
      <c r="CD37" s="998"/>
      <c r="CE37" s="949"/>
      <c r="CF37" s="949"/>
      <c r="CG37" s="949"/>
      <c r="CH37" s="949"/>
      <c r="CI37" s="949"/>
      <c r="CJ37" s="949"/>
      <c r="CK37" s="949"/>
      <c r="CL37" s="949"/>
      <c r="CM37" s="949"/>
      <c r="CN37" s="949"/>
      <c r="CO37" s="949"/>
      <c r="CP37" s="4157"/>
      <c r="CQ37" s="4108"/>
      <c r="CR37" s="4108"/>
      <c r="CS37" s="4079"/>
      <c r="CT37" s="4083"/>
      <c r="CU37" s="4084"/>
      <c r="CV37" s="4084"/>
      <c r="CW37" s="4085"/>
      <c r="CX37" s="4083"/>
      <c r="CY37" s="4084"/>
      <c r="CZ37" s="4084"/>
      <c r="DA37" s="4085"/>
      <c r="DB37" s="4083"/>
      <c r="DC37" s="4084"/>
      <c r="DD37" s="4084"/>
      <c r="DE37" s="4085"/>
      <c r="DF37" s="4083"/>
      <c r="DG37" s="4084"/>
      <c r="DH37" s="4084"/>
      <c r="DI37" s="4085"/>
      <c r="DJ37" s="1010"/>
      <c r="DK37" s="1010"/>
      <c r="DL37" s="1056"/>
      <c r="DM37" s="1056"/>
      <c r="DN37" s="1056"/>
      <c r="DO37" s="1056"/>
      <c r="DP37" s="1056"/>
      <c r="DQ37" s="1056"/>
      <c r="DR37" s="1085"/>
      <c r="DS37" s="1054"/>
      <c r="DT37" s="1053"/>
      <c r="DU37" s="1053"/>
      <c r="DV37" s="1000"/>
      <c r="DW37" s="1000"/>
      <c r="DX37" s="1020"/>
      <c r="DY37" s="1020"/>
      <c r="DZ37" s="866"/>
    </row>
    <row r="38" spans="2:130" ht="6" customHeight="1" thickBot="1">
      <c r="B38" s="889"/>
      <c r="C38" s="4141"/>
      <c r="D38" s="4141"/>
      <c r="E38" s="4142"/>
      <c r="F38" s="904"/>
      <c r="G38" s="903"/>
      <c r="H38" s="902"/>
      <c r="I38" s="902"/>
      <c r="J38" s="902"/>
      <c r="K38" s="902"/>
      <c r="L38" s="902"/>
      <c r="M38" s="902"/>
      <c r="N38" s="902"/>
      <c r="O38" s="902"/>
      <c r="P38" s="902"/>
      <c r="Q38" s="902"/>
      <c r="R38" s="901"/>
      <c r="S38" s="919"/>
      <c r="T38" s="949"/>
      <c r="U38" s="949"/>
      <c r="V38" s="949"/>
      <c r="W38" s="894"/>
      <c r="X38" s="894"/>
      <c r="Y38" s="4147"/>
      <c r="Z38" s="4147"/>
      <c r="AA38" s="4148"/>
      <c r="AB38" s="904"/>
      <c r="AC38" s="903"/>
      <c r="AD38" s="902"/>
      <c r="AE38" s="902"/>
      <c r="AF38" s="901"/>
      <c r="AG38" s="919"/>
      <c r="AH38" s="894"/>
      <c r="AI38" s="894"/>
      <c r="AJ38" s="918"/>
      <c r="AK38" s="896"/>
      <c r="AL38" s="896"/>
      <c r="AM38" s="896"/>
      <c r="AN38" s="895"/>
      <c r="AO38" s="911"/>
      <c r="AP38" s="1084"/>
      <c r="AQ38" s="949"/>
      <c r="AR38" s="949"/>
      <c r="AS38" s="949"/>
      <c r="AT38" s="949"/>
      <c r="AU38" s="4141"/>
      <c r="AV38" s="4141"/>
      <c r="AW38" s="4142"/>
      <c r="AX38" s="898"/>
      <c r="AY38" s="1083"/>
      <c r="AZ38" s="957"/>
      <c r="BA38" s="896"/>
      <c r="BB38" s="896"/>
      <c r="BC38" s="1082"/>
      <c r="BD38" s="896"/>
      <c r="BE38" s="896"/>
      <c r="BF38" s="896"/>
      <c r="BG38" s="895"/>
      <c r="BH38" s="894"/>
      <c r="BI38" s="894"/>
      <c r="BJ38" s="894"/>
      <c r="BK38" s="894"/>
      <c r="BL38" s="894"/>
      <c r="BM38" s="894"/>
      <c r="BN38" s="894"/>
      <c r="BO38" s="894"/>
      <c r="BP38" s="894"/>
      <c r="BQ38" s="898"/>
      <c r="BR38" s="897"/>
      <c r="BS38" s="896"/>
      <c r="BT38" s="896"/>
      <c r="BU38" s="896"/>
      <c r="BV38" s="896"/>
      <c r="BW38" s="896"/>
      <c r="BX38" s="896"/>
      <c r="BY38" s="896"/>
      <c r="BZ38" s="895"/>
      <c r="CA38" s="911"/>
      <c r="CB38" s="4149"/>
      <c r="CC38" s="4150"/>
      <c r="CD38" s="998"/>
      <c r="CE38" s="949"/>
      <c r="CF38" s="949"/>
      <c r="CG38" s="949"/>
      <c r="CH38" s="949"/>
      <c r="CI38" s="949"/>
      <c r="CJ38" s="949"/>
      <c r="CK38" s="949"/>
      <c r="CL38" s="949"/>
      <c r="CM38" s="949"/>
      <c r="CN38" s="949"/>
      <c r="CO38" s="949"/>
      <c r="CP38" s="870"/>
      <c r="CQ38" s="4151"/>
      <c r="CR38" s="4152"/>
      <c r="CS38" s="4153"/>
      <c r="CT38" s="4115" t="str">
        <f>IF(CQ38="","⇐ type選択","")</f>
        <v>⇐ type選択</v>
      </c>
      <c r="CU38" s="4116"/>
      <c r="CV38" s="4116"/>
      <c r="CW38" s="4116"/>
      <c r="CX38" s="4116"/>
      <c r="CY38" s="4116"/>
      <c r="CZ38" s="4116"/>
      <c r="DA38" s="995"/>
      <c r="DB38" s="869"/>
      <c r="DC38" s="869"/>
      <c r="DD38" s="1010"/>
      <c r="DE38" s="1009"/>
      <c r="DF38" s="1009"/>
      <c r="DG38" s="1009"/>
      <c r="DH38" s="1010"/>
      <c r="DI38" s="1010"/>
      <c r="DJ38" s="1010"/>
      <c r="DK38" s="1010"/>
      <c r="DL38" s="1056"/>
      <c r="DM38" s="1056"/>
      <c r="DN38" s="1056"/>
      <c r="DO38" s="1056"/>
      <c r="DP38" s="1056"/>
      <c r="DQ38" s="1056"/>
      <c r="DR38" s="1069"/>
      <c r="DS38" s="1068"/>
      <c r="DT38" s="1067"/>
      <c r="DU38" s="1067"/>
      <c r="DV38" s="1000"/>
      <c r="DW38" s="1000"/>
      <c r="DX38" s="1020"/>
      <c r="DY38" s="1020"/>
      <c r="DZ38" s="866"/>
    </row>
    <row r="39" spans="2:130" ht="6" customHeight="1" thickTop="1" thickBot="1">
      <c r="B39" s="889"/>
      <c r="C39" s="894"/>
      <c r="D39" s="894"/>
      <c r="E39" s="1081"/>
      <c r="F39" s="898"/>
      <c r="G39" s="897"/>
      <c r="H39" s="896"/>
      <c r="I39" s="896"/>
      <c r="J39" s="896"/>
      <c r="K39" s="896"/>
      <c r="L39" s="896"/>
      <c r="M39" s="896"/>
      <c r="N39" s="896"/>
      <c r="O39" s="896"/>
      <c r="P39" s="896"/>
      <c r="Q39" s="896"/>
      <c r="R39" s="895"/>
      <c r="S39" s="919"/>
      <c r="T39" s="894"/>
      <c r="U39" s="894"/>
      <c r="V39" s="894"/>
      <c r="W39" s="894"/>
      <c r="X39" s="894"/>
      <c r="Y39" s="894"/>
      <c r="Z39" s="894"/>
      <c r="AA39" s="931"/>
      <c r="AB39" s="898"/>
      <c r="AC39" s="897"/>
      <c r="AD39" s="896"/>
      <c r="AE39" s="896"/>
      <c r="AF39" s="895"/>
      <c r="AG39" s="919"/>
      <c r="AH39" s="894"/>
      <c r="AI39" s="894"/>
      <c r="AJ39" s="894"/>
      <c r="AK39" s="894"/>
      <c r="AL39" s="894"/>
      <c r="AM39" s="894"/>
      <c r="AN39" s="894"/>
      <c r="AO39" s="1077"/>
      <c r="AP39" s="1077"/>
      <c r="AQ39" s="894"/>
      <c r="AR39" s="894"/>
      <c r="AS39" s="894"/>
      <c r="AT39" s="894"/>
      <c r="AU39" s="894"/>
      <c r="AV39" s="894"/>
      <c r="AW39" s="1077"/>
      <c r="AX39" s="900"/>
      <c r="AY39" s="1080"/>
      <c r="AZ39" s="954"/>
      <c r="BA39" s="954"/>
      <c r="BB39" s="954"/>
      <c r="BC39" s="1079"/>
      <c r="BD39" s="954"/>
      <c r="BE39" s="954"/>
      <c r="BF39" s="954"/>
      <c r="BG39" s="954"/>
      <c r="BH39" s="964"/>
      <c r="BI39" s="894"/>
      <c r="BJ39" s="894"/>
      <c r="BK39" s="894"/>
      <c r="BL39" s="894"/>
      <c r="BM39" s="894"/>
      <c r="BN39" s="894"/>
      <c r="BO39" s="894"/>
      <c r="BP39" s="894"/>
      <c r="BQ39" s="900"/>
      <c r="BR39" s="899"/>
      <c r="BS39" s="954"/>
      <c r="BT39" s="954"/>
      <c r="BU39" s="954"/>
      <c r="BV39" s="954"/>
      <c r="BW39" s="954"/>
      <c r="BX39" s="954"/>
      <c r="BY39" s="954"/>
      <c r="BZ39" s="954"/>
      <c r="CA39" s="1078"/>
      <c r="CB39" s="1077"/>
      <c r="CC39" s="894"/>
      <c r="CD39" s="931"/>
      <c r="CE39" s="894"/>
      <c r="CF39" s="894"/>
      <c r="CG39" s="894"/>
      <c r="CH39" s="894"/>
      <c r="CI39" s="894"/>
      <c r="CJ39" s="894"/>
      <c r="CK39" s="894"/>
      <c r="CL39" s="894"/>
      <c r="CM39" s="894"/>
      <c r="CN39" s="894"/>
      <c r="CO39" s="894"/>
      <c r="CP39" s="870"/>
      <c r="CQ39" s="4154"/>
      <c r="CR39" s="4155"/>
      <c r="CS39" s="4156"/>
      <c r="CT39" s="4115"/>
      <c r="CU39" s="4116"/>
      <c r="CV39" s="4116"/>
      <c r="CW39" s="4116"/>
      <c r="CX39" s="4116"/>
      <c r="CY39" s="4116"/>
      <c r="CZ39" s="4116"/>
      <c r="DA39" s="869"/>
      <c r="DB39" s="869"/>
      <c r="DC39" s="869"/>
      <c r="DD39" s="1010"/>
      <c r="DE39" s="1010"/>
      <c r="DF39" s="1010"/>
      <c r="DG39" s="1010"/>
      <c r="DH39" s="1010"/>
      <c r="DI39" s="1010"/>
      <c r="DJ39" s="1010"/>
      <c r="DK39" s="1010"/>
      <c r="DL39" s="1056"/>
      <c r="DM39" s="1056"/>
      <c r="DN39" s="1056"/>
      <c r="DO39" s="1056"/>
      <c r="DP39" s="1056"/>
      <c r="DQ39" s="1056"/>
      <c r="DR39" s="1055"/>
      <c r="DS39" s="1054"/>
      <c r="DT39" s="1053"/>
      <c r="DU39" s="1053"/>
      <c r="DV39" s="1000"/>
      <c r="DW39" s="1000"/>
      <c r="DX39" s="1000"/>
      <c r="DY39" s="1000"/>
      <c r="DZ39" s="866"/>
    </row>
    <row r="40" spans="2:130" ht="6" customHeight="1" thickTop="1">
      <c r="B40" s="889"/>
      <c r="C40" s="894"/>
      <c r="D40" s="894"/>
      <c r="E40" s="894"/>
      <c r="F40" s="900"/>
      <c r="G40" s="899"/>
      <c r="H40" s="928"/>
      <c r="I40" s="928"/>
      <c r="J40" s="928"/>
      <c r="K40" s="928"/>
      <c r="L40" s="928"/>
      <c r="M40" s="928"/>
      <c r="N40" s="928"/>
      <c r="O40" s="928"/>
      <c r="P40" s="928"/>
      <c r="Q40" s="928"/>
      <c r="R40" s="928"/>
      <c r="S40" s="894"/>
      <c r="T40" s="894"/>
      <c r="U40" s="894"/>
      <c r="V40" s="894"/>
      <c r="W40" s="894"/>
      <c r="X40" s="894"/>
      <c r="Y40" s="894"/>
      <c r="Z40" s="894"/>
      <c r="AA40" s="1077"/>
      <c r="AB40" s="900"/>
      <c r="AC40" s="899"/>
      <c r="AD40" s="894"/>
      <c r="AE40" s="894"/>
      <c r="AF40" s="894"/>
      <c r="AG40" s="894"/>
      <c r="AH40" s="894"/>
      <c r="AI40" s="894"/>
      <c r="AJ40" s="894"/>
      <c r="AK40" s="894"/>
      <c r="AL40" s="894"/>
      <c r="AM40" s="894"/>
      <c r="AN40" s="894"/>
      <c r="AO40" s="894"/>
      <c r="AP40" s="894"/>
      <c r="AQ40" s="894"/>
      <c r="AR40" s="894"/>
      <c r="AS40" s="894"/>
      <c r="AT40" s="894"/>
      <c r="AU40" s="894"/>
      <c r="AV40" s="894"/>
      <c r="AW40" s="894"/>
      <c r="AX40" s="894"/>
      <c r="AY40" s="1076"/>
      <c r="AZ40" s="4158" t="s">
        <v>1379</v>
      </c>
      <c r="BA40" s="4158"/>
      <c r="BB40" s="4158"/>
      <c r="BC40" s="1075"/>
      <c r="BD40" s="4158" t="s">
        <v>1378</v>
      </c>
      <c r="BE40" s="4158"/>
      <c r="BF40" s="1074"/>
      <c r="BG40" s="936"/>
      <c r="BH40" s="964"/>
      <c r="BI40" s="894"/>
      <c r="BJ40" s="894"/>
      <c r="BK40" s="894"/>
      <c r="BL40" s="894"/>
      <c r="BM40" s="996"/>
      <c r="BN40" s="996"/>
      <c r="BO40" s="1072"/>
      <c r="BP40" s="894"/>
      <c r="BQ40" s="894"/>
      <c r="BR40" s="1075"/>
      <c r="BS40" s="1074"/>
      <c r="BT40" s="1074"/>
      <c r="BU40" s="4158" t="s">
        <v>1377</v>
      </c>
      <c r="BV40" s="4158"/>
      <c r="BW40" s="1074"/>
      <c r="BX40" s="1074"/>
      <c r="BY40" s="1073"/>
      <c r="BZ40" s="936"/>
      <c r="CA40" s="964"/>
      <c r="CB40" s="894"/>
      <c r="CC40" s="894"/>
      <c r="CD40" s="931"/>
      <c r="CE40" s="894"/>
      <c r="CF40" s="894"/>
      <c r="CG40" s="894"/>
      <c r="CH40" s="894"/>
      <c r="CI40" s="894"/>
      <c r="CJ40" s="894"/>
      <c r="CK40" s="894"/>
      <c r="CL40" s="894"/>
      <c r="CM40" s="894"/>
      <c r="CN40" s="894"/>
      <c r="CO40" s="894"/>
      <c r="CP40" s="870"/>
      <c r="CQ40" s="4117" t="str">
        <f>IF(CQ38="","","n=")</f>
        <v/>
      </c>
      <c r="CR40" s="4117"/>
      <c r="CS40" s="4117"/>
      <c r="CT40" s="4118" t="b">
        <f>IF(CQ38="C1",DV26,IF(CQ38="C2",DV28,IF(CQ38="C3",DV30,IF(CQ38="C4",DV32))))</f>
        <v>0</v>
      </c>
      <c r="CU40" s="4118"/>
      <c r="CV40" s="4118"/>
      <c r="CW40" s="4118"/>
      <c r="CX40" s="869"/>
      <c r="CY40" s="869"/>
      <c r="CZ40" s="869"/>
      <c r="DA40" s="869"/>
      <c r="DB40" s="1014"/>
      <c r="DC40" s="1014"/>
      <c r="DD40" s="1014"/>
      <c r="DE40" s="1014"/>
      <c r="DF40" s="1010"/>
      <c r="DG40" s="1010"/>
      <c r="DH40" s="1010"/>
      <c r="DI40" s="1010"/>
      <c r="DJ40" s="1057"/>
      <c r="DK40" s="1057"/>
      <c r="DL40" s="1056"/>
      <c r="DM40" s="1056"/>
      <c r="DN40" s="1056"/>
      <c r="DO40" s="1056"/>
      <c r="DP40" s="1056"/>
      <c r="DQ40" s="1056"/>
      <c r="DR40" s="1069"/>
      <c r="DS40" s="1068"/>
      <c r="DT40" s="1067"/>
      <c r="DU40" s="1067"/>
      <c r="DV40" s="1000"/>
      <c r="DW40" s="1000"/>
      <c r="DX40" s="1000"/>
      <c r="DY40" s="1000"/>
      <c r="DZ40" s="866"/>
    </row>
    <row r="41" spans="2:130" ht="6" customHeight="1">
      <c r="B41" s="889"/>
      <c r="C41" s="894"/>
      <c r="D41" s="894"/>
      <c r="E41" s="894"/>
      <c r="F41" s="894"/>
      <c r="G41" s="894"/>
      <c r="H41" s="894"/>
      <c r="I41" s="894"/>
      <c r="J41" s="894"/>
      <c r="K41" s="894"/>
      <c r="L41" s="894"/>
      <c r="M41" s="894"/>
      <c r="N41" s="894"/>
      <c r="O41" s="894"/>
      <c r="P41" s="894"/>
      <c r="Q41" s="894"/>
      <c r="R41" s="894"/>
      <c r="S41" s="894"/>
      <c r="T41" s="894"/>
      <c r="U41" s="894"/>
      <c r="V41" s="894"/>
      <c r="W41" s="894"/>
      <c r="X41" s="894"/>
      <c r="Y41" s="894"/>
      <c r="Z41" s="894"/>
      <c r="AA41" s="894"/>
      <c r="AB41" s="894"/>
      <c r="AC41" s="894"/>
      <c r="AD41" s="894"/>
      <c r="AE41" s="894"/>
      <c r="AF41" s="894"/>
      <c r="AG41" s="894"/>
      <c r="AH41" s="894"/>
      <c r="AI41" s="894"/>
      <c r="AJ41" s="894"/>
      <c r="AK41" s="894"/>
      <c r="AL41" s="894"/>
      <c r="AM41" s="894"/>
      <c r="AN41" s="894"/>
      <c r="AO41" s="894"/>
      <c r="AP41" s="894"/>
      <c r="AQ41" s="894"/>
      <c r="AR41" s="894"/>
      <c r="AS41" s="894"/>
      <c r="AT41" s="894"/>
      <c r="AU41" s="894"/>
      <c r="AV41" s="894"/>
      <c r="AW41" s="894"/>
      <c r="AX41" s="894"/>
      <c r="AY41" s="894"/>
      <c r="AZ41" s="4150"/>
      <c r="BA41" s="4150"/>
      <c r="BB41" s="4150"/>
      <c r="BC41" s="894"/>
      <c r="BD41" s="4150"/>
      <c r="BE41" s="4150"/>
      <c r="BF41" s="996"/>
      <c r="BG41" s="894"/>
      <c r="BH41" s="894"/>
      <c r="BI41" s="894"/>
      <c r="BJ41" s="894"/>
      <c r="BK41" s="894"/>
      <c r="BL41" s="894"/>
      <c r="BM41" s="996"/>
      <c r="BN41" s="996"/>
      <c r="BO41" s="1072"/>
      <c r="BP41" s="894"/>
      <c r="BQ41" s="894"/>
      <c r="BR41" s="894"/>
      <c r="BS41" s="996"/>
      <c r="BT41" s="996"/>
      <c r="BU41" s="4150"/>
      <c r="BV41" s="4150"/>
      <c r="BW41" s="996"/>
      <c r="BX41" s="996"/>
      <c r="BY41" s="1072"/>
      <c r="BZ41" s="894"/>
      <c r="CA41" s="894"/>
      <c r="CB41" s="894"/>
      <c r="CC41" s="894"/>
      <c r="CD41" s="931"/>
      <c r="CE41" s="894"/>
      <c r="CF41" s="894"/>
      <c r="CG41" s="894"/>
      <c r="CH41" s="894"/>
      <c r="CI41" s="894"/>
      <c r="CJ41" s="894"/>
      <c r="CK41" s="894"/>
      <c r="CL41" s="894"/>
      <c r="CM41" s="894"/>
      <c r="CN41" s="894"/>
      <c r="CO41" s="894"/>
      <c r="CP41" s="870"/>
      <c r="CQ41" s="4117"/>
      <c r="CR41" s="4117"/>
      <c r="CS41" s="4117"/>
      <c r="CT41" s="4118"/>
      <c r="CU41" s="4118"/>
      <c r="CV41" s="4118"/>
      <c r="CW41" s="4118"/>
      <c r="CX41" s="869"/>
      <c r="CY41" s="869"/>
      <c r="CZ41" s="869"/>
      <c r="DA41" s="869"/>
      <c r="DB41" s="1014"/>
      <c r="DC41" s="1014"/>
      <c r="DD41" s="1014"/>
      <c r="DE41" s="1014"/>
      <c r="DF41" s="1010"/>
      <c r="DG41" s="1010"/>
      <c r="DH41" s="1010"/>
      <c r="DI41" s="1010"/>
      <c r="DJ41" s="1071"/>
      <c r="DK41" s="1071"/>
      <c r="DL41" s="1056"/>
      <c r="DM41" s="1056"/>
      <c r="DN41" s="1056"/>
      <c r="DO41" s="1056"/>
      <c r="DP41" s="1056"/>
      <c r="DQ41" s="1056"/>
      <c r="DR41" s="1055"/>
      <c r="DS41" s="1054"/>
      <c r="DT41" s="1053"/>
      <c r="DU41" s="1053"/>
      <c r="DV41" s="1000"/>
      <c r="DW41" s="1000"/>
      <c r="DX41" s="1000"/>
      <c r="DY41" s="1000"/>
      <c r="DZ41" s="866"/>
    </row>
    <row r="42" spans="2:130" ht="7.5" customHeight="1" thickBot="1">
      <c r="B42" s="889"/>
      <c r="C42" s="1006"/>
      <c r="D42" s="1006"/>
      <c r="E42" s="1066"/>
      <c r="F42" s="1016" t="s">
        <v>1462</v>
      </c>
      <c r="G42" s="1013"/>
      <c r="H42" s="873"/>
      <c r="I42" s="1013"/>
      <c r="J42" s="1013"/>
      <c r="K42" s="1013"/>
      <c r="L42" s="873"/>
      <c r="M42" s="1013"/>
      <c r="N42" s="1013"/>
      <c r="O42" s="1013"/>
      <c r="P42" s="873"/>
      <c r="Q42" s="873"/>
      <c r="R42" s="873"/>
      <c r="S42" s="873"/>
      <c r="T42" s="873"/>
      <c r="U42" s="873"/>
      <c r="V42" s="873"/>
      <c r="W42" s="873"/>
      <c r="X42" s="873"/>
      <c r="Y42" s="873"/>
      <c r="Z42" s="873"/>
      <c r="AA42" s="873"/>
      <c r="AB42" s="1016" t="s">
        <v>1462</v>
      </c>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1016" t="s">
        <v>1461</v>
      </c>
      <c r="AY42" s="1016"/>
      <c r="AZ42" s="873"/>
      <c r="BA42" s="986"/>
      <c r="BB42" s="986"/>
      <c r="BC42" s="986"/>
      <c r="BD42" s="873"/>
      <c r="BE42" s="986"/>
      <c r="BF42" s="986"/>
      <c r="BG42" s="986"/>
      <c r="BH42" s="873"/>
      <c r="BI42" s="873"/>
      <c r="BJ42" s="873"/>
      <c r="BK42" s="873"/>
      <c r="BL42" s="873"/>
      <c r="BM42" s="986"/>
      <c r="BN42" s="986"/>
      <c r="BO42" s="1062"/>
      <c r="BP42" s="873"/>
      <c r="BQ42" s="1016" t="s">
        <v>1460</v>
      </c>
      <c r="BR42" s="873"/>
      <c r="BS42" s="986"/>
      <c r="BT42" s="986"/>
      <c r="BU42" s="1062"/>
      <c r="BV42" s="1059"/>
      <c r="BW42" s="1070"/>
      <c r="BX42" s="1070"/>
      <c r="BY42" s="1060"/>
      <c r="BZ42" s="1059"/>
      <c r="CA42" s="1059"/>
      <c r="CB42" s="1059"/>
      <c r="CC42" s="1059"/>
      <c r="CD42" s="1058"/>
      <c r="CE42" s="1006"/>
      <c r="CF42" s="1006"/>
      <c r="CG42" s="1006"/>
      <c r="CH42" s="1006"/>
      <c r="CI42" s="1006"/>
      <c r="CJ42" s="1006"/>
      <c r="CK42" s="1006"/>
      <c r="CL42" s="1006"/>
      <c r="CM42" s="1006"/>
      <c r="CN42" s="1006"/>
      <c r="CO42" s="1006"/>
      <c r="CP42" s="1042"/>
      <c r="CQ42" s="869"/>
      <c r="CR42" s="869"/>
      <c r="CS42" s="869"/>
      <c r="CT42" s="869"/>
      <c r="CU42" s="869"/>
      <c r="CV42" s="1041"/>
      <c r="CW42" s="869"/>
      <c r="CX42" s="869"/>
      <c r="CY42" s="869"/>
      <c r="CZ42" s="869"/>
      <c r="DA42" s="869"/>
      <c r="DB42" s="869"/>
      <c r="DC42" s="869"/>
      <c r="DD42" s="869"/>
      <c r="DE42" s="1010"/>
      <c r="DF42" s="1010"/>
      <c r="DG42" s="1010"/>
      <c r="DH42" s="1010"/>
      <c r="DI42" s="1010"/>
      <c r="DJ42" s="1057"/>
      <c r="DK42" s="1057"/>
      <c r="DL42" s="1056"/>
      <c r="DM42" s="1056"/>
      <c r="DN42" s="1056"/>
      <c r="DO42" s="1056"/>
      <c r="DP42" s="1056"/>
      <c r="DQ42" s="1056"/>
      <c r="DR42" s="1069"/>
      <c r="DS42" s="1068"/>
      <c r="DT42" s="1067"/>
      <c r="DU42" s="1067"/>
      <c r="DV42" s="866"/>
      <c r="DW42" s="866"/>
      <c r="DX42" s="866"/>
      <c r="DY42" s="866"/>
      <c r="DZ42" s="866"/>
    </row>
    <row r="43" spans="2:130" ht="7.5" customHeight="1">
      <c r="B43" s="889"/>
      <c r="C43" s="1006"/>
      <c r="D43" s="1006"/>
      <c r="E43" s="1066" t="s">
        <v>1459</v>
      </c>
      <c r="F43" s="874" t="s">
        <v>1458</v>
      </c>
      <c r="G43" s="1013"/>
      <c r="H43" s="873"/>
      <c r="I43" s="1013"/>
      <c r="J43" s="1013"/>
      <c r="K43" s="1013"/>
      <c r="L43" s="873"/>
      <c r="M43" s="1013"/>
      <c r="N43" s="1013"/>
      <c r="O43" s="1013"/>
      <c r="P43" s="873"/>
      <c r="Q43" s="873"/>
      <c r="R43" s="873"/>
      <c r="S43" s="873"/>
      <c r="T43" s="873"/>
      <c r="U43" s="873"/>
      <c r="V43" s="873"/>
      <c r="W43" s="873"/>
      <c r="X43" s="873"/>
      <c r="Y43" s="873"/>
      <c r="Z43" s="873"/>
      <c r="AA43" s="873"/>
      <c r="AB43" s="874" t="s">
        <v>1457</v>
      </c>
      <c r="AC43" s="873"/>
      <c r="AD43" s="873"/>
      <c r="AE43" s="873"/>
      <c r="AF43" s="873"/>
      <c r="AG43" s="873"/>
      <c r="AH43" s="873"/>
      <c r="AI43" s="873"/>
      <c r="AJ43" s="873"/>
      <c r="AK43" s="873"/>
      <c r="AL43" s="873"/>
      <c r="AM43" s="873"/>
      <c r="AN43" s="873"/>
      <c r="AO43" s="873"/>
      <c r="AP43" s="873"/>
      <c r="AQ43" s="873"/>
      <c r="AR43" s="873"/>
      <c r="AS43" s="873"/>
      <c r="AT43" s="873"/>
      <c r="AU43" s="873"/>
      <c r="AV43" s="873"/>
      <c r="AW43" s="873"/>
      <c r="AX43" s="874" t="s">
        <v>1456</v>
      </c>
      <c r="AY43" s="1065"/>
      <c r="AZ43" s="873"/>
      <c r="BA43" s="1063"/>
      <c r="BB43" s="1063"/>
      <c r="BC43" s="1063"/>
      <c r="BD43" s="873"/>
      <c r="BE43" s="1064"/>
      <c r="BF43" s="1064"/>
      <c r="BG43" s="1064"/>
      <c r="BH43" s="873"/>
      <c r="BI43" s="873"/>
      <c r="BJ43" s="873"/>
      <c r="BK43" s="873"/>
      <c r="BL43" s="873"/>
      <c r="BM43" s="986"/>
      <c r="BN43" s="986"/>
      <c r="BO43" s="1062"/>
      <c r="BP43" s="873"/>
      <c r="BQ43" s="874" t="s">
        <v>1455</v>
      </c>
      <c r="BR43" s="873"/>
      <c r="BS43" s="1063"/>
      <c r="BT43" s="1063"/>
      <c r="BU43" s="1062"/>
      <c r="BV43" s="1059"/>
      <c r="BW43" s="1061"/>
      <c r="BX43" s="1061"/>
      <c r="BY43" s="1060"/>
      <c r="BZ43" s="1059"/>
      <c r="CA43" s="1059"/>
      <c r="CB43" s="1059"/>
      <c r="CC43" s="1059"/>
      <c r="CD43" s="1058"/>
      <c r="CE43" s="1006"/>
      <c r="CF43" s="1006"/>
      <c r="CG43" s="1006"/>
      <c r="CH43" s="1006"/>
      <c r="CI43" s="1006"/>
      <c r="CJ43" s="1006"/>
      <c r="CK43" s="1006"/>
      <c r="CL43" s="1006"/>
      <c r="CM43" s="1006"/>
      <c r="CN43" s="1006"/>
      <c r="CO43" s="1006"/>
      <c r="CP43" s="1042"/>
      <c r="CQ43" s="4061" t="s">
        <v>1383</v>
      </c>
      <c r="CR43" s="4062"/>
      <c r="CS43" s="4062"/>
      <c r="CT43" s="4062"/>
      <c r="CU43" s="4063"/>
      <c r="CV43" s="1041"/>
      <c r="CW43" s="1041"/>
      <c r="CX43" s="869"/>
      <c r="CY43" s="869"/>
      <c r="CZ43" s="869"/>
      <c r="DA43" s="869"/>
      <c r="DB43" s="869"/>
      <c r="DC43" s="869"/>
      <c r="DD43" s="869"/>
      <c r="DE43" s="1010"/>
      <c r="DF43" s="1010"/>
      <c r="DG43" s="1010"/>
      <c r="DH43" s="1010"/>
      <c r="DI43" s="1010"/>
      <c r="DJ43" s="1057"/>
      <c r="DK43" s="1057"/>
      <c r="DL43" s="1056"/>
      <c r="DM43" s="1056"/>
      <c r="DN43" s="1056"/>
      <c r="DO43" s="1056"/>
      <c r="DP43" s="1056"/>
      <c r="DQ43" s="1056"/>
      <c r="DR43" s="1055"/>
      <c r="DS43" s="1054"/>
      <c r="DT43" s="1053"/>
      <c r="DU43" s="1053"/>
      <c r="DV43" s="866"/>
      <c r="DW43" s="866"/>
      <c r="DX43" s="866"/>
      <c r="DY43" s="866"/>
      <c r="DZ43" s="866"/>
    </row>
    <row r="44" spans="2:130" ht="7.5" customHeight="1" thickBot="1">
      <c r="B44" s="1052"/>
      <c r="C44" s="1044"/>
      <c r="D44" s="1044"/>
      <c r="E44" s="1051"/>
      <c r="F44" s="1050"/>
      <c r="G44" s="1051"/>
      <c r="H44" s="1044"/>
      <c r="I44" s="1051"/>
      <c r="J44" s="1051"/>
      <c r="K44" s="1051"/>
      <c r="L44" s="1044"/>
      <c r="M44" s="1051"/>
      <c r="N44" s="1051"/>
      <c r="O44" s="1051"/>
      <c r="P44" s="1044"/>
      <c r="Q44" s="1044"/>
      <c r="R44" s="1044"/>
      <c r="S44" s="1044"/>
      <c r="T44" s="1044"/>
      <c r="U44" s="1044"/>
      <c r="V44" s="1044"/>
      <c r="W44" s="1044"/>
      <c r="X44" s="1044"/>
      <c r="Y44" s="1044"/>
      <c r="Z44" s="1044"/>
      <c r="AA44" s="1044"/>
      <c r="AB44" s="1050"/>
      <c r="AC44" s="1044"/>
      <c r="AD44" s="1044"/>
      <c r="AE44" s="1044"/>
      <c r="AF44" s="1044"/>
      <c r="AG44" s="1044"/>
      <c r="AH44" s="1044"/>
      <c r="AI44" s="1044"/>
      <c r="AJ44" s="1044"/>
      <c r="AK44" s="1044"/>
      <c r="AL44" s="1044"/>
      <c r="AM44" s="1044"/>
      <c r="AN44" s="1044"/>
      <c r="AO44" s="1044"/>
      <c r="AP44" s="1044"/>
      <c r="AQ44" s="1044"/>
      <c r="AR44" s="1044"/>
      <c r="AS44" s="1044"/>
      <c r="AT44" s="1044"/>
      <c r="AU44" s="1044"/>
      <c r="AV44" s="1044"/>
      <c r="AW44" s="1044"/>
      <c r="AX44" s="1047"/>
      <c r="AY44" s="1047"/>
      <c r="AZ44" s="1044"/>
      <c r="BA44" s="1046"/>
      <c r="BB44" s="1046"/>
      <c r="BC44" s="1046"/>
      <c r="BD44" s="1044"/>
      <c r="BE44" s="1049"/>
      <c r="BF44" s="1049"/>
      <c r="BG44" s="1049"/>
      <c r="BH44" s="1044"/>
      <c r="BI44" s="1044"/>
      <c r="BJ44" s="1044"/>
      <c r="BK44" s="1044"/>
      <c r="BL44" s="1044"/>
      <c r="BM44" s="1048"/>
      <c r="BN44" s="1048"/>
      <c r="BO44" s="1045"/>
      <c r="BP44" s="1044"/>
      <c r="BQ44" s="1047"/>
      <c r="BR44" s="1044"/>
      <c r="BS44" s="1046"/>
      <c r="BT44" s="1046"/>
      <c r="BU44" s="1045"/>
      <c r="BV44" s="1044"/>
      <c r="BW44" s="1046"/>
      <c r="BX44" s="1046"/>
      <c r="BY44" s="1045"/>
      <c r="BZ44" s="1044"/>
      <c r="CA44" s="1044"/>
      <c r="CB44" s="1044"/>
      <c r="CC44" s="1044"/>
      <c r="CD44" s="1043"/>
      <c r="CE44" s="1006"/>
      <c r="CF44" s="1006"/>
      <c r="CG44" s="1006"/>
      <c r="CH44" s="1006"/>
      <c r="CI44" s="1006"/>
      <c r="CJ44" s="1006"/>
      <c r="CK44" s="1006"/>
      <c r="CL44" s="1006"/>
      <c r="CM44" s="1006"/>
      <c r="CN44" s="1006"/>
      <c r="CO44" s="1006"/>
      <c r="CP44" s="1042"/>
      <c r="CQ44" s="4064"/>
      <c r="CR44" s="4065"/>
      <c r="CS44" s="4065"/>
      <c r="CT44" s="4065"/>
      <c r="CU44" s="4066"/>
      <c r="CV44" s="1041"/>
      <c r="CW44" s="1041"/>
      <c r="CX44" s="978"/>
      <c r="CY44" s="978"/>
      <c r="CZ44" s="978"/>
      <c r="DA44" s="978"/>
      <c r="DB44" s="978"/>
      <c r="DC44" s="978"/>
      <c r="DD44" s="978"/>
      <c r="DE44" s="1004"/>
      <c r="DF44" s="1004"/>
      <c r="DG44" s="1004"/>
      <c r="DH44" s="1004"/>
      <c r="DI44" s="1004"/>
      <c r="DJ44" s="1040"/>
      <c r="DK44" s="1040"/>
      <c r="DL44" s="1040"/>
      <c r="DM44" s="1004"/>
      <c r="DN44" s="1004"/>
      <c r="DO44" s="1004"/>
      <c r="DP44" s="1040"/>
      <c r="DQ44" s="1040"/>
      <c r="DR44" s="1039"/>
      <c r="DS44" s="1038"/>
      <c r="DT44" s="1000"/>
      <c r="DU44" s="1000"/>
      <c r="DV44" s="866"/>
      <c r="DW44" s="866"/>
      <c r="DX44" s="866"/>
      <c r="DY44" s="866"/>
      <c r="DZ44" s="866"/>
    </row>
    <row r="45" spans="2:130" ht="6" customHeight="1">
      <c r="B45" s="889"/>
      <c r="C45" s="871"/>
      <c r="D45" s="871"/>
      <c r="E45" s="871"/>
      <c r="F45" s="871"/>
      <c r="G45" s="871"/>
      <c r="H45" s="871"/>
      <c r="I45" s="871"/>
      <c r="J45" s="871"/>
      <c r="K45" s="871"/>
      <c r="L45" s="871"/>
      <c r="M45" s="871"/>
      <c r="N45" s="871"/>
      <c r="O45" s="871"/>
      <c r="P45" s="871"/>
      <c r="Q45" s="871"/>
      <c r="R45" s="871"/>
      <c r="S45" s="871"/>
      <c r="T45" s="871"/>
      <c r="U45" s="871"/>
      <c r="V45" s="871"/>
      <c r="W45" s="871"/>
      <c r="X45" s="871"/>
      <c r="Y45" s="871"/>
      <c r="Z45" s="871"/>
      <c r="AA45" s="871"/>
      <c r="AB45" s="871"/>
      <c r="AC45" s="871"/>
      <c r="AD45" s="871"/>
      <c r="AE45" s="871"/>
      <c r="AF45" s="871"/>
      <c r="AG45" s="871"/>
      <c r="AH45" s="871"/>
      <c r="AI45" s="871"/>
      <c r="AJ45" s="871"/>
      <c r="AK45" s="871"/>
      <c r="AL45" s="871"/>
      <c r="AM45" s="871"/>
      <c r="AN45" s="871"/>
      <c r="AO45" s="871"/>
      <c r="AP45" s="871"/>
      <c r="AQ45" s="871"/>
      <c r="AR45" s="871"/>
      <c r="AS45" s="871"/>
      <c r="AT45" s="871"/>
      <c r="AU45" s="871"/>
      <c r="AV45" s="871"/>
      <c r="AW45" s="871"/>
      <c r="AX45" s="871"/>
      <c r="AY45" s="871"/>
      <c r="AZ45" s="871"/>
      <c r="BA45" s="871"/>
      <c r="BB45" s="871"/>
      <c r="BC45" s="871"/>
      <c r="BD45" s="871"/>
      <c r="BE45" s="871"/>
      <c r="BF45" s="871"/>
      <c r="BG45" s="871"/>
      <c r="BH45" s="871"/>
      <c r="BI45" s="871"/>
      <c r="BJ45" s="871"/>
      <c r="BK45" s="871"/>
      <c r="BL45" s="871"/>
      <c r="BM45" s="871"/>
      <c r="BN45" s="871"/>
      <c r="BO45" s="871"/>
      <c r="BP45" s="871"/>
      <c r="BQ45" s="871"/>
      <c r="BR45" s="871"/>
      <c r="BS45" s="871"/>
      <c r="BT45" s="871"/>
      <c r="BU45" s="871"/>
      <c r="BV45" s="871"/>
      <c r="BW45" s="871"/>
      <c r="BX45" s="871"/>
      <c r="BY45" s="871"/>
      <c r="BZ45" s="871"/>
      <c r="CA45" s="871"/>
      <c r="CB45" s="871"/>
      <c r="CC45" s="871"/>
      <c r="CD45" s="888"/>
      <c r="CE45" s="871"/>
      <c r="CF45" s="871"/>
      <c r="CG45" s="871"/>
      <c r="CH45" s="871"/>
      <c r="CI45" s="871"/>
      <c r="CJ45" s="871"/>
      <c r="CK45" s="871"/>
      <c r="CL45" s="871"/>
      <c r="CM45" s="871"/>
      <c r="CN45" s="871"/>
      <c r="CO45" s="871"/>
      <c r="CP45" s="1037"/>
      <c r="CQ45" s="973"/>
      <c r="CR45" s="973"/>
      <c r="CS45" s="973"/>
      <c r="CT45" s="4166" t="s">
        <v>1450</v>
      </c>
      <c r="CU45" s="4166"/>
      <c r="CV45" s="4166"/>
      <c r="CW45" s="4166"/>
      <c r="CX45" s="4165" t="s">
        <v>1449</v>
      </c>
      <c r="CY45" s="4165"/>
      <c r="CZ45" s="4165"/>
      <c r="DA45" s="4165"/>
      <c r="DB45" s="4165" t="s">
        <v>1448</v>
      </c>
      <c r="DC45" s="4165"/>
      <c r="DD45" s="4165"/>
      <c r="DE45" s="4165"/>
      <c r="DF45" s="4165" t="s">
        <v>1447</v>
      </c>
      <c r="DG45" s="4165"/>
      <c r="DH45" s="4165"/>
      <c r="DI45" s="4165"/>
      <c r="DJ45" s="995"/>
      <c r="DK45" s="995"/>
      <c r="DL45" s="995"/>
      <c r="DM45" s="995"/>
      <c r="DN45" s="995"/>
      <c r="DO45" s="995"/>
      <c r="DP45" s="995"/>
      <c r="DQ45" s="995"/>
      <c r="DR45" s="1036"/>
      <c r="DS45" s="867"/>
      <c r="DT45" s="866"/>
      <c r="DU45" s="866"/>
      <c r="DV45" s="866"/>
      <c r="DW45" s="866"/>
      <c r="DX45" s="866"/>
      <c r="DY45" s="866"/>
      <c r="DZ45" s="866"/>
    </row>
    <row r="46" spans="2:130" ht="6" customHeight="1">
      <c r="B46" s="889"/>
      <c r="C46" s="871"/>
      <c r="D46" s="871"/>
      <c r="E46" s="871"/>
      <c r="F46" s="871"/>
      <c r="G46" s="871"/>
      <c r="H46" s="871"/>
      <c r="I46" s="871"/>
      <c r="J46" s="871"/>
      <c r="K46" s="4047" t="s">
        <v>1454</v>
      </c>
      <c r="L46" s="4047"/>
      <c r="M46" s="4047"/>
      <c r="N46" s="4047"/>
      <c r="O46" s="4046" t="s">
        <v>1384</v>
      </c>
      <c r="P46" s="4046"/>
      <c r="Q46" s="4046"/>
      <c r="R46" s="4046"/>
      <c r="S46" s="871"/>
      <c r="T46" s="871"/>
      <c r="U46" s="871"/>
      <c r="V46" s="871"/>
      <c r="W46" s="871"/>
      <c r="X46" s="871"/>
      <c r="Y46" s="871"/>
      <c r="Z46" s="871"/>
      <c r="AA46" s="871"/>
      <c r="AB46" s="871"/>
      <c r="AC46" s="871"/>
      <c r="AD46" s="871"/>
      <c r="AE46" s="871"/>
      <c r="AF46" s="871"/>
      <c r="AG46" s="4047" t="s">
        <v>1453</v>
      </c>
      <c r="AH46" s="4047"/>
      <c r="AI46" s="4047"/>
      <c r="AJ46" s="4047"/>
      <c r="AK46" s="4046" t="s">
        <v>1384</v>
      </c>
      <c r="AL46" s="4046"/>
      <c r="AM46" s="4046"/>
      <c r="AN46" s="4046"/>
      <c r="AO46" s="871"/>
      <c r="AP46" s="871"/>
      <c r="AQ46" s="871"/>
      <c r="AR46" s="871"/>
      <c r="AS46" s="871"/>
      <c r="AT46" s="871"/>
      <c r="AU46" s="871"/>
      <c r="AV46" s="871"/>
      <c r="AW46" s="871"/>
      <c r="AX46" s="871"/>
      <c r="AY46" s="871"/>
      <c r="AZ46" s="4047" t="s">
        <v>1452</v>
      </c>
      <c r="BA46" s="4047"/>
      <c r="BB46" s="4047"/>
      <c r="BC46" s="4047"/>
      <c r="BD46" s="4046" t="s">
        <v>1384</v>
      </c>
      <c r="BE46" s="4046"/>
      <c r="BF46" s="4046"/>
      <c r="BG46" s="4046"/>
      <c r="BH46" s="871"/>
      <c r="BI46" s="871"/>
      <c r="BJ46" s="871"/>
      <c r="BK46" s="871"/>
      <c r="BL46" s="871"/>
      <c r="BM46" s="871"/>
      <c r="BN46" s="871"/>
      <c r="BO46" s="871"/>
      <c r="BP46" s="871"/>
      <c r="BQ46" s="871"/>
      <c r="BR46" s="871"/>
      <c r="BS46" s="871"/>
      <c r="BT46" s="4047" t="s">
        <v>1451</v>
      </c>
      <c r="BU46" s="4047"/>
      <c r="BV46" s="4047"/>
      <c r="BW46" s="4047"/>
      <c r="BX46" s="4046" t="s">
        <v>1384</v>
      </c>
      <c r="BY46" s="4046"/>
      <c r="BZ46" s="4046"/>
      <c r="CA46" s="4046"/>
      <c r="CB46" s="871"/>
      <c r="CC46" s="871"/>
      <c r="CD46" s="888"/>
      <c r="CE46" s="871"/>
      <c r="CF46" s="871"/>
      <c r="CG46" s="871"/>
      <c r="CH46" s="871"/>
      <c r="CI46" s="871"/>
      <c r="CJ46" s="871"/>
      <c r="CK46" s="871"/>
      <c r="CL46" s="871"/>
      <c r="CM46" s="871"/>
      <c r="CN46" s="871"/>
      <c r="CO46" s="871"/>
      <c r="CP46" s="1035"/>
      <c r="CQ46" s="972"/>
      <c r="CR46" s="972"/>
      <c r="CS46" s="972"/>
      <c r="CT46" s="4039"/>
      <c r="CU46" s="4039"/>
      <c r="CV46" s="4039"/>
      <c r="CW46" s="4039"/>
      <c r="CX46" s="4165"/>
      <c r="CY46" s="4165"/>
      <c r="CZ46" s="4165"/>
      <c r="DA46" s="4165"/>
      <c r="DB46" s="4165"/>
      <c r="DC46" s="4165"/>
      <c r="DD46" s="4165"/>
      <c r="DE46" s="4165"/>
      <c r="DF46" s="4165"/>
      <c r="DG46" s="4165"/>
      <c r="DH46" s="4165"/>
      <c r="DI46" s="4165"/>
      <c r="DJ46" s="869"/>
      <c r="DK46" s="869"/>
      <c r="DL46" s="1032"/>
      <c r="DM46" s="1032"/>
      <c r="DN46" s="1032"/>
      <c r="DO46" s="1032"/>
      <c r="DP46" s="1032"/>
      <c r="DQ46" s="1032"/>
      <c r="DR46" s="1031"/>
      <c r="DS46" s="1034"/>
      <c r="DT46" s="1033"/>
      <c r="DU46" s="1033"/>
      <c r="DV46" s="1033"/>
      <c r="DW46" s="866"/>
      <c r="DX46" s="866"/>
      <c r="DY46" s="866"/>
      <c r="DZ46" s="866"/>
    </row>
    <row r="47" spans="2:130" ht="6" customHeight="1">
      <c r="B47" s="889"/>
      <c r="C47" s="871"/>
      <c r="D47" s="871"/>
      <c r="E47" s="871"/>
      <c r="F47" s="871"/>
      <c r="G47" s="871"/>
      <c r="H47" s="871"/>
      <c r="I47" s="871"/>
      <c r="J47" s="871"/>
      <c r="K47" s="4047"/>
      <c r="L47" s="4047"/>
      <c r="M47" s="4047"/>
      <c r="N47" s="4047"/>
      <c r="O47" s="4046"/>
      <c r="P47" s="4046"/>
      <c r="Q47" s="4046"/>
      <c r="R47" s="4046"/>
      <c r="S47" s="871"/>
      <c r="T47" s="871"/>
      <c r="U47" s="871"/>
      <c r="V47" s="871"/>
      <c r="W47" s="871"/>
      <c r="X47" s="871"/>
      <c r="Y47" s="871"/>
      <c r="Z47" s="871"/>
      <c r="AA47" s="871"/>
      <c r="AB47" s="871"/>
      <c r="AC47" s="871"/>
      <c r="AD47" s="871"/>
      <c r="AE47" s="871"/>
      <c r="AF47" s="871"/>
      <c r="AG47" s="4047"/>
      <c r="AH47" s="4047"/>
      <c r="AI47" s="4047"/>
      <c r="AJ47" s="4047"/>
      <c r="AK47" s="4046"/>
      <c r="AL47" s="4046"/>
      <c r="AM47" s="4046"/>
      <c r="AN47" s="4046"/>
      <c r="AO47" s="871"/>
      <c r="AP47" s="871"/>
      <c r="AQ47" s="871"/>
      <c r="AR47" s="871"/>
      <c r="AS47" s="871"/>
      <c r="AT47" s="871"/>
      <c r="AU47" s="871"/>
      <c r="AV47" s="871"/>
      <c r="AW47" s="871"/>
      <c r="AX47" s="871"/>
      <c r="AY47" s="871"/>
      <c r="AZ47" s="4047"/>
      <c r="BA47" s="4047"/>
      <c r="BB47" s="4047"/>
      <c r="BC47" s="4047"/>
      <c r="BD47" s="4046"/>
      <c r="BE47" s="4046"/>
      <c r="BF47" s="4046"/>
      <c r="BG47" s="4046"/>
      <c r="BH47" s="871"/>
      <c r="BI47" s="871"/>
      <c r="BJ47" s="871"/>
      <c r="BK47" s="871"/>
      <c r="BL47" s="871"/>
      <c r="BM47" s="871"/>
      <c r="BN47" s="871"/>
      <c r="BO47" s="871"/>
      <c r="BP47" s="871"/>
      <c r="BQ47" s="871"/>
      <c r="BR47" s="871"/>
      <c r="BS47" s="871"/>
      <c r="BT47" s="4047"/>
      <c r="BU47" s="4047"/>
      <c r="BV47" s="4047"/>
      <c r="BW47" s="4047"/>
      <c r="BX47" s="4046"/>
      <c r="BY47" s="4046"/>
      <c r="BZ47" s="4046"/>
      <c r="CA47" s="4046"/>
      <c r="CB47" s="871"/>
      <c r="CC47" s="871"/>
      <c r="CD47" s="888"/>
      <c r="CE47" s="871"/>
      <c r="CF47" s="871"/>
      <c r="CG47" s="871"/>
      <c r="CH47" s="871"/>
      <c r="CI47" s="871"/>
      <c r="CJ47" s="871"/>
      <c r="CK47" s="871"/>
      <c r="CL47" s="871"/>
      <c r="CM47" s="871"/>
      <c r="CN47" s="871"/>
      <c r="CO47" s="871"/>
      <c r="CP47" s="870"/>
      <c r="CQ47" s="4078" t="s">
        <v>1379</v>
      </c>
      <c r="CR47" s="4078"/>
      <c r="CS47" s="4079" t="s">
        <v>1404</v>
      </c>
      <c r="CT47" s="4159"/>
      <c r="CU47" s="4160"/>
      <c r="CV47" s="4160"/>
      <c r="CW47" s="4161"/>
      <c r="CX47" s="4080"/>
      <c r="CY47" s="4081"/>
      <c r="CZ47" s="4081"/>
      <c r="DA47" s="4082"/>
      <c r="DB47" s="4080"/>
      <c r="DC47" s="4081"/>
      <c r="DD47" s="4081"/>
      <c r="DE47" s="4082"/>
      <c r="DF47" s="4080"/>
      <c r="DG47" s="4081"/>
      <c r="DH47" s="4081"/>
      <c r="DI47" s="4082"/>
      <c r="DJ47" s="869"/>
      <c r="DK47" s="869"/>
      <c r="DL47" s="1032"/>
      <c r="DM47" s="1032"/>
      <c r="DN47" s="1032"/>
      <c r="DO47" s="1032"/>
      <c r="DP47" s="1032"/>
      <c r="DQ47" s="1032"/>
      <c r="DR47" s="1031"/>
      <c r="DS47" s="4040" t="s">
        <v>1450</v>
      </c>
      <c r="DT47" s="4041"/>
      <c r="DU47" s="4042"/>
      <c r="DV47" s="4086" t="str">
        <f>IF(DV48&gt;=1,DV48,1/DV48)</f>
        <v/>
      </c>
      <c r="DW47" s="4087"/>
      <c r="DX47" s="4087"/>
      <c r="DY47" s="4088"/>
      <c r="DZ47" s="866"/>
    </row>
    <row r="48" spans="2:130" ht="6" customHeight="1">
      <c r="B48" s="889"/>
      <c r="C48" s="894"/>
      <c r="D48" s="894"/>
      <c r="E48" s="894"/>
      <c r="F48" s="894"/>
      <c r="G48" s="4138" t="s">
        <v>1379</v>
      </c>
      <c r="H48" s="4138"/>
      <c r="I48" s="4138"/>
      <c r="J48" s="1030"/>
      <c r="K48" s="4138" t="s">
        <v>1378</v>
      </c>
      <c r="L48" s="4138"/>
      <c r="M48" s="4138"/>
      <c r="N48" s="1030"/>
      <c r="O48" s="4138" t="s">
        <v>1377</v>
      </c>
      <c r="P48" s="4138"/>
      <c r="Q48" s="4138"/>
      <c r="R48" s="894"/>
      <c r="S48" s="894"/>
      <c r="T48" s="894"/>
      <c r="U48" s="894"/>
      <c r="V48" s="894"/>
      <c r="W48" s="894"/>
      <c r="X48" s="894"/>
      <c r="Y48" s="894"/>
      <c r="Z48" s="894"/>
      <c r="AA48" s="894"/>
      <c r="AB48" s="894"/>
      <c r="AC48" s="4138" t="s">
        <v>1379</v>
      </c>
      <c r="AD48" s="4138"/>
      <c r="AE48" s="4138"/>
      <c r="AF48" s="1030"/>
      <c r="AG48" s="4138" t="s">
        <v>1378</v>
      </c>
      <c r="AH48" s="4138"/>
      <c r="AI48" s="4138"/>
      <c r="AJ48" s="1030"/>
      <c r="AK48" s="4138" t="s">
        <v>1377</v>
      </c>
      <c r="AL48" s="4138"/>
      <c r="AM48" s="4138"/>
      <c r="AN48" s="894"/>
      <c r="AO48" s="894"/>
      <c r="AP48" s="894"/>
      <c r="AQ48" s="894"/>
      <c r="AR48" s="894"/>
      <c r="AS48" s="894"/>
      <c r="AT48" s="971"/>
      <c r="AU48" s="894"/>
      <c r="AV48" s="894"/>
      <c r="AW48" s="4138" t="s">
        <v>1377</v>
      </c>
      <c r="AX48" s="4138"/>
      <c r="AY48" s="4138"/>
      <c r="AZ48" s="894"/>
      <c r="BA48" s="894"/>
      <c r="BB48" s="894"/>
      <c r="BC48" s="894"/>
      <c r="BD48" s="894"/>
      <c r="BE48" s="894"/>
      <c r="BF48" s="894"/>
      <c r="BG48" s="894"/>
      <c r="BH48" s="894"/>
      <c r="BI48" s="894"/>
      <c r="BJ48" s="894"/>
      <c r="BK48" s="894"/>
      <c r="BL48" s="894"/>
      <c r="BM48" s="971"/>
      <c r="BN48" s="894"/>
      <c r="BO48" s="894"/>
      <c r="BP48" s="894"/>
      <c r="BQ48" s="894"/>
      <c r="BR48" s="4076" t="s">
        <v>1377</v>
      </c>
      <c r="BS48" s="4076"/>
      <c r="BT48" s="4076"/>
      <c r="BU48" s="894"/>
      <c r="BV48" s="894"/>
      <c r="BW48" s="894"/>
      <c r="BX48" s="894"/>
      <c r="BY48" s="894"/>
      <c r="BZ48" s="894"/>
      <c r="CA48" s="894"/>
      <c r="CB48" s="894"/>
      <c r="CC48" s="894"/>
      <c r="CD48" s="888"/>
      <c r="CE48" s="871"/>
      <c r="CF48" s="871"/>
      <c r="CG48" s="871"/>
      <c r="CH48" s="871"/>
      <c r="CI48" s="871"/>
      <c r="CJ48" s="871"/>
      <c r="CK48" s="871"/>
      <c r="CL48" s="871"/>
      <c r="CM48" s="871"/>
      <c r="CN48" s="871"/>
      <c r="CO48" s="871"/>
      <c r="CP48" s="870"/>
      <c r="CQ48" s="4078"/>
      <c r="CR48" s="4078"/>
      <c r="CS48" s="4079"/>
      <c r="CT48" s="4162"/>
      <c r="CU48" s="4163"/>
      <c r="CV48" s="4163"/>
      <c r="CW48" s="4164"/>
      <c r="CX48" s="4083"/>
      <c r="CY48" s="4084"/>
      <c r="CZ48" s="4084"/>
      <c r="DA48" s="4085"/>
      <c r="DB48" s="4083"/>
      <c r="DC48" s="4084"/>
      <c r="DD48" s="4084"/>
      <c r="DE48" s="4085"/>
      <c r="DF48" s="4083"/>
      <c r="DG48" s="4084"/>
      <c r="DH48" s="4084"/>
      <c r="DI48" s="4085"/>
      <c r="DJ48" s="1027"/>
      <c r="DK48" s="1028"/>
      <c r="DL48" s="1027"/>
      <c r="DM48" s="1027"/>
      <c r="DN48" s="1027"/>
      <c r="DO48" s="1027"/>
      <c r="DP48" s="1027"/>
      <c r="DQ48" s="1027"/>
      <c r="DR48" s="1026"/>
      <c r="DS48" s="4043"/>
      <c r="DT48" s="4044"/>
      <c r="DU48" s="4045"/>
      <c r="DV48" s="4140" t="str">
        <f>IF(CQ59="","",CP51^2/(CT47*CT55+CT49*(CT53+CT55)+CT51*CT57))</f>
        <v/>
      </c>
      <c r="DW48" s="4090"/>
      <c r="DX48" s="4090"/>
      <c r="DY48" s="4091"/>
      <c r="DZ48" s="866"/>
    </row>
    <row r="49" spans="2:130" ht="6" customHeight="1">
      <c r="B49" s="889"/>
      <c r="C49" s="894"/>
      <c r="D49" s="894"/>
      <c r="E49" s="894"/>
      <c r="F49" s="931"/>
      <c r="G49" s="4139"/>
      <c r="H49" s="4139"/>
      <c r="I49" s="4139"/>
      <c r="J49" s="1029"/>
      <c r="K49" s="4139"/>
      <c r="L49" s="4139"/>
      <c r="M49" s="4139"/>
      <c r="N49" s="1029"/>
      <c r="O49" s="4139"/>
      <c r="P49" s="4139"/>
      <c r="Q49" s="4139"/>
      <c r="R49" s="907"/>
      <c r="S49" s="894"/>
      <c r="T49" s="894"/>
      <c r="U49" s="894"/>
      <c r="V49" s="894"/>
      <c r="W49" s="894"/>
      <c r="X49" s="894"/>
      <c r="Y49" s="894"/>
      <c r="Z49" s="894"/>
      <c r="AA49" s="894"/>
      <c r="AB49" s="931"/>
      <c r="AC49" s="4139"/>
      <c r="AD49" s="4139"/>
      <c r="AE49" s="4139"/>
      <c r="AF49" s="1029"/>
      <c r="AG49" s="4139"/>
      <c r="AH49" s="4139"/>
      <c r="AI49" s="4139"/>
      <c r="AJ49" s="1029"/>
      <c r="AK49" s="4139"/>
      <c r="AL49" s="4139"/>
      <c r="AM49" s="4139"/>
      <c r="AN49" s="907"/>
      <c r="AO49" s="894"/>
      <c r="AP49" s="894"/>
      <c r="AQ49" s="894"/>
      <c r="AR49" s="894"/>
      <c r="AS49" s="894"/>
      <c r="AT49" s="971"/>
      <c r="AU49" s="894"/>
      <c r="AV49" s="931"/>
      <c r="AW49" s="4139"/>
      <c r="AX49" s="4139"/>
      <c r="AY49" s="4139"/>
      <c r="AZ49" s="907"/>
      <c r="BA49" s="894"/>
      <c r="BB49" s="894"/>
      <c r="BC49" s="894"/>
      <c r="BD49" s="894"/>
      <c r="BE49" s="894"/>
      <c r="BF49" s="894"/>
      <c r="BG49" s="894"/>
      <c r="BH49" s="894"/>
      <c r="BI49" s="894"/>
      <c r="BJ49" s="894"/>
      <c r="BK49" s="894"/>
      <c r="BL49" s="894"/>
      <c r="BM49" s="971"/>
      <c r="BN49" s="894"/>
      <c r="BO49" s="894"/>
      <c r="BP49" s="894"/>
      <c r="BQ49" s="931"/>
      <c r="BR49" s="4077"/>
      <c r="BS49" s="4077"/>
      <c r="BT49" s="4077"/>
      <c r="BU49" s="932"/>
      <c r="BV49" s="894"/>
      <c r="BW49" s="894"/>
      <c r="BX49" s="894"/>
      <c r="BY49" s="894"/>
      <c r="BZ49" s="894"/>
      <c r="CA49" s="894"/>
      <c r="CB49" s="894"/>
      <c r="CC49" s="894"/>
      <c r="CD49" s="888"/>
      <c r="CE49" s="871"/>
      <c r="CF49" s="871"/>
      <c r="CG49" s="871"/>
      <c r="CH49" s="871"/>
      <c r="CI49" s="871"/>
      <c r="CJ49" s="871"/>
      <c r="CK49" s="871"/>
      <c r="CL49" s="871"/>
      <c r="CM49" s="871"/>
      <c r="CN49" s="871"/>
      <c r="CO49" s="871"/>
      <c r="CP49" s="870"/>
      <c r="CQ49" s="4078" t="s">
        <v>1378</v>
      </c>
      <c r="CR49" s="4078"/>
      <c r="CS49" s="4079" t="s">
        <v>1404</v>
      </c>
      <c r="CT49" s="4159"/>
      <c r="CU49" s="4160"/>
      <c r="CV49" s="4160"/>
      <c r="CW49" s="4161"/>
      <c r="CX49" s="4080"/>
      <c r="CY49" s="4081"/>
      <c r="CZ49" s="4081"/>
      <c r="DA49" s="4082"/>
      <c r="DB49" s="4080"/>
      <c r="DC49" s="4081"/>
      <c r="DD49" s="4081"/>
      <c r="DE49" s="4082"/>
      <c r="DF49" s="4080"/>
      <c r="DG49" s="4081"/>
      <c r="DH49" s="4081"/>
      <c r="DI49" s="4082"/>
      <c r="DJ49" s="1027"/>
      <c r="DK49" s="1028"/>
      <c r="DL49" s="1027"/>
      <c r="DM49" s="1027"/>
      <c r="DN49" s="1027"/>
      <c r="DO49" s="1027"/>
      <c r="DP49" s="1027"/>
      <c r="DQ49" s="1027"/>
      <c r="DR49" s="1026"/>
      <c r="DS49" s="4040" t="s">
        <v>1449</v>
      </c>
      <c r="DT49" s="4041"/>
      <c r="DU49" s="4042"/>
      <c r="DV49" s="4086" t="str">
        <f>IF(DV50&gt;=1,DV50,1/DV50)</f>
        <v/>
      </c>
      <c r="DW49" s="4087"/>
      <c r="DX49" s="4087"/>
      <c r="DY49" s="4088"/>
      <c r="DZ49" s="866"/>
    </row>
    <row r="50" spans="2:130" ht="6" customHeight="1" thickBot="1">
      <c r="B50" s="889"/>
      <c r="C50" s="894"/>
      <c r="D50" s="894"/>
      <c r="E50" s="894"/>
      <c r="F50" s="931"/>
      <c r="G50" s="1018"/>
      <c r="H50" s="1018"/>
      <c r="I50" s="1018"/>
      <c r="J50" s="910"/>
      <c r="K50" s="1025"/>
      <c r="L50" s="1018"/>
      <c r="M50" s="1018"/>
      <c r="N50" s="910"/>
      <c r="O50" s="1025"/>
      <c r="P50" s="1018"/>
      <c r="Q50" s="1018"/>
      <c r="R50" s="910"/>
      <c r="S50" s="894"/>
      <c r="T50" s="894"/>
      <c r="U50" s="894"/>
      <c r="V50" s="894"/>
      <c r="W50" s="894"/>
      <c r="X50" s="894"/>
      <c r="Y50" s="894"/>
      <c r="Z50" s="894"/>
      <c r="AA50" s="894"/>
      <c r="AB50" s="907"/>
      <c r="AC50" s="1024"/>
      <c r="AD50" s="1023"/>
      <c r="AE50" s="1023"/>
      <c r="AF50" s="910"/>
      <c r="AG50" s="1018"/>
      <c r="AH50" s="1018"/>
      <c r="AI50" s="1018"/>
      <c r="AJ50" s="910"/>
      <c r="AK50" s="1018"/>
      <c r="AL50" s="1018"/>
      <c r="AM50" s="1018"/>
      <c r="AN50" s="910"/>
      <c r="AO50" s="894"/>
      <c r="AP50" s="940"/>
      <c r="AQ50" s="894"/>
      <c r="AR50" s="894"/>
      <c r="AS50" s="894"/>
      <c r="AT50" s="894"/>
      <c r="AU50" s="894"/>
      <c r="AV50" s="894"/>
      <c r="AW50" s="943"/>
      <c r="AX50" s="942"/>
      <c r="AY50" s="942"/>
      <c r="AZ50" s="941"/>
      <c r="BA50" s="894"/>
      <c r="BB50" s="940"/>
      <c r="BC50" s="940"/>
      <c r="BD50" s="940"/>
      <c r="BE50" s="940"/>
      <c r="BF50" s="940"/>
      <c r="BG50" s="894"/>
      <c r="BH50" s="894"/>
      <c r="BI50" s="894"/>
      <c r="BJ50" s="894"/>
      <c r="BK50" s="894"/>
      <c r="BL50" s="894"/>
      <c r="BM50" s="894"/>
      <c r="BN50" s="894"/>
      <c r="BO50" s="894"/>
      <c r="BP50" s="894"/>
      <c r="BQ50" s="907"/>
      <c r="BR50" s="945"/>
      <c r="BS50" s="944"/>
      <c r="BT50" s="910"/>
      <c r="BU50" s="894"/>
      <c r="BV50" s="894"/>
      <c r="BW50" s="894"/>
      <c r="BX50" s="894"/>
      <c r="BY50" s="894"/>
      <c r="BZ50" s="894"/>
      <c r="CA50" s="894"/>
      <c r="CB50" s="894"/>
      <c r="CC50" s="894"/>
      <c r="CD50" s="888"/>
      <c r="CE50" s="871"/>
      <c r="CF50" s="871"/>
      <c r="CG50" s="871"/>
      <c r="CH50" s="871"/>
      <c r="CI50" s="871"/>
      <c r="CJ50" s="871"/>
      <c r="CK50" s="871"/>
      <c r="CL50" s="871"/>
      <c r="CM50" s="871"/>
      <c r="CN50" s="871"/>
      <c r="CO50" s="871"/>
      <c r="CP50" s="870"/>
      <c r="CQ50" s="4078"/>
      <c r="CR50" s="4078"/>
      <c r="CS50" s="4079"/>
      <c r="CT50" s="4162"/>
      <c r="CU50" s="4163"/>
      <c r="CV50" s="4163"/>
      <c r="CW50" s="4164"/>
      <c r="CX50" s="4083"/>
      <c r="CY50" s="4084"/>
      <c r="CZ50" s="4084"/>
      <c r="DA50" s="4085"/>
      <c r="DB50" s="4083"/>
      <c r="DC50" s="4084"/>
      <c r="DD50" s="4084"/>
      <c r="DE50" s="4085"/>
      <c r="DF50" s="4083"/>
      <c r="DG50" s="4084"/>
      <c r="DH50" s="4084"/>
      <c r="DI50" s="4085"/>
      <c r="DJ50" s="1009"/>
      <c r="DK50" s="1010"/>
      <c r="DL50" s="1009"/>
      <c r="DM50" s="1009"/>
      <c r="DN50" s="1009"/>
      <c r="DO50" s="1009"/>
      <c r="DP50" s="1009"/>
      <c r="DQ50" s="1009"/>
      <c r="DR50" s="1008"/>
      <c r="DS50" s="4043"/>
      <c r="DT50" s="4044"/>
      <c r="DU50" s="4045"/>
      <c r="DV50" s="4089" t="str">
        <f>IF(CQ59="","",(CX47+CX49+CX51)^2/(CX47*CX53+CX49*CX57+(CX47+CX49+CX51)*CX53))</f>
        <v/>
      </c>
      <c r="DW50" s="4090"/>
      <c r="DX50" s="4090"/>
      <c r="DY50" s="4091"/>
      <c r="DZ50" s="866"/>
    </row>
    <row r="51" spans="2:130" ht="6" customHeight="1">
      <c r="B51" s="889"/>
      <c r="C51" s="894"/>
      <c r="D51" s="894"/>
      <c r="E51" s="910"/>
      <c r="F51" s="926"/>
      <c r="G51" s="937"/>
      <c r="H51" s="923"/>
      <c r="I51" s="923"/>
      <c r="J51" s="939"/>
      <c r="K51" s="938"/>
      <c r="L51" s="923"/>
      <c r="M51" s="923"/>
      <c r="N51" s="939"/>
      <c r="O51" s="938"/>
      <c r="P51" s="923"/>
      <c r="Q51" s="923"/>
      <c r="R51" s="922"/>
      <c r="S51" s="1022"/>
      <c r="T51" s="920"/>
      <c r="U51" s="894"/>
      <c r="V51" s="894"/>
      <c r="W51" s="894"/>
      <c r="X51" s="894"/>
      <c r="Y51" s="894"/>
      <c r="Z51" s="894"/>
      <c r="AA51" s="910"/>
      <c r="AB51" s="935"/>
      <c r="AC51" s="920"/>
      <c r="AD51" s="936"/>
      <c r="AE51" s="936"/>
      <c r="AF51" s="894"/>
      <c r="AG51" s="937"/>
      <c r="AH51" s="923"/>
      <c r="AI51" s="923"/>
      <c r="AJ51" s="923"/>
      <c r="AK51" s="919"/>
      <c r="AL51" s="936"/>
      <c r="AM51" s="936"/>
      <c r="AN51" s="910"/>
      <c r="AO51" s="920"/>
      <c r="AP51" s="4168" t="s">
        <v>1405</v>
      </c>
      <c r="AQ51" s="4092"/>
      <c r="AR51" s="4092"/>
      <c r="AS51" s="894"/>
      <c r="AT51" s="894"/>
      <c r="AU51" s="894"/>
      <c r="AV51" s="894"/>
      <c r="AW51" s="937"/>
      <c r="AX51" s="923"/>
      <c r="AY51" s="923"/>
      <c r="AZ51" s="922"/>
      <c r="BA51" s="894"/>
      <c r="BB51" s="936"/>
      <c r="BC51" s="936"/>
      <c r="BD51" s="936"/>
      <c r="BE51" s="936"/>
      <c r="BF51" s="936"/>
      <c r="BG51" s="910"/>
      <c r="BH51" s="920"/>
      <c r="BI51" s="894"/>
      <c r="BJ51" s="894"/>
      <c r="BK51" s="894"/>
      <c r="BL51" s="894"/>
      <c r="BM51" s="894"/>
      <c r="BN51" s="894"/>
      <c r="BO51" s="894"/>
      <c r="BP51" s="910"/>
      <c r="BQ51" s="935"/>
      <c r="BR51" s="920"/>
      <c r="BS51" s="936"/>
      <c r="BT51" s="918"/>
      <c r="BU51" s="937"/>
      <c r="BV51" s="923"/>
      <c r="BW51" s="923"/>
      <c r="BX51" s="923"/>
      <c r="BY51" s="923"/>
      <c r="BZ51" s="923"/>
      <c r="CA51" s="922"/>
      <c r="CB51" s="894"/>
      <c r="CC51" s="894"/>
      <c r="CD51" s="888"/>
      <c r="CE51" s="871"/>
      <c r="CF51" s="871"/>
      <c r="CG51" s="871"/>
      <c r="CH51" s="871"/>
      <c r="CI51" s="871"/>
      <c r="CJ51" s="871"/>
      <c r="CK51" s="871"/>
      <c r="CL51" s="871"/>
      <c r="CM51" s="871"/>
      <c r="CN51" s="871"/>
      <c r="CO51" s="871"/>
      <c r="CP51" s="4145"/>
      <c r="CQ51" s="4078" t="s">
        <v>1377</v>
      </c>
      <c r="CR51" s="4078"/>
      <c r="CS51" s="4079" t="s">
        <v>1404</v>
      </c>
      <c r="CT51" s="4159"/>
      <c r="CU51" s="4160"/>
      <c r="CV51" s="4160"/>
      <c r="CW51" s="4161"/>
      <c r="CX51" s="4080"/>
      <c r="CY51" s="4081"/>
      <c r="CZ51" s="4081"/>
      <c r="DA51" s="4082"/>
      <c r="DB51" s="4080"/>
      <c r="DC51" s="4081"/>
      <c r="DD51" s="4081"/>
      <c r="DE51" s="4082"/>
      <c r="DF51" s="4080"/>
      <c r="DG51" s="4081"/>
      <c r="DH51" s="4081"/>
      <c r="DI51" s="4082"/>
      <c r="DJ51" s="1010"/>
      <c r="DK51" s="1010"/>
      <c r="DL51" s="1010"/>
      <c r="DM51" s="1010"/>
      <c r="DN51" s="1010"/>
      <c r="DO51" s="1010"/>
      <c r="DP51" s="1010"/>
      <c r="DQ51" s="1010"/>
      <c r="DR51" s="1008"/>
      <c r="DS51" s="4040" t="s">
        <v>1448</v>
      </c>
      <c r="DT51" s="4041"/>
      <c r="DU51" s="4042"/>
      <c r="DV51" s="4086" t="str">
        <f>IF(DV52&gt;=1,DV52,1/DV52)</f>
        <v/>
      </c>
      <c r="DW51" s="4087"/>
      <c r="DX51" s="4087"/>
      <c r="DY51" s="4088"/>
      <c r="DZ51" s="866"/>
    </row>
    <row r="52" spans="2:130" ht="6" customHeight="1">
      <c r="B52" s="889"/>
      <c r="C52" s="4138" t="s">
        <v>1373</v>
      </c>
      <c r="D52" s="4138"/>
      <c r="E52" s="4167"/>
      <c r="F52" s="904"/>
      <c r="G52" s="903"/>
      <c r="H52" s="902"/>
      <c r="I52" s="902"/>
      <c r="J52" s="934"/>
      <c r="K52" s="933"/>
      <c r="L52" s="902"/>
      <c r="M52" s="902"/>
      <c r="N52" s="934"/>
      <c r="O52" s="933"/>
      <c r="P52" s="902"/>
      <c r="Q52" s="902"/>
      <c r="R52" s="901"/>
      <c r="S52" s="894"/>
      <c r="T52" s="4168" t="s">
        <v>1405</v>
      </c>
      <c r="U52" s="4092"/>
      <c r="V52" s="4092"/>
      <c r="W52" s="949"/>
      <c r="X52" s="949"/>
      <c r="Y52" s="4141" t="s">
        <v>1373</v>
      </c>
      <c r="Z52" s="4141"/>
      <c r="AA52" s="4142"/>
      <c r="AB52" s="930"/>
      <c r="AC52" s="932"/>
      <c r="AD52" s="894"/>
      <c r="AE52" s="894"/>
      <c r="AF52" s="894"/>
      <c r="AG52" s="903"/>
      <c r="AH52" s="902"/>
      <c r="AI52" s="902"/>
      <c r="AJ52" s="902"/>
      <c r="AK52" s="919"/>
      <c r="AL52" s="894"/>
      <c r="AM52" s="894"/>
      <c r="AN52" s="931"/>
      <c r="AO52" s="932"/>
      <c r="AP52" s="4168"/>
      <c r="AQ52" s="4092"/>
      <c r="AR52" s="4092"/>
      <c r="AS52" s="894"/>
      <c r="AT52" s="894"/>
      <c r="AU52" s="894"/>
      <c r="AV52" s="894"/>
      <c r="AW52" s="903"/>
      <c r="AX52" s="902"/>
      <c r="AY52" s="902"/>
      <c r="AZ52" s="901"/>
      <c r="BA52" s="894"/>
      <c r="BB52" s="894"/>
      <c r="BC52" s="894"/>
      <c r="BD52" s="894"/>
      <c r="BE52" s="894"/>
      <c r="BF52" s="894"/>
      <c r="BG52" s="931"/>
      <c r="BH52" s="4102" t="s">
        <v>1405</v>
      </c>
      <c r="BI52" s="4103"/>
      <c r="BJ52" s="4103"/>
      <c r="BK52" s="949"/>
      <c r="BL52" s="894"/>
      <c r="BM52" s="894"/>
      <c r="BN52" s="4141" t="s">
        <v>1405</v>
      </c>
      <c r="BO52" s="4141"/>
      <c r="BP52" s="4142"/>
      <c r="BQ52" s="930"/>
      <c r="BR52" s="932"/>
      <c r="BS52" s="894"/>
      <c r="BT52" s="918"/>
      <c r="BU52" s="903"/>
      <c r="BV52" s="902"/>
      <c r="BW52" s="902"/>
      <c r="BX52" s="902"/>
      <c r="BY52" s="902"/>
      <c r="BZ52" s="902"/>
      <c r="CA52" s="901"/>
      <c r="CB52" s="894"/>
      <c r="CC52" s="894"/>
      <c r="CD52" s="888"/>
      <c r="CE52" s="871"/>
      <c r="CF52" s="871"/>
      <c r="CG52" s="871"/>
      <c r="CH52" s="871"/>
      <c r="CI52" s="871"/>
      <c r="CJ52" s="871"/>
      <c r="CK52" s="871"/>
      <c r="CL52" s="871"/>
      <c r="CM52" s="871"/>
      <c r="CN52" s="871"/>
      <c r="CO52" s="871"/>
      <c r="CP52" s="4146"/>
      <c r="CQ52" s="4078"/>
      <c r="CR52" s="4078"/>
      <c r="CS52" s="4079"/>
      <c r="CT52" s="4162"/>
      <c r="CU52" s="4163"/>
      <c r="CV52" s="4163"/>
      <c r="CW52" s="4164"/>
      <c r="CX52" s="4083"/>
      <c r="CY52" s="4084"/>
      <c r="CZ52" s="4084"/>
      <c r="DA52" s="4085"/>
      <c r="DB52" s="4083"/>
      <c r="DC52" s="4084"/>
      <c r="DD52" s="4084"/>
      <c r="DE52" s="4085"/>
      <c r="DF52" s="4083"/>
      <c r="DG52" s="4084"/>
      <c r="DH52" s="4084"/>
      <c r="DI52" s="4085"/>
      <c r="DJ52" s="1010"/>
      <c r="DK52" s="1010"/>
      <c r="DL52" s="1010"/>
      <c r="DM52" s="1010"/>
      <c r="DN52" s="1010"/>
      <c r="DO52" s="1010"/>
      <c r="DP52" s="1010"/>
      <c r="DQ52" s="1010"/>
      <c r="DR52" s="1008"/>
      <c r="DS52" s="4043"/>
      <c r="DT52" s="4044"/>
      <c r="DU52" s="4045"/>
      <c r="DV52" s="4089" t="str">
        <f>IF(CQ59="","",(DB53+DB55+DB57)^2/(DB47*DB53+(DB47+DB49)*DB55+DB51*DB57))</f>
        <v/>
      </c>
      <c r="DW52" s="4090"/>
      <c r="DX52" s="4090"/>
      <c r="DY52" s="4091"/>
      <c r="DZ52" s="866"/>
    </row>
    <row r="53" spans="2:130" ht="6" customHeight="1" thickBot="1">
      <c r="B53" s="889"/>
      <c r="C53" s="4138"/>
      <c r="D53" s="4138"/>
      <c r="E53" s="4167"/>
      <c r="F53" s="904"/>
      <c r="G53" s="903"/>
      <c r="H53" s="902"/>
      <c r="I53" s="902"/>
      <c r="J53" s="934"/>
      <c r="K53" s="933"/>
      <c r="L53" s="902"/>
      <c r="M53" s="902"/>
      <c r="N53" s="934"/>
      <c r="O53" s="933"/>
      <c r="P53" s="902"/>
      <c r="Q53" s="902"/>
      <c r="R53" s="901"/>
      <c r="S53" s="894"/>
      <c r="T53" s="4168"/>
      <c r="U53" s="4092"/>
      <c r="V53" s="4092"/>
      <c r="W53" s="949"/>
      <c r="X53" s="949"/>
      <c r="Y53" s="4141"/>
      <c r="Z53" s="4141"/>
      <c r="AA53" s="4142"/>
      <c r="AB53" s="930"/>
      <c r="AC53" s="932"/>
      <c r="AD53" s="894"/>
      <c r="AE53" s="894"/>
      <c r="AF53" s="894"/>
      <c r="AG53" s="903"/>
      <c r="AH53" s="902"/>
      <c r="AI53" s="902"/>
      <c r="AJ53" s="902"/>
      <c r="AK53" s="914"/>
      <c r="AL53" s="913"/>
      <c r="AM53" s="913"/>
      <c r="AN53" s="913"/>
      <c r="AO53" s="894"/>
      <c r="AP53" s="905"/>
      <c r="AQ53" s="894"/>
      <c r="AR53" s="894"/>
      <c r="AS53" s="894"/>
      <c r="AT53" s="894"/>
      <c r="AU53" s="894"/>
      <c r="AV53" s="894"/>
      <c r="AW53" s="903"/>
      <c r="AX53" s="902"/>
      <c r="AY53" s="902"/>
      <c r="AZ53" s="901"/>
      <c r="BA53" s="894"/>
      <c r="BB53" s="894"/>
      <c r="BC53" s="894"/>
      <c r="BD53" s="894"/>
      <c r="BE53" s="894"/>
      <c r="BF53" s="894"/>
      <c r="BG53" s="907"/>
      <c r="BH53" s="4102"/>
      <c r="BI53" s="4103"/>
      <c r="BJ53" s="4103"/>
      <c r="BK53" s="949"/>
      <c r="BL53" s="894"/>
      <c r="BM53" s="894"/>
      <c r="BN53" s="4141"/>
      <c r="BO53" s="4141"/>
      <c r="BP53" s="4142"/>
      <c r="BQ53" s="905"/>
      <c r="BR53" s="894"/>
      <c r="BS53" s="894"/>
      <c r="BT53" s="918"/>
      <c r="BU53" s="903"/>
      <c r="BV53" s="902"/>
      <c r="BW53" s="902"/>
      <c r="BX53" s="902"/>
      <c r="BY53" s="902"/>
      <c r="BZ53" s="902"/>
      <c r="CA53" s="901"/>
      <c r="CB53" s="894"/>
      <c r="CC53" s="894"/>
      <c r="CD53" s="888"/>
      <c r="CE53" s="871"/>
      <c r="CF53" s="871"/>
      <c r="CG53" s="871"/>
      <c r="CH53" s="871"/>
      <c r="CI53" s="871"/>
      <c r="CJ53" s="871"/>
      <c r="CK53" s="871"/>
      <c r="CL53" s="871"/>
      <c r="CM53" s="871"/>
      <c r="CN53" s="871"/>
      <c r="CO53" s="871"/>
      <c r="CP53" s="870"/>
      <c r="CQ53" s="4108" t="s">
        <v>1372</v>
      </c>
      <c r="CR53" s="4108"/>
      <c r="CS53" s="4079" t="s">
        <v>1404</v>
      </c>
      <c r="CT53" s="4159"/>
      <c r="CU53" s="4160"/>
      <c r="CV53" s="4160"/>
      <c r="CW53" s="4161"/>
      <c r="CX53" s="4080"/>
      <c r="CY53" s="4081"/>
      <c r="CZ53" s="4081"/>
      <c r="DA53" s="4082"/>
      <c r="DB53" s="4080"/>
      <c r="DC53" s="4081"/>
      <c r="DD53" s="4081"/>
      <c r="DE53" s="4082"/>
      <c r="DF53" s="4080"/>
      <c r="DG53" s="4081"/>
      <c r="DH53" s="4081"/>
      <c r="DI53" s="4082"/>
      <c r="DJ53" s="1010"/>
      <c r="DK53" s="1010"/>
      <c r="DL53" s="1010"/>
      <c r="DM53" s="1010"/>
      <c r="DN53" s="1010"/>
      <c r="DO53" s="1010"/>
      <c r="DP53" s="1010"/>
      <c r="DQ53" s="1010"/>
      <c r="DR53" s="1008"/>
      <c r="DS53" s="4040" t="s">
        <v>1447</v>
      </c>
      <c r="DT53" s="4041"/>
      <c r="DU53" s="4042"/>
      <c r="DV53" s="4086" t="str">
        <f>IF(DV54&gt;=1,DV54,1/DV54)</f>
        <v/>
      </c>
      <c r="DW53" s="4087"/>
      <c r="DX53" s="4087"/>
      <c r="DY53" s="4088"/>
      <c r="DZ53" s="866"/>
    </row>
    <row r="54" spans="2:130" ht="6" customHeight="1" thickBot="1">
      <c r="B54" s="889"/>
      <c r="C54" s="949"/>
      <c r="D54" s="949"/>
      <c r="E54" s="998"/>
      <c r="F54" s="904"/>
      <c r="G54" s="957"/>
      <c r="H54" s="896"/>
      <c r="I54" s="896"/>
      <c r="J54" s="896"/>
      <c r="K54" s="902"/>
      <c r="L54" s="902"/>
      <c r="M54" s="902"/>
      <c r="N54" s="902"/>
      <c r="O54" s="933"/>
      <c r="P54" s="902"/>
      <c r="Q54" s="902"/>
      <c r="R54" s="901"/>
      <c r="S54" s="894"/>
      <c r="T54" s="932"/>
      <c r="U54" s="894"/>
      <c r="V54" s="894"/>
      <c r="W54" s="894"/>
      <c r="X54" s="894"/>
      <c r="Y54" s="894"/>
      <c r="Z54" s="894"/>
      <c r="AA54" s="907"/>
      <c r="AB54" s="905"/>
      <c r="AC54" s="894"/>
      <c r="AD54" s="894"/>
      <c r="AE54" s="894"/>
      <c r="AF54" s="894"/>
      <c r="AG54" s="903"/>
      <c r="AH54" s="902"/>
      <c r="AI54" s="902"/>
      <c r="AJ54" s="902"/>
      <c r="AK54" s="923"/>
      <c r="AL54" s="923"/>
      <c r="AM54" s="923"/>
      <c r="AN54" s="922"/>
      <c r="AO54" s="1022"/>
      <c r="AP54" s="936"/>
      <c r="AQ54" s="894"/>
      <c r="AR54" s="894"/>
      <c r="AS54" s="894"/>
      <c r="AT54" s="894"/>
      <c r="AU54" s="894"/>
      <c r="AV54" s="918"/>
      <c r="AW54" s="903"/>
      <c r="AX54" s="902"/>
      <c r="AY54" s="902"/>
      <c r="AZ54" s="902"/>
      <c r="BA54" s="923"/>
      <c r="BB54" s="923"/>
      <c r="BC54" s="923"/>
      <c r="BD54" s="923"/>
      <c r="BE54" s="923"/>
      <c r="BF54" s="922"/>
      <c r="BG54" s="921"/>
      <c r="BH54" s="920"/>
      <c r="BI54" s="894"/>
      <c r="BJ54" s="894"/>
      <c r="BK54" s="894"/>
      <c r="BL54" s="894"/>
      <c r="BM54" s="894"/>
      <c r="BN54" s="894"/>
      <c r="BO54" s="894"/>
      <c r="BP54" s="910"/>
      <c r="BQ54" s="926"/>
      <c r="BR54" s="937"/>
      <c r="BS54" s="923"/>
      <c r="BT54" s="923"/>
      <c r="BU54" s="902"/>
      <c r="BV54" s="902"/>
      <c r="BW54" s="902"/>
      <c r="BX54" s="902"/>
      <c r="BY54" s="902"/>
      <c r="BZ54" s="902"/>
      <c r="CA54" s="901"/>
      <c r="CB54" s="894"/>
      <c r="CC54" s="894"/>
      <c r="CD54" s="888"/>
      <c r="CE54" s="871"/>
      <c r="CF54" s="871"/>
      <c r="CG54" s="871"/>
      <c r="CH54" s="871"/>
      <c r="CI54" s="871"/>
      <c r="CJ54" s="871"/>
      <c r="CK54" s="871"/>
      <c r="CL54" s="871"/>
      <c r="CM54" s="871"/>
      <c r="CN54" s="871"/>
      <c r="CO54" s="871"/>
      <c r="CP54" s="870"/>
      <c r="CQ54" s="4108"/>
      <c r="CR54" s="4108"/>
      <c r="CS54" s="4079"/>
      <c r="CT54" s="4162"/>
      <c r="CU54" s="4163"/>
      <c r="CV54" s="4163"/>
      <c r="CW54" s="4164"/>
      <c r="CX54" s="4083"/>
      <c r="CY54" s="4084"/>
      <c r="CZ54" s="4084"/>
      <c r="DA54" s="4085"/>
      <c r="DB54" s="4083"/>
      <c r="DC54" s="4084"/>
      <c r="DD54" s="4084"/>
      <c r="DE54" s="4085"/>
      <c r="DF54" s="4083"/>
      <c r="DG54" s="4084"/>
      <c r="DH54" s="4084"/>
      <c r="DI54" s="4085"/>
      <c r="DJ54" s="1010"/>
      <c r="DK54" s="1010"/>
      <c r="DL54" s="1010"/>
      <c r="DM54" s="1010"/>
      <c r="DN54" s="1010"/>
      <c r="DO54" s="1010"/>
      <c r="DP54" s="1010"/>
      <c r="DQ54" s="1010"/>
      <c r="DR54" s="1008"/>
      <c r="DS54" s="4043"/>
      <c r="DT54" s="4044"/>
      <c r="DU54" s="4045"/>
      <c r="DV54" s="4089" t="str">
        <f>IF(CQ59="","",(DF53+DF55+DF57)^2/(DF49*DF53+(DF47+DF49)*DF55+(DF47+DF49+DF51)*DF57))</f>
        <v/>
      </c>
      <c r="DW54" s="4090"/>
      <c r="DX54" s="4090"/>
      <c r="DY54" s="4091"/>
      <c r="DZ54" s="866"/>
    </row>
    <row r="55" spans="2:130" ht="6" customHeight="1" thickBot="1">
      <c r="B55" s="889"/>
      <c r="C55" s="894"/>
      <c r="D55" s="894"/>
      <c r="E55" s="910"/>
      <c r="F55" s="920"/>
      <c r="G55" s="1021"/>
      <c r="H55" s="928"/>
      <c r="I55" s="928"/>
      <c r="J55" s="927"/>
      <c r="K55" s="902"/>
      <c r="L55" s="902"/>
      <c r="M55" s="902"/>
      <c r="N55" s="902"/>
      <c r="O55" s="896"/>
      <c r="P55" s="896"/>
      <c r="Q55" s="896"/>
      <c r="R55" s="895"/>
      <c r="S55" s="894"/>
      <c r="T55" s="905"/>
      <c r="U55" s="894"/>
      <c r="V55" s="894"/>
      <c r="W55" s="894"/>
      <c r="X55" s="894"/>
      <c r="Y55" s="894"/>
      <c r="Z55" s="894"/>
      <c r="AA55" s="910"/>
      <c r="AB55" s="926"/>
      <c r="AC55" s="937"/>
      <c r="AD55" s="923"/>
      <c r="AE55" s="923"/>
      <c r="AF55" s="923"/>
      <c r="AG55" s="902"/>
      <c r="AH55" s="902"/>
      <c r="AI55" s="902"/>
      <c r="AJ55" s="902"/>
      <c r="AK55" s="902"/>
      <c r="AL55" s="902"/>
      <c r="AM55" s="902"/>
      <c r="AN55" s="901"/>
      <c r="AO55" s="919"/>
      <c r="AP55" s="894"/>
      <c r="AQ55" s="894"/>
      <c r="AR55" s="894"/>
      <c r="AS55" s="894"/>
      <c r="AT55" s="894"/>
      <c r="AU55" s="894"/>
      <c r="AV55" s="918"/>
      <c r="AW55" s="903"/>
      <c r="AX55" s="902"/>
      <c r="AY55" s="902"/>
      <c r="AZ55" s="902"/>
      <c r="BA55" s="902"/>
      <c r="BB55" s="902"/>
      <c r="BC55" s="902"/>
      <c r="BD55" s="902"/>
      <c r="BE55" s="902"/>
      <c r="BF55" s="901"/>
      <c r="BG55" s="911"/>
      <c r="BH55" s="4102" t="s">
        <v>1373</v>
      </c>
      <c r="BI55" s="4103"/>
      <c r="BJ55" s="4103"/>
      <c r="BK55" s="949"/>
      <c r="BL55" s="894"/>
      <c r="BM55" s="894"/>
      <c r="BN55" s="4141" t="s">
        <v>1373</v>
      </c>
      <c r="BO55" s="4141"/>
      <c r="BP55" s="4142"/>
      <c r="BQ55" s="904"/>
      <c r="BR55" s="903"/>
      <c r="BS55" s="902"/>
      <c r="BT55" s="902"/>
      <c r="BU55" s="902"/>
      <c r="BV55" s="902"/>
      <c r="BW55" s="902"/>
      <c r="BX55" s="902"/>
      <c r="BY55" s="902"/>
      <c r="BZ55" s="902"/>
      <c r="CA55" s="901"/>
      <c r="CB55" s="894"/>
      <c r="CC55" s="894"/>
      <c r="CD55" s="888"/>
      <c r="CE55" s="871"/>
      <c r="CF55" s="871"/>
      <c r="CG55" s="871"/>
      <c r="CH55" s="871"/>
      <c r="CI55" s="871"/>
      <c r="CJ55" s="871"/>
      <c r="CK55" s="871"/>
      <c r="CL55" s="871"/>
      <c r="CM55" s="871"/>
      <c r="CN55" s="871"/>
      <c r="CO55" s="871"/>
      <c r="CP55" s="870"/>
      <c r="CQ55" s="4108" t="s">
        <v>1373</v>
      </c>
      <c r="CR55" s="4108"/>
      <c r="CS55" s="4079" t="s">
        <v>1404</v>
      </c>
      <c r="CT55" s="4159"/>
      <c r="CU55" s="4160"/>
      <c r="CV55" s="4160"/>
      <c r="CW55" s="4161"/>
      <c r="CX55" s="4080"/>
      <c r="CY55" s="4081"/>
      <c r="CZ55" s="4081"/>
      <c r="DA55" s="4082"/>
      <c r="DB55" s="4080"/>
      <c r="DC55" s="4081"/>
      <c r="DD55" s="4081"/>
      <c r="DE55" s="4082"/>
      <c r="DF55" s="4080"/>
      <c r="DG55" s="4081"/>
      <c r="DH55" s="4081"/>
      <c r="DI55" s="4082"/>
      <c r="DJ55" s="1010"/>
      <c r="DK55" s="1010"/>
      <c r="DL55" s="1010"/>
      <c r="DM55" s="1010"/>
      <c r="DN55" s="1010"/>
      <c r="DO55" s="1010"/>
      <c r="DP55" s="1010"/>
      <c r="DQ55" s="1010"/>
      <c r="DR55" s="1008"/>
      <c r="DS55" s="1001"/>
      <c r="DT55" s="1000"/>
      <c r="DU55" s="1000"/>
      <c r="DV55" s="1000"/>
      <c r="DW55" s="1000"/>
      <c r="DX55" s="1000"/>
      <c r="DY55" s="1000"/>
      <c r="DZ55" s="866"/>
    </row>
    <row r="56" spans="2:130" ht="6" customHeight="1" thickBot="1">
      <c r="B56" s="889"/>
      <c r="C56" s="894"/>
      <c r="D56" s="894"/>
      <c r="E56" s="931"/>
      <c r="F56" s="932"/>
      <c r="G56" s="1019"/>
      <c r="H56" s="894"/>
      <c r="I56" s="894"/>
      <c r="J56" s="918"/>
      <c r="K56" s="902"/>
      <c r="L56" s="902"/>
      <c r="M56" s="902"/>
      <c r="N56" s="902"/>
      <c r="O56" s="929"/>
      <c r="P56" s="928"/>
      <c r="Q56" s="928"/>
      <c r="R56" s="928"/>
      <c r="S56" s="936"/>
      <c r="T56" s="936"/>
      <c r="U56" s="894"/>
      <c r="V56" s="894"/>
      <c r="W56" s="894"/>
      <c r="X56" s="894"/>
      <c r="Y56" s="894"/>
      <c r="Z56" s="894"/>
      <c r="AA56" s="931"/>
      <c r="AB56" s="904"/>
      <c r="AC56" s="903"/>
      <c r="AD56" s="902"/>
      <c r="AE56" s="902"/>
      <c r="AF56" s="902"/>
      <c r="AG56" s="902"/>
      <c r="AH56" s="902"/>
      <c r="AI56" s="902"/>
      <c r="AJ56" s="902"/>
      <c r="AK56" s="902"/>
      <c r="AL56" s="902"/>
      <c r="AM56" s="902"/>
      <c r="AN56" s="901"/>
      <c r="AO56" s="919"/>
      <c r="AP56" s="949"/>
      <c r="AQ56" s="949"/>
      <c r="AR56" s="949"/>
      <c r="AS56" s="894"/>
      <c r="AT56" s="894"/>
      <c r="AU56" s="894"/>
      <c r="AV56" s="918"/>
      <c r="AW56" s="903"/>
      <c r="AX56" s="902"/>
      <c r="AY56" s="902"/>
      <c r="AZ56" s="902"/>
      <c r="BA56" s="902"/>
      <c r="BB56" s="902"/>
      <c r="BC56" s="902"/>
      <c r="BD56" s="902"/>
      <c r="BE56" s="902"/>
      <c r="BF56" s="901"/>
      <c r="BG56" s="906"/>
      <c r="BH56" s="4102"/>
      <c r="BI56" s="4103"/>
      <c r="BJ56" s="4103"/>
      <c r="BK56" s="949"/>
      <c r="BL56" s="894"/>
      <c r="BM56" s="894"/>
      <c r="BN56" s="4141"/>
      <c r="BO56" s="4141"/>
      <c r="BP56" s="4142"/>
      <c r="BQ56" s="917"/>
      <c r="BR56" s="957"/>
      <c r="BS56" s="896"/>
      <c r="BT56" s="896"/>
      <c r="BU56" s="896"/>
      <c r="BV56" s="902"/>
      <c r="BW56" s="902"/>
      <c r="BX56" s="902"/>
      <c r="BY56" s="902"/>
      <c r="BZ56" s="902"/>
      <c r="CA56" s="901"/>
      <c r="CB56" s="894"/>
      <c r="CC56" s="894"/>
      <c r="CD56" s="888"/>
      <c r="CE56" s="871"/>
      <c r="CF56" s="871"/>
      <c r="CG56" s="871"/>
      <c r="CH56" s="871"/>
      <c r="CI56" s="871"/>
      <c r="CJ56" s="871"/>
      <c r="CK56" s="871"/>
      <c r="CL56" s="871"/>
      <c r="CM56" s="871"/>
      <c r="CN56" s="871"/>
      <c r="CO56" s="871"/>
      <c r="CP56" s="870"/>
      <c r="CQ56" s="4108"/>
      <c r="CR56" s="4108"/>
      <c r="CS56" s="4079"/>
      <c r="CT56" s="4162"/>
      <c r="CU56" s="4163"/>
      <c r="CV56" s="4163"/>
      <c r="CW56" s="4164"/>
      <c r="CX56" s="4083"/>
      <c r="CY56" s="4084"/>
      <c r="CZ56" s="4084"/>
      <c r="DA56" s="4085"/>
      <c r="DB56" s="4083"/>
      <c r="DC56" s="4084"/>
      <c r="DD56" s="4084"/>
      <c r="DE56" s="4085"/>
      <c r="DF56" s="4083"/>
      <c r="DG56" s="4084"/>
      <c r="DH56" s="4084"/>
      <c r="DI56" s="4085"/>
      <c r="DJ56" s="1010"/>
      <c r="DK56" s="1010"/>
      <c r="DL56" s="1010"/>
      <c r="DM56" s="1010"/>
      <c r="DN56" s="1010"/>
      <c r="DO56" s="1010"/>
      <c r="DP56" s="1010"/>
      <c r="DQ56" s="1010"/>
      <c r="DR56" s="1008"/>
      <c r="DS56" s="1001"/>
      <c r="DT56" s="1000"/>
      <c r="DU56" s="1000"/>
      <c r="DV56" s="1000"/>
      <c r="DW56" s="1000"/>
      <c r="DX56" s="1020"/>
      <c r="DY56" s="1020"/>
      <c r="DZ56" s="866"/>
    </row>
    <row r="57" spans="2:130" ht="6" customHeight="1">
      <c r="B57" s="889"/>
      <c r="C57" s="4141" t="s">
        <v>1372</v>
      </c>
      <c r="D57" s="4141"/>
      <c r="E57" s="4142"/>
      <c r="F57" s="932"/>
      <c r="G57" s="1019"/>
      <c r="H57" s="894"/>
      <c r="I57" s="894"/>
      <c r="J57" s="918"/>
      <c r="K57" s="903"/>
      <c r="L57" s="902"/>
      <c r="M57" s="902"/>
      <c r="N57" s="901"/>
      <c r="O57" s="894"/>
      <c r="P57" s="894"/>
      <c r="Q57" s="894"/>
      <c r="R57" s="894"/>
      <c r="S57" s="894"/>
      <c r="T57" s="949"/>
      <c r="U57" s="949"/>
      <c r="V57" s="949"/>
      <c r="W57" s="949"/>
      <c r="X57" s="949"/>
      <c r="Y57" s="4141" t="s">
        <v>1372</v>
      </c>
      <c r="Z57" s="4141"/>
      <c r="AA57" s="4142"/>
      <c r="AB57" s="904"/>
      <c r="AC57" s="903"/>
      <c r="AD57" s="902"/>
      <c r="AE57" s="902"/>
      <c r="AF57" s="902"/>
      <c r="AG57" s="902"/>
      <c r="AH57" s="902"/>
      <c r="AI57" s="902"/>
      <c r="AJ57" s="902"/>
      <c r="AK57" s="902"/>
      <c r="AL57" s="902"/>
      <c r="AM57" s="902"/>
      <c r="AN57" s="901"/>
      <c r="AO57" s="919"/>
      <c r="AP57" s="949"/>
      <c r="AQ57" s="949"/>
      <c r="AR57" s="949"/>
      <c r="AS57" s="894"/>
      <c r="AT57" s="894"/>
      <c r="AU57" s="894"/>
      <c r="AV57" s="918"/>
      <c r="AW57" s="903"/>
      <c r="AX57" s="902"/>
      <c r="AY57" s="902"/>
      <c r="AZ57" s="902"/>
      <c r="BA57" s="902"/>
      <c r="BB57" s="901"/>
      <c r="BC57" s="928"/>
      <c r="BD57" s="928"/>
      <c r="BE57" s="928"/>
      <c r="BF57" s="928"/>
      <c r="BG57" s="910"/>
      <c r="BH57" s="920"/>
      <c r="BI57" s="894"/>
      <c r="BJ57" s="894"/>
      <c r="BK57" s="894"/>
      <c r="BL57" s="894"/>
      <c r="BM57" s="894"/>
      <c r="BN57" s="894"/>
      <c r="BO57" s="894"/>
      <c r="BP57" s="910"/>
      <c r="BQ57" s="920"/>
      <c r="BR57" s="965"/>
      <c r="BS57" s="894"/>
      <c r="BT57" s="894"/>
      <c r="BU57" s="894"/>
      <c r="BV57" s="928"/>
      <c r="BW57" s="927"/>
      <c r="BX57" s="903"/>
      <c r="BY57" s="902"/>
      <c r="BZ57" s="902"/>
      <c r="CA57" s="901"/>
      <c r="CB57" s="894"/>
      <c r="CC57" s="894"/>
      <c r="CD57" s="888"/>
      <c r="CE57" s="871"/>
      <c r="CF57" s="871"/>
      <c r="CG57" s="871"/>
      <c r="CH57" s="871"/>
      <c r="CI57" s="871"/>
      <c r="CJ57" s="871"/>
      <c r="CK57" s="871"/>
      <c r="CL57" s="871"/>
      <c r="CM57" s="871"/>
      <c r="CN57" s="871"/>
      <c r="CO57" s="871"/>
      <c r="CP57" s="870"/>
      <c r="CQ57" s="4108" t="s">
        <v>1405</v>
      </c>
      <c r="CR57" s="4108"/>
      <c r="CS57" s="4079" t="s">
        <v>1404</v>
      </c>
      <c r="CT57" s="4159"/>
      <c r="CU57" s="4160"/>
      <c r="CV57" s="4160"/>
      <c r="CW57" s="4161"/>
      <c r="CX57" s="4080"/>
      <c r="CY57" s="4081"/>
      <c r="CZ57" s="4081"/>
      <c r="DA57" s="4082"/>
      <c r="DB57" s="4080"/>
      <c r="DC57" s="4081"/>
      <c r="DD57" s="4081"/>
      <c r="DE57" s="4082"/>
      <c r="DF57" s="4080"/>
      <c r="DG57" s="4081"/>
      <c r="DH57" s="4081"/>
      <c r="DI57" s="4082"/>
      <c r="DJ57" s="1010"/>
      <c r="DK57" s="1010"/>
      <c r="DL57" s="1010"/>
      <c r="DM57" s="1010"/>
      <c r="DN57" s="1010"/>
      <c r="DO57" s="1010"/>
      <c r="DP57" s="1010"/>
      <c r="DQ57" s="1010"/>
      <c r="DR57" s="1008"/>
      <c r="DS57" s="1001"/>
      <c r="DT57" s="1000"/>
      <c r="DU57" s="1000"/>
      <c r="DV57" s="1000"/>
      <c r="DW57" s="1000"/>
      <c r="DX57" s="1020"/>
      <c r="DY57" s="1020"/>
      <c r="DZ57" s="866"/>
    </row>
    <row r="58" spans="2:130" ht="6" customHeight="1">
      <c r="B58" s="889"/>
      <c r="C58" s="4141"/>
      <c r="D58" s="4141"/>
      <c r="E58" s="4142"/>
      <c r="F58" s="932"/>
      <c r="G58" s="1019"/>
      <c r="H58" s="894"/>
      <c r="I58" s="894"/>
      <c r="J58" s="918"/>
      <c r="K58" s="903"/>
      <c r="L58" s="902"/>
      <c r="M58" s="902"/>
      <c r="N58" s="901"/>
      <c r="O58" s="894"/>
      <c r="P58" s="894"/>
      <c r="Q58" s="894"/>
      <c r="R58" s="894"/>
      <c r="S58" s="894"/>
      <c r="T58" s="949"/>
      <c r="U58" s="949"/>
      <c r="V58" s="949"/>
      <c r="W58" s="949"/>
      <c r="X58" s="949"/>
      <c r="Y58" s="4141"/>
      <c r="Z58" s="4141"/>
      <c r="AA58" s="4142"/>
      <c r="AB58" s="904"/>
      <c r="AC58" s="903"/>
      <c r="AD58" s="902"/>
      <c r="AE58" s="902"/>
      <c r="AF58" s="902"/>
      <c r="AG58" s="902"/>
      <c r="AH58" s="902"/>
      <c r="AI58" s="902"/>
      <c r="AJ58" s="902"/>
      <c r="AK58" s="902"/>
      <c r="AL58" s="902"/>
      <c r="AM58" s="902"/>
      <c r="AN58" s="901"/>
      <c r="AO58" s="919"/>
      <c r="AP58" s="894"/>
      <c r="AQ58" s="894"/>
      <c r="AR58" s="894"/>
      <c r="AS58" s="894"/>
      <c r="AT58" s="894"/>
      <c r="AU58" s="894"/>
      <c r="AV58" s="918"/>
      <c r="AW58" s="903"/>
      <c r="AX58" s="902"/>
      <c r="AY58" s="902"/>
      <c r="AZ58" s="902"/>
      <c r="BA58" s="902"/>
      <c r="BB58" s="901"/>
      <c r="BC58" s="894"/>
      <c r="BD58" s="894"/>
      <c r="BE58" s="894"/>
      <c r="BF58" s="931"/>
      <c r="BG58" s="930"/>
      <c r="BH58" s="4102" t="s">
        <v>1370</v>
      </c>
      <c r="BI58" s="4103"/>
      <c r="BJ58" s="4103"/>
      <c r="BK58" s="949"/>
      <c r="BL58" s="894"/>
      <c r="BM58" s="894"/>
      <c r="BN58" s="4141" t="s">
        <v>1370</v>
      </c>
      <c r="BO58" s="4141"/>
      <c r="BP58" s="4142"/>
      <c r="BQ58" s="932"/>
      <c r="BR58" s="964"/>
      <c r="BS58" s="894"/>
      <c r="BT58" s="894"/>
      <c r="BU58" s="894"/>
      <c r="BV58" s="894"/>
      <c r="BW58" s="918"/>
      <c r="BX58" s="903"/>
      <c r="BY58" s="902"/>
      <c r="BZ58" s="902"/>
      <c r="CA58" s="901"/>
      <c r="CB58" s="894"/>
      <c r="CC58" s="894"/>
      <c r="CD58" s="888"/>
      <c r="CE58" s="871"/>
      <c r="CF58" s="871"/>
      <c r="CG58" s="871"/>
      <c r="CH58" s="871"/>
      <c r="CI58" s="871"/>
      <c r="CJ58" s="871"/>
      <c r="CK58" s="871"/>
      <c r="CL58" s="871"/>
      <c r="CM58" s="871"/>
      <c r="CN58" s="871"/>
      <c r="CO58" s="871"/>
      <c r="CP58" s="870"/>
      <c r="CQ58" s="4108"/>
      <c r="CR58" s="4108"/>
      <c r="CS58" s="4079"/>
      <c r="CT58" s="4162"/>
      <c r="CU58" s="4163"/>
      <c r="CV58" s="4163"/>
      <c r="CW58" s="4164"/>
      <c r="CX58" s="4083"/>
      <c r="CY58" s="4084"/>
      <c r="CZ58" s="4084"/>
      <c r="DA58" s="4085"/>
      <c r="DB58" s="4083"/>
      <c r="DC58" s="4084"/>
      <c r="DD58" s="4084"/>
      <c r="DE58" s="4085"/>
      <c r="DF58" s="4083"/>
      <c r="DG58" s="4084"/>
      <c r="DH58" s="4084"/>
      <c r="DI58" s="4085"/>
      <c r="DJ58" s="1010"/>
      <c r="DK58" s="1010"/>
      <c r="DL58" s="1010"/>
      <c r="DM58" s="1010"/>
      <c r="DN58" s="1010"/>
      <c r="DO58" s="1010"/>
      <c r="DP58" s="1010"/>
      <c r="DQ58" s="1010"/>
      <c r="DR58" s="1008"/>
      <c r="DS58" s="1001"/>
      <c r="DT58" s="1000"/>
      <c r="DU58" s="1000"/>
      <c r="DV58" s="1000"/>
      <c r="DW58" s="1000"/>
      <c r="DX58" s="1000"/>
      <c r="DY58" s="1000"/>
      <c r="DZ58" s="866"/>
    </row>
    <row r="59" spans="2:130" ht="6" customHeight="1" thickBot="1">
      <c r="B59" s="889"/>
      <c r="C59" s="894"/>
      <c r="D59" s="894"/>
      <c r="E59" s="907"/>
      <c r="F59" s="898"/>
      <c r="G59" s="960"/>
      <c r="H59" s="959"/>
      <c r="I59" s="959"/>
      <c r="J59" s="958"/>
      <c r="K59" s="957"/>
      <c r="L59" s="896"/>
      <c r="M59" s="896"/>
      <c r="N59" s="895"/>
      <c r="O59" s="894"/>
      <c r="P59" s="894"/>
      <c r="Q59" s="894"/>
      <c r="R59" s="894"/>
      <c r="S59" s="894"/>
      <c r="T59" s="894"/>
      <c r="U59" s="894"/>
      <c r="V59" s="894"/>
      <c r="W59" s="894"/>
      <c r="X59" s="894"/>
      <c r="Y59" s="894"/>
      <c r="Z59" s="894"/>
      <c r="AA59" s="907"/>
      <c r="AB59" s="898"/>
      <c r="AC59" s="897"/>
      <c r="AD59" s="896"/>
      <c r="AE59" s="896"/>
      <c r="AF59" s="896"/>
      <c r="AG59" s="896"/>
      <c r="AH59" s="896"/>
      <c r="AI59" s="896"/>
      <c r="AJ59" s="896"/>
      <c r="AK59" s="896"/>
      <c r="AL59" s="896"/>
      <c r="AM59" s="896"/>
      <c r="AN59" s="895"/>
      <c r="AO59" s="919"/>
      <c r="AP59" s="894"/>
      <c r="AQ59" s="894"/>
      <c r="AR59" s="894"/>
      <c r="AS59" s="894"/>
      <c r="AT59" s="894"/>
      <c r="AU59" s="894"/>
      <c r="AV59" s="898"/>
      <c r="AW59" s="897"/>
      <c r="AX59" s="896"/>
      <c r="AY59" s="896"/>
      <c r="AZ59" s="896"/>
      <c r="BA59" s="896"/>
      <c r="BB59" s="895"/>
      <c r="BC59" s="894"/>
      <c r="BD59" s="940"/>
      <c r="BE59" s="940"/>
      <c r="BF59" s="907"/>
      <c r="BG59" s="963"/>
      <c r="BH59" s="4102"/>
      <c r="BI59" s="4103"/>
      <c r="BJ59" s="4103"/>
      <c r="BK59" s="949"/>
      <c r="BL59" s="894"/>
      <c r="BM59" s="894"/>
      <c r="BN59" s="4141"/>
      <c r="BO59" s="4141"/>
      <c r="BP59" s="4142"/>
      <c r="BQ59" s="898"/>
      <c r="BR59" s="960"/>
      <c r="BS59" s="959"/>
      <c r="BT59" s="959"/>
      <c r="BU59" s="959"/>
      <c r="BV59" s="959"/>
      <c r="BW59" s="958"/>
      <c r="BX59" s="957"/>
      <c r="BY59" s="896"/>
      <c r="BZ59" s="896"/>
      <c r="CA59" s="895"/>
      <c r="CB59" s="894"/>
      <c r="CC59" s="894"/>
      <c r="CD59" s="888"/>
      <c r="CE59" s="871"/>
      <c r="CF59" s="871"/>
      <c r="CG59" s="871"/>
      <c r="CH59" s="871"/>
      <c r="CI59" s="871"/>
      <c r="CJ59" s="871"/>
      <c r="CK59" s="871"/>
      <c r="CL59" s="871"/>
      <c r="CM59" s="871"/>
      <c r="CN59" s="871"/>
      <c r="CO59" s="871"/>
      <c r="CP59" s="870"/>
      <c r="CQ59" s="4109"/>
      <c r="CR59" s="4110"/>
      <c r="CS59" s="4111"/>
      <c r="CT59" s="4115" t="str">
        <f>IF(CQ59="","⇐ type選択","")</f>
        <v>⇐ type選択</v>
      </c>
      <c r="CU59" s="4116"/>
      <c r="CV59" s="4116"/>
      <c r="CW59" s="4116"/>
      <c r="CX59" s="4116"/>
      <c r="CY59" s="4116"/>
      <c r="CZ59" s="4116"/>
      <c r="DA59" s="995"/>
      <c r="DB59" s="869"/>
      <c r="DC59" s="869"/>
      <c r="DD59" s="1010"/>
      <c r="DE59" s="1010"/>
      <c r="DF59" s="1010"/>
      <c r="DG59" s="1010"/>
      <c r="DH59" s="1010"/>
      <c r="DI59" s="1010"/>
      <c r="DJ59" s="1010"/>
      <c r="DK59" s="1010"/>
      <c r="DL59" s="1010"/>
      <c r="DM59" s="1010"/>
      <c r="DN59" s="1010"/>
      <c r="DO59" s="1010"/>
      <c r="DP59" s="1010"/>
      <c r="DQ59" s="1010"/>
      <c r="DR59" s="1008"/>
      <c r="DS59" s="1001"/>
      <c r="DT59" s="1000"/>
      <c r="DU59" s="1000"/>
      <c r="DV59" s="1000"/>
      <c r="DW59" s="1000"/>
      <c r="DX59" s="1000"/>
      <c r="DY59" s="1000"/>
      <c r="DZ59" s="866"/>
    </row>
    <row r="60" spans="2:130" ht="6" customHeight="1" thickTop="1">
      <c r="B60" s="889"/>
      <c r="C60" s="894"/>
      <c r="D60" s="894"/>
      <c r="E60" s="894"/>
      <c r="F60" s="900"/>
      <c r="G60" s="899"/>
      <c r="H60" s="894"/>
      <c r="I60" s="894"/>
      <c r="J60" s="894"/>
      <c r="K60" s="894"/>
      <c r="L60" s="894"/>
      <c r="M60" s="894"/>
      <c r="N60" s="894"/>
      <c r="O60" s="894"/>
      <c r="P60" s="894"/>
      <c r="Q60" s="894"/>
      <c r="R60" s="894"/>
      <c r="S60" s="894"/>
      <c r="T60" s="894"/>
      <c r="U60" s="894"/>
      <c r="V60" s="894"/>
      <c r="W60" s="894"/>
      <c r="X60" s="894"/>
      <c r="Y60" s="894"/>
      <c r="Z60" s="894"/>
      <c r="AA60" s="894"/>
      <c r="AB60" s="900"/>
      <c r="AC60" s="899"/>
      <c r="AD60" s="894"/>
      <c r="AE60" s="894"/>
      <c r="AF60" s="894"/>
      <c r="AG60" s="894"/>
      <c r="AH60" s="894"/>
      <c r="AI60" s="894"/>
      <c r="AJ60" s="894"/>
      <c r="AK60" s="894"/>
      <c r="AL60" s="894"/>
      <c r="AM60" s="894"/>
      <c r="AN60" s="894"/>
      <c r="AO60" s="894"/>
      <c r="AP60" s="894"/>
      <c r="AQ60" s="894"/>
      <c r="AR60" s="894"/>
      <c r="AS60" s="894"/>
      <c r="AT60" s="894"/>
      <c r="AU60" s="894"/>
      <c r="AV60" s="900"/>
      <c r="AW60" s="899"/>
      <c r="AX60" s="954"/>
      <c r="AY60" s="954"/>
      <c r="AZ60" s="954"/>
      <c r="BA60" s="954"/>
      <c r="BB60" s="953"/>
      <c r="BC60" s="905"/>
      <c r="BD60" s="944"/>
      <c r="BE60" s="944"/>
      <c r="BF60" s="956"/>
      <c r="BG60" s="894"/>
      <c r="BH60" s="936"/>
      <c r="BI60" s="894"/>
      <c r="BJ60" s="894"/>
      <c r="BK60" s="894"/>
      <c r="BL60" s="894"/>
      <c r="BM60" s="894"/>
      <c r="BN60" s="894"/>
      <c r="BO60" s="894"/>
      <c r="BP60" s="936"/>
      <c r="BQ60" s="900"/>
      <c r="BR60" s="899"/>
      <c r="BS60" s="940"/>
      <c r="BT60" s="940"/>
      <c r="BU60" s="940"/>
      <c r="BV60" s="940"/>
      <c r="BW60" s="907"/>
      <c r="BX60" s="955"/>
      <c r="BY60" s="954"/>
      <c r="BZ60" s="954"/>
      <c r="CA60" s="953"/>
      <c r="CB60" s="894"/>
      <c r="CC60" s="894"/>
      <c r="CD60" s="888"/>
      <c r="CE60" s="871"/>
      <c r="CF60" s="871"/>
      <c r="CG60" s="871"/>
      <c r="CH60" s="871"/>
      <c r="CI60" s="871"/>
      <c r="CJ60" s="871"/>
      <c r="CK60" s="871"/>
      <c r="CL60" s="871"/>
      <c r="CM60" s="871"/>
      <c r="CN60" s="871"/>
      <c r="CO60" s="871"/>
      <c r="CP60" s="870"/>
      <c r="CQ60" s="4112"/>
      <c r="CR60" s="4113"/>
      <c r="CS60" s="4114"/>
      <c r="CT60" s="4115"/>
      <c r="CU60" s="4116"/>
      <c r="CV60" s="4116"/>
      <c r="CW60" s="4116"/>
      <c r="CX60" s="4116"/>
      <c r="CY60" s="4116"/>
      <c r="CZ60" s="4116"/>
      <c r="DA60" s="869"/>
      <c r="DB60" s="869"/>
      <c r="DC60" s="869"/>
      <c r="DD60" s="1010"/>
      <c r="DE60" s="1010"/>
      <c r="DF60" s="1010"/>
      <c r="DG60" s="1010"/>
      <c r="DH60" s="1010"/>
      <c r="DI60" s="1010"/>
      <c r="DJ60" s="1010"/>
      <c r="DK60" s="1010"/>
      <c r="DL60" s="1010"/>
      <c r="DM60" s="1010"/>
      <c r="DN60" s="1010"/>
      <c r="DO60" s="1010"/>
      <c r="DP60" s="1010"/>
      <c r="DQ60" s="1010"/>
      <c r="DR60" s="1008"/>
      <c r="DS60" s="1001"/>
      <c r="DT60" s="1000"/>
      <c r="DU60" s="1000"/>
      <c r="DV60" s="1000"/>
      <c r="DW60" s="1000"/>
      <c r="DX60" s="1000"/>
      <c r="DY60" s="1000"/>
      <c r="DZ60" s="866"/>
    </row>
    <row r="61" spans="2:130" ht="6" customHeight="1">
      <c r="B61" s="889"/>
      <c r="C61" s="894"/>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4"/>
      <c r="AB61" s="894"/>
      <c r="AC61" s="894"/>
      <c r="AD61" s="894"/>
      <c r="AE61" s="894"/>
      <c r="AF61" s="894"/>
      <c r="AG61" s="894"/>
      <c r="AH61" s="894"/>
      <c r="AI61" s="894"/>
      <c r="AJ61" s="894"/>
      <c r="AK61" s="894"/>
      <c r="AL61" s="894"/>
      <c r="AM61" s="894"/>
      <c r="AN61" s="894"/>
      <c r="AO61" s="894"/>
      <c r="AP61" s="894"/>
      <c r="AQ61" s="894"/>
      <c r="AR61" s="894"/>
      <c r="AS61" s="894"/>
      <c r="AT61" s="894"/>
      <c r="AU61" s="894"/>
      <c r="AV61" s="894"/>
      <c r="AW61" s="920"/>
      <c r="AX61" s="936"/>
      <c r="AY61" s="4169" t="s">
        <v>1403</v>
      </c>
      <c r="AZ61" s="4169"/>
      <c r="BA61" s="4169"/>
      <c r="BB61" s="910"/>
      <c r="BC61" s="4170" t="s">
        <v>1402</v>
      </c>
      <c r="BD61" s="4170"/>
      <c r="BE61" s="4170"/>
      <c r="BF61" s="910"/>
      <c r="BG61" s="894"/>
      <c r="BH61" s="894"/>
      <c r="BI61" s="894"/>
      <c r="BJ61" s="894"/>
      <c r="BK61" s="894"/>
      <c r="BL61" s="894"/>
      <c r="BM61" s="894"/>
      <c r="BN61" s="894"/>
      <c r="BO61" s="894"/>
      <c r="BP61" s="894"/>
      <c r="BQ61" s="894"/>
      <c r="BR61" s="920"/>
      <c r="BS61" s="4170" t="s">
        <v>1403</v>
      </c>
      <c r="BT61" s="4170"/>
      <c r="BU61" s="4170"/>
      <c r="BV61" s="1018"/>
      <c r="BW61" s="910"/>
      <c r="BX61" s="4170" t="s">
        <v>1402</v>
      </c>
      <c r="BY61" s="4170"/>
      <c r="BZ61" s="4170"/>
      <c r="CA61" s="910"/>
      <c r="CB61" s="894"/>
      <c r="CC61" s="894"/>
      <c r="CD61" s="888"/>
      <c r="CE61" s="871"/>
      <c r="CF61" s="871"/>
      <c r="CG61" s="871"/>
      <c r="CH61" s="871"/>
      <c r="CI61" s="871"/>
      <c r="CJ61" s="871"/>
      <c r="CK61" s="871"/>
      <c r="CL61" s="871"/>
      <c r="CM61" s="871"/>
      <c r="CN61" s="871"/>
      <c r="CO61" s="871"/>
      <c r="CP61" s="870"/>
      <c r="CQ61" s="4171" t="str">
        <f>IF(CQ59="","","n=")</f>
        <v/>
      </c>
      <c r="CR61" s="4171"/>
      <c r="CS61" s="4171"/>
      <c r="CT61" s="4118" t="b">
        <f>IF(CQ59="D1",DV47,IF(CQ59="D2",DV49,IF(CQ59="D3",DV51,IF(CQ59="D4",DV53))))</f>
        <v>0</v>
      </c>
      <c r="CU61" s="4118"/>
      <c r="CV61" s="4118"/>
      <c r="CW61" s="4118"/>
      <c r="CX61" s="869"/>
      <c r="CY61" s="869"/>
      <c r="CZ61" s="869"/>
      <c r="DA61" s="869"/>
      <c r="DB61" s="946"/>
      <c r="DC61" s="946"/>
      <c r="DD61" s="946"/>
      <c r="DE61" s="946"/>
      <c r="DF61" s="1010"/>
      <c r="DG61" s="1010"/>
      <c r="DH61" s="1010"/>
      <c r="DI61" s="1010"/>
      <c r="DJ61" s="1010"/>
      <c r="DK61" s="1010"/>
      <c r="DL61" s="1010"/>
      <c r="DM61" s="1010"/>
      <c r="DN61" s="1010"/>
      <c r="DO61" s="1010"/>
      <c r="DP61" s="1010"/>
      <c r="DQ61" s="1010"/>
      <c r="DR61" s="1008"/>
      <c r="DS61" s="1001"/>
      <c r="DT61" s="1000"/>
      <c r="DU61" s="1000"/>
      <c r="DV61" s="1000"/>
      <c r="DW61" s="1000"/>
      <c r="DX61" s="1000"/>
      <c r="DY61" s="1000"/>
      <c r="DZ61" s="866"/>
    </row>
    <row r="62" spans="2:130" ht="6" customHeight="1">
      <c r="B62" s="889"/>
      <c r="C62" s="894"/>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4"/>
      <c r="AB62" s="894"/>
      <c r="AC62" s="894"/>
      <c r="AD62" s="894"/>
      <c r="AE62" s="894"/>
      <c r="AF62" s="894"/>
      <c r="AG62" s="894"/>
      <c r="AH62" s="894"/>
      <c r="AI62" s="894"/>
      <c r="AJ62" s="894"/>
      <c r="AK62" s="894"/>
      <c r="AL62" s="894"/>
      <c r="AM62" s="894"/>
      <c r="AN62" s="894"/>
      <c r="AO62" s="894"/>
      <c r="AP62" s="894"/>
      <c r="AQ62" s="894"/>
      <c r="AR62" s="894"/>
      <c r="AS62" s="894"/>
      <c r="AT62" s="894"/>
      <c r="AU62" s="894"/>
      <c r="AV62" s="894"/>
      <c r="AW62" s="894"/>
      <c r="AX62" s="894"/>
      <c r="AY62" s="4144"/>
      <c r="AZ62" s="4144"/>
      <c r="BA62" s="4144"/>
      <c r="BB62" s="894"/>
      <c r="BC62" s="4147"/>
      <c r="BD62" s="4147"/>
      <c r="BE62" s="4147"/>
      <c r="BF62" s="894"/>
      <c r="BG62" s="894"/>
      <c r="BH62" s="894"/>
      <c r="BI62" s="894"/>
      <c r="BJ62" s="894"/>
      <c r="BK62" s="894"/>
      <c r="BL62" s="894"/>
      <c r="BM62" s="894"/>
      <c r="BN62" s="894"/>
      <c r="BO62" s="894"/>
      <c r="BP62" s="894"/>
      <c r="BQ62" s="894"/>
      <c r="BR62" s="894"/>
      <c r="BS62" s="4147"/>
      <c r="BT62" s="4147"/>
      <c r="BU62" s="4147"/>
      <c r="BV62" s="949"/>
      <c r="BW62" s="894"/>
      <c r="BX62" s="4147"/>
      <c r="BY62" s="4147"/>
      <c r="BZ62" s="4147"/>
      <c r="CA62" s="894"/>
      <c r="CB62" s="894"/>
      <c r="CC62" s="894"/>
      <c r="CD62" s="888"/>
      <c r="CE62" s="871"/>
      <c r="CF62" s="871"/>
      <c r="CG62" s="871"/>
      <c r="CH62" s="871"/>
      <c r="CI62" s="871"/>
      <c r="CJ62" s="871"/>
      <c r="CK62" s="871"/>
      <c r="CL62" s="871"/>
      <c r="CM62" s="871"/>
      <c r="CN62" s="871"/>
      <c r="CO62" s="871"/>
      <c r="CP62" s="870"/>
      <c r="CQ62" s="4171"/>
      <c r="CR62" s="4171"/>
      <c r="CS62" s="4171"/>
      <c r="CT62" s="4118"/>
      <c r="CU62" s="4118"/>
      <c r="CV62" s="4118"/>
      <c r="CW62" s="4118"/>
      <c r="CX62" s="869"/>
      <c r="CY62" s="869"/>
      <c r="CZ62" s="869"/>
      <c r="DA62" s="869"/>
      <c r="DB62" s="946"/>
      <c r="DC62" s="946"/>
      <c r="DD62" s="946"/>
      <c r="DE62" s="946"/>
      <c r="DF62" s="1010"/>
      <c r="DG62" s="1010"/>
      <c r="DH62" s="1010"/>
      <c r="DI62" s="1010"/>
      <c r="DJ62" s="1010"/>
      <c r="DK62" s="1010"/>
      <c r="DL62" s="1010"/>
      <c r="DM62" s="1010"/>
      <c r="DN62" s="1010"/>
      <c r="DO62" s="1010"/>
      <c r="DP62" s="1010"/>
      <c r="DQ62" s="1010"/>
      <c r="DR62" s="1008"/>
      <c r="DS62" s="1001"/>
      <c r="DT62" s="1000"/>
      <c r="DU62" s="1000"/>
      <c r="DV62" s="1000"/>
      <c r="DW62" s="1000"/>
      <c r="DX62" s="1000"/>
      <c r="DY62" s="1000"/>
      <c r="DZ62" s="866"/>
    </row>
    <row r="63" spans="2:130" ht="7.5" customHeight="1" thickBot="1">
      <c r="B63" s="889"/>
      <c r="C63" s="1017"/>
      <c r="D63" s="1017"/>
      <c r="E63" s="1006"/>
      <c r="F63" s="1016" t="s">
        <v>1446</v>
      </c>
      <c r="G63" s="873"/>
      <c r="H63" s="873"/>
      <c r="I63" s="873"/>
      <c r="J63" s="873"/>
      <c r="K63" s="873"/>
      <c r="L63" s="873"/>
      <c r="M63" s="873"/>
      <c r="N63" s="873"/>
      <c r="O63" s="873"/>
      <c r="P63" s="873"/>
      <c r="Q63" s="873"/>
      <c r="R63" s="873"/>
      <c r="S63" s="873"/>
      <c r="T63" s="873"/>
      <c r="U63" s="873"/>
      <c r="V63" s="873"/>
      <c r="W63" s="873"/>
      <c r="X63" s="873"/>
      <c r="Y63" s="873"/>
      <c r="Z63" s="1016"/>
      <c r="AA63" s="873"/>
      <c r="AB63" s="1016" t="s">
        <v>1446</v>
      </c>
      <c r="AC63" s="873"/>
      <c r="AD63" s="873"/>
      <c r="AE63" s="873"/>
      <c r="AF63" s="873"/>
      <c r="AG63" s="873"/>
      <c r="AH63" s="873"/>
      <c r="AI63" s="873"/>
      <c r="AJ63" s="873"/>
      <c r="AK63" s="873"/>
      <c r="AL63" s="873"/>
      <c r="AM63" s="873"/>
      <c r="AN63" s="873"/>
      <c r="AO63" s="873"/>
      <c r="AP63" s="873"/>
      <c r="AQ63" s="873"/>
      <c r="AR63" s="873"/>
      <c r="AS63" s="873"/>
      <c r="AT63" s="873"/>
      <c r="AU63" s="873"/>
      <c r="AV63" s="1016" t="s">
        <v>1445</v>
      </c>
      <c r="AW63" s="873"/>
      <c r="AX63" s="873"/>
      <c r="AY63" s="1013"/>
      <c r="AZ63" s="1013"/>
      <c r="BA63" s="1013"/>
      <c r="BB63" s="873"/>
      <c r="BC63" s="1013"/>
      <c r="BD63" s="1013"/>
      <c r="BE63" s="1013"/>
      <c r="BF63" s="873"/>
      <c r="BG63" s="873"/>
      <c r="BH63" s="873"/>
      <c r="BI63" s="873"/>
      <c r="BJ63" s="873"/>
      <c r="BK63" s="873"/>
      <c r="BL63" s="873"/>
      <c r="BM63" s="873"/>
      <c r="BN63" s="873"/>
      <c r="BO63" s="873"/>
      <c r="BP63" s="1016" t="s">
        <v>1445</v>
      </c>
      <c r="BQ63" s="873"/>
      <c r="BR63" s="873"/>
      <c r="BS63" s="873"/>
      <c r="BT63" s="1012"/>
      <c r="BU63" s="1012"/>
      <c r="BV63" s="1012"/>
      <c r="BW63" s="947"/>
      <c r="BX63" s="1012"/>
      <c r="BY63" s="1012"/>
      <c r="BZ63" s="1012"/>
      <c r="CA63" s="947"/>
      <c r="CB63" s="947"/>
      <c r="CC63" s="947"/>
      <c r="CD63" s="1011"/>
      <c r="CE63" s="947"/>
      <c r="CF63" s="947"/>
      <c r="CG63" s="947"/>
      <c r="CH63" s="947"/>
      <c r="CI63" s="947"/>
      <c r="CJ63" s="947"/>
      <c r="CK63" s="947"/>
      <c r="CL63" s="947"/>
      <c r="CM63" s="947"/>
      <c r="CN63" s="947"/>
      <c r="CO63" s="947"/>
      <c r="CP63" s="870"/>
      <c r="CQ63" s="1015"/>
      <c r="CR63" s="1015"/>
      <c r="CS63" s="1015"/>
      <c r="CT63" s="1014"/>
      <c r="CU63" s="1014"/>
      <c r="CV63" s="1014"/>
      <c r="CW63" s="1014"/>
      <c r="CX63" s="869"/>
      <c r="CY63" s="869"/>
      <c r="CZ63" s="869"/>
      <c r="DA63" s="869"/>
      <c r="DB63" s="869"/>
      <c r="DC63" s="869"/>
      <c r="DD63" s="1010"/>
      <c r="DE63" s="1010"/>
      <c r="DF63" s="1010"/>
      <c r="DG63" s="1010"/>
      <c r="DH63" s="1009"/>
      <c r="DI63" s="1009"/>
      <c r="DJ63" s="1009"/>
      <c r="DK63" s="1010"/>
      <c r="DL63" s="1009"/>
      <c r="DM63" s="1009"/>
      <c r="DN63" s="1009"/>
      <c r="DO63" s="1009"/>
      <c r="DP63" s="1009"/>
      <c r="DQ63" s="1009"/>
      <c r="DR63" s="1008"/>
      <c r="DS63" s="1001"/>
      <c r="DT63" s="1000"/>
      <c r="DU63" s="1000"/>
      <c r="DV63" s="1000"/>
      <c r="DW63" s="866"/>
      <c r="DX63" s="866"/>
      <c r="DY63" s="866"/>
      <c r="DZ63" s="866"/>
    </row>
    <row r="64" spans="2:130" ht="7.5" customHeight="1">
      <c r="B64" s="889"/>
      <c r="C64" s="1005"/>
      <c r="D64" s="1007"/>
      <c r="E64" s="1006"/>
      <c r="F64" s="874" t="s">
        <v>1444</v>
      </c>
      <c r="G64" s="873"/>
      <c r="H64" s="873"/>
      <c r="I64" s="873"/>
      <c r="J64" s="873"/>
      <c r="K64" s="873"/>
      <c r="L64" s="873"/>
      <c r="M64" s="873"/>
      <c r="N64" s="873"/>
      <c r="O64" s="873"/>
      <c r="P64" s="873"/>
      <c r="Q64" s="873"/>
      <c r="R64" s="873"/>
      <c r="S64" s="873"/>
      <c r="T64" s="873"/>
      <c r="U64" s="873"/>
      <c r="V64" s="873"/>
      <c r="W64" s="873"/>
      <c r="X64" s="873"/>
      <c r="Y64" s="873"/>
      <c r="Z64" s="874"/>
      <c r="AA64" s="873"/>
      <c r="AB64" s="874" t="s">
        <v>1443</v>
      </c>
      <c r="AC64" s="873"/>
      <c r="AD64" s="873"/>
      <c r="AE64" s="873"/>
      <c r="AF64" s="873"/>
      <c r="AG64" s="873"/>
      <c r="AH64" s="873"/>
      <c r="AI64" s="873"/>
      <c r="AJ64" s="873"/>
      <c r="AK64" s="873"/>
      <c r="AL64" s="873"/>
      <c r="AM64" s="873"/>
      <c r="AN64" s="873"/>
      <c r="AO64" s="873"/>
      <c r="AP64" s="873"/>
      <c r="AQ64" s="873"/>
      <c r="AR64" s="873"/>
      <c r="AS64" s="873"/>
      <c r="AT64" s="873"/>
      <c r="AU64" s="873"/>
      <c r="AV64" s="874" t="s">
        <v>1442</v>
      </c>
      <c r="AW64" s="873"/>
      <c r="AX64" s="873"/>
      <c r="AY64" s="1013"/>
      <c r="AZ64" s="1013"/>
      <c r="BA64" s="1013"/>
      <c r="BB64" s="873"/>
      <c r="BC64" s="1013"/>
      <c r="BD64" s="1013"/>
      <c r="BE64" s="1013"/>
      <c r="BF64" s="873"/>
      <c r="BG64" s="873"/>
      <c r="BH64" s="873"/>
      <c r="BI64" s="873"/>
      <c r="BJ64" s="873"/>
      <c r="BK64" s="873"/>
      <c r="BL64" s="873"/>
      <c r="BM64" s="873"/>
      <c r="BN64" s="873"/>
      <c r="BO64" s="873"/>
      <c r="BP64" s="874" t="s">
        <v>1441</v>
      </c>
      <c r="BQ64" s="873"/>
      <c r="BR64" s="873"/>
      <c r="BS64" s="873"/>
      <c r="BT64" s="1012"/>
      <c r="BU64" s="1012"/>
      <c r="BV64" s="1012"/>
      <c r="BW64" s="947"/>
      <c r="BX64" s="1012"/>
      <c r="BY64" s="1012"/>
      <c r="BZ64" s="1012"/>
      <c r="CA64" s="947"/>
      <c r="CB64" s="947"/>
      <c r="CC64" s="947"/>
      <c r="CD64" s="1011"/>
      <c r="CE64" s="947"/>
      <c r="CF64" s="947"/>
      <c r="CG64" s="947"/>
      <c r="CH64" s="947"/>
      <c r="CI64" s="947"/>
      <c r="CJ64" s="947"/>
      <c r="CK64" s="947"/>
      <c r="CL64" s="947"/>
      <c r="CM64" s="947"/>
      <c r="CN64" s="947"/>
      <c r="CO64" s="947"/>
      <c r="CP64" s="870"/>
      <c r="CQ64" s="4061" t="s">
        <v>1383</v>
      </c>
      <c r="CR64" s="4062"/>
      <c r="CS64" s="4062"/>
      <c r="CT64" s="4062"/>
      <c r="CU64" s="4063"/>
      <c r="CV64" s="869"/>
      <c r="CW64" s="869"/>
      <c r="CX64" s="869"/>
      <c r="CY64" s="869"/>
      <c r="CZ64" s="869"/>
      <c r="DA64" s="869"/>
      <c r="DB64" s="869"/>
      <c r="DC64" s="869"/>
      <c r="DD64" s="1010"/>
      <c r="DE64" s="1010"/>
      <c r="DF64" s="1010"/>
      <c r="DG64" s="1010"/>
      <c r="DH64" s="1009"/>
      <c r="DI64" s="1009"/>
      <c r="DJ64" s="1009"/>
      <c r="DK64" s="1010"/>
      <c r="DL64" s="1009"/>
      <c r="DM64" s="1009"/>
      <c r="DN64" s="1009"/>
      <c r="DO64" s="1009"/>
      <c r="DP64" s="1009"/>
      <c r="DQ64" s="1009"/>
      <c r="DR64" s="1008"/>
      <c r="DS64" s="1001"/>
      <c r="DT64" s="1000"/>
      <c r="DU64" s="1000"/>
      <c r="DV64" s="1000"/>
      <c r="DW64" s="866"/>
      <c r="DX64" s="866"/>
      <c r="DY64" s="866"/>
      <c r="DZ64" s="866"/>
    </row>
    <row r="65" spans="2:130" ht="7.5" customHeight="1" thickBot="1">
      <c r="B65" s="889"/>
      <c r="C65" s="1007"/>
      <c r="D65" s="1007"/>
      <c r="E65" s="1006"/>
      <c r="F65" s="874"/>
      <c r="G65" s="873"/>
      <c r="H65" s="873"/>
      <c r="I65" s="873"/>
      <c r="J65" s="873"/>
      <c r="K65" s="873"/>
      <c r="L65" s="873"/>
      <c r="M65" s="873"/>
      <c r="N65" s="873"/>
      <c r="O65" s="873"/>
      <c r="P65" s="873"/>
      <c r="Q65" s="873"/>
      <c r="R65" s="873"/>
      <c r="S65" s="873"/>
      <c r="T65" s="873"/>
      <c r="U65" s="873"/>
      <c r="V65" s="873"/>
      <c r="W65" s="873"/>
      <c r="X65" s="873"/>
      <c r="Y65" s="873"/>
      <c r="Z65" s="874"/>
      <c r="AA65" s="873"/>
      <c r="AB65" s="874"/>
      <c r="AC65" s="873"/>
      <c r="AD65" s="873"/>
      <c r="AE65" s="873"/>
      <c r="AF65" s="873"/>
      <c r="AG65" s="873"/>
      <c r="AH65" s="873"/>
      <c r="AI65" s="873"/>
      <c r="AJ65" s="873"/>
      <c r="AK65" s="873"/>
      <c r="AL65" s="873"/>
      <c r="AM65" s="873"/>
      <c r="AN65" s="873"/>
      <c r="AO65" s="873"/>
      <c r="AP65" s="873"/>
      <c r="AQ65" s="873"/>
      <c r="AR65" s="873"/>
      <c r="AS65" s="873"/>
      <c r="AT65" s="873"/>
      <c r="AU65" s="873"/>
      <c r="AV65" s="874"/>
      <c r="AW65" s="873"/>
      <c r="AX65" s="873"/>
      <c r="AY65" s="1013"/>
      <c r="AZ65" s="1013"/>
      <c r="BA65" s="1013"/>
      <c r="BB65" s="873"/>
      <c r="BC65" s="1013"/>
      <c r="BD65" s="1013"/>
      <c r="BE65" s="1013"/>
      <c r="BF65" s="873"/>
      <c r="BG65" s="873"/>
      <c r="BH65" s="873"/>
      <c r="BI65" s="873"/>
      <c r="BJ65" s="873"/>
      <c r="BK65" s="873"/>
      <c r="BL65" s="873"/>
      <c r="BM65" s="873"/>
      <c r="BN65" s="873"/>
      <c r="BO65" s="873"/>
      <c r="BP65" s="874" t="s">
        <v>1440</v>
      </c>
      <c r="BQ65" s="873"/>
      <c r="BR65" s="873"/>
      <c r="BS65" s="873"/>
      <c r="BT65" s="1012"/>
      <c r="BU65" s="1012"/>
      <c r="BV65" s="1012"/>
      <c r="BW65" s="947"/>
      <c r="BX65" s="1012"/>
      <c r="BY65" s="1012"/>
      <c r="BZ65" s="1012"/>
      <c r="CA65" s="947"/>
      <c r="CB65" s="947"/>
      <c r="CC65" s="947"/>
      <c r="CD65" s="1011"/>
      <c r="CE65" s="947"/>
      <c r="CF65" s="947"/>
      <c r="CG65" s="947"/>
      <c r="CH65" s="947"/>
      <c r="CI65" s="947"/>
      <c r="CJ65" s="947"/>
      <c r="CK65" s="947"/>
      <c r="CL65" s="947"/>
      <c r="CM65" s="947"/>
      <c r="CN65" s="947"/>
      <c r="CO65" s="947"/>
      <c r="CP65" s="870"/>
      <c r="CQ65" s="4064"/>
      <c r="CR65" s="4065"/>
      <c r="CS65" s="4065"/>
      <c r="CT65" s="4065"/>
      <c r="CU65" s="4066"/>
      <c r="CV65" s="869"/>
      <c r="CW65" s="869"/>
      <c r="CX65" s="869"/>
      <c r="CY65" s="869"/>
      <c r="CZ65" s="869"/>
      <c r="DA65" s="869"/>
      <c r="DB65" s="869"/>
      <c r="DC65" s="869"/>
      <c r="DD65" s="1010"/>
      <c r="DE65" s="1010"/>
      <c r="DF65" s="1010"/>
      <c r="DG65" s="1010"/>
      <c r="DH65" s="1009"/>
      <c r="DI65" s="1009"/>
      <c r="DJ65" s="1009"/>
      <c r="DK65" s="1010"/>
      <c r="DL65" s="1009"/>
      <c r="DM65" s="1009"/>
      <c r="DN65" s="1009"/>
      <c r="DO65" s="1009"/>
      <c r="DP65" s="1009"/>
      <c r="DQ65" s="1009"/>
      <c r="DR65" s="1008"/>
      <c r="DS65" s="1001"/>
      <c r="DT65" s="1000"/>
      <c r="DU65" s="1000"/>
      <c r="DV65" s="1000"/>
      <c r="DW65" s="866"/>
      <c r="DX65" s="866"/>
      <c r="DY65" s="866"/>
      <c r="DZ65" s="866"/>
    </row>
    <row r="66" spans="2:130" ht="6" customHeight="1">
      <c r="B66" s="889"/>
      <c r="C66" s="1007"/>
      <c r="D66" s="1007"/>
      <c r="E66" s="1006"/>
      <c r="F66" s="1005"/>
      <c r="G66" s="1006"/>
      <c r="H66" s="1006"/>
      <c r="I66" s="1006"/>
      <c r="J66" s="1006"/>
      <c r="K66" s="1006"/>
      <c r="L66" s="1006"/>
      <c r="M66" s="1006"/>
      <c r="N66" s="1006"/>
      <c r="O66" s="1006"/>
      <c r="P66" s="1006"/>
      <c r="Q66" s="1006"/>
      <c r="R66" s="1006"/>
      <c r="S66" s="1006"/>
      <c r="T66" s="1006"/>
      <c r="U66" s="1006"/>
      <c r="V66" s="1006"/>
      <c r="W66" s="1006"/>
      <c r="X66" s="1006"/>
      <c r="Y66" s="1006"/>
      <c r="Z66" s="1005"/>
      <c r="AA66" s="1006"/>
      <c r="AB66" s="1005"/>
      <c r="AC66" s="1006"/>
      <c r="AD66" s="1006"/>
      <c r="AE66" s="1006"/>
      <c r="AF66" s="1006"/>
      <c r="AG66" s="1006"/>
      <c r="AH66" s="1006"/>
      <c r="AI66" s="1006"/>
      <c r="AJ66" s="1006"/>
      <c r="AK66" s="1006"/>
      <c r="AL66" s="1006"/>
      <c r="AM66" s="1006"/>
      <c r="AN66" s="1006"/>
      <c r="AO66" s="1006"/>
      <c r="AP66" s="1006"/>
      <c r="AQ66" s="1006"/>
      <c r="AR66" s="894"/>
      <c r="AS66" s="894"/>
      <c r="AT66" s="894"/>
      <c r="AU66" s="894"/>
      <c r="AV66" s="1005"/>
      <c r="AW66" s="894"/>
      <c r="AX66" s="894"/>
      <c r="AY66" s="949"/>
      <c r="AZ66" s="949"/>
      <c r="BA66" s="949"/>
      <c r="BB66" s="894"/>
      <c r="BC66" s="949"/>
      <c r="BD66" s="949"/>
      <c r="BE66" s="949"/>
      <c r="BF66" s="894"/>
      <c r="BG66" s="894"/>
      <c r="BH66" s="894"/>
      <c r="BI66" s="894"/>
      <c r="BJ66" s="894"/>
      <c r="BK66" s="894"/>
      <c r="BL66" s="894"/>
      <c r="BM66" s="894"/>
      <c r="BN66" s="894"/>
      <c r="BO66" s="894"/>
      <c r="BP66" s="1005"/>
      <c r="BQ66" s="894"/>
      <c r="BR66" s="894"/>
      <c r="BS66" s="894"/>
      <c r="BT66" s="949"/>
      <c r="BU66" s="949"/>
      <c r="BV66" s="949"/>
      <c r="BW66" s="894"/>
      <c r="BX66" s="949"/>
      <c r="BY66" s="949"/>
      <c r="BZ66" s="949"/>
      <c r="CA66" s="894"/>
      <c r="CB66" s="894"/>
      <c r="CC66" s="894"/>
      <c r="CD66" s="888"/>
      <c r="CE66" s="871"/>
      <c r="CF66" s="871"/>
      <c r="CG66" s="871"/>
      <c r="CH66" s="871"/>
      <c r="CI66" s="871"/>
      <c r="CJ66" s="871"/>
      <c r="CK66" s="871"/>
      <c r="CL66" s="871"/>
      <c r="CM66" s="871"/>
      <c r="CN66" s="871"/>
      <c r="CO66" s="871"/>
      <c r="CP66" s="881"/>
      <c r="CQ66" s="880"/>
      <c r="CR66" s="880"/>
      <c r="CS66" s="880"/>
      <c r="CT66" s="880"/>
      <c r="CU66" s="880"/>
      <c r="CV66" s="880"/>
      <c r="CW66" s="880"/>
      <c r="CX66" s="880"/>
      <c r="CY66" s="880"/>
      <c r="CZ66" s="880"/>
      <c r="DA66" s="978"/>
      <c r="DB66" s="978"/>
      <c r="DC66" s="978"/>
      <c r="DD66" s="1004"/>
      <c r="DE66" s="1004"/>
      <c r="DF66" s="1004"/>
      <c r="DG66" s="1004"/>
      <c r="DH66" s="1003"/>
      <c r="DI66" s="1003"/>
      <c r="DJ66" s="1003"/>
      <c r="DK66" s="1004"/>
      <c r="DL66" s="1003"/>
      <c r="DM66" s="1003"/>
      <c r="DN66" s="1003"/>
      <c r="DO66" s="1003"/>
      <c r="DP66" s="1003"/>
      <c r="DQ66" s="1003"/>
      <c r="DR66" s="1002"/>
      <c r="DS66" s="1001"/>
      <c r="DT66" s="1000"/>
      <c r="DU66" s="1000"/>
      <c r="DV66" s="1000"/>
      <c r="DW66" s="866"/>
      <c r="DX66" s="866"/>
      <c r="DY66" s="866"/>
      <c r="DZ66" s="866"/>
    </row>
    <row r="67" spans="2:130" ht="6" customHeight="1">
      <c r="B67" s="976"/>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c r="AL67" s="975"/>
      <c r="AM67" s="975"/>
      <c r="AN67" s="975"/>
      <c r="AO67" s="975"/>
      <c r="AP67" s="975"/>
      <c r="AQ67" s="975"/>
      <c r="AR67" s="975"/>
      <c r="AS67" s="975"/>
      <c r="AT67" s="975"/>
      <c r="AU67" s="975"/>
      <c r="AV67" s="975"/>
      <c r="AW67" s="975"/>
      <c r="AX67" s="975"/>
      <c r="AY67" s="975"/>
      <c r="AZ67" s="975"/>
      <c r="BA67" s="975"/>
      <c r="BB67" s="975"/>
      <c r="BC67" s="975"/>
      <c r="BD67" s="975"/>
      <c r="BE67" s="975"/>
      <c r="BF67" s="975"/>
      <c r="BG67" s="975"/>
      <c r="BH67" s="975"/>
      <c r="BI67" s="975"/>
      <c r="BJ67" s="975"/>
      <c r="BK67" s="975"/>
      <c r="BL67" s="975"/>
      <c r="BM67" s="975"/>
      <c r="BN67" s="975"/>
      <c r="BO67" s="975"/>
      <c r="BP67" s="975"/>
      <c r="BQ67" s="975"/>
      <c r="BR67" s="975"/>
      <c r="BS67" s="975"/>
      <c r="BT67" s="975"/>
      <c r="BU67" s="975"/>
      <c r="BV67" s="975"/>
      <c r="BW67" s="975"/>
      <c r="BX67" s="975"/>
      <c r="BY67" s="975"/>
      <c r="BZ67" s="975"/>
      <c r="CA67" s="975"/>
      <c r="CB67" s="975"/>
      <c r="CC67" s="975"/>
      <c r="CD67" s="974"/>
      <c r="CE67" s="871"/>
      <c r="CF67" s="871"/>
      <c r="CG67" s="871"/>
      <c r="CH67" s="871"/>
      <c r="CI67" s="871"/>
      <c r="CJ67" s="871"/>
      <c r="CK67" s="871"/>
      <c r="CL67" s="871"/>
      <c r="CM67" s="871"/>
      <c r="CN67" s="871"/>
      <c r="CO67" s="871"/>
      <c r="CP67" s="973"/>
      <c r="CQ67" s="973"/>
      <c r="CR67" s="973"/>
      <c r="CS67" s="973"/>
      <c r="CT67" s="4166" t="s">
        <v>1435</v>
      </c>
      <c r="CU67" s="4166"/>
      <c r="CV67" s="4166"/>
      <c r="CW67" s="4166"/>
      <c r="CX67" s="4166" t="s">
        <v>1435</v>
      </c>
      <c r="CY67" s="4166"/>
      <c r="CZ67" s="4166"/>
      <c r="DA67" s="4038"/>
      <c r="DB67" s="4038" t="s">
        <v>1433</v>
      </c>
      <c r="DC67" s="4038"/>
      <c r="DD67" s="4038"/>
      <c r="DE67" s="4038"/>
      <c r="DF67" s="4038" t="s">
        <v>1432</v>
      </c>
      <c r="DG67" s="4038"/>
      <c r="DH67" s="4038"/>
      <c r="DI67" s="4038"/>
      <c r="DJ67" s="994"/>
      <c r="DK67" s="994"/>
      <c r="DL67" s="994"/>
      <c r="DM67" s="994"/>
      <c r="DN67" s="994"/>
      <c r="DO67" s="994"/>
      <c r="DP67" s="994"/>
      <c r="DQ67" s="994"/>
      <c r="DR67" s="993"/>
      <c r="DS67" s="992"/>
      <c r="DT67" s="991"/>
      <c r="DU67" s="991"/>
      <c r="DV67" s="991"/>
      <c r="DW67" s="991"/>
      <c r="DX67" s="991"/>
      <c r="DY67" s="991"/>
      <c r="DZ67" s="866"/>
    </row>
    <row r="68" spans="2:130" ht="6" customHeight="1">
      <c r="B68" s="889"/>
      <c r="C68" s="871"/>
      <c r="D68" s="871"/>
      <c r="E68" s="871"/>
      <c r="F68" s="871"/>
      <c r="G68" s="871"/>
      <c r="H68" s="871"/>
      <c r="I68" s="871"/>
      <c r="J68" s="4047" t="s">
        <v>1439</v>
      </c>
      <c r="K68" s="4047"/>
      <c r="L68" s="4047"/>
      <c r="M68" s="4047"/>
      <c r="N68" s="4046" t="s">
        <v>1414</v>
      </c>
      <c r="O68" s="4046"/>
      <c r="P68" s="4046"/>
      <c r="Q68" s="4046"/>
      <c r="R68" s="871"/>
      <c r="S68" s="871"/>
      <c r="T68" s="871"/>
      <c r="U68" s="871"/>
      <c r="V68" s="871"/>
      <c r="W68" s="871"/>
      <c r="X68" s="871"/>
      <c r="Y68" s="871"/>
      <c r="Z68" s="871"/>
      <c r="AA68" s="871"/>
      <c r="AB68" s="871"/>
      <c r="AC68" s="871"/>
      <c r="AD68" s="871"/>
      <c r="AE68" s="4047" t="s">
        <v>1438</v>
      </c>
      <c r="AF68" s="4047"/>
      <c r="AG68" s="4047"/>
      <c r="AH68" s="4047"/>
      <c r="AI68" s="4046" t="s">
        <v>1414</v>
      </c>
      <c r="AJ68" s="4046"/>
      <c r="AK68" s="4046"/>
      <c r="AL68" s="4046"/>
      <c r="AM68" s="871"/>
      <c r="AN68" s="871"/>
      <c r="AO68" s="871"/>
      <c r="AP68" s="871"/>
      <c r="AQ68" s="871"/>
      <c r="AR68" s="871"/>
      <c r="AS68" s="871"/>
      <c r="AT68" s="871"/>
      <c r="AU68" s="871"/>
      <c r="AV68" s="871"/>
      <c r="AW68" s="871"/>
      <c r="AX68" s="871"/>
      <c r="AY68" s="871"/>
      <c r="AZ68" s="4047" t="s">
        <v>1437</v>
      </c>
      <c r="BA68" s="4047"/>
      <c r="BB68" s="4047"/>
      <c r="BC68" s="4047"/>
      <c r="BD68" s="4046" t="s">
        <v>1414</v>
      </c>
      <c r="BE68" s="4046"/>
      <c r="BF68" s="4046"/>
      <c r="BG68" s="4046"/>
      <c r="BH68" s="871"/>
      <c r="BI68" s="871"/>
      <c r="BJ68" s="871"/>
      <c r="BK68" s="871"/>
      <c r="BL68" s="871"/>
      <c r="BM68" s="871"/>
      <c r="BN68" s="871"/>
      <c r="BO68" s="871"/>
      <c r="BP68" s="871"/>
      <c r="BQ68" s="871"/>
      <c r="BR68" s="871"/>
      <c r="BS68" s="871"/>
      <c r="BT68" s="4047" t="s">
        <v>1436</v>
      </c>
      <c r="BU68" s="4047"/>
      <c r="BV68" s="4047"/>
      <c r="BW68" s="4047"/>
      <c r="BX68" s="4046" t="s">
        <v>1414</v>
      </c>
      <c r="BY68" s="4046"/>
      <c r="BZ68" s="4046"/>
      <c r="CA68" s="4046"/>
      <c r="CB68" s="871"/>
      <c r="CC68" s="871"/>
      <c r="CD68" s="888"/>
      <c r="CE68" s="871"/>
      <c r="CF68" s="871"/>
      <c r="CG68" s="871"/>
      <c r="CH68" s="871"/>
      <c r="CI68" s="871"/>
      <c r="CJ68" s="871"/>
      <c r="CK68" s="871"/>
      <c r="CL68" s="871"/>
      <c r="CM68" s="871"/>
      <c r="CN68" s="871"/>
      <c r="CO68" s="871"/>
      <c r="CP68" s="972"/>
      <c r="CQ68" s="972"/>
      <c r="CR68" s="972"/>
      <c r="CS68" s="972"/>
      <c r="CT68" s="4039"/>
      <c r="CU68" s="4039"/>
      <c r="CV68" s="4039"/>
      <c r="CW68" s="4039"/>
      <c r="CX68" s="4039"/>
      <c r="CY68" s="4039"/>
      <c r="CZ68" s="4039"/>
      <c r="DA68" s="4039"/>
      <c r="DB68" s="4039"/>
      <c r="DC68" s="4039"/>
      <c r="DD68" s="4039"/>
      <c r="DE68" s="4039"/>
      <c r="DF68" s="4039"/>
      <c r="DG68" s="4039"/>
      <c r="DH68" s="4039"/>
      <c r="DI68" s="4039"/>
      <c r="DJ68" s="994"/>
      <c r="DK68" s="994"/>
      <c r="DL68" s="994"/>
      <c r="DM68" s="994"/>
      <c r="DN68" s="994"/>
      <c r="DO68" s="994"/>
      <c r="DP68" s="994"/>
      <c r="DQ68" s="994"/>
      <c r="DR68" s="993"/>
      <c r="DS68" s="992"/>
      <c r="DT68" s="991"/>
      <c r="DU68" s="991"/>
      <c r="DV68" s="991"/>
      <c r="DW68" s="991"/>
      <c r="DX68" s="991"/>
      <c r="DY68" s="991"/>
      <c r="DZ68" s="866"/>
    </row>
    <row r="69" spans="2:130" ht="6" customHeight="1">
      <c r="B69" s="889"/>
      <c r="C69" s="871"/>
      <c r="D69" s="871"/>
      <c r="E69" s="871"/>
      <c r="F69" s="871"/>
      <c r="G69" s="871"/>
      <c r="H69" s="871"/>
      <c r="I69" s="871"/>
      <c r="J69" s="4047"/>
      <c r="K69" s="4047"/>
      <c r="L69" s="4047"/>
      <c r="M69" s="4047"/>
      <c r="N69" s="4046"/>
      <c r="O69" s="4046"/>
      <c r="P69" s="4046"/>
      <c r="Q69" s="4046"/>
      <c r="R69" s="871"/>
      <c r="S69" s="871"/>
      <c r="T69" s="871"/>
      <c r="U69" s="871"/>
      <c r="V69" s="871"/>
      <c r="W69" s="871"/>
      <c r="X69" s="871"/>
      <c r="Y69" s="871"/>
      <c r="Z69" s="871"/>
      <c r="AA69" s="871"/>
      <c r="AB69" s="871"/>
      <c r="AC69" s="871"/>
      <c r="AD69" s="871"/>
      <c r="AE69" s="4047"/>
      <c r="AF69" s="4047"/>
      <c r="AG69" s="4047"/>
      <c r="AH69" s="4047"/>
      <c r="AI69" s="4046"/>
      <c r="AJ69" s="4046"/>
      <c r="AK69" s="4046"/>
      <c r="AL69" s="4046"/>
      <c r="AM69" s="871"/>
      <c r="AN69" s="871"/>
      <c r="AO69" s="871"/>
      <c r="AP69" s="871"/>
      <c r="AQ69" s="871"/>
      <c r="AR69" s="871"/>
      <c r="AS69" s="871"/>
      <c r="AT69" s="871"/>
      <c r="AU69" s="871"/>
      <c r="AV69" s="871"/>
      <c r="AW69" s="871"/>
      <c r="AX69" s="871"/>
      <c r="AY69" s="871"/>
      <c r="AZ69" s="4047"/>
      <c r="BA69" s="4047"/>
      <c r="BB69" s="4047"/>
      <c r="BC69" s="4047"/>
      <c r="BD69" s="4046"/>
      <c r="BE69" s="4046"/>
      <c r="BF69" s="4046"/>
      <c r="BG69" s="4046"/>
      <c r="BH69" s="871"/>
      <c r="BI69" s="871"/>
      <c r="BJ69" s="871"/>
      <c r="BK69" s="871"/>
      <c r="BL69" s="871"/>
      <c r="BM69" s="871"/>
      <c r="BN69" s="871"/>
      <c r="BO69" s="871"/>
      <c r="BP69" s="871"/>
      <c r="BQ69" s="871"/>
      <c r="BR69" s="871"/>
      <c r="BS69" s="871"/>
      <c r="BT69" s="4047"/>
      <c r="BU69" s="4047"/>
      <c r="BV69" s="4047"/>
      <c r="BW69" s="4047"/>
      <c r="BX69" s="4046"/>
      <c r="BY69" s="4046"/>
      <c r="BZ69" s="4046"/>
      <c r="CA69" s="4046"/>
      <c r="CB69" s="871"/>
      <c r="CC69" s="871"/>
      <c r="CD69" s="888"/>
      <c r="CE69" s="871"/>
      <c r="CF69" s="871"/>
      <c r="CG69" s="871"/>
      <c r="CH69" s="871"/>
      <c r="CI69" s="871"/>
      <c r="CJ69" s="871"/>
      <c r="CK69" s="871"/>
      <c r="CL69" s="871"/>
      <c r="CM69" s="871"/>
      <c r="CN69" s="871"/>
      <c r="CO69" s="871"/>
      <c r="CP69" s="869"/>
      <c r="CQ69" s="4078" t="s">
        <v>1403</v>
      </c>
      <c r="CR69" s="4078"/>
      <c r="CS69" s="4079" t="s">
        <v>1399</v>
      </c>
      <c r="CT69" s="4159"/>
      <c r="CU69" s="4160"/>
      <c r="CV69" s="4160"/>
      <c r="CW69" s="4161"/>
      <c r="CX69" s="4159"/>
      <c r="CY69" s="4160"/>
      <c r="CZ69" s="4160"/>
      <c r="DA69" s="4161"/>
      <c r="DB69" s="4159"/>
      <c r="DC69" s="4160"/>
      <c r="DD69" s="4160"/>
      <c r="DE69" s="4161"/>
      <c r="DF69" s="4159"/>
      <c r="DG69" s="4160"/>
      <c r="DH69" s="4160"/>
      <c r="DI69" s="4161"/>
      <c r="DJ69" s="994"/>
      <c r="DK69" s="994"/>
      <c r="DL69" s="994"/>
      <c r="DM69" s="994"/>
      <c r="DN69" s="994"/>
      <c r="DO69" s="994"/>
      <c r="DP69" s="994"/>
      <c r="DQ69" s="994"/>
      <c r="DR69" s="993"/>
      <c r="DS69" s="4040" t="s">
        <v>1435</v>
      </c>
      <c r="DT69" s="4041"/>
      <c r="DU69" s="4042"/>
      <c r="DV69" s="4086" t="str">
        <f>IF(DV70&gt;=1,DV70,1/DV70)</f>
        <v/>
      </c>
      <c r="DW69" s="4087"/>
      <c r="DX69" s="4087"/>
      <c r="DY69" s="4088"/>
      <c r="DZ69" s="866"/>
    </row>
    <row r="70" spans="2:130" ht="6" customHeight="1">
      <c r="B70" s="889"/>
      <c r="C70" s="894"/>
      <c r="D70" s="894"/>
      <c r="E70" s="894"/>
      <c r="F70" s="894"/>
      <c r="G70" s="4076" t="s">
        <v>1401</v>
      </c>
      <c r="H70" s="4076"/>
      <c r="I70" s="4076"/>
      <c r="J70" s="894"/>
      <c r="K70" s="894"/>
      <c r="L70" s="894"/>
      <c r="M70" s="894"/>
      <c r="N70" s="894"/>
      <c r="O70" s="894"/>
      <c r="P70" s="894"/>
      <c r="Q70" s="894"/>
      <c r="R70" s="894"/>
      <c r="S70" s="894"/>
      <c r="T70" s="894"/>
      <c r="U70" s="894"/>
      <c r="V70" s="894"/>
      <c r="W70" s="894"/>
      <c r="X70" s="894"/>
      <c r="Y70" s="894"/>
      <c r="Z70" s="894"/>
      <c r="AA70" s="894"/>
      <c r="AB70" s="894"/>
      <c r="AC70" s="894"/>
      <c r="AD70" s="4092" t="s">
        <v>1401</v>
      </c>
      <c r="AE70" s="4092"/>
      <c r="AF70" s="4092"/>
      <c r="AG70" s="894"/>
      <c r="AH70" s="894"/>
      <c r="AI70" s="894"/>
      <c r="AJ70" s="894"/>
      <c r="AK70" s="894"/>
      <c r="AL70" s="894"/>
      <c r="AM70" s="894"/>
      <c r="AN70" s="894"/>
      <c r="AO70" s="894"/>
      <c r="AP70" s="894"/>
      <c r="AQ70" s="894"/>
      <c r="AR70" s="894"/>
      <c r="AS70" s="894"/>
      <c r="AT70" s="894"/>
      <c r="AU70" s="894"/>
      <c r="AV70" s="894"/>
      <c r="AW70" s="4076" t="s">
        <v>1401</v>
      </c>
      <c r="AX70" s="4076"/>
      <c r="AY70" s="4076"/>
      <c r="AZ70" s="971"/>
      <c r="BA70" s="4092" t="s">
        <v>1412</v>
      </c>
      <c r="BB70" s="4092"/>
      <c r="BC70" s="4092"/>
      <c r="BD70" s="894"/>
      <c r="BE70" s="894"/>
      <c r="BF70" s="894"/>
      <c r="BG70" s="894"/>
      <c r="BH70" s="894"/>
      <c r="BI70" s="894"/>
      <c r="BJ70" s="894"/>
      <c r="BK70" s="894"/>
      <c r="BL70" s="894"/>
      <c r="BM70" s="894"/>
      <c r="BN70" s="894"/>
      <c r="BO70" s="894"/>
      <c r="BP70" s="894"/>
      <c r="BQ70" s="4076" t="s">
        <v>1401</v>
      </c>
      <c r="BR70" s="4076"/>
      <c r="BS70" s="4076"/>
      <c r="BT70" s="971"/>
      <c r="BU70" s="4092" t="s">
        <v>1412</v>
      </c>
      <c r="BV70" s="4092"/>
      <c r="BW70" s="4092"/>
      <c r="BX70" s="894"/>
      <c r="BY70" s="894"/>
      <c r="BZ70" s="894"/>
      <c r="CA70" s="894"/>
      <c r="CB70" s="894"/>
      <c r="CC70" s="894"/>
      <c r="CD70" s="931"/>
      <c r="CE70" s="894"/>
      <c r="CF70" s="894"/>
      <c r="CG70" s="894"/>
      <c r="CH70" s="894"/>
      <c r="CI70" s="894"/>
      <c r="CJ70" s="894"/>
      <c r="CK70" s="894"/>
      <c r="CL70" s="894"/>
      <c r="CM70" s="894"/>
      <c r="CN70" s="894"/>
      <c r="CO70" s="894"/>
      <c r="CP70" s="869"/>
      <c r="CQ70" s="4078"/>
      <c r="CR70" s="4078"/>
      <c r="CS70" s="4079"/>
      <c r="CT70" s="4162"/>
      <c r="CU70" s="4163"/>
      <c r="CV70" s="4163"/>
      <c r="CW70" s="4164"/>
      <c r="CX70" s="4162"/>
      <c r="CY70" s="4163"/>
      <c r="CZ70" s="4163"/>
      <c r="DA70" s="4164"/>
      <c r="DB70" s="4162"/>
      <c r="DC70" s="4163"/>
      <c r="DD70" s="4163"/>
      <c r="DE70" s="4164"/>
      <c r="DF70" s="4162"/>
      <c r="DG70" s="4163"/>
      <c r="DH70" s="4163"/>
      <c r="DI70" s="4164"/>
      <c r="DJ70" s="994"/>
      <c r="DK70" s="994"/>
      <c r="DL70" s="994"/>
      <c r="DM70" s="994"/>
      <c r="DN70" s="994"/>
      <c r="DO70" s="994"/>
      <c r="DP70" s="994"/>
      <c r="DQ70" s="994"/>
      <c r="DR70" s="993"/>
      <c r="DS70" s="4043"/>
      <c r="DT70" s="4044"/>
      <c r="DU70" s="4045"/>
      <c r="DV70" s="4140" t="str">
        <f>IF(CQ85="","",ABS((CT69+CT71)^2/((CT69+CT71)*(CT77+CT79)-CT71*CT81-CT73*CT79)))</f>
        <v/>
      </c>
      <c r="DW70" s="4090"/>
      <c r="DX70" s="4090"/>
      <c r="DY70" s="4091"/>
      <c r="DZ70" s="866"/>
    </row>
    <row r="71" spans="2:130" ht="6" customHeight="1">
      <c r="B71" s="889"/>
      <c r="C71" s="894"/>
      <c r="D71" s="894"/>
      <c r="E71" s="894"/>
      <c r="F71" s="931"/>
      <c r="G71" s="4077"/>
      <c r="H71" s="4077"/>
      <c r="I71" s="4077"/>
      <c r="J71" s="932"/>
      <c r="K71" s="894"/>
      <c r="L71" s="894"/>
      <c r="M71" s="894"/>
      <c r="N71" s="894"/>
      <c r="O71" s="894"/>
      <c r="P71" s="894"/>
      <c r="Q71" s="894"/>
      <c r="R71" s="894"/>
      <c r="S71" s="894"/>
      <c r="T71" s="894"/>
      <c r="U71" s="894"/>
      <c r="V71" s="894"/>
      <c r="W71" s="894"/>
      <c r="X71" s="894"/>
      <c r="Y71" s="894"/>
      <c r="Z71" s="894"/>
      <c r="AA71" s="905"/>
      <c r="AB71" s="940"/>
      <c r="AC71" s="940"/>
      <c r="AD71" s="4093"/>
      <c r="AE71" s="4093"/>
      <c r="AF71" s="4093"/>
      <c r="AG71" s="940"/>
      <c r="AH71" s="907"/>
      <c r="AI71" s="894"/>
      <c r="AJ71" s="894"/>
      <c r="AK71" s="894"/>
      <c r="AL71" s="894"/>
      <c r="AM71" s="894"/>
      <c r="AN71" s="894"/>
      <c r="AO71" s="894"/>
      <c r="AP71" s="894"/>
      <c r="AQ71" s="894"/>
      <c r="AR71" s="894"/>
      <c r="AS71" s="894"/>
      <c r="AT71" s="894"/>
      <c r="AU71" s="894"/>
      <c r="AV71" s="931"/>
      <c r="AW71" s="4077"/>
      <c r="AX71" s="4077"/>
      <c r="AY71" s="4077"/>
      <c r="AZ71" s="999"/>
      <c r="BA71" s="4093"/>
      <c r="BB71" s="4093"/>
      <c r="BC71" s="4093"/>
      <c r="BD71" s="932"/>
      <c r="BE71" s="894"/>
      <c r="BF71" s="894"/>
      <c r="BG71" s="894"/>
      <c r="BH71" s="894"/>
      <c r="BI71" s="894"/>
      <c r="BJ71" s="894"/>
      <c r="BK71" s="894"/>
      <c r="BL71" s="894"/>
      <c r="BM71" s="894"/>
      <c r="BN71" s="894"/>
      <c r="BO71" s="894"/>
      <c r="BP71" s="931"/>
      <c r="BQ71" s="4077"/>
      <c r="BR71" s="4077"/>
      <c r="BS71" s="4077"/>
      <c r="BT71" s="999"/>
      <c r="BU71" s="4093"/>
      <c r="BV71" s="4093"/>
      <c r="BW71" s="4093"/>
      <c r="BX71" s="932"/>
      <c r="BY71" s="894"/>
      <c r="BZ71" s="894"/>
      <c r="CA71" s="894"/>
      <c r="CB71" s="894"/>
      <c r="CC71" s="894"/>
      <c r="CD71" s="931"/>
      <c r="CE71" s="894"/>
      <c r="CF71" s="894"/>
      <c r="CG71" s="894"/>
      <c r="CH71" s="894"/>
      <c r="CI71" s="894"/>
      <c r="CJ71" s="894"/>
      <c r="CK71" s="894"/>
      <c r="CL71" s="894"/>
      <c r="CM71" s="894"/>
      <c r="CN71" s="894"/>
      <c r="CO71" s="894"/>
      <c r="CP71" s="869"/>
      <c r="CQ71" s="4078" t="s">
        <v>1402</v>
      </c>
      <c r="CR71" s="4078"/>
      <c r="CS71" s="4079" t="s">
        <v>1399</v>
      </c>
      <c r="CT71" s="4159"/>
      <c r="CU71" s="4160"/>
      <c r="CV71" s="4160"/>
      <c r="CW71" s="4161"/>
      <c r="CX71" s="4159"/>
      <c r="CY71" s="4160"/>
      <c r="CZ71" s="4160"/>
      <c r="DA71" s="4161"/>
      <c r="DB71" s="4159"/>
      <c r="DC71" s="4160"/>
      <c r="DD71" s="4160"/>
      <c r="DE71" s="4161"/>
      <c r="DF71" s="4159"/>
      <c r="DG71" s="4160"/>
      <c r="DH71" s="4160"/>
      <c r="DI71" s="4161"/>
      <c r="DJ71" s="994"/>
      <c r="DK71" s="994"/>
      <c r="DL71" s="994"/>
      <c r="DM71" s="994"/>
      <c r="DN71" s="994"/>
      <c r="DO71" s="994"/>
      <c r="DP71" s="994"/>
      <c r="DQ71" s="994"/>
      <c r="DR71" s="993"/>
      <c r="DS71" s="4040" t="s">
        <v>1434</v>
      </c>
      <c r="DT71" s="4041"/>
      <c r="DU71" s="4042"/>
      <c r="DV71" s="4086" t="str">
        <f>IF(DV72&gt;=1,DV72,1/DV72)</f>
        <v/>
      </c>
      <c r="DW71" s="4087"/>
      <c r="DX71" s="4087"/>
      <c r="DY71" s="4088"/>
      <c r="DZ71" s="866"/>
    </row>
    <row r="72" spans="2:130" ht="6" customHeight="1" thickBot="1">
      <c r="B72" s="889"/>
      <c r="C72" s="894"/>
      <c r="D72" s="894"/>
      <c r="E72" s="894"/>
      <c r="F72" s="907"/>
      <c r="G72" s="945"/>
      <c r="H72" s="944"/>
      <c r="I72" s="910"/>
      <c r="J72" s="894"/>
      <c r="K72" s="894"/>
      <c r="L72" s="894"/>
      <c r="M72" s="894"/>
      <c r="N72" s="894"/>
      <c r="O72" s="894"/>
      <c r="P72" s="894"/>
      <c r="Q72" s="894"/>
      <c r="R72" s="894"/>
      <c r="S72" s="894"/>
      <c r="T72" s="894"/>
      <c r="U72" s="894"/>
      <c r="V72" s="894"/>
      <c r="W72" s="894"/>
      <c r="X72" s="894"/>
      <c r="Y72" s="894"/>
      <c r="Z72" s="894"/>
      <c r="AA72" s="943"/>
      <c r="AB72" s="942"/>
      <c r="AC72" s="942"/>
      <c r="AD72" s="942"/>
      <c r="AE72" s="942"/>
      <c r="AF72" s="942"/>
      <c r="AG72" s="942"/>
      <c r="AH72" s="941"/>
      <c r="AI72" s="894"/>
      <c r="AJ72" s="894"/>
      <c r="AK72" s="894"/>
      <c r="AL72" s="894"/>
      <c r="AM72" s="894"/>
      <c r="AN72" s="894"/>
      <c r="AO72" s="894"/>
      <c r="AP72" s="894"/>
      <c r="AQ72" s="894"/>
      <c r="AR72" s="894"/>
      <c r="AS72" s="894"/>
      <c r="AT72" s="894"/>
      <c r="AU72" s="894"/>
      <c r="AV72" s="894"/>
      <c r="AW72" s="945"/>
      <c r="AX72" s="944"/>
      <c r="AY72" s="910"/>
      <c r="AZ72" s="943"/>
      <c r="BA72" s="942"/>
      <c r="BB72" s="942"/>
      <c r="BC72" s="941"/>
      <c r="BD72" s="894"/>
      <c r="BE72" s="894"/>
      <c r="BF72" s="894"/>
      <c r="BG72" s="894"/>
      <c r="BH72" s="894"/>
      <c r="BI72" s="894"/>
      <c r="BJ72" s="894"/>
      <c r="BK72" s="894"/>
      <c r="BL72" s="894"/>
      <c r="BM72" s="894"/>
      <c r="BN72" s="894"/>
      <c r="BO72" s="894"/>
      <c r="BP72" s="894"/>
      <c r="BQ72" s="945"/>
      <c r="BR72" s="944"/>
      <c r="BS72" s="910"/>
      <c r="BT72" s="943"/>
      <c r="BU72" s="942"/>
      <c r="BV72" s="942"/>
      <c r="BW72" s="941"/>
      <c r="BX72" s="894"/>
      <c r="BY72" s="894"/>
      <c r="BZ72" s="894"/>
      <c r="CA72" s="894"/>
      <c r="CB72" s="894"/>
      <c r="CC72" s="894"/>
      <c r="CD72" s="931"/>
      <c r="CE72" s="894"/>
      <c r="CF72" s="894"/>
      <c r="CG72" s="894"/>
      <c r="CH72" s="894"/>
      <c r="CI72" s="894"/>
      <c r="CJ72" s="894"/>
      <c r="CK72" s="894"/>
      <c r="CL72" s="894"/>
      <c r="CM72" s="894"/>
      <c r="CN72" s="894"/>
      <c r="CO72" s="894"/>
      <c r="CP72" s="869"/>
      <c r="CQ72" s="4078"/>
      <c r="CR72" s="4078"/>
      <c r="CS72" s="4079"/>
      <c r="CT72" s="4162"/>
      <c r="CU72" s="4163"/>
      <c r="CV72" s="4163"/>
      <c r="CW72" s="4164"/>
      <c r="CX72" s="4162"/>
      <c r="CY72" s="4163"/>
      <c r="CZ72" s="4163"/>
      <c r="DA72" s="4164"/>
      <c r="DB72" s="4162"/>
      <c r="DC72" s="4163"/>
      <c r="DD72" s="4163"/>
      <c r="DE72" s="4164"/>
      <c r="DF72" s="4162"/>
      <c r="DG72" s="4163"/>
      <c r="DH72" s="4163"/>
      <c r="DI72" s="4164"/>
      <c r="DJ72" s="994"/>
      <c r="DK72" s="994"/>
      <c r="DL72" s="994"/>
      <c r="DM72" s="994"/>
      <c r="DN72" s="994"/>
      <c r="DO72" s="994"/>
      <c r="DP72" s="994"/>
      <c r="DQ72" s="994"/>
      <c r="DR72" s="993"/>
      <c r="DS72" s="4043"/>
      <c r="DT72" s="4044"/>
      <c r="DU72" s="4045"/>
      <c r="DV72" s="4089" t="str">
        <f>IF(CQ85="","",(CX69+CX71)^2/ABS((CX69+CX71)*(CX77+CX79)-CX69*CX77-(CX69+CX71-CX73)*(CX77+CX79-CX81)))</f>
        <v/>
      </c>
      <c r="DW72" s="4090"/>
      <c r="DX72" s="4090"/>
      <c r="DY72" s="4091"/>
      <c r="DZ72" s="866"/>
    </row>
    <row r="73" spans="2:130" ht="6" customHeight="1">
      <c r="B73" s="889"/>
      <c r="C73" s="894"/>
      <c r="D73" s="894"/>
      <c r="E73" s="910"/>
      <c r="F73" s="935"/>
      <c r="G73" s="920"/>
      <c r="H73" s="936"/>
      <c r="I73" s="918"/>
      <c r="J73" s="937"/>
      <c r="K73" s="923"/>
      <c r="L73" s="923"/>
      <c r="M73" s="923"/>
      <c r="N73" s="923"/>
      <c r="O73" s="923"/>
      <c r="P73" s="923"/>
      <c r="Q73" s="922"/>
      <c r="R73" s="894"/>
      <c r="S73" s="894"/>
      <c r="T73" s="894"/>
      <c r="U73" s="894"/>
      <c r="V73" s="894"/>
      <c r="W73" s="894"/>
      <c r="X73" s="894"/>
      <c r="Y73" s="910"/>
      <c r="Z73" s="926"/>
      <c r="AA73" s="937"/>
      <c r="AB73" s="923"/>
      <c r="AC73" s="923"/>
      <c r="AD73" s="923"/>
      <c r="AE73" s="923"/>
      <c r="AF73" s="923"/>
      <c r="AG73" s="923"/>
      <c r="AH73" s="922"/>
      <c r="AI73" s="894"/>
      <c r="AJ73" s="894"/>
      <c r="AK73" s="894"/>
      <c r="AL73" s="894"/>
      <c r="AM73" s="894"/>
      <c r="AN73" s="894"/>
      <c r="AO73" s="894"/>
      <c r="AP73" s="894"/>
      <c r="AQ73" s="894"/>
      <c r="AR73" s="894"/>
      <c r="AS73" s="894"/>
      <c r="AT73" s="894"/>
      <c r="AU73" s="910"/>
      <c r="AV73" s="935"/>
      <c r="AW73" s="920"/>
      <c r="AX73" s="936"/>
      <c r="AY73" s="894"/>
      <c r="AZ73" s="937"/>
      <c r="BA73" s="923"/>
      <c r="BB73" s="923"/>
      <c r="BC73" s="922"/>
      <c r="BD73" s="894"/>
      <c r="BE73" s="894"/>
      <c r="BF73" s="894"/>
      <c r="BG73" s="894"/>
      <c r="BH73" s="894"/>
      <c r="BI73" s="894"/>
      <c r="BJ73" s="894"/>
      <c r="BK73" s="894"/>
      <c r="BL73" s="894"/>
      <c r="BM73" s="894"/>
      <c r="BN73" s="894"/>
      <c r="BO73" s="910"/>
      <c r="BP73" s="935"/>
      <c r="BQ73" s="920"/>
      <c r="BR73" s="936"/>
      <c r="BS73" s="894"/>
      <c r="BT73" s="937"/>
      <c r="BU73" s="923"/>
      <c r="BV73" s="923"/>
      <c r="BW73" s="922"/>
      <c r="BX73" s="894"/>
      <c r="BY73" s="894"/>
      <c r="BZ73" s="894"/>
      <c r="CA73" s="894"/>
      <c r="CB73" s="894"/>
      <c r="CC73" s="894"/>
      <c r="CD73" s="931"/>
      <c r="CE73" s="894"/>
      <c r="CF73" s="894"/>
      <c r="CG73" s="894"/>
      <c r="CH73" s="894"/>
      <c r="CI73" s="894"/>
      <c r="CJ73" s="894"/>
      <c r="CK73" s="894"/>
      <c r="CL73" s="894"/>
      <c r="CM73" s="894"/>
      <c r="CN73" s="894"/>
      <c r="CO73" s="894"/>
      <c r="CP73" s="869"/>
      <c r="CQ73" s="4078" t="s">
        <v>1401</v>
      </c>
      <c r="CR73" s="4078"/>
      <c r="CS73" s="4079" t="s">
        <v>1399</v>
      </c>
      <c r="CT73" s="4159"/>
      <c r="CU73" s="4160"/>
      <c r="CV73" s="4160"/>
      <c r="CW73" s="4161"/>
      <c r="CX73" s="4159"/>
      <c r="CY73" s="4160"/>
      <c r="CZ73" s="4160"/>
      <c r="DA73" s="4161"/>
      <c r="DB73" s="4159"/>
      <c r="DC73" s="4160"/>
      <c r="DD73" s="4160"/>
      <c r="DE73" s="4161"/>
      <c r="DF73" s="4159"/>
      <c r="DG73" s="4160"/>
      <c r="DH73" s="4160"/>
      <c r="DI73" s="4161"/>
      <c r="DJ73" s="994"/>
      <c r="DK73" s="994"/>
      <c r="DL73" s="994"/>
      <c r="DM73" s="994"/>
      <c r="DN73" s="994"/>
      <c r="DO73" s="994"/>
      <c r="DP73" s="994"/>
      <c r="DQ73" s="994"/>
      <c r="DR73" s="993"/>
      <c r="DS73" s="4040" t="s">
        <v>1433</v>
      </c>
      <c r="DT73" s="4041"/>
      <c r="DU73" s="4042"/>
      <c r="DV73" s="4086" t="str">
        <f>IF(DV74&gt;=1,DV74,1/DV74)</f>
        <v/>
      </c>
      <c r="DW73" s="4087"/>
      <c r="DX73" s="4087"/>
      <c r="DY73" s="4088"/>
      <c r="DZ73" s="866"/>
    </row>
    <row r="74" spans="2:130" ht="6" customHeight="1" thickBot="1">
      <c r="B74" s="889"/>
      <c r="C74" s="4141" t="s">
        <v>1431</v>
      </c>
      <c r="D74" s="4141"/>
      <c r="E74" s="4142"/>
      <c r="F74" s="930"/>
      <c r="G74" s="932"/>
      <c r="H74" s="894"/>
      <c r="I74" s="918"/>
      <c r="J74" s="903"/>
      <c r="K74" s="902"/>
      <c r="L74" s="902"/>
      <c r="M74" s="902"/>
      <c r="N74" s="902"/>
      <c r="O74" s="902"/>
      <c r="P74" s="902"/>
      <c r="Q74" s="901"/>
      <c r="R74" s="894"/>
      <c r="S74" s="894"/>
      <c r="T74" s="894"/>
      <c r="U74" s="894"/>
      <c r="V74" s="949"/>
      <c r="W74" s="949"/>
      <c r="X74" s="949"/>
      <c r="Y74" s="998"/>
      <c r="Z74" s="904"/>
      <c r="AA74" s="903"/>
      <c r="AB74" s="902"/>
      <c r="AC74" s="902"/>
      <c r="AD74" s="902"/>
      <c r="AE74" s="902"/>
      <c r="AF74" s="902"/>
      <c r="AG74" s="902"/>
      <c r="AH74" s="901"/>
      <c r="AI74" s="894"/>
      <c r="AJ74" s="894"/>
      <c r="AK74" s="894"/>
      <c r="AL74" s="894"/>
      <c r="AM74" s="894"/>
      <c r="AN74" s="894"/>
      <c r="AO74" s="894"/>
      <c r="AP74" s="894"/>
      <c r="AQ74" s="949"/>
      <c r="AR74" s="949"/>
      <c r="AS74" s="4141" t="s">
        <v>1431</v>
      </c>
      <c r="AT74" s="4141"/>
      <c r="AU74" s="4142"/>
      <c r="AV74" s="930"/>
      <c r="AW74" s="932"/>
      <c r="AX74" s="894"/>
      <c r="AY74" s="894"/>
      <c r="AZ74" s="903"/>
      <c r="BA74" s="902"/>
      <c r="BB74" s="902"/>
      <c r="BC74" s="901"/>
      <c r="BD74" s="894"/>
      <c r="BE74" s="894"/>
      <c r="BF74" s="894"/>
      <c r="BG74" s="894"/>
      <c r="BH74" s="894"/>
      <c r="BI74" s="894"/>
      <c r="BJ74" s="894"/>
      <c r="BK74" s="949"/>
      <c r="BL74" s="894"/>
      <c r="BM74" s="4141" t="s">
        <v>1375</v>
      </c>
      <c r="BN74" s="4141"/>
      <c r="BO74" s="4142"/>
      <c r="BP74" s="930"/>
      <c r="BQ74" s="932"/>
      <c r="BR74" s="894"/>
      <c r="BS74" s="894"/>
      <c r="BT74" s="903"/>
      <c r="BU74" s="902"/>
      <c r="BV74" s="902"/>
      <c r="BW74" s="901"/>
      <c r="BX74" s="894"/>
      <c r="BY74" s="894"/>
      <c r="BZ74" s="894"/>
      <c r="CA74" s="894"/>
      <c r="CB74" s="894"/>
      <c r="CC74" s="894"/>
      <c r="CD74" s="931"/>
      <c r="CE74" s="894"/>
      <c r="CF74" s="894"/>
      <c r="CG74" s="894"/>
      <c r="CH74" s="894"/>
      <c r="CI74" s="894"/>
      <c r="CJ74" s="894"/>
      <c r="CK74" s="894"/>
      <c r="CL74" s="894"/>
      <c r="CM74" s="894"/>
      <c r="CN74" s="894"/>
      <c r="CO74" s="894"/>
      <c r="CP74" s="869"/>
      <c r="CQ74" s="4078"/>
      <c r="CR74" s="4078"/>
      <c r="CS74" s="4079"/>
      <c r="CT74" s="4162"/>
      <c r="CU74" s="4163"/>
      <c r="CV74" s="4163"/>
      <c r="CW74" s="4164"/>
      <c r="CX74" s="4162"/>
      <c r="CY74" s="4163"/>
      <c r="CZ74" s="4163"/>
      <c r="DA74" s="4164"/>
      <c r="DB74" s="4162"/>
      <c r="DC74" s="4163"/>
      <c r="DD74" s="4163"/>
      <c r="DE74" s="4164"/>
      <c r="DF74" s="4162"/>
      <c r="DG74" s="4163"/>
      <c r="DH74" s="4163"/>
      <c r="DI74" s="4164"/>
      <c r="DJ74" s="994"/>
      <c r="DK74" s="994"/>
      <c r="DL74" s="994"/>
      <c r="DM74" s="994"/>
      <c r="DN74" s="994"/>
      <c r="DO74" s="994"/>
      <c r="DP74" s="994"/>
      <c r="DQ74" s="994"/>
      <c r="DR74" s="993"/>
      <c r="DS74" s="4043"/>
      <c r="DT74" s="4044"/>
      <c r="DU74" s="4045"/>
      <c r="DV74" s="4089" t="str">
        <f>IF(CQ85="","",(DB69+DB71)^2/ABS((DB69+DB71)*(DB77+DB79)-DB73*DB79-DB71*DB81-(DB69+DB71-DB73-DB75)*(DB77+DB79-DB81-DB83)))</f>
        <v/>
      </c>
      <c r="DW74" s="4090"/>
      <c r="DX74" s="4090"/>
      <c r="DY74" s="4091"/>
      <c r="DZ74" s="866"/>
    </row>
    <row r="75" spans="2:130" ht="6" customHeight="1" thickBot="1">
      <c r="B75" s="889"/>
      <c r="C75" s="4141"/>
      <c r="D75" s="4141"/>
      <c r="E75" s="4142"/>
      <c r="F75" s="905"/>
      <c r="G75" s="913"/>
      <c r="H75" s="913"/>
      <c r="I75" s="912"/>
      <c r="J75" s="903"/>
      <c r="K75" s="902"/>
      <c r="L75" s="902"/>
      <c r="M75" s="902"/>
      <c r="N75" s="902"/>
      <c r="O75" s="902"/>
      <c r="P75" s="902"/>
      <c r="Q75" s="901"/>
      <c r="R75" s="894"/>
      <c r="S75" s="894"/>
      <c r="T75" s="894"/>
      <c r="U75" s="894"/>
      <c r="V75" s="949"/>
      <c r="W75" s="4141" t="s">
        <v>1431</v>
      </c>
      <c r="X75" s="4141"/>
      <c r="Y75" s="4142"/>
      <c r="Z75" s="904"/>
      <c r="AA75" s="903"/>
      <c r="AB75" s="902"/>
      <c r="AC75" s="902"/>
      <c r="AD75" s="902"/>
      <c r="AE75" s="902"/>
      <c r="AF75" s="902"/>
      <c r="AG75" s="902"/>
      <c r="AH75" s="902"/>
      <c r="AI75" s="923"/>
      <c r="AJ75" s="923"/>
      <c r="AK75" s="923"/>
      <c r="AL75" s="922"/>
      <c r="AM75" s="921"/>
      <c r="AN75" s="920"/>
      <c r="AO75" s="894"/>
      <c r="AP75" s="894"/>
      <c r="AQ75" s="949"/>
      <c r="AR75" s="949"/>
      <c r="AS75" s="4141"/>
      <c r="AT75" s="4141"/>
      <c r="AU75" s="4142"/>
      <c r="AV75" s="930"/>
      <c r="AW75" s="932"/>
      <c r="AX75" s="894"/>
      <c r="AY75" s="894"/>
      <c r="AZ75" s="903"/>
      <c r="BA75" s="902"/>
      <c r="BB75" s="902"/>
      <c r="BC75" s="901"/>
      <c r="BD75" s="894"/>
      <c r="BE75" s="894"/>
      <c r="BF75" s="894"/>
      <c r="BG75" s="894"/>
      <c r="BH75" s="894"/>
      <c r="BI75" s="894"/>
      <c r="BJ75" s="894"/>
      <c r="BK75" s="949"/>
      <c r="BL75" s="894"/>
      <c r="BM75" s="4141"/>
      <c r="BN75" s="4141"/>
      <c r="BO75" s="4142"/>
      <c r="BP75" s="905"/>
      <c r="BQ75" s="894"/>
      <c r="BR75" s="894"/>
      <c r="BS75" s="894"/>
      <c r="BT75" s="903"/>
      <c r="BU75" s="902"/>
      <c r="BV75" s="902"/>
      <c r="BW75" s="902"/>
      <c r="BX75" s="923"/>
      <c r="BY75" s="923"/>
      <c r="BZ75" s="922"/>
      <c r="CA75" s="921"/>
      <c r="CB75" s="920"/>
      <c r="CC75" s="894"/>
      <c r="CD75" s="931"/>
      <c r="CE75" s="894"/>
      <c r="CF75" s="894"/>
      <c r="CG75" s="894"/>
      <c r="CH75" s="894"/>
      <c r="CI75" s="894"/>
      <c r="CJ75" s="894"/>
      <c r="CK75" s="894"/>
      <c r="CL75" s="894"/>
      <c r="CM75" s="894"/>
      <c r="CN75" s="894"/>
      <c r="CO75" s="894"/>
      <c r="CP75" s="869"/>
      <c r="CQ75" s="4078" t="s">
        <v>1412</v>
      </c>
      <c r="CR75" s="4078"/>
      <c r="CS75" s="4079" t="s">
        <v>1399</v>
      </c>
      <c r="CT75" s="4094"/>
      <c r="CU75" s="4095"/>
      <c r="CV75" s="4095"/>
      <c r="CW75" s="4096"/>
      <c r="CX75" s="4094"/>
      <c r="CY75" s="4095"/>
      <c r="CZ75" s="4095"/>
      <c r="DA75" s="4096"/>
      <c r="DB75" s="4159"/>
      <c r="DC75" s="4160"/>
      <c r="DD75" s="4160"/>
      <c r="DE75" s="4161"/>
      <c r="DF75" s="4159"/>
      <c r="DG75" s="4160"/>
      <c r="DH75" s="4160"/>
      <c r="DI75" s="4161"/>
      <c r="DJ75" s="994"/>
      <c r="DK75" s="994"/>
      <c r="DL75" s="994"/>
      <c r="DM75" s="994"/>
      <c r="DN75" s="994"/>
      <c r="DO75" s="994"/>
      <c r="DP75" s="994"/>
      <c r="DQ75" s="994"/>
      <c r="DR75" s="993"/>
      <c r="DS75" s="4040" t="s">
        <v>1432</v>
      </c>
      <c r="DT75" s="4041"/>
      <c r="DU75" s="4042"/>
      <c r="DV75" s="4086" t="str">
        <f>IF(DV76&gt;=1,DV76,1/DV76)</f>
        <v/>
      </c>
      <c r="DW75" s="4087"/>
      <c r="DX75" s="4087"/>
      <c r="DY75" s="4088"/>
      <c r="DZ75" s="866"/>
    </row>
    <row r="76" spans="2:130" ht="6" customHeight="1" thickBot="1">
      <c r="B76" s="889"/>
      <c r="C76" s="894"/>
      <c r="D76" s="894"/>
      <c r="E76" s="910"/>
      <c r="F76" s="926"/>
      <c r="G76" s="903"/>
      <c r="H76" s="902"/>
      <c r="I76" s="902"/>
      <c r="J76" s="902"/>
      <c r="K76" s="902"/>
      <c r="L76" s="902"/>
      <c r="M76" s="902"/>
      <c r="N76" s="902"/>
      <c r="O76" s="902"/>
      <c r="P76" s="902"/>
      <c r="Q76" s="901"/>
      <c r="R76" s="894"/>
      <c r="S76" s="894"/>
      <c r="T76" s="894"/>
      <c r="U76" s="894"/>
      <c r="V76" s="949"/>
      <c r="W76" s="4141"/>
      <c r="X76" s="4141"/>
      <c r="Y76" s="4142"/>
      <c r="Z76" s="904"/>
      <c r="AA76" s="903"/>
      <c r="AB76" s="902"/>
      <c r="AC76" s="902"/>
      <c r="AD76" s="902"/>
      <c r="AE76" s="902"/>
      <c r="AF76" s="902"/>
      <c r="AG76" s="902"/>
      <c r="AH76" s="902"/>
      <c r="AI76" s="902"/>
      <c r="AJ76" s="902"/>
      <c r="AK76" s="902"/>
      <c r="AL76" s="901"/>
      <c r="AM76" s="911"/>
      <c r="AN76" s="932"/>
      <c r="AO76" s="894"/>
      <c r="AP76" s="894"/>
      <c r="AQ76" s="894"/>
      <c r="AR76" s="894"/>
      <c r="AS76" s="894"/>
      <c r="AT76" s="894"/>
      <c r="AU76" s="907"/>
      <c r="AV76" s="905"/>
      <c r="AW76" s="894"/>
      <c r="AX76" s="894"/>
      <c r="AY76" s="894"/>
      <c r="AZ76" s="903"/>
      <c r="BA76" s="902"/>
      <c r="BB76" s="902"/>
      <c r="BC76" s="902"/>
      <c r="BD76" s="923"/>
      <c r="BE76" s="923"/>
      <c r="BF76" s="922"/>
      <c r="BG76" s="921"/>
      <c r="BH76" s="920"/>
      <c r="BI76" s="894"/>
      <c r="BJ76" s="894"/>
      <c r="BK76" s="894"/>
      <c r="BL76" s="894"/>
      <c r="BM76" s="894"/>
      <c r="BN76" s="894"/>
      <c r="BO76" s="910"/>
      <c r="BP76" s="926"/>
      <c r="BQ76" s="937"/>
      <c r="BR76" s="923"/>
      <c r="BS76" s="923"/>
      <c r="BT76" s="902"/>
      <c r="BU76" s="902"/>
      <c r="BV76" s="902"/>
      <c r="BW76" s="902"/>
      <c r="BX76" s="902"/>
      <c r="BY76" s="902"/>
      <c r="BZ76" s="901"/>
      <c r="CA76" s="911"/>
      <c r="CB76" s="932"/>
      <c r="CC76" s="894"/>
      <c r="CD76" s="931"/>
      <c r="CE76" s="894"/>
      <c r="CF76" s="894"/>
      <c r="CG76" s="894"/>
      <c r="CH76" s="894"/>
      <c r="CI76" s="894"/>
      <c r="CJ76" s="894"/>
      <c r="CK76" s="894"/>
      <c r="CL76" s="894"/>
      <c r="CM76" s="894"/>
      <c r="CN76" s="894"/>
      <c r="CO76" s="894"/>
      <c r="CP76" s="869"/>
      <c r="CQ76" s="4078"/>
      <c r="CR76" s="4078"/>
      <c r="CS76" s="4079"/>
      <c r="CT76" s="4097"/>
      <c r="CU76" s="4098"/>
      <c r="CV76" s="4098"/>
      <c r="CW76" s="4099"/>
      <c r="CX76" s="4097"/>
      <c r="CY76" s="4098"/>
      <c r="CZ76" s="4098"/>
      <c r="DA76" s="4099"/>
      <c r="DB76" s="4162"/>
      <c r="DC76" s="4163"/>
      <c r="DD76" s="4163"/>
      <c r="DE76" s="4164"/>
      <c r="DF76" s="4162"/>
      <c r="DG76" s="4163"/>
      <c r="DH76" s="4163"/>
      <c r="DI76" s="4164"/>
      <c r="DJ76" s="994"/>
      <c r="DK76" s="994"/>
      <c r="DL76" s="994"/>
      <c r="DM76" s="994"/>
      <c r="DN76" s="994"/>
      <c r="DO76" s="994"/>
      <c r="DP76" s="994"/>
      <c r="DQ76" s="994"/>
      <c r="DR76" s="993"/>
      <c r="DS76" s="4043"/>
      <c r="DT76" s="4044"/>
      <c r="DU76" s="4045"/>
      <c r="DV76" s="4089" t="str">
        <f>IF(CQ85="","",(DF69+DF71)^2/ABS((DF69+DF71)*(DF77+DF79+DF81)-DF73*DF81-DF69*DF77-(DF69+DF71-DF73-DF75)*(DF77+DF79+DF81-DF83)))</f>
        <v/>
      </c>
      <c r="DW76" s="4090"/>
      <c r="DX76" s="4090"/>
      <c r="DY76" s="4091"/>
      <c r="DZ76" s="866"/>
    </row>
    <row r="77" spans="2:130" ht="6" customHeight="1" thickBot="1">
      <c r="B77" s="889"/>
      <c r="C77" s="894"/>
      <c r="D77" s="894"/>
      <c r="E77" s="931"/>
      <c r="F77" s="904"/>
      <c r="G77" s="903"/>
      <c r="H77" s="902"/>
      <c r="I77" s="902"/>
      <c r="J77" s="902"/>
      <c r="K77" s="902"/>
      <c r="L77" s="902"/>
      <c r="M77" s="902"/>
      <c r="N77" s="902"/>
      <c r="O77" s="902"/>
      <c r="P77" s="902"/>
      <c r="Q77" s="901"/>
      <c r="R77" s="894"/>
      <c r="S77" s="894"/>
      <c r="T77" s="894"/>
      <c r="U77" s="894"/>
      <c r="V77" s="894"/>
      <c r="W77" s="894"/>
      <c r="X77" s="894"/>
      <c r="Y77" s="907"/>
      <c r="Z77" s="917"/>
      <c r="AA77" s="957"/>
      <c r="AB77" s="896"/>
      <c r="AC77" s="896"/>
      <c r="AD77" s="896"/>
      <c r="AE77" s="902"/>
      <c r="AF77" s="902"/>
      <c r="AG77" s="902"/>
      <c r="AH77" s="902"/>
      <c r="AI77" s="902"/>
      <c r="AJ77" s="902"/>
      <c r="AK77" s="902"/>
      <c r="AL77" s="901"/>
      <c r="AM77" s="911"/>
      <c r="AN77" s="932"/>
      <c r="AO77" s="894"/>
      <c r="AP77" s="894"/>
      <c r="AQ77" s="894"/>
      <c r="AR77" s="894"/>
      <c r="AS77" s="894"/>
      <c r="AT77" s="894"/>
      <c r="AU77" s="910"/>
      <c r="AV77" s="926"/>
      <c r="AW77" s="937"/>
      <c r="AX77" s="923"/>
      <c r="AY77" s="923"/>
      <c r="AZ77" s="902"/>
      <c r="BA77" s="902"/>
      <c r="BB77" s="902"/>
      <c r="BC77" s="902"/>
      <c r="BD77" s="902"/>
      <c r="BE77" s="902"/>
      <c r="BF77" s="901"/>
      <c r="BG77" s="911"/>
      <c r="BH77" s="4102" t="s">
        <v>1400</v>
      </c>
      <c r="BI77" s="4103"/>
      <c r="BJ77" s="4103"/>
      <c r="BK77" s="949"/>
      <c r="BL77" s="894"/>
      <c r="BM77" s="4141" t="s">
        <v>1431</v>
      </c>
      <c r="BN77" s="4141"/>
      <c r="BO77" s="4142"/>
      <c r="BP77" s="904"/>
      <c r="BQ77" s="903"/>
      <c r="BR77" s="902"/>
      <c r="BS77" s="902"/>
      <c r="BT77" s="902"/>
      <c r="BU77" s="902"/>
      <c r="BV77" s="902"/>
      <c r="BW77" s="902"/>
      <c r="BX77" s="902"/>
      <c r="BY77" s="902"/>
      <c r="BZ77" s="901"/>
      <c r="CA77" s="911"/>
      <c r="CB77" s="4168" t="s">
        <v>1400</v>
      </c>
      <c r="CC77" s="4092"/>
      <c r="CD77" s="4172"/>
      <c r="CE77" s="997"/>
      <c r="CF77" s="997"/>
      <c r="CG77" s="997"/>
      <c r="CH77" s="997"/>
      <c r="CI77" s="997"/>
      <c r="CJ77" s="997"/>
      <c r="CK77" s="997"/>
      <c r="CL77" s="997"/>
      <c r="CM77" s="997"/>
      <c r="CN77" s="997"/>
      <c r="CO77" s="997"/>
      <c r="CP77" s="869"/>
      <c r="CQ77" s="4108" t="s">
        <v>1370</v>
      </c>
      <c r="CR77" s="4108"/>
      <c r="CS77" s="4079" t="s">
        <v>1399</v>
      </c>
      <c r="CT77" s="4159"/>
      <c r="CU77" s="4160"/>
      <c r="CV77" s="4160"/>
      <c r="CW77" s="4161"/>
      <c r="CX77" s="4159"/>
      <c r="CY77" s="4160"/>
      <c r="CZ77" s="4160"/>
      <c r="DA77" s="4161"/>
      <c r="DB77" s="4159"/>
      <c r="DC77" s="4160"/>
      <c r="DD77" s="4160"/>
      <c r="DE77" s="4161"/>
      <c r="DF77" s="4159"/>
      <c r="DG77" s="4160"/>
      <c r="DH77" s="4160"/>
      <c r="DI77" s="4161"/>
      <c r="DJ77" s="994"/>
      <c r="DK77" s="994"/>
      <c r="DL77" s="994"/>
      <c r="DM77" s="994"/>
      <c r="DN77" s="994"/>
      <c r="DO77" s="994"/>
      <c r="DP77" s="994"/>
      <c r="DQ77" s="994"/>
      <c r="DR77" s="993"/>
      <c r="DS77" s="992"/>
      <c r="DT77" s="991"/>
      <c r="DU77" s="991"/>
      <c r="DV77" s="991"/>
      <c r="DW77" s="991"/>
      <c r="DX77" s="991"/>
      <c r="DY77" s="991"/>
      <c r="DZ77" s="866"/>
    </row>
    <row r="78" spans="2:130" ht="6" customHeight="1" thickBot="1">
      <c r="B78" s="889"/>
      <c r="C78" s="4141" t="s">
        <v>1370</v>
      </c>
      <c r="D78" s="4141"/>
      <c r="E78" s="4142"/>
      <c r="F78" s="904"/>
      <c r="G78" s="903"/>
      <c r="H78" s="902"/>
      <c r="I78" s="902"/>
      <c r="J78" s="902"/>
      <c r="K78" s="902"/>
      <c r="L78" s="902"/>
      <c r="M78" s="902"/>
      <c r="N78" s="902"/>
      <c r="O78" s="902"/>
      <c r="P78" s="902"/>
      <c r="Q78" s="901"/>
      <c r="R78" s="919"/>
      <c r="S78" s="894"/>
      <c r="T78" s="894"/>
      <c r="U78" s="894"/>
      <c r="V78" s="894"/>
      <c r="W78" s="894"/>
      <c r="X78" s="894"/>
      <c r="Y78" s="910"/>
      <c r="Z78" s="920"/>
      <c r="AA78" s="965"/>
      <c r="AB78" s="894"/>
      <c r="AC78" s="894"/>
      <c r="AD78" s="894"/>
      <c r="AE78" s="903"/>
      <c r="AF78" s="902"/>
      <c r="AG78" s="902"/>
      <c r="AH78" s="902"/>
      <c r="AI78" s="902"/>
      <c r="AJ78" s="902"/>
      <c r="AK78" s="902"/>
      <c r="AL78" s="901"/>
      <c r="AM78" s="911"/>
      <c r="AN78" s="4102" t="s">
        <v>1375</v>
      </c>
      <c r="AO78" s="4103"/>
      <c r="AP78" s="4103"/>
      <c r="AQ78" s="894"/>
      <c r="AR78" s="894"/>
      <c r="AS78" s="894"/>
      <c r="AT78" s="894"/>
      <c r="AU78" s="931"/>
      <c r="AV78" s="904"/>
      <c r="AW78" s="903"/>
      <c r="AX78" s="902"/>
      <c r="AY78" s="902"/>
      <c r="AZ78" s="902"/>
      <c r="BA78" s="902"/>
      <c r="BB78" s="902"/>
      <c r="BC78" s="896"/>
      <c r="BD78" s="896"/>
      <c r="BE78" s="896"/>
      <c r="BF78" s="895"/>
      <c r="BG78" s="906"/>
      <c r="BH78" s="4102"/>
      <c r="BI78" s="4103"/>
      <c r="BJ78" s="4103"/>
      <c r="BK78" s="949"/>
      <c r="BL78" s="894"/>
      <c r="BM78" s="4141"/>
      <c r="BN78" s="4141"/>
      <c r="BO78" s="4142"/>
      <c r="BP78" s="917"/>
      <c r="BQ78" s="957"/>
      <c r="BR78" s="896"/>
      <c r="BS78" s="896"/>
      <c r="BT78" s="896"/>
      <c r="BU78" s="902"/>
      <c r="BV78" s="902"/>
      <c r="BW78" s="902"/>
      <c r="BX78" s="902"/>
      <c r="BY78" s="902"/>
      <c r="BZ78" s="901"/>
      <c r="CA78" s="911"/>
      <c r="CB78" s="4168"/>
      <c r="CC78" s="4092"/>
      <c r="CD78" s="4172"/>
      <c r="CE78" s="997"/>
      <c r="CF78" s="997"/>
      <c r="CG78" s="997"/>
      <c r="CH78" s="997"/>
      <c r="CI78" s="997"/>
      <c r="CJ78" s="997"/>
      <c r="CK78" s="997"/>
      <c r="CL78" s="997"/>
      <c r="CM78" s="997"/>
      <c r="CN78" s="997"/>
      <c r="CO78" s="997"/>
      <c r="CP78" s="869"/>
      <c r="CQ78" s="4108"/>
      <c r="CR78" s="4108"/>
      <c r="CS78" s="4079"/>
      <c r="CT78" s="4162"/>
      <c r="CU78" s="4163"/>
      <c r="CV78" s="4163"/>
      <c r="CW78" s="4164"/>
      <c r="CX78" s="4162"/>
      <c r="CY78" s="4163"/>
      <c r="CZ78" s="4163"/>
      <c r="DA78" s="4164"/>
      <c r="DB78" s="4162"/>
      <c r="DC78" s="4163"/>
      <c r="DD78" s="4163"/>
      <c r="DE78" s="4164"/>
      <c r="DF78" s="4162"/>
      <c r="DG78" s="4163"/>
      <c r="DH78" s="4163"/>
      <c r="DI78" s="4164"/>
      <c r="DJ78" s="994"/>
      <c r="DK78" s="994"/>
      <c r="DL78" s="994"/>
      <c r="DM78" s="994"/>
      <c r="DN78" s="994"/>
      <c r="DO78" s="994"/>
      <c r="DP78" s="994"/>
      <c r="DQ78" s="994"/>
      <c r="DR78" s="993"/>
      <c r="DS78" s="992"/>
      <c r="DT78" s="991"/>
      <c r="DU78" s="991"/>
      <c r="DV78" s="991"/>
      <c r="DW78" s="991"/>
      <c r="DX78" s="991"/>
      <c r="DY78" s="991"/>
      <c r="DZ78" s="866"/>
    </row>
    <row r="79" spans="2:130" ht="6" customHeight="1">
      <c r="B79" s="889"/>
      <c r="C79" s="4141"/>
      <c r="D79" s="4141"/>
      <c r="E79" s="4142"/>
      <c r="F79" s="904"/>
      <c r="G79" s="903"/>
      <c r="H79" s="902"/>
      <c r="I79" s="902"/>
      <c r="J79" s="902"/>
      <c r="K79" s="902"/>
      <c r="L79" s="902"/>
      <c r="M79" s="901"/>
      <c r="N79" s="929"/>
      <c r="O79" s="928"/>
      <c r="P79" s="928"/>
      <c r="Q79" s="928"/>
      <c r="R79" s="910"/>
      <c r="S79" s="920"/>
      <c r="T79" s="894"/>
      <c r="U79" s="894"/>
      <c r="V79" s="949"/>
      <c r="W79" s="4141" t="s">
        <v>1370</v>
      </c>
      <c r="X79" s="4141"/>
      <c r="Y79" s="4142"/>
      <c r="Z79" s="932"/>
      <c r="AA79" s="964"/>
      <c r="AB79" s="894"/>
      <c r="AC79" s="894"/>
      <c r="AD79" s="894"/>
      <c r="AE79" s="903"/>
      <c r="AF79" s="902"/>
      <c r="AG79" s="902"/>
      <c r="AH79" s="902"/>
      <c r="AI79" s="902"/>
      <c r="AJ79" s="902"/>
      <c r="AK79" s="902"/>
      <c r="AL79" s="901"/>
      <c r="AM79" s="911"/>
      <c r="AN79" s="4102"/>
      <c r="AO79" s="4103"/>
      <c r="AP79" s="4103"/>
      <c r="AQ79" s="949"/>
      <c r="AR79" s="949"/>
      <c r="AS79" s="4141" t="s">
        <v>1370</v>
      </c>
      <c r="AT79" s="4141"/>
      <c r="AU79" s="4142"/>
      <c r="AV79" s="904"/>
      <c r="AW79" s="903"/>
      <c r="AX79" s="902"/>
      <c r="AY79" s="902"/>
      <c r="AZ79" s="902"/>
      <c r="BA79" s="902"/>
      <c r="BB79" s="902"/>
      <c r="BC79" s="929"/>
      <c r="BD79" s="894"/>
      <c r="BE79" s="894"/>
      <c r="BF79" s="894"/>
      <c r="BG79" s="910"/>
      <c r="BH79" s="920"/>
      <c r="BI79" s="894"/>
      <c r="BJ79" s="894"/>
      <c r="BK79" s="894"/>
      <c r="BL79" s="894"/>
      <c r="BM79" s="894"/>
      <c r="BN79" s="894"/>
      <c r="BO79" s="910"/>
      <c r="BP79" s="920"/>
      <c r="BQ79" s="965"/>
      <c r="BR79" s="894"/>
      <c r="BS79" s="894"/>
      <c r="BT79" s="894"/>
      <c r="BU79" s="903"/>
      <c r="BV79" s="902"/>
      <c r="BW79" s="902"/>
      <c r="BX79" s="902"/>
      <c r="BY79" s="902"/>
      <c r="BZ79" s="901"/>
      <c r="CA79" s="911"/>
      <c r="CB79" s="932"/>
      <c r="CC79" s="894"/>
      <c r="CD79" s="931"/>
      <c r="CE79" s="894"/>
      <c r="CF79" s="894"/>
      <c r="CG79" s="894"/>
      <c r="CH79" s="894"/>
      <c r="CI79" s="894"/>
      <c r="CJ79" s="894"/>
      <c r="CK79" s="894"/>
      <c r="CL79" s="894"/>
      <c r="CM79" s="894"/>
      <c r="CN79" s="894"/>
      <c r="CO79" s="894"/>
      <c r="CP79" s="869"/>
      <c r="CQ79" s="4108" t="s">
        <v>1431</v>
      </c>
      <c r="CR79" s="4108"/>
      <c r="CS79" s="4079" t="s">
        <v>1399</v>
      </c>
      <c r="CT79" s="4159"/>
      <c r="CU79" s="4160"/>
      <c r="CV79" s="4160"/>
      <c r="CW79" s="4161"/>
      <c r="CX79" s="4159"/>
      <c r="CY79" s="4160"/>
      <c r="CZ79" s="4160"/>
      <c r="DA79" s="4161"/>
      <c r="DB79" s="4159"/>
      <c r="DC79" s="4160"/>
      <c r="DD79" s="4160"/>
      <c r="DE79" s="4161"/>
      <c r="DF79" s="4159"/>
      <c r="DG79" s="4160"/>
      <c r="DH79" s="4160"/>
      <c r="DI79" s="4161"/>
      <c r="DJ79" s="994"/>
      <c r="DK79" s="994"/>
      <c r="DL79" s="994"/>
      <c r="DM79" s="994"/>
      <c r="DN79" s="994"/>
      <c r="DO79" s="994"/>
      <c r="DP79" s="994"/>
      <c r="DQ79" s="994"/>
      <c r="DR79" s="993"/>
      <c r="DS79" s="992"/>
      <c r="DT79" s="991"/>
      <c r="DU79" s="991"/>
      <c r="DV79" s="991"/>
      <c r="DW79" s="991"/>
      <c r="DX79" s="991"/>
      <c r="DY79" s="991"/>
      <c r="DZ79" s="866"/>
    </row>
    <row r="80" spans="2:130" ht="6" customHeight="1">
      <c r="B80" s="889"/>
      <c r="C80" s="894"/>
      <c r="D80" s="894"/>
      <c r="E80" s="931"/>
      <c r="F80" s="904"/>
      <c r="G80" s="903"/>
      <c r="H80" s="902"/>
      <c r="I80" s="902"/>
      <c r="J80" s="902"/>
      <c r="K80" s="902"/>
      <c r="L80" s="902"/>
      <c r="M80" s="901"/>
      <c r="N80" s="919"/>
      <c r="O80" s="894"/>
      <c r="P80" s="894"/>
      <c r="Q80" s="931"/>
      <c r="R80" s="930"/>
      <c r="S80" s="4102" t="s">
        <v>1375</v>
      </c>
      <c r="T80" s="4103"/>
      <c r="U80" s="4103"/>
      <c r="V80" s="949"/>
      <c r="W80" s="4141"/>
      <c r="X80" s="4141"/>
      <c r="Y80" s="4142"/>
      <c r="Z80" s="932"/>
      <c r="AA80" s="964"/>
      <c r="AB80" s="894"/>
      <c r="AC80" s="894"/>
      <c r="AD80" s="894"/>
      <c r="AE80" s="903"/>
      <c r="AF80" s="902"/>
      <c r="AG80" s="902"/>
      <c r="AH80" s="902"/>
      <c r="AI80" s="902"/>
      <c r="AJ80" s="902"/>
      <c r="AK80" s="902"/>
      <c r="AL80" s="901"/>
      <c r="AM80" s="911"/>
      <c r="AN80" s="932"/>
      <c r="AO80" s="894"/>
      <c r="AP80" s="894"/>
      <c r="AQ80" s="949"/>
      <c r="AR80" s="949"/>
      <c r="AS80" s="4141"/>
      <c r="AT80" s="4141"/>
      <c r="AU80" s="4142"/>
      <c r="AV80" s="904"/>
      <c r="AW80" s="903"/>
      <c r="AX80" s="902"/>
      <c r="AY80" s="902"/>
      <c r="AZ80" s="902"/>
      <c r="BA80" s="902"/>
      <c r="BB80" s="902"/>
      <c r="BC80" s="919"/>
      <c r="BD80" s="894"/>
      <c r="BE80" s="894"/>
      <c r="BF80" s="931"/>
      <c r="BG80" s="930"/>
      <c r="BH80" s="4102" t="s">
        <v>1375</v>
      </c>
      <c r="BI80" s="4103"/>
      <c r="BJ80" s="4103"/>
      <c r="BK80" s="949"/>
      <c r="BL80" s="894"/>
      <c r="BM80" s="4141" t="s">
        <v>1370</v>
      </c>
      <c r="BN80" s="4141"/>
      <c r="BO80" s="4142"/>
      <c r="BP80" s="932"/>
      <c r="BQ80" s="964"/>
      <c r="BR80" s="894"/>
      <c r="BS80" s="894"/>
      <c r="BT80" s="894"/>
      <c r="BU80" s="903"/>
      <c r="BV80" s="902"/>
      <c r="BW80" s="902"/>
      <c r="BX80" s="902"/>
      <c r="BY80" s="902"/>
      <c r="BZ80" s="901"/>
      <c r="CA80" s="911"/>
      <c r="CB80" s="932"/>
      <c r="CC80" s="894"/>
      <c r="CD80" s="931"/>
      <c r="CE80" s="894"/>
      <c r="CF80" s="894"/>
      <c r="CG80" s="894"/>
      <c r="CH80" s="894"/>
      <c r="CI80" s="894"/>
      <c r="CJ80" s="894"/>
      <c r="CK80" s="894"/>
      <c r="CL80" s="894"/>
      <c r="CM80" s="894"/>
      <c r="CN80" s="894"/>
      <c r="CO80" s="894"/>
      <c r="CP80" s="869"/>
      <c r="CQ80" s="4108"/>
      <c r="CR80" s="4108"/>
      <c r="CS80" s="4079"/>
      <c r="CT80" s="4162"/>
      <c r="CU80" s="4163"/>
      <c r="CV80" s="4163"/>
      <c r="CW80" s="4164"/>
      <c r="CX80" s="4162"/>
      <c r="CY80" s="4163"/>
      <c r="CZ80" s="4163"/>
      <c r="DA80" s="4164"/>
      <c r="DB80" s="4162"/>
      <c r="DC80" s="4163"/>
      <c r="DD80" s="4163"/>
      <c r="DE80" s="4164"/>
      <c r="DF80" s="4162"/>
      <c r="DG80" s="4163"/>
      <c r="DH80" s="4163"/>
      <c r="DI80" s="4164"/>
      <c r="DJ80" s="994"/>
      <c r="DK80" s="994"/>
      <c r="DL80" s="994"/>
      <c r="DM80" s="994"/>
      <c r="DN80" s="994"/>
      <c r="DO80" s="994"/>
      <c r="DP80" s="994"/>
      <c r="DQ80" s="994"/>
      <c r="DR80" s="993"/>
      <c r="DS80" s="992"/>
      <c r="DT80" s="991"/>
      <c r="DU80" s="991"/>
      <c r="DV80" s="991"/>
      <c r="DW80" s="991"/>
      <c r="DX80" s="991"/>
      <c r="DY80" s="991"/>
      <c r="DZ80" s="866"/>
    </row>
    <row r="81" spans="2:130" ht="6" customHeight="1" thickBot="1">
      <c r="B81" s="889"/>
      <c r="C81" s="894"/>
      <c r="D81" s="894"/>
      <c r="E81" s="907"/>
      <c r="F81" s="898"/>
      <c r="G81" s="897"/>
      <c r="H81" s="896"/>
      <c r="I81" s="896"/>
      <c r="J81" s="896"/>
      <c r="K81" s="896"/>
      <c r="L81" s="896"/>
      <c r="M81" s="895"/>
      <c r="N81" s="919"/>
      <c r="O81" s="940"/>
      <c r="P81" s="940"/>
      <c r="Q81" s="907"/>
      <c r="R81" s="963"/>
      <c r="S81" s="4102"/>
      <c r="T81" s="4103"/>
      <c r="U81" s="4103"/>
      <c r="V81" s="894"/>
      <c r="W81" s="894"/>
      <c r="X81" s="894"/>
      <c r="Y81" s="907"/>
      <c r="Z81" s="898"/>
      <c r="AA81" s="960"/>
      <c r="AB81" s="959"/>
      <c r="AC81" s="959"/>
      <c r="AD81" s="958"/>
      <c r="AE81" s="957"/>
      <c r="AF81" s="896"/>
      <c r="AG81" s="896"/>
      <c r="AH81" s="896"/>
      <c r="AI81" s="896"/>
      <c r="AJ81" s="896"/>
      <c r="AK81" s="896"/>
      <c r="AL81" s="895"/>
      <c r="AM81" s="906"/>
      <c r="AN81" s="905"/>
      <c r="AO81" s="894"/>
      <c r="AP81" s="894"/>
      <c r="AQ81" s="894"/>
      <c r="AR81" s="894"/>
      <c r="AS81" s="894"/>
      <c r="AT81" s="894"/>
      <c r="AU81" s="907"/>
      <c r="AV81" s="898"/>
      <c r="AW81" s="897"/>
      <c r="AX81" s="896"/>
      <c r="AY81" s="896"/>
      <c r="AZ81" s="896"/>
      <c r="BA81" s="896"/>
      <c r="BB81" s="895"/>
      <c r="BC81" s="919"/>
      <c r="BD81" s="940"/>
      <c r="BE81" s="940"/>
      <c r="BF81" s="907"/>
      <c r="BG81" s="963"/>
      <c r="BH81" s="4102"/>
      <c r="BI81" s="4103"/>
      <c r="BJ81" s="4103"/>
      <c r="BK81" s="949"/>
      <c r="BL81" s="894"/>
      <c r="BM81" s="4141"/>
      <c r="BN81" s="4141"/>
      <c r="BO81" s="4142"/>
      <c r="BP81" s="898"/>
      <c r="BQ81" s="960"/>
      <c r="BR81" s="959"/>
      <c r="BS81" s="959"/>
      <c r="BT81" s="958"/>
      <c r="BU81" s="957"/>
      <c r="BV81" s="896"/>
      <c r="BW81" s="896"/>
      <c r="BX81" s="896"/>
      <c r="BY81" s="896"/>
      <c r="BZ81" s="895"/>
      <c r="CA81" s="906"/>
      <c r="CB81" s="905"/>
      <c r="CC81" s="894"/>
      <c r="CD81" s="931"/>
      <c r="CE81" s="894"/>
      <c r="CF81" s="894"/>
      <c r="CG81" s="894"/>
      <c r="CH81" s="894"/>
      <c r="CI81" s="894"/>
      <c r="CJ81" s="894"/>
      <c r="CK81" s="894"/>
      <c r="CL81" s="894"/>
      <c r="CM81" s="894"/>
      <c r="CN81" s="894"/>
      <c r="CO81" s="894"/>
      <c r="CP81" s="869"/>
      <c r="CQ81" s="4108" t="s">
        <v>1375</v>
      </c>
      <c r="CR81" s="4108"/>
      <c r="CS81" s="4079" t="s">
        <v>1399</v>
      </c>
      <c r="CT81" s="4159"/>
      <c r="CU81" s="4160"/>
      <c r="CV81" s="4160"/>
      <c r="CW81" s="4161"/>
      <c r="CX81" s="4159"/>
      <c r="CY81" s="4160"/>
      <c r="CZ81" s="4160"/>
      <c r="DA81" s="4161"/>
      <c r="DB81" s="4159"/>
      <c r="DC81" s="4160"/>
      <c r="DD81" s="4160"/>
      <c r="DE81" s="4161"/>
      <c r="DF81" s="4159"/>
      <c r="DG81" s="4160"/>
      <c r="DH81" s="4160"/>
      <c r="DI81" s="4161"/>
      <c r="DJ81" s="994"/>
      <c r="DK81" s="994"/>
      <c r="DL81" s="994"/>
      <c r="DM81" s="994"/>
      <c r="DN81" s="994"/>
      <c r="DO81" s="994"/>
      <c r="DP81" s="994"/>
      <c r="DQ81" s="994"/>
      <c r="DR81" s="993"/>
      <c r="DS81" s="992"/>
      <c r="DT81" s="991"/>
      <c r="DU81" s="991"/>
      <c r="DV81" s="991"/>
      <c r="DW81" s="991"/>
      <c r="DX81" s="991"/>
      <c r="DY81" s="991"/>
      <c r="DZ81" s="866"/>
    </row>
    <row r="82" spans="2:130" ht="6" customHeight="1" thickTop="1">
      <c r="B82" s="889"/>
      <c r="C82" s="894"/>
      <c r="D82" s="894"/>
      <c r="E82" s="894"/>
      <c r="F82" s="900"/>
      <c r="G82" s="899"/>
      <c r="H82" s="954"/>
      <c r="I82" s="954"/>
      <c r="J82" s="954"/>
      <c r="K82" s="954"/>
      <c r="L82" s="954"/>
      <c r="M82" s="953"/>
      <c r="N82" s="905"/>
      <c r="O82" s="944"/>
      <c r="P82" s="944"/>
      <c r="Q82" s="956"/>
      <c r="R82" s="920"/>
      <c r="S82" s="936"/>
      <c r="T82" s="894"/>
      <c r="U82" s="894"/>
      <c r="V82" s="894"/>
      <c r="W82" s="894"/>
      <c r="X82" s="894"/>
      <c r="Y82" s="894"/>
      <c r="Z82" s="900"/>
      <c r="AA82" s="899"/>
      <c r="AB82" s="940"/>
      <c r="AC82" s="940"/>
      <c r="AD82" s="907"/>
      <c r="AE82" s="955"/>
      <c r="AF82" s="954"/>
      <c r="AG82" s="954"/>
      <c r="AH82" s="954"/>
      <c r="AI82" s="954"/>
      <c r="AJ82" s="954"/>
      <c r="AK82" s="954"/>
      <c r="AL82" s="953"/>
      <c r="AM82" s="894"/>
      <c r="AN82" s="894"/>
      <c r="AO82" s="894"/>
      <c r="AP82" s="894"/>
      <c r="AQ82" s="894"/>
      <c r="AR82" s="894"/>
      <c r="AS82" s="894"/>
      <c r="AT82" s="894"/>
      <c r="AU82" s="894"/>
      <c r="AV82" s="900"/>
      <c r="AW82" s="899"/>
      <c r="AX82" s="940"/>
      <c r="AY82" s="940"/>
      <c r="AZ82" s="940"/>
      <c r="BA82" s="940"/>
      <c r="BB82" s="907"/>
      <c r="BC82" s="905"/>
      <c r="BD82" s="944"/>
      <c r="BE82" s="944"/>
      <c r="BF82" s="956"/>
      <c r="BG82" s="894"/>
      <c r="BH82" s="936"/>
      <c r="BI82" s="894"/>
      <c r="BJ82" s="894"/>
      <c r="BK82" s="894"/>
      <c r="BL82" s="894"/>
      <c r="BM82" s="894"/>
      <c r="BN82" s="894"/>
      <c r="BO82" s="936"/>
      <c r="BP82" s="900"/>
      <c r="BQ82" s="899"/>
      <c r="BR82" s="940"/>
      <c r="BS82" s="940"/>
      <c r="BT82" s="907"/>
      <c r="BU82" s="955"/>
      <c r="BV82" s="954"/>
      <c r="BW82" s="954"/>
      <c r="BX82" s="954"/>
      <c r="BY82" s="954"/>
      <c r="BZ82" s="953"/>
      <c r="CA82" s="894"/>
      <c r="CB82" s="894"/>
      <c r="CC82" s="894"/>
      <c r="CD82" s="931"/>
      <c r="CE82" s="894"/>
      <c r="CF82" s="894"/>
      <c r="CG82" s="894"/>
      <c r="CH82" s="894"/>
      <c r="CI82" s="894"/>
      <c r="CJ82" s="894"/>
      <c r="CK82" s="894"/>
      <c r="CL82" s="894"/>
      <c r="CM82" s="894"/>
      <c r="CN82" s="894"/>
      <c r="CO82" s="894"/>
      <c r="CP82" s="869"/>
      <c r="CQ82" s="4108"/>
      <c r="CR82" s="4108"/>
      <c r="CS82" s="4079"/>
      <c r="CT82" s="4162"/>
      <c r="CU82" s="4163"/>
      <c r="CV82" s="4163"/>
      <c r="CW82" s="4164"/>
      <c r="CX82" s="4162"/>
      <c r="CY82" s="4163"/>
      <c r="CZ82" s="4163"/>
      <c r="DA82" s="4164"/>
      <c r="DB82" s="4162"/>
      <c r="DC82" s="4163"/>
      <c r="DD82" s="4163"/>
      <c r="DE82" s="4164"/>
      <c r="DF82" s="4162"/>
      <c r="DG82" s="4163"/>
      <c r="DH82" s="4163"/>
      <c r="DI82" s="4164"/>
      <c r="DJ82" s="994"/>
      <c r="DK82" s="994"/>
      <c r="DL82" s="994"/>
      <c r="DM82" s="994"/>
      <c r="DN82" s="994"/>
      <c r="DO82" s="994"/>
      <c r="DP82" s="994"/>
      <c r="DQ82" s="994"/>
      <c r="DR82" s="993"/>
      <c r="DS82" s="992"/>
      <c r="DT82" s="991"/>
      <c r="DU82" s="991"/>
      <c r="DV82" s="991"/>
      <c r="DW82" s="991"/>
      <c r="DX82" s="991"/>
      <c r="DY82" s="991"/>
      <c r="DZ82" s="866"/>
    </row>
    <row r="83" spans="2:130" ht="6" customHeight="1">
      <c r="B83" s="889"/>
      <c r="C83" s="894"/>
      <c r="D83" s="894"/>
      <c r="E83" s="894"/>
      <c r="F83" s="894"/>
      <c r="G83" s="920"/>
      <c r="H83" s="936"/>
      <c r="I83" s="4158" t="s">
        <v>1403</v>
      </c>
      <c r="J83" s="4158"/>
      <c r="K83" s="4158"/>
      <c r="L83" s="936"/>
      <c r="M83" s="910"/>
      <c r="N83" s="4170" t="s">
        <v>1402</v>
      </c>
      <c r="O83" s="4170"/>
      <c r="P83" s="4170"/>
      <c r="Q83" s="910"/>
      <c r="R83" s="894"/>
      <c r="S83" s="894"/>
      <c r="T83" s="894"/>
      <c r="U83" s="894"/>
      <c r="V83" s="894"/>
      <c r="W83" s="894"/>
      <c r="X83" s="894"/>
      <c r="Y83" s="894"/>
      <c r="Z83" s="931"/>
      <c r="AA83" s="4170" t="s">
        <v>1403</v>
      </c>
      <c r="AB83" s="4170"/>
      <c r="AC83" s="4170"/>
      <c r="AD83" s="910"/>
      <c r="AE83" s="920"/>
      <c r="AF83" s="936"/>
      <c r="AG83" s="4158" t="s">
        <v>1402</v>
      </c>
      <c r="AH83" s="4158"/>
      <c r="AI83" s="4158"/>
      <c r="AJ83" s="936"/>
      <c r="AK83" s="936"/>
      <c r="AL83" s="910"/>
      <c r="AM83" s="894"/>
      <c r="AN83" s="894"/>
      <c r="AO83" s="894"/>
      <c r="AP83" s="894"/>
      <c r="AQ83" s="894"/>
      <c r="AR83" s="894"/>
      <c r="AS83" s="894"/>
      <c r="AT83" s="894"/>
      <c r="AU83" s="894"/>
      <c r="AV83" s="894"/>
      <c r="AW83" s="920"/>
      <c r="AX83" s="4158" t="s">
        <v>1403</v>
      </c>
      <c r="AY83" s="4158"/>
      <c r="AZ83" s="4158"/>
      <c r="BA83" s="936"/>
      <c r="BB83" s="910"/>
      <c r="BC83" s="4170" t="s">
        <v>1402</v>
      </c>
      <c r="BD83" s="4170"/>
      <c r="BE83" s="4170"/>
      <c r="BF83" s="910"/>
      <c r="BG83" s="894"/>
      <c r="BH83" s="894"/>
      <c r="BI83" s="894"/>
      <c r="BJ83" s="894"/>
      <c r="BK83" s="894"/>
      <c r="BL83" s="894"/>
      <c r="BM83" s="894"/>
      <c r="BN83" s="894"/>
      <c r="BO83" s="894"/>
      <c r="BP83" s="931"/>
      <c r="BQ83" s="4170" t="s">
        <v>1403</v>
      </c>
      <c r="BR83" s="4170"/>
      <c r="BS83" s="4170"/>
      <c r="BT83" s="910"/>
      <c r="BU83" s="920"/>
      <c r="BV83" s="4170" t="s">
        <v>1402</v>
      </c>
      <c r="BW83" s="4170"/>
      <c r="BX83" s="4170"/>
      <c r="BY83" s="936"/>
      <c r="BZ83" s="910"/>
      <c r="CA83" s="894"/>
      <c r="CB83" s="894"/>
      <c r="CC83" s="894"/>
      <c r="CD83" s="931"/>
      <c r="CE83" s="894"/>
      <c r="CF83" s="894"/>
      <c r="CG83" s="894"/>
      <c r="CH83" s="894"/>
      <c r="CI83" s="894"/>
      <c r="CJ83" s="894"/>
      <c r="CK83" s="894"/>
      <c r="CL83" s="894"/>
      <c r="CM83" s="894"/>
      <c r="CN83" s="894"/>
      <c r="CO83" s="894"/>
      <c r="CP83" s="869"/>
      <c r="CQ83" s="4108" t="s">
        <v>1400</v>
      </c>
      <c r="CR83" s="4108"/>
      <c r="CS83" s="4079" t="s">
        <v>1399</v>
      </c>
      <c r="CT83" s="4094"/>
      <c r="CU83" s="4095"/>
      <c r="CV83" s="4095"/>
      <c r="CW83" s="4096"/>
      <c r="CX83" s="4094"/>
      <c r="CY83" s="4095"/>
      <c r="CZ83" s="4095"/>
      <c r="DA83" s="4096"/>
      <c r="DB83" s="4159"/>
      <c r="DC83" s="4160"/>
      <c r="DD83" s="4160"/>
      <c r="DE83" s="4161"/>
      <c r="DF83" s="4159"/>
      <c r="DG83" s="4160"/>
      <c r="DH83" s="4160"/>
      <c r="DI83" s="4161"/>
      <c r="DJ83" s="994"/>
      <c r="DK83" s="994"/>
      <c r="DL83" s="994"/>
      <c r="DM83" s="994"/>
      <c r="DN83" s="994"/>
      <c r="DO83" s="994"/>
      <c r="DP83" s="994"/>
      <c r="DQ83" s="994"/>
      <c r="DR83" s="993"/>
      <c r="DS83" s="992"/>
      <c r="DT83" s="991"/>
      <c r="DU83" s="991"/>
      <c r="DV83" s="991"/>
      <c r="DW83" s="991"/>
      <c r="DX83" s="991"/>
      <c r="DY83" s="991"/>
      <c r="DZ83" s="866"/>
    </row>
    <row r="84" spans="2:130" ht="6" customHeight="1">
      <c r="B84" s="889"/>
      <c r="C84" s="894"/>
      <c r="D84" s="894"/>
      <c r="E84" s="894"/>
      <c r="F84" s="894"/>
      <c r="G84" s="894"/>
      <c r="H84" s="894"/>
      <c r="I84" s="4150"/>
      <c r="J84" s="4150"/>
      <c r="K84" s="4150"/>
      <c r="L84" s="894"/>
      <c r="M84" s="894"/>
      <c r="N84" s="4147"/>
      <c r="O84" s="4147"/>
      <c r="P84" s="4147"/>
      <c r="Q84" s="894"/>
      <c r="R84" s="894"/>
      <c r="S84" s="894"/>
      <c r="T84" s="894"/>
      <c r="U84" s="894"/>
      <c r="V84" s="894"/>
      <c r="W84" s="894"/>
      <c r="X84" s="894"/>
      <c r="Y84" s="894"/>
      <c r="Z84" s="894"/>
      <c r="AA84" s="4147"/>
      <c r="AB84" s="4147"/>
      <c r="AC84" s="4147"/>
      <c r="AD84" s="894"/>
      <c r="AE84" s="894"/>
      <c r="AF84" s="894"/>
      <c r="AG84" s="4150"/>
      <c r="AH84" s="4150"/>
      <c r="AI84" s="4150"/>
      <c r="AJ84" s="894"/>
      <c r="AK84" s="894"/>
      <c r="AL84" s="894"/>
      <c r="AM84" s="894"/>
      <c r="AN84" s="894"/>
      <c r="AO84" s="894"/>
      <c r="AP84" s="894"/>
      <c r="AQ84" s="894"/>
      <c r="AR84" s="894"/>
      <c r="AS84" s="894"/>
      <c r="AT84" s="894"/>
      <c r="AU84" s="894"/>
      <c r="AV84" s="894"/>
      <c r="AW84" s="894"/>
      <c r="AX84" s="4150"/>
      <c r="AY84" s="4150"/>
      <c r="AZ84" s="4150"/>
      <c r="BA84" s="894"/>
      <c r="BB84" s="894"/>
      <c r="BC84" s="4147"/>
      <c r="BD84" s="4147"/>
      <c r="BE84" s="4147"/>
      <c r="BF84" s="894"/>
      <c r="BG84" s="894"/>
      <c r="BH84" s="894"/>
      <c r="BI84" s="894"/>
      <c r="BJ84" s="894"/>
      <c r="BK84" s="894"/>
      <c r="BL84" s="894"/>
      <c r="BM84" s="996"/>
      <c r="BN84" s="996"/>
      <c r="BO84" s="996"/>
      <c r="BP84" s="894"/>
      <c r="BQ84" s="4147"/>
      <c r="BR84" s="4147"/>
      <c r="BS84" s="4147"/>
      <c r="BT84" s="996"/>
      <c r="BU84" s="894"/>
      <c r="BV84" s="4147"/>
      <c r="BW84" s="4147"/>
      <c r="BX84" s="4147"/>
      <c r="BY84" s="894"/>
      <c r="BZ84" s="894"/>
      <c r="CA84" s="894"/>
      <c r="CB84" s="871"/>
      <c r="CC84" s="871"/>
      <c r="CD84" s="888"/>
      <c r="CE84" s="871"/>
      <c r="CF84" s="871"/>
      <c r="CG84" s="871"/>
      <c r="CH84" s="871"/>
      <c r="CI84" s="871"/>
      <c r="CJ84" s="871"/>
      <c r="CK84" s="871"/>
      <c r="CL84" s="871"/>
      <c r="CM84" s="871"/>
      <c r="CN84" s="871"/>
      <c r="CO84" s="871"/>
      <c r="CP84" s="869"/>
      <c r="CQ84" s="4108"/>
      <c r="CR84" s="4108"/>
      <c r="CS84" s="4079"/>
      <c r="CT84" s="4097"/>
      <c r="CU84" s="4098"/>
      <c r="CV84" s="4098"/>
      <c r="CW84" s="4099"/>
      <c r="CX84" s="4097"/>
      <c r="CY84" s="4098"/>
      <c r="CZ84" s="4098"/>
      <c r="DA84" s="4099"/>
      <c r="DB84" s="4162"/>
      <c r="DC84" s="4163"/>
      <c r="DD84" s="4163"/>
      <c r="DE84" s="4164"/>
      <c r="DF84" s="4162"/>
      <c r="DG84" s="4163"/>
      <c r="DH84" s="4163"/>
      <c r="DI84" s="4164"/>
      <c r="DJ84" s="994"/>
      <c r="DK84" s="994"/>
      <c r="DL84" s="994"/>
      <c r="DM84" s="994"/>
      <c r="DN84" s="994"/>
      <c r="DO84" s="994"/>
      <c r="DP84" s="994"/>
      <c r="DQ84" s="994"/>
      <c r="DR84" s="993"/>
      <c r="DS84" s="992"/>
      <c r="DT84" s="991"/>
      <c r="DU84" s="991"/>
      <c r="DV84" s="991"/>
      <c r="DW84" s="991"/>
      <c r="DX84" s="991"/>
      <c r="DY84" s="991"/>
      <c r="DZ84" s="866"/>
    </row>
    <row r="85" spans="2:130" ht="7.5" customHeight="1">
      <c r="B85" s="889"/>
      <c r="C85" s="894"/>
      <c r="D85" s="894"/>
      <c r="E85" s="894"/>
      <c r="F85" s="890" t="s">
        <v>1430</v>
      </c>
      <c r="G85" s="873"/>
      <c r="H85" s="873"/>
      <c r="I85" s="986"/>
      <c r="J85" s="986"/>
      <c r="K85" s="986"/>
      <c r="L85" s="873"/>
      <c r="M85" s="873"/>
      <c r="N85" s="986"/>
      <c r="O85" s="986"/>
      <c r="P85" s="986"/>
      <c r="Q85" s="873"/>
      <c r="R85" s="873"/>
      <c r="S85" s="873"/>
      <c r="T85" s="873"/>
      <c r="U85" s="873"/>
      <c r="V85" s="873"/>
      <c r="W85" s="873"/>
      <c r="X85" s="873"/>
      <c r="Y85" s="873"/>
      <c r="Z85" s="890" t="s">
        <v>1430</v>
      </c>
      <c r="AA85" s="986"/>
      <c r="AB85" s="986"/>
      <c r="AC85" s="873"/>
      <c r="AD85" s="873"/>
      <c r="AE85" s="873"/>
      <c r="AF85" s="986"/>
      <c r="AG85" s="986"/>
      <c r="AH85" s="986"/>
      <c r="AI85" s="873"/>
      <c r="AJ85" s="873"/>
      <c r="AK85" s="873"/>
      <c r="AL85" s="873"/>
      <c r="AM85" s="873"/>
      <c r="AN85" s="873"/>
      <c r="AO85" s="873"/>
      <c r="AP85" s="873"/>
      <c r="AQ85" s="873"/>
      <c r="AR85" s="873"/>
      <c r="AS85" s="873"/>
      <c r="AT85" s="873"/>
      <c r="AU85" s="986"/>
      <c r="AV85" s="890" t="s">
        <v>1430</v>
      </c>
      <c r="AW85" s="986"/>
      <c r="AX85" s="873"/>
      <c r="AY85" s="873"/>
      <c r="AZ85" s="986"/>
      <c r="BA85" s="986"/>
      <c r="BB85" s="986"/>
      <c r="BC85" s="873"/>
      <c r="BD85" s="873"/>
      <c r="BE85" s="873"/>
      <c r="BF85" s="873"/>
      <c r="BG85" s="873"/>
      <c r="BH85" s="873"/>
      <c r="BI85" s="873"/>
      <c r="BJ85" s="873"/>
      <c r="BK85" s="873"/>
      <c r="BL85" s="873"/>
      <c r="BM85" s="986"/>
      <c r="BN85" s="986"/>
      <c r="BO85" s="986"/>
      <c r="BP85" s="890" t="s">
        <v>1430</v>
      </c>
      <c r="BQ85" s="873"/>
      <c r="BR85" s="986"/>
      <c r="BS85" s="986"/>
      <c r="BT85" s="986"/>
      <c r="BU85" s="985"/>
      <c r="BV85" s="873"/>
      <c r="BW85" s="873"/>
      <c r="BX85" s="873"/>
      <c r="BY85" s="873"/>
      <c r="BZ85" s="873"/>
      <c r="CA85" s="873"/>
      <c r="CB85" s="873"/>
      <c r="CC85" s="873"/>
      <c r="CD85" s="984"/>
      <c r="CE85" s="873"/>
      <c r="CF85" s="873"/>
      <c r="CG85" s="873"/>
      <c r="CH85" s="873"/>
      <c r="CI85" s="873"/>
      <c r="CJ85" s="873"/>
      <c r="CK85" s="873"/>
      <c r="CL85" s="873"/>
      <c r="CM85" s="873"/>
      <c r="CN85" s="873"/>
      <c r="CO85" s="873"/>
      <c r="CP85" s="869"/>
      <c r="CQ85" s="4109"/>
      <c r="CR85" s="4110"/>
      <c r="CS85" s="4111"/>
      <c r="CT85" s="4115" t="str">
        <f>IF(CQ85="","⇐ type選択","")</f>
        <v>⇐ type選択</v>
      </c>
      <c r="CU85" s="4116"/>
      <c r="CV85" s="4116"/>
      <c r="CW85" s="4116"/>
      <c r="CX85" s="4116"/>
      <c r="CY85" s="4116"/>
      <c r="CZ85" s="4116"/>
      <c r="DA85" s="995"/>
      <c r="DB85" s="869"/>
      <c r="DC85" s="994"/>
      <c r="DD85" s="994"/>
      <c r="DE85" s="994"/>
      <c r="DF85" s="994"/>
      <c r="DG85" s="994"/>
      <c r="DH85" s="994"/>
      <c r="DI85" s="994"/>
      <c r="DJ85" s="994"/>
      <c r="DK85" s="994"/>
      <c r="DL85" s="994"/>
      <c r="DM85" s="994"/>
      <c r="DN85" s="994"/>
      <c r="DO85" s="994"/>
      <c r="DP85" s="994"/>
      <c r="DQ85" s="994"/>
      <c r="DR85" s="993"/>
      <c r="DS85" s="992"/>
      <c r="DT85" s="991"/>
      <c r="DU85" s="991"/>
      <c r="DV85" s="991"/>
      <c r="DW85" s="991"/>
      <c r="DX85" s="991"/>
      <c r="DY85" s="991"/>
      <c r="DZ85" s="866"/>
    </row>
    <row r="86" spans="2:130" ht="7.5" customHeight="1">
      <c r="B86" s="889"/>
      <c r="C86" s="894"/>
      <c r="D86" s="894"/>
      <c r="E86" s="894"/>
      <c r="F86" s="874" t="s">
        <v>1429</v>
      </c>
      <c r="G86" s="873"/>
      <c r="H86" s="873"/>
      <c r="I86" s="986"/>
      <c r="J86" s="986"/>
      <c r="K86" s="986"/>
      <c r="L86" s="873"/>
      <c r="M86" s="873"/>
      <c r="N86" s="986"/>
      <c r="O86" s="986"/>
      <c r="P86" s="986"/>
      <c r="Q86" s="873"/>
      <c r="R86" s="873"/>
      <c r="S86" s="873"/>
      <c r="T86" s="873"/>
      <c r="U86" s="873"/>
      <c r="V86" s="873"/>
      <c r="W86" s="873"/>
      <c r="X86" s="873"/>
      <c r="Y86" s="873"/>
      <c r="Z86" s="874" t="s">
        <v>1428</v>
      </c>
      <c r="AA86" s="986"/>
      <c r="AB86" s="986"/>
      <c r="AC86" s="873"/>
      <c r="AD86" s="873"/>
      <c r="AE86" s="873"/>
      <c r="AF86" s="986"/>
      <c r="AG86" s="986"/>
      <c r="AH86" s="986"/>
      <c r="AI86" s="873"/>
      <c r="AJ86" s="873"/>
      <c r="AK86" s="873"/>
      <c r="AL86" s="873"/>
      <c r="AM86" s="873"/>
      <c r="AN86" s="873"/>
      <c r="AO86" s="873"/>
      <c r="AP86" s="873"/>
      <c r="AQ86" s="873"/>
      <c r="AR86" s="873"/>
      <c r="AS86" s="873"/>
      <c r="AT86" s="873"/>
      <c r="AU86" s="986"/>
      <c r="AV86" s="874" t="s">
        <v>1427</v>
      </c>
      <c r="AW86" s="986"/>
      <c r="AX86" s="873"/>
      <c r="AY86" s="873"/>
      <c r="AZ86" s="986"/>
      <c r="BA86" s="986"/>
      <c r="BB86" s="986"/>
      <c r="BC86" s="873"/>
      <c r="BD86" s="873"/>
      <c r="BE86" s="873"/>
      <c r="BF86" s="873"/>
      <c r="BG86" s="873"/>
      <c r="BH86" s="873"/>
      <c r="BI86" s="873"/>
      <c r="BJ86" s="873"/>
      <c r="BK86" s="873"/>
      <c r="BL86" s="873"/>
      <c r="BM86" s="986"/>
      <c r="BN86" s="986"/>
      <c r="BO86" s="986"/>
      <c r="BP86" s="874" t="s">
        <v>1426</v>
      </c>
      <c r="BQ86" s="873"/>
      <c r="BR86" s="986"/>
      <c r="BS86" s="986"/>
      <c r="BT86" s="986"/>
      <c r="BU86" s="985"/>
      <c r="BV86" s="873"/>
      <c r="BW86" s="873"/>
      <c r="BX86" s="873"/>
      <c r="BY86" s="873"/>
      <c r="BZ86" s="873"/>
      <c r="CA86" s="873"/>
      <c r="CB86" s="873"/>
      <c r="CC86" s="873"/>
      <c r="CD86" s="984"/>
      <c r="CE86" s="873"/>
      <c r="CF86" s="873"/>
      <c r="CG86" s="873"/>
      <c r="CH86" s="873"/>
      <c r="CI86" s="873"/>
      <c r="CJ86" s="873"/>
      <c r="CK86" s="873"/>
      <c r="CL86" s="873"/>
      <c r="CM86" s="873"/>
      <c r="CN86" s="873"/>
      <c r="CO86" s="873"/>
      <c r="CP86" s="869"/>
      <c r="CQ86" s="4112"/>
      <c r="CR86" s="4113"/>
      <c r="CS86" s="4114"/>
      <c r="CT86" s="4115"/>
      <c r="CU86" s="4116"/>
      <c r="CV86" s="4116"/>
      <c r="CW86" s="4116"/>
      <c r="CX86" s="4116"/>
      <c r="CY86" s="4116"/>
      <c r="CZ86" s="4116"/>
      <c r="DA86" s="869"/>
      <c r="DB86" s="869"/>
      <c r="DC86" s="869"/>
      <c r="DD86" s="869"/>
      <c r="DE86" s="869"/>
      <c r="DF86" s="869"/>
      <c r="DG86" s="869"/>
      <c r="DH86" s="869"/>
      <c r="DI86" s="869"/>
      <c r="DJ86" s="869"/>
      <c r="DK86" s="869"/>
      <c r="DL86" s="869"/>
      <c r="DM86" s="869"/>
      <c r="DN86" s="869"/>
      <c r="DO86" s="869"/>
      <c r="DP86" s="869"/>
      <c r="DQ86" s="869"/>
      <c r="DR86" s="868"/>
      <c r="DS86" s="867"/>
      <c r="DT86" s="866"/>
      <c r="DU86" s="866"/>
      <c r="DV86" s="866"/>
      <c r="DW86" s="866"/>
      <c r="DX86" s="866"/>
      <c r="DY86" s="866"/>
      <c r="DZ86" s="866"/>
    </row>
    <row r="87" spans="2:130" ht="7.5" customHeight="1">
      <c r="B87" s="889"/>
      <c r="C87" s="894"/>
      <c r="D87" s="894"/>
      <c r="E87" s="894"/>
      <c r="F87" s="874"/>
      <c r="G87" s="873"/>
      <c r="H87" s="873"/>
      <c r="I87" s="986"/>
      <c r="J87" s="986"/>
      <c r="K87" s="986"/>
      <c r="L87" s="873"/>
      <c r="M87" s="873"/>
      <c r="N87" s="986"/>
      <c r="O87" s="986"/>
      <c r="P87" s="986"/>
      <c r="Q87" s="873"/>
      <c r="R87" s="873"/>
      <c r="S87" s="873"/>
      <c r="T87" s="873"/>
      <c r="U87" s="873"/>
      <c r="V87" s="873"/>
      <c r="W87" s="873"/>
      <c r="X87" s="873"/>
      <c r="Y87" s="873"/>
      <c r="Z87" s="874" t="s">
        <v>1425</v>
      </c>
      <c r="AA87" s="986"/>
      <c r="AB87" s="986"/>
      <c r="AC87" s="873"/>
      <c r="AD87" s="873"/>
      <c r="AE87" s="873"/>
      <c r="AF87" s="986"/>
      <c r="AG87" s="986"/>
      <c r="AH87" s="986"/>
      <c r="AI87" s="873"/>
      <c r="AJ87" s="873"/>
      <c r="AK87" s="873"/>
      <c r="AL87" s="873"/>
      <c r="AM87" s="873"/>
      <c r="AN87" s="873"/>
      <c r="AO87" s="873"/>
      <c r="AP87" s="873"/>
      <c r="AQ87" s="873"/>
      <c r="AR87" s="873"/>
      <c r="AS87" s="873"/>
      <c r="AT87" s="873"/>
      <c r="AU87" s="986"/>
      <c r="AV87" s="874" t="s">
        <v>1424</v>
      </c>
      <c r="AW87" s="986"/>
      <c r="AX87" s="873"/>
      <c r="AY87" s="873"/>
      <c r="AZ87" s="986"/>
      <c r="BA87" s="986"/>
      <c r="BB87" s="986"/>
      <c r="BC87" s="873"/>
      <c r="BD87" s="873"/>
      <c r="BE87" s="873"/>
      <c r="BF87" s="873"/>
      <c r="BG87" s="873"/>
      <c r="BH87" s="873"/>
      <c r="BI87" s="873"/>
      <c r="BJ87" s="873"/>
      <c r="BK87" s="873"/>
      <c r="BL87" s="873"/>
      <c r="BM87" s="986"/>
      <c r="BN87" s="986"/>
      <c r="BO87" s="986"/>
      <c r="BP87" s="990" t="s">
        <v>1423</v>
      </c>
      <c r="BQ87" s="988"/>
      <c r="BR87" s="988"/>
      <c r="BS87" s="988"/>
      <c r="BT87" s="988"/>
      <c r="BU87" s="988"/>
      <c r="BV87" s="988"/>
      <c r="BW87" s="988"/>
      <c r="BX87" s="988"/>
      <c r="BY87" s="988"/>
      <c r="BZ87" s="988"/>
      <c r="CA87" s="988"/>
      <c r="CB87" s="988"/>
      <c r="CC87" s="988"/>
      <c r="CD87" s="989"/>
      <c r="CE87" s="988"/>
      <c r="CF87" s="988"/>
      <c r="CG87" s="988"/>
      <c r="CH87" s="988"/>
      <c r="CI87" s="988"/>
      <c r="CJ87" s="988"/>
      <c r="CK87" s="988"/>
      <c r="CL87" s="988"/>
      <c r="CM87" s="988"/>
      <c r="CN87" s="988"/>
      <c r="CO87" s="988"/>
      <c r="CP87" s="869"/>
      <c r="CQ87" s="4171" t="str">
        <f>IF(CQ85="","","n=")</f>
        <v/>
      </c>
      <c r="CR87" s="4171"/>
      <c r="CS87" s="4171"/>
      <c r="CT87" s="4118" t="b">
        <f>IF(CQ85="E1",DV69,IF(CQ85="E2",DV71,IF(CQ85="F1",DV73,IF(CQ85="F2",DV75))))</f>
        <v>0</v>
      </c>
      <c r="CU87" s="4118"/>
      <c r="CV87" s="4118"/>
      <c r="CW87" s="4118"/>
      <c r="CX87" s="869"/>
      <c r="CY87" s="869"/>
      <c r="CZ87" s="869"/>
      <c r="DA87" s="869"/>
      <c r="DB87" s="946"/>
      <c r="DC87" s="946"/>
      <c r="DD87" s="946"/>
      <c r="DE87" s="946"/>
      <c r="DF87" s="869"/>
      <c r="DG87" s="869"/>
      <c r="DH87" s="869"/>
      <c r="DI87" s="869"/>
      <c r="DJ87" s="869"/>
      <c r="DK87" s="869"/>
      <c r="DL87" s="869"/>
      <c r="DM87" s="869"/>
      <c r="DN87" s="869"/>
      <c r="DO87" s="869"/>
      <c r="DP87" s="869"/>
      <c r="DQ87" s="869"/>
      <c r="DR87" s="868"/>
      <c r="DS87" s="867"/>
      <c r="DT87" s="866"/>
      <c r="DU87" s="866"/>
      <c r="DV87" s="866"/>
      <c r="DW87" s="866"/>
      <c r="DX87" s="866"/>
      <c r="DY87" s="866"/>
      <c r="DZ87" s="866"/>
    </row>
    <row r="88" spans="2:130" ht="7.5" customHeight="1">
      <c r="B88" s="889"/>
      <c r="C88" s="894"/>
      <c r="D88" s="894"/>
      <c r="E88" s="894"/>
      <c r="F88" s="873"/>
      <c r="G88" s="873"/>
      <c r="H88" s="873"/>
      <c r="I88" s="986"/>
      <c r="J88" s="986"/>
      <c r="K88" s="986"/>
      <c r="L88" s="873"/>
      <c r="M88" s="873"/>
      <c r="N88" s="986"/>
      <c r="O88" s="986"/>
      <c r="P88" s="986"/>
      <c r="Q88" s="873"/>
      <c r="R88" s="873"/>
      <c r="S88" s="873"/>
      <c r="T88" s="873"/>
      <c r="U88" s="873"/>
      <c r="V88" s="873"/>
      <c r="W88" s="873"/>
      <c r="X88" s="873"/>
      <c r="Y88" s="873"/>
      <c r="Z88" s="987"/>
      <c r="AA88" s="986"/>
      <c r="AB88" s="986"/>
      <c r="AC88" s="873"/>
      <c r="AD88" s="873"/>
      <c r="AE88" s="873"/>
      <c r="AF88" s="986"/>
      <c r="AG88" s="986"/>
      <c r="AH88" s="986"/>
      <c r="AI88" s="873"/>
      <c r="AJ88" s="873"/>
      <c r="AK88" s="873"/>
      <c r="AL88" s="873"/>
      <c r="AM88" s="873"/>
      <c r="AN88" s="873"/>
      <c r="AO88" s="873"/>
      <c r="AP88" s="873"/>
      <c r="AQ88" s="873"/>
      <c r="AR88" s="873"/>
      <c r="AS88" s="873"/>
      <c r="AT88" s="873"/>
      <c r="AU88" s="986"/>
      <c r="AV88" s="874" t="s">
        <v>1390</v>
      </c>
      <c r="AW88" s="986"/>
      <c r="AX88" s="873"/>
      <c r="AY88" s="873"/>
      <c r="AZ88" s="986"/>
      <c r="BA88" s="986"/>
      <c r="BB88" s="986"/>
      <c r="BC88" s="873"/>
      <c r="BD88" s="873"/>
      <c r="BE88" s="873"/>
      <c r="BF88" s="873"/>
      <c r="BG88" s="873"/>
      <c r="BH88" s="873"/>
      <c r="BI88" s="873"/>
      <c r="BJ88" s="873"/>
      <c r="BK88" s="873"/>
      <c r="BL88" s="873"/>
      <c r="BM88" s="986"/>
      <c r="BN88" s="986"/>
      <c r="BO88" s="986"/>
      <c r="BP88" s="874" t="s">
        <v>1422</v>
      </c>
      <c r="BQ88" s="873"/>
      <c r="BR88" s="986"/>
      <c r="BS88" s="986"/>
      <c r="BT88" s="986"/>
      <c r="BU88" s="985"/>
      <c r="BV88" s="873"/>
      <c r="BW88" s="873"/>
      <c r="BX88" s="873"/>
      <c r="BY88" s="873"/>
      <c r="BZ88" s="873"/>
      <c r="CA88" s="873"/>
      <c r="CB88" s="873"/>
      <c r="CC88" s="873"/>
      <c r="CD88" s="984"/>
      <c r="CE88" s="873"/>
      <c r="CF88" s="873"/>
      <c r="CG88" s="873"/>
      <c r="CH88" s="873"/>
      <c r="CI88" s="873"/>
      <c r="CJ88" s="873"/>
      <c r="CK88" s="873"/>
      <c r="CL88" s="873"/>
      <c r="CM88" s="873"/>
      <c r="CN88" s="873"/>
      <c r="CO88" s="873"/>
      <c r="CP88" s="869"/>
      <c r="CQ88" s="4171"/>
      <c r="CR88" s="4171"/>
      <c r="CS88" s="4171"/>
      <c r="CT88" s="4118"/>
      <c r="CU88" s="4118"/>
      <c r="CV88" s="4118"/>
      <c r="CW88" s="4118"/>
      <c r="CX88" s="869"/>
      <c r="CY88" s="869"/>
      <c r="CZ88" s="869"/>
      <c r="DA88" s="869"/>
      <c r="DB88" s="946"/>
      <c r="DC88" s="946"/>
      <c r="DD88" s="946"/>
      <c r="DE88" s="946"/>
      <c r="DF88" s="869"/>
      <c r="DG88" s="869"/>
      <c r="DH88" s="869"/>
      <c r="DI88" s="869"/>
      <c r="DJ88" s="869"/>
      <c r="DK88" s="869"/>
      <c r="DL88" s="869"/>
      <c r="DM88" s="869"/>
      <c r="DN88" s="869"/>
      <c r="DO88" s="869"/>
      <c r="DP88" s="869"/>
      <c r="DQ88" s="869"/>
      <c r="DR88" s="868"/>
      <c r="DS88" s="867"/>
      <c r="DT88" s="866"/>
      <c r="DU88" s="866"/>
      <c r="DV88" s="866"/>
      <c r="DW88" s="866"/>
      <c r="DX88" s="866"/>
      <c r="DY88" s="866"/>
      <c r="DZ88" s="866"/>
    </row>
    <row r="89" spans="2:130" ht="6" customHeight="1">
      <c r="B89" s="889"/>
      <c r="C89" s="894"/>
      <c r="D89" s="894"/>
      <c r="E89" s="894"/>
      <c r="F89" s="894"/>
      <c r="G89" s="894"/>
      <c r="H89" s="894"/>
      <c r="I89" s="983"/>
      <c r="J89" s="983"/>
      <c r="K89" s="983"/>
      <c r="L89" s="894"/>
      <c r="M89" s="894"/>
      <c r="N89" s="981"/>
      <c r="O89" s="981"/>
      <c r="P89" s="981"/>
      <c r="Q89" s="894"/>
      <c r="R89" s="894"/>
      <c r="S89" s="894"/>
      <c r="T89" s="894"/>
      <c r="U89" s="894"/>
      <c r="V89" s="894"/>
      <c r="W89" s="894"/>
      <c r="X89" s="894"/>
      <c r="Y89" s="894"/>
      <c r="Z89" s="981"/>
      <c r="AA89" s="981"/>
      <c r="AB89" s="981"/>
      <c r="AC89" s="894"/>
      <c r="AD89" s="894"/>
      <c r="AE89" s="894"/>
      <c r="AF89" s="981"/>
      <c r="AG89" s="981"/>
      <c r="AH89" s="981"/>
      <c r="AI89" s="894"/>
      <c r="AJ89" s="894"/>
      <c r="AK89" s="894"/>
      <c r="AL89" s="894"/>
      <c r="AM89" s="894"/>
      <c r="AN89" s="894"/>
      <c r="AO89" s="894"/>
      <c r="AP89" s="894"/>
      <c r="AQ89" s="894"/>
      <c r="AR89" s="894"/>
      <c r="AS89" s="894"/>
      <c r="AT89" s="894"/>
      <c r="AU89" s="982"/>
      <c r="AV89" s="982"/>
      <c r="AW89" s="982"/>
      <c r="AX89" s="894"/>
      <c r="AY89" s="894"/>
      <c r="AZ89" s="981"/>
      <c r="BA89" s="981"/>
      <c r="BB89" s="981"/>
      <c r="BC89" s="894"/>
      <c r="BD89" s="894"/>
      <c r="BE89" s="894"/>
      <c r="BF89" s="894"/>
      <c r="BG89" s="894"/>
      <c r="BH89" s="894"/>
      <c r="BI89" s="894"/>
      <c r="BJ89" s="894"/>
      <c r="BK89" s="894"/>
      <c r="BL89" s="894"/>
      <c r="BM89" s="981"/>
      <c r="BN89" s="981"/>
      <c r="BO89" s="981"/>
      <c r="BP89" s="894"/>
      <c r="BQ89" s="894"/>
      <c r="BR89" s="981"/>
      <c r="BS89" s="981"/>
      <c r="BT89" s="981"/>
      <c r="BU89" s="980"/>
      <c r="BV89" s="894"/>
      <c r="BW89" s="894"/>
      <c r="BX89" s="894"/>
      <c r="BY89" s="894"/>
      <c r="BZ89" s="894"/>
      <c r="CA89" s="894"/>
      <c r="CB89" s="871"/>
      <c r="CC89" s="871"/>
      <c r="CD89" s="888"/>
      <c r="CE89" s="871"/>
      <c r="CF89" s="871"/>
      <c r="CG89" s="871"/>
      <c r="CH89" s="871"/>
      <c r="CI89" s="871"/>
      <c r="CJ89" s="871"/>
      <c r="CK89" s="871"/>
      <c r="CL89" s="871"/>
      <c r="CM89" s="871"/>
      <c r="CN89" s="871"/>
      <c r="CO89" s="871"/>
      <c r="CP89" s="880"/>
      <c r="CQ89" s="979"/>
      <c r="CR89" s="979"/>
      <c r="CS89" s="979"/>
      <c r="CT89" s="979"/>
      <c r="CU89" s="979"/>
      <c r="CV89" s="979"/>
      <c r="CW89" s="979"/>
      <c r="CX89" s="880"/>
      <c r="CY89" s="880"/>
      <c r="CZ89" s="880"/>
      <c r="DA89" s="978"/>
      <c r="DB89" s="978"/>
      <c r="DC89" s="978"/>
      <c r="DD89" s="978"/>
      <c r="DE89" s="978"/>
      <c r="DF89" s="978"/>
      <c r="DG89" s="978"/>
      <c r="DH89" s="978"/>
      <c r="DI89" s="978"/>
      <c r="DJ89" s="978"/>
      <c r="DK89" s="978"/>
      <c r="DL89" s="978"/>
      <c r="DM89" s="978"/>
      <c r="DN89" s="978"/>
      <c r="DO89" s="978"/>
      <c r="DP89" s="978"/>
      <c r="DQ89" s="978"/>
      <c r="DR89" s="977"/>
      <c r="DS89" s="867"/>
      <c r="DT89" s="866"/>
      <c r="DU89" s="866"/>
      <c r="DV89" s="866"/>
      <c r="DW89" s="866"/>
      <c r="DX89" s="866"/>
      <c r="DY89" s="866"/>
      <c r="DZ89" s="866"/>
    </row>
    <row r="90" spans="2:130" ht="6" customHeight="1">
      <c r="B90" s="976"/>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c r="AL90" s="975"/>
      <c r="AM90" s="975"/>
      <c r="AN90" s="975"/>
      <c r="AO90" s="975"/>
      <c r="AP90" s="975"/>
      <c r="AQ90" s="975"/>
      <c r="AR90" s="975"/>
      <c r="AS90" s="975"/>
      <c r="AT90" s="975"/>
      <c r="AU90" s="975"/>
      <c r="AV90" s="975"/>
      <c r="AW90" s="975"/>
      <c r="AX90" s="975"/>
      <c r="AY90" s="975"/>
      <c r="AZ90" s="975"/>
      <c r="BA90" s="975"/>
      <c r="BB90" s="975"/>
      <c r="BC90" s="975"/>
      <c r="BD90" s="975"/>
      <c r="BE90" s="975"/>
      <c r="BF90" s="975"/>
      <c r="BG90" s="975"/>
      <c r="BH90" s="975"/>
      <c r="BI90" s="975"/>
      <c r="BJ90" s="975"/>
      <c r="BK90" s="975"/>
      <c r="BL90" s="975"/>
      <c r="BM90" s="975"/>
      <c r="BN90" s="975"/>
      <c r="BO90" s="975"/>
      <c r="BP90" s="975"/>
      <c r="BQ90" s="975"/>
      <c r="BR90" s="975"/>
      <c r="BS90" s="975"/>
      <c r="BT90" s="975"/>
      <c r="BU90" s="975"/>
      <c r="BV90" s="975"/>
      <c r="BW90" s="975"/>
      <c r="BX90" s="975"/>
      <c r="BY90" s="975"/>
      <c r="BZ90" s="975"/>
      <c r="CA90" s="975"/>
      <c r="CB90" s="975"/>
      <c r="CC90" s="975"/>
      <c r="CD90" s="974"/>
      <c r="CE90" s="871"/>
      <c r="CF90" s="871"/>
      <c r="CG90" s="871"/>
      <c r="CH90" s="871"/>
      <c r="CI90" s="871"/>
      <c r="CJ90" s="871"/>
      <c r="CK90" s="871"/>
      <c r="CL90" s="871"/>
      <c r="CM90" s="871"/>
      <c r="CN90" s="871"/>
      <c r="CO90" s="871"/>
      <c r="CP90" s="973"/>
      <c r="CQ90" s="973"/>
      <c r="CR90" s="973"/>
      <c r="CS90" s="973"/>
      <c r="CT90" s="4166" t="s">
        <v>1413</v>
      </c>
      <c r="CU90" s="4166"/>
      <c r="CV90" s="4166"/>
      <c r="CW90" s="4166"/>
      <c r="CX90" s="4166" t="s">
        <v>1411</v>
      </c>
      <c r="CY90" s="4166"/>
      <c r="CZ90" s="4166"/>
      <c r="DA90" s="4038"/>
      <c r="DB90" s="4038" t="s">
        <v>1421</v>
      </c>
      <c r="DC90" s="4038"/>
      <c r="DD90" s="4038"/>
      <c r="DE90" s="4038"/>
      <c r="DF90" s="4038" t="s">
        <v>1420</v>
      </c>
      <c r="DG90" s="4038"/>
      <c r="DH90" s="4038"/>
      <c r="DI90" s="4038"/>
      <c r="DJ90" s="4038" t="s">
        <v>1419</v>
      </c>
      <c r="DK90" s="4038"/>
      <c r="DL90" s="4038"/>
      <c r="DM90" s="4038"/>
      <c r="DN90" s="4038" t="s">
        <v>1406</v>
      </c>
      <c r="DO90" s="4038"/>
      <c r="DP90" s="4038"/>
      <c r="DQ90" s="4038"/>
      <c r="DR90" s="868"/>
      <c r="DS90" s="867"/>
      <c r="DT90" s="866"/>
      <c r="DU90" s="866"/>
      <c r="DV90" s="866"/>
      <c r="DW90" s="866"/>
      <c r="DX90" s="866"/>
      <c r="DY90" s="866"/>
      <c r="DZ90" s="866"/>
    </row>
    <row r="91" spans="2:130" ht="6" customHeight="1">
      <c r="B91" s="889"/>
      <c r="C91" s="871"/>
      <c r="D91" s="871"/>
      <c r="E91" s="871"/>
      <c r="F91" s="871"/>
      <c r="G91" s="871"/>
      <c r="H91" s="871"/>
      <c r="I91" s="871"/>
      <c r="J91" s="871"/>
      <c r="K91" s="4047" t="s">
        <v>1418</v>
      </c>
      <c r="L91" s="4047"/>
      <c r="M91" s="4047"/>
      <c r="N91" s="4047"/>
      <c r="O91" s="4046" t="s">
        <v>1414</v>
      </c>
      <c r="P91" s="4046"/>
      <c r="Q91" s="4046"/>
      <c r="R91" s="4046"/>
      <c r="S91" s="871"/>
      <c r="T91" s="871"/>
      <c r="U91" s="871"/>
      <c r="V91" s="871"/>
      <c r="W91" s="871"/>
      <c r="X91" s="871"/>
      <c r="Y91" s="871"/>
      <c r="Z91" s="871"/>
      <c r="AA91" s="871"/>
      <c r="AB91" s="871"/>
      <c r="AC91" s="4047" t="s">
        <v>1417</v>
      </c>
      <c r="AD91" s="4047"/>
      <c r="AE91" s="4047"/>
      <c r="AF91" s="4047"/>
      <c r="AG91" s="4046" t="s">
        <v>1414</v>
      </c>
      <c r="AH91" s="4046"/>
      <c r="AI91" s="4046"/>
      <c r="AJ91" s="4046"/>
      <c r="AK91" s="871"/>
      <c r="AL91" s="871"/>
      <c r="AM91" s="871"/>
      <c r="AN91" s="871"/>
      <c r="AO91" s="871"/>
      <c r="AP91" s="871"/>
      <c r="AQ91" s="871"/>
      <c r="AR91" s="871"/>
      <c r="AS91" s="871"/>
      <c r="AT91" s="871"/>
      <c r="AU91" s="871"/>
      <c r="AV91" s="871"/>
      <c r="AW91" s="4047" t="s">
        <v>1416</v>
      </c>
      <c r="AX91" s="4047"/>
      <c r="AY91" s="4047"/>
      <c r="AZ91" s="4047"/>
      <c r="BA91" s="4046" t="s">
        <v>1414</v>
      </c>
      <c r="BB91" s="4046"/>
      <c r="BC91" s="4046"/>
      <c r="BD91" s="4046"/>
      <c r="BE91" s="871"/>
      <c r="BF91" s="871"/>
      <c r="BG91" s="871"/>
      <c r="BH91" s="871"/>
      <c r="BI91" s="871"/>
      <c r="BJ91" s="871"/>
      <c r="BK91" s="871"/>
      <c r="BL91" s="871"/>
      <c r="BM91" s="871"/>
      <c r="BN91" s="871"/>
      <c r="BO91" s="871"/>
      <c r="BP91" s="4047" t="s">
        <v>1415</v>
      </c>
      <c r="BQ91" s="4047"/>
      <c r="BR91" s="4047"/>
      <c r="BS91" s="4047"/>
      <c r="BT91" s="4046" t="s">
        <v>1414</v>
      </c>
      <c r="BU91" s="4046"/>
      <c r="BV91" s="4046"/>
      <c r="BW91" s="4046"/>
      <c r="BX91" s="871"/>
      <c r="BY91" s="871"/>
      <c r="BZ91" s="871"/>
      <c r="CA91" s="871"/>
      <c r="CB91" s="871"/>
      <c r="CC91" s="871"/>
      <c r="CD91" s="888"/>
      <c r="CE91" s="871"/>
      <c r="CF91" s="871"/>
      <c r="CG91" s="871"/>
      <c r="CH91" s="871"/>
      <c r="CI91" s="871"/>
      <c r="CJ91" s="871"/>
      <c r="CK91" s="871"/>
      <c r="CL91" s="871"/>
      <c r="CM91" s="871"/>
      <c r="CN91" s="871"/>
      <c r="CO91" s="871"/>
      <c r="CP91" s="972"/>
      <c r="CQ91" s="972"/>
      <c r="CR91" s="972"/>
      <c r="CS91" s="972"/>
      <c r="CT91" s="4039"/>
      <c r="CU91" s="4039"/>
      <c r="CV91" s="4039"/>
      <c r="CW91" s="4039"/>
      <c r="CX91" s="4039"/>
      <c r="CY91" s="4039"/>
      <c r="CZ91" s="4039"/>
      <c r="DA91" s="4039"/>
      <c r="DB91" s="4039"/>
      <c r="DC91" s="4039"/>
      <c r="DD91" s="4039"/>
      <c r="DE91" s="4039"/>
      <c r="DF91" s="4039"/>
      <c r="DG91" s="4039"/>
      <c r="DH91" s="4039"/>
      <c r="DI91" s="4039"/>
      <c r="DJ91" s="4039"/>
      <c r="DK91" s="4039"/>
      <c r="DL91" s="4039"/>
      <c r="DM91" s="4039"/>
      <c r="DN91" s="4039"/>
      <c r="DO91" s="4039"/>
      <c r="DP91" s="4039"/>
      <c r="DQ91" s="4039"/>
      <c r="DR91" s="868"/>
      <c r="DS91" s="867"/>
      <c r="DT91" s="866"/>
      <c r="DU91" s="866"/>
      <c r="DV91" s="866"/>
      <c r="DW91" s="866"/>
      <c r="DX91" s="866"/>
      <c r="DY91" s="866"/>
      <c r="DZ91" s="866"/>
    </row>
    <row r="92" spans="2:130" ht="6" customHeight="1">
      <c r="B92" s="889"/>
      <c r="C92" s="871"/>
      <c r="D92" s="871"/>
      <c r="E92" s="871"/>
      <c r="F92" s="871"/>
      <c r="G92" s="871"/>
      <c r="H92" s="871"/>
      <c r="I92" s="871"/>
      <c r="J92" s="871"/>
      <c r="K92" s="4047"/>
      <c r="L92" s="4047"/>
      <c r="M92" s="4047"/>
      <c r="N92" s="4047"/>
      <c r="O92" s="4046"/>
      <c r="P92" s="4046"/>
      <c r="Q92" s="4046"/>
      <c r="R92" s="4046"/>
      <c r="S92" s="871"/>
      <c r="T92" s="871"/>
      <c r="U92" s="871"/>
      <c r="V92" s="871"/>
      <c r="W92" s="871"/>
      <c r="X92" s="871"/>
      <c r="Y92" s="871"/>
      <c r="Z92" s="871"/>
      <c r="AA92" s="871"/>
      <c r="AB92" s="871"/>
      <c r="AC92" s="4047"/>
      <c r="AD92" s="4047"/>
      <c r="AE92" s="4047"/>
      <c r="AF92" s="4047"/>
      <c r="AG92" s="4046"/>
      <c r="AH92" s="4046"/>
      <c r="AI92" s="4046"/>
      <c r="AJ92" s="4046"/>
      <c r="AK92" s="871"/>
      <c r="AL92" s="871"/>
      <c r="AM92" s="871"/>
      <c r="AN92" s="871"/>
      <c r="AO92" s="871"/>
      <c r="AP92" s="871"/>
      <c r="AQ92" s="871"/>
      <c r="AR92" s="871"/>
      <c r="AS92" s="871"/>
      <c r="AT92" s="871"/>
      <c r="AU92" s="871"/>
      <c r="AV92" s="871"/>
      <c r="AW92" s="4047"/>
      <c r="AX92" s="4047"/>
      <c r="AY92" s="4047"/>
      <c r="AZ92" s="4047"/>
      <c r="BA92" s="4046"/>
      <c r="BB92" s="4046"/>
      <c r="BC92" s="4046"/>
      <c r="BD92" s="4046"/>
      <c r="BE92" s="871"/>
      <c r="BF92" s="871"/>
      <c r="BG92" s="871"/>
      <c r="BH92" s="871"/>
      <c r="BI92" s="871"/>
      <c r="BJ92" s="871"/>
      <c r="BK92" s="871"/>
      <c r="BL92" s="871"/>
      <c r="BM92" s="871"/>
      <c r="BN92" s="871"/>
      <c r="BO92" s="871"/>
      <c r="BP92" s="4047"/>
      <c r="BQ92" s="4047"/>
      <c r="BR92" s="4047"/>
      <c r="BS92" s="4047"/>
      <c r="BT92" s="4046"/>
      <c r="BU92" s="4046"/>
      <c r="BV92" s="4046"/>
      <c r="BW92" s="4046"/>
      <c r="BX92" s="871"/>
      <c r="BY92" s="871"/>
      <c r="BZ92" s="871"/>
      <c r="CA92" s="871"/>
      <c r="CB92" s="871"/>
      <c r="CC92" s="871"/>
      <c r="CD92" s="888"/>
      <c r="CE92" s="871"/>
      <c r="CF92" s="871"/>
      <c r="CG92" s="871"/>
      <c r="CH92" s="871"/>
      <c r="CI92" s="871"/>
      <c r="CJ92" s="871"/>
      <c r="CK92" s="871"/>
      <c r="CL92" s="871"/>
      <c r="CM92" s="871"/>
      <c r="CN92" s="871"/>
      <c r="CO92" s="871"/>
      <c r="CP92" s="870"/>
      <c r="CQ92" s="4078" t="s">
        <v>1403</v>
      </c>
      <c r="CR92" s="4078"/>
      <c r="CS92" s="4079" t="s">
        <v>1399</v>
      </c>
      <c r="CT92" s="4159"/>
      <c r="CU92" s="4160"/>
      <c r="CV92" s="4160"/>
      <c r="CW92" s="4161"/>
      <c r="CX92" s="4159"/>
      <c r="CY92" s="4160"/>
      <c r="CZ92" s="4160"/>
      <c r="DA92" s="4161"/>
      <c r="DB92" s="4159"/>
      <c r="DC92" s="4160"/>
      <c r="DD92" s="4160"/>
      <c r="DE92" s="4161"/>
      <c r="DF92" s="4159"/>
      <c r="DG92" s="4160"/>
      <c r="DH92" s="4160"/>
      <c r="DI92" s="4161"/>
      <c r="DJ92" s="4159"/>
      <c r="DK92" s="4160"/>
      <c r="DL92" s="4160"/>
      <c r="DM92" s="4161"/>
      <c r="DN92" s="4159"/>
      <c r="DO92" s="4160"/>
      <c r="DP92" s="4160"/>
      <c r="DQ92" s="4161"/>
      <c r="DR92" s="868"/>
      <c r="DS92" s="4040" t="s">
        <v>1413</v>
      </c>
      <c r="DT92" s="4041"/>
      <c r="DU92" s="4042"/>
      <c r="DV92" s="4086" t="str">
        <f>IF(DV93&gt;=1,DV93,1/DV93)</f>
        <v/>
      </c>
      <c r="DW92" s="4087"/>
      <c r="DX92" s="4087"/>
      <c r="DY92" s="4088"/>
      <c r="DZ92" s="866"/>
    </row>
    <row r="93" spans="2:130" ht="6" customHeight="1">
      <c r="B93" s="889"/>
      <c r="C93" s="894"/>
      <c r="D93" s="894"/>
      <c r="E93" s="894"/>
      <c r="F93" s="894"/>
      <c r="G93" s="4076" t="s">
        <v>1412</v>
      </c>
      <c r="H93" s="4076"/>
      <c r="I93" s="4076"/>
      <c r="J93" s="894"/>
      <c r="K93" s="894"/>
      <c r="L93" s="894"/>
      <c r="M93" s="894"/>
      <c r="N93" s="894"/>
      <c r="O93" s="894"/>
      <c r="P93" s="894"/>
      <c r="Q93" s="894"/>
      <c r="R93" s="894"/>
      <c r="S93" s="894"/>
      <c r="T93" s="894"/>
      <c r="U93" s="894"/>
      <c r="V93" s="894"/>
      <c r="W93" s="894"/>
      <c r="X93" s="894"/>
      <c r="Y93" s="894"/>
      <c r="Z93" s="894"/>
      <c r="AA93" s="894"/>
      <c r="AB93" s="971"/>
      <c r="AC93" s="4092" t="s">
        <v>1412</v>
      </c>
      <c r="AD93" s="4092"/>
      <c r="AE93" s="4092"/>
      <c r="AF93" s="894"/>
      <c r="AG93" s="894"/>
      <c r="AH93" s="894"/>
      <c r="AI93" s="894"/>
      <c r="AJ93" s="894"/>
      <c r="AK93" s="894"/>
      <c r="AL93" s="894"/>
      <c r="AM93" s="894"/>
      <c r="AN93" s="894"/>
      <c r="AO93" s="894"/>
      <c r="AP93" s="894"/>
      <c r="AQ93" s="894"/>
      <c r="AR93" s="894"/>
      <c r="AS93" s="894"/>
      <c r="AT93" s="894"/>
      <c r="AU93" s="4076" t="s">
        <v>1412</v>
      </c>
      <c r="AV93" s="4076"/>
      <c r="AW93" s="4076"/>
      <c r="AX93" s="971"/>
      <c r="AY93" s="894"/>
      <c r="AZ93" s="894"/>
      <c r="BA93" s="4076" t="s">
        <v>1380</v>
      </c>
      <c r="BB93" s="4076"/>
      <c r="BC93" s="4076"/>
      <c r="BD93" s="971"/>
      <c r="BE93" s="894"/>
      <c r="BF93" s="894"/>
      <c r="BG93" s="894"/>
      <c r="BH93" s="894"/>
      <c r="BI93" s="894"/>
      <c r="BJ93" s="894"/>
      <c r="BK93" s="894"/>
      <c r="BL93" s="894"/>
      <c r="BM93" s="4076" t="s">
        <v>1412</v>
      </c>
      <c r="BN93" s="4076"/>
      <c r="BO93" s="4076"/>
      <c r="BP93" s="971"/>
      <c r="BQ93" s="894"/>
      <c r="BR93" s="894"/>
      <c r="BS93" s="894"/>
      <c r="BT93" s="4076" t="s">
        <v>1380</v>
      </c>
      <c r="BU93" s="4076"/>
      <c r="BV93" s="4076"/>
      <c r="BW93" s="894"/>
      <c r="BX93" s="894"/>
      <c r="BY93" s="894"/>
      <c r="BZ93" s="894"/>
      <c r="CA93" s="894"/>
      <c r="CB93" s="871"/>
      <c r="CC93" s="871"/>
      <c r="CD93" s="888"/>
      <c r="CE93" s="871"/>
      <c r="CF93" s="871"/>
      <c r="CG93" s="871"/>
      <c r="CH93" s="871"/>
      <c r="CI93" s="871"/>
      <c r="CJ93" s="871"/>
      <c r="CK93" s="871"/>
      <c r="CL93" s="871"/>
      <c r="CM93" s="871"/>
      <c r="CN93" s="871"/>
      <c r="CO93" s="871"/>
      <c r="CP93" s="870"/>
      <c r="CQ93" s="4078"/>
      <c r="CR93" s="4078"/>
      <c r="CS93" s="4079"/>
      <c r="CT93" s="4162"/>
      <c r="CU93" s="4163"/>
      <c r="CV93" s="4163"/>
      <c r="CW93" s="4164"/>
      <c r="CX93" s="4162"/>
      <c r="CY93" s="4163"/>
      <c r="CZ93" s="4163"/>
      <c r="DA93" s="4164"/>
      <c r="DB93" s="4162"/>
      <c r="DC93" s="4163"/>
      <c r="DD93" s="4163"/>
      <c r="DE93" s="4164"/>
      <c r="DF93" s="4162"/>
      <c r="DG93" s="4163"/>
      <c r="DH93" s="4163"/>
      <c r="DI93" s="4164"/>
      <c r="DJ93" s="4162"/>
      <c r="DK93" s="4163"/>
      <c r="DL93" s="4163"/>
      <c r="DM93" s="4164"/>
      <c r="DN93" s="4162"/>
      <c r="DO93" s="4163"/>
      <c r="DP93" s="4163"/>
      <c r="DQ93" s="4164"/>
      <c r="DR93" s="868"/>
      <c r="DS93" s="4043"/>
      <c r="DT93" s="4044"/>
      <c r="DU93" s="4045"/>
      <c r="DV93" s="4140" t="str">
        <f>IF(CQ112="","",ABS(CP96^2/(CP96*CP106-CT98*CT106-CT92*CT102-CT96*CT108)))</f>
        <v/>
      </c>
      <c r="DW93" s="4090"/>
      <c r="DX93" s="4090"/>
      <c r="DY93" s="4091"/>
      <c r="DZ93" s="866"/>
    </row>
    <row r="94" spans="2:130" ht="6" customHeight="1">
      <c r="B94" s="889"/>
      <c r="C94" s="894"/>
      <c r="D94" s="894"/>
      <c r="E94" s="894"/>
      <c r="F94" s="931"/>
      <c r="G94" s="4077"/>
      <c r="H94" s="4077"/>
      <c r="I94" s="4077"/>
      <c r="J94" s="932"/>
      <c r="K94" s="894"/>
      <c r="L94" s="894"/>
      <c r="M94" s="894"/>
      <c r="N94" s="894"/>
      <c r="O94" s="894"/>
      <c r="P94" s="894"/>
      <c r="Q94" s="894"/>
      <c r="R94" s="894"/>
      <c r="S94" s="894"/>
      <c r="T94" s="894"/>
      <c r="U94" s="894"/>
      <c r="V94" s="894"/>
      <c r="W94" s="894"/>
      <c r="X94" s="894"/>
      <c r="Y94" s="894"/>
      <c r="Z94" s="905"/>
      <c r="AA94" s="940"/>
      <c r="AB94" s="970"/>
      <c r="AC94" s="4093"/>
      <c r="AD94" s="4093"/>
      <c r="AE94" s="4093"/>
      <c r="AF94" s="940"/>
      <c r="AG94" s="907"/>
      <c r="AH94" s="894"/>
      <c r="AI94" s="894"/>
      <c r="AJ94" s="894"/>
      <c r="AK94" s="894"/>
      <c r="AL94" s="894"/>
      <c r="AM94" s="894"/>
      <c r="AN94" s="894"/>
      <c r="AO94" s="894"/>
      <c r="AP94" s="894"/>
      <c r="AQ94" s="894"/>
      <c r="AR94" s="894"/>
      <c r="AS94" s="894"/>
      <c r="AT94" s="931"/>
      <c r="AU94" s="4077"/>
      <c r="AV94" s="4077"/>
      <c r="AW94" s="4077"/>
      <c r="AX94" s="969"/>
      <c r="AY94" s="894"/>
      <c r="AZ94" s="931"/>
      <c r="BA94" s="4077"/>
      <c r="BB94" s="4077"/>
      <c r="BC94" s="4077"/>
      <c r="BD94" s="969"/>
      <c r="BE94" s="894"/>
      <c r="BF94" s="894"/>
      <c r="BG94" s="894"/>
      <c r="BH94" s="894"/>
      <c r="BI94" s="894"/>
      <c r="BJ94" s="894"/>
      <c r="BK94" s="894"/>
      <c r="BL94" s="931"/>
      <c r="BM94" s="4077"/>
      <c r="BN94" s="4077"/>
      <c r="BO94" s="4077"/>
      <c r="BP94" s="969"/>
      <c r="BQ94" s="894"/>
      <c r="BR94" s="894"/>
      <c r="BS94" s="905"/>
      <c r="BT94" s="4077"/>
      <c r="BU94" s="4077"/>
      <c r="BV94" s="4077"/>
      <c r="BW94" s="907"/>
      <c r="BX94" s="894"/>
      <c r="BY94" s="894"/>
      <c r="BZ94" s="894"/>
      <c r="CA94" s="894"/>
      <c r="CB94" s="871"/>
      <c r="CC94" s="871"/>
      <c r="CD94" s="888"/>
      <c r="CE94" s="871"/>
      <c r="CF94" s="871"/>
      <c r="CG94" s="871"/>
      <c r="CH94" s="871"/>
      <c r="CI94" s="871"/>
      <c r="CJ94" s="871"/>
      <c r="CK94" s="871"/>
      <c r="CL94" s="871"/>
      <c r="CM94" s="871"/>
      <c r="CN94" s="871"/>
      <c r="CO94" s="871"/>
      <c r="CP94" s="870"/>
      <c r="CQ94" s="4078" t="s">
        <v>1402</v>
      </c>
      <c r="CR94" s="4078"/>
      <c r="CS94" s="4079" t="s">
        <v>1399</v>
      </c>
      <c r="CT94" s="4159"/>
      <c r="CU94" s="4160"/>
      <c r="CV94" s="4160"/>
      <c r="CW94" s="4161"/>
      <c r="CX94" s="4159"/>
      <c r="CY94" s="4160"/>
      <c r="CZ94" s="4160"/>
      <c r="DA94" s="4161"/>
      <c r="DB94" s="4159"/>
      <c r="DC94" s="4160"/>
      <c r="DD94" s="4160"/>
      <c r="DE94" s="4161"/>
      <c r="DF94" s="4159"/>
      <c r="DG94" s="4160"/>
      <c r="DH94" s="4160"/>
      <c r="DI94" s="4161"/>
      <c r="DJ94" s="4159"/>
      <c r="DK94" s="4160"/>
      <c r="DL94" s="4160"/>
      <c r="DM94" s="4161"/>
      <c r="DN94" s="4159"/>
      <c r="DO94" s="4160"/>
      <c r="DP94" s="4160"/>
      <c r="DQ94" s="4161"/>
      <c r="DR94" s="868"/>
      <c r="DS94" s="4040" t="s">
        <v>1411</v>
      </c>
      <c r="DT94" s="4041"/>
      <c r="DU94" s="4042"/>
      <c r="DV94" s="4086" t="str">
        <f>IF(DV95&gt;=1,DV95,1/DV95)</f>
        <v/>
      </c>
      <c r="DW94" s="4087"/>
      <c r="DX94" s="4087"/>
      <c r="DY94" s="4088"/>
      <c r="DZ94" s="866"/>
    </row>
    <row r="95" spans="2:130" ht="6" customHeight="1" thickBot="1">
      <c r="B95" s="889"/>
      <c r="C95" s="894"/>
      <c r="D95" s="894"/>
      <c r="E95" s="940"/>
      <c r="F95" s="907"/>
      <c r="G95" s="945"/>
      <c r="H95" s="944"/>
      <c r="I95" s="910"/>
      <c r="J95" s="894"/>
      <c r="K95" s="894"/>
      <c r="L95" s="894"/>
      <c r="M95" s="894"/>
      <c r="N95" s="894"/>
      <c r="O95" s="894"/>
      <c r="P95" s="894"/>
      <c r="Q95" s="894"/>
      <c r="R95" s="894"/>
      <c r="S95" s="894"/>
      <c r="T95" s="894"/>
      <c r="U95" s="894"/>
      <c r="V95" s="894"/>
      <c r="W95" s="894"/>
      <c r="X95" s="894"/>
      <c r="Y95" s="894"/>
      <c r="Z95" s="943"/>
      <c r="AA95" s="942"/>
      <c r="AB95" s="942"/>
      <c r="AC95" s="942"/>
      <c r="AD95" s="942"/>
      <c r="AE95" s="942"/>
      <c r="AF95" s="942"/>
      <c r="AG95" s="941"/>
      <c r="AH95" s="894"/>
      <c r="AI95" s="894"/>
      <c r="AJ95" s="894"/>
      <c r="AK95" s="894"/>
      <c r="AL95" s="894"/>
      <c r="AM95" s="894"/>
      <c r="AN95" s="894"/>
      <c r="AO95" s="894"/>
      <c r="AP95" s="894"/>
      <c r="AQ95" s="894"/>
      <c r="AR95" s="894"/>
      <c r="AS95" s="894"/>
      <c r="AT95" s="894"/>
      <c r="AU95" s="945"/>
      <c r="AV95" s="944"/>
      <c r="AW95" s="910"/>
      <c r="AX95" s="968"/>
      <c r="AY95" s="894"/>
      <c r="AZ95" s="931"/>
      <c r="BA95" s="945"/>
      <c r="BB95" s="944"/>
      <c r="BC95" s="910"/>
      <c r="BD95" s="932"/>
      <c r="BE95" s="894"/>
      <c r="BF95" s="894"/>
      <c r="BG95" s="894"/>
      <c r="BH95" s="894"/>
      <c r="BI95" s="894"/>
      <c r="BJ95" s="894"/>
      <c r="BK95" s="894"/>
      <c r="BL95" s="894"/>
      <c r="BM95" s="943"/>
      <c r="BN95" s="942"/>
      <c r="BO95" s="941"/>
      <c r="BP95" s="894"/>
      <c r="BQ95" s="894"/>
      <c r="BR95" s="894"/>
      <c r="BS95" s="920"/>
      <c r="BT95" s="936"/>
      <c r="BU95" s="936"/>
      <c r="BV95" s="936"/>
      <c r="BW95" s="910"/>
      <c r="BX95" s="894"/>
      <c r="BY95" s="894"/>
      <c r="BZ95" s="894"/>
      <c r="CA95" s="894"/>
      <c r="CB95" s="871"/>
      <c r="CC95" s="871"/>
      <c r="CD95" s="888"/>
      <c r="CE95" s="871"/>
      <c r="CF95" s="871"/>
      <c r="CG95" s="871"/>
      <c r="CH95" s="871"/>
      <c r="CI95" s="871"/>
      <c r="CJ95" s="871"/>
      <c r="CK95" s="871"/>
      <c r="CL95" s="871"/>
      <c r="CM95" s="871"/>
      <c r="CN95" s="871"/>
      <c r="CO95" s="871"/>
      <c r="CP95" s="870"/>
      <c r="CQ95" s="4078"/>
      <c r="CR95" s="4078"/>
      <c r="CS95" s="4079"/>
      <c r="CT95" s="4162"/>
      <c r="CU95" s="4163"/>
      <c r="CV95" s="4163"/>
      <c r="CW95" s="4164"/>
      <c r="CX95" s="4162"/>
      <c r="CY95" s="4163"/>
      <c r="CZ95" s="4163"/>
      <c r="DA95" s="4164"/>
      <c r="DB95" s="4162"/>
      <c r="DC95" s="4163"/>
      <c r="DD95" s="4163"/>
      <c r="DE95" s="4164"/>
      <c r="DF95" s="4162"/>
      <c r="DG95" s="4163"/>
      <c r="DH95" s="4163"/>
      <c r="DI95" s="4164"/>
      <c r="DJ95" s="4162"/>
      <c r="DK95" s="4163"/>
      <c r="DL95" s="4163"/>
      <c r="DM95" s="4164"/>
      <c r="DN95" s="4162"/>
      <c r="DO95" s="4163"/>
      <c r="DP95" s="4163"/>
      <c r="DQ95" s="4164"/>
      <c r="DR95" s="868"/>
      <c r="DS95" s="4043"/>
      <c r="DT95" s="4044"/>
      <c r="DU95" s="4045"/>
      <c r="DV95" s="4089" t="str">
        <f>IF(CQ112="","",(CX92+CX94+CX96)^2/ABS((CX92+CX94+CX96)*(CX102+CX104)-CX92*CX102-CX96*CX106-(CX92+CX94+CX96-CX98)*(CX102+CX104-CX106-CX108)))</f>
        <v/>
      </c>
      <c r="DW95" s="4090"/>
      <c r="DX95" s="4090"/>
      <c r="DY95" s="4091"/>
      <c r="DZ95" s="866"/>
    </row>
    <row r="96" spans="2:130" ht="6" customHeight="1" thickBot="1">
      <c r="B96" s="889"/>
      <c r="C96" s="894"/>
      <c r="D96" s="894"/>
      <c r="E96" s="910"/>
      <c r="F96" s="935"/>
      <c r="G96" s="920"/>
      <c r="H96" s="936"/>
      <c r="I96" s="894"/>
      <c r="J96" s="937"/>
      <c r="K96" s="923"/>
      <c r="L96" s="923"/>
      <c r="M96" s="923"/>
      <c r="N96" s="923"/>
      <c r="O96" s="923"/>
      <c r="P96" s="923"/>
      <c r="Q96" s="922"/>
      <c r="R96" s="894"/>
      <c r="S96" s="894"/>
      <c r="T96" s="894"/>
      <c r="U96" s="894"/>
      <c r="V96" s="894"/>
      <c r="W96" s="894"/>
      <c r="X96" s="910"/>
      <c r="Y96" s="926"/>
      <c r="Z96" s="937"/>
      <c r="AA96" s="923"/>
      <c r="AB96" s="923"/>
      <c r="AC96" s="923"/>
      <c r="AD96" s="923"/>
      <c r="AE96" s="923"/>
      <c r="AF96" s="923"/>
      <c r="AG96" s="923"/>
      <c r="AH96" s="919"/>
      <c r="AI96" s="894"/>
      <c r="AJ96" s="894"/>
      <c r="AK96" s="894"/>
      <c r="AL96" s="894"/>
      <c r="AM96" s="894"/>
      <c r="AN96" s="894"/>
      <c r="AO96" s="894"/>
      <c r="AP96" s="894"/>
      <c r="AQ96" s="894"/>
      <c r="AR96" s="910"/>
      <c r="AS96" s="920"/>
      <c r="AT96" s="894"/>
      <c r="AU96" s="937"/>
      <c r="AV96" s="923"/>
      <c r="AW96" s="939"/>
      <c r="AX96" s="938"/>
      <c r="AY96" s="923"/>
      <c r="AZ96" s="939"/>
      <c r="BA96" s="938"/>
      <c r="BB96" s="923"/>
      <c r="BC96" s="922"/>
      <c r="BD96" s="894"/>
      <c r="BE96" s="910"/>
      <c r="BF96" s="920"/>
      <c r="BG96" s="894"/>
      <c r="BH96" s="894"/>
      <c r="BI96" s="894"/>
      <c r="BJ96" s="894"/>
      <c r="BK96" s="910"/>
      <c r="BL96" s="926"/>
      <c r="BM96" s="937"/>
      <c r="BN96" s="923"/>
      <c r="BO96" s="923"/>
      <c r="BP96" s="919"/>
      <c r="BQ96" s="894"/>
      <c r="BR96" s="894"/>
      <c r="BS96" s="894"/>
      <c r="BT96" s="894"/>
      <c r="BU96" s="894"/>
      <c r="BV96" s="894"/>
      <c r="BW96" s="894"/>
      <c r="BX96" s="894"/>
      <c r="BY96" s="894"/>
      <c r="BZ96" s="894"/>
      <c r="CA96" s="894"/>
      <c r="CB96" s="871"/>
      <c r="CC96" s="871"/>
      <c r="CD96" s="888"/>
      <c r="CE96" s="871"/>
      <c r="CF96" s="871"/>
      <c r="CG96" s="871"/>
      <c r="CH96" s="871"/>
      <c r="CI96" s="871"/>
      <c r="CJ96" s="871"/>
      <c r="CK96" s="871"/>
      <c r="CL96" s="871"/>
      <c r="CM96" s="871"/>
      <c r="CN96" s="871"/>
      <c r="CO96" s="871"/>
      <c r="CP96" s="4145"/>
      <c r="CQ96" s="4078" t="s">
        <v>1377</v>
      </c>
      <c r="CR96" s="4078"/>
      <c r="CS96" s="4079" t="s">
        <v>1404</v>
      </c>
      <c r="CT96" s="4159"/>
      <c r="CU96" s="4160"/>
      <c r="CV96" s="4160"/>
      <c r="CW96" s="4161"/>
      <c r="CX96" s="4159"/>
      <c r="CY96" s="4160"/>
      <c r="CZ96" s="4160"/>
      <c r="DA96" s="4161"/>
      <c r="DB96" s="4159"/>
      <c r="DC96" s="4160"/>
      <c r="DD96" s="4160"/>
      <c r="DE96" s="4161"/>
      <c r="DF96" s="4159"/>
      <c r="DG96" s="4160"/>
      <c r="DH96" s="4160"/>
      <c r="DI96" s="4161"/>
      <c r="DJ96" s="4159"/>
      <c r="DK96" s="4160"/>
      <c r="DL96" s="4160"/>
      <c r="DM96" s="4161"/>
      <c r="DN96" s="4159"/>
      <c r="DO96" s="4160"/>
      <c r="DP96" s="4160"/>
      <c r="DQ96" s="4161"/>
      <c r="DR96" s="868"/>
      <c r="DS96" s="4040" t="s">
        <v>1410</v>
      </c>
      <c r="DT96" s="4041"/>
      <c r="DU96" s="4042"/>
      <c r="DV96" s="4086" t="str">
        <f>IF(DV97&gt;=1,DV97,1/DV97)</f>
        <v/>
      </c>
      <c r="DW96" s="4087"/>
      <c r="DX96" s="4087"/>
      <c r="DY96" s="4088"/>
      <c r="DZ96" s="866"/>
    </row>
    <row r="97" spans="2:130" ht="6" customHeight="1" thickBot="1">
      <c r="B97" s="889"/>
      <c r="C97" s="4141" t="s">
        <v>1405</v>
      </c>
      <c r="D97" s="4141"/>
      <c r="E97" s="4142"/>
      <c r="F97" s="930"/>
      <c r="G97" s="932"/>
      <c r="H97" s="894"/>
      <c r="I97" s="894"/>
      <c r="J97" s="903"/>
      <c r="K97" s="902"/>
      <c r="L97" s="902"/>
      <c r="M97" s="902"/>
      <c r="N97" s="902"/>
      <c r="O97" s="902"/>
      <c r="P97" s="902"/>
      <c r="Q97" s="901"/>
      <c r="R97" s="894"/>
      <c r="S97" s="894"/>
      <c r="T97" s="894"/>
      <c r="U97" s="894"/>
      <c r="V97" s="4138" t="s">
        <v>1373</v>
      </c>
      <c r="W97" s="4138"/>
      <c r="X97" s="4167"/>
      <c r="Y97" s="904"/>
      <c r="Z97" s="903"/>
      <c r="AA97" s="902"/>
      <c r="AB97" s="902"/>
      <c r="AC97" s="902"/>
      <c r="AD97" s="902"/>
      <c r="AE97" s="902"/>
      <c r="AF97" s="902"/>
      <c r="AG97" s="902"/>
      <c r="AH97" s="914"/>
      <c r="AI97" s="913"/>
      <c r="AJ97" s="913"/>
      <c r="AK97" s="913"/>
      <c r="AL97" s="894"/>
      <c r="AM97" s="894"/>
      <c r="AN97" s="894"/>
      <c r="AO97" s="894"/>
      <c r="AP97" s="4147" t="s">
        <v>1405</v>
      </c>
      <c r="AQ97" s="4147"/>
      <c r="AR97" s="4148"/>
      <c r="AS97" s="932"/>
      <c r="AT97" s="894"/>
      <c r="AU97" s="903"/>
      <c r="AV97" s="902"/>
      <c r="AW97" s="934"/>
      <c r="AX97" s="933"/>
      <c r="AY97" s="902"/>
      <c r="AZ97" s="934"/>
      <c r="BA97" s="933"/>
      <c r="BB97" s="902"/>
      <c r="BC97" s="901"/>
      <c r="BD97" s="894"/>
      <c r="BE97" s="931"/>
      <c r="BF97" s="4168" t="s">
        <v>1409</v>
      </c>
      <c r="BG97" s="4092"/>
      <c r="BH97" s="4092"/>
      <c r="BI97" s="4138" t="s">
        <v>1405</v>
      </c>
      <c r="BJ97" s="4138"/>
      <c r="BK97" s="4167"/>
      <c r="BL97" s="904"/>
      <c r="BM97" s="903"/>
      <c r="BN97" s="902"/>
      <c r="BO97" s="902"/>
      <c r="BP97" s="919"/>
      <c r="BQ97" s="894"/>
      <c r="BR97" s="894"/>
      <c r="BS97" s="937"/>
      <c r="BT97" s="923"/>
      <c r="BU97" s="923"/>
      <c r="BV97" s="923"/>
      <c r="BW97" s="922"/>
      <c r="BX97" s="921"/>
      <c r="BY97" s="920"/>
      <c r="BZ97" s="894"/>
      <c r="CA97" s="894"/>
      <c r="CB97" s="871"/>
      <c r="CC97" s="871"/>
      <c r="CD97" s="888"/>
      <c r="CE97" s="871"/>
      <c r="CF97" s="871"/>
      <c r="CG97" s="871"/>
      <c r="CH97" s="871"/>
      <c r="CI97" s="871"/>
      <c r="CJ97" s="871"/>
      <c r="CK97" s="871"/>
      <c r="CL97" s="871"/>
      <c r="CM97" s="871"/>
      <c r="CN97" s="871"/>
      <c r="CO97" s="871"/>
      <c r="CP97" s="4146"/>
      <c r="CQ97" s="4078"/>
      <c r="CR97" s="4078"/>
      <c r="CS97" s="4079"/>
      <c r="CT97" s="4162"/>
      <c r="CU97" s="4163"/>
      <c r="CV97" s="4163"/>
      <c r="CW97" s="4164"/>
      <c r="CX97" s="4162"/>
      <c r="CY97" s="4163"/>
      <c r="CZ97" s="4163"/>
      <c r="DA97" s="4164"/>
      <c r="DB97" s="4162"/>
      <c r="DC97" s="4163"/>
      <c r="DD97" s="4163"/>
      <c r="DE97" s="4164"/>
      <c r="DF97" s="4162"/>
      <c r="DG97" s="4163"/>
      <c r="DH97" s="4163"/>
      <c r="DI97" s="4164"/>
      <c r="DJ97" s="4162"/>
      <c r="DK97" s="4163"/>
      <c r="DL97" s="4163"/>
      <c r="DM97" s="4164"/>
      <c r="DN97" s="4162"/>
      <c r="DO97" s="4163"/>
      <c r="DP97" s="4163"/>
      <c r="DQ97" s="4164"/>
      <c r="DR97" s="868"/>
      <c r="DS97" s="4043"/>
      <c r="DT97" s="4044"/>
      <c r="DU97" s="4045"/>
      <c r="DV97" s="4089" t="str">
        <f>IF(CQ112="","",(DB92+DB94+DB96)^2/ABS((DB92+DB94+DB96)*(DB102+DB104+DB106)-(DB92-DB98)*DB106-DB92*DB102-(DB96-DB100)*DB110-DB96*(DB102+DB104+DB106-DB108-DB110)))</f>
        <v/>
      </c>
      <c r="DW97" s="4090"/>
      <c r="DX97" s="4090"/>
      <c r="DY97" s="4091"/>
      <c r="DZ97" s="866"/>
    </row>
    <row r="98" spans="2:130" ht="6" customHeight="1" thickBot="1">
      <c r="B98" s="889"/>
      <c r="C98" s="4141"/>
      <c r="D98" s="4141"/>
      <c r="E98" s="4142"/>
      <c r="F98" s="930"/>
      <c r="G98" s="932"/>
      <c r="H98" s="894"/>
      <c r="I98" s="894"/>
      <c r="J98" s="903"/>
      <c r="K98" s="902"/>
      <c r="L98" s="902"/>
      <c r="M98" s="902"/>
      <c r="N98" s="902"/>
      <c r="O98" s="902"/>
      <c r="P98" s="902"/>
      <c r="Q98" s="901"/>
      <c r="R98" s="894"/>
      <c r="S98" s="894"/>
      <c r="T98" s="894"/>
      <c r="U98" s="894"/>
      <c r="V98" s="4138"/>
      <c r="W98" s="4138"/>
      <c r="X98" s="4167"/>
      <c r="Y98" s="904"/>
      <c r="Z98" s="903"/>
      <c r="AA98" s="902"/>
      <c r="AB98" s="902"/>
      <c r="AC98" s="902"/>
      <c r="AD98" s="902"/>
      <c r="AE98" s="902"/>
      <c r="AF98" s="902"/>
      <c r="AG98" s="902"/>
      <c r="AH98" s="902"/>
      <c r="AI98" s="902"/>
      <c r="AJ98" s="902"/>
      <c r="AK98" s="901"/>
      <c r="AL98" s="921"/>
      <c r="AM98" s="920"/>
      <c r="AN98" s="894"/>
      <c r="AO98" s="894"/>
      <c r="AP98" s="4147"/>
      <c r="AQ98" s="4147"/>
      <c r="AR98" s="4148"/>
      <c r="AS98" s="905"/>
      <c r="AT98" s="894"/>
      <c r="AU98" s="957"/>
      <c r="AV98" s="896"/>
      <c r="AW98" s="896"/>
      <c r="AX98" s="902"/>
      <c r="AY98" s="902"/>
      <c r="AZ98" s="934"/>
      <c r="BA98" s="933"/>
      <c r="BB98" s="902"/>
      <c r="BC98" s="901"/>
      <c r="BD98" s="894"/>
      <c r="BE98" s="931"/>
      <c r="BF98" s="4168"/>
      <c r="BG98" s="4092"/>
      <c r="BH98" s="4092"/>
      <c r="BI98" s="4138"/>
      <c r="BJ98" s="4138"/>
      <c r="BK98" s="4167"/>
      <c r="BL98" s="904"/>
      <c r="BM98" s="903"/>
      <c r="BN98" s="902"/>
      <c r="BO98" s="902"/>
      <c r="BP98" s="919"/>
      <c r="BQ98" s="894"/>
      <c r="BR98" s="894"/>
      <c r="BS98" s="903"/>
      <c r="BT98" s="902"/>
      <c r="BU98" s="902"/>
      <c r="BV98" s="902"/>
      <c r="BW98" s="901"/>
      <c r="BX98" s="911"/>
      <c r="BY98" s="4102" t="s">
        <v>1409</v>
      </c>
      <c r="BZ98" s="4103"/>
      <c r="CA98" s="4103"/>
      <c r="CB98" s="871"/>
      <c r="CC98" s="871"/>
      <c r="CD98" s="888"/>
      <c r="CE98" s="871"/>
      <c r="CF98" s="871"/>
      <c r="CG98" s="871"/>
      <c r="CH98" s="871"/>
      <c r="CI98" s="871"/>
      <c r="CJ98" s="871"/>
      <c r="CK98" s="871"/>
      <c r="CL98" s="871"/>
      <c r="CM98" s="871"/>
      <c r="CN98" s="871"/>
      <c r="CO98" s="871"/>
      <c r="CP98" s="870"/>
      <c r="CQ98" s="4078" t="s">
        <v>1382</v>
      </c>
      <c r="CR98" s="4078"/>
      <c r="CS98" s="4079" t="s">
        <v>1404</v>
      </c>
      <c r="CT98" s="4159"/>
      <c r="CU98" s="4160"/>
      <c r="CV98" s="4160"/>
      <c r="CW98" s="4161"/>
      <c r="CX98" s="4159"/>
      <c r="CY98" s="4160"/>
      <c r="CZ98" s="4160"/>
      <c r="DA98" s="4161"/>
      <c r="DB98" s="4159"/>
      <c r="DC98" s="4160"/>
      <c r="DD98" s="4160"/>
      <c r="DE98" s="4161"/>
      <c r="DF98" s="4159"/>
      <c r="DG98" s="4160"/>
      <c r="DH98" s="4160"/>
      <c r="DI98" s="4161"/>
      <c r="DJ98" s="4159"/>
      <c r="DK98" s="4160"/>
      <c r="DL98" s="4160"/>
      <c r="DM98" s="4161"/>
      <c r="DN98" s="4173"/>
      <c r="DO98" s="4174"/>
      <c r="DP98" s="4174"/>
      <c r="DQ98" s="4175"/>
      <c r="DR98" s="868"/>
      <c r="DS98" s="4040" t="s">
        <v>1408</v>
      </c>
      <c r="DT98" s="4041"/>
      <c r="DU98" s="4042"/>
      <c r="DV98" s="4086" t="str">
        <f>IF(DV99&gt;=1,DV99,1/DV99)</f>
        <v/>
      </c>
      <c r="DW98" s="4087"/>
      <c r="DX98" s="4087"/>
      <c r="DY98" s="4088"/>
      <c r="DZ98" s="866"/>
    </row>
    <row r="99" spans="2:130" ht="6" customHeight="1" thickBot="1">
      <c r="B99" s="889"/>
      <c r="C99" s="894"/>
      <c r="D99" s="894"/>
      <c r="E99" s="907"/>
      <c r="F99" s="905"/>
      <c r="G99" s="894"/>
      <c r="H99" s="894"/>
      <c r="I99" s="894"/>
      <c r="J99" s="903"/>
      <c r="K99" s="902"/>
      <c r="L99" s="902"/>
      <c r="M99" s="902"/>
      <c r="N99" s="902"/>
      <c r="O99" s="902"/>
      <c r="P99" s="902"/>
      <c r="Q99" s="901"/>
      <c r="R99" s="894"/>
      <c r="S99" s="894"/>
      <c r="T99" s="894"/>
      <c r="U99" s="894"/>
      <c r="V99" s="894"/>
      <c r="W99" s="894"/>
      <c r="X99" s="931"/>
      <c r="Y99" s="904"/>
      <c r="Z99" s="903"/>
      <c r="AA99" s="902"/>
      <c r="AB99" s="902"/>
      <c r="AC99" s="902"/>
      <c r="AD99" s="902"/>
      <c r="AE99" s="902"/>
      <c r="AF99" s="902"/>
      <c r="AG99" s="902"/>
      <c r="AH99" s="902"/>
      <c r="AI99" s="902"/>
      <c r="AJ99" s="902"/>
      <c r="AK99" s="901"/>
      <c r="AL99" s="911"/>
      <c r="AM99" s="932"/>
      <c r="AN99" s="894"/>
      <c r="AO99" s="894"/>
      <c r="AP99" s="894"/>
      <c r="AQ99" s="894"/>
      <c r="AR99" s="910"/>
      <c r="AS99" s="920"/>
      <c r="AT99" s="894"/>
      <c r="AU99" s="894"/>
      <c r="AV99" s="894"/>
      <c r="AW99" s="894"/>
      <c r="AX99" s="903"/>
      <c r="AY99" s="902"/>
      <c r="AZ99" s="902"/>
      <c r="BA99" s="902"/>
      <c r="BB99" s="902"/>
      <c r="BC99" s="901"/>
      <c r="BD99" s="894"/>
      <c r="BE99" s="907"/>
      <c r="BF99" s="905"/>
      <c r="BG99" s="894"/>
      <c r="BH99" s="894"/>
      <c r="BI99" s="894"/>
      <c r="BJ99" s="894"/>
      <c r="BK99" s="907"/>
      <c r="BL99" s="917"/>
      <c r="BM99" s="916"/>
      <c r="BN99" s="915"/>
      <c r="BO99" s="902"/>
      <c r="BP99" s="914"/>
      <c r="BQ99" s="913"/>
      <c r="BR99" s="913"/>
      <c r="BS99" s="903"/>
      <c r="BT99" s="915"/>
      <c r="BU99" s="915"/>
      <c r="BV99" s="915"/>
      <c r="BW99" s="967"/>
      <c r="BX99" s="906"/>
      <c r="BY99" s="4102"/>
      <c r="BZ99" s="4103"/>
      <c r="CA99" s="4103"/>
      <c r="CB99" s="871"/>
      <c r="CC99" s="871"/>
      <c r="CD99" s="888"/>
      <c r="CE99" s="871"/>
      <c r="CF99" s="871"/>
      <c r="CG99" s="871"/>
      <c r="CH99" s="871"/>
      <c r="CI99" s="871"/>
      <c r="CJ99" s="871"/>
      <c r="CK99" s="871"/>
      <c r="CL99" s="871"/>
      <c r="CM99" s="871"/>
      <c r="CN99" s="871"/>
      <c r="CO99" s="871"/>
      <c r="CP99" s="870"/>
      <c r="CQ99" s="4078"/>
      <c r="CR99" s="4078"/>
      <c r="CS99" s="4079"/>
      <c r="CT99" s="4162"/>
      <c r="CU99" s="4163"/>
      <c r="CV99" s="4163"/>
      <c r="CW99" s="4164"/>
      <c r="CX99" s="4162"/>
      <c r="CY99" s="4163"/>
      <c r="CZ99" s="4163"/>
      <c r="DA99" s="4164"/>
      <c r="DB99" s="4162"/>
      <c r="DC99" s="4163"/>
      <c r="DD99" s="4163"/>
      <c r="DE99" s="4164"/>
      <c r="DF99" s="4162"/>
      <c r="DG99" s="4163"/>
      <c r="DH99" s="4163"/>
      <c r="DI99" s="4164"/>
      <c r="DJ99" s="4162"/>
      <c r="DK99" s="4163"/>
      <c r="DL99" s="4163"/>
      <c r="DM99" s="4164"/>
      <c r="DN99" s="4176"/>
      <c r="DO99" s="4177"/>
      <c r="DP99" s="4177"/>
      <c r="DQ99" s="4178"/>
      <c r="DR99" s="868"/>
      <c r="DS99" s="4043"/>
      <c r="DT99" s="4044"/>
      <c r="DU99" s="4045"/>
      <c r="DV99" s="4089" t="str">
        <f>IF(CQ112="","",(DF92+DF94+DF96)^2/ABS((DF92+DF94+DF96)*(DF108+DF104+DF106)-DF92*(DF108-DF102)-DF94*DF108-(DF92+DF94+DF96-DF98-DF100)*DF106-DF100*(DF106-DF110)))</f>
        <v/>
      </c>
      <c r="DW99" s="4090"/>
      <c r="DX99" s="4090"/>
      <c r="DY99" s="4091"/>
      <c r="DZ99" s="866"/>
    </row>
    <row r="100" spans="2:130" ht="6" customHeight="1" thickBot="1">
      <c r="B100" s="889"/>
      <c r="C100" s="894"/>
      <c r="D100" s="894"/>
      <c r="E100" s="910"/>
      <c r="F100" s="926"/>
      <c r="G100" s="937"/>
      <c r="H100" s="923"/>
      <c r="I100" s="923"/>
      <c r="J100" s="902"/>
      <c r="K100" s="902"/>
      <c r="L100" s="902"/>
      <c r="M100" s="902"/>
      <c r="N100" s="902"/>
      <c r="O100" s="902"/>
      <c r="P100" s="902"/>
      <c r="Q100" s="901"/>
      <c r="R100" s="919"/>
      <c r="S100" s="894"/>
      <c r="T100" s="894"/>
      <c r="U100" s="894"/>
      <c r="V100" s="894"/>
      <c r="W100" s="894"/>
      <c r="X100" s="907"/>
      <c r="Y100" s="917"/>
      <c r="Z100" s="957"/>
      <c r="AA100" s="896"/>
      <c r="AB100" s="896"/>
      <c r="AC100" s="902"/>
      <c r="AD100" s="902"/>
      <c r="AE100" s="902"/>
      <c r="AF100" s="902"/>
      <c r="AG100" s="902"/>
      <c r="AH100" s="902"/>
      <c r="AI100" s="902"/>
      <c r="AJ100" s="902"/>
      <c r="AK100" s="901"/>
      <c r="AL100" s="911"/>
      <c r="AM100" s="4168" t="s">
        <v>1371</v>
      </c>
      <c r="AN100" s="4092"/>
      <c r="AO100" s="4092"/>
      <c r="AP100" s="4138" t="s">
        <v>1373</v>
      </c>
      <c r="AQ100" s="4138"/>
      <c r="AR100" s="4167"/>
      <c r="AS100" s="932"/>
      <c r="AT100" s="894"/>
      <c r="AU100" s="894"/>
      <c r="AV100" s="894"/>
      <c r="AW100" s="894"/>
      <c r="AX100" s="903"/>
      <c r="AY100" s="902"/>
      <c r="AZ100" s="902"/>
      <c r="BA100" s="929"/>
      <c r="BB100" s="928"/>
      <c r="BC100" s="928"/>
      <c r="BD100" s="894"/>
      <c r="BE100" s="894"/>
      <c r="BF100" s="894"/>
      <c r="BG100" s="894"/>
      <c r="BH100" s="894"/>
      <c r="BI100" s="894"/>
      <c r="BJ100" s="894"/>
      <c r="BK100" s="910"/>
      <c r="BL100" s="926"/>
      <c r="BM100" s="909"/>
      <c r="BN100" s="908"/>
      <c r="BO100" s="902"/>
      <c r="BP100" s="902"/>
      <c r="BQ100" s="902"/>
      <c r="BR100" s="902"/>
      <c r="BS100" s="902"/>
      <c r="BT100" s="908"/>
      <c r="BU100" s="908"/>
      <c r="BV100" s="908"/>
      <c r="BW100" s="966"/>
      <c r="BX100" s="894"/>
      <c r="BY100" s="936"/>
      <c r="BZ100" s="894"/>
      <c r="CA100" s="894"/>
      <c r="CB100" s="871"/>
      <c r="CC100" s="871"/>
      <c r="CD100" s="888"/>
      <c r="CE100" s="871"/>
      <c r="CF100" s="871"/>
      <c r="CG100" s="871"/>
      <c r="CH100" s="871"/>
      <c r="CI100" s="871"/>
      <c r="CJ100" s="871"/>
      <c r="CK100" s="871"/>
      <c r="CL100" s="871"/>
      <c r="CM100" s="871"/>
      <c r="CN100" s="871"/>
      <c r="CO100" s="871"/>
      <c r="CP100" s="870"/>
      <c r="CQ100" s="4078" t="s">
        <v>1381</v>
      </c>
      <c r="CR100" s="4078"/>
      <c r="CS100" s="4079" t="s">
        <v>1404</v>
      </c>
      <c r="CT100" s="4094"/>
      <c r="CU100" s="4095"/>
      <c r="CV100" s="4095"/>
      <c r="CW100" s="4096"/>
      <c r="CX100" s="4094"/>
      <c r="CY100" s="4095"/>
      <c r="CZ100" s="4095"/>
      <c r="DA100" s="4096"/>
      <c r="DB100" s="4159"/>
      <c r="DC100" s="4160"/>
      <c r="DD100" s="4160"/>
      <c r="DE100" s="4161"/>
      <c r="DF100" s="4159"/>
      <c r="DG100" s="4160"/>
      <c r="DH100" s="4160"/>
      <c r="DI100" s="4161"/>
      <c r="DJ100" s="4159"/>
      <c r="DK100" s="4160"/>
      <c r="DL100" s="4160"/>
      <c r="DM100" s="4161"/>
      <c r="DN100" s="4173"/>
      <c r="DO100" s="4174"/>
      <c r="DP100" s="4174"/>
      <c r="DQ100" s="4175"/>
      <c r="DR100" s="868"/>
      <c r="DS100" s="4040" t="s">
        <v>1407</v>
      </c>
      <c r="DT100" s="4041"/>
      <c r="DU100" s="4042"/>
      <c r="DV100" s="4086" t="str">
        <f>IF(DV101&gt;=1,DV101,1/DV101)</f>
        <v/>
      </c>
      <c r="DW100" s="4087"/>
      <c r="DX100" s="4087"/>
      <c r="DY100" s="4088"/>
      <c r="DZ100" s="866"/>
    </row>
    <row r="101" spans="2:130" ht="6" customHeight="1" thickBot="1">
      <c r="B101" s="889"/>
      <c r="C101" s="4141" t="s">
        <v>1373</v>
      </c>
      <c r="D101" s="4141"/>
      <c r="E101" s="4142"/>
      <c r="F101" s="904"/>
      <c r="G101" s="903"/>
      <c r="H101" s="902"/>
      <c r="I101" s="902"/>
      <c r="J101" s="902"/>
      <c r="K101" s="902"/>
      <c r="L101" s="902"/>
      <c r="M101" s="902"/>
      <c r="N101" s="902"/>
      <c r="O101" s="902"/>
      <c r="P101" s="902"/>
      <c r="Q101" s="901"/>
      <c r="R101" s="919"/>
      <c r="S101" s="894"/>
      <c r="T101" s="894"/>
      <c r="U101" s="894"/>
      <c r="V101" s="894"/>
      <c r="W101" s="894"/>
      <c r="X101" s="910"/>
      <c r="Y101" s="920"/>
      <c r="Z101" s="965"/>
      <c r="AA101" s="894"/>
      <c r="AB101" s="894"/>
      <c r="AC101" s="903"/>
      <c r="AD101" s="902"/>
      <c r="AE101" s="902"/>
      <c r="AF101" s="902"/>
      <c r="AG101" s="902"/>
      <c r="AH101" s="902"/>
      <c r="AI101" s="902"/>
      <c r="AJ101" s="902"/>
      <c r="AK101" s="901"/>
      <c r="AL101" s="911"/>
      <c r="AM101" s="4168"/>
      <c r="AN101" s="4092"/>
      <c r="AO101" s="4092"/>
      <c r="AP101" s="4138"/>
      <c r="AQ101" s="4138"/>
      <c r="AR101" s="4167"/>
      <c r="AS101" s="932"/>
      <c r="AT101" s="894"/>
      <c r="AU101" s="894"/>
      <c r="AV101" s="894"/>
      <c r="AW101" s="894"/>
      <c r="AX101" s="903"/>
      <c r="AY101" s="902"/>
      <c r="AZ101" s="902"/>
      <c r="BA101" s="919"/>
      <c r="BB101" s="894"/>
      <c r="BC101" s="894"/>
      <c r="BD101" s="894"/>
      <c r="BE101" s="894"/>
      <c r="BF101" s="894"/>
      <c r="BG101" s="894"/>
      <c r="BH101" s="894"/>
      <c r="BI101" s="4141" t="s">
        <v>1373</v>
      </c>
      <c r="BJ101" s="4141"/>
      <c r="BK101" s="4142"/>
      <c r="BL101" s="904"/>
      <c r="BM101" s="903"/>
      <c r="BN101" s="902"/>
      <c r="BO101" s="902"/>
      <c r="BP101" s="902"/>
      <c r="BQ101" s="902"/>
      <c r="BR101" s="902"/>
      <c r="BS101" s="902"/>
      <c r="BT101" s="902"/>
      <c r="BU101" s="902"/>
      <c r="BV101" s="902"/>
      <c r="BW101" s="901"/>
      <c r="BX101" s="894"/>
      <c r="BY101" s="894"/>
      <c r="BZ101" s="894"/>
      <c r="CA101" s="894"/>
      <c r="CB101" s="871"/>
      <c r="CC101" s="871"/>
      <c r="CD101" s="888"/>
      <c r="CE101" s="871"/>
      <c r="CF101" s="871"/>
      <c r="CG101" s="871"/>
      <c r="CH101" s="871"/>
      <c r="CI101" s="871"/>
      <c r="CJ101" s="871"/>
      <c r="CK101" s="871"/>
      <c r="CL101" s="871"/>
      <c r="CM101" s="871"/>
      <c r="CN101" s="871"/>
      <c r="CO101" s="871"/>
      <c r="CP101" s="870"/>
      <c r="CQ101" s="4078"/>
      <c r="CR101" s="4078"/>
      <c r="CS101" s="4079"/>
      <c r="CT101" s="4097"/>
      <c r="CU101" s="4098"/>
      <c r="CV101" s="4098"/>
      <c r="CW101" s="4099"/>
      <c r="CX101" s="4097"/>
      <c r="CY101" s="4098"/>
      <c r="CZ101" s="4098"/>
      <c r="DA101" s="4099"/>
      <c r="DB101" s="4162"/>
      <c r="DC101" s="4163"/>
      <c r="DD101" s="4163"/>
      <c r="DE101" s="4164"/>
      <c r="DF101" s="4162"/>
      <c r="DG101" s="4163"/>
      <c r="DH101" s="4163"/>
      <c r="DI101" s="4164"/>
      <c r="DJ101" s="4162"/>
      <c r="DK101" s="4163"/>
      <c r="DL101" s="4163"/>
      <c r="DM101" s="4164"/>
      <c r="DN101" s="4176"/>
      <c r="DO101" s="4177"/>
      <c r="DP101" s="4177"/>
      <c r="DQ101" s="4178"/>
      <c r="DR101" s="868"/>
      <c r="DS101" s="4043"/>
      <c r="DT101" s="4044"/>
      <c r="DU101" s="4045"/>
      <c r="DV101" s="4089" t="str">
        <f>IF(CQ112="","",(DJ92+DJ94+DJ96+DJ98+DJ100)^2/ABS((DJ92+DJ94+DJ96+DJ98+DJ100)*(DJ102*DJ104)-DJ92*DJ104-DJ96*DJ104-DJ98*(DJ104-DJ110)-DJ100*(DJ102+DJ104-DJ108)))</f>
        <v/>
      </c>
      <c r="DW101" s="4090"/>
      <c r="DX101" s="4090"/>
      <c r="DY101" s="4091"/>
      <c r="DZ101" s="866"/>
    </row>
    <row r="102" spans="2:130" ht="6" customHeight="1" thickBot="1">
      <c r="B102" s="889"/>
      <c r="C102" s="4141"/>
      <c r="D102" s="4141"/>
      <c r="E102" s="4142"/>
      <c r="F102" s="904"/>
      <c r="G102" s="903"/>
      <c r="H102" s="902"/>
      <c r="I102" s="902"/>
      <c r="J102" s="902"/>
      <c r="K102" s="902"/>
      <c r="L102" s="902"/>
      <c r="M102" s="902"/>
      <c r="N102" s="902"/>
      <c r="O102" s="929"/>
      <c r="P102" s="928"/>
      <c r="Q102" s="928"/>
      <c r="R102" s="910"/>
      <c r="S102" s="920"/>
      <c r="T102" s="894"/>
      <c r="U102" s="894"/>
      <c r="V102" s="894"/>
      <c r="W102" s="894"/>
      <c r="X102" s="931"/>
      <c r="Y102" s="932"/>
      <c r="Z102" s="964"/>
      <c r="AA102" s="894"/>
      <c r="AB102" s="894"/>
      <c r="AC102" s="903"/>
      <c r="AD102" s="902"/>
      <c r="AE102" s="902"/>
      <c r="AF102" s="902"/>
      <c r="AG102" s="902"/>
      <c r="AH102" s="902"/>
      <c r="AI102" s="902"/>
      <c r="AJ102" s="902"/>
      <c r="AK102" s="901"/>
      <c r="AL102" s="911"/>
      <c r="AM102" s="932"/>
      <c r="AN102" s="894"/>
      <c r="AO102" s="894"/>
      <c r="AP102" s="894"/>
      <c r="AQ102" s="894"/>
      <c r="AR102" s="907"/>
      <c r="AS102" s="905"/>
      <c r="AT102" s="894"/>
      <c r="AU102" s="894"/>
      <c r="AV102" s="894"/>
      <c r="AW102" s="894"/>
      <c r="AX102" s="903"/>
      <c r="AY102" s="902"/>
      <c r="AZ102" s="902"/>
      <c r="BA102" s="919"/>
      <c r="BB102" s="894"/>
      <c r="BC102" s="894"/>
      <c r="BD102" s="894"/>
      <c r="BE102" s="894"/>
      <c r="BF102" s="894"/>
      <c r="BG102" s="894"/>
      <c r="BH102" s="894"/>
      <c r="BI102" s="4141"/>
      <c r="BJ102" s="4141"/>
      <c r="BK102" s="4142"/>
      <c r="BL102" s="917"/>
      <c r="BM102" s="916"/>
      <c r="BN102" s="915"/>
      <c r="BO102" s="915"/>
      <c r="BP102" s="902"/>
      <c r="BQ102" s="902"/>
      <c r="BR102" s="902"/>
      <c r="BS102" s="902"/>
      <c r="BT102" s="902"/>
      <c r="BU102" s="915"/>
      <c r="BV102" s="915"/>
      <c r="BW102" s="967"/>
      <c r="BX102" s="894"/>
      <c r="BY102" s="894"/>
      <c r="BZ102" s="894"/>
      <c r="CA102" s="894"/>
      <c r="CB102" s="871"/>
      <c r="CC102" s="871"/>
      <c r="CD102" s="888"/>
      <c r="CE102" s="871"/>
      <c r="CF102" s="871"/>
      <c r="CG102" s="871"/>
      <c r="CH102" s="871"/>
      <c r="CI102" s="871"/>
      <c r="CJ102" s="871"/>
      <c r="CK102" s="871"/>
      <c r="CL102" s="871"/>
      <c r="CM102" s="871"/>
      <c r="CN102" s="871"/>
      <c r="CO102" s="871"/>
      <c r="CP102" s="870"/>
      <c r="CQ102" s="4108" t="s">
        <v>1370</v>
      </c>
      <c r="CR102" s="4108"/>
      <c r="CS102" s="4079" t="s">
        <v>1399</v>
      </c>
      <c r="CT102" s="4159"/>
      <c r="CU102" s="4160"/>
      <c r="CV102" s="4160"/>
      <c r="CW102" s="4161"/>
      <c r="CX102" s="4159"/>
      <c r="CY102" s="4160"/>
      <c r="CZ102" s="4160"/>
      <c r="DA102" s="4161"/>
      <c r="DB102" s="4159"/>
      <c r="DC102" s="4160"/>
      <c r="DD102" s="4160"/>
      <c r="DE102" s="4161"/>
      <c r="DF102" s="4159"/>
      <c r="DG102" s="4160"/>
      <c r="DH102" s="4160"/>
      <c r="DI102" s="4161"/>
      <c r="DJ102" s="4159"/>
      <c r="DK102" s="4160"/>
      <c r="DL102" s="4160"/>
      <c r="DM102" s="4161"/>
      <c r="DN102" s="4159"/>
      <c r="DO102" s="4160"/>
      <c r="DP102" s="4160"/>
      <c r="DQ102" s="4161"/>
      <c r="DR102" s="868"/>
      <c r="DS102" s="4040" t="s">
        <v>1406</v>
      </c>
      <c r="DT102" s="4041"/>
      <c r="DU102" s="4042"/>
      <c r="DV102" s="4086" t="str">
        <f>IF(DV103&gt;=1,DV103,1/DV103)</f>
        <v/>
      </c>
      <c r="DW102" s="4087"/>
      <c r="DX102" s="4087"/>
      <c r="DY102" s="4088"/>
      <c r="DZ102" s="866"/>
    </row>
    <row r="103" spans="2:130" ht="6" customHeight="1" thickBot="1">
      <c r="B103" s="889"/>
      <c r="C103" s="894"/>
      <c r="D103" s="894"/>
      <c r="E103" s="907"/>
      <c r="F103" s="917"/>
      <c r="G103" s="957"/>
      <c r="H103" s="896"/>
      <c r="I103" s="896"/>
      <c r="J103" s="896"/>
      <c r="K103" s="902"/>
      <c r="L103" s="902"/>
      <c r="M103" s="902"/>
      <c r="N103" s="902"/>
      <c r="O103" s="919"/>
      <c r="P103" s="894"/>
      <c r="Q103" s="931"/>
      <c r="R103" s="930"/>
      <c r="S103" s="932"/>
      <c r="T103" s="894"/>
      <c r="U103" s="894"/>
      <c r="V103" s="4138" t="s">
        <v>1370</v>
      </c>
      <c r="W103" s="4138"/>
      <c r="X103" s="4167"/>
      <c r="Y103" s="932"/>
      <c r="Z103" s="964"/>
      <c r="AA103" s="894"/>
      <c r="AB103" s="894"/>
      <c r="AC103" s="903"/>
      <c r="AD103" s="902"/>
      <c r="AE103" s="902"/>
      <c r="AF103" s="902"/>
      <c r="AG103" s="902"/>
      <c r="AH103" s="902"/>
      <c r="AI103" s="902"/>
      <c r="AJ103" s="902"/>
      <c r="AK103" s="901"/>
      <c r="AL103" s="906"/>
      <c r="AM103" s="905"/>
      <c r="AN103" s="894"/>
      <c r="AO103" s="894"/>
      <c r="AP103" s="894"/>
      <c r="AQ103" s="894"/>
      <c r="AR103" s="910"/>
      <c r="AS103" s="926"/>
      <c r="AT103" s="937"/>
      <c r="AU103" s="923"/>
      <c r="AV103" s="923"/>
      <c r="AW103" s="923"/>
      <c r="AX103" s="902"/>
      <c r="AY103" s="902"/>
      <c r="AZ103" s="902"/>
      <c r="BA103" s="919"/>
      <c r="BB103" s="894"/>
      <c r="BC103" s="894"/>
      <c r="BD103" s="894"/>
      <c r="BE103" s="894"/>
      <c r="BF103" s="940"/>
      <c r="BG103" s="894"/>
      <c r="BH103" s="894"/>
      <c r="BI103" s="894"/>
      <c r="BJ103" s="894"/>
      <c r="BK103" s="910"/>
      <c r="BL103" s="926"/>
      <c r="BM103" s="909"/>
      <c r="BN103" s="908"/>
      <c r="BO103" s="908"/>
      <c r="BP103" s="901"/>
      <c r="BQ103" s="929"/>
      <c r="BR103" s="928"/>
      <c r="BS103" s="928"/>
      <c r="BT103" s="903"/>
      <c r="BU103" s="908"/>
      <c r="BV103" s="908"/>
      <c r="BW103" s="966"/>
      <c r="BX103" s="921"/>
      <c r="BY103" s="920"/>
      <c r="BZ103" s="894"/>
      <c r="CA103" s="894"/>
      <c r="CB103" s="871"/>
      <c r="CC103" s="871"/>
      <c r="CD103" s="888"/>
      <c r="CE103" s="871"/>
      <c r="CF103" s="871"/>
      <c r="CG103" s="871"/>
      <c r="CH103" s="871"/>
      <c r="CI103" s="871"/>
      <c r="CJ103" s="871"/>
      <c r="CK103" s="871"/>
      <c r="CL103" s="871"/>
      <c r="CM103" s="871"/>
      <c r="CN103" s="871"/>
      <c r="CO103" s="871"/>
      <c r="CP103" s="870"/>
      <c r="CQ103" s="4108"/>
      <c r="CR103" s="4108"/>
      <c r="CS103" s="4079"/>
      <c r="CT103" s="4162"/>
      <c r="CU103" s="4163"/>
      <c r="CV103" s="4163"/>
      <c r="CW103" s="4164"/>
      <c r="CX103" s="4162"/>
      <c r="CY103" s="4163"/>
      <c r="CZ103" s="4163"/>
      <c r="DA103" s="4164"/>
      <c r="DB103" s="4162"/>
      <c r="DC103" s="4163"/>
      <c r="DD103" s="4163"/>
      <c r="DE103" s="4164"/>
      <c r="DF103" s="4162"/>
      <c r="DG103" s="4163"/>
      <c r="DH103" s="4163"/>
      <c r="DI103" s="4164"/>
      <c r="DJ103" s="4162"/>
      <c r="DK103" s="4163"/>
      <c r="DL103" s="4163"/>
      <c r="DM103" s="4164"/>
      <c r="DN103" s="4162"/>
      <c r="DO103" s="4163"/>
      <c r="DP103" s="4163"/>
      <c r="DQ103" s="4164"/>
      <c r="DR103" s="868"/>
      <c r="DS103" s="4043"/>
      <c r="DT103" s="4044"/>
      <c r="DU103" s="4045"/>
      <c r="DV103" s="4089" t="str">
        <f>IF(CQ112="","",(DN92+DN94+DN96)^2/ABS((DN92+DN94+DN96)*(DN102+DN104+DN106)-DN94*DN104))</f>
        <v/>
      </c>
      <c r="DW103" s="4090"/>
      <c r="DX103" s="4090"/>
      <c r="DY103" s="4091"/>
      <c r="DZ103" s="866"/>
    </row>
    <row r="104" spans="2:130" ht="6" customHeight="1">
      <c r="B104" s="889"/>
      <c r="C104" s="894"/>
      <c r="D104" s="894"/>
      <c r="E104" s="910"/>
      <c r="F104" s="920"/>
      <c r="G104" s="965"/>
      <c r="H104" s="894"/>
      <c r="I104" s="894"/>
      <c r="J104" s="894"/>
      <c r="K104" s="903"/>
      <c r="L104" s="902"/>
      <c r="M104" s="902"/>
      <c r="N104" s="901"/>
      <c r="O104" s="894"/>
      <c r="P104" s="894"/>
      <c r="Q104" s="931"/>
      <c r="R104" s="930"/>
      <c r="S104" s="4102" t="s">
        <v>1371</v>
      </c>
      <c r="T104" s="4103"/>
      <c r="U104" s="4103"/>
      <c r="V104" s="4138"/>
      <c r="W104" s="4138"/>
      <c r="X104" s="4167"/>
      <c r="Y104" s="932"/>
      <c r="Z104" s="964"/>
      <c r="AA104" s="894"/>
      <c r="AB104" s="894"/>
      <c r="AC104" s="903"/>
      <c r="AD104" s="902"/>
      <c r="AE104" s="902"/>
      <c r="AF104" s="901"/>
      <c r="AG104" s="929"/>
      <c r="AH104" s="928"/>
      <c r="AI104" s="928"/>
      <c r="AJ104" s="928"/>
      <c r="AK104" s="928"/>
      <c r="AL104" s="910"/>
      <c r="AM104" s="4102" t="s">
        <v>1405</v>
      </c>
      <c r="AN104" s="4103"/>
      <c r="AO104" s="4103"/>
      <c r="AP104" s="4138" t="s">
        <v>1372</v>
      </c>
      <c r="AQ104" s="4138"/>
      <c r="AR104" s="4167"/>
      <c r="AS104" s="904"/>
      <c r="AT104" s="903"/>
      <c r="AU104" s="902"/>
      <c r="AV104" s="902"/>
      <c r="AW104" s="934"/>
      <c r="AX104" s="933"/>
      <c r="AY104" s="902"/>
      <c r="AZ104" s="902"/>
      <c r="BA104" s="923"/>
      <c r="BB104" s="923"/>
      <c r="BC104" s="923"/>
      <c r="BD104" s="922"/>
      <c r="BE104" s="921"/>
      <c r="BF104" s="4102" t="s">
        <v>1371</v>
      </c>
      <c r="BG104" s="4103"/>
      <c r="BH104" s="4103"/>
      <c r="BI104" s="4141" t="s">
        <v>1372</v>
      </c>
      <c r="BJ104" s="4141"/>
      <c r="BK104" s="4142"/>
      <c r="BL104" s="904"/>
      <c r="BM104" s="903"/>
      <c r="BN104" s="902"/>
      <c r="BO104" s="902"/>
      <c r="BP104" s="901"/>
      <c r="BQ104" s="919"/>
      <c r="BR104" s="894"/>
      <c r="BS104" s="894"/>
      <c r="BT104" s="903"/>
      <c r="BU104" s="902"/>
      <c r="BV104" s="902"/>
      <c r="BW104" s="901"/>
      <c r="BX104" s="911"/>
      <c r="BY104" s="4168" t="s">
        <v>1371</v>
      </c>
      <c r="BZ104" s="4092"/>
      <c r="CA104" s="4092"/>
      <c r="CB104" s="871"/>
      <c r="CC104" s="871"/>
      <c r="CD104" s="888"/>
      <c r="CE104" s="871"/>
      <c r="CF104" s="871"/>
      <c r="CG104" s="871"/>
      <c r="CH104" s="871"/>
      <c r="CI104" s="871"/>
      <c r="CJ104" s="871"/>
      <c r="CK104" s="871"/>
      <c r="CL104" s="871"/>
      <c r="CM104" s="871"/>
      <c r="CN104" s="871"/>
      <c r="CO104" s="871"/>
      <c r="CP104" s="870"/>
      <c r="CQ104" s="4108" t="s">
        <v>1373</v>
      </c>
      <c r="CR104" s="4108"/>
      <c r="CS104" s="4079" t="s">
        <v>1404</v>
      </c>
      <c r="CT104" s="4159"/>
      <c r="CU104" s="4160"/>
      <c r="CV104" s="4160"/>
      <c r="CW104" s="4161"/>
      <c r="CX104" s="4159"/>
      <c r="CY104" s="4160"/>
      <c r="CZ104" s="4160"/>
      <c r="DA104" s="4161"/>
      <c r="DB104" s="4159"/>
      <c r="DC104" s="4160"/>
      <c r="DD104" s="4160"/>
      <c r="DE104" s="4161"/>
      <c r="DF104" s="4159"/>
      <c r="DG104" s="4160"/>
      <c r="DH104" s="4160"/>
      <c r="DI104" s="4161"/>
      <c r="DJ104" s="4159"/>
      <c r="DK104" s="4160"/>
      <c r="DL104" s="4160"/>
      <c r="DM104" s="4161"/>
      <c r="DN104" s="4159"/>
      <c r="DO104" s="4160"/>
      <c r="DP104" s="4160"/>
      <c r="DQ104" s="4161"/>
      <c r="DR104" s="868"/>
      <c r="DS104" s="867"/>
      <c r="DT104" s="866"/>
      <c r="DU104" s="866"/>
      <c r="DV104" s="866"/>
      <c r="DW104" s="866"/>
      <c r="DX104" s="866"/>
      <c r="DY104" s="866"/>
      <c r="DZ104" s="866"/>
    </row>
    <row r="105" spans="2:130" ht="6" customHeight="1" thickBot="1">
      <c r="B105" s="889"/>
      <c r="C105" s="4141" t="s">
        <v>1372</v>
      </c>
      <c r="D105" s="4141"/>
      <c r="E105" s="4142"/>
      <c r="F105" s="932"/>
      <c r="G105" s="964"/>
      <c r="H105" s="894"/>
      <c r="I105" s="894"/>
      <c r="J105" s="894"/>
      <c r="K105" s="903"/>
      <c r="L105" s="902"/>
      <c r="M105" s="902"/>
      <c r="N105" s="901"/>
      <c r="O105" s="894"/>
      <c r="P105" s="894"/>
      <c r="Q105" s="931"/>
      <c r="R105" s="930"/>
      <c r="S105" s="4102"/>
      <c r="T105" s="4103"/>
      <c r="U105" s="4103"/>
      <c r="V105" s="894"/>
      <c r="W105" s="894"/>
      <c r="X105" s="931"/>
      <c r="Y105" s="932"/>
      <c r="Z105" s="964"/>
      <c r="AA105" s="894"/>
      <c r="AB105" s="894"/>
      <c r="AC105" s="903"/>
      <c r="AD105" s="902"/>
      <c r="AE105" s="902"/>
      <c r="AF105" s="901"/>
      <c r="AG105" s="919"/>
      <c r="AH105" s="894"/>
      <c r="AI105" s="894"/>
      <c r="AJ105" s="894"/>
      <c r="AK105" s="931"/>
      <c r="AL105" s="930"/>
      <c r="AM105" s="4102"/>
      <c r="AN105" s="4103"/>
      <c r="AO105" s="4103"/>
      <c r="AP105" s="4138"/>
      <c r="AQ105" s="4138"/>
      <c r="AR105" s="4167"/>
      <c r="AS105" s="904"/>
      <c r="AT105" s="903"/>
      <c r="AU105" s="902"/>
      <c r="AV105" s="902"/>
      <c r="AW105" s="934"/>
      <c r="AX105" s="933"/>
      <c r="AY105" s="902"/>
      <c r="AZ105" s="934"/>
      <c r="BA105" s="933"/>
      <c r="BB105" s="902"/>
      <c r="BC105" s="902"/>
      <c r="BD105" s="901"/>
      <c r="BE105" s="911"/>
      <c r="BF105" s="4102"/>
      <c r="BG105" s="4103"/>
      <c r="BH105" s="4103"/>
      <c r="BI105" s="4141"/>
      <c r="BJ105" s="4141"/>
      <c r="BK105" s="4142"/>
      <c r="BL105" s="917"/>
      <c r="BM105" s="957"/>
      <c r="BN105" s="896"/>
      <c r="BO105" s="896"/>
      <c r="BP105" s="895"/>
      <c r="BQ105" s="919"/>
      <c r="BR105" s="894"/>
      <c r="BS105" s="894"/>
      <c r="BT105" s="903"/>
      <c r="BU105" s="902"/>
      <c r="BV105" s="902"/>
      <c r="BW105" s="901"/>
      <c r="BX105" s="911"/>
      <c r="BY105" s="4168"/>
      <c r="BZ105" s="4092"/>
      <c r="CA105" s="4092"/>
      <c r="CB105" s="871"/>
      <c r="CC105" s="871"/>
      <c r="CD105" s="888"/>
      <c r="CE105" s="871"/>
      <c r="CF105" s="871"/>
      <c r="CG105" s="871"/>
      <c r="CH105" s="871"/>
      <c r="CI105" s="871"/>
      <c r="CJ105" s="871"/>
      <c r="CK105" s="871"/>
      <c r="CL105" s="871"/>
      <c r="CM105" s="871"/>
      <c r="CN105" s="871"/>
      <c r="CO105" s="871"/>
      <c r="CP105" s="870"/>
      <c r="CQ105" s="4108"/>
      <c r="CR105" s="4108"/>
      <c r="CS105" s="4079"/>
      <c r="CT105" s="4162"/>
      <c r="CU105" s="4163"/>
      <c r="CV105" s="4163"/>
      <c r="CW105" s="4164"/>
      <c r="CX105" s="4162"/>
      <c r="CY105" s="4163"/>
      <c r="CZ105" s="4163"/>
      <c r="DA105" s="4164"/>
      <c r="DB105" s="4162"/>
      <c r="DC105" s="4163"/>
      <c r="DD105" s="4163"/>
      <c r="DE105" s="4164"/>
      <c r="DF105" s="4162"/>
      <c r="DG105" s="4163"/>
      <c r="DH105" s="4163"/>
      <c r="DI105" s="4164"/>
      <c r="DJ105" s="4162"/>
      <c r="DK105" s="4163"/>
      <c r="DL105" s="4163"/>
      <c r="DM105" s="4164"/>
      <c r="DN105" s="4162"/>
      <c r="DO105" s="4163"/>
      <c r="DP105" s="4163"/>
      <c r="DQ105" s="4164"/>
      <c r="DR105" s="868"/>
      <c r="DS105" s="867"/>
      <c r="DT105" s="866"/>
      <c r="DU105" s="866"/>
      <c r="DV105" s="866"/>
      <c r="DW105" s="866"/>
      <c r="DX105" s="866"/>
      <c r="DY105" s="866"/>
      <c r="DZ105" s="866"/>
    </row>
    <row r="106" spans="2:130" ht="6" customHeight="1" thickBot="1">
      <c r="B106" s="889"/>
      <c r="C106" s="4141"/>
      <c r="D106" s="4141"/>
      <c r="E106" s="4142"/>
      <c r="F106" s="898"/>
      <c r="G106" s="960"/>
      <c r="H106" s="959"/>
      <c r="I106" s="959"/>
      <c r="J106" s="958"/>
      <c r="K106" s="957"/>
      <c r="L106" s="896"/>
      <c r="M106" s="896"/>
      <c r="N106" s="895"/>
      <c r="O106" s="894"/>
      <c r="P106" s="940"/>
      <c r="Q106" s="907"/>
      <c r="R106" s="963"/>
      <c r="S106" s="905"/>
      <c r="T106" s="894"/>
      <c r="U106" s="894"/>
      <c r="V106" s="894"/>
      <c r="W106" s="894"/>
      <c r="X106" s="907"/>
      <c r="Y106" s="898"/>
      <c r="Z106" s="960"/>
      <c r="AA106" s="959"/>
      <c r="AB106" s="958"/>
      <c r="AC106" s="957"/>
      <c r="AD106" s="896"/>
      <c r="AE106" s="896"/>
      <c r="AF106" s="895"/>
      <c r="AG106" s="919"/>
      <c r="AH106" s="940"/>
      <c r="AI106" s="940"/>
      <c r="AJ106" s="940"/>
      <c r="AK106" s="907"/>
      <c r="AL106" s="930"/>
      <c r="AM106" s="4102"/>
      <c r="AN106" s="4103"/>
      <c r="AO106" s="4103"/>
      <c r="AP106" s="894"/>
      <c r="AQ106" s="894"/>
      <c r="AR106" s="907"/>
      <c r="AS106" s="898"/>
      <c r="AT106" s="897"/>
      <c r="AU106" s="896"/>
      <c r="AV106" s="896"/>
      <c r="AW106" s="962"/>
      <c r="AX106" s="961"/>
      <c r="AY106" s="896"/>
      <c r="AZ106" s="962"/>
      <c r="BA106" s="961"/>
      <c r="BB106" s="896"/>
      <c r="BC106" s="896"/>
      <c r="BD106" s="895"/>
      <c r="BE106" s="906"/>
      <c r="BF106" s="4102"/>
      <c r="BG106" s="4103"/>
      <c r="BH106" s="4103"/>
      <c r="BI106" s="894"/>
      <c r="BJ106" s="894"/>
      <c r="BK106" s="936"/>
      <c r="BL106" s="898"/>
      <c r="BM106" s="960"/>
      <c r="BN106" s="959"/>
      <c r="BO106" s="959"/>
      <c r="BP106" s="959"/>
      <c r="BQ106" s="959"/>
      <c r="BR106" s="959"/>
      <c r="BS106" s="958"/>
      <c r="BT106" s="957"/>
      <c r="BU106" s="896"/>
      <c r="BV106" s="896"/>
      <c r="BW106" s="895"/>
      <c r="BX106" s="906"/>
      <c r="BY106" s="905"/>
      <c r="BZ106" s="894"/>
      <c r="CA106" s="894"/>
      <c r="CB106" s="871"/>
      <c r="CC106" s="871"/>
      <c r="CD106" s="888"/>
      <c r="CE106" s="871"/>
      <c r="CF106" s="871"/>
      <c r="CG106" s="871"/>
      <c r="CH106" s="871"/>
      <c r="CI106" s="871"/>
      <c r="CJ106" s="871"/>
      <c r="CK106" s="871"/>
      <c r="CL106" s="871"/>
      <c r="CM106" s="871"/>
      <c r="CN106" s="871"/>
      <c r="CO106" s="871"/>
      <c r="CP106" s="4145"/>
      <c r="CQ106" s="4108" t="s">
        <v>1375</v>
      </c>
      <c r="CR106" s="4108"/>
      <c r="CS106" s="4079" t="s">
        <v>1399</v>
      </c>
      <c r="CT106" s="4159"/>
      <c r="CU106" s="4160"/>
      <c r="CV106" s="4160"/>
      <c r="CW106" s="4161"/>
      <c r="CX106" s="4159"/>
      <c r="CY106" s="4160"/>
      <c r="CZ106" s="4160"/>
      <c r="DA106" s="4161"/>
      <c r="DB106" s="4159"/>
      <c r="DC106" s="4160"/>
      <c r="DD106" s="4160"/>
      <c r="DE106" s="4161"/>
      <c r="DF106" s="4159"/>
      <c r="DG106" s="4160"/>
      <c r="DH106" s="4160"/>
      <c r="DI106" s="4161"/>
      <c r="DJ106" s="4159"/>
      <c r="DK106" s="4160"/>
      <c r="DL106" s="4160"/>
      <c r="DM106" s="4161"/>
      <c r="DN106" s="4159"/>
      <c r="DO106" s="4160"/>
      <c r="DP106" s="4160"/>
      <c r="DQ106" s="4161"/>
      <c r="DR106" s="868"/>
      <c r="DS106" s="867"/>
      <c r="DT106" s="866"/>
      <c r="DU106" s="866"/>
      <c r="DV106" s="866"/>
      <c r="DW106" s="866"/>
      <c r="DX106" s="866"/>
      <c r="DY106" s="866"/>
      <c r="DZ106" s="866"/>
    </row>
    <row r="107" spans="2:130" ht="6" customHeight="1" thickTop="1">
      <c r="B107" s="889"/>
      <c r="C107" s="894"/>
      <c r="D107" s="894"/>
      <c r="E107" s="936"/>
      <c r="F107" s="900"/>
      <c r="G107" s="899"/>
      <c r="H107" s="940"/>
      <c r="I107" s="940"/>
      <c r="J107" s="907"/>
      <c r="K107" s="955"/>
      <c r="L107" s="954"/>
      <c r="M107" s="954"/>
      <c r="N107" s="953"/>
      <c r="O107" s="905"/>
      <c r="P107" s="944"/>
      <c r="Q107" s="956"/>
      <c r="R107" s="894"/>
      <c r="S107" s="894"/>
      <c r="T107" s="894"/>
      <c r="U107" s="894"/>
      <c r="V107" s="894"/>
      <c r="W107" s="894"/>
      <c r="X107" s="894"/>
      <c r="Y107" s="900"/>
      <c r="Z107" s="899"/>
      <c r="AA107" s="940"/>
      <c r="AB107" s="907"/>
      <c r="AC107" s="955"/>
      <c r="AD107" s="954"/>
      <c r="AE107" s="954"/>
      <c r="AF107" s="953"/>
      <c r="AG107" s="905"/>
      <c r="AH107" s="944"/>
      <c r="AI107" s="944"/>
      <c r="AJ107" s="944"/>
      <c r="AK107" s="956"/>
      <c r="AL107" s="920"/>
      <c r="AM107" s="936"/>
      <c r="AN107" s="894"/>
      <c r="AO107" s="894"/>
      <c r="AP107" s="894"/>
      <c r="AQ107" s="894"/>
      <c r="AR107" s="894"/>
      <c r="AS107" s="900"/>
      <c r="AT107" s="899"/>
      <c r="AU107" s="954"/>
      <c r="AV107" s="954"/>
      <c r="AW107" s="953"/>
      <c r="AX107" s="955"/>
      <c r="AY107" s="954"/>
      <c r="AZ107" s="953"/>
      <c r="BA107" s="955"/>
      <c r="BB107" s="954"/>
      <c r="BC107" s="954"/>
      <c r="BD107" s="953"/>
      <c r="BE107" s="894"/>
      <c r="BF107" s="936"/>
      <c r="BG107" s="894"/>
      <c r="BH107" s="894"/>
      <c r="BI107" s="894"/>
      <c r="BJ107" s="894"/>
      <c r="BK107" s="894"/>
      <c r="BL107" s="900"/>
      <c r="BM107" s="899"/>
      <c r="BN107" s="940"/>
      <c r="BO107" s="940"/>
      <c r="BP107" s="907"/>
      <c r="BQ107" s="905"/>
      <c r="BR107" s="940"/>
      <c r="BS107" s="907"/>
      <c r="BT107" s="955"/>
      <c r="BU107" s="954"/>
      <c r="BV107" s="954"/>
      <c r="BW107" s="953"/>
      <c r="BX107" s="894"/>
      <c r="BY107" s="894"/>
      <c r="BZ107" s="894"/>
      <c r="CA107" s="894"/>
      <c r="CB107" s="871"/>
      <c r="CC107" s="871"/>
      <c r="CD107" s="888"/>
      <c r="CE107" s="871"/>
      <c r="CF107" s="871"/>
      <c r="CG107" s="871"/>
      <c r="CH107" s="871"/>
      <c r="CI107" s="871"/>
      <c r="CJ107" s="871"/>
      <c r="CK107" s="871"/>
      <c r="CL107" s="871"/>
      <c r="CM107" s="871"/>
      <c r="CN107" s="871"/>
      <c r="CO107" s="871"/>
      <c r="CP107" s="4146"/>
      <c r="CQ107" s="4108"/>
      <c r="CR107" s="4108"/>
      <c r="CS107" s="4079"/>
      <c r="CT107" s="4162"/>
      <c r="CU107" s="4163"/>
      <c r="CV107" s="4163"/>
      <c r="CW107" s="4164"/>
      <c r="CX107" s="4162"/>
      <c r="CY107" s="4163"/>
      <c r="CZ107" s="4163"/>
      <c r="DA107" s="4164"/>
      <c r="DB107" s="4162"/>
      <c r="DC107" s="4163"/>
      <c r="DD107" s="4163"/>
      <c r="DE107" s="4164"/>
      <c r="DF107" s="4162"/>
      <c r="DG107" s="4163"/>
      <c r="DH107" s="4163"/>
      <c r="DI107" s="4164"/>
      <c r="DJ107" s="4162"/>
      <c r="DK107" s="4163"/>
      <c r="DL107" s="4163"/>
      <c r="DM107" s="4164"/>
      <c r="DN107" s="4162"/>
      <c r="DO107" s="4163"/>
      <c r="DP107" s="4163"/>
      <c r="DQ107" s="4164"/>
      <c r="DR107" s="868"/>
      <c r="DS107" s="867"/>
      <c r="DT107" s="866"/>
      <c r="DU107" s="866"/>
      <c r="DV107" s="866"/>
      <c r="DW107" s="866"/>
      <c r="DX107" s="866"/>
      <c r="DY107" s="866"/>
      <c r="DZ107" s="866"/>
    </row>
    <row r="108" spans="2:130" ht="6" customHeight="1">
      <c r="B108" s="889"/>
      <c r="C108" s="894"/>
      <c r="D108" s="894"/>
      <c r="E108" s="894"/>
      <c r="F108" s="931"/>
      <c r="G108" s="4179" t="s">
        <v>1403</v>
      </c>
      <c r="H108" s="4179"/>
      <c r="I108" s="4179"/>
      <c r="J108" s="910"/>
      <c r="K108" s="4179" t="s">
        <v>1402</v>
      </c>
      <c r="L108" s="4179"/>
      <c r="M108" s="4179"/>
      <c r="N108" s="910"/>
      <c r="O108" s="4180" t="s">
        <v>1401</v>
      </c>
      <c r="P108" s="4180"/>
      <c r="Q108" s="4180"/>
      <c r="R108" s="920"/>
      <c r="S108" s="894"/>
      <c r="T108" s="894"/>
      <c r="U108" s="894"/>
      <c r="V108" s="894"/>
      <c r="W108" s="894"/>
      <c r="X108" s="894"/>
      <c r="Y108" s="931"/>
      <c r="Z108" s="4180" t="s">
        <v>1403</v>
      </c>
      <c r="AA108" s="4180"/>
      <c r="AB108" s="4180"/>
      <c r="AC108" s="952"/>
      <c r="AD108" s="4181" t="s">
        <v>1402</v>
      </c>
      <c r="AE108" s="4181"/>
      <c r="AF108" s="4181"/>
      <c r="AG108" s="920"/>
      <c r="AH108" s="4180" t="s">
        <v>1401</v>
      </c>
      <c r="AI108" s="4180"/>
      <c r="AJ108" s="4180"/>
      <c r="AK108" s="910"/>
      <c r="AL108" s="932"/>
      <c r="AM108" s="894"/>
      <c r="AN108" s="894"/>
      <c r="AO108" s="894"/>
      <c r="AP108" s="894"/>
      <c r="AQ108" s="894"/>
      <c r="AR108" s="894"/>
      <c r="AS108" s="931"/>
      <c r="AT108" s="4179" t="s">
        <v>1403</v>
      </c>
      <c r="AU108" s="4179"/>
      <c r="AV108" s="4179"/>
      <c r="AW108" s="951"/>
      <c r="AX108" s="4180" t="s">
        <v>1402</v>
      </c>
      <c r="AY108" s="4180"/>
      <c r="AZ108" s="4180"/>
      <c r="BA108" s="920"/>
      <c r="BB108" s="4181" t="s">
        <v>1401</v>
      </c>
      <c r="BC108" s="4181"/>
      <c r="BD108" s="4181"/>
      <c r="BE108" s="932"/>
      <c r="BF108" s="894"/>
      <c r="BG108" s="894"/>
      <c r="BH108" s="894"/>
      <c r="BI108" s="894"/>
      <c r="BJ108" s="894"/>
      <c r="BK108" s="894"/>
      <c r="BL108" s="931"/>
      <c r="BM108" s="4179" t="s">
        <v>1403</v>
      </c>
      <c r="BN108" s="4179"/>
      <c r="BO108" s="4179"/>
      <c r="BP108" s="910"/>
      <c r="BQ108" s="4180" t="s">
        <v>1402</v>
      </c>
      <c r="BR108" s="4180"/>
      <c r="BS108" s="4180"/>
      <c r="BT108" s="920"/>
      <c r="BU108" s="4181" t="s">
        <v>1401</v>
      </c>
      <c r="BV108" s="4181"/>
      <c r="BW108" s="4181"/>
      <c r="BX108" s="932"/>
      <c r="BY108" s="894"/>
      <c r="BZ108" s="894"/>
      <c r="CA108" s="894"/>
      <c r="CB108" s="871"/>
      <c r="CC108" s="871"/>
      <c r="CD108" s="888"/>
      <c r="CE108" s="871"/>
      <c r="CF108" s="871"/>
      <c r="CG108" s="871"/>
      <c r="CH108" s="871"/>
      <c r="CI108" s="871"/>
      <c r="CJ108" s="871"/>
      <c r="CK108" s="871"/>
      <c r="CL108" s="871"/>
      <c r="CM108" s="871"/>
      <c r="CN108" s="871"/>
      <c r="CO108" s="871"/>
      <c r="CP108" s="870"/>
      <c r="CQ108" s="4108" t="s">
        <v>1400</v>
      </c>
      <c r="CR108" s="4108"/>
      <c r="CS108" s="4079" t="s">
        <v>1399</v>
      </c>
      <c r="CT108" s="4159"/>
      <c r="CU108" s="4160"/>
      <c r="CV108" s="4160"/>
      <c r="CW108" s="4161"/>
      <c r="CX108" s="4159"/>
      <c r="CY108" s="4160"/>
      <c r="CZ108" s="4160"/>
      <c r="DA108" s="4161"/>
      <c r="DB108" s="4159"/>
      <c r="DC108" s="4160"/>
      <c r="DD108" s="4160"/>
      <c r="DE108" s="4161"/>
      <c r="DF108" s="4159"/>
      <c r="DG108" s="4160"/>
      <c r="DH108" s="4160"/>
      <c r="DI108" s="4161"/>
      <c r="DJ108" s="4159"/>
      <c r="DK108" s="4160"/>
      <c r="DL108" s="4160"/>
      <c r="DM108" s="4161"/>
      <c r="DN108" s="4173"/>
      <c r="DO108" s="4174"/>
      <c r="DP108" s="4174"/>
      <c r="DQ108" s="4175"/>
      <c r="DR108" s="868"/>
      <c r="DS108" s="867"/>
      <c r="DT108" s="866"/>
      <c r="DU108" s="866"/>
      <c r="DV108" s="866"/>
      <c r="DW108" s="866"/>
      <c r="DX108" s="866"/>
      <c r="DY108" s="866"/>
      <c r="DZ108" s="866"/>
    </row>
    <row r="109" spans="2:130" ht="6" customHeight="1">
      <c r="B109" s="889"/>
      <c r="C109" s="894"/>
      <c r="D109" s="894"/>
      <c r="E109" s="894"/>
      <c r="F109" s="894"/>
      <c r="G109" s="4141"/>
      <c r="H109" s="4141"/>
      <c r="I109" s="4141"/>
      <c r="J109" s="894"/>
      <c r="K109" s="4141"/>
      <c r="L109" s="4141"/>
      <c r="M109" s="4141"/>
      <c r="N109" s="894"/>
      <c r="O109" s="4105"/>
      <c r="P109" s="4105"/>
      <c r="Q109" s="4105"/>
      <c r="R109" s="894"/>
      <c r="S109" s="894"/>
      <c r="T109" s="894"/>
      <c r="U109" s="894"/>
      <c r="V109" s="894"/>
      <c r="W109" s="894"/>
      <c r="X109" s="894"/>
      <c r="Y109" s="894"/>
      <c r="Z109" s="4105"/>
      <c r="AA109" s="4105"/>
      <c r="AB109" s="4105"/>
      <c r="AC109" s="950"/>
      <c r="AD109" s="4103"/>
      <c r="AE109" s="4103"/>
      <c r="AF109" s="4103"/>
      <c r="AG109" s="894"/>
      <c r="AH109" s="4105"/>
      <c r="AI109" s="4105"/>
      <c r="AJ109" s="4105"/>
      <c r="AK109" s="894"/>
      <c r="AL109" s="894"/>
      <c r="AM109" s="894"/>
      <c r="AN109" s="894"/>
      <c r="AO109" s="894"/>
      <c r="AP109" s="894"/>
      <c r="AQ109" s="894"/>
      <c r="AR109" s="894"/>
      <c r="AS109" s="894"/>
      <c r="AT109" s="4141"/>
      <c r="AU109" s="4141"/>
      <c r="AV109" s="4141"/>
      <c r="AW109" s="949"/>
      <c r="AX109" s="4105"/>
      <c r="AY109" s="4105"/>
      <c r="AZ109" s="4105"/>
      <c r="BA109" s="894"/>
      <c r="BB109" s="4103"/>
      <c r="BC109" s="4103"/>
      <c r="BD109" s="4103"/>
      <c r="BE109" s="894"/>
      <c r="BF109" s="894"/>
      <c r="BG109" s="894"/>
      <c r="BH109" s="894"/>
      <c r="BI109" s="894"/>
      <c r="BJ109" s="894"/>
      <c r="BK109" s="894"/>
      <c r="BL109" s="894"/>
      <c r="BM109" s="4141"/>
      <c r="BN109" s="4141"/>
      <c r="BO109" s="4141"/>
      <c r="BP109" s="894"/>
      <c r="BQ109" s="4105"/>
      <c r="BR109" s="4105"/>
      <c r="BS109" s="4105"/>
      <c r="BT109" s="894"/>
      <c r="BU109" s="4103"/>
      <c r="BV109" s="4103"/>
      <c r="BW109" s="4103"/>
      <c r="BX109" s="894"/>
      <c r="BY109" s="894"/>
      <c r="BZ109" s="894"/>
      <c r="CA109" s="894"/>
      <c r="CB109" s="871"/>
      <c r="CC109" s="871"/>
      <c r="CD109" s="888"/>
      <c r="CE109" s="871"/>
      <c r="CF109" s="871"/>
      <c r="CG109" s="871"/>
      <c r="CH109" s="871"/>
      <c r="CI109" s="871"/>
      <c r="CJ109" s="871"/>
      <c r="CK109" s="871"/>
      <c r="CL109" s="871"/>
      <c r="CM109" s="871"/>
      <c r="CN109" s="871"/>
      <c r="CO109" s="871"/>
      <c r="CP109" s="870"/>
      <c r="CQ109" s="4108"/>
      <c r="CR109" s="4108"/>
      <c r="CS109" s="4079"/>
      <c r="CT109" s="4162"/>
      <c r="CU109" s="4163"/>
      <c r="CV109" s="4163"/>
      <c r="CW109" s="4164"/>
      <c r="CX109" s="4162"/>
      <c r="CY109" s="4163"/>
      <c r="CZ109" s="4163"/>
      <c r="DA109" s="4164"/>
      <c r="DB109" s="4162"/>
      <c r="DC109" s="4163"/>
      <c r="DD109" s="4163"/>
      <c r="DE109" s="4164"/>
      <c r="DF109" s="4162"/>
      <c r="DG109" s="4163"/>
      <c r="DH109" s="4163"/>
      <c r="DI109" s="4164"/>
      <c r="DJ109" s="4162"/>
      <c r="DK109" s="4163"/>
      <c r="DL109" s="4163"/>
      <c r="DM109" s="4164"/>
      <c r="DN109" s="4176"/>
      <c r="DO109" s="4177"/>
      <c r="DP109" s="4177"/>
      <c r="DQ109" s="4178"/>
      <c r="DR109" s="868"/>
      <c r="DS109" s="867"/>
      <c r="DT109" s="866"/>
      <c r="DU109" s="866"/>
      <c r="DV109" s="866"/>
      <c r="DW109" s="866"/>
      <c r="DX109" s="866"/>
      <c r="DY109" s="866"/>
      <c r="DZ109" s="866"/>
    </row>
    <row r="110" spans="2:130" ht="7.5" customHeight="1">
      <c r="B110" s="889"/>
      <c r="C110" s="871"/>
      <c r="D110" s="871"/>
      <c r="E110" s="948"/>
      <c r="F110" s="890" t="s">
        <v>1367</v>
      </c>
      <c r="G110" s="873"/>
      <c r="H110" s="873"/>
      <c r="I110" s="873"/>
      <c r="J110" s="873"/>
      <c r="K110" s="873"/>
      <c r="L110" s="873"/>
      <c r="M110" s="873"/>
      <c r="N110" s="873"/>
      <c r="O110" s="873"/>
      <c r="P110" s="873"/>
      <c r="Q110" s="873"/>
      <c r="R110" s="873"/>
      <c r="S110" s="873"/>
      <c r="T110" s="873"/>
      <c r="U110" s="873"/>
      <c r="V110" s="873"/>
      <c r="W110" s="873"/>
      <c r="X110" s="873"/>
      <c r="Y110" s="890" t="s">
        <v>1367</v>
      </c>
      <c r="Z110" s="873"/>
      <c r="AA110" s="873"/>
      <c r="AB110" s="873"/>
      <c r="AC110" s="873"/>
      <c r="AD110" s="873"/>
      <c r="AE110" s="873"/>
      <c r="AF110" s="873"/>
      <c r="AG110" s="873"/>
      <c r="AH110" s="873"/>
      <c r="AI110" s="873"/>
      <c r="AJ110" s="873"/>
      <c r="AK110" s="873"/>
      <c r="AL110" s="873"/>
      <c r="AM110" s="873"/>
      <c r="AN110" s="873"/>
      <c r="AO110" s="873"/>
      <c r="AP110" s="873"/>
      <c r="AQ110" s="873"/>
      <c r="AR110" s="873"/>
      <c r="AS110" s="890" t="s">
        <v>1367</v>
      </c>
      <c r="AT110" s="873"/>
      <c r="AU110" s="873"/>
      <c r="AV110" s="873"/>
      <c r="AW110" s="873"/>
      <c r="AX110" s="873"/>
      <c r="AY110" s="873"/>
      <c r="AZ110" s="873"/>
      <c r="BA110" s="873"/>
      <c r="BB110" s="873"/>
      <c r="BC110" s="873"/>
      <c r="BD110" s="873"/>
      <c r="BE110" s="873"/>
      <c r="BF110" s="873"/>
      <c r="BG110" s="873"/>
      <c r="BH110" s="873"/>
      <c r="BI110" s="873"/>
      <c r="BJ110" s="873"/>
      <c r="BK110" s="873"/>
      <c r="BL110" s="890" t="s">
        <v>1367</v>
      </c>
      <c r="BM110" s="873"/>
      <c r="BN110" s="873"/>
      <c r="BO110" s="873"/>
      <c r="BP110" s="873"/>
      <c r="BQ110" s="873"/>
      <c r="BR110" s="873"/>
      <c r="BS110" s="947"/>
      <c r="BT110" s="947"/>
      <c r="BU110" s="947"/>
      <c r="BV110" s="947"/>
      <c r="BW110" s="947"/>
      <c r="BX110" s="947"/>
      <c r="BY110" s="947"/>
      <c r="BZ110" s="947"/>
      <c r="CA110" s="947"/>
      <c r="CB110" s="871"/>
      <c r="CC110" s="871"/>
      <c r="CD110" s="888"/>
      <c r="CE110" s="871"/>
      <c r="CF110" s="871"/>
      <c r="CG110" s="871"/>
      <c r="CH110" s="871"/>
      <c r="CI110" s="871"/>
      <c r="CJ110" s="871"/>
      <c r="CK110" s="871"/>
      <c r="CL110" s="871"/>
      <c r="CM110" s="871"/>
      <c r="CN110" s="871"/>
      <c r="CO110" s="871"/>
      <c r="CP110" s="870"/>
      <c r="CQ110" s="4108" t="s">
        <v>1374</v>
      </c>
      <c r="CR110" s="4108"/>
      <c r="CS110" s="4079" t="s">
        <v>1399</v>
      </c>
      <c r="CT110" s="4094"/>
      <c r="CU110" s="4095"/>
      <c r="CV110" s="4095"/>
      <c r="CW110" s="4096"/>
      <c r="CX110" s="4094"/>
      <c r="CY110" s="4095"/>
      <c r="CZ110" s="4095"/>
      <c r="DA110" s="4096"/>
      <c r="DB110" s="4159"/>
      <c r="DC110" s="4160"/>
      <c r="DD110" s="4160"/>
      <c r="DE110" s="4161"/>
      <c r="DF110" s="4159"/>
      <c r="DG110" s="4160"/>
      <c r="DH110" s="4160"/>
      <c r="DI110" s="4161"/>
      <c r="DJ110" s="4159"/>
      <c r="DK110" s="4160"/>
      <c r="DL110" s="4160"/>
      <c r="DM110" s="4161"/>
      <c r="DN110" s="4173"/>
      <c r="DO110" s="4174"/>
      <c r="DP110" s="4174"/>
      <c r="DQ110" s="4175"/>
      <c r="DR110" s="868"/>
      <c r="DS110" s="867"/>
      <c r="DT110" s="866"/>
      <c r="DU110" s="866"/>
      <c r="DV110" s="866"/>
      <c r="DW110" s="866"/>
      <c r="DX110" s="866"/>
      <c r="DY110" s="866"/>
      <c r="DZ110" s="866"/>
    </row>
    <row r="111" spans="2:130" ht="7.5" customHeight="1">
      <c r="B111" s="889"/>
      <c r="C111" s="871"/>
      <c r="D111" s="871"/>
      <c r="E111" s="948"/>
      <c r="F111" s="874" t="s">
        <v>1398</v>
      </c>
      <c r="G111" s="873"/>
      <c r="H111" s="873"/>
      <c r="I111" s="873"/>
      <c r="J111" s="873"/>
      <c r="K111" s="873"/>
      <c r="L111" s="873"/>
      <c r="M111" s="873"/>
      <c r="N111" s="873"/>
      <c r="O111" s="873"/>
      <c r="P111" s="873"/>
      <c r="Q111" s="873"/>
      <c r="R111" s="873"/>
      <c r="S111" s="873"/>
      <c r="T111" s="873"/>
      <c r="U111" s="873"/>
      <c r="V111" s="873"/>
      <c r="W111" s="873"/>
      <c r="X111" s="873"/>
      <c r="Y111" s="874" t="s">
        <v>1397</v>
      </c>
      <c r="Z111" s="873"/>
      <c r="AA111" s="873"/>
      <c r="AB111" s="873"/>
      <c r="AC111" s="873"/>
      <c r="AD111" s="873"/>
      <c r="AE111" s="873"/>
      <c r="AF111" s="873"/>
      <c r="AG111" s="873"/>
      <c r="AH111" s="873"/>
      <c r="AI111" s="873"/>
      <c r="AJ111" s="873"/>
      <c r="AK111" s="873"/>
      <c r="AL111" s="873"/>
      <c r="AM111" s="873"/>
      <c r="AN111" s="873"/>
      <c r="AO111" s="873"/>
      <c r="AP111" s="873"/>
      <c r="AQ111" s="873"/>
      <c r="AR111" s="873"/>
      <c r="AS111" s="874" t="s">
        <v>1396</v>
      </c>
      <c r="AT111" s="873"/>
      <c r="AU111" s="873"/>
      <c r="AV111" s="873"/>
      <c r="AW111" s="873"/>
      <c r="AX111" s="873"/>
      <c r="AY111" s="873"/>
      <c r="AZ111" s="873"/>
      <c r="BA111" s="873"/>
      <c r="BB111" s="873"/>
      <c r="BC111" s="873"/>
      <c r="BD111" s="873"/>
      <c r="BE111" s="873"/>
      <c r="BF111" s="873"/>
      <c r="BG111" s="873"/>
      <c r="BH111" s="873"/>
      <c r="BI111" s="873"/>
      <c r="BJ111" s="873"/>
      <c r="BK111" s="873"/>
      <c r="BL111" s="874" t="s">
        <v>1395</v>
      </c>
      <c r="BM111" s="873"/>
      <c r="BN111" s="873"/>
      <c r="BO111" s="873"/>
      <c r="BP111" s="873"/>
      <c r="BQ111" s="873"/>
      <c r="BR111" s="873"/>
      <c r="BS111" s="947"/>
      <c r="BT111" s="947"/>
      <c r="BU111" s="947"/>
      <c r="BV111" s="947"/>
      <c r="BW111" s="947"/>
      <c r="BX111" s="947"/>
      <c r="BY111" s="947"/>
      <c r="BZ111" s="947"/>
      <c r="CA111" s="947"/>
      <c r="CB111" s="871"/>
      <c r="CC111" s="871"/>
      <c r="CD111" s="888"/>
      <c r="CE111" s="871"/>
      <c r="CF111" s="871"/>
      <c r="CG111" s="871"/>
      <c r="CH111" s="871"/>
      <c r="CI111" s="871"/>
      <c r="CJ111" s="871"/>
      <c r="CK111" s="871"/>
      <c r="CL111" s="871"/>
      <c r="CM111" s="871"/>
      <c r="CN111" s="871"/>
      <c r="CO111" s="871"/>
      <c r="CP111" s="870"/>
      <c r="CQ111" s="4108"/>
      <c r="CR111" s="4108"/>
      <c r="CS111" s="4079"/>
      <c r="CT111" s="4097"/>
      <c r="CU111" s="4098"/>
      <c r="CV111" s="4098"/>
      <c r="CW111" s="4099"/>
      <c r="CX111" s="4097"/>
      <c r="CY111" s="4098"/>
      <c r="CZ111" s="4098"/>
      <c r="DA111" s="4099"/>
      <c r="DB111" s="4162"/>
      <c r="DC111" s="4163"/>
      <c r="DD111" s="4163"/>
      <c r="DE111" s="4164"/>
      <c r="DF111" s="4162"/>
      <c r="DG111" s="4163"/>
      <c r="DH111" s="4163"/>
      <c r="DI111" s="4164"/>
      <c r="DJ111" s="4162"/>
      <c r="DK111" s="4163"/>
      <c r="DL111" s="4163"/>
      <c r="DM111" s="4164"/>
      <c r="DN111" s="4176"/>
      <c r="DO111" s="4177"/>
      <c r="DP111" s="4177"/>
      <c r="DQ111" s="4178"/>
      <c r="DR111" s="868"/>
      <c r="DS111" s="867"/>
      <c r="DT111" s="866"/>
      <c r="DU111" s="866"/>
      <c r="DV111" s="866"/>
      <c r="DW111" s="866"/>
      <c r="DX111" s="866"/>
      <c r="DY111" s="866"/>
      <c r="DZ111" s="866"/>
    </row>
    <row r="112" spans="2:130" ht="7.5" customHeight="1">
      <c r="B112" s="889"/>
      <c r="C112" s="871"/>
      <c r="D112" s="871"/>
      <c r="E112" s="948"/>
      <c r="F112" s="874" t="s">
        <v>1394</v>
      </c>
      <c r="G112" s="873"/>
      <c r="H112" s="873"/>
      <c r="I112" s="873"/>
      <c r="J112" s="873"/>
      <c r="K112" s="873"/>
      <c r="L112" s="873"/>
      <c r="M112" s="873"/>
      <c r="N112" s="873"/>
      <c r="O112" s="873"/>
      <c r="P112" s="873"/>
      <c r="Q112" s="873"/>
      <c r="R112" s="873"/>
      <c r="S112" s="873"/>
      <c r="T112" s="873"/>
      <c r="U112" s="873"/>
      <c r="V112" s="873"/>
      <c r="W112" s="873"/>
      <c r="X112" s="873"/>
      <c r="Y112" s="874" t="s">
        <v>1393</v>
      </c>
      <c r="Z112" s="873"/>
      <c r="AA112" s="873"/>
      <c r="AB112" s="873"/>
      <c r="AC112" s="873"/>
      <c r="AD112" s="873"/>
      <c r="AE112" s="873"/>
      <c r="AF112" s="873"/>
      <c r="AG112" s="873"/>
      <c r="AH112" s="873"/>
      <c r="AI112" s="873"/>
      <c r="AJ112" s="873"/>
      <c r="AK112" s="873"/>
      <c r="AL112" s="873"/>
      <c r="AM112" s="873"/>
      <c r="AN112" s="873"/>
      <c r="AO112" s="873"/>
      <c r="AP112" s="873"/>
      <c r="AQ112" s="873"/>
      <c r="AR112" s="873"/>
      <c r="AS112" s="874" t="s">
        <v>1392</v>
      </c>
      <c r="AT112" s="873"/>
      <c r="AU112" s="873"/>
      <c r="AV112" s="873"/>
      <c r="AW112" s="873"/>
      <c r="AX112" s="873"/>
      <c r="AY112" s="873"/>
      <c r="AZ112" s="873"/>
      <c r="BA112" s="873"/>
      <c r="BB112" s="873"/>
      <c r="BC112" s="873"/>
      <c r="BD112" s="873"/>
      <c r="BE112" s="873"/>
      <c r="BF112" s="873"/>
      <c r="BG112" s="873"/>
      <c r="BH112" s="873"/>
      <c r="BI112" s="873"/>
      <c r="BJ112" s="873"/>
      <c r="BK112" s="873"/>
      <c r="BL112" s="874" t="s">
        <v>1391</v>
      </c>
      <c r="BM112" s="873"/>
      <c r="BN112" s="873"/>
      <c r="BO112" s="873"/>
      <c r="BP112" s="873"/>
      <c r="BQ112" s="873"/>
      <c r="BR112" s="873"/>
      <c r="BS112" s="947"/>
      <c r="BT112" s="947"/>
      <c r="BU112" s="947"/>
      <c r="BV112" s="947"/>
      <c r="BW112" s="947"/>
      <c r="BX112" s="947"/>
      <c r="BY112" s="947"/>
      <c r="BZ112" s="947"/>
      <c r="CA112" s="947"/>
      <c r="CB112" s="871"/>
      <c r="CC112" s="871"/>
      <c r="CD112" s="888"/>
      <c r="CE112" s="871"/>
      <c r="CF112" s="871"/>
      <c r="CG112" s="871"/>
      <c r="CH112" s="871"/>
      <c r="CI112" s="871"/>
      <c r="CJ112" s="871"/>
      <c r="CK112" s="871"/>
      <c r="CL112" s="871"/>
      <c r="CM112" s="871"/>
      <c r="CN112" s="871"/>
      <c r="CO112" s="871"/>
      <c r="CP112" s="870"/>
      <c r="CQ112" s="4109"/>
      <c r="CR112" s="4110"/>
      <c r="CS112" s="4111"/>
      <c r="CT112" s="4182" t="str">
        <f>IF(CQ112="","⇐ type選択","")</f>
        <v>⇐ type選択</v>
      </c>
      <c r="CU112" s="4183"/>
      <c r="CV112" s="4183"/>
      <c r="CW112" s="4183"/>
      <c r="CX112" s="4183"/>
      <c r="CY112" s="4183"/>
      <c r="CZ112" s="4183"/>
      <c r="DA112" s="869"/>
      <c r="DB112" s="869"/>
      <c r="DC112" s="869"/>
      <c r="DD112" s="869"/>
      <c r="DE112" s="869"/>
      <c r="DF112" s="869"/>
      <c r="DG112" s="869"/>
      <c r="DH112" s="869"/>
      <c r="DI112" s="869"/>
      <c r="DJ112" s="869"/>
      <c r="DK112" s="869"/>
      <c r="DL112" s="869"/>
      <c r="DM112" s="869"/>
      <c r="DN112" s="869"/>
      <c r="DO112" s="869"/>
      <c r="DP112" s="869"/>
      <c r="DQ112" s="869"/>
      <c r="DR112" s="868"/>
      <c r="DS112" s="867"/>
      <c r="DT112" s="866"/>
      <c r="DU112" s="866"/>
      <c r="DV112" s="866"/>
      <c r="DW112" s="866"/>
      <c r="DX112" s="866"/>
      <c r="DY112" s="866"/>
      <c r="DZ112" s="866"/>
    </row>
    <row r="113" spans="2:130" ht="7.5" customHeight="1">
      <c r="B113" s="889"/>
      <c r="C113" s="871"/>
      <c r="D113" s="871"/>
      <c r="E113" s="948"/>
      <c r="F113" s="873"/>
      <c r="G113" s="873"/>
      <c r="H113" s="873"/>
      <c r="I113" s="873"/>
      <c r="J113" s="873"/>
      <c r="K113" s="873"/>
      <c r="L113" s="873"/>
      <c r="M113" s="873"/>
      <c r="N113" s="873"/>
      <c r="O113" s="873"/>
      <c r="P113" s="873"/>
      <c r="Q113" s="873"/>
      <c r="R113" s="873"/>
      <c r="S113" s="873"/>
      <c r="T113" s="873"/>
      <c r="U113" s="873"/>
      <c r="V113" s="873"/>
      <c r="W113" s="873"/>
      <c r="X113" s="873"/>
      <c r="Y113" s="874" t="s">
        <v>1390</v>
      </c>
      <c r="Z113" s="873"/>
      <c r="AA113" s="873"/>
      <c r="AB113" s="873"/>
      <c r="AC113" s="873"/>
      <c r="AD113" s="873"/>
      <c r="AE113" s="873"/>
      <c r="AF113" s="873"/>
      <c r="AG113" s="873"/>
      <c r="AH113" s="873"/>
      <c r="AI113" s="873"/>
      <c r="AJ113" s="873"/>
      <c r="AK113" s="873"/>
      <c r="AL113" s="873"/>
      <c r="AM113" s="873"/>
      <c r="AN113" s="873"/>
      <c r="AO113" s="873"/>
      <c r="AP113" s="873"/>
      <c r="AQ113" s="873"/>
      <c r="AR113" s="873"/>
      <c r="AS113" s="874" t="s">
        <v>1389</v>
      </c>
      <c r="AT113" s="873"/>
      <c r="AU113" s="873"/>
      <c r="AV113" s="873"/>
      <c r="AW113" s="873"/>
      <c r="AX113" s="873"/>
      <c r="AY113" s="873"/>
      <c r="AZ113" s="873"/>
      <c r="BA113" s="873"/>
      <c r="BB113" s="873"/>
      <c r="BC113" s="873"/>
      <c r="BD113" s="873"/>
      <c r="BE113" s="873"/>
      <c r="BF113" s="873"/>
      <c r="BG113" s="873"/>
      <c r="BH113" s="873"/>
      <c r="BI113" s="873"/>
      <c r="BJ113" s="873"/>
      <c r="BK113" s="873"/>
      <c r="BL113" s="874" t="s">
        <v>1388</v>
      </c>
      <c r="BM113" s="873"/>
      <c r="BN113" s="873"/>
      <c r="BO113" s="873"/>
      <c r="BP113" s="873"/>
      <c r="BQ113" s="873"/>
      <c r="BR113" s="873"/>
      <c r="BS113" s="947"/>
      <c r="BT113" s="947"/>
      <c r="BU113" s="947"/>
      <c r="BV113" s="947"/>
      <c r="BW113" s="947"/>
      <c r="BX113" s="947"/>
      <c r="BY113" s="947"/>
      <c r="BZ113" s="947"/>
      <c r="CA113" s="947"/>
      <c r="CB113" s="871"/>
      <c r="CC113" s="871"/>
      <c r="CD113" s="888"/>
      <c r="CE113" s="871"/>
      <c r="CF113" s="871"/>
      <c r="CG113" s="871"/>
      <c r="CH113" s="871"/>
      <c r="CI113" s="871"/>
      <c r="CJ113" s="871"/>
      <c r="CK113" s="871"/>
      <c r="CL113" s="871"/>
      <c r="CM113" s="871"/>
      <c r="CN113" s="871"/>
      <c r="CO113" s="871"/>
      <c r="CP113" s="870"/>
      <c r="CQ113" s="4112"/>
      <c r="CR113" s="4113"/>
      <c r="CS113" s="4114"/>
      <c r="CT113" s="4115"/>
      <c r="CU113" s="4116"/>
      <c r="CV113" s="4116"/>
      <c r="CW113" s="4116"/>
      <c r="CX113" s="4116"/>
      <c r="CY113" s="4116"/>
      <c r="CZ113" s="4116"/>
      <c r="DA113" s="869"/>
      <c r="DB113" s="869"/>
      <c r="DC113" s="869"/>
      <c r="DD113" s="869"/>
      <c r="DE113" s="869"/>
      <c r="DF113" s="869"/>
      <c r="DG113" s="869"/>
      <c r="DH113" s="869"/>
      <c r="DI113" s="869"/>
      <c r="DJ113" s="869"/>
      <c r="DK113" s="869"/>
      <c r="DL113" s="869"/>
      <c r="DM113" s="869"/>
      <c r="DN113" s="869"/>
      <c r="DO113" s="869"/>
      <c r="DP113" s="869"/>
      <c r="DQ113" s="869"/>
      <c r="DR113" s="868"/>
      <c r="DS113" s="867"/>
      <c r="DT113" s="866"/>
      <c r="DU113" s="866"/>
      <c r="DV113" s="866"/>
      <c r="DW113" s="866"/>
      <c r="DX113" s="866"/>
      <c r="DY113" s="866"/>
      <c r="DZ113" s="866"/>
    </row>
    <row r="114" spans="2:130" ht="7.5" customHeight="1">
      <c r="B114" s="889"/>
      <c r="C114" s="871"/>
      <c r="D114" s="871"/>
      <c r="E114" s="948"/>
      <c r="F114" s="873"/>
      <c r="G114" s="873"/>
      <c r="H114" s="873"/>
      <c r="I114" s="873"/>
      <c r="J114" s="873"/>
      <c r="K114" s="873"/>
      <c r="L114" s="873"/>
      <c r="M114" s="873"/>
      <c r="N114" s="873"/>
      <c r="O114" s="873"/>
      <c r="P114" s="873"/>
      <c r="Q114" s="873"/>
      <c r="R114" s="873"/>
      <c r="S114" s="873"/>
      <c r="T114" s="873"/>
      <c r="U114" s="873"/>
      <c r="V114" s="873"/>
      <c r="W114" s="873"/>
      <c r="X114" s="873"/>
      <c r="Y114" s="874"/>
      <c r="Z114" s="873"/>
      <c r="AA114" s="873"/>
      <c r="AB114" s="873"/>
      <c r="AC114" s="873"/>
      <c r="AD114" s="873"/>
      <c r="AE114" s="873"/>
      <c r="AF114" s="873"/>
      <c r="AG114" s="873"/>
      <c r="AH114" s="873"/>
      <c r="AI114" s="873"/>
      <c r="AJ114" s="873"/>
      <c r="AK114" s="873"/>
      <c r="AL114" s="873"/>
      <c r="AM114" s="873"/>
      <c r="AN114" s="873"/>
      <c r="AO114" s="873"/>
      <c r="AP114" s="873"/>
      <c r="AQ114" s="873"/>
      <c r="AR114" s="873"/>
      <c r="AS114" s="874" t="s">
        <v>1387</v>
      </c>
      <c r="AT114" s="873"/>
      <c r="AU114" s="873"/>
      <c r="AV114" s="873"/>
      <c r="AW114" s="873"/>
      <c r="AX114" s="873"/>
      <c r="AY114" s="873"/>
      <c r="AZ114" s="873"/>
      <c r="BA114" s="873"/>
      <c r="BB114" s="873"/>
      <c r="BC114" s="873"/>
      <c r="BD114" s="873"/>
      <c r="BE114" s="873"/>
      <c r="BF114" s="873"/>
      <c r="BG114" s="873"/>
      <c r="BH114" s="873"/>
      <c r="BI114" s="873"/>
      <c r="BJ114" s="873"/>
      <c r="BK114" s="873"/>
      <c r="BL114" s="874"/>
      <c r="BM114" s="873"/>
      <c r="BN114" s="873"/>
      <c r="BO114" s="873"/>
      <c r="BP114" s="873"/>
      <c r="BQ114" s="873"/>
      <c r="BR114" s="873"/>
      <c r="BS114" s="947"/>
      <c r="BT114" s="947"/>
      <c r="BU114" s="947"/>
      <c r="BV114" s="947"/>
      <c r="BW114" s="947"/>
      <c r="BX114" s="947"/>
      <c r="BY114" s="947"/>
      <c r="BZ114" s="947"/>
      <c r="CA114" s="947"/>
      <c r="CB114" s="871"/>
      <c r="CC114" s="871"/>
      <c r="CD114" s="888"/>
      <c r="CE114" s="871"/>
      <c r="CF114" s="871"/>
      <c r="CG114" s="871"/>
      <c r="CH114" s="871"/>
      <c r="CI114" s="871"/>
      <c r="CJ114" s="871"/>
      <c r="CK114" s="871"/>
      <c r="CL114" s="871"/>
      <c r="CM114" s="871"/>
      <c r="CN114" s="871"/>
      <c r="CO114" s="871"/>
      <c r="CP114" s="870"/>
      <c r="CQ114" s="4171" t="str">
        <f>IF(CQ112="","","n=")</f>
        <v/>
      </c>
      <c r="CR114" s="4171"/>
      <c r="CS114" s="4171"/>
      <c r="CT114" s="4184" t="b">
        <f>IF(CQ112="F3",DV92,IF(CQ112="F4",DV94,IF(CQ112="G1",DV96,IF(CQ112="G2",DV98,IF(CQ112="H",DV100,IF(CQ112="I",DV102))))))</f>
        <v>0</v>
      </c>
      <c r="CU114" s="4184"/>
      <c r="CV114" s="4184"/>
      <c r="CW114" s="4184"/>
      <c r="CX114" s="869"/>
      <c r="CY114" s="869"/>
      <c r="CZ114" s="869"/>
      <c r="DA114" s="869"/>
      <c r="DB114" s="869"/>
      <c r="DC114" s="869"/>
      <c r="DD114" s="869"/>
      <c r="DE114" s="869"/>
      <c r="DF114" s="869"/>
      <c r="DG114" s="869"/>
      <c r="DH114" s="869"/>
      <c r="DI114" s="869"/>
      <c r="DJ114" s="869"/>
      <c r="DK114" s="869"/>
      <c r="DL114" s="869"/>
      <c r="DM114" s="869"/>
      <c r="DN114" s="869"/>
      <c r="DO114" s="869"/>
      <c r="DP114" s="869"/>
      <c r="DQ114" s="869"/>
      <c r="DR114" s="868"/>
      <c r="DS114" s="867"/>
      <c r="DT114" s="866"/>
      <c r="DU114" s="866"/>
      <c r="DV114" s="866"/>
      <c r="DW114" s="866"/>
      <c r="DX114" s="866"/>
      <c r="DY114" s="866"/>
      <c r="DZ114" s="866"/>
    </row>
    <row r="115" spans="2:130" ht="7.5" customHeight="1">
      <c r="B115" s="889"/>
      <c r="C115" s="871"/>
      <c r="D115" s="871"/>
      <c r="E115" s="948"/>
      <c r="F115" s="873"/>
      <c r="G115" s="873"/>
      <c r="H115" s="873"/>
      <c r="I115" s="873"/>
      <c r="J115" s="873"/>
      <c r="K115" s="873"/>
      <c r="L115" s="873"/>
      <c r="M115" s="873"/>
      <c r="N115" s="873"/>
      <c r="O115" s="873"/>
      <c r="P115" s="873"/>
      <c r="Q115" s="873"/>
      <c r="R115" s="873"/>
      <c r="S115" s="873"/>
      <c r="T115" s="873"/>
      <c r="U115" s="873"/>
      <c r="V115" s="873"/>
      <c r="W115" s="873"/>
      <c r="X115" s="873"/>
      <c r="Y115" s="874"/>
      <c r="Z115" s="873"/>
      <c r="AA115" s="873"/>
      <c r="AB115" s="873"/>
      <c r="AC115" s="873"/>
      <c r="AD115" s="873"/>
      <c r="AE115" s="873"/>
      <c r="AF115" s="873"/>
      <c r="AG115" s="873"/>
      <c r="AH115" s="873"/>
      <c r="AI115" s="873"/>
      <c r="AJ115" s="873"/>
      <c r="AK115" s="873"/>
      <c r="AL115" s="873"/>
      <c r="AM115" s="873"/>
      <c r="AN115" s="873"/>
      <c r="AO115" s="873"/>
      <c r="AP115" s="873"/>
      <c r="AQ115" s="873"/>
      <c r="AR115" s="873"/>
      <c r="AS115" s="874"/>
      <c r="AT115" s="873"/>
      <c r="AU115" s="873"/>
      <c r="AV115" s="873"/>
      <c r="AW115" s="873"/>
      <c r="AX115" s="873"/>
      <c r="AY115" s="873"/>
      <c r="AZ115" s="873"/>
      <c r="BA115" s="873"/>
      <c r="BB115" s="873"/>
      <c r="BC115" s="873"/>
      <c r="BD115" s="873"/>
      <c r="BE115" s="873"/>
      <c r="BF115" s="873"/>
      <c r="BG115" s="873"/>
      <c r="BH115" s="873"/>
      <c r="BI115" s="873"/>
      <c r="BJ115" s="873"/>
      <c r="BK115" s="873"/>
      <c r="BL115" s="874"/>
      <c r="BM115" s="873"/>
      <c r="BN115" s="873"/>
      <c r="BO115" s="873"/>
      <c r="BP115" s="873"/>
      <c r="BQ115" s="873"/>
      <c r="BR115" s="873"/>
      <c r="BS115" s="947"/>
      <c r="BT115" s="947"/>
      <c r="BU115" s="947"/>
      <c r="BV115" s="947"/>
      <c r="BW115" s="947"/>
      <c r="BX115" s="947"/>
      <c r="BY115" s="947"/>
      <c r="BZ115" s="947"/>
      <c r="CA115" s="947"/>
      <c r="CB115" s="871"/>
      <c r="CC115" s="871"/>
      <c r="CD115" s="888"/>
      <c r="CE115" s="871"/>
      <c r="CF115" s="871"/>
      <c r="CG115" s="871"/>
      <c r="CH115" s="871"/>
      <c r="CI115" s="871"/>
      <c r="CJ115" s="871"/>
      <c r="CK115" s="871"/>
      <c r="CL115" s="871"/>
      <c r="CM115" s="871"/>
      <c r="CN115" s="871"/>
      <c r="CO115" s="871"/>
      <c r="CP115" s="870"/>
      <c r="CQ115" s="4171"/>
      <c r="CR115" s="4171"/>
      <c r="CS115" s="4171"/>
      <c r="CT115" s="4184"/>
      <c r="CU115" s="4184"/>
      <c r="CV115" s="4184"/>
      <c r="CW115" s="4184"/>
      <c r="CX115" s="869"/>
      <c r="CY115" s="869"/>
      <c r="CZ115" s="869"/>
      <c r="DA115" s="869"/>
      <c r="DB115" s="869"/>
      <c r="DC115" s="869"/>
      <c r="DD115" s="869"/>
      <c r="DE115" s="869"/>
      <c r="DF115" s="869"/>
      <c r="DG115" s="869"/>
      <c r="DH115" s="869"/>
      <c r="DI115" s="869"/>
      <c r="DJ115" s="869"/>
      <c r="DK115" s="869"/>
      <c r="DL115" s="869"/>
      <c r="DM115" s="869"/>
      <c r="DN115" s="869"/>
      <c r="DO115" s="869"/>
      <c r="DP115" s="869"/>
      <c r="DQ115" s="869"/>
      <c r="DR115" s="868"/>
      <c r="DS115" s="867"/>
      <c r="DT115" s="866"/>
      <c r="DU115" s="866"/>
      <c r="DV115" s="866"/>
      <c r="DW115" s="866"/>
      <c r="DX115" s="866"/>
      <c r="DY115" s="866"/>
      <c r="DZ115" s="866"/>
    </row>
    <row r="116" spans="2:130" ht="6" customHeight="1">
      <c r="B116" s="889"/>
      <c r="C116" s="871"/>
      <c r="D116" s="871"/>
      <c r="E116" s="871"/>
      <c r="F116" s="871"/>
      <c r="G116" s="871"/>
      <c r="H116" s="871"/>
      <c r="I116" s="871"/>
      <c r="J116" s="871"/>
      <c r="K116" s="4047" t="s">
        <v>1386</v>
      </c>
      <c r="L116" s="4047"/>
      <c r="M116" s="4047"/>
      <c r="N116" s="4047"/>
      <c r="O116" s="4046" t="s">
        <v>1384</v>
      </c>
      <c r="P116" s="4046"/>
      <c r="Q116" s="4046"/>
      <c r="R116" s="4046"/>
      <c r="S116" s="871"/>
      <c r="T116" s="871"/>
      <c r="U116" s="871"/>
      <c r="V116" s="871"/>
      <c r="W116" s="871"/>
      <c r="X116" s="871"/>
      <c r="Y116" s="871"/>
      <c r="Z116" s="871"/>
      <c r="AA116" s="871"/>
      <c r="AB116" s="871"/>
      <c r="AC116" s="871"/>
      <c r="AD116" s="871"/>
      <c r="AE116" s="871"/>
      <c r="AF116" s="871"/>
      <c r="AG116" s="871"/>
      <c r="AH116" s="871"/>
      <c r="AI116" s="871"/>
      <c r="AJ116" s="871"/>
      <c r="AK116" s="871"/>
      <c r="AL116" s="871"/>
      <c r="AM116" s="4047" t="s">
        <v>1385</v>
      </c>
      <c r="AN116" s="4047"/>
      <c r="AO116" s="4047"/>
      <c r="AP116" s="4047"/>
      <c r="AQ116" s="4046" t="s">
        <v>1384</v>
      </c>
      <c r="AR116" s="4046"/>
      <c r="AS116" s="4046"/>
      <c r="AT116" s="4046"/>
      <c r="AU116" s="871"/>
      <c r="AV116" s="871"/>
      <c r="AW116" s="871"/>
      <c r="AX116" s="871"/>
      <c r="AY116" s="871"/>
      <c r="AZ116" s="871"/>
      <c r="BA116" s="871"/>
      <c r="BB116" s="871"/>
      <c r="BC116" s="871"/>
      <c r="BD116" s="871"/>
      <c r="BE116" s="871"/>
      <c r="BF116" s="871"/>
      <c r="BG116" s="871"/>
      <c r="BH116" s="871"/>
      <c r="BI116" s="871"/>
      <c r="BJ116" s="871"/>
      <c r="BK116" s="871"/>
      <c r="BL116" s="871"/>
      <c r="BM116" s="871"/>
      <c r="BN116" s="871"/>
      <c r="BO116" s="871"/>
      <c r="BP116" s="871"/>
      <c r="BQ116" s="871"/>
      <c r="BR116" s="871"/>
      <c r="BS116" s="871"/>
      <c r="BT116" s="871"/>
      <c r="BU116" s="871"/>
      <c r="BV116" s="871"/>
      <c r="BW116" s="871"/>
      <c r="BX116" s="871"/>
      <c r="BY116" s="871"/>
      <c r="BZ116" s="871"/>
      <c r="CA116" s="871"/>
      <c r="CB116" s="871"/>
      <c r="CC116" s="871"/>
      <c r="CD116" s="888"/>
      <c r="CE116" s="871"/>
      <c r="CF116" s="871"/>
      <c r="CG116" s="871"/>
      <c r="CH116" s="871"/>
      <c r="CI116" s="871"/>
      <c r="CJ116" s="871"/>
      <c r="CK116" s="871"/>
      <c r="CL116" s="871"/>
      <c r="CM116" s="871"/>
      <c r="CN116" s="871"/>
      <c r="CO116" s="871"/>
      <c r="CP116" s="870"/>
      <c r="CQ116" s="869"/>
      <c r="CR116" s="869"/>
      <c r="CS116" s="869"/>
      <c r="CT116" s="869"/>
      <c r="CU116" s="869"/>
      <c r="CV116" s="946"/>
      <c r="CW116" s="946"/>
      <c r="CX116" s="869"/>
      <c r="CY116" s="869"/>
      <c r="CZ116" s="869"/>
      <c r="DA116" s="869"/>
      <c r="DB116" s="869"/>
      <c r="DC116" s="869"/>
      <c r="DD116" s="869"/>
      <c r="DE116" s="869"/>
      <c r="DF116" s="869"/>
      <c r="DG116" s="869"/>
      <c r="DH116" s="869"/>
      <c r="DI116" s="869"/>
      <c r="DJ116" s="869"/>
      <c r="DK116" s="869"/>
      <c r="DL116" s="869"/>
      <c r="DM116" s="869"/>
      <c r="DN116" s="869"/>
      <c r="DO116" s="869"/>
      <c r="DP116" s="869"/>
      <c r="DQ116" s="869"/>
      <c r="DR116" s="868"/>
      <c r="DS116" s="867"/>
      <c r="DT116" s="866"/>
      <c r="DU116" s="866"/>
      <c r="DV116" s="866"/>
      <c r="DW116" s="866"/>
      <c r="DX116" s="866"/>
      <c r="DY116" s="866"/>
      <c r="DZ116" s="866"/>
    </row>
    <row r="117" spans="2:130" ht="6" customHeight="1" thickBot="1">
      <c r="B117" s="889"/>
      <c r="C117" s="871"/>
      <c r="D117" s="871"/>
      <c r="E117" s="871"/>
      <c r="F117" s="871"/>
      <c r="G117" s="871"/>
      <c r="H117" s="871"/>
      <c r="I117" s="871"/>
      <c r="J117" s="871"/>
      <c r="K117" s="4047"/>
      <c r="L117" s="4047"/>
      <c r="M117" s="4047"/>
      <c r="N117" s="4047"/>
      <c r="O117" s="4046"/>
      <c r="P117" s="4046"/>
      <c r="Q117" s="4046"/>
      <c r="R117" s="4046"/>
      <c r="S117" s="871"/>
      <c r="T117" s="871"/>
      <c r="U117" s="871"/>
      <c r="V117" s="871"/>
      <c r="W117" s="871"/>
      <c r="X117" s="871"/>
      <c r="Y117" s="871"/>
      <c r="Z117" s="871"/>
      <c r="AA117" s="871"/>
      <c r="AB117" s="871"/>
      <c r="AC117" s="871"/>
      <c r="AD117" s="871"/>
      <c r="AE117" s="871"/>
      <c r="AF117" s="871"/>
      <c r="AG117" s="871"/>
      <c r="AH117" s="871"/>
      <c r="AI117" s="871"/>
      <c r="AJ117" s="871"/>
      <c r="AK117" s="871"/>
      <c r="AL117" s="871"/>
      <c r="AM117" s="4047"/>
      <c r="AN117" s="4047"/>
      <c r="AO117" s="4047"/>
      <c r="AP117" s="4047"/>
      <c r="AQ117" s="4046"/>
      <c r="AR117" s="4046"/>
      <c r="AS117" s="4046"/>
      <c r="AT117" s="4046"/>
      <c r="AU117" s="871"/>
      <c r="AV117" s="871"/>
      <c r="AW117" s="871"/>
      <c r="AX117" s="871"/>
      <c r="AY117" s="871"/>
      <c r="AZ117" s="871"/>
      <c r="BA117" s="871"/>
      <c r="BB117" s="871"/>
      <c r="BC117" s="871"/>
      <c r="BD117" s="871"/>
      <c r="BE117" s="871"/>
      <c r="BF117" s="871"/>
      <c r="BG117" s="871"/>
      <c r="BH117" s="871"/>
      <c r="BI117" s="871"/>
      <c r="BJ117" s="871"/>
      <c r="BK117" s="871"/>
      <c r="BL117" s="871"/>
      <c r="BM117" s="871"/>
      <c r="BN117" s="871"/>
      <c r="BO117" s="871"/>
      <c r="BP117" s="871"/>
      <c r="BQ117" s="871"/>
      <c r="BR117" s="871"/>
      <c r="BS117" s="871"/>
      <c r="BT117" s="871"/>
      <c r="BU117" s="871"/>
      <c r="BV117" s="871"/>
      <c r="BW117" s="871"/>
      <c r="BX117" s="871"/>
      <c r="BY117" s="871"/>
      <c r="BZ117" s="871"/>
      <c r="CA117" s="871"/>
      <c r="CB117" s="871"/>
      <c r="CC117" s="871"/>
      <c r="CD117" s="888"/>
      <c r="CE117" s="871"/>
      <c r="CF117" s="871"/>
      <c r="CG117" s="871"/>
      <c r="CH117" s="871"/>
      <c r="CI117" s="871"/>
      <c r="CJ117" s="871"/>
      <c r="CK117" s="871"/>
      <c r="CL117" s="871"/>
      <c r="CM117" s="871"/>
      <c r="CN117" s="871"/>
      <c r="CO117" s="871"/>
      <c r="CP117" s="870"/>
      <c r="CQ117" s="869"/>
      <c r="CR117" s="869"/>
      <c r="CS117" s="869"/>
      <c r="CT117" s="869"/>
      <c r="CU117" s="869"/>
      <c r="CV117" s="869"/>
      <c r="CW117" s="869"/>
      <c r="CX117" s="869"/>
      <c r="CY117" s="869"/>
      <c r="CZ117" s="869"/>
      <c r="DA117" s="869"/>
      <c r="DB117" s="869"/>
      <c r="DC117" s="869"/>
      <c r="DD117" s="869"/>
      <c r="DE117" s="869"/>
      <c r="DF117" s="869"/>
      <c r="DG117" s="869"/>
      <c r="DH117" s="869"/>
      <c r="DI117" s="869"/>
      <c r="DJ117" s="869"/>
      <c r="DK117" s="869"/>
      <c r="DL117" s="869"/>
      <c r="DM117" s="869"/>
      <c r="DN117" s="869"/>
      <c r="DO117" s="869"/>
      <c r="DP117" s="869"/>
      <c r="DQ117" s="869"/>
      <c r="DR117" s="868"/>
      <c r="DS117" s="867"/>
      <c r="DT117" s="866"/>
      <c r="DU117" s="866"/>
      <c r="DV117" s="866"/>
      <c r="DW117" s="866"/>
      <c r="DX117" s="866"/>
      <c r="DY117" s="866"/>
      <c r="DZ117" s="866"/>
    </row>
    <row r="118" spans="2:130" ht="7.5" customHeight="1">
      <c r="B118" s="889"/>
      <c r="C118" s="871"/>
      <c r="D118" s="871"/>
      <c r="E118" s="871"/>
      <c r="F118" s="871"/>
      <c r="G118" s="871"/>
      <c r="H118" s="871"/>
      <c r="I118" s="871"/>
      <c r="J118" s="871"/>
      <c r="K118" s="871"/>
      <c r="L118" s="871"/>
      <c r="M118" s="871"/>
      <c r="N118" s="871"/>
      <c r="O118" s="871"/>
      <c r="P118" s="871"/>
      <c r="Q118" s="871"/>
      <c r="R118" s="871"/>
      <c r="S118" s="871"/>
      <c r="T118" s="871"/>
      <c r="U118" s="871"/>
      <c r="V118" s="871"/>
      <c r="W118" s="871"/>
      <c r="X118" s="871"/>
      <c r="Y118" s="871"/>
      <c r="Z118" s="871"/>
      <c r="AA118" s="871"/>
      <c r="AB118" s="871"/>
      <c r="AC118" s="871"/>
      <c r="AD118" s="871"/>
      <c r="AE118" s="871"/>
      <c r="AF118" s="871"/>
      <c r="AG118" s="871"/>
      <c r="AH118" s="871"/>
      <c r="AI118" s="871"/>
      <c r="AJ118" s="871"/>
      <c r="AK118" s="871"/>
      <c r="AL118" s="871"/>
      <c r="AM118" s="871"/>
      <c r="AN118" s="871"/>
      <c r="AO118" s="871"/>
      <c r="AP118" s="871"/>
      <c r="AQ118" s="871"/>
      <c r="AR118" s="871"/>
      <c r="AS118" s="871"/>
      <c r="AT118" s="871"/>
      <c r="AU118" s="871"/>
      <c r="AV118" s="871"/>
      <c r="AW118" s="871"/>
      <c r="AX118" s="871"/>
      <c r="AY118" s="871"/>
      <c r="AZ118" s="871"/>
      <c r="BA118" s="871"/>
      <c r="BB118" s="871"/>
      <c r="BC118" s="871"/>
      <c r="BD118" s="871"/>
      <c r="BE118" s="871"/>
      <c r="BF118" s="871"/>
      <c r="BG118" s="871"/>
      <c r="BH118" s="871"/>
      <c r="BI118" s="871"/>
      <c r="BJ118" s="871"/>
      <c r="BK118" s="871"/>
      <c r="BL118" s="871"/>
      <c r="BM118" s="871"/>
      <c r="BN118" s="871"/>
      <c r="BO118" s="871"/>
      <c r="BP118" s="871"/>
      <c r="BQ118" s="871"/>
      <c r="BR118" s="871"/>
      <c r="BS118" s="871"/>
      <c r="BT118" s="871"/>
      <c r="BU118" s="871"/>
      <c r="BV118" s="871"/>
      <c r="BW118" s="871"/>
      <c r="BX118" s="871"/>
      <c r="BY118" s="871"/>
      <c r="BZ118" s="871"/>
      <c r="CA118" s="871"/>
      <c r="CB118" s="871"/>
      <c r="CC118" s="871"/>
      <c r="CD118" s="888"/>
      <c r="CE118" s="871"/>
      <c r="CF118" s="871"/>
      <c r="CG118" s="871"/>
      <c r="CH118" s="871"/>
      <c r="CI118" s="871"/>
      <c r="CJ118" s="871"/>
      <c r="CK118" s="871"/>
      <c r="CL118" s="871"/>
      <c r="CM118" s="871"/>
      <c r="CN118" s="871"/>
      <c r="CO118" s="871"/>
      <c r="CP118" s="870"/>
      <c r="CQ118" s="4061" t="s">
        <v>1383</v>
      </c>
      <c r="CR118" s="4062"/>
      <c r="CS118" s="4062"/>
      <c r="CT118" s="4062"/>
      <c r="CU118" s="4063"/>
      <c r="CV118" s="869"/>
      <c r="CW118" s="869"/>
      <c r="CX118" s="869"/>
      <c r="CY118" s="869"/>
      <c r="CZ118" s="869"/>
      <c r="DA118" s="869"/>
      <c r="DB118" s="869"/>
      <c r="DC118" s="869"/>
      <c r="DD118" s="869"/>
      <c r="DE118" s="869"/>
      <c r="DF118" s="869"/>
      <c r="DG118" s="869"/>
      <c r="DH118" s="869"/>
      <c r="DI118" s="869"/>
      <c r="DJ118" s="869"/>
      <c r="DK118" s="869"/>
      <c r="DL118" s="869"/>
      <c r="DM118" s="869"/>
      <c r="DN118" s="869"/>
      <c r="DO118" s="869"/>
      <c r="DP118" s="869"/>
      <c r="DQ118" s="869"/>
      <c r="DR118" s="868"/>
      <c r="DS118" s="867"/>
      <c r="DT118" s="866"/>
      <c r="DU118" s="866"/>
      <c r="DV118" s="866"/>
      <c r="DW118" s="866"/>
      <c r="DX118" s="866"/>
      <c r="DY118" s="866"/>
      <c r="DZ118" s="866"/>
    </row>
    <row r="119" spans="2:130" ht="7.5" customHeight="1" thickBot="1">
      <c r="B119" s="889"/>
      <c r="C119" s="894"/>
      <c r="D119" s="894"/>
      <c r="E119" s="894"/>
      <c r="F119" s="894"/>
      <c r="G119" s="4076" t="s">
        <v>1379</v>
      </c>
      <c r="H119" s="4076"/>
      <c r="I119" s="4076"/>
      <c r="J119" s="894"/>
      <c r="K119" s="4092" t="s">
        <v>1378</v>
      </c>
      <c r="L119" s="4092"/>
      <c r="M119" s="4092"/>
      <c r="N119" s="894"/>
      <c r="O119" s="4076" t="s">
        <v>1377</v>
      </c>
      <c r="P119" s="4076"/>
      <c r="Q119" s="4076"/>
      <c r="R119" s="894"/>
      <c r="S119" s="4138" t="s">
        <v>1382</v>
      </c>
      <c r="T119" s="4138"/>
      <c r="U119" s="4138"/>
      <c r="V119" s="894"/>
      <c r="W119" s="4076" t="s">
        <v>1381</v>
      </c>
      <c r="X119" s="4076"/>
      <c r="Y119" s="4076"/>
      <c r="Z119" s="894"/>
      <c r="AA119" s="894"/>
      <c r="AB119" s="894"/>
      <c r="AC119" s="894"/>
      <c r="AD119" s="894"/>
      <c r="AE119" s="894"/>
      <c r="AF119" s="894"/>
      <c r="AG119" s="894"/>
      <c r="AH119" s="894"/>
      <c r="AI119" s="894"/>
      <c r="AJ119" s="4092" t="s">
        <v>1379</v>
      </c>
      <c r="AK119" s="4092"/>
      <c r="AL119" s="4092"/>
      <c r="AM119" s="894"/>
      <c r="AN119" s="4076" t="s">
        <v>1378</v>
      </c>
      <c r="AO119" s="4076"/>
      <c r="AP119" s="4076"/>
      <c r="AQ119" s="894"/>
      <c r="AR119" s="894"/>
      <c r="AS119" s="4138" t="s">
        <v>1377</v>
      </c>
      <c r="AT119" s="4138"/>
      <c r="AU119" s="4138"/>
      <c r="AV119" s="894"/>
      <c r="AW119" s="894"/>
      <c r="AX119" s="894"/>
      <c r="AY119" s="894"/>
      <c r="AZ119" s="894"/>
      <c r="BA119" s="894"/>
      <c r="BB119" s="894"/>
      <c r="BC119" s="894"/>
      <c r="BD119" s="894"/>
      <c r="BE119" s="894"/>
      <c r="BF119" s="894"/>
      <c r="BG119" s="894"/>
      <c r="BH119" s="871"/>
      <c r="BI119" s="871"/>
      <c r="BJ119" s="871"/>
      <c r="BK119" s="871"/>
      <c r="BL119" s="871"/>
      <c r="BM119" s="871"/>
      <c r="BN119" s="871"/>
      <c r="BO119" s="871"/>
      <c r="BP119" s="871"/>
      <c r="BQ119" s="871"/>
      <c r="BR119" s="871"/>
      <c r="BS119" s="871"/>
      <c r="BT119" s="871"/>
      <c r="BU119" s="871"/>
      <c r="BV119" s="871"/>
      <c r="BW119" s="871"/>
      <c r="BX119" s="871"/>
      <c r="BY119" s="871"/>
      <c r="BZ119" s="871"/>
      <c r="CA119" s="871"/>
      <c r="CB119" s="871"/>
      <c r="CC119" s="871"/>
      <c r="CD119" s="888"/>
      <c r="CE119" s="871"/>
      <c r="CF119" s="871"/>
      <c r="CG119" s="871"/>
      <c r="CH119" s="871"/>
      <c r="CI119" s="871"/>
      <c r="CJ119" s="871"/>
      <c r="CK119" s="871"/>
      <c r="CL119" s="871"/>
      <c r="CM119" s="871"/>
      <c r="CN119" s="871"/>
      <c r="CO119" s="871"/>
      <c r="CP119" s="870"/>
      <c r="CQ119" s="4064"/>
      <c r="CR119" s="4065"/>
      <c r="CS119" s="4065"/>
      <c r="CT119" s="4065"/>
      <c r="CU119" s="4066"/>
      <c r="CV119" s="869"/>
      <c r="CW119" s="869"/>
      <c r="CX119" s="869"/>
      <c r="CY119" s="869"/>
      <c r="CZ119" s="869"/>
      <c r="DA119" s="869"/>
      <c r="DB119" s="869"/>
      <c r="DC119" s="869"/>
      <c r="DD119" s="869"/>
      <c r="DE119" s="869"/>
      <c r="DF119" s="869"/>
      <c r="DG119" s="869"/>
      <c r="DH119" s="869"/>
      <c r="DI119" s="869"/>
      <c r="DJ119" s="869"/>
      <c r="DK119" s="869"/>
      <c r="DL119" s="869"/>
      <c r="DM119" s="869"/>
      <c r="DN119" s="869"/>
      <c r="DO119" s="869"/>
      <c r="DP119" s="869"/>
      <c r="DQ119" s="869"/>
      <c r="DR119" s="868"/>
      <c r="DS119" s="867"/>
      <c r="DT119" s="866"/>
      <c r="DU119" s="866"/>
      <c r="DV119" s="866"/>
      <c r="DW119" s="866"/>
      <c r="DX119" s="866"/>
      <c r="DY119" s="866"/>
      <c r="DZ119" s="866"/>
    </row>
    <row r="120" spans="2:130" ht="6" customHeight="1">
      <c r="B120" s="889"/>
      <c r="C120" s="894"/>
      <c r="D120" s="894"/>
      <c r="E120" s="894"/>
      <c r="F120" s="931"/>
      <c r="G120" s="4077"/>
      <c r="H120" s="4077"/>
      <c r="I120" s="4077"/>
      <c r="J120" s="932"/>
      <c r="K120" s="4093"/>
      <c r="L120" s="4093"/>
      <c r="M120" s="4093"/>
      <c r="N120" s="905"/>
      <c r="O120" s="4077"/>
      <c r="P120" s="4077"/>
      <c r="Q120" s="4077"/>
      <c r="R120" s="907"/>
      <c r="S120" s="4139"/>
      <c r="T120" s="4139"/>
      <c r="U120" s="4139"/>
      <c r="V120" s="931"/>
      <c r="W120" s="4077"/>
      <c r="X120" s="4077"/>
      <c r="Y120" s="4077"/>
      <c r="Z120" s="932"/>
      <c r="AA120" s="894"/>
      <c r="AB120" s="894"/>
      <c r="AC120" s="894"/>
      <c r="AD120" s="894"/>
      <c r="AE120" s="894"/>
      <c r="AF120" s="894"/>
      <c r="AG120" s="894"/>
      <c r="AH120" s="894"/>
      <c r="AI120" s="905"/>
      <c r="AJ120" s="4093"/>
      <c r="AK120" s="4093"/>
      <c r="AL120" s="4093"/>
      <c r="AM120" s="932"/>
      <c r="AN120" s="4077"/>
      <c r="AO120" s="4077"/>
      <c r="AP120" s="4077"/>
      <c r="AQ120" s="907"/>
      <c r="AR120" s="905"/>
      <c r="AS120" s="4139"/>
      <c r="AT120" s="4139"/>
      <c r="AU120" s="4139"/>
      <c r="AV120" s="940"/>
      <c r="AW120" s="907"/>
      <c r="AX120" s="894"/>
      <c r="AY120" s="894"/>
      <c r="AZ120" s="894"/>
      <c r="BA120" s="894"/>
      <c r="BB120" s="894"/>
      <c r="BC120" s="894"/>
      <c r="BD120" s="894"/>
      <c r="BE120" s="894"/>
      <c r="BF120" s="894"/>
      <c r="BG120" s="894"/>
      <c r="BH120" s="871"/>
      <c r="BI120" s="871"/>
      <c r="BJ120" s="871"/>
      <c r="BK120" s="871"/>
      <c r="BL120" s="871"/>
      <c r="BM120" s="871"/>
      <c r="BN120" s="871"/>
      <c r="BO120" s="871"/>
      <c r="BP120" s="871"/>
      <c r="BQ120" s="871"/>
      <c r="BR120" s="871"/>
      <c r="BS120" s="871"/>
      <c r="BT120" s="871"/>
      <c r="BU120" s="871"/>
      <c r="BV120" s="871"/>
      <c r="BW120" s="871"/>
      <c r="BX120" s="871"/>
      <c r="BY120" s="871"/>
      <c r="BZ120" s="871"/>
      <c r="CA120" s="871"/>
      <c r="CB120" s="871"/>
      <c r="CC120" s="871"/>
      <c r="CD120" s="888"/>
      <c r="CE120" s="871"/>
      <c r="CF120" s="871"/>
      <c r="CG120" s="871"/>
      <c r="CH120" s="871"/>
      <c r="CI120" s="871"/>
      <c r="CJ120" s="871"/>
      <c r="CK120" s="871"/>
      <c r="CL120" s="871"/>
      <c r="CM120" s="871"/>
      <c r="CN120" s="871"/>
      <c r="CO120" s="871"/>
      <c r="CP120" s="870"/>
      <c r="CQ120" s="869"/>
      <c r="CR120" s="869"/>
      <c r="CS120" s="869"/>
      <c r="CT120" s="869"/>
      <c r="CU120" s="869"/>
      <c r="CV120" s="869"/>
      <c r="CW120" s="869"/>
      <c r="CX120" s="869"/>
      <c r="CY120" s="869"/>
      <c r="CZ120" s="869"/>
      <c r="DA120" s="869"/>
      <c r="DB120" s="869"/>
      <c r="DC120" s="869"/>
      <c r="DD120" s="869"/>
      <c r="DE120" s="869"/>
      <c r="DF120" s="869"/>
      <c r="DG120" s="869"/>
      <c r="DH120" s="869"/>
      <c r="DI120" s="869"/>
      <c r="DJ120" s="869"/>
      <c r="DK120" s="869"/>
      <c r="DL120" s="869"/>
      <c r="DM120" s="869"/>
      <c r="DN120" s="869"/>
      <c r="DO120" s="869"/>
      <c r="DP120" s="869"/>
      <c r="DQ120" s="869"/>
      <c r="DR120" s="868"/>
      <c r="DS120" s="867"/>
      <c r="DT120" s="866"/>
      <c r="DU120" s="866"/>
      <c r="DV120" s="866"/>
      <c r="DW120" s="866"/>
      <c r="DX120" s="866"/>
      <c r="DY120" s="866"/>
      <c r="DZ120" s="866"/>
    </row>
    <row r="121" spans="2:130" ht="6" customHeight="1" thickBot="1">
      <c r="B121" s="889"/>
      <c r="C121" s="894"/>
      <c r="D121" s="894"/>
      <c r="E121" s="894"/>
      <c r="F121" s="940"/>
      <c r="G121" s="945"/>
      <c r="H121" s="944"/>
      <c r="I121" s="910"/>
      <c r="J121" s="943"/>
      <c r="K121" s="942"/>
      <c r="L121" s="942"/>
      <c r="M121" s="941"/>
      <c r="N121" s="920"/>
      <c r="O121" s="936"/>
      <c r="P121" s="936"/>
      <c r="Q121" s="936"/>
      <c r="R121" s="910"/>
      <c r="S121" s="920"/>
      <c r="T121" s="936"/>
      <c r="U121" s="936"/>
      <c r="V121" s="910"/>
      <c r="W121" s="920"/>
      <c r="X121" s="936"/>
      <c r="Y121" s="910"/>
      <c r="Z121" s="894"/>
      <c r="AA121" s="894"/>
      <c r="AB121" s="894"/>
      <c r="AC121" s="894"/>
      <c r="AD121" s="894"/>
      <c r="AE121" s="894"/>
      <c r="AF121" s="894"/>
      <c r="AG121" s="894"/>
      <c r="AH121" s="894"/>
      <c r="AI121" s="943"/>
      <c r="AJ121" s="942"/>
      <c r="AK121" s="942"/>
      <c r="AL121" s="941"/>
      <c r="AM121" s="943"/>
      <c r="AN121" s="942"/>
      <c r="AO121" s="942"/>
      <c r="AP121" s="942"/>
      <c r="AQ121" s="941"/>
      <c r="AR121" s="943"/>
      <c r="AS121" s="942"/>
      <c r="AT121" s="942"/>
      <c r="AU121" s="942"/>
      <c r="AV121" s="942"/>
      <c r="AW121" s="941"/>
      <c r="AX121" s="894"/>
      <c r="AY121" s="894"/>
      <c r="AZ121" s="894"/>
      <c r="BA121" s="894"/>
      <c r="BB121" s="894"/>
      <c r="BC121" s="894"/>
      <c r="BD121" s="894"/>
      <c r="BE121" s="894"/>
      <c r="BF121" s="894"/>
      <c r="BG121" s="894"/>
      <c r="BH121" s="871"/>
      <c r="BI121" s="871"/>
      <c r="BJ121" s="871"/>
      <c r="BK121" s="871"/>
      <c r="BL121" s="871"/>
      <c r="BM121" s="871"/>
      <c r="BN121" s="871"/>
      <c r="BO121" s="871"/>
      <c r="BP121" s="871"/>
      <c r="BQ121" s="871"/>
      <c r="BR121" s="871"/>
      <c r="BS121" s="871"/>
      <c r="BT121" s="871"/>
      <c r="BU121" s="871"/>
      <c r="BV121" s="871"/>
      <c r="BW121" s="871"/>
      <c r="BX121" s="871"/>
      <c r="BY121" s="871"/>
      <c r="BZ121" s="871"/>
      <c r="CA121" s="871"/>
      <c r="CB121" s="871"/>
      <c r="CC121" s="871"/>
      <c r="CD121" s="888"/>
      <c r="CE121" s="871"/>
      <c r="CF121" s="871"/>
      <c r="CG121" s="871"/>
      <c r="CH121" s="871"/>
      <c r="CI121" s="871"/>
      <c r="CJ121" s="871"/>
      <c r="CK121" s="871"/>
      <c r="CL121" s="871"/>
      <c r="CM121" s="871"/>
      <c r="CN121" s="871"/>
      <c r="CO121" s="871"/>
      <c r="CP121" s="870"/>
      <c r="CQ121" s="869"/>
      <c r="CR121" s="869"/>
      <c r="CS121" s="869"/>
      <c r="CT121" s="869"/>
      <c r="CU121" s="869"/>
      <c r="CV121" s="869"/>
      <c r="CW121" s="869"/>
      <c r="CX121" s="869"/>
      <c r="CY121" s="869"/>
      <c r="CZ121" s="869"/>
      <c r="DA121" s="869"/>
      <c r="DB121" s="869"/>
      <c r="DC121" s="869"/>
      <c r="DD121" s="869"/>
      <c r="DE121" s="869"/>
      <c r="DF121" s="869"/>
      <c r="DG121" s="869"/>
      <c r="DH121" s="869"/>
      <c r="DI121" s="869"/>
      <c r="DJ121" s="869"/>
      <c r="DK121" s="869"/>
      <c r="DL121" s="869"/>
      <c r="DM121" s="869"/>
      <c r="DN121" s="869"/>
      <c r="DO121" s="869"/>
      <c r="DP121" s="869"/>
      <c r="DQ121" s="869"/>
      <c r="DR121" s="868"/>
      <c r="DS121" s="867"/>
      <c r="DT121" s="866"/>
      <c r="DU121" s="866"/>
      <c r="DV121" s="866"/>
      <c r="DW121" s="866"/>
      <c r="DX121" s="866"/>
      <c r="DY121" s="866"/>
      <c r="DZ121" s="866"/>
    </row>
    <row r="122" spans="2:130" ht="6" customHeight="1" thickBot="1">
      <c r="B122" s="889"/>
      <c r="C122" s="894"/>
      <c r="D122" s="894"/>
      <c r="E122" s="910"/>
      <c r="F122" s="935"/>
      <c r="G122" s="920"/>
      <c r="H122" s="936"/>
      <c r="I122" s="918"/>
      <c r="J122" s="937"/>
      <c r="K122" s="923"/>
      <c r="L122" s="923"/>
      <c r="M122" s="922"/>
      <c r="N122" s="894"/>
      <c r="O122" s="894"/>
      <c r="P122" s="894"/>
      <c r="Q122" s="894"/>
      <c r="R122" s="894"/>
      <c r="S122" s="894"/>
      <c r="T122" s="894"/>
      <c r="U122" s="894"/>
      <c r="V122" s="894"/>
      <c r="W122" s="894"/>
      <c r="X122" s="940"/>
      <c r="Y122" s="907"/>
      <c r="Z122" s="932"/>
      <c r="AA122" s="894"/>
      <c r="AB122" s="894"/>
      <c r="AC122" s="894"/>
      <c r="AD122" s="894"/>
      <c r="AE122" s="894"/>
      <c r="AF122" s="894"/>
      <c r="AG122" s="910"/>
      <c r="AH122" s="926"/>
      <c r="AI122" s="937"/>
      <c r="AJ122" s="923"/>
      <c r="AK122" s="923"/>
      <c r="AL122" s="939"/>
      <c r="AM122" s="938"/>
      <c r="AN122" s="923"/>
      <c r="AO122" s="923"/>
      <c r="AP122" s="923"/>
      <c r="AQ122" s="939"/>
      <c r="AR122" s="938"/>
      <c r="AS122" s="923"/>
      <c r="AT122" s="923"/>
      <c r="AU122" s="923"/>
      <c r="AV122" s="923"/>
      <c r="AW122" s="922"/>
      <c r="AX122" s="894"/>
      <c r="AY122" s="894"/>
      <c r="AZ122" s="894"/>
      <c r="BA122" s="894"/>
      <c r="BB122" s="894"/>
      <c r="BC122" s="894"/>
      <c r="BD122" s="894"/>
      <c r="BE122" s="894"/>
      <c r="BF122" s="894"/>
      <c r="BG122" s="894"/>
      <c r="BH122" s="871"/>
      <c r="BI122" s="871"/>
      <c r="BJ122" s="871"/>
      <c r="BK122" s="871"/>
      <c r="BL122" s="871"/>
      <c r="BM122" s="871"/>
      <c r="BN122" s="871"/>
      <c r="BO122" s="871"/>
      <c r="BP122" s="871"/>
      <c r="BQ122" s="871"/>
      <c r="BR122" s="871"/>
      <c r="BS122" s="871"/>
      <c r="BT122" s="871"/>
      <c r="BU122" s="871"/>
      <c r="BV122" s="871"/>
      <c r="BW122" s="871"/>
      <c r="BX122" s="871"/>
      <c r="BY122" s="871"/>
      <c r="BZ122" s="871"/>
      <c r="CA122" s="871"/>
      <c r="CB122" s="871"/>
      <c r="CC122" s="871"/>
      <c r="CD122" s="888"/>
      <c r="CE122" s="871"/>
      <c r="CF122" s="871"/>
      <c r="CG122" s="871"/>
      <c r="CH122" s="871"/>
      <c r="CI122" s="871"/>
      <c r="CJ122" s="871"/>
      <c r="CK122" s="871"/>
      <c r="CL122" s="871"/>
      <c r="CM122" s="871"/>
      <c r="CN122" s="871"/>
      <c r="CO122" s="871"/>
      <c r="CP122" s="870"/>
      <c r="CQ122" s="869"/>
      <c r="CR122" s="869"/>
      <c r="CS122" s="869"/>
      <c r="CT122" s="869"/>
      <c r="CU122" s="869"/>
      <c r="CV122" s="869"/>
      <c r="CW122" s="869"/>
      <c r="CX122" s="869"/>
      <c r="CY122" s="869"/>
      <c r="CZ122" s="869"/>
      <c r="DA122" s="869"/>
      <c r="DB122" s="869"/>
      <c r="DC122" s="869"/>
      <c r="DD122" s="869"/>
      <c r="DE122" s="869"/>
      <c r="DF122" s="869"/>
      <c r="DG122" s="869"/>
      <c r="DH122" s="869"/>
      <c r="DI122" s="869"/>
      <c r="DJ122" s="869"/>
      <c r="DK122" s="869"/>
      <c r="DL122" s="869"/>
      <c r="DM122" s="869"/>
      <c r="DN122" s="869"/>
      <c r="DO122" s="869"/>
      <c r="DP122" s="869"/>
      <c r="DQ122" s="869"/>
      <c r="DR122" s="868"/>
      <c r="DS122" s="867"/>
      <c r="DT122" s="866"/>
      <c r="DU122" s="866"/>
      <c r="DV122" s="866"/>
      <c r="DW122" s="866"/>
      <c r="DX122" s="866"/>
      <c r="DY122" s="866"/>
      <c r="DZ122" s="866"/>
    </row>
    <row r="123" spans="2:130" ht="6" customHeight="1">
      <c r="B123" s="889"/>
      <c r="C123" s="4141" t="s">
        <v>1376</v>
      </c>
      <c r="D123" s="4141"/>
      <c r="E123" s="4142"/>
      <c r="F123" s="930"/>
      <c r="G123" s="932"/>
      <c r="H123" s="894"/>
      <c r="I123" s="918"/>
      <c r="J123" s="903"/>
      <c r="K123" s="902"/>
      <c r="L123" s="902"/>
      <c r="M123" s="901"/>
      <c r="N123" s="894"/>
      <c r="O123" s="894"/>
      <c r="P123" s="894"/>
      <c r="Q123" s="910"/>
      <c r="R123" s="926"/>
      <c r="S123" s="937"/>
      <c r="T123" s="923"/>
      <c r="U123" s="923"/>
      <c r="V123" s="922"/>
      <c r="W123" s="894"/>
      <c r="X123" s="936"/>
      <c r="Y123" s="910"/>
      <c r="Z123" s="935"/>
      <c r="AA123" s="920"/>
      <c r="AB123" s="894"/>
      <c r="AC123" s="894"/>
      <c r="AD123" s="894"/>
      <c r="AE123" s="4141" t="s">
        <v>1375</v>
      </c>
      <c r="AF123" s="4141"/>
      <c r="AG123" s="4142"/>
      <c r="AH123" s="904"/>
      <c r="AI123" s="903"/>
      <c r="AJ123" s="902"/>
      <c r="AK123" s="902"/>
      <c r="AL123" s="934"/>
      <c r="AM123" s="933"/>
      <c r="AN123" s="902"/>
      <c r="AO123" s="902"/>
      <c r="AP123" s="902"/>
      <c r="AQ123" s="934"/>
      <c r="AR123" s="933"/>
      <c r="AS123" s="902"/>
      <c r="AT123" s="902"/>
      <c r="AU123" s="902"/>
      <c r="AV123" s="902"/>
      <c r="AW123" s="901"/>
      <c r="AX123" s="894"/>
      <c r="AY123" s="894"/>
      <c r="AZ123" s="894"/>
      <c r="BA123" s="894"/>
      <c r="BB123" s="894"/>
      <c r="BC123" s="894"/>
      <c r="BD123" s="894"/>
      <c r="BE123" s="894"/>
      <c r="BF123" s="894"/>
      <c r="BG123" s="894"/>
      <c r="BH123" s="871"/>
      <c r="BI123" s="871"/>
      <c r="BJ123" s="871"/>
      <c r="BK123" s="871"/>
      <c r="BL123" s="871"/>
      <c r="BM123" s="871"/>
      <c r="BN123" s="871"/>
      <c r="BO123" s="871"/>
      <c r="BP123" s="871"/>
      <c r="BQ123" s="871"/>
      <c r="BR123" s="871"/>
      <c r="BS123" s="871"/>
      <c r="BT123" s="871"/>
      <c r="BU123" s="871"/>
      <c r="BV123" s="871"/>
      <c r="BW123" s="871"/>
      <c r="BX123" s="871"/>
      <c r="BY123" s="871"/>
      <c r="BZ123" s="871"/>
      <c r="CA123" s="871"/>
      <c r="CB123" s="871"/>
      <c r="CC123" s="871"/>
      <c r="CD123" s="888"/>
      <c r="CE123" s="871"/>
      <c r="CF123" s="871"/>
      <c r="CG123" s="871"/>
      <c r="CH123" s="871"/>
      <c r="CI123" s="871"/>
      <c r="CJ123" s="871"/>
      <c r="CK123" s="871"/>
      <c r="CL123" s="871"/>
      <c r="CM123" s="871"/>
      <c r="CN123" s="871"/>
      <c r="CO123" s="871"/>
      <c r="CP123" s="870"/>
      <c r="CQ123" s="869"/>
      <c r="CR123" s="869"/>
      <c r="CS123" s="869"/>
      <c r="CT123" s="869"/>
      <c r="CU123" s="869"/>
      <c r="CV123" s="869"/>
      <c r="CW123" s="869"/>
      <c r="CX123" s="869"/>
      <c r="CY123" s="869"/>
      <c r="CZ123" s="869"/>
      <c r="DA123" s="869"/>
      <c r="DB123" s="869"/>
      <c r="DC123" s="869"/>
      <c r="DD123" s="869"/>
      <c r="DE123" s="869"/>
      <c r="DF123" s="869"/>
      <c r="DG123" s="869"/>
      <c r="DH123" s="869"/>
      <c r="DI123" s="869"/>
      <c r="DJ123" s="869"/>
      <c r="DK123" s="869"/>
      <c r="DL123" s="869"/>
      <c r="DM123" s="869"/>
      <c r="DN123" s="869"/>
      <c r="DO123" s="869"/>
      <c r="DP123" s="869"/>
      <c r="DQ123" s="869"/>
      <c r="DR123" s="868"/>
      <c r="DS123" s="867"/>
      <c r="DT123" s="866"/>
      <c r="DU123" s="866"/>
      <c r="DV123" s="866"/>
      <c r="DW123" s="866"/>
      <c r="DX123" s="866"/>
      <c r="DY123" s="866"/>
      <c r="DZ123" s="866"/>
    </row>
    <row r="124" spans="2:130" ht="6" customHeight="1" thickBot="1">
      <c r="B124" s="889"/>
      <c r="C124" s="4141"/>
      <c r="D124" s="4141"/>
      <c r="E124" s="4142"/>
      <c r="F124" s="930"/>
      <c r="G124" s="932"/>
      <c r="H124" s="894"/>
      <c r="I124" s="918"/>
      <c r="J124" s="903"/>
      <c r="K124" s="902"/>
      <c r="L124" s="902"/>
      <c r="M124" s="901"/>
      <c r="N124" s="894"/>
      <c r="O124" s="4141" t="s">
        <v>1375</v>
      </c>
      <c r="P124" s="4141"/>
      <c r="Q124" s="4142"/>
      <c r="R124" s="904"/>
      <c r="S124" s="903"/>
      <c r="T124" s="902"/>
      <c r="U124" s="902"/>
      <c r="V124" s="901"/>
      <c r="W124" s="894"/>
      <c r="X124" s="894"/>
      <c r="Y124" s="931"/>
      <c r="Z124" s="930"/>
      <c r="AA124" s="4102" t="s">
        <v>1374</v>
      </c>
      <c r="AB124" s="4103"/>
      <c r="AC124" s="4103"/>
      <c r="AD124" s="894"/>
      <c r="AE124" s="4141"/>
      <c r="AF124" s="4141"/>
      <c r="AG124" s="4142"/>
      <c r="AH124" s="904"/>
      <c r="AI124" s="916"/>
      <c r="AJ124" s="915"/>
      <c r="AK124" s="915"/>
      <c r="AL124" s="902"/>
      <c r="AM124" s="902"/>
      <c r="AN124" s="902"/>
      <c r="AO124" s="902"/>
      <c r="AP124" s="902"/>
      <c r="AQ124" s="902"/>
      <c r="AR124" s="902"/>
      <c r="AS124" s="902"/>
      <c r="AT124" s="902"/>
      <c r="AU124" s="902"/>
      <c r="AV124" s="902"/>
      <c r="AW124" s="901"/>
      <c r="AX124" s="894"/>
      <c r="AY124" s="894"/>
      <c r="AZ124" s="894"/>
      <c r="BA124" s="894"/>
      <c r="BB124" s="894"/>
      <c r="BC124" s="894"/>
      <c r="BD124" s="894"/>
      <c r="BE124" s="894"/>
      <c r="BF124" s="894"/>
      <c r="BG124" s="894"/>
      <c r="BH124" s="871"/>
      <c r="BI124" s="871"/>
      <c r="BJ124" s="871"/>
      <c r="BK124" s="871"/>
      <c r="BL124" s="871"/>
      <c r="BM124" s="871"/>
      <c r="BN124" s="871"/>
      <c r="BO124" s="871"/>
      <c r="BP124" s="871"/>
      <c r="BQ124" s="871"/>
      <c r="BR124" s="871"/>
      <c r="BS124" s="871"/>
      <c r="BT124" s="871"/>
      <c r="BU124" s="871"/>
      <c r="BV124" s="871"/>
      <c r="BW124" s="871"/>
      <c r="BX124" s="871"/>
      <c r="BY124" s="871"/>
      <c r="BZ124" s="871"/>
      <c r="CA124" s="871"/>
      <c r="CB124" s="871"/>
      <c r="CC124" s="871"/>
      <c r="CD124" s="888"/>
      <c r="CE124" s="871"/>
      <c r="CF124" s="871"/>
      <c r="CG124" s="871"/>
      <c r="CH124" s="871"/>
      <c r="CI124" s="871"/>
      <c r="CJ124" s="871"/>
      <c r="CK124" s="871"/>
      <c r="CL124" s="871"/>
      <c r="CM124" s="871"/>
      <c r="CN124" s="871"/>
      <c r="CO124" s="871"/>
      <c r="CP124" s="870"/>
      <c r="CQ124" s="869"/>
      <c r="CR124" s="869"/>
      <c r="CS124" s="869"/>
      <c r="CT124" s="869"/>
      <c r="CU124" s="869"/>
      <c r="CV124" s="869"/>
      <c r="CW124" s="869"/>
      <c r="CX124" s="869"/>
      <c r="CY124" s="869"/>
      <c r="CZ124" s="869"/>
      <c r="DA124" s="869"/>
      <c r="DB124" s="869"/>
      <c r="DC124" s="869"/>
      <c r="DD124" s="869"/>
      <c r="DE124" s="869"/>
      <c r="DF124" s="869"/>
      <c r="DG124" s="869"/>
      <c r="DH124" s="869"/>
      <c r="DI124" s="869"/>
      <c r="DJ124" s="869"/>
      <c r="DK124" s="869"/>
      <c r="DL124" s="869"/>
      <c r="DM124" s="869"/>
      <c r="DN124" s="869"/>
      <c r="DO124" s="869"/>
      <c r="DP124" s="869"/>
      <c r="DQ124" s="869"/>
      <c r="DR124" s="868"/>
      <c r="DS124" s="867"/>
      <c r="DT124" s="866"/>
      <c r="DU124" s="866"/>
      <c r="DV124" s="866"/>
      <c r="DW124" s="866"/>
      <c r="DX124" s="866"/>
      <c r="DY124" s="866"/>
      <c r="DZ124" s="866"/>
    </row>
    <row r="125" spans="2:130" ht="6" customHeight="1" thickBot="1">
      <c r="B125" s="889"/>
      <c r="C125" s="894"/>
      <c r="D125" s="894"/>
      <c r="E125" s="907"/>
      <c r="F125" s="905"/>
      <c r="G125" s="913"/>
      <c r="H125" s="913"/>
      <c r="I125" s="912"/>
      <c r="J125" s="903"/>
      <c r="K125" s="902"/>
      <c r="L125" s="902"/>
      <c r="M125" s="901"/>
      <c r="N125" s="894"/>
      <c r="O125" s="4141"/>
      <c r="P125" s="4141"/>
      <c r="Q125" s="4142"/>
      <c r="R125" s="904"/>
      <c r="S125" s="903"/>
      <c r="T125" s="902"/>
      <c r="U125" s="902"/>
      <c r="V125" s="901"/>
      <c r="W125" s="894"/>
      <c r="X125" s="894"/>
      <c r="Y125" s="894"/>
      <c r="Z125" s="907"/>
      <c r="AA125" s="4102"/>
      <c r="AB125" s="4103"/>
      <c r="AC125" s="4103"/>
      <c r="AD125" s="894"/>
      <c r="AE125" s="894"/>
      <c r="AF125" s="894"/>
      <c r="AG125" s="910"/>
      <c r="AH125" s="926"/>
      <c r="AI125" s="909"/>
      <c r="AJ125" s="908"/>
      <c r="AK125" s="908"/>
      <c r="AL125" s="902"/>
      <c r="AM125" s="929"/>
      <c r="AN125" s="928"/>
      <c r="AO125" s="928"/>
      <c r="AP125" s="928"/>
      <c r="AQ125" s="927"/>
      <c r="AR125" s="903"/>
      <c r="AS125" s="902"/>
      <c r="AT125" s="902"/>
      <c r="AU125" s="902"/>
      <c r="AV125" s="902"/>
      <c r="AW125" s="901"/>
      <c r="AX125" s="894"/>
      <c r="AY125" s="894"/>
      <c r="AZ125" s="894"/>
      <c r="BA125" s="894"/>
      <c r="BB125" s="894"/>
      <c r="BC125" s="894"/>
      <c r="BD125" s="894"/>
      <c r="BE125" s="894"/>
      <c r="BF125" s="894"/>
      <c r="BG125" s="894"/>
      <c r="BH125" s="871"/>
      <c r="BI125" s="871"/>
      <c r="BJ125" s="871"/>
      <c r="BK125" s="871"/>
      <c r="BL125" s="871"/>
      <c r="BM125" s="871"/>
      <c r="BN125" s="871"/>
      <c r="BO125" s="871"/>
      <c r="BP125" s="871"/>
      <c r="BQ125" s="871"/>
      <c r="BR125" s="871"/>
      <c r="BS125" s="871"/>
      <c r="BT125" s="871"/>
      <c r="BU125" s="871"/>
      <c r="BV125" s="871"/>
      <c r="BW125" s="871"/>
      <c r="BX125" s="871"/>
      <c r="BY125" s="871"/>
      <c r="BZ125" s="871"/>
      <c r="CA125" s="871"/>
      <c r="CB125" s="871"/>
      <c r="CC125" s="871"/>
      <c r="CD125" s="888"/>
      <c r="CE125" s="871"/>
      <c r="CF125" s="871"/>
      <c r="CG125" s="871"/>
      <c r="CH125" s="871"/>
      <c r="CI125" s="871"/>
      <c r="CJ125" s="871"/>
      <c r="CK125" s="871"/>
      <c r="CL125" s="871"/>
      <c r="CM125" s="871"/>
      <c r="CN125" s="871"/>
      <c r="CO125" s="871"/>
      <c r="CP125" s="870"/>
      <c r="CQ125" s="869"/>
      <c r="CR125" s="869"/>
      <c r="CS125" s="869"/>
      <c r="CT125" s="869"/>
      <c r="CU125" s="869"/>
      <c r="CV125" s="869"/>
      <c r="CW125" s="869"/>
      <c r="CX125" s="869"/>
      <c r="CY125" s="869"/>
      <c r="CZ125" s="869"/>
      <c r="DA125" s="869"/>
      <c r="DB125" s="869"/>
      <c r="DC125" s="869"/>
      <c r="DD125" s="869"/>
      <c r="DE125" s="869"/>
      <c r="DF125" s="869"/>
      <c r="DG125" s="869"/>
      <c r="DH125" s="869"/>
      <c r="DI125" s="869"/>
      <c r="DJ125" s="869"/>
      <c r="DK125" s="869"/>
      <c r="DL125" s="869"/>
      <c r="DM125" s="869"/>
      <c r="DN125" s="869"/>
      <c r="DO125" s="869"/>
      <c r="DP125" s="869"/>
      <c r="DQ125" s="869"/>
      <c r="DR125" s="868"/>
      <c r="DS125" s="867"/>
      <c r="DT125" s="866"/>
      <c r="DU125" s="866"/>
      <c r="DV125" s="866"/>
      <c r="DW125" s="866"/>
      <c r="DX125" s="866"/>
      <c r="DY125" s="866"/>
      <c r="DZ125" s="866"/>
    </row>
    <row r="126" spans="2:130" ht="6" customHeight="1" thickBot="1">
      <c r="B126" s="889"/>
      <c r="C126" s="894"/>
      <c r="D126" s="894"/>
      <c r="E126" s="910"/>
      <c r="F126" s="926"/>
      <c r="G126" s="903"/>
      <c r="H126" s="902"/>
      <c r="I126" s="902"/>
      <c r="J126" s="902"/>
      <c r="K126" s="902"/>
      <c r="L126" s="902"/>
      <c r="M126" s="902"/>
      <c r="N126" s="914"/>
      <c r="O126" s="913"/>
      <c r="P126" s="913"/>
      <c r="Q126" s="925"/>
      <c r="R126" s="924"/>
      <c r="S126" s="903"/>
      <c r="T126" s="902"/>
      <c r="U126" s="902"/>
      <c r="V126" s="902"/>
      <c r="W126" s="923"/>
      <c r="X126" s="923"/>
      <c r="Y126" s="922"/>
      <c r="Z126" s="921"/>
      <c r="AA126" s="920"/>
      <c r="AB126" s="894"/>
      <c r="AC126" s="894"/>
      <c r="AD126" s="894"/>
      <c r="AE126" s="4141" t="s">
        <v>1373</v>
      </c>
      <c r="AF126" s="4141"/>
      <c r="AG126" s="4142"/>
      <c r="AH126" s="904"/>
      <c r="AI126" s="903"/>
      <c r="AJ126" s="902"/>
      <c r="AK126" s="902"/>
      <c r="AL126" s="902"/>
      <c r="AM126" s="919"/>
      <c r="AN126" s="894"/>
      <c r="AO126" s="894"/>
      <c r="AP126" s="894"/>
      <c r="AQ126" s="918"/>
      <c r="AR126" s="903"/>
      <c r="AS126" s="902"/>
      <c r="AT126" s="902"/>
      <c r="AU126" s="902"/>
      <c r="AV126" s="902"/>
      <c r="AW126" s="901"/>
      <c r="AX126" s="894"/>
      <c r="AY126" s="894"/>
      <c r="AZ126" s="894"/>
      <c r="BA126" s="894"/>
      <c r="BB126" s="894"/>
      <c r="BC126" s="894"/>
      <c r="BD126" s="894"/>
      <c r="BE126" s="894"/>
      <c r="BF126" s="894"/>
      <c r="BG126" s="894"/>
      <c r="BH126" s="871"/>
      <c r="BI126" s="871"/>
      <c r="BJ126" s="871"/>
      <c r="BK126" s="871"/>
      <c r="BL126" s="871"/>
      <c r="BM126" s="871"/>
      <c r="BN126" s="871"/>
      <c r="BO126" s="871"/>
      <c r="BP126" s="871"/>
      <c r="BQ126" s="871"/>
      <c r="BR126" s="871"/>
      <c r="BS126" s="871"/>
      <c r="BT126" s="871"/>
      <c r="BU126" s="871"/>
      <c r="BV126" s="871"/>
      <c r="BW126" s="871"/>
      <c r="BX126" s="871"/>
      <c r="BY126" s="871"/>
      <c r="BZ126" s="871"/>
      <c r="CA126" s="871"/>
      <c r="CB126" s="871"/>
      <c r="CC126" s="871"/>
      <c r="CD126" s="888"/>
      <c r="CE126" s="871"/>
      <c r="CF126" s="871"/>
      <c r="CG126" s="871"/>
      <c r="CH126" s="871"/>
      <c r="CI126" s="871"/>
      <c r="CJ126" s="871"/>
      <c r="CK126" s="871"/>
      <c r="CL126" s="871"/>
      <c r="CM126" s="871"/>
      <c r="CN126" s="871"/>
      <c r="CO126" s="871"/>
      <c r="CP126" s="870"/>
      <c r="CQ126" s="869"/>
      <c r="CR126" s="869"/>
      <c r="CS126" s="869"/>
      <c r="CT126" s="869"/>
      <c r="CU126" s="869"/>
      <c r="CV126" s="869"/>
      <c r="CW126" s="869"/>
      <c r="CX126" s="869"/>
      <c r="CY126" s="869"/>
      <c r="CZ126" s="869"/>
      <c r="DA126" s="869"/>
      <c r="DB126" s="869"/>
      <c r="DC126" s="869"/>
      <c r="DD126" s="869"/>
      <c r="DE126" s="869"/>
      <c r="DF126" s="869"/>
      <c r="DG126" s="869"/>
      <c r="DH126" s="869"/>
      <c r="DI126" s="869"/>
      <c r="DJ126" s="869"/>
      <c r="DK126" s="869"/>
      <c r="DL126" s="869"/>
      <c r="DM126" s="869"/>
      <c r="DN126" s="869"/>
      <c r="DO126" s="869"/>
      <c r="DP126" s="869"/>
      <c r="DQ126" s="869"/>
      <c r="DR126" s="868"/>
      <c r="DS126" s="867"/>
      <c r="DT126" s="866"/>
      <c r="DU126" s="866"/>
      <c r="DV126" s="866"/>
      <c r="DW126" s="866"/>
      <c r="DX126" s="866"/>
      <c r="DY126" s="866"/>
      <c r="DZ126" s="866"/>
    </row>
    <row r="127" spans="2:130" ht="6" customHeight="1" thickBot="1">
      <c r="B127" s="889"/>
      <c r="C127" s="4141" t="s">
        <v>1372</v>
      </c>
      <c r="D127" s="4141"/>
      <c r="E127" s="4142"/>
      <c r="F127" s="904"/>
      <c r="G127" s="903"/>
      <c r="H127" s="902"/>
      <c r="I127" s="902"/>
      <c r="J127" s="902"/>
      <c r="K127" s="902"/>
      <c r="L127" s="902"/>
      <c r="M127" s="902"/>
      <c r="N127" s="902"/>
      <c r="O127" s="902"/>
      <c r="P127" s="902"/>
      <c r="Q127" s="902"/>
      <c r="R127" s="902"/>
      <c r="S127" s="902"/>
      <c r="T127" s="902"/>
      <c r="U127" s="902"/>
      <c r="V127" s="902"/>
      <c r="W127" s="902"/>
      <c r="X127" s="902"/>
      <c r="Y127" s="901"/>
      <c r="Z127" s="911"/>
      <c r="AA127" s="4102" t="s">
        <v>1371</v>
      </c>
      <c r="AB127" s="4103"/>
      <c r="AC127" s="4103"/>
      <c r="AD127" s="894"/>
      <c r="AE127" s="4141"/>
      <c r="AF127" s="4141"/>
      <c r="AG127" s="4142"/>
      <c r="AH127" s="917"/>
      <c r="AI127" s="916"/>
      <c r="AJ127" s="915"/>
      <c r="AK127" s="915"/>
      <c r="AL127" s="902"/>
      <c r="AM127" s="914"/>
      <c r="AN127" s="913"/>
      <c r="AO127" s="913"/>
      <c r="AP127" s="913"/>
      <c r="AQ127" s="912"/>
      <c r="AR127" s="903"/>
      <c r="AS127" s="902"/>
      <c r="AT127" s="902"/>
      <c r="AU127" s="902"/>
      <c r="AV127" s="902"/>
      <c r="AW127" s="901"/>
      <c r="AX127" s="894"/>
      <c r="AY127" s="894"/>
      <c r="AZ127" s="894"/>
      <c r="BA127" s="894"/>
      <c r="BB127" s="894"/>
      <c r="BC127" s="894"/>
      <c r="BD127" s="894"/>
      <c r="BE127" s="894"/>
      <c r="BF127" s="894"/>
      <c r="BG127" s="894"/>
      <c r="BH127" s="871"/>
      <c r="BI127" s="871"/>
      <c r="BJ127" s="871"/>
      <c r="BK127" s="871"/>
      <c r="BL127" s="871"/>
      <c r="BM127" s="871"/>
      <c r="BN127" s="871"/>
      <c r="BO127" s="871"/>
      <c r="BP127" s="871"/>
      <c r="BQ127" s="871"/>
      <c r="BR127" s="871"/>
      <c r="BS127" s="871"/>
      <c r="BT127" s="871"/>
      <c r="BU127" s="871"/>
      <c r="BV127" s="871"/>
      <c r="BW127" s="871"/>
      <c r="BX127" s="871"/>
      <c r="BY127" s="871"/>
      <c r="BZ127" s="871"/>
      <c r="CA127" s="871"/>
      <c r="CB127" s="871"/>
      <c r="CC127" s="871"/>
      <c r="CD127" s="888"/>
      <c r="CE127" s="871"/>
      <c r="CF127" s="871"/>
      <c r="CG127" s="871"/>
      <c r="CH127" s="871"/>
      <c r="CI127" s="871"/>
      <c r="CJ127" s="871"/>
      <c r="CK127" s="871"/>
      <c r="CL127" s="871"/>
      <c r="CM127" s="871"/>
      <c r="CN127" s="871"/>
      <c r="CO127" s="871"/>
      <c r="CP127" s="870"/>
      <c r="CQ127" s="869"/>
      <c r="CR127" s="869"/>
      <c r="CS127" s="869"/>
      <c r="CT127" s="869"/>
      <c r="CU127" s="869"/>
      <c r="CV127" s="869"/>
      <c r="CW127" s="869"/>
      <c r="CX127" s="869"/>
      <c r="CY127" s="869"/>
      <c r="CZ127" s="869"/>
      <c r="DA127" s="869"/>
      <c r="DB127" s="869"/>
      <c r="DC127" s="869"/>
      <c r="DD127" s="869"/>
      <c r="DE127" s="869"/>
      <c r="DF127" s="869"/>
      <c r="DG127" s="869"/>
      <c r="DH127" s="869"/>
      <c r="DI127" s="869"/>
      <c r="DJ127" s="869"/>
      <c r="DK127" s="869"/>
      <c r="DL127" s="869"/>
      <c r="DM127" s="869"/>
      <c r="DN127" s="869"/>
      <c r="DO127" s="869"/>
      <c r="DP127" s="869"/>
      <c r="DQ127" s="869"/>
      <c r="DR127" s="868"/>
      <c r="DS127" s="867"/>
      <c r="DT127" s="866"/>
      <c r="DU127" s="866"/>
      <c r="DV127" s="866"/>
      <c r="DW127" s="866"/>
      <c r="DX127" s="866"/>
      <c r="DY127" s="866"/>
      <c r="DZ127" s="866"/>
    </row>
    <row r="128" spans="2:130" ht="6" customHeight="1">
      <c r="B128" s="889"/>
      <c r="C128" s="4141"/>
      <c r="D128" s="4141"/>
      <c r="E128" s="4142"/>
      <c r="F128" s="904"/>
      <c r="G128" s="903"/>
      <c r="H128" s="902"/>
      <c r="I128" s="902"/>
      <c r="J128" s="902"/>
      <c r="K128" s="902"/>
      <c r="L128" s="902"/>
      <c r="M128" s="902"/>
      <c r="N128" s="902"/>
      <c r="O128" s="902"/>
      <c r="P128" s="902"/>
      <c r="Q128" s="902"/>
      <c r="R128" s="902"/>
      <c r="S128" s="902"/>
      <c r="T128" s="902"/>
      <c r="U128" s="902"/>
      <c r="V128" s="902"/>
      <c r="W128" s="902"/>
      <c r="X128" s="902"/>
      <c r="Y128" s="901"/>
      <c r="Z128" s="911"/>
      <c r="AA128" s="4102"/>
      <c r="AB128" s="4103"/>
      <c r="AC128" s="4103"/>
      <c r="AD128" s="894"/>
      <c r="AE128" s="894"/>
      <c r="AF128" s="894"/>
      <c r="AG128" s="910"/>
      <c r="AH128" s="904"/>
      <c r="AI128" s="909"/>
      <c r="AJ128" s="908"/>
      <c r="AK128" s="908"/>
      <c r="AL128" s="902"/>
      <c r="AM128" s="902"/>
      <c r="AN128" s="902"/>
      <c r="AO128" s="902"/>
      <c r="AP128" s="902"/>
      <c r="AQ128" s="902"/>
      <c r="AR128" s="902"/>
      <c r="AS128" s="902"/>
      <c r="AT128" s="902"/>
      <c r="AU128" s="902"/>
      <c r="AV128" s="902"/>
      <c r="AW128" s="901"/>
      <c r="AX128" s="894"/>
      <c r="AY128" s="894"/>
      <c r="AZ128" s="894"/>
      <c r="BA128" s="894"/>
      <c r="BB128" s="894"/>
      <c r="BC128" s="894"/>
      <c r="BD128" s="894"/>
      <c r="BE128" s="894"/>
      <c r="BF128" s="894"/>
      <c r="BG128" s="894"/>
      <c r="BH128" s="871"/>
      <c r="BI128" s="871"/>
      <c r="BJ128" s="871"/>
      <c r="BK128" s="871"/>
      <c r="BL128" s="871"/>
      <c r="BM128" s="871"/>
      <c r="BN128" s="871"/>
      <c r="BO128" s="871"/>
      <c r="BP128" s="871"/>
      <c r="BQ128" s="871"/>
      <c r="BR128" s="871"/>
      <c r="BS128" s="871"/>
      <c r="BT128" s="871"/>
      <c r="BU128" s="871"/>
      <c r="BV128" s="871"/>
      <c r="BW128" s="871"/>
      <c r="BX128" s="871"/>
      <c r="BY128" s="871"/>
      <c r="BZ128" s="871"/>
      <c r="CA128" s="871"/>
      <c r="CB128" s="871"/>
      <c r="CC128" s="871"/>
      <c r="CD128" s="888"/>
      <c r="CE128" s="871"/>
      <c r="CF128" s="871"/>
      <c r="CG128" s="871"/>
      <c r="CH128" s="871"/>
      <c r="CI128" s="871"/>
      <c r="CJ128" s="871"/>
      <c r="CK128" s="871"/>
      <c r="CL128" s="871"/>
      <c r="CM128" s="871"/>
      <c r="CN128" s="871"/>
      <c r="CO128" s="871"/>
      <c r="CP128" s="870"/>
      <c r="CQ128" s="869"/>
      <c r="CR128" s="869"/>
      <c r="CS128" s="869"/>
      <c r="CT128" s="869"/>
      <c r="CU128" s="869"/>
      <c r="CV128" s="869"/>
      <c r="CW128" s="869"/>
      <c r="CX128" s="869"/>
      <c r="CY128" s="869"/>
      <c r="CZ128" s="869"/>
      <c r="DA128" s="869"/>
      <c r="DB128" s="869"/>
      <c r="DC128" s="869"/>
      <c r="DD128" s="869"/>
      <c r="DE128" s="869"/>
      <c r="DF128" s="869"/>
      <c r="DG128" s="869"/>
      <c r="DH128" s="869"/>
      <c r="DI128" s="869"/>
      <c r="DJ128" s="869"/>
      <c r="DK128" s="869"/>
      <c r="DL128" s="869"/>
      <c r="DM128" s="869"/>
      <c r="DN128" s="869"/>
      <c r="DO128" s="869"/>
      <c r="DP128" s="869"/>
      <c r="DQ128" s="869"/>
      <c r="DR128" s="868"/>
      <c r="DS128" s="867"/>
      <c r="DT128" s="866"/>
      <c r="DU128" s="866"/>
      <c r="DV128" s="866"/>
      <c r="DW128" s="866"/>
      <c r="DX128" s="866"/>
      <c r="DY128" s="866"/>
      <c r="DZ128" s="866"/>
    </row>
    <row r="129" spans="2:130" ht="6" customHeight="1" thickBot="1">
      <c r="B129" s="889"/>
      <c r="C129" s="894"/>
      <c r="D129" s="894"/>
      <c r="E129" s="907"/>
      <c r="F129" s="898"/>
      <c r="G129" s="897"/>
      <c r="H129" s="896"/>
      <c r="I129" s="896"/>
      <c r="J129" s="896"/>
      <c r="K129" s="896"/>
      <c r="L129" s="896"/>
      <c r="M129" s="896"/>
      <c r="N129" s="896"/>
      <c r="O129" s="896"/>
      <c r="P129" s="896"/>
      <c r="Q129" s="896"/>
      <c r="R129" s="896"/>
      <c r="S129" s="896"/>
      <c r="T129" s="896"/>
      <c r="U129" s="896"/>
      <c r="V129" s="896"/>
      <c r="W129" s="896"/>
      <c r="X129" s="896"/>
      <c r="Y129" s="895"/>
      <c r="Z129" s="906"/>
      <c r="AA129" s="905"/>
      <c r="AB129" s="894"/>
      <c r="AC129" s="894"/>
      <c r="AD129" s="894"/>
      <c r="AE129" s="4141" t="s">
        <v>1370</v>
      </c>
      <c r="AF129" s="4141"/>
      <c r="AG129" s="4142"/>
      <c r="AH129" s="904"/>
      <c r="AI129" s="903"/>
      <c r="AJ129" s="902"/>
      <c r="AK129" s="902"/>
      <c r="AL129" s="902"/>
      <c r="AM129" s="902"/>
      <c r="AN129" s="902"/>
      <c r="AO129" s="902"/>
      <c r="AP129" s="902"/>
      <c r="AQ129" s="902"/>
      <c r="AR129" s="902"/>
      <c r="AS129" s="902"/>
      <c r="AT129" s="902"/>
      <c r="AU129" s="902"/>
      <c r="AV129" s="902"/>
      <c r="AW129" s="901"/>
      <c r="AX129" s="894"/>
      <c r="AY129" s="894"/>
      <c r="AZ129" s="894"/>
      <c r="BA129" s="894"/>
      <c r="BB129" s="894"/>
      <c r="BC129" s="894"/>
      <c r="BD129" s="894"/>
      <c r="BE129" s="894"/>
      <c r="BF129" s="894"/>
      <c r="BG129" s="894"/>
      <c r="BH129" s="871"/>
      <c r="BI129" s="871"/>
      <c r="BJ129" s="871"/>
      <c r="BK129" s="871"/>
      <c r="BL129" s="871"/>
      <c r="BM129" s="871"/>
      <c r="BN129" s="871"/>
      <c r="BO129" s="871"/>
      <c r="BP129" s="871"/>
      <c r="BQ129" s="871"/>
      <c r="BR129" s="871"/>
      <c r="BS129" s="871"/>
      <c r="BT129" s="871"/>
      <c r="BU129" s="871"/>
      <c r="BV129" s="871"/>
      <c r="BW129" s="871"/>
      <c r="BX129" s="871"/>
      <c r="BY129" s="871"/>
      <c r="BZ129" s="871"/>
      <c r="CA129" s="871"/>
      <c r="CB129" s="871"/>
      <c r="CC129" s="871"/>
      <c r="CD129" s="888"/>
      <c r="CE129" s="871"/>
      <c r="CF129" s="871"/>
      <c r="CG129" s="871"/>
      <c r="CH129" s="871"/>
      <c r="CI129" s="871"/>
      <c r="CJ129" s="871"/>
      <c r="CK129" s="871"/>
      <c r="CL129" s="871"/>
      <c r="CM129" s="871"/>
      <c r="CN129" s="871"/>
      <c r="CO129" s="871"/>
      <c r="CP129" s="870"/>
      <c r="CQ129" s="869"/>
      <c r="CR129" s="869"/>
      <c r="CS129" s="869"/>
      <c r="CT129" s="869"/>
      <c r="CU129" s="869"/>
      <c r="CV129" s="869"/>
      <c r="CW129" s="869"/>
      <c r="CX129" s="869"/>
      <c r="CY129" s="869"/>
      <c r="CZ129" s="869"/>
      <c r="DA129" s="869"/>
      <c r="DB129" s="869"/>
      <c r="DC129" s="869"/>
      <c r="DD129" s="869"/>
      <c r="DE129" s="869"/>
      <c r="DF129" s="869"/>
      <c r="DG129" s="869"/>
      <c r="DH129" s="869"/>
      <c r="DI129" s="869"/>
      <c r="DJ129" s="869"/>
      <c r="DK129" s="869"/>
      <c r="DL129" s="869"/>
      <c r="DM129" s="869"/>
      <c r="DN129" s="869"/>
      <c r="DO129" s="869"/>
      <c r="DP129" s="869"/>
      <c r="DQ129" s="869"/>
      <c r="DR129" s="868"/>
      <c r="DS129" s="867"/>
      <c r="DT129" s="866"/>
      <c r="DU129" s="866"/>
      <c r="DV129" s="866"/>
      <c r="DW129" s="866"/>
      <c r="DX129" s="866"/>
      <c r="DY129" s="866"/>
      <c r="DZ129" s="866"/>
    </row>
    <row r="130" spans="2:130" ht="6" customHeight="1" thickTop="1" thickBot="1">
      <c r="B130" s="889"/>
      <c r="C130" s="894"/>
      <c r="D130" s="894"/>
      <c r="E130" s="894"/>
      <c r="F130" s="900"/>
      <c r="G130" s="899"/>
      <c r="H130" s="894"/>
      <c r="I130" s="894"/>
      <c r="J130" s="894"/>
      <c r="K130" s="894"/>
      <c r="L130" s="894"/>
      <c r="M130" s="894"/>
      <c r="N130" s="894"/>
      <c r="O130" s="894"/>
      <c r="P130" s="894"/>
      <c r="Q130" s="894"/>
      <c r="R130" s="894"/>
      <c r="S130" s="894"/>
      <c r="T130" s="894"/>
      <c r="U130" s="894"/>
      <c r="V130" s="894"/>
      <c r="W130" s="894"/>
      <c r="X130" s="894"/>
      <c r="Y130" s="894"/>
      <c r="Z130" s="894"/>
      <c r="AA130" s="894"/>
      <c r="AB130" s="894"/>
      <c r="AC130" s="894"/>
      <c r="AD130" s="894"/>
      <c r="AE130" s="4141"/>
      <c r="AF130" s="4141"/>
      <c r="AG130" s="4142"/>
      <c r="AH130" s="898"/>
      <c r="AI130" s="897"/>
      <c r="AJ130" s="896"/>
      <c r="AK130" s="896"/>
      <c r="AL130" s="896"/>
      <c r="AM130" s="896"/>
      <c r="AN130" s="896"/>
      <c r="AO130" s="896"/>
      <c r="AP130" s="896"/>
      <c r="AQ130" s="896"/>
      <c r="AR130" s="896"/>
      <c r="AS130" s="896"/>
      <c r="AT130" s="896"/>
      <c r="AU130" s="896"/>
      <c r="AV130" s="896"/>
      <c r="AW130" s="895"/>
      <c r="AX130" s="894"/>
      <c r="AY130" s="894"/>
      <c r="AZ130" s="894"/>
      <c r="BA130" s="894"/>
      <c r="BB130" s="894"/>
      <c r="BC130" s="894"/>
      <c r="BD130" s="894"/>
      <c r="BE130" s="894"/>
      <c r="BF130" s="894"/>
      <c r="BG130" s="894"/>
      <c r="BH130" s="871"/>
      <c r="BI130" s="871"/>
      <c r="BJ130" s="871"/>
      <c r="BK130" s="871"/>
      <c r="BL130" s="871"/>
      <c r="BM130" s="871"/>
      <c r="BN130" s="871"/>
      <c r="BO130" s="871"/>
      <c r="BP130" s="871"/>
      <c r="BQ130" s="871"/>
      <c r="BR130" s="871"/>
      <c r="BS130" s="871"/>
      <c r="BT130" s="871"/>
      <c r="BU130" s="871"/>
      <c r="BV130" s="871"/>
      <c r="BW130" s="871"/>
      <c r="BX130" s="871"/>
      <c r="BY130" s="871"/>
      <c r="BZ130" s="871"/>
      <c r="CA130" s="871"/>
      <c r="CB130" s="871"/>
      <c r="CC130" s="871"/>
      <c r="CD130" s="888"/>
      <c r="CE130" s="871"/>
      <c r="CF130" s="871"/>
      <c r="CG130" s="871"/>
      <c r="CH130" s="871"/>
      <c r="CI130" s="871"/>
      <c r="CJ130" s="871"/>
      <c r="CK130" s="871"/>
      <c r="CL130" s="871"/>
      <c r="CM130" s="871"/>
      <c r="CN130" s="871"/>
      <c r="CO130" s="871"/>
      <c r="CP130" s="870"/>
      <c r="CQ130" s="869"/>
      <c r="CR130" s="869"/>
      <c r="CS130" s="869"/>
      <c r="CT130" s="869"/>
      <c r="CU130" s="869"/>
      <c r="CV130" s="869"/>
      <c r="CW130" s="869"/>
      <c r="CX130" s="869"/>
      <c r="CY130" s="869"/>
      <c r="CZ130" s="869"/>
      <c r="DA130" s="869"/>
      <c r="DB130" s="869"/>
      <c r="DC130" s="869"/>
      <c r="DD130" s="869"/>
      <c r="DE130" s="869"/>
      <c r="DF130" s="869"/>
      <c r="DG130" s="869"/>
      <c r="DH130" s="869"/>
      <c r="DI130" s="869"/>
      <c r="DJ130" s="869"/>
      <c r="DK130" s="869"/>
      <c r="DL130" s="869"/>
      <c r="DM130" s="869"/>
      <c r="DN130" s="869"/>
      <c r="DO130" s="869"/>
      <c r="DP130" s="869"/>
      <c r="DQ130" s="869"/>
      <c r="DR130" s="868"/>
      <c r="DS130" s="867"/>
      <c r="DT130" s="866"/>
      <c r="DU130" s="866"/>
      <c r="DV130" s="866"/>
      <c r="DW130" s="866"/>
      <c r="DX130" s="866"/>
      <c r="DY130" s="866"/>
      <c r="DZ130" s="866"/>
    </row>
    <row r="131" spans="2:130" ht="6" customHeight="1" thickTop="1">
      <c r="B131" s="889"/>
      <c r="C131" s="871"/>
      <c r="D131" s="871"/>
      <c r="E131" s="871"/>
      <c r="F131" s="871"/>
      <c r="G131" s="871"/>
      <c r="H131" s="871"/>
      <c r="I131" s="871"/>
      <c r="J131" s="871"/>
      <c r="K131" s="871"/>
      <c r="L131" s="871"/>
      <c r="M131" s="871"/>
      <c r="N131" s="871"/>
      <c r="O131" s="871"/>
      <c r="P131" s="871"/>
      <c r="Q131" s="871"/>
      <c r="R131" s="871"/>
      <c r="S131" s="871"/>
      <c r="T131" s="871"/>
      <c r="U131" s="871"/>
      <c r="V131" s="871"/>
      <c r="W131" s="871"/>
      <c r="X131" s="871"/>
      <c r="Y131" s="871"/>
      <c r="Z131" s="871"/>
      <c r="AA131" s="871"/>
      <c r="AB131" s="871"/>
      <c r="AC131" s="871"/>
      <c r="AD131" s="871"/>
      <c r="AE131" s="871"/>
      <c r="AF131" s="871"/>
      <c r="AG131" s="893"/>
      <c r="AH131" s="892"/>
      <c r="AI131" s="891"/>
      <c r="AJ131" s="871"/>
      <c r="AK131" s="871"/>
      <c r="AL131" s="871"/>
      <c r="AM131" s="871"/>
      <c r="AN131" s="871"/>
      <c r="AO131" s="871"/>
      <c r="AP131" s="871"/>
      <c r="AQ131" s="871"/>
      <c r="AR131" s="871"/>
      <c r="AS131" s="871"/>
      <c r="AT131" s="871"/>
      <c r="AU131" s="871"/>
      <c r="AV131" s="871"/>
      <c r="AW131" s="871"/>
      <c r="AX131" s="871"/>
      <c r="AY131" s="871"/>
      <c r="AZ131" s="871"/>
      <c r="BA131" s="871"/>
      <c r="BB131" s="871"/>
      <c r="BC131" s="871"/>
      <c r="BD131" s="871"/>
      <c r="BE131" s="871"/>
      <c r="BF131" s="871"/>
      <c r="BG131" s="871"/>
      <c r="BH131" s="871"/>
      <c r="BI131" s="871"/>
      <c r="BJ131" s="871"/>
      <c r="BK131" s="871"/>
      <c r="BL131" s="871"/>
      <c r="BM131" s="871"/>
      <c r="BN131" s="871"/>
      <c r="BO131" s="871"/>
      <c r="BP131" s="871"/>
      <c r="BQ131" s="871"/>
      <c r="BR131" s="871"/>
      <c r="BS131" s="871"/>
      <c r="BT131" s="871"/>
      <c r="BU131" s="871"/>
      <c r="BV131" s="871"/>
      <c r="BW131" s="871"/>
      <c r="BX131" s="871"/>
      <c r="BY131" s="871"/>
      <c r="BZ131" s="871"/>
      <c r="CA131" s="871"/>
      <c r="CB131" s="871"/>
      <c r="CC131" s="871"/>
      <c r="CD131" s="888"/>
      <c r="CE131" s="871"/>
      <c r="CF131" s="871"/>
      <c r="CG131" s="871"/>
      <c r="CH131" s="871"/>
      <c r="CI131" s="871"/>
      <c r="CJ131" s="871"/>
      <c r="CK131" s="871"/>
      <c r="CL131" s="871"/>
      <c r="CM131" s="871"/>
      <c r="CN131" s="871"/>
      <c r="CO131" s="871"/>
      <c r="CP131" s="870"/>
      <c r="CQ131" s="869"/>
      <c r="CR131" s="869"/>
      <c r="CS131" s="869"/>
      <c r="CT131" s="869"/>
      <c r="CU131" s="869"/>
      <c r="CV131" s="869"/>
      <c r="CW131" s="869"/>
      <c r="CX131" s="869"/>
      <c r="CY131" s="869"/>
      <c r="CZ131" s="869"/>
      <c r="DA131" s="869"/>
      <c r="DB131" s="869"/>
      <c r="DC131" s="869"/>
      <c r="DD131" s="869"/>
      <c r="DE131" s="869"/>
      <c r="DF131" s="869"/>
      <c r="DG131" s="869"/>
      <c r="DH131" s="869"/>
      <c r="DI131" s="869"/>
      <c r="DJ131" s="869"/>
      <c r="DK131" s="869"/>
      <c r="DL131" s="869"/>
      <c r="DM131" s="869"/>
      <c r="DN131" s="869"/>
      <c r="DO131" s="869"/>
      <c r="DP131" s="869"/>
      <c r="DQ131" s="869"/>
      <c r="DR131" s="868"/>
      <c r="DS131" s="867"/>
      <c r="DT131" s="866"/>
      <c r="DU131" s="866"/>
      <c r="DV131" s="866"/>
      <c r="DW131" s="866"/>
      <c r="DX131" s="866"/>
      <c r="DY131" s="866"/>
      <c r="DZ131" s="866"/>
    </row>
    <row r="132" spans="2:130" ht="7.5" customHeight="1">
      <c r="B132" s="889"/>
      <c r="C132" s="871"/>
      <c r="D132" s="871"/>
      <c r="E132" s="871"/>
      <c r="F132" s="890" t="s">
        <v>1369</v>
      </c>
      <c r="G132" s="873"/>
      <c r="H132" s="873"/>
      <c r="I132" s="873"/>
      <c r="J132" s="873"/>
      <c r="K132" s="873"/>
      <c r="L132" s="873"/>
      <c r="M132" s="873"/>
      <c r="N132" s="873"/>
      <c r="O132" s="873"/>
      <c r="P132" s="873"/>
      <c r="Q132" s="873"/>
      <c r="R132" s="873"/>
      <c r="S132" s="873"/>
      <c r="T132" s="873"/>
      <c r="U132" s="873"/>
      <c r="V132" s="873"/>
      <c r="W132" s="873"/>
      <c r="X132" s="873"/>
      <c r="Y132" s="873"/>
      <c r="Z132" s="873"/>
      <c r="AA132" s="873"/>
      <c r="AB132" s="873"/>
      <c r="AC132" s="873"/>
      <c r="AD132" s="873"/>
      <c r="AE132" s="873"/>
      <c r="AF132" s="873"/>
      <c r="AG132" s="873"/>
      <c r="AH132" s="873"/>
      <c r="AI132" s="873"/>
      <c r="AJ132" s="873"/>
      <c r="AK132" s="873"/>
      <c r="AL132" s="872"/>
      <c r="AM132" s="872"/>
      <c r="AN132" s="872"/>
      <c r="AO132" s="872"/>
      <c r="AP132" s="872"/>
      <c r="AQ132" s="872"/>
      <c r="AR132" s="872"/>
      <c r="AS132" s="872"/>
      <c r="AT132" s="872"/>
      <c r="AU132" s="872"/>
      <c r="AV132" s="872"/>
      <c r="AW132" s="872"/>
      <c r="AX132" s="871"/>
      <c r="AY132" s="871"/>
      <c r="AZ132" s="871"/>
      <c r="BA132" s="871"/>
      <c r="BB132" s="871"/>
      <c r="BC132" s="871"/>
      <c r="BD132" s="871"/>
      <c r="BE132" s="871"/>
      <c r="BF132" s="871"/>
      <c r="BG132" s="871"/>
      <c r="BH132" s="871"/>
      <c r="BI132" s="871"/>
      <c r="BJ132" s="871"/>
      <c r="BK132" s="871"/>
      <c r="BL132" s="871"/>
      <c r="BM132" s="871"/>
      <c r="BN132" s="871"/>
      <c r="BO132" s="871"/>
      <c r="BP132" s="871"/>
      <c r="BQ132" s="871"/>
      <c r="BR132" s="871"/>
      <c r="BS132" s="871"/>
      <c r="BT132" s="871"/>
      <c r="BU132" s="871"/>
      <c r="BV132" s="871"/>
      <c r="BW132" s="871"/>
      <c r="BX132" s="871"/>
      <c r="BY132" s="871"/>
      <c r="BZ132" s="871"/>
      <c r="CA132" s="871"/>
      <c r="CB132" s="871"/>
      <c r="CC132" s="871"/>
      <c r="CD132" s="888"/>
      <c r="CE132" s="871"/>
      <c r="CF132" s="871"/>
      <c r="CG132" s="871"/>
      <c r="CH132" s="871"/>
      <c r="CI132" s="871"/>
      <c r="CJ132" s="871"/>
      <c r="CK132" s="871"/>
      <c r="CL132" s="871"/>
      <c r="CM132" s="871"/>
      <c r="CN132" s="871"/>
      <c r="CO132" s="871"/>
      <c r="CP132" s="870"/>
      <c r="CQ132" s="869"/>
      <c r="CR132" s="869"/>
      <c r="CS132" s="869"/>
      <c r="CT132" s="869"/>
      <c r="CU132" s="869"/>
      <c r="CV132" s="869"/>
      <c r="CW132" s="869"/>
      <c r="CX132" s="869"/>
      <c r="CY132" s="869"/>
      <c r="CZ132" s="869"/>
      <c r="DA132" s="869"/>
      <c r="DB132" s="869"/>
      <c r="DC132" s="869"/>
      <c r="DD132" s="869"/>
      <c r="DE132" s="869"/>
      <c r="DF132" s="869"/>
      <c r="DG132" s="869"/>
      <c r="DH132" s="869"/>
      <c r="DI132" s="869"/>
      <c r="DJ132" s="869"/>
      <c r="DK132" s="869"/>
      <c r="DL132" s="869"/>
      <c r="DM132" s="869"/>
      <c r="DN132" s="869"/>
      <c r="DO132" s="869"/>
      <c r="DP132" s="869"/>
      <c r="DQ132" s="869"/>
      <c r="DR132" s="868"/>
      <c r="DS132" s="867"/>
      <c r="DT132" s="866"/>
      <c r="DU132" s="866"/>
      <c r="DV132" s="866"/>
      <c r="DW132" s="866"/>
      <c r="DX132" s="866"/>
      <c r="DY132" s="866"/>
      <c r="DZ132" s="866"/>
    </row>
    <row r="133" spans="2:130" ht="7.5" customHeight="1">
      <c r="B133" s="889"/>
      <c r="C133" s="871"/>
      <c r="D133" s="871"/>
      <c r="E133" s="871"/>
      <c r="F133" s="874" t="s">
        <v>1368</v>
      </c>
      <c r="G133" s="873"/>
      <c r="H133" s="873"/>
      <c r="I133" s="873"/>
      <c r="J133" s="873"/>
      <c r="K133" s="873"/>
      <c r="L133" s="873"/>
      <c r="M133" s="873"/>
      <c r="N133" s="873"/>
      <c r="O133" s="873"/>
      <c r="P133" s="873"/>
      <c r="Q133" s="873"/>
      <c r="R133" s="873"/>
      <c r="S133" s="873"/>
      <c r="T133" s="873"/>
      <c r="U133" s="873"/>
      <c r="V133" s="873"/>
      <c r="W133" s="873"/>
      <c r="X133" s="873"/>
      <c r="Y133" s="873"/>
      <c r="Z133" s="873"/>
      <c r="AA133" s="873"/>
      <c r="AB133" s="873"/>
      <c r="AC133" s="873"/>
      <c r="AD133" s="873"/>
      <c r="AE133" s="873"/>
      <c r="AF133" s="873"/>
      <c r="AG133" s="873"/>
      <c r="AH133" s="890" t="s">
        <v>1367</v>
      </c>
      <c r="AI133" s="873"/>
      <c r="AJ133" s="873"/>
      <c r="AK133" s="873"/>
      <c r="AL133" s="872"/>
      <c r="AM133" s="872"/>
      <c r="AN133" s="872"/>
      <c r="AO133" s="872"/>
      <c r="AP133" s="872"/>
      <c r="AQ133" s="872"/>
      <c r="AR133" s="872"/>
      <c r="AS133" s="872"/>
      <c r="AT133" s="872"/>
      <c r="AU133" s="872"/>
      <c r="AV133" s="872"/>
      <c r="AW133" s="872"/>
      <c r="AX133" s="871"/>
      <c r="AY133" s="871"/>
      <c r="AZ133" s="871"/>
      <c r="BA133" s="871"/>
      <c r="BB133" s="871"/>
      <c r="BC133" s="871"/>
      <c r="BD133" s="871"/>
      <c r="BE133" s="871"/>
      <c r="BF133" s="871"/>
      <c r="BG133" s="871"/>
      <c r="BH133" s="871"/>
      <c r="BI133" s="871"/>
      <c r="BJ133" s="871"/>
      <c r="BK133" s="871"/>
      <c r="BL133" s="871"/>
      <c r="BM133" s="871"/>
      <c r="BN133" s="871"/>
      <c r="BO133" s="871"/>
      <c r="BP133" s="871"/>
      <c r="BQ133" s="871"/>
      <c r="BR133" s="871"/>
      <c r="BS133" s="871"/>
      <c r="BT133" s="871"/>
      <c r="BU133" s="871"/>
      <c r="BV133" s="871"/>
      <c r="BW133" s="871"/>
      <c r="BX133" s="871"/>
      <c r="BY133" s="871"/>
      <c r="BZ133" s="871"/>
      <c r="CA133" s="871"/>
      <c r="CB133" s="871"/>
      <c r="CC133" s="871"/>
      <c r="CD133" s="888"/>
      <c r="CE133" s="871"/>
      <c r="CF133" s="871"/>
      <c r="CG133" s="871"/>
      <c r="CH133" s="871"/>
      <c r="CI133" s="871"/>
      <c r="CJ133" s="871"/>
      <c r="CK133" s="871"/>
      <c r="CL133" s="871"/>
      <c r="CM133" s="871"/>
      <c r="CN133" s="871"/>
      <c r="CO133" s="871"/>
      <c r="CP133" s="870"/>
      <c r="CQ133" s="869"/>
      <c r="CR133" s="869"/>
      <c r="CS133" s="869"/>
      <c r="CT133" s="869"/>
      <c r="CU133" s="869"/>
      <c r="CV133" s="869"/>
      <c r="CW133" s="869"/>
      <c r="CX133" s="869"/>
      <c r="CY133" s="869"/>
      <c r="CZ133" s="869"/>
      <c r="DA133" s="869"/>
      <c r="DB133" s="869"/>
      <c r="DC133" s="869"/>
      <c r="DD133" s="869"/>
      <c r="DE133" s="869"/>
      <c r="DF133" s="869"/>
      <c r="DG133" s="869"/>
      <c r="DH133" s="869"/>
      <c r="DI133" s="869"/>
      <c r="DJ133" s="869"/>
      <c r="DK133" s="869"/>
      <c r="DL133" s="869"/>
      <c r="DM133" s="869"/>
      <c r="DN133" s="869"/>
      <c r="DO133" s="869"/>
      <c r="DP133" s="869"/>
      <c r="DQ133" s="869"/>
      <c r="DR133" s="868"/>
      <c r="DS133" s="867"/>
      <c r="DT133" s="866"/>
      <c r="DU133" s="866"/>
      <c r="DV133" s="866"/>
      <c r="DW133" s="866"/>
      <c r="DX133" s="866"/>
      <c r="DY133" s="866"/>
      <c r="DZ133" s="866"/>
    </row>
    <row r="134" spans="2:130" ht="7.5" customHeight="1">
      <c r="B134" s="889"/>
      <c r="C134" s="871"/>
      <c r="D134" s="871"/>
      <c r="E134" s="871"/>
      <c r="F134" s="874" t="s">
        <v>1366</v>
      </c>
      <c r="G134" s="873"/>
      <c r="H134" s="873"/>
      <c r="I134" s="873"/>
      <c r="J134" s="873"/>
      <c r="K134" s="873"/>
      <c r="L134" s="873"/>
      <c r="M134" s="873"/>
      <c r="N134" s="873"/>
      <c r="O134" s="873"/>
      <c r="P134" s="873"/>
      <c r="Q134" s="873"/>
      <c r="R134" s="873"/>
      <c r="S134" s="873"/>
      <c r="T134" s="873"/>
      <c r="U134" s="873"/>
      <c r="V134" s="873"/>
      <c r="W134" s="873"/>
      <c r="X134" s="873"/>
      <c r="Y134" s="873"/>
      <c r="Z134" s="873"/>
      <c r="AA134" s="873"/>
      <c r="AB134" s="873"/>
      <c r="AC134" s="873"/>
      <c r="AD134" s="873"/>
      <c r="AE134" s="873"/>
      <c r="AF134" s="873"/>
      <c r="AG134" s="873"/>
      <c r="AH134" s="874" t="s">
        <v>1365</v>
      </c>
      <c r="AI134" s="873"/>
      <c r="AJ134" s="873"/>
      <c r="AK134" s="873"/>
      <c r="AL134" s="872"/>
      <c r="AM134" s="872"/>
      <c r="AN134" s="872"/>
      <c r="AO134" s="872"/>
      <c r="AP134" s="872"/>
      <c r="AQ134" s="872"/>
      <c r="AR134" s="872"/>
      <c r="AS134" s="872"/>
      <c r="AT134" s="872"/>
      <c r="AU134" s="872"/>
      <c r="AV134" s="872"/>
      <c r="AW134" s="872"/>
      <c r="AX134" s="871"/>
      <c r="AY134" s="871"/>
      <c r="AZ134" s="871"/>
      <c r="BA134" s="871"/>
      <c r="BB134" s="871"/>
      <c r="BC134" s="871"/>
      <c r="BD134" s="871"/>
      <c r="BE134" s="871"/>
      <c r="BF134" s="871"/>
      <c r="BG134" s="871"/>
      <c r="BH134" s="871"/>
      <c r="BI134" s="871"/>
      <c r="BJ134" s="871"/>
      <c r="BK134" s="871"/>
      <c r="BL134" s="871"/>
      <c r="BM134" s="871"/>
      <c r="BN134" s="871"/>
      <c r="BO134" s="871"/>
      <c r="BP134" s="871"/>
      <c r="BQ134" s="871"/>
      <c r="BR134" s="871"/>
      <c r="BS134" s="871"/>
      <c r="BT134" s="871"/>
      <c r="BU134" s="871"/>
      <c r="BV134" s="871"/>
      <c r="BW134" s="871"/>
      <c r="BX134" s="871"/>
      <c r="BY134" s="871"/>
      <c r="BZ134" s="871"/>
      <c r="CA134" s="871"/>
      <c r="CB134" s="871"/>
      <c r="CC134" s="871"/>
      <c r="CD134" s="888"/>
      <c r="CE134" s="871"/>
      <c r="CF134" s="871"/>
      <c r="CG134" s="871"/>
      <c r="CH134" s="871"/>
      <c r="CI134" s="871"/>
      <c r="CJ134" s="871"/>
      <c r="CK134" s="871"/>
      <c r="CL134" s="871"/>
      <c r="CM134" s="871"/>
      <c r="CN134" s="871"/>
      <c r="CO134" s="871"/>
      <c r="CP134" s="870"/>
      <c r="CQ134" s="869"/>
      <c r="CR134" s="869"/>
      <c r="CS134" s="869"/>
      <c r="CT134" s="869"/>
      <c r="CU134" s="869"/>
      <c r="CV134" s="869"/>
      <c r="CW134" s="869"/>
      <c r="CX134" s="869"/>
      <c r="CY134" s="869"/>
      <c r="CZ134" s="869"/>
      <c r="DA134" s="869"/>
      <c r="DB134" s="869"/>
      <c r="DC134" s="869"/>
      <c r="DD134" s="869"/>
      <c r="DE134" s="869"/>
      <c r="DF134" s="869"/>
      <c r="DG134" s="869"/>
      <c r="DH134" s="869"/>
      <c r="DI134" s="869"/>
      <c r="DJ134" s="869"/>
      <c r="DK134" s="869"/>
      <c r="DL134" s="869"/>
      <c r="DM134" s="869"/>
      <c r="DN134" s="869"/>
      <c r="DO134" s="869"/>
      <c r="DP134" s="869"/>
      <c r="DQ134" s="869"/>
      <c r="DR134" s="868"/>
      <c r="DS134" s="867"/>
      <c r="DT134" s="866"/>
      <c r="DU134" s="866"/>
      <c r="DV134" s="866"/>
      <c r="DW134" s="866"/>
      <c r="DX134" s="866"/>
      <c r="DY134" s="866"/>
      <c r="DZ134" s="866"/>
    </row>
    <row r="135" spans="2:130" ht="7.5" customHeight="1">
      <c r="B135" s="887"/>
      <c r="C135" s="883"/>
      <c r="D135" s="883"/>
      <c r="E135" s="883"/>
      <c r="F135" s="886"/>
      <c r="G135" s="885"/>
      <c r="H135" s="885"/>
      <c r="I135" s="885"/>
      <c r="J135" s="885"/>
      <c r="K135" s="885"/>
      <c r="L135" s="885"/>
      <c r="M135" s="885"/>
      <c r="N135" s="885"/>
      <c r="O135" s="885"/>
      <c r="P135" s="885"/>
      <c r="Q135" s="885"/>
      <c r="R135" s="885"/>
      <c r="S135" s="885"/>
      <c r="T135" s="885"/>
      <c r="U135" s="885"/>
      <c r="V135" s="885"/>
      <c r="W135" s="885"/>
      <c r="X135" s="885"/>
      <c r="Y135" s="885"/>
      <c r="Z135" s="885"/>
      <c r="AA135" s="885"/>
      <c r="AB135" s="885"/>
      <c r="AC135" s="885"/>
      <c r="AD135" s="885"/>
      <c r="AE135" s="885"/>
      <c r="AF135" s="885"/>
      <c r="AG135" s="885"/>
      <c r="AH135" s="886"/>
      <c r="AI135" s="885"/>
      <c r="AJ135" s="885"/>
      <c r="AK135" s="885"/>
      <c r="AL135" s="884"/>
      <c r="AM135" s="884"/>
      <c r="AN135" s="884"/>
      <c r="AO135" s="884"/>
      <c r="AP135" s="884"/>
      <c r="AQ135" s="884"/>
      <c r="AR135" s="884"/>
      <c r="AS135" s="884"/>
      <c r="AT135" s="884"/>
      <c r="AU135" s="884"/>
      <c r="AV135" s="884"/>
      <c r="AW135" s="884"/>
      <c r="AX135" s="883"/>
      <c r="AY135" s="883"/>
      <c r="AZ135" s="883"/>
      <c r="BA135" s="883"/>
      <c r="BB135" s="883"/>
      <c r="BC135" s="883"/>
      <c r="BD135" s="883"/>
      <c r="BE135" s="883"/>
      <c r="BF135" s="883"/>
      <c r="BG135" s="883"/>
      <c r="BH135" s="883"/>
      <c r="BI135" s="883"/>
      <c r="BJ135" s="883"/>
      <c r="BK135" s="883"/>
      <c r="BL135" s="883"/>
      <c r="BM135" s="883"/>
      <c r="BN135" s="883"/>
      <c r="BO135" s="883"/>
      <c r="BP135" s="883"/>
      <c r="BQ135" s="883"/>
      <c r="BR135" s="883"/>
      <c r="BS135" s="883"/>
      <c r="BT135" s="883"/>
      <c r="BU135" s="883"/>
      <c r="BV135" s="883"/>
      <c r="BW135" s="883"/>
      <c r="BX135" s="883"/>
      <c r="BY135" s="883"/>
      <c r="BZ135" s="883"/>
      <c r="CA135" s="883"/>
      <c r="CB135" s="883"/>
      <c r="CC135" s="883"/>
      <c r="CD135" s="882"/>
      <c r="CE135" s="871"/>
      <c r="CF135" s="871"/>
      <c r="CG135" s="871"/>
      <c r="CH135" s="871"/>
      <c r="CI135" s="871"/>
      <c r="CJ135" s="871"/>
      <c r="CK135" s="871"/>
      <c r="CL135" s="871"/>
      <c r="CM135" s="871"/>
      <c r="CN135" s="871"/>
      <c r="CO135" s="871"/>
      <c r="CP135" s="881"/>
      <c r="CQ135" s="880"/>
      <c r="CR135" s="880"/>
      <c r="CS135" s="880"/>
      <c r="CT135" s="880"/>
      <c r="CU135" s="880"/>
      <c r="CV135" s="880"/>
      <c r="CW135" s="880"/>
      <c r="CX135" s="880"/>
      <c r="CY135" s="880"/>
      <c r="CZ135" s="880"/>
      <c r="DA135" s="880"/>
      <c r="DB135" s="880"/>
      <c r="DC135" s="880"/>
      <c r="DD135" s="880"/>
      <c r="DE135" s="880"/>
      <c r="DF135" s="880"/>
      <c r="DG135" s="880"/>
      <c r="DH135" s="880"/>
      <c r="DI135" s="880"/>
      <c r="DJ135" s="880"/>
      <c r="DK135" s="880"/>
      <c r="DL135" s="880"/>
      <c r="DM135" s="880"/>
      <c r="DN135" s="880"/>
      <c r="DO135" s="880"/>
      <c r="DP135" s="880"/>
      <c r="DQ135" s="880"/>
      <c r="DR135" s="879"/>
      <c r="DS135" s="867"/>
      <c r="DT135" s="866"/>
      <c r="DU135" s="866"/>
      <c r="DV135" s="866"/>
      <c r="DW135" s="866"/>
      <c r="DX135" s="866"/>
      <c r="DY135" s="866"/>
      <c r="DZ135" s="866"/>
    </row>
    <row r="136" spans="2:130" ht="7.5" customHeight="1">
      <c r="B136" s="878"/>
      <c r="C136" s="871"/>
      <c r="D136" s="871"/>
      <c r="E136" s="871"/>
      <c r="F136" s="874"/>
      <c r="G136" s="873"/>
      <c r="H136" s="873"/>
      <c r="I136" s="873"/>
      <c r="J136" s="873"/>
      <c r="K136" s="873"/>
      <c r="L136" s="873"/>
      <c r="M136" s="873"/>
      <c r="N136" s="873"/>
      <c r="O136" s="873"/>
      <c r="P136" s="873"/>
      <c r="Q136" s="873"/>
      <c r="R136" s="873"/>
      <c r="S136" s="873"/>
      <c r="T136" s="873"/>
      <c r="U136" s="873"/>
      <c r="V136" s="873"/>
      <c r="W136" s="873"/>
      <c r="X136" s="873"/>
      <c r="Y136" s="873"/>
      <c r="Z136" s="873"/>
      <c r="AA136" s="873"/>
      <c r="AB136" s="873"/>
      <c r="AC136" s="873"/>
      <c r="AD136" s="873"/>
      <c r="AE136" s="873"/>
      <c r="AF136" s="873"/>
      <c r="AG136" s="873"/>
      <c r="AH136" s="874"/>
      <c r="AI136" s="873"/>
      <c r="AJ136" s="873"/>
      <c r="AK136" s="873"/>
      <c r="AL136" s="872"/>
      <c r="AM136" s="872"/>
      <c r="AN136" s="872"/>
      <c r="AO136" s="872"/>
      <c r="AP136" s="872"/>
      <c r="AQ136" s="872"/>
      <c r="AR136" s="872"/>
      <c r="AS136" s="872"/>
      <c r="AT136" s="872"/>
      <c r="AU136" s="872"/>
      <c r="AV136" s="872"/>
      <c r="AW136" s="872"/>
      <c r="AX136" s="871"/>
      <c r="AY136" s="871"/>
      <c r="AZ136" s="871"/>
      <c r="BA136" s="871"/>
      <c r="BB136" s="871"/>
      <c r="BC136" s="871"/>
      <c r="BD136" s="871"/>
      <c r="BE136" s="871"/>
      <c r="BF136" s="871"/>
      <c r="BG136" s="871"/>
      <c r="BH136" s="871"/>
      <c r="BI136" s="871"/>
      <c r="BJ136" s="871"/>
      <c r="BK136" s="871"/>
      <c r="BL136" s="871"/>
      <c r="BM136" s="871"/>
      <c r="BN136" s="871"/>
      <c r="BO136" s="871"/>
      <c r="BP136" s="871"/>
      <c r="BQ136" s="871"/>
      <c r="BR136" s="871"/>
      <c r="BS136" s="871"/>
      <c r="BT136" s="871"/>
      <c r="BU136" s="871"/>
      <c r="BV136" s="871"/>
      <c r="BW136" s="871"/>
      <c r="BX136" s="871"/>
      <c r="BY136" s="871"/>
      <c r="BZ136" s="871"/>
      <c r="CA136" s="871"/>
      <c r="CB136" s="871"/>
      <c r="CC136" s="871"/>
      <c r="CD136" s="871"/>
      <c r="CE136" s="871"/>
      <c r="CF136" s="871"/>
      <c r="CG136" s="871"/>
      <c r="CH136" s="871"/>
      <c r="CI136" s="871"/>
      <c r="CJ136" s="871"/>
      <c r="CK136" s="871"/>
      <c r="CL136" s="871"/>
      <c r="CM136" s="871"/>
      <c r="CN136" s="871"/>
      <c r="CO136" s="871"/>
      <c r="CP136" s="877"/>
      <c r="CQ136" s="876"/>
      <c r="CR136" s="876"/>
      <c r="CS136" s="876"/>
      <c r="CT136" s="876"/>
      <c r="CU136" s="876"/>
      <c r="CV136" s="876"/>
      <c r="CW136" s="876"/>
      <c r="CX136" s="876"/>
      <c r="CY136" s="876"/>
      <c r="CZ136" s="876"/>
      <c r="DA136" s="876"/>
      <c r="DB136" s="876"/>
      <c r="DC136" s="876"/>
      <c r="DD136" s="876"/>
      <c r="DE136" s="876"/>
      <c r="DF136" s="876"/>
      <c r="DG136" s="876"/>
      <c r="DH136" s="876"/>
      <c r="DI136" s="876"/>
      <c r="DJ136" s="876"/>
      <c r="DK136" s="876"/>
      <c r="DL136" s="876"/>
      <c r="DM136" s="876"/>
      <c r="DN136" s="876"/>
      <c r="DO136" s="876"/>
      <c r="DP136" s="876"/>
      <c r="DQ136" s="876"/>
      <c r="DR136" s="875"/>
      <c r="DS136" s="867"/>
      <c r="DT136" s="866"/>
      <c r="DU136" s="866"/>
      <c r="DV136" s="866"/>
      <c r="DW136" s="866"/>
      <c r="DX136" s="866"/>
      <c r="DY136" s="866"/>
      <c r="DZ136" s="866"/>
    </row>
    <row r="137" spans="2:130" ht="7.5" customHeight="1">
      <c r="B137" s="871"/>
      <c r="C137" s="871"/>
      <c r="D137" s="871"/>
      <c r="E137" s="871"/>
      <c r="F137" s="874"/>
      <c r="G137" s="873"/>
      <c r="H137" s="873"/>
      <c r="I137" s="873"/>
      <c r="J137" s="873"/>
      <c r="K137" s="873"/>
      <c r="L137" s="873"/>
      <c r="M137" s="873"/>
      <c r="N137" s="873"/>
      <c r="O137" s="873"/>
      <c r="P137" s="873"/>
      <c r="Q137" s="873"/>
      <c r="R137" s="873"/>
      <c r="S137" s="873"/>
      <c r="T137" s="873"/>
      <c r="U137" s="873"/>
      <c r="V137" s="873"/>
      <c r="W137" s="873"/>
      <c r="X137" s="873"/>
      <c r="Y137" s="873"/>
      <c r="Z137" s="873"/>
      <c r="AA137" s="873"/>
      <c r="AB137" s="873"/>
      <c r="AC137" s="873"/>
      <c r="AD137" s="873"/>
      <c r="AE137" s="873"/>
      <c r="AF137" s="873"/>
      <c r="AG137" s="873"/>
      <c r="AH137" s="874"/>
      <c r="AI137" s="873"/>
      <c r="AJ137" s="873"/>
      <c r="AK137" s="873"/>
      <c r="AL137" s="872"/>
      <c r="AM137" s="872"/>
      <c r="AN137" s="872"/>
      <c r="AO137" s="872"/>
      <c r="AP137" s="872"/>
      <c r="AQ137" s="872"/>
      <c r="AR137" s="872"/>
      <c r="AS137" s="872"/>
      <c r="AT137" s="872"/>
      <c r="AU137" s="872"/>
      <c r="AV137" s="872"/>
      <c r="AW137" s="872"/>
      <c r="AX137" s="871"/>
      <c r="AY137" s="871"/>
      <c r="AZ137" s="871"/>
      <c r="BA137" s="871"/>
      <c r="BB137" s="871"/>
      <c r="BC137" s="871"/>
      <c r="BD137" s="871"/>
      <c r="BE137" s="871"/>
      <c r="BF137" s="871"/>
      <c r="BG137" s="871"/>
      <c r="BH137" s="871"/>
      <c r="BI137" s="871"/>
      <c r="BJ137" s="871"/>
      <c r="BK137" s="871"/>
      <c r="BL137" s="871"/>
      <c r="BM137" s="871"/>
      <c r="BN137" s="871"/>
      <c r="BO137" s="871"/>
      <c r="BP137" s="871"/>
      <c r="BQ137" s="871"/>
      <c r="BR137" s="871"/>
      <c r="BS137" s="871"/>
      <c r="BT137" s="871"/>
      <c r="BU137" s="871"/>
      <c r="BV137" s="871"/>
      <c r="BW137" s="871"/>
      <c r="BX137" s="871"/>
      <c r="BY137" s="871"/>
      <c r="BZ137" s="871"/>
      <c r="CA137" s="871"/>
      <c r="CB137" s="871"/>
      <c r="CC137" s="871"/>
      <c r="CD137" s="871"/>
      <c r="CE137" s="871"/>
      <c r="CF137" s="871"/>
      <c r="CG137" s="871"/>
      <c r="CH137" s="871"/>
      <c r="CI137" s="871"/>
      <c r="CJ137" s="871"/>
      <c r="CK137" s="871"/>
      <c r="CL137" s="871"/>
      <c r="CM137" s="871"/>
      <c r="CN137" s="871"/>
      <c r="CO137" s="871"/>
      <c r="CP137" s="870"/>
      <c r="CQ137" s="869"/>
      <c r="CR137" s="869"/>
      <c r="CS137" s="869"/>
      <c r="CT137" s="869"/>
      <c r="CU137" s="869"/>
      <c r="CV137" s="869"/>
      <c r="CW137" s="869"/>
      <c r="CX137" s="869"/>
      <c r="CY137" s="869"/>
      <c r="CZ137" s="869"/>
      <c r="DA137" s="869"/>
      <c r="DB137" s="869"/>
      <c r="DC137" s="869"/>
      <c r="DD137" s="869"/>
      <c r="DE137" s="869"/>
      <c r="DF137" s="869"/>
      <c r="DG137" s="869"/>
      <c r="DH137" s="869"/>
      <c r="DI137" s="869"/>
      <c r="DJ137" s="869"/>
      <c r="DK137" s="869"/>
      <c r="DL137" s="869"/>
      <c r="DM137" s="869"/>
      <c r="DN137" s="869"/>
      <c r="DO137" s="869"/>
      <c r="DP137" s="869"/>
      <c r="DQ137" s="869"/>
      <c r="DR137" s="868"/>
      <c r="DS137" s="867"/>
      <c r="DT137" s="866"/>
      <c r="DU137" s="866"/>
      <c r="DV137" s="866"/>
      <c r="DW137" s="866"/>
      <c r="DX137" s="866"/>
      <c r="DY137" s="866"/>
      <c r="DZ137" s="866"/>
    </row>
    <row r="138" spans="2:130" ht="7.5" customHeight="1">
      <c r="B138" s="871"/>
      <c r="C138" s="871"/>
      <c r="D138" s="871"/>
      <c r="E138" s="871"/>
      <c r="F138" s="874"/>
      <c r="G138" s="873"/>
      <c r="H138" s="873"/>
      <c r="I138" s="873"/>
      <c r="J138" s="873"/>
      <c r="K138" s="873"/>
      <c r="L138" s="873"/>
      <c r="M138" s="873"/>
      <c r="N138" s="873"/>
      <c r="O138" s="873"/>
      <c r="P138" s="873"/>
      <c r="Q138" s="873"/>
      <c r="R138" s="873"/>
      <c r="S138" s="873"/>
      <c r="T138" s="873"/>
      <c r="U138" s="873"/>
      <c r="V138" s="873"/>
      <c r="W138" s="873"/>
      <c r="X138" s="873"/>
      <c r="Y138" s="873"/>
      <c r="Z138" s="873"/>
      <c r="AA138" s="873"/>
      <c r="AB138" s="873"/>
      <c r="AC138" s="873"/>
      <c r="AD138" s="873"/>
      <c r="AE138" s="873"/>
      <c r="AF138" s="873"/>
      <c r="AG138" s="873"/>
      <c r="AH138" s="874"/>
      <c r="AI138" s="873"/>
      <c r="AJ138" s="873"/>
      <c r="AK138" s="873"/>
      <c r="AL138" s="872"/>
      <c r="AM138" s="872"/>
      <c r="AN138" s="872"/>
      <c r="AO138" s="872"/>
      <c r="AP138" s="872"/>
      <c r="AQ138" s="872"/>
      <c r="AR138" s="872"/>
      <c r="AS138" s="872"/>
      <c r="AT138" s="872"/>
      <c r="AU138" s="872"/>
      <c r="AV138" s="872"/>
      <c r="AW138" s="872"/>
      <c r="AX138" s="871"/>
      <c r="AY138" s="871"/>
      <c r="AZ138" s="871"/>
      <c r="BA138" s="871"/>
      <c r="BB138" s="871"/>
      <c r="BC138" s="871"/>
      <c r="BD138" s="871"/>
      <c r="BE138" s="871"/>
      <c r="BF138" s="871"/>
      <c r="BG138" s="871"/>
      <c r="BH138" s="871"/>
      <c r="BI138" s="871"/>
      <c r="BJ138" s="871"/>
      <c r="BK138" s="871"/>
      <c r="BL138" s="871"/>
      <c r="BM138" s="871"/>
      <c r="BN138" s="871"/>
      <c r="BO138" s="871"/>
      <c r="BP138" s="871"/>
      <c r="BQ138" s="871"/>
      <c r="BR138" s="871"/>
      <c r="BS138" s="871"/>
      <c r="BT138" s="871"/>
      <c r="BU138" s="871"/>
      <c r="BV138" s="871"/>
      <c r="BW138" s="871"/>
      <c r="BX138" s="871"/>
      <c r="BY138" s="871"/>
      <c r="BZ138" s="871"/>
      <c r="CA138" s="871"/>
      <c r="CB138" s="871"/>
      <c r="CC138" s="871"/>
      <c r="CD138" s="871"/>
      <c r="CE138" s="871"/>
      <c r="CF138" s="871"/>
      <c r="CG138" s="871"/>
      <c r="CH138" s="871"/>
      <c r="CI138" s="871"/>
      <c r="CJ138" s="871"/>
      <c r="CK138" s="871"/>
      <c r="CL138" s="871"/>
      <c r="CM138" s="871"/>
      <c r="CN138" s="871"/>
      <c r="CO138" s="871"/>
      <c r="CP138" s="870"/>
      <c r="CQ138" s="869"/>
      <c r="CR138" s="869"/>
      <c r="CS138" s="869"/>
      <c r="CT138" s="869"/>
      <c r="CU138" s="869"/>
      <c r="CV138" s="869"/>
      <c r="CW138" s="869"/>
      <c r="CX138" s="869"/>
      <c r="CY138" s="869"/>
      <c r="CZ138" s="869"/>
      <c r="DA138" s="869"/>
      <c r="DB138" s="869"/>
      <c r="DC138" s="869"/>
      <c r="DD138" s="869"/>
      <c r="DE138" s="869"/>
      <c r="DF138" s="869"/>
      <c r="DG138" s="869"/>
      <c r="DH138" s="869"/>
      <c r="DI138" s="869"/>
      <c r="DJ138" s="869"/>
      <c r="DK138" s="869"/>
      <c r="DL138" s="869"/>
      <c r="DM138" s="869"/>
      <c r="DN138" s="869"/>
      <c r="DO138" s="869"/>
      <c r="DP138" s="869"/>
      <c r="DQ138" s="869"/>
      <c r="DR138" s="868"/>
      <c r="DS138" s="867"/>
      <c r="DT138" s="866"/>
      <c r="DU138" s="866"/>
      <c r="DV138" s="866"/>
      <c r="DW138" s="866"/>
      <c r="DX138" s="866"/>
      <c r="DY138" s="866"/>
      <c r="DZ138" s="866"/>
    </row>
    <row r="139" spans="2:130" ht="7.5" customHeight="1">
      <c r="B139" s="871"/>
      <c r="C139" s="871"/>
      <c r="D139" s="871"/>
      <c r="E139" s="871"/>
      <c r="F139" s="874"/>
      <c r="G139" s="873"/>
      <c r="H139" s="873"/>
      <c r="I139" s="873"/>
      <c r="J139" s="873"/>
      <c r="K139" s="873"/>
      <c r="L139" s="873"/>
      <c r="M139" s="873"/>
      <c r="N139" s="873"/>
      <c r="O139" s="873"/>
      <c r="P139" s="873"/>
      <c r="Q139" s="873"/>
      <c r="R139" s="873"/>
      <c r="S139" s="873"/>
      <c r="T139" s="873"/>
      <c r="U139" s="873"/>
      <c r="V139" s="873"/>
      <c r="W139" s="873"/>
      <c r="X139" s="873"/>
      <c r="Y139" s="873"/>
      <c r="Z139" s="873"/>
      <c r="AA139" s="873"/>
      <c r="AB139" s="873"/>
      <c r="AC139" s="873"/>
      <c r="AD139" s="873"/>
      <c r="AE139" s="873"/>
      <c r="AF139" s="873"/>
      <c r="AG139" s="873"/>
      <c r="AH139" s="874"/>
      <c r="AI139" s="873"/>
      <c r="AJ139" s="873"/>
      <c r="AK139" s="873"/>
      <c r="AL139" s="872"/>
      <c r="AM139" s="872"/>
      <c r="AN139" s="872"/>
      <c r="AO139" s="872"/>
      <c r="AP139" s="872"/>
      <c r="AQ139" s="872"/>
      <c r="AR139" s="872"/>
      <c r="AS139" s="872"/>
      <c r="AT139" s="872"/>
      <c r="AU139" s="872"/>
      <c r="AV139" s="872"/>
      <c r="AW139" s="872"/>
      <c r="AX139" s="871"/>
      <c r="AY139" s="871"/>
      <c r="AZ139" s="871"/>
      <c r="BA139" s="871"/>
      <c r="BB139" s="871"/>
      <c r="BC139" s="871"/>
      <c r="BD139" s="871"/>
      <c r="BE139" s="871"/>
      <c r="BF139" s="871"/>
      <c r="BG139" s="871"/>
      <c r="BH139" s="871"/>
      <c r="BI139" s="871"/>
      <c r="BJ139" s="871"/>
      <c r="BK139" s="871"/>
      <c r="BL139" s="871"/>
      <c r="BM139" s="871"/>
      <c r="BN139" s="871"/>
      <c r="BO139" s="871"/>
      <c r="BP139" s="871"/>
      <c r="BQ139" s="871"/>
      <c r="BR139" s="871"/>
      <c r="BS139" s="871"/>
      <c r="BT139" s="871"/>
      <c r="BU139" s="871"/>
      <c r="BV139" s="871"/>
      <c r="BW139" s="871"/>
      <c r="BX139" s="871"/>
      <c r="BY139" s="871"/>
      <c r="BZ139" s="871"/>
      <c r="CA139" s="871"/>
      <c r="CB139" s="871"/>
      <c r="CC139" s="871"/>
      <c r="CD139" s="871"/>
      <c r="CE139" s="871"/>
      <c r="CF139" s="871"/>
      <c r="CG139" s="871"/>
      <c r="CH139" s="871"/>
      <c r="CI139" s="871"/>
      <c r="CJ139" s="871"/>
      <c r="CK139" s="871"/>
      <c r="CL139" s="871"/>
      <c r="CM139" s="871"/>
      <c r="CN139" s="871"/>
      <c r="CO139" s="871"/>
      <c r="CP139" s="870"/>
      <c r="CQ139" s="869"/>
      <c r="CR139" s="869"/>
      <c r="CS139" s="869"/>
      <c r="CT139" s="869"/>
      <c r="CU139" s="869"/>
      <c r="CV139" s="869"/>
      <c r="CW139" s="869"/>
      <c r="CX139" s="869"/>
      <c r="CY139" s="869"/>
      <c r="CZ139" s="869"/>
      <c r="DA139" s="869"/>
      <c r="DB139" s="869"/>
      <c r="DC139" s="869"/>
      <c r="DD139" s="869"/>
      <c r="DE139" s="869"/>
      <c r="DF139" s="869"/>
      <c r="DG139" s="869"/>
      <c r="DH139" s="869"/>
      <c r="DI139" s="869"/>
      <c r="DJ139" s="869"/>
      <c r="DK139" s="869"/>
      <c r="DL139" s="869"/>
      <c r="DM139" s="869"/>
      <c r="DN139" s="869"/>
      <c r="DO139" s="869"/>
      <c r="DP139" s="869"/>
      <c r="DQ139" s="869"/>
      <c r="DR139" s="868"/>
      <c r="DS139" s="867"/>
      <c r="DT139" s="866"/>
      <c r="DU139" s="866"/>
      <c r="DV139" s="866"/>
      <c r="DW139" s="866"/>
      <c r="DX139" s="866"/>
      <c r="DY139" s="866"/>
      <c r="DZ139" s="866"/>
    </row>
    <row r="140" spans="2:130" ht="7.5" customHeight="1">
      <c r="B140" s="871"/>
      <c r="C140" s="871"/>
      <c r="D140" s="871"/>
      <c r="E140" s="871"/>
      <c r="F140" s="874"/>
      <c r="G140" s="873"/>
      <c r="H140" s="873"/>
      <c r="I140" s="873"/>
      <c r="J140" s="873"/>
      <c r="K140" s="873"/>
      <c r="L140" s="873"/>
      <c r="M140" s="873"/>
      <c r="N140" s="873"/>
      <c r="O140" s="873"/>
      <c r="P140" s="873"/>
      <c r="Q140" s="873"/>
      <c r="R140" s="873"/>
      <c r="S140" s="873"/>
      <c r="T140" s="873"/>
      <c r="U140" s="873"/>
      <c r="V140" s="873"/>
      <c r="W140" s="873"/>
      <c r="X140" s="873"/>
      <c r="Y140" s="873"/>
      <c r="Z140" s="873"/>
      <c r="AA140" s="873"/>
      <c r="AB140" s="873"/>
      <c r="AC140" s="873"/>
      <c r="AD140" s="873"/>
      <c r="AE140" s="873"/>
      <c r="AF140" s="873"/>
      <c r="AG140" s="873"/>
      <c r="AH140" s="874"/>
      <c r="AI140" s="873"/>
      <c r="AJ140" s="873"/>
      <c r="AK140" s="873"/>
      <c r="AL140" s="872"/>
      <c r="AM140" s="872"/>
      <c r="AN140" s="872"/>
      <c r="AO140" s="872"/>
      <c r="AP140" s="872"/>
      <c r="AQ140" s="872"/>
      <c r="AR140" s="872"/>
      <c r="AS140" s="872"/>
      <c r="AT140" s="872"/>
      <c r="AU140" s="872"/>
      <c r="AV140" s="872"/>
      <c r="AW140" s="872"/>
      <c r="AX140" s="871"/>
      <c r="AY140" s="871"/>
      <c r="AZ140" s="871"/>
      <c r="BA140" s="871"/>
      <c r="BB140" s="871"/>
      <c r="BC140" s="871"/>
      <c r="BD140" s="871"/>
      <c r="BE140" s="871"/>
      <c r="BF140" s="871"/>
      <c r="BG140" s="871"/>
      <c r="BH140" s="871"/>
      <c r="BI140" s="871"/>
      <c r="BJ140" s="871"/>
      <c r="BK140" s="871"/>
      <c r="BL140" s="871"/>
      <c r="BM140" s="871"/>
      <c r="BN140" s="871"/>
      <c r="BO140" s="871"/>
      <c r="BP140" s="871"/>
      <c r="BQ140" s="871"/>
      <c r="BR140" s="871"/>
      <c r="BS140" s="871"/>
      <c r="BT140" s="871"/>
      <c r="BU140" s="871"/>
      <c r="BV140" s="871"/>
      <c r="BW140" s="871"/>
      <c r="BX140" s="871"/>
      <c r="BY140" s="871"/>
      <c r="BZ140" s="871"/>
      <c r="CA140" s="871"/>
      <c r="CB140" s="871"/>
      <c r="CC140" s="871"/>
      <c r="CD140" s="871"/>
      <c r="CE140" s="871"/>
      <c r="CF140" s="871"/>
      <c r="CG140" s="871"/>
      <c r="CH140" s="871"/>
      <c r="CI140" s="871"/>
      <c r="CJ140" s="871"/>
      <c r="CK140" s="871"/>
      <c r="CL140" s="871"/>
      <c r="CM140" s="871"/>
      <c r="CN140" s="871"/>
      <c r="CO140" s="871"/>
      <c r="CP140" s="870"/>
      <c r="CQ140" s="869"/>
      <c r="CR140" s="869"/>
      <c r="CS140" s="869"/>
      <c r="CT140" s="869"/>
      <c r="CU140" s="869"/>
      <c r="CV140" s="869"/>
      <c r="CW140" s="869"/>
      <c r="CX140" s="869"/>
      <c r="CY140" s="869"/>
      <c r="CZ140" s="869"/>
      <c r="DA140" s="869"/>
      <c r="DB140" s="869"/>
      <c r="DC140" s="869"/>
      <c r="DD140" s="869"/>
      <c r="DE140" s="869"/>
      <c r="DF140" s="869"/>
      <c r="DG140" s="869"/>
      <c r="DH140" s="869"/>
      <c r="DI140" s="869"/>
      <c r="DJ140" s="869"/>
      <c r="DK140" s="869"/>
      <c r="DL140" s="869"/>
      <c r="DM140" s="869"/>
      <c r="DN140" s="869"/>
      <c r="DO140" s="869"/>
      <c r="DP140" s="869"/>
      <c r="DQ140" s="869"/>
      <c r="DR140" s="868"/>
      <c r="DS140" s="867"/>
      <c r="DT140" s="866"/>
      <c r="DU140" s="866"/>
      <c r="DV140" s="866"/>
      <c r="DW140" s="866"/>
      <c r="DX140" s="866"/>
      <c r="DY140" s="866"/>
      <c r="DZ140" s="866"/>
    </row>
    <row r="141" spans="2:130" ht="7.5" customHeight="1">
      <c r="B141" s="871"/>
      <c r="C141" s="871"/>
      <c r="D141" s="871"/>
      <c r="E141" s="871"/>
      <c r="F141" s="874"/>
      <c r="G141" s="873"/>
      <c r="H141" s="873"/>
      <c r="I141" s="873"/>
      <c r="J141" s="873"/>
      <c r="K141" s="873"/>
      <c r="L141" s="873"/>
      <c r="M141" s="873"/>
      <c r="N141" s="873"/>
      <c r="O141" s="873"/>
      <c r="P141" s="873"/>
      <c r="Q141" s="873"/>
      <c r="R141" s="873"/>
      <c r="S141" s="873"/>
      <c r="T141" s="873"/>
      <c r="U141" s="873"/>
      <c r="V141" s="873"/>
      <c r="W141" s="873"/>
      <c r="X141" s="873"/>
      <c r="Y141" s="873"/>
      <c r="Z141" s="873"/>
      <c r="AA141" s="873"/>
      <c r="AB141" s="873"/>
      <c r="AC141" s="873"/>
      <c r="AD141" s="873"/>
      <c r="AE141" s="873"/>
      <c r="AF141" s="873"/>
      <c r="AG141" s="873"/>
      <c r="AH141" s="874"/>
      <c r="AI141" s="873"/>
      <c r="AJ141" s="873"/>
      <c r="AK141" s="873"/>
      <c r="AL141" s="872"/>
      <c r="AM141" s="872"/>
      <c r="AN141" s="872"/>
      <c r="AO141" s="872"/>
      <c r="AP141" s="872"/>
      <c r="AQ141" s="872"/>
      <c r="AR141" s="872"/>
      <c r="AS141" s="872"/>
      <c r="AT141" s="872"/>
      <c r="AU141" s="872"/>
      <c r="AV141" s="872"/>
      <c r="AW141" s="872"/>
      <c r="AX141" s="871"/>
      <c r="AY141" s="871"/>
      <c r="AZ141" s="871"/>
      <c r="BA141" s="871"/>
      <c r="BB141" s="871"/>
      <c r="BC141" s="871"/>
      <c r="BD141" s="871"/>
      <c r="BE141" s="871"/>
      <c r="BF141" s="871"/>
      <c r="BG141" s="871"/>
      <c r="BH141" s="871"/>
      <c r="BI141" s="871"/>
      <c r="BJ141" s="871"/>
      <c r="BK141" s="871"/>
      <c r="BL141" s="871"/>
      <c r="BM141" s="871"/>
      <c r="BN141" s="871"/>
      <c r="BO141" s="871"/>
      <c r="BP141" s="871"/>
      <c r="BQ141" s="871"/>
      <c r="BR141" s="871"/>
      <c r="BS141" s="871"/>
      <c r="BT141" s="871"/>
      <c r="BU141" s="871"/>
      <c r="BV141" s="871"/>
      <c r="BW141" s="871"/>
      <c r="BX141" s="871"/>
      <c r="BY141" s="871"/>
      <c r="BZ141" s="871"/>
      <c r="CA141" s="871"/>
      <c r="CB141" s="871"/>
      <c r="CC141" s="871"/>
      <c r="CD141" s="871"/>
      <c r="CE141" s="871"/>
      <c r="CF141" s="871"/>
      <c r="CG141" s="871"/>
      <c r="CH141" s="871"/>
      <c r="CI141" s="871"/>
      <c r="CJ141" s="871"/>
      <c r="CK141" s="871"/>
      <c r="CL141" s="871"/>
      <c r="CM141" s="871"/>
      <c r="CN141" s="871"/>
      <c r="CO141" s="871"/>
      <c r="CP141" s="870"/>
      <c r="CQ141" s="869"/>
      <c r="CR141" s="869"/>
      <c r="CS141" s="869"/>
      <c r="CT141" s="869"/>
      <c r="CU141" s="869"/>
      <c r="CV141" s="869"/>
      <c r="CW141" s="869"/>
      <c r="CX141" s="869"/>
      <c r="CY141" s="869"/>
      <c r="CZ141" s="869"/>
      <c r="DA141" s="869"/>
      <c r="DB141" s="869"/>
      <c r="DC141" s="869"/>
      <c r="DD141" s="869"/>
      <c r="DE141" s="869"/>
      <c r="DF141" s="869"/>
      <c r="DG141" s="869"/>
      <c r="DH141" s="869"/>
      <c r="DI141" s="869"/>
      <c r="DJ141" s="869"/>
      <c r="DK141" s="869"/>
      <c r="DL141" s="869"/>
      <c r="DM141" s="869"/>
      <c r="DN141" s="869"/>
      <c r="DO141" s="869"/>
      <c r="DP141" s="869"/>
      <c r="DQ141" s="869"/>
      <c r="DR141" s="868"/>
      <c r="DS141" s="867"/>
      <c r="DT141" s="866"/>
      <c r="DU141" s="866"/>
      <c r="DV141" s="866"/>
      <c r="DW141" s="866"/>
      <c r="DX141" s="866"/>
      <c r="DY141" s="866"/>
      <c r="DZ141" s="866"/>
    </row>
    <row r="142" spans="2:130" ht="7.5" customHeight="1">
      <c r="B142" s="871"/>
      <c r="C142" s="871"/>
      <c r="D142" s="871"/>
      <c r="E142" s="871"/>
      <c r="F142" s="874"/>
      <c r="G142" s="873"/>
      <c r="H142" s="873"/>
      <c r="I142" s="873"/>
      <c r="J142" s="873"/>
      <c r="K142" s="873"/>
      <c r="L142" s="873"/>
      <c r="M142" s="873"/>
      <c r="N142" s="873"/>
      <c r="O142" s="873"/>
      <c r="P142" s="873"/>
      <c r="Q142" s="873"/>
      <c r="R142" s="873"/>
      <c r="S142" s="873"/>
      <c r="T142" s="873"/>
      <c r="U142" s="873"/>
      <c r="V142" s="873"/>
      <c r="W142" s="873"/>
      <c r="X142" s="873"/>
      <c r="Y142" s="873"/>
      <c r="Z142" s="873"/>
      <c r="AA142" s="873"/>
      <c r="AB142" s="873"/>
      <c r="AC142" s="873"/>
      <c r="AD142" s="873"/>
      <c r="AE142" s="873"/>
      <c r="AF142" s="873"/>
      <c r="AG142" s="873"/>
      <c r="AH142" s="874"/>
      <c r="AI142" s="873"/>
      <c r="AJ142" s="873"/>
      <c r="AK142" s="873"/>
      <c r="AL142" s="872"/>
      <c r="AM142" s="872"/>
      <c r="AN142" s="872"/>
      <c r="AO142" s="872"/>
      <c r="AP142" s="872"/>
      <c r="AQ142" s="872"/>
      <c r="AR142" s="872"/>
      <c r="AS142" s="872"/>
      <c r="AT142" s="872"/>
      <c r="AU142" s="872"/>
      <c r="AV142" s="872"/>
      <c r="AW142" s="872"/>
      <c r="AX142" s="871"/>
      <c r="AY142" s="871"/>
      <c r="AZ142" s="871"/>
      <c r="BA142" s="871"/>
      <c r="BB142" s="871"/>
      <c r="BC142" s="871"/>
      <c r="BD142" s="871"/>
      <c r="BE142" s="871"/>
      <c r="BF142" s="871"/>
      <c r="BG142" s="871"/>
      <c r="BH142" s="871"/>
      <c r="BI142" s="871"/>
      <c r="BJ142" s="871"/>
      <c r="BK142" s="871"/>
      <c r="BL142" s="871"/>
      <c r="BM142" s="871"/>
      <c r="BN142" s="871"/>
      <c r="BO142" s="871"/>
      <c r="BP142" s="871"/>
      <c r="BQ142" s="871"/>
      <c r="BR142" s="871"/>
      <c r="BS142" s="871"/>
      <c r="BT142" s="871"/>
      <c r="BU142" s="871"/>
      <c r="BV142" s="871"/>
      <c r="BW142" s="871"/>
      <c r="BX142" s="871"/>
      <c r="BY142" s="871"/>
      <c r="BZ142" s="871"/>
      <c r="CA142" s="871"/>
      <c r="CB142" s="871"/>
      <c r="CC142" s="871"/>
      <c r="CD142" s="871"/>
      <c r="CE142" s="871"/>
      <c r="CF142" s="871"/>
      <c r="CG142" s="871"/>
      <c r="CH142" s="871"/>
      <c r="CI142" s="871"/>
      <c r="CJ142" s="871"/>
      <c r="CK142" s="871"/>
      <c r="CL142" s="871"/>
      <c r="CM142" s="871"/>
      <c r="CN142" s="871"/>
      <c r="CO142" s="871"/>
      <c r="CP142" s="870"/>
      <c r="CQ142" s="869"/>
      <c r="CR142" s="869"/>
      <c r="CS142" s="869"/>
      <c r="CT142" s="869"/>
      <c r="CU142" s="869"/>
      <c r="CV142" s="869"/>
      <c r="CW142" s="869"/>
      <c r="CX142" s="869"/>
      <c r="CY142" s="869"/>
      <c r="CZ142" s="869"/>
      <c r="DA142" s="869"/>
      <c r="DB142" s="869"/>
      <c r="DC142" s="869"/>
      <c r="DD142" s="869"/>
      <c r="DE142" s="869"/>
      <c r="DF142" s="869"/>
      <c r="DG142" s="869"/>
      <c r="DH142" s="869"/>
      <c r="DI142" s="869"/>
      <c r="DJ142" s="869"/>
      <c r="DK142" s="869"/>
      <c r="DL142" s="869"/>
      <c r="DM142" s="869"/>
      <c r="DN142" s="869"/>
      <c r="DO142" s="869"/>
      <c r="DP142" s="869"/>
      <c r="DQ142" s="869"/>
      <c r="DR142" s="868"/>
      <c r="DS142" s="867"/>
      <c r="DT142" s="866"/>
      <c r="DU142" s="866"/>
      <c r="DV142" s="866"/>
      <c r="DW142" s="866"/>
      <c r="DX142" s="866"/>
      <c r="DY142" s="866"/>
      <c r="DZ142" s="866"/>
    </row>
    <row r="143" spans="2:130" ht="7.5" customHeight="1">
      <c r="B143" s="871"/>
      <c r="C143" s="871"/>
      <c r="D143" s="871"/>
      <c r="E143" s="871"/>
      <c r="F143" s="874"/>
      <c r="G143" s="873"/>
      <c r="H143" s="873"/>
      <c r="I143" s="873"/>
      <c r="J143" s="873"/>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c r="AG143" s="873"/>
      <c r="AH143" s="874"/>
      <c r="AI143" s="873"/>
      <c r="AJ143" s="873"/>
      <c r="AK143" s="873"/>
      <c r="AL143" s="872"/>
      <c r="AM143" s="872"/>
      <c r="AN143" s="872"/>
      <c r="AO143" s="872"/>
      <c r="AP143" s="872"/>
      <c r="AQ143" s="872"/>
      <c r="AR143" s="872"/>
      <c r="AS143" s="872"/>
      <c r="AT143" s="872"/>
      <c r="AU143" s="872"/>
      <c r="AV143" s="872"/>
      <c r="AW143" s="872"/>
      <c r="AX143" s="871"/>
      <c r="AY143" s="871"/>
      <c r="AZ143" s="871"/>
      <c r="BA143" s="871"/>
      <c r="BB143" s="871"/>
      <c r="BC143" s="871"/>
      <c r="BD143" s="871"/>
      <c r="BE143" s="871"/>
      <c r="BF143" s="871"/>
      <c r="BG143" s="871"/>
      <c r="BH143" s="871"/>
      <c r="BI143" s="871"/>
      <c r="BJ143" s="871"/>
      <c r="BK143" s="871"/>
      <c r="BL143" s="871"/>
      <c r="BM143" s="871"/>
      <c r="BN143" s="871"/>
      <c r="BO143" s="871"/>
      <c r="BP143" s="871"/>
      <c r="BQ143" s="871"/>
      <c r="BR143" s="871"/>
      <c r="BS143" s="871"/>
      <c r="BT143" s="871"/>
      <c r="BU143" s="871"/>
      <c r="BV143" s="871"/>
      <c r="BW143" s="871"/>
      <c r="BX143" s="871"/>
      <c r="BY143" s="871"/>
      <c r="BZ143" s="871"/>
      <c r="CA143" s="871"/>
      <c r="CB143" s="871"/>
      <c r="CC143" s="871"/>
      <c r="CD143" s="871"/>
      <c r="CE143" s="871"/>
      <c r="CF143" s="871"/>
      <c r="CG143" s="871"/>
      <c r="CH143" s="871"/>
      <c r="CI143" s="871"/>
      <c r="CJ143" s="871"/>
      <c r="CK143" s="871"/>
      <c r="CL143" s="871"/>
      <c r="CM143" s="871"/>
      <c r="CN143" s="871"/>
      <c r="CO143" s="871"/>
      <c r="CP143" s="870"/>
      <c r="CQ143" s="869"/>
      <c r="CR143" s="869"/>
      <c r="CS143" s="869"/>
      <c r="CT143" s="869"/>
      <c r="CU143" s="869"/>
      <c r="CV143" s="869"/>
      <c r="CW143" s="869"/>
      <c r="CX143" s="869"/>
      <c r="CY143" s="869"/>
      <c r="CZ143" s="869"/>
      <c r="DA143" s="869"/>
      <c r="DB143" s="869"/>
      <c r="DC143" s="869"/>
      <c r="DD143" s="869"/>
      <c r="DE143" s="869"/>
      <c r="DF143" s="869"/>
      <c r="DG143" s="869"/>
      <c r="DH143" s="869"/>
      <c r="DI143" s="869"/>
      <c r="DJ143" s="869"/>
      <c r="DK143" s="869"/>
      <c r="DL143" s="869"/>
      <c r="DM143" s="869"/>
      <c r="DN143" s="869"/>
      <c r="DO143" s="869"/>
      <c r="DP143" s="869"/>
      <c r="DQ143" s="869"/>
      <c r="DR143" s="868"/>
      <c r="DS143" s="867"/>
      <c r="DT143" s="866"/>
      <c r="DU143" s="866"/>
      <c r="DV143" s="866"/>
      <c r="DW143" s="866"/>
      <c r="DX143" s="866"/>
      <c r="DY143" s="866"/>
      <c r="DZ143" s="866"/>
    </row>
    <row r="144" spans="2:130" ht="7.5" customHeight="1">
      <c r="B144" s="871"/>
      <c r="C144" s="871"/>
      <c r="D144" s="871"/>
      <c r="E144" s="871"/>
      <c r="F144" s="874"/>
      <c r="G144" s="873"/>
      <c r="H144" s="873"/>
      <c r="I144" s="873"/>
      <c r="J144" s="873"/>
      <c r="K144" s="873"/>
      <c r="L144" s="873"/>
      <c r="M144" s="873"/>
      <c r="N144" s="873"/>
      <c r="O144" s="873"/>
      <c r="P144" s="873"/>
      <c r="Q144" s="873"/>
      <c r="R144" s="873"/>
      <c r="S144" s="873"/>
      <c r="T144" s="873"/>
      <c r="U144" s="873"/>
      <c r="V144" s="873"/>
      <c r="W144" s="873"/>
      <c r="X144" s="873"/>
      <c r="Y144" s="873"/>
      <c r="Z144" s="873"/>
      <c r="AA144" s="873"/>
      <c r="AB144" s="873"/>
      <c r="AC144" s="873"/>
      <c r="AD144" s="873"/>
      <c r="AE144" s="873"/>
      <c r="AF144" s="873"/>
      <c r="AG144" s="873"/>
      <c r="AH144" s="874"/>
      <c r="AI144" s="873"/>
      <c r="AJ144" s="873"/>
      <c r="AK144" s="873"/>
      <c r="AL144" s="872"/>
      <c r="AM144" s="872"/>
      <c r="AN144" s="872"/>
      <c r="AO144" s="872"/>
      <c r="AP144" s="872"/>
      <c r="AQ144" s="872"/>
      <c r="AR144" s="872"/>
      <c r="AS144" s="872"/>
      <c r="AT144" s="872"/>
      <c r="AU144" s="872"/>
      <c r="AV144" s="872"/>
      <c r="AW144" s="872"/>
      <c r="AX144" s="871"/>
      <c r="AY144" s="871"/>
      <c r="AZ144" s="871"/>
      <c r="BA144" s="871"/>
      <c r="BB144" s="871"/>
      <c r="BC144" s="871"/>
      <c r="BD144" s="871"/>
      <c r="BE144" s="871"/>
      <c r="BF144" s="871"/>
      <c r="BG144" s="871"/>
      <c r="BH144" s="871"/>
      <c r="BI144" s="871"/>
      <c r="BJ144" s="871"/>
      <c r="BK144" s="871"/>
      <c r="BL144" s="871"/>
      <c r="BM144" s="871"/>
      <c r="BN144" s="871"/>
      <c r="BO144" s="871"/>
      <c r="BP144" s="871"/>
      <c r="BQ144" s="871"/>
      <c r="BR144" s="871"/>
      <c r="BS144" s="871"/>
      <c r="BT144" s="871"/>
      <c r="BU144" s="871"/>
      <c r="BV144" s="871"/>
      <c r="BW144" s="871"/>
      <c r="BX144" s="871"/>
      <c r="BY144" s="871"/>
      <c r="BZ144" s="871"/>
      <c r="CA144" s="871"/>
      <c r="CB144" s="871"/>
      <c r="CC144" s="871"/>
      <c r="CD144" s="871"/>
      <c r="CE144" s="871"/>
      <c r="CF144" s="871"/>
      <c r="CG144" s="871"/>
      <c r="CH144" s="871"/>
      <c r="CI144" s="871"/>
      <c r="CJ144" s="871"/>
      <c r="CK144" s="871"/>
      <c r="CL144" s="871"/>
      <c r="CM144" s="871"/>
      <c r="CN144" s="871"/>
      <c r="CO144" s="871"/>
      <c r="CP144" s="870"/>
      <c r="CQ144" s="869"/>
      <c r="CR144" s="869"/>
      <c r="CS144" s="869"/>
      <c r="CT144" s="869"/>
      <c r="CU144" s="869"/>
      <c r="CV144" s="869"/>
      <c r="CW144" s="869"/>
      <c r="CX144" s="869"/>
      <c r="CY144" s="869"/>
      <c r="CZ144" s="869"/>
      <c r="DA144" s="869"/>
      <c r="DB144" s="869"/>
      <c r="DC144" s="869"/>
      <c r="DD144" s="869"/>
      <c r="DE144" s="869"/>
      <c r="DF144" s="869"/>
      <c r="DG144" s="869"/>
      <c r="DH144" s="869"/>
      <c r="DI144" s="869"/>
      <c r="DJ144" s="869"/>
      <c r="DK144" s="869"/>
      <c r="DL144" s="869"/>
      <c r="DM144" s="869"/>
      <c r="DN144" s="869"/>
      <c r="DO144" s="869"/>
      <c r="DP144" s="869"/>
      <c r="DQ144" s="869"/>
      <c r="DR144" s="868"/>
      <c r="DS144" s="867"/>
      <c r="DT144" s="866"/>
      <c r="DU144" s="866"/>
      <c r="DV144" s="866"/>
      <c r="DW144" s="866"/>
      <c r="DX144" s="866"/>
      <c r="DY144" s="866"/>
      <c r="DZ144" s="866"/>
    </row>
    <row r="145" spans="2:130" ht="7.5" customHeight="1">
      <c r="B145" s="871"/>
      <c r="C145" s="871"/>
      <c r="D145" s="871"/>
      <c r="E145" s="871"/>
      <c r="F145" s="874"/>
      <c r="G145" s="873"/>
      <c r="H145" s="873"/>
      <c r="I145" s="873"/>
      <c r="J145" s="873"/>
      <c r="K145" s="873"/>
      <c r="L145" s="873"/>
      <c r="M145" s="873"/>
      <c r="N145" s="873"/>
      <c r="O145" s="873"/>
      <c r="P145" s="873"/>
      <c r="Q145" s="873"/>
      <c r="R145" s="873"/>
      <c r="S145" s="873"/>
      <c r="T145" s="873"/>
      <c r="U145" s="873"/>
      <c r="V145" s="873"/>
      <c r="W145" s="873"/>
      <c r="X145" s="873"/>
      <c r="Y145" s="873"/>
      <c r="Z145" s="873"/>
      <c r="AA145" s="873"/>
      <c r="AB145" s="873"/>
      <c r="AC145" s="873"/>
      <c r="AD145" s="873"/>
      <c r="AE145" s="873"/>
      <c r="AF145" s="873"/>
      <c r="AG145" s="873"/>
      <c r="AH145" s="874"/>
      <c r="AI145" s="873"/>
      <c r="AJ145" s="873"/>
      <c r="AK145" s="873"/>
      <c r="AL145" s="872"/>
      <c r="AM145" s="872"/>
      <c r="AN145" s="872"/>
      <c r="AO145" s="872"/>
      <c r="AP145" s="872"/>
      <c r="AQ145" s="872"/>
      <c r="AR145" s="872"/>
      <c r="AS145" s="872"/>
      <c r="AT145" s="872"/>
      <c r="AU145" s="872"/>
      <c r="AV145" s="872"/>
      <c r="AW145" s="872"/>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c r="BT145" s="871"/>
      <c r="BU145" s="871"/>
      <c r="BV145" s="871"/>
      <c r="BW145" s="871"/>
      <c r="BX145" s="871"/>
      <c r="BY145" s="871"/>
      <c r="BZ145" s="871"/>
      <c r="CA145" s="871"/>
      <c r="CB145" s="871"/>
      <c r="CC145" s="871"/>
      <c r="CD145" s="871"/>
      <c r="CE145" s="871"/>
      <c r="CF145" s="871"/>
      <c r="CG145" s="871"/>
      <c r="CH145" s="871"/>
      <c r="CI145" s="871"/>
      <c r="CJ145" s="871"/>
      <c r="CK145" s="871"/>
      <c r="CL145" s="871"/>
      <c r="CM145" s="871"/>
      <c r="CN145" s="871"/>
      <c r="CO145" s="871"/>
      <c r="CP145" s="870"/>
      <c r="CQ145" s="869"/>
      <c r="CR145" s="869"/>
      <c r="CS145" s="869"/>
      <c r="CT145" s="869"/>
      <c r="CU145" s="869"/>
      <c r="CV145" s="869"/>
      <c r="CW145" s="869"/>
      <c r="CX145" s="869"/>
      <c r="CY145" s="869"/>
      <c r="CZ145" s="869"/>
      <c r="DA145" s="869"/>
      <c r="DB145" s="869"/>
      <c r="DC145" s="869"/>
      <c r="DD145" s="869"/>
      <c r="DE145" s="869"/>
      <c r="DF145" s="869"/>
      <c r="DG145" s="869"/>
      <c r="DH145" s="869"/>
      <c r="DI145" s="869"/>
      <c r="DJ145" s="869"/>
      <c r="DK145" s="869"/>
      <c r="DL145" s="869"/>
      <c r="DM145" s="869"/>
      <c r="DN145" s="869"/>
      <c r="DO145" s="869"/>
      <c r="DP145" s="869"/>
      <c r="DQ145" s="869"/>
      <c r="DR145" s="868"/>
      <c r="DS145" s="867"/>
      <c r="DT145" s="866"/>
      <c r="DU145" s="866"/>
      <c r="DV145" s="866"/>
      <c r="DW145" s="866"/>
      <c r="DX145" s="866"/>
      <c r="DY145" s="866"/>
      <c r="DZ145" s="866"/>
    </row>
    <row r="146" spans="2:130" ht="7.5" customHeight="1">
      <c r="B146" s="871"/>
      <c r="C146" s="871"/>
      <c r="D146" s="871"/>
      <c r="E146" s="871"/>
      <c r="F146" s="874"/>
      <c r="G146" s="873"/>
      <c r="H146" s="873"/>
      <c r="I146" s="873"/>
      <c r="J146" s="873"/>
      <c r="K146" s="873"/>
      <c r="L146" s="873"/>
      <c r="M146" s="873"/>
      <c r="N146" s="873"/>
      <c r="O146" s="873"/>
      <c r="P146" s="873"/>
      <c r="Q146" s="873"/>
      <c r="R146" s="873"/>
      <c r="S146" s="873"/>
      <c r="T146" s="873"/>
      <c r="U146" s="873"/>
      <c r="V146" s="873"/>
      <c r="W146" s="873"/>
      <c r="X146" s="873"/>
      <c r="Y146" s="873"/>
      <c r="Z146" s="873"/>
      <c r="AA146" s="873"/>
      <c r="AB146" s="873"/>
      <c r="AC146" s="873"/>
      <c r="AD146" s="873"/>
      <c r="AE146" s="873"/>
      <c r="AF146" s="873"/>
      <c r="AG146" s="873"/>
      <c r="AH146" s="874"/>
      <c r="AI146" s="873"/>
      <c r="AJ146" s="873"/>
      <c r="AK146" s="873"/>
      <c r="AL146" s="872"/>
      <c r="AM146" s="872"/>
      <c r="AN146" s="872"/>
      <c r="AO146" s="872"/>
      <c r="AP146" s="872"/>
      <c r="AQ146" s="872"/>
      <c r="AR146" s="872"/>
      <c r="AS146" s="872"/>
      <c r="AT146" s="872"/>
      <c r="AU146" s="872"/>
      <c r="AV146" s="872"/>
      <c r="AW146" s="872"/>
      <c r="AX146" s="871"/>
      <c r="AY146" s="871"/>
      <c r="AZ146" s="871"/>
      <c r="BA146" s="871"/>
      <c r="BB146" s="871"/>
      <c r="BC146" s="871"/>
      <c r="BD146" s="871"/>
      <c r="BE146" s="871"/>
      <c r="BF146" s="871"/>
      <c r="BG146" s="871"/>
      <c r="BH146" s="871"/>
      <c r="BI146" s="871"/>
      <c r="BJ146" s="871"/>
      <c r="BK146" s="871"/>
      <c r="BL146" s="871"/>
      <c r="BM146" s="871"/>
      <c r="BN146" s="871"/>
      <c r="BO146" s="871"/>
      <c r="BP146" s="871"/>
      <c r="BQ146" s="871"/>
      <c r="BR146" s="871"/>
      <c r="BS146" s="871"/>
      <c r="BT146" s="871"/>
      <c r="BU146" s="871"/>
      <c r="BV146" s="871"/>
      <c r="BW146" s="871"/>
      <c r="BX146" s="871"/>
      <c r="BY146" s="871"/>
      <c r="BZ146" s="871"/>
      <c r="CA146" s="871"/>
      <c r="CB146" s="871"/>
      <c r="CC146" s="871"/>
      <c r="CD146" s="871"/>
      <c r="CE146" s="871"/>
      <c r="CF146" s="871"/>
      <c r="CG146" s="871"/>
      <c r="CH146" s="871"/>
      <c r="CI146" s="871"/>
      <c r="CJ146" s="871"/>
      <c r="CK146" s="871"/>
      <c r="CL146" s="871"/>
      <c r="CM146" s="871"/>
      <c r="CN146" s="871"/>
      <c r="CO146" s="871"/>
      <c r="CP146" s="870"/>
      <c r="CQ146" s="869"/>
      <c r="CR146" s="869"/>
      <c r="CS146" s="869"/>
      <c r="CT146" s="869"/>
      <c r="CU146" s="869"/>
      <c r="CV146" s="869"/>
      <c r="CW146" s="869"/>
      <c r="CX146" s="869"/>
      <c r="CY146" s="869"/>
      <c r="CZ146" s="869"/>
      <c r="DA146" s="869"/>
      <c r="DB146" s="869"/>
      <c r="DC146" s="869"/>
      <c r="DD146" s="869"/>
      <c r="DE146" s="869"/>
      <c r="DF146" s="869"/>
      <c r="DG146" s="869"/>
      <c r="DH146" s="869"/>
      <c r="DI146" s="869"/>
      <c r="DJ146" s="869"/>
      <c r="DK146" s="869"/>
      <c r="DL146" s="869"/>
      <c r="DM146" s="869"/>
      <c r="DN146" s="869"/>
      <c r="DO146" s="869"/>
      <c r="DP146" s="869"/>
      <c r="DQ146" s="869"/>
      <c r="DR146" s="868"/>
      <c r="DS146" s="867"/>
      <c r="DT146" s="866"/>
      <c r="DU146" s="866"/>
      <c r="DV146" s="866"/>
      <c r="DW146" s="866"/>
      <c r="DX146" s="866"/>
      <c r="DY146" s="866"/>
      <c r="DZ146" s="866"/>
    </row>
    <row r="147" spans="2:130" ht="7.5" customHeight="1">
      <c r="B147" s="871"/>
      <c r="C147" s="871"/>
      <c r="D147" s="871"/>
      <c r="E147" s="871"/>
      <c r="F147" s="874"/>
      <c r="G147" s="873"/>
      <c r="H147" s="873"/>
      <c r="I147" s="873"/>
      <c r="J147" s="873"/>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3"/>
      <c r="AG147" s="873"/>
      <c r="AH147" s="874"/>
      <c r="AI147" s="873"/>
      <c r="AJ147" s="873"/>
      <c r="AK147" s="873"/>
      <c r="AL147" s="872"/>
      <c r="AM147" s="872"/>
      <c r="AN147" s="872"/>
      <c r="AO147" s="872"/>
      <c r="AP147" s="872"/>
      <c r="AQ147" s="872"/>
      <c r="AR147" s="872"/>
      <c r="AS147" s="872"/>
      <c r="AT147" s="872"/>
      <c r="AU147" s="872"/>
      <c r="AV147" s="872"/>
      <c r="AW147" s="872"/>
      <c r="AX147" s="871"/>
      <c r="AY147" s="871"/>
      <c r="AZ147" s="871"/>
      <c r="BA147" s="871"/>
      <c r="BB147" s="871"/>
      <c r="BC147" s="871"/>
      <c r="BD147" s="871"/>
      <c r="BE147" s="871"/>
      <c r="BF147" s="871"/>
      <c r="BG147" s="871"/>
      <c r="BH147" s="871"/>
      <c r="BI147" s="871"/>
      <c r="BJ147" s="871"/>
      <c r="BK147" s="871"/>
      <c r="BL147" s="871"/>
      <c r="BM147" s="871"/>
      <c r="BN147" s="871"/>
      <c r="BO147" s="871"/>
      <c r="BP147" s="871"/>
      <c r="BQ147" s="871"/>
      <c r="BR147" s="871"/>
      <c r="BS147" s="871"/>
      <c r="BT147" s="871"/>
      <c r="BU147" s="871"/>
      <c r="BV147" s="871"/>
      <c r="BW147" s="871"/>
      <c r="BX147" s="871"/>
      <c r="BY147" s="871"/>
      <c r="BZ147" s="871"/>
      <c r="CA147" s="871"/>
      <c r="CB147" s="871"/>
      <c r="CC147" s="871"/>
      <c r="CD147" s="871"/>
      <c r="CE147" s="871"/>
      <c r="CF147" s="871"/>
      <c r="CG147" s="871"/>
      <c r="CH147" s="871"/>
      <c r="CI147" s="871"/>
      <c r="CJ147" s="871"/>
      <c r="CK147" s="871"/>
      <c r="CL147" s="871"/>
      <c r="CM147" s="871"/>
      <c r="CN147" s="871"/>
      <c r="CO147" s="871"/>
      <c r="CP147" s="870"/>
      <c r="CQ147" s="869"/>
      <c r="CR147" s="869"/>
      <c r="CS147" s="869"/>
      <c r="CT147" s="869"/>
      <c r="CU147" s="869"/>
      <c r="CV147" s="869"/>
      <c r="CW147" s="869"/>
      <c r="CX147" s="869"/>
      <c r="CY147" s="869"/>
      <c r="CZ147" s="869"/>
      <c r="DA147" s="869"/>
      <c r="DB147" s="869"/>
      <c r="DC147" s="869"/>
      <c r="DD147" s="869"/>
      <c r="DE147" s="869"/>
      <c r="DF147" s="869"/>
      <c r="DG147" s="869"/>
      <c r="DH147" s="869"/>
      <c r="DI147" s="869"/>
      <c r="DJ147" s="869"/>
      <c r="DK147" s="869"/>
      <c r="DL147" s="869"/>
      <c r="DM147" s="869"/>
      <c r="DN147" s="869"/>
      <c r="DO147" s="869"/>
      <c r="DP147" s="869"/>
      <c r="DQ147" s="869"/>
      <c r="DR147" s="868"/>
      <c r="DS147" s="867"/>
      <c r="DT147" s="866"/>
      <c r="DU147" s="866"/>
      <c r="DV147" s="866"/>
      <c r="DW147" s="866"/>
      <c r="DX147" s="866"/>
      <c r="DY147" s="866"/>
      <c r="DZ147" s="866"/>
    </row>
    <row r="148" spans="2:130" ht="7.5" customHeight="1">
      <c r="B148" s="871"/>
      <c r="C148" s="871"/>
      <c r="D148" s="871"/>
      <c r="E148" s="871"/>
      <c r="F148" s="874"/>
      <c r="G148" s="873"/>
      <c r="H148" s="873"/>
      <c r="I148" s="873"/>
      <c r="J148" s="873"/>
      <c r="K148" s="873"/>
      <c r="L148" s="873"/>
      <c r="M148" s="873"/>
      <c r="N148" s="873"/>
      <c r="O148" s="873"/>
      <c r="P148" s="873"/>
      <c r="Q148" s="873"/>
      <c r="R148" s="873"/>
      <c r="S148" s="873"/>
      <c r="T148" s="873"/>
      <c r="U148" s="873"/>
      <c r="V148" s="873"/>
      <c r="W148" s="873"/>
      <c r="X148" s="873"/>
      <c r="Y148" s="873"/>
      <c r="Z148" s="873"/>
      <c r="AA148" s="873"/>
      <c r="AB148" s="873"/>
      <c r="AC148" s="873"/>
      <c r="AD148" s="873"/>
      <c r="AE148" s="873"/>
      <c r="AF148" s="873"/>
      <c r="AG148" s="873"/>
      <c r="AH148" s="874"/>
      <c r="AI148" s="873"/>
      <c r="AJ148" s="873"/>
      <c r="AK148" s="873"/>
      <c r="AL148" s="872"/>
      <c r="AM148" s="872"/>
      <c r="AN148" s="872"/>
      <c r="AO148" s="872"/>
      <c r="AP148" s="872"/>
      <c r="AQ148" s="872"/>
      <c r="AR148" s="872"/>
      <c r="AS148" s="872"/>
      <c r="AT148" s="872"/>
      <c r="AU148" s="872"/>
      <c r="AV148" s="872"/>
      <c r="AW148" s="872"/>
      <c r="AX148" s="871"/>
      <c r="AY148" s="871"/>
      <c r="AZ148" s="871"/>
      <c r="BA148" s="871"/>
      <c r="BB148" s="871"/>
      <c r="BC148" s="871"/>
      <c r="BD148" s="871"/>
      <c r="BE148" s="871"/>
      <c r="BF148" s="871"/>
      <c r="BG148" s="871"/>
      <c r="BH148" s="871"/>
      <c r="BI148" s="871"/>
      <c r="BJ148" s="871"/>
      <c r="BK148" s="871"/>
      <c r="BL148" s="871"/>
      <c r="BM148" s="871"/>
      <c r="BN148" s="871"/>
      <c r="BO148" s="871"/>
      <c r="BP148" s="871"/>
      <c r="BQ148" s="871"/>
      <c r="BR148" s="871"/>
      <c r="BS148" s="871"/>
      <c r="BT148" s="871"/>
      <c r="BU148" s="871"/>
      <c r="BV148" s="871"/>
      <c r="BW148" s="871"/>
      <c r="BX148" s="871"/>
      <c r="BY148" s="871"/>
      <c r="BZ148" s="871"/>
      <c r="CA148" s="871"/>
      <c r="CB148" s="871"/>
      <c r="CC148" s="871"/>
      <c r="CD148" s="871"/>
      <c r="CE148" s="871"/>
      <c r="CF148" s="871"/>
      <c r="CG148" s="871"/>
      <c r="CH148" s="871"/>
      <c r="CI148" s="871"/>
      <c r="CJ148" s="871"/>
      <c r="CK148" s="871"/>
      <c r="CL148" s="871"/>
      <c r="CM148" s="871"/>
      <c r="CN148" s="871"/>
      <c r="CO148" s="871"/>
      <c r="CP148" s="870"/>
      <c r="CQ148" s="869"/>
      <c r="CR148" s="869"/>
      <c r="CS148" s="869"/>
      <c r="CT148" s="869"/>
      <c r="CU148" s="869"/>
      <c r="CV148" s="869"/>
      <c r="CW148" s="869"/>
      <c r="CX148" s="869"/>
      <c r="CY148" s="869"/>
      <c r="CZ148" s="869"/>
      <c r="DA148" s="869"/>
      <c r="DB148" s="869"/>
      <c r="DC148" s="869"/>
      <c r="DD148" s="869"/>
      <c r="DE148" s="869"/>
      <c r="DF148" s="869"/>
      <c r="DG148" s="869"/>
      <c r="DH148" s="869"/>
      <c r="DI148" s="869"/>
      <c r="DJ148" s="869"/>
      <c r="DK148" s="869"/>
      <c r="DL148" s="869"/>
      <c r="DM148" s="869"/>
      <c r="DN148" s="869"/>
      <c r="DO148" s="869"/>
      <c r="DP148" s="869"/>
      <c r="DQ148" s="869"/>
      <c r="DR148" s="868"/>
      <c r="DS148" s="867"/>
      <c r="DT148" s="866"/>
      <c r="DU148" s="866"/>
      <c r="DV148" s="866"/>
      <c r="DW148" s="866"/>
      <c r="DX148" s="866"/>
      <c r="DY148" s="866"/>
      <c r="DZ148" s="866"/>
    </row>
    <row r="149" spans="2:130" ht="7.5" customHeight="1">
      <c r="B149" s="871"/>
      <c r="C149" s="871"/>
      <c r="D149" s="871"/>
      <c r="E149" s="871"/>
      <c r="F149" s="874"/>
      <c r="G149" s="873"/>
      <c r="H149" s="873"/>
      <c r="I149" s="873"/>
      <c r="J149" s="873"/>
      <c r="K149" s="873"/>
      <c r="L149" s="873"/>
      <c r="M149" s="873"/>
      <c r="N149" s="873"/>
      <c r="O149" s="873"/>
      <c r="P149" s="873"/>
      <c r="Q149" s="873"/>
      <c r="R149" s="873"/>
      <c r="S149" s="873"/>
      <c r="T149" s="873"/>
      <c r="U149" s="873"/>
      <c r="V149" s="873"/>
      <c r="W149" s="873"/>
      <c r="X149" s="873"/>
      <c r="Y149" s="873"/>
      <c r="Z149" s="873"/>
      <c r="AA149" s="873"/>
      <c r="AB149" s="873"/>
      <c r="AC149" s="873"/>
      <c r="AD149" s="873"/>
      <c r="AE149" s="873"/>
      <c r="AF149" s="873"/>
      <c r="AG149" s="873"/>
      <c r="AH149" s="874"/>
      <c r="AI149" s="873"/>
      <c r="AJ149" s="873"/>
      <c r="AK149" s="873"/>
      <c r="AL149" s="872"/>
      <c r="AM149" s="872"/>
      <c r="AN149" s="872"/>
      <c r="AO149" s="872"/>
      <c r="AP149" s="872"/>
      <c r="AQ149" s="872"/>
      <c r="AR149" s="872"/>
      <c r="AS149" s="872"/>
      <c r="AT149" s="872"/>
      <c r="AU149" s="872"/>
      <c r="AV149" s="872"/>
      <c r="AW149" s="872"/>
      <c r="AX149" s="871"/>
      <c r="AY149" s="871"/>
      <c r="AZ149" s="871"/>
      <c r="BA149" s="871"/>
      <c r="BB149" s="871"/>
      <c r="BC149" s="871"/>
      <c r="BD149" s="871"/>
      <c r="BE149" s="871"/>
      <c r="BF149" s="871"/>
      <c r="BG149" s="871"/>
      <c r="BH149" s="871"/>
      <c r="BI149" s="871"/>
      <c r="BJ149" s="871"/>
      <c r="BK149" s="871"/>
      <c r="BL149" s="871"/>
      <c r="BM149" s="871"/>
      <c r="BN149" s="871"/>
      <c r="BO149" s="871"/>
      <c r="BP149" s="871"/>
      <c r="BQ149" s="871"/>
      <c r="BR149" s="871"/>
      <c r="BS149" s="871"/>
      <c r="BT149" s="871"/>
      <c r="BU149" s="871"/>
      <c r="BV149" s="871"/>
      <c r="BW149" s="871"/>
      <c r="BX149" s="871"/>
      <c r="BY149" s="871"/>
      <c r="BZ149" s="871"/>
      <c r="CA149" s="871"/>
      <c r="CB149" s="871"/>
      <c r="CC149" s="871"/>
      <c r="CD149" s="871"/>
      <c r="CE149" s="871"/>
      <c r="CF149" s="871"/>
      <c r="CG149" s="871"/>
      <c r="CH149" s="871"/>
      <c r="CI149" s="871"/>
      <c r="CJ149" s="871"/>
      <c r="CK149" s="871"/>
      <c r="CL149" s="871"/>
      <c r="CM149" s="871"/>
      <c r="CN149" s="871"/>
      <c r="CO149" s="871"/>
      <c r="CP149" s="870"/>
      <c r="CQ149" s="869"/>
      <c r="CR149" s="869"/>
      <c r="CS149" s="869"/>
      <c r="CT149" s="869"/>
      <c r="CU149" s="869"/>
      <c r="CV149" s="869"/>
      <c r="CW149" s="869"/>
      <c r="CX149" s="869"/>
      <c r="CY149" s="869"/>
      <c r="CZ149" s="869"/>
      <c r="DA149" s="869"/>
      <c r="DB149" s="869"/>
      <c r="DC149" s="869"/>
      <c r="DD149" s="869"/>
      <c r="DE149" s="869"/>
      <c r="DF149" s="869"/>
      <c r="DG149" s="869"/>
      <c r="DH149" s="869"/>
      <c r="DI149" s="869"/>
      <c r="DJ149" s="869"/>
      <c r="DK149" s="869"/>
      <c r="DL149" s="869"/>
      <c r="DM149" s="869"/>
      <c r="DN149" s="869"/>
      <c r="DO149" s="869"/>
      <c r="DP149" s="869"/>
      <c r="DQ149" s="869"/>
      <c r="DR149" s="868"/>
      <c r="DS149" s="867"/>
      <c r="DT149" s="866"/>
      <c r="DU149" s="866"/>
      <c r="DV149" s="866"/>
      <c r="DW149" s="866"/>
      <c r="DX149" s="866"/>
      <c r="DY149" s="866"/>
      <c r="DZ149" s="866"/>
    </row>
    <row r="150" spans="2:130" ht="7.5" customHeight="1">
      <c r="B150" s="871"/>
      <c r="C150" s="871"/>
      <c r="D150" s="871"/>
      <c r="E150" s="871"/>
      <c r="F150" s="874"/>
      <c r="G150" s="873"/>
      <c r="H150" s="873"/>
      <c r="I150" s="873"/>
      <c r="J150" s="873"/>
      <c r="K150" s="873"/>
      <c r="L150" s="873"/>
      <c r="M150" s="873"/>
      <c r="N150" s="873"/>
      <c r="O150" s="873"/>
      <c r="P150" s="873"/>
      <c r="Q150" s="873"/>
      <c r="R150" s="873"/>
      <c r="S150" s="873"/>
      <c r="T150" s="873"/>
      <c r="U150" s="873"/>
      <c r="V150" s="873"/>
      <c r="W150" s="873"/>
      <c r="X150" s="873"/>
      <c r="Y150" s="873"/>
      <c r="Z150" s="873"/>
      <c r="AA150" s="873"/>
      <c r="AB150" s="873"/>
      <c r="AC150" s="873"/>
      <c r="AD150" s="873"/>
      <c r="AE150" s="873"/>
      <c r="AF150" s="873"/>
      <c r="AG150" s="873"/>
      <c r="AH150" s="874"/>
      <c r="AI150" s="873"/>
      <c r="AJ150" s="873"/>
      <c r="AK150" s="873"/>
      <c r="AL150" s="872"/>
      <c r="AM150" s="872"/>
      <c r="AN150" s="872"/>
      <c r="AO150" s="872"/>
      <c r="AP150" s="872"/>
      <c r="AQ150" s="872"/>
      <c r="AR150" s="872"/>
      <c r="AS150" s="872"/>
      <c r="AT150" s="872"/>
      <c r="AU150" s="872"/>
      <c r="AV150" s="872"/>
      <c r="AW150" s="872"/>
      <c r="AX150" s="871"/>
      <c r="AY150" s="871"/>
      <c r="AZ150" s="871"/>
      <c r="BA150" s="871"/>
      <c r="BB150" s="871"/>
      <c r="BC150" s="871"/>
      <c r="BD150" s="871"/>
      <c r="BE150" s="871"/>
      <c r="BF150" s="871"/>
      <c r="BG150" s="871"/>
      <c r="BH150" s="871"/>
      <c r="BI150" s="871"/>
      <c r="BJ150" s="871"/>
      <c r="BK150" s="871"/>
      <c r="BL150" s="871"/>
      <c r="BM150" s="871"/>
      <c r="BN150" s="871"/>
      <c r="BO150" s="871"/>
      <c r="BP150" s="871"/>
      <c r="BQ150" s="871"/>
      <c r="BR150" s="871"/>
      <c r="BS150" s="871"/>
      <c r="BT150" s="871"/>
      <c r="BU150" s="871"/>
      <c r="BV150" s="871"/>
      <c r="BW150" s="871"/>
      <c r="BX150" s="871"/>
      <c r="BY150" s="871"/>
      <c r="BZ150" s="871"/>
      <c r="CA150" s="871"/>
      <c r="CB150" s="871"/>
      <c r="CC150" s="871"/>
      <c r="CD150" s="871"/>
      <c r="CE150" s="871"/>
      <c r="CF150" s="871"/>
      <c r="CG150" s="871"/>
      <c r="CH150" s="871"/>
      <c r="CI150" s="871"/>
      <c r="CJ150" s="871"/>
      <c r="CK150" s="871"/>
      <c r="CL150" s="871"/>
      <c r="CM150" s="871"/>
      <c r="CN150" s="871"/>
      <c r="CO150" s="871"/>
      <c r="CP150" s="870"/>
      <c r="CQ150" s="869"/>
      <c r="CR150" s="869"/>
      <c r="CS150" s="869"/>
      <c r="CT150" s="869"/>
      <c r="CU150" s="869"/>
      <c r="CV150" s="869"/>
      <c r="CW150" s="869"/>
      <c r="CX150" s="869"/>
      <c r="CY150" s="869"/>
      <c r="CZ150" s="869"/>
      <c r="DA150" s="869"/>
      <c r="DB150" s="869"/>
      <c r="DC150" s="869"/>
      <c r="DD150" s="869"/>
      <c r="DE150" s="869"/>
      <c r="DF150" s="869"/>
      <c r="DG150" s="869"/>
      <c r="DH150" s="869"/>
      <c r="DI150" s="869"/>
      <c r="DJ150" s="869"/>
      <c r="DK150" s="869"/>
      <c r="DL150" s="869"/>
      <c r="DM150" s="869"/>
      <c r="DN150" s="869"/>
      <c r="DO150" s="869"/>
      <c r="DP150" s="869"/>
      <c r="DQ150" s="869"/>
      <c r="DR150" s="868"/>
      <c r="DS150" s="867"/>
      <c r="DT150" s="866"/>
      <c r="DU150" s="866"/>
      <c r="DV150" s="866"/>
      <c r="DW150" s="866"/>
      <c r="DX150" s="866"/>
      <c r="DY150" s="866"/>
      <c r="DZ150" s="866"/>
    </row>
    <row r="151" spans="2:130" ht="7.5" customHeight="1">
      <c r="B151" s="871"/>
      <c r="C151" s="871"/>
      <c r="D151" s="871"/>
      <c r="E151" s="871"/>
      <c r="F151" s="874"/>
      <c r="G151" s="873"/>
      <c r="H151" s="873"/>
      <c r="I151" s="873"/>
      <c r="J151" s="873"/>
      <c r="K151" s="873"/>
      <c r="L151" s="873"/>
      <c r="M151" s="873"/>
      <c r="N151" s="873"/>
      <c r="O151" s="873"/>
      <c r="P151" s="873"/>
      <c r="Q151" s="873"/>
      <c r="R151" s="873"/>
      <c r="S151" s="873"/>
      <c r="T151" s="873"/>
      <c r="U151" s="873"/>
      <c r="V151" s="873"/>
      <c r="W151" s="873"/>
      <c r="X151" s="873"/>
      <c r="Y151" s="873"/>
      <c r="Z151" s="873"/>
      <c r="AA151" s="873"/>
      <c r="AB151" s="873"/>
      <c r="AC151" s="873"/>
      <c r="AD151" s="873"/>
      <c r="AE151" s="873"/>
      <c r="AF151" s="873"/>
      <c r="AG151" s="873"/>
      <c r="AH151" s="874"/>
      <c r="AI151" s="873"/>
      <c r="AJ151" s="873"/>
      <c r="AK151" s="873"/>
      <c r="AL151" s="872"/>
      <c r="AM151" s="872"/>
      <c r="AN151" s="872"/>
      <c r="AO151" s="872"/>
      <c r="AP151" s="872"/>
      <c r="AQ151" s="872"/>
      <c r="AR151" s="872"/>
      <c r="AS151" s="872"/>
      <c r="AT151" s="872"/>
      <c r="AU151" s="872"/>
      <c r="AV151" s="872"/>
      <c r="AW151" s="872"/>
      <c r="AX151" s="871"/>
      <c r="AY151" s="871"/>
      <c r="AZ151" s="871"/>
      <c r="BA151" s="871"/>
      <c r="BB151" s="871"/>
      <c r="BC151" s="871"/>
      <c r="BD151" s="871"/>
      <c r="BE151" s="871"/>
      <c r="BF151" s="871"/>
      <c r="BG151" s="871"/>
      <c r="BH151" s="871"/>
      <c r="BI151" s="871"/>
      <c r="BJ151" s="871"/>
      <c r="BK151" s="871"/>
      <c r="BL151" s="871"/>
      <c r="BM151" s="871"/>
      <c r="BN151" s="871"/>
      <c r="BO151" s="871"/>
      <c r="BP151" s="871"/>
      <c r="BQ151" s="871"/>
      <c r="BR151" s="871"/>
      <c r="BS151" s="871"/>
      <c r="BT151" s="871"/>
      <c r="BU151" s="871"/>
      <c r="BV151" s="871"/>
      <c r="BW151" s="871"/>
      <c r="BX151" s="871"/>
      <c r="BY151" s="871"/>
      <c r="BZ151" s="871"/>
      <c r="CA151" s="871"/>
      <c r="CB151" s="871"/>
      <c r="CC151" s="871"/>
      <c r="CD151" s="871"/>
      <c r="CE151" s="871"/>
      <c r="CF151" s="871"/>
      <c r="CG151" s="871"/>
      <c r="CH151" s="871"/>
      <c r="CI151" s="871"/>
      <c r="CJ151" s="871"/>
      <c r="CK151" s="871"/>
      <c r="CL151" s="871"/>
      <c r="CM151" s="871"/>
      <c r="CN151" s="871"/>
      <c r="CO151" s="871"/>
      <c r="CP151" s="870"/>
      <c r="CQ151" s="869"/>
      <c r="CR151" s="869"/>
      <c r="CS151" s="869"/>
      <c r="CT151" s="869"/>
      <c r="CU151" s="869"/>
      <c r="CV151" s="869"/>
      <c r="CW151" s="869"/>
      <c r="CX151" s="869"/>
      <c r="CY151" s="869"/>
      <c r="CZ151" s="869"/>
      <c r="DA151" s="869"/>
      <c r="DB151" s="869"/>
      <c r="DC151" s="869"/>
      <c r="DD151" s="869"/>
      <c r="DE151" s="869"/>
      <c r="DF151" s="869"/>
      <c r="DG151" s="869"/>
      <c r="DH151" s="869"/>
      <c r="DI151" s="869"/>
      <c r="DJ151" s="869"/>
      <c r="DK151" s="869"/>
      <c r="DL151" s="869"/>
      <c r="DM151" s="869"/>
      <c r="DN151" s="869"/>
      <c r="DO151" s="869"/>
      <c r="DP151" s="869"/>
      <c r="DQ151" s="869"/>
      <c r="DR151" s="868"/>
      <c r="DS151" s="867"/>
      <c r="DT151" s="866"/>
      <c r="DU151" s="866"/>
      <c r="DV151" s="866"/>
      <c r="DW151" s="866"/>
      <c r="DX151" s="866"/>
      <c r="DY151" s="866"/>
      <c r="DZ151" s="866"/>
    </row>
    <row r="152" spans="2:130" ht="7.5" customHeight="1">
      <c r="B152" s="871"/>
      <c r="C152" s="871"/>
      <c r="D152" s="871"/>
      <c r="E152" s="871"/>
      <c r="F152" s="874"/>
      <c r="G152" s="873"/>
      <c r="H152" s="873"/>
      <c r="I152" s="873"/>
      <c r="J152" s="873"/>
      <c r="K152" s="873"/>
      <c r="L152" s="873"/>
      <c r="M152" s="873"/>
      <c r="N152" s="873"/>
      <c r="O152" s="873"/>
      <c r="P152" s="873"/>
      <c r="Q152" s="873"/>
      <c r="R152" s="873"/>
      <c r="S152" s="873"/>
      <c r="T152" s="873"/>
      <c r="U152" s="873"/>
      <c r="V152" s="873"/>
      <c r="W152" s="873"/>
      <c r="X152" s="873"/>
      <c r="Y152" s="873"/>
      <c r="Z152" s="873"/>
      <c r="AA152" s="873"/>
      <c r="AB152" s="873"/>
      <c r="AC152" s="873"/>
      <c r="AD152" s="873"/>
      <c r="AE152" s="873"/>
      <c r="AF152" s="873"/>
      <c r="AG152" s="873"/>
      <c r="AH152" s="874"/>
      <c r="AI152" s="873"/>
      <c r="AJ152" s="873"/>
      <c r="AK152" s="873"/>
      <c r="AL152" s="872"/>
      <c r="AM152" s="872"/>
      <c r="AN152" s="872"/>
      <c r="AO152" s="872"/>
      <c r="AP152" s="872"/>
      <c r="AQ152" s="872"/>
      <c r="AR152" s="872"/>
      <c r="AS152" s="872"/>
      <c r="AT152" s="872"/>
      <c r="AU152" s="872"/>
      <c r="AV152" s="872"/>
      <c r="AW152" s="872"/>
      <c r="AX152" s="871"/>
      <c r="AY152" s="871"/>
      <c r="AZ152" s="871"/>
      <c r="BA152" s="871"/>
      <c r="BB152" s="871"/>
      <c r="BC152" s="871"/>
      <c r="BD152" s="871"/>
      <c r="BE152" s="871"/>
      <c r="BF152" s="871"/>
      <c r="BG152" s="871"/>
      <c r="BH152" s="871"/>
      <c r="BI152" s="871"/>
      <c r="BJ152" s="871"/>
      <c r="BK152" s="871"/>
      <c r="BL152" s="871"/>
      <c r="BM152" s="871"/>
      <c r="BN152" s="871"/>
      <c r="BO152" s="871"/>
      <c r="BP152" s="871"/>
      <c r="BQ152" s="871"/>
      <c r="BR152" s="871"/>
      <c r="BS152" s="871"/>
      <c r="BT152" s="871"/>
      <c r="BU152" s="871"/>
      <c r="BV152" s="871"/>
      <c r="BW152" s="871"/>
      <c r="BX152" s="871"/>
      <c r="BY152" s="871"/>
      <c r="BZ152" s="871"/>
      <c r="CA152" s="871"/>
      <c r="CB152" s="871"/>
      <c r="CC152" s="871"/>
      <c r="CD152" s="871"/>
      <c r="CE152" s="871"/>
      <c r="CF152" s="871"/>
      <c r="CG152" s="871"/>
      <c r="CH152" s="871"/>
      <c r="CI152" s="871"/>
      <c r="CJ152" s="871"/>
      <c r="CK152" s="871"/>
      <c r="CL152" s="871"/>
      <c r="CM152" s="871"/>
      <c r="CN152" s="871"/>
      <c r="CO152" s="871"/>
      <c r="CP152" s="870"/>
      <c r="CQ152" s="869"/>
      <c r="CR152" s="869"/>
      <c r="CS152" s="869"/>
      <c r="CT152" s="869"/>
      <c r="CU152" s="869"/>
      <c r="CV152" s="869"/>
      <c r="CW152" s="869"/>
      <c r="CX152" s="869"/>
      <c r="CY152" s="869"/>
      <c r="CZ152" s="869"/>
      <c r="DA152" s="869"/>
      <c r="DB152" s="869"/>
      <c r="DC152" s="869"/>
      <c r="DD152" s="869"/>
      <c r="DE152" s="869"/>
      <c r="DF152" s="869"/>
      <c r="DG152" s="869"/>
      <c r="DH152" s="869"/>
      <c r="DI152" s="869"/>
      <c r="DJ152" s="869"/>
      <c r="DK152" s="869"/>
      <c r="DL152" s="869"/>
      <c r="DM152" s="869"/>
      <c r="DN152" s="869"/>
      <c r="DO152" s="869"/>
      <c r="DP152" s="869"/>
      <c r="DQ152" s="869"/>
      <c r="DR152" s="868"/>
      <c r="DS152" s="867"/>
      <c r="DT152" s="866"/>
      <c r="DU152" s="866"/>
      <c r="DV152" s="866"/>
      <c r="DW152" s="866"/>
      <c r="DX152" s="866"/>
      <c r="DY152" s="866"/>
      <c r="DZ152" s="866"/>
    </row>
    <row r="153" spans="2:130" ht="7.5" customHeight="1">
      <c r="B153" s="871"/>
      <c r="C153" s="871"/>
      <c r="D153" s="871"/>
      <c r="E153" s="871"/>
      <c r="F153" s="874"/>
      <c r="G153" s="873"/>
      <c r="H153" s="873"/>
      <c r="I153" s="873"/>
      <c r="J153" s="873"/>
      <c r="K153" s="873"/>
      <c r="L153" s="873"/>
      <c r="M153" s="873"/>
      <c r="N153" s="873"/>
      <c r="O153" s="873"/>
      <c r="P153" s="873"/>
      <c r="Q153" s="873"/>
      <c r="R153" s="873"/>
      <c r="S153" s="873"/>
      <c r="T153" s="873"/>
      <c r="U153" s="873"/>
      <c r="V153" s="873"/>
      <c r="W153" s="873"/>
      <c r="X153" s="873"/>
      <c r="Y153" s="873"/>
      <c r="Z153" s="873"/>
      <c r="AA153" s="873"/>
      <c r="AB153" s="873"/>
      <c r="AC153" s="873"/>
      <c r="AD153" s="873"/>
      <c r="AE153" s="873"/>
      <c r="AF153" s="873"/>
      <c r="AG153" s="873"/>
      <c r="AH153" s="874"/>
      <c r="AI153" s="873"/>
      <c r="AJ153" s="873"/>
      <c r="AK153" s="873"/>
      <c r="AL153" s="872"/>
      <c r="AM153" s="872"/>
      <c r="AN153" s="872"/>
      <c r="AO153" s="872"/>
      <c r="AP153" s="872"/>
      <c r="AQ153" s="872"/>
      <c r="AR153" s="872"/>
      <c r="AS153" s="872"/>
      <c r="AT153" s="872"/>
      <c r="AU153" s="872"/>
      <c r="AV153" s="872"/>
      <c r="AW153" s="872"/>
      <c r="AX153" s="871"/>
      <c r="AY153" s="871"/>
      <c r="AZ153" s="871"/>
      <c r="BA153" s="871"/>
      <c r="BB153" s="871"/>
      <c r="BC153" s="871"/>
      <c r="BD153" s="871"/>
      <c r="BE153" s="871"/>
      <c r="BF153" s="871"/>
      <c r="BG153" s="871"/>
      <c r="BH153" s="871"/>
      <c r="BI153" s="871"/>
      <c r="BJ153" s="871"/>
      <c r="BK153" s="871"/>
      <c r="BL153" s="871"/>
      <c r="BM153" s="871"/>
      <c r="BN153" s="871"/>
      <c r="BO153" s="871"/>
      <c r="BP153" s="871"/>
      <c r="BQ153" s="871"/>
      <c r="BR153" s="871"/>
      <c r="BS153" s="871"/>
      <c r="BT153" s="871"/>
      <c r="BU153" s="871"/>
      <c r="BV153" s="871"/>
      <c r="BW153" s="871"/>
      <c r="BX153" s="871"/>
      <c r="BY153" s="871"/>
      <c r="BZ153" s="871"/>
      <c r="CA153" s="871"/>
      <c r="CB153" s="871"/>
      <c r="CC153" s="871"/>
      <c r="CD153" s="871"/>
      <c r="CE153" s="871"/>
      <c r="CF153" s="871"/>
      <c r="CG153" s="871"/>
      <c r="CH153" s="871"/>
      <c r="CI153" s="871"/>
      <c r="CJ153" s="871"/>
      <c r="CK153" s="871"/>
      <c r="CL153" s="871"/>
      <c r="CM153" s="871"/>
      <c r="CN153" s="871"/>
      <c r="CO153" s="871"/>
      <c r="CP153" s="870"/>
      <c r="CQ153" s="869"/>
      <c r="CR153" s="869"/>
      <c r="CS153" s="869"/>
      <c r="CT153" s="869"/>
      <c r="CU153" s="869"/>
      <c r="CV153" s="869"/>
      <c r="CW153" s="869"/>
      <c r="CX153" s="869"/>
      <c r="CY153" s="869"/>
      <c r="CZ153" s="869"/>
      <c r="DA153" s="869"/>
      <c r="DB153" s="869"/>
      <c r="DC153" s="869"/>
      <c r="DD153" s="869"/>
      <c r="DE153" s="869"/>
      <c r="DF153" s="869"/>
      <c r="DG153" s="869"/>
      <c r="DH153" s="869"/>
      <c r="DI153" s="869"/>
      <c r="DJ153" s="869"/>
      <c r="DK153" s="869"/>
      <c r="DL153" s="869"/>
      <c r="DM153" s="869"/>
      <c r="DN153" s="869"/>
      <c r="DO153" s="869"/>
      <c r="DP153" s="869"/>
      <c r="DQ153" s="869"/>
      <c r="DR153" s="868"/>
      <c r="DS153" s="867"/>
      <c r="DT153" s="866"/>
      <c r="DU153" s="866"/>
      <c r="DV153" s="866"/>
      <c r="DW153" s="866"/>
      <c r="DX153" s="866"/>
      <c r="DY153" s="866"/>
      <c r="DZ153" s="866"/>
    </row>
    <row r="154" spans="2:130" ht="7.5" customHeight="1">
      <c r="B154" s="871"/>
      <c r="C154" s="871"/>
      <c r="D154" s="871"/>
      <c r="E154" s="871"/>
      <c r="F154" s="874"/>
      <c r="G154" s="873"/>
      <c r="H154" s="873"/>
      <c r="I154" s="873"/>
      <c r="J154" s="873"/>
      <c r="K154" s="873"/>
      <c r="L154" s="873"/>
      <c r="M154" s="873"/>
      <c r="N154" s="873"/>
      <c r="O154" s="873"/>
      <c r="P154" s="873"/>
      <c r="Q154" s="873"/>
      <c r="R154" s="873"/>
      <c r="S154" s="873"/>
      <c r="T154" s="873"/>
      <c r="U154" s="873"/>
      <c r="V154" s="873"/>
      <c r="W154" s="873"/>
      <c r="X154" s="873"/>
      <c r="Y154" s="873"/>
      <c r="Z154" s="873"/>
      <c r="AA154" s="873"/>
      <c r="AB154" s="873"/>
      <c r="AC154" s="873"/>
      <c r="AD154" s="873"/>
      <c r="AE154" s="873"/>
      <c r="AF154" s="873"/>
      <c r="AG154" s="873"/>
      <c r="AH154" s="874"/>
      <c r="AI154" s="873"/>
      <c r="AJ154" s="873"/>
      <c r="AK154" s="873"/>
      <c r="AL154" s="872"/>
      <c r="AM154" s="872"/>
      <c r="AN154" s="872"/>
      <c r="AO154" s="872"/>
      <c r="AP154" s="872"/>
      <c r="AQ154" s="872"/>
      <c r="AR154" s="872"/>
      <c r="AS154" s="872"/>
      <c r="AT154" s="872"/>
      <c r="AU154" s="872"/>
      <c r="AV154" s="872"/>
      <c r="AW154" s="872"/>
      <c r="AX154" s="871"/>
      <c r="AY154" s="871"/>
      <c r="AZ154" s="871"/>
      <c r="BA154" s="871"/>
      <c r="BB154" s="871"/>
      <c r="BC154" s="871"/>
      <c r="BD154" s="871"/>
      <c r="BE154" s="871"/>
      <c r="BF154" s="871"/>
      <c r="BG154" s="871"/>
      <c r="BH154" s="871"/>
      <c r="BI154" s="871"/>
      <c r="BJ154" s="871"/>
      <c r="BK154" s="871"/>
      <c r="BL154" s="871"/>
      <c r="BM154" s="871"/>
      <c r="BN154" s="871"/>
      <c r="BO154" s="871"/>
      <c r="BP154" s="871"/>
      <c r="BQ154" s="871"/>
      <c r="BR154" s="871"/>
      <c r="BS154" s="871"/>
      <c r="BT154" s="871"/>
      <c r="BU154" s="871"/>
      <c r="BV154" s="871"/>
      <c r="BW154" s="871"/>
      <c r="BX154" s="871"/>
      <c r="BY154" s="871"/>
      <c r="BZ154" s="871"/>
      <c r="CA154" s="871"/>
      <c r="CB154" s="871"/>
      <c r="CC154" s="871"/>
      <c r="CD154" s="871"/>
      <c r="CE154" s="871"/>
      <c r="CF154" s="871"/>
      <c r="CG154" s="871"/>
      <c r="CH154" s="871"/>
      <c r="CI154" s="871"/>
      <c r="CJ154" s="871"/>
      <c r="CK154" s="871"/>
      <c r="CL154" s="871"/>
      <c r="CM154" s="871"/>
      <c r="CN154" s="871"/>
      <c r="CO154" s="871"/>
      <c r="CP154" s="870"/>
      <c r="CQ154" s="869"/>
      <c r="CR154" s="869"/>
      <c r="CS154" s="869"/>
      <c r="CT154" s="869"/>
      <c r="CU154" s="869"/>
      <c r="CV154" s="869"/>
      <c r="CW154" s="869"/>
      <c r="CX154" s="869"/>
      <c r="CY154" s="869"/>
      <c r="CZ154" s="869"/>
      <c r="DA154" s="869"/>
      <c r="DB154" s="869"/>
      <c r="DC154" s="869"/>
      <c r="DD154" s="869"/>
      <c r="DE154" s="869"/>
      <c r="DF154" s="869"/>
      <c r="DG154" s="869"/>
      <c r="DH154" s="869"/>
      <c r="DI154" s="869"/>
      <c r="DJ154" s="869"/>
      <c r="DK154" s="869"/>
      <c r="DL154" s="869"/>
      <c r="DM154" s="869"/>
      <c r="DN154" s="869"/>
      <c r="DO154" s="869"/>
      <c r="DP154" s="869"/>
      <c r="DQ154" s="869"/>
      <c r="DR154" s="868"/>
      <c r="DS154" s="867"/>
      <c r="DT154" s="866"/>
      <c r="DU154" s="866"/>
      <c r="DV154" s="866"/>
      <c r="DW154" s="866"/>
      <c r="DX154" s="866"/>
      <c r="DY154" s="866"/>
      <c r="DZ154" s="866"/>
    </row>
    <row r="155" spans="2:130" ht="7.5" customHeight="1">
      <c r="B155" s="871"/>
      <c r="C155" s="871"/>
      <c r="D155" s="871"/>
      <c r="E155" s="871"/>
      <c r="F155" s="874"/>
      <c r="G155" s="873"/>
      <c r="H155" s="873"/>
      <c r="I155" s="873"/>
      <c r="J155" s="873"/>
      <c r="K155" s="873"/>
      <c r="L155" s="873"/>
      <c r="M155" s="873"/>
      <c r="N155" s="873"/>
      <c r="O155" s="873"/>
      <c r="P155" s="873"/>
      <c r="Q155" s="873"/>
      <c r="R155" s="873"/>
      <c r="S155" s="873"/>
      <c r="T155" s="873"/>
      <c r="U155" s="873"/>
      <c r="V155" s="873"/>
      <c r="W155" s="873"/>
      <c r="X155" s="873"/>
      <c r="Y155" s="873"/>
      <c r="Z155" s="873"/>
      <c r="AA155" s="873"/>
      <c r="AB155" s="873"/>
      <c r="AC155" s="873"/>
      <c r="AD155" s="873"/>
      <c r="AE155" s="873"/>
      <c r="AF155" s="873"/>
      <c r="AG155" s="873"/>
      <c r="AH155" s="873"/>
      <c r="AI155" s="873"/>
      <c r="AJ155" s="873"/>
      <c r="AK155" s="873"/>
      <c r="AL155" s="872"/>
      <c r="AM155" s="872"/>
      <c r="AN155" s="872"/>
      <c r="AO155" s="872"/>
      <c r="AP155" s="872"/>
      <c r="AQ155" s="872"/>
      <c r="AR155" s="872"/>
      <c r="AS155" s="872"/>
      <c r="AT155" s="872"/>
      <c r="AU155" s="872"/>
      <c r="AV155" s="872"/>
      <c r="AW155" s="872"/>
      <c r="AX155" s="871"/>
      <c r="AY155" s="871"/>
      <c r="AZ155" s="871"/>
      <c r="BA155" s="871"/>
      <c r="BB155" s="871"/>
      <c r="BC155" s="871"/>
      <c r="BD155" s="871"/>
      <c r="BE155" s="871"/>
      <c r="BF155" s="871"/>
      <c r="BG155" s="871"/>
      <c r="BH155" s="871"/>
      <c r="BI155" s="871"/>
      <c r="BJ155" s="871"/>
      <c r="BK155" s="871"/>
      <c r="BL155" s="871"/>
      <c r="BM155" s="871"/>
      <c r="BN155" s="871"/>
      <c r="BO155" s="871"/>
      <c r="BP155" s="871"/>
      <c r="BQ155" s="871"/>
      <c r="BR155" s="871"/>
      <c r="BS155" s="871"/>
      <c r="BT155" s="871"/>
      <c r="BU155" s="871"/>
      <c r="BV155" s="871"/>
      <c r="BW155" s="871"/>
      <c r="BX155" s="871"/>
      <c r="BY155" s="871"/>
      <c r="BZ155" s="871"/>
      <c r="CA155" s="871"/>
      <c r="CB155" s="871"/>
      <c r="CC155" s="871"/>
      <c r="CD155" s="871"/>
      <c r="CE155" s="871"/>
      <c r="CF155" s="871"/>
      <c r="CG155" s="871"/>
      <c r="CH155" s="871"/>
      <c r="CI155" s="871"/>
      <c r="CJ155" s="871"/>
      <c r="CK155" s="871"/>
      <c r="CL155" s="871"/>
      <c r="CM155" s="871"/>
      <c r="CN155" s="871"/>
      <c r="CO155" s="871"/>
      <c r="CP155" s="870"/>
      <c r="CQ155" s="869"/>
      <c r="CR155" s="869"/>
      <c r="CS155" s="869"/>
      <c r="CT155" s="869"/>
      <c r="CU155" s="869"/>
      <c r="CV155" s="869"/>
      <c r="CW155" s="869"/>
      <c r="CX155" s="869"/>
      <c r="CY155" s="869"/>
      <c r="CZ155" s="869"/>
      <c r="DA155" s="869"/>
      <c r="DB155" s="869"/>
      <c r="DC155" s="869"/>
      <c r="DD155" s="869"/>
      <c r="DE155" s="869"/>
      <c r="DF155" s="869"/>
      <c r="DG155" s="869"/>
      <c r="DH155" s="869"/>
      <c r="DI155" s="869"/>
      <c r="DJ155" s="869"/>
      <c r="DK155" s="869"/>
      <c r="DL155" s="869"/>
      <c r="DM155" s="869"/>
      <c r="DN155" s="869"/>
      <c r="DO155" s="869"/>
      <c r="DP155" s="869"/>
      <c r="DQ155" s="869"/>
      <c r="DR155" s="868"/>
      <c r="DS155" s="867"/>
      <c r="DT155" s="866"/>
      <c r="DU155" s="866"/>
      <c r="DV155" s="866"/>
      <c r="DW155" s="866"/>
      <c r="DX155" s="866"/>
      <c r="DY155" s="866"/>
      <c r="DZ155" s="866"/>
    </row>
    <row r="156" spans="2:130" ht="9" customHeight="1">
      <c r="B156" s="865"/>
    </row>
    <row r="157" spans="2:130" ht="9" customHeight="1"/>
    <row r="158" spans="2:130" ht="9" customHeight="1"/>
    <row r="159" spans="2:130" ht="9" customHeight="1"/>
    <row r="160" spans="2:130" ht="9" customHeight="1"/>
    <row r="161" ht="9" customHeight="1"/>
    <row r="162" ht="9" customHeight="1"/>
    <row r="163" ht="9" customHeight="1"/>
    <row r="164" ht="9" customHeight="1"/>
  </sheetData>
  <sheetProtection password="82A0" sheet="1" objects="1" scenarios="1"/>
  <mergeCells count="549">
    <mergeCell ref="AS119:AU120"/>
    <mergeCell ref="AE129:AG130"/>
    <mergeCell ref="AJ119:AL120"/>
    <mergeCell ref="AN119:AP120"/>
    <mergeCell ref="AQ116:AT117"/>
    <mergeCell ref="AE126:AG127"/>
    <mergeCell ref="C127:E128"/>
    <mergeCell ref="AA127:AC128"/>
    <mergeCell ref="CQ112:CS113"/>
    <mergeCell ref="AM116:AP117"/>
    <mergeCell ref="C123:E124"/>
    <mergeCell ref="AE123:AG124"/>
    <mergeCell ref="O124:Q125"/>
    <mergeCell ref="AA124:AC125"/>
    <mergeCell ref="K116:N117"/>
    <mergeCell ref="O116:R117"/>
    <mergeCell ref="K119:M120"/>
    <mergeCell ref="O119:Q120"/>
    <mergeCell ref="S119:U120"/>
    <mergeCell ref="W119:Y120"/>
    <mergeCell ref="CT112:CZ113"/>
    <mergeCell ref="CQ114:CS115"/>
    <mergeCell ref="CT114:CW115"/>
    <mergeCell ref="CQ118:CU119"/>
    <mergeCell ref="G119:I120"/>
    <mergeCell ref="DJ108:DM109"/>
    <mergeCell ref="DN108:DQ109"/>
    <mergeCell ref="CQ110:CR111"/>
    <mergeCell ref="CS110:CS111"/>
    <mergeCell ref="CT110:CW111"/>
    <mergeCell ref="CX110:DA111"/>
    <mergeCell ref="DB110:DE111"/>
    <mergeCell ref="DF110:DI111"/>
    <mergeCell ref="DJ110:DM111"/>
    <mergeCell ref="DN110:DQ111"/>
    <mergeCell ref="CQ108:CR109"/>
    <mergeCell ref="CS108:CS109"/>
    <mergeCell ref="CT108:CW109"/>
    <mergeCell ref="CX108:DA109"/>
    <mergeCell ref="DB108:DE109"/>
    <mergeCell ref="DF108:DI109"/>
    <mergeCell ref="AT108:AV109"/>
    <mergeCell ref="AX108:AZ109"/>
    <mergeCell ref="BB108:BD109"/>
    <mergeCell ref="BM108:BO109"/>
    <mergeCell ref="BQ108:BS109"/>
    <mergeCell ref="BU108:BW109"/>
    <mergeCell ref="DB106:DE107"/>
    <mergeCell ref="DF106:DI107"/>
    <mergeCell ref="DJ106:DM107"/>
    <mergeCell ref="DN106:DQ107"/>
    <mergeCell ref="G108:I109"/>
    <mergeCell ref="K108:M109"/>
    <mergeCell ref="O108:Q109"/>
    <mergeCell ref="Z108:AB109"/>
    <mergeCell ref="AD108:AF109"/>
    <mergeCell ref="AH108:AJ109"/>
    <mergeCell ref="CT104:CW105"/>
    <mergeCell ref="CX104:DA105"/>
    <mergeCell ref="DB104:DE105"/>
    <mergeCell ref="DF104:DI105"/>
    <mergeCell ref="DJ104:DM105"/>
    <mergeCell ref="DN104:DQ105"/>
    <mergeCell ref="C105:E106"/>
    <mergeCell ref="CP106:CP107"/>
    <mergeCell ref="CQ106:CR107"/>
    <mergeCell ref="CS106:CS107"/>
    <mergeCell ref="CT106:CW107"/>
    <mergeCell ref="CX106:DA107"/>
    <mergeCell ref="S104:U105"/>
    <mergeCell ref="AM104:AO106"/>
    <mergeCell ref="AP104:AR105"/>
    <mergeCell ref="BF104:BH106"/>
    <mergeCell ref="BI104:BK105"/>
    <mergeCell ref="BY104:CA105"/>
    <mergeCell ref="DV100:DY100"/>
    <mergeCell ref="C101:E102"/>
    <mergeCell ref="BI101:BK102"/>
    <mergeCell ref="DV101:DY101"/>
    <mergeCell ref="CQ102:CR103"/>
    <mergeCell ref="CS102:CS103"/>
    <mergeCell ref="CT102:CW103"/>
    <mergeCell ref="CX102:DA103"/>
    <mergeCell ref="DB102:DE103"/>
    <mergeCell ref="DF102:DI103"/>
    <mergeCell ref="CX100:DA101"/>
    <mergeCell ref="DB100:DE101"/>
    <mergeCell ref="DF100:DI101"/>
    <mergeCell ref="DJ100:DM101"/>
    <mergeCell ref="DN100:DQ101"/>
    <mergeCell ref="DS100:DU101"/>
    <mergeCell ref="DJ102:DM103"/>
    <mergeCell ref="DN102:DQ103"/>
    <mergeCell ref="DS102:DU103"/>
    <mergeCell ref="DV102:DY102"/>
    <mergeCell ref="V103:X104"/>
    <mergeCell ref="DV103:DY103"/>
    <mergeCell ref="CQ104:CR105"/>
    <mergeCell ref="CS104:CS105"/>
    <mergeCell ref="CP96:CP97"/>
    <mergeCell ref="CQ96:CR97"/>
    <mergeCell ref="CS96:CS97"/>
    <mergeCell ref="CT96:CW97"/>
    <mergeCell ref="AM100:AO101"/>
    <mergeCell ref="AP100:AR101"/>
    <mergeCell ref="CQ100:CR101"/>
    <mergeCell ref="CS100:CS101"/>
    <mergeCell ref="CT100:CW101"/>
    <mergeCell ref="DN98:DQ99"/>
    <mergeCell ref="DS98:DU99"/>
    <mergeCell ref="DV98:DY98"/>
    <mergeCell ref="DV99:DY99"/>
    <mergeCell ref="BY98:CA99"/>
    <mergeCell ref="CQ98:CR99"/>
    <mergeCell ref="CS98:CS99"/>
    <mergeCell ref="CT98:CW99"/>
    <mergeCell ref="CX98:DA99"/>
    <mergeCell ref="DB98:DE99"/>
    <mergeCell ref="DS94:DU95"/>
    <mergeCell ref="DV94:DY94"/>
    <mergeCell ref="DS96:DU97"/>
    <mergeCell ref="DV96:DY96"/>
    <mergeCell ref="C97:E98"/>
    <mergeCell ref="V97:X98"/>
    <mergeCell ref="AP97:AR98"/>
    <mergeCell ref="BF97:BH98"/>
    <mergeCell ref="BI97:BK98"/>
    <mergeCell ref="DV97:DY97"/>
    <mergeCell ref="CS94:CS95"/>
    <mergeCell ref="CT94:CW95"/>
    <mergeCell ref="CX94:DA95"/>
    <mergeCell ref="DB94:DE95"/>
    <mergeCell ref="DF94:DI95"/>
    <mergeCell ref="DJ94:DM95"/>
    <mergeCell ref="CX96:DA97"/>
    <mergeCell ref="DB96:DE97"/>
    <mergeCell ref="DF96:DI97"/>
    <mergeCell ref="DJ96:DM97"/>
    <mergeCell ref="DN96:DQ97"/>
    <mergeCell ref="DV95:DY95"/>
    <mergeCell ref="DF98:DI99"/>
    <mergeCell ref="DJ98:DM99"/>
    <mergeCell ref="DS92:DU93"/>
    <mergeCell ref="DV92:DY92"/>
    <mergeCell ref="DV93:DY93"/>
    <mergeCell ref="G93:I94"/>
    <mergeCell ref="AC93:AE94"/>
    <mergeCell ref="AU93:AW94"/>
    <mergeCell ref="BA93:BC94"/>
    <mergeCell ref="BM93:BO94"/>
    <mergeCell ref="BT93:BV94"/>
    <mergeCell ref="CQ94:CR95"/>
    <mergeCell ref="DN92:DQ93"/>
    <mergeCell ref="DN94:DQ95"/>
    <mergeCell ref="BP91:BS92"/>
    <mergeCell ref="BT91:BW92"/>
    <mergeCell ref="CQ92:CR93"/>
    <mergeCell ref="CS92:CS93"/>
    <mergeCell ref="CT92:CW93"/>
    <mergeCell ref="CX92:DA93"/>
    <mergeCell ref="K91:N92"/>
    <mergeCell ref="O91:R92"/>
    <mergeCell ref="AC91:AF92"/>
    <mergeCell ref="AG91:AJ92"/>
    <mergeCell ref="AW91:AZ92"/>
    <mergeCell ref="BA91:BD92"/>
    <mergeCell ref="CT90:CW91"/>
    <mergeCell ref="CX90:DA91"/>
    <mergeCell ref="DB90:DE91"/>
    <mergeCell ref="DF90:DI91"/>
    <mergeCell ref="DJ90:DM91"/>
    <mergeCell ref="DN90:DQ91"/>
    <mergeCell ref="DB92:DE93"/>
    <mergeCell ref="DF92:DI93"/>
    <mergeCell ref="DJ92:DM93"/>
    <mergeCell ref="CQ85:CS86"/>
    <mergeCell ref="CT85:CZ86"/>
    <mergeCell ref="CQ87:CS88"/>
    <mergeCell ref="CT87:CW88"/>
    <mergeCell ref="BQ83:BS84"/>
    <mergeCell ref="BV83:BX84"/>
    <mergeCell ref="CQ83:CR84"/>
    <mergeCell ref="CS83:CS84"/>
    <mergeCell ref="CT83:CW84"/>
    <mergeCell ref="CX83:DA84"/>
    <mergeCell ref="I83:K84"/>
    <mergeCell ref="N83:P84"/>
    <mergeCell ref="AA83:AC84"/>
    <mergeCell ref="AG83:AI84"/>
    <mergeCell ref="AX83:AZ84"/>
    <mergeCell ref="BC83:BE84"/>
    <mergeCell ref="DF79:DI80"/>
    <mergeCell ref="S80:U81"/>
    <mergeCell ref="BH80:BJ81"/>
    <mergeCell ref="BM80:BO81"/>
    <mergeCell ref="CQ81:CR82"/>
    <mergeCell ref="CS81:CS82"/>
    <mergeCell ref="CT81:CW82"/>
    <mergeCell ref="CX81:DA82"/>
    <mergeCell ref="DB81:DE82"/>
    <mergeCell ref="DF81:DI82"/>
    <mergeCell ref="CX79:DA80"/>
    <mergeCell ref="DB79:DE80"/>
    <mergeCell ref="DB83:DE84"/>
    <mergeCell ref="DF83:DI84"/>
    <mergeCell ref="BH77:BJ78"/>
    <mergeCell ref="BM77:BO78"/>
    <mergeCell ref="CB77:CD78"/>
    <mergeCell ref="CQ77:CR78"/>
    <mergeCell ref="CS77:CS78"/>
    <mergeCell ref="CT77:CW78"/>
    <mergeCell ref="CX77:DA78"/>
    <mergeCell ref="DB77:DE78"/>
    <mergeCell ref="DF73:DI74"/>
    <mergeCell ref="CQ75:CR76"/>
    <mergeCell ref="CS75:CS76"/>
    <mergeCell ref="CT75:CW76"/>
    <mergeCell ref="CX75:DA76"/>
    <mergeCell ref="DB75:DE76"/>
    <mergeCell ref="DS73:DU74"/>
    <mergeCell ref="DV73:DY73"/>
    <mergeCell ref="C78:E79"/>
    <mergeCell ref="AN78:AP79"/>
    <mergeCell ref="W79:Y80"/>
    <mergeCell ref="AS79:AU80"/>
    <mergeCell ref="CQ79:CR80"/>
    <mergeCell ref="CS79:CS80"/>
    <mergeCell ref="CT79:CW80"/>
    <mergeCell ref="DF75:DI76"/>
    <mergeCell ref="DS75:DU76"/>
    <mergeCell ref="DV75:DY75"/>
    <mergeCell ref="DV76:DY76"/>
    <mergeCell ref="DF77:DI78"/>
    <mergeCell ref="CQ73:CR74"/>
    <mergeCell ref="CS73:CS74"/>
    <mergeCell ref="CT73:CW74"/>
    <mergeCell ref="CX73:DA74"/>
    <mergeCell ref="DB73:DE74"/>
    <mergeCell ref="C74:E75"/>
    <mergeCell ref="AS74:AU75"/>
    <mergeCell ref="BM74:BO75"/>
    <mergeCell ref="DV74:DY74"/>
    <mergeCell ref="W75:Y76"/>
    <mergeCell ref="DV70:DY70"/>
    <mergeCell ref="CQ71:CR72"/>
    <mergeCell ref="CS71:CS72"/>
    <mergeCell ref="CT71:CW72"/>
    <mergeCell ref="CX71:DA72"/>
    <mergeCell ref="DB71:DE72"/>
    <mergeCell ref="DF71:DI72"/>
    <mergeCell ref="DS71:DU72"/>
    <mergeCell ref="DV71:DY71"/>
    <mergeCell ref="DV72:DY72"/>
    <mergeCell ref="CX69:DA70"/>
    <mergeCell ref="DB69:DE70"/>
    <mergeCell ref="DF69:DI70"/>
    <mergeCell ref="DS69:DU70"/>
    <mergeCell ref="DV69:DY69"/>
    <mergeCell ref="CS69:CS70"/>
    <mergeCell ref="CT69:CW70"/>
    <mergeCell ref="G70:I71"/>
    <mergeCell ref="AD70:AF71"/>
    <mergeCell ref="AW70:AY71"/>
    <mergeCell ref="BA70:BC71"/>
    <mergeCell ref="BQ70:BS71"/>
    <mergeCell ref="BD68:BG69"/>
    <mergeCell ref="BT68:BW69"/>
    <mergeCell ref="BX68:CA69"/>
    <mergeCell ref="CQ69:CR70"/>
    <mergeCell ref="BU70:BW71"/>
    <mergeCell ref="CQ64:CU65"/>
    <mergeCell ref="CT67:CW68"/>
    <mergeCell ref="CX67:DA68"/>
    <mergeCell ref="DB67:DE68"/>
    <mergeCell ref="DF67:DI68"/>
    <mergeCell ref="J68:M69"/>
    <mergeCell ref="N68:Q69"/>
    <mergeCell ref="AE68:AH69"/>
    <mergeCell ref="AI68:AL69"/>
    <mergeCell ref="AZ68:BC69"/>
    <mergeCell ref="AY61:BA62"/>
    <mergeCell ref="BC61:BE62"/>
    <mergeCell ref="BS61:BU62"/>
    <mergeCell ref="BX61:BZ62"/>
    <mergeCell ref="CQ61:CS62"/>
    <mergeCell ref="CT61:CW62"/>
    <mergeCell ref="DB57:DE58"/>
    <mergeCell ref="DF57:DI58"/>
    <mergeCell ref="BH58:BJ59"/>
    <mergeCell ref="BN58:BP59"/>
    <mergeCell ref="CQ59:CS60"/>
    <mergeCell ref="CT59:CZ60"/>
    <mergeCell ref="C57:E58"/>
    <mergeCell ref="Y57:AA58"/>
    <mergeCell ref="CQ57:CR58"/>
    <mergeCell ref="CS57:CS58"/>
    <mergeCell ref="CT57:CW58"/>
    <mergeCell ref="CX57:DA58"/>
    <mergeCell ref="DS51:DU52"/>
    <mergeCell ref="DV51:DY51"/>
    <mergeCell ref="BH55:BJ56"/>
    <mergeCell ref="BN55:BP56"/>
    <mergeCell ref="CQ55:CR56"/>
    <mergeCell ref="CS55:CS56"/>
    <mergeCell ref="CT55:CW56"/>
    <mergeCell ref="CX55:DA56"/>
    <mergeCell ref="DB55:DE56"/>
    <mergeCell ref="DF55:DI56"/>
    <mergeCell ref="CQ51:CR52"/>
    <mergeCell ref="CS51:CS52"/>
    <mergeCell ref="CT51:CW52"/>
    <mergeCell ref="CX51:DA52"/>
    <mergeCell ref="DB51:DE52"/>
    <mergeCell ref="DF51:DI52"/>
    <mergeCell ref="DV52:DY52"/>
    <mergeCell ref="CQ53:CR54"/>
    <mergeCell ref="CS53:CS54"/>
    <mergeCell ref="CT53:CW54"/>
    <mergeCell ref="CX53:DA54"/>
    <mergeCell ref="DB53:DE54"/>
    <mergeCell ref="DF53:DI54"/>
    <mergeCell ref="DS53:DU54"/>
    <mergeCell ref="DV53:DY53"/>
    <mergeCell ref="DV54:DY54"/>
    <mergeCell ref="BH52:BJ53"/>
    <mergeCell ref="BN52:BP53"/>
    <mergeCell ref="CP51:CP52"/>
    <mergeCell ref="C52:E53"/>
    <mergeCell ref="T52:V53"/>
    <mergeCell ref="Y52:AA53"/>
    <mergeCell ref="DB49:DE50"/>
    <mergeCell ref="DF49:DI50"/>
    <mergeCell ref="DS49:DU50"/>
    <mergeCell ref="DV49:DY49"/>
    <mergeCell ref="DV50:DY50"/>
    <mergeCell ref="DS47:DU48"/>
    <mergeCell ref="DV47:DY47"/>
    <mergeCell ref="AZ46:BC47"/>
    <mergeCell ref="BD46:BG47"/>
    <mergeCell ref="AP51:AR52"/>
    <mergeCell ref="G48:I49"/>
    <mergeCell ref="K48:M49"/>
    <mergeCell ref="O48:Q49"/>
    <mergeCell ref="AC48:AE49"/>
    <mergeCell ref="AG48:AI49"/>
    <mergeCell ref="AK48:AM49"/>
    <mergeCell ref="AW48:AY49"/>
    <mergeCell ref="K46:N47"/>
    <mergeCell ref="O46:R47"/>
    <mergeCell ref="AG46:AJ47"/>
    <mergeCell ref="AK46:AN47"/>
    <mergeCell ref="BR48:BT49"/>
    <mergeCell ref="DV48:DY48"/>
    <mergeCell ref="CQ49:CR50"/>
    <mergeCell ref="CS49:CS50"/>
    <mergeCell ref="CT49:CW50"/>
    <mergeCell ref="CX49:DA50"/>
    <mergeCell ref="DB45:DE46"/>
    <mergeCell ref="DF45:DI46"/>
    <mergeCell ref="BT46:BW47"/>
    <mergeCell ref="BX46:CA47"/>
    <mergeCell ref="CQ47:CR48"/>
    <mergeCell ref="CS47:CS48"/>
    <mergeCell ref="CT47:CW48"/>
    <mergeCell ref="CX47:DA48"/>
    <mergeCell ref="CT45:CW46"/>
    <mergeCell ref="CX45:DA46"/>
    <mergeCell ref="DB47:DE48"/>
    <mergeCell ref="DF47:DI48"/>
    <mergeCell ref="AZ40:BB41"/>
    <mergeCell ref="BD40:BE41"/>
    <mergeCell ref="BU40:BV41"/>
    <mergeCell ref="CQ40:CS41"/>
    <mergeCell ref="CT40:CW41"/>
    <mergeCell ref="CQ43:CU44"/>
    <mergeCell ref="AU34:AW35"/>
    <mergeCell ref="CB34:CC35"/>
    <mergeCell ref="CQ34:CR35"/>
    <mergeCell ref="CS34:CS35"/>
    <mergeCell ref="CT34:CW35"/>
    <mergeCell ref="C37:E38"/>
    <mergeCell ref="Y37:AA38"/>
    <mergeCell ref="AU37:AW38"/>
    <mergeCell ref="CB37:CC38"/>
    <mergeCell ref="CQ38:CS39"/>
    <mergeCell ref="CT38:CZ39"/>
    <mergeCell ref="AP36:AR37"/>
    <mergeCell ref="CP36:CP37"/>
    <mergeCell ref="CQ36:CR37"/>
    <mergeCell ref="CS36:CS37"/>
    <mergeCell ref="DB34:DE35"/>
    <mergeCell ref="DF34:DI35"/>
    <mergeCell ref="DB36:DE37"/>
    <mergeCell ref="DF36:DI37"/>
    <mergeCell ref="CT36:CW37"/>
    <mergeCell ref="CX36:DA37"/>
    <mergeCell ref="CP30:CP31"/>
    <mergeCell ref="CQ30:CR31"/>
    <mergeCell ref="CS30:CS31"/>
    <mergeCell ref="CT30:CW31"/>
    <mergeCell ref="CX30:DA31"/>
    <mergeCell ref="DB30:DE31"/>
    <mergeCell ref="CX34:DA35"/>
    <mergeCell ref="C32:E33"/>
    <mergeCell ref="T32:V33"/>
    <mergeCell ref="AP32:AR33"/>
    <mergeCell ref="CQ32:CR33"/>
    <mergeCell ref="CS32:CS33"/>
    <mergeCell ref="CT32:CW33"/>
    <mergeCell ref="DV29:DY29"/>
    <mergeCell ref="AU31:AW32"/>
    <mergeCell ref="CB31:CC32"/>
    <mergeCell ref="DV31:DY31"/>
    <mergeCell ref="CX32:DA33"/>
    <mergeCell ref="DB32:DE33"/>
    <mergeCell ref="DF32:DI33"/>
    <mergeCell ref="DS32:DU33"/>
    <mergeCell ref="DV32:DY32"/>
    <mergeCell ref="DV33:DY33"/>
    <mergeCell ref="DF30:DI31"/>
    <mergeCell ref="DS30:DU31"/>
    <mergeCell ref="DV30:DY30"/>
    <mergeCell ref="CQ26:CR27"/>
    <mergeCell ref="BV27:BX28"/>
    <mergeCell ref="DV27:DY27"/>
    <mergeCell ref="CQ28:CR29"/>
    <mergeCell ref="CS28:CS29"/>
    <mergeCell ref="CT28:CW29"/>
    <mergeCell ref="CX28:DA29"/>
    <mergeCell ref="DB28:DE29"/>
    <mergeCell ref="DF28:DI29"/>
    <mergeCell ref="DS28:DU29"/>
    <mergeCell ref="DV28:DY28"/>
    <mergeCell ref="DS26:DU27"/>
    <mergeCell ref="DV26:DY26"/>
    <mergeCell ref="CS26:CS27"/>
    <mergeCell ref="CT26:CW27"/>
    <mergeCell ref="CX26:DA27"/>
    <mergeCell ref="DB26:DE27"/>
    <mergeCell ref="DF26:DI27"/>
    <mergeCell ref="K25:N26"/>
    <mergeCell ref="O25:R26"/>
    <mergeCell ref="AG25:AJ26"/>
    <mergeCell ref="AK25:AN26"/>
    <mergeCell ref="BA25:BD26"/>
    <mergeCell ref="BE25:BH26"/>
    <mergeCell ref="BT25:BW26"/>
    <mergeCell ref="BX25:CA26"/>
    <mergeCell ref="G27:I28"/>
    <mergeCell ref="K27:M28"/>
    <mergeCell ref="O27:Q28"/>
    <mergeCell ref="AC27:AE28"/>
    <mergeCell ref="AG27:AI28"/>
    <mergeCell ref="AK27:AM28"/>
    <mergeCell ref="BB27:BD28"/>
    <mergeCell ref="BR27:BT28"/>
    <mergeCell ref="CQ19:CS20"/>
    <mergeCell ref="CT19:CW20"/>
    <mergeCell ref="CQ21:CX23"/>
    <mergeCell ref="CF21:CM23"/>
    <mergeCell ref="CT24:CW25"/>
    <mergeCell ref="CX24:DA25"/>
    <mergeCell ref="DF15:DI16"/>
    <mergeCell ref="DJ15:DM16"/>
    <mergeCell ref="DB24:DE25"/>
    <mergeCell ref="DF24:DI25"/>
    <mergeCell ref="AF17:AH18"/>
    <mergeCell ref="AV17:AX18"/>
    <mergeCell ref="BL17:BN18"/>
    <mergeCell ref="CB17:CC18"/>
    <mergeCell ref="CQ17:CS18"/>
    <mergeCell ref="DJ13:DM14"/>
    <mergeCell ref="DS13:DU14"/>
    <mergeCell ref="DV13:DY13"/>
    <mergeCell ref="DV14:DY14"/>
    <mergeCell ref="DF13:DI14"/>
    <mergeCell ref="CT17:CZ18"/>
    <mergeCell ref="CX15:DA16"/>
    <mergeCell ref="DB15:DE16"/>
    <mergeCell ref="CQ13:CR14"/>
    <mergeCell ref="CS13:CS14"/>
    <mergeCell ref="CT13:CW14"/>
    <mergeCell ref="CX13:DA14"/>
    <mergeCell ref="DB13:DE14"/>
    <mergeCell ref="DS15:DU16"/>
    <mergeCell ref="DV15:DY15"/>
    <mergeCell ref="DV16:DY16"/>
    <mergeCell ref="C13:D15"/>
    <mergeCell ref="AF13:AH14"/>
    <mergeCell ref="AV13:AX14"/>
    <mergeCell ref="BL13:BN14"/>
    <mergeCell ref="CB13:CC14"/>
    <mergeCell ref="P15:R16"/>
    <mergeCell ref="CQ15:CR16"/>
    <mergeCell ref="CS15:CS16"/>
    <mergeCell ref="CT15:CW16"/>
    <mergeCell ref="CQ11:CR12"/>
    <mergeCell ref="CS11:CS12"/>
    <mergeCell ref="CT11:CW12"/>
    <mergeCell ref="CX11:DA12"/>
    <mergeCell ref="DB11:DE12"/>
    <mergeCell ref="DF11:DI12"/>
    <mergeCell ref="DJ11:DM12"/>
    <mergeCell ref="DS11:DU12"/>
    <mergeCell ref="DV11:DY11"/>
    <mergeCell ref="DV12:DY12"/>
    <mergeCell ref="BW9:BY10"/>
    <mergeCell ref="CQ9:CR10"/>
    <mergeCell ref="CS9:CS10"/>
    <mergeCell ref="CT9:CW10"/>
    <mergeCell ref="CX9:DA10"/>
    <mergeCell ref="DB9:DE10"/>
    <mergeCell ref="DV7:DY7"/>
    <mergeCell ref="DV8:DY8"/>
    <mergeCell ref="I9:K10"/>
    <mergeCell ref="V9:X10"/>
    <mergeCell ref="AA9:AC10"/>
    <mergeCell ref="AL9:AN10"/>
    <mergeCell ref="AQ9:AS10"/>
    <mergeCell ref="BB9:BD10"/>
    <mergeCell ref="BG9:BI10"/>
    <mergeCell ref="BR9:BT10"/>
    <mergeCell ref="DF9:DI10"/>
    <mergeCell ref="DJ9:DM10"/>
    <mergeCell ref="DS9:DU10"/>
    <mergeCell ref="DV9:DY9"/>
    <mergeCell ref="DV10:DY10"/>
    <mergeCell ref="CX7:DA8"/>
    <mergeCell ref="DB7:DE8"/>
    <mergeCell ref="DF7:DI8"/>
    <mergeCell ref="DJ7:DM8"/>
    <mergeCell ref="DS7:DU8"/>
    <mergeCell ref="AR7:AU8"/>
    <mergeCell ref="BD7:BG8"/>
    <mergeCell ref="BH7:BK8"/>
    <mergeCell ref="BT7:BW8"/>
    <mergeCell ref="BX7:CA8"/>
    <mergeCell ref="CT7:CW8"/>
    <mergeCell ref="D3:M4"/>
    <mergeCell ref="R3:AD4"/>
    <mergeCell ref="BW3:CB4"/>
    <mergeCell ref="CQ3:CU4"/>
    <mergeCell ref="H7:K8"/>
    <mergeCell ref="L7:O8"/>
    <mergeCell ref="X7:AA8"/>
    <mergeCell ref="AB7:AE8"/>
    <mergeCell ref="AN7:AQ8"/>
    <mergeCell ref="CF3:CJ4"/>
    <mergeCell ref="AE2:BV5"/>
  </mergeCells>
  <phoneticPr fontId="1"/>
  <dataValidations count="5">
    <dataValidation type="list" allowBlank="1" showInputMessage="1" showErrorMessage="1" sqref="CQ17:CS18">
      <formula1>"A,B1,B2,B3,B4"</formula1>
    </dataValidation>
    <dataValidation type="list" allowBlank="1" showInputMessage="1" showErrorMessage="1" sqref="CQ38:CS39">
      <formula1>"C1,C2,C3,C4"</formula1>
    </dataValidation>
    <dataValidation type="list" allowBlank="1" showInputMessage="1" showErrorMessage="1" sqref="CQ59:CS60">
      <formula1>"D1,D2,D3,D4"</formula1>
    </dataValidation>
    <dataValidation type="list" allowBlank="1" showInputMessage="1" showErrorMessage="1" sqref="CQ85:CS86">
      <formula1>"E1,E2,F1,F2"</formula1>
    </dataValidation>
    <dataValidation type="list" allowBlank="1" showInputMessage="1" showErrorMessage="1" sqref="CQ112:CS113">
      <formula1>"F3,F4,G1,G2,H,I"</formula1>
    </dataValidation>
  </dataValidations>
  <hyperlinks>
    <hyperlink ref="CQ21:CX23" r:id="rId1" location="照差!A1" display="RECS-3.xlsx - 照差!A1"/>
    <hyperlink ref="CQ3:CU4" r:id="rId2" location="Top!A46" display="戻る"/>
    <hyperlink ref="CQ43:CU44" r:id="rId3" location="Top!A46" display="戻る"/>
    <hyperlink ref="CQ64:CU65" r:id="rId4" location="Top!A46" display="戻る"/>
    <hyperlink ref="CQ118:CU119" r:id="rId5" location="Top!A46" display="戻る"/>
    <hyperlink ref="CF3:CJ4" r:id="rId6" location="Top!A46" display="戻る"/>
    <hyperlink ref="CF21:CM23" r:id="rId7" location="照差!A1" display="RECS-3(UL).xlsx - 照差!A1"/>
    <hyperlink ref="BW3:CB4" r:id="rId8" location="Help!A1824" display="Help"/>
  </hyperlinks>
  <pageMargins left="0.98425196850393704" right="0.39370078740157483" top="0.47244094488188981" bottom="0.39370078740157483" header="0" footer="0"/>
  <pageSetup paperSize="9" scale="98" orientation="portrait" r:id="rId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AW83"/>
  <sheetViews>
    <sheetView view="pageBreakPreview" zoomScale="120" zoomScaleSheetLayoutView="120" workbookViewId="0"/>
  </sheetViews>
  <sheetFormatPr defaultRowHeight="14.25"/>
  <cols>
    <col min="1" max="1" width="1.42578125" style="1" customWidth="1"/>
    <col min="2" max="39" width="2.7109375" style="1" customWidth="1"/>
    <col min="40" max="40" width="4.7109375" style="1" customWidth="1"/>
    <col min="41" max="42" width="3.7109375" style="1" customWidth="1"/>
    <col min="43" max="43" width="12.7109375" style="1" customWidth="1"/>
    <col min="44" max="49" width="6.28515625" style="1" customWidth="1"/>
    <col min="50" max="61" width="2.85546875" style="1" customWidth="1"/>
    <col min="62" max="16384" width="9.140625" style="1"/>
  </cols>
  <sheetData>
    <row r="1" spans="2:46" ht="7.5" customHeight="1"/>
    <row r="2" spans="2:46" ht="6" customHeight="1" thickBo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2:46" ht="12" customHeight="1" thickBot="1">
      <c r="B3" s="2"/>
      <c r="C3" s="4234" t="s">
        <v>1653</v>
      </c>
      <c r="D3" s="4234"/>
      <c r="E3" s="4234"/>
      <c r="F3" s="4234"/>
      <c r="G3" s="2"/>
      <c r="H3" s="2"/>
      <c r="I3" s="2"/>
      <c r="J3" s="2"/>
      <c r="K3" s="2"/>
      <c r="L3" s="2"/>
      <c r="M3" s="2"/>
      <c r="N3" s="2"/>
      <c r="O3" s="2"/>
      <c r="P3" s="2"/>
      <c r="Q3" s="2"/>
      <c r="R3" s="2"/>
      <c r="S3" s="2"/>
      <c r="T3" s="2"/>
      <c r="U3" s="2"/>
      <c r="V3" s="2"/>
      <c r="W3" s="2"/>
      <c r="X3" s="2"/>
      <c r="Y3" s="2"/>
      <c r="Z3" s="2"/>
      <c r="AA3" s="2"/>
      <c r="AB3" s="2"/>
      <c r="AC3" s="2"/>
      <c r="AD3" s="2"/>
      <c r="AE3" s="2"/>
      <c r="AF3" s="4304" t="s">
        <v>1652</v>
      </c>
      <c r="AG3" s="4305"/>
      <c r="AH3" s="4306"/>
      <c r="AI3" s="2"/>
      <c r="AJ3" s="4304" t="s">
        <v>1651</v>
      </c>
      <c r="AK3" s="4305"/>
      <c r="AL3" s="4306"/>
      <c r="AM3" s="2"/>
      <c r="AP3" s="1203"/>
      <c r="AQ3" s="1203"/>
      <c r="AR3" s="1203"/>
      <c r="AS3" s="1203"/>
      <c r="AT3" s="1203"/>
    </row>
    <row r="4" spans="2:46" ht="6"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3"/>
      <c r="AL4" s="2"/>
      <c r="AM4" s="2"/>
    </row>
    <row r="5" spans="2:46" ht="12" customHeight="1">
      <c r="B5" s="2"/>
      <c r="C5" s="4307" t="s">
        <v>1650</v>
      </c>
      <c r="D5" s="4307"/>
      <c r="E5" s="4307"/>
      <c r="F5" s="4307"/>
      <c r="G5" s="4307"/>
      <c r="H5" s="4307"/>
      <c r="I5" s="4307"/>
      <c r="J5" s="4307"/>
      <c r="K5" s="4308" t="s">
        <v>1649</v>
      </c>
      <c r="L5" s="4308"/>
      <c r="M5" s="4308"/>
      <c r="N5" s="4308"/>
      <c r="O5" s="4308"/>
      <c r="P5" s="4308"/>
      <c r="Q5" s="4308"/>
      <c r="R5" s="4308"/>
      <c r="S5" s="2"/>
      <c r="T5" s="2"/>
      <c r="U5" s="2"/>
      <c r="V5" s="2"/>
      <c r="W5" s="2"/>
      <c r="X5" s="2"/>
      <c r="Y5" s="2"/>
      <c r="Z5" s="2"/>
      <c r="AA5" s="4308" t="s">
        <v>1648</v>
      </c>
      <c r="AB5" s="4308"/>
      <c r="AC5" s="4308"/>
      <c r="AD5" s="4308"/>
      <c r="AE5" s="2"/>
      <c r="AF5" s="2"/>
      <c r="AG5" s="2"/>
      <c r="AH5" s="2"/>
      <c r="AI5" s="2"/>
      <c r="AJ5" s="2"/>
      <c r="AK5" s="2"/>
      <c r="AL5" s="2"/>
      <c r="AM5" s="2"/>
    </row>
    <row r="6" spans="2:46" ht="12" customHeight="1">
      <c r="B6" s="2"/>
      <c r="C6" s="4291" t="s">
        <v>1647</v>
      </c>
      <c r="D6" s="4291"/>
      <c r="E6" s="4291"/>
      <c r="F6" s="4301"/>
      <c r="G6" s="4291" t="s">
        <v>1646</v>
      </c>
      <c r="H6" s="4291"/>
      <c r="I6" s="4291"/>
      <c r="J6" s="4291"/>
      <c r="K6" s="4291" t="s">
        <v>1645</v>
      </c>
      <c r="L6" s="4291"/>
      <c r="M6" s="4291"/>
      <c r="N6" s="4291"/>
      <c r="O6" s="4291" t="s">
        <v>1644</v>
      </c>
      <c r="P6" s="4291"/>
      <c r="Q6" s="4291"/>
      <c r="R6" s="4301"/>
      <c r="S6" s="4291" t="s">
        <v>1643</v>
      </c>
      <c r="T6" s="4291"/>
      <c r="U6" s="4291"/>
      <c r="V6" s="4291"/>
      <c r="W6" s="4291" t="s">
        <v>1642</v>
      </c>
      <c r="X6" s="4291"/>
      <c r="Y6" s="4291"/>
      <c r="Z6" s="4291"/>
      <c r="AA6" s="4302" t="s">
        <v>1641</v>
      </c>
      <c r="AB6" s="4302"/>
      <c r="AC6" s="4302"/>
      <c r="AD6" s="4303"/>
      <c r="AE6" s="4291" t="s">
        <v>1640</v>
      </c>
      <c r="AF6" s="4291"/>
      <c r="AG6" s="4291"/>
      <c r="AH6" s="4291"/>
      <c r="AI6" s="2"/>
      <c r="AJ6" s="2"/>
      <c r="AK6" s="2"/>
      <c r="AL6" s="2"/>
      <c r="AM6" s="2"/>
    </row>
    <row r="7" spans="2:46" ht="12" customHeight="1">
      <c r="B7" s="2"/>
      <c r="C7" s="4291" t="s">
        <v>1639</v>
      </c>
      <c r="D7" s="4291"/>
      <c r="E7" s="4291"/>
      <c r="F7" s="4301"/>
      <c r="G7" s="4291" t="s">
        <v>1638</v>
      </c>
      <c r="H7" s="4291"/>
      <c r="I7" s="4291"/>
      <c r="J7" s="4291"/>
      <c r="K7" s="4291" t="s">
        <v>1637</v>
      </c>
      <c r="L7" s="4291"/>
      <c r="M7" s="4291"/>
      <c r="N7" s="4291"/>
      <c r="O7" s="4291" t="s">
        <v>1636</v>
      </c>
      <c r="P7" s="4291"/>
      <c r="Q7" s="4291"/>
      <c r="R7" s="4301"/>
      <c r="S7" s="4291" t="s">
        <v>1635</v>
      </c>
      <c r="T7" s="4291"/>
      <c r="U7" s="4291"/>
      <c r="V7" s="4291"/>
      <c r="W7" s="4291" t="s">
        <v>1634</v>
      </c>
      <c r="X7" s="4291"/>
      <c r="Y7" s="4291"/>
      <c r="Z7" s="4291"/>
      <c r="AA7" s="4302" t="s">
        <v>1633</v>
      </c>
      <c r="AB7" s="4302"/>
      <c r="AC7" s="4302"/>
      <c r="AD7" s="4303"/>
      <c r="AE7" s="4291" t="s">
        <v>1632</v>
      </c>
      <c r="AF7" s="4291"/>
      <c r="AG7" s="4291"/>
      <c r="AH7" s="4291"/>
      <c r="AI7" s="2"/>
      <c r="AJ7" s="2"/>
      <c r="AK7" s="2"/>
      <c r="AL7" s="2"/>
      <c r="AM7" s="2"/>
    </row>
    <row r="8" spans="2:46" ht="12" customHeight="1">
      <c r="B8" s="2"/>
      <c r="C8" s="4291" t="s">
        <v>1631</v>
      </c>
      <c r="D8" s="4291"/>
      <c r="E8" s="4291"/>
      <c r="F8" s="4301"/>
      <c r="G8" s="4291" t="s">
        <v>1630</v>
      </c>
      <c r="H8" s="4291"/>
      <c r="I8" s="4291"/>
      <c r="J8" s="4291"/>
      <c r="K8" s="4291" t="s">
        <v>1629</v>
      </c>
      <c r="L8" s="4291"/>
      <c r="M8" s="4291"/>
      <c r="N8" s="4291"/>
      <c r="O8" s="4291" t="s">
        <v>1628</v>
      </c>
      <c r="P8" s="4291"/>
      <c r="Q8" s="4291"/>
      <c r="R8" s="4301"/>
      <c r="S8" s="4291" t="s">
        <v>1627</v>
      </c>
      <c r="T8" s="4291"/>
      <c r="U8" s="4291"/>
      <c r="V8" s="4291"/>
      <c r="W8" s="4291" t="s">
        <v>1626</v>
      </c>
      <c r="X8" s="4291"/>
      <c r="Y8" s="4291"/>
      <c r="Z8" s="4291"/>
      <c r="AA8" s="4302" t="s">
        <v>1625</v>
      </c>
      <c r="AB8" s="4302"/>
      <c r="AC8" s="4302"/>
      <c r="AD8" s="4303"/>
      <c r="AE8" s="4291" t="s">
        <v>1624</v>
      </c>
      <c r="AF8" s="4291"/>
      <c r="AG8" s="4291"/>
      <c r="AH8" s="4291"/>
      <c r="AI8" s="2"/>
      <c r="AJ8" s="2"/>
      <c r="AK8" s="2"/>
      <c r="AL8" s="2"/>
      <c r="AM8" s="2"/>
    </row>
    <row r="9" spans="2:46" ht="12" customHeight="1">
      <c r="B9" s="2"/>
      <c r="C9" s="4291" t="s">
        <v>1623</v>
      </c>
      <c r="D9" s="4291"/>
      <c r="E9" s="4291"/>
      <c r="F9" s="4301"/>
      <c r="G9" s="4291" t="s">
        <v>1622</v>
      </c>
      <c r="H9" s="4291"/>
      <c r="I9" s="4291"/>
      <c r="J9" s="4291"/>
      <c r="K9" s="4291" t="s">
        <v>1621</v>
      </c>
      <c r="L9" s="4291"/>
      <c r="M9" s="4291"/>
      <c r="N9" s="4291"/>
      <c r="O9" s="4291" t="s">
        <v>1620</v>
      </c>
      <c r="P9" s="4291"/>
      <c r="Q9" s="4291"/>
      <c r="R9" s="4301"/>
      <c r="S9" s="4291" t="s">
        <v>1619</v>
      </c>
      <c r="T9" s="4291"/>
      <c r="U9" s="4291"/>
      <c r="V9" s="4291"/>
      <c r="W9" s="4291" t="s">
        <v>1618</v>
      </c>
      <c r="X9" s="4291"/>
      <c r="Y9" s="4291"/>
      <c r="Z9" s="4291"/>
      <c r="AA9" s="4302" t="s">
        <v>1617</v>
      </c>
      <c r="AB9" s="4302"/>
      <c r="AC9" s="4302"/>
      <c r="AD9" s="4303"/>
      <c r="AE9" s="4291" t="s">
        <v>1616</v>
      </c>
      <c r="AF9" s="4291"/>
      <c r="AG9" s="4291"/>
      <c r="AH9" s="4291"/>
      <c r="AI9" s="2"/>
      <c r="AJ9" s="2"/>
      <c r="AK9" s="2"/>
      <c r="AL9" s="1202"/>
      <c r="AM9" s="2"/>
    </row>
    <row r="10" spans="2:46" ht="12" customHeight="1">
      <c r="B10" s="2"/>
      <c r="C10" s="4291" t="s">
        <v>1615</v>
      </c>
      <c r="D10" s="4291"/>
      <c r="E10" s="4291"/>
      <c r="F10" s="4301"/>
      <c r="G10" s="4291" t="s">
        <v>1614</v>
      </c>
      <c r="H10" s="4291"/>
      <c r="I10" s="4291"/>
      <c r="J10" s="4291"/>
      <c r="K10" s="4291" t="s">
        <v>1613</v>
      </c>
      <c r="L10" s="4291"/>
      <c r="M10" s="4291"/>
      <c r="N10" s="4291"/>
      <c r="O10" s="2"/>
      <c r="P10" s="2"/>
      <c r="Q10" s="2"/>
      <c r="R10" s="2"/>
      <c r="S10" s="4291" t="s">
        <v>1612</v>
      </c>
      <c r="T10" s="4291"/>
      <c r="U10" s="4291"/>
      <c r="V10" s="4291"/>
      <c r="W10" s="4291" t="s">
        <v>1611</v>
      </c>
      <c r="X10" s="4291"/>
      <c r="Y10" s="4291"/>
      <c r="Z10" s="4291"/>
      <c r="AA10" s="4302" t="s">
        <v>1610</v>
      </c>
      <c r="AB10" s="4302"/>
      <c r="AC10" s="4302"/>
      <c r="AD10" s="4303"/>
      <c r="AE10" s="4291" t="s">
        <v>1609</v>
      </c>
      <c r="AF10" s="4291"/>
      <c r="AG10" s="4291"/>
      <c r="AH10" s="4291"/>
      <c r="AI10" s="2"/>
      <c r="AJ10" s="2"/>
      <c r="AK10" s="2"/>
      <c r="AL10" s="2"/>
      <c r="AM10" s="2"/>
    </row>
    <row r="11" spans="2:46" ht="12" customHeight="1">
      <c r="B11" s="2"/>
      <c r="C11" s="2"/>
      <c r="D11" s="2"/>
      <c r="E11" s="2"/>
      <c r="F11" s="2"/>
      <c r="G11" s="4291" t="s">
        <v>1608</v>
      </c>
      <c r="H11" s="4291"/>
      <c r="I11" s="4291"/>
      <c r="J11" s="4291"/>
      <c r="K11" s="4291" t="s">
        <v>1607</v>
      </c>
      <c r="L11" s="4291"/>
      <c r="M11" s="4291"/>
      <c r="N11" s="4291"/>
      <c r="O11" s="4291" t="s">
        <v>1606</v>
      </c>
      <c r="P11" s="4291"/>
      <c r="Q11" s="4291"/>
      <c r="R11" s="4301"/>
      <c r="S11" s="4291" t="s">
        <v>1605</v>
      </c>
      <c r="T11" s="4291"/>
      <c r="U11" s="4291"/>
      <c r="V11" s="4291"/>
      <c r="W11" s="2"/>
      <c r="X11" s="2"/>
      <c r="Y11" s="2"/>
      <c r="Z11" s="2"/>
      <c r="AA11" s="2"/>
      <c r="AB11" s="2"/>
      <c r="AC11" s="2"/>
      <c r="AD11" s="2"/>
      <c r="AE11" s="2"/>
      <c r="AF11" s="2"/>
      <c r="AG11" s="2"/>
      <c r="AH11" s="2"/>
      <c r="AI11" s="2"/>
      <c r="AJ11" s="2"/>
      <c r="AK11" s="2"/>
      <c r="AL11" s="2"/>
      <c r="AM11" s="2"/>
    </row>
    <row r="12" spans="2:46" ht="12" customHeight="1">
      <c r="B12" s="2"/>
      <c r="C12" s="4291" t="s">
        <v>1604</v>
      </c>
      <c r="D12" s="4291"/>
      <c r="E12" s="4291"/>
      <c r="F12" s="4291"/>
      <c r="G12" s="2"/>
      <c r="H12" s="2"/>
      <c r="I12" s="2"/>
      <c r="J12" s="2"/>
      <c r="K12" s="2"/>
      <c r="L12" s="2"/>
      <c r="M12" s="2"/>
      <c r="N12" s="2"/>
      <c r="O12" s="2"/>
      <c r="P12" s="2"/>
      <c r="Q12" s="2"/>
      <c r="R12" s="2"/>
      <c r="S12" s="4291" t="s">
        <v>1603</v>
      </c>
      <c r="T12" s="4291"/>
      <c r="U12" s="4291"/>
      <c r="V12" s="4291"/>
      <c r="W12" s="4291" t="s">
        <v>1602</v>
      </c>
      <c r="X12" s="4291"/>
      <c r="Y12" s="4291"/>
      <c r="Z12" s="4291"/>
      <c r="AA12" s="2"/>
      <c r="AB12" s="2"/>
      <c r="AC12" s="2"/>
      <c r="AD12" s="2"/>
      <c r="AE12" s="4291" t="s">
        <v>1601</v>
      </c>
      <c r="AF12" s="4291"/>
      <c r="AG12" s="4291"/>
      <c r="AH12" s="4291"/>
      <c r="AI12" s="2"/>
      <c r="AJ12" s="2"/>
      <c r="AK12" s="2"/>
      <c r="AL12" s="2"/>
      <c r="AM12" s="2"/>
    </row>
    <row r="13" spans="2:46" ht="12" customHeight="1">
      <c r="B13" s="2"/>
      <c r="C13" s="4291" t="s">
        <v>1600</v>
      </c>
      <c r="D13" s="4291"/>
      <c r="E13" s="4291"/>
      <c r="F13" s="4291"/>
      <c r="G13" s="4291" t="s">
        <v>1599</v>
      </c>
      <c r="H13" s="4291"/>
      <c r="I13" s="4291"/>
      <c r="J13" s="4291"/>
      <c r="K13" s="4291" t="s">
        <v>1598</v>
      </c>
      <c r="L13" s="4291"/>
      <c r="M13" s="4291"/>
      <c r="N13" s="4291"/>
      <c r="O13" s="2"/>
      <c r="P13" s="2"/>
      <c r="Q13" s="2"/>
      <c r="R13" s="2"/>
      <c r="S13" s="4291" t="s">
        <v>1597</v>
      </c>
      <c r="T13" s="4291"/>
      <c r="U13" s="4291"/>
      <c r="V13" s="4291"/>
      <c r="W13" s="2"/>
      <c r="X13" s="2"/>
      <c r="Y13" s="2"/>
      <c r="Z13" s="2"/>
      <c r="AA13" s="2"/>
      <c r="AB13" s="2"/>
      <c r="AC13" s="2"/>
      <c r="AD13" s="2"/>
      <c r="AE13" s="4291" t="s">
        <v>1596</v>
      </c>
      <c r="AF13" s="4291"/>
      <c r="AG13" s="4291"/>
      <c r="AH13" s="4291"/>
      <c r="AI13" s="2"/>
      <c r="AJ13" s="2"/>
      <c r="AK13" s="2"/>
      <c r="AL13" s="2"/>
      <c r="AM13" s="2"/>
    </row>
    <row r="14" spans="2:46" ht="12"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2:46" ht="12"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2:46" ht="12"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2:39" ht="12"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2:39" ht="12"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2:39" ht="12" customHeight="1">
      <c r="B19" s="2"/>
      <c r="C19" s="4234" t="s">
        <v>1595</v>
      </c>
      <c r="D19" s="4234"/>
      <c r="E19" s="4234"/>
      <c r="F19" s="4234"/>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2:39" ht="12"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1201"/>
      <c r="AG20" s="2"/>
      <c r="AH20" s="2"/>
      <c r="AI20" s="2"/>
      <c r="AJ20" s="2"/>
      <c r="AK20" s="2"/>
      <c r="AL20" s="1201"/>
      <c r="AM20" s="2"/>
    </row>
    <row r="21" spans="2:39" ht="12" customHeight="1">
      <c r="B21" s="2"/>
      <c r="C21" s="4292" t="s">
        <v>1594</v>
      </c>
      <c r="D21" s="4293"/>
      <c r="E21" s="4293"/>
      <c r="F21" s="4294"/>
      <c r="G21" s="4295"/>
      <c r="H21" s="4296"/>
      <c r="I21" s="4295" t="s">
        <v>1591</v>
      </c>
      <c r="J21" s="4297"/>
      <c r="K21" s="4296"/>
      <c r="L21" s="2"/>
      <c r="M21" s="2"/>
      <c r="N21" s="2"/>
      <c r="O21" s="2"/>
      <c r="P21" s="2"/>
      <c r="Q21" s="2"/>
      <c r="R21" s="2"/>
      <c r="S21" s="2"/>
      <c r="T21" s="4298" t="s">
        <v>1593</v>
      </c>
      <c r="U21" s="4299"/>
      <c r="V21" s="4299"/>
      <c r="W21" s="4299"/>
      <c r="X21" s="4300"/>
      <c r="Y21" s="4297" t="s">
        <v>1592</v>
      </c>
      <c r="Z21" s="4296"/>
      <c r="AA21" s="4295" t="s">
        <v>1591</v>
      </c>
      <c r="AB21" s="4297"/>
      <c r="AC21" s="4296"/>
      <c r="AD21" s="2"/>
      <c r="AE21" s="2"/>
      <c r="AF21" s="1201"/>
      <c r="AG21" s="2"/>
      <c r="AH21" s="2"/>
      <c r="AI21" s="2"/>
      <c r="AJ21" s="2"/>
      <c r="AK21" s="2"/>
      <c r="AL21" s="1201"/>
      <c r="AM21" s="2"/>
    </row>
    <row r="22" spans="2:39" ht="12" customHeight="1">
      <c r="B22" s="2"/>
      <c r="C22" s="4245" t="s">
        <v>1590</v>
      </c>
      <c r="D22" s="4246"/>
      <c r="E22" s="4246"/>
      <c r="F22" s="4247"/>
      <c r="G22" s="4248"/>
      <c r="H22" s="4249"/>
      <c r="I22" s="4266">
        <v>0.21099999999999999</v>
      </c>
      <c r="J22" s="4267"/>
      <c r="K22" s="4268"/>
      <c r="L22" s="1199">
        <f t="shared" ref="L22:L38" si="0">G22*I22</f>
        <v>0</v>
      </c>
      <c r="M22" s="2"/>
      <c r="N22" s="2"/>
      <c r="O22" s="2"/>
      <c r="P22" s="2"/>
      <c r="Q22" s="2"/>
      <c r="R22" s="2"/>
      <c r="S22" s="2"/>
      <c r="T22" s="4285" t="s">
        <v>1589</v>
      </c>
      <c r="U22" s="4286"/>
      <c r="V22" s="4286"/>
      <c r="W22" s="4286"/>
      <c r="X22" s="4287"/>
      <c r="Y22" s="4248"/>
      <c r="Z22" s="4249"/>
      <c r="AA22" s="4288">
        <v>1.59</v>
      </c>
      <c r="AB22" s="4289"/>
      <c r="AC22" s="4290"/>
      <c r="AD22" s="1199">
        <f t="shared" ref="AD22:AD38" si="1">Y22*AA22</f>
        <v>0</v>
      </c>
      <c r="AE22" s="2"/>
      <c r="AF22" s="1201"/>
      <c r="AG22" s="2"/>
      <c r="AH22" s="2"/>
      <c r="AI22" s="2"/>
      <c r="AJ22" s="2"/>
      <c r="AK22" s="2"/>
      <c r="AL22" s="1201"/>
      <c r="AM22" s="2"/>
    </row>
    <row r="23" spans="2:39" ht="12" customHeight="1">
      <c r="B23" s="2"/>
      <c r="C23" s="4245" t="s">
        <v>1588</v>
      </c>
      <c r="D23" s="4246"/>
      <c r="E23" s="4246"/>
      <c r="F23" s="4247"/>
      <c r="G23" s="4248"/>
      <c r="H23" s="4249"/>
      <c r="I23" s="4266">
        <v>0.30199999999999999</v>
      </c>
      <c r="J23" s="4267"/>
      <c r="K23" s="4268"/>
      <c r="L23" s="1199">
        <f t="shared" si="0"/>
        <v>0</v>
      </c>
      <c r="M23" s="2"/>
      <c r="N23" s="2"/>
      <c r="O23" s="2"/>
      <c r="P23" s="2"/>
      <c r="Q23" s="2"/>
      <c r="R23" s="2"/>
      <c r="S23" s="2"/>
      <c r="T23" s="4285" t="s">
        <v>1587</v>
      </c>
      <c r="U23" s="4286"/>
      <c r="V23" s="4286"/>
      <c r="W23" s="4286"/>
      <c r="X23" s="4287"/>
      <c r="Y23" s="4248"/>
      <c r="Z23" s="4249"/>
      <c r="AA23" s="4288">
        <v>1.77</v>
      </c>
      <c r="AB23" s="4289"/>
      <c r="AC23" s="4290"/>
      <c r="AD23" s="1199">
        <f t="shared" si="1"/>
        <v>0</v>
      </c>
      <c r="AE23" s="2"/>
      <c r="AF23" s="2"/>
      <c r="AG23" s="2"/>
      <c r="AH23" s="2"/>
      <c r="AI23" s="2"/>
      <c r="AJ23" s="2"/>
      <c r="AK23" s="2"/>
      <c r="AL23" s="2"/>
      <c r="AM23" s="2"/>
    </row>
    <row r="24" spans="2:39" ht="12" customHeight="1">
      <c r="B24" s="2"/>
      <c r="C24" s="4245" t="s">
        <v>1586</v>
      </c>
      <c r="D24" s="4246"/>
      <c r="E24" s="4246"/>
      <c r="F24" s="4247"/>
      <c r="G24" s="4248"/>
      <c r="H24" s="4249"/>
      <c r="I24" s="4266">
        <v>0.26400000000000001</v>
      </c>
      <c r="J24" s="4267"/>
      <c r="K24" s="4268"/>
      <c r="L24" s="1199">
        <f t="shared" si="0"/>
        <v>0</v>
      </c>
      <c r="M24" s="2"/>
      <c r="N24" s="2"/>
      <c r="O24" s="2"/>
      <c r="P24" s="2"/>
      <c r="Q24" s="2"/>
      <c r="R24" s="2"/>
      <c r="S24" s="2"/>
      <c r="T24" s="4285" t="s">
        <v>1585</v>
      </c>
      <c r="U24" s="4286"/>
      <c r="V24" s="4286"/>
      <c r="W24" s="4286"/>
      <c r="X24" s="4287"/>
      <c r="Y24" s="4248"/>
      <c r="Z24" s="4249"/>
      <c r="AA24" s="4288">
        <v>1.86</v>
      </c>
      <c r="AB24" s="4289"/>
      <c r="AC24" s="4290"/>
      <c r="AD24" s="1199">
        <f t="shared" si="1"/>
        <v>0</v>
      </c>
      <c r="AE24" s="2"/>
      <c r="AF24" s="2"/>
      <c r="AG24" s="2"/>
      <c r="AH24" s="2"/>
      <c r="AI24" s="2"/>
      <c r="AJ24" s="2"/>
      <c r="AK24" s="2"/>
      <c r="AL24" s="2"/>
      <c r="AM24" s="2"/>
    </row>
    <row r="25" spans="2:39" ht="12" customHeight="1">
      <c r="B25" s="2"/>
      <c r="C25" s="4245" t="s">
        <v>1584</v>
      </c>
      <c r="D25" s="4246"/>
      <c r="E25" s="4246"/>
      <c r="F25" s="4247"/>
      <c r="G25" s="4248"/>
      <c r="H25" s="4249"/>
      <c r="I25" s="4266">
        <v>0.38</v>
      </c>
      <c r="J25" s="4267"/>
      <c r="K25" s="4268"/>
      <c r="L25" s="1199">
        <f t="shared" si="0"/>
        <v>0</v>
      </c>
      <c r="M25" s="2"/>
      <c r="N25" s="2"/>
      <c r="O25" s="2"/>
      <c r="P25" s="2"/>
      <c r="Q25" s="2"/>
      <c r="R25" s="2"/>
      <c r="S25" s="2"/>
      <c r="T25" s="4285" t="s">
        <v>1583</v>
      </c>
      <c r="U25" s="4286"/>
      <c r="V25" s="4286"/>
      <c r="W25" s="4286"/>
      <c r="X25" s="4287"/>
      <c r="Y25" s="4248"/>
      <c r="Z25" s="4249"/>
      <c r="AA25" s="4288">
        <v>1.95</v>
      </c>
      <c r="AB25" s="4289"/>
      <c r="AC25" s="4290"/>
      <c r="AD25" s="1199">
        <f t="shared" si="1"/>
        <v>0</v>
      </c>
      <c r="AE25" s="2"/>
      <c r="AF25" s="2"/>
      <c r="AG25" s="2"/>
      <c r="AH25" s="2"/>
      <c r="AI25" s="2"/>
      <c r="AJ25" s="2"/>
      <c r="AK25" s="2"/>
      <c r="AL25" s="2"/>
      <c r="AM25" s="2"/>
    </row>
    <row r="26" spans="2:39" ht="12" customHeight="1">
      <c r="B26" s="2"/>
      <c r="C26" s="4245" t="s">
        <v>1582</v>
      </c>
      <c r="D26" s="4246"/>
      <c r="E26" s="4246"/>
      <c r="F26" s="4247"/>
      <c r="G26" s="4248"/>
      <c r="H26" s="4249"/>
      <c r="I26" s="4266">
        <v>0.52600000000000002</v>
      </c>
      <c r="J26" s="4267"/>
      <c r="K26" s="4268"/>
      <c r="L26" s="1199">
        <f t="shared" si="0"/>
        <v>0</v>
      </c>
      <c r="M26" s="2"/>
      <c r="N26" s="2"/>
      <c r="O26" s="2"/>
      <c r="P26" s="2"/>
      <c r="Q26" s="2"/>
      <c r="R26" s="2"/>
      <c r="S26" s="2"/>
      <c r="T26" s="4285" t="s">
        <v>1581</v>
      </c>
      <c r="U26" s="4286"/>
      <c r="V26" s="4286"/>
      <c r="W26" s="4286"/>
      <c r="X26" s="4287"/>
      <c r="Y26" s="4248"/>
      <c r="Z26" s="4249"/>
      <c r="AA26" s="4288">
        <v>2.12</v>
      </c>
      <c r="AB26" s="4289"/>
      <c r="AC26" s="4290"/>
      <c r="AD26" s="1199">
        <f t="shared" si="1"/>
        <v>0</v>
      </c>
      <c r="AE26" s="2"/>
      <c r="AF26" s="2"/>
      <c r="AG26" s="2"/>
      <c r="AH26" s="2"/>
      <c r="AI26" s="2"/>
      <c r="AJ26" s="2"/>
      <c r="AK26" s="2"/>
      <c r="AL26" s="2"/>
      <c r="AM26" s="2"/>
    </row>
    <row r="27" spans="2:39" ht="12" customHeight="1">
      <c r="B27" s="2"/>
      <c r="C27" s="4245" t="s">
        <v>1580</v>
      </c>
      <c r="D27" s="4246"/>
      <c r="E27" s="4246"/>
      <c r="F27" s="4247"/>
      <c r="G27" s="4248"/>
      <c r="H27" s="4249"/>
      <c r="I27" s="4266">
        <v>0.74099999999999999</v>
      </c>
      <c r="J27" s="4267"/>
      <c r="K27" s="4268"/>
      <c r="L27" s="1199">
        <f t="shared" si="0"/>
        <v>0</v>
      </c>
      <c r="M27" s="2"/>
      <c r="N27" s="2"/>
      <c r="O27" s="2"/>
      <c r="P27" s="2"/>
      <c r="Q27" s="2"/>
      <c r="R27" s="2"/>
      <c r="S27" s="2"/>
      <c r="T27" s="4285" t="s">
        <v>1579</v>
      </c>
      <c r="U27" s="4286"/>
      <c r="V27" s="4286"/>
      <c r="W27" s="4286"/>
      <c r="X27" s="4287"/>
      <c r="Y27" s="4248"/>
      <c r="Z27" s="4249"/>
      <c r="AA27" s="4288">
        <v>2.2999999999999998</v>
      </c>
      <c r="AB27" s="4289"/>
      <c r="AC27" s="4290"/>
      <c r="AD27" s="1199">
        <f t="shared" si="1"/>
        <v>0</v>
      </c>
      <c r="AE27" s="2"/>
      <c r="AF27" s="2"/>
      <c r="AG27" s="2"/>
      <c r="AH27" s="2"/>
      <c r="AI27" s="2"/>
      <c r="AJ27" s="2"/>
      <c r="AK27" s="2"/>
      <c r="AL27" s="2"/>
      <c r="AM27" s="2"/>
    </row>
    <row r="28" spans="2:39" ht="12" customHeight="1">
      <c r="B28" s="2"/>
      <c r="C28" s="4245" t="s">
        <v>1578</v>
      </c>
      <c r="D28" s="4246"/>
      <c r="E28" s="4246"/>
      <c r="F28" s="4247"/>
      <c r="G28" s="4248"/>
      <c r="H28" s="4249"/>
      <c r="I28" s="4266">
        <v>0.89400000000000002</v>
      </c>
      <c r="J28" s="4267"/>
      <c r="K28" s="4268"/>
      <c r="L28" s="1199">
        <f t="shared" si="0"/>
        <v>0</v>
      </c>
      <c r="M28" s="2"/>
      <c r="N28" s="2"/>
      <c r="O28" s="2"/>
      <c r="P28" s="2"/>
      <c r="Q28" s="2"/>
      <c r="R28" s="2"/>
      <c r="S28" s="2"/>
      <c r="T28" s="4285" t="s">
        <v>1577</v>
      </c>
      <c r="U28" s="4286"/>
      <c r="V28" s="4286"/>
      <c r="W28" s="4286"/>
      <c r="X28" s="4287"/>
      <c r="Y28" s="4248"/>
      <c r="Z28" s="4249"/>
      <c r="AA28" s="4288">
        <v>2.57</v>
      </c>
      <c r="AB28" s="4289"/>
      <c r="AC28" s="4290"/>
      <c r="AD28" s="1199">
        <f t="shared" si="1"/>
        <v>0</v>
      </c>
      <c r="AE28" s="2"/>
      <c r="AF28" s="2"/>
      <c r="AG28" s="2"/>
      <c r="AH28" s="2"/>
      <c r="AI28" s="2"/>
      <c r="AJ28" s="2"/>
      <c r="AK28" s="2"/>
      <c r="AL28" s="2"/>
      <c r="AM28" s="2"/>
    </row>
    <row r="29" spans="2:39" ht="12" customHeight="1">
      <c r="B29" s="2"/>
      <c r="C29" s="4245" t="s">
        <v>1576</v>
      </c>
      <c r="D29" s="4246"/>
      <c r="E29" s="4246"/>
      <c r="F29" s="4247"/>
      <c r="G29" s="4248"/>
      <c r="H29" s="4249"/>
      <c r="I29" s="4266">
        <v>0.38700000000000001</v>
      </c>
      <c r="J29" s="4267"/>
      <c r="K29" s="4268"/>
      <c r="L29" s="1199">
        <f t="shared" si="0"/>
        <v>0</v>
      </c>
      <c r="M29" s="2"/>
      <c r="N29" s="2"/>
      <c r="O29" s="2"/>
      <c r="P29" s="2"/>
      <c r="Q29" s="2"/>
      <c r="R29" s="2"/>
      <c r="S29" s="2"/>
      <c r="T29" s="4285" t="s">
        <v>1575</v>
      </c>
      <c r="U29" s="4286"/>
      <c r="V29" s="4286"/>
      <c r="W29" s="4286"/>
      <c r="X29" s="4287"/>
      <c r="Y29" s="4248"/>
      <c r="Z29" s="4249"/>
      <c r="AA29" s="4288">
        <v>2.92</v>
      </c>
      <c r="AB29" s="4289"/>
      <c r="AC29" s="4290"/>
      <c r="AD29" s="1199">
        <f t="shared" si="1"/>
        <v>0</v>
      </c>
      <c r="AE29" s="2"/>
      <c r="AF29" s="2"/>
      <c r="AG29" s="2"/>
      <c r="AH29" s="2"/>
      <c r="AI29" s="2"/>
      <c r="AJ29" s="2"/>
      <c r="AK29" s="2"/>
      <c r="AL29" s="2"/>
      <c r="AM29" s="2"/>
    </row>
    <row r="30" spans="2:39" ht="12" customHeight="1">
      <c r="B30" s="2"/>
      <c r="C30" s="4245" t="s">
        <v>1574</v>
      </c>
      <c r="D30" s="4246"/>
      <c r="E30" s="4246"/>
      <c r="F30" s="4247"/>
      <c r="G30" s="4248"/>
      <c r="H30" s="4249"/>
      <c r="I30" s="4266">
        <v>0.55800000000000005</v>
      </c>
      <c r="J30" s="4267"/>
      <c r="K30" s="4268"/>
      <c r="L30" s="1199">
        <f t="shared" si="0"/>
        <v>0</v>
      </c>
      <c r="M30" s="2"/>
      <c r="N30" s="2"/>
      <c r="O30" s="2"/>
      <c r="P30" s="2"/>
      <c r="Q30" s="2"/>
      <c r="R30" s="2"/>
      <c r="S30" s="2"/>
      <c r="T30" s="4285" t="s">
        <v>1573</v>
      </c>
      <c r="U30" s="4286"/>
      <c r="V30" s="4286"/>
      <c r="W30" s="4286"/>
      <c r="X30" s="4287"/>
      <c r="Y30" s="4248"/>
      <c r="Z30" s="4249"/>
      <c r="AA30" s="4288">
        <v>3.1</v>
      </c>
      <c r="AB30" s="4289"/>
      <c r="AC30" s="4290"/>
      <c r="AD30" s="1199">
        <f t="shared" si="1"/>
        <v>0</v>
      </c>
      <c r="AE30" s="2"/>
      <c r="AF30" s="2"/>
      <c r="AG30" s="2"/>
      <c r="AH30" s="2"/>
      <c r="AI30" s="2"/>
      <c r="AJ30" s="2"/>
      <c r="AK30" s="2"/>
      <c r="AL30" s="2"/>
      <c r="AM30" s="2"/>
    </row>
    <row r="31" spans="2:39" ht="12" customHeight="1">
      <c r="B31" s="2"/>
      <c r="C31" s="4245" t="s">
        <v>1572</v>
      </c>
      <c r="D31" s="4246"/>
      <c r="E31" s="4246"/>
      <c r="F31" s="4247"/>
      <c r="G31" s="4248"/>
      <c r="H31" s="4249"/>
      <c r="I31" s="4266">
        <v>0.70799999999999996</v>
      </c>
      <c r="J31" s="4267"/>
      <c r="K31" s="4268"/>
      <c r="L31" s="1199">
        <f t="shared" si="0"/>
        <v>0</v>
      </c>
      <c r="M31" s="2"/>
      <c r="N31" s="2"/>
      <c r="O31" s="2"/>
      <c r="P31" s="2"/>
      <c r="Q31" s="2"/>
      <c r="R31" s="2"/>
      <c r="S31" s="2"/>
      <c r="T31" s="4285" t="s">
        <v>1571</v>
      </c>
      <c r="U31" s="4286"/>
      <c r="V31" s="4286"/>
      <c r="W31" s="4286"/>
      <c r="X31" s="4287"/>
      <c r="Y31" s="4248"/>
      <c r="Z31" s="4249"/>
      <c r="AA31" s="4288">
        <v>3.19</v>
      </c>
      <c r="AB31" s="4289"/>
      <c r="AC31" s="4290"/>
      <c r="AD31" s="1199">
        <f t="shared" si="1"/>
        <v>0</v>
      </c>
      <c r="AE31" s="2"/>
      <c r="AF31" s="2"/>
      <c r="AG31" s="2"/>
      <c r="AH31" s="2"/>
      <c r="AI31" s="2"/>
      <c r="AJ31" s="2"/>
      <c r="AK31" s="2"/>
      <c r="AL31" s="2"/>
      <c r="AM31" s="2"/>
    </row>
    <row r="32" spans="2:39" ht="12" customHeight="1" thickBot="1">
      <c r="B32" s="2"/>
      <c r="C32" s="4245" t="s">
        <v>1570</v>
      </c>
      <c r="D32" s="4246"/>
      <c r="E32" s="4246"/>
      <c r="F32" s="4247"/>
      <c r="G32" s="4248"/>
      <c r="H32" s="4249"/>
      <c r="I32" s="4266">
        <v>1.04</v>
      </c>
      <c r="J32" s="4267"/>
      <c r="K32" s="4268"/>
      <c r="L32" s="1199">
        <f t="shared" si="0"/>
        <v>0</v>
      </c>
      <c r="M32" s="2"/>
      <c r="N32" s="2"/>
      <c r="O32" s="2"/>
      <c r="P32" s="2"/>
      <c r="Q32" s="2"/>
      <c r="R32" s="2"/>
      <c r="S32" s="2"/>
      <c r="T32" s="4269" t="s">
        <v>1569</v>
      </c>
      <c r="U32" s="4270"/>
      <c r="V32" s="4270"/>
      <c r="W32" s="4270"/>
      <c r="X32" s="4271"/>
      <c r="Y32" s="4272"/>
      <c r="Z32" s="4273"/>
      <c r="AA32" s="4274">
        <v>3.27</v>
      </c>
      <c r="AB32" s="4275"/>
      <c r="AC32" s="4276"/>
      <c r="AD32" s="1199">
        <f t="shared" si="1"/>
        <v>0</v>
      </c>
      <c r="AE32" s="2"/>
      <c r="AF32" s="2"/>
      <c r="AG32" s="2"/>
      <c r="AH32" s="2"/>
      <c r="AI32" s="2"/>
      <c r="AJ32" s="2"/>
      <c r="AK32" s="2"/>
      <c r="AL32" s="2"/>
      <c r="AM32" s="2"/>
    </row>
    <row r="33" spans="2:43" ht="12" customHeight="1">
      <c r="B33" s="2"/>
      <c r="C33" s="4245" t="s">
        <v>1568</v>
      </c>
      <c r="D33" s="4246"/>
      <c r="E33" s="4246"/>
      <c r="F33" s="4247"/>
      <c r="G33" s="4248"/>
      <c r="H33" s="4249"/>
      <c r="I33" s="4266">
        <v>1.26</v>
      </c>
      <c r="J33" s="4267"/>
      <c r="K33" s="4268"/>
      <c r="L33" s="1199">
        <f t="shared" si="0"/>
        <v>0</v>
      </c>
      <c r="M33" s="2"/>
      <c r="N33" s="2"/>
      <c r="O33" s="2"/>
      <c r="P33" s="2"/>
      <c r="Q33" s="2"/>
      <c r="R33" s="2"/>
      <c r="S33" s="2"/>
      <c r="T33" s="4277" t="s">
        <v>1567</v>
      </c>
      <c r="U33" s="4278"/>
      <c r="V33" s="4278"/>
      <c r="W33" s="4278"/>
      <c r="X33" s="4279"/>
      <c r="Y33" s="4280"/>
      <c r="Z33" s="4281"/>
      <c r="AA33" s="4282">
        <v>0.38</v>
      </c>
      <c r="AB33" s="4283"/>
      <c r="AC33" s="4284"/>
      <c r="AD33" s="1199">
        <f t="shared" si="1"/>
        <v>0</v>
      </c>
      <c r="AE33" s="2"/>
      <c r="AF33" s="2"/>
      <c r="AG33" s="2"/>
      <c r="AH33" s="2"/>
      <c r="AI33" s="2"/>
      <c r="AJ33" s="2"/>
      <c r="AK33" s="2"/>
      <c r="AL33" s="2"/>
      <c r="AM33" s="2"/>
    </row>
    <row r="34" spans="2:43" ht="12" customHeight="1">
      <c r="B34" s="2"/>
      <c r="C34" s="4245" t="s">
        <v>1566</v>
      </c>
      <c r="D34" s="4246"/>
      <c r="E34" s="4246"/>
      <c r="F34" s="4247"/>
      <c r="G34" s="4248"/>
      <c r="H34" s="4249"/>
      <c r="I34" s="4266">
        <v>0.503</v>
      </c>
      <c r="J34" s="4267"/>
      <c r="K34" s="4268"/>
      <c r="L34" s="1199">
        <f t="shared" si="0"/>
        <v>0</v>
      </c>
      <c r="M34" s="2"/>
      <c r="N34" s="1200"/>
      <c r="O34" s="2"/>
      <c r="P34" s="2"/>
      <c r="Q34" s="2"/>
      <c r="R34" s="2"/>
      <c r="S34" s="2"/>
      <c r="T34" s="4253" t="s">
        <v>1565</v>
      </c>
      <c r="U34" s="4254"/>
      <c r="V34" s="4254"/>
      <c r="W34" s="4254"/>
      <c r="X34" s="4255"/>
      <c r="Y34" s="4248"/>
      <c r="Z34" s="4249"/>
      <c r="AA34" s="4266">
        <v>0.55800000000000005</v>
      </c>
      <c r="AB34" s="4267"/>
      <c r="AC34" s="4268"/>
      <c r="AD34" s="1199">
        <f t="shared" si="1"/>
        <v>0</v>
      </c>
      <c r="AE34" s="2"/>
      <c r="AF34" s="2"/>
      <c r="AG34" s="2"/>
      <c r="AH34" s="2"/>
      <c r="AI34" s="2"/>
      <c r="AJ34" s="2"/>
      <c r="AK34" s="2"/>
      <c r="AL34" s="2"/>
      <c r="AM34" s="2"/>
    </row>
    <row r="35" spans="2:43" ht="12" customHeight="1">
      <c r="B35" s="2"/>
      <c r="C35" s="4245" t="s">
        <v>1564</v>
      </c>
      <c r="D35" s="4246"/>
      <c r="E35" s="4246"/>
      <c r="F35" s="4247"/>
      <c r="G35" s="4248"/>
      <c r="H35" s="4249"/>
      <c r="I35" s="4266">
        <v>0.72499999999999998</v>
      </c>
      <c r="J35" s="4267"/>
      <c r="K35" s="4268"/>
      <c r="L35" s="1199">
        <f t="shared" si="0"/>
        <v>0</v>
      </c>
      <c r="M35" s="2"/>
      <c r="N35" s="2"/>
      <c r="O35" s="2"/>
      <c r="P35" s="2"/>
      <c r="Q35" s="2"/>
      <c r="R35" s="2"/>
      <c r="S35" s="2"/>
      <c r="T35" s="4253" t="s">
        <v>1563</v>
      </c>
      <c r="U35" s="4254"/>
      <c r="V35" s="4254"/>
      <c r="W35" s="4254"/>
      <c r="X35" s="4255"/>
      <c r="Y35" s="4248"/>
      <c r="Z35" s="4249"/>
      <c r="AA35" s="4266">
        <v>0.70799999999999996</v>
      </c>
      <c r="AB35" s="4267"/>
      <c r="AC35" s="4268"/>
      <c r="AD35" s="1199">
        <f t="shared" si="1"/>
        <v>0</v>
      </c>
      <c r="AE35" s="2"/>
      <c r="AF35" s="2"/>
      <c r="AG35" s="2"/>
      <c r="AH35" s="2"/>
      <c r="AI35" s="2"/>
      <c r="AJ35" s="2"/>
      <c r="AK35" s="2"/>
      <c r="AL35" s="2"/>
      <c r="AM35" s="2"/>
    </row>
    <row r="36" spans="2:43" ht="12" customHeight="1">
      <c r="B36" s="2"/>
      <c r="C36" s="4245" t="s">
        <v>1562</v>
      </c>
      <c r="D36" s="4246"/>
      <c r="E36" s="4246"/>
      <c r="F36" s="4247"/>
      <c r="G36" s="4248"/>
      <c r="H36" s="4249"/>
      <c r="I36" s="4266">
        <v>0.92</v>
      </c>
      <c r="J36" s="4267"/>
      <c r="K36" s="4268"/>
      <c r="L36" s="1199">
        <f t="shared" si="0"/>
        <v>0</v>
      </c>
      <c r="M36" s="2"/>
      <c r="N36" s="2"/>
      <c r="O36" s="2"/>
      <c r="P36" s="2"/>
      <c r="Q36" s="2"/>
      <c r="R36" s="2"/>
      <c r="S36" s="2"/>
      <c r="T36" s="4253" t="s">
        <v>1561</v>
      </c>
      <c r="U36" s="4254"/>
      <c r="V36" s="4254"/>
      <c r="W36" s="4254"/>
      <c r="X36" s="4255"/>
      <c r="Y36" s="4248"/>
      <c r="Z36" s="4249"/>
      <c r="AA36" s="4266">
        <v>1.04</v>
      </c>
      <c r="AB36" s="4267"/>
      <c r="AC36" s="4268"/>
      <c r="AD36" s="1199">
        <f t="shared" si="1"/>
        <v>0</v>
      </c>
      <c r="AE36" s="2"/>
      <c r="AF36" s="2"/>
      <c r="AG36" s="2"/>
      <c r="AH36" s="2"/>
      <c r="AI36" s="2"/>
      <c r="AJ36" s="2"/>
      <c r="AK36" s="2"/>
      <c r="AL36" s="2"/>
      <c r="AM36" s="2"/>
    </row>
    <row r="37" spans="2:43" ht="12" customHeight="1">
      <c r="B37" s="2"/>
      <c r="C37" s="4245" t="s">
        <v>1560</v>
      </c>
      <c r="D37" s="4246"/>
      <c r="E37" s="4246"/>
      <c r="F37" s="4247"/>
      <c r="G37" s="4248"/>
      <c r="H37" s="4249"/>
      <c r="I37" s="4266">
        <v>1.3520000000000001</v>
      </c>
      <c r="J37" s="4267"/>
      <c r="K37" s="4268"/>
      <c r="L37" s="1199">
        <f t="shared" si="0"/>
        <v>0</v>
      </c>
      <c r="M37" s="2"/>
      <c r="N37" s="2"/>
      <c r="O37" s="2"/>
      <c r="P37" s="2"/>
      <c r="Q37" s="2"/>
      <c r="R37" s="2"/>
      <c r="S37" s="2"/>
      <c r="T37" s="4253" t="s">
        <v>1559</v>
      </c>
      <c r="U37" s="4254"/>
      <c r="V37" s="4254"/>
      <c r="W37" s="4254"/>
      <c r="X37" s="4255"/>
      <c r="Y37" s="4248"/>
      <c r="Z37" s="4249"/>
      <c r="AA37" s="4266">
        <v>1.07</v>
      </c>
      <c r="AB37" s="4267"/>
      <c r="AC37" s="4268"/>
      <c r="AD37" s="1199">
        <f t="shared" si="1"/>
        <v>0</v>
      </c>
      <c r="AE37" s="2"/>
      <c r="AF37" s="2"/>
      <c r="AG37" s="2"/>
      <c r="AH37" s="2"/>
      <c r="AI37" s="2"/>
      <c r="AJ37" s="2"/>
      <c r="AK37" s="2"/>
      <c r="AL37" s="2"/>
      <c r="AM37" s="2"/>
    </row>
    <row r="38" spans="2:43" ht="12" customHeight="1">
      <c r="B38" s="2"/>
      <c r="C38" s="4245" t="s">
        <v>1558</v>
      </c>
      <c r="D38" s="4246"/>
      <c r="E38" s="4246"/>
      <c r="F38" s="4247"/>
      <c r="G38" s="4248"/>
      <c r="H38" s="4249"/>
      <c r="I38" s="4250">
        <v>1.6379999999999999</v>
      </c>
      <c r="J38" s="4251"/>
      <c r="K38" s="4252"/>
      <c r="L38" s="1199">
        <f t="shared" si="0"/>
        <v>0</v>
      </c>
      <c r="M38" s="2"/>
      <c r="N38" s="2"/>
      <c r="O38" s="2"/>
      <c r="P38" s="2"/>
      <c r="Q38" s="2"/>
      <c r="R38" s="2"/>
      <c r="S38" s="2"/>
      <c r="T38" s="4253" t="s">
        <v>1557</v>
      </c>
      <c r="U38" s="4254"/>
      <c r="V38" s="4254"/>
      <c r="W38" s="4254"/>
      <c r="X38" s="4255"/>
      <c r="Y38" s="4248"/>
      <c r="Z38" s="4249"/>
      <c r="AA38" s="4250">
        <v>1.26</v>
      </c>
      <c r="AB38" s="4251"/>
      <c r="AC38" s="4252"/>
      <c r="AD38" s="1199">
        <f t="shared" si="1"/>
        <v>0</v>
      </c>
      <c r="AE38" s="2"/>
      <c r="AF38" s="2"/>
      <c r="AG38" s="2"/>
      <c r="AH38" s="2"/>
      <c r="AI38" s="2"/>
      <c r="AJ38" s="2"/>
      <c r="AK38" s="2"/>
      <c r="AL38" s="2"/>
      <c r="AM38" s="2"/>
    </row>
    <row r="39" spans="2:43" ht="12" customHeight="1">
      <c r="B39" s="2"/>
      <c r="C39" s="2"/>
      <c r="D39" s="2"/>
      <c r="E39" s="2"/>
      <c r="F39" s="2"/>
      <c r="G39" s="2"/>
      <c r="H39" s="2"/>
      <c r="I39" s="4256" t="s">
        <v>1556</v>
      </c>
      <c r="J39" s="4256"/>
      <c r="K39" s="4256"/>
      <c r="L39" s="1199">
        <f>SUM(L22:L38)</f>
        <v>0</v>
      </c>
      <c r="M39" s="2"/>
      <c r="N39" s="2"/>
      <c r="O39" s="2"/>
      <c r="P39" s="2"/>
      <c r="Q39" s="2"/>
      <c r="R39" s="2"/>
      <c r="S39" s="2"/>
      <c r="T39" s="2"/>
      <c r="U39" s="2"/>
      <c r="V39" s="2"/>
      <c r="W39" s="2"/>
      <c r="X39" s="2"/>
      <c r="Y39" s="2"/>
      <c r="Z39" s="2"/>
      <c r="AA39" s="4256" t="s">
        <v>1556</v>
      </c>
      <c r="AB39" s="4256"/>
      <c r="AC39" s="4256"/>
      <c r="AD39" s="1199">
        <f>SUM(AD22:AD32)</f>
        <v>0</v>
      </c>
      <c r="AE39" s="1199">
        <f>IF(AD39="","",IF(AD39&lt;2.5,AD39,IF(AD39&lt;3.5,3,IF(AD39&lt;4.5,4,IF(AD39&lt;5.5,5,IF(AD39&lt;7,6,IF(AD39&lt;8.5,7,IF(AD39&lt;10,8,IF(AD39&lt;11.5,9,IF(AD39&lt;13,10,IF(AD39&lt;15,11,IF(AD39&lt;17,12,IF(AD39&lt;19,13,IF(AD39&lt;24,14,IF(AD39&lt;40,AD39*0.6,IF(AD39&lt;44,24,IF(AD39&lt;69,AD39*0.55,IF(AD39&lt;76,38,IF(AD39&gt;=76,AD39*0.5,"")))))))))))))))))))</f>
        <v>0</v>
      </c>
      <c r="AF39" s="2"/>
      <c r="AG39" s="2"/>
      <c r="AH39" s="2"/>
      <c r="AI39" s="2"/>
      <c r="AJ39" s="2"/>
      <c r="AK39" s="2"/>
      <c r="AL39" s="2"/>
      <c r="AM39" s="2"/>
    </row>
    <row r="40" spans="2:43" ht="12" customHeight="1">
      <c r="B40" s="2"/>
      <c r="C40" s="4257" t="str">
        <f>IF(L39=0,"",L39)</f>
        <v/>
      </c>
      <c r="D40" s="4258"/>
      <c r="E40" s="4259"/>
      <c r="F40" s="4260" t="s">
        <v>1555</v>
      </c>
      <c r="G40" s="4261"/>
      <c r="H40" s="4262"/>
      <c r="I40" s="4263" t="str">
        <f>IF(C40="","",IF(C40&lt;3,C40,IF(C40&lt;4,3,IF(C40&lt;5,4,IF(C40&lt;6,5,IF(C40&lt;8.5,7,IF(C40&lt;10,8,IF(C40&lt;13,10,IF(C40&lt;16,11,IF(C40&lt;19,12,IF(C40&lt;22,15,IF(C40&lt;26,18,IF(C40&lt;30,21,IF(C40&lt;35,24,IF(C40&lt;41,28,IF(C40&lt;48,33,33))))))))))))))))</f>
        <v/>
      </c>
      <c r="J40" s="4264"/>
      <c r="K40" s="4265"/>
      <c r="L40" s="2"/>
      <c r="M40" s="2"/>
      <c r="N40" s="2"/>
      <c r="O40" s="2"/>
      <c r="P40" s="2"/>
      <c r="Q40" s="2"/>
      <c r="R40" s="2"/>
      <c r="S40" s="2"/>
      <c r="T40" s="2"/>
      <c r="U40" s="4257" t="str">
        <f>IF(AD39+AD40=0,"",AD39+AD40)</f>
        <v/>
      </c>
      <c r="V40" s="4258"/>
      <c r="W40" s="4259"/>
      <c r="X40" s="4260" t="s">
        <v>1555</v>
      </c>
      <c r="Y40" s="4261"/>
      <c r="Z40" s="4262"/>
      <c r="AA40" s="4263" t="str">
        <f>IF(U40="","",AE39+AE40)</f>
        <v/>
      </c>
      <c r="AB40" s="4264"/>
      <c r="AC40" s="4265"/>
      <c r="AD40" s="1198">
        <f>SUM(AD33:AD38)</f>
        <v>0</v>
      </c>
      <c r="AE40" s="1197">
        <f>IF(AD40="","",IF(AD40&lt;3,AD40,IF(AD40&lt;4,3,IF(AD40&lt;5,4,IF(AD40&lt;6,5,IF(AD40&lt;8.5,7,IF(AD40&lt;10,8,IF(AD40&lt;13,10,IF(AD40&lt;16,11,IF(AD40&lt;19,12,IF(AD40&lt;22,15,IF(AD40&lt;26,18,IF(AD40&lt;30,21,IF(AD40&lt;35,24,IF(AD40&lt;41,28,IF(AD40&lt;48,33,33))))))))))))))))</f>
        <v>0</v>
      </c>
      <c r="AF40" s="1196"/>
      <c r="AG40" s="1196"/>
      <c r="AH40" s="2"/>
      <c r="AI40" s="2"/>
      <c r="AJ40" s="2"/>
      <c r="AK40" s="2"/>
      <c r="AL40" s="2"/>
      <c r="AM40" s="2"/>
    </row>
    <row r="41" spans="2:43" ht="12" customHeight="1">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2:43" ht="12" customHeight="1">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2:43" ht="12" customHeight="1">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2:43" ht="12" customHeight="1">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2:43" ht="12" customHeight="1">
      <c r="B45" s="2"/>
      <c r="C45" s="4234" t="s">
        <v>1539</v>
      </c>
      <c r="D45" s="4234"/>
      <c r="E45" s="4234"/>
      <c r="F45" s="4234"/>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Q45" s="1188"/>
    </row>
    <row r="46" spans="2:43" ht="12"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2:43" ht="12" customHeight="1">
      <c r="B47" s="4232" t="s">
        <v>1554</v>
      </c>
      <c r="C47" s="4232"/>
      <c r="D47" s="4232"/>
      <c r="E47" s="4232"/>
      <c r="F47" s="4232"/>
      <c r="G47" s="4232"/>
      <c r="H47" s="4232"/>
      <c r="I47" s="4232"/>
      <c r="J47" s="4232"/>
      <c r="K47" s="4232"/>
      <c r="L47" s="4232"/>
      <c r="M47" s="4232"/>
      <c r="N47" s="4233"/>
      <c r="O47" s="4231" t="s">
        <v>1553</v>
      </c>
      <c r="P47" s="4232"/>
      <c r="Q47" s="4232"/>
      <c r="R47" s="4232"/>
      <c r="S47" s="4232"/>
      <c r="T47" s="4232"/>
      <c r="U47" s="4233"/>
      <c r="V47" s="4231" t="s">
        <v>1552</v>
      </c>
      <c r="W47" s="4232"/>
      <c r="X47" s="4232"/>
      <c r="Y47" s="4232"/>
      <c r="Z47" s="4232"/>
      <c r="AA47" s="4233"/>
      <c r="AB47" s="4231" t="s">
        <v>1551</v>
      </c>
      <c r="AC47" s="4232"/>
      <c r="AD47" s="4232"/>
      <c r="AE47" s="4232"/>
      <c r="AF47" s="4232"/>
      <c r="AG47" s="4233"/>
      <c r="AH47" s="4231" t="s">
        <v>1550</v>
      </c>
      <c r="AI47" s="4232"/>
      <c r="AJ47" s="4232"/>
      <c r="AK47" s="4232"/>
      <c r="AL47" s="4232"/>
      <c r="AM47" s="4232"/>
    </row>
    <row r="48" spans="2:43" ht="12" customHeight="1">
      <c r="B48" s="4235" t="s">
        <v>1549</v>
      </c>
      <c r="C48" s="4235"/>
      <c r="D48" s="4235"/>
      <c r="E48" s="4235"/>
      <c r="F48" s="4235"/>
      <c r="G48" s="4236"/>
      <c r="H48" s="4239" t="s">
        <v>14</v>
      </c>
      <c r="I48" s="4236"/>
      <c r="J48" s="4231" t="s">
        <v>1548</v>
      </c>
      <c r="K48" s="4232"/>
      <c r="L48" s="4233"/>
      <c r="M48" s="4239" t="s">
        <v>1547</v>
      </c>
      <c r="N48" s="4236"/>
      <c r="O48" s="4239" t="s">
        <v>1545</v>
      </c>
      <c r="P48" s="4236"/>
      <c r="Q48" s="4243" t="s">
        <v>1546</v>
      </c>
      <c r="R48" s="4231" t="s">
        <v>1544</v>
      </c>
      <c r="S48" s="4232"/>
      <c r="T48" s="4232"/>
      <c r="U48" s="4233"/>
      <c r="V48" s="4239" t="s">
        <v>1545</v>
      </c>
      <c r="W48" s="4236"/>
      <c r="X48" s="4231" t="s">
        <v>1544</v>
      </c>
      <c r="Y48" s="4232"/>
      <c r="Z48" s="4232"/>
      <c r="AA48" s="4233"/>
      <c r="AB48" s="4239" t="s">
        <v>1545</v>
      </c>
      <c r="AC48" s="4236"/>
      <c r="AD48" s="4231" t="s">
        <v>1544</v>
      </c>
      <c r="AE48" s="4232"/>
      <c r="AF48" s="4232"/>
      <c r="AG48" s="4233"/>
      <c r="AH48" s="4239" t="s">
        <v>1545</v>
      </c>
      <c r="AI48" s="4236"/>
      <c r="AJ48" s="4231" t="s">
        <v>1544</v>
      </c>
      <c r="AK48" s="4232"/>
      <c r="AL48" s="4232"/>
      <c r="AM48" s="4232"/>
    </row>
    <row r="49" spans="2:49" ht="12" customHeight="1">
      <c r="B49" s="4237"/>
      <c r="C49" s="4237"/>
      <c r="D49" s="4237"/>
      <c r="E49" s="4237"/>
      <c r="F49" s="4237"/>
      <c r="G49" s="4238"/>
      <c r="H49" s="4240"/>
      <c r="I49" s="4238"/>
      <c r="J49" s="4231" t="s">
        <v>11</v>
      </c>
      <c r="K49" s="4233"/>
      <c r="L49" s="1195" t="s">
        <v>1543</v>
      </c>
      <c r="M49" s="4240"/>
      <c r="N49" s="4238"/>
      <c r="O49" s="4241"/>
      <c r="P49" s="4242"/>
      <c r="Q49" s="4244"/>
      <c r="R49" s="4231" t="s">
        <v>11</v>
      </c>
      <c r="S49" s="4233"/>
      <c r="T49" s="4231" t="s">
        <v>3</v>
      </c>
      <c r="U49" s="4233"/>
      <c r="V49" s="4241"/>
      <c r="W49" s="4242"/>
      <c r="X49" s="4231" t="s">
        <v>11</v>
      </c>
      <c r="Y49" s="4233"/>
      <c r="Z49" s="4231" t="s">
        <v>3</v>
      </c>
      <c r="AA49" s="4233"/>
      <c r="AB49" s="4241"/>
      <c r="AC49" s="4242"/>
      <c r="AD49" s="4231" t="s">
        <v>11</v>
      </c>
      <c r="AE49" s="4233"/>
      <c r="AF49" s="4231" t="s">
        <v>3</v>
      </c>
      <c r="AG49" s="4233"/>
      <c r="AH49" s="4241"/>
      <c r="AI49" s="4242"/>
      <c r="AJ49" s="4231" t="s">
        <v>11</v>
      </c>
      <c r="AK49" s="4233"/>
      <c r="AL49" s="4231" t="s">
        <v>3</v>
      </c>
      <c r="AM49" s="4232"/>
    </row>
    <row r="50" spans="2:49" ht="12" customHeight="1">
      <c r="B50" s="4216"/>
      <c r="C50" s="4216"/>
      <c r="D50" s="4216"/>
      <c r="E50" s="4216"/>
      <c r="F50" s="4216"/>
      <c r="G50" s="4217"/>
      <c r="H50" s="4218"/>
      <c r="I50" s="4219"/>
      <c r="J50" s="4220" t="str">
        <f>IF(B50="","",IF(L50="",IF(ISNA(VLOOKUP(B50,配線器具,2,FALSE))&gt;0,VLOOKUP(B50,配線器具,2,FALSE),""),L50))</f>
        <v/>
      </c>
      <c r="K50" s="4221"/>
      <c r="L50" s="1194"/>
      <c r="M50" s="4222" t="str">
        <f>IF(B50="","",IF(ISNA(VLOOKUP(B50,配線器具,3,FALSE))&gt;0,VLOOKUP(B50,配線器具,3,FALSE),""))</f>
        <v/>
      </c>
      <c r="N50" s="4223"/>
      <c r="O50" s="4224"/>
      <c r="P50" s="4225"/>
      <c r="Q50" s="1193"/>
      <c r="R50" s="4228" t="str">
        <f>IF(O50="","",IF(T50="",IF(ISNA(VLOOKUP(O50,枠,2,FALSE))&gt;0,VLOOKUP(O50,枠,2,FALSE),""),T50))</f>
        <v/>
      </c>
      <c r="S50" s="4229"/>
      <c r="T50" s="4211"/>
      <c r="U50" s="4212"/>
      <c r="V50" s="4226"/>
      <c r="W50" s="4227"/>
      <c r="X50" s="4228" t="str">
        <f>IF(V50="","",IF(Z50="",IF(ISNA(VLOOKUP(V50,樹脂P,2,FALSE))&gt;0,VLOOKUP(V50,樹脂P,2,FALSE),""),Z50))</f>
        <v/>
      </c>
      <c r="Y50" s="4229"/>
      <c r="Z50" s="4211"/>
      <c r="AA50" s="4212"/>
      <c r="AB50" s="4226"/>
      <c r="AC50" s="4227"/>
      <c r="AD50" s="4228" t="str">
        <f>IF(AB50="","",IF(AF50="",IF(ISNA(VLOOKUP(AB50,新金P,2,FALSE))&gt;0,VLOOKUP(AB50,新金P,2,FALSE),""),AF50))</f>
        <v/>
      </c>
      <c r="AE50" s="4229"/>
      <c r="AF50" s="4211"/>
      <c r="AG50" s="4212"/>
      <c r="AH50" s="4226"/>
      <c r="AI50" s="4227"/>
      <c r="AJ50" s="4228" t="str">
        <f>IF(AH50="","",IF(AL50="",IF(ISNA(VLOOKUP(AH50,SUSP,2,FALSE))&gt;0,VLOOKUP(AH50,SUSP,2,FALSE),""),AL50))</f>
        <v/>
      </c>
      <c r="AK50" s="4229"/>
      <c r="AL50" s="4211"/>
      <c r="AM50" s="4230"/>
      <c r="AO50" s="1188">
        <f>IF(J50="",0,J50*H50)</f>
        <v>0</v>
      </c>
      <c r="AP50" s="1188">
        <f>IF(H50="",0,H50*M50)</f>
        <v>0</v>
      </c>
      <c r="AQ50" s="1183" t="s">
        <v>1542</v>
      </c>
      <c r="AR50" s="1186">
        <v>190</v>
      </c>
      <c r="AS50" s="1186">
        <v>5.3999999999999999E-2</v>
      </c>
      <c r="AT50" s="1192" t="s">
        <v>0</v>
      </c>
      <c r="AU50" s="1192">
        <v>50</v>
      </c>
    </row>
    <row r="51" spans="2:49" ht="12" customHeight="1">
      <c r="B51" s="4201"/>
      <c r="C51" s="4201"/>
      <c r="D51" s="4201"/>
      <c r="E51" s="4201"/>
      <c r="F51" s="4201"/>
      <c r="G51" s="4202"/>
      <c r="H51" s="4203"/>
      <c r="I51" s="4204"/>
      <c r="J51" s="4205" t="str">
        <f>IF(B51="","",IF(L51="",IF(ISNA(VLOOKUP(B51,配線器具,2,FALSE))&gt;0,VLOOKUP(B51,配線器具,2,FALSE),""),L51))</f>
        <v/>
      </c>
      <c r="K51" s="4206"/>
      <c r="L51" s="1191"/>
      <c r="M51" s="4207" t="str">
        <f>IF(B51="","",IF(ISNA(VLOOKUP(B51,配線器具,3,FALSE))&gt;0,VLOOKUP(B51,配線器具,3,FALSE),""))</f>
        <v/>
      </c>
      <c r="N51" s="4208"/>
      <c r="O51" s="4209" t="str">
        <f>IF(AND(Q50&lt;&gt;"",OR(B50="Cn2連 2P-15A(125V)",B51="Cn2連 2P-15A(125V)",B52="Cn2連 2P-15A(125V)",B53="Cn2連 2P-15A(125V)",B54="Cn2連 2P-15A(125V)",B50="Cn3連 2P-15A(125V)",B51="Cn3連 2P-15A(125V)",B52="Cn3連 2P-15A(125V)",B53="Cn3連 2P-15A(125V)",B54="Cn3連 2P-15A(125V)",B50="Cn 2PE-20A(125V)+ET",B51="Cn 2PE-20A(125V)+ET",B52="Cn 2PE-20A(125V)+ET",B53="Cn 2PE-20A(125V)+ET",B54="Cn 2PE-20A(125V)+ET",B50="Cn 2PE-20A(250V)",B51="Cn 2PE-20A(250V)",B52="Cn 2PE-20A(250V)",B53="Cn 2PE-20A(250V)",B54="Cn 2PE-20A(250V)",B50="Cn2PE-20A(250V)+ET",B51="Cn2PE-20A(250V)+ET",B52="Cn2PE-20A(250V)+ET",B53="Cn2PE-20A(250V)+ET",B54="Cn2PE-20A(250V)+ET")),"枠不要","")</f>
        <v/>
      </c>
      <c r="P51" s="4210"/>
      <c r="Q51" s="4210"/>
      <c r="R51" s="2"/>
      <c r="S51" s="2"/>
      <c r="T51" s="2"/>
      <c r="U51" s="2"/>
      <c r="V51" s="2"/>
      <c r="W51" s="2"/>
      <c r="X51" s="2"/>
      <c r="Y51" s="2"/>
      <c r="Z51" s="2"/>
      <c r="AA51" s="2"/>
      <c r="AB51" s="2"/>
      <c r="AC51" s="2"/>
      <c r="AD51" s="2"/>
      <c r="AE51" s="2"/>
      <c r="AF51" s="2"/>
      <c r="AG51" s="2"/>
      <c r="AH51" s="2"/>
      <c r="AI51" s="2"/>
      <c r="AJ51" s="2"/>
      <c r="AK51" s="2"/>
      <c r="AL51" s="2"/>
      <c r="AM51" s="2"/>
      <c r="AO51" s="1188">
        <f>IF(J51="",0,J51*H51)</f>
        <v>0</v>
      </c>
      <c r="AP51" s="1188">
        <f>IF(H51="",0,H51*M51)</f>
        <v>0</v>
      </c>
      <c r="AQ51" s="1183" t="s">
        <v>1541</v>
      </c>
      <c r="AR51" s="1186">
        <v>650</v>
      </c>
      <c r="AS51" s="1186">
        <v>7.0000000000000007E-2</v>
      </c>
      <c r="AT51" s="1192" t="s">
        <v>1540</v>
      </c>
      <c r="AU51" s="1192">
        <v>55</v>
      </c>
    </row>
    <row r="52" spans="2:49" ht="12" customHeight="1">
      <c r="B52" s="4201"/>
      <c r="C52" s="4201"/>
      <c r="D52" s="4201"/>
      <c r="E52" s="4201"/>
      <c r="F52" s="4201"/>
      <c r="G52" s="4202"/>
      <c r="H52" s="4203"/>
      <c r="I52" s="4204"/>
      <c r="J52" s="4205" t="str">
        <f>IF(B52="","",IF(L52="",IF(ISNA(VLOOKUP(B52,配線器具,2,FALSE))&gt;0,VLOOKUP(B52,配線器具,2,FALSE),""),L52))</f>
        <v/>
      </c>
      <c r="K52" s="4206"/>
      <c r="L52" s="1191"/>
      <c r="M52" s="4207" t="str">
        <f>IF(B52="","",IF(ISNA(VLOOKUP(B52,配線器具,3,FALSE))&gt;0,VLOOKUP(B52,配線器具,3,FALSE),""))</f>
        <v/>
      </c>
      <c r="N52" s="4208"/>
      <c r="O52" s="2"/>
      <c r="P52" s="2"/>
      <c r="Q52" s="2"/>
      <c r="R52" s="2"/>
      <c r="S52" s="2"/>
      <c r="T52" s="4194" t="s">
        <v>1539</v>
      </c>
      <c r="U52" s="4194"/>
      <c r="V52" s="4194"/>
      <c r="W52" s="4195" t="str">
        <f>IF(B50="","",SUM(AO50:AO54))</f>
        <v/>
      </c>
      <c r="X52" s="4196"/>
      <c r="Y52" s="4197"/>
      <c r="Z52" s="4194" t="s">
        <v>1538</v>
      </c>
      <c r="AA52" s="4194"/>
      <c r="AB52" s="4194"/>
      <c r="AC52" s="4198" t="str">
        <f>IF(W52="","",SUM(W52:Y54))</f>
        <v/>
      </c>
      <c r="AD52" s="4199"/>
      <c r="AE52" s="4200"/>
      <c r="AF52" s="2"/>
      <c r="AG52" s="2"/>
      <c r="AH52" s="2"/>
      <c r="AI52" s="2"/>
      <c r="AJ52" s="2"/>
      <c r="AK52" s="2"/>
      <c r="AL52" s="2"/>
      <c r="AM52" s="2"/>
      <c r="AO52" s="1188">
        <f>IF(J52="",0,J52*H52)</f>
        <v>0</v>
      </c>
      <c r="AP52" s="1188">
        <f>IF(H52="",0,H52*M52)</f>
        <v>0</v>
      </c>
      <c r="AQ52" s="1183" t="s">
        <v>1537</v>
      </c>
      <c r="AR52" s="1186">
        <v>310</v>
      </c>
      <c r="AS52" s="1186">
        <v>7.0000000000000007E-2</v>
      </c>
      <c r="AT52" s="1192" t="s">
        <v>1536</v>
      </c>
      <c r="AU52" s="1192">
        <v>150</v>
      </c>
    </row>
    <row r="53" spans="2:49" ht="12" customHeight="1">
      <c r="B53" s="4201"/>
      <c r="C53" s="4201"/>
      <c r="D53" s="4201"/>
      <c r="E53" s="4201"/>
      <c r="F53" s="4201"/>
      <c r="G53" s="4202"/>
      <c r="H53" s="4203"/>
      <c r="I53" s="4204"/>
      <c r="J53" s="4205" t="str">
        <f>IF(B53="","",IF(L53="",IF(ISNA(VLOOKUP(B53,配線器具,2,FALSE))&gt;0,VLOOKUP(B53,配線器具,2,FALSE),""),L53))</f>
        <v/>
      </c>
      <c r="K53" s="4206"/>
      <c r="L53" s="1191"/>
      <c r="M53" s="4207" t="str">
        <f>IF(B53="","",IF(ISNA(VLOOKUP(B53,配線器具,3,FALSE))&gt;0,VLOOKUP(B53,配線器具,3,FALSE),""))</f>
        <v/>
      </c>
      <c r="N53" s="4208"/>
      <c r="O53" s="2"/>
      <c r="P53" s="2"/>
      <c r="Q53" s="2"/>
      <c r="R53" s="2"/>
      <c r="S53" s="2"/>
      <c r="T53" s="4194" t="s">
        <v>1535</v>
      </c>
      <c r="U53" s="4194"/>
      <c r="V53" s="4194"/>
      <c r="W53" s="4195" t="str">
        <f>IF(O50="","",IF(Q50="","",Q50*R50))</f>
        <v/>
      </c>
      <c r="X53" s="4196"/>
      <c r="Y53" s="4197"/>
      <c r="Z53" s="4194" t="s">
        <v>94</v>
      </c>
      <c r="AA53" s="4194"/>
      <c r="AB53" s="4194"/>
      <c r="AC53" s="4213" t="str">
        <f>IF(AP55=0,"",IF(W54&lt;&gt;"",(SUM(AP50:AP54)+AP55)/2+0.02,(SUM(AP50:AP54)+AP55)/2))</f>
        <v/>
      </c>
      <c r="AD53" s="4214"/>
      <c r="AE53" s="4215"/>
      <c r="AF53" s="2"/>
      <c r="AG53" s="2"/>
      <c r="AH53" s="2"/>
      <c r="AI53" s="2"/>
      <c r="AJ53" s="2"/>
      <c r="AK53" s="2"/>
      <c r="AL53" s="2"/>
      <c r="AM53" s="2"/>
      <c r="AO53" s="1188">
        <f>IF(J53="",0,J53*H53)</f>
        <v>0</v>
      </c>
      <c r="AP53" s="1188">
        <f>IF(H53="",0,H53*M53)</f>
        <v>0</v>
      </c>
      <c r="AQ53" s="1183" t="s">
        <v>1534</v>
      </c>
      <c r="AR53" s="1186">
        <v>1050</v>
      </c>
      <c r="AS53" s="1186">
        <v>7.0000000000000007E-2</v>
      </c>
      <c r="AT53" s="1184"/>
      <c r="AU53" s="1184"/>
    </row>
    <row r="54" spans="2:49" ht="12" customHeight="1">
      <c r="B54" s="4186"/>
      <c r="C54" s="4186"/>
      <c r="D54" s="4186"/>
      <c r="E54" s="4186"/>
      <c r="F54" s="4186"/>
      <c r="G54" s="4187"/>
      <c r="H54" s="4188"/>
      <c r="I54" s="4189"/>
      <c r="J54" s="4190" t="str">
        <f>IF(B54="","",IF(L54="",IF(ISNA(VLOOKUP(B54,配線器具,2,FALSE))&gt;0,VLOOKUP(B54,配線器具,2,FALSE),""),L54))</f>
        <v/>
      </c>
      <c r="K54" s="4191"/>
      <c r="L54" s="1190"/>
      <c r="M54" s="4192" t="str">
        <f>IF(B54="","",IF(ISNA(VLOOKUP(B54,配線器具,3,FALSE))&gt;0,VLOOKUP(B54,配線器具,3,FALSE),""))</f>
        <v/>
      </c>
      <c r="N54" s="4193"/>
      <c r="O54" s="2"/>
      <c r="P54" s="2"/>
      <c r="Q54" s="2"/>
      <c r="R54" s="2"/>
      <c r="S54" s="2"/>
      <c r="T54" s="4194" t="s">
        <v>1533</v>
      </c>
      <c r="U54" s="4194"/>
      <c r="V54" s="4194"/>
      <c r="W54" s="4195" t="str">
        <f>IF(SUM(AO56:AO58)=0,"",SUM(AO56:AO58))</f>
        <v/>
      </c>
      <c r="X54" s="4196"/>
      <c r="Y54" s="4197"/>
      <c r="Z54" s="2"/>
      <c r="AA54" s="2"/>
      <c r="AB54" s="2"/>
      <c r="AC54" s="2"/>
      <c r="AD54" s="2"/>
      <c r="AE54" s="2"/>
      <c r="AF54" s="2"/>
      <c r="AG54" s="2"/>
      <c r="AH54" s="2"/>
      <c r="AI54" s="2"/>
      <c r="AJ54" s="2"/>
      <c r="AK54" s="2"/>
      <c r="AL54" s="2"/>
      <c r="AM54" s="2"/>
      <c r="AO54" s="1188">
        <f>IF(J54="",0,J54*H54)</f>
        <v>0</v>
      </c>
      <c r="AP54" s="1188">
        <f>IF(H54="",0,H54*M54)</f>
        <v>0</v>
      </c>
      <c r="AQ54" s="1183" t="s">
        <v>1532</v>
      </c>
      <c r="AR54" s="1186">
        <v>260</v>
      </c>
      <c r="AS54" s="1186">
        <v>5.3999999999999999E-2</v>
      </c>
      <c r="AT54" s="1183" t="s">
        <v>1519</v>
      </c>
      <c r="AU54" s="1183">
        <v>110</v>
      </c>
    </row>
    <row r="55" spans="2:49" ht="12" customHeight="1">
      <c r="B55" s="2"/>
      <c r="C55" s="2"/>
      <c r="D55" s="2"/>
      <c r="E55" s="2"/>
      <c r="F55" s="2"/>
      <c r="G55" s="2"/>
      <c r="H55" s="2"/>
      <c r="I55" s="2"/>
      <c r="J55" s="2"/>
      <c r="K55" s="2"/>
      <c r="L55" s="2"/>
      <c r="M55" s="2"/>
      <c r="N55" s="2"/>
      <c r="O55" s="4185"/>
      <c r="P55" s="4185"/>
      <c r="Q55" s="2"/>
      <c r="R55" s="2"/>
      <c r="S55" s="2"/>
      <c r="T55" s="2"/>
      <c r="U55" s="2"/>
      <c r="V55" s="2"/>
      <c r="W55" s="2"/>
      <c r="X55" s="2"/>
      <c r="Y55" s="2"/>
      <c r="Z55" s="2"/>
      <c r="AA55" s="2"/>
      <c r="AB55" s="2"/>
      <c r="AC55" s="2"/>
      <c r="AD55" s="2"/>
      <c r="AE55" s="2"/>
      <c r="AF55" s="2"/>
      <c r="AG55" s="2"/>
      <c r="AH55" s="2"/>
      <c r="AI55" s="2"/>
      <c r="AJ55" s="2"/>
      <c r="AK55" s="2"/>
      <c r="AL55" s="2"/>
      <c r="AM55" s="2"/>
      <c r="AP55" s="1189">
        <f>MAX(M50:N54)</f>
        <v>0</v>
      </c>
      <c r="AQ55" s="1183" t="s">
        <v>1531</v>
      </c>
      <c r="AR55" s="1186">
        <v>720</v>
      </c>
      <c r="AS55" s="1186">
        <v>7.0000000000000007E-2</v>
      </c>
      <c r="AT55" s="1183" t="s">
        <v>1517</v>
      </c>
      <c r="AU55" s="1183">
        <v>220</v>
      </c>
    </row>
    <row r="56" spans="2:49" ht="12" customHeight="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O56" s="1188">
        <f>IF(V50="",0,X50)</f>
        <v>0</v>
      </c>
      <c r="AP56" s="1188"/>
      <c r="AQ56" s="1183" t="s">
        <v>1530</v>
      </c>
      <c r="AR56" s="1186">
        <v>390</v>
      </c>
      <c r="AS56" s="1186">
        <v>7.0000000000000007E-2</v>
      </c>
      <c r="AT56" s="1183" t="s">
        <v>1515</v>
      </c>
      <c r="AU56" s="1183">
        <v>440</v>
      </c>
    </row>
    <row r="57" spans="2:49" ht="12" customHeight="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O57" s="1188">
        <f>IF(AB50="",0,AD50)</f>
        <v>0</v>
      </c>
      <c r="AP57" s="1188"/>
      <c r="AQ57" s="1183" t="s">
        <v>1529</v>
      </c>
      <c r="AR57" s="1186">
        <v>1100</v>
      </c>
      <c r="AS57" s="1186">
        <v>7.0000000000000007E-2</v>
      </c>
      <c r="AT57" s="1183" t="s">
        <v>1513</v>
      </c>
      <c r="AU57" s="1183">
        <v>680</v>
      </c>
    </row>
    <row r="58" spans="2:49" ht="12" customHeight="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O58" s="1188">
        <f>IF(AH50="",0,AJ50)</f>
        <v>0</v>
      </c>
      <c r="AP58" s="1188"/>
      <c r="AQ58" s="1183" t="s">
        <v>1528</v>
      </c>
      <c r="AR58" s="1186">
        <v>490</v>
      </c>
      <c r="AS58" s="1186">
        <v>5.3999999999999999E-2</v>
      </c>
      <c r="AT58" s="1183" t="s">
        <v>1511</v>
      </c>
      <c r="AU58" s="1183">
        <v>1000</v>
      </c>
    </row>
    <row r="59" spans="2:49" ht="12" customHeight="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Q59" s="1183" t="s">
        <v>1527</v>
      </c>
      <c r="AR59" s="1186">
        <v>640</v>
      </c>
      <c r="AS59" s="1186">
        <v>7.0000000000000007E-2</v>
      </c>
      <c r="AT59" s="1183" t="s">
        <v>1526</v>
      </c>
      <c r="AU59" s="1183">
        <v>170</v>
      </c>
    </row>
    <row r="60" spans="2:49" ht="12" customHeight="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Q60" s="1183" t="s">
        <v>1525</v>
      </c>
      <c r="AR60" s="1186">
        <v>1350</v>
      </c>
      <c r="AS60" s="1186">
        <v>7.0000000000000007E-2</v>
      </c>
      <c r="AT60" s="1183" t="s">
        <v>1524</v>
      </c>
      <c r="AU60" s="1183">
        <v>280</v>
      </c>
    </row>
    <row r="61" spans="2:49" ht="12" customHeight="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Q61" s="1183" t="s">
        <v>1523</v>
      </c>
      <c r="AR61" s="1186">
        <v>600</v>
      </c>
      <c r="AS61" s="1186">
        <v>5.3999999999999999E-2</v>
      </c>
      <c r="AT61" s="1183" t="s">
        <v>1522</v>
      </c>
      <c r="AU61" s="1183">
        <v>400</v>
      </c>
    </row>
    <row r="62" spans="2:49" ht="12" customHeight="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Q62" s="1183" t="s">
        <v>1521</v>
      </c>
      <c r="AR62" s="1186">
        <v>750</v>
      </c>
      <c r="AS62" s="1186">
        <v>7.0000000000000007E-2</v>
      </c>
      <c r="AT62" s="1183" t="s">
        <v>1495</v>
      </c>
      <c r="AU62" s="1183">
        <v>1350</v>
      </c>
    </row>
    <row r="63" spans="2:49" ht="12" customHeight="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Q63" s="1183" t="s">
        <v>1520</v>
      </c>
      <c r="AR63" s="1186">
        <v>1500</v>
      </c>
      <c r="AS63" s="1186">
        <v>7.0000000000000007E-2</v>
      </c>
      <c r="AT63" s="1183"/>
      <c r="AU63" s="1183"/>
    </row>
    <row r="64" spans="2:49" ht="12" customHeight="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Q64" s="1183"/>
      <c r="AR64" s="1186"/>
      <c r="AS64" s="1186"/>
      <c r="AT64" s="1183" t="s">
        <v>1519</v>
      </c>
      <c r="AU64" s="1183">
        <v>350</v>
      </c>
      <c r="AV64" s="1183" t="s">
        <v>1519</v>
      </c>
      <c r="AW64" s="1183">
        <v>300</v>
      </c>
    </row>
    <row r="65" spans="2:49" ht="12" customHeight="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Q65" s="1187" t="s">
        <v>1518</v>
      </c>
      <c r="AR65" s="1186">
        <v>270</v>
      </c>
      <c r="AS65" s="1186">
        <v>5.3999999999999999E-2</v>
      </c>
      <c r="AT65" s="1183" t="s">
        <v>1517</v>
      </c>
      <c r="AU65" s="1183">
        <v>700</v>
      </c>
      <c r="AV65" s="1183" t="s">
        <v>1517</v>
      </c>
      <c r="AW65" s="1183">
        <v>600</v>
      </c>
    </row>
    <row r="66" spans="2:49" ht="12" customHeight="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Q66" s="1187" t="s">
        <v>1516</v>
      </c>
      <c r="AR66" s="1186">
        <v>380</v>
      </c>
      <c r="AS66" s="1186">
        <v>5.3999999999999999E-2</v>
      </c>
      <c r="AT66" s="1183" t="s">
        <v>1515</v>
      </c>
      <c r="AU66" s="1183">
        <v>1400</v>
      </c>
      <c r="AV66" s="1183" t="s">
        <v>1515</v>
      </c>
      <c r="AW66" s="1183">
        <v>1200</v>
      </c>
    </row>
    <row r="67" spans="2:49" ht="12" customHeight="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Q67" s="1183" t="s">
        <v>1514</v>
      </c>
      <c r="AR67" s="1186">
        <v>145</v>
      </c>
      <c r="AS67" s="1186">
        <v>5.3999999999999999E-2</v>
      </c>
      <c r="AT67" s="1183" t="s">
        <v>1513</v>
      </c>
      <c r="AU67" s="1183">
        <v>2130</v>
      </c>
      <c r="AV67" s="1183" t="s">
        <v>1513</v>
      </c>
      <c r="AW67" s="1183">
        <v>1800</v>
      </c>
    </row>
    <row r="68" spans="2:49" ht="12" customHeight="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Q68" s="1183" t="s">
        <v>1512</v>
      </c>
      <c r="AR68" s="1186">
        <v>250</v>
      </c>
      <c r="AS68" s="1186">
        <v>5.3999999999999999E-2</v>
      </c>
      <c r="AT68" s="1183" t="s">
        <v>1511</v>
      </c>
      <c r="AU68" s="1183">
        <v>3150</v>
      </c>
      <c r="AV68" s="1183" t="s">
        <v>1511</v>
      </c>
      <c r="AW68" s="1183">
        <v>2700</v>
      </c>
    </row>
    <row r="69" spans="2:49" ht="12" customHeight="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Q69" s="1183" t="s">
        <v>1510</v>
      </c>
      <c r="AR69" s="1186">
        <v>310</v>
      </c>
      <c r="AS69" s="1186">
        <v>5.3999999999999999E-2</v>
      </c>
      <c r="AT69" s="1183" t="s">
        <v>1509</v>
      </c>
      <c r="AU69" s="1183">
        <v>4900</v>
      </c>
      <c r="AV69" s="1183" t="s">
        <v>1509</v>
      </c>
      <c r="AW69" s="1183">
        <v>4300</v>
      </c>
    </row>
    <row r="70" spans="2:49" ht="12" customHeight="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Q70" s="1183" t="s">
        <v>1508</v>
      </c>
      <c r="AR70" s="1186">
        <v>400</v>
      </c>
      <c r="AS70" s="1186">
        <v>5.3999999999999999E-2</v>
      </c>
      <c r="AT70" s="1183" t="s">
        <v>1507</v>
      </c>
      <c r="AU70" s="1183">
        <v>400</v>
      </c>
      <c r="AV70" s="1183" t="s">
        <v>1507</v>
      </c>
      <c r="AW70" s="1183">
        <v>360</v>
      </c>
    </row>
    <row r="71" spans="2:49" ht="12" customHeight="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Q71" s="1183" t="s">
        <v>1506</v>
      </c>
      <c r="AR71" s="1186">
        <v>270</v>
      </c>
      <c r="AS71" s="1186">
        <v>6.5000000000000002E-2</v>
      </c>
      <c r="AT71" s="1183" t="s">
        <v>1505</v>
      </c>
      <c r="AU71" s="1183">
        <v>800</v>
      </c>
      <c r="AV71" s="1183" t="s">
        <v>1505</v>
      </c>
      <c r="AW71" s="1183">
        <v>720</v>
      </c>
    </row>
    <row r="72" spans="2:49" ht="12" customHeight="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Q72" s="1187" t="s">
        <v>1504</v>
      </c>
      <c r="AR72" s="1186">
        <v>720</v>
      </c>
      <c r="AS72" s="1186">
        <v>6.5000000000000002E-2</v>
      </c>
      <c r="AT72" s="1183" t="s">
        <v>1503</v>
      </c>
      <c r="AU72" s="1183">
        <v>1520</v>
      </c>
      <c r="AV72" s="1183" t="s">
        <v>1503</v>
      </c>
      <c r="AW72" s="1183">
        <v>1350</v>
      </c>
    </row>
    <row r="73" spans="2:49" ht="12"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Q73" s="1187" t="s">
        <v>1502</v>
      </c>
      <c r="AR73" s="1186">
        <v>580</v>
      </c>
      <c r="AS73" s="1186">
        <v>6.5000000000000002E-2</v>
      </c>
      <c r="AT73" s="1183" t="s">
        <v>1501</v>
      </c>
      <c r="AU73" s="1183">
        <v>2250</v>
      </c>
      <c r="AV73" s="1183" t="s">
        <v>1501</v>
      </c>
      <c r="AW73" s="1183">
        <v>2000</v>
      </c>
    </row>
    <row r="74" spans="2:49" ht="12" customHeight="1">
      <c r="AQ74" s="1187" t="s">
        <v>1500</v>
      </c>
      <c r="AR74" s="1186">
        <v>820</v>
      </c>
      <c r="AS74" s="1186">
        <v>6.5000000000000002E-2</v>
      </c>
      <c r="AT74" s="1183" t="s">
        <v>1499</v>
      </c>
      <c r="AU74" s="1183">
        <v>3400</v>
      </c>
      <c r="AV74" s="1183" t="s">
        <v>1499</v>
      </c>
      <c r="AW74" s="1183">
        <v>3000</v>
      </c>
    </row>
    <row r="75" spans="2:49" ht="12" customHeight="1">
      <c r="AQ75" s="1183"/>
      <c r="AR75" s="1186"/>
      <c r="AS75" s="1185"/>
      <c r="AT75" s="1183" t="s">
        <v>1498</v>
      </c>
      <c r="AU75" s="1183">
        <v>5000</v>
      </c>
      <c r="AV75" s="1183" t="s">
        <v>1498</v>
      </c>
      <c r="AW75" s="1183">
        <v>4500</v>
      </c>
    </row>
    <row r="76" spans="2:49" ht="12" customHeight="1">
      <c r="AQ76" s="1183"/>
      <c r="AR76" s="1186"/>
      <c r="AS76" s="1185"/>
      <c r="AT76" s="1183" t="s">
        <v>1497</v>
      </c>
      <c r="AU76" s="1183">
        <v>650</v>
      </c>
      <c r="AV76" s="1183" t="s">
        <v>1497</v>
      </c>
      <c r="AW76" s="1183">
        <v>650</v>
      </c>
    </row>
    <row r="77" spans="2:49" ht="12" customHeight="1">
      <c r="AQ77" s="1184"/>
      <c r="AR77" s="1184"/>
      <c r="AS77" s="1184"/>
      <c r="AT77" s="1183" t="s">
        <v>1496</v>
      </c>
      <c r="AU77" s="1183">
        <v>1200</v>
      </c>
      <c r="AV77" s="1183" t="s">
        <v>1496</v>
      </c>
      <c r="AW77" s="1183">
        <v>1200</v>
      </c>
    </row>
    <row r="78" spans="2:49" ht="12" customHeight="1">
      <c r="AQ78" s="1184"/>
      <c r="AR78" s="1184"/>
      <c r="AS78" s="1184"/>
      <c r="AT78" s="1183" t="s">
        <v>1495</v>
      </c>
      <c r="AU78" s="1183">
        <v>1520</v>
      </c>
      <c r="AV78" s="1183"/>
      <c r="AW78" s="1183"/>
    </row>
    <row r="79" spans="2:49" ht="12" customHeight="1">
      <c r="AQ79" s="1184"/>
      <c r="AR79" s="1184"/>
      <c r="AS79" s="1184"/>
      <c r="AT79" s="1183"/>
      <c r="AU79" s="1183"/>
    </row>
    <row r="80" spans="2:49" ht="12" customHeight="1"/>
    <row r="81" ht="12" customHeight="1"/>
    <row r="82" ht="12" customHeight="1"/>
    <row r="83" ht="12" customHeight="1"/>
  </sheetData>
  <sheetProtection password="82A0" sheet="1" objects="1" scenarios="1"/>
  <mergeCells count="247">
    <mergeCell ref="AJ3:AL3"/>
    <mergeCell ref="C5:J5"/>
    <mergeCell ref="K5:R5"/>
    <mergeCell ref="AA5:AD5"/>
    <mergeCell ref="AA6:AD6"/>
    <mergeCell ref="AE6:AH6"/>
    <mergeCell ref="C7:F7"/>
    <mergeCell ref="AE8:AH8"/>
    <mergeCell ref="AE7:AH7"/>
    <mergeCell ref="C6:F6"/>
    <mergeCell ref="G6:J6"/>
    <mergeCell ref="K6:N6"/>
    <mergeCell ref="O6:R6"/>
    <mergeCell ref="S6:V6"/>
    <mergeCell ref="W6:Z6"/>
    <mergeCell ref="G7:J7"/>
    <mergeCell ref="K7:N7"/>
    <mergeCell ref="O7:R7"/>
    <mergeCell ref="S7:V7"/>
    <mergeCell ref="K9:N9"/>
    <mergeCell ref="O9:R9"/>
    <mergeCell ref="S9:V9"/>
    <mergeCell ref="W9:Z9"/>
    <mergeCell ref="AA9:AD9"/>
    <mergeCell ref="AE9:AH9"/>
    <mergeCell ref="C8:F8"/>
    <mergeCell ref="W8:Z8"/>
    <mergeCell ref="C3:F3"/>
    <mergeCell ref="AF3:AH3"/>
    <mergeCell ref="W7:Z7"/>
    <mergeCell ref="AA7:AD7"/>
    <mergeCell ref="AA8:AD8"/>
    <mergeCell ref="G8:J8"/>
    <mergeCell ref="K8:N8"/>
    <mergeCell ref="O8:R8"/>
    <mergeCell ref="S8:V8"/>
    <mergeCell ref="C9:F9"/>
    <mergeCell ref="G9:J9"/>
    <mergeCell ref="AE10:AH10"/>
    <mergeCell ref="G11:J11"/>
    <mergeCell ref="K11:N11"/>
    <mergeCell ref="O11:R11"/>
    <mergeCell ref="S11:V11"/>
    <mergeCell ref="C12:F12"/>
    <mergeCell ref="S12:V12"/>
    <mergeCell ref="W12:Z12"/>
    <mergeCell ref="AE12:AH12"/>
    <mergeCell ref="C10:F10"/>
    <mergeCell ref="G10:J10"/>
    <mergeCell ref="K10:N10"/>
    <mergeCell ref="S10:V10"/>
    <mergeCell ref="W10:Z10"/>
    <mergeCell ref="AA10:AD10"/>
    <mergeCell ref="C13:F13"/>
    <mergeCell ref="G13:J13"/>
    <mergeCell ref="K13:N13"/>
    <mergeCell ref="S13:V13"/>
    <mergeCell ref="AE13:AH13"/>
    <mergeCell ref="C19:F19"/>
    <mergeCell ref="C21:F21"/>
    <mergeCell ref="G21:H21"/>
    <mergeCell ref="I21:K21"/>
    <mergeCell ref="T21:X21"/>
    <mergeCell ref="Y21:Z21"/>
    <mergeCell ref="AA21:AC21"/>
    <mergeCell ref="C22:F22"/>
    <mergeCell ref="G22:H22"/>
    <mergeCell ref="I22:K22"/>
    <mergeCell ref="T22:X22"/>
    <mergeCell ref="Y22:Z22"/>
    <mergeCell ref="AA22:AC22"/>
    <mergeCell ref="C23:F23"/>
    <mergeCell ref="G23:H23"/>
    <mergeCell ref="I23:K23"/>
    <mergeCell ref="T23:X23"/>
    <mergeCell ref="Y23:Z23"/>
    <mergeCell ref="AA23:AC23"/>
    <mergeCell ref="C24:F24"/>
    <mergeCell ref="G24:H24"/>
    <mergeCell ref="I24:K24"/>
    <mergeCell ref="T24:X24"/>
    <mergeCell ref="Y24:Z24"/>
    <mergeCell ref="AA24:AC24"/>
    <mergeCell ref="C25:F25"/>
    <mergeCell ref="G25:H25"/>
    <mergeCell ref="I25:K25"/>
    <mergeCell ref="T25:X25"/>
    <mergeCell ref="Y25:Z25"/>
    <mergeCell ref="AA25:AC25"/>
    <mergeCell ref="C26:F26"/>
    <mergeCell ref="G26:H26"/>
    <mergeCell ref="I26:K26"/>
    <mergeCell ref="T26:X26"/>
    <mergeCell ref="Y26:Z26"/>
    <mergeCell ref="AA26:AC26"/>
    <mergeCell ref="C27:F27"/>
    <mergeCell ref="G27:H27"/>
    <mergeCell ref="I27:K27"/>
    <mergeCell ref="T27:X27"/>
    <mergeCell ref="Y27:Z27"/>
    <mergeCell ref="AA27:AC27"/>
    <mergeCell ref="C28:F28"/>
    <mergeCell ref="G28:H28"/>
    <mergeCell ref="I28:K28"/>
    <mergeCell ref="T28:X28"/>
    <mergeCell ref="Y28:Z28"/>
    <mergeCell ref="AA28:AC28"/>
    <mergeCell ref="C29:F29"/>
    <mergeCell ref="G29:H29"/>
    <mergeCell ref="I29:K29"/>
    <mergeCell ref="T29:X29"/>
    <mergeCell ref="Y29:Z29"/>
    <mergeCell ref="AA29:AC29"/>
    <mergeCell ref="C30:F30"/>
    <mergeCell ref="G30:H30"/>
    <mergeCell ref="I30:K30"/>
    <mergeCell ref="T30:X30"/>
    <mergeCell ref="Y30:Z30"/>
    <mergeCell ref="AA30:AC30"/>
    <mergeCell ref="C31:F31"/>
    <mergeCell ref="G31:H31"/>
    <mergeCell ref="I31:K31"/>
    <mergeCell ref="T31:X31"/>
    <mergeCell ref="Y31:Z31"/>
    <mergeCell ref="AA31:AC31"/>
    <mergeCell ref="C32:F32"/>
    <mergeCell ref="G32:H32"/>
    <mergeCell ref="I32:K32"/>
    <mergeCell ref="T32:X32"/>
    <mergeCell ref="Y32:Z32"/>
    <mergeCell ref="AA32:AC32"/>
    <mergeCell ref="C33:F33"/>
    <mergeCell ref="G33:H33"/>
    <mergeCell ref="I33:K33"/>
    <mergeCell ref="T33:X33"/>
    <mergeCell ref="Y33:Z33"/>
    <mergeCell ref="AA33:AC33"/>
    <mergeCell ref="C34:F34"/>
    <mergeCell ref="G34:H34"/>
    <mergeCell ref="I34:K34"/>
    <mergeCell ref="T34:X34"/>
    <mergeCell ref="Y34:Z34"/>
    <mergeCell ref="AA34:AC34"/>
    <mergeCell ref="C35:F35"/>
    <mergeCell ref="G35:H35"/>
    <mergeCell ref="I35:K35"/>
    <mergeCell ref="T35:X35"/>
    <mergeCell ref="Y35:Z35"/>
    <mergeCell ref="AA35:AC35"/>
    <mergeCell ref="C36:F36"/>
    <mergeCell ref="G36:H36"/>
    <mergeCell ref="I36:K36"/>
    <mergeCell ref="T36:X36"/>
    <mergeCell ref="Y36:Z36"/>
    <mergeCell ref="AA36:AC36"/>
    <mergeCell ref="C37:F37"/>
    <mergeCell ref="G37:H37"/>
    <mergeCell ref="I37:K37"/>
    <mergeCell ref="T37:X37"/>
    <mergeCell ref="Y37:Z37"/>
    <mergeCell ref="AA37:AC37"/>
    <mergeCell ref="C38:F38"/>
    <mergeCell ref="G38:H38"/>
    <mergeCell ref="I38:K38"/>
    <mergeCell ref="T38:X38"/>
    <mergeCell ref="Y38:Z38"/>
    <mergeCell ref="AA38:AC38"/>
    <mergeCell ref="I39:K39"/>
    <mergeCell ref="AA39:AC39"/>
    <mergeCell ref="C40:E40"/>
    <mergeCell ref="F40:H40"/>
    <mergeCell ref="I40:K40"/>
    <mergeCell ref="U40:W40"/>
    <mergeCell ref="X40:Z40"/>
    <mergeCell ref="AA40:AC40"/>
    <mergeCell ref="C45:F45"/>
    <mergeCell ref="B47:N47"/>
    <mergeCell ref="O47:U47"/>
    <mergeCell ref="V47:AA47"/>
    <mergeCell ref="AB47:AG47"/>
    <mergeCell ref="AH47:AM47"/>
    <mergeCell ref="B48:G49"/>
    <mergeCell ref="H48:I49"/>
    <mergeCell ref="J48:L48"/>
    <mergeCell ref="M48:N49"/>
    <mergeCell ref="O48:P49"/>
    <mergeCell ref="Q48:Q49"/>
    <mergeCell ref="AL49:AM49"/>
    <mergeCell ref="R48:U48"/>
    <mergeCell ref="V48:W49"/>
    <mergeCell ref="X48:AA48"/>
    <mergeCell ref="AB48:AC49"/>
    <mergeCell ref="AD48:AG48"/>
    <mergeCell ref="AH48:AI49"/>
    <mergeCell ref="AF50:AG50"/>
    <mergeCell ref="AH50:AI50"/>
    <mergeCell ref="AJ50:AK50"/>
    <mergeCell ref="AL50:AM50"/>
    <mergeCell ref="R50:S50"/>
    <mergeCell ref="AJ48:AM48"/>
    <mergeCell ref="J49:K49"/>
    <mergeCell ref="R49:S49"/>
    <mergeCell ref="T49:U49"/>
    <mergeCell ref="X49:Y49"/>
    <mergeCell ref="Z49:AA49"/>
    <mergeCell ref="AD49:AE49"/>
    <mergeCell ref="AF49:AG49"/>
    <mergeCell ref="AJ49:AK49"/>
    <mergeCell ref="V50:W50"/>
    <mergeCell ref="X50:Y50"/>
    <mergeCell ref="Z50:AA50"/>
    <mergeCell ref="AB50:AC50"/>
    <mergeCell ref="AD50:AE50"/>
    <mergeCell ref="B51:G51"/>
    <mergeCell ref="H51:I51"/>
    <mergeCell ref="J51:K51"/>
    <mergeCell ref="M51:N51"/>
    <mergeCell ref="O51:Q51"/>
    <mergeCell ref="T50:U50"/>
    <mergeCell ref="AC53:AE53"/>
    <mergeCell ref="B52:G52"/>
    <mergeCell ref="H52:I52"/>
    <mergeCell ref="J52:K52"/>
    <mergeCell ref="M52:N52"/>
    <mergeCell ref="T52:V52"/>
    <mergeCell ref="W52:Y52"/>
    <mergeCell ref="B50:G50"/>
    <mergeCell ref="H50:I50"/>
    <mergeCell ref="J50:K50"/>
    <mergeCell ref="M50:N50"/>
    <mergeCell ref="O50:P50"/>
    <mergeCell ref="O55:P55"/>
    <mergeCell ref="B54:G54"/>
    <mergeCell ref="H54:I54"/>
    <mergeCell ref="J54:K54"/>
    <mergeCell ref="M54:N54"/>
    <mergeCell ref="T54:V54"/>
    <mergeCell ref="W54:Y54"/>
    <mergeCell ref="Z52:AB52"/>
    <mergeCell ref="AC52:AE52"/>
    <mergeCell ref="B53:G53"/>
    <mergeCell ref="H53:I53"/>
    <mergeCell ref="J53:K53"/>
    <mergeCell ref="M53:N53"/>
    <mergeCell ref="T53:V53"/>
    <mergeCell ref="W53:Y53"/>
    <mergeCell ref="Z53:AB53"/>
  </mergeCells>
  <phoneticPr fontId="1"/>
  <dataValidations count="5">
    <dataValidation type="list" allowBlank="1" showInputMessage="1" showErrorMessage="1" sqref="B50:G54">
      <formula1>$AQ$50:$AQ$73</formula1>
    </dataValidation>
    <dataValidation type="list" allowBlank="1" showInputMessage="1" showErrorMessage="1" sqref="O50:P50">
      <formula1>$AT$50:$AT$52</formula1>
    </dataValidation>
    <dataValidation type="list" allowBlank="1" showInputMessage="1" showErrorMessage="1" sqref="V50:W50">
      <formula1>$AT$54:$AT$63</formula1>
    </dataValidation>
    <dataValidation type="list" allowBlank="1" showInputMessage="1" showErrorMessage="1" sqref="AB50:AC50">
      <formula1>$AT$64:$AT$79</formula1>
    </dataValidation>
    <dataValidation type="list" allowBlank="1" showInputMessage="1" showErrorMessage="1" sqref="AH50:AI50">
      <formula1>$AV$64:$AV$78</formula1>
    </dataValidation>
  </dataValidations>
  <hyperlinks>
    <hyperlink ref="AJ3:AL3" r:id="rId1" location="Top!A46" display="TopPage"/>
    <hyperlink ref="AF3:AH3" r:id="rId2" location="Help!B1841" display="Help"/>
  </hyperlinks>
  <pageMargins left="0.78740157480314965" right="0.70866141732283472" top="0.74803149606299213" bottom="0.74803149606299213" header="0.31496062992125984" footer="0.31496062992125984"/>
  <pageSetup paperSize="9" scale="94" orientation="portrait" r:id="rId3"/>
  <rowBreaks count="1" manualBreakCount="1">
    <brk id="73" min="1" max="38" man="1"/>
  </rowBreaks>
  <colBreaks count="1" manualBreakCount="1">
    <brk id="39" min="1" max="79" man="1"/>
  </colBreaks>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I513"/>
  <sheetViews>
    <sheetView view="pageBreakPreview" zoomScale="120" zoomScaleNormal="100" zoomScaleSheetLayoutView="120" workbookViewId="0"/>
  </sheetViews>
  <sheetFormatPr defaultRowHeight="13.5"/>
  <cols>
    <col min="1" max="1" width="1.42578125" style="116" customWidth="1"/>
    <col min="2" max="2" width="1.85546875" style="116" customWidth="1"/>
    <col min="3" max="3" width="2.85546875" style="116" customWidth="1"/>
    <col min="4" max="4" width="5" style="116" customWidth="1"/>
    <col min="5" max="6" width="4.28515625" style="116" customWidth="1"/>
    <col min="7" max="8" width="4.140625" style="116" customWidth="1"/>
    <col min="9" max="10" width="4.28515625" style="116" customWidth="1"/>
    <col min="11" max="11" width="4.140625" style="116" customWidth="1"/>
    <col min="12" max="12" width="4.28515625" style="116" customWidth="1"/>
    <col min="13" max="15" width="4" style="116" customWidth="1"/>
    <col min="16" max="16" width="1.7109375" style="116" customWidth="1"/>
    <col min="17" max="17" width="1.85546875" style="116" customWidth="1"/>
    <col min="18" max="18" width="2.140625" style="116" customWidth="1"/>
    <col min="19" max="19" width="2.85546875" style="116" customWidth="1"/>
    <col min="20" max="21" width="1.7109375" style="116" customWidth="1"/>
    <col min="22" max="22" width="2.42578125" style="116" customWidth="1"/>
    <col min="23" max="23" width="2.5703125" style="116" customWidth="1"/>
    <col min="24" max="25" width="4" style="116" customWidth="1"/>
    <col min="26" max="32" width="4.28515625" style="116" customWidth="1"/>
    <col min="33" max="33" width="1.42578125" style="116" customWidth="1"/>
    <col min="34" max="34" width="7.140625" style="116" customWidth="1"/>
    <col min="35" max="16384" width="9.140625" style="116"/>
  </cols>
  <sheetData>
    <row r="1" spans="1:35" ht="6.75" customHeight="1" thickBot="1">
      <c r="A1" s="1760"/>
    </row>
    <row r="2" spans="1:35" ht="15" customHeight="1" thickBot="1">
      <c r="B2" s="4309" t="s">
        <v>1837</v>
      </c>
      <c r="C2" s="1748" t="s">
        <v>1836</v>
      </c>
      <c r="D2" s="1748"/>
      <c r="E2" s="1748"/>
      <c r="F2" s="4380" t="s">
        <v>1992</v>
      </c>
      <c r="G2" s="4380"/>
      <c r="H2" s="4380"/>
      <c r="I2" s="4380"/>
      <c r="J2" s="4380"/>
      <c r="K2" s="4321" t="s">
        <v>1991</v>
      </c>
      <c r="L2" s="4321"/>
      <c r="M2" s="4321"/>
      <c r="N2" s="4321"/>
      <c r="O2" s="4321"/>
      <c r="P2" s="4321"/>
      <c r="Q2" s="4321"/>
      <c r="R2" s="4321"/>
      <c r="S2" s="4321"/>
      <c r="T2" s="4321"/>
      <c r="U2" s="4321"/>
      <c r="V2" s="4321"/>
      <c r="W2" s="4321"/>
      <c r="X2" s="4321"/>
      <c r="Y2" s="4321"/>
      <c r="AC2" s="1548" t="s">
        <v>1990</v>
      </c>
      <c r="AD2" s="4347">
        <f ca="1">NOW()</f>
        <v>44092.955785416663</v>
      </c>
      <c r="AE2" s="4347"/>
      <c r="AF2" s="4347"/>
      <c r="AH2" s="2202" t="s">
        <v>13</v>
      </c>
    </row>
    <row r="3" spans="1:35" ht="11.25" customHeight="1" thickBot="1">
      <c r="B3" s="4309"/>
      <c r="C3" s="1745"/>
      <c r="D3" s="1558"/>
      <c r="E3" s="1558"/>
      <c r="F3" s="4380"/>
      <c r="G3" s="4380"/>
      <c r="H3" s="4380"/>
      <c r="I3" s="4380"/>
      <c r="J3" s="4380"/>
      <c r="K3" s="4348" t="s">
        <v>1989</v>
      </c>
      <c r="L3" s="4348"/>
      <c r="M3" s="4348"/>
      <c r="N3" s="4348"/>
      <c r="O3" s="4348"/>
      <c r="P3" s="4348"/>
      <c r="Q3" s="4348"/>
      <c r="R3" s="4348"/>
      <c r="S3" s="4348"/>
      <c r="T3" s="4348"/>
      <c r="U3" s="4348"/>
      <c r="V3" s="4348"/>
      <c r="W3" s="4348"/>
      <c r="X3" s="4348"/>
      <c r="Y3" s="4348"/>
      <c r="Z3" s="1759"/>
      <c r="AA3" s="1758"/>
      <c r="AB3" s="1755"/>
      <c r="AC3" s="1757" t="s">
        <v>1988</v>
      </c>
      <c r="AD3" s="1756" t="s">
        <v>1985</v>
      </c>
      <c r="AE3" s="1755"/>
      <c r="AF3" s="1558"/>
    </row>
    <row r="4" spans="1:35" ht="15" customHeight="1" thickBot="1">
      <c r="B4" s="4309"/>
      <c r="C4" s="4381" t="s">
        <v>1835</v>
      </c>
      <c r="D4" s="4381"/>
      <c r="E4" s="4381"/>
      <c r="F4" s="4381"/>
      <c r="G4" s="4381"/>
      <c r="H4" s="4381"/>
      <c r="I4" s="4381"/>
      <c r="J4" s="4381"/>
      <c r="K4" s="4349" t="s">
        <v>1987</v>
      </c>
      <c r="L4" s="4349"/>
      <c r="M4" s="4349"/>
      <c r="N4" s="4349"/>
      <c r="O4" s="4349"/>
      <c r="P4" s="4349"/>
      <c r="Q4" s="4349"/>
      <c r="R4" s="4349"/>
      <c r="S4" s="4349"/>
      <c r="T4" s="4349"/>
      <c r="U4" s="4349"/>
      <c r="V4" s="4349"/>
      <c r="W4" s="4349"/>
      <c r="X4" s="4349"/>
      <c r="Y4" s="4349"/>
      <c r="Z4" s="1558"/>
      <c r="AA4" s="1754"/>
      <c r="AB4" s="1559"/>
      <c r="AC4" s="1561" t="s">
        <v>1986</v>
      </c>
      <c r="AD4" s="1560" t="s">
        <v>1985</v>
      </c>
      <c r="AE4" s="1559"/>
      <c r="AF4" s="1558"/>
      <c r="AH4" s="2203" t="s">
        <v>19</v>
      </c>
      <c r="AI4" s="1753" t="s">
        <v>1984</v>
      </c>
    </row>
    <row r="5" spans="1:35" ht="18" customHeight="1" thickBot="1">
      <c r="B5" s="4309"/>
      <c r="C5" s="1739">
        <v>1</v>
      </c>
      <c r="D5" s="4350" t="s">
        <v>1747</v>
      </c>
      <c r="E5" s="4351"/>
      <c r="F5" s="4351"/>
      <c r="G5" s="4351"/>
      <c r="H5" s="4351"/>
      <c r="I5" s="4352"/>
      <c r="J5" s="4356" t="s">
        <v>1746</v>
      </c>
      <c r="K5" s="4357"/>
      <c r="L5" s="4358"/>
      <c r="M5" s="4359"/>
      <c r="N5" s="4359"/>
      <c r="O5" s="4359"/>
      <c r="P5" s="4359"/>
      <c r="Q5" s="4359"/>
      <c r="R5" s="4359"/>
      <c r="S5" s="4359"/>
      <c r="T5" s="4359"/>
      <c r="U5" s="4359"/>
      <c r="V5" s="4360"/>
      <c r="W5" s="4361" t="s">
        <v>1966</v>
      </c>
      <c r="X5" s="4362"/>
      <c r="Y5" s="4362"/>
      <c r="Z5" s="4362"/>
      <c r="AA5" s="4362"/>
      <c r="AB5" s="4362"/>
      <c r="AC5" s="4363"/>
      <c r="AD5" s="4367" t="s">
        <v>1745</v>
      </c>
      <c r="AE5" s="4368"/>
      <c r="AF5" s="4369"/>
      <c r="AH5" s="2204" t="s">
        <v>19</v>
      </c>
      <c r="AI5" s="1753" t="s">
        <v>1983</v>
      </c>
    </row>
    <row r="6" spans="1:35" ht="15" customHeight="1" thickBot="1">
      <c r="B6" s="4309"/>
      <c r="C6" s="1738">
        <v>2</v>
      </c>
      <c r="D6" s="4353"/>
      <c r="E6" s="4354"/>
      <c r="F6" s="4354"/>
      <c r="G6" s="4354"/>
      <c r="H6" s="4354"/>
      <c r="I6" s="4355"/>
      <c r="J6" s="4330" t="s">
        <v>1744</v>
      </c>
      <c r="K6" s="4332"/>
      <c r="L6" s="4327" t="s">
        <v>1655</v>
      </c>
      <c r="M6" s="4328"/>
      <c r="N6" s="4329"/>
      <c r="O6" s="4330" t="s">
        <v>1900</v>
      </c>
      <c r="P6" s="4331"/>
      <c r="Q6" s="4331"/>
      <c r="R6" s="4331"/>
      <c r="S6" s="4332"/>
      <c r="T6" s="4333" t="s">
        <v>1899</v>
      </c>
      <c r="U6" s="4334"/>
      <c r="V6" s="4335"/>
      <c r="W6" s="4364"/>
      <c r="X6" s="4365"/>
      <c r="Y6" s="4365"/>
      <c r="Z6" s="4365"/>
      <c r="AA6" s="4365"/>
      <c r="AB6" s="4365"/>
      <c r="AC6" s="4366"/>
      <c r="AD6" s="4370"/>
      <c r="AE6" s="4371"/>
      <c r="AF6" s="4372"/>
    </row>
    <row r="7" spans="1:35" ht="15" customHeight="1" thickBot="1">
      <c r="B7" s="4309"/>
      <c r="C7" s="1657">
        <v>3</v>
      </c>
      <c r="D7" s="1736"/>
      <c r="E7" s="1736"/>
      <c r="F7" s="1736"/>
      <c r="G7" s="1736"/>
      <c r="H7" s="1736"/>
      <c r="I7" s="1736"/>
      <c r="J7" s="1736"/>
      <c r="K7" s="1736"/>
      <c r="L7" s="1736"/>
      <c r="M7" s="1736"/>
      <c r="N7" s="1736"/>
      <c r="O7" s="1737"/>
      <c r="P7" s="1736"/>
      <c r="Q7" s="1736"/>
      <c r="R7" s="1736"/>
      <c r="S7" s="1736"/>
      <c r="T7" s="1736"/>
      <c r="U7" s="1736"/>
      <c r="V7" s="1736"/>
      <c r="W7" s="1736"/>
      <c r="X7" s="1736"/>
      <c r="Y7" s="1736"/>
      <c r="Z7" s="1736"/>
      <c r="AA7" s="1736"/>
      <c r="AB7" s="1736"/>
      <c r="AC7" s="1736"/>
      <c r="AD7" s="1736"/>
      <c r="AE7" s="1736"/>
      <c r="AF7" s="1735"/>
      <c r="AH7" s="1752" t="s">
        <v>1982</v>
      </c>
    </row>
    <row r="8" spans="1:35" ht="15" customHeight="1" thickBot="1">
      <c r="B8" s="4309"/>
      <c r="C8" s="1657">
        <v>4</v>
      </c>
      <c r="D8" s="1720"/>
      <c r="E8" s="1720"/>
      <c r="F8" s="1720"/>
      <c r="G8" s="1720"/>
      <c r="H8" s="1720"/>
      <c r="I8" s="1720"/>
      <c r="J8" s="1720"/>
      <c r="K8" s="1720"/>
      <c r="L8" s="1720"/>
      <c r="M8" s="1720"/>
      <c r="N8" s="1720"/>
      <c r="O8" s="1719"/>
      <c r="P8" s="1720"/>
      <c r="Q8" s="1720"/>
      <c r="R8" s="1720"/>
      <c r="S8" s="1720"/>
      <c r="T8" s="1720"/>
      <c r="U8" s="1720"/>
      <c r="V8" s="1720"/>
      <c r="W8" s="1720"/>
      <c r="X8" s="1720"/>
      <c r="Y8" s="1720"/>
      <c r="Z8" s="1720"/>
      <c r="AA8" s="1720"/>
      <c r="AB8" s="1720"/>
      <c r="AC8" s="1720"/>
      <c r="AD8" s="1720"/>
      <c r="AE8" s="1720"/>
      <c r="AF8" s="1733"/>
      <c r="AH8" s="1751" t="s">
        <v>1981</v>
      </c>
    </row>
    <row r="9" spans="1:35" ht="15" customHeight="1" thickBot="1">
      <c r="B9" s="4309"/>
      <c r="C9" s="1657">
        <v>5</v>
      </c>
      <c r="D9" s="1720"/>
      <c r="E9" s="1720"/>
      <c r="F9" s="1720"/>
      <c r="G9" s="1720"/>
      <c r="H9" s="1720"/>
      <c r="I9" s="1720"/>
      <c r="J9" s="1720"/>
      <c r="K9" s="1720"/>
      <c r="L9" s="1720"/>
      <c r="M9" s="1720"/>
      <c r="N9" s="1720"/>
      <c r="O9" s="1719"/>
      <c r="P9" s="1720"/>
      <c r="Q9" s="1720"/>
      <c r="R9" s="1720"/>
      <c r="S9" s="1720"/>
      <c r="T9" s="1720"/>
      <c r="U9" s="1720"/>
      <c r="V9" s="1720"/>
      <c r="W9" s="1720"/>
      <c r="X9" s="1720"/>
      <c r="Y9" s="1720"/>
      <c r="Z9" s="1720"/>
      <c r="AA9" s="1720"/>
      <c r="AB9" s="1720"/>
      <c r="AC9" s="1720"/>
      <c r="AD9" s="1720"/>
      <c r="AE9" s="1720"/>
      <c r="AF9" s="1733"/>
      <c r="AH9" s="1751" t="s">
        <v>1980</v>
      </c>
    </row>
    <row r="10" spans="1:35" ht="15" customHeight="1" thickBot="1">
      <c r="B10" s="4309"/>
      <c r="C10" s="1657">
        <v>6</v>
      </c>
      <c r="D10" s="1720"/>
      <c r="E10" s="1720"/>
      <c r="F10" s="1720"/>
      <c r="G10" s="1720"/>
      <c r="H10" s="1720"/>
      <c r="I10" s="1720"/>
      <c r="J10" s="1720"/>
      <c r="K10" s="1720"/>
      <c r="L10" s="1720"/>
      <c r="M10" s="1720"/>
      <c r="N10" s="1720"/>
      <c r="O10" s="1719"/>
      <c r="P10" s="1720"/>
      <c r="Q10" s="1720"/>
      <c r="R10" s="1720"/>
      <c r="S10" s="1720"/>
      <c r="T10" s="1720"/>
      <c r="U10" s="1720"/>
      <c r="V10" s="1720"/>
      <c r="W10" s="1720"/>
      <c r="X10" s="1720"/>
      <c r="Y10" s="1720"/>
      <c r="Z10" s="1720"/>
      <c r="AA10" s="1720"/>
      <c r="AB10" s="1720"/>
      <c r="AC10" s="1720"/>
      <c r="AD10" s="1720"/>
      <c r="AE10" s="1720"/>
      <c r="AF10" s="1733"/>
      <c r="AH10" s="1751" t="s">
        <v>1979</v>
      </c>
    </row>
    <row r="11" spans="1:35" ht="15" customHeight="1" thickBot="1">
      <c r="B11" s="4309"/>
      <c r="C11" s="1657">
        <v>7</v>
      </c>
      <c r="D11" s="1720"/>
      <c r="E11" s="1720"/>
      <c r="F11" s="1720"/>
      <c r="G11" s="1720"/>
      <c r="H11" s="1720"/>
      <c r="I11" s="1720"/>
      <c r="J11" s="1720"/>
      <c r="K11" s="1720"/>
      <c r="L11" s="1720"/>
      <c r="M11" s="1720"/>
      <c r="N11" s="1720"/>
      <c r="O11" s="1719"/>
      <c r="P11" s="1720"/>
      <c r="Q11" s="1720"/>
      <c r="R11" s="1720"/>
      <c r="S11" s="1720"/>
      <c r="T11" s="1720"/>
      <c r="U11" s="1720"/>
      <c r="V11" s="1720"/>
      <c r="W11" s="1720"/>
      <c r="X11" s="1720"/>
      <c r="Y11" s="1720"/>
      <c r="Z11" s="1720"/>
      <c r="AA11" s="1720"/>
      <c r="AB11" s="1720"/>
      <c r="AC11" s="1720"/>
      <c r="AD11" s="1720"/>
      <c r="AE11" s="1720"/>
      <c r="AF11" s="1733"/>
      <c r="AH11" s="1751" t="s">
        <v>1978</v>
      </c>
    </row>
    <row r="12" spans="1:35" ht="15" customHeight="1" thickBot="1">
      <c r="B12" s="4309"/>
      <c r="C12" s="1657">
        <v>8</v>
      </c>
      <c r="D12" s="1720"/>
      <c r="E12" s="1720"/>
      <c r="F12" s="1720"/>
      <c r="G12" s="1720"/>
      <c r="H12" s="1720"/>
      <c r="I12" s="1720"/>
      <c r="J12" s="1720"/>
      <c r="K12" s="1720"/>
      <c r="L12" s="1720"/>
      <c r="M12" s="1720"/>
      <c r="N12" s="1720"/>
      <c r="O12" s="1719"/>
      <c r="P12" s="1720"/>
      <c r="Q12" s="1720"/>
      <c r="R12" s="1720"/>
      <c r="S12" s="1720"/>
      <c r="T12" s="1720"/>
      <c r="U12" s="1720"/>
      <c r="V12" s="1720"/>
      <c r="W12" s="1720"/>
      <c r="X12" s="1720"/>
      <c r="Y12" s="1720"/>
      <c r="Z12" s="1720"/>
      <c r="AA12" s="1720"/>
      <c r="AB12" s="1720"/>
      <c r="AC12" s="1720"/>
      <c r="AD12" s="1720"/>
      <c r="AE12" s="1720"/>
      <c r="AF12" s="1733"/>
      <c r="AH12" s="1751" t="s">
        <v>1977</v>
      </c>
    </row>
    <row r="13" spans="1:35" ht="15" customHeight="1">
      <c r="B13" s="4309"/>
      <c r="C13" s="1657">
        <v>9</v>
      </c>
      <c r="D13" s="1720"/>
      <c r="E13" s="1720"/>
      <c r="F13" s="1720"/>
      <c r="G13" s="1720"/>
      <c r="H13" s="1720"/>
      <c r="I13" s="1720"/>
      <c r="J13" s="1720"/>
      <c r="K13" s="1720"/>
      <c r="L13" s="1720"/>
      <c r="M13" s="1720"/>
      <c r="N13" s="1720"/>
      <c r="O13" s="1719"/>
      <c r="P13" s="1720"/>
      <c r="Q13" s="1720"/>
      <c r="R13" s="1720"/>
      <c r="S13" s="1720"/>
      <c r="T13" s="1720"/>
      <c r="U13" s="1720"/>
      <c r="V13" s="1720"/>
      <c r="W13" s="1720"/>
      <c r="X13" s="1720"/>
      <c r="Y13" s="1720"/>
      <c r="Z13" s="1720"/>
      <c r="AA13" s="1720"/>
      <c r="AB13" s="1720"/>
      <c r="AC13" s="1720"/>
      <c r="AD13" s="1720"/>
      <c r="AE13" s="1720"/>
      <c r="AF13" s="1733"/>
    </row>
    <row r="14" spans="1:35" ht="15" customHeight="1">
      <c r="B14" s="4309"/>
      <c r="C14" s="1657">
        <v>10</v>
      </c>
      <c r="D14" s="1720"/>
      <c r="E14" s="1720"/>
      <c r="F14" s="1720"/>
      <c r="G14" s="1720"/>
      <c r="H14" s="4336" t="str">
        <f>IF(Y31="","",INT(Y31*9.80665)/1000&amp;"[KN]")</f>
        <v>2.941[KN]</v>
      </c>
      <c r="I14" s="4336"/>
      <c r="J14" s="4336"/>
      <c r="K14" s="1660"/>
      <c r="L14" s="1720"/>
      <c r="M14" s="1720"/>
      <c r="N14" s="1720"/>
      <c r="O14" s="1719"/>
      <c r="P14" s="1720"/>
      <c r="Q14" s="1720"/>
      <c r="R14" s="1720"/>
      <c r="S14" s="1720"/>
      <c r="T14" s="1720"/>
      <c r="U14" s="1720"/>
      <c r="V14" s="1720"/>
      <c r="W14" s="1720"/>
      <c r="X14" s="1720"/>
      <c r="Y14" s="1720"/>
      <c r="Z14" s="1720"/>
      <c r="AA14" s="1720"/>
      <c r="AB14" s="1720"/>
      <c r="AC14" s="1720"/>
      <c r="AD14" s="1720"/>
      <c r="AE14" s="1720"/>
      <c r="AF14" s="1733"/>
    </row>
    <row r="15" spans="1:35" ht="15" customHeight="1">
      <c r="B15" s="4309"/>
      <c r="C15" s="1657">
        <v>11</v>
      </c>
      <c r="D15" s="1720"/>
      <c r="E15" s="1720"/>
      <c r="F15" s="1720"/>
      <c r="G15" s="1720"/>
      <c r="H15" s="1720"/>
      <c r="I15" s="1720"/>
      <c r="J15" s="1720"/>
      <c r="K15" s="1720"/>
      <c r="L15" s="1720"/>
      <c r="M15" s="1720"/>
      <c r="N15" s="1720"/>
      <c r="O15" s="1719"/>
      <c r="P15" s="1720"/>
      <c r="Q15" s="1720"/>
      <c r="R15" s="1720"/>
      <c r="S15" s="1720"/>
      <c r="T15" s="1720"/>
      <c r="U15" s="1720"/>
      <c r="V15" s="1720"/>
      <c r="W15" s="1720"/>
      <c r="X15" s="1720"/>
      <c r="Y15" s="1720"/>
      <c r="Z15" s="1720"/>
      <c r="AA15" s="1720"/>
      <c r="AB15" s="1720"/>
      <c r="AC15" s="1720"/>
      <c r="AD15" s="1720"/>
      <c r="AE15" s="1720"/>
      <c r="AF15" s="1733"/>
    </row>
    <row r="16" spans="1:35" ht="15" customHeight="1">
      <c r="B16" s="4309"/>
      <c r="C16" s="1657">
        <v>12</v>
      </c>
      <c r="D16" s="1720"/>
      <c r="E16" s="1720"/>
      <c r="F16" s="1720"/>
      <c r="G16" s="1720"/>
      <c r="H16" s="1720"/>
      <c r="I16" s="1720"/>
      <c r="J16" s="1720"/>
      <c r="K16" s="1720"/>
      <c r="L16" s="1720"/>
      <c r="M16" s="1720"/>
      <c r="N16" s="1720"/>
      <c r="O16" s="1719"/>
      <c r="P16" s="1720"/>
      <c r="Q16" s="1720"/>
      <c r="R16" s="1720"/>
      <c r="S16" s="1720"/>
      <c r="T16" s="1720"/>
      <c r="U16" s="1720"/>
      <c r="V16" s="1720"/>
      <c r="W16" s="1720"/>
      <c r="X16" s="1720"/>
      <c r="Y16" s="1720"/>
      <c r="Z16" s="1720"/>
      <c r="AA16" s="1720"/>
      <c r="AB16" s="1720"/>
      <c r="AC16" s="1720"/>
      <c r="AD16" s="1720"/>
      <c r="AE16" s="1720"/>
      <c r="AF16" s="1733"/>
    </row>
    <row r="17" spans="2:32" ht="15" customHeight="1">
      <c r="B17" s="4309"/>
      <c r="C17" s="1657">
        <v>13</v>
      </c>
      <c r="D17" s="1720"/>
      <c r="E17" s="1720"/>
      <c r="F17" s="1720"/>
      <c r="G17" s="1720"/>
      <c r="H17" s="1720"/>
      <c r="I17" s="1720"/>
      <c r="J17" s="1720"/>
      <c r="K17" s="1720"/>
      <c r="L17" s="1720"/>
      <c r="M17" s="1720"/>
      <c r="N17" s="1720"/>
      <c r="O17" s="1719"/>
      <c r="P17" s="1720"/>
      <c r="Q17" s="1720"/>
      <c r="R17" s="1720"/>
      <c r="S17" s="1720"/>
      <c r="T17" s="1720"/>
      <c r="U17" s="1720"/>
      <c r="V17" s="1720"/>
      <c r="W17" s="1720"/>
      <c r="X17" s="1720"/>
      <c r="Y17" s="1720"/>
      <c r="Z17" s="1720"/>
      <c r="AA17" s="1720"/>
      <c r="AB17" s="1720"/>
      <c r="AC17" s="1720"/>
      <c r="AD17" s="1720"/>
      <c r="AE17" s="1720"/>
      <c r="AF17" s="1733"/>
    </row>
    <row r="18" spans="2:32" ht="15" customHeight="1">
      <c r="B18" s="4309"/>
      <c r="C18" s="1657">
        <v>14</v>
      </c>
      <c r="D18" s="1720"/>
      <c r="E18" s="1720"/>
      <c r="F18" s="1720"/>
      <c r="G18" s="1720"/>
      <c r="H18" s="1720"/>
      <c r="I18" s="1720"/>
      <c r="J18" s="1720"/>
      <c r="K18" s="1720"/>
      <c r="L18" s="1720"/>
      <c r="M18" s="1720"/>
      <c r="N18" s="1720"/>
      <c r="O18" s="1719"/>
      <c r="P18" s="1720"/>
      <c r="Q18" s="1720"/>
      <c r="R18" s="1720"/>
      <c r="S18" s="1720"/>
      <c r="T18" s="1720"/>
      <c r="U18" s="1720"/>
      <c r="V18" s="1720"/>
      <c r="W18" s="1720"/>
      <c r="X18" s="1720"/>
      <c r="Y18" s="1720"/>
      <c r="Z18" s="1720"/>
      <c r="AA18" s="1720"/>
      <c r="AB18" s="1720"/>
      <c r="AC18" s="1720"/>
      <c r="AD18" s="1720"/>
      <c r="AE18" s="1720"/>
      <c r="AF18" s="1733"/>
    </row>
    <row r="19" spans="2:32" ht="15" customHeight="1">
      <c r="B19" s="4309"/>
      <c r="C19" s="1657">
        <v>15</v>
      </c>
      <c r="D19" s="1720"/>
      <c r="E19" s="1720"/>
      <c r="F19" s="1720"/>
      <c r="G19" s="1720"/>
      <c r="H19" s="1720"/>
      <c r="I19" s="1720"/>
      <c r="J19" s="1720"/>
      <c r="K19" s="1720"/>
      <c r="L19" s="1720"/>
      <c r="M19" s="1720"/>
      <c r="N19" s="1720"/>
      <c r="O19" s="1719"/>
      <c r="P19" s="1720"/>
      <c r="Q19" s="1720"/>
      <c r="R19" s="1720"/>
      <c r="S19" s="1720"/>
      <c r="T19" s="1720"/>
      <c r="U19" s="1720"/>
      <c r="V19" s="1720"/>
      <c r="W19" s="1720"/>
      <c r="X19" s="1720"/>
      <c r="Y19" s="1720"/>
      <c r="Z19" s="1720"/>
      <c r="AA19" s="1720"/>
      <c r="AB19" s="1720"/>
      <c r="AC19" s="1720"/>
      <c r="AD19" s="1720"/>
      <c r="AE19" s="1720"/>
      <c r="AF19" s="1733"/>
    </row>
    <row r="20" spans="2:32" ht="15" customHeight="1">
      <c r="B20" s="4309"/>
      <c r="C20" s="1657">
        <v>16</v>
      </c>
      <c r="D20" s="1720"/>
      <c r="E20" s="1720"/>
      <c r="F20" s="1720"/>
      <c r="G20" s="1720"/>
      <c r="H20" s="1720"/>
      <c r="I20" s="1720"/>
      <c r="J20" s="1720"/>
      <c r="K20" s="1720"/>
      <c r="L20" s="1720"/>
      <c r="M20" s="1720"/>
      <c r="N20" s="1720"/>
      <c r="O20" s="1719"/>
      <c r="P20" s="1720"/>
      <c r="Q20" s="1720"/>
      <c r="R20" s="1720"/>
      <c r="S20" s="1720"/>
      <c r="T20" s="1720"/>
      <c r="U20" s="1720"/>
      <c r="V20" s="1720"/>
      <c r="W20" s="1720"/>
      <c r="X20" s="1720"/>
      <c r="Y20" s="1720"/>
      <c r="Z20" s="1720"/>
      <c r="AA20" s="1720"/>
      <c r="AB20" s="1720"/>
      <c r="AC20" s="1720"/>
      <c r="AD20" s="1720"/>
      <c r="AE20" s="1720"/>
      <c r="AF20" s="1733"/>
    </row>
    <row r="21" spans="2:32" ht="15" customHeight="1">
      <c r="B21" s="4309"/>
      <c r="C21" s="1657">
        <v>17</v>
      </c>
      <c r="D21" s="1720"/>
      <c r="E21" s="1720"/>
      <c r="F21" s="1720"/>
      <c r="G21" s="1720"/>
      <c r="H21" s="1720"/>
      <c r="I21" s="1720"/>
      <c r="J21" s="1720"/>
      <c r="K21" s="1720"/>
      <c r="L21" s="1720"/>
      <c r="M21" s="1720"/>
      <c r="N21" s="1720"/>
      <c r="O21" s="1719"/>
      <c r="P21" s="1720"/>
      <c r="Q21" s="1720"/>
      <c r="R21" s="1720"/>
      <c r="S21" s="1720"/>
      <c r="T21" s="1720"/>
      <c r="U21" s="1720"/>
      <c r="V21" s="1720"/>
      <c r="W21" s="1720"/>
      <c r="X21" s="1720"/>
      <c r="Y21" s="1720"/>
      <c r="Z21" s="1720"/>
      <c r="AA21" s="1720"/>
      <c r="AB21" s="1720"/>
      <c r="AC21" s="1720"/>
      <c r="AD21" s="1720"/>
      <c r="AE21" s="1720"/>
      <c r="AF21" s="1733"/>
    </row>
    <row r="22" spans="2:32" ht="15" customHeight="1">
      <c r="B22" s="4309"/>
      <c r="C22" s="1657">
        <v>18</v>
      </c>
      <c r="D22" s="1720"/>
      <c r="E22" s="1720"/>
      <c r="F22" s="1720"/>
      <c r="G22" s="1720"/>
      <c r="H22" s="1720"/>
      <c r="I22" s="1720"/>
      <c r="J22" s="1720"/>
      <c r="K22" s="1720"/>
      <c r="L22" s="1720"/>
      <c r="M22" s="1720"/>
      <c r="N22" s="1720"/>
      <c r="O22" s="1719"/>
      <c r="P22" s="1720"/>
      <c r="Q22" s="1720"/>
      <c r="R22" s="1720"/>
      <c r="S22" s="1720"/>
      <c r="T22" s="1720"/>
      <c r="U22" s="1720"/>
      <c r="V22" s="1720"/>
      <c r="W22" s="1720"/>
      <c r="X22" s="1720"/>
      <c r="Y22" s="1720"/>
      <c r="Z22" s="1720"/>
      <c r="AA22" s="1720"/>
      <c r="AB22" s="1720"/>
      <c r="AC22" s="1720"/>
      <c r="AD22" s="1720"/>
      <c r="AE22" s="1720"/>
      <c r="AF22" s="1733"/>
    </row>
    <row r="23" spans="2:32" ht="15" customHeight="1">
      <c r="B23" s="4309"/>
      <c r="C23" s="1657">
        <v>19</v>
      </c>
      <c r="D23" s="1720"/>
      <c r="E23" s="1720"/>
      <c r="F23" s="1720"/>
      <c r="G23" s="1720"/>
      <c r="H23" s="1720"/>
      <c r="I23" s="1720"/>
      <c r="J23" s="1720"/>
      <c r="K23" s="1720"/>
      <c r="L23" s="1720"/>
      <c r="M23" s="1720"/>
      <c r="N23" s="1720"/>
      <c r="O23" s="1719"/>
      <c r="P23" s="1720"/>
      <c r="Q23" s="1720"/>
      <c r="R23" s="1720"/>
      <c r="S23" s="1720"/>
      <c r="T23" s="1720"/>
      <c r="U23" s="1720"/>
      <c r="V23" s="1720"/>
      <c r="W23" s="1720"/>
      <c r="X23" s="1720"/>
      <c r="Y23" s="1720"/>
      <c r="Z23" s="1720"/>
      <c r="AA23" s="1720"/>
      <c r="AB23" s="1720"/>
      <c r="AC23" s="1720"/>
      <c r="AD23" s="1720"/>
      <c r="AE23" s="1720"/>
      <c r="AF23" s="1733"/>
    </row>
    <row r="24" spans="2:32" ht="15" customHeight="1">
      <c r="B24" s="4309"/>
      <c r="C24" s="1657">
        <v>20</v>
      </c>
      <c r="D24" s="1720"/>
      <c r="E24" s="1720"/>
      <c r="F24" s="1720"/>
      <c r="G24" s="1720"/>
      <c r="H24" s="1720"/>
      <c r="I24" s="1720"/>
      <c r="J24" s="1720"/>
      <c r="K24" s="1720"/>
      <c r="L24" s="1720"/>
      <c r="M24" s="1720"/>
      <c r="N24" s="1720"/>
      <c r="O24" s="1719"/>
      <c r="P24" s="1720"/>
      <c r="Q24" s="1720"/>
      <c r="R24" s="1720"/>
      <c r="S24" s="1720"/>
      <c r="T24" s="1720"/>
      <c r="U24" s="1720"/>
      <c r="V24" s="1720"/>
      <c r="W24" s="1720"/>
      <c r="X24" s="1720"/>
      <c r="Y24" s="1720"/>
      <c r="Z24" s="1720"/>
      <c r="AA24" s="1720"/>
      <c r="AB24" s="1720"/>
      <c r="AC24" s="1720"/>
      <c r="AD24" s="1720"/>
      <c r="AE24" s="1720"/>
      <c r="AF24" s="1733"/>
    </row>
    <row r="25" spans="2:32" ht="15" customHeight="1">
      <c r="B25" s="4309"/>
      <c r="C25" s="1657">
        <v>21</v>
      </c>
      <c r="D25" s="1734"/>
      <c r="E25" s="1729" t="s">
        <v>1976</v>
      </c>
      <c r="F25" s="1724" t="s">
        <v>1962</v>
      </c>
      <c r="G25" s="1734"/>
      <c r="H25" s="1734"/>
      <c r="I25" s="1734"/>
      <c r="J25" s="1734"/>
      <c r="K25" s="1734"/>
      <c r="L25" s="1734"/>
      <c r="M25" s="1734"/>
      <c r="N25" s="1734"/>
      <c r="O25" s="1714"/>
      <c r="P25" s="1720"/>
      <c r="Q25" s="1720"/>
      <c r="R25" s="1720"/>
      <c r="S25" s="1720"/>
      <c r="T25" s="1720"/>
      <c r="U25" s="1720"/>
      <c r="V25" s="1720"/>
      <c r="W25" s="1720"/>
      <c r="X25" s="1720"/>
      <c r="Y25" s="1720"/>
      <c r="Z25" s="1720"/>
      <c r="AA25" s="1720"/>
      <c r="AB25" s="1720"/>
      <c r="AC25" s="1720"/>
      <c r="AD25" s="1720"/>
      <c r="AE25" s="1720"/>
      <c r="AF25" s="1733"/>
    </row>
    <row r="26" spans="2:32" ht="15" customHeight="1">
      <c r="B26" s="4309"/>
      <c r="C26" s="1657">
        <v>22</v>
      </c>
      <c r="D26" s="1720"/>
      <c r="E26" s="1729" t="s">
        <v>1975</v>
      </c>
      <c r="F26" s="1724" t="s">
        <v>1816</v>
      </c>
      <c r="G26" s="1724"/>
      <c r="H26" s="1724"/>
      <c r="I26" s="1720"/>
      <c r="J26" s="1720"/>
      <c r="K26" s="1720"/>
      <c r="L26" s="1720"/>
      <c r="M26" s="1720"/>
      <c r="N26" s="1720"/>
      <c r="O26" s="1719"/>
      <c r="P26" s="1720"/>
      <c r="Q26" s="1720"/>
      <c r="R26" s="1720"/>
      <c r="S26" s="1720"/>
      <c r="T26" s="1720"/>
      <c r="U26" s="1720"/>
      <c r="V26" s="1720"/>
      <c r="W26" s="1720"/>
      <c r="X26" s="1720"/>
      <c r="Y26" s="1720"/>
      <c r="Z26" s="1720"/>
      <c r="AA26" s="1720"/>
      <c r="AB26" s="1720"/>
      <c r="AC26" s="1720"/>
      <c r="AD26" s="1720"/>
      <c r="AE26" s="1720"/>
      <c r="AF26" s="1733"/>
    </row>
    <row r="27" spans="2:32" ht="15" customHeight="1">
      <c r="B27" s="4309"/>
      <c r="C27" s="1657">
        <v>23</v>
      </c>
      <c r="D27" s="1720"/>
      <c r="E27" s="1729" t="s">
        <v>1974</v>
      </c>
      <c r="F27" s="1724" t="s">
        <v>1959</v>
      </c>
      <c r="G27" s="1724"/>
      <c r="H27" s="1724"/>
      <c r="I27" s="1720"/>
      <c r="J27" s="1720"/>
      <c r="K27" s="1720"/>
      <c r="L27" s="1720"/>
      <c r="M27" s="1720"/>
      <c r="N27" s="1720"/>
      <c r="O27" s="1719"/>
      <c r="P27" s="1732"/>
      <c r="Q27" s="1732"/>
      <c r="R27" s="1732"/>
      <c r="S27" s="1732"/>
      <c r="T27" s="1732"/>
      <c r="U27" s="1732"/>
      <c r="V27" s="1732"/>
      <c r="W27" s="1732"/>
      <c r="X27" s="1732"/>
      <c r="Y27" s="1732"/>
      <c r="Z27" s="1732"/>
      <c r="AA27" s="1732"/>
      <c r="AB27" s="1732"/>
      <c r="AC27" s="1732"/>
      <c r="AD27" s="1732"/>
      <c r="AE27" s="1732"/>
      <c r="AF27" s="1731"/>
    </row>
    <row r="28" spans="2:32" ht="15" customHeight="1">
      <c r="B28" s="4309"/>
      <c r="C28" s="1657">
        <v>24</v>
      </c>
      <c r="D28" s="1720"/>
      <c r="E28" s="1729" t="s">
        <v>1973</v>
      </c>
      <c r="F28" s="1724" t="s">
        <v>1957</v>
      </c>
      <c r="G28" s="1724"/>
      <c r="H28" s="1724"/>
      <c r="I28" s="1720"/>
      <c r="J28" s="1720"/>
      <c r="K28" s="1720"/>
      <c r="L28" s="1720"/>
      <c r="M28" s="1720"/>
      <c r="N28" s="1720"/>
      <c r="O28" s="1719"/>
      <c r="P28" s="4310" t="s">
        <v>1727</v>
      </c>
      <c r="Q28" s="4311"/>
      <c r="R28" s="4311"/>
      <c r="S28" s="4311"/>
      <c r="T28" s="4311"/>
      <c r="U28" s="4311"/>
      <c r="V28" s="4311"/>
      <c r="W28" s="4311"/>
      <c r="X28" s="4312"/>
      <c r="Y28" s="4446" t="s">
        <v>1816</v>
      </c>
      <c r="Z28" s="4429"/>
      <c r="AA28" s="4428" t="s">
        <v>1956</v>
      </c>
      <c r="AB28" s="4429"/>
      <c r="AC28" s="4428" t="s">
        <v>1955</v>
      </c>
      <c r="AD28" s="4432"/>
      <c r="AE28" s="4432"/>
      <c r="AF28" s="4433"/>
    </row>
    <row r="29" spans="2:32" ht="15" customHeight="1">
      <c r="B29" s="4309"/>
      <c r="C29" s="1657">
        <v>25</v>
      </c>
      <c r="D29" s="1720"/>
      <c r="E29" s="1725" t="s">
        <v>1954</v>
      </c>
      <c r="F29" s="1722" t="s">
        <v>1953</v>
      </c>
      <c r="G29" s="1724"/>
      <c r="H29" s="1724"/>
      <c r="I29" s="1720"/>
      <c r="J29" s="1720"/>
      <c r="K29" s="1720"/>
      <c r="L29" s="1720"/>
      <c r="M29" s="1720"/>
      <c r="N29" s="1720"/>
      <c r="O29" s="1719"/>
      <c r="P29" s="4313"/>
      <c r="Q29" s="4314"/>
      <c r="R29" s="4314"/>
      <c r="S29" s="4314"/>
      <c r="T29" s="4314"/>
      <c r="U29" s="4314"/>
      <c r="V29" s="4314"/>
      <c r="W29" s="4314"/>
      <c r="X29" s="4315"/>
      <c r="Y29" s="4430"/>
      <c r="Z29" s="4431"/>
      <c r="AA29" s="4430"/>
      <c r="AB29" s="4431"/>
      <c r="AC29" s="4430"/>
      <c r="AD29" s="4434"/>
      <c r="AE29" s="4434"/>
      <c r="AF29" s="4435"/>
    </row>
    <row r="30" spans="2:32" ht="15" customHeight="1">
      <c r="B30" s="4309"/>
      <c r="C30" s="1657">
        <v>26</v>
      </c>
      <c r="D30" s="1720"/>
      <c r="E30" s="1730"/>
      <c r="F30" s="1723" t="s">
        <v>1952</v>
      </c>
      <c r="G30" s="1722"/>
      <c r="H30" s="1722"/>
      <c r="I30" s="1720"/>
      <c r="J30" s="1720"/>
      <c r="K30" s="1720"/>
      <c r="L30" s="1720"/>
      <c r="M30" s="1720"/>
      <c r="N30" s="1720"/>
      <c r="O30" s="1719"/>
      <c r="P30" s="4436" t="s">
        <v>1806</v>
      </c>
      <c r="Q30" s="4437"/>
      <c r="R30" s="4437"/>
      <c r="S30" s="4437"/>
      <c r="T30" s="4438" t="s">
        <v>1805</v>
      </c>
      <c r="U30" s="4437"/>
      <c r="V30" s="4437"/>
      <c r="W30" s="4439" t="s">
        <v>1804</v>
      </c>
      <c r="X30" s="4440"/>
      <c r="Y30" s="4439" t="s">
        <v>1951</v>
      </c>
      <c r="Z30" s="4440"/>
      <c r="AA30" s="4439" t="s">
        <v>1950</v>
      </c>
      <c r="AB30" s="4441"/>
      <c r="AC30" s="4442" t="s">
        <v>1949</v>
      </c>
      <c r="AD30" s="4443"/>
      <c r="AE30" s="4444" t="s">
        <v>1948</v>
      </c>
      <c r="AF30" s="4445"/>
    </row>
    <row r="31" spans="2:32" ht="15" customHeight="1">
      <c r="B31" s="4309"/>
      <c r="C31" s="1657">
        <v>27</v>
      </c>
      <c r="D31" s="1720"/>
      <c r="E31" s="1729" t="s">
        <v>1947</v>
      </c>
      <c r="F31" s="1724" t="s">
        <v>1946</v>
      </c>
      <c r="G31" s="1723"/>
      <c r="H31" s="1723"/>
      <c r="I31" s="1720"/>
      <c r="J31" s="1720"/>
      <c r="K31" s="1720"/>
      <c r="L31" s="1720"/>
      <c r="M31" s="1720"/>
      <c r="N31" s="1720"/>
      <c r="O31" s="1719"/>
      <c r="P31" s="4316">
        <v>700</v>
      </c>
      <c r="Q31" s="4317"/>
      <c r="R31" s="4318" t="str">
        <f>IF(P31="","","[mm]")</f>
        <v>[mm]</v>
      </c>
      <c r="S31" s="4319"/>
      <c r="T31" s="4320">
        <v>450</v>
      </c>
      <c r="U31" s="4317"/>
      <c r="V31" s="1728" t="str">
        <f>IF(T31="","","[mm]")</f>
        <v>[mm]</v>
      </c>
      <c r="W31" s="1727">
        <v>1700</v>
      </c>
      <c r="X31" s="1728" t="str">
        <f>IF(W31="","","[mm]")</f>
        <v>[mm]</v>
      </c>
      <c r="Y31" s="1727">
        <v>300</v>
      </c>
      <c r="Z31" s="1728" t="str">
        <f>IF(Y31="","","[Kg]")</f>
        <v>[Kg]</v>
      </c>
      <c r="AA31" s="1727">
        <v>1000</v>
      </c>
      <c r="AB31" s="1728" t="str">
        <f>IF(AA31="","","[mm]")</f>
        <v>[mm]</v>
      </c>
      <c r="AC31" s="1727">
        <v>325</v>
      </c>
      <c r="AD31" s="1728" t="str">
        <f>IF(AC31="","","[mm]")</f>
        <v>[mm]</v>
      </c>
      <c r="AE31" s="1727">
        <v>200</v>
      </c>
      <c r="AF31" s="1726" t="str">
        <f>IF(AE31="","","[mm]")</f>
        <v>[mm]</v>
      </c>
    </row>
    <row r="32" spans="2:32" ht="15" customHeight="1">
      <c r="B32" s="4309"/>
      <c r="C32" s="1657">
        <v>28</v>
      </c>
      <c r="D32" s="1720"/>
      <c r="E32" s="1725" t="s">
        <v>1945</v>
      </c>
      <c r="F32" s="1722" t="s">
        <v>1944</v>
      </c>
      <c r="G32" s="1724"/>
      <c r="H32" s="1724"/>
      <c r="I32" s="1720"/>
      <c r="J32" s="1720"/>
      <c r="K32" s="1720"/>
      <c r="L32" s="1720"/>
      <c r="M32" s="1720"/>
      <c r="N32" s="1720"/>
      <c r="O32" s="1719"/>
      <c r="P32" s="4415" t="s">
        <v>1895</v>
      </c>
      <c r="Q32" s="4416"/>
      <c r="R32" s="4416"/>
      <c r="S32" s="4416"/>
      <c r="T32" s="4416"/>
      <c r="U32" s="4416"/>
      <c r="V32" s="4416"/>
      <c r="W32" s="4416"/>
      <c r="X32" s="4416"/>
      <c r="Y32" s="4417" t="s">
        <v>1894</v>
      </c>
      <c r="Z32" s="4416"/>
      <c r="AA32" s="4416"/>
      <c r="AB32" s="4416"/>
      <c r="AC32" s="4416"/>
      <c r="AD32" s="4418"/>
      <c r="AE32" s="4337" t="s">
        <v>1795</v>
      </c>
      <c r="AF32" s="4338"/>
    </row>
    <row r="33" spans="2:32" ht="15" customHeight="1">
      <c r="B33" s="4309"/>
      <c r="C33" s="1657">
        <v>29</v>
      </c>
      <c r="D33" s="1720"/>
      <c r="E33" s="1720"/>
      <c r="F33" s="1723" t="s">
        <v>1943</v>
      </c>
      <c r="G33" s="1722"/>
      <c r="H33" s="1722"/>
      <c r="I33" s="1720"/>
      <c r="J33" s="1720"/>
      <c r="K33" s="1720"/>
      <c r="L33" s="1720"/>
      <c r="M33" s="1732"/>
      <c r="N33" s="1720"/>
      <c r="O33" s="1719"/>
      <c r="P33" s="4339" t="s">
        <v>1942</v>
      </c>
      <c r="Q33" s="4340"/>
      <c r="R33" s="4340"/>
      <c r="S33" s="4340"/>
      <c r="T33" s="4340"/>
      <c r="U33" s="4340"/>
      <c r="V33" s="4341" t="s">
        <v>1941</v>
      </c>
      <c r="W33" s="4340"/>
      <c r="X33" s="4342"/>
      <c r="Y33" s="4341" t="s">
        <v>1940</v>
      </c>
      <c r="Z33" s="4343"/>
      <c r="AA33" s="4343"/>
      <c r="AB33" s="4341" t="s">
        <v>1939</v>
      </c>
      <c r="AC33" s="4343"/>
      <c r="AD33" s="4343"/>
      <c r="AE33" s="4426" t="s">
        <v>1788</v>
      </c>
      <c r="AF33" s="4427"/>
    </row>
    <row r="34" spans="2:32" ht="15" customHeight="1">
      <c r="B34" s="4309"/>
      <c r="C34" s="1657">
        <v>30</v>
      </c>
      <c r="D34" s="1720"/>
      <c r="E34" s="1708"/>
      <c r="F34" s="1717"/>
      <c r="G34" s="1721"/>
      <c r="H34" s="1721"/>
      <c r="I34" s="1720"/>
      <c r="J34" s="1720"/>
      <c r="K34" s="1721"/>
      <c r="L34" s="1716" t="s">
        <v>1938</v>
      </c>
      <c r="M34" s="1715">
        <v>1.5</v>
      </c>
      <c r="N34" s="1720"/>
      <c r="O34" s="1719"/>
      <c r="P34" s="4475">
        <v>650</v>
      </c>
      <c r="Q34" s="4476"/>
      <c r="R34" s="4476"/>
      <c r="S34" s="4476"/>
      <c r="T34" s="4477" t="str">
        <f>IF(P34="","","[mm]")</f>
        <v>[mm]</v>
      </c>
      <c r="U34" s="4478"/>
      <c r="V34" s="4479">
        <v>400</v>
      </c>
      <c r="W34" s="4476"/>
      <c r="X34" s="1718" t="str">
        <f>IF(V34="","","[mm]")</f>
        <v>[mm]</v>
      </c>
      <c r="Y34" s="4410">
        <v>2</v>
      </c>
      <c r="Z34" s="4411"/>
      <c r="AA34" s="4412"/>
      <c r="AB34" s="4410">
        <v>2</v>
      </c>
      <c r="AC34" s="4411"/>
      <c r="AD34" s="4412"/>
      <c r="AE34" s="4413">
        <f>IF(OR(Y34="",AB34=""),"",Y34*AB34)</f>
        <v>4</v>
      </c>
      <c r="AF34" s="4414"/>
    </row>
    <row r="35" spans="2:32" ht="15" customHeight="1">
      <c r="B35" s="4309"/>
      <c r="C35" s="1657">
        <v>31</v>
      </c>
      <c r="D35" s="1708"/>
      <c r="E35" s="1708"/>
      <c r="F35" s="1717"/>
      <c r="G35" s="1717"/>
      <c r="H35" s="1717"/>
      <c r="I35" s="1708"/>
      <c r="J35" s="1708"/>
      <c r="K35" s="1708"/>
      <c r="L35" s="1716" t="s">
        <v>1937</v>
      </c>
      <c r="M35" s="1715">
        <v>1</v>
      </c>
      <c r="N35" s="1708"/>
      <c r="O35" s="1714"/>
      <c r="P35" s="1713"/>
      <c r="Q35" s="1713"/>
      <c r="R35" s="1713"/>
      <c r="S35" s="1713"/>
      <c r="T35" s="1712"/>
      <c r="U35" s="1712"/>
      <c r="V35" s="1713"/>
      <c r="W35" s="1713"/>
      <c r="X35" s="1712"/>
      <c r="Y35" s="1711"/>
      <c r="Z35" s="1711"/>
      <c r="AA35" s="1711"/>
      <c r="AB35" s="1711"/>
      <c r="AC35" s="1711"/>
      <c r="AD35" s="1711"/>
      <c r="AE35" s="1710"/>
      <c r="AF35" s="1709"/>
    </row>
    <row r="36" spans="2:32" ht="15" customHeight="1">
      <c r="B36" s="4309"/>
      <c r="C36" s="1657">
        <v>32</v>
      </c>
      <c r="D36" s="1708"/>
      <c r="E36" s="1708"/>
      <c r="F36" s="1708"/>
      <c r="G36" s="1708"/>
      <c r="H36" s="1708"/>
      <c r="I36" s="1708"/>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7"/>
    </row>
    <row r="37" spans="2:32" ht="15" customHeight="1">
      <c r="B37" s="4309"/>
      <c r="C37" s="1657">
        <v>33</v>
      </c>
      <c r="D37" s="4322" t="s">
        <v>1785</v>
      </c>
      <c r="E37" s="4323"/>
      <c r="F37" s="4323"/>
      <c r="G37" s="4323"/>
      <c r="H37" s="4323"/>
      <c r="I37" s="4323"/>
      <c r="J37" s="4324"/>
      <c r="K37" s="4325" t="s">
        <v>1784</v>
      </c>
      <c r="L37" s="4322" t="s">
        <v>1681</v>
      </c>
      <c r="M37" s="4323"/>
      <c r="N37" s="4323"/>
      <c r="O37" s="4324"/>
      <c r="P37" s="4322" t="s">
        <v>1680</v>
      </c>
      <c r="Q37" s="4323"/>
      <c r="R37" s="4323"/>
      <c r="S37" s="4323"/>
      <c r="T37" s="4323"/>
      <c r="U37" s="4323"/>
      <c r="V37" s="4324"/>
      <c r="W37" s="4447" t="s">
        <v>1936</v>
      </c>
      <c r="X37" s="4448"/>
      <c r="Y37" s="4448"/>
      <c r="Z37" s="4448"/>
      <c r="AA37" s="4448"/>
      <c r="AB37" s="4448"/>
      <c r="AC37" s="4448"/>
      <c r="AD37" s="4448"/>
      <c r="AE37" s="4448"/>
      <c r="AF37" s="4449"/>
    </row>
    <row r="38" spans="2:32" ht="15" customHeight="1">
      <c r="B38" s="4309"/>
      <c r="C38" s="1657">
        <v>34</v>
      </c>
      <c r="D38" s="1706"/>
      <c r="E38" s="119"/>
      <c r="F38" s="4450" t="s">
        <v>1891</v>
      </c>
      <c r="G38" s="4373" t="s">
        <v>1890</v>
      </c>
      <c r="H38" s="4374"/>
      <c r="I38" s="4375"/>
      <c r="J38" s="4379" t="s">
        <v>1889</v>
      </c>
      <c r="K38" s="4326"/>
      <c r="L38" s="4463" t="s">
        <v>1677</v>
      </c>
      <c r="M38" s="4464"/>
      <c r="N38" s="4469" t="s">
        <v>1676</v>
      </c>
      <c r="O38" s="4470"/>
      <c r="P38" s="4389" t="s">
        <v>1675</v>
      </c>
      <c r="Q38" s="4390"/>
      <c r="R38" s="4390"/>
      <c r="S38" s="4391"/>
      <c r="T38" s="4392" t="s">
        <v>1841</v>
      </c>
      <c r="U38" s="4390"/>
      <c r="V38" s="4393"/>
      <c r="W38" s="4394" t="s">
        <v>1779</v>
      </c>
      <c r="X38" s="4395"/>
      <c r="Y38" s="4398" t="s">
        <v>1935</v>
      </c>
      <c r="Z38" s="4395"/>
      <c r="AA38" s="4401" t="s">
        <v>1777</v>
      </c>
      <c r="AB38" s="4402"/>
      <c r="AC38" s="4404" t="s">
        <v>1776</v>
      </c>
      <c r="AD38" s="4405"/>
      <c r="AE38" s="4405" t="s">
        <v>1775</v>
      </c>
      <c r="AF38" s="4419"/>
    </row>
    <row r="39" spans="2:32" ht="7.5" customHeight="1">
      <c r="B39" s="4309"/>
      <c r="C39" s="4382">
        <v>35</v>
      </c>
      <c r="D39" s="1706"/>
      <c r="E39" s="119"/>
      <c r="F39" s="4450"/>
      <c r="G39" s="4376"/>
      <c r="H39" s="4377"/>
      <c r="I39" s="4378"/>
      <c r="J39" s="4376"/>
      <c r="K39" s="4384">
        <v>1</v>
      </c>
      <c r="L39" s="4465"/>
      <c r="M39" s="4466"/>
      <c r="N39" s="4471"/>
      <c r="O39" s="4472"/>
      <c r="P39" s="4525" t="s">
        <v>1934</v>
      </c>
      <c r="Q39" s="4526"/>
      <c r="R39" s="4526"/>
      <c r="S39" s="4527"/>
      <c r="T39" s="4531" t="s">
        <v>1933</v>
      </c>
      <c r="U39" s="4526"/>
      <c r="V39" s="4532"/>
      <c r="W39" s="4396"/>
      <c r="X39" s="4397"/>
      <c r="Y39" s="4399"/>
      <c r="Z39" s="4400"/>
      <c r="AA39" s="4399"/>
      <c r="AB39" s="4403"/>
      <c r="AC39" s="4406"/>
      <c r="AD39" s="4407"/>
      <c r="AE39" s="4407"/>
      <c r="AF39" s="4420"/>
    </row>
    <row r="40" spans="2:32" ht="8.25" customHeight="1">
      <c r="B40" s="4309"/>
      <c r="C40" s="4383"/>
      <c r="D40" s="1706"/>
      <c r="E40" s="119"/>
      <c r="F40" s="1705"/>
      <c r="G40" s="4386"/>
      <c r="H40" s="4387"/>
      <c r="I40" s="4388"/>
      <c r="J40" s="1704"/>
      <c r="K40" s="4385"/>
      <c r="L40" s="4467"/>
      <c r="M40" s="4468"/>
      <c r="N40" s="4473"/>
      <c r="O40" s="4474"/>
      <c r="P40" s="4528"/>
      <c r="Q40" s="4529"/>
      <c r="R40" s="4529"/>
      <c r="S40" s="4530"/>
      <c r="T40" s="4533"/>
      <c r="U40" s="4529"/>
      <c r="V40" s="4534"/>
      <c r="W40" s="4480" t="s">
        <v>1887</v>
      </c>
      <c r="X40" s="4481"/>
      <c r="Y40" s="4484" t="s">
        <v>1886</v>
      </c>
      <c r="Z40" s="4521">
        <v>12</v>
      </c>
      <c r="AA40" s="4523">
        <f>IF(Z40="","",0.0073*3.141592654*(Z40^2)/4)</f>
        <v>0.82561054947119994</v>
      </c>
      <c r="AB40" s="4512" t="s">
        <v>1932</v>
      </c>
      <c r="AC40" s="4406"/>
      <c r="AD40" s="4407"/>
      <c r="AE40" s="4407"/>
      <c r="AF40" s="4420"/>
    </row>
    <row r="41" spans="2:32" ht="7.5" customHeight="1">
      <c r="B41" s="4309"/>
      <c r="C41" s="4382">
        <v>36</v>
      </c>
      <c r="D41" s="4486" t="s">
        <v>1773</v>
      </c>
      <c r="E41" s="4487"/>
      <c r="F41" s="4488">
        <v>2</v>
      </c>
      <c r="G41" s="4490">
        <v>1.5</v>
      </c>
      <c r="H41" s="4491"/>
      <c r="I41" s="4492"/>
      <c r="J41" s="4496">
        <v>1</v>
      </c>
      <c r="K41" s="4498">
        <v>0.9</v>
      </c>
      <c r="L41" s="1703"/>
      <c r="M41" s="1702"/>
      <c r="N41" s="1699"/>
      <c r="O41" s="1697"/>
      <c r="P41" s="1701"/>
      <c r="Q41" s="1698"/>
      <c r="R41" s="1698"/>
      <c r="S41" s="1700"/>
      <c r="T41" s="1699"/>
      <c r="U41" s="1698"/>
      <c r="V41" s="1697"/>
      <c r="W41" s="4482"/>
      <c r="X41" s="4483"/>
      <c r="Y41" s="4485"/>
      <c r="Z41" s="4522"/>
      <c r="AA41" s="4524"/>
      <c r="AB41" s="4513"/>
      <c r="AC41" s="4406"/>
      <c r="AD41" s="4407"/>
      <c r="AE41" s="4407"/>
      <c r="AF41" s="4420"/>
    </row>
    <row r="42" spans="2:32" ht="7.5" customHeight="1">
      <c r="B42" s="4309"/>
      <c r="C42" s="4383"/>
      <c r="D42" s="4500" t="s">
        <v>1884</v>
      </c>
      <c r="E42" s="4501"/>
      <c r="F42" s="4489"/>
      <c r="G42" s="4493"/>
      <c r="H42" s="4494"/>
      <c r="I42" s="4495"/>
      <c r="J42" s="4497"/>
      <c r="K42" s="4499"/>
      <c r="L42" s="4423" t="s">
        <v>1931</v>
      </c>
      <c r="M42" s="4455">
        <f>IF(M34="","",M34*M35)</f>
        <v>1.5</v>
      </c>
      <c r="N42" s="4456" t="s">
        <v>1930</v>
      </c>
      <c r="O42" s="4422">
        <f>IF(M42="","",M42/2)</f>
        <v>0.75</v>
      </c>
      <c r="P42" s="4423" t="s">
        <v>1920</v>
      </c>
      <c r="Q42" s="4424" t="str">
        <f>IF(Y31="","","="&amp;M42*Y31)</f>
        <v>=450</v>
      </c>
      <c r="R42" s="4424"/>
      <c r="S42" s="4425"/>
      <c r="T42" s="4456" t="s">
        <v>1929</v>
      </c>
      <c r="U42" s="4424" t="str">
        <f>IF(Y31="","","="&amp;O42*Y31)</f>
        <v>=225</v>
      </c>
      <c r="V42" s="4514"/>
      <c r="W42" s="4515" t="s">
        <v>1767</v>
      </c>
      <c r="X42" s="4516"/>
      <c r="Y42" s="4516"/>
      <c r="Z42" s="4517"/>
      <c r="AA42" s="4502">
        <v>920</v>
      </c>
      <c r="AB42" s="4504" t="s">
        <v>1883</v>
      </c>
      <c r="AC42" s="4406"/>
      <c r="AD42" s="4407"/>
      <c r="AE42" s="4407"/>
      <c r="AF42" s="4420"/>
    </row>
    <row r="43" spans="2:32" ht="7.5" customHeight="1">
      <c r="B43" s="4309"/>
      <c r="C43" s="4382">
        <v>37</v>
      </c>
      <c r="D43" s="4506" t="s">
        <v>1882</v>
      </c>
      <c r="E43" s="4487"/>
      <c r="F43" s="4488">
        <v>1.5</v>
      </c>
      <c r="G43" s="4490">
        <v>1</v>
      </c>
      <c r="H43" s="4491"/>
      <c r="I43" s="4492"/>
      <c r="J43" s="4490">
        <v>0.6</v>
      </c>
      <c r="K43" s="4498">
        <v>0.8</v>
      </c>
      <c r="L43" s="4511"/>
      <c r="M43" s="4455"/>
      <c r="N43" s="4457"/>
      <c r="O43" s="4422"/>
      <c r="P43" s="4423"/>
      <c r="Q43" s="4424"/>
      <c r="R43" s="4424"/>
      <c r="S43" s="4425"/>
      <c r="T43" s="4456"/>
      <c r="U43" s="4424"/>
      <c r="V43" s="4514"/>
      <c r="W43" s="4518"/>
      <c r="X43" s="4519"/>
      <c r="Y43" s="4519"/>
      <c r="Z43" s="4520"/>
      <c r="AA43" s="4503"/>
      <c r="AB43" s="4505"/>
      <c r="AC43" s="4408"/>
      <c r="AD43" s="4409"/>
      <c r="AE43" s="4409"/>
      <c r="AF43" s="4421"/>
    </row>
    <row r="44" spans="2:32" ht="7.5" customHeight="1">
      <c r="B44" s="4309"/>
      <c r="C44" s="4383"/>
      <c r="D44" s="4500"/>
      <c r="E44" s="4501"/>
      <c r="F44" s="4489"/>
      <c r="G44" s="4493"/>
      <c r="H44" s="4494"/>
      <c r="I44" s="4495"/>
      <c r="J44" s="4493"/>
      <c r="K44" s="4499"/>
      <c r="L44" s="4507" t="s">
        <v>1928</v>
      </c>
      <c r="M44" s="4508"/>
      <c r="N44" s="4540" t="s">
        <v>1927</v>
      </c>
      <c r="O44" s="4541"/>
      <c r="P44" s="4556" t="s">
        <v>1926</v>
      </c>
      <c r="Q44" s="4557"/>
      <c r="R44" s="4557"/>
      <c r="S44" s="4508"/>
      <c r="T44" s="4540" t="s">
        <v>1925</v>
      </c>
      <c r="U44" s="4557"/>
      <c r="V44" s="4541"/>
      <c r="W44" s="4559" t="s">
        <v>1972</v>
      </c>
      <c r="X44" s="4560"/>
      <c r="Y44" s="4560"/>
      <c r="Z44" s="4560"/>
      <c r="AA44" s="4560"/>
      <c r="AB44" s="4561"/>
      <c r="AC44" s="4565">
        <v>1800</v>
      </c>
      <c r="AD44" s="4538" t="s">
        <v>1879</v>
      </c>
      <c r="AE44" s="4502">
        <v>1350</v>
      </c>
      <c r="AF44" s="4544" t="s">
        <v>1879</v>
      </c>
    </row>
    <row r="45" spans="2:32" ht="15" customHeight="1">
      <c r="B45" s="4309"/>
      <c r="C45" s="1657">
        <v>38</v>
      </c>
      <c r="D45" s="4546" t="s">
        <v>1759</v>
      </c>
      <c r="E45" s="4547"/>
      <c r="F45" s="1696">
        <v>1</v>
      </c>
      <c r="G45" s="4548">
        <v>0.6</v>
      </c>
      <c r="H45" s="4549"/>
      <c r="I45" s="4550"/>
      <c r="J45" s="1695">
        <v>0.4</v>
      </c>
      <c r="K45" s="1694">
        <v>0.7</v>
      </c>
      <c r="L45" s="4509"/>
      <c r="M45" s="4510"/>
      <c r="N45" s="4542"/>
      <c r="O45" s="4543"/>
      <c r="P45" s="4509"/>
      <c r="Q45" s="4558"/>
      <c r="R45" s="4558"/>
      <c r="S45" s="4510"/>
      <c r="T45" s="4542"/>
      <c r="U45" s="4558"/>
      <c r="V45" s="4543"/>
      <c r="W45" s="4562"/>
      <c r="X45" s="4563"/>
      <c r="Y45" s="4563"/>
      <c r="Z45" s="4563"/>
      <c r="AA45" s="4563"/>
      <c r="AB45" s="4564"/>
      <c r="AC45" s="4566"/>
      <c r="AD45" s="4539"/>
      <c r="AE45" s="4503"/>
      <c r="AF45" s="4545"/>
    </row>
    <row r="46" spans="2:32" ht="15" customHeight="1">
      <c r="B46" s="4309"/>
      <c r="C46" s="1657">
        <v>39</v>
      </c>
      <c r="D46" s="1693"/>
      <c r="E46" s="1692"/>
      <c r="F46" s="1692"/>
      <c r="G46" s="1692"/>
      <c r="H46" s="1692"/>
      <c r="I46" s="1692"/>
      <c r="J46" s="1692"/>
      <c r="K46" s="1692"/>
      <c r="L46" s="1692"/>
      <c r="M46" s="1692"/>
      <c r="N46" s="1692"/>
      <c r="O46" s="1692"/>
      <c r="P46" s="1692"/>
      <c r="Q46" s="1692"/>
      <c r="R46" s="1692"/>
      <c r="S46" s="1692"/>
      <c r="T46" s="1692"/>
      <c r="U46" s="1692"/>
      <c r="V46" s="1692"/>
      <c r="W46" s="1692"/>
      <c r="X46" s="1692"/>
      <c r="Y46" s="1692"/>
      <c r="Z46" s="1692"/>
      <c r="AA46" s="1692"/>
      <c r="AB46" s="1692"/>
      <c r="AC46" s="1692"/>
      <c r="AD46" s="1692"/>
      <c r="AE46" s="1692"/>
      <c r="AF46" s="1691"/>
    </row>
    <row r="47" spans="2:32" ht="15" customHeight="1">
      <c r="B47" s="4309"/>
      <c r="C47" s="1657">
        <v>40</v>
      </c>
      <c r="D47" s="4551" t="s">
        <v>1924</v>
      </c>
      <c r="E47" s="4552"/>
      <c r="F47" s="4552"/>
      <c r="G47" s="4552"/>
      <c r="H47" s="4552"/>
      <c r="I47" s="4552"/>
      <c r="J47" s="4552"/>
      <c r="K47" s="4552"/>
      <c r="L47" s="4552"/>
      <c r="M47" s="4551" t="s">
        <v>1923</v>
      </c>
      <c r="N47" s="4552"/>
      <c r="O47" s="4552"/>
      <c r="P47" s="4552"/>
      <c r="Q47" s="4552"/>
      <c r="R47" s="4552"/>
      <c r="S47" s="4552"/>
      <c r="T47" s="4552"/>
      <c r="U47" s="4552"/>
      <c r="V47" s="4552"/>
      <c r="W47" s="4552"/>
      <c r="X47" s="4553"/>
      <c r="Y47" s="4551" t="s">
        <v>1922</v>
      </c>
      <c r="Z47" s="4554"/>
      <c r="AA47" s="4554"/>
      <c r="AB47" s="4554"/>
      <c r="AC47" s="4554"/>
      <c r="AD47" s="4554"/>
      <c r="AE47" s="4554"/>
      <c r="AF47" s="4555"/>
    </row>
    <row r="48" spans="2:32" ht="15" customHeight="1">
      <c r="B48" s="4309"/>
      <c r="C48" s="1657">
        <v>41</v>
      </c>
      <c r="D48" s="1678" t="s">
        <v>1655</v>
      </c>
      <c r="E48" s="1690" t="s">
        <v>1921</v>
      </c>
      <c r="F48" s="1690"/>
      <c r="G48" s="1690"/>
      <c r="H48" s="1690"/>
      <c r="I48" s="1689"/>
      <c r="J48" s="1689"/>
      <c r="K48" s="1689"/>
      <c r="L48" s="1670"/>
      <c r="M48" s="1750"/>
      <c r="N48" s="1670" t="s">
        <v>1655</v>
      </c>
      <c r="O48" s="1685"/>
      <c r="P48" s="1684" t="s">
        <v>1905</v>
      </c>
      <c r="Q48" s="1688"/>
      <c r="R48" s="1688"/>
      <c r="S48" s="4567">
        <f>IF(M42="","",INT(F52*10+1)/10)</f>
        <v>0.1</v>
      </c>
      <c r="T48" s="4567"/>
      <c r="U48" s="4567"/>
      <c r="V48" s="4567"/>
      <c r="W48" s="1678"/>
      <c r="X48" s="1687"/>
      <c r="Y48" s="1686" t="s">
        <v>1655</v>
      </c>
      <c r="Z48" s="1685"/>
      <c r="AA48" s="1684" t="s">
        <v>1920</v>
      </c>
      <c r="AB48" s="1650"/>
      <c r="AC48" s="4567">
        <f>IF(Y31="","",M42*Y31)</f>
        <v>450</v>
      </c>
      <c r="AD48" s="4567"/>
      <c r="AE48" s="1678"/>
      <c r="AF48" s="1683"/>
    </row>
    <row r="49" spans="1:32" ht="15" customHeight="1">
      <c r="B49" s="4309"/>
      <c r="C49" s="1657">
        <v>42</v>
      </c>
      <c r="D49" s="1650"/>
      <c r="E49" s="1678"/>
      <c r="F49" s="1682"/>
      <c r="G49" s="1682"/>
      <c r="H49" s="1682"/>
      <c r="I49" s="1681" t="s">
        <v>1919</v>
      </c>
      <c r="J49" s="1678"/>
      <c r="K49" s="1678"/>
      <c r="L49" s="1678"/>
      <c r="M49" s="1654"/>
      <c r="N49" s="1650"/>
      <c r="O49" s="1678"/>
      <c r="P49" s="1680" t="s">
        <v>1850</v>
      </c>
      <c r="Q49" s="1679"/>
      <c r="R49" s="1679"/>
      <c r="S49" s="4568">
        <f>IF(AA40="","",AA40)</f>
        <v>0.82561054947119994</v>
      </c>
      <c r="T49" s="4568"/>
      <c r="U49" s="4568"/>
      <c r="V49" s="4568"/>
      <c r="W49" s="1650"/>
      <c r="X49" s="1652"/>
      <c r="Y49" s="1654"/>
      <c r="Z49" s="1678"/>
      <c r="AA49" s="1677" t="s">
        <v>1918</v>
      </c>
      <c r="AB49" s="1650"/>
      <c r="AC49" s="4568" t="str">
        <f>IF(Y31="","",AE34&amp;"×"&amp;AA40)</f>
        <v>4×0.8256105494712</v>
      </c>
      <c r="AD49" s="4568"/>
      <c r="AE49" s="1650"/>
      <c r="AF49" s="1649"/>
    </row>
    <row r="50" spans="1:32" ht="15" customHeight="1">
      <c r="B50" s="4309"/>
      <c r="C50" s="1657">
        <v>43</v>
      </c>
      <c r="D50" s="1650"/>
      <c r="E50" s="1676" t="str">
        <f>IF(M42="","",M42*Y31&amp;"×")</f>
        <v>450×</v>
      </c>
      <c r="F50" s="4458" t="str">
        <f>IF(AA31="","",AA31&amp;"－(")</f>
        <v>1000－(</v>
      </c>
      <c r="G50" s="4458"/>
      <c r="H50" s="1675"/>
      <c r="I50" s="4458" t="str">
        <f>IF(Y31="","",Y31&amp;"－")</f>
        <v>300－</v>
      </c>
      <c r="J50" s="4458"/>
      <c r="K50" s="1674" t="str">
        <f>IF(O42="","",O42*Y31&amp;")")</f>
        <v>225)</v>
      </c>
      <c r="L50" s="1673" t="str">
        <f>IF(AE31="","","×"&amp;AE31)</f>
        <v>×200</v>
      </c>
      <c r="M50" s="1672"/>
      <c r="N50" s="1650"/>
      <c r="O50" s="1650"/>
      <c r="P50" s="4459">
        <f>IF(S48="","",INT(E52*10)/10/AA40)</f>
        <v>658.54294176381052</v>
      </c>
      <c r="Q50" s="4459"/>
      <c r="R50" s="4459"/>
      <c r="S50" s="4459"/>
      <c r="T50" s="4460" t="str">
        <f>IF(P50="","",INT(P50*9.80665)/1000&amp;"［KN］")</f>
        <v>6.458［KN］</v>
      </c>
      <c r="U50" s="4460"/>
      <c r="V50" s="4460"/>
      <c r="W50" s="4460"/>
      <c r="X50" s="1652"/>
      <c r="Y50" s="1650"/>
      <c r="Z50" s="1650"/>
      <c r="AA50" s="4461">
        <f>IF(AC48="","",INT(10*Y31/AE34/AA40)/10)</f>
        <v>90.8</v>
      </c>
      <c r="AB50" s="4461"/>
      <c r="AC50" s="4462" t="str">
        <f>IF(AA50="","",INT(AA50*9.80665)/1000&amp;"［KN］")</f>
        <v>0.89［KN］</v>
      </c>
      <c r="AD50" s="4462"/>
      <c r="AE50" s="4462"/>
      <c r="AF50" s="1649"/>
    </row>
    <row r="51" spans="1:32" ht="15" customHeight="1">
      <c r="B51" s="4309"/>
      <c r="C51" s="1657">
        <v>44</v>
      </c>
      <c r="D51" s="1650"/>
      <c r="E51" s="1670"/>
      <c r="F51" s="1670"/>
      <c r="G51" s="1670"/>
      <c r="H51" s="1670"/>
      <c r="I51" s="1671" t="str">
        <f>IF(V34="","",V34&amp;"×"&amp;Y34)</f>
        <v>400×2</v>
      </c>
      <c r="J51" s="1670"/>
      <c r="K51" s="1670"/>
      <c r="L51" s="1670"/>
      <c r="M51" s="1654"/>
      <c r="N51" s="1650"/>
      <c r="O51" s="1650"/>
      <c r="P51" s="1650"/>
      <c r="Q51" s="1650"/>
      <c r="R51" s="1650"/>
      <c r="S51" s="1650"/>
      <c r="T51" s="1650"/>
      <c r="U51" s="1650"/>
      <c r="V51" s="1650"/>
      <c r="W51" s="1650"/>
      <c r="X51" s="1652"/>
      <c r="Y51" s="1650"/>
      <c r="Z51" s="1650"/>
      <c r="AA51" s="1650"/>
      <c r="AB51" s="1650"/>
      <c r="AC51" s="1650"/>
      <c r="AD51" s="1650"/>
      <c r="AE51" s="1650"/>
      <c r="AF51" s="1649"/>
    </row>
    <row r="52" spans="1:32" ht="15" customHeight="1">
      <c r="B52" s="4309"/>
      <c r="C52" s="1657">
        <v>45</v>
      </c>
      <c r="D52" s="1650"/>
      <c r="E52" s="4344">
        <f>IF(M42="","",(M42*Y31*AA31-(Y31-O42*Y31)*AE31)/(V34*Y34))</f>
        <v>543.75</v>
      </c>
      <c r="F52" s="4345"/>
      <c r="G52" s="1669"/>
      <c r="H52" s="1669"/>
      <c r="I52" s="1669"/>
      <c r="J52" s="4346" t="str">
        <f>IF(F52="","",INT(F52*9.80665)/1000&amp;"［KN］")</f>
        <v/>
      </c>
      <c r="K52" s="4346"/>
      <c r="L52" s="4346"/>
      <c r="M52" s="1654"/>
      <c r="N52" s="1650"/>
      <c r="O52" s="1650"/>
      <c r="P52" s="1650"/>
      <c r="Q52" s="1650"/>
      <c r="R52" s="1650"/>
      <c r="S52" s="1650"/>
      <c r="T52" s="1650"/>
      <c r="U52" s="1650"/>
      <c r="V52" s="1650"/>
      <c r="W52" s="1650"/>
      <c r="X52" s="1652"/>
      <c r="Y52" s="1650"/>
      <c r="Z52" s="1650"/>
      <c r="AA52" s="1650"/>
      <c r="AB52" s="1650"/>
      <c r="AC52" s="1650"/>
      <c r="AD52" s="1650"/>
      <c r="AE52" s="1650"/>
      <c r="AF52" s="1649"/>
    </row>
    <row r="53" spans="1:32" ht="15" customHeight="1">
      <c r="B53" s="4309"/>
      <c r="C53" s="1657">
        <v>46</v>
      </c>
      <c r="D53" s="1662"/>
      <c r="E53" s="1650"/>
      <c r="F53" s="1650"/>
      <c r="G53" s="1650"/>
      <c r="H53" s="1650"/>
      <c r="I53" s="1650"/>
      <c r="J53" s="1650"/>
      <c r="K53" s="1650"/>
      <c r="L53" s="1650"/>
      <c r="M53" s="1654"/>
      <c r="N53" s="1662"/>
      <c r="O53" s="1650"/>
      <c r="P53" s="1650"/>
      <c r="Q53" s="1650"/>
      <c r="R53" s="1650"/>
      <c r="S53" s="1650"/>
      <c r="T53" s="1650"/>
      <c r="U53" s="1650"/>
      <c r="V53" s="1650"/>
      <c r="W53" s="1650"/>
      <c r="X53" s="1652"/>
      <c r="Y53" s="1662"/>
      <c r="Z53" s="1650"/>
      <c r="AA53" s="1650"/>
      <c r="AB53" s="1650"/>
      <c r="AC53" s="1650"/>
      <c r="AD53" s="1650"/>
      <c r="AE53" s="1650"/>
      <c r="AF53" s="1649"/>
    </row>
    <row r="54" spans="1:32" ht="15" customHeight="1">
      <c r="B54" s="4309"/>
      <c r="C54" s="1657">
        <v>47</v>
      </c>
      <c r="D54" s="1662" t="s">
        <v>1914</v>
      </c>
      <c r="E54" s="1650"/>
      <c r="F54" s="1668" t="s">
        <v>1917</v>
      </c>
      <c r="G54" s="1668" t="str">
        <f>IF(E52="","",IF(FF3674&gt;AA42,INT(E52*10)/10&amp;"＞Ta:"&amp;AA42,INT(E52*10)/10&amp;"≦Ta:"&amp;AA42))</f>
        <v>543.7≦Ta:920</v>
      </c>
      <c r="H54" s="1668"/>
      <c r="I54" s="1650"/>
      <c r="J54" s="1650"/>
      <c r="K54" s="1650"/>
      <c r="L54" s="1652"/>
      <c r="M54" s="4451" t="s">
        <v>1916</v>
      </c>
      <c r="N54" s="4452"/>
      <c r="O54" s="4453" t="s">
        <v>1915</v>
      </c>
      <c r="P54" s="4453"/>
      <c r="Q54" s="4453"/>
      <c r="R54" s="1665" t="str">
        <f>IF(P50="","",IF(P50&gt;AC44,INT(P50*10)/10&amp;"＞ft:"&amp;AC44,INT(P50*10)/10&amp;"≦ft:"&amp;AC44))</f>
        <v>658.5≦ft:1800</v>
      </c>
      <c r="S54" s="1667"/>
      <c r="T54" s="1650"/>
      <c r="U54" s="1650"/>
      <c r="V54" s="1650"/>
      <c r="W54" s="1650"/>
      <c r="X54" s="1652"/>
      <c r="Y54" s="1662" t="s">
        <v>1914</v>
      </c>
      <c r="Z54" s="1650"/>
      <c r="AA54" s="1666" t="s">
        <v>1913</v>
      </c>
      <c r="AB54" s="1665" t="str">
        <f>IF(AA50="","",IF(AA50&gt;AE44,INT(AA50*10)/10&amp;"＞fs:"&amp;AE44,INT(AA50*10)/10&amp;"≦fs:"&amp;AE44))</f>
        <v>90.8≦fs:1350</v>
      </c>
      <c r="AC54" s="1650"/>
      <c r="AD54" s="1650"/>
      <c r="AE54" s="1650"/>
      <c r="AF54" s="1649"/>
    </row>
    <row r="55" spans="1:32" ht="15" customHeight="1">
      <c r="B55" s="4309"/>
      <c r="C55" s="1657">
        <v>48</v>
      </c>
      <c r="D55" s="1650"/>
      <c r="E55" s="1650"/>
      <c r="F55" s="1650"/>
      <c r="G55" s="1650"/>
      <c r="H55" s="1650"/>
      <c r="I55" s="1664" t="s">
        <v>1912</v>
      </c>
      <c r="J55" s="1663" t="str">
        <f>IF(E52="","",IF(E52&gt;AA42,"不合格","合格"))</f>
        <v>合格</v>
      </c>
      <c r="K55" s="1650"/>
      <c r="L55" s="1650"/>
      <c r="M55" s="1654"/>
      <c r="N55" s="1650"/>
      <c r="O55" s="1650"/>
      <c r="P55" s="1650"/>
      <c r="Q55" s="1650"/>
      <c r="R55" s="1650"/>
      <c r="S55" s="1664" t="s">
        <v>1912</v>
      </c>
      <c r="T55" s="1663" t="str">
        <f>IF(P50="","",IF(P50&gt;AC44,"不合格","合格"))</f>
        <v>合格</v>
      </c>
      <c r="U55" s="1650"/>
      <c r="V55" s="1650"/>
      <c r="W55" s="1650"/>
      <c r="X55" s="1652"/>
      <c r="Y55" s="1650"/>
      <c r="Z55" s="1650"/>
      <c r="AA55" s="1650"/>
      <c r="AB55" s="1664" t="s">
        <v>1912</v>
      </c>
      <c r="AC55" s="1663" t="str">
        <f>IF(AA50="","",IF(AA50&gt;AE44,"不合格","合格"))</f>
        <v>合格</v>
      </c>
      <c r="AD55" s="1650"/>
      <c r="AE55" s="1650"/>
      <c r="AF55" s="1649"/>
    </row>
    <row r="56" spans="1:32" ht="15" customHeight="1">
      <c r="B56" s="4309"/>
      <c r="C56" s="1657">
        <v>49</v>
      </c>
      <c r="D56" s="1650"/>
      <c r="E56" s="1650"/>
      <c r="F56" s="1650"/>
      <c r="G56" s="1650"/>
      <c r="H56" s="1650"/>
      <c r="I56" s="1650"/>
      <c r="J56" s="1650"/>
      <c r="K56" s="1650"/>
      <c r="L56" s="1650"/>
      <c r="M56" s="1654"/>
      <c r="N56" s="1650"/>
      <c r="O56" s="1650"/>
      <c r="P56" s="1650"/>
      <c r="Q56" s="1650"/>
      <c r="R56" s="1650"/>
      <c r="S56" s="1650"/>
      <c r="T56" s="1650"/>
      <c r="U56" s="1650"/>
      <c r="V56" s="1650"/>
      <c r="W56" s="1650"/>
      <c r="X56" s="1652"/>
      <c r="Y56" s="1650"/>
      <c r="Z56" s="1650"/>
      <c r="AA56" s="1650"/>
      <c r="AB56" s="1650"/>
      <c r="AC56" s="1650"/>
      <c r="AD56" s="1650"/>
      <c r="AE56" s="1650"/>
      <c r="AF56" s="1649"/>
    </row>
    <row r="57" spans="1:32" ht="15" customHeight="1">
      <c r="B57" s="4309"/>
      <c r="C57" s="1657">
        <v>50</v>
      </c>
      <c r="D57" s="1650"/>
      <c r="E57" s="1650"/>
      <c r="F57" s="1650"/>
      <c r="G57" s="1650"/>
      <c r="H57" s="1650"/>
      <c r="I57" s="1650"/>
      <c r="J57" s="1650"/>
      <c r="K57" s="1650"/>
      <c r="L57" s="1650"/>
      <c r="M57" s="1654"/>
      <c r="N57" s="1650"/>
      <c r="O57" s="1650"/>
      <c r="P57" s="1650"/>
      <c r="Q57" s="1650"/>
      <c r="R57" s="1650"/>
      <c r="S57" s="1650"/>
      <c r="T57" s="1650"/>
      <c r="U57" s="1650"/>
      <c r="V57" s="1650"/>
      <c r="W57" s="1650"/>
      <c r="X57" s="1652"/>
      <c r="Y57" s="1650"/>
      <c r="Z57" s="1650"/>
      <c r="AA57" s="1650"/>
      <c r="AB57" s="1650"/>
      <c r="AC57" s="1650"/>
      <c r="AD57" s="1650"/>
      <c r="AE57" s="1650"/>
      <c r="AF57" s="1649"/>
    </row>
    <row r="58" spans="1:32" ht="15" customHeight="1">
      <c r="B58" s="4309"/>
      <c r="C58" s="1657">
        <v>51</v>
      </c>
      <c r="D58" s="1662" t="s">
        <v>1911</v>
      </c>
      <c r="E58" s="1650"/>
      <c r="F58" s="1650"/>
      <c r="G58" s="1650"/>
      <c r="H58" s="1650"/>
      <c r="I58" s="1650"/>
      <c r="J58" s="1650"/>
      <c r="K58" s="1650"/>
      <c r="L58" s="1650"/>
      <c r="M58" s="1654"/>
      <c r="N58" s="1662" t="s">
        <v>1910</v>
      </c>
      <c r="O58" s="1650"/>
      <c r="P58" s="1650"/>
      <c r="Q58" s="1650"/>
      <c r="R58" s="1650"/>
      <c r="S58" s="1650"/>
      <c r="T58" s="1650"/>
      <c r="U58" s="1650"/>
      <c r="V58" s="1650"/>
      <c r="W58" s="1650"/>
      <c r="X58" s="1652"/>
      <c r="Y58" s="1662" t="s">
        <v>1909</v>
      </c>
      <c r="Z58" s="1650"/>
      <c r="AA58" s="1650"/>
      <c r="AB58" s="1650"/>
      <c r="AC58" s="1650"/>
      <c r="AD58" s="1650"/>
      <c r="AE58" s="1650"/>
      <c r="AF58" s="1649"/>
    </row>
    <row r="59" spans="1:32" ht="15" customHeight="1">
      <c r="B59" s="4309"/>
      <c r="C59" s="1657">
        <v>52</v>
      </c>
      <c r="D59" s="1650"/>
      <c r="E59" s="1650"/>
      <c r="F59" s="1658" t="s">
        <v>1908</v>
      </c>
      <c r="G59" s="1661"/>
      <c r="H59" s="1661"/>
      <c r="I59" s="4454">
        <f>IF(AA42="","",AA42)</f>
        <v>920</v>
      </c>
      <c r="J59" s="4454"/>
      <c r="K59" s="1660"/>
      <c r="L59" s="1650"/>
      <c r="M59" s="1654"/>
      <c r="N59" s="1650"/>
      <c r="O59" s="1650"/>
      <c r="P59" s="1658" t="s">
        <v>1907</v>
      </c>
      <c r="Q59" s="1659"/>
      <c r="R59" s="1659"/>
      <c r="S59" s="4454">
        <f>IF(M42="","",AC44)</f>
        <v>1800</v>
      </c>
      <c r="T59" s="4454"/>
      <c r="U59" s="4454"/>
      <c r="V59" s="4454"/>
      <c r="W59" s="1650"/>
      <c r="X59" s="1652"/>
      <c r="Y59" s="1650"/>
      <c r="Z59" s="1650"/>
      <c r="AA59" s="1658" t="s">
        <v>1906</v>
      </c>
      <c r="AB59" s="1650"/>
      <c r="AC59" s="4454">
        <f>IF(Y31="","",AE44)</f>
        <v>1350</v>
      </c>
      <c r="AD59" s="4454"/>
      <c r="AE59" s="1650"/>
      <c r="AF59" s="1649"/>
    </row>
    <row r="60" spans="1:32" ht="15" customHeight="1">
      <c r="B60" s="4309"/>
      <c r="C60" s="1657">
        <v>53</v>
      </c>
      <c r="D60" s="1650"/>
      <c r="E60" s="1650"/>
      <c r="F60" s="1656" t="s">
        <v>1905</v>
      </c>
      <c r="G60" s="1656"/>
      <c r="H60" s="1656"/>
      <c r="I60" s="4568">
        <f>IF(E52="","",INT(E52*10)/10)</f>
        <v>543.70000000000005</v>
      </c>
      <c r="J60" s="4568"/>
      <c r="K60" s="1655"/>
      <c r="L60" s="1650"/>
      <c r="M60" s="1654"/>
      <c r="N60" s="1650"/>
      <c r="O60" s="1650"/>
      <c r="P60" s="1651" t="s">
        <v>1865</v>
      </c>
      <c r="Q60" s="1653"/>
      <c r="R60" s="1653"/>
      <c r="S60" s="4568">
        <f>IF(M42="","",INT((E52*10)/AA40)/10)</f>
        <v>658.6</v>
      </c>
      <c r="T60" s="4568"/>
      <c r="U60" s="4568"/>
      <c r="V60" s="4568"/>
      <c r="W60" s="1650"/>
      <c r="X60" s="1652"/>
      <c r="Y60" s="1650"/>
      <c r="Z60" s="1650"/>
      <c r="AA60" s="1651" t="s">
        <v>1904</v>
      </c>
      <c r="AB60" s="1650"/>
      <c r="AC60" s="4568">
        <f>IF(Y31="","",INT(AA50*10)/10)</f>
        <v>90.8</v>
      </c>
      <c r="AD60" s="4568"/>
      <c r="AE60" s="1650"/>
      <c r="AF60" s="1649"/>
    </row>
    <row r="61" spans="1:32" ht="15" customHeight="1">
      <c r="B61" s="4309"/>
      <c r="C61" s="1648">
        <v>54</v>
      </c>
      <c r="D61" s="1645"/>
      <c r="E61" s="1645"/>
      <c r="F61" s="1645"/>
      <c r="G61" s="1645"/>
      <c r="H61" s="1645"/>
      <c r="I61" s="4569" t="str">
        <f>IF(I59="","",INT(10*I59/I60)/10&amp;"(倍)")</f>
        <v>1.6(倍)</v>
      </c>
      <c r="J61" s="4569"/>
      <c r="K61" s="4569"/>
      <c r="L61" s="1645"/>
      <c r="M61" s="1647"/>
      <c r="N61" s="1645"/>
      <c r="O61" s="1645"/>
      <c r="P61" s="1645"/>
      <c r="Q61" s="1645"/>
      <c r="R61" s="1645"/>
      <c r="S61" s="4570" t="str">
        <f>IF(S59="","",INT(10*S59/S60)/10&amp;"(倍)")</f>
        <v>2.7(倍)</v>
      </c>
      <c r="T61" s="4570"/>
      <c r="U61" s="4570"/>
      <c r="V61" s="4570"/>
      <c r="W61" s="1645"/>
      <c r="X61" s="1646"/>
      <c r="Y61" s="1645"/>
      <c r="Z61" s="1645"/>
      <c r="AA61" s="1645"/>
      <c r="AB61" s="1645"/>
      <c r="AC61" s="4570" t="str">
        <f>IF(AE44="","",INT(10*AE44/AA50)/10&amp;"(倍)")</f>
        <v>14.8(倍)</v>
      </c>
      <c r="AD61" s="4570"/>
      <c r="AE61" s="1645"/>
      <c r="AF61" s="1644"/>
    </row>
    <row r="62" spans="1:32" ht="18" customHeight="1">
      <c r="B62" s="4309"/>
      <c r="C62" s="1749"/>
      <c r="D62" s="1641"/>
      <c r="E62" s="1641"/>
      <c r="F62" s="1641"/>
      <c r="G62" s="1641"/>
      <c r="H62" s="1641"/>
      <c r="I62" s="1641"/>
      <c r="J62" s="1641"/>
      <c r="K62" s="1641"/>
      <c r="L62" s="1641"/>
      <c r="M62" s="1641"/>
      <c r="N62" s="1641"/>
      <c r="O62" s="1641"/>
      <c r="P62" s="1641"/>
      <c r="Q62" s="1641"/>
      <c r="R62" s="1641"/>
      <c r="S62" s="1641"/>
      <c r="T62" s="1641"/>
      <c r="U62" s="1641"/>
      <c r="V62" s="1641"/>
      <c r="W62" s="1641"/>
      <c r="X62" s="1641"/>
      <c r="Y62" s="1641"/>
      <c r="Z62" s="1641"/>
      <c r="AA62" s="1642"/>
      <c r="AB62" s="1641"/>
      <c r="AC62" s="1642"/>
      <c r="AD62" s="1406" t="s">
        <v>1971</v>
      </c>
      <c r="AE62" s="1641"/>
      <c r="AF62" s="1640"/>
    </row>
    <row r="63" spans="1:32" ht="4.5" customHeight="1">
      <c r="B63" s="4309"/>
    </row>
    <row r="64" spans="1:32" ht="15" customHeight="1">
      <c r="A64" s="5235"/>
      <c r="B64" s="4309" t="s">
        <v>1970</v>
      </c>
      <c r="C64" s="1748" t="s">
        <v>1969</v>
      </c>
      <c r="D64" s="1748"/>
      <c r="E64" s="1748"/>
      <c r="F64" s="1558"/>
      <c r="G64" s="1558"/>
      <c r="H64" s="1558"/>
      <c r="I64" s="1747" t="s">
        <v>1965</v>
      </c>
      <c r="J64" s="1746"/>
      <c r="K64" s="4535" t="str">
        <f>$K$2</f>
        <v>企業名-1を入力してください。</v>
      </c>
      <c r="L64" s="4535"/>
      <c r="M64" s="4535"/>
      <c r="N64" s="4535"/>
      <c r="O64" s="4535"/>
      <c r="P64" s="4535"/>
      <c r="Q64" s="4535"/>
      <c r="R64" s="4535"/>
      <c r="S64" s="4535"/>
      <c r="T64" s="4535"/>
      <c r="U64" s="4535"/>
      <c r="V64" s="4535"/>
      <c r="W64" s="4535"/>
      <c r="X64" s="4535"/>
      <c r="Y64" s="4535"/>
      <c r="AC64" s="1548" t="str">
        <f>$AC$2</f>
        <v>Date :</v>
      </c>
      <c r="AD64" s="4347">
        <f ca="1">$AD$2</f>
        <v>44092.955785416663</v>
      </c>
      <c r="AE64" s="4347"/>
      <c r="AF64" s="4347"/>
    </row>
    <row r="65" spans="1:34" ht="11.25" customHeight="1">
      <c r="A65" s="5235"/>
      <c r="B65" s="4309"/>
      <c r="C65" s="1745"/>
      <c r="D65" s="1558"/>
      <c r="E65" s="1558"/>
      <c r="F65" s="1558"/>
      <c r="G65" s="1558"/>
      <c r="H65" s="1558"/>
      <c r="I65" s="1744"/>
      <c r="J65" s="1743" t="s">
        <v>1968</v>
      </c>
      <c r="K65" s="4536" t="str">
        <f>$K$3</f>
        <v>企業名-2を入力してください。</v>
      </c>
      <c r="L65" s="4536"/>
      <c r="M65" s="4536"/>
      <c r="N65" s="4536"/>
      <c r="O65" s="4536"/>
      <c r="P65" s="4536"/>
      <c r="Q65" s="4536"/>
      <c r="R65" s="4536"/>
      <c r="S65" s="4536"/>
      <c r="T65" s="4536"/>
      <c r="U65" s="4536"/>
      <c r="V65" s="4536"/>
      <c r="W65" s="4536"/>
      <c r="X65" s="4536"/>
      <c r="Y65" s="4536"/>
      <c r="AA65" s="1742"/>
      <c r="AB65" s="1741"/>
      <c r="AC65" s="1548" t="str">
        <f>$AC$3</f>
        <v xml:space="preserve">    TELEPHONE:</v>
      </c>
      <c r="AD65" s="4571" t="str">
        <f>$AD$3</f>
        <v>0nn-nnnn-nnnn</v>
      </c>
      <c r="AE65" s="4571"/>
      <c r="AF65" s="4571"/>
    </row>
    <row r="66" spans="1:34" ht="15" customHeight="1" thickBot="1">
      <c r="A66" s="5235"/>
      <c r="B66" s="4309"/>
      <c r="C66" s="4572" t="s">
        <v>1967</v>
      </c>
      <c r="D66" s="4572"/>
      <c r="E66" s="4572"/>
      <c r="F66" s="4572"/>
      <c r="G66" s="4572"/>
      <c r="H66" s="4572"/>
      <c r="I66" s="4572"/>
      <c r="J66" s="4572"/>
      <c r="K66" s="4537" t="str">
        <f>$K$4</f>
        <v>企業または現場住所を入力してください。</v>
      </c>
      <c r="L66" s="4537"/>
      <c r="M66" s="4537"/>
      <c r="N66" s="4537"/>
      <c r="O66" s="4537"/>
      <c r="P66" s="4537"/>
      <c r="Q66" s="4537"/>
      <c r="R66" s="4537"/>
      <c r="S66" s="4537"/>
      <c r="T66" s="4537"/>
      <c r="U66" s="4537"/>
      <c r="V66" s="4537"/>
      <c r="W66" s="4537"/>
      <c r="X66" s="4537"/>
      <c r="Y66" s="4537"/>
      <c r="Z66" s="118"/>
      <c r="AA66" s="1740"/>
      <c r="AB66" s="1543"/>
      <c r="AC66" s="1545" t="str">
        <f>$AC$4</f>
        <v>　　FACSIMILE:</v>
      </c>
      <c r="AD66" s="1544" t="str">
        <f>$AD$4</f>
        <v>0nn-nnnn-nnnn</v>
      </c>
      <c r="AE66" s="1543"/>
      <c r="AF66" s="118"/>
    </row>
    <row r="67" spans="1:34" ht="18" customHeight="1" thickBot="1">
      <c r="A67" s="5235"/>
      <c r="B67" s="4309"/>
      <c r="C67" s="1739">
        <v>1</v>
      </c>
      <c r="D67" s="4350" t="s">
        <v>1747</v>
      </c>
      <c r="E67" s="4351"/>
      <c r="F67" s="4351"/>
      <c r="G67" s="4351"/>
      <c r="H67" s="4351"/>
      <c r="I67" s="4352"/>
      <c r="J67" s="4356" t="s">
        <v>1746</v>
      </c>
      <c r="K67" s="4357"/>
      <c r="L67" s="4358"/>
      <c r="M67" s="4359"/>
      <c r="N67" s="4359"/>
      <c r="O67" s="4359"/>
      <c r="P67" s="4359"/>
      <c r="Q67" s="4359"/>
      <c r="R67" s="4359"/>
      <c r="S67" s="4359"/>
      <c r="T67" s="4359"/>
      <c r="U67" s="4359"/>
      <c r="V67" s="4360"/>
      <c r="W67" s="4361" t="s">
        <v>1966</v>
      </c>
      <c r="X67" s="4362"/>
      <c r="Y67" s="4362"/>
      <c r="Z67" s="4362"/>
      <c r="AA67" s="4362"/>
      <c r="AB67" s="4362"/>
      <c r="AC67" s="4363"/>
      <c r="AD67" s="4367" t="s">
        <v>1745</v>
      </c>
      <c r="AE67" s="4368"/>
      <c r="AF67" s="4369"/>
      <c r="AH67" s="1206" t="s">
        <v>1383</v>
      </c>
    </row>
    <row r="68" spans="1:34" ht="15" customHeight="1" thickBot="1">
      <c r="A68" s="5235"/>
      <c r="B68" s="4309"/>
      <c r="C68" s="1738">
        <v>2</v>
      </c>
      <c r="D68" s="4353"/>
      <c r="E68" s="4354"/>
      <c r="F68" s="4354"/>
      <c r="G68" s="4354"/>
      <c r="H68" s="4354"/>
      <c r="I68" s="4355"/>
      <c r="J68" s="4330" t="s">
        <v>1744</v>
      </c>
      <c r="K68" s="4332"/>
      <c r="L68" s="4327" t="s">
        <v>1965</v>
      </c>
      <c r="M68" s="4328"/>
      <c r="N68" s="4329"/>
      <c r="O68" s="4330" t="s">
        <v>1964</v>
      </c>
      <c r="P68" s="4331"/>
      <c r="Q68" s="4331"/>
      <c r="R68" s="4331"/>
      <c r="S68" s="4332"/>
      <c r="T68" s="4333" t="s">
        <v>1899</v>
      </c>
      <c r="U68" s="4334"/>
      <c r="V68" s="4335"/>
      <c r="W68" s="4364"/>
      <c r="X68" s="4365"/>
      <c r="Y68" s="4365"/>
      <c r="Z68" s="4365"/>
      <c r="AA68" s="4365"/>
      <c r="AB68" s="4365"/>
      <c r="AC68" s="4366"/>
      <c r="AD68" s="4370"/>
      <c r="AE68" s="4371"/>
      <c r="AF68" s="4372"/>
    </row>
    <row r="69" spans="1:34" ht="15" customHeight="1">
      <c r="A69" s="5235"/>
      <c r="B69" s="4309"/>
      <c r="C69" s="1657">
        <v>3</v>
      </c>
      <c r="D69" s="1736"/>
      <c r="E69" s="1736"/>
      <c r="F69" s="1736"/>
      <c r="G69" s="1736"/>
      <c r="H69" s="1736"/>
      <c r="I69" s="1736"/>
      <c r="J69" s="1736"/>
      <c r="K69" s="1736"/>
      <c r="L69" s="1736"/>
      <c r="M69" s="1736"/>
      <c r="N69" s="1736"/>
      <c r="O69" s="1737"/>
      <c r="P69" s="1736"/>
      <c r="Q69" s="1736"/>
      <c r="R69" s="1736"/>
      <c r="S69" s="1736"/>
      <c r="T69" s="1736"/>
      <c r="U69" s="1736"/>
      <c r="V69" s="1736"/>
      <c r="W69" s="1736"/>
      <c r="X69" s="1736"/>
      <c r="Y69" s="1736"/>
      <c r="Z69" s="1736"/>
      <c r="AA69" s="1736"/>
      <c r="AB69" s="1736"/>
      <c r="AC69" s="1736"/>
      <c r="AD69" s="1736"/>
      <c r="AE69" s="1736"/>
      <c r="AF69" s="1735"/>
    </row>
    <row r="70" spans="1:34" ht="15" customHeight="1">
      <c r="A70" s="5235"/>
      <c r="B70" s="4309"/>
      <c r="C70" s="1657">
        <v>4</v>
      </c>
      <c r="D70" s="1720"/>
      <c r="E70" s="1720"/>
      <c r="F70" s="1720"/>
      <c r="G70" s="1720"/>
      <c r="H70" s="1720"/>
      <c r="I70" s="1720"/>
      <c r="J70" s="1720"/>
      <c r="K70" s="1720"/>
      <c r="L70" s="1720"/>
      <c r="M70" s="1720"/>
      <c r="N70" s="1720"/>
      <c r="O70" s="1719"/>
      <c r="P70" s="1720"/>
      <c r="Q70" s="1720"/>
      <c r="R70" s="1720"/>
      <c r="S70" s="1720"/>
      <c r="T70" s="1720"/>
      <c r="U70" s="1720"/>
      <c r="V70" s="1720"/>
      <c r="W70" s="1720"/>
      <c r="X70" s="1720"/>
      <c r="Y70" s="1720"/>
      <c r="Z70" s="1720"/>
      <c r="AA70" s="1720"/>
      <c r="AB70" s="1720"/>
      <c r="AC70" s="1720"/>
      <c r="AD70" s="1720"/>
      <c r="AE70" s="1720"/>
      <c r="AF70" s="1733"/>
    </row>
    <row r="71" spans="1:34" ht="15" customHeight="1">
      <c r="A71" s="5235"/>
      <c r="B71" s="4309"/>
      <c r="C71" s="1657">
        <v>5</v>
      </c>
      <c r="D71" s="1720"/>
      <c r="E71" s="1720"/>
      <c r="F71" s="1720"/>
      <c r="G71" s="1720"/>
      <c r="H71" s="1720"/>
      <c r="I71" s="1720"/>
      <c r="J71" s="1720"/>
      <c r="K71" s="1720"/>
      <c r="L71" s="1720"/>
      <c r="M71" s="1720"/>
      <c r="N71" s="1720"/>
      <c r="O71" s="1719"/>
      <c r="P71" s="1720"/>
      <c r="Q71" s="1720"/>
      <c r="R71" s="1720"/>
      <c r="S71" s="1720"/>
      <c r="T71" s="1720"/>
      <c r="U71" s="1720"/>
      <c r="V71" s="1720"/>
      <c r="W71" s="1720"/>
      <c r="X71" s="1720"/>
      <c r="Y71" s="1720"/>
      <c r="Z71" s="1720"/>
      <c r="AA71" s="1720"/>
      <c r="AB71" s="1720"/>
      <c r="AC71" s="1720"/>
      <c r="AD71" s="1720"/>
      <c r="AE71" s="1720"/>
      <c r="AF71" s="1733"/>
    </row>
    <row r="72" spans="1:34" ht="15" customHeight="1">
      <c r="A72" s="5235"/>
      <c r="B72" s="4309"/>
      <c r="C72" s="1657">
        <v>6</v>
      </c>
      <c r="D72" s="1720"/>
      <c r="E72" s="1720"/>
      <c r="F72" s="1720"/>
      <c r="G72" s="1720"/>
      <c r="H72" s="1720"/>
      <c r="I72" s="1720"/>
      <c r="J72" s="1720"/>
      <c r="K72" s="1720"/>
      <c r="L72" s="1720"/>
      <c r="M72" s="1720"/>
      <c r="N72" s="1720"/>
      <c r="O72" s="1719"/>
      <c r="P72" s="1720"/>
      <c r="Q72" s="1720"/>
      <c r="R72" s="1720"/>
      <c r="S72" s="1720"/>
      <c r="T72" s="1720"/>
      <c r="U72" s="1720"/>
      <c r="V72" s="1720"/>
      <c r="W72" s="1720"/>
      <c r="X72" s="1720"/>
      <c r="Y72" s="1720"/>
      <c r="Z72" s="1720"/>
      <c r="AA72" s="1720"/>
      <c r="AB72" s="1720"/>
      <c r="AC72" s="1720"/>
      <c r="AD72" s="1720"/>
      <c r="AE72" s="1720"/>
      <c r="AF72" s="1733"/>
    </row>
    <row r="73" spans="1:34" ht="15" customHeight="1">
      <c r="A73" s="5235"/>
      <c r="B73" s="4309"/>
      <c r="C73" s="1657">
        <v>7</v>
      </c>
      <c r="D73" s="1720"/>
      <c r="E73" s="1720"/>
      <c r="F73" s="1720"/>
      <c r="G73" s="1720"/>
      <c r="H73" s="1720"/>
      <c r="I73" s="1720"/>
      <c r="J73" s="1720"/>
      <c r="K73" s="1720"/>
      <c r="L73" s="1720"/>
      <c r="M73" s="1720"/>
      <c r="N73" s="1720"/>
      <c r="O73" s="1719"/>
      <c r="P73" s="1720"/>
      <c r="Q73" s="1720"/>
      <c r="R73" s="1720"/>
      <c r="S73" s="1720"/>
      <c r="T73" s="1720"/>
      <c r="U73" s="1720"/>
      <c r="V73" s="1720"/>
      <c r="W73" s="1720"/>
      <c r="X73" s="1720"/>
      <c r="Y73" s="1720"/>
      <c r="Z73" s="1720"/>
      <c r="AA73" s="1720"/>
      <c r="AB73" s="1720"/>
      <c r="AC73" s="1720"/>
      <c r="AD73" s="1720"/>
      <c r="AE73" s="1720"/>
      <c r="AF73" s="1733"/>
    </row>
    <row r="74" spans="1:34" ht="15" customHeight="1">
      <c r="A74" s="5235"/>
      <c r="B74" s="4309"/>
      <c r="C74" s="1657">
        <v>8</v>
      </c>
      <c r="D74" s="1720"/>
      <c r="E74" s="1720"/>
      <c r="F74" s="1720"/>
      <c r="G74" s="1720"/>
      <c r="H74" s="1720"/>
      <c r="I74" s="1720"/>
      <c r="J74" s="1720"/>
      <c r="K74" s="1720"/>
      <c r="L74" s="1720"/>
      <c r="M74" s="1720"/>
      <c r="N74" s="1720"/>
      <c r="O74" s="1719"/>
      <c r="P74" s="1720"/>
      <c r="Q74" s="1720"/>
      <c r="R74" s="1720"/>
      <c r="S74" s="1720"/>
      <c r="T74" s="1720"/>
      <c r="U74" s="1720"/>
      <c r="V74" s="1720"/>
      <c r="W74" s="1720"/>
      <c r="X74" s="1720"/>
      <c r="Y74" s="1720"/>
      <c r="Z74" s="1720"/>
      <c r="AA74" s="1720"/>
      <c r="AB74" s="1720"/>
      <c r="AC74" s="1720"/>
      <c r="AD74" s="1720"/>
      <c r="AE74" s="1720"/>
      <c r="AF74" s="1733"/>
    </row>
    <row r="75" spans="1:34" ht="15" customHeight="1">
      <c r="A75" s="5235"/>
      <c r="B75" s="4309"/>
      <c r="C75" s="1657">
        <v>9</v>
      </c>
      <c r="D75" s="1720"/>
      <c r="E75" s="1720"/>
      <c r="F75" s="1720"/>
      <c r="G75" s="1720"/>
      <c r="H75" s="1720"/>
      <c r="I75" s="1720"/>
      <c r="J75" s="1720"/>
      <c r="K75" s="1720"/>
      <c r="L75" s="1720"/>
      <c r="M75" s="1720"/>
      <c r="N75" s="1720"/>
      <c r="O75" s="1719"/>
      <c r="P75" s="1720"/>
      <c r="Q75" s="1720"/>
      <c r="R75" s="1720"/>
      <c r="S75" s="1720"/>
      <c r="T75" s="1720"/>
      <c r="U75" s="1720"/>
      <c r="V75" s="1720"/>
      <c r="W75" s="1720"/>
      <c r="X75" s="1720"/>
      <c r="Y75" s="1720"/>
      <c r="Z75" s="1720"/>
      <c r="AA75" s="1720"/>
      <c r="AB75" s="1720"/>
      <c r="AC75" s="1720"/>
      <c r="AD75" s="1720"/>
      <c r="AE75" s="1720"/>
      <c r="AF75" s="1733"/>
    </row>
    <row r="76" spans="1:34" ht="15" customHeight="1">
      <c r="A76" s="5235"/>
      <c r="B76" s="4309"/>
      <c r="C76" s="1657">
        <v>10</v>
      </c>
      <c r="D76" s="1720"/>
      <c r="E76" s="1720"/>
      <c r="F76" s="1720"/>
      <c r="G76" s="1720"/>
      <c r="H76" s="4336" t="str">
        <f>IF(Y93="","",INT(Y93*9.80665)/1000&amp;"[KN]")</f>
        <v/>
      </c>
      <c r="I76" s="4336"/>
      <c r="J76" s="4336"/>
      <c r="K76" s="1660"/>
      <c r="L76" s="1720"/>
      <c r="M76" s="1720"/>
      <c r="N76" s="1720"/>
      <c r="O76" s="1719"/>
      <c r="P76" s="1720"/>
      <c r="Q76" s="1720"/>
      <c r="R76" s="1720"/>
      <c r="S76" s="1720"/>
      <c r="T76" s="1720"/>
      <c r="U76" s="1720"/>
      <c r="V76" s="1720"/>
      <c r="W76" s="1720"/>
      <c r="X76" s="1720"/>
      <c r="Y76" s="1720"/>
      <c r="Z76" s="1720"/>
      <c r="AA76" s="1720"/>
      <c r="AB76" s="1720"/>
      <c r="AC76" s="1720"/>
      <c r="AD76" s="1720"/>
      <c r="AE76" s="1720"/>
      <c r="AF76" s="1733"/>
    </row>
    <row r="77" spans="1:34" ht="15" customHeight="1">
      <c r="A77" s="5235"/>
      <c r="B77" s="4309"/>
      <c r="C77" s="1657">
        <v>11</v>
      </c>
      <c r="D77" s="1720"/>
      <c r="E77" s="1720"/>
      <c r="F77" s="1720"/>
      <c r="G77" s="1720"/>
      <c r="H77" s="1720"/>
      <c r="I77" s="1720"/>
      <c r="J77" s="1720"/>
      <c r="K77" s="1720"/>
      <c r="L77" s="1720"/>
      <c r="M77" s="1720"/>
      <c r="N77" s="1720"/>
      <c r="O77" s="1719"/>
      <c r="P77" s="1720"/>
      <c r="Q77" s="1720"/>
      <c r="R77" s="1720"/>
      <c r="S77" s="1720"/>
      <c r="T77" s="1720"/>
      <c r="U77" s="1720"/>
      <c r="V77" s="1720"/>
      <c r="W77" s="1720"/>
      <c r="X77" s="1720"/>
      <c r="Y77" s="1720"/>
      <c r="Z77" s="1720"/>
      <c r="AA77" s="1720"/>
      <c r="AB77" s="1720"/>
      <c r="AC77" s="1720"/>
      <c r="AD77" s="1720"/>
      <c r="AE77" s="1720"/>
      <c r="AF77" s="1733"/>
    </row>
    <row r="78" spans="1:34" ht="15" customHeight="1">
      <c r="A78" s="5235"/>
      <c r="B78" s="4309"/>
      <c r="C78" s="1657">
        <v>12</v>
      </c>
      <c r="D78" s="1720"/>
      <c r="E78" s="1720"/>
      <c r="F78" s="1720"/>
      <c r="G78" s="1720"/>
      <c r="H78" s="1720"/>
      <c r="I78" s="1720"/>
      <c r="J78" s="1720"/>
      <c r="K78" s="1720"/>
      <c r="L78" s="1720"/>
      <c r="M78" s="1720"/>
      <c r="N78" s="1720"/>
      <c r="O78" s="1719"/>
      <c r="P78" s="1720"/>
      <c r="Q78" s="1720"/>
      <c r="R78" s="1720"/>
      <c r="S78" s="1720"/>
      <c r="T78" s="1720"/>
      <c r="U78" s="1720"/>
      <c r="V78" s="1720"/>
      <c r="W78" s="1720"/>
      <c r="X78" s="1720"/>
      <c r="Y78" s="1720"/>
      <c r="Z78" s="1720"/>
      <c r="AA78" s="1720"/>
      <c r="AB78" s="1720"/>
      <c r="AC78" s="1720"/>
      <c r="AD78" s="1720"/>
      <c r="AE78" s="1720"/>
      <c r="AF78" s="1733"/>
    </row>
    <row r="79" spans="1:34" ht="15" customHeight="1">
      <c r="A79" s="5235"/>
      <c r="B79" s="4309"/>
      <c r="C79" s="1657">
        <v>13</v>
      </c>
      <c r="D79" s="1720"/>
      <c r="E79" s="1720"/>
      <c r="F79" s="1720"/>
      <c r="G79" s="1720"/>
      <c r="H79" s="1720"/>
      <c r="I79" s="1720"/>
      <c r="J79" s="1720"/>
      <c r="K79" s="1720"/>
      <c r="L79" s="1720"/>
      <c r="M79" s="1720"/>
      <c r="N79" s="1720"/>
      <c r="O79" s="1719"/>
      <c r="P79" s="1720"/>
      <c r="Q79" s="1720"/>
      <c r="R79" s="1720"/>
      <c r="S79" s="1720"/>
      <c r="T79" s="1720"/>
      <c r="U79" s="1720"/>
      <c r="V79" s="1720"/>
      <c r="W79" s="1720"/>
      <c r="X79" s="1720"/>
      <c r="Y79" s="1720"/>
      <c r="Z79" s="1720"/>
      <c r="AA79" s="1720"/>
      <c r="AB79" s="1720"/>
      <c r="AC79" s="1720"/>
      <c r="AD79" s="1720"/>
      <c r="AE79" s="1720"/>
      <c r="AF79" s="1733"/>
    </row>
    <row r="80" spans="1:34" ht="15" customHeight="1">
      <c r="A80" s="5235"/>
      <c r="B80" s="4309"/>
      <c r="C80" s="1657">
        <v>14</v>
      </c>
      <c r="D80" s="1720"/>
      <c r="E80" s="1720"/>
      <c r="F80" s="1720"/>
      <c r="G80" s="1720"/>
      <c r="H80" s="1720"/>
      <c r="I80" s="1720"/>
      <c r="J80" s="1720"/>
      <c r="K80" s="1720"/>
      <c r="L80" s="1720"/>
      <c r="M80" s="1720"/>
      <c r="N80" s="1720"/>
      <c r="O80" s="1719"/>
      <c r="P80" s="1720"/>
      <c r="Q80" s="1720"/>
      <c r="R80" s="1720"/>
      <c r="S80" s="1720"/>
      <c r="T80" s="1720"/>
      <c r="U80" s="1720"/>
      <c r="V80" s="1720"/>
      <c r="W80" s="1720"/>
      <c r="X80" s="1720"/>
      <c r="Y80" s="1720"/>
      <c r="Z80" s="1720"/>
      <c r="AA80" s="1720"/>
      <c r="AB80" s="1720"/>
      <c r="AC80" s="1720"/>
      <c r="AD80" s="1720"/>
      <c r="AE80" s="1720"/>
      <c r="AF80" s="1733"/>
    </row>
    <row r="81" spans="1:32" ht="15" customHeight="1">
      <c r="A81" s="5235"/>
      <c r="B81" s="4309"/>
      <c r="C81" s="1657">
        <v>15</v>
      </c>
      <c r="D81" s="1720"/>
      <c r="E81" s="1720"/>
      <c r="F81" s="1720"/>
      <c r="G81" s="1720"/>
      <c r="H81" s="1720"/>
      <c r="I81" s="1720"/>
      <c r="J81" s="1720"/>
      <c r="K81" s="1720"/>
      <c r="L81" s="1720"/>
      <c r="M81" s="1720"/>
      <c r="N81" s="1720"/>
      <c r="O81" s="1719"/>
      <c r="P81" s="1720"/>
      <c r="Q81" s="1720"/>
      <c r="R81" s="1720"/>
      <c r="S81" s="1720"/>
      <c r="T81" s="1720"/>
      <c r="U81" s="1720"/>
      <c r="V81" s="1720"/>
      <c r="W81" s="1720"/>
      <c r="X81" s="1720"/>
      <c r="Y81" s="1720"/>
      <c r="Z81" s="1720"/>
      <c r="AA81" s="1720"/>
      <c r="AB81" s="1720"/>
      <c r="AC81" s="1720"/>
      <c r="AD81" s="1720"/>
      <c r="AE81" s="1720"/>
      <c r="AF81" s="1733"/>
    </row>
    <row r="82" spans="1:32" ht="15" customHeight="1">
      <c r="A82" s="5235"/>
      <c r="B82" s="4309"/>
      <c r="C82" s="1657">
        <v>16</v>
      </c>
      <c r="D82" s="1720"/>
      <c r="E82" s="1720"/>
      <c r="F82" s="1720"/>
      <c r="G82" s="1720"/>
      <c r="H82" s="1720"/>
      <c r="I82" s="1720"/>
      <c r="J82" s="1720"/>
      <c r="K82" s="1720"/>
      <c r="L82" s="1720"/>
      <c r="M82" s="1720"/>
      <c r="N82" s="1720"/>
      <c r="O82" s="1719"/>
      <c r="P82" s="1720"/>
      <c r="Q82" s="1720"/>
      <c r="R82" s="1720"/>
      <c r="S82" s="1720"/>
      <c r="T82" s="1720"/>
      <c r="U82" s="1720"/>
      <c r="V82" s="1720"/>
      <c r="W82" s="1720"/>
      <c r="X82" s="1720"/>
      <c r="Y82" s="1720"/>
      <c r="Z82" s="1720"/>
      <c r="AA82" s="1720"/>
      <c r="AB82" s="1720"/>
      <c r="AC82" s="1720"/>
      <c r="AD82" s="1720"/>
      <c r="AE82" s="1720"/>
      <c r="AF82" s="1733"/>
    </row>
    <row r="83" spans="1:32" ht="15" customHeight="1">
      <c r="A83" s="5235"/>
      <c r="B83" s="4309"/>
      <c r="C83" s="1657">
        <v>17</v>
      </c>
      <c r="D83" s="1720"/>
      <c r="E83" s="1720"/>
      <c r="F83" s="1720"/>
      <c r="G83" s="1720"/>
      <c r="H83" s="1720"/>
      <c r="I83" s="1720"/>
      <c r="J83" s="1720"/>
      <c r="K83" s="1720"/>
      <c r="L83" s="1720"/>
      <c r="M83" s="1720"/>
      <c r="N83" s="1720"/>
      <c r="O83" s="1719"/>
      <c r="P83" s="1720"/>
      <c r="Q83" s="1720"/>
      <c r="R83" s="1720"/>
      <c r="S83" s="1720"/>
      <c r="T83" s="1720"/>
      <c r="U83" s="1720"/>
      <c r="V83" s="1720"/>
      <c r="W83" s="1720"/>
      <c r="X83" s="1720"/>
      <c r="Y83" s="1720"/>
      <c r="Z83" s="1720"/>
      <c r="AA83" s="1720"/>
      <c r="AB83" s="1720"/>
      <c r="AC83" s="1720"/>
      <c r="AD83" s="1720"/>
      <c r="AE83" s="1720"/>
      <c r="AF83" s="1733"/>
    </row>
    <row r="84" spans="1:32" ht="15" customHeight="1">
      <c r="A84" s="5235"/>
      <c r="B84" s="4309"/>
      <c r="C84" s="1657">
        <v>18</v>
      </c>
      <c r="D84" s="1720"/>
      <c r="E84" s="1720"/>
      <c r="F84" s="1720"/>
      <c r="G84" s="1720"/>
      <c r="H84" s="1720"/>
      <c r="I84" s="1720"/>
      <c r="J84" s="1720"/>
      <c r="K84" s="1720"/>
      <c r="L84" s="1720"/>
      <c r="M84" s="1720"/>
      <c r="N84" s="1720"/>
      <c r="O84" s="1719"/>
      <c r="P84" s="1720"/>
      <c r="Q84" s="1720"/>
      <c r="R84" s="1720"/>
      <c r="S84" s="1720"/>
      <c r="T84" s="1720"/>
      <c r="U84" s="1720"/>
      <c r="V84" s="1720"/>
      <c r="W84" s="1720"/>
      <c r="X84" s="1720"/>
      <c r="Y84" s="1720"/>
      <c r="Z84" s="1720"/>
      <c r="AA84" s="1720"/>
      <c r="AB84" s="1720"/>
      <c r="AC84" s="1720"/>
      <c r="AD84" s="1720"/>
      <c r="AE84" s="1720"/>
      <c r="AF84" s="1733"/>
    </row>
    <row r="85" spans="1:32" ht="15" customHeight="1">
      <c r="A85" s="5235"/>
      <c r="B85" s="4309"/>
      <c r="C85" s="1657">
        <v>19</v>
      </c>
      <c r="D85" s="1720"/>
      <c r="E85" s="1720"/>
      <c r="F85" s="1720"/>
      <c r="G85" s="1720"/>
      <c r="H85" s="1720"/>
      <c r="I85" s="1720"/>
      <c r="J85" s="1720"/>
      <c r="K85" s="1720"/>
      <c r="L85" s="1720"/>
      <c r="M85" s="1720"/>
      <c r="N85" s="1720"/>
      <c r="O85" s="1719"/>
      <c r="P85" s="1720"/>
      <c r="Q85" s="1720"/>
      <c r="R85" s="1720"/>
      <c r="S85" s="1720"/>
      <c r="T85" s="1720"/>
      <c r="U85" s="1720"/>
      <c r="V85" s="1720"/>
      <c r="W85" s="1720"/>
      <c r="X85" s="1720"/>
      <c r="Y85" s="1720"/>
      <c r="Z85" s="1720"/>
      <c r="AA85" s="1720"/>
      <c r="AB85" s="1720"/>
      <c r="AC85" s="1720"/>
      <c r="AD85" s="1720"/>
      <c r="AE85" s="1720"/>
      <c r="AF85" s="1733"/>
    </row>
    <row r="86" spans="1:32" ht="15" customHeight="1">
      <c r="A86" s="5235"/>
      <c r="B86" s="4309"/>
      <c r="C86" s="1657">
        <v>20</v>
      </c>
      <c r="D86" s="1720"/>
      <c r="E86" s="1720"/>
      <c r="F86" s="1720"/>
      <c r="G86" s="1720"/>
      <c r="H86" s="1720"/>
      <c r="I86" s="1720"/>
      <c r="J86" s="1720"/>
      <c r="K86" s="1720"/>
      <c r="L86" s="1720"/>
      <c r="M86" s="1720"/>
      <c r="N86" s="1720"/>
      <c r="O86" s="1719"/>
      <c r="P86" s="1720"/>
      <c r="Q86" s="1720"/>
      <c r="R86" s="1720"/>
      <c r="S86" s="1720"/>
      <c r="T86" s="1720"/>
      <c r="U86" s="1720"/>
      <c r="V86" s="1720"/>
      <c r="W86" s="1720"/>
      <c r="X86" s="1720"/>
      <c r="Y86" s="1720"/>
      <c r="Z86" s="1720"/>
      <c r="AA86" s="1720"/>
      <c r="AB86" s="1720"/>
      <c r="AC86" s="1720"/>
      <c r="AD86" s="1720"/>
      <c r="AE86" s="1720"/>
      <c r="AF86" s="1733"/>
    </row>
    <row r="87" spans="1:32" ht="15" customHeight="1">
      <c r="A87" s="5235"/>
      <c r="B87" s="4309"/>
      <c r="C87" s="1657">
        <v>21</v>
      </c>
      <c r="D87" s="1734"/>
      <c r="E87" s="1729" t="s">
        <v>1963</v>
      </c>
      <c r="F87" s="1724" t="s">
        <v>1962</v>
      </c>
      <c r="G87" s="1734"/>
      <c r="H87" s="1734"/>
      <c r="I87" s="1734"/>
      <c r="J87" s="1734"/>
      <c r="K87" s="1734"/>
      <c r="L87" s="1734"/>
      <c r="M87" s="1734"/>
      <c r="N87" s="1734"/>
      <c r="O87" s="1714"/>
      <c r="P87" s="1720"/>
      <c r="Q87" s="1720"/>
      <c r="R87" s="1720"/>
      <c r="S87" s="1720"/>
      <c r="T87" s="1720"/>
      <c r="U87" s="1720"/>
      <c r="V87" s="1720"/>
      <c r="W87" s="1720"/>
      <c r="X87" s="1720"/>
      <c r="Y87" s="1720"/>
      <c r="Z87" s="1720"/>
      <c r="AA87" s="1720"/>
      <c r="AB87" s="1720"/>
      <c r="AC87" s="1720"/>
      <c r="AD87" s="1720"/>
      <c r="AE87" s="1720"/>
      <c r="AF87" s="1733"/>
    </row>
    <row r="88" spans="1:32" ht="15" customHeight="1">
      <c r="A88" s="5235"/>
      <c r="B88" s="4309"/>
      <c r="C88" s="1657">
        <v>22</v>
      </c>
      <c r="D88" s="1720"/>
      <c r="E88" s="1729" t="s">
        <v>1961</v>
      </c>
      <c r="F88" s="1724" t="s">
        <v>1816</v>
      </c>
      <c r="G88" s="1724"/>
      <c r="H88" s="1724"/>
      <c r="I88" s="1720"/>
      <c r="J88" s="1720"/>
      <c r="K88" s="1720"/>
      <c r="L88" s="1720"/>
      <c r="M88" s="1720"/>
      <c r="N88" s="1720"/>
      <c r="O88" s="1719"/>
      <c r="P88" s="1720"/>
      <c r="Q88" s="1720"/>
      <c r="R88" s="1720"/>
      <c r="S88" s="1720"/>
      <c r="T88" s="1720"/>
      <c r="U88" s="1720"/>
      <c r="V88" s="1720"/>
      <c r="W88" s="1720"/>
      <c r="X88" s="1720"/>
      <c r="Y88" s="1720"/>
      <c r="Z88" s="1720"/>
      <c r="AA88" s="1720"/>
      <c r="AB88" s="1720"/>
      <c r="AC88" s="1720"/>
      <c r="AD88" s="1720"/>
      <c r="AE88" s="1720"/>
      <c r="AF88" s="1733"/>
    </row>
    <row r="89" spans="1:32" ht="15" customHeight="1">
      <c r="A89" s="5235"/>
      <c r="B89" s="4309"/>
      <c r="C89" s="1657">
        <v>23</v>
      </c>
      <c r="D89" s="1720"/>
      <c r="E89" s="1729" t="s">
        <v>1960</v>
      </c>
      <c r="F89" s="1724" t="s">
        <v>1959</v>
      </c>
      <c r="G89" s="1724"/>
      <c r="H89" s="1724"/>
      <c r="I89" s="1720"/>
      <c r="J89" s="1720"/>
      <c r="K89" s="1720"/>
      <c r="L89" s="1720"/>
      <c r="M89" s="1720"/>
      <c r="N89" s="1720"/>
      <c r="O89" s="1719"/>
      <c r="P89" s="1732"/>
      <c r="Q89" s="1732"/>
      <c r="R89" s="1732"/>
      <c r="S89" s="1732"/>
      <c r="T89" s="1732"/>
      <c r="U89" s="1732"/>
      <c r="V89" s="1732"/>
      <c r="W89" s="1732"/>
      <c r="X89" s="1732"/>
      <c r="Y89" s="1732"/>
      <c r="Z89" s="1732"/>
      <c r="AA89" s="1732"/>
      <c r="AB89" s="1732"/>
      <c r="AC89" s="1732"/>
      <c r="AD89" s="1732"/>
      <c r="AE89" s="1732"/>
      <c r="AF89" s="1731"/>
    </row>
    <row r="90" spans="1:32" ht="15" customHeight="1">
      <c r="A90" s="5235"/>
      <c r="B90" s="4309"/>
      <c r="C90" s="1657">
        <v>24</v>
      </c>
      <c r="D90" s="1720"/>
      <c r="E90" s="1729" t="s">
        <v>1958</v>
      </c>
      <c r="F90" s="1724" t="s">
        <v>1957</v>
      </c>
      <c r="G90" s="1724"/>
      <c r="H90" s="1724"/>
      <c r="I90" s="1720"/>
      <c r="J90" s="1720"/>
      <c r="K90" s="1720"/>
      <c r="L90" s="1720"/>
      <c r="M90" s="1720"/>
      <c r="N90" s="1720"/>
      <c r="O90" s="1719"/>
      <c r="P90" s="4310" t="s">
        <v>1727</v>
      </c>
      <c r="Q90" s="4311"/>
      <c r="R90" s="4311"/>
      <c r="S90" s="4311"/>
      <c r="T90" s="4311"/>
      <c r="U90" s="4311"/>
      <c r="V90" s="4311"/>
      <c r="W90" s="4311"/>
      <c r="X90" s="4312"/>
      <c r="Y90" s="4446" t="s">
        <v>1816</v>
      </c>
      <c r="Z90" s="4429"/>
      <c r="AA90" s="4428" t="s">
        <v>1956</v>
      </c>
      <c r="AB90" s="4429"/>
      <c r="AC90" s="4428" t="s">
        <v>1955</v>
      </c>
      <c r="AD90" s="4432"/>
      <c r="AE90" s="4432"/>
      <c r="AF90" s="4433"/>
    </row>
    <row r="91" spans="1:32" ht="15" customHeight="1">
      <c r="A91" s="5235"/>
      <c r="B91" s="4309"/>
      <c r="C91" s="1657">
        <v>25</v>
      </c>
      <c r="D91" s="1720"/>
      <c r="E91" s="1725" t="s">
        <v>1954</v>
      </c>
      <c r="F91" s="1722" t="s">
        <v>1953</v>
      </c>
      <c r="G91" s="1724"/>
      <c r="H91" s="1724"/>
      <c r="I91" s="1720"/>
      <c r="J91" s="1720"/>
      <c r="K91" s="1720"/>
      <c r="L91" s="1720"/>
      <c r="M91" s="1720"/>
      <c r="N91" s="1720"/>
      <c r="O91" s="1719"/>
      <c r="P91" s="4313"/>
      <c r="Q91" s="4314"/>
      <c r="R91" s="4314"/>
      <c r="S91" s="4314"/>
      <c r="T91" s="4314"/>
      <c r="U91" s="4314"/>
      <c r="V91" s="4314"/>
      <c r="W91" s="4314"/>
      <c r="X91" s="4315"/>
      <c r="Y91" s="4430"/>
      <c r="Z91" s="4431"/>
      <c r="AA91" s="4430"/>
      <c r="AB91" s="4431"/>
      <c r="AC91" s="4430"/>
      <c r="AD91" s="4434"/>
      <c r="AE91" s="4434"/>
      <c r="AF91" s="4435"/>
    </row>
    <row r="92" spans="1:32" ht="15" customHeight="1">
      <c r="A92" s="5235"/>
      <c r="B92" s="4309"/>
      <c r="C92" s="1657">
        <v>26</v>
      </c>
      <c r="D92" s="1720"/>
      <c r="E92" s="1730"/>
      <c r="F92" s="1723" t="s">
        <v>1952</v>
      </c>
      <c r="G92" s="1722"/>
      <c r="H92" s="1722"/>
      <c r="I92" s="1720"/>
      <c r="J92" s="1720"/>
      <c r="K92" s="1720"/>
      <c r="L92" s="1720"/>
      <c r="M92" s="1720"/>
      <c r="N92" s="1720"/>
      <c r="O92" s="1719"/>
      <c r="P92" s="4436" t="s">
        <v>1806</v>
      </c>
      <c r="Q92" s="4437"/>
      <c r="R92" s="4437"/>
      <c r="S92" s="4437"/>
      <c r="T92" s="4438" t="s">
        <v>1805</v>
      </c>
      <c r="U92" s="4437"/>
      <c r="V92" s="4437"/>
      <c r="W92" s="4439" t="s">
        <v>1804</v>
      </c>
      <c r="X92" s="4440"/>
      <c r="Y92" s="4439" t="s">
        <v>1951</v>
      </c>
      <c r="Z92" s="4440"/>
      <c r="AA92" s="4439" t="s">
        <v>1950</v>
      </c>
      <c r="AB92" s="4441"/>
      <c r="AC92" s="4442" t="s">
        <v>1949</v>
      </c>
      <c r="AD92" s="4443"/>
      <c r="AE92" s="4444" t="s">
        <v>1948</v>
      </c>
      <c r="AF92" s="4445"/>
    </row>
    <row r="93" spans="1:32" ht="15" customHeight="1">
      <c r="A93" s="5235"/>
      <c r="B93" s="4309"/>
      <c r="C93" s="1657">
        <v>27</v>
      </c>
      <c r="D93" s="1720"/>
      <c r="E93" s="1729" t="s">
        <v>1947</v>
      </c>
      <c r="F93" s="1724" t="s">
        <v>1946</v>
      </c>
      <c r="G93" s="1723"/>
      <c r="H93" s="1723"/>
      <c r="I93" s="1720"/>
      <c r="J93" s="1720"/>
      <c r="K93" s="1720"/>
      <c r="L93" s="1720"/>
      <c r="M93" s="1720"/>
      <c r="N93" s="1720"/>
      <c r="O93" s="1719"/>
      <c r="P93" s="4316"/>
      <c r="Q93" s="4317"/>
      <c r="R93" s="4318" t="str">
        <f>IF(P93="","","[mm]")</f>
        <v/>
      </c>
      <c r="S93" s="4319"/>
      <c r="T93" s="4320"/>
      <c r="U93" s="4317"/>
      <c r="V93" s="1728" t="str">
        <f>IF(T93="","","[mm]")</f>
        <v/>
      </c>
      <c r="W93" s="1727"/>
      <c r="X93" s="1728" t="str">
        <f>IF(W93="","","[mm]")</f>
        <v/>
      </c>
      <c r="Y93" s="1727"/>
      <c r="Z93" s="1728" t="str">
        <f>IF(Y93="","","[Kg]")</f>
        <v/>
      </c>
      <c r="AA93" s="1727"/>
      <c r="AB93" s="1728" t="str">
        <f>IF(AA93="","","[mm]")</f>
        <v/>
      </c>
      <c r="AC93" s="1727"/>
      <c r="AD93" s="1728" t="str">
        <f>IF(AC93="","","[mm]")</f>
        <v/>
      </c>
      <c r="AE93" s="1727"/>
      <c r="AF93" s="1726" t="str">
        <f>IF(AE93="","","[mm]")</f>
        <v/>
      </c>
    </row>
    <row r="94" spans="1:32" ht="15" customHeight="1">
      <c r="A94" s="5235"/>
      <c r="B94" s="4309"/>
      <c r="C94" s="1657">
        <v>28</v>
      </c>
      <c r="D94" s="1720"/>
      <c r="E94" s="1725" t="s">
        <v>1945</v>
      </c>
      <c r="F94" s="1722" t="s">
        <v>1944</v>
      </c>
      <c r="G94" s="1724"/>
      <c r="H94" s="1724"/>
      <c r="I94" s="1720"/>
      <c r="J94" s="1720"/>
      <c r="K94" s="1720"/>
      <c r="L94" s="1720"/>
      <c r="M94" s="1720"/>
      <c r="N94" s="1720"/>
      <c r="O94" s="1719"/>
      <c r="P94" s="4415" t="s">
        <v>1895</v>
      </c>
      <c r="Q94" s="4416"/>
      <c r="R94" s="4416"/>
      <c r="S94" s="4416"/>
      <c r="T94" s="4416"/>
      <c r="U94" s="4416"/>
      <c r="V94" s="4416"/>
      <c r="W94" s="4416"/>
      <c r="X94" s="4416"/>
      <c r="Y94" s="4417" t="s">
        <v>1894</v>
      </c>
      <c r="Z94" s="4416"/>
      <c r="AA94" s="4416"/>
      <c r="AB94" s="4416"/>
      <c r="AC94" s="4416"/>
      <c r="AD94" s="4418"/>
      <c r="AE94" s="4337" t="s">
        <v>1795</v>
      </c>
      <c r="AF94" s="4338"/>
    </row>
    <row r="95" spans="1:32" ht="15" customHeight="1">
      <c r="A95" s="5235"/>
      <c r="B95" s="4309"/>
      <c r="C95" s="1657">
        <v>29</v>
      </c>
      <c r="D95" s="1720"/>
      <c r="E95" s="1720"/>
      <c r="F95" s="1723" t="s">
        <v>1943</v>
      </c>
      <c r="G95" s="1722"/>
      <c r="H95" s="1722"/>
      <c r="I95" s="1720"/>
      <c r="J95" s="1720"/>
      <c r="K95" s="1720"/>
      <c r="L95" s="1720"/>
      <c r="M95" s="1720"/>
      <c r="N95" s="1720"/>
      <c r="O95" s="1719"/>
      <c r="P95" s="4339" t="s">
        <v>1942</v>
      </c>
      <c r="Q95" s="4340"/>
      <c r="R95" s="4340"/>
      <c r="S95" s="4340"/>
      <c r="T95" s="4340"/>
      <c r="U95" s="4340"/>
      <c r="V95" s="4341" t="s">
        <v>1941</v>
      </c>
      <c r="W95" s="4340"/>
      <c r="X95" s="4342"/>
      <c r="Y95" s="4341" t="s">
        <v>1940</v>
      </c>
      <c r="Z95" s="4343"/>
      <c r="AA95" s="4343"/>
      <c r="AB95" s="4341" t="s">
        <v>1939</v>
      </c>
      <c r="AC95" s="4343"/>
      <c r="AD95" s="4343"/>
      <c r="AE95" s="4426" t="s">
        <v>1788</v>
      </c>
      <c r="AF95" s="4427"/>
    </row>
    <row r="96" spans="1:32" ht="15" customHeight="1">
      <c r="A96" s="5235"/>
      <c r="B96" s="4309"/>
      <c r="C96" s="1657">
        <v>30</v>
      </c>
      <c r="D96" s="1720"/>
      <c r="E96" s="1708"/>
      <c r="F96" s="1717"/>
      <c r="G96" s="1721"/>
      <c r="H96" s="1721"/>
      <c r="I96" s="1720"/>
      <c r="J96" s="1720"/>
      <c r="K96" s="1721"/>
      <c r="L96" s="1716" t="s">
        <v>1938</v>
      </c>
      <c r="M96" s="1715"/>
      <c r="N96" s="1720"/>
      <c r="O96" s="1719"/>
      <c r="P96" s="4475"/>
      <c r="Q96" s="4476"/>
      <c r="R96" s="4476"/>
      <c r="S96" s="4476"/>
      <c r="T96" s="4477" t="str">
        <f>IF(P96="","","[mm]")</f>
        <v/>
      </c>
      <c r="U96" s="4478"/>
      <c r="V96" s="4479"/>
      <c r="W96" s="4476"/>
      <c r="X96" s="1718" t="str">
        <f>IF(V96="","","[mm]")</f>
        <v/>
      </c>
      <c r="Y96" s="4410"/>
      <c r="Z96" s="4411"/>
      <c r="AA96" s="4412"/>
      <c r="AB96" s="4410"/>
      <c r="AC96" s="4411"/>
      <c r="AD96" s="4412"/>
      <c r="AE96" s="4413" t="str">
        <f>IF(OR(Y96="",AB96=""),"",Y96*AB96)</f>
        <v/>
      </c>
      <c r="AF96" s="4414"/>
    </row>
    <row r="97" spans="1:32" ht="15" customHeight="1">
      <c r="A97" s="5235"/>
      <c r="B97" s="4309"/>
      <c r="C97" s="1657">
        <v>31</v>
      </c>
      <c r="D97" s="1708"/>
      <c r="E97" s="1708"/>
      <c r="F97" s="1717"/>
      <c r="G97" s="1717"/>
      <c r="H97" s="1717"/>
      <c r="I97" s="1708"/>
      <c r="J97" s="1708"/>
      <c r="K97" s="1708"/>
      <c r="L97" s="1716" t="s">
        <v>1937</v>
      </c>
      <c r="M97" s="1715"/>
      <c r="N97" s="1708"/>
      <c r="O97" s="1714"/>
      <c r="P97" s="1713"/>
      <c r="Q97" s="1713"/>
      <c r="R97" s="1713"/>
      <c r="S97" s="1713"/>
      <c r="T97" s="1712"/>
      <c r="U97" s="1712"/>
      <c r="V97" s="1713"/>
      <c r="W97" s="1713"/>
      <c r="X97" s="1712"/>
      <c r="Y97" s="1711"/>
      <c r="Z97" s="1711"/>
      <c r="AA97" s="1711"/>
      <c r="AB97" s="1711"/>
      <c r="AC97" s="1711"/>
      <c r="AD97" s="1711"/>
      <c r="AE97" s="1710"/>
      <c r="AF97" s="1709"/>
    </row>
    <row r="98" spans="1:32" ht="15" customHeight="1">
      <c r="A98" s="5235"/>
      <c r="B98" s="4309"/>
      <c r="C98" s="1657">
        <v>32</v>
      </c>
      <c r="D98" s="1708"/>
      <c r="E98" s="1708"/>
      <c r="F98" s="1708"/>
      <c r="G98" s="1708"/>
      <c r="H98" s="1708"/>
      <c r="I98" s="1708"/>
      <c r="J98" s="1708"/>
      <c r="K98" s="1708"/>
      <c r="L98" s="1708"/>
      <c r="M98" s="1708"/>
      <c r="N98" s="1708"/>
      <c r="O98" s="1708"/>
      <c r="P98" s="1708"/>
      <c r="Q98" s="1708"/>
      <c r="R98" s="1708"/>
      <c r="S98" s="1708"/>
      <c r="T98" s="1708"/>
      <c r="U98" s="1708"/>
      <c r="V98" s="1708"/>
      <c r="W98" s="1708"/>
      <c r="X98" s="1708"/>
      <c r="Y98" s="1708"/>
      <c r="Z98" s="1708"/>
      <c r="AA98" s="1708"/>
      <c r="AB98" s="1708"/>
      <c r="AC98" s="1708"/>
      <c r="AD98" s="1708"/>
      <c r="AE98" s="1708"/>
      <c r="AF98" s="1707"/>
    </row>
    <row r="99" spans="1:32" ht="15" customHeight="1">
      <c r="A99" s="5235"/>
      <c r="B99" s="4309"/>
      <c r="C99" s="1657">
        <v>33</v>
      </c>
      <c r="D99" s="4322" t="s">
        <v>1785</v>
      </c>
      <c r="E99" s="4323"/>
      <c r="F99" s="4323"/>
      <c r="G99" s="4323"/>
      <c r="H99" s="4323"/>
      <c r="I99" s="4323"/>
      <c r="J99" s="4324"/>
      <c r="K99" s="4325" t="s">
        <v>1784</v>
      </c>
      <c r="L99" s="4322" t="s">
        <v>1681</v>
      </c>
      <c r="M99" s="4323"/>
      <c r="N99" s="4323"/>
      <c r="O99" s="4324"/>
      <c r="P99" s="4322" t="s">
        <v>1680</v>
      </c>
      <c r="Q99" s="4323"/>
      <c r="R99" s="4323"/>
      <c r="S99" s="4323"/>
      <c r="T99" s="4323"/>
      <c r="U99" s="4323"/>
      <c r="V99" s="4324"/>
      <c r="W99" s="4447" t="s">
        <v>1936</v>
      </c>
      <c r="X99" s="4448"/>
      <c r="Y99" s="4448"/>
      <c r="Z99" s="4448"/>
      <c r="AA99" s="4448"/>
      <c r="AB99" s="4448"/>
      <c r="AC99" s="4448"/>
      <c r="AD99" s="4448"/>
      <c r="AE99" s="4448"/>
      <c r="AF99" s="4449"/>
    </row>
    <row r="100" spans="1:32" ht="15" customHeight="1">
      <c r="B100" s="4309"/>
      <c r="C100" s="1657">
        <v>34</v>
      </c>
      <c r="D100" s="1706"/>
      <c r="E100" s="119"/>
      <c r="F100" s="4450" t="s">
        <v>1891</v>
      </c>
      <c r="G100" s="4373" t="s">
        <v>1890</v>
      </c>
      <c r="H100" s="4374"/>
      <c r="I100" s="4375"/>
      <c r="J100" s="4379" t="s">
        <v>1889</v>
      </c>
      <c r="K100" s="4326"/>
      <c r="L100" s="4463" t="s">
        <v>1677</v>
      </c>
      <c r="M100" s="4464"/>
      <c r="N100" s="4469" t="s">
        <v>1676</v>
      </c>
      <c r="O100" s="4470"/>
      <c r="P100" s="4389" t="s">
        <v>1675</v>
      </c>
      <c r="Q100" s="4390"/>
      <c r="R100" s="4390"/>
      <c r="S100" s="4391"/>
      <c r="T100" s="4392" t="s">
        <v>1841</v>
      </c>
      <c r="U100" s="4390"/>
      <c r="V100" s="4393"/>
      <c r="W100" s="4394" t="s">
        <v>1779</v>
      </c>
      <c r="X100" s="4395"/>
      <c r="Y100" s="4398" t="s">
        <v>1935</v>
      </c>
      <c r="Z100" s="4395"/>
      <c r="AA100" s="4401" t="s">
        <v>1777</v>
      </c>
      <c r="AB100" s="4402"/>
      <c r="AC100" s="4404" t="s">
        <v>1776</v>
      </c>
      <c r="AD100" s="4405"/>
      <c r="AE100" s="4405" t="s">
        <v>1775</v>
      </c>
      <c r="AF100" s="4419"/>
    </row>
    <row r="101" spans="1:32" ht="7.5" customHeight="1">
      <c r="B101" s="4309"/>
      <c r="C101" s="4382">
        <v>35</v>
      </c>
      <c r="D101" s="1706"/>
      <c r="E101" s="119"/>
      <c r="F101" s="4450"/>
      <c r="G101" s="4376"/>
      <c r="H101" s="4377"/>
      <c r="I101" s="4378"/>
      <c r="J101" s="4376"/>
      <c r="K101" s="4384">
        <v>1</v>
      </c>
      <c r="L101" s="4465"/>
      <c r="M101" s="4466"/>
      <c r="N101" s="4471"/>
      <c r="O101" s="4472"/>
      <c r="P101" s="4525" t="s">
        <v>1934</v>
      </c>
      <c r="Q101" s="4526"/>
      <c r="R101" s="4526"/>
      <c r="S101" s="4527"/>
      <c r="T101" s="4531" t="s">
        <v>1933</v>
      </c>
      <c r="U101" s="4526"/>
      <c r="V101" s="4532"/>
      <c r="W101" s="4396"/>
      <c r="X101" s="4397"/>
      <c r="Y101" s="4399"/>
      <c r="Z101" s="4400"/>
      <c r="AA101" s="4399"/>
      <c r="AB101" s="4403"/>
      <c r="AC101" s="4406"/>
      <c r="AD101" s="4407"/>
      <c r="AE101" s="4407"/>
      <c r="AF101" s="4420"/>
    </row>
    <row r="102" spans="1:32" ht="8.25" customHeight="1">
      <c r="B102" s="4309"/>
      <c r="C102" s="4383"/>
      <c r="D102" s="1706"/>
      <c r="E102" s="119"/>
      <c r="F102" s="1705"/>
      <c r="G102" s="4386"/>
      <c r="H102" s="4387"/>
      <c r="I102" s="4388"/>
      <c r="J102" s="1704"/>
      <c r="K102" s="4385"/>
      <c r="L102" s="4467"/>
      <c r="M102" s="4468"/>
      <c r="N102" s="4473"/>
      <c r="O102" s="4474"/>
      <c r="P102" s="4528"/>
      <c r="Q102" s="4529"/>
      <c r="R102" s="4529"/>
      <c r="S102" s="4530"/>
      <c r="T102" s="4533"/>
      <c r="U102" s="4529"/>
      <c r="V102" s="4534"/>
      <c r="W102" s="4480"/>
      <c r="X102" s="4481"/>
      <c r="Y102" s="4484"/>
      <c r="Z102" s="4521"/>
      <c r="AA102" s="4523" t="str">
        <f>IF(Z102="","",0.0073*3.141592654*(Z102^2)/4)</f>
        <v/>
      </c>
      <c r="AB102" s="4512" t="s">
        <v>1932</v>
      </c>
      <c r="AC102" s="4406"/>
      <c r="AD102" s="4407"/>
      <c r="AE102" s="4407"/>
      <c r="AF102" s="4420"/>
    </row>
    <row r="103" spans="1:32" ht="7.5" customHeight="1">
      <c r="B103" s="4309"/>
      <c r="C103" s="4382">
        <v>36</v>
      </c>
      <c r="D103" s="4486" t="s">
        <v>1773</v>
      </c>
      <c r="E103" s="4487"/>
      <c r="F103" s="4488">
        <v>2</v>
      </c>
      <c r="G103" s="4490">
        <v>1.5</v>
      </c>
      <c r="H103" s="4491"/>
      <c r="I103" s="4492"/>
      <c r="J103" s="4496">
        <v>1</v>
      </c>
      <c r="K103" s="4498">
        <v>0.9</v>
      </c>
      <c r="L103" s="1703"/>
      <c r="M103" s="1702"/>
      <c r="N103" s="1699"/>
      <c r="O103" s="1697"/>
      <c r="P103" s="1701"/>
      <c r="Q103" s="1698"/>
      <c r="R103" s="1698"/>
      <c r="S103" s="1700"/>
      <c r="T103" s="1699"/>
      <c r="U103" s="1698"/>
      <c r="V103" s="1697"/>
      <c r="W103" s="4482"/>
      <c r="X103" s="4483"/>
      <c r="Y103" s="4485"/>
      <c r="Z103" s="4522"/>
      <c r="AA103" s="4524"/>
      <c r="AB103" s="4513"/>
      <c r="AC103" s="4406"/>
      <c r="AD103" s="4407"/>
      <c r="AE103" s="4407"/>
      <c r="AF103" s="4420"/>
    </row>
    <row r="104" spans="1:32" ht="7.5" customHeight="1">
      <c r="B104" s="4309"/>
      <c r="C104" s="4383"/>
      <c r="D104" s="4500" t="s">
        <v>1884</v>
      </c>
      <c r="E104" s="4501"/>
      <c r="F104" s="4489"/>
      <c r="G104" s="4493"/>
      <c r="H104" s="4494"/>
      <c r="I104" s="4495"/>
      <c r="J104" s="4497"/>
      <c r="K104" s="4499"/>
      <c r="L104" s="4423" t="s">
        <v>1931</v>
      </c>
      <c r="M104" s="4455" t="str">
        <f>IF(M96="","",M96*M97)</f>
        <v/>
      </c>
      <c r="N104" s="4456" t="s">
        <v>1930</v>
      </c>
      <c r="O104" s="4422" t="str">
        <f>IF(M104="","",M104/2)</f>
        <v/>
      </c>
      <c r="P104" s="4423" t="s">
        <v>1920</v>
      </c>
      <c r="Q104" s="4424" t="str">
        <f>IF(Y93="","","="&amp;M104*Y93)</f>
        <v/>
      </c>
      <c r="R104" s="4424"/>
      <c r="S104" s="4425"/>
      <c r="T104" s="4456" t="s">
        <v>1929</v>
      </c>
      <c r="U104" s="4424" t="str">
        <f>IF(Y93="","","="&amp;O104*Y93)</f>
        <v/>
      </c>
      <c r="V104" s="4514"/>
      <c r="W104" s="4515" t="s">
        <v>1767</v>
      </c>
      <c r="X104" s="4516"/>
      <c r="Y104" s="4516"/>
      <c r="Z104" s="4517"/>
      <c r="AA104" s="4502"/>
      <c r="AB104" s="4504" t="s">
        <v>1883</v>
      </c>
      <c r="AC104" s="4406"/>
      <c r="AD104" s="4407"/>
      <c r="AE104" s="4407"/>
      <c r="AF104" s="4420"/>
    </row>
    <row r="105" spans="1:32" ht="7.5" customHeight="1">
      <c r="B105" s="4309"/>
      <c r="C105" s="4382">
        <v>37</v>
      </c>
      <c r="D105" s="4506" t="s">
        <v>1882</v>
      </c>
      <c r="E105" s="4487"/>
      <c r="F105" s="4488">
        <v>1.5</v>
      </c>
      <c r="G105" s="4490">
        <v>1</v>
      </c>
      <c r="H105" s="4491"/>
      <c r="I105" s="4492"/>
      <c r="J105" s="4490">
        <v>0.6</v>
      </c>
      <c r="K105" s="4498">
        <v>0.8</v>
      </c>
      <c r="L105" s="4511"/>
      <c r="M105" s="4455"/>
      <c r="N105" s="4457"/>
      <c r="O105" s="4422"/>
      <c r="P105" s="4423"/>
      <c r="Q105" s="4424"/>
      <c r="R105" s="4424"/>
      <c r="S105" s="4425"/>
      <c r="T105" s="4456"/>
      <c r="U105" s="4424"/>
      <c r="V105" s="4514"/>
      <c r="W105" s="4518"/>
      <c r="X105" s="4519"/>
      <c r="Y105" s="4519"/>
      <c r="Z105" s="4520"/>
      <c r="AA105" s="4503"/>
      <c r="AB105" s="4505"/>
      <c r="AC105" s="4408"/>
      <c r="AD105" s="4409"/>
      <c r="AE105" s="4409"/>
      <c r="AF105" s="4421"/>
    </row>
    <row r="106" spans="1:32" ht="7.5" customHeight="1">
      <c r="B106" s="4309"/>
      <c r="C106" s="4383"/>
      <c r="D106" s="4500"/>
      <c r="E106" s="4501"/>
      <c r="F106" s="4489"/>
      <c r="G106" s="4493"/>
      <c r="H106" s="4494"/>
      <c r="I106" s="4495"/>
      <c r="J106" s="4493"/>
      <c r="K106" s="4499"/>
      <c r="L106" s="4507" t="s">
        <v>1928</v>
      </c>
      <c r="M106" s="4508"/>
      <c r="N106" s="4540" t="s">
        <v>1927</v>
      </c>
      <c r="O106" s="4541"/>
      <c r="P106" s="4556" t="s">
        <v>1926</v>
      </c>
      <c r="Q106" s="4557"/>
      <c r="R106" s="4557"/>
      <c r="S106" s="4508"/>
      <c r="T106" s="4540" t="s">
        <v>1925</v>
      </c>
      <c r="U106" s="4557"/>
      <c r="V106" s="4541"/>
      <c r="W106" s="4559"/>
      <c r="X106" s="4560"/>
      <c r="Y106" s="4560"/>
      <c r="Z106" s="4560"/>
      <c r="AA106" s="4560"/>
      <c r="AB106" s="4561"/>
      <c r="AC106" s="4565"/>
      <c r="AD106" s="4538" t="s">
        <v>1879</v>
      </c>
      <c r="AE106" s="4502"/>
      <c r="AF106" s="4544" t="s">
        <v>1879</v>
      </c>
    </row>
    <row r="107" spans="1:32" ht="15" customHeight="1">
      <c r="B107" s="4309"/>
      <c r="C107" s="1657">
        <v>38</v>
      </c>
      <c r="D107" s="4546" t="s">
        <v>1759</v>
      </c>
      <c r="E107" s="4547"/>
      <c r="F107" s="1696">
        <v>1</v>
      </c>
      <c r="G107" s="4548">
        <v>0.6</v>
      </c>
      <c r="H107" s="4549"/>
      <c r="I107" s="4550"/>
      <c r="J107" s="1695">
        <v>0.4</v>
      </c>
      <c r="K107" s="1694">
        <v>0.7</v>
      </c>
      <c r="L107" s="4509"/>
      <c r="M107" s="4510"/>
      <c r="N107" s="4542"/>
      <c r="O107" s="4543"/>
      <c r="P107" s="4509"/>
      <c r="Q107" s="4558"/>
      <c r="R107" s="4558"/>
      <c r="S107" s="4510"/>
      <c r="T107" s="4542"/>
      <c r="U107" s="4558"/>
      <c r="V107" s="4543"/>
      <c r="W107" s="4562"/>
      <c r="X107" s="4563"/>
      <c r="Y107" s="4563"/>
      <c r="Z107" s="4563"/>
      <c r="AA107" s="4563"/>
      <c r="AB107" s="4564"/>
      <c r="AC107" s="4566"/>
      <c r="AD107" s="4539"/>
      <c r="AE107" s="4503"/>
      <c r="AF107" s="4545"/>
    </row>
    <row r="108" spans="1:32" ht="15" customHeight="1">
      <c r="B108" s="4309"/>
      <c r="C108" s="1657">
        <v>39</v>
      </c>
      <c r="D108" s="1693"/>
      <c r="E108" s="1692"/>
      <c r="F108" s="1692"/>
      <c r="G108" s="1692"/>
      <c r="H108" s="1692"/>
      <c r="I108" s="1692"/>
      <c r="J108" s="1692"/>
      <c r="K108" s="1692"/>
      <c r="L108" s="1692"/>
      <c r="M108" s="1692"/>
      <c r="N108" s="1692"/>
      <c r="O108" s="1692"/>
      <c r="P108" s="1692"/>
      <c r="Q108" s="1692"/>
      <c r="R108" s="1692"/>
      <c r="S108" s="1692"/>
      <c r="T108" s="1692"/>
      <c r="U108" s="1692"/>
      <c r="V108" s="1692"/>
      <c r="W108" s="1692"/>
      <c r="X108" s="1692"/>
      <c r="Y108" s="1692"/>
      <c r="Z108" s="1692"/>
      <c r="AA108" s="1692"/>
      <c r="AB108" s="1692"/>
      <c r="AC108" s="1692"/>
      <c r="AD108" s="1692"/>
      <c r="AE108" s="1692"/>
      <c r="AF108" s="1691"/>
    </row>
    <row r="109" spans="1:32" ht="15" customHeight="1">
      <c r="B109" s="4309"/>
      <c r="C109" s="1657">
        <v>40</v>
      </c>
      <c r="D109" s="4573" t="s">
        <v>1924</v>
      </c>
      <c r="E109" s="4573"/>
      <c r="F109" s="4573"/>
      <c r="G109" s="4573"/>
      <c r="H109" s="4573"/>
      <c r="I109" s="4573"/>
      <c r="J109" s="4573"/>
      <c r="K109" s="4573"/>
      <c r="L109" s="4573"/>
      <c r="M109" s="4573" t="s">
        <v>1923</v>
      </c>
      <c r="N109" s="4573"/>
      <c r="O109" s="4573"/>
      <c r="P109" s="4573"/>
      <c r="Q109" s="4573"/>
      <c r="R109" s="4573"/>
      <c r="S109" s="4573"/>
      <c r="T109" s="4573"/>
      <c r="U109" s="4573"/>
      <c r="V109" s="4573"/>
      <c r="W109" s="4573"/>
      <c r="X109" s="4573"/>
      <c r="Y109" s="4551" t="s">
        <v>1922</v>
      </c>
      <c r="Z109" s="4554"/>
      <c r="AA109" s="4554"/>
      <c r="AB109" s="4554"/>
      <c r="AC109" s="4554"/>
      <c r="AD109" s="4554"/>
      <c r="AE109" s="4554"/>
      <c r="AF109" s="4555"/>
    </row>
    <row r="110" spans="1:32" ht="15" customHeight="1">
      <c r="B110" s="4309"/>
      <c r="C110" s="1657">
        <v>41</v>
      </c>
      <c r="D110" s="1678" t="s">
        <v>1655</v>
      </c>
      <c r="E110" s="1690" t="s">
        <v>1921</v>
      </c>
      <c r="F110" s="1690"/>
      <c r="G110" s="1690"/>
      <c r="H110" s="1690"/>
      <c r="I110" s="1689"/>
      <c r="J110" s="1689"/>
      <c r="K110" s="1689"/>
      <c r="L110" s="1670"/>
      <c r="M110" s="1686"/>
      <c r="N110" s="1670" t="s">
        <v>1655</v>
      </c>
      <c r="O110" s="1685"/>
      <c r="P110" s="1684" t="s">
        <v>1905</v>
      </c>
      <c r="Q110" s="1688"/>
      <c r="R110" s="1688"/>
      <c r="S110" s="4567" t="str">
        <f>IF(M104="","",INT(F114*10+1)/10)</f>
        <v/>
      </c>
      <c r="T110" s="4567"/>
      <c r="U110" s="4567"/>
      <c r="V110" s="4567"/>
      <c r="W110" s="1678"/>
      <c r="X110" s="1687"/>
      <c r="Y110" s="1686" t="s">
        <v>1655</v>
      </c>
      <c r="Z110" s="1685"/>
      <c r="AA110" s="1684" t="s">
        <v>1920</v>
      </c>
      <c r="AB110" s="1650"/>
      <c r="AC110" s="4567" t="str">
        <f>IF(Y93="","",M104*Y93)</f>
        <v/>
      </c>
      <c r="AD110" s="4567"/>
      <c r="AE110" s="1678"/>
      <c r="AF110" s="1683"/>
    </row>
    <row r="111" spans="1:32" ht="15" customHeight="1">
      <c r="B111" s="4309"/>
      <c r="C111" s="1657">
        <v>42</v>
      </c>
      <c r="D111" s="1650"/>
      <c r="E111" s="1678"/>
      <c r="F111" s="1682"/>
      <c r="G111" s="1682"/>
      <c r="H111" s="1682"/>
      <c r="I111" s="1681" t="s">
        <v>1919</v>
      </c>
      <c r="J111" s="1678"/>
      <c r="K111" s="1678"/>
      <c r="L111" s="1678"/>
      <c r="M111" s="1654"/>
      <c r="N111" s="1650"/>
      <c r="O111" s="1678"/>
      <c r="P111" s="1680" t="s">
        <v>1850</v>
      </c>
      <c r="Q111" s="1679"/>
      <c r="R111" s="1679"/>
      <c r="S111" s="4568" t="str">
        <f>IF(AA102="","",AA102)</f>
        <v/>
      </c>
      <c r="T111" s="4568"/>
      <c r="U111" s="4568"/>
      <c r="V111" s="4568"/>
      <c r="W111" s="1650"/>
      <c r="X111" s="1652"/>
      <c r="Y111" s="1654"/>
      <c r="Z111" s="1678"/>
      <c r="AA111" s="1677" t="s">
        <v>1918</v>
      </c>
      <c r="AB111" s="1650"/>
      <c r="AC111" s="4568" t="str">
        <f>IF(Y93="","",AE96&amp;"×"&amp;AA102)</f>
        <v/>
      </c>
      <c r="AD111" s="4568"/>
      <c r="AE111" s="1650"/>
      <c r="AF111" s="1649"/>
    </row>
    <row r="112" spans="1:32" ht="15" customHeight="1">
      <c r="B112" s="4309"/>
      <c r="C112" s="1657">
        <v>43</v>
      </c>
      <c r="D112" s="1650"/>
      <c r="E112" s="1676" t="str">
        <f>IF(M104="","",M104*Y93&amp;"×")</f>
        <v/>
      </c>
      <c r="F112" s="4458" t="str">
        <f>IF(AA93="","",AA93&amp;"－(")</f>
        <v/>
      </c>
      <c r="G112" s="4458"/>
      <c r="H112" s="1675"/>
      <c r="I112" s="4458" t="str">
        <f>IF(Y93="","",Y93&amp;"－")</f>
        <v/>
      </c>
      <c r="J112" s="4458"/>
      <c r="K112" s="1674" t="str">
        <f>IF(O104="","",O104*Y93&amp;")")</f>
        <v/>
      </c>
      <c r="L112" s="1673" t="str">
        <f>IF(AE93="","","×"&amp;AE93)</f>
        <v/>
      </c>
      <c r="M112" s="1672"/>
      <c r="N112" s="1650"/>
      <c r="O112" s="1650"/>
      <c r="P112" s="4459" t="str">
        <f>IF(S110="","",INT(E114*10)/10/AA102)</f>
        <v/>
      </c>
      <c r="Q112" s="4459"/>
      <c r="R112" s="4459"/>
      <c r="S112" s="4459"/>
      <c r="T112" s="4460" t="str">
        <f>IF(P112="","",INT(P112*9.80665)/1000&amp;"［KN］")</f>
        <v/>
      </c>
      <c r="U112" s="4460"/>
      <c r="V112" s="4460"/>
      <c r="W112" s="4460"/>
      <c r="X112" s="1652"/>
      <c r="Y112" s="1650"/>
      <c r="Z112" s="1650"/>
      <c r="AA112" s="4461" t="str">
        <f>IF(AC110="","",INT(10*Y93/AE96/AA102)/10)</f>
        <v/>
      </c>
      <c r="AB112" s="4461"/>
      <c r="AC112" s="4462" t="str">
        <f>IF(AA112="","",INT(AA112*9.80665)/1000&amp;"［KN］")</f>
        <v/>
      </c>
      <c r="AD112" s="4462"/>
      <c r="AE112" s="4462"/>
      <c r="AF112" s="1649"/>
    </row>
    <row r="113" spans="1:34" ht="15" customHeight="1">
      <c r="B113" s="4309"/>
      <c r="C113" s="1657">
        <v>44</v>
      </c>
      <c r="D113" s="1650"/>
      <c r="E113" s="1670"/>
      <c r="F113" s="1670"/>
      <c r="G113" s="1670"/>
      <c r="H113" s="1670"/>
      <c r="I113" s="1671" t="str">
        <f>IF(V96="","",V96&amp;"×"&amp;Y96)</f>
        <v/>
      </c>
      <c r="J113" s="1670"/>
      <c r="K113" s="1670"/>
      <c r="L113" s="1670"/>
      <c r="M113" s="1654"/>
      <c r="N113" s="1650"/>
      <c r="O113" s="1650"/>
      <c r="P113" s="1650"/>
      <c r="Q113" s="1650"/>
      <c r="R113" s="1650"/>
      <c r="S113" s="1650"/>
      <c r="T113" s="1650"/>
      <c r="U113" s="1650"/>
      <c r="V113" s="1650"/>
      <c r="W113" s="1650"/>
      <c r="X113" s="1652"/>
      <c r="Y113" s="1650"/>
      <c r="Z113" s="1650"/>
      <c r="AA113" s="1650"/>
      <c r="AB113" s="1650"/>
      <c r="AC113" s="1650"/>
      <c r="AD113" s="1650"/>
      <c r="AE113" s="1650"/>
      <c r="AF113" s="1649"/>
    </row>
    <row r="114" spans="1:34" ht="15" customHeight="1">
      <c r="B114" s="4309"/>
      <c r="C114" s="1657">
        <v>45</v>
      </c>
      <c r="D114" s="1650"/>
      <c r="E114" s="4344" t="str">
        <f>IF(M104="","",(M104*Y93*AA93-(Y93-O104*Y93)*AE93)/(V96*Y96))</f>
        <v/>
      </c>
      <c r="F114" s="4345"/>
      <c r="G114" s="1669"/>
      <c r="H114" s="1669"/>
      <c r="I114" s="1669"/>
      <c r="J114" s="4346" t="str">
        <f>IF(F114="","",INT(F114*9.80665)/1000&amp;"［KN］")</f>
        <v/>
      </c>
      <c r="K114" s="4346"/>
      <c r="L114" s="4346"/>
      <c r="M114" s="1654"/>
      <c r="N114" s="1650"/>
      <c r="O114" s="1650"/>
      <c r="P114" s="1650"/>
      <c r="Q114" s="1650"/>
      <c r="R114" s="1650"/>
      <c r="S114" s="1650"/>
      <c r="T114" s="1650"/>
      <c r="U114" s="1650"/>
      <c r="V114" s="1650"/>
      <c r="W114" s="1650"/>
      <c r="X114" s="1652"/>
      <c r="Y114" s="1650"/>
      <c r="Z114" s="1650"/>
      <c r="AA114" s="1650"/>
      <c r="AB114" s="1650"/>
      <c r="AC114" s="1650"/>
      <c r="AD114" s="1650"/>
      <c r="AE114" s="1650"/>
      <c r="AF114" s="1649"/>
    </row>
    <row r="115" spans="1:34" ht="15" customHeight="1">
      <c r="B115" s="4309"/>
      <c r="C115" s="1657">
        <v>46</v>
      </c>
      <c r="D115" s="1662"/>
      <c r="E115" s="1650"/>
      <c r="F115" s="1650"/>
      <c r="G115" s="1650"/>
      <c r="H115" s="1650"/>
      <c r="I115" s="1650"/>
      <c r="J115" s="1650"/>
      <c r="K115" s="1650"/>
      <c r="L115" s="1650"/>
      <c r="M115" s="1654"/>
      <c r="N115" s="1662"/>
      <c r="O115" s="1650"/>
      <c r="P115" s="1650"/>
      <c r="Q115" s="1650"/>
      <c r="R115" s="1650"/>
      <c r="S115" s="1650"/>
      <c r="T115" s="1650"/>
      <c r="U115" s="1650"/>
      <c r="V115" s="1650"/>
      <c r="W115" s="1650"/>
      <c r="X115" s="1652"/>
      <c r="Y115" s="1662"/>
      <c r="Z115" s="1650"/>
      <c r="AA115" s="1650"/>
      <c r="AB115" s="1650"/>
      <c r="AC115" s="1650"/>
      <c r="AD115" s="1650"/>
      <c r="AE115" s="1650"/>
      <c r="AF115" s="1649"/>
    </row>
    <row r="116" spans="1:34" ht="15" customHeight="1">
      <c r="B116" s="4309"/>
      <c r="C116" s="1657">
        <v>47</v>
      </c>
      <c r="D116" s="1662" t="s">
        <v>1914</v>
      </c>
      <c r="E116" s="1650"/>
      <c r="F116" s="1668" t="s">
        <v>1917</v>
      </c>
      <c r="G116" s="1668" t="str">
        <f>IF(E114="","",IF(FF3799&gt;AA104,INT(E114*10)/10&amp;"＞Ta:"&amp;AA104,INT(E114*10)/10&amp;"≦Ta:"&amp;AA104))</f>
        <v/>
      </c>
      <c r="H116" s="1668"/>
      <c r="I116" s="1650"/>
      <c r="J116" s="1650"/>
      <c r="K116" s="1650"/>
      <c r="L116" s="1650"/>
      <c r="M116" s="4451" t="s">
        <v>1916</v>
      </c>
      <c r="N116" s="4452"/>
      <c r="O116" s="4453" t="s">
        <v>1915</v>
      </c>
      <c r="P116" s="4453"/>
      <c r="Q116" s="4453"/>
      <c r="R116" s="1665" t="str">
        <f>IF(P112="","",IF(P112&gt;AC106,INT(P112*10)/10&amp;"＞ft:"&amp;AC106,INT(P112*10)/10&amp;"≦ft:"&amp;AC106))</f>
        <v/>
      </c>
      <c r="S116" s="1667"/>
      <c r="T116" s="1650"/>
      <c r="U116" s="1650"/>
      <c r="V116" s="1650"/>
      <c r="W116" s="1650"/>
      <c r="X116" s="1652"/>
      <c r="Y116" s="1662" t="s">
        <v>1914</v>
      </c>
      <c r="Z116" s="1650"/>
      <c r="AA116" s="1666" t="s">
        <v>1913</v>
      </c>
      <c r="AB116" s="1665" t="str">
        <f>IF(AA112="","",IF(AA112&gt;AE106,INT(AA112*10)/10&amp;"＞fs:"&amp;AE106,INT(AA112*10)/10&amp;"≦fs:"&amp;AE106))</f>
        <v/>
      </c>
      <c r="AC116" s="1650"/>
      <c r="AD116" s="1650"/>
      <c r="AE116" s="1650"/>
      <c r="AF116" s="1649"/>
    </row>
    <row r="117" spans="1:34" ht="15" customHeight="1">
      <c r="B117" s="4309"/>
      <c r="C117" s="1657">
        <v>48</v>
      </c>
      <c r="D117" s="1650"/>
      <c r="E117" s="1650"/>
      <c r="F117" s="1650"/>
      <c r="G117" s="1650"/>
      <c r="H117" s="1650"/>
      <c r="I117" s="1664" t="s">
        <v>1912</v>
      </c>
      <c r="J117" s="1663" t="str">
        <f>IF(E114="","",IF(E114&gt;AA104,"不合格","合格"))</f>
        <v/>
      </c>
      <c r="K117" s="1650"/>
      <c r="L117" s="1650"/>
      <c r="M117" s="1654"/>
      <c r="N117" s="1650"/>
      <c r="O117" s="1650"/>
      <c r="P117" s="1650"/>
      <c r="Q117" s="1650"/>
      <c r="R117" s="1650"/>
      <c r="S117" s="1664" t="s">
        <v>1912</v>
      </c>
      <c r="T117" s="1663" t="str">
        <f>IF(P112="","",IF(P112&gt;AC106,"不合格","合格"))</f>
        <v/>
      </c>
      <c r="U117" s="1650"/>
      <c r="V117" s="1650"/>
      <c r="W117" s="1650"/>
      <c r="X117" s="1652"/>
      <c r="Y117" s="1650"/>
      <c r="Z117" s="1650"/>
      <c r="AA117" s="1650"/>
      <c r="AB117" s="1664" t="s">
        <v>1912</v>
      </c>
      <c r="AC117" s="1663" t="str">
        <f>IF(AA112="","",IF(AA112&gt;AE106,"不合格","合格"))</f>
        <v/>
      </c>
      <c r="AD117" s="1650"/>
      <c r="AE117" s="1650"/>
      <c r="AF117" s="1649"/>
    </row>
    <row r="118" spans="1:34" ht="15" customHeight="1">
      <c r="B118" s="4309"/>
      <c r="C118" s="1657">
        <v>49</v>
      </c>
      <c r="D118" s="1650"/>
      <c r="E118" s="1650"/>
      <c r="F118" s="1650"/>
      <c r="G118" s="1650"/>
      <c r="H118" s="1650"/>
      <c r="I118" s="1650"/>
      <c r="J118" s="1650"/>
      <c r="K118" s="1650"/>
      <c r="L118" s="1650"/>
      <c r="M118" s="1654"/>
      <c r="N118" s="1650"/>
      <c r="O118" s="1650"/>
      <c r="P118" s="1650"/>
      <c r="Q118" s="1650"/>
      <c r="R118" s="1650"/>
      <c r="S118" s="1650"/>
      <c r="T118" s="1650"/>
      <c r="U118" s="1650"/>
      <c r="V118" s="1650"/>
      <c r="W118" s="1650"/>
      <c r="X118" s="1652"/>
      <c r="Y118" s="1650"/>
      <c r="Z118" s="1650"/>
      <c r="AA118" s="1650"/>
      <c r="AB118" s="1650"/>
      <c r="AC118" s="1650"/>
      <c r="AD118" s="1650"/>
      <c r="AE118" s="1650"/>
      <c r="AF118" s="1649"/>
    </row>
    <row r="119" spans="1:34" ht="15" customHeight="1">
      <c r="B119" s="4309"/>
      <c r="C119" s="1657">
        <v>50</v>
      </c>
      <c r="D119" s="1650"/>
      <c r="E119" s="1650"/>
      <c r="F119" s="1650"/>
      <c r="G119" s="1650"/>
      <c r="H119" s="1650"/>
      <c r="I119" s="1650"/>
      <c r="J119" s="1650"/>
      <c r="K119" s="1650"/>
      <c r="L119" s="1650"/>
      <c r="M119" s="1654"/>
      <c r="N119" s="1650"/>
      <c r="O119" s="1650"/>
      <c r="P119" s="1650"/>
      <c r="Q119" s="1650"/>
      <c r="R119" s="1650"/>
      <c r="S119" s="1650"/>
      <c r="T119" s="1650"/>
      <c r="U119" s="1650"/>
      <c r="V119" s="1650"/>
      <c r="W119" s="1650"/>
      <c r="X119" s="1652"/>
      <c r="Y119" s="1650"/>
      <c r="Z119" s="1650"/>
      <c r="AA119" s="1650"/>
      <c r="AB119" s="1650"/>
      <c r="AC119" s="1650"/>
      <c r="AD119" s="1650"/>
      <c r="AE119" s="1650"/>
      <c r="AF119" s="1649"/>
    </row>
    <row r="120" spans="1:34" ht="15" customHeight="1">
      <c r="B120" s="4309"/>
      <c r="C120" s="1657">
        <v>51</v>
      </c>
      <c r="D120" s="1662" t="s">
        <v>1911</v>
      </c>
      <c r="E120" s="1650"/>
      <c r="F120" s="1650"/>
      <c r="G120" s="1650"/>
      <c r="H120" s="1650"/>
      <c r="I120" s="1650"/>
      <c r="J120" s="1650"/>
      <c r="K120" s="1650"/>
      <c r="L120" s="1650"/>
      <c r="M120" s="1654"/>
      <c r="N120" s="1662" t="s">
        <v>1910</v>
      </c>
      <c r="O120" s="1650"/>
      <c r="P120" s="1650"/>
      <c r="Q120" s="1650"/>
      <c r="R120" s="1650"/>
      <c r="S120" s="1650"/>
      <c r="T120" s="1650"/>
      <c r="U120" s="1650"/>
      <c r="V120" s="1650"/>
      <c r="W120" s="1650"/>
      <c r="X120" s="1652"/>
      <c r="Y120" s="1662" t="s">
        <v>1909</v>
      </c>
      <c r="Z120" s="1650"/>
      <c r="AA120" s="1650"/>
      <c r="AB120" s="1650"/>
      <c r="AC120" s="1650"/>
      <c r="AD120" s="1650"/>
      <c r="AE120" s="1650"/>
      <c r="AF120" s="1649"/>
    </row>
    <row r="121" spans="1:34" ht="15" customHeight="1">
      <c r="B121" s="4309"/>
      <c r="C121" s="1657">
        <v>52</v>
      </c>
      <c r="D121" s="1650"/>
      <c r="E121" s="1650"/>
      <c r="F121" s="1658" t="s">
        <v>1908</v>
      </c>
      <c r="G121" s="1661"/>
      <c r="H121" s="1661"/>
      <c r="I121" s="4454" t="str">
        <f>IF(AA104="","",AA104)</f>
        <v/>
      </c>
      <c r="J121" s="4454"/>
      <c r="K121" s="1660"/>
      <c r="L121" s="1650"/>
      <c r="M121" s="1654"/>
      <c r="N121" s="1650"/>
      <c r="O121" s="1650"/>
      <c r="P121" s="1658" t="s">
        <v>1907</v>
      </c>
      <c r="Q121" s="1659"/>
      <c r="R121" s="1659"/>
      <c r="S121" s="4454" t="str">
        <f>IF(M104="","",AC106)</f>
        <v/>
      </c>
      <c r="T121" s="4454"/>
      <c r="U121" s="4454"/>
      <c r="V121" s="4454"/>
      <c r="W121" s="1650"/>
      <c r="X121" s="1652"/>
      <c r="Y121" s="1650"/>
      <c r="Z121" s="1650"/>
      <c r="AA121" s="1658" t="s">
        <v>1906</v>
      </c>
      <c r="AB121" s="1650"/>
      <c r="AC121" s="4454" t="str">
        <f>IF(Y93="","",AE106)</f>
        <v/>
      </c>
      <c r="AD121" s="4454"/>
      <c r="AE121" s="1650"/>
      <c r="AF121" s="1649"/>
    </row>
    <row r="122" spans="1:34" ht="15" customHeight="1">
      <c r="B122" s="4309"/>
      <c r="C122" s="1657">
        <v>53</v>
      </c>
      <c r="D122" s="1650"/>
      <c r="E122" s="1650"/>
      <c r="F122" s="1656" t="s">
        <v>1905</v>
      </c>
      <c r="G122" s="1656"/>
      <c r="H122" s="1656"/>
      <c r="I122" s="4568" t="str">
        <f>IF(E114="","",INT(E114*10)/10)</f>
        <v/>
      </c>
      <c r="J122" s="4568"/>
      <c r="K122" s="1655"/>
      <c r="L122" s="1650"/>
      <c r="M122" s="1654"/>
      <c r="N122" s="1650"/>
      <c r="O122" s="1650"/>
      <c r="P122" s="1651" t="s">
        <v>1865</v>
      </c>
      <c r="Q122" s="1653"/>
      <c r="R122" s="1653"/>
      <c r="S122" s="4568" t="str">
        <f>IF(M104="","",INT((E114*10)/AA102)/10)</f>
        <v/>
      </c>
      <c r="T122" s="4568"/>
      <c r="U122" s="4568"/>
      <c r="V122" s="4568"/>
      <c r="W122" s="1650"/>
      <c r="X122" s="1652"/>
      <c r="Y122" s="1650"/>
      <c r="Z122" s="1650"/>
      <c r="AA122" s="1651" t="s">
        <v>1904</v>
      </c>
      <c r="AB122" s="1650"/>
      <c r="AC122" s="4568" t="str">
        <f>IF(Y93="","",INT(AA112*10)/10)</f>
        <v/>
      </c>
      <c r="AD122" s="4568"/>
      <c r="AE122" s="1650"/>
      <c r="AF122" s="1649"/>
    </row>
    <row r="123" spans="1:34" ht="15" customHeight="1">
      <c r="B123" s="4309"/>
      <c r="C123" s="1648">
        <v>54</v>
      </c>
      <c r="D123" s="1645"/>
      <c r="E123" s="1645"/>
      <c r="F123" s="1645"/>
      <c r="G123" s="1645"/>
      <c r="H123" s="1645"/>
      <c r="I123" s="4569" t="str">
        <f>IF(I121="","",INT(10*I121/I122)/10&amp;"(倍)")</f>
        <v/>
      </c>
      <c r="J123" s="4569"/>
      <c r="K123" s="4569"/>
      <c r="L123" s="1645"/>
      <c r="M123" s="1647"/>
      <c r="N123" s="1645"/>
      <c r="O123" s="1645"/>
      <c r="P123" s="1645"/>
      <c r="Q123" s="1645"/>
      <c r="R123" s="1645"/>
      <c r="S123" s="4570" t="str">
        <f>IF(S121="","",INT(10*S121/S122)/10&amp;"(倍)")</f>
        <v/>
      </c>
      <c r="T123" s="4570"/>
      <c r="U123" s="4570"/>
      <c r="V123" s="4570"/>
      <c r="W123" s="1645"/>
      <c r="X123" s="1646"/>
      <c r="Y123" s="1645"/>
      <c r="Z123" s="1645"/>
      <c r="AA123" s="1645"/>
      <c r="AB123" s="1645"/>
      <c r="AC123" s="4570" t="str">
        <f>IF(AE106="","",INT(10*AE106/AA112)/10&amp;"(倍)")</f>
        <v/>
      </c>
      <c r="AD123" s="4570"/>
      <c r="AE123" s="1645"/>
      <c r="AF123" s="1644"/>
    </row>
    <row r="124" spans="1:34" ht="18" customHeight="1">
      <c r="B124" s="4309"/>
      <c r="C124" s="1643"/>
      <c r="D124" s="1641"/>
      <c r="E124" s="1641"/>
      <c r="F124" s="1641"/>
      <c r="G124" s="1641"/>
      <c r="H124" s="1641"/>
      <c r="I124" s="1641"/>
      <c r="J124" s="1641"/>
      <c r="K124" s="1641"/>
      <c r="L124" s="1641"/>
      <c r="M124" s="1641"/>
      <c r="N124" s="1641"/>
      <c r="O124" s="1641"/>
      <c r="P124" s="1641"/>
      <c r="Q124" s="1641"/>
      <c r="R124" s="1641"/>
      <c r="S124" s="1641"/>
      <c r="T124" s="1641"/>
      <c r="U124" s="1641"/>
      <c r="V124" s="1641"/>
      <c r="W124" s="1641"/>
      <c r="X124" s="1641"/>
      <c r="Y124" s="1641"/>
      <c r="Z124" s="1641"/>
      <c r="AA124" s="1642"/>
      <c r="AB124" s="1641"/>
      <c r="AC124" s="1642"/>
      <c r="AD124" s="1406" t="s">
        <v>1654</v>
      </c>
      <c r="AE124" s="1641"/>
      <c r="AF124" s="1640"/>
    </row>
    <row r="125" spans="1:34" ht="4.5" customHeight="1">
      <c r="B125" s="4309"/>
    </row>
    <row r="126" spans="1:34" s="1565" customFormat="1" ht="15" customHeight="1">
      <c r="A126" s="5236"/>
      <c r="B126" s="4574" t="s">
        <v>1837</v>
      </c>
      <c r="C126" s="1639" t="s">
        <v>1836</v>
      </c>
      <c r="D126" s="1639"/>
      <c r="E126" s="1639"/>
      <c r="F126" s="4380" t="s">
        <v>1903</v>
      </c>
      <c r="G126" s="4380"/>
      <c r="H126" s="4380"/>
      <c r="I126" s="4380"/>
      <c r="J126" s="4380"/>
      <c r="K126" s="4535" t="str">
        <f>$K$2</f>
        <v>企業名-1を入力してください。</v>
      </c>
      <c r="L126" s="4535"/>
      <c r="M126" s="4535"/>
      <c r="N126" s="4535"/>
      <c r="O126" s="4535"/>
      <c r="P126" s="4535"/>
      <c r="Q126" s="4535"/>
      <c r="R126" s="4535"/>
      <c r="S126" s="4535"/>
      <c r="T126" s="4535"/>
      <c r="U126" s="4535"/>
      <c r="V126" s="4535"/>
      <c r="W126" s="4535"/>
      <c r="X126" s="4535"/>
      <c r="Y126" s="4535"/>
      <c r="Z126" s="1418"/>
      <c r="AA126" s="1418"/>
      <c r="AB126" s="1418"/>
      <c r="AC126" s="1548" t="str">
        <f>$AC$2</f>
        <v>Date :</v>
      </c>
      <c r="AD126" s="4347">
        <f ca="1">$AD$2</f>
        <v>44092.955785416663</v>
      </c>
      <c r="AE126" s="4347"/>
      <c r="AF126" s="4347"/>
      <c r="AH126" s="116"/>
    </row>
    <row r="127" spans="1:34" s="1565" customFormat="1" ht="11.25" customHeight="1">
      <c r="A127" s="5236"/>
      <c r="B127" s="4574"/>
      <c r="C127" s="1554"/>
      <c r="D127" s="1553"/>
      <c r="E127" s="1553"/>
      <c r="F127" s="4380"/>
      <c r="G127" s="4380"/>
      <c r="H127" s="4380"/>
      <c r="I127" s="4380"/>
      <c r="J127" s="4380"/>
      <c r="K127" s="4536" t="str">
        <f>$K$3</f>
        <v>企業名-2を入力してください。</v>
      </c>
      <c r="L127" s="4536"/>
      <c r="M127" s="4536"/>
      <c r="N127" s="4536"/>
      <c r="O127" s="4536"/>
      <c r="P127" s="4536"/>
      <c r="Q127" s="4536"/>
      <c r="R127" s="4536"/>
      <c r="S127" s="4536"/>
      <c r="T127" s="4536"/>
      <c r="U127" s="4536"/>
      <c r="V127" s="4536"/>
      <c r="W127" s="4536"/>
      <c r="X127" s="4536"/>
      <c r="Y127" s="4536"/>
      <c r="Z127" s="1418"/>
      <c r="AA127" s="1550"/>
      <c r="AB127" s="1549"/>
      <c r="AC127" s="1548" t="str">
        <f>$AC$3</f>
        <v xml:space="preserve">    TELEPHONE:</v>
      </c>
      <c r="AD127" s="4571" t="str">
        <f>$AD$3</f>
        <v>0nn-nnnn-nnnn</v>
      </c>
      <c r="AE127" s="4571"/>
      <c r="AF127" s="4571"/>
      <c r="AH127" s="116"/>
    </row>
    <row r="128" spans="1:34" s="1565" customFormat="1" ht="15" customHeight="1" thickBot="1">
      <c r="A128" s="5236"/>
      <c r="B128" s="4574"/>
      <c r="C128" s="4572" t="s">
        <v>1835</v>
      </c>
      <c r="D128" s="4572"/>
      <c r="E128" s="4572"/>
      <c r="F128" s="4572"/>
      <c r="G128" s="4572"/>
      <c r="H128" s="4572"/>
      <c r="I128" s="4572"/>
      <c r="J128" s="4572"/>
      <c r="K128" s="4537" t="str">
        <f>$K$4</f>
        <v>企業または現場住所を入力してください。</v>
      </c>
      <c r="L128" s="4537"/>
      <c r="M128" s="4537"/>
      <c r="N128" s="4537"/>
      <c r="O128" s="4537"/>
      <c r="P128" s="4537"/>
      <c r="Q128" s="4537"/>
      <c r="R128" s="4537"/>
      <c r="S128" s="4537"/>
      <c r="T128" s="4537"/>
      <c r="U128" s="4537"/>
      <c r="V128" s="4537"/>
      <c r="W128" s="4537"/>
      <c r="X128" s="4537"/>
      <c r="Y128" s="4537"/>
      <c r="Z128" s="1547"/>
      <c r="AA128" s="1546"/>
      <c r="AB128" s="1546"/>
      <c r="AC128" s="1545" t="str">
        <f>$AC$4</f>
        <v>　　FACSIMILE:</v>
      </c>
      <c r="AD128" s="1544" t="str">
        <f>$AD$4</f>
        <v>0nn-nnnn-nnnn</v>
      </c>
      <c r="AE128" s="1543"/>
      <c r="AF128" s="118"/>
      <c r="AH128" s="116"/>
    </row>
    <row r="129" spans="1:34" s="1565" customFormat="1" ht="18" customHeight="1" thickBot="1">
      <c r="A129" s="5236"/>
      <c r="B129" s="4574"/>
      <c r="C129" s="1635">
        <v>1</v>
      </c>
      <c r="D129" s="4635" t="s">
        <v>1747</v>
      </c>
      <c r="E129" s="4636"/>
      <c r="F129" s="4636"/>
      <c r="G129" s="4636"/>
      <c r="H129" s="4637"/>
      <c r="I129" s="4575" t="s">
        <v>1746</v>
      </c>
      <c r="J129" s="4576"/>
      <c r="K129" s="4577"/>
      <c r="L129" s="4578"/>
      <c r="M129" s="4578"/>
      <c r="N129" s="4578"/>
      <c r="O129" s="4578"/>
      <c r="P129" s="4578"/>
      <c r="Q129" s="4578"/>
      <c r="R129" s="4578"/>
      <c r="S129" s="4578"/>
      <c r="T129" s="4578"/>
      <c r="U129" s="4578"/>
      <c r="V129" s="4579"/>
      <c r="W129" s="4580" t="s">
        <v>1902</v>
      </c>
      <c r="X129" s="4581"/>
      <c r="Y129" s="4581"/>
      <c r="Z129" s="4581"/>
      <c r="AA129" s="4581"/>
      <c r="AB129" s="4581"/>
      <c r="AC129" s="4582"/>
      <c r="AD129" s="4590" t="s">
        <v>1901</v>
      </c>
      <c r="AE129" s="4591"/>
      <c r="AF129" s="4592"/>
      <c r="AH129" s="1206" t="s">
        <v>1383</v>
      </c>
    </row>
    <row r="130" spans="1:34" s="1565" customFormat="1" ht="15" customHeight="1" thickBot="1">
      <c r="A130" s="5236"/>
      <c r="B130" s="4574"/>
      <c r="C130" s="1634">
        <v>2</v>
      </c>
      <c r="D130" s="4638"/>
      <c r="E130" s="4639"/>
      <c r="F130" s="4639"/>
      <c r="G130" s="4639"/>
      <c r="H130" s="4640"/>
      <c r="I130" s="4596" t="s">
        <v>1744</v>
      </c>
      <c r="J130" s="4597"/>
      <c r="K130" s="4598"/>
      <c r="L130" s="4599"/>
      <c r="M130" s="4600"/>
      <c r="N130" s="4596" t="s">
        <v>1900</v>
      </c>
      <c r="O130" s="4601"/>
      <c r="P130" s="4601"/>
      <c r="Q130" s="4601"/>
      <c r="R130" s="4597"/>
      <c r="S130" s="4602" t="s">
        <v>1899</v>
      </c>
      <c r="T130" s="4603"/>
      <c r="U130" s="4603"/>
      <c r="V130" s="4604"/>
      <c r="W130" s="4583"/>
      <c r="X130" s="4584"/>
      <c r="Y130" s="4584"/>
      <c r="Z130" s="4584"/>
      <c r="AA130" s="4584"/>
      <c r="AB130" s="4584"/>
      <c r="AC130" s="4585"/>
      <c r="AD130" s="4593"/>
      <c r="AE130" s="4594"/>
      <c r="AF130" s="4595"/>
      <c r="AH130" s="116"/>
    </row>
    <row r="131" spans="1:34" s="1565" customFormat="1" ht="15" customHeight="1">
      <c r="A131" s="5236"/>
      <c r="B131" s="4574"/>
      <c r="C131" s="1571">
        <v>3</v>
      </c>
      <c r="D131" s="1633"/>
      <c r="E131" s="1632"/>
      <c r="F131" s="1632"/>
      <c r="G131" s="1632"/>
      <c r="H131" s="1632"/>
      <c r="I131" s="1632"/>
      <c r="J131" s="1632"/>
      <c r="K131" s="1632"/>
      <c r="L131" s="1632"/>
      <c r="M131" s="1632"/>
      <c r="N131" s="1631"/>
      <c r="O131" s="1629"/>
      <c r="P131" s="1629"/>
      <c r="Q131" s="1629"/>
      <c r="R131" s="1629"/>
      <c r="S131" s="1629"/>
      <c r="T131" s="1629"/>
      <c r="U131" s="1630"/>
      <c r="V131" s="1629"/>
      <c r="W131" s="1629"/>
      <c r="X131" s="1629"/>
      <c r="Y131" s="1629"/>
      <c r="Z131" s="1629"/>
      <c r="AA131" s="1629"/>
      <c r="AB131" s="1629"/>
      <c r="AC131" s="1629"/>
      <c r="AD131" s="1629"/>
      <c r="AE131" s="1629"/>
      <c r="AF131" s="1628"/>
    </row>
    <row r="132" spans="1:34" s="1565" customFormat="1" ht="15" customHeight="1">
      <c r="A132" s="5236"/>
      <c r="B132" s="4574"/>
      <c r="C132" s="1571">
        <v>4</v>
      </c>
      <c r="D132" s="1475" t="s">
        <v>1898</v>
      </c>
      <c r="E132" s="1605"/>
      <c r="F132" s="1605"/>
      <c r="G132" s="1605"/>
      <c r="H132" s="1605"/>
      <c r="I132" s="1605"/>
      <c r="J132" s="1605"/>
      <c r="K132" s="1605"/>
      <c r="L132" s="1605"/>
      <c r="M132" s="1605"/>
      <c r="N132" s="1604"/>
      <c r="O132" s="1605"/>
      <c r="P132" s="1605"/>
      <c r="Q132" s="1605"/>
      <c r="R132" s="1605"/>
      <c r="S132" s="1605"/>
      <c r="T132" s="1605"/>
      <c r="U132" s="1475"/>
      <c r="V132" s="1605"/>
      <c r="W132" s="1605"/>
      <c r="X132" s="1605"/>
      <c r="Y132" s="1605"/>
      <c r="Z132" s="1605"/>
      <c r="AA132" s="1605"/>
      <c r="AB132" s="1605"/>
      <c r="AC132" s="1605"/>
      <c r="AD132" s="1605"/>
      <c r="AE132" s="1605"/>
      <c r="AF132" s="1620"/>
    </row>
    <row r="133" spans="1:34" s="1565" customFormat="1" ht="15" customHeight="1">
      <c r="A133" s="5236"/>
      <c r="B133" s="4574"/>
      <c r="C133" s="1571">
        <v>5</v>
      </c>
      <c r="D133" s="1624" t="s">
        <v>1830</v>
      </c>
      <c r="E133" s="1605"/>
      <c r="F133" s="1605"/>
      <c r="G133" s="1605"/>
      <c r="H133" s="1605"/>
      <c r="I133" s="1605"/>
      <c r="J133" s="1605"/>
      <c r="K133" s="1605"/>
      <c r="L133" s="1605"/>
      <c r="M133" s="1605"/>
      <c r="N133" s="1604"/>
      <c r="O133" s="1605"/>
      <c r="P133" s="1605"/>
      <c r="Q133" s="1605"/>
      <c r="R133" s="1605"/>
      <c r="S133" s="1605"/>
      <c r="T133" s="1605"/>
      <c r="U133" s="1475"/>
      <c r="V133" s="1605"/>
      <c r="W133" s="1605"/>
      <c r="X133" s="1605"/>
      <c r="Y133" s="1605"/>
      <c r="Z133" s="1605"/>
      <c r="AA133" s="1605"/>
      <c r="AB133" s="1605"/>
      <c r="AC133" s="1605"/>
      <c r="AD133" s="1605"/>
      <c r="AE133" s="1605"/>
      <c r="AF133" s="1620"/>
    </row>
    <row r="134" spans="1:34" s="1565" customFormat="1" ht="15" customHeight="1">
      <c r="A134" s="5236"/>
      <c r="B134" s="4574"/>
      <c r="C134" s="1571">
        <v>6</v>
      </c>
      <c r="D134" s="1627" t="s">
        <v>1829</v>
      </c>
      <c r="E134" s="1605"/>
      <c r="F134" s="1605"/>
      <c r="G134" s="1605"/>
      <c r="H134" s="1605"/>
      <c r="I134" s="1605"/>
      <c r="J134" s="1605"/>
      <c r="K134" s="1605"/>
      <c r="L134" s="1605"/>
      <c r="M134" s="1605"/>
      <c r="N134" s="1604"/>
      <c r="O134" s="1605"/>
      <c r="P134" s="1605"/>
      <c r="Q134" s="1605"/>
      <c r="R134" s="1605"/>
      <c r="S134" s="1605"/>
      <c r="T134" s="1605"/>
      <c r="U134" s="1475"/>
      <c r="V134" s="1605"/>
      <c r="W134" s="1605"/>
      <c r="X134" s="1605"/>
      <c r="Y134" s="1605"/>
      <c r="Z134" s="1605"/>
      <c r="AA134" s="1605"/>
      <c r="AB134" s="1605"/>
      <c r="AC134" s="1605"/>
      <c r="AD134" s="1605"/>
      <c r="AE134" s="1605"/>
      <c r="AF134" s="1620"/>
    </row>
    <row r="135" spans="1:34" s="1565" customFormat="1" ht="15" customHeight="1">
      <c r="A135" s="5236"/>
      <c r="B135" s="4574"/>
      <c r="C135" s="1571">
        <v>7</v>
      </c>
      <c r="D135" s="1624" t="s">
        <v>1828</v>
      </c>
      <c r="E135" s="1605"/>
      <c r="F135" s="1605"/>
      <c r="G135" s="1605"/>
      <c r="H135" s="1605"/>
      <c r="I135" s="1605"/>
      <c r="J135" s="1605"/>
      <c r="K135" s="1605"/>
      <c r="L135" s="1605"/>
      <c r="M135" s="1605"/>
      <c r="N135" s="1604"/>
      <c r="O135" s="1605"/>
      <c r="P135" s="1605"/>
      <c r="Q135" s="1605"/>
      <c r="R135" s="1605"/>
      <c r="S135" s="1605"/>
      <c r="T135" s="1605"/>
      <c r="U135" s="1475"/>
      <c r="V135" s="1605"/>
      <c r="W135" s="1605"/>
      <c r="X135" s="1605"/>
      <c r="Y135" s="1605"/>
      <c r="Z135" s="1605"/>
      <c r="AA135" s="1605"/>
      <c r="AB135" s="1605"/>
      <c r="AC135" s="1605"/>
      <c r="AD135" s="1605"/>
      <c r="AE135" s="1605"/>
      <c r="AF135" s="1620"/>
    </row>
    <row r="136" spans="1:34" s="1565" customFormat="1" ht="15" customHeight="1">
      <c r="A136" s="5236"/>
      <c r="B136" s="4574"/>
      <c r="C136" s="1571">
        <v>8</v>
      </c>
      <c r="D136" s="1627" t="s">
        <v>1827</v>
      </c>
      <c r="E136" s="1605"/>
      <c r="F136" s="1605"/>
      <c r="G136" s="1605"/>
      <c r="H136" s="1605"/>
      <c r="I136" s="1605"/>
      <c r="J136" s="1605"/>
      <c r="K136" s="1605"/>
      <c r="L136" s="1605"/>
      <c r="M136" s="1605"/>
      <c r="N136" s="1604"/>
      <c r="O136" s="1605"/>
      <c r="P136" s="1605"/>
      <c r="Q136" s="1605"/>
      <c r="R136" s="1605"/>
      <c r="S136" s="1605"/>
      <c r="T136" s="1605"/>
      <c r="U136" s="1475"/>
      <c r="V136" s="1605"/>
      <c r="W136" s="1605"/>
      <c r="X136" s="1605"/>
      <c r="Y136" s="1605"/>
      <c r="Z136" s="1605"/>
      <c r="AA136" s="1605"/>
      <c r="AB136" s="1605"/>
      <c r="AC136" s="1605"/>
      <c r="AD136" s="1605"/>
      <c r="AE136" s="1605"/>
      <c r="AF136" s="1620"/>
    </row>
    <row r="137" spans="1:34" s="1565" customFormat="1" ht="15" customHeight="1">
      <c r="A137" s="5236"/>
      <c r="B137" s="4574"/>
      <c r="C137" s="1571">
        <v>9</v>
      </c>
      <c r="D137" s="1626"/>
      <c r="E137" s="1622"/>
      <c r="F137" s="1622"/>
      <c r="G137" s="1622"/>
      <c r="H137" s="1622"/>
      <c r="I137" s="1622"/>
      <c r="J137" s="1622"/>
      <c r="K137" s="1622"/>
      <c r="L137" s="1622"/>
      <c r="M137" s="1622"/>
      <c r="N137" s="1621"/>
      <c r="O137" s="1605"/>
      <c r="P137" s="1605"/>
      <c r="Q137" s="1605"/>
      <c r="R137" s="1605"/>
      <c r="S137" s="1605"/>
      <c r="T137" s="1605"/>
      <c r="U137" s="1475"/>
      <c r="V137" s="1605"/>
      <c r="W137" s="1605"/>
      <c r="X137" s="1605"/>
      <c r="Y137" s="1605"/>
      <c r="Z137" s="1605"/>
      <c r="AA137" s="1605"/>
      <c r="AB137" s="1605"/>
      <c r="AC137" s="1605"/>
      <c r="AD137" s="1605"/>
      <c r="AE137" s="1605"/>
      <c r="AF137" s="1620"/>
    </row>
    <row r="138" spans="1:34" s="1565" customFormat="1" ht="15" customHeight="1">
      <c r="A138" s="5236"/>
      <c r="B138" s="4574"/>
      <c r="C138" s="1571">
        <v>10</v>
      </c>
      <c r="D138" s="1626"/>
      <c r="E138" s="1622"/>
      <c r="F138" s="1622"/>
      <c r="G138" s="1625"/>
      <c r="H138" s="1625"/>
      <c r="I138" s="1625"/>
      <c r="J138" s="1625"/>
      <c r="K138" s="1622"/>
      <c r="L138" s="1622"/>
      <c r="M138" s="1622"/>
      <c r="N138" s="1621"/>
      <c r="O138" s="1605"/>
      <c r="P138" s="1605"/>
      <c r="Q138" s="1605"/>
      <c r="R138" s="1605"/>
      <c r="S138" s="1605"/>
      <c r="T138" s="1605"/>
      <c r="U138" s="1475"/>
      <c r="V138" s="1605"/>
      <c r="W138" s="1605"/>
      <c r="X138" s="1605"/>
      <c r="Y138" s="1605"/>
      <c r="Z138" s="1605"/>
      <c r="AA138" s="1605"/>
      <c r="AB138" s="1605"/>
      <c r="AC138" s="1605"/>
      <c r="AD138" s="1605"/>
      <c r="AE138" s="1605"/>
      <c r="AF138" s="1620"/>
    </row>
    <row r="139" spans="1:34" s="1565" customFormat="1" ht="15" customHeight="1">
      <c r="A139" s="5236"/>
      <c r="B139" s="4574"/>
      <c r="C139" s="1571">
        <v>11</v>
      </c>
      <c r="D139" s="1626"/>
      <c r="E139" s="1622"/>
      <c r="F139" s="1622"/>
      <c r="G139" s="1625"/>
      <c r="H139" s="1625"/>
      <c r="I139" s="1625"/>
      <c r="J139" s="1625"/>
      <c r="K139" s="1622"/>
      <c r="L139" s="1622"/>
      <c r="M139" s="1622"/>
      <c r="N139" s="1621"/>
      <c r="O139" s="1605"/>
      <c r="P139" s="1605"/>
      <c r="Q139" s="1605"/>
      <c r="R139" s="1605"/>
      <c r="S139" s="1605"/>
      <c r="T139" s="1605"/>
      <c r="U139" s="1475"/>
      <c r="V139" s="1605"/>
      <c r="W139" s="1605"/>
      <c r="X139" s="1605"/>
      <c r="Y139" s="1605"/>
      <c r="Z139" s="1605"/>
      <c r="AA139" s="1605"/>
      <c r="AB139" s="1605"/>
      <c r="AC139" s="1605"/>
      <c r="AD139" s="1605"/>
      <c r="AE139" s="1605"/>
      <c r="AF139" s="1620"/>
    </row>
    <row r="140" spans="1:34" s="1565" customFormat="1" ht="15" customHeight="1">
      <c r="A140" s="5236"/>
      <c r="B140" s="4574"/>
      <c r="C140" s="1571">
        <v>12</v>
      </c>
      <c r="D140" s="1626"/>
      <c r="E140" s="1622"/>
      <c r="F140" s="1622"/>
      <c r="G140" s="1625"/>
      <c r="H140" s="1625"/>
      <c r="I140" s="1625"/>
      <c r="J140" s="1625"/>
      <c r="K140" s="1622"/>
      <c r="L140" s="1622"/>
      <c r="M140" s="1622"/>
      <c r="N140" s="1621"/>
      <c r="O140" s="1605"/>
      <c r="P140" s="1605"/>
      <c r="Q140" s="1605"/>
      <c r="R140" s="1605"/>
      <c r="S140" s="1605"/>
      <c r="T140" s="1605"/>
      <c r="U140" s="1475"/>
      <c r="V140" s="1605"/>
      <c r="W140" s="1605"/>
      <c r="X140" s="1605"/>
      <c r="Y140" s="1605"/>
      <c r="Z140" s="1605"/>
      <c r="AA140" s="1605"/>
      <c r="AB140" s="1605"/>
      <c r="AC140" s="1605"/>
      <c r="AD140" s="1605"/>
      <c r="AE140" s="1605"/>
      <c r="AF140" s="1620"/>
    </row>
    <row r="141" spans="1:34" s="1565" customFormat="1" ht="15" customHeight="1">
      <c r="A141" s="5236"/>
      <c r="B141" s="4574"/>
      <c r="C141" s="1571">
        <v>13</v>
      </c>
      <c r="D141" s="1626"/>
      <c r="E141" s="1622"/>
      <c r="F141" s="1622"/>
      <c r="G141" s="1625"/>
      <c r="H141" s="1625"/>
      <c r="I141" s="1625"/>
      <c r="J141" s="1625"/>
      <c r="K141" s="1622"/>
      <c r="L141" s="1622"/>
      <c r="M141" s="1622"/>
      <c r="N141" s="1621"/>
      <c r="O141" s="1605"/>
      <c r="P141" s="1605"/>
      <c r="Q141" s="1605"/>
      <c r="R141" s="1605"/>
      <c r="S141" s="1605"/>
      <c r="T141" s="1605"/>
      <c r="U141" s="1475"/>
      <c r="V141" s="1605"/>
      <c r="W141" s="1605"/>
      <c r="X141" s="1605"/>
      <c r="Y141" s="1605"/>
      <c r="Z141" s="1605"/>
      <c r="AA141" s="1605"/>
      <c r="AB141" s="1605"/>
      <c r="AC141" s="1605"/>
      <c r="AD141" s="1605"/>
      <c r="AE141" s="1605"/>
      <c r="AF141" s="1620"/>
    </row>
    <row r="142" spans="1:34" s="1565" customFormat="1" ht="15" customHeight="1">
      <c r="A142" s="5236"/>
      <c r="B142" s="4574"/>
      <c r="C142" s="1571">
        <v>14</v>
      </c>
      <c r="D142" s="1475" t="s">
        <v>1826</v>
      </c>
      <c r="E142" s="1605"/>
      <c r="F142" s="1605"/>
      <c r="G142" s="1605"/>
      <c r="H142" s="1605"/>
      <c r="I142" s="1605"/>
      <c r="J142" s="1618"/>
      <c r="K142" s="1605"/>
      <c r="L142" s="1605"/>
      <c r="M142" s="1605"/>
      <c r="N142" s="1604"/>
      <c r="O142" s="1605"/>
      <c r="P142" s="1605"/>
      <c r="Q142" s="1605"/>
      <c r="R142" s="1605"/>
      <c r="S142" s="1605"/>
      <c r="T142" s="1605"/>
      <c r="U142" s="1475"/>
      <c r="V142" s="1605"/>
      <c r="W142" s="1605"/>
      <c r="X142" s="1605"/>
      <c r="Y142" s="1605"/>
      <c r="Z142" s="1605"/>
      <c r="AA142" s="1605"/>
      <c r="AB142" s="1605"/>
      <c r="AC142" s="1605"/>
      <c r="AD142" s="1605"/>
      <c r="AE142" s="1605"/>
      <c r="AF142" s="1620"/>
    </row>
    <row r="143" spans="1:34" s="1565" customFormat="1" ht="15" customHeight="1">
      <c r="A143" s="5236"/>
      <c r="B143" s="4574"/>
      <c r="C143" s="1571">
        <v>15</v>
      </c>
      <c r="D143" s="1624" t="s">
        <v>1825</v>
      </c>
      <c r="E143" s="1605"/>
      <c r="F143" s="1605"/>
      <c r="G143" s="1605"/>
      <c r="H143" s="1605"/>
      <c r="I143" s="1606" t="s">
        <v>1824</v>
      </c>
      <c r="J143" s="1623">
        <v>2</v>
      </c>
      <c r="K143" s="1475" t="s">
        <v>1821</v>
      </c>
      <c r="L143" s="1605"/>
      <c r="M143" s="1605"/>
      <c r="N143" s="1604"/>
      <c r="O143" s="1605"/>
      <c r="P143" s="1605"/>
      <c r="Q143" s="1605"/>
      <c r="R143" s="1605"/>
      <c r="S143" s="1605"/>
      <c r="T143" s="1605"/>
      <c r="U143" s="1475"/>
      <c r="V143" s="1605"/>
      <c r="W143" s="1605"/>
      <c r="X143" s="1605"/>
      <c r="Y143" s="1605"/>
      <c r="Z143" s="1605"/>
      <c r="AA143" s="1605"/>
      <c r="AB143" s="1605"/>
      <c r="AC143" s="1605"/>
      <c r="AD143" s="1605"/>
      <c r="AE143" s="1605"/>
      <c r="AF143" s="1620"/>
    </row>
    <row r="144" spans="1:34" s="1565" customFormat="1" ht="15" customHeight="1">
      <c r="A144" s="5236"/>
      <c r="B144" s="4574"/>
      <c r="C144" s="1571">
        <v>16</v>
      </c>
      <c r="D144" s="1624" t="s">
        <v>1823</v>
      </c>
      <c r="E144" s="1605"/>
      <c r="F144" s="1605"/>
      <c r="G144" s="1605"/>
      <c r="H144" s="1605"/>
      <c r="I144" s="1606" t="s">
        <v>1822</v>
      </c>
      <c r="J144" s="1623">
        <v>1</v>
      </c>
      <c r="K144" s="1475" t="s">
        <v>1821</v>
      </c>
      <c r="L144" s="1605"/>
      <c r="M144" s="1605"/>
      <c r="N144" s="1604"/>
      <c r="O144" s="1605"/>
      <c r="P144" s="1605"/>
      <c r="Q144" s="1605"/>
      <c r="R144" s="1605"/>
      <c r="S144" s="1605"/>
      <c r="T144" s="1605"/>
      <c r="U144" s="1475"/>
      <c r="V144" s="1605"/>
      <c r="W144" s="4605" t="str">
        <f>IF(Y155="","",INT(Y155*9.80665)/1000&amp;"[KN]")</f>
        <v>2.353[KN]</v>
      </c>
      <c r="X144" s="4605"/>
      <c r="Y144" s="4605"/>
      <c r="Z144" s="1605"/>
      <c r="AA144" s="1605"/>
      <c r="AB144" s="1605"/>
      <c r="AC144" s="1605"/>
      <c r="AD144" s="1605"/>
      <c r="AE144" s="1605"/>
      <c r="AF144" s="1620"/>
    </row>
    <row r="145" spans="1:32" s="1565" customFormat="1" ht="15" customHeight="1">
      <c r="A145" s="5236"/>
      <c r="B145" s="4574"/>
      <c r="C145" s="1571">
        <v>17</v>
      </c>
      <c r="D145" s="1446"/>
      <c r="E145" s="1622"/>
      <c r="F145" s="1622"/>
      <c r="G145" s="1622"/>
      <c r="H145" s="1622"/>
      <c r="I145" s="1622"/>
      <c r="J145" s="1622"/>
      <c r="K145" s="1622"/>
      <c r="L145" s="1622"/>
      <c r="M145" s="1622"/>
      <c r="N145" s="1621"/>
      <c r="O145" s="1605"/>
      <c r="P145" s="1605"/>
      <c r="Q145" s="1605"/>
      <c r="R145" s="1605"/>
      <c r="S145" s="1605"/>
      <c r="T145" s="1605"/>
      <c r="U145" s="1475"/>
      <c r="V145" s="1605"/>
      <c r="W145" s="1605"/>
      <c r="X145" s="1605"/>
      <c r="Y145" s="1605"/>
      <c r="Z145" s="1605"/>
      <c r="AA145" s="1605"/>
      <c r="AB145" s="1605"/>
      <c r="AC145" s="1605"/>
      <c r="AD145" s="1605"/>
      <c r="AE145" s="1605"/>
      <c r="AF145" s="1620"/>
    </row>
    <row r="146" spans="1:32" s="1565" customFormat="1" ht="15" customHeight="1">
      <c r="A146" s="5236"/>
      <c r="B146" s="4574"/>
      <c r="C146" s="1571">
        <v>18</v>
      </c>
      <c r="D146" s="1446"/>
      <c r="E146" s="1622"/>
      <c r="F146" s="1622"/>
      <c r="G146" s="1622"/>
      <c r="H146" s="1622"/>
      <c r="I146" s="1622"/>
      <c r="J146" s="1622"/>
      <c r="K146" s="1622"/>
      <c r="L146" s="1622"/>
      <c r="M146" s="1622"/>
      <c r="N146" s="1621"/>
      <c r="O146" s="1605"/>
      <c r="P146" s="1605"/>
      <c r="Q146" s="1605"/>
      <c r="R146" s="1605"/>
      <c r="S146" s="1605"/>
      <c r="T146" s="1605"/>
      <c r="U146" s="1475"/>
      <c r="V146" s="1605"/>
      <c r="W146" s="1605"/>
      <c r="X146" s="1605"/>
      <c r="Y146" s="1605"/>
      <c r="Z146" s="1605"/>
      <c r="AA146" s="1605"/>
      <c r="AB146" s="1605"/>
      <c r="AC146" s="1605"/>
      <c r="AD146" s="1605"/>
      <c r="AE146" s="1605"/>
      <c r="AF146" s="1620"/>
    </row>
    <row r="147" spans="1:32" s="1565" customFormat="1" ht="15" customHeight="1">
      <c r="A147" s="5236"/>
      <c r="B147" s="4574"/>
      <c r="C147" s="1571">
        <v>19</v>
      </c>
      <c r="D147" s="1446"/>
      <c r="E147" s="1622"/>
      <c r="F147" s="1622"/>
      <c r="G147" s="1622"/>
      <c r="H147" s="1622"/>
      <c r="I147" s="1622"/>
      <c r="J147" s="1622"/>
      <c r="K147" s="1622"/>
      <c r="L147" s="1622"/>
      <c r="M147" s="1622"/>
      <c r="N147" s="1621"/>
      <c r="O147" s="1605"/>
      <c r="P147" s="1605"/>
      <c r="Q147" s="1605"/>
      <c r="R147" s="1605"/>
      <c r="S147" s="1605"/>
      <c r="T147" s="1605"/>
      <c r="U147" s="1475"/>
      <c r="V147" s="1605"/>
      <c r="W147" s="1605"/>
      <c r="X147" s="1605"/>
      <c r="Y147" s="1605"/>
      <c r="Z147" s="1605"/>
      <c r="AA147" s="1605"/>
      <c r="AB147" s="1605"/>
      <c r="AC147" s="1605"/>
      <c r="AD147" s="1605"/>
      <c r="AE147" s="1605"/>
      <c r="AF147" s="1620"/>
    </row>
    <row r="148" spans="1:32" s="1565" customFormat="1" ht="15" customHeight="1">
      <c r="A148" s="5236"/>
      <c r="B148" s="4574"/>
      <c r="C148" s="1571">
        <v>20</v>
      </c>
      <c r="D148" s="1622"/>
      <c r="E148" s="1622"/>
      <c r="F148" s="1622"/>
      <c r="G148" s="1622"/>
      <c r="H148" s="1622"/>
      <c r="I148" s="1622"/>
      <c r="J148" s="1622"/>
      <c r="K148" s="1622"/>
      <c r="L148" s="1622"/>
      <c r="M148" s="1622"/>
      <c r="N148" s="1621"/>
      <c r="O148" s="1605"/>
      <c r="P148" s="1605"/>
      <c r="Q148" s="1605"/>
      <c r="R148" s="1605"/>
      <c r="S148" s="1605"/>
      <c r="T148" s="1605"/>
      <c r="U148" s="1475"/>
      <c r="V148" s="1605"/>
      <c r="W148" s="1605"/>
      <c r="X148" s="1605"/>
      <c r="Y148" s="1605"/>
      <c r="Z148" s="1605"/>
      <c r="AA148" s="1605"/>
      <c r="AB148" s="1605"/>
      <c r="AC148" s="1443"/>
      <c r="AD148" s="1605"/>
      <c r="AE148" s="1605"/>
      <c r="AF148" s="1620"/>
    </row>
    <row r="149" spans="1:32" s="1565" customFormat="1" ht="15" customHeight="1">
      <c r="A149" s="5236"/>
      <c r="B149" s="4574"/>
      <c r="C149" s="1571">
        <v>21</v>
      </c>
      <c r="D149" s="1605"/>
      <c r="E149" s="1616" t="s">
        <v>1820</v>
      </c>
      <c r="F149" s="1608" t="s">
        <v>1819</v>
      </c>
      <c r="G149" s="1605"/>
      <c r="H149" s="1605"/>
      <c r="I149" s="1605"/>
      <c r="J149" s="1605"/>
      <c r="K149" s="1605"/>
      <c r="L149" s="1605"/>
      <c r="M149" s="1605"/>
      <c r="N149" s="1604"/>
      <c r="O149" s="1605"/>
      <c r="P149" s="1605"/>
      <c r="Q149" s="1605"/>
      <c r="R149" s="1605"/>
      <c r="S149" s="1605"/>
      <c r="T149" s="1605"/>
      <c r="U149" s="1475"/>
      <c r="V149" s="1605"/>
      <c r="W149" s="1605"/>
      <c r="X149" s="1605"/>
      <c r="Y149" s="1605"/>
      <c r="Z149" s="1605"/>
      <c r="AA149" s="1605"/>
      <c r="AB149" s="1605"/>
      <c r="AC149" s="1605"/>
      <c r="AD149" s="1605"/>
      <c r="AE149" s="1605"/>
      <c r="AF149" s="1620"/>
    </row>
    <row r="150" spans="1:32" s="1565" customFormat="1" ht="15" customHeight="1">
      <c r="A150" s="5236"/>
      <c r="B150" s="4574"/>
      <c r="C150" s="1571">
        <v>22</v>
      </c>
      <c r="D150" s="1605"/>
      <c r="E150" s="1616" t="s">
        <v>1818</v>
      </c>
      <c r="F150" s="1608" t="s">
        <v>1817</v>
      </c>
      <c r="G150" s="1605"/>
      <c r="H150" s="1605"/>
      <c r="I150" s="1605"/>
      <c r="J150" s="1605"/>
      <c r="K150" s="1605"/>
      <c r="L150" s="1605"/>
      <c r="M150" s="1605"/>
      <c r="N150" s="1604"/>
      <c r="O150" s="1618"/>
      <c r="P150" s="1618"/>
      <c r="Q150" s="1618"/>
      <c r="R150" s="1618"/>
      <c r="S150" s="1618"/>
      <c r="T150" s="1618"/>
      <c r="U150" s="1619"/>
      <c r="V150" s="1618"/>
      <c r="W150" s="1618"/>
      <c r="X150" s="1618"/>
      <c r="Y150" s="1618"/>
      <c r="Z150" s="1618"/>
      <c r="AA150" s="1618"/>
      <c r="AB150" s="1618"/>
      <c r="AC150" s="1618"/>
      <c r="AD150" s="1618"/>
      <c r="AE150" s="1618"/>
      <c r="AF150" s="1617"/>
    </row>
    <row r="151" spans="1:32" s="1565" customFormat="1" ht="15" customHeight="1">
      <c r="A151" s="5236"/>
      <c r="B151" s="4574"/>
      <c r="C151" s="1571">
        <v>23</v>
      </c>
      <c r="D151" s="1605"/>
      <c r="E151" s="1616"/>
      <c r="F151" s="1608"/>
      <c r="G151" s="1605"/>
      <c r="H151" s="1605"/>
      <c r="I151" s="1605"/>
      <c r="J151" s="1605"/>
      <c r="K151" s="1605"/>
      <c r="L151" s="1605"/>
      <c r="M151" s="1605"/>
      <c r="N151" s="1604"/>
      <c r="O151" s="4606" t="s">
        <v>1727</v>
      </c>
      <c r="P151" s="4607"/>
      <c r="Q151" s="4607"/>
      <c r="R151" s="4607"/>
      <c r="S151" s="4607"/>
      <c r="T151" s="4607"/>
      <c r="U151" s="4607"/>
      <c r="V151" s="4607"/>
      <c r="W151" s="4607"/>
      <c r="X151" s="4608"/>
      <c r="Y151" s="4608" t="s">
        <v>1816</v>
      </c>
      <c r="Z151" s="4615"/>
      <c r="AA151" s="4618" t="s">
        <v>1815</v>
      </c>
      <c r="AB151" s="4618"/>
      <c r="AC151" s="4618" t="s">
        <v>1814</v>
      </c>
      <c r="AD151" s="4621"/>
      <c r="AE151" s="4621" t="s">
        <v>1813</v>
      </c>
      <c r="AF151" s="4624"/>
    </row>
    <row r="152" spans="1:32" s="1565" customFormat="1" ht="15" customHeight="1">
      <c r="A152" s="5236"/>
      <c r="B152" s="4574"/>
      <c r="C152" s="1571">
        <v>24</v>
      </c>
      <c r="D152" s="1605"/>
      <c r="E152" s="1471" t="s">
        <v>1812</v>
      </c>
      <c r="F152" s="1608" t="s">
        <v>1811</v>
      </c>
      <c r="G152" s="1605"/>
      <c r="H152" s="1605"/>
      <c r="I152" s="1605"/>
      <c r="J152" s="1605"/>
      <c r="K152" s="1605"/>
      <c r="L152" s="1605"/>
      <c r="M152" s="1605"/>
      <c r="N152" s="1604"/>
      <c r="O152" s="4609"/>
      <c r="P152" s="4610"/>
      <c r="Q152" s="4610"/>
      <c r="R152" s="4610"/>
      <c r="S152" s="4610"/>
      <c r="T152" s="4610"/>
      <c r="U152" s="4610"/>
      <c r="V152" s="4610"/>
      <c r="W152" s="4610"/>
      <c r="X152" s="4611"/>
      <c r="Y152" s="4611"/>
      <c r="Z152" s="4616"/>
      <c r="AA152" s="4619"/>
      <c r="AB152" s="4619"/>
      <c r="AC152" s="4619"/>
      <c r="AD152" s="4622"/>
      <c r="AE152" s="4622"/>
      <c r="AF152" s="4625"/>
    </row>
    <row r="153" spans="1:32" s="1565" customFormat="1" ht="15" customHeight="1">
      <c r="A153" s="5236"/>
      <c r="B153" s="4574"/>
      <c r="C153" s="1571">
        <v>25</v>
      </c>
      <c r="D153" s="1605"/>
      <c r="E153" s="1471" t="s">
        <v>1810</v>
      </c>
      <c r="F153" s="1608" t="s">
        <v>1809</v>
      </c>
      <c r="G153" s="1605"/>
      <c r="H153" s="1605"/>
      <c r="I153" s="1605"/>
      <c r="J153" s="1605"/>
      <c r="K153" s="1605"/>
      <c r="L153" s="1605"/>
      <c r="M153" s="1605"/>
      <c r="N153" s="1604"/>
      <c r="O153" s="4612"/>
      <c r="P153" s="4613"/>
      <c r="Q153" s="4613"/>
      <c r="R153" s="4613"/>
      <c r="S153" s="4613"/>
      <c r="T153" s="4613"/>
      <c r="U153" s="4613"/>
      <c r="V153" s="4613"/>
      <c r="W153" s="4613"/>
      <c r="X153" s="4614"/>
      <c r="Y153" s="4614"/>
      <c r="Z153" s="4617"/>
      <c r="AA153" s="4620"/>
      <c r="AB153" s="4620"/>
      <c r="AC153" s="4620"/>
      <c r="AD153" s="4623"/>
      <c r="AE153" s="4623"/>
      <c r="AF153" s="4626"/>
    </row>
    <row r="154" spans="1:32" s="1565" customFormat="1" ht="15" customHeight="1">
      <c r="A154" s="5236"/>
      <c r="B154" s="4574"/>
      <c r="C154" s="1571">
        <v>26</v>
      </c>
      <c r="D154" s="1605"/>
      <c r="E154" s="1471" t="s">
        <v>1808</v>
      </c>
      <c r="F154" s="1475" t="s">
        <v>1807</v>
      </c>
      <c r="G154" s="1605"/>
      <c r="H154" s="1605"/>
      <c r="I154" s="1605"/>
      <c r="J154" s="1605"/>
      <c r="K154" s="1605"/>
      <c r="L154" s="1605"/>
      <c r="M154" s="1605"/>
      <c r="N154" s="1604"/>
      <c r="O154" s="4627" t="s">
        <v>1806</v>
      </c>
      <c r="P154" s="4628"/>
      <c r="Q154" s="4628"/>
      <c r="R154" s="4628"/>
      <c r="S154" s="4629" t="s">
        <v>1805</v>
      </c>
      <c r="T154" s="4628"/>
      <c r="U154" s="4628"/>
      <c r="V154" s="4628"/>
      <c r="W154" s="4630" t="s">
        <v>1804</v>
      </c>
      <c r="X154" s="4631"/>
      <c r="Y154" s="4630" t="s">
        <v>1803</v>
      </c>
      <c r="Z154" s="4632"/>
      <c r="AA154" s="4633" t="s">
        <v>1802</v>
      </c>
      <c r="AB154" s="4634"/>
      <c r="AC154" s="4633" t="s">
        <v>1801</v>
      </c>
      <c r="AD154" s="4634"/>
      <c r="AE154" s="4641" t="s">
        <v>1800</v>
      </c>
      <c r="AF154" s="4642"/>
    </row>
    <row r="155" spans="1:32" s="1565" customFormat="1" ht="15" customHeight="1">
      <c r="A155" s="5236"/>
      <c r="B155" s="4574"/>
      <c r="C155" s="1571">
        <v>27</v>
      </c>
      <c r="D155" s="1605"/>
      <c r="E155" s="1615"/>
      <c r="F155" s="1614"/>
      <c r="G155" s="1605"/>
      <c r="H155" s="1605"/>
      <c r="I155" s="1605"/>
      <c r="J155" s="1605"/>
      <c r="K155" s="1605"/>
      <c r="L155" s="1605"/>
      <c r="M155" s="1605"/>
      <c r="N155" s="1604"/>
      <c r="O155" s="4643">
        <v>800</v>
      </c>
      <c r="P155" s="4644"/>
      <c r="Q155" s="4644"/>
      <c r="R155" s="4645"/>
      <c r="S155" s="4643">
        <v>250</v>
      </c>
      <c r="T155" s="4644"/>
      <c r="U155" s="4644"/>
      <c r="V155" s="4645"/>
      <c r="W155" s="4643">
        <v>1300</v>
      </c>
      <c r="X155" s="4645"/>
      <c r="Y155" s="1613">
        <v>240</v>
      </c>
      <c r="Z155" s="1612" t="str">
        <f>IF(Y155="","","[Kg]")</f>
        <v>[Kg]</v>
      </c>
      <c r="AA155" s="1611">
        <v>350</v>
      </c>
      <c r="AB155" s="1612" t="str">
        <f>IF(AA155="","","[mm]")</f>
        <v>[mm]</v>
      </c>
      <c r="AC155" s="1611">
        <v>550</v>
      </c>
      <c r="AD155" s="1612" t="str">
        <f>IF(AC155="","","[mm]")</f>
        <v>[mm]</v>
      </c>
      <c r="AE155" s="1611">
        <v>100</v>
      </c>
      <c r="AF155" s="1610" t="str">
        <f>IF(AE155="","","[mm]")</f>
        <v>[mm]</v>
      </c>
    </row>
    <row r="156" spans="1:32" s="1565" customFormat="1" ht="15" customHeight="1">
      <c r="A156" s="5236"/>
      <c r="B156" s="4574"/>
      <c r="C156" s="1571">
        <v>28</v>
      </c>
      <c r="D156" s="1605"/>
      <c r="E156" s="1609" t="s">
        <v>1896</v>
      </c>
      <c r="F156" s="1608" t="s">
        <v>1798</v>
      </c>
      <c r="G156" s="1605"/>
      <c r="H156" s="1605"/>
      <c r="I156" s="1605"/>
      <c r="J156" s="1605"/>
      <c r="K156" s="1605"/>
      <c r="L156" s="1605"/>
      <c r="M156" s="1605"/>
      <c r="N156" s="1604"/>
      <c r="O156" s="4646" t="s">
        <v>1895</v>
      </c>
      <c r="P156" s="4647"/>
      <c r="Q156" s="4647"/>
      <c r="R156" s="4647"/>
      <c r="S156" s="4647"/>
      <c r="T156" s="4647"/>
      <c r="U156" s="4647"/>
      <c r="V156" s="4647"/>
      <c r="W156" s="4647"/>
      <c r="X156" s="4647"/>
      <c r="Y156" s="4648" t="s">
        <v>1894</v>
      </c>
      <c r="Z156" s="4647"/>
      <c r="AA156" s="4647"/>
      <c r="AB156" s="4647"/>
      <c r="AC156" s="4647"/>
      <c r="AD156" s="4649"/>
      <c r="AE156" s="4650" t="s">
        <v>1795</v>
      </c>
      <c r="AF156" s="4651"/>
    </row>
    <row r="157" spans="1:32" s="1565" customFormat="1" ht="15" customHeight="1">
      <c r="A157" s="5236"/>
      <c r="B157" s="4574"/>
      <c r="C157" s="1571">
        <v>29</v>
      </c>
      <c r="D157" s="1605"/>
      <c r="E157" s="1606" t="s">
        <v>1893</v>
      </c>
      <c r="F157" s="1475" t="s">
        <v>1793</v>
      </c>
      <c r="G157" s="1605"/>
      <c r="H157" s="1605"/>
      <c r="I157" s="1605"/>
      <c r="J157" s="1605"/>
      <c r="K157" s="1605"/>
      <c r="L157" s="1605"/>
      <c r="M157" s="1605"/>
      <c r="N157" s="1604"/>
      <c r="O157" s="4586" t="s">
        <v>1792</v>
      </c>
      <c r="P157" s="4587"/>
      <c r="Q157" s="4587"/>
      <c r="R157" s="4587"/>
      <c r="S157" s="4587"/>
      <c r="T157" s="4587"/>
      <c r="U157" s="1607"/>
      <c r="V157" s="4588" t="s">
        <v>1791</v>
      </c>
      <c r="W157" s="4587"/>
      <c r="X157" s="4589"/>
      <c r="Y157" s="4588" t="s">
        <v>1790</v>
      </c>
      <c r="Z157" s="4652"/>
      <c r="AA157" s="4652"/>
      <c r="AB157" s="4588" t="s">
        <v>1789</v>
      </c>
      <c r="AC157" s="4652"/>
      <c r="AD157" s="4652"/>
      <c r="AE157" s="4653" t="s">
        <v>1788</v>
      </c>
      <c r="AF157" s="4654"/>
    </row>
    <row r="158" spans="1:32" s="1565" customFormat="1" ht="15" customHeight="1">
      <c r="A158" s="5236"/>
      <c r="B158" s="4574"/>
      <c r="C158" s="1571">
        <v>30</v>
      </c>
      <c r="D158" s="1605"/>
      <c r="E158" s="1606" t="s">
        <v>1892</v>
      </c>
      <c r="F158" s="1475" t="s">
        <v>1786</v>
      </c>
      <c r="G158" s="1605"/>
      <c r="H158" s="1605"/>
      <c r="I158" s="1605"/>
      <c r="J158" s="1605"/>
      <c r="K158" s="1605"/>
      <c r="L158" s="1605"/>
      <c r="M158" s="1605"/>
      <c r="N158" s="1604"/>
      <c r="O158" s="4655">
        <v>700</v>
      </c>
      <c r="P158" s="4656"/>
      <c r="Q158" s="4656"/>
      <c r="R158" s="4656"/>
      <c r="S158" s="4656"/>
      <c r="T158" s="4657" t="str">
        <f>IF(O158="","","[mm]")</f>
        <v>[mm]</v>
      </c>
      <c r="U158" s="4658"/>
      <c r="V158" s="4659">
        <v>1200</v>
      </c>
      <c r="W158" s="4660"/>
      <c r="X158" s="1603" t="str">
        <f>IF(V158="","","[mm]")</f>
        <v>[mm]</v>
      </c>
      <c r="Y158" s="4661">
        <v>2</v>
      </c>
      <c r="Z158" s="4662"/>
      <c r="AA158" s="4663"/>
      <c r="AB158" s="4661">
        <v>2</v>
      </c>
      <c r="AC158" s="4662"/>
      <c r="AD158" s="4663"/>
      <c r="AE158" s="4664">
        <f>IF(OR(Y158="",AB158=""),"",Y158*AB158)</f>
        <v>4</v>
      </c>
      <c r="AF158" s="4665"/>
    </row>
    <row r="159" spans="1:32" s="1565" customFormat="1" ht="15" customHeight="1">
      <c r="B159" s="4574"/>
      <c r="C159" s="1571">
        <v>31</v>
      </c>
      <c r="D159" s="1601"/>
      <c r="E159" s="1601"/>
      <c r="F159" s="1601"/>
      <c r="G159" s="1601"/>
      <c r="H159" s="1601"/>
      <c r="I159" s="1601"/>
      <c r="J159" s="1601"/>
      <c r="K159" s="1601"/>
      <c r="L159" s="1601"/>
      <c r="M159" s="1601"/>
      <c r="N159" s="1601"/>
      <c r="O159" s="1601"/>
      <c r="P159" s="1601"/>
      <c r="Q159" s="1601"/>
      <c r="R159" s="1601"/>
      <c r="S159" s="1601"/>
      <c r="T159" s="1601"/>
      <c r="U159" s="1602"/>
      <c r="V159" s="1601"/>
      <c r="W159" s="1601"/>
      <c r="X159" s="1601"/>
      <c r="Y159" s="1601"/>
      <c r="Z159" s="1601"/>
      <c r="AA159" s="1601"/>
      <c r="AB159" s="1601"/>
      <c r="AC159" s="1601"/>
      <c r="AD159" s="1601"/>
      <c r="AE159" s="1601"/>
      <c r="AF159" s="1600"/>
    </row>
    <row r="160" spans="1:32" s="1565" customFormat="1" ht="15" customHeight="1">
      <c r="B160" s="4574"/>
      <c r="C160" s="1571">
        <v>32</v>
      </c>
      <c r="D160" s="4708" t="s">
        <v>1785</v>
      </c>
      <c r="E160" s="4709"/>
      <c r="F160" s="4709"/>
      <c r="G160" s="4709"/>
      <c r="H160" s="4709"/>
      <c r="I160" s="4710"/>
      <c r="J160" s="4752" t="s">
        <v>1784</v>
      </c>
      <c r="K160" s="4754" t="s">
        <v>1681</v>
      </c>
      <c r="L160" s="4709"/>
      <c r="M160" s="4709"/>
      <c r="N160" s="4710"/>
      <c r="O160" s="4754" t="s">
        <v>1680</v>
      </c>
      <c r="P160" s="4709"/>
      <c r="Q160" s="4709"/>
      <c r="R160" s="4709"/>
      <c r="S160" s="4709"/>
      <c r="T160" s="4709"/>
      <c r="U160" s="4709"/>
      <c r="V160" s="4710"/>
      <c r="W160" s="4666" t="s">
        <v>1783</v>
      </c>
      <c r="X160" s="4667"/>
      <c r="Y160" s="4667"/>
      <c r="Z160" s="4667"/>
      <c r="AA160" s="4667"/>
      <c r="AB160" s="4667"/>
      <c r="AC160" s="4667"/>
      <c r="AD160" s="4667"/>
      <c r="AE160" s="4667"/>
      <c r="AF160" s="4668"/>
    </row>
    <row r="161" spans="2:32" s="1565" customFormat="1" ht="15" customHeight="1">
      <c r="B161" s="4574"/>
      <c r="C161" s="1571">
        <v>33</v>
      </c>
      <c r="D161" s="1599"/>
      <c r="E161" s="1598"/>
      <c r="F161" s="4669" t="s">
        <v>1891</v>
      </c>
      <c r="G161" s="4669" t="s">
        <v>1890</v>
      </c>
      <c r="H161" s="1596"/>
      <c r="I161" s="4679" t="s">
        <v>1889</v>
      </c>
      <c r="J161" s="4753"/>
      <c r="K161" s="4731" t="s">
        <v>1677</v>
      </c>
      <c r="L161" s="4732"/>
      <c r="M161" s="4685" t="s">
        <v>1676</v>
      </c>
      <c r="N161" s="4686"/>
      <c r="O161" s="4691" t="s">
        <v>1675</v>
      </c>
      <c r="P161" s="4692"/>
      <c r="Q161" s="4692"/>
      <c r="R161" s="4693"/>
      <c r="S161" s="4694" t="s">
        <v>1841</v>
      </c>
      <c r="T161" s="4692"/>
      <c r="U161" s="4692"/>
      <c r="V161" s="4695"/>
      <c r="W161" s="4696" t="s">
        <v>1779</v>
      </c>
      <c r="X161" s="4697"/>
      <c r="Y161" s="4700" t="s">
        <v>1888</v>
      </c>
      <c r="Z161" s="4697"/>
      <c r="AA161" s="4703" t="s">
        <v>1777</v>
      </c>
      <c r="AB161" s="4704"/>
      <c r="AC161" s="4670" t="s">
        <v>1776</v>
      </c>
      <c r="AD161" s="4671"/>
      <c r="AE161" s="4671" t="s">
        <v>1775</v>
      </c>
      <c r="AF161" s="4676"/>
    </row>
    <row r="162" spans="2:32" s="1565" customFormat="1" ht="7.5" customHeight="1">
      <c r="B162" s="4574"/>
      <c r="C162" s="4711">
        <v>34</v>
      </c>
      <c r="D162" s="1599"/>
      <c r="E162" s="1598"/>
      <c r="F162" s="4669"/>
      <c r="G162" s="4669"/>
      <c r="H162" s="1596"/>
      <c r="I162" s="4680"/>
      <c r="J162" s="4713">
        <v>1</v>
      </c>
      <c r="K162" s="4733"/>
      <c r="L162" s="4734"/>
      <c r="M162" s="4687"/>
      <c r="N162" s="4688"/>
      <c r="O162" s="4715" t="s">
        <v>1840</v>
      </c>
      <c r="P162" s="4716"/>
      <c r="Q162" s="4716"/>
      <c r="R162" s="4717"/>
      <c r="S162" s="4721" t="s">
        <v>1839</v>
      </c>
      <c r="T162" s="4716"/>
      <c r="U162" s="4716"/>
      <c r="V162" s="4722"/>
      <c r="W162" s="4698"/>
      <c r="X162" s="4699"/>
      <c r="Y162" s="4701"/>
      <c r="Z162" s="4702"/>
      <c r="AA162" s="4701"/>
      <c r="AB162" s="4705"/>
      <c r="AC162" s="4672"/>
      <c r="AD162" s="4673"/>
      <c r="AE162" s="4673"/>
      <c r="AF162" s="4677"/>
    </row>
    <row r="163" spans="2:32" s="1565" customFormat="1" ht="8.25" customHeight="1">
      <c r="B163" s="4574"/>
      <c r="C163" s="4712"/>
      <c r="D163" s="1599"/>
      <c r="E163" s="1598"/>
      <c r="F163" s="1597"/>
      <c r="G163" s="1597"/>
      <c r="H163" s="1596"/>
      <c r="I163" s="1596"/>
      <c r="J163" s="4714"/>
      <c r="K163" s="4735"/>
      <c r="L163" s="4736"/>
      <c r="M163" s="4689"/>
      <c r="N163" s="4690"/>
      <c r="O163" s="4718"/>
      <c r="P163" s="4719"/>
      <c r="Q163" s="4719"/>
      <c r="R163" s="4720"/>
      <c r="S163" s="4723"/>
      <c r="T163" s="4719"/>
      <c r="U163" s="4719"/>
      <c r="V163" s="4724"/>
      <c r="W163" s="4725" t="s">
        <v>1887</v>
      </c>
      <c r="X163" s="4726"/>
      <c r="Y163" s="4729" t="s">
        <v>1886</v>
      </c>
      <c r="Z163" s="4681">
        <v>8</v>
      </c>
      <c r="AA163" s="4683">
        <f>IF(Z163="","",0.73*3.141592654*(Z163^2)/4)</f>
        <v>36.69380219872</v>
      </c>
      <c r="AB163" s="4706" t="s">
        <v>1885</v>
      </c>
      <c r="AC163" s="4672"/>
      <c r="AD163" s="4673"/>
      <c r="AE163" s="4673"/>
      <c r="AF163" s="4677"/>
    </row>
    <row r="164" spans="2:32" s="1565" customFormat="1" ht="7.5" customHeight="1">
      <c r="B164" s="4574"/>
      <c r="C164" s="4711">
        <v>35</v>
      </c>
      <c r="D164" s="4737" t="s">
        <v>1773</v>
      </c>
      <c r="E164" s="4738"/>
      <c r="F164" s="4739">
        <v>2</v>
      </c>
      <c r="G164" s="4739">
        <v>1.5</v>
      </c>
      <c r="H164" s="1587"/>
      <c r="I164" s="4741">
        <v>1</v>
      </c>
      <c r="J164" s="4751">
        <v>0.9</v>
      </c>
      <c r="K164" s="1595"/>
      <c r="L164" s="1594"/>
      <c r="M164" s="1591"/>
      <c r="N164" s="1588"/>
      <c r="O164" s="1593"/>
      <c r="P164" s="1590"/>
      <c r="Q164" s="1590"/>
      <c r="R164" s="1592"/>
      <c r="S164" s="1591"/>
      <c r="T164" s="1590"/>
      <c r="U164" s="1589"/>
      <c r="V164" s="1588"/>
      <c r="W164" s="4727"/>
      <c r="X164" s="4728"/>
      <c r="Y164" s="4730"/>
      <c r="Z164" s="4682"/>
      <c r="AA164" s="4684"/>
      <c r="AB164" s="4707"/>
      <c r="AC164" s="4672"/>
      <c r="AD164" s="4673"/>
      <c r="AE164" s="4673"/>
      <c r="AF164" s="4677"/>
    </row>
    <row r="165" spans="2:32" s="1565" customFormat="1" ht="7.5" customHeight="1">
      <c r="B165" s="4574"/>
      <c r="C165" s="4712"/>
      <c r="D165" s="4745" t="s">
        <v>1884</v>
      </c>
      <c r="E165" s="4746"/>
      <c r="F165" s="4740"/>
      <c r="G165" s="4740"/>
      <c r="H165" s="1586"/>
      <c r="I165" s="4742"/>
      <c r="J165" s="4714"/>
      <c r="K165" s="4749" t="s">
        <v>1668</v>
      </c>
      <c r="L165" s="4792">
        <f>IF(J144="","",J143*J144)</f>
        <v>2</v>
      </c>
      <c r="M165" s="4763" t="s">
        <v>1666</v>
      </c>
      <c r="N165" s="4794">
        <f>IF(L165="","",L165/2)</f>
        <v>1</v>
      </c>
      <c r="O165" s="4749" t="s">
        <v>1664</v>
      </c>
      <c r="P165" s="4764"/>
      <c r="Q165" s="4795">
        <f>IF(Y155="","",L165*Y155)</f>
        <v>480</v>
      </c>
      <c r="R165" s="4796"/>
      <c r="S165" s="4763" t="s">
        <v>1662</v>
      </c>
      <c r="T165" s="4764"/>
      <c r="U165" s="4765">
        <f>IF(Y155="","",N165*Y155)</f>
        <v>240</v>
      </c>
      <c r="V165" s="4766"/>
      <c r="W165" s="4767" t="s">
        <v>1767</v>
      </c>
      <c r="X165" s="4768"/>
      <c r="Y165" s="4768"/>
      <c r="Z165" s="4769"/>
      <c r="AA165" s="4773">
        <f>IF(AA163="","",(INT(AA163*0.38*101.9716*100))/100)</f>
        <v>1421.85</v>
      </c>
      <c r="AB165" s="4775" t="s">
        <v>1883</v>
      </c>
      <c r="AC165" s="4672"/>
      <c r="AD165" s="4673"/>
      <c r="AE165" s="4673"/>
      <c r="AF165" s="4677"/>
    </row>
    <row r="166" spans="2:32" s="1565" customFormat="1" ht="7.5" customHeight="1">
      <c r="B166" s="4574"/>
      <c r="C166" s="4711">
        <v>36</v>
      </c>
      <c r="D166" s="4744" t="s">
        <v>1882</v>
      </c>
      <c r="E166" s="4738"/>
      <c r="F166" s="4739">
        <v>1.5</v>
      </c>
      <c r="G166" s="4739">
        <v>1</v>
      </c>
      <c r="H166" s="1587"/>
      <c r="I166" s="4747">
        <v>0.6</v>
      </c>
      <c r="J166" s="4751">
        <v>0.8</v>
      </c>
      <c r="K166" s="4750"/>
      <c r="L166" s="4792"/>
      <c r="M166" s="4793"/>
      <c r="N166" s="4794"/>
      <c r="O166" s="4749"/>
      <c r="P166" s="4764"/>
      <c r="Q166" s="4795"/>
      <c r="R166" s="4796"/>
      <c r="S166" s="4763"/>
      <c r="T166" s="4764"/>
      <c r="U166" s="4765"/>
      <c r="V166" s="4766"/>
      <c r="W166" s="4770"/>
      <c r="X166" s="4771"/>
      <c r="Y166" s="4771"/>
      <c r="Z166" s="4772"/>
      <c r="AA166" s="4774"/>
      <c r="AB166" s="4776"/>
      <c r="AC166" s="4674"/>
      <c r="AD166" s="4675"/>
      <c r="AE166" s="4675"/>
      <c r="AF166" s="4678"/>
    </row>
    <row r="167" spans="2:32" s="1565" customFormat="1" ht="7.5" customHeight="1">
      <c r="B167" s="4574"/>
      <c r="C167" s="4743"/>
      <c r="D167" s="4745"/>
      <c r="E167" s="4746"/>
      <c r="F167" s="4740"/>
      <c r="G167" s="4740"/>
      <c r="H167" s="1586"/>
      <c r="I167" s="4748"/>
      <c r="J167" s="4714"/>
      <c r="K167" s="4791" t="s">
        <v>1881</v>
      </c>
      <c r="L167" s="4759"/>
      <c r="M167" s="4755" t="s">
        <v>1665</v>
      </c>
      <c r="N167" s="4756"/>
      <c r="O167" s="4757" t="s">
        <v>1663</v>
      </c>
      <c r="P167" s="4758"/>
      <c r="Q167" s="4758"/>
      <c r="R167" s="4759"/>
      <c r="S167" s="4755" t="s">
        <v>1661</v>
      </c>
      <c r="T167" s="4758"/>
      <c r="U167" s="4758"/>
      <c r="V167" s="4756"/>
      <c r="W167" s="4760" t="s">
        <v>1880</v>
      </c>
      <c r="X167" s="4761"/>
      <c r="Y167" s="4761"/>
      <c r="Z167" s="4761"/>
      <c r="AA167" s="4761"/>
      <c r="AB167" s="4762"/>
      <c r="AC167" s="4777">
        <v>1800</v>
      </c>
      <c r="AD167" s="4779" t="s">
        <v>1879</v>
      </c>
      <c r="AE167" s="4781">
        <v>1350</v>
      </c>
      <c r="AF167" s="4783" t="s">
        <v>1879</v>
      </c>
    </row>
    <row r="168" spans="2:32" s="1565" customFormat="1" ht="15" customHeight="1">
      <c r="B168" s="4574"/>
      <c r="C168" s="1585">
        <v>37</v>
      </c>
      <c r="D168" s="4744" t="s">
        <v>1759</v>
      </c>
      <c r="E168" s="4738"/>
      <c r="F168" s="1584">
        <v>1</v>
      </c>
      <c r="G168" s="1584">
        <v>0.6</v>
      </c>
      <c r="H168" s="1583"/>
      <c r="I168" s="1583">
        <v>0.4</v>
      </c>
      <c r="J168" s="1582">
        <v>0.7</v>
      </c>
      <c r="K168" s="4757"/>
      <c r="L168" s="4759"/>
      <c r="M168" s="4755"/>
      <c r="N168" s="4756"/>
      <c r="O168" s="4757"/>
      <c r="P168" s="4758"/>
      <c r="Q168" s="4758"/>
      <c r="R168" s="4759"/>
      <c r="S168" s="4755"/>
      <c r="T168" s="4758"/>
      <c r="U168" s="4758"/>
      <c r="V168" s="4756"/>
      <c r="W168" s="4760"/>
      <c r="X168" s="4761"/>
      <c r="Y168" s="4761"/>
      <c r="Z168" s="4761"/>
      <c r="AA168" s="4761"/>
      <c r="AB168" s="4762"/>
      <c r="AC168" s="4778"/>
      <c r="AD168" s="4780"/>
      <c r="AE168" s="4782"/>
      <c r="AF168" s="4784"/>
    </row>
    <row r="169" spans="2:32" s="1565" customFormat="1" ht="15" customHeight="1">
      <c r="B169" s="4574"/>
      <c r="C169" s="1571">
        <v>38</v>
      </c>
      <c r="D169" s="1581"/>
      <c r="E169" s="1580"/>
      <c r="F169" s="1579"/>
      <c r="G169" s="1579"/>
      <c r="H169" s="1579"/>
      <c r="I169" s="1579"/>
      <c r="J169" s="1579"/>
      <c r="K169" s="1578"/>
      <c r="L169" s="1578"/>
      <c r="M169" s="1578"/>
      <c r="N169" s="1578"/>
      <c r="O169" s="1578"/>
      <c r="P169" s="1578"/>
      <c r="Q169" s="1578"/>
      <c r="R169" s="1578"/>
      <c r="S169" s="1578"/>
      <c r="T169" s="1578"/>
      <c r="U169" s="1578"/>
      <c r="V169" s="1578"/>
      <c r="W169" s="1577"/>
      <c r="X169" s="1577"/>
      <c r="Y169" s="1577"/>
      <c r="Z169" s="1577"/>
      <c r="AA169" s="1577"/>
      <c r="AB169" s="1577"/>
      <c r="AC169" s="1575"/>
      <c r="AD169" s="1576"/>
      <c r="AE169" s="1575"/>
      <c r="AF169" s="1574"/>
    </row>
    <row r="170" spans="2:32" s="1565" customFormat="1" ht="15" customHeight="1">
      <c r="B170" s="4574"/>
      <c r="C170" s="1571">
        <v>39</v>
      </c>
      <c r="D170" s="4785" t="s">
        <v>1758</v>
      </c>
      <c r="E170" s="4786"/>
      <c r="F170" s="4786"/>
      <c r="G170" s="4786"/>
      <c r="H170" s="4786"/>
      <c r="I170" s="4786"/>
      <c r="J170" s="4786"/>
      <c r="K170" s="4786"/>
      <c r="L170" s="4786"/>
      <c r="M170" s="1573"/>
      <c r="N170" s="1572"/>
      <c r="O170" s="4787" t="s">
        <v>1878</v>
      </c>
      <c r="P170" s="4788"/>
      <c r="Q170" s="4788"/>
      <c r="R170" s="4788"/>
      <c r="S170" s="4788"/>
      <c r="T170" s="4788"/>
      <c r="U170" s="4788"/>
      <c r="V170" s="4788"/>
      <c r="W170" s="4788"/>
      <c r="X170" s="4788"/>
      <c r="Y170" s="4789"/>
      <c r="Z170" s="4787" t="s">
        <v>1756</v>
      </c>
      <c r="AA170" s="4786"/>
      <c r="AB170" s="4786"/>
      <c r="AC170" s="4786"/>
      <c r="AD170" s="4786"/>
      <c r="AE170" s="4786"/>
      <c r="AF170" s="4790"/>
    </row>
    <row r="171" spans="2:32" s="1565" customFormat="1" ht="15" customHeight="1">
      <c r="B171" s="4574"/>
      <c r="C171" s="1571">
        <v>40</v>
      </c>
      <c r="D171" s="1431" t="s">
        <v>1655</v>
      </c>
      <c r="E171" s="1491"/>
      <c r="F171" s="4797" t="s">
        <v>1877</v>
      </c>
      <c r="G171" s="4798"/>
      <c r="H171" s="1493"/>
      <c r="I171" s="1492" t="s">
        <v>1876</v>
      </c>
      <c r="J171" s="1488"/>
      <c r="K171" s="1488"/>
      <c r="L171" s="1431"/>
      <c r="M171" s="1488" t="s">
        <v>1655</v>
      </c>
      <c r="N171" s="1491"/>
      <c r="O171" s="1490"/>
      <c r="P171" s="1489"/>
      <c r="Q171" s="1489"/>
      <c r="R171" s="1485"/>
      <c r="S171" s="1485"/>
      <c r="T171" s="1485"/>
      <c r="U171" s="1485"/>
      <c r="V171" s="1485"/>
      <c r="W171" s="1431"/>
      <c r="X171" s="1431"/>
      <c r="Y171" s="1488" t="s">
        <v>1655</v>
      </c>
      <c r="Z171" s="1487" t="str">
        <f>IF(J143="",""," 1.ボルト引抜力 Rb[Kgf]")</f>
        <v xml:space="preserve"> 1.ボルト引抜力 Rb[Kgf]</v>
      </c>
      <c r="AA171" s="1486"/>
      <c r="AB171" s="1410"/>
      <c r="AC171" s="1485"/>
      <c r="AD171" s="1485"/>
      <c r="AE171" s="1431"/>
      <c r="AF171" s="1484"/>
    </row>
    <row r="172" spans="2:32" s="1565" customFormat="1" ht="15" customHeight="1">
      <c r="B172" s="4574"/>
      <c r="C172" s="1571">
        <v>41</v>
      </c>
      <c r="D172" s="1420"/>
      <c r="E172" s="1431"/>
      <c r="F172" s="4799"/>
      <c r="G172" s="4800"/>
      <c r="H172" s="1430"/>
      <c r="I172" s="1431"/>
      <c r="J172" s="1431"/>
      <c r="K172" s="1431"/>
      <c r="L172" s="1420"/>
      <c r="M172" s="1420"/>
      <c r="N172" s="1431"/>
      <c r="O172" s="1483"/>
      <c r="P172" s="1482"/>
      <c r="Q172" s="1482"/>
      <c r="R172" s="1465"/>
      <c r="S172" s="1481"/>
      <c r="T172" s="1481"/>
      <c r="U172" s="1481"/>
      <c r="V172" s="1481"/>
      <c r="W172" s="1420"/>
      <c r="X172" s="1420"/>
      <c r="Y172" s="1420"/>
      <c r="Z172" s="1480"/>
      <c r="AA172" s="1457" t="str">
        <f>IF(F182="","",IF(F175&gt;F182,"Rb1:","Rb2:"))</f>
        <v>Rb2:</v>
      </c>
      <c r="AB172" s="4801">
        <f>IF(F175="","",IF(F175&gt;F182,(INT(F175*100))/100,(INT(F182*100))/100))</f>
        <v>150</v>
      </c>
      <c r="AC172" s="4801"/>
      <c r="AD172" s="1479" t="str">
        <f>IF(AA165="","",IF(AB172&lt;AA165,"≦ Ta："&amp;INT(AA165),"≧ Ta："&amp;INT(AA165)))</f>
        <v>≦ Ta：1421</v>
      </c>
      <c r="AE172" s="1420"/>
      <c r="AF172" s="1419"/>
    </row>
    <row r="173" spans="2:32" s="1565" customFormat="1" ht="15" customHeight="1">
      <c r="B173" s="4574"/>
      <c r="C173" s="1571">
        <v>42</v>
      </c>
      <c r="D173" s="1420"/>
      <c r="E173" s="1420"/>
      <c r="F173" s="1478">
        <f>IF(L165="","",L165*Y155)</f>
        <v>480</v>
      </c>
      <c r="G173" s="1477" t="str">
        <f>IF(AE155="","","× "&amp;AE155)</f>
        <v>× 100</v>
      </c>
      <c r="H173" s="1477"/>
      <c r="I173" s="1443" t="str">
        <f>IF(Y155="","","     ("&amp;Y155&amp;"＋"&amp;U165&amp;") × "&amp;AE155)</f>
        <v xml:space="preserve">     (240＋240) × 100</v>
      </c>
      <c r="J173" s="1477"/>
      <c r="K173" s="1443"/>
      <c r="L173" s="1443"/>
      <c r="M173" s="1420"/>
      <c r="N173" s="1420"/>
      <c r="O173" s="1476"/>
      <c r="P173" s="1467"/>
      <c r="Q173" s="1467"/>
      <c r="R173" s="1467"/>
      <c r="S173" s="1420"/>
      <c r="T173" s="1420"/>
      <c r="U173" s="1475"/>
      <c r="V173" s="1420"/>
      <c r="W173" s="1420"/>
      <c r="X173" s="1420"/>
      <c r="Y173" s="1420"/>
      <c r="Z173" s="1464"/>
      <c r="AA173" s="1474"/>
      <c r="AB173" s="1473"/>
      <c r="AC173" s="1429"/>
      <c r="AD173" s="1429" t="str">
        <f>IF(AA165="","","安全率 ＳfRb（Ta/Rb)=")</f>
        <v>安全率 ＳfRb（Ta/Rb)=</v>
      </c>
      <c r="AE173" s="4802">
        <f>IF(AA165="","",AA165/AB172)</f>
        <v>9.4789999999999992</v>
      </c>
      <c r="AF173" s="4803"/>
    </row>
    <row r="174" spans="2:32" s="1565" customFormat="1" ht="15" customHeight="1">
      <c r="B174" s="4574"/>
      <c r="C174" s="1571">
        <v>43</v>
      </c>
      <c r="D174" s="1420"/>
      <c r="E174" s="1420"/>
      <c r="F174" s="4800" t="str">
        <f>IF(O158="","",O158&amp;" × "&amp;AB158)</f>
        <v>700 × 2</v>
      </c>
      <c r="G174" s="4800"/>
      <c r="H174" s="1430"/>
      <c r="I174" s="1431"/>
      <c r="J174" s="4605" t="str">
        <f>IF(V158="","",V158&amp;" × "&amp;Y158)</f>
        <v>1200 × 2</v>
      </c>
      <c r="K174" s="4605"/>
      <c r="L174" s="1420"/>
      <c r="M174" s="1420"/>
      <c r="N174" s="1420"/>
      <c r="O174" s="1464"/>
      <c r="P174" s="1420"/>
      <c r="Q174" s="1420"/>
      <c r="R174" s="1443"/>
      <c r="S174" s="1420"/>
      <c r="T174" s="1471" t="str">
        <f>IF(AE158="","","  "&amp;Q165)</f>
        <v xml:space="preserve">  480</v>
      </c>
      <c r="U174" s="1472" t="str">
        <f>IF(Q165="","","2")</f>
        <v>2</v>
      </c>
      <c r="V174" s="1443" t="str">
        <f>IF(T174="","","＋")</f>
        <v>＋</v>
      </c>
      <c r="W174" s="1420"/>
      <c r="X174" s="1471" t="str">
        <f>IF(AE158="","","("&amp;Y155&amp;"＋"&amp;U165&amp;")")</f>
        <v>(240＋240)</v>
      </c>
      <c r="Y174" s="1470" t="str">
        <f>IF(AE158="","","2")</f>
        <v>2</v>
      </c>
      <c r="Z174" s="1464"/>
      <c r="AA174" s="1469" t="str">
        <f>IF(AA163="","",IF(AA165&gt;AB172,"Rb≦Ta で 合格","Rb＞Ta で 不合格"))</f>
        <v>Rb≦Ta で 合格</v>
      </c>
      <c r="AB174" s="1420"/>
      <c r="AC174" s="1420"/>
      <c r="AD174" s="1420"/>
      <c r="AE174" s="1420"/>
      <c r="AF174" s="1419"/>
    </row>
    <row r="175" spans="2:32" s="1565" customFormat="1" ht="15" customHeight="1">
      <c r="B175" s="4574"/>
      <c r="C175" s="1571">
        <v>44</v>
      </c>
      <c r="D175" s="1420"/>
      <c r="E175" s="1468"/>
      <c r="F175" s="4804">
        <f>IF(AB158="","",((Q165*AE155)/(O158*AB158))+(((Y155+U165)*AE155)/(V158*Y158)))</f>
        <v>54.285714285714285</v>
      </c>
      <c r="G175" s="4804"/>
      <c r="H175" s="1467"/>
      <c r="I175" s="1463" t="str">
        <f>IF(F175="","",INT(F175*9.80665)/1000&amp;"［KN］")</f>
        <v>0.532［KN］</v>
      </c>
      <c r="J175" s="1466"/>
      <c r="K175" s="1466"/>
      <c r="L175" s="4805"/>
      <c r="M175" s="4805"/>
      <c r="N175" s="1420"/>
      <c r="O175" s="1464"/>
      <c r="P175" s="1420"/>
      <c r="Q175" s="1420"/>
      <c r="R175" s="1420"/>
      <c r="S175" s="1420"/>
      <c r="T175" s="1465"/>
      <c r="U175" s="1465" t="str">
        <f>IF(AE158="","",AE158&amp;" × "&amp;INT(AA163*1000)/1000)</f>
        <v>4 × 36.693</v>
      </c>
      <c r="V175" s="1420"/>
      <c r="W175" s="1420"/>
      <c r="X175" s="1420"/>
      <c r="Y175" s="1420"/>
      <c r="Z175" s="1427"/>
      <c r="AA175" s="1424"/>
      <c r="AB175" s="1424"/>
      <c r="AC175" s="1424"/>
      <c r="AD175" s="1424"/>
      <c r="AE175" s="1424"/>
      <c r="AF175" s="1448"/>
    </row>
    <row r="176" spans="2:32" s="1565" customFormat="1" ht="15" customHeight="1">
      <c r="B176" s="4574"/>
      <c r="C176" s="1571">
        <v>45</v>
      </c>
      <c r="D176" s="1460"/>
      <c r="E176" s="1424"/>
      <c r="F176" s="1424"/>
      <c r="G176" s="1424"/>
      <c r="H176" s="1424"/>
      <c r="I176" s="1424"/>
      <c r="J176" s="1424"/>
      <c r="K176" s="1424"/>
      <c r="L176" s="1424"/>
      <c r="M176" s="1460"/>
      <c r="N176" s="1424"/>
      <c r="O176" s="1464"/>
      <c r="P176" s="1420"/>
      <c r="Q176" s="1420"/>
      <c r="R176" s="4806">
        <f>IF(AE158="","",SQRT(Q165^2+(Y155+U165)^2)/(AE158*(AA163/100)))</f>
        <v>462.49125823949447</v>
      </c>
      <c r="S176" s="4806"/>
      <c r="T176" s="4806"/>
      <c r="U176" s="4806"/>
      <c r="V176" s="1463" t="str">
        <f>IF(R176="","",INT(R176*9.80665)/1000&amp;"［KN］")</f>
        <v>4.535［KN］</v>
      </c>
      <c r="W176" s="1462"/>
      <c r="X176" s="1420"/>
      <c r="Y176" s="1447"/>
      <c r="Z176" s="1444" t="str">
        <f>IF(J143="",""," 2.ボルト引張応力 σ[Kgf/cm2]")</f>
        <v xml:space="preserve"> 2.ボルト引張応力 σ[Kgf/cm2]</v>
      </c>
      <c r="AA176" s="1420"/>
      <c r="AB176" s="1420"/>
      <c r="AC176" s="1420"/>
      <c r="AD176" s="1420"/>
      <c r="AE176" s="1420"/>
      <c r="AF176" s="1419"/>
    </row>
    <row r="177" spans="1:34" s="1565" customFormat="1" ht="15" customHeight="1">
      <c r="B177" s="4574"/>
      <c r="C177" s="1571">
        <v>46</v>
      </c>
      <c r="D177" s="1460"/>
      <c r="E177" s="1424"/>
      <c r="F177" s="1461"/>
      <c r="G177" s="1414"/>
      <c r="H177" s="1414"/>
      <c r="I177" s="1424"/>
      <c r="J177" s="1414"/>
      <c r="K177" s="1424"/>
      <c r="L177" s="1424"/>
      <c r="M177" s="1460"/>
      <c r="N177" s="1424"/>
      <c r="O177" s="1459"/>
      <c r="P177" s="1458"/>
      <c r="Q177" s="1446"/>
      <c r="R177" s="1424"/>
      <c r="S177" s="1424"/>
      <c r="T177" s="1424"/>
      <c r="U177" s="1446"/>
      <c r="V177" s="1424"/>
      <c r="W177" s="1424"/>
      <c r="X177" s="1424"/>
      <c r="Y177" s="1445"/>
      <c r="Z177" s="1420"/>
      <c r="AA177" s="1457"/>
      <c r="AB177" s="1456" t="str">
        <f>IF(AA163="","","σ:Rb/A=")</f>
        <v>σ:Rb/A=</v>
      </c>
      <c r="AC177" s="4807">
        <f>IF(AA163="","",AB172/(AA163/100))</f>
        <v>408.78838117580659</v>
      </c>
      <c r="AD177" s="4807"/>
      <c r="AE177" s="4801" t="str">
        <f>IF(AE158="","","ft=1800")</f>
        <v>ft=1800</v>
      </c>
      <c r="AF177" s="4808"/>
    </row>
    <row r="178" spans="1:34" s="1565" customFormat="1" ht="15" customHeight="1">
      <c r="B178" s="4574"/>
      <c r="C178" s="1571">
        <v>47</v>
      </c>
      <c r="D178" s="1420"/>
      <c r="E178" s="1420"/>
      <c r="F178" s="1455" t="s">
        <v>1875</v>
      </c>
      <c r="G178" s="1454"/>
      <c r="H178" s="1454"/>
      <c r="I178" s="1449"/>
      <c r="J178" s="1453" t="s">
        <v>1874</v>
      </c>
      <c r="K178" s="1420"/>
      <c r="L178" s="1420"/>
      <c r="M178" s="1420"/>
      <c r="N178" s="1420"/>
      <c r="O178" s="1427"/>
      <c r="P178" s="1424"/>
      <c r="Q178" s="1424"/>
      <c r="R178" s="1452"/>
      <c r="S178" s="1451"/>
      <c r="T178" s="1424"/>
      <c r="U178" s="1446"/>
      <c r="V178" s="1424"/>
      <c r="W178" s="1424"/>
      <c r="X178" s="1424"/>
      <c r="Y178" s="1423"/>
      <c r="Z178" s="1420"/>
      <c r="AA178" s="1420"/>
      <c r="AB178" s="1450"/>
      <c r="AC178" s="1449"/>
      <c r="AD178" s="1429" t="str">
        <f>IF(AA165="","","安全率 Ｓfσ（ft/σ)=")</f>
        <v>安全率 Ｓfσ（ft/σ)=</v>
      </c>
      <c r="AE178" s="4809">
        <f>IF(AA163="","",INT(1000*AC167/AC177)/1000)</f>
        <v>4.4029999999999996</v>
      </c>
      <c r="AF178" s="4810"/>
    </row>
    <row r="179" spans="1:34" s="1565" customFormat="1" ht="15" customHeight="1">
      <c r="B179" s="4574"/>
      <c r="C179" s="1571">
        <v>48</v>
      </c>
      <c r="D179" s="1420"/>
      <c r="E179" s="1420"/>
      <c r="F179" s="1420"/>
      <c r="G179" s="1420"/>
      <c r="H179" s="1420"/>
      <c r="I179" s="1420"/>
      <c r="J179" s="1420"/>
      <c r="K179" s="1420"/>
      <c r="L179" s="1420"/>
      <c r="M179" s="1420"/>
      <c r="N179" s="1420"/>
      <c r="O179" s="1427"/>
      <c r="P179" s="1424"/>
      <c r="Q179" s="1424"/>
      <c r="R179" s="1424"/>
      <c r="S179" s="1424"/>
      <c r="T179" s="1424"/>
      <c r="U179" s="1446"/>
      <c r="V179" s="1424"/>
      <c r="W179" s="1424"/>
      <c r="X179" s="1424"/>
      <c r="Y179" s="1423"/>
      <c r="Z179" s="1420"/>
      <c r="AA179" s="1422" t="str">
        <f>IF(AA163="","",IF(AC167&gt;AC177,"σ≦ft で 合格","σ＞ft で 不合格"))</f>
        <v>σ≦ft で 合格</v>
      </c>
      <c r="AB179" s="1420"/>
      <c r="AC179" s="1420"/>
      <c r="AD179" s="1420"/>
      <c r="AE179" s="1420"/>
      <c r="AF179" s="1419"/>
    </row>
    <row r="180" spans="1:34" s="1565" customFormat="1" ht="15" customHeight="1">
      <c r="B180" s="4574"/>
      <c r="C180" s="1571">
        <v>49</v>
      </c>
      <c r="D180" s="1420"/>
      <c r="E180" s="1420"/>
      <c r="F180" s="1443" t="str">
        <f>IF(Q165="","",Q165&amp;" × ("&amp;V158&amp;"－"&amp;AC155&amp;")")</f>
        <v>480 × (1200－550)</v>
      </c>
      <c r="G180" s="1420"/>
      <c r="H180" s="1420"/>
      <c r="I180" s="1420"/>
      <c r="J180" s="1420"/>
      <c r="K180" s="1443" t="str">
        <f>IF(Y155="","","("&amp;Y155&amp;"+"&amp;U165&amp;") × "&amp;AE155)</f>
        <v>(240+240) × 100</v>
      </c>
      <c r="L180" s="1420"/>
      <c r="M180" s="1420"/>
      <c r="N180" s="1420"/>
      <c r="O180" s="1427"/>
      <c r="P180" s="1424"/>
      <c r="Q180" s="1424"/>
      <c r="R180" s="1424"/>
      <c r="S180" s="1424"/>
      <c r="T180" s="1424"/>
      <c r="U180" s="1446"/>
      <c r="V180" s="1424"/>
      <c r="W180" s="1424"/>
      <c r="X180" s="1424"/>
      <c r="Y180" s="1423"/>
      <c r="Z180" s="1424"/>
      <c r="AA180" s="1424"/>
      <c r="AB180" s="1424"/>
      <c r="AC180" s="1424"/>
      <c r="AD180" s="1424"/>
      <c r="AE180" s="1424"/>
      <c r="AF180" s="1448"/>
    </row>
    <row r="181" spans="1:34" s="1565" customFormat="1" ht="15" customHeight="1">
      <c r="B181" s="4574"/>
      <c r="C181" s="1571">
        <v>50</v>
      </c>
      <c r="D181" s="1447"/>
      <c r="E181" s="1420"/>
      <c r="F181" s="4605" t="str">
        <f>IF(V158="","",V158&amp;"×"&amp;Y158)</f>
        <v>1200×2</v>
      </c>
      <c r="G181" s="4605"/>
      <c r="H181" s="4605"/>
      <c r="I181" s="4605"/>
      <c r="J181" s="1420"/>
      <c r="K181" s="4605" t="str">
        <f>IF(V158="","",V158&amp;" × "&amp;Y158)</f>
        <v>1200 × 2</v>
      </c>
      <c r="L181" s="4605"/>
      <c r="M181" s="4605"/>
      <c r="N181" s="1420"/>
      <c r="O181" s="1427"/>
      <c r="P181" s="1424"/>
      <c r="Q181" s="1424"/>
      <c r="R181" s="1424"/>
      <c r="S181" s="1424"/>
      <c r="T181" s="1424"/>
      <c r="U181" s="1446"/>
      <c r="V181" s="1424"/>
      <c r="W181" s="1424"/>
      <c r="X181" s="1424"/>
      <c r="Y181" s="1445"/>
      <c r="Z181" s="1444" t="str">
        <f>IF(J143="",""," 3.ボルトせん断応力 τ[Kgf/cm2]")</f>
        <v xml:space="preserve"> 3.ボルトせん断応力 τ[Kgf/cm2]</v>
      </c>
      <c r="AA181" s="1420"/>
      <c r="AB181" s="1420"/>
      <c r="AC181" s="1420"/>
      <c r="AD181" s="1420"/>
      <c r="AE181" s="1420"/>
      <c r="AF181" s="1419"/>
    </row>
    <row r="182" spans="1:34" s="1565" customFormat="1" ht="15" customHeight="1">
      <c r="B182" s="4574"/>
      <c r="C182" s="1571">
        <v>51</v>
      </c>
      <c r="D182" s="1420"/>
      <c r="E182" s="1420"/>
      <c r="F182" s="1443">
        <f>IF(AB158="","",((Q165*(V158-AC155))/(V158*Y158))+(((Y155+U165)*AE155)/(V158*Y158)))</f>
        <v>150</v>
      </c>
      <c r="G182" s="1420"/>
      <c r="H182" s="1420"/>
      <c r="I182" s="1442" t="str">
        <f>IF(F182="","",INT(F182*9.80665)/1000&amp;"［KN］")</f>
        <v>1.47［KN］</v>
      </c>
      <c r="J182" s="1442"/>
      <c r="K182" s="1420"/>
      <c r="L182" s="1420"/>
      <c r="M182" s="1420"/>
      <c r="N182" s="1420"/>
      <c r="O182" s="1441"/>
      <c r="P182" s="1440"/>
      <c r="Q182" s="1440"/>
      <c r="R182" s="1439"/>
      <c r="S182" s="1439"/>
      <c r="T182" s="1439"/>
      <c r="U182" s="1439"/>
      <c r="V182" s="1439"/>
      <c r="W182" s="1424"/>
      <c r="X182" s="1424"/>
      <c r="Y182" s="1423"/>
      <c r="Z182" s="1420"/>
      <c r="AA182" s="1438" t="str">
        <f>IF(R176="","","τ:")</f>
        <v>τ:</v>
      </c>
      <c r="AB182" s="4811">
        <f>IF(R176="","",R176)</f>
        <v>462.49125823949447</v>
      </c>
      <c r="AC182" s="4811"/>
      <c r="AD182" s="1437" t="str">
        <f>IF(AE167="","","fs:")</f>
        <v>fs:</v>
      </c>
      <c r="AE182" s="4812">
        <f>IF(AE167="","",AE167)</f>
        <v>1350</v>
      </c>
      <c r="AF182" s="4813"/>
    </row>
    <row r="183" spans="1:34" s="1565" customFormat="1" ht="15" customHeight="1">
      <c r="B183" s="4574"/>
      <c r="C183" s="1571">
        <v>52</v>
      </c>
      <c r="D183" s="1424"/>
      <c r="E183" s="1424"/>
      <c r="F183" s="1433"/>
      <c r="G183" s="1436"/>
      <c r="H183" s="1436"/>
      <c r="I183" s="4814"/>
      <c r="J183" s="4814"/>
      <c r="K183" s="1424"/>
      <c r="L183" s="1424"/>
      <c r="M183" s="1436"/>
      <c r="N183" s="1436"/>
      <c r="O183" s="1435"/>
      <c r="P183" s="1434"/>
      <c r="Q183" s="1434"/>
      <c r="R183" s="1433"/>
      <c r="S183" s="1433"/>
      <c r="T183" s="1433"/>
      <c r="U183" s="1433"/>
      <c r="V183" s="1433"/>
      <c r="W183" s="1424"/>
      <c r="X183" s="1424"/>
      <c r="Y183" s="1423"/>
      <c r="Z183" s="1420"/>
      <c r="AA183" s="1432"/>
      <c r="AB183" s="1431"/>
      <c r="AC183" s="1430"/>
      <c r="AD183" s="1429" t="str">
        <f>IF(AA165="","","安全率 Ｓfτ（fs/τ)=")</f>
        <v>安全率 Ｓfτ（fs/τ)=</v>
      </c>
      <c r="AE183" s="4809">
        <f>IF(AA165="","",INT(1000*AE167/AB182)/1000)</f>
        <v>2.9180000000000001</v>
      </c>
      <c r="AF183" s="4810"/>
    </row>
    <row r="184" spans="1:34" s="1565" customFormat="1" ht="15" customHeight="1">
      <c r="B184" s="4574"/>
      <c r="C184" s="1571">
        <v>53</v>
      </c>
      <c r="D184" s="1420"/>
      <c r="E184" s="1422" t="str">
        <f>IF(F182="","",IF(F175&gt;F182,"　Ｒb1＞Ｒb2 より Ｒb=Ｒb1 とする。","　Ｒb1＜Ｒb2 より Ｒb=Ｒb2 とする。"))</f>
        <v>　Ｒb1＜Ｒb2 より Ｒb=Ｒb2 とする。</v>
      </c>
      <c r="F184" s="1420"/>
      <c r="G184" s="1420"/>
      <c r="H184" s="1420"/>
      <c r="I184" s="1421"/>
      <c r="J184" s="1421"/>
      <c r="K184" s="1420"/>
      <c r="L184" s="1420"/>
      <c r="M184" s="1418"/>
      <c r="N184" s="1420"/>
      <c r="O184" s="1427"/>
      <c r="P184" s="1424"/>
      <c r="Q184" s="1424"/>
      <c r="R184" s="1425"/>
      <c r="S184" s="1425"/>
      <c r="T184" s="1425"/>
      <c r="U184" s="1426"/>
      <c r="V184" s="1425"/>
      <c r="W184" s="1424"/>
      <c r="X184" s="1424"/>
      <c r="Y184" s="1423"/>
      <c r="Z184" s="1420"/>
      <c r="AA184" s="1422" t="str">
        <f>IF(AA163="","",IF(AE182&gt;AB182,"τ≦fs で 合格","τ＞fs で 不合格"))</f>
        <v>τ≦fs で 合格</v>
      </c>
      <c r="AB184" s="1420"/>
      <c r="AC184" s="1421"/>
      <c r="AD184" s="1421"/>
      <c r="AE184" s="1420"/>
      <c r="AF184" s="1419"/>
    </row>
    <row r="185" spans="1:34" s="1565" customFormat="1" ht="15" customHeight="1">
      <c r="B185" s="4574"/>
      <c r="C185" s="1571">
        <v>54</v>
      </c>
      <c r="D185" s="1410"/>
      <c r="E185" s="1412"/>
      <c r="F185" s="1410"/>
      <c r="G185" s="1410"/>
      <c r="H185" s="1410"/>
      <c r="I185" s="1411"/>
      <c r="J185" s="1411"/>
      <c r="K185" s="1410"/>
      <c r="L185" s="1410"/>
      <c r="M185" s="1418"/>
      <c r="N185" s="1410"/>
      <c r="O185" s="1417"/>
      <c r="P185" s="1414"/>
      <c r="Q185" s="1414"/>
      <c r="R185" s="1415"/>
      <c r="S185" s="1415"/>
      <c r="T185" s="1415"/>
      <c r="U185" s="1416"/>
      <c r="V185" s="1415"/>
      <c r="W185" s="1414"/>
      <c r="X185" s="1414"/>
      <c r="Y185" s="1413"/>
      <c r="Z185" s="1410"/>
      <c r="AA185" s="1412"/>
      <c r="AB185" s="1410"/>
      <c r="AC185" s="1411"/>
      <c r="AD185" s="1411"/>
      <c r="AE185" s="1410"/>
      <c r="AF185" s="1409"/>
    </row>
    <row r="186" spans="1:34" s="1565" customFormat="1" ht="15" customHeight="1">
      <c r="B186" s="4574"/>
      <c r="C186" s="1638">
        <v>55</v>
      </c>
      <c r="D186" s="1570"/>
      <c r="E186" s="1568"/>
      <c r="F186" s="1568"/>
      <c r="G186" s="1568"/>
      <c r="H186" s="1568"/>
      <c r="I186" s="1568"/>
      <c r="J186" s="1568"/>
      <c r="K186" s="1568"/>
      <c r="L186" s="1568"/>
      <c r="M186" s="1568"/>
      <c r="N186" s="1568"/>
      <c r="O186" s="1568"/>
      <c r="P186" s="1568"/>
      <c r="Q186" s="1568"/>
      <c r="R186" s="1568"/>
      <c r="S186" s="1568"/>
      <c r="T186" s="1568"/>
      <c r="U186" s="1569"/>
      <c r="V186" s="1568"/>
      <c r="W186" s="1568"/>
      <c r="X186" s="1568"/>
      <c r="Y186" s="1568"/>
      <c r="Z186" s="1568"/>
      <c r="AA186" s="1568"/>
      <c r="AB186" s="1568"/>
      <c r="AC186" s="1568"/>
      <c r="AD186" s="1406" t="s">
        <v>1654</v>
      </c>
      <c r="AE186" s="1568"/>
      <c r="AF186" s="1567"/>
    </row>
    <row r="187" spans="1:34" s="1565" customFormat="1" ht="4.5" customHeight="1">
      <c r="B187" s="4574"/>
      <c r="U187" s="1566"/>
    </row>
    <row r="188" spans="1:34" s="1565" customFormat="1" ht="15" customHeight="1">
      <c r="A188" s="5236"/>
      <c r="B188" s="4574" t="s">
        <v>1837</v>
      </c>
      <c r="C188" s="1557" t="s">
        <v>1836</v>
      </c>
      <c r="D188" s="1557"/>
      <c r="E188" s="1557"/>
      <c r="F188" s="1553"/>
      <c r="G188" s="1556" t="s">
        <v>1655</v>
      </c>
      <c r="H188" s="1556"/>
      <c r="I188" s="1637"/>
      <c r="J188" s="1637"/>
      <c r="K188" s="4535" t="str">
        <f>$K$2</f>
        <v>企業名-1を入力してください。</v>
      </c>
      <c r="L188" s="4535"/>
      <c r="M188" s="4535"/>
      <c r="N188" s="4535"/>
      <c r="O188" s="4535"/>
      <c r="P188" s="4535"/>
      <c r="Q188" s="4535"/>
      <c r="R188" s="4535"/>
      <c r="S188" s="4535"/>
      <c r="T188" s="4535"/>
      <c r="U188" s="4535"/>
      <c r="V188" s="4535"/>
      <c r="W188" s="4535"/>
      <c r="X188" s="4535"/>
      <c r="Y188" s="4535"/>
      <c r="Z188" s="1418"/>
      <c r="AA188" s="1418"/>
      <c r="AB188" s="1418"/>
      <c r="AC188" s="1548" t="str">
        <f>$AC$2</f>
        <v>Date :</v>
      </c>
      <c r="AD188" s="4347">
        <f ca="1">$AD$2</f>
        <v>44092.955785416663</v>
      </c>
      <c r="AE188" s="4347"/>
      <c r="AF188" s="4347"/>
    </row>
    <row r="189" spans="1:34" s="1565" customFormat="1" ht="11.25" customHeight="1">
      <c r="A189" s="5236"/>
      <c r="B189" s="4574"/>
      <c r="C189" s="1554"/>
      <c r="D189" s="1553"/>
      <c r="E189" s="1553"/>
      <c r="F189" s="1553"/>
      <c r="G189" s="1552"/>
      <c r="H189" s="1552"/>
      <c r="I189" s="1636"/>
      <c r="J189" s="1636"/>
      <c r="K189" s="4536" t="str">
        <f>$K$3</f>
        <v>企業名-2を入力してください。</v>
      </c>
      <c r="L189" s="4536"/>
      <c r="M189" s="4536"/>
      <c r="N189" s="4536"/>
      <c r="O189" s="4536"/>
      <c r="P189" s="4536"/>
      <c r="Q189" s="4536"/>
      <c r="R189" s="4536"/>
      <c r="S189" s="4536"/>
      <c r="T189" s="4536"/>
      <c r="U189" s="4536"/>
      <c r="V189" s="4536"/>
      <c r="W189" s="4536"/>
      <c r="X189" s="4536"/>
      <c r="Y189" s="4536"/>
      <c r="Z189" s="1418"/>
      <c r="AA189" s="1550"/>
      <c r="AB189" s="1549"/>
      <c r="AC189" s="1548" t="str">
        <f>$AC$3</f>
        <v xml:space="preserve">    TELEPHONE:</v>
      </c>
      <c r="AD189" s="4571" t="str">
        <f>$AD$3</f>
        <v>0nn-nnnn-nnnn</v>
      </c>
      <c r="AE189" s="4571"/>
      <c r="AF189" s="4571"/>
    </row>
    <row r="190" spans="1:34" s="1565" customFormat="1" ht="15" customHeight="1" thickBot="1">
      <c r="A190" s="5236"/>
      <c r="B190" s="4574"/>
      <c r="C190" s="4572" t="s">
        <v>1835</v>
      </c>
      <c r="D190" s="4572"/>
      <c r="E190" s="4572"/>
      <c r="F190" s="4572"/>
      <c r="G190" s="4572"/>
      <c r="H190" s="4572"/>
      <c r="I190" s="4572"/>
      <c r="J190" s="4572"/>
      <c r="K190" s="4537" t="str">
        <f>$K$4</f>
        <v>企業または現場住所を入力してください。</v>
      </c>
      <c r="L190" s="4537"/>
      <c r="M190" s="4537"/>
      <c r="N190" s="4537"/>
      <c r="O190" s="4537"/>
      <c r="P190" s="4537"/>
      <c r="Q190" s="4537"/>
      <c r="R190" s="4537"/>
      <c r="S190" s="4537"/>
      <c r="T190" s="4537"/>
      <c r="U190" s="4537"/>
      <c r="V190" s="4537"/>
      <c r="W190" s="4537"/>
      <c r="X190" s="4537"/>
      <c r="Y190" s="4537"/>
      <c r="Z190" s="1547"/>
      <c r="AA190" s="1546"/>
      <c r="AB190" s="1546"/>
      <c r="AC190" s="1545" t="str">
        <f>$AC$4</f>
        <v>　　FACSIMILE:</v>
      </c>
      <c r="AD190" s="1544" t="str">
        <f>$AD$4</f>
        <v>0nn-nnnn-nnnn</v>
      </c>
      <c r="AE190" s="1543"/>
      <c r="AF190" s="118"/>
    </row>
    <row r="191" spans="1:34" s="1565" customFormat="1" ht="18" customHeight="1" thickBot="1">
      <c r="A191" s="5236"/>
      <c r="B191" s="4574"/>
      <c r="C191" s="1635">
        <v>1</v>
      </c>
      <c r="D191" s="4635" t="s">
        <v>1747</v>
      </c>
      <c r="E191" s="4636"/>
      <c r="F191" s="4636"/>
      <c r="G191" s="4636"/>
      <c r="H191" s="4637"/>
      <c r="I191" s="4575" t="s">
        <v>1746</v>
      </c>
      <c r="J191" s="4576"/>
      <c r="K191" s="4577"/>
      <c r="L191" s="4578"/>
      <c r="M191" s="4578"/>
      <c r="N191" s="4578"/>
      <c r="O191" s="4578"/>
      <c r="P191" s="4578"/>
      <c r="Q191" s="4578"/>
      <c r="R191" s="4578"/>
      <c r="S191" s="4578"/>
      <c r="T191" s="4578"/>
      <c r="U191" s="4578"/>
      <c r="V191" s="4579"/>
      <c r="W191" s="4580" t="s">
        <v>1902</v>
      </c>
      <c r="X191" s="4581"/>
      <c r="Y191" s="4581"/>
      <c r="Z191" s="4581"/>
      <c r="AA191" s="4581"/>
      <c r="AB191" s="4581"/>
      <c r="AC191" s="4582"/>
      <c r="AD191" s="4590" t="s">
        <v>1901</v>
      </c>
      <c r="AE191" s="4591"/>
      <c r="AF191" s="4592"/>
      <c r="AH191" s="1206" t="s">
        <v>1383</v>
      </c>
    </row>
    <row r="192" spans="1:34" s="1565" customFormat="1" ht="15" customHeight="1" thickBot="1">
      <c r="A192" s="5236"/>
      <c r="B192" s="4574"/>
      <c r="C192" s="1634">
        <v>2</v>
      </c>
      <c r="D192" s="4638"/>
      <c r="E192" s="4639"/>
      <c r="F192" s="4639"/>
      <c r="G192" s="4639"/>
      <c r="H192" s="4640"/>
      <c r="I192" s="4596" t="s">
        <v>1744</v>
      </c>
      <c r="J192" s="4597"/>
      <c r="K192" s="4598"/>
      <c r="L192" s="4599"/>
      <c r="M192" s="4600"/>
      <c r="N192" s="4596" t="s">
        <v>1900</v>
      </c>
      <c r="O192" s="4601"/>
      <c r="P192" s="4601"/>
      <c r="Q192" s="4601"/>
      <c r="R192" s="4597"/>
      <c r="S192" s="4602" t="s">
        <v>1899</v>
      </c>
      <c r="T192" s="4603"/>
      <c r="U192" s="4603"/>
      <c r="V192" s="4604"/>
      <c r="W192" s="4583"/>
      <c r="X192" s="4584"/>
      <c r="Y192" s="4584"/>
      <c r="Z192" s="4584"/>
      <c r="AA192" s="4584"/>
      <c r="AB192" s="4584"/>
      <c r="AC192" s="4585"/>
      <c r="AD192" s="4593"/>
      <c r="AE192" s="4594"/>
      <c r="AF192" s="4595"/>
    </row>
    <row r="193" spans="1:32" s="1565" customFormat="1" ht="15" customHeight="1">
      <c r="A193" s="5236"/>
      <c r="B193" s="4574"/>
      <c r="C193" s="1571">
        <v>3</v>
      </c>
      <c r="D193" s="1633"/>
      <c r="E193" s="1632"/>
      <c r="F193" s="1632"/>
      <c r="G193" s="1632"/>
      <c r="H193" s="1632"/>
      <c r="I193" s="1632"/>
      <c r="J193" s="1632"/>
      <c r="K193" s="1632"/>
      <c r="L193" s="1632"/>
      <c r="M193" s="1632"/>
      <c r="N193" s="1631"/>
      <c r="O193" s="1629"/>
      <c r="P193" s="1629"/>
      <c r="Q193" s="1629"/>
      <c r="R193" s="1629"/>
      <c r="S193" s="1629"/>
      <c r="T193" s="1629"/>
      <c r="U193" s="1630"/>
      <c r="V193" s="1629"/>
      <c r="W193" s="1629"/>
      <c r="X193" s="1629"/>
      <c r="Y193" s="1629"/>
      <c r="Z193" s="1629"/>
      <c r="AA193" s="1629"/>
      <c r="AB193" s="1629"/>
      <c r="AC193" s="1629"/>
      <c r="AD193" s="1629"/>
      <c r="AE193" s="1629"/>
      <c r="AF193" s="1628"/>
    </row>
    <row r="194" spans="1:32" s="1565" customFormat="1" ht="15" customHeight="1">
      <c r="A194" s="5236"/>
      <c r="B194" s="4574"/>
      <c r="C194" s="1571">
        <v>4</v>
      </c>
      <c r="D194" s="1475" t="s">
        <v>1898</v>
      </c>
      <c r="E194" s="1605"/>
      <c r="F194" s="1605"/>
      <c r="G194" s="1605"/>
      <c r="H194" s="1605"/>
      <c r="I194" s="1605"/>
      <c r="J194" s="1605"/>
      <c r="K194" s="1605"/>
      <c r="L194" s="1605"/>
      <c r="M194" s="1605"/>
      <c r="N194" s="1604"/>
      <c r="O194" s="1605"/>
      <c r="P194" s="1605"/>
      <c r="Q194" s="1605"/>
      <c r="R194" s="1605"/>
      <c r="S194" s="1605"/>
      <c r="T194" s="1605"/>
      <c r="U194" s="1475"/>
      <c r="V194" s="1605"/>
      <c r="W194" s="1605"/>
      <c r="X194" s="1605"/>
      <c r="Y194" s="1605"/>
      <c r="Z194" s="1605"/>
      <c r="AA194" s="1605"/>
      <c r="AB194" s="1605"/>
      <c r="AC194" s="1605"/>
      <c r="AD194" s="1605"/>
      <c r="AE194" s="1605"/>
      <c r="AF194" s="1620"/>
    </row>
    <row r="195" spans="1:32" s="1565" customFormat="1" ht="15" customHeight="1">
      <c r="A195" s="5236"/>
      <c r="B195" s="4574"/>
      <c r="C195" s="1571">
        <v>5</v>
      </c>
      <c r="D195" s="1624" t="s">
        <v>1830</v>
      </c>
      <c r="E195" s="1605"/>
      <c r="F195" s="1605"/>
      <c r="G195" s="1605"/>
      <c r="H195" s="1605"/>
      <c r="I195" s="1605"/>
      <c r="J195" s="1605"/>
      <c r="K195" s="1605"/>
      <c r="L195" s="1605"/>
      <c r="M195" s="1605"/>
      <c r="N195" s="1604"/>
      <c r="O195" s="1605"/>
      <c r="P195" s="1605"/>
      <c r="Q195" s="1605"/>
      <c r="R195" s="1605"/>
      <c r="S195" s="1605"/>
      <c r="T195" s="1605"/>
      <c r="U195" s="1475"/>
      <c r="V195" s="1605"/>
      <c r="W195" s="1605"/>
      <c r="X195" s="1605"/>
      <c r="Y195" s="1605"/>
      <c r="Z195" s="1605"/>
      <c r="AA195" s="1605"/>
      <c r="AB195" s="1605"/>
      <c r="AC195" s="1605"/>
      <c r="AD195" s="1605"/>
      <c r="AE195" s="1605"/>
      <c r="AF195" s="1620"/>
    </row>
    <row r="196" spans="1:32" s="1565" customFormat="1" ht="15" customHeight="1">
      <c r="A196" s="5236"/>
      <c r="B196" s="4574"/>
      <c r="C196" s="1571">
        <v>6</v>
      </c>
      <c r="D196" s="1627" t="s">
        <v>1829</v>
      </c>
      <c r="E196" s="1605"/>
      <c r="F196" s="1605"/>
      <c r="G196" s="1605"/>
      <c r="H196" s="1605"/>
      <c r="I196" s="1605"/>
      <c r="J196" s="1605"/>
      <c r="K196" s="1605"/>
      <c r="L196" s="1605"/>
      <c r="M196" s="1605"/>
      <c r="N196" s="1604"/>
      <c r="O196" s="1605"/>
      <c r="P196" s="1605"/>
      <c r="Q196" s="1605"/>
      <c r="R196" s="1605"/>
      <c r="S196" s="1605"/>
      <c r="T196" s="1605"/>
      <c r="U196" s="1475"/>
      <c r="V196" s="1605"/>
      <c r="W196" s="1605"/>
      <c r="X196" s="1605"/>
      <c r="Y196" s="1605"/>
      <c r="Z196" s="1605"/>
      <c r="AA196" s="1605"/>
      <c r="AB196" s="1605"/>
      <c r="AC196" s="1605"/>
      <c r="AD196" s="1605"/>
      <c r="AE196" s="1605"/>
      <c r="AF196" s="1620"/>
    </row>
    <row r="197" spans="1:32" s="1565" customFormat="1" ht="15" customHeight="1">
      <c r="A197" s="5236"/>
      <c r="B197" s="4574"/>
      <c r="C197" s="1571">
        <v>7</v>
      </c>
      <c r="D197" s="1624" t="s">
        <v>1828</v>
      </c>
      <c r="E197" s="1605"/>
      <c r="F197" s="1605"/>
      <c r="G197" s="1605"/>
      <c r="H197" s="1605"/>
      <c r="I197" s="1605"/>
      <c r="J197" s="1605"/>
      <c r="K197" s="1605"/>
      <c r="L197" s="1605"/>
      <c r="M197" s="1605"/>
      <c r="N197" s="1604"/>
      <c r="O197" s="1605"/>
      <c r="P197" s="1605"/>
      <c r="Q197" s="1605"/>
      <c r="R197" s="1605"/>
      <c r="S197" s="1605"/>
      <c r="T197" s="1605"/>
      <c r="U197" s="1475"/>
      <c r="V197" s="1605"/>
      <c r="W197" s="1605"/>
      <c r="X197" s="1605"/>
      <c r="Y197" s="1605"/>
      <c r="Z197" s="1605"/>
      <c r="AA197" s="1605"/>
      <c r="AB197" s="1605"/>
      <c r="AC197" s="1605"/>
      <c r="AD197" s="1605"/>
      <c r="AE197" s="1605"/>
      <c r="AF197" s="1620"/>
    </row>
    <row r="198" spans="1:32" s="1565" customFormat="1" ht="15" customHeight="1">
      <c r="A198" s="5236"/>
      <c r="B198" s="4574"/>
      <c r="C198" s="1571">
        <v>8</v>
      </c>
      <c r="D198" s="1627" t="s">
        <v>1827</v>
      </c>
      <c r="E198" s="1605"/>
      <c r="F198" s="1605"/>
      <c r="G198" s="1605"/>
      <c r="H198" s="1605"/>
      <c r="I198" s="1605"/>
      <c r="J198" s="1605"/>
      <c r="K198" s="1605"/>
      <c r="L198" s="1605"/>
      <c r="M198" s="1605"/>
      <c r="N198" s="1604"/>
      <c r="O198" s="1605"/>
      <c r="P198" s="1605"/>
      <c r="Q198" s="1605"/>
      <c r="R198" s="1605"/>
      <c r="S198" s="1605"/>
      <c r="T198" s="1605"/>
      <c r="U198" s="1475"/>
      <c r="V198" s="1605"/>
      <c r="W198" s="1605"/>
      <c r="X198" s="1605"/>
      <c r="Y198" s="1605"/>
      <c r="Z198" s="1605"/>
      <c r="AA198" s="1605"/>
      <c r="AB198" s="1605"/>
      <c r="AC198" s="1605"/>
      <c r="AD198" s="1605"/>
      <c r="AE198" s="1605"/>
      <c r="AF198" s="1620"/>
    </row>
    <row r="199" spans="1:32" s="1565" customFormat="1" ht="15" customHeight="1">
      <c r="A199" s="5236"/>
      <c r="B199" s="4574"/>
      <c r="C199" s="1571">
        <v>9</v>
      </c>
      <c r="D199" s="1626"/>
      <c r="E199" s="1622"/>
      <c r="F199" s="1622"/>
      <c r="G199" s="1622"/>
      <c r="H199" s="1622"/>
      <c r="I199" s="1622"/>
      <c r="J199" s="1622"/>
      <c r="K199" s="1622"/>
      <c r="L199" s="1622"/>
      <c r="M199" s="1622"/>
      <c r="N199" s="1621"/>
      <c r="O199" s="1605"/>
      <c r="P199" s="1605"/>
      <c r="Q199" s="1605"/>
      <c r="R199" s="1605"/>
      <c r="S199" s="1605"/>
      <c r="T199" s="1605"/>
      <c r="U199" s="1475"/>
      <c r="V199" s="1605"/>
      <c r="W199" s="1605"/>
      <c r="X199" s="1605"/>
      <c r="Y199" s="1605"/>
      <c r="Z199" s="1605"/>
      <c r="AA199" s="1605"/>
      <c r="AB199" s="1605"/>
      <c r="AC199" s="1605"/>
      <c r="AD199" s="1605"/>
      <c r="AE199" s="1605"/>
      <c r="AF199" s="1620"/>
    </row>
    <row r="200" spans="1:32" s="1565" customFormat="1" ht="15" customHeight="1">
      <c r="A200" s="5236"/>
      <c r="B200" s="4574"/>
      <c r="C200" s="1571">
        <v>10</v>
      </c>
      <c r="D200" s="1626"/>
      <c r="E200" s="1622"/>
      <c r="F200" s="1622"/>
      <c r="G200" s="1625"/>
      <c r="H200" s="1625"/>
      <c r="I200" s="1625"/>
      <c r="J200" s="1625"/>
      <c r="K200" s="1622"/>
      <c r="L200" s="1622"/>
      <c r="M200" s="1622"/>
      <c r="N200" s="1621"/>
      <c r="O200" s="1605"/>
      <c r="P200" s="1605"/>
      <c r="Q200" s="1605"/>
      <c r="R200" s="1605"/>
      <c r="S200" s="1605"/>
      <c r="T200" s="1605"/>
      <c r="U200" s="1475"/>
      <c r="V200" s="1605"/>
      <c r="W200" s="1605"/>
      <c r="X200" s="1605"/>
      <c r="Y200" s="1605"/>
      <c r="Z200" s="1605"/>
      <c r="AA200" s="1605"/>
      <c r="AB200" s="1605"/>
      <c r="AC200" s="1605"/>
      <c r="AD200" s="1605"/>
      <c r="AE200" s="1605"/>
      <c r="AF200" s="1620"/>
    </row>
    <row r="201" spans="1:32" s="1565" customFormat="1" ht="15" customHeight="1">
      <c r="A201" s="5236"/>
      <c r="B201" s="4574"/>
      <c r="C201" s="1571">
        <v>11</v>
      </c>
      <c r="D201" s="1626"/>
      <c r="E201" s="1622"/>
      <c r="F201" s="1622"/>
      <c r="G201" s="1625"/>
      <c r="H201" s="1625"/>
      <c r="I201" s="1625"/>
      <c r="J201" s="1625"/>
      <c r="K201" s="1622"/>
      <c r="L201" s="1622"/>
      <c r="M201" s="1622"/>
      <c r="N201" s="1621"/>
      <c r="O201" s="1605"/>
      <c r="P201" s="1605"/>
      <c r="Q201" s="1605"/>
      <c r="R201" s="1605"/>
      <c r="S201" s="1605"/>
      <c r="T201" s="1605"/>
      <c r="U201" s="1475"/>
      <c r="V201" s="1605"/>
      <c r="W201" s="1605"/>
      <c r="X201" s="1605"/>
      <c r="Y201" s="1605"/>
      <c r="Z201" s="1605"/>
      <c r="AA201" s="1605"/>
      <c r="AB201" s="1605"/>
      <c r="AC201" s="1605"/>
      <c r="AD201" s="1605"/>
      <c r="AE201" s="1605"/>
      <c r="AF201" s="1620"/>
    </row>
    <row r="202" spans="1:32" s="1565" customFormat="1" ht="15" customHeight="1">
      <c r="A202" s="5236"/>
      <c r="B202" s="4574"/>
      <c r="C202" s="1571">
        <v>12</v>
      </c>
      <c r="D202" s="1626"/>
      <c r="E202" s="1622"/>
      <c r="F202" s="1622"/>
      <c r="G202" s="1625"/>
      <c r="H202" s="1625"/>
      <c r="I202" s="1625"/>
      <c r="J202" s="1625"/>
      <c r="K202" s="1622"/>
      <c r="L202" s="1622"/>
      <c r="M202" s="1622"/>
      <c r="N202" s="1621"/>
      <c r="O202" s="1605"/>
      <c r="P202" s="1605"/>
      <c r="Q202" s="1605"/>
      <c r="R202" s="1605"/>
      <c r="S202" s="1605"/>
      <c r="T202" s="1605"/>
      <c r="U202" s="1475"/>
      <c r="V202" s="1605"/>
      <c r="W202" s="1605"/>
      <c r="X202" s="1605"/>
      <c r="Y202" s="1605"/>
      <c r="Z202" s="1605"/>
      <c r="AA202" s="1605"/>
      <c r="AB202" s="1605"/>
      <c r="AC202" s="1605"/>
      <c r="AD202" s="1605"/>
      <c r="AE202" s="1605"/>
      <c r="AF202" s="1620"/>
    </row>
    <row r="203" spans="1:32" s="1565" customFormat="1" ht="15" customHeight="1">
      <c r="A203" s="5236"/>
      <c r="B203" s="4574"/>
      <c r="C203" s="1571">
        <v>13</v>
      </c>
      <c r="D203" s="1626"/>
      <c r="E203" s="1622"/>
      <c r="F203" s="1622"/>
      <c r="G203" s="1625"/>
      <c r="H203" s="1625"/>
      <c r="I203" s="1625"/>
      <c r="J203" s="1625"/>
      <c r="K203" s="1622"/>
      <c r="L203" s="1622"/>
      <c r="M203" s="1622"/>
      <c r="N203" s="1621"/>
      <c r="O203" s="1605"/>
      <c r="P203" s="1605"/>
      <c r="Q203" s="1605"/>
      <c r="R203" s="1605"/>
      <c r="S203" s="1605"/>
      <c r="T203" s="1605"/>
      <c r="U203" s="1475"/>
      <c r="V203" s="1605"/>
      <c r="W203" s="1605"/>
      <c r="X203" s="1605"/>
      <c r="Y203" s="1605"/>
      <c r="Z203" s="1605"/>
      <c r="AA203" s="1605"/>
      <c r="AB203" s="1605"/>
      <c r="AC203" s="1605"/>
      <c r="AD203" s="1605"/>
      <c r="AE203" s="1605"/>
      <c r="AF203" s="1620"/>
    </row>
    <row r="204" spans="1:32" s="1565" customFormat="1" ht="15" customHeight="1">
      <c r="A204" s="5236"/>
      <c r="B204" s="4574"/>
      <c r="C204" s="1571">
        <v>14</v>
      </c>
      <c r="D204" s="1475" t="s">
        <v>1826</v>
      </c>
      <c r="E204" s="1605"/>
      <c r="F204" s="1605"/>
      <c r="G204" s="1605"/>
      <c r="H204" s="1605"/>
      <c r="I204" s="1605"/>
      <c r="J204" s="1618"/>
      <c r="K204" s="1605"/>
      <c r="L204" s="1605"/>
      <c r="M204" s="1605"/>
      <c r="N204" s="1604"/>
      <c r="O204" s="1605"/>
      <c r="P204" s="1605"/>
      <c r="Q204" s="1605"/>
      <c r="R204" s="1605"/>
      <c r="S204" s="1605"/>
      <c r="T204" s="1605"/>
      <c r="U204" s="1475"/>
      <c r="V204" s="1605"/>
      <c r="W204" s="1605"/>
      <c r="X204" s="1605"/>
      <c r="Y204" s="1605"/>
      <c r="Z204" s="1605"/>
      <c r="AA204" s="1605"/>
      <c r="AB204" s="1605"/>
      <c r="AC204" s="1605"/>
      <c r="AD204" s="1605"/>
      <c r="AE204" s="1605"/>
      <c r="AF204" s="1620"/>
    </row>
    <row r="205" spans="1:32" s="1565" customFormat="1" ht="15" customHeight="1">
      <c r="A205" s="5236"/>
      <c r="B205" s="4574"/>
      <c r="C205" s="1571">
        <v>15</v>
      </c>
      <c r="D205" s="1624" t="s">
        <v>1825</v>
      </c>
      <c r="E205" s="1605"/>
      <c r="F205" s="1605"/>
      <c r="G205" s="1605"/>
      <c r="H205" s="1605"/>
      <c r="I205" s="1606" t="s">
        <v>1824</v>
      </c>
      <c r="J205" s="1623"/>
      <c r="K205" s="1475" t="s">
        <v>1821</v>
      </c>
      <c r="L205" s="1605"/>
      <c r="M205" s="1605"/>
      <c r="N205" s="1604"/>
      <c r="O205" s="1605"/>
      <c r="P205" s="1605"/>
      <c r="Q205" s="1605"/>
      <c r="R205" s="1605"/>
      <c r="S205" s="1605"/>
      <c r="T205" s="1605"/>
      <c r="U205" s="1475"/>
      <c r="V205" s="1605"/>
      <c r="W205" s="1605"/>
      <c r="X205" s="1605"/>
      <c r="Y205" s="1605"/>
      <c r="Z205" s="1605"/>
      <c r="AA205" s="1605"/>
      <c r="AB205" s="1605"/>
      <c r="AC205" s="1605"/>
      <c r="AD205" s="1605"/>
      <c r="AE205" s="1605"/>
      <c r="AF205" s="1620"/>
    </row>
    <row r="206" spans="1:32" s="1565" customFormat="1" ht="15" customHeight="1">
      <c r="A206" s="5236"/>
      <c r="B206" s="4574"/>
      <c r="C206" s="1571">
        <v>16</v>
      </c>
      <c r="D206" s="1624" t="s">
        <v>1823</v>
      </c>
      <c r="E206" s="1605"/>
      <c r="F206" s="1605"/>
      <c r="G206" s="1605"/>
      <c r="H206" s="1605"/>
      <c r="I206" s="1606" t="s">
        <v>1822</v>
      </c>
      <c r="J206" s="1623"/>
      <c r="K206" s="1475" t="s">
        <v>1821</v>
      </c>
      <c r="L206" s="1605"/>
      <c r="M206" s="1605"/>
      <c r="N206" s="1604"/>
      <c r="O206" s="1605"/>
      <c r="P206" s="1605"/>
      <c r="Q206" s="1605"/>
      <c r="R206" s="1605"/>
      <c r="S206" s="1605"/>
      <c r="T206" s="1605"/>
      <c r="U206" s="1475"/>
      <c r="V206" s="1605"/>
      <c r="W206" s="4605" t="str">
        <f>IF(Y217="","",INT(Y217*9.80665)/1000&amp;"[KN]")</f>
        <v/>
      </c>
      <c r="X206" s="4605"/>
      <c r="Y206" s="4605"/>
      <c r="Z206" s="1605"/>
      <c r="AA206" s="1605"/>
      <c r="AB206" s="1605"/>
      <c r="AC206" s="1605"/>
      <c r="AD206" s="1605"/>
      <c r="AE206" s="1605"/>
      <c r="AF206" s="1620"/>
    </row>
    <row r="207" spans="1:32" s="1565" customFormat="1" ht="15" customHeight="1">
      <c r="A207" s="5236"/>
      <c r="B207" s="4574"/>
      <c r="C207" s="1571">
        <v>17</v>
      </c>
      <c r="D207" s="1446"/>
      <c r="E207" s="1622"/>
      <c r="F207" s="1622"/>
      <c r="G207" s="1622"/>
      <c r="H207" s="1622"/>
      <c r="I207" s="1622"/>
      <c r="J207" s="1622"/>
      <c r="K207" s="1622"/>
      <c r="L207" s="1622"/>
      <c r="M207" s="1622"/>
      <c r="N207" s="1621"/>
      <c r="O207" s="1605"/>
      <c r="P207" s="1605"/>
      <c r="Q207" s="1605"/>
      <c r="R207" s="1605"/>
      <c r="S207" s="1605"/>
      <c r="T207" s="1605"/>
      <c r="U207" s="1475"/>
      <c r="V207" s="1605"/>
      <c r="W207" s="1605"/>
      <c r="X207" s="1605"/>
      <c r="Y207" s="1605"/>
      <c r="Z207" s="1605"/>
      <c r="AA207" s="1605"/>
      <c r="AB207" s="1605"/>
      <c r="AC207" s="1605"/>
      <c r="AD207" s="1605"/>
      <c r="AE207" s="1605"/>
      <c r="AF207" s="1620"/>
    </row>
    <row r="208" spans="1:32" s="1565" customFormat="1" ht="15" customHeight="1">
      <c r="A208" s="5236"/>
      <c r="B208" s="4574"/>
      <c r="C208" s="1571">
        <v>18</v>
      </c>
      <c r="D208" s="1446"/>
      <c r="E208" s="1622"/>
      <c r="F208" s="1622"/>
      <c r="G208" s="1622"/>
      <c r="H208" s="1622"/>
      <c r="I208" s="1622"/>
      <c r="J208" s="1622"/>
      <c r="K208" s="1622"/>
      <c r="L208" s="1622"/>
      <c r="M208" s="1622"/>
      <c r="N208" s="1621"/>
      <c r="O208" s="1605"/>
      <c r="P208" s="1605"/>
      <c r="Q208" s="1605"/>
      <c r="R208" s="1605"/>
      <c r="S208" s="1605"/>
      <c r="T208" s="1605"/>
      <c r="U208" s="1475"/>
      <c r="V208" s="1605"/>
      <c r="W208" s="1605"/>
      <c r="X208" s="1605"/>
      <c r="Y208" s="1605"/>
      <c r="Z208" s="1605"/>
      <c r="AA208" s="1605"/>
      <c r="AB208" s="1605"/>
      <c r="AC208" s="1605"/>
      <c r="AD208" s="1605"/>
      <c r="AE208" s="1605"/>
      <c r="AF208" s="1620"/>
    </row>
    <row r="209" spans="1:32" s="1565" customFormat="1" ht="15" customHeight="1">
      <c r="A209" s="5236"/>
      <c r="B209" s="4574"/>
      <c r="C209" s="1571">
        <v>19</v>
      </c>
      <c r="D209" s="1446"/>
      <c r="E209" s="1622"/>
      <c r="F209" s="1622"/>
      <c r="G209" s="1622"/>
      <c r="H209" s="1622"/>
      <c r="I209" s="1622"/>
      <c r="J209" s="1622"/>
      <c r="K209" s="1622"/>
      <c r="L209" s="1622"/>
      <c r="M209" s="1622"/>
      <c r="N209" s="1621"/>
      <c r="O209" s="1605"/>
      <c r="P209" s="1605"/>
      <c r="Q209" s="1605"/>
      <c r="R209" s="1605"/>
      <c r="S209" s="1605"/>
      <c r="T209" s="1605"/>
      <c r="U209" s="1475"/>
      <c r="V209" s="1605"/>
      <c r="W209" s="1605"/>
      <c r="X209" s="1605"/>
      <c r="Y209" s="1605"/>
      <c r="Z209" s="1605"/>
      <c r="AA209" s="1605"/>
      <c r="AB209" s="1605"/>
      <c r="AC209" s="1605"/>
      <c r="AD209" s="1605"/>
      <c r="AE209" s="1605"/>
      <c r="AF209" s="1620"/>
    </row>
    <row r="210" spans="1:32" s="1565" customFormat="1" ht="15" customHeight="1">
      <c r="A210" s="5236"/>
      <c r="B210" s="4574"/>
      <c r="C210" s="1571">
        <v>20</v>
      </c>
      <c r="D210" s="1622"/>
      <c r="E210" s="1622"/>
      <c r="F210" s="1622"/>
      <c r="G210" s="1622"/>
      <c r="H210" s="1622"/>
      <c r="I210" s="1622"/>
      <c r="J210" s="1622"/>
      <c r="K210" s="1622"/>
      <c r="L210" s="1622"/>
      <c r="M210" s="1622"/>
      <c r="N210" s="1621"/>
      <c r="O210" s="1605"/>
      <c r="P210" s="1605"/>
      <c r="Q210" s="1605"/>
      <c r="R210" s="1605"/>
      <c r="S210" s="1605"/>
      <c r="T210" s="1605"/>
      <c r="U210" s="1475"/>
      <c r="V210" s="1605"/>
      <c r="W210" s="1605"/>
      <c r="X210" s="1605"/>
      <c r="Y210" s="1605"/>
      <c r="Z210" s="1605"/>
      <c r="AA210" s="1605"/>
      <c r="AB210" s="1605"/>
      <c r="AC210" s="1443"/>
      <c r="AD210" s="1605"/>
      <c r="AE210" s="1605"/>
      <c r="AF210" s="1620"/>
    </row>
    <row r="211" spans="1:32" s="1565" customFormat="1" ht="15" customHeight="1">
      <c r="A211" s="5236"/>
      <c r="B211" s="4574"/>
      <c r="C211" s="1571">
        <v>21</v>
      </c>
      <c r="D211" s="1605"/>
      <c r="E211" s="1616" t="s">
        <v>1820</v>
      </c>
      <c r="F211" s="1608" t="s">
        <v>1819</v>
      </c>
      <c r="G211" s="1605"/>
      <c r="H211" s="1605"/>
      <c r="I211" s="1605"/>
      <c r="J211" s="1605"/>
      <c r="K211" s="1605"/>
      <c r="L211" s="1605"/>
      <c r="M211" s="1605"/>
      <c r="N211" s="1604"/>
      <c r="O211" s="1605"/>
      <c r="P211" s="1605"/>
      <c r="Q211" s="1605"/>
      <c r="R211" s="1605"/>
      <c r="S211" s="1605"/>
      <c r="T211" s="1605"/>
      <c r="U211" s="1475"/>
      <c r="V211" s="1605"/>
      <c r="W211" s="1605"/>
      <c r="X211" s="1605"/>
      <c r="Y211" s="1605"/>
      <c r="Z211" s="1605"/>
      <c r="AA211" s="1605"/>
      <c r="AB211" s="1605"/>
      <c r="AC211" s="1605"/>
      <c r="AD211" s="1605"/>
      <c r="AE211" s="1605"/>
      <c r="AF211" s="1620"/>
    </row>
    <row r="212" spans="1:32" s="1565" customFormat="1" ht="15" customHeight="1">
      <c r="A212" s="5236"/>
      <c r="B212" s="4574"/>
      <c r="C212" s="1571">
        <v>22</v>
      </c>
      <c r="D212" s="1605"/>
      <c r="E212" s="1616" t="s">
        <v>1818</v>
      </c>
      <c r="F212" s="1608" t="s">
        <v>1817</v>
      </c>
      <c r="G212" s="1605"/>
      <c r="H212" s="1605"/>
      <c r="I212" s="1605"/>
      <c r="J212" s="1605"/>
      <c r="K212" s="1605"/>
      <c r="L212" s="1605"/>
      <c r="M212" s="1605"/>
      <c r="N212" s="1604"/>
      <c r="O212" s="1618"/>
      <c r="P212" s="1618"/>
      <c r="Q212" s="1618"/>
      <c r="R212" s="1618"/>
      <c r="S212" s="1618"/>
      <c r="T212" s="1618"/>
      <c r="U212" s="1619"/>
      <c r="V212" s="1618"/>
      <c r="W212" s="1618"/>
      <c r="X212" s="1618"/>
      <c r="Y212" s="1618"/>
      <c r="Z212" s="1618"/>
      <c r="AA212" s="1618"/>
      <c r="AB212" s="1618"/>
      <c r="AC212" s="1618"/>
      <c r="AD212" s="1618"/>
      <c r="AE212" s="1618"/>
      <c r="AF212" s="1617"/>
    </row>
    <row r="213" spans="1:32" s="1565" customFormat="1" ht="15" customHeight="1">
      <c r="A213" s="5236"/>
      <c r="B213" s="4574"/>
      <c r="C213" s="1571">
        <v>23</v>
      </c>
      <c r="D213" s="1605"/>
      <c r="E213" s="1616"/>
      <c r="F213" s="1608"/>
      <c r="G213" s="1605"/>
      <c r="H213" s="1605"/>
      <c r="I213" s="1605"/>
      <c r="J213" s="1605"/>
      <c r="K213" s="1605"/>
      <c r="L213" s="1605"/>
      <c r="M213" s="1605"/>
      <c r="N213" s="1604"/>
      <c r="O213" s="4606" t="s">
        <v>1727</v>
      </c>
      <c r="P213" s="4607"/>
      <c r="Q213" s="4607"/>
      <c r="R213" s="4607"/>
      <c r="S213" s="4607"/>
      <c r="T213" s="4607"/>
      <c r="U213" s="4607"/>
      <c r="V213" s="4607"/>
      <c r="W213" s="4607"/>
      <c r="X213" s="4608"/>
      <c r="Y213" s="4608" t="s">
        <v>1816</v>
      </c>
      <c r="Z213" s="4615"/>
      <c r="AA213" s="4618" t="s">
        <v>1815</v>
      </c>
      <c r="AB213" s="4618"/>
      <c r="AC213" s="4618" t="s">
        <v>1814</v>
      </c>
      <c r="AD213" s="4621"/>
      <c r="AE213" s="4621" t="s">
        <v>1813</v>
      </c>
      <c r="AF213" s="4624"/>
    </row>
    <row r="214" spans="1:32" s="1565" customFormat="1" ht="15" customHeight="1">
      <c r="A214" s="5236"/>
      <c r="B214" s="4574"/>
      <c r="C214" s="1571">
        <v>24</v>
      </c>
      <c r="D214" s="1605"/>
      <c r="E214" s="1471" t="s">
        <v>1812</v>
      </c>
      <c r="F214" s="1608" t="s">
        <v>1811</v>
      </c>
      <c r="G214" s="1605"/>
      <c r="H214" s="1605"/>
      <c r="I214" s="1605"/>
      <c r="J214" s="1605"/>
      <c r="K214" s="1605"/>
      <c r="L214" s="1605"/>
      <c r="M214" s="1605"/>
      <c r="N214" s="1604"/>
      <c r="O214" s="4609"/>
      <c r="P214" s="4610"/>
      <c r="Q214" s="4610"/>
      <c r="R214" s="4610"/>
      <c r="S214" s="4610"/>
      <c r="T214" s="4610"/>
      <c r="U214" s="4610"/>
      <c r="V214" s="4610"/>
      <c r="W214" s="4610"/>
      <c r="X214" s="4611"/>
      <c r="Y214" s="4611"/>
      <c r="Z214" s="4616"/>
      <c r="AA214" s="4619"/>
      <c r="AB214" s="4619"/>
      <c r="AC214" s="4619"/>
      <c r="AD214" s="4622"/>
      <c r="AE214" s="4622"/>
      <c r="AF214" s="4625"/>
    </row>
    <row r="215" spans="1:32" s="1565" customFormat="1" ht="15" customHeight="1">
      <c r="A215" s="5236"/>
      <c r="B215" s="4574"/>
      <c r="C215" s="1571">
        <v>25</v>
      </c>
      <c r="D215" s="1605"/>
      <c r="E215" s="1471" t="s">
        <v>1810</v>
      </c>
      <c r="F215" s="1608" t="s">
        <v>1809</v>
      </c>
      <c r="G215" s="1605"/>
      <c r="H215" s="1605"/>
      <c r="I215" s="1605"/>
      <c r="J215" s="1605"/>
      <c r="K215" s="1605"/>
      <c r="L215" s="1605"/>
      <c r="M215" s="1605"/>
      <c r="N215" s="1604"/>
      <c r="O215" s="4612"/>
      <c r="P215" s="4613"/>
      <c r="Q215" s="4613"/>
      <c r="R215" s="4613"/>
      <c r="S215" s="4613"/>
      <c r="T215" s="4613"/>
      <c r="U215" s="4613"/>
      <c r="V215" s="4613"/>
      <c r="W215" s="4613"/>
      <c r="X215" s="4614"/>
      <c r="Y215" s="4614"/>
      <c r="Z215" s="4617"/>
      <c r="AA215" s="4620"/>
      <c r="AB215" s="4620"/>
      <c r="AC215" s="4620"/>
      <c r="AD215" s="4623"/>
      <c r="AE215" s="4623"/>
      <c r="AF215" s="4626"/>
    </row>
    <row r="216" spans="1:32" s="1565" customFormat="1" ht="15" customHeight="1">
      <c r="A216" s="5236"/>
      <c r="B216" s="4574"/>
      <c r="C216" s="1571">
        <v>26</v>
      </c>
      <c r="D216" s="1605"/>
      <c r="E216" s="1471" t="s">
        <v>1808</v>
      </c>
      <c r="F216" s="1475" t="s">
        <v>1807</v>
      </c>
      <c r="G216" s="1605"/>
      <c r="H216" s="1605"/>
      <c r="I216" s="1605"/>
      <c r="J216" s="1605"/>
      <c r="K216" s="1605"/>
      <c r="L216" s="1605"/>
      <c r="M216" s="1605"/>
      <c r="N216" s="1604"/>
      <c r="O216" s="4627" t="s">
        <v>1806</v>
      </c>
      <c r="P216" s="4628"/>
      <c r="Q216" s="4628"/>
      <c r="R216" s="4628"/>
      <c r="S216" s="4629" t="s">
        <v>1805</v>
      </c>
      <c r="T216" s="4628"/>
      <c r="U216" s="4628"/>
      <c r="V216" s="4628"/>
      <c r="W216" s="4630" t="s">
        <v>1804</v>
      </c>
      <c r="X216" s="4631"/>
      <c r="Y216" s="4630" t="s">
        <v>1803</v>
      </c>
      <c r="Z216" s="4632"/>
      <c r="AA216" s="4633" t="s">
        <v>1802</v>
      </c>
      <c r="AB216" s="4634"/>
      <c r="AC216" s="4633" t="s">
        <v>1801</v>
      </c>
      <c r="AD216" s="4634"/>
      <c r="AE216" s="4641" t="s">
        <v>1800</v>
      </c>
      <c r="AF216" s="4642"/>
    </row>
    <row r="217" spans="1:32" s="1565" customFormat="1" ht="15" customHeight="1">
      <c r="A217" s="5236"/>
      <c r="B217" s="4574"/>
      <c r="C217" s="1571">
        <v>27</v>
      </c>
      <c r="D217" s="1605"/>
      <c r="E217" s="1615"/>
      <c r="F217" s="1614"/>
      <c r="G217" s="1605"/>
      <c r="H217" s="1605"/>
      <c r="I217" s="1605"/>
      <c r="J217" s="1605"/>
      <c r="K217" s="1605"/>
      <c r="L217" s="1605"/>
      <c r="M217" s="1605"/>
      <c r="N217" s="1604"/>
      <c r="O217" s="4643"/>
      <c r="P217" s="4644"/>
      <c r="Q217" s="4644"/>
      <c r="R217" s="4645"/>
      <c r="S217" s="4643"/>
      <c r="T217" s="4644"/>
      <c r="U217" s="4644"/>
      <c r="V217" s="4645"/>
      <c r="W217" s="4643"/>
      <c r="X217" s="4645"/>
      <c r="Y217" s="1613"/>
      <c r="Z217" s="1612" t="str">
        <f>IF(Y217="","","[Kg]")</f>
        <v/>
      </c>
      <c r="AA217" s="1611"/>
      <c r="AB217" s="1612" t="str">
        <f>IF(AA217="","","[mm]")</f>
        <v/>
      </c>
      <c r="AC217" s="1611"/>
      <c r="AD217" s="1612" t="str">
        <f>IF(AC217="","","[mm]")</f>
        <v/>
      </c>
      <c r="AE217" s="1611"/>
      <c r="AF217" s="1610" t="str">
        <f>IF(AE217="","","[mm]")</f>
        <v/>
      </c>
    </row>
    <row r="218" spans="1:32" s="1565" customFormat="1" ht="15" customHeight="1">
      <c r="A218" s="5236"/>
      <c r="B218" s="4574"/>
      <c r="C218" s="1571">
        <v>28</v>
      </c>
      <c r="D218" s="1605"/>
      <c r="E218" s="1609" t="s">
        <v>1896</v>
      </c>
      <c r="F218" s="1608" t="s">
        <v>1798</v>
      </c>
      <c r="G218" s="1605"/>
      <c r="H218" s="1605"/>
      <c r="I218" s="1605"/>
      <c r="J218" s="1605"/>
      <c r="K218" s="1605"/>
      <c r="L218" s="1605"/>
      <c r="M218" s="1605"/>
      <c r="N218" s="1604"/>
      <c r="O218" s="4646" t="s">
        <v>1895</v>
      </c>
      <c r="P218" s="4647"/>
      <c r="Q218" s="4647"/>
      <c r="R218" s="4647"/>
      <c r="S218" s="4647"/>
      <c r="T218" s="4647"/>
      <c r="U218" s="4647"/>
      <c r="V218" s="4647"/>
      <c r="W218" s="4647"/>
      <c r="X218" s="4647"/>
      <c r="Y218" s="4648" t="s">
        <v>1894</v>
      </c>
      <c r="Z218" s="4647"/>
      <c r="AA218" s="4647"/>
      <c r="AB218" s="4647"/>
      <c r="AC218" s="4647"/>
      <c r="AD218" s="4649"/>
      <c r="AE218" s="4650" t="s">
        <v>1795</v>
      </c>
      <c r="AF218" s="4651"/>
    </row>
    <row r="219" spans="1:32" s="1565" customFormat="1" ht="15" customHeight="1">
      <c r="A219" s="5236"/>
      <c r="B219" s="4574"/>
      <c r="C219" s="1571">
        <v>29</v>
      </c>
      <c r="D219" s="1605"/>
      <c r="E219" s="1606" t="s">
        <v>1893</v>
      </c>
      <c r="F219" s="1475" t="s">
        <v>1793</v>
      </c>
      <c r="G219" s="1605"/>
      <c r="H219" s="1605"/>
      <c r="I219" s="1605"/>
      <c r="J219" s="1605"/>
      <c r="K219" s="1605"/>
      <c r="L219" s="1605"/>
      <c r="M219" s="1605"/>
      <c r="N219" s="1604"/>
      <c r="O219" s="4586" t="s">
        <v>1792</v>
      </c>
      <c r="P219" s="4587"/>
      <c r="Q219" s="4587"/>
      <c r="R219" s="4587"/>
      <c r="S219" s="4587"/>
      <c r="T219" s="4587"/>
      <c r="U219" s="1607"/>
      <c r="V219" s="4588" t="s">
        <v>1791</v>
      </c>
      <c r="W219" s="4587"/>
      <c r="X219" s="4589"/>
      <c r="Y219" s="4588" t="s">
        <v>1790</v>
      </c>
      <c r="Z219" s="4652"/>
      <c r="AA219" s="4652"/>
      <c r="AB219" s="4588" t="s">
        <v>1789</v>
      </c>
      <c r="AC219" s="4652"/>
      <c r="AD219" s="4652"/>
      <c r="AE219" s="4653" t="s">
        <v>1788</v>
      </c>
      <c r="AF219" s="4654"/>
    </row>
    <row r="220" spans="1:32" s="1565" customFormat="1" ht="15" customHeight="1">
      <c r="A220" s="5236"/>
      <c r="B220" s="4574"/>
      <c r="C220" s="1571">
        <v>30</v>
      </c>
      <c r="D220" s="1605"/>
      <c r="E220" s="1606" t="s">
        <v>1892</v>
      </c>
      <c r="F220" s="1475" t="s">
        <v>1786</v>
      </c>
      <c r="G220" s="1605"/>
      <c r="H220" s="1605"/>
      <c r="I220" s="1605"/>
      <c r="J220" s="1605"/>
      <c r="K220" s="1605"/>
      <c r="L220" s="1605"/>
      <c r="M220" s="1605"/>
      <c r="N220" s="1604"/>
      <c r="O220" s="4655"/>
      <c r="P220" s="4656"/>
      <c r="Q220" s="4656"/>
      <c r="R220" s="4656"/>
      <c r="S220" s="4656"/>
      <c r="T220" s="4657" t="str">
        <f>IF(O220="","","[mm]")</f>
        <v/>
      </c>
      <c r="U220" s="4658"/>
      <c r="V220" s="4659"/>
      <c r="W220" s="4660"/>
      <c r="X220" s="1603" t="str">
        <f>IF(V220="","","[mm]")</f>
        <v/>
      </c>
      <c r="Y220" s="4661"/>
      <c r="Z220" s="4662"/>
      <c r="AA220" s="4663"/>
      <c r="AB220" s="4661"/>
      <c r="AC220" s="4662"/>
      <c r="AD220" s="4663"/>
      <c r="AE220" s="4664" t="str">
        <f>IF(OR(Y220="",AB220=""),"",Y220*AB220)</f>
        <v/>
      </c>
      <c r="AF220" s="4665"/>
    </row>
    <row r="221" spans="1:32" s="1565" customFormat="1" ht="15" customHeight="1">
      <c r="A221" s="5236"/>
      <c r="B221" s="4574"/>
      <c r="C221" s="1571">
        <v>31</v>
      </c>
      <c r="D221" s="1601"/>
      <c r="E221" s="1601"/>
      <c r="F221" s="1601"/>
      <c r="G221" s="1601"/>
      <c r="H221" s="1601"/>
      <c r="I221" s="1601"/>
      <c r="J221" s="1601"/>
      <c r="K221" s="1601"/>
      <c r="L221" s="1601"/>
      <c r="M221" s="1601"/>
      <c r="N221" s="1601"/>
      <c r="O221" s="1601"/>
      <c r="P221" s="1601"/>
      <c r="Q221" s="1601"/>
      <c r="R221" s="1601"/>
      <c r="S221" s="1601"/>
      <c r="T221" s="1601"/>
      <c r="U221" s="1602"/>
      <c r="V221" s="1601"/>
      <c r="W221" s="1601"/>
      <c r="X221" s="1601"/>
      <c r="Y221" s="1601"/>
      <c r="Z221" s="1601"/>
      <c r="AA221" s="1601"/>
      <c r="AB221" s="1601"/>
      <c r="AC221" s="1601"/>
      <c r="AD221" s="1601"/>
      <c r="AE221" s="1601"/>
      <c r="AF221" s="1600"/>
    </row>
    <row r="222" spans="1:32" s="1565" customFormat="1" ht="15" customHeight="1">
      <c r="A222" s="5236"/>
      <c r="B222" s="4574"/>
      <c r="C222" s="1571">
        <v>32</v>
      </c>
      <c r="D222" s="4708" t="s">
        <v>1785</v>
      </c>
      <c r="E222" s="4709"/>
      <c r="F222" s="4709"/>
      <c r="G222" s="4709"/>
      <c r="H222" s="4709"/>
      <c r="I222" s="4710"/>
      <c r="J222" s="4752" t="s">
        <v>1784</v>
      </c>
      <c r="K222" s="4754" t="s">
        <v>1681</v>
      </c>
      <c r="L222" s="4709"/>
      <c r="M222" s="4709"/>
      <c r="N222" s="4710"/>
      <c r="O222" s="4754" t="s">
        <v>1680</v>
      </c>
      <c r="P222" s="4709"/>
      <c r="Q222" s="4709"/>
      <c r="R222" s="4709"/>
      <c r="S222" s="4709"/>
      <c r="T222" s="4709"/>
      <c r="U222" s="4709"/>
      <c r="V222" s="4710"/>
      <c r="W222" s="4666" t="s">
        <v>1783</v>
      </c>
      <c r="X222" s="4667"/>
      <c r="Y222" s="4667"/>
      <c r="Z222" s="4667"/>
      <c r="AA222" s="4667"/>
      <c r="AB222" s="4667"/>
      <c r="AC222" s="4667"/>
      <c r="AD222" s="4667"/>
      <c r="AE222" s="4667"/>
      <c r="AF222" s="4668"/>
    </row>
    <row r="223" spans="1:32" s="1565" customFormat="1" ht="15" customHeight="1">
      <c r="B223" s="4574"/>
      <c r="C223" s="1571">
        <v>33</v>
      </c>
      <c r="D223" s="1599"/>
      <c r="E223" s="1598"/>
      <c r="F223" s="4669" t="s">
        <v>1891</v>
      </c>
      <c r="G223" s="4669" t="s">
        <v>1890</v>
      </c>
      <c r="H223" s="1596"/>
      <c r="I223" s="4679" t="s">
        <v>1889</v>
      </c>
      <c r="J223" s="4753"/>
      <c r="K223" s="4731" t="s">
        <v>1677</v>
      </c>
      <c r="L223" s="4732"/>
      <c r="M223" s="4685" t="s">
        <v>1676</v>
      </c>
      <c r="N223" s="4686"/>
      <c r="O223" s="4691" t="s">
        <v>1675</v>
      </c>
      <c r="P223" s="4692"/>
      <c r="Q223" s="4692"/>
      <c r="R223" s="4693"/>
      <c r="S223" s="4694" t="s">
        <v>1841</v>
      </c>
      <c r="T223" s="4692"/>
      <c r="U223" s="4692"/>
      <c r="V223" s="4695"/>
      <c r="W223" s="4696" t="s">
        <v>1779</v>
      </c>
      <c r="X223" s="4697"/>
      <c r="Y223" s="4700" t="s">
        <v>1888</v>
      </c>
      <c r="Z223" s="4697"/>
      <c r="AA223" s="4703" t="s">
        <v>1777</v>
      </c>
      <c r="AB223" s="4704"/>
      <c r="AC223" s="4670" t="s">
        <v>1776</v>
      </c>
      <c r="AD223" s="4671"/>
      <c r="AE223" s="4671" t="s">
        <v>1775</v>
      </c>
      <c r="AF223" s="4676"/>
    </row>
    <row r="224" spans="1:32" s="1565" customFormat="1" ht="7.5" customHeight="1">
      <c r="B224" s="4574"/>
      <c r="C224" s="4711">
        <v>34</v>
      </c>
      <c r="D224" s="1599"/>
      <c r="E224" s="1598"/>
      <c r="F224" s="4669"/>
      <c r="G224" s="4669"/>
      <c r="H224" s="1596"/>
      <c r="I224" s="4680"/>
      <c r="J224" s="4713">
        <v>1</v>
      </c>
      <c r="K224" s="4733"/>
      <c r="L224" s="4734"/>
      <c r="M224" s="4687"/>
      <c r="N224" s="4688"/>
      <c r="O224" s="4715" t="s">
        <v>1840</v>
      </c>
      <c r="P224" s="4716"/>
      <c r="Q224" s="4716"/>
      <c r="R224" s="4717"/>
      <c r="S224" s="4721" t="s">
        <v>1839</v>
      </c>
      <c r="T224" s="4716"/>
      <c r="U224" s="4716"/>
      <c r="V224" s="4722"/>
      <c r="W224" s="4698"/>
      <c r="X224" s="4699"/>
      <c r="Y224" s="4701"/>
      <c r="Z224" s="4702"/>
      <c r="AA224" s="4701"/>
      <c r="AB224" s="4705"/>
      <c r="AC224" s="4672"/>
      <c r="AD224" s="4673"/>
      <c r="AE224" s="4673"/>
      <c r="AF224" s="4677"/>
    </row>
    <row r="225" spans="2:32" s="1565" customFormat="1" ht="8.25" customHeight="1">
      <c r="B225" s="4574"/>
      <c r="C225" s="4712"/>
      <c r="D225" s="1599"/>
      <c r="E225" s="1598"/>
      <c r="F225" s="1597"/>
      <c r="G225" s="1597"/>
      <c r="H225" s="1596"/>
      <c r="I225" s="1596"/>
      <c r="J225" s="4714"/>
      <c r="K225" s="4735"/>
      <c r="L225" s="4736"/>
      <c r="M225" s="4689"/>
      <c r="N225" s="4690"/>
      <c r="O225" s="4718"/>
      <c r="P225" s="4719"/>
      <c r="Q225" s="4719"/>
      <c r="R225" s="4720"/>
      <c r="S225" s="4723"/>
      <c r="T225" s="4719"/>
      <c r="U225" s="4719"/>
      <c r="V225" s="4724"/>
      <c r="W225" s="4725"/>
      <c r="X225" s="4726"/>
      <c r="Y225" s="4729"/>
      <c r="Z225" s="4681"/>
      <c r="AA225" s="4683" t="str">
        <f>IF(Z225="","",0.73*3.141592654*(Z225^2)/4)</f>
        <v/>
      </c>
      <c r="AB225" s="4706" t="s">
        <v>1885</v>
      </c>
      <c r="AC225" s="4672"/>
      <c r="AD225" s="4673"/>
      <c r="AE225" s="4673"/>
      <c r="AF225" s="4677"/>
    </row>
    <row r="226" spans="2:32" s="1565" customFormat="1" ht="7.5" customHeight="1">
      <c r="B226" s="4574"/>
      <c r="C226" s="4711">
        <v>35</v>
      </c>
      <c r="D226" s="4737" t="s">
        <v>1773</v>
      </c>
      <c r="E226" s="4738"/>
      <c r="F226" s="4739">
        <v>2</v>
      </c>
      <c r="G226" s="4739">
        <v>1.5</v>
      </c>
      <c r="H226" s="1587"/>
      <c r="I226" s="4741">
        <v>1</v>
      </c>
      <c r="J226" s="4751">
        <v>0.9</v>
      </c>
      <c r="K226" s="1595"/>
      <c r="L226" s="1594"/>
      <c r="M226" s="1591"/>
      <c r="N226" s="1588"/>
      <c r="O226" s="1593"/>
      <c r="P226" s="1590"/>
      <c r="Q226" s="1590"/>
      <c r="R226" s="1592"/>
      <c r="S226" s="1591"/>
      <c r="T226" s="1590"/>
      <c r="U226" s="1589"/>
      <c r="V226" s="1588"/>
      <c r="W226" s="4727"/>
      <c r="X226" s="4728"/>
      <c r="Y226" s="4730"/>
      <c r="Z226" s="4682"/>
      <c r="AA226" s="4684"/>
      <c r="AB226" s="4707"/>
      <c r="AC226" s="4672"/>
      <c r="AD226" s="4673"/>
      <c r="AE226" s="4673"/>
      <c r="AF226" s="4677"/>
    </row>
    <row r="227" spans="2:32" s="1565" customFormat="1" ht="7.5" customHeight="1">
      <c r="B227" s="4574"/>
      <c r="C227" s="4712"/>
      <c r="D227" s="4745" t="s">
        <v>1884</v>
      </c>
      <c r="E227" s="4746"/>
      <c r="F227" s="4740"/>
      <c r="G227" s="4740"/>
      <c r="H227" s="1586"/>
      <c r="I227" s="4742"/>
      <c r="J227" s="4714"/>
      <c r="K227" s="4749" t="s">
        <v>1668</v>
      </c>
      <c r="L227" s="4792" t="str">
        <f>IF(J206="","",J205*J206)</f>
        <v/>
      </c>
      <c r="M227" s="4763" t="s">
        <v>1666</v>
      </c>
      <c r="N227" s="4794" t="str">
        <f>IF(L227="","",L227/2)</f>
        <v/>
      </c>
      <c r="O227" s="4749" t="s">
        <v>1664</v>
      </c>
      <c r="P227" s="4764"/>
      <c r="Q227" s="4795" t="str">
        <f>IF(Y217="","",L227*Y217)</f>
        <v/>
      </c>
      <c r="R227" s="4796"/>
      <c r="S227" s="4763" t="s">
        <v>1662</v>
      </c>
      <c r="T227" s="4764"/>
      <c r="U227" s="4765" t="str">
        <f>IF(Y217="","",N227*Y217)</f>
        <v/>
      </c>
      <c r="V227" s="4766"/>
      <c r="W227" s="4767" t="s">
        <v>1767</v>
      </c>
      <c r="X227" s="4768"/>
      <c r="Y227" s="4768"/>
      <c r="Z227" s="4769"/>
      <c r="AA227" s="4773" t="str">
        <f>IF(AA225="","",(INT(AA225*0.38*101.9716*100))/100)</f>
        <v/>
      </c>
      <c r="AB227" s="4775" t="s">
        <v>1883</v>
      </c>
      <c r="AC227" s="4672"/>
      <c r="AD227" s="4673"/>
      <c r="AE227" s="4673"/>
      <c r="AF227" s="4677"/>
    </row>
    <row r="228" spans="2:32" s="1565" customFormat="1" ht="7.5" customHeight="1">
      <c r="B228" s="4574"/>
      <c r="C228" s="4711">
        <v>36</v>
      </c>
      <c r="D228" s="4744" t="s">
        <v>1882</v>
      </c>
      <c r="E228" s="4738"/>
      <c r="F228" s="4739">
        <v>1.5</v>
      </c>
      <c r="G228" s="4739">
        <v>1</v>
      </c>
      <c r="H228" s="1587"/>
      <c r="I228" s="4747">
        <v>0.6</v>
      </c>
      <c r="J228" s="4751">
        <v>0.8</v>
      </c>
      <c r="K228" s="4750"/>
      <c r="L228" s="4792"/>
      <c r="M228" s="4793"/>
      <c r="N228" s="4794"/>
      <c r="O228" s="4749"/>
      <c r="P228" s="4764"/>
      <c r="Q228" s="4795"/>
      <c r="R228" s="4796"/>
      <c r="S228" s="4763"/>
      <c r="T228" s="4764"/>
      <c r="U228" s="4765"/>
      <c r="V228" s="4766"/>
      <c r="W228" s="4770"/>
      <c r="X228" s="4771"/>
      <c r="Y228" s="4771"/>
      <c r="Z228" s="4772"/>
      <c r="AA228" s="4774"/>
      <c r="AB228" s="4776"/>
      <c r="AC228" s="4674"/>
      <c r="AD228" s="4675"/>
      <c r="AE228" s="4675"/>
      <c r="AF228" s="4678"/>
    </row>
    <row r="229" spans="2:32" s="1565" customFormat="1" ht="7.5" customHeight="1">
      <c r="B229" s="4574"/>
      <c r="C229" s="4743"/>
      <c r="D229" s="4745"/>
      <c r="E229" s="4746"/>
      <c r="F229" s="4740"/>
      <c r="G229" s="4740"/>
      <c r="H229" s="1586"/>
      <c r="I229" s="4748"/>
      <c r="J229" s="4714"/>
      <c r="K229" s="4791" t="s">
        <v>1881</v>
      </c>
      <c r="L229" s="4759"/>
      <c r="M229" s="4755" t="s">
        <v>1665</v>
      </c>
      <c r="N229" s="4756"/>
      <c r="O229" s="4757" t="s">
        <v>1663</v>
      </c>
      <c r="P229" s="4758"/>
      <c r="Q229" s="4758"/>
      <c r="R229" s="4759"/>
      <c r="S229" s="4755" t="s">
        <v>1661</v>
      </c>
      <c r="T229" s="4758"/>
      <c r="U229" s="4758"/>
      <c r="V229" s="4756"/>
      <c r="W229" s="4760"/>
      <c r="X229" s="4761"/>
      <c r="Y229" s="4761"/>
      <c r="Z229" s="4761"/>
      <c r="AA229" s="4761"/>
      <c r="AB229" s="4762"/>
      <c r="AC229" s="4777"/>
      <c r="AD229" s="4779" t="s">
        <v>1879</v>
      </c>
      <c r="AE229" s="4781"/>
      <c r="AF229" s="4783" t="s">
        <v>1879</v>
      </c>
    </row>
    <row r="230" spans="2:32" s="1565" customFormat="1" ht="15" customHeight="1">
      <c r="B230" s="4574"/>
      <c r="C230" s="1585">
        <v>37</v>
      </c>
      <c r="D230" s="4744" t="s">
        <v>1759</v>
      </c>
      <c r="E230" s="4738"/>
      <c r="F230" s="1584">
        <v>1</v>
      </c>
      <c r="G230" s="1584">
        <v>0.6</v>
      </c>
      <c r="H230" s="1583"/>
      <c r="I230" s="1583">
        <v>0.4</v>
      </c>
      <c r="J230" s="1582">
        <v>0.7</v>
      </c>
      <c r="K230" s="4757"/>
      <c r="L230" s="4759"/>
      <c r="M230" s="4755"/>
      <c r="N230" s="4756"/>
      <c r="O230" s="4757"/>
      <c r="P230" s="4758"/>
      <c r="Q230" s="4758"/>
      <c r="R230" s="4759"/>
      <c r="S230" s="4755"/>
      <c r="T230" s="4758"/>
      <c r="U230" s="4758"/>
      <c r="V230" s="4756"/>
      <c r="W230" s="4760"/>
      <c r="X230" s="4761"/>
      <c r="Y230" s="4761"/>
      <c r="Z230" s="4761"/>
      <c r="AA230" s="4761"/>
      <c r="AB230" s="4762"/>
      <c r="AC230" s="4778"/>
      <c r="AD230" s="4780"/>
      <c r="AE230" s="4782"/>
      <c r="AF230" s="4784"/>
    </row>
    <row r="231" spans="2:32" s="1565" customFormat="1" ht="15" customHeight="1">
      <c r="B231" s="4574"/>
      <c r="C231" s="1571">
        <v>38</v>
      </c>
      <c r="D231" s="1581"/>
      <c r="E231" s="1580"/>
      <c r="F231" s="1579"/>
      <c r="G231" s="1579"/>
      <c r="H231" s="1579"/>
      <c r="I231" s="1579"/>
      <c r="J231" s="1579"/>
      <c r="K231" s="1578"/>
      <c r="L231" s="1578"/>
      <c r="M231" s="1578"/>
      <c r="N231" s="1578"/>
      <c r="O231" s="1578"/>
      <c r="P231" s="1578"/>
      <c r="Q231" s="1578"/>
      <c r="R231" s="1578"/>
      <c r="S231" s="1578"/>
      <c r="T231" s="1578"/>
      <c r="U231" s="1578"/>
      <c r="V231" s="1578"/>
      <c r="W231" s="1577"/>
      <c r="X231" s="1577"/>
      <c r="Y231" s="1577"/>
      <c r="Z231" s="1577"/>
      <c r="AA231" s="1577"/>
      <c r="AB231" s="1577"/>
      <c r="AC231" s="1575"/>
      <c r="AD231" s="1576"/>
      <c r="AE231" s="1575"/>
      <c r="AF231" s="1574"/>
    </row>
    <row r="232" spans="2:32" s="1565" customFormat="1" ht="15" customHeight="1">
      <c r="B232" s="4574"/>
      <c r="C232" s="1571">
        <v>39</v>
      </c>
      <c r="D232" s="4785" t="s">
        <v>1758</v>
      </c>
      <c r="E232" s="4786"/>
      <c r="F232" s="4786"/>
      <c r="G232" s="4786"/>
      <c r="H232" s="4786"/>
      <c r="I232" s="4786"/>
      <c r="J232" s="4786"/>
      <c r="K232" s="4786"/>
      <c r="L232" s="4786"/>
      <c r="M232" s="1573"/>
      <c r="N232" s="1572"/>
      <c r="O232" s="4787" t="s">
        <v>1878</v>
      </c>
      <c r="P232" s="4788"/>
      <c r="Q232" s="4788"/>
      <c r="R232" s="4788"/>
      <c r="S232" s="4788"/>
      <c r="T232" s="4788"/>
      <c r="U232" s="4788"/>
      <c r="V232" s="4788"/>
      <c r="W232" s="4788"/>
      <c r="X232" s="4788"/>
      <c r="Y232" s="4789"/>
      <c r="Z232" s="4787" t="s">
        <v>1756</v>
      </c>
      <c r="AA232" s="4786"/>
      <c r="AB232" s="4786"/>
      <c r="AC232" s="4786"/>
      <c r="AD232" s="4786"/>
      <c r="AE232" s="4786"/>
      <c r="AF232" s="4790"/>
    </row>
    <row r="233" spans="2:32" s="1565" customFormat="1" ht="15" customHeight="1">
      <c r="B233" s="4574"/>
      <c r="C233" s="1571">
        <v>40</v>
      </c>
      <c r="D233" s="1431" t="s">
        <v>1655</v>
      </c>
      <c r="E233" s="1491"/>
      <c r="F233" s="4797" t="s">
        <v>1877</v>
      </c>
      <c r="G233" s="4798"/>
      <c r="H233" s="1493"/>
      <c r="I233" s="1492" t="s">
        <v>1876</v>
      </c>
      <c r="J233" s="1488"/>
      <c r="K233" s="1488"/>
      <c r="L233" s="1431"/>
      <c r="M233" s="1488" t="s">
        <v>1655</v>
      </c>
      <c r="N233" s="1491"/>
      <c r="O233" s="1490"/>
      <c r="P233" s="1489"/>
      <c r="Q233" s="1489"/>
      <c r="R233" s="1485"/>
      <c r="S233" s="1485"/>
      <c r="T233" s="1485"/>
      <c r="U233" s="1485"/>
      <c r="V233" s="1485"/>
      <c r="W233" s="1431"/>
      <c r="X233" s="1431"/>
      <c r="Y233" s="1488" t="s">
        <v>1655</v>
      </c>
      <c r="Z233" s="1487" t="str">
        <f>IF(J205="",""," 1.ボルト引抜力 Rb[Kgf]")</f>
        <v/>
      </c>
      <c r="AA233" s="1486"/>
      <c r="AB233" s="1410"/>
      <c r="AC233" s="1485"/>
      <c r="AD233" s="1485"/>
      <c r="AE233" s="1431"/>
      <c r="AF233" s="1484"/>
    </row>
    <row r="234" spans="2:32" s="1565" customFormat="1" ht="15" customHeight="1">
      <c r="B234" s="4574"/>
      <c r="C234" s="1571">
        <v>41</v>
      </c>
      <c r="D234" s="1420"/>
      <c r="E234" s="1431"/>
      <c r="F234" s="4799"/>
      <c r="G234" s="4800"/>
      <c r="H234" s="1430"/>
      <c r="I234" s="1431"/>
      <c r="J234" s="1431"/>
      <c r="K234" s="1431"/>
      <c r="L234" s="1420"/>
      <c r="M234" s="1420"/>
      <c r="N234" s="1431"/>
      <c r="O234" s="1483"/>
      <c r="P234" s="1482"/>
      <c r="Q234" s="1482"/>
      <c r="R234" s="1465"/>
      <c r="S234" s="1481"/>
      <c r="T234" s="1481"/>
      <c r="U234" s="1481"/>
      <c r="V234" s="1481"/>
      <c r="W234" s="1420"/>
      <c r="X234" s="1420"/>
      <c r="Y234" s="1420"/>
      <c r="Z234" s="1480"/>
      <c r="AA234" s="1457" t="str">
        <f>IF(F244="","",IF(F237&gt;F244,"Rb1:","Rb2:"))</f>
        <v/>
      </c>
      <c r="AB234" s="4801" t="str">
        <f>IF(F237="","",IF(F237&gt;F244,(INT(F237*100))/100,(INT(F244*100))/100))</f>
        <v/>
      </c>
      <c r="AC234" s="4801"/>
      <c r="AD234" s="1479" t="str">
        <f>IF(AA227="","",IF(AB234&lt;AA227,"≦ Ta："&amp;INT(AA227),"≧ Ta："&amp;INT(AA227)))</f>
        <v/>
      </c>
      <c r="AE234" s="1420"/>
      <c r="AF234" s="1419"/>
    </row>
    <row r="235" spans="2:32" s="1565" customFormat="1" ht="15" customHeight="1">
      <c r="B235" s="4574"/>
      <c r="C235" s="1571">
        <v>42</v>
      </c>
      <c r="D235" s="1420"/>
      <c r="E235" s="1420"/>
      <c r="F235" s="1478" t="str">
        <f>IF(L227="","",L227*Y217)</f>
        <v/>
      </c>
      <c r="G235" s="1477" t="str">
        <f>IF(AE217="","","× "&amp;AE217)</f>
        <v/>
      </c>
      <c r="H235" s="1477"/>
      <c r="I235" s="1443" t="str">
        <f>IF(Y217="","","     ("&amp;Y217&amp;"＋"&amp;U227&amp;") × "&amp;AE217)</f>
        <v/>
      </c>
      <c r="J235" s="1477"/>
      <c r="K235" s="1443"/>
      <c r="L235" s="1443"/>
      <c r="M235" s="1420"/>
      <c r="N235" s="1420"/>
      <c r="O235" s="1476"/>
      <c r="P235" s="1467"/>
      <c r="Q235" s="1467"/>
      <c r="R235" s="1467"/>
      <c r="S235" s="1420"/>
      <c r="T235" s="1420"/>
      <c r="U235" s="1475"/>
      <c r="V235" s="1420"/>
      <c r="W235" s="1420"/>
      <c r="X235" s="1420"/>
      <c r="Y235" s="1420"/>
      <c r="Z235" s="1464"/>
      <c r="AA235" s="1474"/>
      <c r="AB235" s="1473"/>
      <c r="AC235" s="1429"/>
      <c r="AD235" s="1429" t="str">
        <f>IF(AA227="","","安全率 ＳfRb（Ta/Rb)=")</f>
        <v/>
      </c>
      <c r="AE235" s="4802" t="str">
        <f>IF(AA227="","",AA227/AB234)</f>
        <v/>
      </c>
      <c r="AF235" s="4803"/>
    </row>
    <row r="236" spans="2:32" s="1565" customFormat="1" ht="15" customHeight="1">
      <c r="B236" s="4574"/>
      <c r="C236" s="1571">
        <v>43</v>
      </c>
      <c r="D236" s="1420"/>
      <c r="E236" s="1420"/>
      <c r="F236" s="4800" t="str">
        <f>IF(O220="","",O220&amp;" × "&amp;AB220)</f>
        <v/>
      </c>
      <c r="G236" s="4800"/>
      <c r="H236" s="1430"/>
      <c r="I236" s="1431"/>
      <c r="J236" s="4605" t="str">
        <f>IF(V220="","",V220&amp;" × "&amp;Y220)</f>
        <v/>
      </c>
      <c r="K236" s="4605"/>
      <c r="L236" s="1420"/>
      <c r="M236" s="1420"/>
      <c r="N236" s="1420"/>
      <c r="O236" s="1464"/>
      <c r="P236" s="1420"/>
      <c r="Q236" s="1420"/>
      <c r="R236" s="1443"/>
      <c r="S236" s="1420"/>
      <c r="T236" s="1471" t="str">
        <f>IF(AE220="","","  "&amp;Q227)</f>
        <v/>
      </c>
      <c r="U236" s="1472" t="str">
        <f>IF(Q227="","","2")</f>
        <v/>
      </c>
      <c r="V236" s="1443" t="str">
        <f>IF(T236="","","＋")</f>
        <v/>
      </c>
      <c r="W236" s="1420"/>
      <c r="X236" s="1471" t="str">
        <f>IF(AE220="","","("&amp;Y217&amp;"＋"&amp;U227&amp;")")</f>
        <v/>
      </c>
      <c r="Y236" s="1470" t="str">
        <f>IF(AE220="","","2")</f>
        <v/>
      </c>
      <c r="Z236" s="1464"/>
      <c r="AA236" s="1469" t="str">
        <f>IF(AA225="","",IF(AA227&gt;AB234,"Rb≦Ta で 合格","Rb＞Ta で 不合格"))</f>
        <v/>
      </c>
      <c r="AB236" s="1420"/>
      <c r="AC236" s="1420"/>
      <c r="AD236" s="1420"/>
      <c r="AE236" s="1420"/>
      <c r="AF236" s="1419"/>
    </row>
    <row r="237" spans="2:32" s="1565" customFormat="1" ht="15" customHeight="1">
      <c r="B237" s="4574"/>
      <c r="C237" s="1571">
        <v>44</v>
      </c>
      <c r="D237" s="1420"/>
      <c r="E237" s="1468"/>
      <c r="F237" s="4804" t="str">
        <f>IF(AB220="","",((Q227*AE217)/(O220*AB220))+(((Y217+U227)*AE217)/(V220*Y220)))</f>
        <v/>
      </c>
      <c r="G237" s="4804"/>
      <c r="H237" s="1467"/>
      <c r="I237" s="1463" t="str">
        <f>IF(F237="","",INT(F237*9.80665)/1000&amp;"［KN］")</f>
        <v/>
      </c>
      <c r="J237" s="1466"/>
      <c r="K237" s="1466"/>
      <c r="L237" s="4805"/>
      <c r="M237" s="4805"/>
      <c r="N237" s="1420"/>
      <c r="O237" s="1464"/>
      <c r="P237" s="1420"/>
      <c r="Q237" s="1420"/>
      <c r="R237" s="1420"/>
      <c r="S237" s="1420"/>
      <c r="T237" s="1465"/>
      <c r="U237" s="1465" t="str">
        <f>IF(AE220="","",AE220&amp;" × "&amp;INT(AA225*1000)/1000)</f>
        <v/>
      </c>
      <c r="V237" s="1420"/>
      <c r="W237" s="1420"/>
      <c r="X237" s="1420"/>
      <c r="Y237" s="1420"/>
      <c r="Z237" s="1427"/>
      <c r="AA237" s="1424"/>
      <c r="AB237" s="1424"/>
      <c r="AC237" s="1424"/>
      <c r="AD237" s="1424"/>
      <c r="AE237" s="1424"/>
      <c r="AF237" s="1448"/>
    </row>
    <row r="238" spans="2:32" s="1565" customFormat="1" ht="15" customHeight="1">
      <c r="B238" s="4574"/>
      <c r="C238" s="1571">
        <v>45</v>
      </c>
      <c r="D238" s="1460"/>
      <c r="E238" s="1424"/>
      <c r="F238" s="1424"/>
      <c r="G238" s="1424"/>
      <c r="H238" s="1424"/>
      <c r="I238" s="1424"/>
      <c r="J238" s="1424"/>
      <c r="K238" s="1424"/>
      <c r="L238" s="1424"/>
      <c r="M238" s="1460"/>
      <c r="N238" s="1424"/>
      <c r="O238" s="1464"/>
      <c r="P238" s="1420"/>
      <c r="Q238" s="1420"/>
      <c r="R238" s="4806" t="str">
        <f>IF(AE220="","",SQRT(Q227^2+(Y217+U227)^2)/(AE220*(AA225/100)))</f>
        <v/>
      </c>
      <c r="S238" s="4806"/>
      <c r="T238" s="4806"/>
      <c r="U238" s="4806"/>
      <c r="V238" s="1463" t="str">
        <f>IF(R238="","",INT(R238*9.80665)/1000&amp;"［KN］")</f>
        <v/>
      </c>
      <c r="W238" s="1462"/>
      <c r="X238" s="1420"/>
      <c r="Y238" s="1447"/>
      <c r="Z238" s="1444" t="str">
        <f>IF(J205="",""," 2.ボルト引張応力 σ[Kgf/cm2]")</f>
        <v/>
      </c>
      <c r="AA238" s="1420"/>
      <c r="AB238" s="1420"/>
      <c r="AC238" s="1420"/>
      <c r="AD238" s="1420"/>
      <c r="AE238" s="1420"/>
      <c r="AF238" s="1419"/>
    </row>
    <row r="239" spans="2:32" s="1565" customFormat="1" ht="15" customHeight="1">
      <c r="B239" s="4574"/>
      <c r="C239" s="1571">
        <v>46</v>
      </c>
      <c r="D239" s="1460"/>
      <c r="E239" s="1424"/>
      <c r="F239" s="1461"/>
      <c r="G239" s="1414"/>
      <c r="H239" s="1414"/>
      <c r="I239" s="1424"/>
      <c r="J239" s="1414"/>
      <c r="K239" s="1424"/>
      <c r="L239" s="1424"/>
      <c r="M239" s="1460"/>
      <c r="N239" s="1424"/>
      <c r="O239" s="1459"/>
      <c r="P239" s="1458"/>
      <c r="Q239" s="1446"/>
      <c r="R239" s="1424"/>
      <c r="S239" s="1424"/>
      <c r="T239" s="1424"/>
      <c r="U239" s="1446"/>
      <c r="V239" s="1424"/>
      <c r="W239" s="1424"/>
      <c r="X239" s="1424"/>
      <c r="Y239" s="1445"/>
      <c r="Z239" s="1420"/>
      <c r="AA239" s="1457"/>
      <c r="AB239" s="1456" t="str">
        <f>IF(AA225="","","σ:Rb/A=")</f>
        <v/>
      </c>
      <c r="AC239" s="4807" t="str">
        <f>IF(AA225="","",AB234/(AA225/100))</f>
        <v/>
      </c>
      <c r="AD239" s="4807"/>
      <c r="AE239" s="4801" t="str">
        <f>IF(AE220="","","ft=1800")</f>
        <v/>
      </c>
      <c r="AF239" s="4808"/>
    </row>
    <row r="240" spans="2:32" s="1565" customFormat="1" ht="15" customHeight="1">
      <c r="B240" s="4574"/>
      <c r="C240" s="1571">
        <v>47</v>
      </c>
      <c r="D240" s="1420"/>
      <c r="E240" s="1420"/>
      <c r="F240" s="1455" t="s">
        <v>1875</v>
      </c>
      <c r="G240" s="1454"/>
      <c r="H240" s="1454"/>
      <c r="I240" s="1449"/>
      <c r="J240" s="1453" t="s">
        <v>1874</v>
      </c>
      <c r="K240" s="1420"/>
      <c r="L240" s="1420"/>
      <c r="M240" s="1420"/>
      <c r="N240" s="1420"/>
      <c r="O240" s="1427"/>
      <c r="P240" s="1424"/>
      <c r="Q240" s="1424"/>
      <c r="R240" s="1452"/>
      <c r="S240" s="1451"/>
      <c r="T240" s="1424"/>
      <c r="U240" s="1446"/>
      <c r="V240" s="1424"/>
      <c r="W240" s="1424"/>
      <c r="X240" s="1424"/>
      <c r="Y240" s="1423"/>
      <c r="Z240" s="1420"/>
      <c r="AA240" s="1420"/>
      <c r="AB240" s="1450"/>
      <c r="AC240" s="1449"/>
      <c r="AD240" s="1429" t="str">
        <f>IF(AA227="","","安全率 Ｓfσ（ft/σ)=")</f>
        <v/>
      </c>
      <c r="AE240" s="4809" t="str">
        <f>IF(AA225="","",INT(1000*AC229/AC239)/1000)</f>
        <v/>
      </c>
      <c r="AF240" s="4810"/>
    </row>
    <row r="241" spans="1:34" s="1565" customFormat="1" ht="15" customHeight="1">
      <c r="B241" s="4574"/>
      <c r="C241" s="1571">
        <v>48</v>
      </c>
      <c r="D241" s="1420"/>
      <c r="E241" s="1420"/>
      <c r="F241" s="1420"/>
      <c r="G241" s="1420"/>
      <c r="H241" s="1420"/>
      <c r="I241" s="1420"/>
      <c r="J241" s="1420"/>
      <c r="K241" s="1420"/>
      <c r="L241" s="1420"/>
      <c r="M241" s="1420"/>
      <c r="N241" s="1420"/>
      <c r="O241" s="1427"/>
      <c r="P241" s="1424"/>
      <c r="Q241" s="1424"/>
      <c r="R241" s="1424"/>
      <c r="S241" s="1424"/>
      <c r="T241" s="1424"/>
      <c r="U241" s="1446"/>
      <c r="V241" s="1424"/>
      <c r="W241" s="1424"/>
      <c r="X241" s="1424"/>
      <c r="Y241" s="1423"/>
      <c r="Z241" s="1420"/>
      <c r="AA241" s="1422" t="str">
        <f>IF(AA225="","",IF(AC229&gt;AC239,"σ≦ft で 合格","σ＞ft で 不合格"))</f>
        <v/>
      </c>
      <c r="AB241" s="1420"/>
      <c r="AC241" s="1420"/>
      <c r="AD241" s="1420"/>
      <c r="AE241" s="1420"/>
      <c r="AF241" s="1419"/>
    </row>
    <row r="242" spans="1:34" s="1565" customFormat="1" ht="15" customHeight="1">
      <c r="B242" s="4574"/>
      <c r="C242" s="1571">
        <v>49</v>
      </c>
      <c r="D242" s="1420"/>
      <c r="E242" s="1420"/>
      <c r="F242" s="1443" t="str">
        <f>IF(Q227="","",Q227&amp;" × ("&amp;V220&amp;"－"&amp;AC217&amp;")")</f>
        <v/>
      </c>
      <c r="G242" s="1420"/>
      <c r="H242" s="1420"/>
      <c r="I242" s="1420"/>
      <c r="J242" s="1420"/>
      <c r="K242" s="1443" t="str">
        <f>IF(Y217="","","("&amp;Y217&amp;"+"&amp;U227&amp;") × "&amp;AE217)</f>
        <v/>
      </c>
      <c r="L242" s="1420"/>
      <c r="M242" s="1420"/>
      <c r="N242" s="1420"/>
      <c r="O242" s="1427"/>
      <c r="P242" s="1424"/>
      <c r="Q242" s="1424"/>
      <c r="R242" s="1424"/>
      <c r="S242" s="1424"/>
      <c r="T242" s="1424"/>
      <c r="U242" s="1446"/>
      <c r="V242" s="1424"/>
      <c r="W242" s="1424"/>
      <c r="X242" s="1424"/>
      <c r="Y242" s="1423"/>
      <c r="Z242" s="1424"/>
      <c r="AA242" s="1424"/>
      <c r="AB242" s="1424"/>
      <c r="AC242" s="1424"/>
      <c r="AD242" s="1424"/>
      <c r="AE242" s="1424"/>
      <c r="AF242" s="1448"/>
    </row>
    <row r="243" spans="1:34" s="1565" customFormat="1" ht="15" customHeight="1">
      <c r="B243" s="4574"/>
      <c r="C243" s="1571">
        <v>50</v>
      </c>
      <c r="D243" s="1447"/>
      <c r="E243" s="1420"/>
      <c r="F243" s="4605" t="str">
        <f>IF(V220="","",V220&amp;"×"&amp;Y220)</f>
        <v/>
      </c>
      <c r="G243" s="4605"/>
      <c r="H243" s="4605"/>
      <c r="I243" s="4605"/>
      <c r="J243" s="1420"/>
      <c r="K243" s="4605" t="str">
        <f>IF(V220="","",V220&amp;" × "&amp;Y220)</f>
        <v/>
      </c>
      <c r="L243" s="4605"/>
      <c r="M243" s="4605"/>
      <c r="N243" s="1420"/>
      <c r="O243" s="1427"/>
      <c r="P243" s="1424"/>
      <c r="Q243" s="1424"/>
      <c r="R243" s="1424"/>
      <c r="S243" s="1424"/>
      <c r="T243" s="1424"/>
      <c r="U243" s="1446"/>
      <c r="V243" s="1424"/>
      <c r="W243" s="1424"/>
      <c r="X243" s="1424"/>
      <c r="Y243" s="1445"/>
      <c r="Z243" s="1444" t="str">
        <f>IF(J205="",""," 3.ボルトせん断応力 τ[Kgf/cm2]")</f>
        <v/>
      </c>
      <c r="AA243" s="1420"/>
      <c r="AB243" s="1420"/>
      <c r="AC243" s="1420"/>
      <c r="AD243" s="1420"/>
      <c r="AE243" s="1420"/>
      <c r="AF243" s="1419"/>
    </row>
    <row r="244" spans="1:34" s="1565" customFormat="1" ht="15" customHeight="1">
      <c r="B244" s="4574"/>
      <c r="C244" s="1571">
        <v>51</v>
      </c>
      <c r="D244" s="1420"/>
      <c r="E244" s="1420"/>
      <c r="F244" s="1443" t="str">
        <f>IF(AB220="","",((Q227*(V220-AC217))/(V220*Y220))+(((Y217+U227)*AE217)/(V220*Y220)))</f>
        <v/>
      </c>
      <c r="G244" s="1420"/>
      <c r="H244" s="1420"/>
      <c r="I244" s="1442" t="str">
        <f>IF(F244="","",INT(F244*9.80665)/1000&amp;"［KN］")</f>
        <v/>
      </c>
      <c r="J244" s="1442"/>
      <c r="K244" s="1420"/>
      <c r="L244" s="1420"/>
      <c r="M244" s="1420"/>
      <c r="N244" s="1420"/>
      <c r="O244" s="1441"/>
      <c r="P244" s="1440"/>
      <c r="Q244" s="1440"/>
      <c r="R244" s="1439"/>
      <c r="S244" s="1439"/>
      <c r="T244" s="1439"/>
      <c r="U244" s="1439"/>
      <c r="V244" s="1439"/>
      <c r="W244" s="1424"/>
      <c r="X244" s="1424"/>
      <c r="Y244" s="1423"/>
      <c r="Z244" s="1420"/>
      <c r="AA244" s="1438" t="str">
        <f>IF(R238="","","τ:")</f>
        <v/>
      </c>
      <c r="AB244" s="4811" t="str">
        <f>IF(R238="","",R238)</f>
        <v/>
      </c>
      <c r="AC244" s="4811"/>
      <c r="AD244" s="1437" t="str">
        <f>IF(AE229="","","fs:")</f>
        <v/>
      </c>
      <c r="AE244" s="4812" t="str">
        <f>IF(AE229="","",AE229)</f>
        <v/>
      </c>
      <c r="AF244" s="4813"/>
    </row>
    <row r="245" spans="1:34" s="1565" customFormat="1" ht="15" customHeight="1">
      <c r="B245" s="4574"/>
      <c r="C245" s="1571">
        <v>52</v>
      </c>
      <c r="D245" s="1424"/>
      <c r="E245" s="1424"/>
      <c r="F245" s="1433"/>
      <c r="G245" s="1436"/>
      <c r="H245" s="1436"/>
      <c r="I245" s="4814"/>
      <c r="J245" s="4814"/>
      <c r="K245" s="1424"/>
      <c r="L245" s="1424"/>
      <c r="M245" s="1436"/>
      <c r="N245" s="1436"/>
      <c r="O245" s="1435"/>
      <c r="P245" s="1434"/>
      <c r="Q245" s="1434"/>
      <c r="R245" s="1433"/>
      <c r="S245" s="1433"/>
      <c r="T245" s="1433"/>
      <c r="U245" s="1433"/>
      <c r="V245" s="1433"/>
      <c r="W245" s="1424"/>
      <c r="X245" s="1424"/>
      <c r="Y245" s="1423"/>
      <c r="Z245" s="1420"/>
      <c r="AA245" s="1432"/>
      <c r="AB245" s="1431"/>
      <c r="AC245" s="1430"/>
      <c r="AD245" s="1429" t="str">
        <f>IF(AA227="","","安全率 Ｓfτ（fs/τ)=")</f>
        <v/>
      </c>
      <c r="AE245" s="4809" t="str">
        <f>IF(AA227="","",INT(1000*AE229/AB244)/1000)</f>
        <v/>
      </c>
      <c r="AF245" s="4810"/>
    </row>
    <row r="246" spans="1:34" s="1565" customFormat="1" ht="15" customHeight="1">
      <c r="B246" s="4574"/>
      <c r="C246" s="1571">
        <v>53</v>
      </c>
      <c r="D246" s="1420"/>
      <c r="E246" s="1422" t="str">
        <f>IF(F244="","",IF(F237&gt;F244,"　Ｒb1＞Ｒb2 より Ｒb=Ｒb1 とする。","　Ｒb1＜Ｒb2 より Ｒb=Ｒb2 とする。"))</f>
        <v/>
      </c>
      <c r="F246" s="1420"/>
      <c r="G246" s="1420"/>
      <c r="H246" s="1420"/>
      <c r="I246" s="1421"/>
      <c r="J246" s="1421"/>
      <c r="K246" s="1420"/>
      <c r="L246" s="1420"/>
      <c r="M246" s="1418"/>
      <c r="N246" s="1420"/>
      <c r="O246" s="1427"/>
      <c r="P246" s="1424"/>
      <c r="Q246" s="1424"/>
      <c r="R246" s="1425"/>
      <c r="S246" s="1425"/>
      <c r="T246" s="1425"/>
      <c r="U246" s="1426"/>
      <c r="V246" s="1425"/>
      <c r="W246" s="1424"/>
      <c r="X246" s="1424"/>
      <c r="Y246" s="1423"/>
      <c r="Z246" s="1420"/>
      <c r="AA246" s="1422" t="str">
        <f>IF(AA225="","",IF(AE244&gt;AB244,"τ≦fs で 合格","τ＞fs で 不合格"))</f>
        <v/>
      </c>
      <c r="AB246" s="1420"/>
      <c r="AC246" s="1421"/>
      <c r="AD246" s="1421"/>
      <c r="AE246" s="1420"/>
      <c r="AF246" s="1419"/>
    </row>
    <row r="247" spans="1:34" s="1565" customFormat="1" ht="15" customHeight="1">
      <c r="B247" s="4574"/>
      <c r="C247" s="1571">
        <v>54</v>
      </c>
      <c r="D247" s="1410"/>
      <c r="E247" s="1412"/>
      <c r="F247" s="1410"/>
      <c r="G247" s="1410"/>
      <c r="H247" s="1410"/>
      <c r="I247" s="1411"/>
      <c r="J247" s="1411"/>
      <c r="K247" s="1410"/>
      <c r="L247" s="1410"/>
      <c r="M247" s="1418"/>
      <c r="N247" s="1410"/>
      <c r="O247" s="1417"/>
      <c r="P247" s="1414"/>
      <c r="Q247" s="1414"/>
      <c r="R247" s="1415"/>
      <c r="S247" s="1415"/>
      <c r="T247" s="1415"/>
      <c r="U247" s="1416"/>
      <c r="V247" s="1415"/>
      <c r="W247" s="1414"/>
      <c r="X247" s="1414"/>
      <c r="Y247" s="1413"/>
      <c r="Z247" s="1410"/>
      <c r="AA247" s="1412"/>
      <c r="AB247" s="1410"/>
      <c r="AC247" s="1411"/>
      <c r="AD247" s="1411"/>
      <c r="AE247" s="1410"/>
      <c r="AF247" s="1409"/>
    </row>
    <row r="248" spans="1:34" s="1565" customFormat="1" ht="15" customHeight="1">
      <c r="B248" s="4574"/>
      <c r="C248" s="1571">
        <v>55</v>
      </c>
      <c r="D248" s="1570"/>
      <c r="E248" s="1568"/>
      <c r="F248" s="1568"/>
      <c r="G248" s="1568"/>
      <c r="H248" s="1568"/>
      <c r="I248" s="1568"/>
      <c r="J248" s="1568"/>
      <c r="K248" s="1568"/>
      <c r="L248" s="1568"/>
      <c r="M248" s="1568"/>
      <c r="N248" s="1568"/>
      <c r="O248" s="1568"/>
      <c r="P248" s="1568"/>
      <c r="Q248" s="1568"/>
      <c r="R248" s="1568"/>
      <c r="S248" s="1568"/>
      <c r="T248" s="1568"/>
      <c r="U248" s="1569"/>
      <c r="V248" s="1568"/>
      <c r="W248" s="1568"/>
      <c r="X248" s="1568"/>
      <c r="Y248" s="1568"/>
      <c r="Z248" s="1568"/>
      <c r="AA248" s="1568"/>
      <c r="AB248" s="1568"/>
      <c r="AC248" s="1568"/>
      <c r="AD248" s="1406" t="s">
        <v>1654</v>
      </c>
      <c r="AE248" s="1568"/>
      <c r="AF248" s="1567"/>
      <c r="AH248" s="1204"/>
    </row>
    <row r="249" spans="1:34" s="1565" customFormat="1" ht="4.5" customHeight="1">
      <c r="B249" s="4574"/>
      <c r="U249" s="1566"/>
      <c r="AH249" s="1204"/>
    </row>
    <row r="250" spans="1:34" s="1204" customFormat="1" ht="15" customHeight="1">
      <c r="A250" s="5237"/>
      <c r="B250" s="4815" t="s">
        <v>1837</v>
      </c>
      <c r="C250" s="1557" t="s">
        <v>1836</v>
      </c>
      <c r="D250" s="1557"/>
      <c r="E250" s="1557"/>
      <c r="F250" s="4868" t="s">
        <v>1897</v>
      </c>
      <c r="G250" s="4868"/>
      <c r="H250" s="4868"/>
      <c r="I250" s="4868"/>
      <c r="J250" s="4868"/>
      <c r="K250" s="4321" t="str">
        <f>$K$2</f>
        <v>企業名-1を入力してください。</v>
      </c>
      <c r="L250" s="4321"/>
      <c r="M250" s="4321"/>
      <c r="N250" s="4321"/>
      <c r="O250" s="4321"/>
      <c r="P250" s="4321"/>
      <c r="Q250" s="4321"/>
      <c r="R250" s="4321"/>
      <c r="S250" s="4321"/>
      <c r="T250" s="4321"/>
      <c r="U250" s="4321"/>
      <c r="V250" s="4321"/>
      <c r="W250" s="4321"/>
      <c r="X250" s="4321"/>
      <c r="Y250" s="4321"/>
      <c r="Z250" s="1565"/>
      <c r="AA250" s="1565"/>
      <c r="AB250" s="1565"/>
      <c r="AC250" s="1548" t="str">
        <f>$AC$2</f>
        <v>Date :</v>
      </c>
      <c r="AD250" s="4347">
        <f ca="1">$AD$2</f>
        <v>44092.955785416663</v>
      </c>
      <c r="AE250" s="4347"/>
      <c r="AF250" s="4347"/>
      <c r="AH250" s="1565"/>
    </row>
    <row r="251" spans="1:34" s="1204" customFormat="1" ht="11.25" customHeight="1">
      <c r="A251" s="5237"/>
      <c r="B251" s="4815"/>
      <c r="C251" s="1554"/>
      <c r="D251" s="1553"/>
      <c r="E251" s="1553"/>
      <c r="F251" s="4868"/>
      <c r="G251" s="4868"/>
      <c r="H251" s="4868"/>
      <c r="I251" s="4868"/>
      <c r="J251" s="4868"/>
      <c r="K251" s="4348" t="str">
        <f>$K$3</f>
        <v>企業名-2を入力してください。</v>
      </c>
      <c r="L251" s="4348"/>
      <c r="M251" s="4348"/>
      <c r="N251" s="4348"/>
      <c r="O251" s="4348"/>
      <c r="P251" s="4348"/>
      <c r="Q251" s="4348"/>
      <c r="R251" s="4348"/>
      <c r="S251" s="4348"/>
      <c r="T251" s="4348"/>
      <c r="U251" s="4348"/>
      <c r="V251" s="4348"/>
      <c r="W251" s="4348"/>
      <c r="X251" s="4348"/>
      <c r="Y251" s="4348"/>
      <c r="Z251" s="1565"/>
      <c r="AA251" s="1564"/>
      <c r="AB251" s="1563"/>
      <c r="AC251" s="1548" t="str">
        <f>$AC$3</f>
        <v xml:space="preserve">    TELEPHONE:</v>
      </c>
      <c r="AD251" s="4571" t="str">
        <f>$AD$3</f>
        <v>0nn-nnnn-nnnn</v>
      </c>
      <c r="AE251" s="4571"/>
      <c r="AF251" s="4571"/>
    </row>
    <row r="252" spans="1:34" s="1204" customFormat="1" ht="15" customHeight="1" thickBot="1">
      <c r="A252" s="5237"/>
      <c r="B252" s="4815"/>
      <c r="C252" s="4572" t="s">
        <v>1835</v>
      </c>
      <c r="D252" s="4572"/>
      <c r="E252" s="4572"/>
      <c r="F252" s="4572"/>
      <c r="G252" s="4572"/>
      <c r="H252" s="4572"/>
      <c r="I252" s="4572"/>
      <c r="J252" s="4572"/>
      <c r="K252" s="4349" t="str">
        <f>$K$4</f>
        <v>企業または現場住所を入力してください。</v>
      </c>
      <c r="L252" s="4349"/>
      <c r="M252" s="4349"/>
      <c r="N252" s="4349"/>
      <c r="O252" s="4349"/>
      <c r="P252" s="4349"/>
      <c r="Q252" s="4349"/>
      <c r="R252" s="4349"/>
      <c r="S252" s="4349"/>
      <c r="T252" s="4349"/>
      <c r="U252" s="4349"/>
      <c r="V252" s="4349"/>
      <c r="W252" s="4349"/>
      <c r="X252" s="4349"/>
      <c r="Y252" s="4349"/>
      <c r="Z252" s="1553"/>
      <c r="AA252" s="1562"/>
      <c r="AB252" s="1562"/>
      <c r="AC252" s="1561" t="str">
        <f>$AC$4</f>
        <v>　　FACSIMILE:</v>
      </c>
      <c r="AD252" s="1560" t="str">
        <f>$AD$4</f>
        <v>0nn-nnnn-nnnn</v>
      </c>
      <c r="AE252" s="1559"/>
      <c r="AF252" s="1558"/>
    </row>
    <row r="253" spans="1:34" s="1204" customFormat="1" ht="18" customHeight="1" thickBot="1">
      <c r="A253" s="5237"/>
      <c r="B253" s="4815"/>
      <c r="C253" s="1396">
        <v>1</v>
      </c>
      <c r="D253" s="4816" t="s">
        <v>1834</v>
      </c>
      <c r="E253" s="4817"/>
      <c r="F253" s="4817"/>
      <c r="G253" s="4817"/>
      <c r="H253" s="4817"/>
      <c r="I253" s="4817"/>
      <c r="J253" s="4818"/>
      <c r="K253" s="4822" t="s">
        <v>1747</v>
      </c>
      <c r="L253" s="4823"/>
      <c r="M253" s="4823"/>
      <c r="N253" s="4823"/>
      <c r="O253" s="4823"/>
      <c r="P253" s="4823"/>
      <c r="Q253" s="4824"/>
      <c r="R253" s="4828" t="s">
        <v>1746</v>
      </c>
      <c r="S253" s="4829"/>
      <c r="T253" s="4829"/>
      <c r="U253" s="4830"/>
      <c r="V253" s="4831"/>
      <c r="W253" s="4832"/>
      <c r="X253" s="4832"/>
      <c r="Y253" s="4832"/>
      <c r="Z253" s="4832"/>
      <c r="AA253" s="4832"/>
      <c r="AB253" s="4832"/>
      <c r="AC253" s="4833"/>
      <c r="AD253" s="4836" t="s">
        <v>1833</v>
      </c>
      <c r="AE253" s="4837"/>
      <c r="AF253" s="4838"/>
      <c r="AH253" s="1206" t="s">
        <v>1383</v>
      </c>
    </row>
    <row r="254" spans="1:34" s="1204" customFormat="1" ht="15" customHeight="1" thickBot="1">
      <c r="A254" s="5237"/>
      <c r="B254" s="4815"/>
      <c r="C254" s="1394">
        <v>2</v>
      </c>
      <c r="D254" s="4819"/>
      <c r="E254" s="4820"/>
      <c r="F254" s="4820"/>
      <c r="G254" s="4820"/>
      <c r="H254" s="4820"/>
      <c r="I254" s="4820"/>
      <c r="J254" s="4821"/>
      <c r="K254" s="4825"/>
      <c r="L254" s="4826"/>
      <c r="M254" s="4826"/>
      <c r="N254" s="4826"/>
      <c r="O254" s="4826"/>
      <c r="P254" s="4826"/>
      <c r="Q254" s="4827"/>
      <c r="R254" s="4842" t="s">
        <v>1744</v>
      </c>
      <c r="S254" s="4843"/>
      <c r="T254" s="4843"/>
      <c r="U254" s="4844"/>
      <c r="V254" s="4845"/>
      <c r="W254" s="4845"/>
      <c r="X254" s="4845"/>
      <c r="Y254" s="4845"/>
      <c r="Z254" s="4846" t="s">
        <v>1743</v>
      </c>
      <c r="AA254" s="4846"/>
      <c r="AB254" s="4847" t="s">
        <v>1742</v>
      </c>
      <c r="AC254" s="4847"/>
      <c r="AD254" s="4839"/>
      <c r="AE254" s="4840"/>
      <c r="AF254" s="4841"/>
      <c r="AH254" s="116"/>
    </row>
    <row r="255" spans="1:34" s="1204" customFormat="1" ht="15" customHeight="1">
      <c r="A255" s="5237"/>
      <c r="B255" s="4815"/>
      <c r="C255" s="1217">
        <v>3</v>
      </c>
      <c r="D255" s="1542"/>
      <c r="E255" s="1541"/>
      <c r="F255" s="1541"/>
      <c r="G255" s="1541"/>
      <c r="H255" s="1541"/>
      <c r="I255" s="1541"/>
      <c r="J255" s="1541"/>
      <c r="K255" s="1541"/>
      <c r="L255" s="1541"/>
      <c r="M255" s="1541"/>
      <c r="N255" s="1540"/>
      <c r="O255" s="1390"/>
      <c r="P255" s="1390"/>
      <c r="Q255" s="1390"/>
      <c r="R255" s="1390"/>
      <c r="S255" s="1390"/>
      <c r="T255" s="1390"/>
      <c r="U255" s="1391"/>
      <c r="V255" s="1390"/>
      <c r="W255" s="1390"/>
      <c r="X255" s="1390"/>
      <c r="Y255" s="1390"/>
      <c r="Z255" s="1390"/>
      <c r="AA255" s="1390"/>
      <c r="AB255" s="1390"/>
      <c r="AC255" s="1390"/>
      <c r="AD255" s="1390"/>
      <c r="AE255" s="1390"/>
      <c r="AF255" s="1389"/>
    </row>
    <row r="256" spans="1:34" s="1204" customFormat="1" ht="15" customHeight="1">
      <c r="A256" s="5237"/>
      <c r="B256" s="4815"/>
      <c r="C256" s="1217">
        <v>4</v>
      </c>
      <c r="D256" s="1393" t="s">
        <v>1832</v>
      </c>
      <c r="E256" s="1388"/>
      <c r="F256" s="1388"/>
      <c r="G256" s="1388"/>
      <c r="H256" s="1388"/>
      <c r="I256" s="1388"/>
      <c r="J256" s="1388"/>
      <c r="K256" s="1388"/>
      <c r="L256" s="1388"/>
      <c r="M256" s="1388"/>
      <c r="N256" s="1524"/>
      <c r="O256" s="1348"/>
      <c r="P256" s="1348"/>
      <c r="Q256" s="1348"/>
      <c r="R256" s="1348"/>
      <c r="S256" s="1348"/>
      <c r="T256" s="1348"/>
      <c r="U256" s="1367"/>
      <c r="V256" s="1348"/>
      <c r="W256" s="1348"/>
      <c r="X256" s="1348"/>
      <c r="Y256" s="1348"/>
      <c r="Z256" s="1348"/>
      <c r="AA256" s="1348"/>
      <c r="AB256" s="1348"/>
      <c r="AC256" s="1348"/>
      <c r="AD256" s="1348"/>
      <c r="AE256" s="1348"/>
      <c r="AF256" s="1378"/>
    </row>
    <row r="257" spans="1:32" s="1204" customFormat="1" ht="15" customHeight="1">
      <c r="A257" s="5237"/>
      <c r="B257" s="4815"/>
      <c r="C257" s="1217">
        <v>5</v>
      </c>
      <c r="D257" s="1358" t="s">
        <v>1831</v>
      </c>
      <c r="E257" s="1348"/>
      <c r="F257" s="1348"/>
      <c r="G257" s="1348"/>
      <c r="H257" s="1348"/>
      <c r="I257" s="1348"/>
      <c r="J257" s="1348"/>
      <c r="K257" s="1348"/>
      <c r="L257" s="1348"/>
      <c r="M257" s="1348"/>
      <c r="N257" s="1524"/>
      <c r="O257" s="1348"/>
      <c r="P257" s="1348"/>
      <c r="Q257" s="1348"/>
      <c r="R257" s="1348"/>
      <c r="S257" s="1348"/>
      <c r="T257" s="1348"/>
      <c r="U257" s="1367"/>
      <c r="V257" s="1348"/>
      <c r="W257" s="1348"/>
      <c r="X257" s="1348"/>
      <c r="Y257" s="1348"/>
      <c r="Z257" s="1348"/>
      <c r="AA257" s="1348"/>
      <c r="AB257" s="1348"/>
      <c r="AC257" s="1348"/>
      <c r="AD257" s="1348"/>
      <c r="AE257" s="1348"/>
      <c r="AF257" s="1378"/>
    </row>
    <row r="258" spans="1:32" s="1204" customFormat="1" ht="15" customHeight="1">
      <c r="A258" s="5237"/>
      <c r="B258" s="4815"/>
      <c r="C258" s="1217">
        <v>6</v>
      </c>
      <c r="N258" s="1539"/>
      <c r="O258" s="1348"/>
      <c r="P258" s="1348"/>
      <c r="Q258" s="1348"/>
      <c r="R258" s="1348"/>
      <c r="S258" s="1348"/>
      <c r="T258" s="1348"/>
      <c r="U258" s="1367"/>
      <c r="V258" s="1348"/>
      <c r="W258" s="1348"/>
      <c r="X258" s="1348"/>
      <c r="Y258" s="1348"/>
      <c r="Z258" s="1348"/>
      <c r="AA258" s="1348"/>
      <c r="AB258" s="1348"/>
      <c r="AC258" s="1348"/>
      <c r="AD258" s="1348"/>
      <c r="AE258" s="1348"/>
      <c r="AF258" s="1378"/>
    </row>
    <row r="259" spans="1:32" s="1204" customFormat="1" ht="15" customHeight="1">
      <c r="A259" s="5237"/>
      <c r="B259" s="4815"/>
      <c r="C259" s="1217">
        <v>7</v>
      </c>
      <c r="D259" s="1349" t="s">
        <v>1737</v>
      </c>
      <c r="E259" s="1348"/>
      <c r="F259" s="1348"/>
      <c r="G259" s="1348"/>
      <c r="H259" s="1348"/>
      <c r="I259" s="1348"/>
      <c r="J259" s="1348"/>
      <c r="K259" s="1348"/>
      <c r="L259" s="1348"/>
      <c r="M259" s="1348"/>
      <c r="N259" s="1524"/>
      <c r="O259" s="1348"/>
      <c r="P259" s="1348"/>
      <c r="Q259" s="1348"/>
      <c r="R259" s="1348"/>
      <c r="S259" s="1348"/>
      <c r="T259" s="1348"/>
      <c r="U259" s="1367"/>
      <c r="V259" s="1348"/>
      <c r="W259" s="1348"/>
      <c r="X259" s="1348"/>
      <c r="Y259" s="1348"/>
      <c r="Z259" s="1348"/>
      <c r="AA259" s="1348"/>
      <c r="AB259" s="1348"/>
      <c r="AC259" s="1348"/>
      <c r="AD259" s="1348"/>
      <c r="AE259" s="1348"/>
      <c r="AF259" s="1378"/>
    </row>
    <row r="260" spans="1:32" s="1204" customFormat="1" ht="15" customHeight="1">
      <c r="A260" s="5237"/>
      <c r="B260" s="4815"/>
      <c r="C260" s="1217">
        <v>8</v>
      </c>
      <c r="D260" s="1384" t="s">
        <v>1830</v>
      </c>
      <c r="E260" s="1348"/>
      <c r="F260" s="1348"/>
      <c r="G260" s="1348"/>
      <c r="H260" s="1348"/>
      <c r="I260" s="1348"/>
      <c r="J260" s="1348"/>
      <c r="K260" s="1348"/>
      <c r="L260" s="1348"/>
      <c r="M260" s="1348"/>
      <c r="N260" s="1524"/>
      <c r="O260" s="1348"/>
      <c r="P260" s="1348"/>
      <c r="Q260" s="1348"/>
      <c r="R260" s="1348"/>
      <c r="S260" s="1348"/>
      <c r="T260" s="1348"/>
      <c r="U260" s="1367"/>
      <c r="V260" s="1348"/>
      <c r="W260" s="1348"/>
      <c r="X260" s="1348"/>
      <c r="Y260" s="1348"/>
      <c r="Z260" s="1348"/>
      <c r="AA260" s="1348"/>
      <c r="AB260" s="1348"/>
      <c r="AC260" s="1348"/>
      <c r="AD260" s="1348"/>
      <c r="AE260" s="1348"/>
      <c r="AF260" s="1378"/>
    </row>
    <row r="261" spans="1:32" s="1204" customFormat="1" ht="15" customHeight="1">
      <c r="A261" s="5237"/>
      <c r="B261" s="4815"/>
      <c r="C261" s="1217">
        <v>9</v>
      </c>
      <c r="D261" s="1538" t="s">
        <v>1829</v>
      </c>
      <c r="E261" s="1348"/>
      <c r="F261" s="1348"/>
      <c r="G261" s="1348"/>
      <c r="H261" s="1348"/>
      <c r="I261" s="1348"/>
      <c r="J261" s="1348"/>
      <c r="K261" s="1348"/>
      <c r="L261" s="1348"/>
      <c r="M261" s="1348"/>
      <c r="N261" s="1524"/>
      <c r="O261" s="1348"/>
      <c r="P261" s="1348"/>
      <c r="Q261" s="1348"/>
      <c r="R261" s="1348"/>
      <c r="S261" s="1348"/>
      <c r="T261" s="1348"/>
      <c r="U261" s="1367"/>
      <c r="V261" s="1348"/>
      <c r="W261" s="1348"/>
      <c r="X261" s="1348"/>
      <c r="Y261" s="1348"/>
      <c r="Z261" s="1348"/>
      <c r="AA261" s="1348"/>
      <c r="AB261" s="1348"/>
      <c r="AC261" s="1348"/>
      <c r="AD261" s="1348"/>
      <c r="AE261" s="1348"/>
      <c r="AF261" s="1378"/>
    </row>
    <row r="262" spans="1:32" s="1204" customFormat="1" ht="15" customHeight="1">
      <c r="A262" s="5237"/>
      <c r="B262" s="4815"/>
      <c r="C262" s="1217">
        <v>10</v>
      </c>
      <c r="D262" s="1384" t="s">
        <v>1828</v>
      </c>
      <c r="E262" s="1348"/>
      <c r="F262" s="1348"/>
      <c r="G262" s="1348"/>
      <c r="H262" s="1348"/>
      <c r="I262" s="1348"/>
      <c r="J262" s="1348"/>
      <c r="K262" s="1348"/>
      <c r="L262" s="1348"/>
      <c r="M262" s="1348"/>
      <c r="N262" s="1524"/>
      <c r="O262" s="1348"/>
      <c r="P262" s="1348"/>
      <c r="Q262" s="1348"/>
      <c r="R262" s="1348"/>
      <c r="S262" s="1348"/>
      <c r="T262" s="1348"/>
      <c r="U262" s="1367"/>
      <c r="V262" s="1348"/>
      <c r="W262" s="1348"/>
      <c r="X262" s="1348"/>
      <c r="Y262" s="1348"/>
      <c r="Z262" s="1348"/>
      <c r="AA262" s="1348"/>
      <c r="AB262" s="1348"/>
      <c r="AC262" s="1348"/>
      <c r="AD262" s="1348"/>
      <c r="AE262" s="1348"/>
      <c r="AF262" s="1378"/>
    </row>
    <row r="263" spans="1:32" s="1204" customFormat="1" ht="15" customHeight="1">
      <c r="A263" s="5237"/>
      <c r="B263" s="4815"/>
      <c r="C263" s="1217">
        <v>11</v>
      </c>
      <c r="D263" s="1538" t="s">
        <v>1827</v>
      </c>
      <c r="E263" s="1348"/>
      <c r="F263" s="1348"/>
      <c r="G263" s="1348"/>
      <c r="H263" s="1348"/>
      <c r="I263" s="1348"/>
      <c r="J263" s="1348"/>
      <c r="K263" s="1348"/>
      <c r="L263" s="1348"/>
      <c r="M263" s="1348"/>
      <c r="N263" s="1524"/>
      <c r="O263" s="1348"/>
      <c r="P263" s="1348"/>
      <c r="Q263" s="1348"/>
      <c r="R263" s="1348"/>
      <c r="S263" s="1348"/>
      <c r="T263" s="1348"/>
      <c r="U263" s="1367"/>
      <c r="V263" s="1348"/>
      <c r="W263" s="1348"/>
      <c r="X263" s="1348"/>
      <c r="Y263" s="1348"/>
      <c r="Z263" s="1348"/>
      <c r="AA263" s="1348"/>
      <c r="AB263" s="1348"/>
      <c r="AC263" s="1348"/>
      <c r="AD263" s="1348"/>
      <c r="AE263" s="1348"/>
      <c r="AF263" s="1378"/>
    </row>
    <row r="264" spans="1:32" s="1204" customFormat="1" ht="15" customHeight="1">
      <c r="A264" s="5237"/>
      <c r="B264" s="4815"/>
      <c r="C264" s="1217">
        <v>12</v>
      </c>
      <c r="D264" s="1386"/>
      <c r="E264" s="1369"/>
      <c r="F264" s="1369"/>
      <c r="G264" s="4848"/>
      <c r="H264" s="4848"/>
      <c r="I264" s="4848"/>
      <c r="J264" s="4848"/>
      <c r="K264" s="1369"/>
      <c r="L264" s="1369"/>
      <c r="M264" s="1369"/>
      <c r="N264" s="1531"/>
      <c r="O264" s="1348"/>
      <c r="P264" s="1348"/>
      <c r="Q264" s="1348"/>
      <c r="R264" s="1348"/>
      <c r="S264" s="1348"/>
      <c r="T264" s="1348"/>
      <c r="U264" s="1367"/>
      <c r="V264" s="1348"/>
      <c r="W264" s="1348"/>
      <c r="X264" s="1348"/>
      <c r="Y264" s="1348"/>
      <c r="Z264" s="1348"/>
      <c r="AA264" s="1348"/>
      <c r="AB264" s="1348"/>
      <c r="AC264" s="1348"/>
      <c r="AD264" s="1348"/>
      <c r="AE264" s="1348"/>
      <c r="AF264" s="1378"/>
    </row>
    <row r="265" spans="1:32" s="1204" customFormat="1" ht="15" customHeight="1">
      <c r="A265" s="5237"/>
      <c r="B265" s="4815"/>
      <c r="C265" s="1217">
        <v>13</v>
      </c>
      <c r="D265" s="1386"/>
      <c r="E265" s="1369"/>
      <c r="F265" s="1369"/>
      <c r="G265" s="4848"/>
      <c r="H265" s="4848"/>
      <c r="I265" s="4848"/>
      <c r="J265" s="4848"/>
      <c r="K265" s="1369"/>
      <c r="L265" s="1369"/>
      <c r="M265" s="1369"/>
      <c r="N265" s="1531"/>
      <c r="O265" s="1348"/>
      <c r="P265" s="1348"/>
      <c r="Q265" s="1348"/>
      <c r="R265" s="1348"/>
      <c r="S265" s="1348"/>
      <c r="T265" s="1348"/>
      <c r="U265" s="1367"/>
      <c r="V265" s="1348"/>
      <c r="W265" s="1348"/>
      <c r="X265" s="1348"/>
      <c r="Y265" s="1348"/>
      <c r="Z265" s="1348"/>
      <c r="AA265" s="1348"/>
      <c r="AB265" s="1348"/>
      <c r="AC265" s="1348"/>
      <c r="AD265" s="1348"/>
      <c r="AE265" s="1348"/>
      <c r="AF265" s="1378"/>
    </row>
    <row r="266" spans="1:32" s="1204" customFormat="1" ht="15" customHeight="1">
      <c r="A266" s="5237"/>
      <c r="B266" s="4815"/>
      <c r="C266" s="1217">
        <v>14</v>
      </c>
      <c r="D266" s="1367" t="s">
        <v>1826</v>
      </c>
      <c r="E266" s="1348"/>
      <c r="F266" s="1348"/>
      <c r="G266" s="1348"/>
      <c r="H266" s="1348"/>
      <c r="I266" s="1348"/>
      <c r="J266" s="1342"/>
      <c r="K266" s="1348"/>
      <c r="L266" s="1348"/>
      <c r="M266" s="1348"/>
      <c r="N266" s="1524"/>
      <c r="O266" s="1348"/>
      <c r="P266" s="1348"/>
      <c r="Q266" s="1348"/>
      <c r="R266" s="1348"/>
      <c r="S266" s="1348"/>
      <c r="T266" s="1348"/>
      <c r="U266" s="1367"/>
      <c r="V266" s="1348"/>
      <c r="W266" s="1348"/>
      <c r="X266" s="1348"/>
      <c r="Y266" s="1348"/>
      <c r="Z266" s="1348"/>
      <c r="AA266" s="1348"/>
      <c r="AB266" s="1348"/>
      <c r="AC266" s="1348"/>
      <c r="AD266" s="1348"/>
      <c r="AE266" s="1348"/>
      <c r="AF266" s="1378"/>
    </row>
    <row r="267" spans="1:32" s="1204" customFormat="1" ht="15" customHeight="1">
      <c r="A267" s="5237"/>
      <c r="B267" s="4815"/>
      <c r="C267" s="1217">
        <v>15</v>
      </c>
      <c r="D267" s="1384" t="s">
        <v>1825</v>
      </c>
      <c r="E267" s="1348"/>
      <c r="F267" s="1348"/>
      <c r="G267" s="1348"/>
      <c r="H267" s="1348"/>
      <c r="I267" s="1264" t="s">
        <v>1824</v>
      </c>
      <c r="J267" s="1537">
        <v>1.5</v>
      </c>
      <c r="K267" s="1367" t="s">
        <v>1821</v>
      </c>
      <c r="L267" s="1348"/>
      <c r="M267" s="1348"/>
      <c r="N267" s="1524"/>
      <c r="O267" s="1348"/>
      <c r="P267" s="1348"/>
      <c r="Q267" s="1348"/>
      <c r="R267" s="1348"/>
      <c r="S267" s="1348"/>
      <c r="T267" s="1348"/>
      <c r="U267" s="1367"/>
      <c r="V267" s="1348"/>
      <c r="W267" s="1348"/>
      <c r="X267" s="1348"/>
      <c r="Y267" s="1348"/>
      <c r="Z267" s="1348"/>
      <c r="AA267" s="1348"/>
      <c r="AB267" s="1348"/>
      <c r="AC267" s="1348"/>
      <c r="AD267" s="1348"/>
      <c r="AE267" s="1348"/>
      <c r="AF267" s="1378"/>
    </row>
    <row r="268" spans="1:32" s="1204" customFormat="1" ht="15" customHeight="1">
      <c r="A268" s="5237"/>
      <c r="B268" s="4815"/>
      <c r="C268" s="1217">
        <v>16</v>
      </c>
      <c r="D268" s="1384" t="s">
        <v>1823</v>
      </c>
      <c r="E268" s="1348"/>
      <c r="F268" s="1348"/>
      <c r="G268" s="1348"/>
      <c r="H268" s="1348"/>
      <c r="I268" s="1264" t="s">
        <v>1822</v>
      </c>
      <c r="J268" s="1537">
        <v>1</v>
      </c>
      <c r="K268" s="1367" t="s">
        <v>1821</v>
      </c>
      <c r="L268" s="1348"/>
      <c r="M268" s="1348"/>
      <c r="N268" s="1524"/>
      <c r="O268" s="1348"/>
      <c r="P268" s="1348"/>
      <c r="Q268" s="1348"/>
      <c r="R268" s="1348"/>
      <c r="S268" s="1348"/>
      <c r="T268" s="1348"/>
      <c r="U268" s="1367"/>
      <c r="V268" s="1348"/>
      <c r="W268" s="4849" t="str">
        <f>IF(Y279="","",INT(Y279*9.80665)/1000&amp;"[KN]")</f>
        <v>2.451[KN]</v>
      </c>
      <c r="X268" s="4849"/>
      <c r="Y268" s="4849"/>
      <c r="Z268" s="1348"/>
      <c r="AA268" s="1348"/>
      <c r="AB268" s="1348"/>
      <c r="AC268" s="1348"/>
      <c r="AD268" s="1348"/>
      <c r="AE268" s="1348"/>
      <c r="AF268" s="1378"/>
    </row>
    <row r="269" spans="1:32" s="1204" customFormat="1" ht="15" customHeight="1">
      <c r="A269" s="5237"/>
      <c r="B269" s="4815"/>
      <c r="C269" s="1217">
        <v>17</v>
      </c>
      <c r="D269" s="1536"/>
      <c r="E269" s="1369"/>
      <c r="F269" s="1369"/>
      <c r="G269" s="1369"/>
      <c r="H269" s="1369"/>
      <c r="I269" s="1369"/>
      <c r="J269" s="1369"/>
      <c r="K269" s="1369"/>
      <c r="L269" s="1369"/>
      <c r="M269" s="1369"/>
      <c r="N269" s="1531"/>
      <c r="O269" s="1348"/>
      <c r="P269" s="1348"/>
      <c r="Q269" s="1348"/>
      <c r="R269" s="1348"/>
      <c r="S269" s="1348"/>
      <c r="T269" s="1348"/>
      <c r="U269" s="1367"/>
      <c r="V269" s="1348"/>
      <c r="W269" s="1348"/>
      <c r="X269" s="1348"/>
      <c r="Y269" s="1348"/>
      <c r="Z269" s="1348"/>
      <c r="AA269" s="1348"/>
      <c r="AB269" s="1348"/>
      <c r="AC269" s="1348"/>
      <c r="AD269" s="1348"/>
      <c r="AE269" s="1348"/>
      <c r="AF269" s="1378"/>
    </row>
    <row r="270" spans="1:32" s="1204" customFormat="1" ht="15" customHeight="1">
      <c r="A270" s="5237"/>
      <c r="B270" s="4815"/>
      <c r="C270" s="1217">
        <v>18</v>
      </c>
      <c r="D270" s="1536"/>
      <c r="E270" s="1369"/>
      <c r="F270" s="1369"/>
      <c r="G270" s="1369"/>
      <c r="H270" s="1369"/>
      <c r="I270" s="1369"/>
      <c r="J270" s="1369"/>
      <c r="K270" s="1369"/>
      <c r="L270" s="1369"/>
      <c r="M270" s="1369"/>
      <c r="N270" s="1531"/>
      <c r="O270" s="1348"/>
      <c r="P270" s="1348"/>
      <c r="Q270" s="1348"/>
      <c r="R270" s="1348"/>
      <c r="S270" s="1348"/>
      <c r="T270" s="1348"/>
      <c r="U270" s="1367"/>
      <c r="V270" s="1348"/>
      <c r="W270" s="1348"/>
      <c r="X270" s="1348"/>
      <c r="Y270" s="1348"/>
      <c r="Z270" s="1348"/>
      <c r="AA270" s="1348"/>
      <c r="AB270" s="1348"/>
      <c r="AC270" s="1348"/>
      <c r="AD270" s="1348"/>
      <c r="AE270" s="1348"/>
      <c r="AF270" s="1378"/>
    </row>
    <row r="271" spans="1:32" s="1204" customFormat="1" ht="15" customHeight="1">
      <c r="A271" s="5237"/>
      <c r="B271" s="4815"/>
      <c r="C271" s="1217">
        <v>19</v>
      </c>
      <c r="D271" s="1536"/>
      <c r="E271" s="1369"/>
      <c r="F271" s="1369"/>
      <c r="G271" s="1369"/>
      <c r="H271" s="1369"/>
      <c r="I271" s="1369"/>
      <c r="J271" s="1369"/>
      <c r="K271" s="1369"/>
      <c r="L271" s="1369"/>
      <c r="M271" s="1369"/>
      <c r="N271" s="1531"/>
      <c r="O271" s="1348"/>
      <c r="P271" s="1348"/>
      <c r="Q271" s="1348"/>
      <c r="R271" s="1348"/>
      <c r="S271" s="1348"/>
      <c r="T271" s="1348"/>
      <c r="U271" s="1367"/>
      <c r="V271" s="1348"/>
      <c r="W271" s="1348"/>
      <c r="X271" s="1348"/>
      <c r="Y271" s="1348"/>
      <c r="Z271" s="1348"/>
      <c r="AA271" s="1348"/>
      <c r="AB271" s="1348"/>
      <c r="AC271" s="1348"/>
      <c r="AD271" s="1348"/>
      <c r="AE271" s="1348"/>
      <c r="AF271" s="1378"/>
    </row>
    <row r="272" spans="1:32" s="1204" customFormat="1" ht="15" customHeight="1">
      <c r="A272" s="5237"/>
      <c r="B272" s="4815"/>
      <c r="C272" s="1217">
        <v>20</v>
      </c>
      <c r="D272" s="1369"/>
      <c r="E272" s="1369"/>
      <c r="F272" s="1369"/>
      <c r="G272" s="1369"/>
      <c r="H272" s="1369"/>
      <c r="I272" s="1369"/>
      <c r="J272" s="1369"/>
      <c r="K272" s="1369"/>
      <c r="L272" s="1369"/>
      <c r="M272" s="1369"/>
      <c r="N272" s="1531"/>
      <c r="O272" s="1348"/>
      <c r="P272" s="1348"/>
      <c r="Q272" s="1348"/>
      <c r="R272" s="1348"/>
      <c r="S272" s="1348"/>
      <c r="T272" s="1348"/>
      <c r="U272" s="1367"/>
      <c r="V272" s="1348"/>
      <c r="W272" s="1348"/>
      <c r="X272" s="1348"/>
      <c r="Y272" s="1348"/>
      <c r="Z272" s="1348"/>
      <c r="AA272" s="1348"/>
      <c r="AB272" s="1348"/>
      <c r="AC272" s="1380"/>
      <c r="AD272" s="1348"/>
      <c r="AE272" s="1348"/>
      <c r="AF272" s="1378"/>
    </row>
    <row r="273" spans="1:32" s="1204" customFormat="1" ht="15" customHeight="1">
      <c r="A273" s="5237"/>
      <c r="B273" s="4815"/>
      <c r="C273" s="1217">
        <v>21</v>
      </c>
      <c r="D273" s="1348"/>
      <c r="E273" s="1535" t="s">
        <v>1820</v>
      </c>
      <c r="F273" s="1349" t="s">
        <v>1819</v>
      </c>
      <c r="G273" s="1348"/>
      <c r="H273" s="1348"/>
      <c r="I273" s="1348"/>
      <c r="J273" s="1348"/>
      <c r="K273" s="1348"/>
      <c r="L273" s="1348"/>
      <c r="M273" s="1348"/>
      <c r="N273" s="1524"/>
      <c r="O273" s="1348"/>
      <c r="P273" s="1348"/>
      <c r="Q273" s="1348"/>
      <c r="R273" s="1348"/>
      <c r="S273" s="1348"/>
      <c r="T273" s="1348"/>
      <c r="U273" s="1367"/>
      <c r="V273" s="1348"/>
      <c r="W273" s="1348"/>
      <c r="X273" s="1348"/>
      <c r="Y273" s="1348"/>
      <c r="Z273" s="1348"/>
      <c r="AA273" s="1348"/>
      <c r="AB273" s="1348"/>
      <c r="AC273" s="1348"/>
      <c r="AD273" s="1348"/>
      <c r="AE273" s="1348"/>
      <c r="AF273" s="1378"/>
    </row>
    <row r="274" spans="1:32" s="1204" customFormat="1" ht="15" customHeight="1">
      <c r="A274" s="5237"/>
      <c r="B274" s="4815"/>
      <c r="C274" s="1217">
        <v>22</v>
      </c>
      <c r="D274" s="1348"/>
      <c r="E274" s="1535" t="s">
        <v>1818</v>
      </c>
      <c r="F274" s="1349" t="s">
        <v>1817</v>
      </c>
      <c r="G274" s="1348"/>
      <c r="H274" s="1348"/>
      <c r="I274" s="1348"/>
      <c r="J274" s="1348"/>
      <c r="K274" s="1348"/>
      <c r="L274" s="1348"/>
      <c r="M274" s="1348"/>
      <c r="N274" s="1524"/>
      <c r="O274" s="1342"/>
      <c r="P274" s="1342"/>
      <c r="Q274" s="1342"/>
      <c r="R274" s="1342"/>
      <c r="S274" s="1342"/>
      <c r="T274" s="1342"/>
      <c r="U274" s="1374"/>
      <c r="V274" s="1342"/>
      <c r="W274" s="1342"/>
      <c r="X274" s="1342"/>
      <c r="Y274" s="1342"/>
      <c r="Z274" s="1342"/>
      <c r="AA274" s="1342"/>
      <c r="AB274" s="1342"/>
      <c r="AC274" s="1342"/>
      <c r="AD274" s="1342"/>
      <c r="AE274" s="1342"/>
      <c r="AF274" s="1373"/>
    </row>
    <row r="275" spans="1:32" s="1204" customFormat="1" ht="15" customHeight="1">
      <c r="A275" s="5237"/>
      <c r="B275" s="4815"/>
      <c r="C275" s="1217">
        <v>23</v>
      </c>
      <c r="D275" s="1369"/>
      <c r="E275" s="1534"/>
      <c r="F275" s="1370"/>
      <c r="G275" s="1369"/>
      <c r="H275" s="1369"/>
      <c r="I275" s="1369"/>
      <c r="J275" s="1369"/>
      <c r="K275" s="1369"/>
      <c r="L275" s="1369"/>
      <c r="M275" s="1369"/>
      <c r="N275" s="1531"/>
      <c r="O275" s="4850" t="s">
        <v>1727</v>
      </c>
      <c r="P275" s="4851"/>
      <c r="Q275" s="4851"/>
      <c r="R275" s="4851"/>
      <c r="S275" s="4851"/>
      <c r="T275" s="4851"/>
      <c r="U275" s="4851"/>
      <c r="V275" s="4851"/>
      <c r="W275" s="4851"/>
      <c r="X275" s="4852"/>
      <c r="Y275" s="4852" t="s">
        <v>1816</v>
      </c>
      <c r="Z275" s="4859"/>
      <c r="AA275" s="4862" t="s">
        <v>1815</v>
      </c>
      <c r="AB275" s="4862"/>
      <c r="AC275" s="4862" t="s">
        <v>1814</v>
      </c>
      <c r="AD275" s="4865"/>
      <c r="AE275" s="4865" t="s">
        <v>1813</v>
      </c>
      <c r="AF275" s="4886"/>
    </row>
    <row r="276" spans="1:32" s="1204" customFormat="1" ht="15" customHeight="1">
      <c r="A276" s="5237"/>
      <c r="B276" s="4815"/>
      <c r="C276" s="1217">
        <v>24</v>
      </c>
      <c r="D276" s="1348"/>
      <c r="E276" s="1372" t="s">
        <v>1812</v>
      </c>
      <c r="F276" s="1349" t="s">
        <v>1811</v>
      </c>
      <c r="G276" s="1348"/>
      <c r="H276" s="1348"/>
      <c r="I276" s="1348"/>
      <c r="J276" s="1348"/>
      <c r="K276" s="1348"/>
      <c r="L276" s="1348"/>
      <c r="M276" s="1348"/>
      <c r="N276" s="1524"/>
      <c r="O276" s="4853"/>
      <c r="P276" s="4854"/>
      <c r="Q276" s="4854"/>
      <c r="R276" s="4854"/>
      <c r="S276" s="4854"/>
      <c r="T276" s="4854"/>
      <c r="U276" s="4854"/>
      <c r="V276" s="4854"/>
      <c r="W276" s="4854"/>
      <c r="X276" s="4855"/>
      <c r="Y276" s="4855"/>
      <c r="Z276" s="4860"/>
      <c r="AA276" s="4863"/>
      <c r="AB276" s="4863"/>
      <c r="AC276" s="4863"/>
      <c r="AD276" s="4866"/>
      <c r="AE276" s="4866"/>
      <c r="AF276" s="4887"/>
    </row>
    <row r="277" spans="1:32" s="1204" customFormat="1" ht="15" customHeight="1">
      <c r="A277" s="5237"/>
      <c r="B277" s="4815"/>
      <c r="C277" s="1217">
        <v>25</v>
      </c>
      <c r="D277" s="1348"/>
      <c r="E277" s="1372" t="s">
        <v>1810</v>
      </c>
      <c r="F277" s="1349" t="s">
        <v>1809</v>
      </c>
      <c r="G277" s="1348"/>
      <c r="H277" s="1348"/>
      <c r="I277" s="1348"/>
      <c r="J277" s="1348"/>
      <c r="K277" s="1348"/>
      <c r="L277" s="1348"/>
      <c r="M277" s="1348"/>
      <c r="N277" s="1524"/>
      <c r="O277" s="4856"/>
      <c r="P277" s="4857"/>
      <c r="Q277" s="4857"/>
      <c r="R277" s="4857"/>
      <c r="S277" s="4857"/>
      <c r="T277" s="4857"/>
      <c r="U277" s="4857"/>
      <c r="V277" s="4857"/>
      <c r="W277" s="4857"/>
      <c r="X277" s="4858"/>
      <c r="Y277" s="4858"/>
      <c r="Z277" s="4861"/>
      <c r="AA277" s="4864"/>
      <c r="AB277" s="4864"/>
      <c r="AC277" s="4864"/>
      <c r="AD277" s="4867"/>
      <c r="AE277" s="4867"/>
      <c r="AF277" s="4888"/>
    </row>
    <row r="278" spans="1:32" s="1204" customFormat="1" ht="15" customHeight="1">
      <c r="A278" s="5237"/>
      <c r="B278" s="4815"/>
      <c r="C278" s="1217">
        <v>26</v>
      </c>
      <c r="D278" s="1348"/>
      <c r="E278" s="1372" t="s">
        <v>1808</v>
      </c>
      <c r="F278" s="1367" t="s">
        <v>1807</v>
      </c>
      <c r="G278" s="1348"/>
      <c r="H278" s="1348"/>
      <c r="I278" s="1348"/>
      <c r="J278" s="1348"/>
      <c r="K278" s="1348"/>
      <c r="L278" s="1348"/>
      <c r="M278" s="1348"/>
      <c r="N278" s="1524"/>
      <c r="O278" s="4889" t="s">
        <v>1806</v>
      </c>
      <c r="P278" s="4890"/>
      <c r="Q278" s="4890"/>
      <c r="R278" s="4890"/>
      <c r="S278" s="4891" t="s">
        <v>1805</v>
      </c>
      <c r="T278" s="4890"/>
      <c r="U278" s="4890"/>
      <c r="V278" s="4890"/>
      <c r="W278" s="4892" t="s">
        <v>1804</v>
      </c>
      <c r="X278" s="4893"/>
      <c r="Y278" s="4892" t="s">
        <v>1803</v>
      </c>
      <c r="Z278" s="4894"/>
      <c r="AA278" s="4895" t="s">
        <v>1802</v>
      </c>
      <c r="AB278" s="4896"/>
      <c r="AC278" s="4895" t="s">
        <v>1801</v>
      </c>
      <c r="AD278" s="4896"/>
      <c r="AE278" s="4897" t="s">
        <v>1800</v>
      </c>
      <c r="AF278" s="4898"/>
    </row>
    <row r="279" spans="1:32" s="1204" customFormat="1" ht="15" customHeight="1">
      <c r="A279" s="5237"/>
      <c r="B279" s="4815"/>
      <c r="C279" s="1217">
        <v>27</v>
      </c>
      <c r="D279" s="1369"/>
      <c r="E279" s="1533"/>
      <c r="F279" s="1532"/>
      <c r="G279" s="1369"/>
      <c r="H279" s="1369"/>
      <c r="I279" s="1369"/>
      <c r="J279" s="1369"/>
      <c r="K279" s="1369"/>
      <c r="L279" s="1369"/>
      <c r="M279" s="1369"/>
      <c r="N279" s="1531"/>
      <c r="O279" s="4899">
        <v>600</v>
      </c>
      <c r="P279" s="4900"/>
      <c r="Q279" s="4900"/>
      <c r="R279" s="4901"/>
      <c r="S279" s="4899">
        <v>180</v>
      </c>
      <c r="T279" s="4900"/>
      <c r="U279" s="4900"/>
      <c r="V279" s="4901"/>
      <c r="W279" s="4899">
        <v>1500</v>
      </c>
      <c r="X279" s="4901"/>
      <c r="Y279" s="1530">
        <v>250</v>
      </c>
      <c r="Z279" s="1529" t="str">
        <f>IF(Y279="","","[Kg]")</f>
        <v>[Kg]</v>
      </c>
      <c r="AA279" s="1528">
        <v>275</v>
      </c>
      <c r="AB279" s="1529" t="str">
        <f>IF(AA279="","","[mm]")</f>
        <v>[mm]</v>
      </c>
      <c r="AC279" s="1528">
        <v>725</v>
      </c>
      <c r="AD279" s="1529" t="str">
        <f>IF(AC279="","","[mm]")</f>
        <v>[mm]</v>
      </c>
      <c r="AE279" s="1528">
        <v>80</v>
      </c>
      <c r="AF279" s="1527" t="str">
        <f>IF(AE279="","","[mm]")</f>
        <v>[mm]</v>
      </c>
    </row>
    <row r="280" spans="1:32" s="1204" customFormat="1" ht="15" customHeight="1">
      <c r="A280" s="5237"/>
      <c r="B280" s="4815"/>
      <c r="C280" s="1217">
        <v>28</v>
      </c>
      <c r="D280" s="1348"/>
      <c r="E280" s="1526" t="s">
        <v>1896</v>
      </c>
      <c r="F280" s="1349" t="s">
        <v>1798</v>
      </c>
      <c r="G280" s="1348"/>
      <c r="H280" s="1348"/>
      <c r="I280" s="1348"/>
      <c r="J280" s="1348"/>
      <c r="K280" s="1348"/>
      <c r="L280" s="1348"/>
      <c r="M280" s="1348"/>
      <c r="N280" s="1524"/>
      <c r="O280" s="4902" t="s">
        <v>1895</v>
      </c>
      <c r="P280" s="4903"/>
      <c r="Q280" s="4903"/>
      <c r="R280" s="4903"/>
      <c r="S280" s="4903"/>
      <c r="T280" s="4903"/>
      <c r="U280" s="4903"/>
      <c r="V280" s="4903"/>
      <c r="W280" s="4903"/>
      <c r="X280" s="4903"/>
      <c r="Y280" s="4904" t="s">
        <v>1894</v>
      </c>
      <c r="Z280" s="4903"/>
      <c r="AA280" s="4903"/>
      <c r="AB280" s="4903"/>
      <c r="AC280" s="4903"/>
      <c r="AD280" s="4905"/>
      <c r="AE280" s="4906" t="s">
        <v>1795</v>
      </c>
      <c r="AF280" s="4907"/>
    </row>
    <row r="281" spans="1:32" s="1204" customFormat="1" ht="15" customHeight="1">
      <c r="A281" s="5237"/>
      <c r="B281" s="4815"/>
      <c r="C281" s="1217">
        <v>29</v>
      </c>
      <c r="D281" s="1348"/>
      <c r="E281" s="1264" t="s">
        <v>1893</v>
      </c>
      <c r="F281" s="1367" t="s">
        <v>1793</v>
      </c>
      <c r="G281" s="1348"/>
      <c r="H281" s="1348"/>
      <c r="I281" s="1348"/>
      <c r="J281" s="1348"/>
      <c r="K281" s="1348"/>
      <c r="L281" s="1348"/>
      <c r="M281" s="1348"/>
      <c r="N281" s="1524"/>
      <c r="O281" s="4834" t="s">
        <v>1792</v>
      </c>
      <c r="P281" s="4835"/>
      <c r="Q281" s="4835"/>
      <c r="R281" s="4835"/>
      <c r="S281" s="4835"/>
      <c r="T281" s="4835"/>
      <c r="U281" s="1525"/>
      <c r="V281" s="4908" t="s">
        <v>1791</v>
      </c>
      <c r="W281" s="4835"/>
      <c r="X281" s="4909"/>
      <c r="Y281" s="4908" t="s">
        <v>1790</v>
      </c>
      <c r="Z281" s="4910"/>
      <c r="AA281" s="4910"/>
      <c r="AB281" s="4908" t="s">
        <v>1789</v>
      </c>
      <c r="AC281" s="4910"/>
      <c r="AD281" s="4910"/>
      <c r="AE281" s="4911" t="s">
        <v>1788</v>
      </c>
      <c r="AF281" s="4912"/>
    </row>
    <row r="282" spans="1:32" s="1204" customFormat="1" ht="15" customHeight="1">
      <c r="A282" s="5237"/>
      <c r="B282" s="4815"/>
      <c r="C282" s="1217">
        <v>30</v>
      </c>
      <c r="D282" s="1348"/>
      <c r="E282" s="1264" t="s">
        <v>1892</v>
      </c>
      <c r="F282" s="1367" t="s">
        <v>1786</v>
      </c>
      <c r="G282" s="1348"/>
      <c r="H282" s="1348"/>
      <c r="I282" s="1348"/>
      <c r="J282" s="1348"/>
      <c r="K282" s="1348"/>
      <c r="L282" s="1348"/>
      <c r="M282" s="1348"/>
      <c r="N282" s="1524"/>
      <c r="O282" s="4913">
        <v>550</v>
      </c>
      <c r="P282" s="4914"/>
      <c r="Q282" s="4914"/>
      <c r="R282" s="4914"/>
      <c r="S282" s="4914"/>
      <c r="T282" s="4915" t="str">
        <f>IF(O282="","","[mm]")</f>
        <v>[mm]</v>
      </c>
      <c r="U282" s="4916"/>
      <c r="V282" s="4917">
        <v>1450</v>
      </c>
      <c r="W282" s="4918"/>
      <c r="X282" s="1523" t="str">
        <f>IF(V282="","","[mm]")</f>
        <v>[mm]</v>
      </c>
      <c r="Y282" s="4919">
        <v>2</v>
      </c>
      <c r="Z282" s="4920"/>
      <c r="AA282" s="4921"/>
      <c r="AB282" s="4919">
        <v>2</v>
      </c>
      <c r="AC282" s="4920"/>
      <c r="AD282" s="4921"/>
      <c r="AE282" s="4922">
        <f>IF(OR(Y282="",AB282=""),"",Y282*AB282)</f>
        <v>4</v>
      </c>
      <c r="AF282" s="4923"/>
    </row>
    <row r="283" spans="1:32" s="1204" customFormat="1" ht="15" customHeight="1">
      <c r="A283" s="5237"/>
      <c r="B283" s="4815"/>
      <c r="C283" s="1217">
        <v>31</v>
      </c>
      <c r="D283" s="1521"/>
      <c r="E283" s="1521"/>
      <c r="F283" s="1522"/>
      <c r="G283" s="1521"/>
      <c r="H283" s="1521"/>
      <c r="I283" s="1521"/>
      <c r="J283" s="1521"/>
      <c r="K283" s="1521"/>
      <c r="L283" s="1521"/>
      <c r="M283" s="1521"/>
      <c r="N283" s="1521"/>
      <c r="O283" s="1520"/>
      <c r="P283" s="1520"/>
      <c r="Q283" s="1520"/>
      <c r="R283" s="1520"/>
      <c r="S283" s="1519"/>
      <c r="T283" s="1519"/>
      <c r="U283" s="1519"/>
      <c r="V283" s="1520"/>
      <c r="W283" s="1520"/>
      <c r="X283" s="1519"/>
      <c r="Y283" s="1518"/>
      <c r="Z283" s="1518"/>
      <c r="AA283" s="1518"/>
      <c r="AB283" s="1518"/>
      <c r="AC283" s="1518"/>
      <c r="AD283" s="1518"/>
      <c r="AE283" s="1517"/>
      <c r="AF283" s="1516"/>
    </row>
    <row r="284" spans="1:32" s="1204" customFormat="1" ht="15" customHeight="1">
      <c r="A284" s="5237"/>
      <c r="B284" s="4815"/>
      <c r="C284" s="1217">
        <v>32</v>
      </c>
      <c r="D284" s="4924" t="s">
        <v>1785</v>
      </c>
      <c r="E284" s="4925"/>
      <c r="F284" s="4925"/>
      <c r="G284" s="4925"/>
      <c r="H284" s="4925"/>
      <c r="I284" s="4926"/>
      <c r="J284" s="4927" t="s">
        <v>1784</v>
      </c>
      <c r="K284" s="4929" t="s">
        <v>1681</v>
      </c>
      <c r="L284" s="4925"/>
      <c r="M284" s="4925"/>
      <c r="N284" s="4926"/>
      <c r="O284" s="4929" t="s">
        <v>1680</v>
      </c>
      <c r="P284" s="4925"/>
      <c r="Q284" s="4925"/>
      <c r="R284" s="4925"/>
      <c r="S284" s="4925"/>
      <c r="T284" s="4925"/>
      <c r="U284" s="4925"/>
      <c r="V284" s="4926"/>
      <c r="W284" s="4930" t="s">
        <v>1783</v>
      </c>
      <c r="X284" s="4931"/>
      <c r="Y284" s="4931"/>
      <c r="Z284" s="4931"/>
      <c r="AA284" s="4931"/>
      <c r="AB284" s="4931"/>
      <c r="AC284" s="4931"/>
      <c r="AD284" s="4931"/>
      <c r="AE284" s="4931"/>
      <c r="AF284" s="4932"/>
    </row>
    <row r="285" spans="1:32" s="1204" customFormat="1" ht="15" customHeight="1">
      <c r="B285" s="4815"/>
      <c r="C285" s="1240">
        <v>33</v>
      </c>
      <c r="D285" s="1515"/>
      <c r="E285" s="1341"/>
      <c r="F285" s="4933" t="s">
        <v>1891</v>
      </c>
      <c r="G285" s="4933" t="s">
        <v>1890</v>
      </c>
      <c r="H285" s="1513"/>
      <c r="I285" s="4934" t="s">
        <v>1889</v>
      </c>
      <c r="J285" s="4928"/>
      <c r="K285" s="4936" t="s">
        <v>1677</v>
      </c>
      <c r="L285" s="4937"/>
      <c r="M285" s="4950" t="s">
        <v>1676</v>
      </c>
      <c r="N285" s="4951"/>
      <c r="O285" s="4956" t="s">
        <v>1675</v>
      </c>
      <c r="P285" s="4957"/>
      <c r="Q285" s="4957"/>
      <c r="R285" s="4958"/>
      <c r="S285" s="4959" t="s">
        <v>1841</v>
      </c>
      <c r="T285" s="4957"/>
      <c r="U285" s="4957"/>
      <c r="V285" s="4960"/>
      <c r="W285" s="4961" t="s">
        <v>1779</v>
      </c>
      <c r="X285" s="4962"/>
      <c r="Y285" s="4965" t="s">
        <v>1888</v>
      </c>
      <c r="Z285" s="4962"/>
      <c r="AA285" s="4968" t="s">
        <v>1777</v>
      </c>
      <c r="AB285" s="4969"/>
      <c r="AC285" s="4942" t="s">
        <v>1776</v>
      </c>
      <c r="AD285" s="4943"/>
      <c r="AE285" s="4943" t="s">
        <v>1775</v>
      </c>
      <c r="AF285" s="5009"/>
    </row>
    <row r="286" spans="1:32" s="1204" customFormat="1" ht="7.5" customHeight="1">
      <c r="B286" s="4815"/>
      <c r="C286" s="4869">
        <v>34</v>
      </c>
      <c r="D286" s="1515"/>
      <c r="E286" s="1341"/>
      <c r="F286" s="4933"/>
      <c r="G286" s="4933"/>
      <c r="H286" s="1513"/>
      <c r="I286" s="4935"/>
      <c r="J286" s="4713">
        <v>1</v>
      </c>
      <c r="K286" s="4938"/>
      <c r="L286" s="4939"/>
      <c r="M286" s="4952"/>
      <c r="N286" s="4953"/>
      <c r="O286" s="4870" t="s">
        <v>1840</v>
      </c>
      <c r="P286" s="4871"/>
      <c r="Q286" s="4871"/>
      <c r="R286" s="4872"/>
      <c r="S286" s="4876" t="s">
        <v>1839</v>
      </c>
      <c r="T286" s="4871"/>
      <c r="U286" s="4871"/>
      <c r="V286" s="4877"/>
      <c r="W286" s="4963"/>
      <c r="X286" s="4964"/>
      <c r="Y286" s="4966"/>
      <c r="Z286" s="4967"/>
      <c r="AA286" s="4966"/>
      <c r="AB286" s="4970"/>
      <c r="AC286" s="4944"/>
      <c r="AD286" s="4945"/>
      <c r="AE286" s="4945"/>
      <c r="AF286" s="5010"/>
    </row>
    <row r="287" spans="1:32" s="1204" customFormat="1" ht="8.25" customHeight="1">
      <c r="B287" s="4815"/>
      <c r="C287" s="4869"/>
      <c r="D287" s="1515"/>
      <c r="E287" s="1341"/>
      <c r="F287" s="1514"/>
      <c r="G287" s="1514"/>
      <c r="H287" s="1513"/>
      <c r="I287" s="1513"/>
      <c r="J287" s="4714"/>
      <c r="K287" s="4940"/>
      <c r="L287" s="4941"/>
      <c r="M287" s="4954"/>
      <c r="N287" s="4955"/>
      <c r="O287" s="4873"/>
      <c r="P287" s="4874"/>
      <c r="Q287" s="4874"/>
      <c r="R287" s="4875"/>
      <c r="S287" s="4878"/>
      <c r="T287" s="4874"/>
      <c r="U287" s="4874"/>
      <c r="V287" s="4879"/>
      <c r="W287" s="4880" t="s">
        <v>1887</v>
      </c>
      <c r="X287" s="4881"/>
      <c r="Y287" s="4884" t="s">
        <v>1886</v>
      </c>
      <c r="Z287" s="4948">
        <v>6</v>
      </c>
      <c r="AA287" s="4683">
        <f>IF(Z287="","",0.73*3.141592654*(Z287^2)/4)</f>
        <v>20.64026373678</v>
      </c>
      <c r="AB287" s="4971" t="s">
        <v>1885</v>
      </c>
      <c r="AC287" s="4944"/>
      <c r="AD287" s="4945"/>
      <c r="AE287" s="4945"/>
      <c r="AF287" s="5010"/>
    </row>
    <row r="288" spans="1:32" s="1204" customFormat="1" ht="7.5" customHeight="1">
      <c r="B288" s="4815"/>
      <c r="C288" s="4869">
        <v>35</v>
      </c>
      <c r="D288" s="4995" t="s">
        <v>1773</v>
      </c>
      <c r="E288" s="4996"/>
      <c r="F288" s="4997">
        <v>2</v>
      </c>
      <c r="G288" s="4997">
        <v>1.5</v>
      </c>
      <c r="H288" s="1504"/>
      <c r="I288" s="4999">
        <v>1</v>
      </c>
      <c r="J288" s="4981">
        <v>0.9</v>
      </c>
      <c r="K288" s="1512"/>
      <c r="L288" s="1511"/>
      <c r="M288" s="1508"/>
      <c r="N288" s="1505"/>
      <c r="O288" s="1510"/>
      <c r="P288" s="1507"/>
      <c r="Q288" s="1507"/>
      <c r="R288" s="1509"/>
      <c r="S288" s="1508"/>
      <c r="T288" s="1507"/>
      <c r="U288" s="1506"/>
      <c r="V288" s="1505"/>
      <c r="W288" s="4882"/>
      <c r="X288" s="4883"/>
      <c r="Y288" s="4885"/>
      <c r="Z288" s="4949"/>
      <c r="AA288" s="4684"/>
      <c r="AB288" s="4972"/>
      <c r="AC288" s="4944"/>
      <c r="AD288" s="4945"/>
      <c r="AE288" s="4945"/>
      <c r="AF288" s="5010"/>
    </row>
    <row r="289" spans="2:32" s="1204" customFormat="1" ht="7.5" customHeight="1">
      <c r="B289" s="4815"/>
      <c r="C289" s="4869"/>
      <c r="D289" s="5004" t="s">
        <v>1884</v>
      </c>
      <c r="E289" s="5005"/>
      <c r="F289" s="4998"/>
      <c r="G289" s="4998"/>
      <c r="H289" s="1503"/>
      <c r="I289" s="5000"/>
      <c r="J289" s="4982"/>
      <c r="K289" s="4991" t="s">
        <v>1668</v>
      </c>
      <c r="L289" s="4987">
        <f>IF(J268="","",J267*J268)</f>
        <v>1.5</v>
      </c>
      <c r="M289" s="4988" t="s">
        <v>1666</v>
      </c>
      <c r="N289" s="4990">
        <f>IF(L289="","",L289/2)</f>
        <v>0.75</v>
      </c>
      <c r="O289" s="4991" t="s">
        <v>1664</v>
      </c>
      <c r="P289" s="4992"/>
      <c r="Q289" s="4993">
        <f>IF(Y279="","",L289*Y279)</f>
        <v>375</v>
      </c>
      <c r="R289" s="4994"/>
      <c r="S289" s="4988" t="s">
        <v>1662</v>
      </c>
      <c r="T289" s="4992"/>
      <c r="U289" s="5025">
        <f>IF(Y279="","",N289*Y279)</f>
        <v>187.5</v>
      </c>
      <c r="V289" s="5026"/>
      <c r="W289" s="5027" t="s">
        <v>1767</v>
      </c>
      <c r="X289" s="5028"/>
      <c r="Y289" s="5028"/>
      <c r="Z289" s="5029"/>
      <c r="AA289" s="5033">
        <f>IF(AA287="","",(INT(AA287*0.38*101.9716*100))/100)</f>
        <v>799.79</v>
      </c>
      <c r="AB289" s="5035" t="s">
        <v>1883</v>
      </c>
      <c r="AC289" s="4944"/>
      <c r="AD289" s="4945"/>
      <c r="AE289" s="4945"/>
      <c r="AF289" s="5010"/>
    </row>
    <row r="290" spans="2:32" s="1204" customFormat="1" ht="7.5" customHeight="1">
      <c r="B290" s="4815"/>
      <c r="C290" s="5001">
        <v>36</v>
      </c>
      <c r="D290" s="5003" t="s">
        <v>1882</v>
      </c>
      <c r="E290" s="4996"/>
      <c r="F290" s="4997">
        <v>1.5</v>
      </c>
      <c r="G290" s="4997">
        <v>1</v>
      </c>
      <c r="H290" s="1504"/>
      <c r="I290" s="5006">
        <v>0.6</v>
      </c>
      <c r="J290" s="4981">
        <v>0.8</v>
      </c>
      <c r="K290" s="5008"/>
      <c r="L290" s="4987"/>
      <c r="M290" s="4989"/>
      <c r="N290" s="4990"/>
      <c r="O290" s="4991"/>
      <c r="P290" s="4992"/>
      <c r="Q290" s="4993"/>
      <c r="R290" s="4994"/>
      <c r="S290" s="4988"/>
      <c r="T290" s="4992"/>
      <c r="U290" s="5025"/>
      <c r="V290" s="5026"/>
      <c r="W290" s="5030"/>
      <c r="X290" s="5031"/>
      <c r="Y290" s="5031"/>
      <c r="Z290" s="5032"/>
      <c r="AA290" s="5034"/>
      <c r="AB290" s="5036"/>
      <c r="AC290" s="4946"/>
      <c r="AD290" s="4947"/>
      <c r="AE290" s="4947"/>
      <c r="AF290" s="5011"/>
    </row>
    <row r="291" spans="2:32" s="1204" customFormat="1" ht="7.5" customHeight="1">
      <c r="B291" s="4815"/>
      <c r="C291" s="5002"/>
      <c r="D291" s="5004"/>
      <c r="E291" s="5005"/>
      <c r="F291" s="4998"/>
      <c r="G291" s="4998"/>
      <c r="H291" s="1503"/>
      <c r="I291" s="5007"/>
      <c r="J291" s="4982"/>
      <c r="K291" s="4983" t="s">
        <v>1881</v>
      </c>
      <c r="L291" s="4984"/>
      <c r="M291" s="5012" t="s">
        <v>1665</v>
      </c>
      <c r="N291" s="5013"/>
      <c r="O291" s="5016" t="s">
        <v>1663</v>
      </c>
      <c r="P291" s="5017"/>
      <c r="Q291" s="5017"/>
      <c r="R291" s="4984"/>
      <c r="S291" s="5012" t="s">
        <v>1661</v>
      </c>
      <c r="T291" s="5017"/>
      <c r="U291" s="5017"/>
      <c r="V291" s="5013"/>
      <c r="W291" s="5019" t="s">
        <v>1880</v>
      </c>
      <c r="X291" s="5020"/>
      <c r="Y291" s="5020"/>
      <c r="Z291" s="5020"/>
      <c r="AA291" s="5020"/>
      <c r="AB291" s="5021"/>
      <c r="AC291" s="5037">
        <v>1800</v>
      </c>
      <c r="AD291" s="5039" t="s">
        <v>1879</v>
      </c>
      <c r="AE291" s="5041">
        <v>1350</v>
      </c>
      <c r="AF291" s="5043" t="s">
        <v>1879</v>
      </c>
    </row>
    <row r="292" spans="2:32" s="1204" customFormat="1" ht="15" customHeight="1">
      <c r="B292" s="4815"/>
      <c r="C292" s="1217">
        <v>37</v>
      </c>
      <c r="D292" s="4973" t="s">
        <v>1759</v>
      </c>
      <c r="E292" s="4974"/>
      <c r="F292" s="1502">
        <v>1</v>
      </c>
      <c r="G292" s="1502">
        <v>0.6</v>
      </c>
      <c r="H292" s="1501"/>
      <c r="I292" s="1501">
        <v>0.4</v>
      </c>
      <c r="J292" s="1500">
        <v>0.7</v>
      </c>
      <c r="K292" s="4985"/>
      <c r="L292" s="4986"/>
      <c r="M292" s="5014"/>
      <c r="N292" s="5015"/>
      <c r="O292" s="4985"/>
      <c r="P292" s="5018"/>
      <c r="Q292" s="5018"/>
      <c r="R292" s="4986"/>
      <c r="S292" s="5014"/>
      <c r="T292" s="5018"/>
      <c r="U292" s="5018"/>
      <c r="V292" s="5015"/>
      <c r="W292" s="5022"/>
      <c r="X292" s="5023"/>
      <c r="Y292" s="5023"/>
      <c r="Z292" s="5023"/>
      <c r="AA292" s="5023"/>
      <c r="AB292" s="5024"/>
      <c r="AC292" s="5038"/>
      <c r="AD292" s="5040"/>
      <c r="AE292" s="5042"/>
      <c r="AF292" s="5044"/>
    </row>
    <row r="293" spans="2:32" s="1204" customFormat="1" ht="15" customHeight="1">
      <c r="B293" s="4815"/>
      <c r="C293" s="1217">
        <v>38</v>
      </c>
      <c r="D293" s="1499"/>
      <c r="E293" s="1497"/>
      <c r="F293" s="1497"/>
      <c r="G293" s="1497"/>
      <c r="H293" s="1497"/>
      <c r="I293" s="1497"/>
      <c r="J293" s="1497"/>
      <c r="K293" s="1497"/>
      <c r="L293" s="1497"/>
      <c r="M293" s="1497"/>
      <c r="N293" s="1497"/>
      <c r="O293" s="1497"/>
      <c r="P293" s="1497"/>
      <c r="Q293" s="1497"/>
      <c r="R293" s="1497"/>
      <c r="S293" s="1497"/>
      <c r="T293" s="1497"/>
      <c r="U293" s="1498"/>
      <c r="V293" s="1497"/>
      <c r="W293" s="1497"/>
      <c r="X293" s="1497"/>
      <c r="Y293" s="1497"/>
      <c r="Z293" s="1497"/>
      <c r="AA293" s="1497"/>
      <c r="AB293" s="1497"/>
      <c r="AC293" s="1497"/>
      <c r="AD293" s="1497"/>
      <c r="AE293" s="1497"/>
      <c r="AF293" s="1496"/>
    </row>
    <row r="294" spans="2:32" s="1204" customFormat="1" ht="15" customHeight="1">
      <c r="B294" s="4815"/>
      <c r="C294" s="1217">
        <v>39</v>
      </c>
      <c r="D294" s="4975" t="s">
        <v>1758</v>
      </c>
      <c r="E294" s="4976"/>
      <c r="F294" s="4976"/>
      <c r="G294" s="4976"/>
      <c r="H294" s="4976"/>
      <c r="I294" s="4976"/>
      <c r="J294" s="4976"/>
      <c r="K294" s="4976"/>
      <c r="L294" s="4976"/>
      <c r="M294" s="1495"/>
      <c r="N294" s="1494"/>
      <c r="O294" s="4977" t="s">
        <v>1878</v>
      </c>
      <c r="P294" s="4978"/>
      <c r="Q294" s="4978"/>
      <c r="R294" s="4978"/>
      <c r="S294" s="4978"/>
      <c r="T294" s="4978"/>
      <c r="U294" s="4978"/>
      <c r="V294" s="4978"/>
      <c r="W294" s="4978"/>
      <c r="X294" s="4978"/>
      <c r="Y294" s="4979"/>
      <c r="Z294" s="4977" t="s">
        <v>1756</v>
      </c>
      <c r="AA294" s="4976"/>
      <c r="AB294" s="4976"/>
      <c r="AC294" s="4976"/>
      <c r="AD294" s="4976"/>
      <c r="AE294" s="4976"/>
      <c r="AF294" s="4980"/>
    </row>
    <row r="295" spans="2:32" s="1204" customFormat="1" ht="15" customHeight="1">
      <c r="B295" s="4815"/>
      <c r="C295" s="1217">
        <v>40</v>
      </c>
      <c r="D295" s="1431" t="s">
        <v>1655</v>
      </c>
      <c r="E295" s="1491"/>
      <c r="F295" s="4797" t="s">
        <v>1877</v>
      </c>
      <c r="G295" s="4798"/>
      <c r="H295" s="1493"/>
      <c r="I295" s="1492" t="s">
        <v>1876</v>
      </c>
      <c r="J295" s="1488"/>
      <c r="K295" s="1488"/>
      <c r="L295" s="1431"/>
      <c r="M295" s="1488" t="s">
        <v>1655</v>
      </c>
      <c r="N295" s="1491"/>
      <c r="O295" s="1490"/>
      <c r="P295" s="1489"/>
      <c r="Q295" s="1489"/>
      <c r="R295" s="1485"/>
      <c r="S295" s="1485"/>
      <c r="T295" s="1485"/>
      <c r="U295" s="1485"/>
      <c r="V295" s="1485"/>
      <c r="W295" s="1431"/>
      <c r="X295" s="1431"/>
      <c r="Y295" s="1488" t="s">
        <v>1655</v>
      </c>
      <c r="Z295" s="1487" t="str">
        <f>IF(J267="",""," 1.ボルト引抜力 Rb[Kgf]")</f>
        <v xml:space="preserve"> 1.ボルト引抜力 Rb[Kgf]</v>
      </c>
      <c r="AA295" s="1486"/>
      <c r="AB295" s="1410"/>
      <c r="AC295" s="1485"/>
      <c r="AD295" s="1485"/>
      <c r="AE295" s="1431"/>
      <c r="AF295" s="1484"/>
    </row>
    <row r="296" spans="2:32" s="1204" customFormat="1" ht="15" customHeight="1">
      <c r="B296" s="4815"/>
      <c r="C296" s="1217">
        <v>41</v>
      </c>
      <c r="D296" s="1420"/>
      <c r="E296" s="1431"/>
      <c r="F296" s="4799"/>
      <c r="G296" s="4800"/>
      <c r="H296" s="1430"/>
      <c r="I296" s="1431"/>
      <c r="J296" s="1431"/>
      <c r="K296" s="1431"/>
      <c r="L296" s="1420"/>
      <c r="M296" s="1420"/>
      <c r="N296" s="1431"/>
      <c r="O296" s="1483"/>
      <c r="P296" s="1482"/>
      <c r="Q296" s="1482"/>
      <c r="R296" s="1465"/>
      <c r="S296" s="1481"/>
      <c r="T296" s="1481"/>
      <c r="U296" s="1481"/>
      <c r="V296" s="1481"/>
      <c r="W296" s="1420"/>
      <c r="X296" s="1420"/>
      <c r="Y296" s="1420"/>
      <c r="Z296" s="1480"/>
      <c r="AA296" s="1457" t="str">
        <f>IF(F306="","",IF(F299&gt;F306,"Rb1:","Rb2:"))</f>
        <v>Rb2:</v>
      </c>
      <c r="AB296" s="4801">
        <f>IF(F299="","",IF(F299&gt;F306,(INT(F299*100))/100,(INT(F306*100))/100))</f>
        <v>105.81</v>
      </c>
      <c r="AC296" s="4801"/>
      <c r="AD296" s="1479" t="str">
        <f>IF(AA289="","",IF(AB296&lt;AA289,"≦ Ta："&amp;INT(AA289),"≧ Ta："&amp;INT(AA289)))</f>
        <v>≦ Ta：799</v>
      </c>
      <c r="AE296" s="1420"/>
      <c r="AF296" s="1419"/>
    </row>
    <row r="297" spans="2:32" s="1204" customFormat="1" ht="15" customHeight="1">
      <c r="B297" s="4815"/>
      <c r="C297" s="1217">
        <v>42</v>
      </c>
      <c r="D297" s="1420"/>
      <c r="E297" s="1420"/>
      <c r="F297" s="1478">
        <f>IF(L289="","",L289*Y279)</f>
        <v>375</v>
      </c>
      <c r="G297" s="1477" t="str">
        <f>IF(AE279="","","× "&amp;AE279)</f>
        <v>× 80</v>
      </c>
      <c r="H297" s="1477"/>
      <c r="I297" s="1443" t="str">
        <f>IF(Y279="","","     ("&amp;Y279&amp;"＋"&amp;U289&amp;") × "&amp;AE279)</f>
        <v xml:space="preserve">     (250＋187.5) × 80</v>
      </c>
      <c r="J297" s="1477"/>
      <c r="K297" s="1443"/>
      <c r="L297" s="1443"/>
      <c r="M297" s="1420"/>
      <c r="N297" s="1420"/>
      <c r="O297" s="1476"/>
      <c r="P297" s="1467"/>
      <c r="Q297" s="1467"/>
      <c r="R297" s="1467"/>
      <c r="S297" s="1420"/>
      <c r="T297" s="1420"/>
      <c r="U297" s="1475"/>
      <c r="V297" s="1420"/>
      <c r="W297" s="1420"/>
      <c r="X297" s="1420"/>
      <c r="Y297" s="1420"/>
      <c r="Z297" s="1464"/>
      <c r="AA297" s="1474"/>
      <c r="AB297" s="1473"/>
      <c r="AC297" s="1429"/>
      <c r="AD297" s="1429" t="str">
        <f>IF(AA289="","","安全率 ＳfRb（Ta/Rb)=")</f>
        <v>安全率 ＳfRb（Ta/Rb)=</v>
      </c>
      <c r="AE297" s="4802">
        <f>IF(AA289="","",AA289/AB296)</f>
        <v>7.5587373594178242</v>
      </c>
      <c r="AF297" s="4803"/>
    </row>
    <row r="298" spans="2:32" s="1204" customFormat="1" ht="15" customHeight="1">
      <c r="B298" s="4815"/>
      <c r="C298" s="1217">
        <v>43</v>
      </c>
      <c r="D298" s="1420"/>
      <c r="E298" s="1420"/>
      <c r="F298" s="4800" t="str">
        <f>IF(O282="","",O282&amp;" × "&amp;AB282)</f>
        <v>550 × 2</v>
      </c>
      <c r="G298" s="4800"/>
      <c r="H298" s="1430"/>
      <c r="I298" s="1431"/>
      <c r="J298" s="4605" t="str">
        <f>IF(V282="","",V282&amp;" × "&amp;Y282)</f>
        <v>1450 × 2</v>
      </c>
      <c r="K298" s="4605"/>
      <c r="L298" s="1420"/>
      <c r="M298" s="1420"/>
      <c r="N298" s="1420"/>
      <c r="O298" s="1464"/>
      <c r="P298" s="1420"/>
      <c r="Q298" s="1420"/>
      <c r="R298" s="1443"/>
      <c r="S298" s="1420"/>
      <c r="T298" s="1471" t="str">
        <f>IF(AE282="","","  "&amp;Q289)</f>
        <v xml:space="preserve">  375</v>
      </c>
      <c r="U298" s="1472" t="str">
        <f>IF(Q289="","","2")</f>
        <v>2</v>
      </c>
      <c r="V298" s="1443" t="str">
        <f>IF(T298="","","＋")</f>
        <v>＋</v>
      </c>
      <c r="W298" s="1420"/>
      <c r="X298" s="1471" t="str">
        <f>IF(AE282="","","("&amp;Y279&amp;"＋"&amp;U289&amp;")")</f>
        <v>(250＋187.5)</v>
      </c>
      <c r="Y298" s="1470" t="str">
        <f>IF(AE282="","","2")</f>
        <v>2</v>
      </c>
      <c r="Z298" s="1464"/>
      <c r="AA298" s="1469" t="str">
        <f>IF(AA287="","",IF(AA289&gt;AB296,"Rb≦Ta で 合格","Rb＞Ta で 不合格"))</f>
        <v>Rb≦Ta で 合格</v>
      </c>
      <c r="AB298" s="1420"/>
      <c r="AC298" s="1420"/>
      <c r="AD298" s="1420"/>
      <c r="AE298" s="1420"/>
      <c r="AF298" s="1419"/>
    </row>
    <row r="299" spans="2:32" s="1204" customFormat="1" ht="15" customHeight="1">
      <c r="B299" s="4815"/>
      <c r="C299" s="1217">
        <v>44</v>
      </c>
      <c r="D299" s="1420"/>
      <c r="E299" s="1468"/>
      <c r="F299" s="4804">
        <f>IF(AB282="","",((Q289*AE279)/(O282*AB282))+(((Y279+U289)*AE279)/(V282*Y282)))</f>
        <v>39.341692789968654</v>
      </c>
      <c r="G299" s="4804"/>
      <c r="H299" s="1467"/>
      <c r="I299" s="1463" t="str">
        <f>IF(F299="","",INT(F299*9.80665)/1000&amp;"［KN］")</f>
        <v>0.385［KN］</v>
      </c>
      <c r="J299" s="1466"/>
      <c r="K299" s="1466"/>
      <c r="L299" s="4805"/>
      <c r="M299" s="4805"/>
      <c r="N299" s="1420"/>
      <c r="O299" s="1464"/>
      <c r="P299" s="1420"/>
      <c r="Q299" s="1420"/>
      <c r="R299" s="1420"/>
      <c r="S299" s="1420"/>
      <c r="T299" s="1465"/>
      <c r="U299" s="1465" t="str">
        <f>IF(AE282="","",AE282&amp;" × "&amp;INT(AA287*1000)/1000)</f>
        <v>4 × 20.64</v>
      </c>
      <c r="V299" s="1420"/>
      <c r="W299" s="1420"/>
      <c r="X299" s="1420"/>
      <c r="Y299" s="1420"/>
      <c r="Z299" s="1427"/>
      <c r="AA299" s="1424"/>
      <c r="AB299" s="1424"/>
      <c r="AC299" s="1424"/>
      <c r="AD299" s="1424"/>
      <c r="AE299" s="1424"/>
      <c r="AF299" s="1448"/>
    </row>
    <row r="300" spans="2:32" s="1204" customFormat="1" ht="15" customHeight="1">
      <c r="B300" s="4815"/>
      <c r="C300" s="1217">
        <v>45</v>
      </c>
      <c r="D300" s="1460"/>
      <c r="E300" s="1424"/>
      <c r="F300" s="1424"/>
      <c r="G300" s="1424"/>
      <c r="H300" s="1424"/>
      <c r="I300" s="1424"/>
      <c r="J300" s="1424"/>
      <c r="K300" s="1424"/>
      <c r="L300" s="1424"/>
      <c r="M300" s="1460"/>
      <c r="N300" s="1424"/>
      <c r="O300" s="1464"/>
      <c r="P300" s="1420"/>
      <c r="Q300" s="1420"/>
      <c r="R300" s="4806">
        <f>IF(AE282="","",SQRT(Q289^2+(Y279+U289)^2)/(AE282*(AA287/100)))</f>
        <v>697.93382479169259</v>
      </c>
      <c r="S300" s="4806"/>
      <c r="T300" s="4806"/>
      <c r="U300" s="4806"/>
      <c r="V300" s="1463" t="str">
        <f>IF(R300="","",INT(R300*9.80665)/1000&amp;"［KN］")</f>
        <v>6.844［KN］</v>
      </c>
      <c r="W300" s="1462"/>
      <c r="X300" s="1420"/>
      <c r="Y300" s="1447"/>
      <c r="Z300" s="1444" t="str">
        <f>IF(J267="",""," 2.ボルト引張応力 σ[Kgf/cm2]")</f>
        <v xml:space="preserve"> 2.ボルト引張応力 σ[Kgf/cm2]</v>
      </c>
      <c r="AA300" s="1420"/>
      <c r="AB300" s="1420"/>
      <c r="AC300" s="1420"/>
      <c r="AD300" s="1420"/>
      <c r="AE300" s="1420"/>
      <c r="AF300" s="1419"/>
    </row>
    <row r="301" spans="2:32" s="1204" customFormat="1" ht="15" customHeight="1">
      <c r="B301" s="4815"/>
      <c r="C301" s="1217">
        <v>46</v>
      </c>
      <c r="D301" s="1460"/>
      <c r="E301" s="1424"/>
      <c r="F301" s="1461"/>
      <c r="G301" s="1414"/>
      <c r="H301" s="1414"/>
      <c r="I301" s="1424"/>
      <c r="J301" s="1414"/>
      <c r="K301" s="1424"/>
      <c r="L301" s="1424"/>
      <c r="M301" s="1460"/>
      <c r="N301" s="1424"/>
      <c r="O301" s="1459"/>
      <c r="P301" s="1458"/>
      <c r="Q301" s="1446"/>
      <c r="R301" s="1424"/>
      <c r="S301" s="1424"/>
      <c r="T301" s="1424"/>
      <c r="U301" s="1446"/>
      <c r="V301" s="1424"/>
      <c r="W301" s="1424"/>
      <c r="X301" s="1424"/>
      <c r="Y301" s="1445"/>
      <c r="Z301" s="1420"/>
      <c r="AA301" s="1457"/>
      <c r="AB301" s="1456" t="str">
        <f>IF(AA287="","","σ:Rb/A=")</f>
        <v>σ:Rb/A=</v>
      </c>
      <c r="AC301" s="4807">
        <f>IF(AA287="","",AB296/(AA287/100))</f>
        <v>512.63879836695821</v>
      </c>
      <c r="AD301" s="4807"/>
      <c r="AE301" s="4801" t="str">
        <f>IF(AE282="","","ft=1800")</f>
        <v>ft=1800</v>
      </c>
      <c r="AF301" s="4808"/>
    </row>
    <row r="302" spans="2:32" s="1204" customFormat="1" ht="15" customHeight="1">
      <c r="B302" s="4815"/>
      <c r="C302" s="1217">
        <v>47</v>
      </c>
      <c r="D302" s="1420"/>
      <c r="E302" s="1420"/>
      <c r="F302" s="1455" t="s">
        <v>1875</v>
      </c>
      <c r="G302" s="1454"/>
      <c r="H302" s="1454"/>
      <c r="I302" s="1449"/>
      <c r="J302" s="1453" t="s">
        <v>1874</v>
      </c>
      <c r="K302" s="1420"/>
      <c r="L302" s="1420"/>
      <c r="M302" s="1420"/>
      <c r="N302" s="1420"/>
      <c r="O302" s="1427"/>
      <c r="P302" s="1424"/>
      <c r="Q302" s="1424"/>
      <c r="R302" s="1452"/>
      <c r="S302" s="1451"/>
      <c r="T302" s="1424"/>
      <c r="U302" s="1446"/>
      <c r="V302" s="1424"/>
      <c r="W302" s="1424"/>
      <c r="X302" s="1424"/>
      <c r="Y302" s="1423"/>
      <c r="Z302" s="1420"/>
      <c r="AA302" s="1420"/>
      <c r="AB302" s="1450"/>
      <c r="AC302" s="1449"/>
      <c r="AD302" s="1429" t="str">
        <f>IF(AA289="","","安全率 Ｓfσ（ft/σ)=")</f>
        <v>安全率 Ｓfσ（ft/σ)=</v>
      </c>
      <c r="AE302" s="4809">
        <f>IF(AA287="","",INT(1000*AC291/AC301)/1000)</f>
        <v>3.5110000000000001</v>
      </c>
      <c r="AF302" s="4810"/>
    </row>
    <row r="303" spans="2:32" s="1204" customFormat="1" ht="15" customHeight="1">
      <c r="B303" s="4815"/>
      <c r="C303" s="1217">
        <v>48</v>
      </c>
      <c r="D303" s="1420"/>
      <c r="E303" s="1420"/>
      <c r="F303" s="1420"/>
      <c r="G303" s="1420"/>
      <c r="H303" s="1420"/>
      <c r="I303" s="1420"/>
      <c r="J303" s="1420"/>
      <c r="K303" s="1420"/>
      <c r="L303" s="1420"/>
      <c r="M303" s="1420"/>
      <c r="N303" s="1420"/>
      <c r="O303" s="1427"/>
      <c r="P303" s="1424"/>
      <c r="Q303" s="1424"/>
      <c r="R303" s="1424"/>
      <c r="S303" s="1424"/>
      <c r="T303" s="1424"/>
      <c r="U303" s="1446"/>
      <c r="V303" s="1424"/>
      <c r="W303" s="1424"/>
      <c r="X303" s="1424"/>
      <c r="Y303" s="1423"/>
      <c r="Z303" s="1420"/>
      <c r="AA303" s="1422" t="str">
        <f>IF(AA287="","",IF(AC291&gt;AC301,"σ≦ft で 合格","σ＞ft で 不合格"))</f>
        <v>σ≦ft で 合格</v>
      </c>
      <c r="AB303" s="1420"/>
      <c r="AC303" s="1420"/>
      <c r="AD303" s="1420"/>
      <c r="AE303" s="1420"/>
      <c r="AF303" s="1419"/>
    </row>
    <row r="304" spans="2:32" s="1204" customFormat="1" ht="15" customHeight="1">
      <c r="B304" s="4815"/>
      <c r="C304" s="1217">
        <v>49</v>
      </c>
      <c r="D304" s="1420"/>
      <c r="E304" s="1420"/>
      <c r="F304" s="1443" t="str">
        <f>IF(Q289="","",Q289&amp;" × ("&amp;V282&amp;"－"&amp;AC279&amp;")")</f>
        <v>375 × (1450－725)</v>
      </c>
      <c r="G304" s="1420"/>
      <c r="H304" s="1420"/>
      <c r="I304" s="1420"/>
      <c r="J304" s="1420"/>
      <c r="K304" s="1443" t="str">
        <f>IF(Y279="","","("&amp;Y279&amp;"+"&amp;U289&amp;") × "&amp;AE279)</f>
        <v>(250+187.5) × 80</v>
      </c>
      <c r="L304" s="1420"/>
      <c r="M304" s="1420"/>
      <c r="N304" s="1420"/>
      <c r="O304" s="1427"/>
      <c r="P304" s="1424"/>
      <c r="Q304" s="1424"/>
      <c r="R304" s="1424"/>
      <c r="S304" s="1424"/>
      <c r="T304" s="1424"/>
      <c r="U304" s="1446"/>
      <c r="V304" s="1424"/>
      <c r="W304" s="1424"/>
      <c r="X304" s="1424"/>
      <c r="Y304" s="1423"/>
      <c r="Z304" s="1424"/>
      <c r="AA304" s="1424"/>
      <c r="AB304" s="1424"/>
      <c r="AC304" s="1424"/>
      <c r="AD304" s="1424"/>
      <c r="AE304" s="1424"/>
      <c r="AF304" s="1448"/>
    </row>
    <row r="305" spans="2:34" s="1204" customFormat="1" ht="15" customHeight="1">
      <c r="B305" s="4815"/>
      <c r="C305" s="1217">
        <v>50</v>
      </c>
      <c r="D305" s="1447"/>
      <c r="E305" s="1420"/>
      <c r="F305" s="4605" t="str">
        <f>IF(V282="","",V282&amp;"×"&amp;Y282)</f>
        <v>1450×2</v>
      </c>
      <c r="G305" s="4605"/>
      <c r="H305" s="4605"/>
      <c r="I305" s="4605"/>
      <c r="J305" s="1420"/>
      <c r="K305" s="4605" t="str">
        <f>IF(V282="","",V282&amp;" × "&amp;Y282)</f>
        <v>1450 × 2</v>
      </c>
      <c r="L305" s="4605"/>
      <c r="M305" s="4605"/>
      <c r="N305" s="1420"/>
      <c r="O305" s="1427"/>
      <c r="P305" s="1424"/>
      <c r="Q305" s="1424"/>
      <c r="R305" s="1424"/>
      <c r="S305" s="1424"/>
      <c r="T305" s="1424"/>
      <c r="U305" s="1446"/>
      <c r="V305" s="1424"/>
      <c r="W305" s="1424"/>
      <c r="X305" s="1424"/>
      <c r="Y305" s="1445"/>
      <c r="Z305" s="1444" t="str">
        <f>IF(J267="",""," 3.ボルトせん断応力 τ[Kgf/cm2]")</f>
        <v xml:space="preserve"> 3.ボルトせん断応力 τ[Kgf/cm2]</v>
      </c>
      <c r="AA305" s="1420"/>
      <c r="AB305" s="1420"/>
      <c r="AC305" s="1420"/>
      <c r="AD305" s="1420"/>
      <c r="AE305" s="1420"/>
      <c r="AF305" s="1419"/>
    </row>
    <row r="306" spans="2:34" s="1204" customFormat="1" ht="15" customHeight="1">
      <c r="B306" s="4815"/>
      <c r="C306" s="1217">
        <v>51</v>
      </c>
      <c r="D306" s="1420"/>
      <c r="E306" s="1420"/>
      <c r="F306" s="1443">
        <f>IF(AB282="","",((Q289*(V282-AC279))/(V282*Y282))+(((Y279+U289)*AE279)/(V282*Y282)))</f>
        <v>105.81896551724138</v>
      </c>
      <c r="G306" s="1420"/>
      <c r="H306" s="1420"/>
      <c r="I306" s="1442" t="str">
        <f>IF(F306="","",INT(F306*9.80665)/1000&amp;"［KN］")</f>
        <v>1.037［KN］</v>
      </c>
      <c r="J306" s="1442"/>
      <c r="K306" s="1420"/>
      <c r="L306" s="1420"/>
      <c r="M306" s="1420"/>
      <c r="N306" s="1420"/>
      <c r="O306" s="1441"/>
      <c r="P306" s="1440"/>
      <c r="Q306" s="1440"/>
      <c r="R306" s="1439"/>
      <c r="S306" s="1439"/>
      <c r="T306" s="1439"/>
      <c r="U306" s="1439"/>
      <c r="V306" s="1439"/>
      <c r="W306" s="1424"/>
      <c r="X306" s="1424"/>
      <c r="Y306" s="1423"/>
      <c r="Z306" s="1420"/>
      <c r="AA306" s="1438" t="str">
        <f>IF(R300="","","τ:")</f>
        <v>τ:</v>
      </c>
      <c r="AB306" s="4811">
        <f>IF(R300="","",R300)</f>
        <v>697.93382479169259</v>
      </c>
      <c r="AC306" s="4811"/>
      <c r="AD306" s="1437" t="str">
        <f>IF(AE291="","","fs:")</f>
        <v>fs:</v>
      </c>
      <c r="AE306" s="4812">
        <f>IF(AE291="","",AE291)</f>
        <v>1350</v>
      </c>
      <c r="AF306" s="4813"/>
    </row>
    <row r="307" spans="2:34" s="1204" customFormat="1" ht="15" customHeight="1">
      <c r="B307" s="4815"/>
      <c r="C307" s="1217">
        <v>52</v>
      </c>
      <c r="D307" s="1424"/>
      <c r="E307" s="1424"/>
      <c r="F307" s="1433"/>
      <c r="G307" s="1436"/>
      <c r="H307" s="1436"/>
      <c r="I307" s="4814"/>
      <c r="J307" s="4814"/>
      <c r="K307" s="1424"/>
      <c r="L307" s="1424"/>
      <c r="M307" s="1436"/>
      <c r="N307" s="1436"/>
      <c r="O307" s="1435"/>
      <c r="P307" s="1434"/>
      <c r="Q307" s="1434"/>
      <c r="R307" s="1433"/>
      <c r="S307" s="1433"/>
      <c r="T307" s="1433"/>
      <c r="U307" s="1433"/>
      <c r="V307" s="1433"/>
      <c r="W307" s="1424"/>
      <c r="X307" s="1424"/>
      <c r="Y307" s="1423"/>
      <c r="Z307" s="1420"/>
      <c r="AA307" s="1432"/>
      <c r="AB307" s="1431"/>
      <c r="AC307" s="1430"/>
      <c r="AD307" s="1429" t="str">
        <f>IF(AA289="","","安全率 Ｓfτ（fs/τ)=")</f>
        <v>安全率 Ｓfτ（fs/τ)=</v>
      </c>
      <c r="AE307" s="4809">
        <f>IF(AA289="","",INT(1000*AE291/AB306)/1000)</f>
        <v>1.9339999999999999</v>
      </c>
      <c r="AF307" s="4810"/>
    </row>
    <row r="308" spans="2:34" s="1204" customFormat="1" ht="15" customHeight="1">
      <c r="B308" s="4815"/>
      <c r="C308" s="1217">
        <v>53</v>
      </c>
      <c r="D308" s="1420"/>
      <c r="E308" s="1422" t="str">
        <f>IF(F306="","",IF(F299&gt;F306,"　Ｒb1＞Ｒb2 より Ｒb=Ｒb1 とする。","　Ｒb1＜Ｒb2 より Ｒb=Ｒb2 とする。"))</f>
        <v>　Ｒb1＜Ｒb2 より Ｒb=Ｒb2 とする。</v>
      </c>
      <c r="F308" s="1420"/>
      <c r="G308" s="1420"/>
      <c r="H308" s="1420"/>
      <c r="I308" s="1421"/>
      <c r="J308" s="1421"/>
      <c r="K308" s="1420"/>
      <c r="L308" s="1420"/>
      <c r="M308" s="1428"/>
      <c r="N308" s="1420"/>
      <c r="O308" s="1427"/>
      <c r="P308" s="1424"/>
      <c r="Q308" s="1424"/>
      <c r="R308" s="1425"/>
      <c r="S308" s="1425"/>
      <c r="T308" s="1425"/>
      <c r="U308" s="1426"/>
      <c r="V308" s="1425"/>
      <c r="W308" s="1424"/>
      <c r="X308" s="1424"/>
      <c r="Y308" s="1423"/>
      <c r="Z308" s="1420"/>
      <c r="AA308" s="1422" t="str">
        <f>IF(AA287="","",IF(AE306&gt;AB306,"τ≦fs で 合格","τ＞fs で 不合格"))</f>
        <v>τ≦fs で 合格</v>
      </c>
      <c r="AB308" s="1420"/>
      <c r="AC308" s="1421"/>
      <c r="AD308" s="1421"/>
      <c r="AE308" s="1420"/>
      <c r="AF308" s="1419"/>
    </row>
    <row r="309" spans="2:34" s="1204" customFormat="1" ht="15" customHeight="1">
      <c r="B309" s="4815"/>
      <c r="C309" s="1217">
        <v>54</v>
      </c>
      <c r="D309" s="1410"/>
      <c r="E309" s="1412"/>
      <c r="F309" s="1410"/>
      <c r="G309" s="1410"/>
      <c r="H309" s="1410"/>
      <c r="I309" s="1411"/>
      <c r="J309" s="1411"/>
      <c r="K309" s="1410"/>
      <c r="L309" s="1410"/>
      <c r="M309" s="1418"/>
      <c r="N309" s="1410"/>
      <c r="O309" s="1417"/>
      <c r="P309" s="1414"/>
      <c r="Q309" s="1414"/>
      <c r="R309" s="1415"/>
      <c r="S309" s="1415"/>
      <c r="T309" s="1415"/>
      <c r="U309" s="1416"/>
      <c r="V309" s="1415"/>
      <c r="W309" s="1414"/>
      <c r="X309" s="1414"/>
      <c r="Y309" s="1413"/>
      <c r="Z309" s="1410"/>
      <c r="AA309" s="1412"/>
      <c r="AB309" s="1410"/>
      <c r="AC309" s="1411"/>
      <c r="AD309" s="1411"/>
      <c r="AE309" s="1410"/>
      <c r="AF309" s="1409"/>
    </row>
    <row r="310" spans="2:34" s="1204" customFormat="1" ht="15" customHeight="1">
      <c r="B310" s="4815"/>
      <c r="C310" s="1217">
        <v>55</v>
      </c>
      <c r="D310" s="1408"/>
      <c r="E310" s="1405"/>
      <c r="F310" s="1405"/>
      <c r="G310" s="1405"/>
      <c r="H310" s="1405"/>
      <c r="I310" s="1405"/>
      <c r="J310" s="1405"/>
      <c r="K310" s="1405"/>
      <c r="L310" s="1405"/>
      <c r="M310" s="1405"/>
      <c r="N310" s="1405"/>
      <c r="O310" s="1405"/>
      <c r="P310" s="1405"/>
      <c r="Q310" s="1405"/>
      <c r="R310" s="1405"/>
      <c r="S310" s="1405"/>
      <c r="T310" s="1405"/>
      <c r="U310" s="1407"/>
      <c r="V310" s="1405"/>
      <c r="W310" s="1405"/>
      <c r="X310" s="1405"/>
      <c r="Y310" s="1405"/>
      <c r="Z310" s="1405"/>
      <c r="AA310" s="1405"/>
      <c r="AB310" s="1405"/>
      <c r="AC310" s="1405"/>
      <c r="AD310" s="1406" t="s">
        <v>1654</v>
      </c>
      <c r="AE310" s="1405"/>
      <c r="AF310" s="1404"/>
    </row>
    <row r="311" spans="2:34" s="1204" customFormat="1" ht="4.5" customHeight="1">
      <c r="B311" s="4815"/>
      <c r="U311" s="1205"/>
    </row>
    <row r="312" spans="2:34" s="1204" customFormat="1" ht="4.5" customHeight="1">
      <c r="B312" s="4815" t="s">
        <v>1837</v>
      </c>
      <c r="C312" s="1403"/>
      <c r="D312" s="1388"/>
      <c r="E312" s="1388"/>
      <c r="F312" s="1388"/>
      <c r="G312" s="1388"/>
      <c r="H312" s="1388"/>
      <c r="I312" s="1388"/>
      <c r="J312" s="1397"/>
      <c r="K312" s="1402"/>
      <c r="L312" s="1401"/>
      <c r="M312" s="1397"/>
      <c r="N312" s="1397"/>
      <c r="O312" s="1397"/>
      <c r="P312" s="1397"/>
      <c r="Q312" s="1397"/>
      <c r="R312" s="1397"/>
      <c r="S312" s="1397"/>
      <c r="T312" s="1397"/>
      <c r="U312" s="1400"/>
      <c r="V312" s="1397"/>
      <c r="W312" s="1399"/>
      <c r="X312" s="1397"/>
      <c r="Y312" s="1397"/>
      <c r="Z312" s="1397"/>
      <c r="AA312" s="1398"/>
      <c r="AB312" s="1398"/>
      <c r="AC312" s="1397"/>
      <c r="AD312" s="1397"/>
      <c r="AE312" s="1398"/>
      <c r="AF312" s="1397"/>
    </row>
    <row r="313" spans="2:34" s="1204" customFormat="1" ht="18" customHeight="1">
      <c r="B313" s="4815"/>
      <c r="C313" s="1396">
        <v>1</v>
      </c>
      <c r="D313" s="4816" t="s">
        <v>1873</v>
      </c>
      <c r="E313" s="4817"/>
      <c r="F313" s="4817"/>
      <c r="G313" s="4817"/>
      <c r="H313" s="4817"/>
      <c r="I313" s="4817"/>
      <c r="J313" s="4818"/>
      <c r="K313" s="4822" t="s">
        <v>1747</v>
      </c>
      <c r="L313" s="4823"/>
      <c r="M313" s="4823"/>
      <c r="N313" s="4823"/>
      <c r="O313" s="4823"/>
      <c r="P313" s="4823"/>
      <c r="Q313" s="4824"/>
      <c r="R313" s="4828" t="s">
        <v>1746</v>
      </c>
      <c r="S313" s="4829"/>
      <c r="T313" s="4829"/>
      <c r="U313" s="4830"/>
      <c r="V313" s="4831"/>
      <c r="W313" s="4832"/>
      <c r="X313" s="4832"/>
      <c r="Y313" s="4832"/>
      <c r="Z313" s="4832"/>
      <c r="AA313" s="4832"/>
      <c r="AB313" s="4832"/>
      <c r="AC313" s="4833"/>
      <c r="AD313" s="4836" t="s">
        <v>1745</v>
      </c>
      <c r="AE313" s="4837"/>
      <c r="AF313" s="4838"/>
      <c r="AH313" s="1395"/>
    </row>
    <row r="314" spans="2:34" s="1204" customFormat="1" ht="15" customHeight="1" thickBot="1">
      <c r="B314" s="4815"/>
      <c r="C314" s="1394">
        <v>2</v>
      </c>
      <c r="D314" s="4819"/>
      <c r="E314" s="4820"/>
      <c r="F314" s="4820"/>
      <c r="G314" s="4820"/>
      <c r="H314" s="4820"/>
      <c r="I314" s="4820"/>
      <c r="J314" s="4821"/>
      <c r="K314" s="4825"/>
      <c r="L314" s="4826"/>
      <c r="M314" s="4826"/>
      <c r="N314" s="4826"/>
      <c r="O314" s="4826"/>
      <c r="P314" s="4826"/>
      <c r="Q314" s="4827"/>
      <c r="R314" s="4842" t="s">
        <v>1744</v>
      </c>
      <c r="S314" s="4843"/>
      <c r="T314" s="4843"/>
      <c r="U314" s="4844"/>
      <c r="V314" s="4845"/>
      <c r="W314" s="4845"/>
      <c r="X314" s="4845"/>
      <c r="Y314" s="4845"/>
      <c r="Z314" s="4846" t="s">
        <v>1743</v>
      </c>
      <c r="AA314" s="4846"/>
      <c r="AB314" s="4847" t="s">
        <v>1742</v>
      </c>
      <c r="AC314" s="4847"/>
      <c r="AD314" s="4839"/>
      <c r="AE314" s="4840"/>
      <c r="AF314" s="4841"/>
    </row>
    <row r="315" spans="2:34" s="1204" customFormat="1" ht="15" customHeight="1">
      <c r="B315" s="4815"/>
      <c r="C315" s="1217">
        <v>3</v>
      </c>
      <c r="D315" s="1393" t="s">
        <v>1741</v>
      </c>
      <c r="E315" s="1390"/>
      <c r="F315" s="1390"/>
      <c r="G315" s="1390"/>
      <c r="H315" s="1390"/>
      <c r="I315" s="1390"/>
      <c r="J315" s="1390"/>
      <c r="K315" s="1390"/>
      <c r="L315" s="1390"/>
      <c r="M315" s="1392"/>
      <c r="N315" s="1390"/>
      <c r="O315" s="1390"/>
      <c r="P315" s="1390"/>
      <c r="Q315" s="1390"/>
      <c r="R315" s="1390"/>
      <c r="S315" s="1390"/>
      <c r="T315" s="1390"/>
      <c r="U315" s="1391"/>
      <c r="V315" s="1390"/>
      <c r="W315" s="1390"/>
      <c r="X315" s="1390"/>
      <c r="Y315" s="1390"/>
      <c r="Z315" s="1390"/>
      <c r="AA315" s="1390"/>
      <c r="AB315" s="1390"/>
      <c r="AC315" s="1390"/>
      <c r="AD315" s="1390"/>
      <c r="AE315" s="1390"/>
      <c r="AF315" s="1389"/>
    </row>
    <row r="316" spans="2:34" s="1204" customFormat="1" ht="15" customHeight="1">
      <c r="B316" s="4815"/>
      <c r="C316" s="1217">
        <v>4</v>
      </c>
      <c r="D316" s="1349" t="s">
        <v>1740</v>
      </c>
      <c r="E316" s="1388"/>
      <c r="F316" s="1388"/>
      <c r="G316" s="1388"/>
      <c r="H316" s="1388"/>
      <c r="I316" s="1388"/>
      <c r="J316" s="1388"/>
      <c r="K316" s="1388"/>
      <c r="L316" s="1388"/>
      <c r="M316" s="1387"/>
      <c r="N316" s="1348"/>
      <c r="O316" s="1348"/>
      <c r="P316" s="1348"/>
      <c r="Q316" s="1348"/>
      <c r="R316" s="1348"/>
      <c r="S316" s="1348"/>
      <c r="T316" s="1348"/>
      <c r="U316" s="1367"/>
      <c r="V316" s="1348"/>
      <c r="W316" s="1348"/>
      <c r="X316" s="1348"/>
      <c r="Y316" s="1348"/>
      <c r="Z316" s="1348"/>
      <c r="AA316" s="1348"/>
      <c r="AB316" s="1348"/>
      <c r="AC316" s="1348"/>
      <c r="AD316" s="1348"/>
      <c r="AE316" s="1348"/>
      <c r="AF316" s="1378"/>
    </row>
    <row r="317" spans="2:34" s="1204" customFormat="1" ht="15" customHeight="1">
      <c r="B317" s="4815"/>
      <c r="C317" s="1217">
        <v>5</v>
      </c>
      <c r="D317" s="1349" t="s">
        <v>1739</v>
      </c>
      <c r="E317" s="1348"/>
      <c r="F317" s="1348"/>
      <c r="G317" s="1348"/>
      <c r="H317" s="1348"/>
      <c r="I317" s="1348"/>
      <c r="J317" s="1348"/>
      <c r="K317" s="1348"/>
      <c r="L317" s="1348"/>
      <c r="M317" s="1379"/>
      <c r="N317" s="1348"/>
      <c r="O317" s="1348"/>
      <c r="P317" s="1348"/>
      <c r="Q317" s="1348"/>
      <c r="R317" s="1348"/>
      <c r="S317" s="1348"/>
      <c r="T317" s="1348"/>
      <c r="U317" s="1367"/>
      <c r="V317" s="1348"/>
      <c r="W317" s="1348"/>
      <c r="X317" s="1348"/>
      <c r="Y317" s="1348"/>
      <c r="Z317" s="1348"/>
      <c r="AA317" s="1348"/>
      <c r="AB317" s="1348"/>
      <c r="AC317" s="1348"/>
      <c r="AD317" s="1348"/>
      <c r="AE317" s="1348"/>
      <c r="AF317" s="1378"/>
    </row>
    <row r="318" spans="2:34" s="1204" customFormat="1" ht="15" customHeight="1">
      <c r="B318" s="4815"/>
      <c r="C318" s="1217">
        <v>6</v>
      </c>
      <c r="D318" s="1349" t="s">
        <v>1738</v>
      </c>
      <c r="E318" s="1348"/>
      <c r="F318" s="1348"/>
      <c r="G318" s="1348"/>
      <c r="H318" s="1348"/>
      <c r="I318" s="1348"/>
      <c r="J318" s="1348"/>
      <c r="K318" s="1348"/>
      <c r="L318" s="1348"/>
      <c r="M318" s="1379"/>
      <c r="N318" s="1348"/>
      <c r="O318" s="1348"/>
      <c r="P318" s="1348"/>
      <c r="Q318" s="1348"/>
      <c r="R318" s="1348"/>
      <c r="S318" s="1348"/>
      <c r="T318" s="1348"/>
      <c r="U318" s="1367"/>
      <c r="V318" s="1348"/>
      <c r="W318" s="1348"/>
      <c r="X318" s="1348"/>
      <c r="Y318" s="1348"/>
      <c r="Z318" s="1348"/>
      <c r="AA318" s="1348"/>
      <c r="AB318" s="1348"/>
      <c r="AC318" s="1348"/>
      <c r="AD318" s="1348"/>
      <c r="AE318" s="1348"/>
      <c r="AF318" s="1378"/>
    </row>
    <row r="319" spans="2:34" s="1204" customFormat="1" ht="15" customHeight="1">
      <c r="B319" s="4815"/>
      <c r="C319" s="1217">
        <v>7</v>
      </c>
      <c r="D319" s="1349" t="s">
        <v>1737</v>
      </c>
      <c r="E319" s="1348"/>
      <c r="F319" s="1348"/>
      <c r="G319" s="1348"/>
      <c r="H319" s="1348"/>
      <c r="I319" s="1348"/>
      <c r="J319" s="1348"/>
      <c r="K319" s="1348"/>
      <c r="L319" s="1348"/>
      <c r="M319" s="1379"/>
      <c r="N319" s="1348"/>
      <c r="O319" s="1348"/>
      <c r="P319" s="1348"/>
      <c r="Q319" s="1348"/>
      <c r="R319" s="1348"/>
      <c r="S319" s="1348"/>
      <c r="T319" s="1348"/>
      <c r="U319" s="1367"/>
      <c r="V319" s="1348"/>
      <c r="W319" s="1348"/>
      <c r="X319" s="1348"/>
      <c r="Y319" s="1348"/>
      <c r="Z319" s="1348"/>
      <c r="AA319" s="1348"/>
      <c r="AB319" s="1348"/>
      <c r="AC319" s="1348"/>
      <c r="AD319" s="1348"/>
      <c r="AE319" s="1348"/>
      <c r="AF319" s="1378"/>
    </row>
    <row r="320" spans="2:34" s="1204" customFormat="1" ht="15" customHeight="1">
      <c r="B320" s="4815"/>
      <c r="C320" s="1217">
        <v>8</v>
      </c>
      <c r="D320" s="1384"/>
      <c r="E320" s="1348"/>
      <c r="F320" s="1348"/>
      <c r="G320" s="1348"/>
      <c r="H320" s="1348"/>
      <c r="I320" s="1348"/>
      <c r="J320" s="1348"/>
      <c r="K320" s="1348"/>
      <c r="L320" s="1348"/>
      <c r="M320" s="1379"/>
      <c r="N320" s="1348"/>
      <c r="O320" s="1348"/>
      <c r="P320" s="1348"/>
      <c r="Q320" s="1348"/>
      <c r="R320" s="1348"/>
      <c r="S320" s="1348"/>
      <c r="T320" s="1348"/>
      <c r="U320" s="1367"/>
      <c r="V320" s="1348"/>
      <c r="W320" s="1348"/>
      <c r="X320" s="1348"/>
      <c r="Y320" s="1348"/>
      <c r="Z320" s="1348"/>
      <c r="AA320" s="1348"/>
      <c r="AB320" s="1348"/>
      <c r="AC320" s="1348"/>
      <c r="AD320" s="1348"/>
      <c r="AE320" s="1348"/>
      <c r="AF320" s="1378"/>
    </row>
    <row r="321" spans="2:32" s="1204" customFormat="1" ht="15" customHeight="1">
      <c r="B321" s="4815"/>
      <c r="C321" s="1217">
        <v>9</v>
      </c>
      <c r="D321" s="1384"/>
      <c r="E321" s="1348"/>
      <c r="F321" s="1348"/>
      <c r="G321" s="1348"/>
      <c r="H321" s="1348"/>
      <c r="I321" s="1348"/>
      <c r="J321" s="1348"/>
      <c r="K321" s="1348"/>
      <c r="L321" s="1348"/>
      <c r="M321" s="1379"/>
      <c r="N321" s="1348"/>
      <c r="O321" s="1348"/>
      <c r="P321" s="1348"/>
      <c r="Q321" s="1348"/>
      <c r="R321" s="1348"/>
      <c r="S321" s="1348"/>
      <c r="T321" s="1348"/>
      <c r="U321" s="1367"/>
      <c r="V321" s="1348"/>
      <c r="W321" s="1348"/>
      <c r="X321" s="1348"/>
      <c r="Y321" s="1348"/>
      <c r="Z321" s="1348"/>
      <c r="AA321" s="1348"/>
      <c r="AB321" s="1348"/>
      <c r="AC321" s="1348"/>
      <c r="AD321" s="1348"/>
      <c r="AE321" s="1348"/>
      <c r="AF321" s="1378"/>
    </row>
    <row r="322" spans="2:32" s="1204" customFormat="1" ht="15" customHeight="1">
      <c r="B322" s="4815"/>
      <c r="C322" s="1217">
        <v>10</v>
      </c>
      <c r="D322" s="1384"/>
      <c r="E322" s="1348"/>
      <c r="F322" s="1348"/>
      <c r="G322" s="1348"/>
      <c r="H322" s="1348"/>
      <c r="I322" s="1348"/>
      <c r="J322" s="1348"/>
      <c r="K322" s="1348"/>
      <c r="L322" s="1348"/>
      <c r="M322" s="1379"/>
      <c r="N322" s="1348"/>
      <c r="O322" s="1348"/>
      <c r="P322" s="1348"/>
      <c r="Q322" s="1348"/>
      <c r="R322" s="1348"/>
      <c r="S322" s="1348"/>
      <c r="T322" s="1348"/>
      <c r="U322" s="1367"/>
      <c r="V322" s="1348"/>
      <c r="W322" s="1348"/>
      <c r="X322" s="1348"/>
      <c r="Y322" s="1348"/>
      <c r="Z322" s="1348"/>
      <c r="AA322" s="1348"/>
      <c r="AB322" s="1348"/>
      <c r="AC322" s="1348"/>
      <c r="AD322" s="1348"/>
      <c r="AE322" s="1348"/>
      <c r="AF322" s="1378"/>
    </row>
    <row r="323" spans="2:32" s="1204" customFormat="1" ht="15" customHeight="1">
      <c r="B323" s="4815"/>
      <c r="C323" s="1217">
        <v>11</v>
      </c>
      <c r="D323" s="1384"/>
      <c r="E323" s="1348"/>
      <c r="F323" s="1348"/>
      <c r="G323" s="1380"/>
      <c r="H323" s="1380"/>
      <c r="I323" s="1380"/>
      <c r="J323" s="1380"/>
      <c r="K323" s="1348"/>
      <c r="L323" s="1348"/>
      <c r="M323" s="1379"/>
      <c r="N323" s="1348"/>
      <c r="O323" s="1348"/>
      <c r="P323" s="1348"/>
      <c r="Q323" s="1348"/>
      <c r="R323" s="1348"/>
      <c r="S323" s="1348"/>
      <c r="T323" s="1348"/>
      <c r="U323" s="1367"/>
      <c r="V323" s="1348"/>
      <c r="W323" s="1348"/>
      <c r="X323" s="1348"/>
      <c r="Y323" s="1348"/>
      <c r="Z323" s="1348"/>
      <c r="AA323" s="1348"/>
      <c r="AB323" s="1348"/>
      <c r="AC323" s="1348"/>
      <c r="AD323" s="1348"/>
      <c r="AE323" s="1348"/>
      <c r="AF323" s="1378"/>
    </row>
    <row r="324" spans="2:32" s="1204" customFormat="1" ht="15" customHeight="1">
      <c r="B324" s="4815"/>
      <c r="C324" s="1217">
        <v>12</v>
      </c>
      <c r="D324" s="1372"/>
      <c r="E324" s="1349"/>
      <c r="F324" s="1348"/>
      <c r="G324" s="1380"/>
      <c r="H324" s="1380"/>
      <c r="I324" s="1380"/>
      <c r="J324" s="1380"/>
      <c r="K324" s="1348"/>
      <c r="L324" s="1348"/>
      <c r="M324" s="1379"/>
      <c r="N324" s="1348"/>
      <c r="O324" s="1348"/>
      <c r="P324" s="1348"/>
      <c r="Q324" s="1348"/>
      <c r="R324" s="1348"/>
      <c r="S324" s="1348"/>
      <c r="T324" s="1348"/>
      <c r="U324" s="1367"/>
      <c r="V324" s="1348"/>
      <c r="W324" s="1348"/>
      <c r="X324" s="1348"/>
      <c r="Y324" s="1348"/>
      <c r="Z324" s="1348"/>
      <c r="AA324" s="1348"/>
      <c r="AB324" s="1348"/>
      <c r="AC324" s="1348"/>
      <c r="AD324" s="1348"/>
      <c r="AE324" s="1348"/>
      <c r="AF324" s="1378"/>
    </row>
    <row r="325" spans="2:32" s="1204" customFormat="1" ht="15" customHeight="1">
      <c r="B325" s="4815"/>
      <c r="C325" s="1217">
        <v>13</v>
      </c>
      <c r="D325" s="1386"/>
      <c r="E325" s="1369"/>
      <c r="F325" s="1369"/>
      <c r="G325" s="1385"/>
      <c r="H325" s="1385"/>
      <c r="I325" s="1385"/>
      <c r="J325" s="1385"/>
      <c r="K325" s="1369"/>
      <c r="L325" s="1369"/>
      <c r="M325" s="1379"/>
      <c r="N325" s="1348"/>
      <c r="O325" s="1348"/>
      <c r="P325" s="1348"/>
      <c r="Q325" s="1348"/>
      <c r="R325" s="1348"/>
      <c r="S325" s="1348"/>
      <c r="T325" s="1348"/>
      <c r="U325" s="1367"/>
      <c r="V325" s="1348"/>
      <c r="W325" s="1348"/>
      <c r="X325" s="1348"/>
      <c r="Y325" s="1348"/>
      <c r="Z325" s="1348"/>
      <c r="AA325" s="1348"/>
      <c r="AB325" s="1348"/>
      <c r="AC325" s="1348"/>
      <c r="AD325" s="1348"/>
      <c r="AE325" s="1348"/>
      <c r="AF325" s="1378"/>
    </row>
    <row r="326" spans="2:32" s="1204" customFormat="1" ht="15" customHeight="1">
      <c r="B326" s="4815"/>
      <c r="C326" s="1217">
        <v>14</v>
      </c>
      <c r="D326" s="1384"/>
      <c r="E326" s="1348"/>
      <c r="F326" s="1348"/>
      <c r="G326" s="1348"/>
      <c r="H326" s="1348"/>
      <c r="I326" s="1380"/>
      <c r="J326" s="1380"/>
      <c r="K326" s="1348"/>
      <c r="L326" s="1348"/>
      <c r="M326" s="1379"/>
      <c r="N326" s="1348"/>
      <c r="O326" s="1348"/>
      <c r="P326" s="1348"/>
      <c r="Q326" s="1348"/>
      <c r="R326" s="1348"/>
      <c r="S326" s="1348"/>
      <c r="T326" s="1348"/>
      <c r="U326" s="1367"/>
      <c r="V326" s="1348"/>
      <c r="W326" s="1348"/>
      <c r="X326" s="1348"/>
      <c r="Y326" s="1348"/>
      <c r="Z326" s="1348"/>
      <c r="AA326" s="1348"/>
      <c r="AB326" s="1348"/>
      <c r="AC326" s="1348"/>
      <c r="AD326" s="1348"/>
      <c r="AE326" s="1348"/>
      <c r="AF326" s="1378"/>
    </row>
    <row r="327" spans="2:32" s="1204" customFormat="1" ht="15" customHeight="1">
      <c r="B327" s="4815"/>
      <c r="C327" s="1217">
        <v>15</v>
      </c>
      <c r="D327" s="1384"/>
      <c r="E327" s="1348"/>
      <c r="F327" s="1348"/>
      <c r="G327" s="1348"/>
      <c r="H327" s="1348"/>
      <c r="I327" s="1380"/>
      <c r="J327" s="1380"/>
      <c r="K327" s="1348"/>
      <c r="L327" s="1348"/>
      <c r="M327" s="1379"/>
      <c r="N327" s="1348"/>
      <c r="O327" s="1348"/>
      <c r="P327" s="1348"/>
      <c r="Q327" s="1348"/>
      <c r="R327" s="1348"/>
      <c r="S327" s="1348"/>
      <c r="T327" s="1348"/>
      <c r="U327" s="1367"/>
      <c r="V327" s="1348"/>
      <c r="W327" s="1348"/>
      <c r="X327" s="1348"/>
      <c r="Y327" s="1348"/>
      <c r="Z327" s="1348"/>
      <c r="AA327" s="1348"/>
      <c r="AB327" s="1348"/>
      <c r="AC327" s="1348"/>
      <c r="AD327" s="1348"/>
      <c r="AE327" s="1348"/>
      <c r="AF327" s="1378"/>
    </row>
    <row r="328" spans="2:32" s="1204" customFormat="1" ht="15" customHeight="1">
      <c r="B328" s="4815"/>
      <c r="C328" s="1217">
        <v>16</v>
      </c>
      <c r="D328" s="1384"/>
      <c r="E328" s="1348"/>
      <c r="F328" s="1348"/>
      <c r="G328" s="1348"/>
      <c r="H328" s="1348"/>
      <c r="I328" s="1380"/>
      <c r="J328" s="1380"/>
      <c r="K328" s="1348"/>
      <c r="L328" s="1348"/>
      <c r="M328" s="1379"/>
      <c r="N328" s="1348"/>
      <c r="O328" s="1348"/>
      <c r="P328" s="1348"/>
      <c r="Q328" s="1348"/>
      <c r="R328" s="1348"/>
      <c r="S328" s="1348"/>
      <c r="T328" s="1348"/>
      <c r="U328" s="1367"/>
      <c r="V328" s="1348"/>
      <c r="W328" s="4849"/>
      <c r="X328" s="4849"/>
      <c r="Y328" s="4849"/>
      <c r="Z328" s="1348"/>
      <c r="AA328" s="1348"/>
      <c r="AB328" s="1348"/>
      <c r="AC328" s="1348"/>
      <c r="AD328" s="1348"/>
      <c r="AE328" s="1348"/>
      <c r="AF328" s="1378"/>
    </row>
    <row r="329" spans="2:32" s="1204" customFormat="1" ht="15" customHeight="1">
      <c r="B329" s="4815"/>
      <c r="C329" s="1217">
        <v>17</v>
      </c>
      <c r="D329" s="1372"/>
      <c r="E329" s="1349"/>
      <c r="F329" s="1348"/>
      <c r="G329" s="1348"/>
      <c r="H329" s="1348"/>
      <c r="I329" s="1348"/>
      <c r="J329" s="1348"/>
      <c r="K329" s="1348"/>
      <c r="L329" s="1348"/>
      <c r="M329" s="1379"/>
      <c r="N329" s="1348"/>
      <c r="O329" s="1348"/>
      <c r="P329" s="1348"/>
      <c r="Q329" s="1348"/>
      <c r="R329" s="1348"/>
      <c r="S329" s="1348"/>
      <c r="T329" s="1348"/>
      <c r="U329" s="1367"/>
      <c r="V329" s="1348"/>
      <c r="W329" s="1348"/>
      <c r="X329" s="1348"/>
      <c r="Y329" s="1348"/>
      <c r="Z329" s="1348"/>
      <c r="AA329" s="1348"/>
      <c r="AB329" s="1348"/>
      <c r="AC329" s="1348"/>
      <c r="AD329" s="1348"/>
      <c r="AE329" s="1348"/>
      <c r="AF329" s="1378"/>
    </row>
    <row r="330" spans="2:32" s="1204" customFormat="1" ht="15" customHeight="1">
      <c r="B330" s="4815"/>
      <c r="C330" s="1217">
        <v>18</v>
      </c>
      <c r="D330" s="1383"/>
      <c r="E330" s="1382"/>
      <c r="F330" s="1369"/>
      <c r="G330" s="1369"/>
      <c r="H330" s="1369"/>
      <c r="I330" s="1369"/>
      <c r="J330" s="1369"/>
      <c r="K330" s="1369"/>
      <c r="L330" s="1369"/>
      <c r="M330" s="1379"/>
      <c r="N330" s="1348"/>
      <c r="O330" s="1348"/>
      <c r="P330" s="1348"/>
      <c r="Q330" s="1348"/>
      <c r="R330" s="1348"/>
      <c r="S330" s="1348"/>
      <c r="T330" s="1348"/>
      <c r="U330" s="1367"/>
      <c r="V330" s="1348"/>
      <c r="W330" s="1348"/>
      <c r="X330" s="1348"/>
      <c r="Y330" s="1348"/>
      <c r="Z330" s="1348"/>
      <c r="AA330" s="1348"/>
      <c r="AB330" s="1348"/>
      <c r="AC330" s="1348"/>
      <c r="AD330" s="1348"/>
      <c r="AE330" s="1348"/>
      <c r="AF330" s="1378"/>
    </row>
    <row r="331" spans="2:32" s="1204" customFormat="1" ht="15" customHeight="1">
      <c r="B331" s="4815"/>
      <c r="C331" s="1217">
        <v>19</v>
      </c>
      <c r="D331" s="1377" t="s">
        <v>1872</v>
      </c>
      <c r="E331" s="1350" t="s">
        <v>1735</v>
      </c>
      <c r="F331" s="1348"/>
      <c r="G331" s="1348"/>
      <c r="H331" s="1348"/>
      <c r="I331" s="1348"/>
      <c r="J331" s="1348"/>
      <c r="K331" s="1348"/>
      <c r="L331" s="1348"/>
      <c r="M331" s="1379"/>
      <c r="N331" s="1348"/>
      <c r="O331" s="1348"/>
      <c r="P331" s="1348"/>
      <c r="Q331" s="1348"/>
      <c r="R331" s="1348"/>
      <c r="S331" s="1348"/>
      <c r="T331" s="1348"/>
      <c r="U331" s="1367"/>
      <c r="V331" s="1348"/>
      <c r="W331" s="1348"/>
      <c r="X331" s="1348"/>
      <c r="Y331" s="1348"/>
      <c r="Z331" s="1348"/>
      <c r="AA331" s="1348"/>
      <c r="AB331" s="1348"/>
      <c r="AC331" s="1348"/>
      <c r="AD331" s="1348"/>
      <c r="AE331" s="1348"/>
      <c r="AF331" s="1378"/>
    </row>
    <row r="332" spans="2:32" s="1204" customFormat="1" ht="15" customHeight="1">
      <c r="B332" s="4815"/>
      <c r="C332" s="1217">
        <v>20</v>
      </c>
      <c r="D332" s="1377"/>
      <c r="E332" s="1381" t="s">
        <v>1870</v>
      </c>
      <c r="F332" s="1348"/>
      <c r="G332" s="1348"/>
      <c r="H332" s="1348"/>
      <c r="I332" s="1348"/>
      <c r="J332" s="1348"/>
      <c r="K332" s="1348"/>
      <c r="L332" s="1348"/>
      <c r="M332" s="1379"/>
      <c r="N332" s="1348"/>
      <c r="O332" s="1348"/>
      <c r="P332" s="1348"/>
      <c r="Q332" s="1348"/>
      <c r="R332" s="1348"/>
      <c r="S332" s="1348"/>
      <c r="T332" s="1348"/>
      <c r="U332" s="1367"/>
      <c r="V332" s="1348"/>
      <c r="W332" s="1348"/>
      <c r="X332" s="1348"/>
      <c r="Y332" s="1348"/>
      <c r="Z332" s="1348"/>
      <c r="AA332" s="1348"/>
      <c r="AB332" s="1348"/>
      <c r="AC332" s="1380"/>
      <c r="AD332" s="1348"/>
      <c r="AE332" s="1348"/>
      <c r="AF332" s="1378"/>
    </row>
    <row r="333" spans="2:32" s="1204" customFormat="1" ht="15" customHeight="1">
      <c r="B333" s="4815"/>
      <c r="C333" s="1217">
        <v>21</v>
      </c>
      <c r="D333" s="1377" t="s">
        <v>1871</v>
      </c>
      <c r="E333" s="1350" t="s">
        <v>1733</v>
      </c>
      <c r="F333" s="1348"/>
      <c r="G333" s="1348"/>
      <c r="H333" s="1348"/>
      <c r="I333" s="1348"/>
      <c r="J333" s="1348"/>
      <c r="K333" s="1348"/>
      <c r="L333" s="1348"/>
      <c r="M333" s="1379"/>
      <c r="N333" s="1348"/>
      <c r="O333" s="1348"/>
      <c r="P333" s="1348"/>
      <c r="Q333" s="1348"/>
      <c r="R333" s="1348"/>
      <c r="S333" s="1348"/>
      <c r="T333" s="1348"/>
      <c r="U333" s="1367"/>
      <c r="V333" s="1348"/>
      <c r="W333" s="1348"/>
      <c r="X333" s="1348"/>
      <c r="Y333" s="1348"/>
      <c r="Z333" s="1348"/>
      <c r="AA333" s="1348"/>
      <c r="AB333" s="1348"/>
      <c r="AC333" s="1348"/>
      <c r="AD333" s="1348"/>
      <c r="AE333" s="1348"/>
      <c r="AF333" s="1378"/>
    </row>
    <row r="334" spans="2:32" s="1204" customFormat="1" ht="15" customHeight="1">
      <c r="B334" s="4815"/>
      <c r="C334" s="1217">
        <v>22</v>
      </c>
      <c r="D334" s="1377"/>
      <c r="E334" s="1350" t="s">
        <v>1870</v>
      </c>
      <c r="F334" s="1349"/>
      <c r="G334" s="1348"/>
      <c r="H334" s="1348"/>
      <c r="I334" s="1348"/>
      <c r="J334" s="1348"/>
      <c r="K334" s="1348"/>
      <c r="L334" s="1348"/>
      <c r="M334" s="1376"/>
      <c r="N334" s="1342"/>
      <c r="O334" s="1342"/>
      <c r="P334" s="1342"/>
      <c r="Q334" s="1342"/>
      <c r="R334" s="1342"/>
      <c r="S334" s="1342"/>
      <c r="T334" s="1342"/>
      <c r="U334" s="1374"/>
      <c r="V334" s="1342"/>
      <c r="W334" s="1342"/>
      <c r="X334" s="1342"/>
      <c r="Y334" s="1342"/>
      <c r="Z334" s="1342"/>
      <c r="AA334" s="1342"/>
      <c r="AB334" s="1342"/>
      <c r="AC334" s="1342"/>
      <c r="AD334" s="1342"/>
      <c r="AE334" s="1342"/>
      <c r="AF334" s="1373"/>
    </row>
    <row r="335" spans="2:32" s="1204" customFormat="1" ht="15" customHeight="1">
      <c r="B335" s="4815"/>
      <c r="C335" s="1217">
        <v>23</v>
      </c>
      <c r="D335" s="1377" t="s">
        <v>1869</v>
      </c>
      <c r="E335" s="1350" t="s">
        <v>1730</v>
      </c>
      <c r="F335" s="1349"/>
      <c r="G335" s="1348"/>
      <c r="H335" s="1348"/>
      <c r="I335" s="1348"/>
      <c r="J335" s="1348"/>
      <c r="K335" s="1348"/>
      <c r="L335" s="1348"/>
      <c r="M335" s="1376"/>
      <c r="N335" s="1342"/>
      <c r="O335" s="1342"/>
      <c r="P335" s="1342"/>
      <c r="Q335" s="1342"/>
      <c r="R335" s="1342"/>
      <c r="S335" s="1342"/>
      <c r="T335" s="1342"/>
      <c r="U335" s="1374"/>
      <c r="V335" s="1342"/>
      <c r="W335" s="1342"/>
      <c r="X335" s="1342"/>
      <c r="Y335" s="1342"/>
      <c r="Z335" s="1342"/>
      <c r="AA335" s="1342"/>
      <c r="AB335" s="1342"/>
      <c r="AC335" s="1342"/>
      <c r="AD335" s="1342"/>
      <c r="AE335" s="1342"/>
      <c r="AF335" s="1373"/>
    </row>
    <row r="336" spans="2:32" s="1204" customFormat="1" ht="15" customHeight="1">
      <c r="B336" s="4815"/>
      <c r="C336" s="1217">
        <v>24</v>
      </c>
      <c r="D336" s="1377" t="s">
        <v>1868</v>
      </c>
      <c r="E336" s="1350" t="s">
        <v>1728</v>
      </c>
      <c r="F336" s="1349"/>
      <c r="G336" s="1348"/>
      <c r="H336" s="1348"/>
      <c r="I336" s="1348"/>
      <c r="J336" s="1348"/>
      <c r="K336" s="1348"/>
      <c r="L336" s="1348"/>
      <c r="M336" s="1376"/>
      <c r="N336" s="1342"/>
      <c r="O336" s="1342"/>
      <c r="P336" s="1342"/>
      <c r="Q336" s="1342"/>
      <c r="R336" s="1342"/>
      <c r="S336" s="1342"/>
      <c r="T336" s="1342"/>
      <c r="U336" s="1374"/>
      <c r="V336" s="1342"/>
      <c r="W336" s="1342"/>
      <c r="X336" s="1342"/>
      <c r="Y336" s="1342"/>
      <c r="Z336" s="1342"/>
      <c r="AA336" s="1342"/>
      <c r="AB336" s="1342"/>
      <c r="AC336" s="1342"/>
      <c r="AD336" s="1342"/>
      <c r="AE336" s="1342"/>
      <c r="AF336" s="1373"/>
    </row>
    <row r="337" spans="2:32" s="1204" customFormat="1" ht="15" customHeight="1">
      <c r="B337" s="4815"/>
      <c r="C337" s="1217">
        <v>25</v>
      </c>
      <c r="D337" s="1369"/>
      <c r="E337" s="1371"/>
      <c r="F337" s="1370"/>
      <c r="G337" s="1369"/>
      <c r="H337" s="1369"/>
      <c r="I337" s="1369"/>
      <c r="J337" s="1369"/>
      <c r="K337" s="1369"/>
      <c r="L337" s="1369"/>
      <c r="M337" s="1376"/>
      <c r="N337" s="1342"/>
      <c r="O337" s="1342"/>
      <c r="P337" s="1342"/>
      <c r="Q337" s="1375"/>
      <c r="R337" s="1342"/>
      <c r="S337" s="1342"/>
      <c r="T337" s="1342"/>
      <c r="U337" s="1374"/>
      <c r="V337" s="1342"/>
      <c r="W337" s="1342"/>
      <c r="X337" s="1342"/>
      <c r="Y337" s="1342"/>
      <c r="Z337" s="1342"/>
      <c r="AA337" s="1342"/>
      <c r="AB337" s="1342"/>
      <c r="AC337" s="1342"/>
      <c r="AD337" s="1342"/>
      <c r="AE337" s="1342"/>
      <c r="AF337" s="1373"/>
    </row>
    <row r="338" spans="2:32" s="1204" customFormat="1" ht="15" customHeight="1">
      <c r="B338" s="4815"/>
      <c r="C338" s="1217">
        <v>26</v>
      </c>
      <c r="D338" s="1348"/>
      <c r="E338" s="1372"/>
      <c r="F338" s="1349"/>
      <c r="G338" s="1348"/>
      <c r="H338" s="1348"/>
      <c r="I338" s="1348"/>
      <c r="J338" s="1348"/>
      <c r="K338" s="1348"/>
      <c r="L338" s="1348"/>
      <c r="M338" s="4850" t="s">
        <v>1727</v>
      </c>
      <c r="N338" s="4851"/>
      <c r="O338" s="4851"/>
      <c r="P338" s="4851"/>
      <c r="Q338" s="4851"/>
      <c r="R338" s="4851"/>
      <c r="S338" s="4851"/>
      <c r="T338" s="4851"/>
      <c r="U338" s="4851"/>
      <c r="V338" s="4851"/>
      <c r="W338" s="5045" t="s">
        <v>1867</v>
      </c>
      <c r="X338" s="4851"/>
      <c r="Y338" s="5047" t="s">
        <v>1725</v>
      </c>
      <c r="Z338" s="5048"/>
      <c r="AA338" s="5048"/>
      <c r="AB338" s="5049" t="s">
        <v>1724</v>
      </c>
      <c r="AC338" s="5049"/>
      <c r="AD338" s="5049"/>
      <c r="AE338" s="5049"/>
      <c r="AF338" s="5050"/>
    </row>
    <row r="339" spans="2:32" s="1204" customFormat="1" ht="15" customHeight="1">
      <c r="B339" s="4815"/>
      <c r="C339" s="1217">
        <v>27</v>
      </c>
      <c r="D339" s="1348"/>
      <c r="E339" s="1372"/>
      <c r="F339" s="1349"/>
      <c r="G339" s="1348"/>
      <c r="H339" s="1348"/>
      <c r="I339" s="1348"/>
      <c r="J339" s="1348"/>
      <c r="K339" s="1348"/>
      <c r="L339" s="1348"/>
      <c r="M339" s="4853"/>
      <c r="N339" s="4854"/>
      <c r="O339" s="4854"/>
      <c r="P339" s="4854"/>
      <c r="Q339" s="4854"/>
      <c r="R339" s="4854"/>
      <c r="S339" s="4854"/>
      <c r="T339" s="4854"/>
      <c r="U339" s="4854"/>
      <c r="V339" s="4854"/>
      <c r="W339" s="5046"/>
      <c r="X339" s="4854"/>
      <c r="Y339" s="4902" t="s">
        <v>1679</v>
      </c>
      <c r="Z339" s="4903"/>
      <c r="AA339" s="4903"/>
      <c r="AB339" s="5051" t="s">
        <v>1723</v>
      </c>
      <c r="AC339" s="5052"/>
      <c r="AD339" s="5052"/>
      <c r="AE339" s="5052"/>
      <c r="AF339" s="5053"/>
    </row>
    <row r="340" spans="2:32" s="1204" customFormat="1" ht="15" customHeight="1">
      <c r="B340" s="4815"/>
      <c r="C340" s="1217">
        <v>28</v>
      </c>
      <c r="D340" s="1369"/>
      <c r="E340" s="1371"/>
      <c r="F340" s="1370"/>
      <c r="G340" s="1369"/>
      <c r="H340" s="1369"/>
      <c r="I340" s="1369"/>
      <c r="J340" s="1369"/>
      <c r="K340" s="1369"/>
      <c r="L340" s="1369"/>
      <c r="M340" s="5054" t="s">
        <v>1806</v>
      </c>
      <c r="N340" s="5055"/>
      <c r="O340" s="4891" t="s">
        <v>1805</v>
      </c>
      <c r="P340" s="4890"/>
      <c r="Q340" s="4890"/>
      <c r="R340" s="4890"/>
      <c r="S340" s="4892" t="s">
        <v>1804</v>
      </c>
      <c r="T340" s="5056"/>
      <c r="U340" s="5056"/>
      <c r="V340" s="5057"/>
      <c r="W340" s="4892" t="s">
        <v>1803</v>
      </c>
      <c r="X340" s="5058"/>
      <c r="Y340" s="5059" t="s">
        <v>1673</v>
      </c>
      <c r="Z340" s="5060"/>
      <c r="AA340" s="5060"/>
      <c r="AB340" s="5061" t="s">
        <v>1866</v>
      </c>
      <c r="AC340" s="5062"/>
      <c r="AD340" s="5062"/>
      <c r="AE340" s="5062"/>
      <c r="AF340" s="5063"/>
    </row>
    <row r="341" spans="2:32" s="1204" customFormat="1" ht="15" customHeight="1">
      <c r="B341" s="4815"/>
      <c r="C341" s="1217">
        <v>29</v>
      </c>
      <c r="D341" s="1368" t="s">
        <v>1865</v>
      </c>
      <c r="E341" s="1350" t="s">
        <v>1716</v>
      </c>
      <c r="F341" s="1367"/>
      <c r="G341" s="1348"/>
      <c r="H341" s="1348"/>
      <c r="I341" s="1348"/>
      <c r="J341" s="1348"/>
      <c r="K341" s="1348"/>
      <c r="L341" s="1348"/>
      <c r="M341" s="5064">
        <f>IF(O279="","",O279)</f>
        <v>600</v>
      </c>
      <c r="N341" s="5065"/>
      <c r="O341" s="5066">
        <f>IF(S279="","",S279)</f>
        <v>180</v>
      </c>
      <c r="P341" s="5067"/>
      <c r="Q341" s="5067"/>
      <c r="R341" s="5068"/>
      <c r="S341" s="5069">
        <f>IF(W279="","",W279)</f>
        <v>1500</v>
      </c>
      <c r="T341" s="5070"/>
      <c r="U341" s="5070"/>
      <c r="V341" s="5065"/>
      <c r="W341" s="1366">
        <f>IF(Y279="","",Y279)</f>
        <v>250</v>
      </c>
      <c r="X341" s="1365" t="str">
        <f>IF(W341="","","[Kg]")</f>
        <v>[Kg]</v>
      </c>
      <c r="Y341" s="5071" t="s">
        <v>1715</v>
      </c>
      <c r="Z341" s="5072"/>
      <c r="AA341" s="5072"/>
      <c r="AB341" s="1356" t="s">
        <v>1854</v>
      </c>
      <c r="AC341" s="5073" t="s">
        <v>1864</v>
      </c>
      <c r="AD341" s="5074"/>
      <c r="AE341" s="5075">
        <v>1.22</v>
      </c>
      <c r="AF341" s="5076"/>
    </row>
    <row r="342" spans="2:32" s="1204" customFormat="1" ht="15" customHeight="1">
      <c r="B342" s="4815"/>
      <c r="C342" s="1217">
        <v>30</v>
      </c>
      <c r="D342" s="1359" t="s">
        <v>1863</v>
      </c>
      <c r="E342" s="1350" t="s">
        <v>1862</v>
      </c>
      <c r="F342" s="1358"/>
      <c r="G342" s="1348"/>
      <c r="H342" s="1348"/>
      <c r="I342" s="1348"/>
      <c r="J342" s="1348"/>
      <c r="K342" s="1348"/>
      <c r="L342" s="1348"/>
      <c r="M342" s="1364"/>
      <c r="N342" s="1362"/>
      <c r="O342" s="1363"/>
      <c r="P342" s="1363"/>
      <c r="Q342" s="1363"/>
      <c r="R342" s="1363"/>
      <c r="S342" s="1362"/>
      <c r="T342" s="1362"/>
      <c r="U342" s="1362"/>
      <c r="V342" s="1362"/>
      <c r="W342" s="1361"/>
      <c r="X342" s="1360"/>
      <c r="Y342" s="5071" t="s">
        <v>1711</v>
      </c>
      <c r="Z342" s="5072"/>
      <c r="AA342" s="5072"/>
      <c r="AB342" s="1356" t="s">
        <v>1850</v>
      </c>
      <c r="AC342" s="5073" t="s">
        <v>1861</v>
      </c>
      <c r="AD342" s="5074"/>
      <c r="AE342" s="5077">
        <v>0.89</v>
      </c>
      <c r="AF342" s="5078"/>
    </row>
    <row r="343" spans="2:32" s="1204" customFormat="1" ht="15" customHeight="1">
      <c r="B343" s="4815"/>
      <c r="C343" s="1217">
        <v>31</v>
      </c>
      <c r="D343" s="1359" t="s">
        <v>1860</v>
      </c>
      <c r="E343" s="1350" t="s">
        <v>1859</v>
      </c>
      <c r="F343" s="1358"/>
      <c r="G343" s="1348"/>
      <c r="H343" s="1348"/>
      <c r="I343" s="1348"/>
      <c r="J343" s="1348"/>
      <c r="K343" s="1348"/>
      <c r="L343" s="1348"/>
      <c r="M343" s="5079" t="s">
        <v>1858</v>
      </c>
      <c r="N343" s="5080"/>
      <c r="O343" s="5080"/>
      <c r="P343" s="5080"/>
      <c r="Q343" s="5080"/>
      <c r="R343" s="5080"/>
      <c r="S343" s="5080"/>
      <c r="T343" s="5081" t="s">
        <v>1857</v>
      </c>
      <c r="U343" s="5082"/>
      <c r="V343" s="5083">
        <v>1900</v>
      </c>
      <c r="W343" s="5083"/>
      <c r="X343" s="1357" t="str">
        <f>IF(V343="","","[mm]")</f>
        <v>[mm]</v>
      </c>
      <c r="Y343" s="5071" t="s">
        <v>1705</v>
      </c>
      <c r="Z343" s="5072"/>
      <c r="AA343" s="5072"/>
      <c r="AB343" s="1356" t="s">
        <v>1856</v>
      </c>
      <c r="AC343" s="5073" t="s">
        <v>1855</v>
      </c>
      <c r="AD343" s="5074"/>
      <c r="AE343" s="5084">
        <v>450</v>
      </c>
      <c r="AF343" s="5085"/>
    </row>
    <row r="344" spans="2:32" s="1204" customFormat="1" ht="15" customHeight="1">
      <c r="B344" s="4815"/>
      <c r="C344" s="1240">
        <v>32</v>
      </c>
      <c r="D344" s="1354" t="s">
        <v>1854</v>
      </c>
      <c r="E344" s="1350" t="s">
        <v>1701</v>
      </c>
      <c r="F344" s="1349"/>
      <c r="G344" s="1348"/>
      <c r="H344" s="1348"/>
      <c r="I344" s="1348"/>
      <c r="J344" s="1348"/>
      <c r="K344" s="1348"/>
      <c r="L344" s="1348"/>
      <c r="M344" s="5086" t="s">
        <v>1853</v>
      </c>
      <c r="N344" s="4915"/>
      <c r="O344" s="4915"/>
      <c r="P344" s="4915"/>
      <c r="Q344" s="4915"/>
      <c r="R344" s="4915"/>
      <c r="S344" s="4915"/>
      <c r="T344" s="4911" t="s">
        <v>1852</v>
      </c>
      <c r="U344" s="5087"/>
      <c r="V344" s="5088">
        <f>IF(V343="","",V343-AC279-(W279-V282)/2)</f>
        <v>1150</v>
      </c>
      <c r="W344" s="5088"/>
      <c r="X344" s="1353" t="str">
        <f>IF(V344="","","[mm]")</f>
        <v>[mm]</v>
      </c>
      <c r="Y344" s="5089" t="s">
        <v>1698</v>
      </c>
      <c r="Z344" s="5090"/>
      <c r="AA344" s="5091"/>
      <c r="AB344" s="1355" t="s">
        <v>1851</v>
      </c>
      <c r="AC344" s="5073" t="s">
        <v>1846</v>
      </c>
      <c r="AD344" s="5074"/>
      <c r="AE344" s="5075">
        <v>1400</v>
      </c>
      <c r="AF344" s="5076"/>
    </row>
    <row r="345" spans="2:32" s="1204" customFormat="1" ht="15" customHeight="1">
      <c r="B345" s="4815"/>
      <c r="C345" s="1217">
        <v>33</v>
      </c>
      <c r="D345" s="1354" t="s">
        <v>1850</v>
      </c>
      <c r="E345" s="1350" t="s">
        <v>1695</v>
      </c>
      <c r="F345" s="1349"/>
      <c r="G345" s="1348"/>
      <c r="H345" s="1348"/>
      <c r="I345" s="1348"/>
      <c r="J345" s="1348"/>
      <c r="K345" s="1348"/>
      <c r="L345" s="1348"/>
      <c r="M345" s="5092" t="s">
        <v>1849</v>
      </c>
      <c r="N345" s="5093"/>
      <c r="O345" s="5093"/>
      <c r="P345" s="5093"/>
      <c r="Q345" s="5093"/>
      <c r="R345" s="5093"/>
      <c r="S345" s="5093"/>
      <c r="T345" s="4911" t="s">
        <v>1848</v>
      </c>
      <c r="U345" s="5087"/>
      <c r="V345" s="5094">
        <v>4500</v>
      </c>
      <c r="W345" s="5094"/>
      <c r="X345" s="1353" t="str">
        <f>IF(V345="","","[mm]")</f>
        <v>[mm]</v>
      </c>
      <c r="Y345" s="5095" t="s">
        <v>1692</v>
      </c>
      <c r="Z345" s="5096"/>
      <c r="AA345" s="5097"/>
      <c r="AB345" s="1352" t="s">
        <v>1847</v>
      </c>
      <c r="AC345" s="5098" t="s">
        <v>1846</v>
      </c>
      <c r="AD345" s="5099"/>
      <c r="AE345" s="5077">
        <v>1400</v>
      </c>
      <c r="AF345" s="5078"/>
    </row>
    <row r="346" spans="2:32" s="1204" customFormat="1" ht="15" customHeight="1">
      <c r="B346" s="4815"/>
      <c r="C346" s="1217">
        <v>34</v>
      </c>
      <c r="D346" s="1351" t="s">
        <v>1845</v>
      </c>
      <c r="E346" s="1350" t="s">
        <v>1688</v>
      </c>
      <c r="F346" s="1349"/>
      <c r="G346" s="1348"/>
      <c r="H346" s="1348"/>
      <c r="I346" s="1348"/>
      <c r="J346" s="1348"/>
      <c r="K346" s="1348"/>
      <c r="L346" s="1348"/>
      <c r="M346" s="5086" t="s">
        <v>1844</v>
      </c>
      <c r="N346" s="4915"/>
      <c r="O346" s="4915"/>
      <c r="P346" s="4915"/>
      <c r="Q346" s="4915"/>
      <c r="R346" s="4915"/>
      <c r="S346" s="4915"/>
      <c r="T346" s="4911" t="s">
        <v>1843</v>
      </c>
      <c r="U346" s="5087"/>
      <c r="V346" s="5100">
        <f>IF(V345="","",V345-V344)</f>
        <v>3350</v>
      </c>
      <c r="W346" s="5100"/>
      <c r="X346" s="1347" t="str">
        <f>IF(V346="","","[mm]")</f>
        <v>[mm]</v>
      </c>
      <c r="Y346" s="5101"/>
      <c r="Z346" s="5102"/>
      <c r="AA346" s="5103"/>
      <c r="AB346" s="1346"/>
      <c r="AC346" s="5104"/>
      <c r="AD346" s="5105"/>
      <c r="AE346" s="5106"/>
      <c r="AF346" s="5107"/>
    </row>
    <row r="347" spans="2:32" s="1204" customFormat="1" ht="15" customHeight="1">
      <c r="B347" s="4815"/>
      <c r="C347" s="1217">
        <v>35</v>
      </c>
      <c r="D347" s="1345" t="s">
        <v>1842</v>
      </c>
      <c r="E347" s="1344" t="s">
        <v>1684</v>
      </c>
      <c r="F347" s="1343"/>
      <c r="G347" s="1342"/>
      <c r="H347" s="1342"/>
      <c r="I347" s="1342"/>
      <c r="J347" s="1342"/>
      <c r="K347" s="1342"/>
      <c r="L347" s="1341"/>
      <c r="M347" s="1340"/>
      <c r="N347" s="1339"/>
      <c r="O347" s="1339"/>
      <c r="P347" s="1339"/>
      <c r="Q347" s="1339"/>
      <c r="R347" s="1339"/>
      <c r="S347" s="1339"/>
      <c r="T347" s="5117"/>
      <c r="U347" s="5118"/>
      <c r="V347" s="5108"/>
      <c r="W347" s="5109"/>
      <c r="X347" s="1338"/>
      <c r="Y347" s="5110" t="s">
        <v>1683</v>
      </c>
      <c r="Z347" s="5111"/>
      <c r="AA347" s="5111"/>
      <c r="AB347" s="5112" t="s">
        <v>1682</v>
      </c>
      <c r="AC347" s="5112"/>
      <c r="AD347" s="5112"/>
      <c r="AE347" s="5112"/>
      <c r="AF347" s="5113"/>
    </row>
    <row r="348" spans="2:32" s="1204" customFormat="1" ht="15" customHeight="1">
      <c r="B348" s="4815"/>
      <c r="C348" s="1337">
        <v>36</v>
      </c>
      <c r="D348" s="4924" t="s">
        <v>1681</v>
      </c>
      <c r="E348" s="4925"/>
      <c r="F348" s="4925"/>
      <c r="G348" s="4925"/>
      <c r="H348" s="4925"/>
      <c r="I348" s="4925"/>
      <c r="J348" s="4925"/>
      <c r="K348" s="4925"/>
      <c r="L348" s="4925"/>
      <c r="M348" s="4929" t="s">
        <v>1680</v>
      </c>
      <c r="N348" s="4925"/>
      <c r="O348" s="4925"/>
      <c r="P348" s="4925"/>
      <c r="Q348" s="4925"/>
      <c r="R348" s="4925"/>
      <c r="S348" s="4925"/>
      <c r="T348" s="4925"/>
      <c r="U348" s="4925"/>
      <c r="V348" s="4925"/>
      <c r="W348" s="4925"/>
      <c r="X348" s="4925"/>
      <c r="Y348" s="4902" t="s">
        <v>1679</v>
      </c>
      <c r="Z348" s="4903"/>
      <c r="AA348" s="4903"/>
      <c r="AB348" s="5114" t="s">
        <v>1678</v>
      </c>
      <c r="AC348" s="5115"/>
      <c r="AD348" s="5115"/>
      <c r="AE348" s="5115"/>
      <c r="AF348" s="5116"/>
    </row>
    <row r="349" spans="2:32" s="1204" customFormat="1" ht="15" customHeight="1">
      <c r="B349" s="4815"/>
      <c r="C349" s="1336">
        <v>37</v>
      </c>
      <c r="D349" s="4950" t="s">
        <v>1677</v>
      </c>
      <c r="E349" s="5121"/>
      <c r="F349" s="5121"/>
      <c r="G349" s="5121"/>
      <c r="H349" s="1335"/>
      <c r="I349" s="4950" t="s">
        <v>1676</v>
      </c>
      <c r="J349" s="5121"/>
      <c r="K349" s="5121"/>
      <c r="L349" s="5121"/>
      <c r="M349" s="4956" t="s">
        <v>1675</v>
      </c>
      <c r="N349" s="4957"/>
      <c r="O349" s="4957"/>
      <c r="P349" s="4957"/>
      <c r="Q349" s="4957"/>
      <c r="R349" s="4958"/>
      <c r="S349" s="4959" t="s">
        <v>1841</v>
      </c>
      <c r="T349" s="4957"/>
      <c r="U349" s="4957"/>
      <c r="V349" s="4957"/>
      <c r="W349" s="4957"/>
      <c r="X349" s="4957"/>
      <c r="Y349" s="5059" t="s">
        <v>1673</v>
      </c>
      <c r="Z349" s="5060"/>
      <c r="AA349" s="5060"/>
      <c r="AB349" s="5124"/>
      <c r="AC349" s="5125"/>
      <c r="AD349" s="5125"/>
      <c r="AE349" s="5125"/>
      <c r="AF349" s="5126"/>
    </row>
    <row r="350" spans="2:32" s="1204" customFormat="1" ht="7.5" customHeight="1">
      <c r="B350" s="4815"/>
      <c r="C350" s="5132">
        <v>38</v>
      </c>
      <c r="D350" s="4952"/>
      <c r="E350" s="5122"/>
      <c r="F350" s="5122"/>
      <c r="G350" s="5122"/>
      <c r="H350" s="1334"/>
      <c r="I350" s="4952"/>
      <c r="J350" s="5122"/>
      <c r="K350" s="5122"/>
      <c r="L350" s="5122"/>
      <c r="M350" s="4870" t="s">
        <v>1840</v>
      </c>
      <c r="N350" s="5133"/>
      <c r="O350" s="5133"/>
      <c r="P350" s="5133"/>
      <c r="Q350" s="5133"/>
      <c r="R350" s="5134"/>
      <c r="S350" s="4876" t="s">
        <v>1839</v>
      </c>
      <c r="T350" s="5133"/>
      <c r="U350" s="5133"/>
      <c r="V350" s="5133"/>
      <c r="W350" s="5133"/>
      <c r="X350" s="5133"/>
      <c r="Y350" s="5139" t="s">
        <v>1670</v>
      </c>
      <c r="Z350" s="5140"/>
      <c r="AA350" s="5140"/>
      <c r="AB350" s="5143" t="s">
        <v>1838</v>
      </c>
      <c r="AC350" s="5119" t="s">
        <v>1656</v>
      </c>
      <c r="AD350" s="5119"/>
      <c r="AE350" s="5127">
        <v>11.3</v>
      </c>
      <c r="AF350" s="5129">
        <v>1</v>
      </c>
    </row>
    <row r="351" spans="2:32" s="1204" customFormat="1" ht="8.25" customHeight="1">
      <c r="B351" s="4815"/>
      <c r="C351" s="5132"/>
      <c r="D351" s="4954"/>
      <c r="E351" s="5123"/>
      <c r="F351" s="5123"/>
      <c r="G351" s="5123"/>
      <c r="H351" s="1333"/>
      <c r="I351" s="4954"/>
      <c r="J351" s="5123"/>
      <c r="K351" s="5123"/>
      <c r="L351" s="5123"/>
      <c r="M351" s="5135"/>
      <c r="N351" s="5136"/>
      <c r="O351" s="5136"/>
      <c r="P351" s="5136"/>
      <c r="Q351" s="5136"/>
      <c r="R351" s="5137"/>
      <c r="S351" s="5138"/>
      <c r="T351" s="5136"/>
      <c r="U351" s="5136"/>
      <c r="V351" s="5136"/>
      <c r="W351" s="5136"/>
      <c r="X351" s="5136"/>
      <c r="Y351" s="5141"/>
      <c r="Z351" s="5142"/>
      <c r="AA351" s="5142"/>
      <c r="AB351" s="5144"/>
      <c r="AC351" s="5120"/>
      <c r="AD351" s="5120"/>
      <c r="AE351" s="5128"/>
      <c r="AF351" s="5130"/>
    </row>
    <row r="352" spans="2:32" s="1204" customFormat="1" ht="7.5" customHeight="1">
      <c r="B352" s="4815"/>
      <c r="C352" s="5132">
        <v>39</v>
      </c>
      <c r="D352" s="5155" t="s">
        <v>1668</v>
      </c>
      <c r="E352" s="5160">
        <f>IF(J268="","",J267*J268)</f>
        <v>1.5</v>
      </c>
      <c r="F352" s="5161" t="s">
        <v>1667</v>
      </c>
      <c r="G352" s="5162"/>
      <c r="H352" s="1332"/>
      <c r="I352" s="5165" t="s">
        <v>1666</v>
      </c>
      <c r="J352" s="5167">
        <f>IF(E352="","",E352/2)</f>
        <v>0.75</v>
      </c>
      <c r="K352" s="5145" t="s">
        <v>1665</v>
      </c>
      <c r="L352" s="5146"/>
      <c r="M352" s="5169" t="s">
        <v>1664</v>
      </c>
      <c r="N352" s="5149">
        <f>IF(Y279="","",L289*Y279)</f>
        <v>375</v>
      </c>
      <c r="O352" s="5145" t="s">
        <v>1663</v>
      </c>
      <c r="P352" s="5151"/>
      <c r="Q352" s="5151"/>
      <c r="R352" s="5152"/>
      <c r="S352" s="5155" t="s">
        <v>1662</v>
      </c>
      <c r="T352" s="5156"/>
      <c r="U352" s="5158">
        <f>IF(Y279="","",N289*Y279)</f>
        <v>187.5</v>
      </c>
      <c r="V352" s="5149"/>
      <c r="W352" s="5145" t="s">
        <v>1661</v>
      </c>
      <c r="X352" s="5146"/>
      <c r="Y352" s="5139" t="s">
        <v>1660</v>
      </c>
      <c r="Z352" s="5140"/>
      <c r="AA352" s="5140"/>
      <c r="AB352" s="5143" t="s">
        <v>1659</v>
      </c>
      <c r="AC352" s="5119" t="s">
        <v>1656</v>
      </c>
      <c r="AD352" s="5119"/>
      <c r="AE352" s="5127">
        <v>8.5</v>
      </c>
      <c r="AF352" s="5129">
        <v>1</v>
      </c>
    </row>
    <row r="353" spans="2:32" s="1204" customFormat="1" ht="7.5" customHeight="1">
      <c r="B353" s="4815"/>
      <c r="C353" s="5132"/>
      <c r="D353" s="5157"/>
      <c r="E353" s="4987"/>
      <c r="F353" s="5163"/>
      <c r="G353" s="5164"/>
      <c r="H353" s="1331"/>
      <c r="I353" s="5166"/>
      <c r="J353" s="5168"/>
      <c r="K353" s="5147"/>
      <c r="L353" s="5148"/>
      <c r="M353" s="5170"/>
      <c r="N353" s="5150"/>
      <c r="O353" s="5147"/>
      <c r="P353" s="5153"/>
      <c r="Q353" s="5153"/>
      <c r="R353" s="5154"/>
      <c r="S353" s="5157"/>
      <c r="T353" s="5025"/>
      <c r="U353" s="5159"/>
      <c r="V353" s="5150"/>
      <c r="W353" s="5147"/>
      <c r="X353" s="5148"/>
      <c r="Y353" s="5141"/>
      <c r="Z353" s="5142"/>
      <c r="AA353" s="5142"/>
      <c r="AB353" s="5144"/>
      <c r="AC353" s="5120"/>
      <c r="AD353" s="5120"/>
      <c r="AE353" s="5128"/>
      <c r="AF353" s="5130"/>
    </row>
    <row r="354" spans="2:32" s="1204" customFormat="1" ht="7.5" customHeight="1">
      <c r="B354" s="4815"/>
      <c r="C354" s="5131">
        <v>40</v>
      </c>
      <c r="D354" s="5157"/>
      <c r="E354" s="4987"/>
      <c r="F354" s="5163"/>
      <c r="G354" s="5164"/>
      <c r="H354" s="1331"/>
      <c r="I354" s="5166"/>
      <c r="J354" s="5168"/>
      <c r="K354" s="5147"/>
      <c r="L354" s="5148"/>
      <c r="M354" s="5170"/>
      <c r="N354" s="5150"/>
      <c r="O354" s="5147"/>
      <c r="P354" s="5153"/>
      <c r="Q354" s="5153"/>
      <c r="R354" s="5154"/>
      <c r="S354" s="5157"/>
      <c r="T354" s="5025"/>
      <c r="U354" s="5159"/>
      <c r="V354" s="5150"/>
      <c r="W354" s="5147"/>
      <c r="X354" s="5148"/>
      <c r="Y354" s="5171" t="s">
        <v>1658</v>
      </c>
      <c r="Z354" s="5140"/>
      <c r="AA354" s="5140"/>
      <c r="AB354" s="5143" t="s">
        <v>1657</v>
      </c>
      <c r="AC354" s="5119" t="s">
        <v>1656</v>
      </c>
      <c r="AD354" s="5119"/>
      <c r="AE354" s="5127"/>
      <c r="AF354" s="5129"/>
    </row>
    <row r="355" spans="2:32" s="1204" customFormat="1" ht="7.5" customHeight="1">
      <c r="B355" s="4815"/>
      <c r="C355" s="5002"/>
      <c r="D355" s="5157"/>
      <c r="E355" s="4987"/>
      <c r="F355" s="5163"/>
      <c r="G355" s="5164"/>
      <c r="H355" s="1331"/>
      <c r="I355" s="5166"/>
      <c r="J355" s="5168"/>
      <c r="K355" s="5147"/>
      <c r="L355" s="5148"/>
      <c r="M355" s="5170"/>
      <c r="N355" s="5150"/>
      <c r="O355" s="5147"/>
      <c r="P355" s="5153"/>
      <c r="Q355" s="5153"/>
      <c r="R355" s="5154"/>
      <c r="S355" s="5157"/>
      <c r="T355" s="5025"/>
      <c r="U355" s="5159"/>
      <c r="V355" s="5150"/>
      <c r="W355" s="5147"/>
      <c r="X355" s="5148"/>
      <c r="Y355" s="5141"/>
      <c r="Z355" s="5142"/>
      <c r="AA355" s="5142"/>
      <c r="AB355" s="5144"/>
      <c r="AC355" s="5120"/>
      <c r="AD355" s="5120"/>
      <c r="AE355" s="5128"/>
      <c r="AF355" s="5130"/>
    </row>
    <row r="356" spans="2:32" s="1204" customFormat="1" ht="15" customHeight="1">
      <c r="B356" s="4815"/>
      <c r="C356" s="1217">
        <v>41</v>
      </c>
      <c r="D356" s="1330"/>
      <c r="E356" s="1328"/>
      <c r="F356" s="1328"/>
      <c r="G356" s="1328"/>
      <c r="H356" s="1328"/>
      <c r="I356" s="1328"/>
      <c r="J356" s="1328"/>
      <c r="K356" s="1328"/>
      <c r="L356" s="1328"/>
      <c r="M356" s="1329"/>
      <c r="N356" s="1328"/>
      <c r="O356" s="1327"/>
      <c r="P356" s="1327"/>
      <c r="Q356" s="1327"/>
      <c r="R356" s="1327"/>
      <c r="S356" s="1327"/>
      <c r="T356" s="1327"/>
      <c r="U356" s="1327"/>
      <c r="V356" s="1327"/>
      <c r="W356" s="1327"/>
      <c r="X356" s="1326"/>
      <c r="Y356" s="5172"/>
      <c r="Z356" s="5173"/>
      <c r="AA356" s="5174"/>
      <c r="AB356" s="1325"/>
      <c r="AC356" s="5175"/>
      <c r="AD356" s="5176"/>
      <c r="AE356" s="1324"/>
      <c r="AF356" s="1323"/>
    </row>
    <row r="357" spans="2:32" s="1204" customFormat="1" ht="15" customHeight="1">
      <c r="B357" s="4815"/>
      <c r="C357" s="1217">
        <v>42</v>
      </c>
      <c r="D357" s="1322" t="s">
        <v>1655</v>
      </c>
      <c r="E357" s="1319"/>
      <c r="F357" s="1321"/>
      <c r="G357" s="1316"/>
      <c r="H357" s="1316"/>
      <c r="I357" s="1320"/>
      <c r="J357" s="1242"/>
      <c r="K357" s="1242"/>
      <c r="L357" s="1242"/>
      <c r="M357" s="1242" t="s">
        <v>1655</v>
      </c>
      <c r="N357" s="1319"/>
      <c r="O357" s="1316"/>
      <c r="P357" s="1318"/>
      <c r="Q357" s="1318"/>
      <c r="R357" s="1316"/>
      <c r="S357" s="1316"/>
      <c r="T357" s="1316"/>
      <c r="U357" s="1316"/>
      <c r="V357" s="1316"/>
      <c r="W357" s="1242"/>
      <c r="X357" s="1242"/>
      <c r="Y357" s="1242"/>
      <c r="Z357" s="1317"/>
      <c r="AA357" s="1316"/>
      <c r="AB357" s="1242"/>
      <c r="AC357" s="1316"/>
      <c r="AD357" s="1316"/>
      <c r="AE357" s="1242"/>
      <c r="AF357" s="1315"/>
    </row>
    <row r="358" spans="2:32" s="1204" customFormat="1" ht="7.5" customHeight="1">
      <c r="B358" s="4815"/>
      <c r="C358" s="4869">
        <v>43</v>
      </c>
      <c r="D358" s="1224"/>
      <c r="E358" s="1284"/>
      <c r="F358" s="5177" t="str">
        <f>IF(AE343="","",AE343&amp;" × "&amp;N352)</f>
        <v>450 × 375</v>
      </c>
      <c r="G358" s="5177"/>
      <c r="H358" s="1293"/>
      <c r="I358" s="1285"/>
      <c r="J358" s="5179" t="str">
        <f>IF(AE343="","",V344&amp;" × "&amp;V346)</f>
        <v>1150 × 3350</v>
      </c>
      <c r="K358" s="5179"/>
      <c r="L358" s="5179"/>
      <c r="M358" s="1284"/>
      <c r="N358" s="1284"/>
      <c r="O358" s="1312"/>
      <c r="P358" s="1314"/>
      <c r="Q358" s="5181" t="str">
        <f>IF(AE350="","","1")</f>
        <v>1</v>
      </c>
      <c r="R358" s="1313"/>
      <c r="S358" s="5177">
        <f>IF(AE350="","",AE343)</f>
        <v>450</v>
      </c>
      <c r="T358" s="5177"/>
      <c r="U358" s="5177"/>
      <c r="V358" s="1285"/>
      <c r="W358" s="1285"/>
      <c r="X358" s="1285"/>
      <c r="Y358" s="1312"/>
      <c r="Z358" s="1312"/>
      <c r="AA358" s="1312"/>
      <c r="AB358" s="1311"/>
      <c r="AC358" s="1304"/>
      <c r="AD358" s="1304"/>
      <c r="AE358" s="1304"/>
      <c r="AF358" s="1303"/>
    </row>
    <row r="359" spans="2:32" s="1204" customFormat="1" ht="7.5" customHeight="1">
      <c r="B359" s="4815"/>
      <c r="C359" s="4869"/>
      <c r="D359" s="5184" t="str">
        <f>IF(AE343="","","Mt＝")</f>
        <v>Mt＝</v>
      </c>
      <c r="E359" s="5185"/>
      <c r="F359" s="5178"/>
      <c r="G359" s="5178"/>
      <c r="H359" s="1222"/>
      <c r="I359" s="5187" t="str">
        <f>IF(AE343="","","×")</f>
        <v>×</v>
      </c>
      <c r="J359" s="5180"/>
      <c r="K359" s="5180"/>
      <c r="L359" s="5180"/>
      <c r="M359" s="1306"/>
      <c r="N359" s="5188" t="str">
        <f>IF(AE350="","","M"&amp;"B1＝")</f>
        <v>MB1＝</v>
      </c>
      <c r="O359" s="5188"/>
      <c r="P359" s="5188"/>
      <c r="Q359" s="5182"/>
      <c r="R359" s="5189" t="str">
        <f>IF(AE350="","","×")</f>
        <v>×</v>
      </c>
      <c r="S359" s="5183"/>
      <c r="T359" s="5183"/>
      <c r="U359" s="5183"/>
      <c r="V359" s="5190" t="str">
        <f>IF(AE350="",""," × "&amp;AE350&amp;" × "&amp;V345&amp;"^2 × "&amp;AF350)</f>
        <v xml:space="preserve"> × 11.3 × 4500^2 × 1</v>
      </c>
      <c r="W359" s="5190"/>
      <c r="X359" s="5190"/>
      <c r="Y359" s="5190"/>
      <c r="Z359" s="5191" t="str">
        <f>IF(AE350="","","＝"&amp;INT((1000*AE343*AE350*V345^2*AF350)/8000000000)/1000)</f>
        <v>＝12.871</v>
      </c>
      <c r="AA359" s="5191"/>
      <c r="AB359" s="5191" t="str">
        <f>IF(AE350="","","[Kg-m]")</f>
        <v>[Kg-m]</v>
      </c>
      <c r="AC359" s="5191"/>
      <c r="AD359" s="1310"/>
      <c r="AE359" s="1309"/>
      <c r="AF359" s="1308"/>
    </row>
    <row r="360" spans="2:32" s="1204" customFormat="1" ht="7.5" customHeight="1">
      <c r="B360" s="4815"/>
      <c r="C360" s="4869">
        <v>44</v>
      </c>
      <c r="D360" s="5186"/>
      <c r="E360" s="5185"/>
      <c r="F360" s="5192">
        <f>IF(AE343="","",M341)</f>
        <v>600</v>
      </c>
      <c r="G360" s="5192"/>
      <c r="H360" s="1307"/>
      <c r="I360" s="5187"/>
      <c r="J360" s="5192">
        <f>IF(AE343="","",V345)</f>
        <v>4500</v>
      </c>
      <c r="K360" s="5192"/>
      <c r="L360" s="1229"/>
      <c r="M360" s="1306"/>
      <c r="N360" s="5188"/>
      <c r="O360" s="5188"/>
      <c r="P360" s="5188"/>
      <c r="Q360" s="5194" t="str">
        <f>IF(AE350="","","8")</f>
        <v>8</v>
      </c>
      <c r="R360" s="5189"/>
      <c r="S360" s="5192">
        <f>IF(AE350="","",1000)</f>
        <v>1000</v>
      </c>
      <c r="T360" s="5192"/>
      <c r="U360" s="5192"/>
      <c r="V360" s="5190"/>
      <c r="W360" s="5190"/>
      <c r="X360" s="5190"/>
      <c r="Y360" s="5190"/>
      <c r="Z360" s="5191"/>
      <c r="AA360" s="5191"/>
      <c r="AB360" s="5191"/>
      <c r="AC360" s="5191"/>
      <c r="AD360" s="1305"/>
      <c r="AE360" s="1304"/>
      <c r="AF360" s="1303"/>
    </row>
    <row r="361" spans="2:32" s="1204" customFormat="1" ht="7.5" customHeight="1">
      <c r="B361" s="4815"/>
      <c r="C361" s="4869"/>
      <c r="D361" s="1276"/>
      <c r="E361" s="1276"/>
      <c r="F361" s="5193"/>
      <c r="G361" s="5193"/>
      <c r="H361" s="1277"/>
      <c r="I361" s="1302"/>
      <c r="J361" s="5193"/>
      <c r="K361" s="5193"/>
      <c r="L361" s="1302"/>
      <c r="M361" s="1276"/>
      <c r="N361" s="1276"/>
      <c r="O361" s="1299"/>
      <c r="P361" s="1301"/>
      <c r="Q361" s="5195"/>
      <c r="R361" s="1300"/>
      <c r="S361" s="5193"/>
      <c r="T361" s="5193"/>
      <c r="U361" s="5193"/>
      <c r="V361" s="1277"/>
      <c r="W361" s="1277"/>
      <c r="X361" s="1299"/>
      <c r="Y361" s="1299"/>
      <c r="Z361" s="1299"/>
      <c r="AA361" s="1299"/>
      <c r="AB361" s="1298"/>
      <c r="AC361" s="1277"/>
      <c r="AD361" s="1277"/>
      <c r="AE361" s="1277"/>
      <c r="AF361" s="1297"/>
    </row>
    <row r="362" spans="2:32" s="1204" customFormat="1" ht="7.5" customHeight="1">
      <c r="B362" s="4815"/>
      <c r="C362" s="4869">
        <v>45</v>
      </c>
      <c r="D362" s="1224"/>
      <c r="E362" s="5196" t="str">
        <f>IF(AE343="","","＝")</f>
        <v>＝</v>
      </c>
      <c r="F362" s="5198">
        <f>IF(V345="","",INT((1000*AE343*N352*V344*V346)/(1000*M341*V345))/1000)</f>
        <v>240.78100000000001</v>
      </c>
      <c r="G362" s="5198"/>
      <c r="H362" s="1230"/>
      <c r="I362" s="5191" t="str">
        <f>IF(M341="","","[Kg-m]")</f>
        <v>[Kg-m]</v>
      </c>
      <c r="J362" s="5191"/>
      <c r="K362" s="1280"/>
      <c r="L362" s="1284"/>
      <c r="M362" s="1284"/>
      <c r="N362" s="1289"/>
      <c r="O362" s="1288"/>
      <c r="P362" s="1287"/>
      <c r="Q362" s="5181" t="str">
        <f>IF(AE352="","","1")</f>
        <v>1</v>
      </c>
      <c r="R362" s="1287"/>
      <c r="S362" s="5181">
        <f>IF(AE352="","",AE343)</f>
        <v>450</v>
      </c>
      <c r="T362" s="5181"/>
      <c r="U362" s="5181"/>
      <c r="V362" s="1287"/>
      <c r="W362" s="1287"/>
      <c r="X362" s="1285"/>
      <c r="Y362" s="1286"/>
      <c r="Z362" s="1285"/>
      <c r="AA362" s="1285"/>
      <c r="AB362" s="1285"/>
      <c r="AC362" s="1285"/>
      <c r="AD362" s="1285"/>
      <c r="AE362" s="1284"/>
      <c r="AF362" s="1283"/>
    </row>
    <row r="363" spans="2:32" s="1204" customFormat="1" ht="7.5" customHeight="1">
      <c r="B363" s="4815"/>
      <c r="C363" s="4869"/>
      <c r="D363" s="1218"/>
      <c r="E363" s="5197"/>
      <c r="F363" s="5199"/>
      <c r="G363" s="5199"/>
      <c r="H363" s="1230"/>
      <c r="I363" s="5191"/>
      <c r="J363" s="5191"/>
      <c r="K363" s="1282"/>
      <c r="L363" s="1276"/>
      <c r="M363" s="1276"/>
      <c r="N363" s="5201" t="str">
        <f>IF(AE352="","","M"&amp;"B2＝")</f>
        <v>MB2＝</v>
      </c>
      <c r="O363" s="5201"/>
      <c r="P363" s="5201"/>
      <c r="Q363" s="5200"/>
      <c r="R363" s="5189" t="str">
        <f>IF(AE350="","","×")</f>
        <v>×</v>
      </c>
      <c r="S363" s="5200"/>
      <c r="T363" s="5200"/>
      <c r="U363" s="5200"/>
      <c r="V363" s="5203" t="str">
        <f>IF(AE352="",""," × "&amp;AE352&amp;" × "&amp;V345&amp;"^2 × "&amp;AF352)</f>
        <v xml:space="preserve"> × 8.5 × 4500^2 × 1</v>
      </c>
      <c r="W363" s="5203"/>
      <c r="X363" s="5203"/>
      <c r="Y363" s="5203"/>
      <c r="Z363" s="5202" t="str">
        <f>IF(AE352="","","＝"&amp;INT((1000*AE343*AE352*V345^2*AF352)/8000000000)/1000)</f>
        <v>＝9.682</v>
      </c>
      <c r="AA363" s="5202"/>
      <c r="AB363" s="5191" t="str">
        <f>IF(AE352="","","[Kg-m]")</f>
        <v>[Kg-m]</v>
      </c>
      <c r="AC363" s="5191"/>
      <c r="AD363" s="1282"/>
      <c r="AE363" s="1276"/>
      <c r="AF363" s="1281"/>
    </row>
    <row r="364" spans="2:32" s="1204" customFormat="1" ht="7.5" customHeight="1">
      <c r="B364" s="4815"/>
      <c r="C364" s="4869">
        <v>46</v>
      </c>
      <c r="D364" s="1284"/>
      <c r="E364" s="1285"/>
      <c r="F364" s="1285"/>
      <c r="G364" s="1285"/>
      <c r="H364" s="1285"/>
      <c r="I364" s="1285"/>
      <c r="J364" s="1285"/>
      <c r="K364" s="1296"/>
      <c r="L364" s="1218"/>
      <c r="M364" s="1218"/>
      <c r="N364" s="5188"/>
      <c r="O364" s="5188"/>
      <c r="P364" s="5188"/>
      <c r="Q364" s="5194" t="str">
        <f>IF(AE343="","","8")</f>
        <v>8</v>
      </c>
      <c r="R364" s="5189"/>
      <c r="S364" s="5194">
        <f>IF(AE352="","",1000)</f>
        <v>1000</v>
      </c>
      <c r="T364" s="5194"/>
      <c r="U364" s="5194"/>
      <c r="V364" s="5204"/>
      <c r="W364" s="5204"/>
      <c r="X364" s="5204"/>
      <c r="Y364" s="5204"/>
      <c r="Z364" s="5202"/>
      <c r="AA364" s="5202"/>
      <c r="AB364" s="5191"/>
      <c r="AC364" s="5191"/>
      <c r="AD364" s="1230"/>
      <c r="AE364" s="1218"/>
      <c r="AF364" s="1279"/>
    </row>
    <row r="365" spans="2:32" s="1204" customFormat="1" ht="7.5" customHeight="1">
      <c r="B365" s="4815"/>
      <c r="C365" s="4869"/>
      <c r="D365" s="1226"/>
      <c r="E365" s="1246"/>
      <c r="F365" s="1246"/>
      <c r="G365" s="1246"/>
      <c r="H365" s="1246"/>
      <c r="I365" s="1246"/>
      <c r="J365" s="1246"/>
      <c r="K365" s="1295"/>
      <c r="L365" s="1276"/>
      <c r="M365" s="1276"/>
      <c r="N365" s="1274"/>
      <c r="O365" s="1273"/>
      <c r="P365" s="1273"/>
      <c r="Q365" s="5195"/>
      <c r="R365" s="1273"/>
      <c r="S365" s="5195"/>
      <c r="T365" s="5195"/>
      <c r="U365" s="5195"/>
      <c r="V365" s="1273"/>
      <c r="W365" s="1273"/>
      <c r="X365" s="1246"/>
      <c r="Y365" s="1272"/>
      <c r="Z365" s="1246"/>
      <c r="AA365" s="1246"/>
      <c r="AB365" s="1246"/>
      <c r="AC365" s="1246"/>
      <c r="AD365" s="1246"/>
      <c r="AE365" s="1276"/>
      <c r="AF365" s="1281"/>
    </row>
    <row r="366" spans="2:32" s="1204" customFormat="1" ht="7.5" customHeight="1">
      <c r="B366" s="4815"/>
      <c r="C366" s="4869">
        <v>47</v>
      </c>
      <c r="D366" s="1224"/>
      <c r="E366" s="1294"/>
      <c r="F366" s="5177">
        <f>IF(AE343="","",AE343)</f>
        <v>450</v>
      </c>
      <c r="G366" s="1293"/>
      <c r="H366" s="1293"/>
      <c r="I366" s="1293"/>
      <c r="J366" s="1292"/>
      <c r="K366" s="1292"/>
      <c r="L366" s="1291"/>
      <c r="M366" s="1290"/>
      <c r="N366" s="1289"/>
      <c r="O366" s="1288"/>
      <c r="P366" s="1287"/>
      <c r="Q366" s="5181" t="str">
        <f>IF(AE354="","","1")</f>
        <v/>
      </c>
      <c r="R366" s="1287"/>
      <c r="S366" s="5181" t="str">
        <f>IF(AE354="","",AE343)</f>
        <v/>
      </c>
      <c r="T366" s="5181"/>
      <c r="U366" s="5181"/>
      <c r="V366" s="1287"/>
      <c r="W366" s="1287"/>
      <c r="X366" s="1285"/>
      <c r="Y366" s="1286"/>
      <c r="Z366" s="1285"/>
      <c r="AA366" s="1285"/>
      <c r="AB366" s="1285"/>
      <c r="AC366" s="1285"/>
      <c r="AD366" s="1284"/>
      <c r="AE366" s="1284"/>
      <c r="AF366" s="1283"/>
    </row>
    <row r="367" spans="2:32" s="1204" customFormat="1" ht="7.5" customHeight="1">
      <c r="B367" s="4815"/>
      <c r="C367" s="4869"/>
      <c r="D367" s="5205" t="str">
        <f>IF(AE343="","","Pt＝")</f>
        <v>Pt＝</v>
      </c>
      <c r="E367" s="5206"/>
      <c r="F367" s="5178"/>
      <c r="G367" s="5202" t="str">
        <f>IF(AE343="","","× ("&amp;U352&amp;"＋"&amp;W341&amp;")")</f>
        <v>× (187.5＋250)</v>
      </c>
      <c r="H367" s="5202"/>
      <c r="I367" s="5202"/>
      <c r="J367" s="5202"/>
      <c r="K367" s="1282"/>
      <c r="L367" s="1276"/>
      <c r="M367" s="1275"/>
      <c r="N367" s="5201" t="str">
        <f>IF(AE354="","","M"&amp;"B3＝")</f>
        <v/>
      </c>
      <c r="O367" s="5201"/>
      <c r="P367" s="5201"/>
      <c r="Q367" s="5200"/>
      <c r="R367" s="5189" t="str">
        <f>IF(AE354="","","×")</f>
        <v/>
      </c>
      <c r="S367" s="5200"/>
      <c r="T367" s="5200"/>
      <c r="U367" s="5200"/>
      <c r="V367" s="5203" t="str">
        <f>IF(AE354="",""," × "&amp;AE354&amp;" × "&amp;V345&amp;"^2× "&amp;AF354)</f>
        <v/>
      </c>
      <c r="W367" s="5203"/>
      <c r="X367" s="5203"/>
      <c r="Y367" s="5203"/>
      <c r="Z367" s="5202" t="str">
        <f>IF(AE354="","","＝"&amp;INT((1000*AE343*AE354*V345^2*AF354)/8000000000)/1000)</f>
        <v/>
      </c>
      <c r="AA367" s="5202"/>
      <c r="AB367" s="5191" t="str">
        <f>IF(AE354="","","[Kg-m]")</f>
        <v/>
      </c>
      <c r="AC367" s="5191"/>
      <c r="AD367" s="1276"/>
      <c r="AE367" s="1276"/>
      <c r="AF367" s="1281"/>
    </row>
    <row r="368" spans="2:32" s="1204" customFormat="1" ht="7.5" customHeight="1">
      <c r="B368" s="4815"/>
      <c r="C368" s="4869">
        <v>48</v>
      </c>
      <c r="D368" s="5205"/>
      <c r="E368" s="5206"/>
      <c r="F368" s="5192">
        <f>IF(M341="","",M341)</f>
        <v>600</v>
      </c>
      <c r="G368" s="5202"/>
      <c r="H368" s="5202"/>
      <c r="I368" s="5202"/>
      <c r="J368" s="5202"/>
      <c r="K368" s="1280"/>
      <c r="L368" s="1218"/>
      <c r="M368" s="1228"/>
      <c r="N368" s="5188"/>
      <c r="O368" s="5188"/>
      <c r="P368" s="5188"/>
      <c r="Q368" s="5194" t="str">
        <f>IF(AE354="","","8")</f>
        <v/>
      </c>
      <c r="R368" s="5189"/>
      <c r="S368" s="5194" t="str">
        <f>IF(AE354="","",1000)</f>
        <v/>
      </c>
      <c r="T368" s="5194"/>
      <c r="U368" s="5194"/>
      <c r="V368" s="5204"/>
      <c r="W368" s="5204"/>
      <c r="X368" s="5204"/>
      <c r="Y368" s="5204"/>
      <c r="Z368" s="5202"/>
      <c r="AA368" s="5202"/>
      <c r="AB368" s="5191"/>
      <c r="AC368" s="5191"/>
      <c r="AD368" s="1218"/>
      <c r="AE368" s="1218"/>
      <c r="AF368" s="1279"/>
    </row>
    <row r="369" spans="1:32" s="1204" customFormat="1" ht="7.5" customHeight="1">
      <c r="B369" s="4815"/>
      <c r="C369" s="4869"/>
      <c r="D369" s="1278"/>
      <c r="E369" s="1276"/>
      <c r="F369" s="5193"/>
      <c r="G369" s="1277"/>
      <c r="H369" s="1277"/>
      <c r="I369" s="1277"/>
      <c r="J369" s="1276"/>
      <c r="K369" s="1276"/>
      <c r="L369" s="1276"/>
      <c r="M369" s="1275"/>
      <c r="N369" s="1274"/>
      <c r="O369" s="1273"/>
      <c r="P369" s="1273"/>
      <c r="Q369" s="5195"/>
      <c r="R369" s="1273"/>
      <c r="S369" s="5195"/>
      <c r="T369" s="5195"/>
      <c r="U369" s="5195"/>
      <c r="V369" s="1273"/>
      <c r="W369" s="1273"/>
      <c r="X369" s="1246"/>
      <c r="Y369" s="1272"/>
      <c r="Z369" s="1246"/>
      <c r="AA369" s="1246"/>
      <c r="AB369" s="1246"/>
      <c r="AC369" s="1246"/>
      <c r="AD369" s="1271"/>
      <c r="AE369" s="1270"/>
      <c r="AF369" s="1269"/>
    </row>
    <row r="370" spans="1:32" s="1204" customFormat="1" ht="15" customHeight="1">
      <c r="B370" s="4815"/>
      <c r="C370" s="1217">
        <v>49</v>
      </c>
      <c r="D370" s="1268"/>
      <c r="E370" s="1267" t="str">
        <f>IF(AE343="","","＝")</f>
        <v>＝</v>
      </c>
      <c r="F370" s="5211">
        <f>IF(AE343="","",INT(1000*(AE343*(U352+W341)/M341))/1000)</f>
        <v>328.125</v>
      </c>
      <c r="G370" s="5211"/>
      <c r="H370" s="1266"/>
      <c r="I370" s="5211" t="str">
        <f>IF(F370="",""," [Kgf]")</f>
        <v xml:space="preserve"> [Kgf]</v>
      </c>
      <c r="J370" s="5211"/>
      <c r="K370" s="1266"/>
      <c r="L370" s="1265"/>
      <c r="M370" s="1265"/>
      <c r="N370" s="1265"/>
      <c r="O370" s="1264"/>
      <c r="P370" s="1264"/>
      <c r="Q370" s="1263"/>
      <c r="R370" s="1263"/>
      <c r="S370" s="1263"/>
      <c r="T370" s="1263"/>
      <c r="U370" s="1263"/>
      <c r="V370" s="1263"/>
      <c r="W370" s="1265"/>
      <c r="X370" s="1265"/>
      <c r="Y370" s="1265"/>
      <c r="Z370" s="1264"/>
      <c r="AA370" s="1263"/>
      <c r="AB370" s="1263"/>
      <c r="AC370" s="1263"/>
      <c r="AD370" s="1262"/>
      <c r="AE370" s="1261"/>
      <c r="AF370" s="1260"/>
    </row>
    <row r="371" spans="1:32" s="1204" customFormat="1" ht="15" customHeight="1">
      <c r="B371" s="4815"/>
      <c r="C371" s="1217">
        <v>50</v>
      </c>
      <c r="D371" s="1242"/>
      <c r="E371" s="1259"/>
      <c r="F371" s="1258"/>
      <c r="G371" s="1258"/>
      <c r="H371" s="1258"/>
      <c r="I371" s="1258"/>
      <c r="J371" s="1258"/>
      <c r="K371" s="1258"/>
      <c r="L371" s="1242"/>
      <c r="M371" s="1242"/>
      <c r="N371" s="1242"/>
      <c r="O371" s="1257"/>
      <c r="P371" s="1257"/>
      <c r="Q371" s="1256"/>
      <c r="R371" s="1256"/>
      <c r="S371" s="1256"/>
      <c r="T371" s="1256"/>
      <c r="U371" s="1256"/>
      <c r="V371" s="1256"/>
      <c r="W371" s="1242"/>
      <c r="X371" s="1242"/>
      <c r="Y371" s="1242"/>
      <c r="Z371" s="1257"/>
      <c r="AA371" s="1256"/>
      <c r="AB371" s="1256"/>
      <c r="AC371" s="1256"/>
      <c r="AD371" s="1255"/>
      <c r="AE371" s="1254"/>
      <c r="AF371" s="1253"/>
    </row>
    <row r="372" spans="1:32" s="1204" customFormat="1" ht="15" customHeight="1">
      <c r="B372" s="4815"/>
      <c r="C372" s="1217">
        <v>51</v>
      </c>
      <c r="D372" s="5209" t="str">
        <f>IF(AE350="","","PB1＝")</f>
        <v>PB1＝</v>
      </c>
      <c r="E372" s="5210"/>
      <c r="F372" s="5211" t="str">
        <f>IF(AE350="","",AE350&amp;" × "&amp;AE343&amp;" × "&amp;V345&amp;" × 10^-6")</f>
        <v>11.3 × 450 × 4500 × 10^-6</v>
      </c>
      <c r="G372" s="5211"/>
      <c r="H372" s="5211"/>
      <c r="I372" s="5211"/>
      <c r="J372" s="5211"/>
      <c r="K372" s="5211"/>
      <c r="L372" s="5211" t="str">
        <f>IF(AE350="","","＝"&amp;INT(1000*(AE350*AE343*V345/10^6))/1000&amp;" [Kgf]")</f>
        <v>＝22.882 [Kgf]</v>
      </c>
      <c r="M372" s="5211"/>
      <c r="N372" s="5211"/>
      <c r="O372" s="5211"/>
      <c r="P372" s="5211"/>
      <c r="Q372" s="1252"/>
      <c r="R372" s="5234" t="str">
        <f>IF(AE343="","","∑M＝Mt＋∑MBn＝")</f>
        <v>∑M＝Mt＋∑MBn＝</v>
      </c>
      <c r="S372" s="5234"/>
      <c r="T372" s="5234"/>
      <c r="U372" s="5234"/>
      <c r="V372" s="5234"/>
      <c r="W372" s="5234"/>
      <c r="X372" s="5234"/>
      <c r="Y372" s="5207">
        <f>IF(AE343="","",F362+INT((1000*AE343*AE350*V345^2*AF350)/8000000000)/1000+INT((1000*AE343*AE352*V345^2*AF352)/8000000000)/1000+INT((1000*AE343*AE354*V345^2*AF354)/8000000000)/1000)</f>
        <v>263.334</v>
      </c>
      <c r="Z372" s="5207"/>
      <c r="AA372" s="5208" t="str">
        <f>IF(F362="",""," [Kg-m]")</f>
        <v xml:space="preserve"> [Kg-m]</v>
      </c>
      <c r="AB372" s="5208"/>
      <c r="AC372" s="1251"/>
      <c r="AD372" s="1251"/>
      <c r="AE372" s="1251"/>
      <c r="AF372" s="1250"/>
    </row>
    <row r="373" spans="1:32" s="1204" customFormat="1" ht="15" customHeight="1">
      <c r="B373" s="4815"/>
      <c r="C373" s="1217">
        <v>52</v>
      </c>
      <c r="D373" s="5209" t="str">
        <f>IF(AE352="","","PB2＝")</f>
        <v>PB2＝</v>
      </c>
      <c r="E373" s="5210"/>
      <c r="F373" s="5211" t="str">
        <f>IF(AE352="","",AE352&amp;" × "&amp;AE343&amp;" × "&amp;V345&amp;" × 10^-6")</f>
        <v>8.5 × 450 × 4500 × 10^-6</v>
      </c>
      <c r="G373" s="5211"/>
      <c r="H373" s="5211"/>
      <c r="I373" s="5211"/>
      <c r="J373" s="5211"/>
      <c r="K373" s="5211"/>
      <c r="L373" s="5211" t="str">
        <f>IF(AE352="","","＝"&amp;INT(1000*(AE352*AE343*V345/10^6))/1000&amp;" [Kgf]")</f>
        <v>＝17.212 [Kgf]</v>
      </c>
      <c r="M373" s="5211"/>
      <c r="N373" s="5211"/>
      <c r="O373" s="5211"/>
      <c r="P373" s="5211"/>
      <c r="Q373" s="1249"/>
      <c r="R373" s="5212" t="str">
        <f>IF(AE343="","","∑Ｐ＝Ｐt＋∑ＰBn＝")</f>
        <v>∑Ｐ＝Ｐt＋∑ＰBn＝</v>
      </c>
      <c r="S373" s="5212"/>
      <c r="T373" s="5212"/>
      <c r="U373" s="5212"/>
      <c r="V373" s="5212"/>
      <c r="W373" s="5212"/>
      <c r="X373" s="5212"/>
      <c r="Y373" s="5213">
        <f>IF(AE343="","",F370+INT(1000*(AE350*AE343*V345/10^6))/1000+INT(1000*(AE352*AE343*V345/10^6))/1000+INT(1000*(AE354*AE343*V345/10^6))/1000)</f>
        <v>368.21899999999999</v>
      </c>
      <c r="Z373" s="5213"/>
      <c r="AA373" s="5212" t="str">
        <f>IF(F370="",""," [Kgf]")</f>
        <v xml:space="preserve"> [Kgf]</v>
      </c>
      <c r="AB373" s="5212"/>
      <c r="AC373" s="1248"/>
      <c r="AD373" s="1248"/>
      <c r="AE373" s="1248"/>
      <c r="AF373" s="1247"/>
    </row>
    <row r="374" spans="1:32" s="1204" customFormat="1" ht="15" customHeight="1">
      <c r="B374" s="4815"/>
      <c r="C374" s="1217">
        <v>53</v>
      </c>
      <c r="D374" s="5209" t="str">
        <f>IF(AE354="","","PB3＝")</f>
        <v/>
      </c>
      <c r="E374" s="5210"/>
      <c r="F374" s="5211" t="str">
        <f>IF(AE354="","",AE354&amp;" × "&amp;AE343&amp;" × "&amp;V345&amp;" ×10^-6")</f>
        <v/>
      </c>
      <c r="G374" s="5211"/>
      <c r="H374" s="5211"/>
      <c r="I374" s="5211"/>
      <c r="J374" s="5211"/>
      <c r="K374" s="5211"/>
      <c r="L374" s="5211" t="str">
        <f>IF(AE354="","","＝"&amp;INT(1000*(AE354*AE343*V345/10^6))/1000&amp;" [Kgf]")</f>
        <v/>
      </c>
      <c r="M374" s="5211"/>
      <c r="N374" s="5211"/>
      <c r="O374" s="5211"/>
      <c r="P374" s="5211"/>
      <c r="Q374" s="1246"/>
      <c r="R374" s="1245"/>
      <c r="S374" s="1245"/>
      <c r="T374" s="1245"/>
      <c r="U374" s="1245"/>
      <c r="V374" s="1245"/>
      <c r="W374" s="1245"/>
      <c r="X374" s="1242"/>
      <c r="Y374" s="1244"/>
      <c r="Z374" s="1243"/>
      <c r="AA374" s="1242"/>
      <c r="AB374" s="1242"/>
      <c r="AC374" s="1242"/>
      <c r="AD374" s="1242"/>
      <c r="AE374" s="1242"/>
      <c r="AF374" s="1241"/>
    </row>
    <row r="375" spans="1:32" s="1204" customFormat="1" ht="15" customHeight="1">
      <c r="B375" s="4815"/>
      <c r="C375" s="1240">
        <v>54</v>
      </c>
      <c r="D375" s="1239"/>
      <c r="E375" s="1238"/>
      <c r="F375" s="1237"/>
      <c r="G375" s="1237"/>
      <c r="H375" s="1237"/>
      <c r="I375" s="1237"/>
      <c r="J375" s="1237"/>
      <c r="K375" s="1237"/>
      <c r="L375" s="1237"/>
      <c r="M375" s="1237"/>
      <c r="N375" s="1237"/>
      <c r="O375" s="1237"/>
      <c r="P375" s="1237"/>
      <c r="Q375" s="1236"/>
      <c r="R375" s="1236"/>
      <c r="S375" s="1236"/>
      <c r="T375" s="1236"/>
      <c r="U375" s="1236"/>
      <c r="V375" s="1236"/>
      <c r="W375" s="1236"/>
      <c r="X375" s="1233"/>
      <c r="Y375" s="1235"/>
      <c r="Z375" s="1234"/>
      <c r="AA375" s="1233"/>
      <c r="AB375" s="1233"/>
      <c r="AC375" s="1233"/>
      <c r="AD375" s="1233"/>
      <c r="AE375" s="1233"/>
      <c r="AF375" s="1232"/>
    </row>
    <row r="376" spans="1:32" s="1204" customFormat="1" ht="7.5" customHeight="1" thickBot="1">
      <c r="B376" s="4815"/>
      <c r="C376" s="5219">
        <v>55</v>
      </c>
      <c r="D376" s="1231"/>
      <c r="E376" s="1231"/>
      <c r="F376" s="1230"/>
      <c r="G376" s="5183">
        <f>IF(AE343="","",Y372)</f>
        <v>263.334</v>
      </c>
      <c r="H376" s="5183"/>
      <c r="I376" s="5183"/>
      <c r="J376" s="5183"/>
      <c r="K376" s="1230"/>
      <c r="L376" s="5183">
        <f>IF(F370="","",Y373)</f>
        <v>368.21899999999999</v>
      </c>
      <c r="M376" s="5183"/>
      <c r="N376" s="5183"/>
      <c r="O376" s="1230"/>
      <c r="P376" s="1230"/>
      <c r="Q376" s="1229"/>
      <c r="R376" s="1229"/>
      <c r="S376" s="1229"/>
      <c r="T376" s="1229"/>
      <c r="U376" s="1229"/>
      <c r="V376" s="1229"/>
      <c r="W376" s="1229"/>
      <c r="X376" s="1218"/>
      <c r="Y376" s="1228"/>
      <c r="Z376" s="1227"/>
      <c r="AA376" s="5220"/>
      <c r="AB376" s="5220"/>
      <c r="AC376" s="5220"/>
      <c r="AD376" s="5220"/>
      <c r="AE376" s="5220"/>
      <c r="AF376" s="5221"/>
    </row>
    <row r="377" spans="1:32" s="1204" customFormat="1" ht="7.5" customHeight="1">
      <c r="B377" s="4815"/>
      <c r="C377" s="5002"/>
      <c r="D377" s="1226"/>
      <c r="E377" s="5224" t="str">
        <f>IF(AE343="","","σ／f＝")</f>
        <v>σ／f＝</v>
      </c>
      <c r="F377" s="5224"/>
      <c r="G377" s="5178"/>
      <c r="H377" s="5178"/>
      <c r="I377" s="5178"/>
      <c r="J377" s="5178"/>
      <c r="K377" s="5187" t="str">
        <f>IF(AE343="","","＋")</f>
        <v>＋</v>
      </c>
      <c r="L377" s="5178"/>
      <c r="M377" s="5178"/>
      <c r="N377" s="5178"/>
      <c r="O377" s="5225" t="str">
        <f>IF(AE343="","","＝")</f>
        <v>＝</v>
      </c>
      <c r="P377" s="5225"/>
      <c r="Q377" s="5227">
        <f>IF(F370="","",INT(1000*((Y372/AE341/AE344)+(Y373/AE342/AE345)))/1000)</f>
        <v>0.44900000000000001</v>
      </c>
      <c r="R377" s="5228"/>
      <c r="S377" s="5229"/>
      <c r="T377" s="1225"/>
      <c r="U377" s="5233" t="str">
        <f>IF(Q377="","",IF(Q377&lt;1.5,"＜1.5  となり合格です。","＞1.5 となり不合格です。"))</f>
        <v>＜1.5  となり合格です。</v>
      </c>
      <c r="V377" s="5233"/>
      <c r="W377" s="5233"/>
      <c r="X377" s="5233"/>
      <c r="Y377" s="5233"/>
      <c r="Z377" s="5233"/>
      <c r="AA377" s="5222"/>
      <c r="AB377" s="5222"/>
      <c r="AC377" s="5222"/>
      <c r="AD377" s="5222"/>
      <c r="AE377" s="5222"/>
      <c r="AF377" s="5223"/>
    </row>
    <row r="378" spans="1:32" s="1204" customFormat="1" ht="7.5" customHeight="1" thickBot="1">
      <c r="B378" s="4815"/>
      <c r="C378" s="5219">
        <v>56</v>
      </c>
      <c r="D378" s="1224"/>
      <c r="E378" s="5224"/>
      <c r="F378" s="5224"/>
      <c r="G378" s="5214" t="str">
        <f>IF(AE343="","",AE341&amp;" × "&amp;AE344)</f>
        <v>1.22 × 1400</v>
      </c>
      <c r="H378" s="5214"/>
      <c r="I378" s="5214"/>
      <c r="J378" s="5214"/>
      <c r="K378" s="5187"/>
      <c r="L378" s="5192" t="str">
        <f>IF(AE343="","",AE342&amp;" × "&amp;AE345)</f>
        <v>0.89 × 1400</v>
      </c>
      <c r="M378" s="5192"/>
      <c r="N378" s="5192"/>
      <c r="O378" s="5226"/>
      <c r="P378" s="5226"/>
      <c r="Q378" s="5230"/>
      <c r="R378" s="5231"/>
      <c r="S378" s="5232"/>
      <c r="T378" s="1223"/>
      <c r="U378" s="5233"/>
      <c r="V378" s="5233"/>
      <c r="W378" s="5233"/>
      <c r="X378" s="5233"/>
      <c r="Y378" s="5233"/>
      <c r="Z378" s="5233"/>
      <c r="AA378" s="5215"/>
      <c r="AB378" s="5215"/>
      <c r="AC378" s="5215"/>
      <c r="AD378" s="5215"/>
      <c r="AE378" s="5215"/>
      <c r="AF378" s="5216"/>
    </row>
    <row r="379" spans="1:32" s="1204" customFormat="1" ht="7.5" customHeight="1">
      <c r="B379" s="4815"/>
      <c r="C379" s="5002"/>
      <c r="D379" s="1218"/>
      <c r="E379" s="1218"/>
      <c r="F379" s="1222"/>
      <c r="G379" s="5214"/>
      <c r="H379" s="5214"/>
      <c r="I379" s="5214"/>
      <c r="J379" s="5214"/>
      <c r="K379" s="1222"/>
      <c r="L379" s="5214"/>
      <c r="M379" s="5214"/>
      <c r="N379" s="5214"/>
      <c r="O379" s="1221"/>
      <c r="P379" s="1220"/>
      <c r="Q379" s="1220"/>
      <c r="R379" s="1219"/>
      <c r="S379" s="1219"/>
      <c r="T379" s="1219"/>
      <c r="U379" s="1219"/>
      <c r="V379" s="1219"/>
      <c r="W379" s="1218"/>
      <c r="X379" s="1218"/>
      <c r="Y379" s="1218"/>
      <c r="Z379" s="1218"/>
      <c r="AA379" s="5217"/>
      <c r="AB379" s="5217"/>
      <c r="AC379" s="5217"/>
      <c r="AD379" s="5217"/>
      <c r="AE379" s="5217"/>
      <c r="AF379" s="5218"/>
    </row>
    <row r="380" spans="1:32" s="1204" customFormat="1" ht="15" customHeight="1">
      <c r="B380" s="4815"/>
      <c r="C380" s="1217">
        <v>57</v>
      </c>
      <c r="D380" s="1216"/>
      <c r="E380" s="1213"/>
      <c r="F380" s="1214"/>
      <c r="G380" s="1214"/>
      <c r="H380" s="1214"/>
      <c r="I380" s="1215"/>
      <c r="J380" s="1214"/>
      <c r="K380" s="1214"/>
      <c r="L380" s="1213"/>
      <c r="M380" s="1212"/>
      <c r="N380" s="1212"/>
      <c r="O380" s="1211"/>
      <c r="P380" s="1211"/>
      <c r="Q380" s="1211"/>
      <c r="R380" s="1211"/>
      <c r="S380" s="1211"/>
      <c r="T380" s="1211"/>
      <c r="U380" s="1211"/>
      <c r="V380" s="1211"/>
      <c r="W380" s="1211"/>
      <c r="X380" s="1211"/>
      <c r="Y380" s="1211"/>
      <c r="Z380" s="1211"/>
      <c r="AA380" s="1211"/>
      <c r="AB380" s="1211"/>
      <c r="AC380" s="1210"/>
      <c r="AD380" s="1209" t="s">
        <v>1654</v>
      </c>
      <c r="AE380" s="1208"/>
      <c r="AF380" s="1207"/>
    </row>
    <row r="381" spans="1:32" s="1204" customFormat="1" ht="4.5" customHeight="1">
      <c r="B381" s="4815"/>
      <c r="U381" s="1205"/>
    </row>
    <row r="382" spans="1:32" s="1204" customFormat="1" ht="15" customHeight="1">
      <c r="A382" s="5237"/>
      <c r="B382" s="4815" t="s">
        <v>1837</v>
      </c>
      <c r="C382" s="1557" t="s">
        <v>1836</v>
      </c>
      <c r="D382" s="1557"/>
      <c r="E382" s="1557"/>
      <c r="F382" s="1553"/>
      <c r="G382" s="1556" t="s">
        <v>1655</v>
      </c>
      <c r="H382" s="1556"/>
      <c r="I382" s="1555"/>
      <c r="J382" s="1555"/>
      <c r="K382" s="4535" t="str">
        <f>$K$2</f>
        <v>企業名-1を入力してください。</v>
      </c>
      <c r="L382" s="4535"/>
      <c r="M382" s="4535"/>
      <c r="N382" s="4535"/>
      <c r="O382" s="4535"/>
      <c r="P382" s="4535"/>
      <c r="Q382" s="4535"/>
      <c r="R382" s="4535"/>
      <c r="S382" s="4535"/>
      <c r="T382" s="4535"/>
      <c r="U382" s="4535"/>
      <c r="V382" s="4535"/>
      <c r="W382" s="4535"/>
      <c r="X382" s="4535"/>
      <c r="Y382" s="4535"/>
      <c r="Z382" s="1418"/>
      <c r="AA382" s="1418"/>
      <c r="AB382" s="1418"/>
      <c r="AC382" s="1548" t="str">
        <f>$AC$2</f>
        <v>Date :</v>
      </c>
      <c r="AD382" s="4347">
        <f ca="1">$AD$2</f>
        <v>44092.955785416663</v>
      </c>
      <c r="AE382" s="4347"/>
      <c r="AF382" s="4347"/>
    </row>
    <row r="383" spans="1:32" s="1204" customFormat="1" ht="11.25" customHeight="1">
      <c r="A383" s="5237"/>
      <c r="B383" s="4815"/>
      <c r="C383" s="1554"/>
      <c r="D383" s="1553"/>
      <c r="E383" s="1553"/>
      <c r="F383" s="1553"/>
      <c r="G383" s="1552"/>
      <c r="H383" s="1552"/>
      <c r="I383" s="1551"/>
      <c r="J383" s="1551"/>
      <c r="K383" s="4536" t="str">
        <f>$K$3</f>
        <v>企業名-2を入力してください。</v>
      </c>
      <c r="L383" s="4536"/>
      <c r="M383" s="4536"/>
      <c r="N383" s="4536"/>
      <c r="O383" s="4536"/>
      <c r="P383" s="4536"/>
      <c r="Q383" s="4536"/>
      <c r="R383" s="4536"/>
      <c r="S383" s="4536"/>
      <c r="T383" s="4536"/>
      <c r="U383" s="4536"/>
      <c r="V383" s="4536"/>
      <c r="W383" s="4536"/>
      <c r="X383" s="4536"/>
      <c r="Y383" s="4536"/>
      <c r="Z383" s="1418"/>
      <c r="AA383" s="1550"/>
      <c r="AB383" s="1549"/>
      <c r="AC383" s="1548" t="str">
        <f>$AC$3</f>
        <v xml:space="preserve">    TELEPHONE:</v>
      </c>
      <c r="AD383" s="4571" t="str">
        <f>$AD$3</f>
        <v>0nn-nnnn-nnnn</v>
      </c>
      <c r="AE383" s="4571"/>
      <c r="AF383" s="4571"/>
    </row>
    <row r="384" spans="1:32" s="1204" customFormat="1" ht="15" customHeight="1" thickBot="1">
      <c r="A384" s="5237"/>
      <c r="B384" s="4815"/>
      <c r="C384" s="4572" t="s">
        <v>1835</v>
      </c>
      <c r="D384" s="4572"/>
      <c r="E384" s="4572"/>
      <c r="F384" s="4572"/>
      <c r="G384" s="4572"/>
      <c r="H384" s="4572"/>
      <c r="I384" s="4572"/>
      <c r="J384" s="4572"/>
      <c r="K384" s="4537" t="str">
        <f>$K$4</f>
        <v>企業または現場住所を入力してください。</v>
      </c>
      <c r="L384" s="4537"/>
      <c r="M384" s="4537"/>
      <c r="N384" s="4537"/>
      <c r="O384" s="4537"/>
      <c r="P384" s="4537"/>
      <c r="Q384" s="4537"/>
      <c r="R384" s="4537"/>
      <c r="S384" s="4537"/>
      <c r="T384" s="4537"/>
      <c r="U384" s="4537"/>
      <c r="V384" s="4537"/>
      <c r="W384" s="4537"/>
      <c r="X384" s="4537"/>
      <c r="Y384" s="4537"/>
      <c r="Z384" s="1547"/>
      <c r="AA384" s="1546"/>
      <c r="AB384" s="1546"/>
      <c r="AC384" s="1545" t="str">
        <f>$AC$4</f>
        <v>　　FACSIMILE:</v>
      </c>
      <c r="AD384" s="1544" t="str">
        <f>$AD$4</f>
        <v>0nn-nnnn-nnnn</v>
      </c>
      <c r="AE384" s="1543"/>
      <c r="AF384" s="118"/>
    </row>
    <row r="385" spans="1:34" s="1204" customFormat="1" ht="18" customHeight="1" thickBot="1">
      <c r="A385" s="5237"/>
      <c r="B385" s="4815"/>
      <c r="C385" s="1396">
        <v>1</v>
      </c>
      <c r="D385" s="4816" t="s">
        <v>1834</v>
      </c>
      <c r="E385" s="4817"/>
      <c r="F385" s="4817"/>
      <c r="G385" s="4817"/>
      <c r="H385" s="4817"/>
      <c r="I385" s="4817"/>
      <c r="J385" s="4818"/>
      <c r="K385" s="4822" t="s">
        <v>1747</v>
      </c>
      <c r="L385" s="4823"/>
      <c r="M385" s="4823"/>
      <c r="N385" s="4823"/>
      <c r="O385" s="4823"/>
      <c r="P385" s="4823"/>
      <c r="Q385" s="4824"/>
      <c r="R385" s="4828" t="s">
        <v>1746</v>
      </c>
      <c r="S385" s="4829"/>
      <c r="T385" s="4829"/>
      <c r="U385" s="4830"/>
      <c r="V385" s="4831"/>
      <c r="W385" s="4832"/>
      <c r="X385" s="4832"/>
      <c r="Y385" s="4832"/>
      <c r="Z385" s="4832"/>
      <c r="AA385" s="4832"/>
      <c r="AB385" s="4832"/>
      <c r="AC385" s="4833"/>
      <c r="AD385" s="4836" t="s">
        <v>1833</v>
      </c>
      <c r="AE385" s="4837"/>
      <c r="AF385" s="4838"/>
      <c r="AH385" s="1206" t="s">
        <v>1383</v>
      </c>
    </row>
    <row r="386" spans="1:34" s="1204" customFormat="1" ht="15" customHeight="1" thickBot="1">
      <c r="A386" s="5237"/>
      <c r="B386" s="4815"/>
      <c r="C386" s="1394">
        <v>2</v>
      </c>
      <c r="D386" s="4819"/>
      <c r="E386" s="4820"/>
      <c r="F386" s="4820"/>
      <c r="G386" s="4820"/>
      <c r="H386" s="4820"/>
      <c r="I386" s="4820"/>
      <c r="J386" s="4821"/>
      <c r="K386" s="4825"/>
      <c r="L386" s="4826"/>
      <c r="M386" s="4826"/>
      <c r="N386" s="4826"/>
      <c r="O386" s="4826"/>
      <c r="P386" s="4826"/>
      <c r="Q386" s="4827"/>
      <c r="R386" s="4842" t="s">
        <v>1744</v>
      </c>
      <c r="S386" s="4843"/>
      <c r="T386" s="4843"/>
      <c r="U386" s="4844"/>
      <c r="V386" s="4845"/>
      <c r="W386" s="4845"/>
      <c r="X386" s="4845"/>
      <c r="Y386" s="4845"/>
      <c r="Z386" s="4846" t="s">
        <v>1743</v>
      </c>
      <c r="AA386" s="4846"/>
      <c r="AB386" s="4847" t="s">
        <v>1742</v>
      </c>
      <c r="AC386" s="4847"/>
      <c r="AD386" s="4839"/>
      <c r="AE386" s="4840"/>
      <c r="AF386" s="4841"/>
    </row>
    <row r="387" spans="1:34" s="1204" customFormat="1" ht="15" customHeight="1">
      <c r="A387" s="5237"/>
      <c r="B387" s="4815"/>
      <c r="C387" s="1217">
        <v>3</v>
      </c>
      <c r="D387" s="1542"/>
      <c r="E387" s="1541"/>
      <c r="F387" s="1541"/>
      <c r="G387" s="1541"/>
      <c r="H387" s="1541"/>
      <c r="I387" s="1541"/>
      <c r="J387" s="1541"/>
      <c r="K387" s="1541"/>
      <c r="L387" s="1541"/>
      <c r="M387" s="1541"/>
      <c r="N387" s="1540"/>
      <c r="O387" s="1390"/>
      <c r="P387" s="1390"/>
      <c r="Q387" s="1390"/>
      <c r="R387" s="1390"/>
      <c r="S387" s="1390"/>
      <c r="T387" s="1390"/>
      <c r="U387" s="1391"/>
      <c r="V387" s="1390"/>
      <c r="W387" s="1390"/>
      <c r="X387" s="1390"/>
      <c r="Y387" s="1390"/>
      <c r="Z387" s="1390"/>
      <c r="AA387" s="1390"/>
      <c r="AB387" s="1390"/>
      <c r="AC387" s="1390"/>
      <c r="AD387" s="1390"/>
      <c r="AE387" s="1390"/>
      <c r="AF387" s="1389"/>
    </row>
    <row r="388" spans="1:34" s="1204" customFormat="1" ht="15" customHeight="1">
      <c r="A388" s="5237"/>
      <c r="B388" s="4815"/>
      <c r="C388" s="1217">
        <v>4</v>
      </c>
      <c r="D388" s="1393" t="s">
        <v>1832</v>
      </c>
      <c r="E388" s="1388"/>
      <c r="F388" s="1388"/>
      <c r="G388" s="1388"/>
      <c r="H388" s="1388"/>
      <c r="I388" s="1388"/>
      <c r="J388" s="1388"/>
      <c r="K388" s="1388"/>
      <c r="L388" s="1388"/>
      <c r="M388" s="1388"/>
      <c r="N388" s="1524"/>
      <c r="O388" s="1348"/>
      <c r="P388" s="1348"/>
      <c r="Q388" s="1348"/>
      <c r="R388" s="1348"/>
      <c r="S388" s="1348"/>
      <c r="T388" s="1348"/>
      <c r="U388" s="1367"/>
      <c r="V388" s="1348"/>
      <c r="W388" s="1348"/>
      <c r="X388" s="1348"/>
      <c r="Y388" s="1348"/>
      <c r="Z388" s="1348"/>
      <c r="AA388" s="1348"/>
      <c r="AB388" s="1348"/>
      <c r="AC388" s="1348"/>
      <c r="AD388" s="1348"/>
      <c r="AE388" s="1348"/>
      <c r="AF388" s="1378"/>
    </row>
    <row r="389" spans="1:34" s="1204" customFormat="1" ht="15" customHeight="1">
      <c r="A389" s="5237"/>
      <c r="B389" s="4815"/>
      <c r="C389" s="1217">
        <v>5</v>
      </c>
      <c r="D389" s="1358" t="s">
        <v>1831</v>
      </c>
      <c r="E389" s="1348"/>
      <c r="F389" s="1348"/>
      <c r="G389" s="1348"/>
      <c r="H389" s="1348"/>
      <c r="I389" s="1348"/>
      <c r="J389" s="1348"/>
      <c r="K389" s="1348"/>
      <c r="L389" s="1348"/>
      <c r="M389" s="1348"/>
      <c r="N389" s="1524"/>
      <c r="O389" s="1348"/>
      <c r="P389" s="1348"/>
      <c r="Q389" s="1348"/>
      <c r="R389" s="1348"/>
      <c r="S389" s="1348"/>
      <c r="T389" s="1348"/>
      <c r="U389" s="1367"/>
      <c r="V389" s="1348"/>
      <c r="W389" s="1348"/>
      <c r="X389" s="1348"/>
      <c r="Y389" s="1348"/>
      <c r="Z389" s="1348"/>
      <c r="AA389" s="1348"/>
      <c r="AB389" s="1348"/>
      <c r="AC389" s="1348"/>
      <c r="AD389" s="1348"/>
      <c r="AE389" s="1348"/>
      <c r="AF389" s="1378"/>
    </row>
    <row r="390" spans="1:34" s="1204" customFormat="1" ht="15" customHeight="1">
      <c r="A390" s="5237"/>
      <c r="B390" s="4815"/>
      <c r="C390" s="1217">
        <v>6</v>
      </c>
      <c r="N390" s="1539"/>
      <c r="O390" s="1348"/>
      <c r="P390" s="1348"/>
      <c r="Q390" s="1348"/>
      <c r="R390" s="1348"/>
      <c r="S390" s="1348"/>
      <c r="T390" s="1348"/>
      <c r="U390" s="1367"/>
      <c r="V390" s="1348"/>
      <c r="W390" s="1348"/>
      <c r="X390" s="1348"/>
      <c r="Y390" s="1348"/>
      <c r="Z390" s="1348"/>
      <c r="AA390" s="1348"/>
      <c r="AB390" s="1348"/>
      <c r="AC390" s="1348"/>
      <c r="AD390" s="1348"/>
      <c r="AE390" s="1348"/>
      <c r="AF390" s="1378"/>
    </row>
    <row r="391" spans="1:34" s="1204" customFormat="1" ht="15" customHeight="1">
      <c r="A391" s="5237"/>
      <c r="B391" s="4815"/>
      <c r="C391" s="1217">
        <v>7</v>
      </c>
      <c r="D391" s="1349" t="s">
        <v>1737</v>
      </c>
      <c r="E391" s="1348"/>
      <c r="F391" s="1348"/>
      <c r="G391" s="1348"/>
      <c r="H391" s="1348"/>
      <c r="I391" s="1348"/>
      <c r="J391" s="1348"/>
      <c r="K391" s="1348"/>
      <c r="L391" s="1348"/>
      <c r="M391" s="1348"/>
      <c r="N391" s="1524"/>
      <c r="O391" s="1348"/>
      <c r="P391" s="1348"/>
      <c r="Q391" s="1348"/>
      <c r="R391" s="1348"/>
      <c r="S391" s="1348"/>
      <c r="T391" s="1348"/>
      <c r="U391" s="1367"/>
      <c r="V391" s="1348"/>
      <c r="W391" s="1348"/>
      <c r="X391" s="1348"/>
      <c r="Y391" s="1348"/>
      <c r="Z391" s="1348"/>
      <c r="AA391" s="1348"/>
      <c r="AB391" s="1348"/>
      <c r="AC391" s="1348"/>
      <c r="AD391" s="1348"/>
      <c r="AE391" s="1348"/>
      <c r="AF391" s="1378"/>
    </row>
    <row r="392" spans="1:34" s="1204" customFormat="1" ht="15" customHeight="1">
      <c r="A392" s="5237"/>
      <c r="B392" s="4815"/>
      <c r="C392" s="1217">
        <v>8</v>
      </c>
      <c r="D392" s="1384" t="s">
        <v>1830</v>
      </c>
      <c r="E392" s="1348"/>
      <c r="F392" s="1348"/>
      <c r="G392" s="1348"/>
      <c r="H392" s="1348"/>
      <c r="I392" s="1348"/>
      <c r="J392" s="1348"/>
      <c r="K392" s="1348"/>
      <c r="L392" s="1348"/>
      <c r="M392" s="1348"/>
      <c r="N392" s="1524"/>
      <c r="O392" s="1348"/>
      <c r="P392" s="1348"/>
      <c r="Q392" s="1348"/>
      <c r="R392" s="1348"/>
      <c r="S392" s="1348"/>
      <c r="T392" s="1348"/>
      <c r="U392" s="1367"/>
      <c r="V392" s="1348"/>
      <c r="W392" s="1348"/>
      <c r="X392" s="1348"/>
      <c r="Y392" s="1348"/>
      <c r="Z392" s="1348"/>
      <c r="AA392" s="1348"/>
      <c r="AB392" s="1348"/>
      <c r="AC392" s="1348"/>
      <c r="AD392" s="1348"/>
      <c r="AE392" s="1348"/>
      <c r="AF392" s="1378"/>
    </row>
    <row r="393" spans="1:34" s="1204" customFormat="1" ht="15" customHeight="1">
      <c r="A393" s="5237"/>
      <c r="B393" s="4815"/>
      <c r="C393" s="1217">
        <v>9</v>
      </c>
      <c r="D393" s="1538" t="s">
        <v>1829</v>
      </c>
      <c r="E393" s="1348"/>
      <c r="F393" s="1348"/>
      <c r="G393" s="1348"/>
      <c r="H393" s="1348"/>
      <c r="I393" s="1348"/>
      <c r="J393" s="1348"/>
      <c r="K393" s="1348"/>
      <c r="L393" s="1348"/>
      <c r="M393" s="1348"/>
      <c r="N393" s="1524"/>
      <c r="O393" s="1348"/>
      <c r="P393" s="1348"/>
      <c r="Q393" s="1348"/>
      <c r="R393" s="1348"/>
      <c r="S393" s="1348"/>
      <c r="T393" s="1348"/>
      <c r="U393" s="1367"/>
      <c r="V393" s="1348"/>
      <c r="W393" s="1348"/>
      <c r="X393" s="1348"/>
      <c r="Y393" s="1348"/>
      <c r="Z393" s="1348"/>
      <c r="AA393" s="1348"/>
      <c r="AB393" s="1348"/>
      <c r="AC393" s="1348"/>
      <c r="AD393" s="1348"/>
      <c r="AE393" s="1348"/>
      <c r="AF393" s="1378"/>
    </row>
    <row r="394" spans="1:34" s="1204" customFormat="1" ht="15" customHeight="1">
      <c r="A394" s="5237"/>
      <c r="B394" s="4815"/>
      <c r="C394" s="1217">
        <v>10</v>
      </c>
      <c r="D394" s="1384" t="s">
        <v>1828</v>
      </c>
      <c r="E394" s="1348"/>
      <c r="F394" s="1348"/>
      <c r="G394" s="1348"/>
      <c r="H394" s="1348"/>
      <c r="I394" s="1348"/>
      <c r="J394" s="1348"/>
      <c r="K394" s="1348"/>
      <c r="L394" s="1348"/>
      <c r="M394" s="1348"/>
      <c r="N394" s="1524"/>
      <c r="O394" s="1348"/>
      <c r="P394" s="1348"/>
      <c r="Q394" s="1348"/>
      <c r="R394" s="1348"/>
      <c r="S394" s="1348"/>
      <c r="T394" s="1348"/>
      <c r="U394" s="1367"/>
      <c r="V394" s="1348"/>
      <c r="W394" s="1348"/>
      <c r="X394" s="1348"/>
      <c r="Y394" s="1348"/>
      <c r="Z394" s="1348"/>
      <c r="AA394" s="1348"/>
      <c r="AB394" s="1348"/>
      <c r="AC394" s="1348"/>
      <c r="AD394" s="1348"/>
      <c r="AE394" s="1348"/>
      <c r="AF394" s="1378"/>
    </row>
    <row r="395" spans="1:34" s="1204" customFormat="1" ht="15" customHeight="1">
      <c r="A395" s="5237"/>
      <c r="B395" s="4815"/>
      <c r="C395" s="1217">
        <v>11</v>
      </c>
      <c r="D395" s="1538" t="s">
        <v>1827</v>
      </c>
      <c r="E395" s="1348"/>
      <c r="F395" s="1348"/>
      <c r="G395" s="1348"/>
      <c r="H395" s="1348"/>
      <c r="I395" s="1348"/>
      <c r="J395" s="1348"/>
      <c r="K395" s="1348"/>
      <c r="L395" s="1348"/>
      <c r="M395" s="1348"/>
      <c r="N395" s="1524"/>
      <c r="O395" s="1348"/>
      <c r="P395" s="1348"/>
      <c r="Q395" s="1348"/>
      <c r="R395" s="1348"/>
      <c r="S395" s="1348"/>
      <c r="T395" s="1348"/>
      <c r="U395" s="1367"/>
      <c r="V395" s="1348"/>
      <c r="W395" s="1348"/>
      <c r="X395" s="1348"/>
      <c r="Y395" s="1348"/>
      <c r="Z395" s="1348"/>
      <c r="AA395" s="1348"/>
      <c r="AB395" s="1348"/>
      <c r="AC395" s="1348"/>
      <c r="AD395" s="1348"/>
      <c r="AE395" s="1348"/>
      <c r="AF395" s="1378"/>
    </row>
    <row r="396" spans="1:34" s="1204" customFormat="1" ht="15" customHeight="1">
      <c r="A396" s="5237"/>
      <c r="B396" s="4815"/>
      <c r="C396" s="1217">
        <v>12</v>
      </c>
      <c r="D396" s="1386"/>
      <c r="E396" s="1369"/>
      <c r="F396" s="1369"/>
      <c r="G396" s="4848"/>
      <c r="H396" s="4848"/>
      <c r="I396" s="4848"/>
      <c r="J396" s="4848"/>
      <c r="K396" s="1369"/>
      <c r="L396" s="1369"/>
      <c r="M396" s="1369"/>
      <c r="N396" s="1531"/>
      <c r="O396" s="1348"/>
      <c r="P396" s="1348"/>
      <c r="Q396" s="1348"/>
      <c r="R396" s="1348"/>
      <c r="S396" s="1348"/>
      <c r="T396" s="1348"/>
      <c r="U396" s="1367"/>
      <c r="V396" s="1348"/>
      <c r="W396" s="1348"/>
      <c r="X396" s="1348"/>
      <c r="Y396" s="1348"/>
      <c r="Z396" s="1348"/>
      <c r="AA396" s="1348"/>
      <c r="AB396" s="1348"/>
      <c r="AC396" s="1348"/>
      <c r="AD396" s="1348"/>
      <c r="AE396" s="1348"/>
      <c r="AF396" s="1378"/>
    </row>
    <row r="397" spans="1:34" s="1204" customFormat="1" ht="15" customHeight="1">
      <c r="A397" s="5237"/>
      <c r="B397" s="4815"/>
      <c r="C397" s="1217">
        <v>13</v>
      </c>
      <c r="D397" s="1386"/>
      <c r="E397" s="1369"/>
      <c r="F397" s="1369"/>
      <c r="G397" s="4848"/>
      <c r="H397" s="4848"/>
      <c r="I397" s="4848"/>
      <c r="J397" s="4848"/>
      <c r="K397" s="1369"/>
      <c r="L397" s="1369"/>
      <c r="M397" s="1369"/>
      <c r="N397" s="1531"/>
      <c r="O397" s="1348"/>
      <c r="P397" s="1348"/>
      <c r="Q397" s="1348"/>
      <c r="R397" s="1348"/>
      <c r="S397" s="1348"/>
      <c r="T397" s="1348"/>
      <c r="U397" s="1367"/>
      <c r="V397" s="1348"/>
      <c r="W397" s="1348"/>
      <c r="X397" s="1348"/>
      <c r="Y397" s="1348"/>
      <c r="Z397" s="1348"/>
      <c r="AA397" s="1348"/>
      <c r="AB397" s="1348"/>
      <c r="AC397" s="1348"/>
      <c r="AD397" s="1348"/>
      <c r="AE397" s="1348"/>
      <c r="AF397" s="1378"/>
    </row>
    <row r="398" spans="1:34" s="1204" customFormat="1" ht="15" customHeight="1">
      <c r="A398" s="5237"/>
      <c r="B398" s="4815"/>
      <c r="C398" s="1217">
        <v>14</v>
      </c>
      <c r="D398" s="1367" t="s">
        <v>1826</v>
      </c>
      <c r="E398" s="1348"/>
      <c r="F398" s="1348"/>
      <c r="G398" s="1348"/>
      <c r="H398" s="1348"/>
      <c r="I398" s="1348"/>
      <c r="J398" s="1342"/>
      <c r="K398" s="1348"/>
      <c r="L398" s="1348"/>
      <c r="M398" s="1348"/>
      <c r="N398" s="1524"/>
      <c r="O398" s="1348"/>
      <c r="P398" s="1348"/>
      <c r="Q398" s="1348"/>
      <c r="R398" s="1348"/>
      <c r="S398" s="1348"/>
      <c r="T398" s="1348"/>
      <c r="U398" s="1367"/>
      <c r="V398" s="1348"/>
      <c r="W398" s="1348"/>
      <c r="X398" s="1348"/>
      <c r="Y398" s="1348"/>
      <c r="Z398" s="1348"/>
      <c r="AA398" s="1348"/>
      <c r="AB398" s="1348"/>
      <c r="AC398" s="1348"/>
      <c r="AD398" s="1348"/>
      <c r="AE398" s="1348"/>
      <c r="AF398" s="1378"/>
    </row>
    <row r="399" spans="1:34" s="1204" customFormat="1" ht="15" customHeight="1">
      <c r="A399" s="5237"/>
      <c r="B399" s="4815"/>
      <c r="C399" s="1217">
        <v>15</v>
      </c>
      <c r="D399" s="1384" t="s">
        <v>1825</v>
      </c>
      <c r="E399" s="1348"/>
      <c r="F399" s="1348"/>
      <c r="G399" s="1348"/>
      <c r="H399" s="1348"/>
      <c r="I399" s="1264" t="s">
        <v>1824</v>
      </c>
      <c r="J399" s="1537"/>
      <c r="K399" s="1367" t="s">
        <v>1821</v>
      </c>
      <c r="L399" s="1348"/>
      <c r="M399" s="1348"/>
      <c r="N399" s="1524"/>
      <c r="O399" s="1348"/>
      <c r="P399" s="1348"/>
      <c r="Q399" s="1348"/>
      <c r="R399" s="1348"/>
      <c r="S399" s="1348"/>
      <c r="T399" s="1348"/>
      <c r="U399" s="1367"/>
      <c r="V399" s="1348"/>
      <c r="W399" s="1348"/>
      <c r="X399" s="1348"/>
      <c r="Y399" s="1348"/>
      <c r="Z399" s="1348"/>
      <c r="AA399" s="1348"/>
      <c r="AB399" s="1348"/>
      <c r="AC399" s="1348"/>
      <c r="AD399" s="1348"/>
      <c r="AE399" s="1348"/>
      <c r="AF399" s="1378"/>
    </row>
    <row r="400" spans="1:34" s="1204" customFormat="1" ht="15" customHeight="1">
      <c r="A400" s="5237"/>
      <c r="B400" s="4815"/>
      <c r="C400" s="1217">
        <v>16</v>
      </c>
      <c r="D400" s="1384" t="s">
        <v>1823</v>
      </c>
      <c r="E400" s="1348"/>
      <c r="F400" s="1348"/>
      <c r="G400" s="1348"/>
      <c r="H400" s="1348"/>
      <c r="I400" s="1264" t="s">
        <v>1822</v>
      </c>
      <c r="J400" s="1537"/>
      <c r="K400" s="1367" t="s">
        <v>1821</v>
      </c>
      <c r="L400" s="1348"/>
      <c r="M400" s="1348"/>
      <c r="N400" s="1524"/>
      <c r="O400" s="1348"/>
      <c r="P400" s="1348"/>
      <c r="Q400" s="1348"/>
      <c r="R400" s="1348"/>
      <c r="S400" s="1348"/>
      <c r="T400" s="1348"/>
      <c r="U400" s="1367"/>
      <c r="V400" s="1348"/>
      <c r="W400" s="4849" t="str">
        <f>IF(Y411="","",INT(Y411*9.80665)/1000&amp;"[KN]")</f>
        <v/>
      </c>
      <c r="X400" s="4849"/>
      <c r="Y400" s="4849"/>
      <c r="Z400" s="1348"/>
      <c r="AA400" s="1348"/>
      <c r="AB400" s="1348"/>
      <c r="AC400" s="1348"/>
      <c r="AD400" s="1348"/>
      <c r="AE400" s="1348"/>
      <c r="AF400" s="1378"/>
    </row>
    <row r="401" spans="1:32" s="1204" customFormat="1" ht="15" customHeight="1">
      <c r="A401" s="5237"/>
      <c r="B401" s="4815"/>
      <c r="C401" s="1217">
        <v>17</v>
      </c>
      <c r="D401" s="1536"/>
      <c r="E401" s="1369"/>
      <c r="F401" s="1369"/>
      <c r="G401" s="1369"/>
      <c r="H401" s="1369"/>
      <c r="I401" s="1369"/>
      <c r="J401" s="1369"/>
      <c r="K401" s="1369"/>
      <c r="L401" s="1369"/>
      <c r="M401" s="1369"/>
      <c r="N401" s="1531"/>
      <c r="O401" s="1348"/>
      <c r="P401" s="1348"/>
      <c r="Q401" s="1348"/>
      <c r="R401" s="1348"/>
      <c r="S401" s="1348"/>
      <c r="T401" s="1348"/>
      <c r="U401" s="1367"/>
      <c r="V401" s="1348"/>
      <c r="W401" s="1348"/>
      <c r="X401" s="1348"/>
      <c r="Y401" s="1348"/>
      <c r="Z401" s="1348"/>
      <c r="AA401" s="1348"/>
      <c r="AB401" s="1348"/>
      <c r="AC401" s="1348"/>
      <c r="AD401" s="1348"/>
      <c r="AE401" s="1348"/>
      <c r="AF401" s="1378"/>
    </row>
    <row r="402" spans="1:32" s="1204" customFormat="1" ht="15" customHeight="1">
      <c r="A402" s="5237"/>
      <c r="B402" s="4815"/>
      <c r="C402" s="1217">
        <v>18</v>
      </c>
      <c r="D402" s="1536"/>
      <c r="E402" s="1369"/>
      <c r="F402" s="1369"/>
      <c r="G402" s="1369"/>
      <c r="H402" s="1369"/>
      <c r="I402" s="1369"/>
      <c r="J402" s="1369"/>
      <c r="K402" s="1369"/>
      <c r="L402" s="1369"/>
      <c r="M402" s="1369"/>
      <c r="N402" s="1531"/>
      <c r="O402" s="1348"/>
      <c r="P402" s="1348"/>
      <c r="Q402" s="1348"/>
      <c r="R402" s="1348"/>
      <c r="S402" s="1348"/>
      <c r="T402" s="1348"/>
      <c r="U402" s="1367"/>
      <c r="V402" s="1348"/>
      <c r="W402" s="1348"/>
      <c r="X402" s="1348"/>
      <c r="Y402" s="1348"/>
      <c r="Z402" s="1348"/>
      <c r="AA402" s="1348"/>
      <c r="AB402" s="1348"/>
      <c r="AC402" s="1348"/>
      <c r="AD402" s="1348"/>
      <c r="AE402" s="1348"/>
      <c r="AF402" s="1378"/>
    </row>
    <row r="403" spans="1:32" s="1204" customFormat="1" ht="15" customHeight="1">
      <c r="A403" s="5237"/>
      <c r="B403" s="4815"/>
      <c r="C403" s="1217">
        <v>19</v>
      </c>
      <c r="D403" s="1536"/>
      <c r="E403" s="1369"/>
      <c r="F403" s="1369"/>
      <c r="G403" s="1369"/>
      <c r="H403" s="1369"/>
      <c r="I403" s="1369"/>
      <c r="J403" s="1369"/>
      <c r="K403" s="1369"/>
      <c r="L403" s="1369"/>
      <c r="M403" s="1369"/>
      <c r="N403" s="1531"/>
      <c r="O403" s="1348"/>
      <c r="P403" s="1348"/>
      <c r="Q403" s="1348"/>
      <c r="R403" s="1348"/>
      <c r="S403" s="1348"/>
      <c r="T403" s="1348"/>
      <c r="U403" s="1367"/>
      <c r="V403" s="1348"/>
      <c r="W403" s="1348"/>
      <c r="X403" s="1348"/>
      <c r="Y403" s="1348"/>
      <c r="Z403" s="1348"/>
      <c r="AA403" s="1348"/>
      <c r="AB403" s="1348"/>
      <c r="AC403" s="1348"/>
      <c r="AD403" s="1348"/>
      <c r="AE403" s="1348"/>
      <c r="AF403" s="1378"/>
    </row>
    <row r="404" spans="1:32" s="1204" customFormat="1" ht="15" customHeight="1">
      <c r="A404" s="5237"/>
      <c r="B404" s="4815"/>
      <c r="C404" s="1217">
        <v>20</v>
      </c>
      <c r="D404" s="1369"/>
      <c r="E404" s="1369"/>
      <c r="F404" s="1369"/>
      <c r="G404" s="1369"/>
      <c r="H404" s="1369"/>
      <c r="I404" s="1369"/>
      <c r="J404" s="1369"/>
      <c r="K404" s="1369"/>
      <c r="L404" s="1369"/>
      <c r="M404" s="1369"/>
      <c r="N404" s="1531"/>
      <c r="O404" s="1348"/>
      <c r="P404" s="1348"/>
      <c r="Q404" s="1348"/>
      <c r="R404" s="1348"/>
      <c r="S404" s="1348"/>
      <c r="T404" s="1348"/>
      <c r="U404" s="1367"/>
      <c r="V404" s="1348"/>
      <c r="W404" s="1348"/>
      <c r="X404" s="1348"/>
      <c r="Y404" s="1348"/>
      <c r="Z404" s="1348"/>
      <c r="AA404" s="1348"/>
      <c r="AB404" s="1348"/>
      <c r="AC404" s="1380"/>
      <c r="AD404" s="1348"/>
      <c r="AE404" s="1348"/>
      <c r="AF404" s="1378"/>
    </row>
    <row r="405" spans="1:32" s="1204" customFormat="1" ht="15" customHeight="1">
      <c r="A405" s="5237"/>
      <c r="B405" s="4815"/>
      <c r="C405" s="1217">
        <v>21</v>
      </c>
      <c r="D405" s="1348"/>
      <c r="E405" s="1535" t="s">
        <v>1820</v>
      </c>
      <c r="F405" s="1349" t="s">
        <v>1819</v>
      </c>
      <c r="G405" s="1348"/>
      <c r="H405" s="1348"/>
      <c r="I405" s="1348"/>
      <c r="J405" s="1348"/>
      <c r="K405" s="1348"/>
      <c r="L405" s="1348"/>
      <c r="M405" s="1348"/>
      <c r="N405" s="1524"/>
      <c r="O405" s="1348"/>
      <c r="P405" s="1348"/>
      <c r="Q405" s="1348"/>
      <c r="R405" s="1348"/>
      <c r="S405" s="1348"/>
      <c r="T405" s="1348"/>
      <c r="U405" s="1367"/>
      <c r="V405" s="1348"/>
      <c r="W405" s="1348"/>
      <c r="X405" s="1348"/>
      <c r="Y405" s="1348"/>
      <c r="Z405" s="1348"/>
      <c r="AA405" s="1348"/>
      <c r="AB405" s="1348"/>
      <c r="AC405" s="1348"/>
      <c r="AD405" s="1348"/>
      <c r="AE405" s="1348"/>
      <c r="AF405" s="1378"/>
    </row>
    <row r="406" spans="1:32" s="1204" customFormat="1" ht="15" customHeight="1">
      <c r="A406" s="5237"/>
      <c r="B406" s="4815"/>
      <c r="C406" s="1217">
        <v>22</v>
      </c>
      <c r="D406" s="1348"/>
      <c r="E406" s="1535" t="s">
        <v>1818</v>
      </c>
      <c r="F406" s="1349" t="s">
        <v>1817</v>
      </c>
      <c r="G406" s="1348"/>
      <c r="H406" s="1348"/>
      <c r="I406" s="1348"/>
      <c r="J406" s="1348"/>
      <c r="K406" s="1348"/>
      <c r="L406" s="1348"/>
      <c r="M406" s="1348"/>
      <c r="N406" s="1524"/>
      <c r="O406" s="1342"/>
      <c r="P406" s="1342"/>
      <c r="Q406" s="1342"/>
      <c r="R406" s="1342"/>
      <c r="S406" s="1342"/>
      <c r="T406" s="1342"/>
      <c r="U406" s="1374"/>
      <c r="V406" s="1342"/>
      <c r="W406" s="1342"/>
      <c r="X406" s="1342"/>
      <c r="Y406" s="1342"/>
      <c r="Z406" s="1342"/>
      <c r="AA406" s="1342"/>
      <c r="AB406" s="1342"/>
      <c r="AC406" s="1342"/>
      <c r="AD406" s="1342"/>
      <c r="AE406" s="1342"/>
      <c r="AF406" s="1373"/>
    </row>
    <row r="407" spans="1:32" s="1204" customFormat="1" ht="15" customHeight="1">
      <c r="A407" s="5237"/>
      <c r="B407" s="4815"/>
      <c r="C407" s="1217">
        <v>23</v>
      </c>
      <c r="D407" s="1369"/>
      <c r="E407" s="1534"/>
      <c r="F407" s="1370"/>
      <c r="G407" s="1369"/>
      <c r="H407" s="1369"/>
      <c r="I407" s="1369"/>
      <c r="J407" s="1369"/>
      <c r="K407" s="1369"/>
      <c r="L407" s="1369"/>
      <c r="M407" s="1369"/>
      <c r="N407" s="1531"/>
      <c r="O407" s="4850" t="s">
        <v>1727</v>
      </c>
      <c r="P407" s="4851"/>
      <c r="Q407" s="4851"/>
      <c r="R407" s="4851"/>
      <c r="S407" s="4851"/>
      <c r="T407" s="4851"/>
      <c r="U407" s="4851"/>
      <c r="V407" s="4851"/>
      <c r="W407" s="4851"/>
      <c r="X407" s="4852"/>
      <c r="Y407" s="4852" t="s">
        <v>1816</v>
      </c>
      <c r="Z407" s="4859"/>
      <c r="AA407" s="4862" t="s">
        <v>1815</v>
      </c>
      <c r="AB407" s="4862"/>
      <c r="AC407" s="4862" t="s">
        <v>1814</v>
      </c>
      <c r="AD407" s="4865"/>
      <c r="AE407" s="4865" t="s">
        <v>1813</v>
      </c>
      <c r="AF407" s="4886"/>
    </row>
    <row r="408" spans="1:32" s="1204" customFormat="1" ht="15" customHeight="1">
      <c r="A408" s="5237"/>
      <c r="B408" s="4815"/>
      <c r="C408" s="1217">
        <v>24</v>
      </c>
      <c r="D408" s="1348"/>
      <c r="E408" s="1372" t="s">
        <v>1812</v>
      </c>
      <c r="F408" s="1349" t="s">
        <v>1811</v>
      </c>
      <c r="G408" s="1348"/>
      <c r="H408" s="1348"/>
      <c r="I408" s="1348"/>
      <c r="J408" s="1348"/>
      <c r="K408" s="1348"/>
      <c r="L408" s="1348"/>
      <c r="M408" s="1348"/>
      <c r="N408" s="1524"/>
      <c r="O408" s="4853"/>
      <c r="P408" s="4854"/>
      <c r="Q408" s="4854"/>
      <c r="R408" s="4854"/>
      <c r="S408" s="4854"/>
      <c r="T408" s="4854"/>
      <c r="U408" s="4854"/>
      <c r="V408" s="4854"/>
      <c r="W408" s="4854"/>
      <c r="X408" s="4855"/>
      <c r="Y408" s="4855"/>
      <c r="Z408" s="4860"/>
      <c r="AA408" s="4863"/>
      <c r="AB408" s="4863"/>
      <c r="AC408" s="4863"/>
      <c r="AD408" s="4866"/>
      <c r="AE408" s="4866"/>
      <c r="AF408" s="4887"/>
    </row>
    <row r="409" spans="1:32" s="1204" customFormat="1" ht="15" customHeight="1">
      <c r="A409" s="5237"/>
      <c r="B409" s="4815"/>
      <c r="C409" s="1217">
        <v>25</v>
      </c>
      <c r="D409" s="1348"/>
      <c r="E409" s="1372" t="s">
        <v>1810</v>
      </c>
      <c r="F409" s="1349" t="s">
        <v>1809</v>
      </c>
      <c r="G409" s="1348"/>
      <c r="H409" s="1348"/>
      <c r="I409" s="1348"/>
      <c r="J409" s="1348"/>
      <c r="K409" s="1348"/>
      <c r="L409" s="1348"/>
      <c r="M409" s="1348"/>
      <c r="N409" s="1524"/>
      <c r="O409" s="4856"/>
      <c r="P409" s="4857"/>
      <c r="Q409" s="4857"/>
      <c r="R409" s="4857"/>
      <c r="S409" s="4857"/>
      <c r="T409" s="4857"/>
      <c r="U409" s="4857"/>
      <c r="V409" s="4857"/>
      <c r="W409" s="4857"/>
      <c r="X409" s="4858"/>
      <c r="Y409" s="4858"/>
      <c r="Z409" s="4861"/>
      <c r="AA409" s="4864"/>
      <c r="AB409" s="4864"/>
      <c r="AC409" s="4864"/>
      <c r="AD409" s="4867"/>
      <c r="AE409" s="4867"/>
      <c r="AF409" s="4888"/>
    </row>
    <row r="410" spans="1:32" s="1204" customFormat="1" ht="15" customHeight="1">
      <c r="A410" s="5237"/>
      <c r="B410" s="4815"/>
      <c r="C410" s="1217">
        <v>26</v>
      </c>
      <c r="D410" s="1348"/>
      <c r="E410" s="1372" t="s">
        <v>1808</v>
      </c>
      <c r="F410" s="1367" t="s">
        <v>1807</v>
      </c>
      <c r="G410" s="1348"/>
      <c r="H410" s="1348"/>
      <c r="I410" s="1348"/>
      <c r="J410" s="1348"/>
      <c r="K410" s="1348"/>
      <c r="L410" s="1348"/>
      <c r="M410" s="1348"/>
      <c r="N410" s="1524"/>
      <c r="O410" s="4889" t="s">
        <v>1806</v>
      </c>
      <c r="P410" s="4890"/>
      <c r="Q410" s="4890"/>
      <c r="R410" s="4890"/>
      <c r="S410" s="4891" t="s">
        <v>1805</v>
      </c>
      <c r="T410" s="4890"/>
      <c r="U410" s="4890"/>
      <c r="V410" s="4890"/>
      <c r="W410" s="4892" t="s">
        <v>1804</v>
      </c>
      <c r="X410" s="4893"/>
      <c r="Y410" s="4892" t="s">
        <v>1803</v>
      </c>
      <c r="Z410" s="4894"/>
      <c r="AA410" s="4895" t="s">
        <v>1802</v>
      </c>
      <c r="AB410" s="4896"/>
      <c r="AC410" s="4895" t="s">
        <v>1801</v>
      </c>
      <c r="AD410" s="4896"/>
      <c r="AE410" s="4897" t="s">
        <v>1800</v>
      </c>
      <c r="AF410" s="4898"/>
    </row>
    <row r="411" spans="1:32" s="1204" customFormat="1" ht="15" customHeight="1">
      <c r="A411" s="5237"/>
      <c r="B411" s="4815"/>
      <c r="C411" s="1217">
        <v>27</v>
      </c>
      <c r="D411" s="1369"/>
      <c r="E411" s="1533"/>
      <c r="F411" s="1532"/>
      <c r="G411" s="1369"/>
      <c r="H411" s="1369"/>
      <c r="I411" s="1369"/>
      <c r="J411" s="1369"/>
      <c r="K411" s="1369"/>
      <c r="L411" s="1369"/>
      <c r="M411" s="1369"/>
      <c r="N411" s="1531"/>
      <c r="O411" s="4899"/>
      <c r="P411" s="4900"/>
      <c r="Q411" s="4900"/>
      <c r="R411" s="4901"/>
      <c r="S411" s="4899"/>
      <c r="T411" s="4900"/>
      <c r="U411" s="4900"/>
      <c r="V411" s="4901"/>
      <c r="W411" s="4899"/>
      <c r="X411" s="4901"/>
      <c r="Y411" s="1530"/>
      <c r="Z411" s="1529" t="str">
        <f>IF(Y411="","","[Kg]")</f>
        <v/>
      </c>
      <c r="AA411" s="1528"/>
      <c r="AB411" s="1529" t="str">
        <f>IF(AA411="","","[mm]")</f>
        <v/>
      </c>
      <c r="AC411" s="1528"/>
      <c r="AD411" s="1529" t="str">
        <f>IF(AC411="","","[mm]")</f>
        <v/>
      </c>
      <c r="AE411" s="1528"/>
      <c r="AF411" s="1527" t="str">
        <f>IF(AE411="","","[mm]")</f>
        <v/>
      </c>
    </row>
    <row r="412" spans="1:32" s="1204" customFormat="1" ht="15" customHeight="1">
      <c r="A412" s="5237"/>
      <c r="B412" s="4815"/>
      <c r="C412" s="1217">
        <v>28</v>
      </c>
      <c r="D412" s="1348"/>
      <c r="E412" s="1526" t="s">
        <v>1799</v>
      </c>
      <c r="F412" s="1349" t="s">
        <v>1798</v>
      </c>
      <c r="G412" s="1348"/>
      <c r="H412" s="1348"/>
      <c r="I412" s="1348"/>
      <c r="J412" s="1348"/>
      <c r="K412" s="1348"/>
      <c r="L412" s="1348"/>
      <c r="M412" s="1348"/>
      <c r="N412" s="1524"/>
      <c r="O412" s="4902" t="s">
        <v>1797</v>
      </c>
      <c r="P412" s="4903"/>
      <c r="Q412" s="4903"/>
      <c r="R412" s="4903"/>
      <c r="S412" s="4903"/>
      <c r="T412" s="4903"/>
      <c r="U412" s="4903"/>
      <c r="V412" s="4903"/>
      <c r="W412" s="4903"/>
      <c r="X412" s="4903"/>
      <c r="Y412" s="4904" t="s">
        <v>1796</v>
      </c>
      <c r="Z412" s="4903"/>
      <c r="AA412" s="4903"/>
      <c r="AB412" s="4903"/>
      <c r="AC412" s="4903"/>
      <c r="AD412" s="4905"/>
      <c r="AE412" s="4906" t="s">
        <v>1795</v>
      </c>
      <c r="AF412" s="4907"/>
    </row>
    <row r="413" spans="1:32" s="1204" customFormat="1" ht="15" customHeight="1">
      <c r="A413" s="5237"/>
      <c r="B413" s="4815"/>
      <c r="C413" s="1217">
        <v>29</v>
      </c>
      <c r="D413" s="1348"/>
      <c r="E413" s="1264" t="s">
        <v>1794</v>
      </c>
      <c r="F413" s="1367" t="s">
        <v>1793</v>
      </c>
      <c r="G413" s="1348"/>
      <c r="H413" s="1348"/>
      <c r="I413" s="1348"/>
      <c r="J413" s="1348"/>
      <c r="K413" s="1348"/>
      <c r="L413" s="1348"/>
      <c r="M413" s="1348"/>
      <c r="N413" s="1524"/>
      <c r="O413" s="4834" t="s">
        <v>1792</v>
      </c>
      <c r="P413" s="4835"/>
      <c r="Q413" s="4835"/>
      <c r="R413" s="4835"/>
      <c r="S413" s="4835"/>
      <c r="T413" s="4835"/>
      <c r="U413" s="1525"/>
      <c r="V413" s="4908" t="s">
        <v>1791</v>
      </c>
      <c r="W413" s="4835"/>
      <c r="X413" s="4909"/>
      <c r="Y413" s="4908" t="s">
        <v>1790</v>
      </c>
      <c r="Z413" s="4910"/>
      <c r="AA413" s="4910"/>
      <c r="AB413" s="4908" t="s">
        <v>1789</v>
      </c>
      <c r="AC413" s="4910"/>
      <c r="AD413" s="4910"/>
      <c r="AE413" s="4911" t="s">
        <v>1788</v>
      </c>
      <c r="AF413" s="4912"/>
    </row>
    <row r="414" spans="1:32" s="1204" customFormat="1" ht="15" customHeight="1">
      <c r="A414" s="5237"/>
      <c r="B414" s="4815"/>
      <c r="C414" s="1217">
        <v>30</v>
      </c>
      <c r="D414" s="1348"/>
      <c r="E414" s="1264" t="s">
        <v>1787</v>
      </c>
      <c r="F414" s="1367" t="s">
        <v>1786</v>
      </c>
      <c r="G414" s="1348"/>
      <c r="H414" s="1348"/>
      <c r="I414" s="1348"/>
      <c r="J414" s="1348"/>
      <c r="K414" s="1348"/>
      <c r="L414" s="1348"/>
      <c r="M414" s="1348"/>
      <c r="N414" s="1524"/>
      <c r="O414" s="4913"/>
      <c r="P414" s="4914"/>
      <c r="Q414" s="4914"/>
      <c r="R414" s="4914"/>
      <c r="S414" s="4914"/>
      <c r="T414" s="4915" t="str">
        <f>IF(O414="","","[mm]")</f>
        <v/>
      </c>
      <c r="U414" s="4916"/>
      <c r="V414" s="4917"/>
      <c r="W414" s="4918"/>
      <c r="X414" s="1523" t="str">
        <f>IF(V414="","","[mm]")</f>
        <v/>
      </c>
      <c r="Y414" s="4919"/>
      <c r="Z414" s="4920"/>
      <c r="AA414" s="4921"/>
      <c r="AB414" s="4919"/>
      <c r="AC414" s="4920"/>
      <c r="AD414" s="4921"/>
      <c r="AE414" s="4922" t="str">
        <f>IF(OR(Y414="",AB414=""),"",Y414*AB414)</f>
        <v/>
      </c>
      <c r="AF414" s="4923"/>
    </row>
    <row r="415" spans="1:32" s="1204" customFormat="1" ht="15" customHeight="1">
      <c r="A415" s="5237"/>
      <c r="B415" s="4815"/>
      <c r="C415" s="1217">
        <v>31</v>
      </c>
      <c r="D415" s="1521"/>
      <c r="E415" s="1521"/>
      <c r="F415" s="1522"/>
      <c r="G415" s="1521"/>
      <c r="H415" s="1521"/>
      <c r="I415" s="1521"/>
      <c r="J415" s="1521"/>
      <c r="K415" s="1521"/>
      <c r="L415" s="1521"/>
      <c r="M415" s="1521"/>
      <c r="N415" s="1521"/>
      <c r="O415" s="1520"/>
      <c r="P415" s="1520"/>
      <c r="Q415" s="1520"/>
      <c r="R415" s="1520"/>
      <c r="S415" s="1519"/>
      <c r="T415" s="1519"/>
      <c r="U415" s="1519"/>
      <c r="V415" s="1520"/>
      <c r="W415" s="1520"/>
      <c r="X415" s="1519"/>
      <c r="Y415" s="1518"/>
      <c r="Z415" s="1518"/>
      <c r="AA415" s="1518"/>
      <c r="AB415" s="1518"/>
      <c r="AC415" s="1518"/>
      <c r="AD415" s="1518"/>
      <c r="AE415" s="1517"/>
      <c r="AF415" s="1516"/>
    </row>
    <row r="416" spans="1:32" s="1204" customFormat="1" ht="15" customHeight="1">
      <c r="A416" s="5237"/>
      <c r="B416" s="4815"/>
      <c r="C416" s="1217">
        <v>32</v>
      </c>
      <c r="D416" s="4924" t="s">
        <v>1785</v>
      </c>
      <c r="E416" s="4925"/>
      <c r="F416" s="4925"/>
      <c r="G416" s="4925"/>
      <c r="H416" s="4925"/>
      <c r="I416" s="4926"/>
      <c r="J416" s="4927" t="s">
        <v>1784</v>
      </c>
      <c r="K416" s="4929" t="s">
        <v>1681</v>
      </c>
      <c r="L416" s="4925"/>
      <c r="M416" s="4925"/>
      <c r="N416" s="4926"/>
      <c r="O416" s="4929" t="s">
        <v>1680</v>
      </c>
      <c r="P416" s="4925"/>
      <c r="Q416" s="4925"/>
      <c r="R416" s="4925"/>
      <c r="S416" s="4925"/>
      <c r="T416" s="4925"/>
      <c r="U416" s="4925"/>
      <c r="V416" s="4926"/>
      <c r="W416" s="4930" t="s">
        <v>1783</v>
      </c>
      <c r="X416" s="4931"/>
      <c r="Y416" s="4931"/>
      <c r="Z416" s="4931"/>
      <c r="AA416" s="4931"/>
      <c r="AB416" s="4931"/>
      <c r="AC416" s="4931"/>
      <c r="AD416" s="4931"/>
      <c r="AE416" s="4931"/>
      <c r="AF416" s="4932"/>
    </row>
    <row r="417" spans="1:32" s="1204" customFormat="1" ht="15" customHeight="1">
      <c r="A417" s="5237"/>
      <c r="B417" s="4815"/>
      <c r="C417" s="1240">
        <v>33</v>
      </c>
      <c r="D417" s="1515"/>
      <c r="E417" s="1341"/>
      <c r="F417" s="4933" t="s">
        <v>1782</v>
      </c>
      <c r="G417" s="4933" t="s">
        <v>1781</v>
      </c>
      <c r="H417" s="1513"/>
      <c r="I417" s="4934" t="s">
        <v>1780</v>
      </c>
      <c r="J417" s="4928"/>
      <c r="K417" s="4936" t="s">
        <v>1677</v>
      </c>
      <c r="L417" s="4937"/>
      <c r="M417" s="4950" t="s">
        <v>1676</v>
      </c>
      <c r="N417" s="4951"/>
      <c r="O417" s="4956" t="s">
        <v>1675</v>
      </c>
      <c r="P417" s="4957"/>
      <c r="Q417" s="4957"/>
      <c r="R417" s="4958"/>
      <c r="S417" s="4959" t="s">
        <v>1674</v>
      </c>
      <c r="T417" s="4957"/>
      <c r="U417" s="4957"/>
      <c r="V417" s="4960"/>
      <c r="W417" s="4961" t="s">
        <v>1779</v>
      </c>
      <c r="X417" s="4962"/>
      <c r="Y417" s="4965" t="s">
        <v>1778</v>
      </c>
      <c r="Z417" s="4962"/>
      <c r="AA417" s="4968" t="s">
        <v>1777</v>
      </c>
      <c r="AB417" s="4969"/>
      <c r="AC417" s="4942" t="s">
        <v>1776</v>
      </c>
      <c r="AD417" s="4943"/>
      <c r="AE417" s="4943" t="s">
        <v>1775</v>
      </c>
      <c r="AF417" s="5009"/>
    </row>
    <row r="418" spans="1:32" s="1204" customFormat="1" ht="7.5" customHeight="1">
      <c r="A418" s="5237"/>
      <c r="B418" s="4815"/>
      <c r="C418" s="4869">
        <v>34</v>
      </c>
      <c r="D418" s="1515"/>
      <c r="E418" s="1341"/>
      <c r="F418" s="4933"/>
      <c r="G418" s="4933"/>
      <c r="H418" s="1513"/>
      <c r="I418" s="4935"/>
      <c r="J418" s="4713">
        <v>1</v>
      </c>
      <c r="K418" s="4938"/>
      <c r="L418" s="4939"/>
      <c r="M418" s="4952"/>
      <c r="N418" s="4953"/>
      <c r="O418" s="4870" t="s">
        <v>1672</v>
      </c>
      <c r="P418" s="4871"/>
      <c r="Q418" s="4871"/>
      <c r="R418" s="4872"/>
      <c r="S418" s="4876" t="s">
        <v>1671</v>
      </c>
      <c r="T418" s="4871"/>
      <c r="U418" s="4871"/>
      <c r="V418" s="4877"/>
      <c r="W418" s="4963"/>
      <c r="X418" s="4964"/>
      <c r="Y418" s="4966"/>
      <c r="Z418" s="4967"/>
      <c r="AA418" s="4966"/>
      <c r="AB418" s="4970"/>
      <c r="AC418" s="4944"/>
      <c r="AD418" s="4945"/>
      <c r="AE418" s="4945"/>
      <c r="AF418" s="5010"/>
    </row>
    <row r="419" spans="1:32" s="1204" customFormat="1" ht="8.25" customHeight="1">
      <c r="A419" s="5237"/>
      <c r="B419" s="4815"/>
      <c r="C419" s="4869"/>
      <c r="D419" s="1515"/>
      <c r="E419" s="1341"/>
      <c r="F419" s="1514"/>
      <c r="G419" s="1514"/>
      <c r="H419" s="1513"/>
      <c r="I419" s="1513"/>
      <c r="J419" s="4714"/>
      <c r="K419" s="4940"/>
      <c r="L419" s="4941"/>
      <c r="M419" s="4954"/>
      <c r="N419" s="4955"/>
      <c r="O419" s="4873"/>
      <c r="P419" s="4874"/>
      <c r="Q419" s="4874"/>
      <c r="R419" s="4875"/>
      <c r="S419" s="4878"/>
      <c r="T419" s="4874"/>
      <c r="U419" s="4874"/>
      <c r="V419" s="4879"/>
      <c r="W419" s="4880"/>
      <c r="X419" s="4881"/>
      <c r="Y419" s="4884"/>
      <c r="Z419" s="4948"/>
      <c r="AA419" s="4683" t="str">
        <f>IF(Z419="","",0.73*3.141592654*(Z419^2)/4)</f>
        <v/>
      </c>
      <c r="AB419" s="4971" t="s">
        <v>1774</v>
      </c>
      <c r="AC419" s="4944"/>
      <c r="AD419" s="4945"/>
      <c r="AE419" s="4945"/>
      <c r="AF419" s="5010"/>
    </row>
    <row r="420" spans="1:32" s="1204" customFormat="1" ht="7.5" customHeight="1">
      <c r="A420" s="5237"/>
      <c r="B420" s="4815"/>
      <c r="C420" s="4869">
        <v>35</v>
      </c>
      <c r="D420" s="4995" t="s">
        <v>1773</v>
      </c>
      <c r="E420" s="4996"/>
      <c r="F420" s="4997">
        <v>2</v>
      </c>
      <c r="G420" s="4997">
        <v>1.5</v>
      </c>
      <c r="H420" s="1504"/>
      <c r="I420" s="4999">
        <v>1</v>
      </c>
      <c r="J420" s="4981">
        <v>0.9</v>
      </c>
      <c r="K420" s="1512"/>
      <c r="L420" s="1511"/>
      <c r="M420" s="1508"/>
      <c r="N420" s="1505"/>
      <c r="O420" s="1510"/>
      <c r="P420" s="1507"/>
      <c r="Q420" s="1507"/>
      <c r="R420" s="1509"/>
      <c r="S420" s="1508"/>
      <c r="T420" s="1507"/>
      <c r="U420" s="1506"/>
      <c r="V420" s="1505"/>
      <c r="W420" s="4882"/>
      <c r="X420" s="4883"/>
      <c r="Y420" s="4885"/>
      <c r="Z420" s="4949"/>
      <c r="AA420" s="4684"/>
      <c r="AB420" s="4972"/>
      <c r="AC420" s="4944"/>
      <c r="AD420" s="4945"/>
      <c r="AE420" s="4945"/>
      <c r="AF420" s="5010"/>
    </row>
    <row r="421" spans="1:32" s="1204" customFormat="1" ht="7.5" customHeight="1">
      <c r="A421" s="5237"/>
      <c r="B421" s="4815"/>
      <c r="C421" s="4869"/>
      <c r="D421" s="5004" t="s">
        <v>1772</v>
      </c>
      <c r="E421" s="5005"/>
      <c r="F421" s="4998"/>
      <c r="G421" s="4998"/>
      <c r="H421" s="1503"/>
      <c r="I421" s="5000"/>
      <c r="J421" s="4982"/>
      <c r="K421" s="4991" t="s">
        <v>1771</v>
      </c>
      <c r="L421" s="4987" t="str">
        <f>IF(J400="","",J399*J400)</f>
        <v/>
      </c>
      <c r="M421" s="4988" t="s">
        <v>1770</v>
      </c>
      <c r="N421" s="4990" t="str">
        <f>IF(L421="","",L421/2)</f>
        <v/>
      </c>
      <c r="O421" s="4991" t="s">
        <v>1769</v>
      </c>
      <c r="P421" s="4992"/>
      <c r="Q421" s="4993" t="str">
        <f>IF(Y411="","",L421*Y411)</f>
        <v/>
      </c>
      <c r="R421" s="4994"/>
      <c r="S421" s="4988" t="s">
        <v>1768</v>
      </c>
      <c r="T421" s="4992"/>
      <c r="U421" s="5025" t="str">
        <f>IF(Y411="","",N421*Y411)</f>
        <v/>
      </c>
      <c r="V421" s="5026"/>
      <c r="W421" s="5027" t="s">
        <v>1767</v>
      </c>
      <c r="X421" s="5028"/>
      <c r="Y421" s="5028"/>
      <c r="Z421" s="5029"/>
      <c r="AA421" s="5033" t="str">
        <f>IF(AA419="","",(INT(AA419*0.38*101.9716*100))/100)</f>
        <v/>
      </c>
      <c r="AB421" s="5035" t="s">
        <v>1766</v>
      </c>
      <c r="AC421" s="4944"/>
      <c r="AD421" s="4945"/>
      <c r="AE421" s="4945"/>
      <c r="AF421" s="5010"/>
    </row>
    <row r="422" spans="1:32" s="1204" customFormat="1" ht="7.5" customHeight="1">
      <c r="A422" s="5237"/>
      <c r="B422" s="4815"/>
      <c r="C422" s="5001">
        <v>36</v>
      </c>
      <c r="D422" s="5003" t="s">
        <v>1765</v>
      </c>
      <c r="E422" s="4996"/>
      <c r="F422" s="4997">
        <v>1.5</v>
      </c>
      <c r="G422" s="4997">
        <v>1</v>
      </c>
      <c r="H422" s="1504"/>
      <c r="I422" s="5006">
        <v>0.6</v>
      </c>
      <c r="J422" s="4981">
        <v>0.8</v>
      </c>
      <c r="K422" s="5008"/>
      <c r="L422" s="4987"/>
      <c r="M422" s="4989"/>
      <c r="N422" s="4990"/>
      <c r="O422" s="4991"/>
      <c r="P422" s="4992"/>
      <c r="Q422" s="4993"/>
      <c r="R422" s="4994"/>
      <c r="S422" s="4988"/>
      <c r="T422" s="4992"/>
      <c r="U422" s="5025"/>
      <c r="V422" s="5026"/>
      <c r="W422" s="5030"/>
      <c r="X422" s="5031"/>
      <c r="Y422" s="5031"/>
      <c r="Z422" s="5032"/>
      <c r="AA422" s="5034"/>
      <c r="AB422" s="5036"/>
      <c r="AC422" s="4946"/>
      <c r="AD422" s="4947"/>
      <c r="AE422" s="4947"/>
      <c r="AF422" s="5011"/>
    </row>
    <row r="423" spans="1:32" s="1204" customFormat="1" ht="7.5" customHeight="1">
      <c r="A423" s="5237"/>
      <c r="B423" s="4815"/>
      <c r="C423" s="5002"/>
      <c r="D423" s="5004"/>
      <c r="E423" s="5005"/>
      <c r="F423" s="4998"/>
      <c r="G423" s="4998"/>
      <c r="H423" s="1503"/>
      <c r="I423" s="5007"/>
      <c r="J423" s="4982"/>
      <c r="K423" s="4983" t="s">
        <v>1764</v>
      </c>
      <c r="L423" s="4984"/>
      <c r="M423" s="5012" t="s">
        <v>1763</v>
      </c>
      <c r="N423" s="5013"/>
      <c r="O423" s="5016" t="s">
        <v>1762</v>
      </c>
      <c r="P423" s="5017"/>
      <c r="Q423" s="5017"/>
      <c r="R423" s="4984"/>
      <c r="S423" s="5012" t="s">
        <v>1761</v>
      </c>
      <c r="T423" s="5017"/>
      <c r="U423" s="5017"/>
      <c r="V423" s="5013"/>
      <c r="W423" s="5019"/>
      <c r="X423" s="5020"/>
      <c r="Y423" s="5020"/>
      <c r="Z423" s="5020"/>
      <c r="AA423" s="5020"/>
      <c r="AB423" s="5021"/>
      <c r="AC423" s="5037"/>
      <c r="AD423" s="5039" t="s">
        <v>1760</v>
      </c>
      <c r="AE423" s="5041"/>
      <c r="AF423" s="5043" t="s">
        <v>1760</v>
      </c>
    </row>
    <row r="424" spans="1:32" s="1204" customFormat="1" ht="15" customHeight="1">
      <c r="A424" s="5237"/>
      <c r="B424" s="4815"/>
      <c r="C424" s="1217">
        <v>37</v>
      </c>
      <c r="D424" s="4973" t="s">
        <v>1759</v>
      </c>
      <c r="E424" s="4974"/>
      <c r="F424" s="1502">
        <v>1</v>
      </c>
      <c r="G424" s="1502">
        <v>0.6</v>
      </c>
      <c r="H424" s="1501"/>
      <c r="I424" s="1501">
        <v>0.4</v>
      </c>
      <c r="J424" s="1500">
        <v>0.7</v>
      </c>
      <c r="K424" s="4985"/>
      <c r="L424" s="4986"/>
      <c r="M424" s="5014"/>
      <c r="N424" s="5015"/>
      <c r="O424" s="4985"/>
      <c r="P424" s="5018"/>
      <c r="Q424" s="5018"/>
      <c r="R424" s="4986"/>
      <c r="S424" s="5014"/>
      <c r="T424" s="5018"/>
      <c r="U424" s="5018"/>
      <c r="V424" s="5015"/>
      <c r="W424" s="5022"/>
      <c r="X424" s="5023"/>
      <c r="Y424" s="5023"/>
      <c r="Z424" s="5023"/>
      <c r="AA424" s="5023"/>
      <c r="AB424" s="5024"/>
      <c r="AC424" s="5038"/>
      <c r="AD424" s="5040"/>
      <c r="AE424" s="5042"/>
      <c r="AF424" s="5044"/>
    </row>
    <row r="425" spans="1:32" s="1204" customFormat="1" ht="15" customHeight="1">
      <c r="A425" s="5237"/>
      <c r="B425" s="4815"/>
      <c r="C425" s="1217">
        <v>38</v>
      </c>
      <c r="D425" s="1499"/>
      <c r="E425" s="1497"/>
      <c r="F425" s="1497"/>
      <c r="G425" s="1497"/>
      <c r="H425" s="1497"/>
      <c r="I425" s="1497"/>
      <c r="J425" s="1497"/>
      <c r="K425" s="1497"/>
      <c r="L425" s="1497"/>
      <c r="M425" s="1497"/>
      <c r="N425" s="1497"/>
      <c r="O425" s="1497"/>
      <c r="P425" s="1497"/>
      <c r="Q425" s="1497"/>
      <c r="R425" s="1497"/>
      <c r="S425" s="1497"/>
      <c r="T425" s="1497"/>
      <c r="U425" s="1498"/>
      <c r="V425" s="1497"/>
      <c r="W425" s="1497"/>
      <c r="X425" s="1497"/>
      <c r="Y425" s="1497"/>
      <c r="Z425" s="1497"/>
      <c r="AA425" s="1497"/>
      <c r="AB425" s="1497"/>
      <c r="AC425" s="1497"/>
      <c r="AD425" s="1497"/>
      <c r="AE425" s="1497"/>
      <c r="AF425" s="1496"/>
    </row>
    <row r="426" spans="1:32" s="1204" customFormat="1" ht="15" customHeight="1">
      <c r="A426" s="5237"/>
      <c r="B426" s="4815"/>
      <c r="C426" s="1217">
        <v>39</v>
      </c>
      <c r="D426" s="4975" t="s">
        <v>1758</v>
      </c>
      <c r="E426" s="4976"/>
      <c r="F426" s="4976"/>
      <c r="G426" s="4976"/>
      <c r="H426" s="4976"/>
      <c r="I426" s="4976"/>
      <c r="J426" s="4976"/>
      <c r="K426" s="4976"/>
      <c r="L426" s="4976"/>
      <c r="M426" s="1495"/>
      <c r="N426" s="1494"/>
      <c r="O426" s="4977" t="s">
        <v>1757</v>
      </c>
      <c r="P426" s="4978"/>
      <c r="Q426" s="4978"/>
      <c r="R426" s="4978"/>
      <c r="S426" s="4978"/>
      <c r="T426" s="4978"/>
      <c r="U426" s="4978"/>
      <c r="V426" s="4978"/>
      <c r="W426" s="4978"/>
      <c r="X426" s="4978"/>
      <c r="Y426" s="4979"/>
      <c r="Z426" s="4977" t="s">
        <v>1756</v>
      </c>
      <c r="AA426" s="4976"/>
      <c r="AB426" s="4976"/>
      <c r="AC426" s="4976"/>
      <c r="AD426" s="4976"/>
      <c r="AE426" s="4976"/>
      <c r="AF426" s="4980"/>
    </row>
    <row r="427" spans="1:32" s="1204" customFormat="1" ht="15" customHeight="1">
      <c r="A427" s="5237"/>
      <c r="B427" s="4815"/>
      <c r="C427" s="1217">
        <v>40</v>
      </c>
      <c r="D427" s="1431" t="s">
        <v>1753</v>
      </c>
      <c r="E427" s="1491"/>
      <c r="F427" s="4797" t="s">
        <v>1755</v>
      </c>
      <c r="G427" s="4798"/>
      <c r="H427" s="1493"/>
      <c r="I427" s="1492" t="s">
        <v>1754</v>
      </c>
      <c r="J427" s="1488"/>
      <c r="K427" s="1488"/>
      <c r="L427" s="1431"/>
      <c r="M427" s="1488" t="s">
        <v>1753</v>
      </c>
      <c r="N427" s="1491"/>
      <c r="O427" s="1490"/>
      <c r="P427" s="1489"/>
      <c r="Q427" s="1489"/>
      <c r="R427" s="1485"/>
      <c r="S427" s="1485"/>
      <c r="T427" s="1485"/>
      <c r="U427" s="1485"/>
      <c r="V427" s="1485"/>
      <c r="W427" s="1431"/>
      <c r="X427" s="1431"/>
      <c r="Y427" s="1488" t="s">
        <v>1753</v>
      </c>
      <c r="Z427" s="1487" t="str">
        <f>IF(J399="",""," 1.ボルト引抜力 Rb[Kgf]")</f>
        <v/>
      </c>
      <c r="AA427" s="1486"/>
      <c r="AB427" s="1410"/>
      <c r="AC427" s="1485"/>
      <c r="AD427" s="1485"/>
      <c r="AE427" s="1431"/>
      <c r="AF427" s="1484"/>
    </row>
    <row r="428" spans="1:32" s="1204" customFormat="1" ht="15" customHeight="1">
      <c r="A428" s="5237"/>
      <c r="B428" s="4815"/>
      <c r="C428" s="1217">
        <v>41</v>
      </c>
      <c r="D428" s="1420"/>
      <c r="E428" s="1431"/>
      <c r="F428" s="4799"/>
      <c r="G428" s="4800"/>
      <c r="H428" s="1430"/>
      <c r="I428" s="1431"/>
      <c r="J428" s="1431"/>
      <c r="K428" s="1431"/>
      <c r="L428" s="1420"/>
      <c r="M428" s="1420"/>
      <c r="N428" s="1431"/>
      <c r="O428" s="1483"/>
      <c r="P428" s="1482"/>
      <c r="Q428" s="1482"/>
      <c r="R428" s="1465"/>
      <c r="S428" s="1481"/>
      <c r="T428" s="1481"/>
      <c r="U428" s="1481"/>
      <c r="V428" s="1481"/>
      <c r="W428" s="1420"/>
      <c r="X428" s="1420"/>
      <c r="Y428" s="1420"/>
      <c r="Z428" s="1480"/>
      <c r="AA428" s="1457" t="str">
        <f>IF(F438="","",IF(F431&gt;F438,"Rb1:","Rb2:"))</f>
        <v/>
      </c>
      <c r="AB428" s="4801" t="str">
        <f>IF(F431="","",IF(F431&gt;F438,(INT(F431*100))/100,(INT(F438*100))/100))</f>
        <v/>
      </c>
      <c r="AC428" s="4801"/>
      <c r="AD428" s="1479" t="str">
        <f>IF(AA421="","",IF(AB428&lt;AA421,"≦ Ta："&amp;INT(AA421),"≧ Ta："&amp;INT(AA421)))</f>
        <v/>
      </c>
      <c r="AE428" s="1420"/>
      <c r="AF428" s="1419"/>
    </row>
    <row r="429" spans="1:32" s="1204" customFormat="1" ht="15" customHeight="1">
      <c r="A429" s="5237"/>
      <c r="B429" s="4815"/>
      <c r="C429" s="1217">
        <v>42</v>
      </c>
      <c r="D429" s="1420"/>
      <c r="E429" s="1420"/>
      <c r="F429" s="1478" t="str">
        <f>IF(L421="","",L421*Y411)</f>
        <v/>
      </c>
      <c r="G429" s="1477" t="str">
        <f>IF(AE411="","","× "&amp;AE411)</f>
        <v/>
      </c>
      <c r="H429" s="1477"/>
      <c r="I429" s="1443" t="str">
        <f>IF(Y411="","","     ("&amp;Y411&amp;"＋"&amp;U421&amp;") × "&amp;AE411)</f>
        <v/>
      </c>
      <c r="J429" s="1477"/>
      <c r="K429" s="1443"/>
      <c r="L429" s="1443"/>
      <c r="M429" s="1420"/>
      <c r="N429" s="1420"/>
      <c r="O429" s="1476"/>
      <c r="P429" s="1467"/>
      <c r="Q429" s="1467"/>
      <c r="R429" s="1467"/>
      <c r="S429" s="1420"/>
      <c r="T429" s="1420"/>
      <c r="U429" s="1475"/>
      <c r="V429" s="1420"/>
      <c r="W429" s="1420"/>
      <c r="X429" s="1420"/>
      <c r="Y429" s="1420"/>
      <c r="Z429" s="1464"/>
      <c r="AA429" s="1474"/>
      <c r="AB429" s="1473"/>
      <c r="AC429" s="1429"/>
      <c r="AD429" s="1429" t="str">
        <f>IF(AA421="","","安全率 ＳfRb（Ta/Rb)=")</f>
        <v/>
      </c>
      <c r="AE429" s="4802" t="str">
        <f>IF(AA421="","",AA421/AB428)</f>
        <v/>
      </c>
      <c r="AF429" s="4803"/>
    </row>
    <row r="430" spans="1:32" s="1204" customFormat="1" ht="15" customHeight="1">
      <c r="A430" s="5237"/>
      <c r="B430" s="4815"/>
      <c r="C430" s="1217">
        <v>43</v>
      </c>
      <c r="D430" s="1420"/>
      <c r="E430" s="1420"/>
      <c r="F430" s="4800" t="str">
        <f>IF(O414="","",O414&amp;" × "&amp;AB414)</f>
        <v/>
      </c>
      <c r="G430" s="4800"/>
      <c r="H430" s="1430"/>
      <c r="I430" s="1431"/>
      <c r="J430" s="4605" t="str">
        <f>IF(V414="","",V414&amp;" × "&amp;Y414)</f>
        <v/>
      </c>
      <c r="K430" s="4605"/>
      <c r="L430" s="1420"/>
      <c r="M430" s="1420"/>
      <c r="N430" s="1420"/>
      <c r="O430" s="1464"/>
      <c r="P430" s="1420"/>
      <c r="Q430" s="1420"/>
      <c r="R430" s="1443"/>
      <c r="S430" s="1420"/>
      <c r="T430" s="1471" t="str">
        <f>IF(AE414="","","  "&amp;Q421)</f>
        <v/>
      </c>
      <c r="U430" s="1472" t="str">
        <f>IF(Q421="","","2")</f>
        <v/>
      </c>
      <c r="V430" s="1443" t="str">
        <f>IF(T430="","","＋")</f>
        <v/>
      </c>
      <c r="W430" s="1420"/>
      <c r="X430" s="1471" t="str">
        <f>IF(AE414="","","("&amp;Y411&amp;"＋"&amp;U421&amp;")")</f>
        <v/>
      </c>
      <c r="Y430" s="1470" t="str">
        <f>IF(AE414="","","2")</f>
        <v/>
      </c>
      <c r="Z430" s="1464"/>
      <c r="AA430" s="1469" t="str">
        <f>IF(AA419="","",IF(AA421&gt;AB428,"Rb≦Ta で 合格","Rb＞Ta で 不合格"))</f>
        <v/>
      </c>
      <c r="AB430" s="1420"/>
      <c r="AC430" s="1420"/>
      <c r="AD430" s="1420"/>
      <c r="AE430" s="1420"/>
      <c r="AF430" s="1419"/>
    </row>
    <row r="431" spans="1:32" s="1204" customFormat="1" ht="15" customHeight="1">
      <c r="A431" s="5237"/>
      <c r="B431" s="4815"/>
      <c r="C431" s="1217">
        <v>44</v>
      </c>
      <c r="D431" s="1420"/>
      <c r="E431" s="1468"/>
      <c r="F431" s="4804" t="str">
        <f>IF(AB414="","",((Q421*AE411)/(O414*AB414))+(((Y411+U421)*AE411)/(V414*Y414)))</f>
        <v/>
      </c>
      <c r="G431" s="4804"/>
      <c r="H431" s="1467"/>
      <c r="I431" s="1463" t="str">
        <f>IF(F431="","",INT(F431*9.80665)/1000&amp;"［KN］")</f>
        <v/>
      </c>
      <c r="J431" s="1466"/>
      <c r="K431" s="1466"/>
      <c r="L431" s="4805"/>
      <c r="M431" s="4805"/>
      <c r="N431" s="1420"/>
      <c r="O431" s="1464"/>
      <c r="P431" s="1420"/>
      <c r="Q431" s="1420"/>
      <c r="R431" s="1420"/>
      <c r="S431" s="1420"/>
      <c r="T431" s="1465"/>
      <c r="U431" s="1465" t="str">
        <f>IF(AE414="","",AE414&amp;" × "&amp;INT(AA419*1000)/1000)</f>
        <v/>
      </c>
      <c r="V431" s="1420"/>
      <c r="W431" s="1420"/>
      <c r="X431" s="1420"/>
      <c r="Y431" s="1420"/>
      <c r="Z431" s="1427"/>
      <c r="AA431" s="1424"/>
      <c r="AB431" s="1424"/>
      <c r="AC431" s="1424"/>
      <c r="AD431" s="1424"/>
      <c r="AE431" s="1424"/>
      <c r="AF431" s="1448"/>
    </row>
    <row r="432" spans="1:32" s="1204" customFormat="1" ht="15" customHeight="1">
      <c r="A432" s="5237"/>
      <c r="B432" s="4815"/>
      <c r="C432" s="1217">
        <v>45</v>
      </c>
      <c r="D432" s="1460"/>
      <c r="E432" s="1424"/>
      <c r="F432" s="1424"/>
      <c r="G432" s="1424"/>
      <c r="H432" s="1424"/>
      <c r="I432" s="1424"/>
      <c r="J432" s="1424"/>
      <c r="K432" s="1424"/>
      <c r="L432" s="1424"/>
      <c r="M432" s="1460"/>
      <c r="N432" s="1424"/>
      <c r="O432" s="1464"/>
      <c r="P432" s="1420"/>
      <c r="Q432" s="1420"/>
      <c r="R432" s="4806" t="str">
        <f>IF(AE414="","",SQRT(Q421^2+(Y411+U421)^2)/(AE414*(AA419/100)))</f>
        <v/>
      </c>
      <c r="S432" s="4806"/>
      <c r="T432" s="4806"/>
      <c r="U432" s="4806"/>
      <c r="V432" s="1463" t="str">
        <f>IF(R432="","",INT(R432*9.80665)/1000&amp;"［KN］")</f>
        <v/>
      </c>
      <c r="W432" s="1462"/>
      <c r="X432" s="1420"/>
      <c r="Y432" s="1447"/>
      <c r="Z432" s="1444" t="str">
        <f>IF(J399="",""," 2.ボルト引張応力 σ[Kgf/cm2]")</f>
        <v/>
      </c>
      <c r="AA432" s="1420"/>
      <c r="AB432" s="1420"/>
      <c r="AC432" s="1420"/>
      <c r="AD432" s="1420"/>
      <c r="AE432" s="1420"/>
      <c r="AF432" s="1419"/>
    </row>
    <row r="433" spans="1:34" s="1204" customFormat="1" ht="15" customHeight="1">
      <c r="A433" s="5237"/>
      <c r="B433" s="4815"/>
      <c r="C433" s="1217">
        <v>46</v>
      </c>
      <c r="D433" s="1460"/>
      <c r="E433" s="1424"/>
      <c r="F433" s="1461"/>
      <c r="G433" s="1414"/>
      <c r="H433" s="1414"/>
      <c r="I433" s="1424"/>
      <c r="J433" s="1414"/>
      <c r="K433" s="1424"/>
      <c r="L433" s="1424"/>
      <c r="M433" s="1460"/>
      <c r="N433" s="1424"/>
      <c r="O433" s="1459"/>
      <c r="P433" s="1458"/>
      <c r="Q433" s="1446"/>
      <c r="R433" s="1424"/>
      <c r="S433" s="1424"/>
      <c r="T433" s="1424"/>
      <c r="U433" s="1446"/>
      <c r="V433" s="1424"/>
      <c r="W433" s="1424"/>
      <c r="X433" s="1424"/>
      <c r="Y433" s="1445"/>
      <c r="Z433" s="1420"/>
      <c r="AA433" s="1457"/>
      <c r="AB433" s="1456" t="str">
        <f>IF(AA419="","","σ:Rb/A=")</f>
        <v/>
      </c>
      <c r="AC433" s="4807" t="str">
        <f>IF(AA419="","",AB428/(AA419/100))</f>
        <v/>
      </c>
      <c r="AD433" s="4807"/>
      <c r="AE433" s="4801" t="str">
        <f>IF(AE414="","","ft=1800")</f>
        <v/>
      </c>
      <c r="AF433" s="4808"/>
    </row>
    <row r="434" spans="1:34" s="1204" customFormat="1" ht="15" customHeight="1">
      <c r="A434" s="5237"/>
      <c r="B434" s="4815"/>
      <c r="C434" s="1217">
        <v>47</v>
      </c>
      <c r="D434" s="1420"/>
      <c r="E434" s="1420"/>
      <c r="F434" s="1455" t="s">
        <v>1752</v>
      </c>
      <c r="G434" s="1454"/>
      <c r="H434" s="1454"/>
      <c r="I434" s="1449"/>
      <c r="J434" s="1453" t="s">
        <v>1751</v>
      </c>
      <c r="K434" s="1420"/>
      <c r="L434" s="1420"/>
      <c r="M434" s="1420"/>
      <c r="N434" s="1420"/>
      <c r="O434" s="1427"/>
      <c r="P434" s="1424"/>
      <c r="Q434" s="1424"/>
      <c r="R434" s="1452"/>
      <c r="S434" s="1451"/>
      <c r="T434" s="1424"/>
      <c r="U434" s="1446"/>
      <c r="V434" s="1424"/>
      <c r="W434" s="1424"/>
      <c r="X434" s="1424"/>
      <c r="Y434" s="1423"/>
      <c r="Z434" s="1420"/>
      <c r="AA434" s="1420"/>
      <c r="AB434" s="1450"/>
      <c r="AC434" s="1449"/>
      <c r="AD434" s="1429" t="str">
        <f>IF(AA421="","","安全率 Ｓfσ（ft/σ)=")</f>
        <v/>
      </c>
      <c r="AE434" s="4809" t="str">
        <f>IF(AA419="","",INT(1000*AC423/AC433)/1000)</f>
        <v/>
      </c>
      <c r="AF434" s="4810"/>
    </row>
    <row r="435" spans="1:34" s="1204" customFormat="1" ht="15" customHeight="1">
      <c r="A435" s="5237"/>
      <c r="B435" s="4815"/>
      <c r="C435" s="1217">
        <v>48</v>
      </c>
      <c r="D435" s="1420"/>
      <c r="E435" s="1420"/>
      <c r="F435" s="1420"/>
      <c r="G435" s="1420"/>
      <c r="H435" s="1420"/>
      <c r="I435" s="1420"/>
      <c r="J435" s="1420"/>
      <c r="K435" s="1420"/>
      <c r="L435" s="1420"/>
      <c r="M435" s="1420"/>
      <c r="N435" s="1420"/>
      <c r="O435" s="1427"/>
      <c r="P435" s="1424"/>
      <c r="Q435" s="1424"/>
      <c r="R435" s="1424"/>
      <c r="S435" s="1424"/>
      <c r="T435" s="1424"/>
      <c r="U435" s="1446"/>
      <c r="V435" s="1424"/>
      <c r="W435" s="1424"/>
      <c r="X435" s="1424"/>
      <c r="Y435" s="1423"/>
      <c r="Z435" s="1420"/>
      <c r="AA435" s="1422" t="str">
        <f>IF(AA419="","",IF(AC423&gt;AC433,"σ≦ft で 合格","σ＞ft で 不合格"))</f>
        <v/>
      </c>
      <c r="AB435" s="1420"/>
      <c r="AC435" s="1420"/>
      <c r="AD435" s="1420"/>
      <c r="AE435" s="1420"/>
      <c r="AF435" s="1419"/>
    </row>
    <row r="436" spans="1:34" s="1204" customFormat="1" ht="15" customHeight="1">
      <c r="A436" s="5237"/>
      <c r="B436" s="4815"/>
      <c r="C436" s="1217">
        <v>49</v>
      </c>
      <c r="D436" s="1420"/>
      <c r="E436" s="1420"/>
      <c r="F436" s="1443" t="str">
        <f>IF(Q421="","",Q421&amp;" × ("&amp;V414&amp;"－"&amp;AC411&amp;")")</f>
        <v/>
      </c>
      <c r="G436" s="1420"/>
      <c r="H436" s="1420"/>
      <c r="I436" s="1420"/>
      <c r="J436" s="1420"/>
      <c r="K436" s="1443" t="str">
        <f>IF(Y411="","","("&amp;Y411&amp;"+"&amp;U421&amp;") × "&amp;AE411)</f>
        <v/>
      </c>
      <c r="L436" s="1420"/>
      <c r="M436" s="1420"/>
      <c r="N436" s="1420"/>
      <c r="O436" s="1427"/>
      <c r="P436" s="1424"/>
      <c r="Q436" s="1424"/>
      <c r="R436" s="1424"/>
      <c r="S436" s="1424"/>
      <c r="T436" s="1424"/>
      <c r="U436" s="1446"/>
      <c r="V436" s="1424"/>
      <c r="W436" s="1424"/>
      <c r="X436" s="1424"/>
      <c r="Y436" s="1423"/>
      <c r="Z436" s="1424"/>
      <c r="AA436" s="1424"/>
      <c r="AB436" s="1424"/>
      <c r="AC436" s="1424"/>
      <c r="AD436" s="1424"/>
      <c r="AE436" s="1424"/>
      <c r="AF436" s="1448"/>
    </row>
    <row r="437" spans="1:34" s="1204" customFormat="1" ht="15" customHeight="1">
      <c r="B437" s="4815"/>
      <c r="C437" s="1217">
        <v>50</v>
      </c>
      <c r="D437" s="1447"/>
      <c r="E437" s="1420"/>
      <c r="F437" s="4605" t="str">
        <f>IF(V414="","",V414&amp;"×"&amp;Y414)</f>
        <v/>
      </c>
      <c r="G437" s="4605"/>
      <c r="H437" s="4605"/>
      <c r="I437" s="4605"/>
      <c r="J437" s="1420"/>
      <c r="K437" s="4605" t="str">
        <f>IF(V414="","",V414&amp;" × "&amp;Y414)</f>
        <v/>
      </c>
      <c r="L437" s="4605"/>
      <c r="M437" s="4605"/>
      <c r="N437" s="1420"/>
      <c r="O437" s="1427"/>
      <c r="P437" s="1424"/>
      <c r="Q437" s="1424"/>
      <c r="R437" s="1424"/>
      <c r="S437" s="1424"/>
      <c r="T437" s="1424"/>
      <c r="U437" s="1446"/>
      <c r="V437" s="1424"/>
      <c r="W437" s="1424"/>
      <c r="X437" s="1424"/>
      <c r="Y437" s="1445"/>
      <c r="Z437" s="1444" t="str">
        <f>IF(J399="",""," 3.ボルトせん断応力 τ[Kgf/cm2]")</f>
        <v/>
      </c>
      <c r="AA437" s="1420"/>
      <c r="AB437" s="1420"/>
      <c r="AC437" s="1420"/>
      <c r="AD437" s="1420"/>
      <c r="AE437" s="1420"/>
      <c r="AF437" s="1419"/>
    </row>
    <row r="438" spans="1:34" s="1204" customFormat="1" ht="15" customHeight="1">
      <c r="B438" s="4815"/>
      <c r="C438" s="1217">
        <v>51</v>
      </c>
      <c r="D438" s="1420"/>
      <c r="E438" s="1420"/>
      <c r="F438" s="1443" t="str">
        <f>IF(AB414="","",((Q421*(V414-AC411))/(V414*Y414))+(((Y411+U421)*AE411)/(V414*Y414)))</f>
        <v/>
      </c>
      <c r="G438" s="1420"/>
      <c r="H438" s="1420"/>
      <c r="I438" s="1442" t="str">
        <f>IF(F438="","",INT(F438*9.80665)/1000&amp;"［KN］")</f>
        <v/>
      </c>
      <c r="J438" s="1442"/>
      <c r="K438" s="1420"/>
      <c r="L438" s="1420"/>
      <c r="M438" s="1420"/>
      <c r="N438" s="1420"/>
      <c r="O438" s="1441"/>
      <c r="P438" s="1440"/>
      <c r="Q438" s="1440"/>
      <c r="R438" s="1439"/>
      <c r="S438" s="1439"/>
      <c r="T438" s="1439"/>
      <c r="U438" s="1439"/>
      <c r="V438" s="1439"/>
      <c r="W438" s="1424"/>
      <c r="X438" s="1424"/>
      <c r="Y438" s="1423"/>
      <c r="Z438" s="1420"/>
      <c r="AA438" s="1438" t="str">
        <f>IF(R432="","","τ:")</f>
        <v/>
      </c>
      <c r="AB438" s="4811" t="str">
        <f>IF(R432="","",R432)</f>
        <v/>
      </c>
      <c r="AC438" s="4811"/>
      <c r="AD438" s="1437" t="str">
        <f>IF(AE423="","","fs:")</f>
        <v/>
      </c>
      <c r="AE438" s="4812" t="str">
        <f>IF(AE423="","",AE423)</f>
        <v/>
      </c>
      <c r="AF438" s="4813"/>
    </row>
    <row r="439" spans="1:34" s="1204" customFormat="1" ht="15" customHeight="1">
      <c r="B439" s="4815"/>
      <c r="C439" s="1217">
        <v>52</v>
      </c>
      <c r="D439" s="1424"/>
      <c r="E439" s="1424"/>
      <c r="F439" s="1433"/>
      <c r="G439" s="1436"/>
      <c r="H439" s="1436"/>
      <c r="I439" s="4814"/>
      <c r="J439" s="4814"/>
      <c r="K439" s="1424"/>
      <c r="L439" s="1424"/>
      <c r="M439" s="1436"/>
      <c r="N439" s="1436"/>
      <c r="O439" s="1435"/>
      <c r="P439" s="1434"/>
      <c r="Q439" s="1434"/>
      <c r="R439" s="1433"/>
      <c r="S439" s="1433"/>
      <c r="T439" s="1433"/>
      <c r="U439" s="1433"/>
      <c r="V439" s="1433"/>
      <c r="W439" s="1424"/>
      <c r="X439" s="1424"/>
      <c r="Y439" s="1423"/>
      <c r="Z439" s="1420"/>
      <c r="AA439" s="1432"/>
      <c r="AB439" s="1431"/>
      <c r="AC439" s="1430"/>
      <c r="AD439" s="1429" t="str">
        <f>IF(AA421="","","安全率 Ｓfτ（fs/τ)=")</f>
        <v/>
      </c>
      <c r="AE439" s="4809" t="str">
        <f>IF(AA421="","",INT(1000*AE423/AB438)/1000)</f>
        <v/>
      </c>
      <c r="AF439" s="4810"/>
    </row>
    <row r="440" spans="1:34" s="1204" customFormat="1" ht="15" customHeight="1">
      <c r="B440" s="4815"/>
      <c r="C440" s="1217">
        <v>53</v>
      </c>
      <c r="D440" s="1420"/>
      <c r="E440" s="1422" t="str">
        <f>IF(F438="","",IF(F431&gt;F438,"　Ｒb1＞Ｒb2 より Ｒb=Ｒb1 とする。","　Ｒb1＜Ｒb2 より Ｒb=Ｒb2 とする。"))</f>
        <v/>
      </c>
      <c r="F440" s="1420"/>
      <c r="G440" s="1420"/>
      <c r="H440" s="1420"/>
      <c r="I440" s="1421"/>
      <c r="J440" s="1421"/>
      <c r="K440" s="1420"/>
      <c r="L440" s="1420"/>
      <c r="M440" s="1428"/>
      <c r="N440" s="1420"/>
      <c r="O440" s="1427"/>
      <c r="P440" s="1424"/>
      <c r="Q440" s="1424"/>
      <c r="R440" s="1425"/>
      <c r="S440" s="1425"/>
      <c r="T440" s="1425"/>
      <c r="U440" s="1426"/>
      <c r="V440" s="1425"/>
      <c r="W440" s="1424"/>
      <c r="X440" s="1424"/>
      <c r="Y440" s="1423"/>
      <c r="Z440" s="1420"/>
      <c r="AA440" s="1422" t="str">
        <f>IF(AA419="","",IF(AE438&gt;AB438,"τ≦fs で 合格","τ＞fs で 不合格"))</f>
        <v/>
      </c>
      <c r="AB440" s="1420"/>
      <c r="AC440" s="1421"/>
      <c r="AD440" s="1421"/>
      <c r="AE440" s="1420"/>
      <c r="AF440" s="1419"/>
    </row>
    <row r="441" spans="1:34" s="1204" customFormat="1" ht="15" customHeight="1">
      <c r="B441" s="4815"/>
      <c r="C441" s="1217">
        <v>54</v>
      </c>
      <c r="D441" s="1410"/>
      <c r="E441" s="1412"/>
      <c r="F441" s="1410"/>
      <c r="G441" s="1410"/>
      <c r="H441" s="1410"/>
      <c r="I441" s="1411"/>
      <c r="J441" s="1411"/>
      <c r="K441" s="1410"/>
      <c r="L441" s="1410"/>
      <c r="M441" s="1418"/>
      <c r="N441" s="1410"/>
      <c r="O441" s="1417"/>
      <c r="P441" s="1414"/>
      <c r="Q441" s="1414"/>
      <c r="R441" s="1415"/>
      <c r="S441" s="1415"/>
      <c r="T441" s="1415"/>
      <c r="U441" s="1416"/>
      <c r="V441" s="1415"/>
      <c r="W441" s="1414"/>
      <c r="X441" s="1414"/>
      <c r="Y441" s="1413"/>
      <c r="Z441" s="1410"/>
      <c r="AA441" s="1412"/>
      <c r="AB441" s="1410"/>
      <c r="AC441" s="1411"/>
      <c r="AD441" s="1411"/>
      <c r="AE441" s="1410"/>
      <c r="AF441" s="1409"/>
    </row>
    <row r="442" spans="1:34" s="1204" customFormat="1" ht="15" customHeight="1">
      <c r="B442" s="4815"/>
      <c r="C442" s="1217">
        <v>55</v>
      </c>
      <c r="D442" s="1408"/>
      <c r="E442" s="1405"/>
      <c r="F442" s="1405"/>
      <c r="G442" s="1405"/>
      <c r="H442" s="1405"/>
      <c r="I442" s="1405"/>
      <c r="J442" s="1405"/>
      <c r="K442" s="1405"/>
      <c r="L442" s="1405"/>
      <c r="M442" s="1405"/>
      <c r="N442" s="1405"/>
      <c r="O442" s="1405"/>
      <c r="P442" s="1405"/>
      <c r="Q442" s="1405"/>
      <c r="R442" s="1405"/>
      <c r="S442" s="1405"/>
      <c r="T442" s="1405"/>
      <c r="U442" s="1407"/>
      <c r="V442" s="1405"/>
      <c r="W442" s="1405"/>
      <c r="X442" s="1405"/>
      <c r="Y442" s="1405"/>
      <c r="Z442" s="1405"/>
      <c r="AA442" s="1405"/>
      <c r="AB442" s="1405"/>
      <c r="AC442" s="1405"/>
      <c r="AD442" s="1406" t="s">
        <v>1750</v>
      </c>
      <c r="AE442" s="1405"/>
      <c r="AF442" s="1404"/>
    </row>
    <row r="443" spans="1:34" s="1204" customFormat="1" ht="4.5" customHeight="1">
      <c r="B443" s="4815"/>
      <c r="U443" s="1205"/>
    </row>
    <row r="444" spans="1:34" s="1204" customFormat="1" ht="4.5" customHeight="1">
      <c r="B444" s="4815" t="s">
        <v>1749</v>
      </c>
      <c r="C444" s="1403"/>
      <c r="D444" s="1388"/>
      <c r="E444" s="1388"/>
      <c r="F444" s="1388"/>
      <c r="G444" s="1388"/>
      <c r="H444" s="1388"/>
      <c r="I444" s="1388"/>
      <c r="J444" s="1397"/>
      <c r="K444" s="1402"/>
      <c r="L444" s="1401"/>
      <c r="M444" s="1397"/>
      <c r="N444" s="1397"/>
      <c r="O444" s="1397"/>
      <c r="P444" s="1397"/>
      <c r="Q444" s="1397"/>
      <c r="R444" s="1397"/>
      <c r="S444" s="1397"/>
      <c r="T444" s="1397"/>
      <c r="U444" s="1400"/>
      <c r="V444" s="1397"/>
      <c r="W444" s="1399"/>
      <c r="X444" s="1397"/>
      <c r="Y444" s="1397"/>
      <c r="Z444" s="1397"/>
      <c r="AA444" s="1398"/>
      <c r="AB444" s="1398"/>
      <c r="AC444" s="1397"/>
      <c r="AD444" s="1397"/>
      <c r="AE444" s="1398"/>
      <c r="AF444" s="1397"/>
    </row>
    <row r="445" spans="1:34" s="1204" customFormat="1" ht="18" customHeight="1">
      <c r="B445" s="4815"/>
      <c r="C445" s="1396">
        <v>1</v>
      </c>
      <c r="D445" s="4816" t="s">
        <v>1748</v>
      </c>
      <c r="E445" s="4817"/>
      <c r="F445" s="4817"/>
      <c r="G445" s="4817"/>
      <c r="H445" s="4817"/>
      <c r="I445" s="4817"/>
      <c r="J445" s="4818"/>
      <c r="K445" s="4822" t="s">
        <v>1747</v>
      </c>
      <c r="L445" s="4823"/>
      <c r="M445" s="4823"/>
      <c r="N445" s="4823"/>
      <c r="O445" s="4823"/>
      <c r="P445" s="4823"/>
      <c r="Q445" s="4824"/>
      <c r="R445" s="4828" t="s">
        <v>1746</v>
      </c>
      <c r="S445" s="4829"/>
      <c r="T445" s="4829"/>
      <c r="U445" s="4830"/>
      <c r="V445" s="4831"/>
      <c r="W445" s="4832"/>
      <c r="X445" s="4832"/>
      <c r="Y445" s="4832"/>
      <c r="Z445" s="4832"/>
      <c r="AA445" s="4832"/>
      <c r="AB445" s="4832"/>
      <c r="AC445" s="4833"/>
      <c r="AD445" s="4836" t="s">
        <v>1745</v>
      </c>
      <c r="AE445" s="4837"/>
      <c r="AF445" s="4838"/>
      <c r="AH445" s="1395"/>
    </row>
    <row r="446" spans="1:34" s="1204" customFormat="1" ht="15" customHeight="1" thickBot="1">
      <c r="B446" s="4815"/>
      <c r="C446" s="1394">
        <v>2</v>
      </c>
      <c r="D446" s="4819"/>
      <c r="E446" s="4820"/>
      <c r="F446" s="4820"/>
      <c r="G446" s="4820"/>
      <c r="H446" s="4820"/>
      <c r="I446" s="4820"/>
      <c r="J446" s="4821"/>
      <c r="K446" s="4825"/>
      <c r="L446" s="4826"/>
      <c r="M446" s="4826"/>
      <c r="N446" s="4826"/>
      <c r="O446" s="4826"/>
      <c r="P446" s="4826"/>
      <c r="Q446" s="4827"/>
      <c r="R446" s="4842" t="s">
        <v>1744</v>
      </c>
      <c r="S446" s="4843"/>
      <c r="T446" s="4843"/>
      <c r="U446" s="4844"/>
      <c r="V446" s="4845"/>
      <c r="W446" s="4845"/>
      <c r="X446" s="4845"/>
      <c r="Y446" s="4845"/>
      <c r="Z446" s="4846" t="s">
        <v>1743</v>
      </c>
      <c r="AA446" s="4846"/>
      <c r="AB446" s="4847" t="s">
        <v>1742</v>
      </c>
      <c r="AC446" s="4847"/>
      <c r="AD446" s="4839"/>
      <c r="AE446" s="4840"/>
      <c r="AF446" s="4841"/>
    </row>
    <row r="447" spans="1:34" s="1204" customFormat="1" ht="15" customHeight="1">
      <c r="B447" s="4815"/>
      <c r="C447" s="1217">
        <v>3</v>
      </c>
      <c r="D447" s="1393" t="s">
        <v>1741</v>
      </c>
      <c r="E447" s="1390"/>
      <c r="F447" s="1390"/>
      <c r="G447" s="1390"/>
      <c r="H447" s="1390"/>
      <c r="I447" s="1390"/>
      <c r="J447" s="1390"/>
      <c r="K447" s="1390"/>
      <c r="L447" s="1390"/>
      <c r="M447" s="1392"/>
      <c r="N447" s="1390"/>
      <c r="O447" s="1390"/>
      <c r="P447" s="1390"/>
      <c r="Q447" s="1390"/>
      <c r="R447" s="1390"/>
      <c r="S447" s="1390"/>
      <c r="T447" s="1390"/>
      <c r="U447" s="1391"/>
      <c r="V447" s="1390"/>
      <c r="W447" s="1390"/>
      <c r="X447" s="1390"/>
      <c r="Y447" s="1390"/>
      <c r="Z447" s="1390"/>
      <c r="AA447" s="1390"/>
      <c r="AB447" s="1390"/>
      <c r="AC447" s="1390"/>
      <c r="AD447" s="1390"/>
      <c r="AE447" s="1390"/>
      <c r="AF447" s="1389"/>
    </row>
    <row r="448" spans="1:34" s="1204" customFormat="1" ht="15" customHeight="1">
      <c r="B448" s="4815"/>
      <c r="C448" s="1217">
        <v>4</v>
      </c>
      <c r="D448" s="1349" t="s">
        <v>1740</v>
      </c>
      <c r="E448" s="1388"/>
      <c r="F448" s="1388"/>
      <c r="G448" s="1388"/>
      <c r="H448" s="1388"/>
      <c r="I448" s="1388"/>
      <c r="J448" s="1388"/>
      <c r="K448" s="1388"/>
      <c r="L448" s="1388"/>
      <c r="M448" s="1387"/>
      <c r="N448" s="1348"/>
      <c r="O448" s="1348"/>
      <c r="P448" s="1348"/>
      <c r="Q448" s="1348"/>
      <c r="R448" s="1348"/>
      <c r="S448" s="1348"/>
      <c r="T448" s="1348"/>
      <c r="U448" s="1367"/>
      <c r="V448" s="1348"/>
      <c r="W448" s="1348"/>
      <c r="X448" s="1348"/>
      <c r="Y448" s="1348"/>
      <c r="Z448" s="1348"/>
      <c r="AA448" s="1348"/>
      <c r="AB448" s="1348"/>
      <c r="AC448" s="1348"/>
      <c r="AD448" s="1348"/>
      <c r="AE448" s="1348"/>
      <c r="AF448" s="1378"/>
    </row>
    <row r="449" spans="2:32" s="1204" customFormat="1" ht="15" customHeight="1">
      <c r="B449" s="4815"/>
      <c r="C449" s="1217">
        <v>5</v>
      </c>
      <c r="D449" s="1349" t="s">
        <v>1739</v>
      </c>
      <c r="E449" s="1348"/>
      <c r="F449" s="1348"/>
      <c r="G449" s="1348"/>
      <c r="H449" s="1348"/>
      <c r="I449" s="1348"/>
      <c r="J449" s="1348"/>
      <c r="K449" s="1348"/>
      <c r="L449" s="1348"/>
      <c r="M449" s="1379"/>
      <c r="N449" s="1348"/>
      <c r="O449" s="1348"/>
      <c r="P449" s="1348"/>
      <c r="Q449" s="1348"/>
      <c r="R449" s="1348"/>
      <c r="S449" s="1348"/>
      <c r="T449" s="1348"/>
      <c r="U449" s="1367"/>
      <c r="V449" s="1348"/>
      <c r="W449" s="1348"/>
      <c r="X449" s="1348"/>
      <c r="Y449" s="1348"/>
      <c r="Z449" s="1348"/>
      <c r="AA449" s="1348"/>
      <c r="AB449" s="1348"/>
      <c r="AC449" s="1348"/>
      <c r="AD449" s="1348"/>
      <c r="AE449" s="1348"/>
      <c r="AF449" s="1378"/>
    </row>
    <row r="450" spans="2:32" s="1204" customFormat="1" ht="15" customHeight="1">
      <c r="B450" s="4815"/>
      <c r="C450" s="1217">
        <v>6</v>
      </c>
      <c r="D450" s="1349" t="s">
        <v>1738</v>
      </c>
      <c r="E450" s="1348"/>
      <c r="F450" s="1348"/>
      <c r="G450" s="1348"/>
      <c r="H450" s="1348"/>
      <c r="I450" s="1348"/>
      <c r="J450" s="1348"/>
      <c r="K450" s="1348"/>
      <c r="L450" s="1348"/>
      <c r="M450" s="1379"/>
      <c r="N450" s="1348"/>
      <c r="O450" s="1348"/>
      <c r="P450" s="1348"/>
      <c r="Q450" s="1348"/>
      <c r="R450" s="1348"/>
      <c r="S450" s="1348"/>
      <c r="T450" s="1348"/>
      <c r="U450" s="1367"/>
      <c r="V450" s="1348"/>
      <c r="W450" s="1348"/>
      <c r="X450" s="1348"/>
      <c r="Y450" s="1348"/>
      <c r="Z450" s="1348"/>
      <c r="AA450" s="1348"/>
      <c r="AB450" s="1348"/>
      <c r="AC450" s="1348"/>
      <c r="AD450" s="1348"/>
      <c r="AE450" s="1348"/>
      <c r="AF450" s="1378"/>
    </row>
    <row r="451" spans="2:32" s="1204" customFormat="1" ht="15" customHeight="1">
      <c r="B451" s="4815"/>
      <c r="C451" s="1217">
        <v>7</v>
      </c>
      <c r="D451" s="1349" t="s">
        <v>1737</v>
      </c>
      <c r="E451" s="1348"/>
      <c r="F451" s="1348"/>
      <c r="G451" s="1348"/>
      <c r="H451" s="1348"/>
      <c r="I451" s="1348"/>
      <c r="J451" s="1348"/>
      <c r="K451" s="1348"/>
      <c r="L451" s="1348"/>
      <c r="M451" s="1379"/>
      <c r="N451" s="1348"/>
      <c r="O451" s="1348"/>
      <c r="P451" s="1348"/>
      <c r="Q451" s="1348"/>
      <c r="R451" s="1348"/>
      <c r="S451" s="1348"/>
      <c r="T451" s="1348"/>
      <c r="U451" s="1367"/>
      <c r="V451" s="1348"/>
      <c r="W451" s="1348"/>
      <c r="X451" s="1348"/>
      <c r="Y451" s="1348"/>
      <c r="Z451" s="1348"/>
      <c r="AA451" s="1348"/>
      <c r="AB451" s="1348"/>
      <c r="AC451" s="1348"/>
      <c r="AD451" s="1348"/>
      <c r="AE451" s="1348"/>
      <c r="AF451" s="1378"/>
    </row>
    <row r="452" spans="2:32" s="1204" customFormat="1" ht="15" customHeight="1">
      <c r="B452" s="4815"/>
      <c r="C452" s="1217">
        <v>8</v>
      </c>
      <c r="D452" s="1384"/>
      <c r="E452" s="1348"/>
      <c r="F452" s="1348"/>
      <c r="G452" s="1348"/>
      <c r="H452" s="1348"/>
      <c r="I452" s="1348"/>
      <c r="J452" s="1348"/>
      <c r="K452" s="1348"/>
      <c r="L452" s="1348"/>
      <c r="M452" s="1379"/>
      <c r="N452" s="1348"/>
      <c r="O452" s="1348"/>
      <c r="P452" s="1348"/>
      <c r="Q452" s="1348"/>
      <c r="R452" s="1348"/>
      <c r="S452" s="1348"/>
      <c r="T452" s="1348"/>
      <c r="U452" s="1367"/>
      <c r="V452" s="1348"/>
      <c r="W452" s="1348"/>
      <c r="X452" s="1348"/>
      <c r="Y452" s="1348"/>
      <c r="Z452" s="1348"/>
      <c r="AA452" s="1348"/>
      <c r="AB452" s="1348"/>
      <c r="AC452" s="1348"/>
      <c r="AD452" s="1348"/>
      <c r="AE452" s="1348"/>
      <c r="AF452" s="1378"/>
    </row>
    <row r="453" spans="2:32" s="1204" customFormat="1" ht="15" customHeight="1">
      <c r="B453" s="4815"/>
      <c r="C453" s="1217">
        <v>9</v>
      </c>
      <c r="D453" s="1384"/>
      <c r="E453" s="1348"/>
      <c r="F453" s="1348"/>
      <c r="G453" s="1348"/>
      <c r="H453" s="1348"/>
      <c r="I453" s="1348"/>
      <c r="J453" s="1348"/>
      <c r="K453" s="1348"/>
      <c r="L453" s="1348"/>
      <c r="M453" s="1379"/>
      <c r="N453" s="1348"/>
      <c r="O453" s="1348"/>
      <c r="P453" s="1348"/>
      <c r="Q453" s="1348"/>
      <c r="R453" s="1348"/>
      <c r="S453" s="1348"/>
      <c r="T453" s="1348"/>
      <c r="U453" s="1367"/>
      <c r="V453" s="1348"/>
      <c r="W453" s="1348"/>
      <c r="X453" s="1348"/>
      <c r="Y453" s="1348"/>
      <c r="Z453" s="1348"/>
      <c r="AA453" s="1348"/>
      <c r="AB453" s="1348"/>
      <c r="AC453" s="1348"/>
      <c r="AD453" s="1348"/>
      <c r="AE453" s="1348"/>
      <c r="AF453" s="1378"/>
    </row>
    <row r="454" spans="2:32" s="1204" customFormat="1" ht="15" customHeight="1">
      <c r="B454" s="4815"/>
      <c r="C454" s="1217">
        <v>10</v>
      </c>
      <c r="D454" s="1384"/>
      <c r="E454" s="1348"/>
      <c r="F454" s="1348"/>
      <c r="G454" s="1348"/>
      <c r="H454" s="1348"/>
      <c r="I454" s="1348"/>
      <c r="J454" s="1348"/>
      <c r="K454" s="1348"/>
      <c r="L454" s="1348"/>
      <c r="M454" s="1379"/>
      <c r="N454" s="1348"/>
      <c r="O454" s="1348"/>
      <c r="P454" s="1348"/>
      <c r="Q454" s="1348"/>
      <c r="R454" s="1348"/>
      <c r="S454" s="1348"/>
      <c r="T454" s="1348"/>
      <c r="U454" s="1367"/>
      <c r="V454" s="1348"/>
      <c r="W454" s="1348"/>
      <c r="X454" s="1348"/>
      <c r="Y454" s="1348"/>
      <c r="Z454" s="1348"/>
      <c r="AA454" s="1348"/>
      <c r="AB454" s="1348"/>
      <c r="AC454" s="1348"/>
      <c r="AD454" s="1348"/>
      <c r="AE454" s="1348"/>
      <c r="AF454" s="1378"/>
    </row>
    <row r="455" spans="2:32" s="1204" customFormat="1" ht="15" customHeight="1">
      <c r="B455" s="4815"/>
      <c r="C455" s="1217">
        <v>11</v>
      </c>
      <c r="D455" s="1384"/>
      <c r="E455" s="1348"/>
      <c r="F455" s="1348"/>
      <c r="G455" s="1380"/>
      <c r="H455" s="1380"/>
      <c r="I455" s="1380"/>
      <c r="J455" s="1380"/>
      <c r="K455" s="1348"/>
      <c r="L455" s="1348"/>
      <c r="M455" s="1379"/>
      <c r="N455" s="1348"/>
      <c r="O455" s="1348"/>
      <c r="P455" s="1348"/>
      <c r="Q455" s="1348"/>
      <c r="R455" s="1348"/>
      <c r="S455" s="1348"/>
      <c r="T455" s="1348"/>
      <c r="U455" s="1367"/>
      <c r="V455" s="1348"/>
      <c r="W455" s="1348"/>
      <c r="X455" s="1348"/>
      <c r="Y455" s="1348"/>
      <c r="Z455" s="1348"/>
      <c r="AA455" s="1348"/>
      <c r="AB455" s="1348"/>
      <c r="AC455" s="1348"/>
      <c r="AD455" s="1348"/>
      <c r="AE455" s="1348"/>
      <c r="AF455" s="1378"/>
    </row>
    <row r="456" spans="2:32" s="1204" customFormat="1" ht="15" customHeight="1">
      <c r="B456" s="4815"/>
      <c r="C456" s="1217">
        <v>12</v>
      </c>
      <c r="D456" s="1372"/>
      <c r="E456" s="1349"/>
      <c r="F456" s="1348"/>
      <c r="G456" s="1380"/>
      <c r="H456" s="1380"/>
      <c r="I456" s="1380"/>
      <c r="J456" s="1380"/>
      <c r="K456" s="1348"/>
      <c r="L456" s="1348"/>
      <c r="M456" s="1379"/>
      <c r="N456" s="1348"/>
      <c r="O456" s="1348"/>
      <c r="P456" s="1348"/>
      <c r="Q456" s="1348"/>
      <c r="R456" s="1348"/>
      <c r="S456" s="1348"/>
      <c r="T456" s="1348"/>
      <c r="U456" s="1367"/>
      <c r="V456" s="1348"/>
      <c r="W456" s="1348"/>
      <c r="X456" s="1348"/>
      <c r="Y456" s="1348"/>
      <c r="Z456" s="1348"/>
      <c r="AA456" s="1348"/>
      <c r="AB456" s="1348"/>
      <c r="AC456" s="1348"/>
      <c r="AD456" s="1348"/>
      <c r="AE456" s="1348"/>
      <c r="AF456" s="1378"/>
    </row>
    <row r="457" spans="2:32" s="1204" customFormat="1" ht="15" customHeight="1">
      <c r="B457" s="4815"/>
      <c r="C457" s="1217">
        <v>13</v>
      </c>
      <c r="D457" s="1386"/>
      <c r="E457" s="1369"/>
      <c r="F457" s="1369"/>
      <c r="G457" s="1385"/>
      <c r="H457" s="1385"/>
      <c r="I457" s="1385"/>
      <c r="J457" s="1385"/>
      <c r="K457" s="1369"/>
      <c r="L457" s="1369"/>
      <c r="M457" s="1379"/>
      <c r="N457" s="1348"/>
      <c r="O457" s="1348"/>
      <c r="P457" s="1348"/>
      <c r="Q457" s="1348"/>
      <c r="R457" s="1348"/>
      <c r="S457" s="1348"/>
      <c r="T457" s="1348"/>
      <c r="U457" s="1367"/>
      <c r="V457" s="1348"/>
      <c r="W457" s="1348"/>
      <c r="X457" s="1348"/>
      <c r="Y457" s="1348"/>
      <c r="Z457" s="1348"/>
      <c r="AA457" s="1348"/>
      <c r="AB457" s="1348"/>
      <c r="AC457" s="1348"/>
      <c r="AD457" s="1348"/>
      <c r="AE457" s="1348"/>
      <c r="AF457" s="1378"/>
    </row>
    <row r="458" spans="2:32" s="1204" customFormat="1" ht="15" customHeight="1">
      <c r="B458" s="4815"/>
      <c r="C458" s="1217">
        <v>14</v>
      </c>
      <c r="D458" s="1384"/>
      <c r="E458" s="1348"/>
      <c r="F458" s="1348"/>
      <c r="G458" s="1348"/>
      <c r="H458" s="1348"/>
      <c r="I458" s="1380"/>
      <c r="J458" s="1380"/>
      <c r="K458" s="1348"/>
      <c r="L458" s="1348"/>
      <c r="M458" s="1379"/>
      <c r="N458" s="1348"/>
      <c r="O458" s="1348"/>
      <c r="P458" s="1348"/>
      <c r="Q458" s="1348"/>
      <c r="R458" s="1348"/>
      <c r="S458" s="1348"/>
      <c r="T458" s="1348"/>
      <c r="U458" s="1367"/>
      <c r="V458" s="1348"/>
      <c r="W458" s="1348"/>
      <c r="X458" s="1348"/>
      <c r="Y458" s="1348"/>
      <c r="Z458" s="1348"/>
      <c r="AA458" s="1348"/>
      <c r="AB458" s="1348"/>
      <c r="AC458" s="1348"/>
      <c r="AD458" s="1348"/>
      <c r="AE458" s="1348"/>
      <c r="AF458" s="1378"/>
    </row>
    <row r="459" spans="2:32" s="1204" customFormat="1" ht="15" customHeight="1">
      <c r="B459" s="4815"/>
      <c r="C459" s="1217">
        <v>15</v>
      </c>
      <c r="D459" s="1384"/>
      <c r="E459" s="1348"/>
      <c r="F459" s="1348"/>
      <c r="G459" s="1348"/>
      <c r="H459" s="1348"/>
      <c r="I459" s="1380"/>
      <c r="J459" s="1380"/>
      <c r="K459" s="1348"/>
      <c r="L459" s="1348"/>
      <c r="M459" s="1379"/>
      <c r="N459" s="1348"/>
      <c r="O459" s="1348"/>
      <c r="P459" s="1348"/>
      <c r="Q459" s="1348"/>
      <c r="R459" s="1348"/>
      <c r="S459" s="1348"/>
      <c r="T459" s="1348"/>
      <c r="U459" s="1367"/>
      <c r="V459" s="1348"/>
      <c r="W459" s="1348"/>
      <c r="X459" s="1348"/>
      <c r="Y459" s="1348"/>
      <c r="Z459" s="1348"/>
      <c r="AA459" s="1348"/>
      <c r="AB459" s="1348"/>
      <c r="AC459" s="1348"/>
      <c r="AD459" s="1348"/>
      <c r="AE459" s="1348"/>
      <c r="AF459" s="1378"/>
    </row>
    <row r="460" spans="2:32" s="1204" customFormat="1" ht="15" customHeight="1">
      <c r="B460" s="4815"/>
      <c r="C460" s="1217">
        <v>16</v>
      </c>
      <c r="D460" s="1384"/>
      <c r="E460" s="1348"/>
      <c r="F460" s="1348"/>
      <c r="G460" s="1348"/>
      <c r="H460" s="1348"/>
      <c r="I460" s="1380"/>
      <c r="J460" s="1380"/>
      <c r="K460" s="1348"/>
      <c r="L460" s="1348"/>
      <c r="M460" s="1379"/>
      <c r="N460" s="1348"/>
      <c r="O460" s="1348"/>
      <c r="P460" s="1348"/>
      <c r="Q460" s="1348"/>
      <c r="R460" s="1348"/>
      <c r="S460" s="1348"/>
      <c r="T460" s="1348"/>
      <c r="U460" s="1367"/>
      <c r="V460" s="1348"/>
      <c r="W460" s="4849"/>
      <c r="X460" s="4849"/>
      <c r="Y460" s="4849"/>
      <c r="Z460" s="1348"/>
      <c r="AA460" s="1348"/>
      <c r="AB460" s="1348"/>
      <c r="AC460" s="1348"/>
      <c r="AD460" s="1348"/>
      <c r="AE460" s="1348"/>
      <c r="AF460" s="1378"/>
    </row>
    <row r="461" spans="2:32" s="1204" customFormat="1" ht="15" customHeight="1">
      <c r="B461" s="4815"/>
      <c r="C461" s="1217">
        <v>17</v>
      </c>
      <c r="D461" s="1372"/>
      <c r="E461" s="1349"/>
      <c r="F461" s="1348"/>
      <c r="G461" s="1348"/>
      <c r="H461" s="1348"/>
      <c r="I461" s="1348"/>
      <c r="J461" s="1348"/>
      <c r="K461" s="1348"/>
      <c r="L461" s="1348"/>
      <c r="M461" s="1379"/>
      <c r="N461" s="1348"/>
      <c r="O461" s="1348"/>
      <c r="P461" s="1348"/>
      <c r="Q461" s="1348"/>
      <c r="R461" s="1348"/>
      <c r="S461" s="1348"/>
      <c r="T461" s="1348"/>
      <c r="U461" s="1367"/>
      <c r="V461" s="1348"/>
      <c r="W461" s="1348"/>
      <c r="X461" s="1348"/>
      <c r="Y461" s="1348"/>
      <c r="Z461" s="1348"/>
      <c r="AA461" s="1348"/>
      <c r="AB461" s="1348"/>
      <c r="AC461" s="1348"/>
      <c r="AD461" s="1348"/>
      <c r="AE461" s="1348"/>
      <c r="AF461" s="1378"/>
    </row>
    <row r="462" spans="2:32" s="1204" customFormat="1" ht="15" customHeight="1">
      <c r="B462" s="4815"/>
      <c r="C462" s="1217">
        <v>18</v>
      </c>
      <c r="D462" s="1383"/>
      <c r="E462" s="1382"/>
      <c r="F462" s="1369"/>
      <c r="G462" s="1369"/>
      <c r="H462" s="1369"/>
      <c r="I462" s="1369"/>
      <c r="J462" s="1369"/>
      <c r="K462" s="1369"/>
      <c r="L462" s="1369"/>
      <c r="M462" s="1379"/>
      <c r="N462" s="1348"/>
      <c r="O462" s="1348"/>
      <c r="P462" s="1348"/>
      <c r="Q462" s="1348"/>
      <c r="R462" s="1348"/>
      <c r="S462" s="1348"/>
      <c r="T462" s="1348"/>
      <c r="U462" s="1367"/>
      <c r="V462" s="1348"/>
      <c r="W462" s="1348"/>
      <c r="X462" s="1348"/>
      <c r="Y462" s="1348"/>
      <c r="Z462" s="1348"/>
      <c r="AA462" s="1348"/>
      <c r="AB462" s="1348"/>
      <c r="AC462" s="1348"/>
      <c r="AD462" s="1348"/>
      <c r="AE462" s="1348"/>
      <c r="AF462" s="1378"/>
    </row>
    <row r="463" spans="2:32" s="1204" customFormat="1" ht="15" customHeight="1">
      <c r="B463" s="4815"/>
      <c r="C463" s="1217">
        <v>19</v>
      </c>
      <c r="D463" s="1377" t="s">
        <v>1736</v>
      </c>
      <c r="E463" s="1350" t="s">
        <v>1735</v>
      </c>
      <c r="F463" s="1348"/>
      <c r="G463" s="1348"/>
      <c r="H463" s="1348"/>
      <c r="I463" s="1348"/>
      <c r="J463" s="1348"/>
      <c r="K463" s="1348"/>
      <c r="L463" s="1348"/>
      <c r="M463" s="1379"/>
      <c r="N463" s="1348"/>
      <c r="O463" s="1348"/>
      <c r="P463" s="1348"/>
      <c r="Q463" s="1348"/>
      <c r="R463" s="1348"/>
      <c r="S463" s="1348"/>
      <c r="T463" s="1348"/>
      <c r="U463" s="1367"/>
      <c r="V463" s="1348"/>
      <c r="W463" s="1348"/>
      <c r="X463" s="1348"/>
      <c r="Y463" s="1348"/>
      <c r="Z463" s="1348"/>
      <c r="AA463" s="1348"/>
      <c r="AB463" s="1348"/>
      <c r="AC463" s="1348"/>
      <c r="AD463" s="1348"/>
      <c r="AE463" s="1348"/>
      <c r="AF463" s="1378"/>
    </row>
    <row r="464" spans="2:32" s="1204" customFormat="1" ht="15" customHeight="1">
      <c r="B464" s="4815"/>
      <c r="C464" s="1217">
        <v>20</v>
      </c>
      <c r="D464" s="1377"/>
      <c r="E464" s="1381" t="s">
        <v>1732</v>
      </c>
      <c r="F464" s="1348"/>
      <c r="G464" s="1348"/>
      <c r="H464" s="1348"/>
      <c r="I464" s="1348"/>
      <c r="J464" s="1348"/>
      <c r="K464" s="1348"/>
      <c r="L464" s="1348"/>
      <c r="M464" s="1379"/>
      <c r="N464" s="1348"/>
      <c r="O464" s="1348"/>
      <c r="P464" s="1348"/>
      <c r="Q464" s="1348"/>
      <c r="R464" s="1348"/>
      <c r="S464" s="1348"/>
      <c r="T464" s="1348"/>
      <c r="U464" s="1367"/>
      <c r="V464" s="1348"/>
      <c r="W464" s="1348"/>
      <c r="X464" s="1348"/>
      <c r="Y464" s="1348"/>
      <c r="Z464" s="1348"/>
      <c r="AA464" s="1348"/>
      <c r="AB464" s="1348"/>
      <c r="AC464" s="1380"/>
      <c r="AD464" s="1348"/>
      <c r="AE464" s="1348"/>
      <c r="AF464" s="1378"/>
    </row>
    <row r="465" spans="2:32" s="1204" customFormat="1" ht="15" customHeight="1">
      <c r="B465" s="4815"/>
      <c r="C465" s="1217">
        <v>21</v>
      </c>
      <c r="D465" s="1377" t="s">
        <v>1734</v>
      </c>
      <c r="E465" s="1350" t="s">
        <v>1733</v>
      </c>
      <c r="F465" s="1348"/>
      <c r="G465" s="1348"/>
      <c r="H465" s="1348"/>
      <c r="I465" s="1348"/>
      <c r="J465" s="1348"/>
      <c r="K465" s="1348"/>
      <c r="L465" s="1348"/>
      <c r="M465" s="1379"/>
      <c r="N465" s="1348"/>
      <c r="O465" s="1348"/>
      <c r="P465" s="1348"/>
      <c r="Q465" s="1348"/>
      <c r="R465" s="1348"/>
      <c r="S465" s="1348"/>
      <c r="T465" s="1348"/>
      <c r="U465" s="1367"/>
      <c r="V465" s="1348"/>
      <c r="W465" s="1348"/>
      <c r="X465" s="1348"/>
      <c r="Y465" s="1348"/>
      <c r="Z465" s="1348"/>
      <c r="AA465" s="1348"/>
      <c r="AB465" s="1348"/>
      <c r="AC465" s="1348"/>
      <c r="AD465" s="1348"/>
      <c r="AE465" s="1348"/>
      <c r="AF465" s="1378"/>
    </row>
    <row r="466" spans="2:32" s="1204" customFormat="1" ht="15" customHeight="1">
      <c r="B466" s="4815"/>
      <c r="C466" s="1217">
        <v>22</v>
      </c>
      <c r="D466" s="1377"/>
      <c r="E466" s="1350" t="s">
        <v>1732</v>
      </c>
      <c r="F466" s="1349"/>
      <c r="G466" s="1348"/>
      <c r="H466" s="1348"/>
      <c r="I466" s="1348"/>
      <c r="J466" s="1348"/>
      <c r="K466" s="1348"/>
      <c r="L466" s="1348"/>
      <c r="M466" s="1376"/>
      <c r="N466" s="1342"/>
      <c r="O466" s="1342"/>
      <c r="P466" s="1342"/>
      <c r="Q466" s="1342"/>
      <c r="R466" s="1342"/>
      <c r="S466" s="1342"/>
      <c r="T466" s="1342"/>
      <c r="U466" s="1374"/>
      <c r="V466" s="1342"/>
      <c r="W466" s="1342"/>
      <c r="X466" s="1342"/>
      <c r="Y466" s="1342"/>
      <c r="Z466" s="1342"/>
      <c r="AA466" s="1342"/>
      <c r="AB466" s="1342"/>
      <c r="AC466" s="1342"/>
      <c r="AD466" s="1342"/>
      <c r="AE466" s="1342"/>
      <c r="AF466" s="1373"/>
    </row>
    <row r="467" spans="2:32" s="1204" customFormat="1" ht="15" customHeight="1">
      <c r="B467" s="4815"/>
      <c r="C467" s="1217">
        <v>23</v>
      </c>
      <c r="D467" s="1377" t="s">
        <v>1731</v>
      </c>
      <c r="E467" s="1350" t="s">
        <v>1730</v>
      </c>
      <c r="F467" s="1349"/>
      <c r="G467" s="1348"/>
      <c r="H467" s="1348"/>
      <c r="I467" s="1348"/>
      <c r="J467" s="1348"/>
      <c r="K467" s="1348"/>
      <c r="L467" s="1348"/>
      <c r="M467" s="1376"/>
      <c r="N467" s="1342"/>
      <c r="O467" s="1342"/>
      <c r="P467" s="1342"/>
      <c r="Q467" s="1342"/>
      <c r="R467" s="1342"/>
      <c r="S467" s="1342"/>
      <c r="T467" s="1342"/>
      <c r="U467" s="1374"/>
      <c r="V467" s="1342"/>
      <c r="W467" s="1342"/>
      <c r="X467" s="1342"/>
      <c r="Y467" s="1342"/>
      <c r="Z467" s="1342"/>
      <c r="AA467" s="1342"/>
      <c r="AB467" s="1342"/>
      <c r="AC467" s="1342"/>
      <c r="AD467" s="1342"/>
      <c r="AE467" s="1342"/>
      <c r="AF467" s="1373"/>
    </row>
    <row r="468" spans="2:32" s="1204" customFormat="1" ht="15" customHeight="1">
      <c r="B468" s="4815"/>
      <c r="C468" s="1217">
        <v>24</v>
      </c>
      <c r="D468" s="1377" t="s">
        <v>1729</v>
      </c>
      <c r="E468" s="1350" t="s">
        <v>1728</v>
      </c>
      <c r="F468" s="1349"/>
      <c r="G468" s="1348"/>
      <c r="H468" s="1348"/>
      <c r="I468" s="1348"/>
      <c r="J468" s="1348"/>
      <c r="K468" s="1348"/>
      <c r="L468" s="1348"/>
      <c r="M468" s="1376"/>
      <c r="N468" s="1342"/>
      <c r="O468" s="1342"/>
      <c r="P468" s="1342"/>
      <c r="Q468" s="1342"/>
      <c r="R468" s="1342"/>
      <c r="S468" s="1342"/>
      <c r="T468" s="1342"/>
      <c r="U468" s="1374"/>
      <c r="V468" s="1342"/>
      <c r="W468" s="1342"/>
      <c r="X468" s="1342"/>
      <c r="Y468" s="1342"/>
      <c r="Z468" s="1342"/>
      <c r="AA468" s="1342"/>
      <c r="AB468" s="1342"/>
      <c r="AC468" s="1342"/>
      <c r="AD468" s="1342"/>
      <c r="AE468" s="1342"/>
      <c r="AF468" s="1373"/>
    </row>
    <row r="469" spans="2:32" s="1204" customFormat="1" ht="15" customHeight="1">
      <c r="B469" s="4815"/>
      <c r="C469" s="1217">
        <v>25</v>
      </c>
      <c r="D469" s="1369"/>
      <c r="E469" s="1371"/>
      <c r="F469" s="1370"/>
      <c r="G469" s="1369"/>
      <c r="H469" s="1369"/>
      <c r="I469" s="1369"/>
      <c r="J469" s="1369"/>
      <c r="K469" s="1369"/>
      <c r="L469" s="1369"/>
      <c r="M469" s="1376"/>
      <c r="N469" s="1342"/>
      <c r="O469" s="1342"/>
      <c r="P469" s="1342"/>
      <c r="Q469" s="1375"/>
      <c r="R469" s="1342"/>
      <c r="S469" s="1342"/>
      <c r="T469" s="1342"/>
      <c r="U469" s="1374"/>
      <c r="V469" s="1342"/>
      <c r="W469" s="1342"/>
      <c r="X469" s="1342"/>
      <c r="Y469" s="1342"/>
      <c r="Z469" s="1342"/>
      <c r="AA469" s="1342"/>
      <c r="AB469" s="1342"/>
      <c r="AC469" s="1342"/>
      <c r="AD469" s="1342"/>
      <c r="AE469" s="1342"/>
      <c r="AF469" s="1373"/>
    </row>
    <row r="470" spans="2:32" s="1204" customFormat="1" ht="15" customHeight="1">
      <c r="B470" s="4815"/>
      <c r="C470" s="1217">
        <v>26</v>
      </c>
      <c r="D470" s="1348"/>
      <c r="E470" s="1372"/>
      <c r="F470" s="1349"/>
      <c r="G470" s="1348"/>
      <c r="H470" s="1348"/>
      <c r="I470" s="1348"/>
      <c r="J470" s="1348"/>
      <c r="K470" s="1348"/>
      <c r="L470" s="1348"/>
      <c r="M470" s="4850" t="s">
        <v>1727</v>
      </c>
      <c r="N470" s="4851"/>
      <c r="O470" s="4851"/>
      <c r="P470" s="4851"/>
      <c r="Q470" s="4851"/>
      <c r="R470" s="4851"/>
      <c r="S470" s="4851"/>
      <c r="T470" s="4851"/>
      <c r="U470" s="4851"/>
      <c r="V470" s="4851"/>
      <c r="W470" s="5045" t="s">
        <v>1726</v>
      </c>
      <c r="X470" s="4851"/>
      <c r="Y470" s="5047" t="s">
        <v>1725</v>
      </c>
      <c r="Z470" s="5048"/>
      <c r="AA470" s="5048"/>
      <c r="AB470" s="5049" t="s">
        <v>1724</v>
      </c>
      <c r="AC470" s="5049"/>
      <c r="AD470" s="5049"/>
      <c r="AE470" s="5049"/>
      <c r="AF470" s="5050"/>
    </row>
    <row r="471" spans="2:32" s="1204" customFormat="1" ht="15" customHeight="1">
      <c r="B471" s="4815"/>
      <c r="C471" s="1217">
        <v>27</v>
      </c>
      <c r="D471" s="1348"/>
      <c r="E471" s="1372"/>
      <c r="F471" s="1349"/>
      <c r="G471" s="1348"/>
      <c r="H471" s="1348"/>
      <c r="I471" s="1348"/>
      <c r="J471" s="1348"/>
      <c r="K471" s="1348"/>
      <c r="L471" s="1348"/>
      <c r="M471" s="4853"/>
      <c r="N471" s="4854"/>
      <c r="O471" s="4854"/>
      <c r="P471" s="4854"/>
      <c r="Q471" s="4854"/>
      <c r="R471" s="4854"/>
      <c r="S471" s="4854"/>
      <c r="T471" s="4854"/>
      <c r="U471" s="4854"/>
      <c r="V471" s="4854"/>
      <c r="W471" s="5046"/>
      <c r="X471" s="4854"/>
      <c r="Y471" s="4902" t="s">
        <v>1679</v>
      </c>
      <c r="Z471" s="4903"/>
      <c r="AA471" s="4903"/>
      <c r="AB471" s="5051" t="s">
        <v>1723</v>
      </c>
      <c r="AC471" s="5052"/>
      <c r="AD471" s="5052"/>
      <c r="AE471" s="5052"/>
      <c r="AF471" s="5053"/>
    </row>
    <row r="472" spans="2:32" s="1204" customFormat="1" ht="15" customHeight="1">
      <c r="B472" s="4815"/>
      <c r="C472" s="1217">
        <v>28</v>
      </c>
      <c r="D472" s="1369"/>
      <c r="E472" s="1371"/>
      <c r="F472" s="1370"/>
      <c r="G472" s="1369"/>
      <c r="H472" s="1369"/>
      <c r="I472" s="1369"/>
      <c r="J472" s="1369"/>
      <c r="K472" s="1369"/>
      <c r="L472" s="1369"/>
      <c r="M472" s="5054" t="s">
        <v>1722</v>
      </c>
      <c r="N472" s="5055"/>
      <c r="O472" s="4891" t="s">
        <v>1721</v>
      </c>
      <c r="P472" s="4890"/>
      <c r="Q472" s="4890"/>
      <c r="R472" s="4890"/>
      <c r="S472" s="4892" t="s">
        <v>1720</v>
      </c>
      <c r="T472" s="5056"/>
      <c r="U472" s="5056"/>
      <c r="V472" s="5057"/>
      <c r="W472" s="4892" t="s">
        <v>1719</v>
      </c>
      <c r="X472" s="5058"/>
      <c r="Y472" s="5059" t="s">
        <v>1673</v>
      </c>
      <c r="Z472" s="5060"/>
      <c r="AA472" s="5060"/>
      <c r="AB472" s="5061" t="s">
        <v>1718</v>
      </c>
      <c r="AC472" s="5062"/>
      <c r="AD472" s="5062"/>
      <c r="AE472" s="5062"/>
      <c r="AF472" s="5063"/>
    </row>
    <row r="473" spans="2:32" s="1204" customFormat="1" ht="15" customHeight="1">
      <c r="B473" s="4815"/>
      <c r="C473" s="1217">
        <v>29</v>
      </c>
      <c r="D473" s="1368" t="s">
        <v>1717</v>
      </c>
      <c r="E473" s="1350" t="s">
        <v>1716</v>
      </c>
      <c r="F473" s="1367"/>
      <c r="G473" s="1348"/>
      <c r="H473" s="1348"/>
      <c r="I473" s="1348"/>
      <c r="J473" s="1348"/>
      <c r="K473" s="1348"/>
      <c r="L473" s="1348"/>
      <c r="M473" s="5064" t="str">
        <f>IF(O411="","",O411)</f>
        <v/>
      </c>
      <c r="N473" s="5065"/>
      <c r="O473" s="5066" t="str">
        <f>IF(S411="","",S411)</f>
        <v/>
      </c>
      <c r="P473" s="5067"/>
      <c r="Q473" s="5067"/>
      <c r="R473" s="5068"/>
      <c r="S473" s="5069" t="str">
        <f>IF(W411="","",W411)</f>
        <v/>
      </c>
      <c r="T473" s="5070"/>
      <c r="U473" s="5070"/>
      <c r="V473" s="5065"/>
      <c r="W473" s="1366" t="str">
        <f>IF(Y411="","",Y411)</f>
        <v/>
      </c>
      <c r="X473" s="1365" t="str">
        <f>IF(W473="","","[Kg]")</f>
        <v/>
      </c>
      <c r="Y473" s="5071" t="s">
        <v>1715</v>
      </c>
      <c r="Z473" s="5072"/>
      <c r="AA473" s="5072"/>
      <c r="AB473" s="1356" t="s">
        <v>1702</v>
      </c>
      <c r="AC473" s="5073" t="s">
        <v>1714</v>
      </c>
      <c r="AD473" s="5074"/>
      <c r="AE473" s="5075"/>
      <c r="AF473" s="5076"/>
    </row>
    <row r="474" spans="2:32" s="1204" customFormat="1" ht="15" customHeight="1">
      <c r="B474" s="4815"/>
      <c r="C474" s="1217">
        <v>30</v>
      </c>
      <c r="D474" s="1359" t="s">
        <v>1713</v>
      </c>
      <c r="E474" s="1350" t="s">
        <v>1712</v>
      </c>
      <c r="F474" s="1358"/>
      <c r="G474" s="1348"/>
      <c r="H474" s="1348"/>
      <c r="I474" s="1348"/>
      <c r="J474" s="1348"/>
      <c r="K474" s="1348"/>
      <c r="L474" s="1348"/>
      <c r="M474" s="1364"/>
      <c r="N474" s="1362"/>
      <c r="O474" s="1363"/>
      <c r="P474" s="1363"/>
      <c r="Q474" s="1363"/>
      <c r="R474" s="1363"/>
      <c r="S474" s="1362"/>
      <c r="T474" s="1362"/>
      <c r="U474" s="1362"/>
      <c r="V474" s="1362"/>
      <c r="W474" s="1361"/>
      <c r="X474" s="1360"/>
      <c r="Y474" s="5071" t="s">
        <v>1711</v>
      </c>
      <c r="Z474" s="5072"/>
      <c r="AA474" s="5072"/>
      <c r="AB474" s="1356" t="s">
        <v>1696</v>
      </c>
      <c r="AC474" s="5073" t="s">
        <v>1710</v>
      </c>
      <c r="AD474" s="5074"/>
      <c r="AE474" s="5077"/>
      <c r="AF474" s="5078"/>
    </row>
    <row r="475" spans="2:32" s="1204" customFormat="1" ht="15" customHeight="1">
      <c r="B475" s="4815"/>
      <c r="C475" s="1217">
        <v>31</v>
      </c>
      <c r="D475" s="1359" t="s">
        <v>1709</v>
      </c>
      <c r="E475" s="1350" t="s">
        <v>1708</v>
      </c>
      <c r="F475" s="1358"/>
      <c r="G475" s="1348"/>
      <c r="H475" s="1348"/>
      <c r="I475" s="1348"/>
      <c r="J475" s="1348"/>
      <c r="K475" s="1348"/>
      <c r="L475" s="1348"/>
      <c r="M475" s="5079" t="s">
        <v>1707</v>
      </c>
      <c r="N475" s="5080"/>
      <c r="O475" s="5080"/>
      <c r="P475" s="5080"/>
      <c r="Q475" s="5080"/>
      <c r="R475" s="5080"/>
      <c r="S475" s="5080"/>
      <c r="T475" s="5081" t="s">
        <v>1706</v>
      </c>
      <c r="U475" s="5082"/>
      <c r="V475" s="5083"/>
      <c r="W475" s="5083"/>
      <c r="X475" s="1357" t="str">
        <f>IF(V475="","","[mm]")</f>
        <v/>
      </c>
      <c r="Y475" s="5071" t="s">
        <v>1705</v>
      </c>
      <c r="Z475" s="5072"/>
      <c r="AA475" s="5072"/>
      <c r="AB475" s="1356" t="s">
        <v>1704</v>
      </c>
      <c r="AC475" s="5073" t="s">
        <v>1703</v>
      </c>
      <c r="AD475" s="5074"/>
      <c r="AE475" s="5084"/>
      <c r="AF475" s="5085"/>
    </row>
    <row r="476" spans="2:32" s="1204" customFormat="1" ht="15" customHeight="1">
      <c r="B476" s="4815"/>
      <c r="C476" s="1240">
        <v>32</v>
      </c>
      <c r="D476" s="1354" t="s">
        <v>1702</v>
      </c>
      <c r="E476" s="1350" t="s">
        <v>1701</v>
      </c>
      <c r="F476" s="1349"/>
      <c r="G476" s="1348"/>
      <c r="H476" s="1348"/>
      <c r="I476" s="1348"/>
      <c r="J476" s="1348"/>
      <c r="K476" s="1348"/>
      <c r="L476" s="1348"/>
      <c r="M476" s="5086" t="s">
        <v>1700</v>
      </c>
      <c r="N476" s="4915"/>
      <c r="O476" s="4915"/>
      <c r="P476" s="4915"/>
      <c r="Q476" s="4915"/>
      <c r="R476" s="4915"/>
      <c r="S476" s="4915"/>
      <c r="T476" s="4911" t="s">
        <v>1699</v>
      </c>
      <c r="U476" s="5087"/>
      <c r="V476" s="5088" t="str">
        <f>IF(V475="","",V475-AC411-(W411-V414)/2)</f>
        <v/>
      </c>
      <c r="W476" s="5088"/>
      <c r="X476" s="1353" t="str">
        <f>IF(V476="","","[mm]")</f>
        <v/>
      </c>
      <c r="Y476" s="5089" t="s">
        <v>1698</v>
      </c>
      <c r="Z476" s="5090"/>
      <c r="AA476" s="5091"/>
      <c r="AB476" s="1355" t="s">
        <v>1697</v>
      </c>
      <c r="AC476" s="5073" t="s">
        <v>1690</v>
      </c>
      <c r="AD476" s="5074"/>
      <c r="AE476" s="5075"/>
      <c r="AF476" s="5076"/>
    </row>
    <row r="477" spans="2:32" s="1204" customFormat="1" ht="15" customHeight="1">
      <c r="B477" s="4815"/>
      <c r="C477" s="1217">
        <v>33</v>
      </c>
      <c r="D477" s="1354" t="s">
        <v>1696</v>
      </c>
      <c r="E477" s="1350" t="s">
        <v>1695</v>
      </c>
      <c r="F477" s="1349"/>
      <c r="G477" s="1348"/>
      <c r="H477" s="1348"/>
      <c r="I477" s="1348"/>
      <c r="J477" s="1348"/>
      <c r="K477" s="1348"/>
      <c r="L477" s="1348"/>
      <c r="M477" s="5092" t="s">
        <v>1694</v>
      </c>
      <c r="N477" s="5093"/>
      <c r="O477" s="5093"/>
      <c r="P477" s="5093"/>
      <c r="Q477" s="5093"/>
      <c r="R477" s="5093"/>
      <c r="S477" s="5093"/>
      <c r="T477" s="4911" t="s">
        <v>1693</v>
      </c>
      <c r="U477" s="5087"/>
      <c r="V477" s="5094"/>
      <c r="W477" s="5094"/>
      <c r="X477" s="1353" t="str">
        <f>IF(V477="","","[mm]")</f>
        <v/>
      </c>
      <c r="Y477" s="5095" t="s">
        <v>1692</v>
      </c>
      <c r="Z477" s="5096"/>
      <c r="AA477" s="5097"/>
      <c r="AB477" s="1352" t="s">
        <v>1691</v>
      </c>
      <c r="AC477" s="5098" t="s">
        <v>1690</v>
      </c>
      <c r="AD477" s="5099"/>
      <c r="AE477" s="5077"/>
      <c r="AF477" s="5078"/>
    </row>
    <row r="478" spans="2:32" s="1204" customFormat="1" ht="15" customHeight="1">
      <c r="B478" s="4815"/>
      <c r="C478" s="1217">
        <v>34</v>
      </c>
      <c r="D478" s="1351" t="s">
        <v>1689</v>
      </c>
      <c r="E478" s="1350" t="s">
        <v>1688</v>
      </c>
      <c r="F478" s="1349"/>
      <c r="G478" s="1348"/>
      <c r="H478" s="1348"/>
      <c r="I478" s="1348"/>
      <c r="J478" s="1348"/>
      <c r="K478" s="1348"/>
      <c r="L478" s="1348"/>
      <c r="M478" s="5086" t="s">
        <v>1687</v>
      </c>
      <c r="N478" s="4915"/>
      <c r="O478" s="4915"/>
      <c r="P478" s="4915"/>
      <c r="Q478" s="4915"/>
      <c r="R478" s="4915"/>
      <c r="S478" s="4915"/>
      <c r="T478" s="4911" t="s">
        <v>1686</v>
      </c>
      <c r="U478" s="5087"/>
      <c r="V478" s="5100" t="str">
        <f>IF(V477="","",V477-V476)</f>
        <v/>
      </c>
      <c r="W478" s="5100"/>
      <c r="X478" s="1347" t="str">
        <f>IF(V478="","","[mm]")</f>
        <v/>
      </c>
      <c r="Y478" s="5101"/>
      <c r="Z478" s="5102"/>
      <c r="AA478" s="5103"/>
      <c r="AB478" s="1346"/>
      <c r="AC478" s="5104"/>
      <c r="AD478" s="5105"/>
      <c r="AE478" s="5106"/>
      <c r="AF478" s="5107"/>
    </row>
    <row r="479" spans="2:32" s="1204" customFormat="1" ht="15" customHeight="1">
      <c r="B479" s="4815"/>
      <c r="C479" s="1217">
        <v>35</v>
      </c>
      <c r="D479" s="1345" t="s">
        <v>1685</v>
      </c>
      <c r="E479" s="1344" t="s">
        <v>1684</v>
      </c>
      <c r="F479" s="1343"/>
      <c r="G479" s="1342"/>
      <c r="H479" s="1342"/>
      <c r="I479" s="1342"/>
      <c r="J479" s="1342"/>
      <c r="K479" s="1342"/>
      <c r="L479" s="1341"/>
      <c r="M479" s="1340"/>
      <c r="N479" s="1339"/>
      <c r="O479" s="1339"/>
      <c r="P479" s="1339"/>
      <c r="Q479" s="1339"/>
      <c r="R479" s="1339"/>
      <c r="S479" s="1339"/>
      <c r="T479" s="5117"/>
      <c r="U479" s="5118"/>
      <c r="V479" s="5108"/>
      <c r="W479" s="5109"/>
      <c r="X479" s="1338"/>
      <c r="Y479" s="5047" t="s">
        <v>1683</v>
      </c>
      <c r="Z479" s="5048"/>
      <c r="AA479" s="5048"/>
      <c r="AB479" s="5049" t="s">
        <v>1682</v>
      </c>
      <c r="AC479" s="5049"/>
      <c r="AD479" s="5049"/>
      <c r="AE479" s="5049"/>
      <c r="AF479" s="5050"/>
    </row>
    <row r="480" spans="2:32" s="1204" customFormat="1" ht="15" customHeight="1">
      <c r="B480" s="4815"/>
      <c r="C480" s="1337">
        <v>36</v>
      </c>
      <c r="D480" s="4924" t="s">
        <v>1681</v>
      </c>
      <c r="E480" s="4925"/>
      <c r="F480" s="4925"/>
      <c r="G480" s="4925"/>
      <c r="H480" s="4925"/>
      <c r="I480" s="4925"/>
      <c r="J480" s="4925"/>
      <c r="K480" s="4925"/>
      <c r="L480" s="4925"/>
      <c r="M480" s="4929" t="s">
        <v>1680</v>
      </c>
      <c r="N480" s="4925"/>
      <c r="O480" s="4925"/>
      <c r="P480" s="4925"/>
      <c r="Q480" s="4925"/>
      <c r="R480" s="4925"/>
      <c r="S480" s="4925"/>
      <c r="T480" s="4925"/>
      <c r="U480" s="4925"/>
      <c r="V480" s="4925"/>
      <c r="W480" s="4925"/>
      <c r="X480" s="4926"/>
      <c r="Y480" s="4902" t="s">
        <v>1679</v>
      </c>
      <c r="Z480" s="4903"/>
      <c r="AA480" s="4903"/>
      <c r="AB480" s="5114" t="s">
        <v>1678</v>
      </c>
      <c r="AC480" s="5115"/>
      <c r="AD480" s="5115"/>
      <c r="AE480" s="5115"/>
      <c r="AF480" s="5116"/>
    </row>
    <row r="481" spans="2:32" s="1204" customFormat="1" ht="15" customHeight="1">
      <c r="B481" s="4815"/>
      <c r="C481" s="1336">
        <v>37</v>
      </c>
      <c r="D481" s="4950" t="s">
        <v>1677</v>
      </c>
      <c r="E481" s="5121"/>
      <c r="F481" s="5121"/>
      <c r="G481" s="5121"/>
      <c r="H481" s="1335"/>
      <c r="I481" s="4950" t="s">
        <v>1676</v>
      </c>
      <c r="J481" s="5121"/>
      <c r="K481" s="5121"/>
      <c r="L481" s="5121"/>
      <c r="M481" s="4956" t="s">
        <v>1675</v>
      </c>
      <c r="N481" s="4957"/>
      <c r="O481" s="4957"/>
      <c r="P481" s="4957"/>
      <c r="Q481" s="4957"/>
      <c r="R481" s="4958"/>
      <c r="S481" s="4959" t="s">
        <v>1674</v>
      </c>
      <c r="T481" s="4957"/>
      <c r="U481" s="4957"/>
      <c r="V481" s="4957"/>
      <c r="W481" s="4957"/>
      <c r="X481" s="4957"/>
      <c r="Y481" s="5059" t="s">
        <v>1673</v>
      </c>
      <c r="Z481" s="5060"/>
      <c r="AA481" s="5060"/>
      <c r="AB481" s="5124"/>
      <c r="AC481" s="5125"/>
      <c r="AD481" s="5125"/>
      <c r="AE481" s="5125"/>
      <c r="AF481" s="5126"/>
    </row>
    <row r="482" spans="2:32" s="1204" customFormat="1" ht="7.5" customHeight="1">
      <c r="B482" s="4815"/>
      <c r="C482" s="5132">
        <v>38</v>
      </c>
      <c r="D482" s="4952"/>
      <c r="E482" s="5122"/>
      <c r="F482" s="5122"/>
      <c r="G482" s="5122"/>
      <c r="H482" s="1334"/>
      <c r="I482" s="4952"/>
      <c r="J482" s="5122"/>
      <c r="K482" s="5122"/>
      <c r="L482" s="5122"/>
      <c r="M482" s="4870" t="s">
        <v>1672</v>
      </c>
      <c r="N482" s="5133"/>
      <c r="O482" s="5133"/>
      <c r="P482" s="5133"/>
      <c r="Q482" s="5133"/>
      <c r="R482" s="5134"/>
      <c r="S482" s="4876" t="s">
        <v>1671</v>
      </c>
      <c r="T482" s="5133"/>
      <c r="U482" s="5133"/>
      <c r="V482" s="5133"/>
      <c r="W482" s="5133"/>
      <c r="X482" s="5133"/>
      <c r="Y482" s="5139" t="s">
        <v>1670</v>
      </c>
      <c r="Z482" s="5140"/>
      <c r="AA482" s="5140"/>
      <c r="AB482" s="5143" t="s">
        <v>1669</v>
      </c>
      <c r="AC482" s="5119" t="s">
        <v>1656</v>
      </c>
      <c r="AD482" s="5119"/>
      <c r="AE482" s="5127"/>
      <c r="AF482" s="5129"/>
    </row>
    <row r="483" spans="2:32" s="1204" customFormat="1" ht="8.25" customHeight="1">
      <c r="B483" s="4815"/>
      <c r="C483" s="5132"/>
      <c r="D483" s="4954"/>
      <c r="E483" s="5123"/>
      <c r="F483" s="5123"/>
      <c r="G483" s="5123"/>
      <c r="H483" s="1333"/>
      <c r="I483" s="4954"/>
      <c r="J483" s="5123"/>
      <c r="K483" s="5123"/>
      <c r="L483" s="5123"/>
      <c r="M483" s="5135"/>
      <c r="N483" s="5136"/>
      <c r="O483" s="5136"/>
      <c r="P483" s="5136"/>
      <c r="Q483" s="5136"/>
      <c r="R483" s="5137"/>
      <c r="S483" s="5138"/>
      <c r="T483" s="5136"/>
      <c r="U483" s="5136"/>
      <c r="V483" s="5136"/>
      <c r="W483" s="5136"/>
      <c r="X483" s="5136"/>
      <c r="Y483" s="5141"/>
      <c r="Z483" s="5142"/>
      <c r="AA483" s="5142"/>
      <c r="AB483" s="5144"/>
      <c r="AC483" s="5120"/>
      <c r="AD483" s="5120"/>
      <c r="AE483" s="5128"/>
      <c r="AF483" s="5130"/>
    </row>
    <row r="484" spans="2:32" s="1204" customFormat="1" ht="7.5" customHeight="1">
      <c r="B484" s="4815"/>
      <c r="C484" s="5132">
        <v>39</v>
      </c>
      <c r="D484" s="5155" t="s">
        <v>1668</v>
      </c>
      <c r="E484" s="5160" t="str">
        <f>IF(J400="","",J399*J400)</f>
        <v/>
      </c>
      <c r="F484" s="5161" t="s">
        <v>1667</v>
      </c>
      <c r="G484" s="5162"/>
      <c r="H484" s="1332"/>
      <c r="I484" s="5165" t="s">
        <v>1666</v>
      </c>
      <c r="J484" s="5167" t="str">
        <f>IF(E484="","",E484/2)</f>
        <v/>
      </c>
      <c r="K484" s="5145" t="s">
        <v>1665</v>
      </c>
      <c r="L484" s="5146"/>
      <c r="M484" s="5169" t="s">
        <v>1664</v>
      </c>
      <c r="N484" s="5149" t="str">
        <f>IF(Y411="","",L421*Y411)</f>
        <v/>
      </c>
      <c r="O484" s="5145" t="s">
        <v>1663</v>
      </c>
      <c r="P484" s="5151"/>
      <c r="Q484" s="5151"/>
      <c r="R484" s="5152"/>
      <c r="S484" s="5155" t="s">
        <v>1662</v>
      </c>
      <c r="T484" s="5156"/>
      <c r="U484" s="5158" t="str">
        <f>IF(Y411="","",N421*Y411)</f>
        <v/>
      </c>
      <c r="V484" s="5149"/>
      <c r="W484" s="5145" t="s">
        <v>1661</v>
      </c>
      <c r="X484" s="5146"/>
      <c r="Y484" s="5139" t="s">
        <v>1660</v>
      </c>
      <c r="Z484" s="5140"/>
      <c r="AA484" s="5140"/>
      <c r="AB484" s="5143" t="s">
        <v>1659</v>
      </c>
      <c r="AC484" s="5119" t="s">
        <v>1656</v>
      </c>
      <c r="AD484" s="5119"/>
      <c r="AE484" s="5127"/>
      <c r="AF484" s="5129"/>
    </row>
    <row r="485" spans="2:32" s="1204" customFormat="1" ht="7.5" customHeight="1">
      <c r="B485" s="4815"/>
      <c r="C485" s="5132"/>
      <c r="D485" s="5157"/>
      <c r="E485" s="4987"/>
      <c r="F485" s="5163"/>
      <c r="G485" s="5164"/>
      <c r="H485" s="1331"/>
      <c r="I485" s="5166"/>
      <c r="J485" s="5168"/>
      <c r="K485" s="5147"/>
      <c r="L485" s="5148"/>
      <c r="M485" s="5170"/>
      <c r="N485" s="5150"/>
      <c r="O485" s="5147"/>
      <c r="P485" s="5153"/>
      <c r="Q485" s="5153"/>
      <c r="R485" s="5154"/>
      <c r="S485" s="5157"/>
      <c r="T485" s="5025"/>
      <c r="U485" s="5159"/>
      <c r="V485" s="5150"/>
      <c r="W485" s="5147"/>
      <c r="X485" s="5148"/>
      <c r="Y485" s="5141"/>
      <c r="Z485" s="5142"/>
      <c r="AA485" s="5142"/>
      <c r="AB485" s="5144"/>
      <c r="AC485" s="5120"/>
      <c r="AD485" s="5120"/>
      <c r="AE485" s="5128"/>
      <c r="AF485" s="5130"/>
    </row>
    <row r="486" spans="2:32" s="1204" customFormat="1" ht="7.5" customHeight="1">
      <c r="B486" s="4815"/>
      <c r="C486" s="5131">
        <v>40</v>
      </c>
      <c r="D486" s="5157"/>
      <c r="E486" s="4987"/>
      <c r="F486" s="5163"/>
      <c r="G486" s="5164"/>
      <c r="H486" s="1331"/>
      <c r="I486" s="5166"/>
      <c r="J486" s="5168"/>
      <c r="K486" s="5147"/>
      <c r="L486" s="5148"/>
      <c r="M486" s="5170"/>
      <c r="N486" s="5150"/>
      <c r="O486" s="5147"/>
      <c r="P486" s="5153"/>
      <c r="Q486" s="5153"/>
      <c r="R486" s="5154"/>
      <c r="S486" s="5157"/>
      <c r="T486" s="5025"/>
      <c r="U486" s="5159"/>
      <c r="V486" s="5150"/>
      <c r="W486" s="5147"/>
      <c r="X486" s="5148"/>
      <c r="Y486" s="5171" t="s">
        <v>1658</v>
      </c>
      <c r="Z486" s="5140"/>
      <c r="AA486" s="5140"/>
      <c r="AB486" s="5143" t="s">
        <v>1657</v>
      </c>
      <c r="AC486" s="5119" t="s">
        <v>1656</v>
      </c>
      <c r="AD486" s="5119"/>
      <c r="AE486" s="5127"/>
      <c r="AF486" s="5129"/>
    </row>
    <row r="487" spans="2:32" s="1204" customFormat="1" ht="7.5" customHeight="1">
      <c r="B487" s="4815"/>
      <c r="C487" s="5002"/>
      <c r="D487" s="5157"/>
      <c r="E487" s="4987"/>
      <c r="F487" s="5163"/>
      <c r="G487" s="5164"/>
      <c r="H487" s="1331"/>
      <c r="I487" s="5166"/>
      <c r="J487" s="5168"/>
      <c r="K487" s="5147"/>
      <c r="L487" s="5148"/>
      <c r="M487" s="5170"/>
      <c r="N487" s="5150"/>
      <c r="O487" s="5147"/>
      <c r="P487" s="5153"/>
      <c r="Q487" s="5153"/>
      <c r="R487" s="5154"/>
      <c r="S487" s="5157"/>
      <c r="T487" s="5025"/>
      <c r="U487" s="5159"/>
      <c r="V487" s="5150"/>
      <c r="W487" s="5147"/>
      <c r="X487" s="5148"/>
      <c r="Y487" s="5141"/>
      <c r="Z487" s="5142"/>
      <c r="AA487" s="5142"/>
      <c r="AB487" s="5144"/>
      <c r="AC487" s="5120"/>
      <c r="AD487" s="5120"/>
      <c r="AE487" s="5128"/>
      <c r="AF487" s="5130"/>
    </row>
    <row r="488" spans="2:32" s="1204" customFormat="1" ht="15" customHeight="1">
      <c r="B488" s="4815"/>
      <c r="C488" s="1217">
        <v>41</v>
      </c>
      <c r="D488" s="1330"/>
      <c r="E488" s="1328"/>
      <c r="F488" s="1328"/>
      <c r="G488" s="1328"/>
      <c r="H488" s="1328"/>
      <c r="I488" s="1328"/>
      <c r="J488" s="1328"/>
      <c r="K488" s="1328"/>
      <c r="L488" s="1328"/>
      <c r="M488" s="1329"/>
      <c r="N488" s="1328"/>
      <c r="O488" s="1327"/>
      <c r="P488" s="1327"/>
      <c r="Q488" s="1327"/>
      <c r="R488" s="1327"/>
      <c r="S488" s="1327"/>
      <c r="T488" s="1327"/>
      <c r="U488" s="1327"/>
      <c r="V488" s="1327"/>
      <c r="W488" s="1327"/>
      <c r="X488" s="1326"/>
      <c r="Y488" s="5172"/>
      <c r="Z488" s="5173"/>
      <c r="AA488" s="5174"/>
      <c r="AB488" s="1325"/>
      <c r="AC488" s="5175"/>
      <c r="AD488" s="5176"/>
      <c r="AE488" s="1324"/>
      <c r="AF488" s="1323"/>
    </row>
    <row r="489" spans="2:32" s="1204" customFormat="1" ht="15" customHeight="1">
      <c r="B489" s="4815"/>
      <c r="C489" s="1217">
        <v>42</v>
      </c>
      <c r="D489" s="1322" t="s">
        <v>1655</v>
      </c>
      <c r="E489" s="1319"/>
      <c r="F489" s="1321"/>
      <c r="G489" s="1316"/>
      <c r="H489" s="1316"/>
      <c r="I489" s="1320"/>
      <c r="J489" s="1242"/>
      <c r="K489" s="1242"/>
      <c r="L489" s="1242"/>
      <c r="M489" s="1242" t="s">
        <v>1655</v>
      </c>
      <c r="N489" s="1319"/>
      <c r="O489" s="1316"/>
      <c r="P489" s="1318"/>
      <c r="Q489" s="1318"/>
      <c r="R489" s="1316"/>
      <c r="S489" s="1316"/>
      <c r="T489" s="1316"/>
      <c r="U489" s="1316"/>
      <c r="V489" s="1316"/>
      <c r="W489" s="1242"/>
      <c r="X489" s="1242"/>
      <c r="Y489" s="1242"/>
      <c r="Z489" s="1317"/>
      <c r="AA489" s="1316"/>
      <c r="AB489" s="1242"/>
      <c r="AC489" s="1316"/>
      <c r="AD489" s="1316"/>
      <c r="AE489" s="1242"/>
      <c r="AF489" s="1315"/>
    </row>
    <row r="490" spans="2:32" s="1204" customFormat="1" ht="7.5" customHeight="1">
      <c r="B490" s="4815"/>
      <c r="C490" s="4869">
        <v>43</v>
      </c>
      <c r="D490" s="1224"/>
      <c r="E490" s="1284"/>
      <c r="F490" s="5177" t="str">
        <f>IF(AE475="","",AE475&amp;" × "&amp;N484)</f>
        <v/>
      </c>
      <c r="G490" s="5177"/>
      <c r="H490" s="1293"/>
      <c r="I490" s="1285"/>
      <c r="J490" s="5179" t="str">
        <f>IF(AE475="","",V476&amp;" × "&amp;V478)</f>
        <v/>
      </c>
      <c r="K490" s="5179"/>
      <c r="L490" s="5179"/>
      <c r="M490" s="1284"/>
      <c r="N490" s="1284"/>
      <c r="O490" s="1312"/>
      <c r="P490" s="1314"/>
      <c r="Q490" s="5181" t="str">
        <f>IF(AE482="","","1")</f>
        <v/>
      </c>
      <c r="R490" s="1313"/>
      <c r="S490" s="5177" t="str">
        <f>IF(AE482="","",AE475)</f>
        <v/>
      </c>
      <c r="T490" s="5177"/>
      <c r="U490" s="5177"/>
      <c r="V490" s="1285"/>
      <c r="W490" s="1285"/>
      <c r="X490" s="1285"/>
      <c r="Y490" s="1312"/>
      <c r="Z490" s="1312"/>
      <c r="AA490" s="1312"/>
      <c r="AB490" s="1311"/>
      <c r="AC490" s="1304"/>
      <c r="AD490" s="1304"/>
      <c r="AE490" s="1304"/>
      <c r="AF490" s="1303"/>
    </row>
    <row r="491" spans="2:32" s="1204" customFormat="1" ht="7.5" customHeight="1">
      <c r="B491" s="4815"/>
      <c r="C491" s="4869"/>
      <c r="D491" s="5184" t="str">
        <f>IF(AE475="","","Mt＝")</f>
        <v/>
      </c>
      <c r="E491" s="5185"/>
      <c r="F491" s="5178"/>
      <c r="G491" s="5178"/>
      <c r="H491" s="1222"/>
      <c r="I491" s="5187" t="str">
        <f>IF(AE475="","","×")</f>
        <v/>
      </c>
      <c r="J491" s="5180"/>
      <c r="K491" s="5180"/>
      <c r="L491" s="5180"/>
      <c r="M491" s="1306"/>
      <c r="N491" s="5188" t="str">
        <f>IF(AE482="","","M"&amp;"B1＝")</f>
        <v/>
      </c>
      <c r="O491" s="5188"/>
      <c r="P491" s="5188"/>
      <c r="Q491" s="5182"/>
      <c r="R491" s="5189" t="str">
        <f>IF(AE482="","","×")</f>
        <v/>
      </c>
      <c r="S491" s="5183"/>
      <c r="T491" s="5183"/>
      <c r="U491" s="5183"/>
      <c r="V491" s="5190" t="str">
        <f>IF(AE482="",""," × "&amp;AE482&amp;" × "&amp;V477&amp;"^2 × "&amp;AF482)</f>
        <v/>
      </c>
      <c r="W491" s="5190"/>
      <c r="X491" s="5190"/>
      <c r="Y491" s="5190"/>
      <c r="Z491" s="5191" t="str">
        <f>IF(AE482="","","＝"&amp;INT((1000*AE475*AE482*V477^2*AF482)/8000000000)/1000)</f>
        <v/>
      </c>
      <c r="AA491" s="5191"/>
      <c r="AB491" s="5191" t="str">
        <f>IF(AE482="","","[Kg-m]")</f>
        <v/>
      </c>
      <c r="AC491" s="5191"/>
      <c r="AD491" s="1310"/>
      <c r="AE491" s="1309"/>
      <c r="AF491" s="1308"/>
    </row>
    <row r="492" spans="2:32" s="1204" customFormat="1" ht="7.5" customHeight="1">
      <c r="B492" s="4815"/>
      <c r="C492" s="4869">
        <v>44</v>
      </c>
      <c r="D492" s="5186"/>
      <c r="E492" s="5185"/>
      <c r="F492" s="5192" t="str">
        <f>IF(AE475="","",M473)</f>
        <v/>
      </c>
      <c r="G492" s="5192"/>
      <c r="H492" s="1307"/>
      <c r="I492" s="5187"/>
      <c r="J492" s="5192" t="str">
        <f>IF(AE475="","",V477)</f>
        <v/>
      </c>
      <c r="K492" s="5192"/>
      <c r="L492" s="1229"/>
      <c r="M492" s="1306"/>
      <c r="N492" s="5188"/>
      <c r="O492" s="5188"/>
      <c r="P492" s="5188"/>
      <c r="Q492" s="5194" t="str">
        <f>IF(AE482="","","8")</f>
        <v/>
      </c>
      <c r="R492" s="5189"/>
      <c r="S492" s="5192" t="str">
        <f>IF(AE482="","",1000)</f>
        <v/>
      </c>
      <c r="T492" s="5192"/>
      <c r="U492" s="5192"/>
      <c r="V492" s="5190"/>
      <c r="W492" s="5190"/>
      <c r="X492" s="5190"/>
      <c r="Y492" s="5190"/>
      <c r="Z492" s="5191"/>
      <c r="AA492" s="5191"/>
      <c r="AB492" s="5191"/>
      <c r="AC492" s="5191"/>
      <c r="AD492" s="1305"/>
      <c r="AE492" s="1304"/>
      <c r="AF492" s="1303"/>
    </row>
    <row r="493" spans="2:32" s="1204" customFormat="1" ht="7.5" customHeight="1">
      <c r="B493" s="4815"/>
      <c r="C493" s="4869"/>
      <c r="D493" s="1276"/>
      <c r="E493" s="1276"/>
      <c r="F493" s="5193"/>
      <c r="G493" s="5193"/>
      <c r="H493" s="1277"/>
      <c r="I493" s="1302"/>
      <c r="J493" s="5193"/>
      <c r="K493" s="5193"/>
      <c r="L493" s="1302"/>
      <c r="M493" s="1276"/>
      <c r="N493" s="1276"/>
      <c r="O493" s="1299"/>
      <c r="P493" s="1301"/>
      <c r="Q493" s="5195"/>
      <c r="R493" s="1300"/>
      <c r="S493" s="5193"/>
      <c r="T493" s="5193"/>
      <c r="U493" s="5193"/>
      <c r="V493" s="1277"/>
      <c r="W493" s="1277"/>
      <c r="X493" s="1299"/>
      <c r="Y493" s="1299"/>
      <c r="Z493" s="1299"/>
      <c r="AA493" s="1299"/>
      <c r="AB493" s="1298"/>
      <c r="AC493" s="1277"/>
      <c r="AD493" s="1277"/>
      <c r="AE493" s="1277"/>
      <c r="AF493" s="1297"/>
    </row>
    <row r="494" spans="2:32" s="1204" customFormat="1" ht="7.5" customHeight="1">
      <c r="B494" s="4815"/>
      <c r="C494" s="4869">
        <v>45</v>
      </c>
      <c r="D494" s="1224"/>
      <c r="E494" s="5196" t="str">
        <f>IF(AE475="","","＝")</f>
        <v/>
      </c>
      <c r="F494" s="5198" t="str">
        <f>IF(V477="","",INT((1000*AE475*N484*V476*V478)/(1000*M473*V477))/1000)</f>
        <v/>
      </c>
      <c r="G494" s="5198"/>
      <c r="H494" s="1230"/>
      <c r="I494" s="5191" t="str">
        <f>IF(M473="","","[Kg-m]")</f>
        <v/>
      </c>
      <c r="J494" s="5191"/>
      <c r="K494" s="1280"/>
      <c r="L494" s="1284"/>
      <c r="M494" s="1284"/>
      <c r="N494" s="1289"/>
      <c r="O494" s="1288"/>
      <c r="P494" s="1287"/>
      <c r="Q494" s="5181" t="str">
        <f>IF(AE484="","","1")</f>
        <v/>
      </c>
      <c r="R494" s="1287"/>
      <c r="S494" s="5181" t="str">
        <f>IF(AE484="","",AE475)</f>
        <v/>
      </c>
      <c r="T494" s="5181"/>
      <c r="U494" s="5181"/>
      <c r="V494" s="1287"/>
      <c r="W494" s="1287"/>
      <c r="X494" s="1285"/>
      <c r="Y494" s="1286"/>
      <c r="Z494" s="1285"/>
      <c r="AA494" s="1285"/>
      <c r="AB494" s="1285"/>
      <c r="AC494" s="1285"/>
      <c r="AD494" s="1285"/>
      <c r="AE494" s="1284"/>
      <c r="AF494" s="1283"/>
    </row>
    <row r="495" spans="2:32" s="1204" customFormat="1" ht="7.5" customHeight="1">
      <c r="B495" s="4815"/>
      <c r="C495" s="4869"/>
      <c r="D495" s="1218"/>
      <c r="E495" s="5197"/>
      <c r="F495" s="5199"/>
      <c r="G495" s="5199"/>
      <c r="H495" s="1230"/>
      <c r="I495" s="5191"/>
      <c r="J495" s="5191"/>
      <c r="K495" s="1282"/>
      <c r="L495" s="1276"/>
      <c r="M495" s="1276"/>
      <c r="N495" s="5201" t="str">
        <f>IF(AE484="","","M"&amp;"B2＝")</f>
        <v/>
      </c>
      <c r="O495" s="5201"/>
      <c r="P495" s="5201"/>
      <c r="Q495" s="5200"/>
      <c r="R495" s="5189" t="str">
        <f>IF(AE482="","","×")</f>
        <v/>
      </c>
      <c r="S495" s="5200"/>
      <c r="T495" s="5200"/>
      <c r="U495" s="5200"/>
      <c r="V495" s="5203" t="str">
        <f>IF(AE484="",""," × "&amp;AE484&amp;" × "&amp;V477&amp;"^2 × "&amp;AF484)</f>
        <v/>
      </c>
      <c r="W495" s="5203"/>
      <c r="X495" s="5203"/>
      <c r="Y495" s="5203"/>
      <c r="Z495" s="5202" t="str">
        <f>IF(AE484="","","＝"&amp;INT((1000*AE475*AE484*V477^2*AF484)/8000000000)/1000)</f>
        <v/>
      </c>
      <c r="AA495" s="5202"/>
      <c r="AB495" s="5191" t="str">
        <f>IF(AE484="","","[Kg-m]")</f>
        <v/>
      </c>
      <c r="AC495" s="5191"/>
      <c r="AD495" s="1282"/>
      <c r="AE495" s="1276"/>
      <c r="AF495" s="1281"/>
    </row>
    <row r="496" spans="2:32" s="1204" customFormat="1" ht="7.5" customHeight="1">
      <c r="B496" s="4815"/>
      <c r="C496" s="4869">
        <v>46</v>
      </c>
      <c r="D496" s="1284"/>
      <c r="E496" s="1285"/>
      <c r="F496" s="1285"/>
      <c r="G496" s="1285"/>
      <c r="H496" s="1285"/>
      <c r="I496" s="1285"/>
      <c r="J496" s="1285"/>
      <c r="K496" s="1296"/>
      <c r="L496" s="1218"/>
      <c r="M496" s="1218"/>
      <c r="N496" s="5188"/>
      <c r="O496" s="5188"/>
      <c r="P496" s="5188"/>
      <c r="Q496" s="5194" t="str">
        <f>IF(AE475="","","8")</f>
        <v/>
      </c>
      <c r="R496" s="5189"/>
      <c r="S496" s="5194" t="str">
        <f>IF(AE484="","",1000)</f>
        <v/>
      </c>
      <c r="T496" s="5194"/>
      <c r="U496" s="5194"/>
      <c r="V496" s="5204"/>
      <c r="W496" s="5204"/>
      <c r="X496" s="5204"/>
      <c r="Y496" s="5204"/>
      <c r="Z496" s="5202"/>
      <c r="AA496" s="5202"/>
      <c r="AB496" s="5191"/>
      <c r="AC496" s="5191"/>
      <c r="AD496" s="1230"/>
      <c r="AE496" s="1218"/>
      <c r="AF496" s="1279"/>
    </row>
    <row r="497" spans="2:34" s="1204" customFormat="1" ht="7.5" customHeight="1">
      <c r="B497" s="4815"/>
      <c r="C497" s="4869"/>
      <c r="D497" s="1226"/>
      <c r="E497" s="1246"/>
      <c r="F497" s="1246"/>
      <c r="G497" s="1246"/>
      <c r="H497" s="1246"/>
      <c r="I497" s="1246"/>
      <c r="J497" s="1246"/>
      <c r="K497" s="1295"/>
      <c r="L497" s="1276"/>
      <c r="M497" s="1276"/>
      <c r="N497" s="1274"/>
      <c r="O497" s="1273"/>
      <c r="P497" s="1273"/>
      <c r="Q497" s="5195"/>
      <c r="R497" s="1273"/>
      <c r="S497" s="5195"/>
      <c r="T497" s="5195"/>
      <c r="U497" s="5195"/>
      <c r="V497" s="1273"/>
      <c r="W497" s="1273"/>
      <c r="X497" s="1246"/>
      <c r="Y497" s="1272"/>
      <c r="Z497" s="1246"/>
      <c r="AA497" s="1246"/>
      <c r="AB497" s="1246"/>
      <c r="AC497" s="1246"/>
      <c r="AD497" s="1246"/>
      <c r="AE497" s="1276"/>
      <c r="AF497" s="1281"/>
    </row>
    <row r="498" spans="2:34" s="1204" customFormat="1" ht="7.5" customHeight="1">
      <c r="B498" s="4815"/>
      <c r="C498" s="4869">
        <v>47</v>
      </c>
      <c r="D498" s="1224"/>
      <c r="E498" s="1294"/>
      <c r="F498" s="5177" t="str">
        <f>IF(AE475="","",AE475)</f>
        <v/>
      </c>
      <c r="G498" s="1293"/>
      <c r="H498" s="1293"/>
      <c r="I498" s="1293"/>
      <c r="J498" s="1292"/>
      <c r="K498" s="1292"/>
      <c r="L498" s="1291"/>
      <c r="M498" s="1290"/>
      <c r="N498" s="1289"/>
      <c r="O498" s="1288"/>
      <c r="P498" s="1287"/>
      <c r="Q498" s="5181" t="str">
        <f>IF(AE486="","","1")</f>
        <v/>
      </c>
      <c r="R498" s="1287"/>
      <c r="S498" s="5181" t="str">
        <f>IF(AE486="","",AE475)</f>
        <v/>
      </c>
      <c r="T498" s="5181"/>
      <c r="U498" s="5181"/>
      <c r="V498" s="1287"/>
      <c r="W498" s="1287"/>
      <c r="X498" s="1285"/>
      <c r="Y498" s="1286"/>
      <c r="Z498" s="1285"/>
      <c r="AA498" s="1285"/>
      <c r="AB498" s="1285"/>
      <c r="AC498" s="1285"/>
      <c r="AD498" s="1284"/>
      <c r="AE498" s="1284"/>
      <c r="AF498" s="1283"/>
    </row>
    <row r="499" spans="2:34" s="1204" customFormat="1" ht="7.5" customHeight="1">
      <c r="B499" s="4815"/>
      <c r="C499" s="4869"/>
      <c r="D499" s="5205" t="str">
        <f>IF(AE475="","","Pt＝")</f>
        <v/>
      </c>
      <c r="E499" s="5206"/>
      <c r="F499" s="5178"/>
      <c r="G499" s="5202" t="str">
        <f>IF(AE475="","","× ("&amp;U484&amp;"＋"&amp;W473&amp;")")</f>
        <v/>
      </c>
      <c r="H499" s="5202"/>
      <c r="I499" s="5202"/>
      <c r="J499" s="5202"/>
      <c r="K499" s="1282"/>
      <c r="L499" s="1276"/>
      <c r="M499" s="1275"/>
      <c r="N499" s="5201" t="str">
        <f>IF(AE486="","","M"&amp;"B3＝")</f>
        <v/>
      </c>
      <c r="O499" s="5201"/>
      <c r="P499" s="5201"/>
      <c r="Q499" s="5200"/>
      <c r="R499" s="5189" t="str">
        <f>IF(AE486="","","×")</f>
        <v/>
      </c>
      <c r="S499" s="5200"/>
      <c r="T499" s="5200"/>
      <c r="U499" s="5200"/>
      <c r="V499" s="5203" t="str">
        <f>IF(AE486="",""," × "&amp;AE486&amp;" × "&amp;V477&amp;"^2× "&amp;AF486)</f>
        <v/>
      </c>
      <c r="W499" s="5203"/>
      <c r="X499" s="5203"/>
      <c r="Y499" s="5203"/>
      <c r="Z499" s="5202" t="str">
        <f>IF(AE486="","","＝"&amp;INT((1000*AE475*AE486*V477^2*AF486)/8000000000)/1000)</f>
        <v/>
      </c>
      <c r="AA499" s="5202"/>
      <c r="AB499" s="5191" t="str">
        <f>IF(AE486="","","[Kg-m]")</f>
        <v/>
      </c>
      <c r="AC499" s="5191"/>
      <c r="AD499" s="1276"/>
      <c r="AE499" s="1276"/>
      <c r="AF499" s="1281"/>
    </row>
    <row r="500" spans="2:34" s="1204" customFormat="1" ht="7.5" customHeight="1">
      <c r="B500" s="4815"/>
      <c r="C500" s="4869">
        <v>48</v>
      </c>
      <c r="D500" s="5205"/>
      <c r="E500" s="5206"/>
      <c r="F500" s="5192" t="str">
        <f>IF(M473="","",M473)</f>
        <v/>
      </c>
      <c r="G500" s="5202"/>
      <c r="H500" s="5202"/>
      <c r="I500" s="5202"/>
      <c r="J500" s="5202"/>
      <c r="K500" s="1280"/>
      <c r="L500" s="1218"/>
      <c r="M500" s="1228"/>
      <c r="N500" s="5188"/>
      <c r="O500" s="5188"/>
      <c r="P500" s="5188"/>
      <c r="Q500" s="5194" t="str">
        <f>IF(AE486="","","8")</f>
        <v/>
      </c>
      <c r="R500" s="5189"/>
      <c r="S500" s="5194" t="str">
        <f>IF(AE486="","",1000)</f>
        <v/>
      </c>
      <c r="T500" s="5194"/>
      <c r="U500" s="5194"/>
      <c r="V500" s="5204"/>
      <c r="W500" s="5204"/>
      <c r="X500" s="5204"/>
      <c r="Y500" s="5204"/>
      <c r="Z500" s="5202"/>
      <c r="AA500" s="5202"/>
      <c r="AB500" s="5191"/>
      <c r="AC500" s="5191"/>
      <c r="AD500" s="1218"/>
      <c r="AE500" s="1218"/>
      <c r="AF500" s="1279"/>
    </row>
    <row r="501" spans="2:34" s="1204" customFormat="1" ht="7.5" customHeight="1">
      <c r="B501" s="4815"/>
      <c r="C501" s="4869"/>
      <c r="D501" s="1278"/>
      <c r="E501" s="1276"/>
      <c r="F501" s="5193"/>
      <c r="G501" s="1277"/>
      <c r="H501" s="1277"/>
      <c r="I501" s="1277"/>
      <c r="J501" s="1276"/>
      <c r="K501" s="1276"/>
      <c r="L501" s="1276"/>
      <c r="M501" s="1275"/>
      <c r="N501" s="1274"/>
      <c r="O501" s="1273"/>
      <c r="P501" s="1273"/>
      <c r="Q501" s="5195"/>
      <c r="R501" s="1273"/>
      <c r="S501" s="5195"/>
      <c r="T501" s="5195"/>
      <c r="U501" s="5195"/>
      <c r="V501" s="1273"/>
      <c r="W501" s="1273"/>
      <c r="X501" s="1246"/>
      <c r="Y501" s="1272"/>
      <c r="Z501" s="1246"/>
      <c r="AA501" s="1246"/>
      <c r="AB501" s="1246"/>
      <c r="AC501" s="1246"/>
      <c r="AD501" s="1271"/>
      <c r="AE501" s="1270"/>
      <c r="AF501" s="1269"/>
    </row>
    <row r="502" spans="2:34" s="1204" customFormat="1" ht="15" customHeight="1">
      <c r="B502" s="4815"/>
      <c r="C502" s="1217">
        <v>49</v>
      </c>
      <c r="D502" s="1268"/>
      <c r="E502" s="1267" t="str">
        <f>IF(AE475="","","＝")</f>
        <v/>
      </c>
      <c r="F502" s="5211" t="str">
        <f>IF(AE475="","",INT(1000*(AE475*(U484+W473)/M473))/1000)</f>
        <v/>
      </c>
      <c r="G502" s="5211"/>
      <c r="H502" s="1266"/>
      <c r="I502" s="5211" t="str">
        <f>IF(F502="",""," [Kgf]")</f>
        <v/>
      </c>
      <c r="J502" s="5211"/>
      <c r="K502" s="1266"/>
      <c r="L502" s="1265"/>
      <c r="M502" s="1265"/>
      <c r="N502" s="1265"/>
      <c r="O502" s="1264"/>
      <c r="P502" s="1264"/>
      <c r="Q502" s="1263"/>
      <c r="R502" s="1263"/>
      <c r="S502" s="1263"/>
      <c r="T502" s="1263"/>
      <c r="U502" s="1263"/>
      <c r="V502" s="1263"/>
      <c r="W502" s="1265"/>
      <c r="X502" s="1265"/>
      <c r="Y502" s="1265"/>
      <c r="Z502" s="1264"/>
      <c r="AA502" s="1263"/>
      <c r="AB502" s="1263"/>
      <c r="AC502" s="1263"/>
      <c r="AD502" s="1262"/>
      <c r="AE502" s="1261"/>
      <c r="AF502" s="1260"/>
    </row>
    <row r="503" spans="2:34" s="1204" customFormat="1" ht="15" customHeight="1">
      <c r="B503" s="4815"/>
      <c r="C503" s="1217">
        <v>50</v>
      </c>
      <c r="D503" s="1242"/>
      <c r="E503" s="1259"/>
      <c r="F503" s="1258"/>
      <c r="G503" s="1258"/>
      <c r="H503" s="1258"/>
      <c r="I503" s="1258"/>
      <c r="J503" s="1258"/>
      <c r="K503" s="1258"/>
      <c r="L503" s="1242"/>
      <c r="M503" s="1242"/>
      <c r="N503" s="1242"/>
      <c r="O503" s="1257"/>
      <c r="P503" s="1257"/>
      <c r="Q503" s="1256"/>
      <c r="R503" s="1256"/>
      <c r="S503" s="1256"/>
      <c r="T503" s="1256"/>
      <c r="U503" s="1256"/>
      <c r="V503" s="1256"/>
      <c r="W503" s="1242"/>
      <c r="X503" s="1242"/>
      <c r="Y503" s="1242"/>
      <c r="Z503" s="1257"/>
      <c r="AA503" s="1256"/>
      <c r="AB503" s="1256"/>
      <c r="AC503" s="1256"/>
      <c r="AD503" s="1255"/>
      <c r="AE503" s="1254"/>
      <c r="AF503" s="1253"/>
    </row>
    <row r="504" spans="2:34" s="1204" customFormat="1" ht="15" customHeight="1">
      <c r="B504" s="4815"/>
      <c r="C504" s="1217">
        <v>51</v>
      </c>
      <c r="D504" s="5209" t="str">
        <f>IF(AE482="","","PB1＝")</f>
        <v/>
      </c>
      <c r="E504" s="5210"/>
      <c r="F504" s="5211" t="str">
        <f>IF(AE482="","",AE482&amp;" × "&amp;AE475&amp;" × "&amp;V477&amp;" × 10^-6")</f>
        <v/>
      </c>
      <c r="G504" s="5211"/>
      <c r="H504" s="5211"/>
      <c r="I504" s="5211"/>
      <c r="J504" s="5211"/>
      <c r="K504" s="5211"/>
      <c r="L504" s="5211" t="str">
        <f>IF(AE482="","","＝"&amp;INT(1000*(AE482*AE475*V477/10^6))/1000&amp;" [Kgf]")</f>
        <v/>
      </c>
      <c r="M504" s="5211"/>
      <c r="N504" s="5211"/>
      <c r="O504" s="5211"/>
      <c r="P504" s="5211"/>
      <c r="Q504" s="1252"/>
      <c r="R504" s="5234" t="str">
        <f>IF(AE475="","","∑M＝Mt＋∑MBn＝")</f>
        <v/>
      </c>
      <c r="S504" s="5234"/>
      <c r="T504" s="5234"/>
      <c r="U504" s="5234"/>
      <c r="V504" s="5234"/>
      <c r="W504" s="5234"/>
      <c r="X504" s="5234"/>
      <c r="Y504" s="5207" t="str">
        <f>IF(AE475="","",F494+INT((1000*AE475*AE482*V477^2*AF482)/8000000000)/1000+INT((1000*AE475*AE484*V477^2*AF484)/8000000000)/1000+INT((1000*AE475*AE486*V477^2*AF486)/8000000000)/1000)</f>
        <v/>
      </c>
      <c r="Z504" s="5207"/>
      <c r="AA504" s="5208" t="str">
        <f>IF(F494="",""," [Kg-m]")</f>
        <v/>
      </c>
      <c r="AB504" s="5208"/>
      <c r="AC504" s="1251"/>
      <c r="AD504" s="1251"/>
      <c r="AE504" s="1251"/>
      <c r="AF504" s="1250"/>
    </row>
    <row r="505" spans="2:34" s="1204" customFormat="1" ht="15" customHeight="1">
      <c r="B505" s="4815"/>
      <c r="C505" s="1217">
        <v>52</v>
      </c>
      <c r="D505" s="5209" t="str">
        <f>IF(AE484="","","PB2＝")</f>
        <v/>
      </c>
      <c r="E505" s="5210"/>
      <c r="F505" s="5211" t="str">
        <f>IF(AE484="","",AE484&amp;" × "&amp;AE475&amp;" × "&amp;V477&amp;" × 10^-6")</f>
        <v/>
      </c>
      <c r="G505" s="5211"/>
      <c r="H505" s="5211"/>
      <c r="I505" s="5211"/>
      <c r="J505" s="5211"/>
      <c r="K505" s="5211"/>
      <c r="L505" s="5211" t="str">
        <f>IF(AE484="","","＝"&amp;INT(1000*(AE484*AE475*V477/10^6))/1000&amp;" [Kgf]")</f>
        <v/>
      </c>
      <c r="M505" s="5211"/>
      <c r="N505" s="5211"/>
      <c r="O505" s="5211"/>
      <c r="P505" s="5211"/>
      <c r="Q505" s="1249"/>
      <c r="R505" s="5212" t="str">
        <f>IF(AE475="","","∑Ｐ＝Ｐt＋∑ＰBn＝")</f>
        <v/>
      </c>
      <c r="S505" s="5212"/>
      <c r="T505" s="5212"/>
      <c r="U505" s="5212"/>
      <c r="V505" s="5212"/>
      <c r="W505" s="5212"/>
      <c r="X505" s="5212"/>
      <c r="Y505" s="5213" t="str">
        <f>IF(AE475="","",F502+INT(1000*(AE482*AE475*V477/10^6))/1000+INT(1000*(AE484*AE475*V477/10^6))/1000+INT(1000*(AE486*AE475*V477/10^6))/1000)</f>
        <v/>
      </c>
      <c r="Z505" s="5213"/>
      <c r="AA505" s="5212" t="str">
        <f>IF(F502="",""," [Kgf]")</f>
        <v/>
      </c>
      <c r="AB505" s="5212"/>
      <c r="AC505" s="1248"/>
      <c r="AD505" s="1248"/>
      <c r="AE505" s="1248"/>
      <c r="AF505" s="1247"/>
    </row>
    <row r="506" spans="2:34" s="1204" customFormat="1" ht="15" customHeight="1">
      <c r="B506" s="4815"/>
      <c r="C506" s="1217">
        <v>53</v>
      </c>
      <c r="D506" s="5209" t="str">
        <f>IF(AE486="","","PB3＝")</f>
        <v/>
      </c>
      <c r="E506" s="5210"/>
      <c r="F506" s="5211" t="str">
        <f>IF(AE486="","",AE486&amp;" × "&amp;AE475&amp;" × "&amp;V477&amp;" ×10^-6")</f>
        <v/>
      </c>
      <c r="G506" s="5211"/>
      <c r="H506" s="5211"/>
      <c r="I506" s="5211"/>
      <c r="J506" s="5211"/>
      <c r="K506" s="5211"/>
      <c r="L506" s="5211" t="str">
        <f>IF(AE486="","","＝"&amp;INT(1000*(AE486*AE475*V477/10^6))/1000&amp;" [Kgf]")</f>
        <v/>
      </c>
      <c r="M506" s="5211"/>
      <c r="N506" s="5211"/>
      <c r="O506" s="5211"/>
      <c r="P506" s="5211"/>
      <c r="Q506" s="1246"/>
      <c r="R506" s="1245"/>
      <c r="S506" s="1245"/>
      <c r="T506" s="1245"/>
      <c r="U506" s="1245"/>
      <c r="V506" s="1245"/>
      <c r="W506" s="1245"/>
      <c r="X506" s="1242"/>
      <c r="Y506" s="1244"/>
      <c r="Z506" s="1243"/>
      <c r="AA506" s="1242"/>
      <c r="AB506" s="1242"/>
      <c r="AC506" s="1242"/>
      <c r="AD506" s="1242"/>
      <c r="AE506" s="1242"/>
      <c r="AF506" s="1241"/>
    </row>
    <row r="507" spans="2:34" s="1204" customFormat="1" ht="15" customHeight="1">
      <c r="B507" s="4815"/>
      <c r="C507" s="1240">
        <v>54</v>
      </c>
      <c r="D507" s="1239"/>
      <c r="E507" s="1238"/>
      <c r="F507" s="1237"/>
      <c r="G507" s="1237"/>
      <c r="H507" s="1237"/>
      <c r="I507" s="1237"/>
      <c r="J507" s="1237"/>
      <c r="K507" s="1237"/>
      <c r="L507" s="1237"/>
      <c r="M507" s="1237"/>
      <c r="N507" s="1237"/>
      <c r="O507" s="1237"/>
      <c r="P507" s="1237"/>
      <c r="Q507" s="1236"/>
      <c r="R507" s="1236"/>
      <c r="S507" s="1236"/>
      <c r="T507" s="1236"/>
      <c r="U507" s="1236"/>
      <c r="V507" s="1236"/>
      <c r="W507" s="1236"/>
      <c r="X507" s="1233"/>
      <c r="Y507" s="1235"/>
      <c r="Z507" s="1234"/>
      <c r="AA507" s="1233"/>
      <c r="AB507" s="1233"/>
      <c r="AC507" s="1233"/>
      <c r="AD507" s="1233"/>
      <c r="AE507" s="1233"/>
      <c r="AF507" s="1232"/>
    </row>
    <row r="508" spans="2:34" s="1204" customFormat="1" ht="7.5" customHeight="1" thickBot="1">
      <c r="B508" s="4815"/>
      <c r="C508" s="5219">
        <v>55</v>
      </c>
      <c r="D508" s="1231"/>
      <c r="E508" s="1231"/>
      <c r="F508" s="1230"/>
      <c r="G508" s="5183" t="str">
        <f>IF(AE475="","",Y504)</f>
        <v/>
      </c>
      <c r="H508" s="5183"/>
      <c r="I508" s="5183"/>
      <c r="J508" s="5183"/>
      <c r="K508" s="1230"/>
      <c r="L508" s="5183" t="str">
        <f>IF(F502="","",Y505)</f>
        <v/>
      </c>
      <c r="M508" s="5183"/>
      <c r="N508" s="5183"/>
      <c r="O508" s="1230"/>
      <c r="P508" s="1230"/>
      <c r="Q508" s="1229"/>
      <c r="R508" s="1229"/>
      <c r="S508" s="1229"/>
      <c r="T508" s="1229"/>
      <c r="U508" s="1229"/>
      <c r="V508" s="1229"/>
      <c r="W508" s="1229"/>
      <c r="X508" s="1218"/>
      <c r="Y508" s="1228"/>
      <c r="Z508" s="1227"/>
      <c r="AA508" s="5220"/>
      <c r="AB508" s="5220"/>
      <c r="AC508" s="5220"/>
      <c r="AD508" s="5220"/>
      <c r="AE508" s="5220"/>
      <c r="AF508" s="5221"/>
    </row>
    <row r="509" spans="2:34" s="1204" customFormat="1" ht="7.5" customHeight="1">
      <c r="B509" s="4815"/>
      <c r="C509" s="5002"/>
      <c r="D509" s="1226"/>
      <c r="E509" s="5224" t="str">
        <f>IF(AE475="","","σ／f＝")</f>
        <v/>
      </c>
      <c r="F509" s="5224"/>
      <c r="G509" s="5178"/>
      <c r="H509" s="5178"/>
      <c r="I509" s="5178"/>
      <c r="J509" s="5178"/>
      <c r="K509" s="5187" t="str">
        <f>IF(AE475="","","＋")</f>
        <v/>
      </c>
      <c r="L509" s="5178"/>
      <c r="M509" s="5178"/>
      <c r="N509" s="5178"/>
      <c r="O509" s="5225" t="str">
        <f>IF(AE475="","","＝")</f>
        <v/>
      </c>
      <c r="P509" s="5225"/>
      <c r="Q509" s="5227" t="str">
        <f>IF(F502="","",INT(1000*((Y504/AE473/AE476)+(Y505/AE474/AE477)))/1000)</f>
        <v/>
      </c>
      <c r="R509" s="5228"/>
      <c r="S509" s="5229"/>
      <c r="T509" s="1225"/>
      <c r="U509" s="5233" t="str">
        <f>IF(Q509="","",IF(Q509&lt;1.5,"＜1.5  となり合格です。","＞1.5 となり不合格です。"))</f>
        <v/>
      </c>
      <c r="V509" s="5233"/>
      <c r="W509" s="5233"/>
      <c r="X509" s="5233"/>
      <c r="Y509" s="5233"/>
      <c r="Z509" s="5233"/>
      <c r="AA509" s="5222"/>
      <c r="AB509" s="5222"/>
      <c r="AC509" s="5222"/>
      <c r="AD509" s="5222"/>
      <c r="AE509" s="5222"/>
      <c r="AF509" s="5223"/>
    </row>
    <row r="510" spans="2:34" s="1204" customFormat="1" ht="7.5" customHeight="1" thickBot="1">
      <c r="B510" s="4815"/>
      <c r="C510" s="5219">
        <v>56</v>
      </c>
      <c r="D510" s="1224"/>
      <c r="E510" s="5224"/>
      <c r="F510" s="5224"/>
      <c r="G510" s="5214" t="str">
        <f>IF(AE475="","",AE473&amp;" × "&amp;AE476)</f>
        <v/>
      </c>
      <c r="H510" s="5214"/>
      <c r="I510" s="5214"/>
      <c r="J510" s="5214"/>
      <c r="K510" s="5187"/>
      <c r="L510" s="5192" t="str">
        <f>IF(AE475="","",AE474&amp;" × "&amp;AE477)</f>
        <v/>
      </c>
      <c r="M510" s="5192"/>
      <c r="N510" s="5192"/>
      <c r="O510" s="5226"/>
      <c r="P510" s="5226"/>
      <c r="Q510" s="5230"/>
      <c r="R510" s="5231"/>
      <c r="S510" s="5232"/>
      <c r="T510" s="1223"/>
      <c r="U510" s="5233"/>
      <c r="V510" s="5233"/>
      <c r="W510" s="5233"/>
      <c r="X510" s="5233"/>
      <c r="Y510" s="5233"/>
      <c r="Z510" s="5233"/>
      <c r="AA510" s="5215"/>
      <c r="AB510" s="5215"/>
      <c r="AC510" s="5215"/>
      <c r="AD510" s="5215"/>
      <c r="AE510" s="5215"/>
      <c r="AF510" s="5216"/>
    </row>
    <row r="511" spans="2:34" s="1204" customFormat="1" ht="7.5" customHeight="1" thickBot="1">
      <c r="B511" s="4815"/>
      <c r="C511" s="5002"/>
      <c r="D511" s="1218"/>
      <c r="E511" s="1218"/>
      <c r="F511" s="1222"/>
      <c r="G511" s="5214"/>
      <c r="H511" s="5214"/>
      <c r="I511" s="5214"/>
      <c r="J511" s="5214"/>
      <c r="K511" s="1222"/>
      <c r="L511" s="5214"/>
      <c r="M511" s="5214"/>
      <c r="N511" s="5214"/>
      <c r="O511" s="1221"/>
      <c r="P511" s="1220"/>
      <c r="Q511" s="1220"/>
      <c r="R511" s="1219"/>
      <c r="S511" s="1219"/>
      <c r="T511" s="1219"/>
      <c r="U511" s="1219"/>
      <c r="V511" s="1219"/>
      <c r="W511" s="1218"/>
      <c r="X511" s="1218"/>
      <c r="Y511" s="1218"/>
      <c r="Z511" s="1218"/>
      <c r="AA511" s="5217"/>
      <c r="AB511" s="5217"/>
      <c r="AC511" s="5217"/>
      <c r="AD511" s="5217"/>
      <c r="AE511" s="5217"/>
      <c r="AF511" s="5218"/>
    </row>
    <row r="512" spans="2:34" s="1204" customFormat="1" ht="15" customHeight="1" thickBot="1">
      <c r="B512" s="4815"/>
      <c r="C512" s="1217">
        <v>57</v>
      </c>
      <c r="D512" s="1216"/>
      <c r="E512" s="1213"/>
      <c r="F512" s="1214"/>
      <c r="G512" s="1214"/>
      <c r="H512" s="1214"/>
      <c r="I512" s="1215"/>
      <c r="J512" s="1214"/>
      <c r="K512" s="1214"/>
      <c r="L512" s="1213"/>
      <c r="M512" s="1212"/>
      <c r="N512" s="1212"/>
      <c r="O512" s="1211"/>
      <c r="P512" s="1211"/>
      <c r="Q512" s="1211"/>
      <c r="R512" s="1211"/>
      <c r="S512" s="1211"/>
      <c r="T512" s="1211"/>
      <c r="U512" s="1211"/>
      <c r="V512" s="1211"/>
      <c r="W512" s="1211"/>
      <c r="X512" s="1211"/>
      <c r="Y512" s="1211"/>
      <c r="Z512" s="1211"/>
      <c r="AA512" s="1211"/>
      <c r="AB512" s="1211"/>
      <c r="AC512" s="1210"/>
      <c r="AD512" s="1209" t="s">
        <v>1654</v>
      </c>
      <c r="AE512" s="1208"/>
      <c r="AF512" s="1207"/>
      <c r="AH512" s="1206" t="s">
        <v>1383</v>
      </c>
    </row>
    <row r="513" spans="2:21" s="1204" customFormat="1" ht="4.5" customHeight="1">
      <c r="B513" s="4815"/>
      <c r="U513" s="1205"/>
    </row>
  </sheetData>
  <sheetProtection password="82A0" sheet="1" objects="1" scenarios="1"/>
  <mergeCells count="1145">
    <mergeCell ref="C508:C509"/>
    <mergeCell ref="G508:J509"/>
    <mergeCell ref="L508:N509"/>
    <mergeCell ref="Y504:Z504"/>
    <mergeCell ref="AA504:AB504"/>
    <mergeCell ref="D505:E505"/>
    <mergeCell ref="F505:K505"/>
    <mergeCell ref="L505:P505"/>
    <mergeCell ref="R505:X505"/>
    <mergeCell ref="Y505:Z505"/>
    <mergeCell ref="K509:K510"/>
    <mergeCell ref="O509:P510"/>
    <mergeCell ref="Q509:S510"/>
    <mergeCell ref="U509:Z510"/>
    <mergeCell ref="D506:E506"/>
    <mergeCell ref="F506:K506"/>
    <mergeCell ref="L506:P506"/>
    <mergeCell ref="AD127:AF127"/>
    <mergeCell ref="AD189:AF189"/>
    <mergeCell ref="AD251:AF251"/>
    <mergeCell ref="AD383:AF383"/>
    <mergeCell ref="C510:C511"/>
    <mergeCell ref="G510:J511"/>
    <mergeCell ref="L510:N511"/>
    <mergeCell ref="AA510:AF511"/>
    <mergeCell ref="AA508:AF509"/>
    <mergeCell ref="E509:F510"/>
    <mergeCell ref="S498:U499"/>
    <mergeCell ref="D499:E500"/>
    <mergeCell ref="G499:J500"/>
    <mergeCell ref="N499:P500"/>
    <mergeCell ref="R499:R500"/>
    <mergeCell ref="A64:A99"/>
    <mergeCell ref="A126:A158"/>
    <mergeCell ref="A188:A222"/>
    <mergeCell ref="A250:A284"/>
    <mergeCell ref="A382:A436"/>
    <mergeCell ref="V499:Y500"/>
    <mergeCell ref="Z499:AA500"/>
    <mergeCell ref="AB499:AC500"/>
    <mergeCell ref="C500:C501"/>
    <mergeCell ref="F500:F501"/>
    <mergeCell ref="Q500:Q501"/>
    <mergeCell ref="S500:U501"/>
    <mergeCell ref="C498:C499"/>
    <mergeCell ref="F498:F499"/>
    <mergeCell ref="Q498:Q499"/>
    <mergeCell ref="AA505:AB505"/>
    <mergeCell ref="F502:G502"/>
    <mergeCell ref="I502:J502"/>
    <mergeCell ref="D504:E504"/>
    <mergeCell ref="F504:K504"/>
    <mergeCell ref="L504:P504"/>
    <mergeCell ref="R504:X504"/>
    <mergeCell ref="V491:Y492"/>
    <mergeCell ref="Z491:AA492"/>
    <mergeCell ref="AB491:AC492"/>
    <mergeCell ref="C492:C493"/>
    <mergeCell ref="F492:G493"/>
    <mergeCell ref="J492:K493"/>
    <mergeCell ref="Q492:Q493"/>
    <mergeCell ref="S492:U493"/>
    <mergeCell ref="Q494:Q495"/>
    <mergeCell ref="S494:U495"/>
    <mergeCell ref="N495:P496"/>
    <mergeCell ref="R495:R496"/>
    <mergeCell ref="N491:P492"/>
    <mergeCell ref="R491:R492"/>
    <mergeCell ref="V495:Y496"/>
    <mergeCell ref="Z495:AA496"/>
    <mergeCell ref="AB495:AC496"/>
    <mergeCell ref="C496:C497"/>
    <mergeCell ref="Q496:Q497"/>
    <mergeCell ref="S496:U497"/>
    <mergeCell ref="C494:C495"/>
    <mergeCell ref="E494:E495"/>
    <mergeCell ref="F494:G495"/>
    <mergeCell ref="I494:J495"/>
    <mergeCell ref="C490:C491"/>
    <mergeCell ref="F490:G491"/>
    <mergeCell ref="J490:L491"/>
    <mergeCell ref="C484:C485"/>
    <mergeCell ref="D484:D487"/>
    <mergeCell ref="E484:E487"/>
    <mergeCell ref="F484:G487"/>
    <mergeCell ref="I484:I487"/>
    <mergeCell ref="J484:J487"/>
    <mergeCell ref="C486:C487"/>
    <mergeCell ref="K484:L487"/>
    <mergeCell ref="M484:M487"/>
    <mergeCell ref="N484:N487"/>
    <mergeCell ref="O484:R487"/>
    <mergeCell ref="S484:T487"/>
    <mergeCell ref="U484:V487"/>
    <mergeCell ref="AE484:AE485"/>
    <mergeCell ref="AF484:AF485"/>
    <mergeCell ref="Y486:AA487"/>
    <mergeCell ref="AB486:AB487"/>
    <mergeCell ref="AC486:AD487"/>
    <mergeCell ref="AE486:AE487"/>
    <mergeCell ref="Q490:Q491"/>
    <mergeCell ref="S490:U491"/>
    <mergeCell ref="D491:E492"/>
    <mergeCell ref="I491:I492"/>
    <mergeCell ref="D480:L480"/>
    <mergeCell ref="M480:X480"/>
    <mergeCell ref="Y480:AA480"/>
    <mergeCell ref="AB480:AF480"/>
    <mergeCell ref="Y488:AA488"/>
    <mergeCell ref="AC488:AD488"/>
    <mergeCell ref="W484:X487"/>
    <mergeCell ref="Y484:AA485"/>
    <mergeCell ref="AB484:AB485"/>
    <mergeCell ref="AC484:AD485"/>
    <mergeCell ref="Y481:AA481"/>
    <mergeCell ref="AB481:AF481"/>
    <mergeCell ref="AE482:AE483"/>
    <mergeCell ref="AF482:AF483"/>
    <mergeCell ref="AF486:AF487"/>
    <mergeCell ref="T479:U479"/>
    <mergeCell ref="V479:W479"/>
    <mergeCell ref="Y479:AA479"/>
    <mergeCell ref="AB479:AF479"/>
    <mergeCell ref="C482:C483"/>
    <mergeCell ref="M482:R483"/>
    <mergeCell ref="S482:X483"/>
    <mergeCell ref="Y482:AA483"/>
    <mergeCell ref="AB482:AB483"/>
    <mergeCell ref="AC482:AD483"/>
    <mergeCell ref="D481:G483"/>
    <mergeCell ref="I481:L483"/>
    <mergeCell ref="M481:R481"/>
    <mergeCell ref="S481:X481"/>
    <mergeCell ref="M476:S476"/>
    <mergeCell ref="T476:U476"/>
    <mergeCell ref="V476:W476"/>
    <mergeCell ref="Y476:AA476"/>
    <mergeCell ref="AC476:AD476"/>
    <mergeCell ref="AE476:AF476"/>
    <mergeCell ref="Y478:AA478"/>
    <mergeCell ref="AC478:AD478"/>
    <mergeCell ref="AE478:AF478"/>
    <mergeCell ref="M477:S477"/>
    <mergeCell ref="T477:U477"/>
    <mergeCell ref="V477:W477"/>
    <mergeCell ref="Y477:AA477"/>
    <mergeCell ref="AC477:AD477"/>
    <mergeCell ref="AE477:AF477"/>
    <mergeCell ref="M473:N473"/>
    <mergeCell ref="O473:R473"/>
    <mergeCell ref="S473:V473"/>
    <mergeCell ref="Y473:AA473"/>
    <mergeCell ref="AC473:AD473"/>
    <mergeCell ref="AE473:AF473"/>
    <mergeCell ref="AB446:AC446"/>
    <mergeCell ref="Y474:AA474"/>
    <mergeCell ref="AC474:AD474"/>
    <mergeCell ref="AE474:AF474"/>
    <mergeCell ref="M475:S475"/>
    <mergeCell ref="T475:U475"/>
    <mergeCell ref="V475:W475"/>
    <mergeCell ref="Y475:AA475"/>
    <mergeCell ref="AC475:AD475"/>
    <mergeCell ref="AE475:AF475"/>
    <mergeCell ref="AB470:AF470"/>
    <mergeCell ref="Y471:AA471"/>
    <mergeCell ref="AB471:AF471"/>
    <mergeCell ref="B444:B513"/>
    <mergeCell ref="D445:J446"/>
    <mergeCell ref="K445:Q446"/>
    <mergeCell ref="R445:U445"/>
    <mergeCell ref="V445:AC445"/>
    <mergeCell ref="AD445:AF446"/>
    <mergeCell ref="R446:U446"/>
    <mergeCell ref="F430:G430"/>
    <mergeCell ref="J430:K430"/>
    <mergeCell ref="W460:Y460"/>
    <mergeCell ref="M470:V471"/>
    <mergeCell ref="W470:X471"/>
    <mergeCell ref="Y470:AA470"/>
    <mergeCell ref="V446:Y446"/>
    <mergeCell ref="Z446:AA446"/>
    <mergeCell ref="I439:J439"/>
    <mergeCell ref="AE439:AF439"/>
    <mergeCell ref="F431:G431"/>
    <mergeCell ref="L431:M431"/>
    <mergeCell ref="R432:U432"/>
    <mergeCell ref="AC433:AD433"/>
    <mergeCell ref="AE433:AF433"/>
    <mergeCell ref="AE434:AF434"/>
    <mergeCell ref="M472:N472"/>
    <mergeCell ref="O472:R472"/>
    <mergeCell ref="S472:V472"/>
    <mergeCell ref="W472:X472"/>
    <mergeCell ref="Y472:AA472"/>
    <mergeCell ref="AB472:AF472"/>
    <mergeCell ref="M478:S478"/>
    <mergeCell ref="T478:U478"/>
    <mergeCell ref="V478:W478"/>
    <mergeCell ref="F437:I437"/>
    <mergeCell ref="K437:M437"/>
    <mergeCell ref="AB438:AC438"/>
    <mergeCell ref="AE438:AF438"/>
    <mergeCell ref="F427:G427"/>
    <mergeCell ref="F428:G428"/>
    <mergeCell ref="AB428:AC428"/>
    <mergeCell ref="AE429:AF429"/>
    <mergeCell ref="M423:N424"/>
    <mergeCell ref="O423:R424"/>
    <mergeCell ref="S423:V424"/>
    <mergeCell ref="W423:AB424"/>
    <mergeCell ref="S421:T422"/>
    <mergeCell ref="U421:V422"/>
    <mergeCell ref="W421:Z422"/>
    <mergeCell ref="AA421:AA422"/>
    <mergeCell ref="AB421:AB422"/>
    <mergeCell ref="AC423:AC424"/>
    <mergeCell ref="AD423:AD424"/>
    <mergeCell ref="AE423:AE424"/>
    <mergeCell ref="AF423:AF424"/>
    <mergeCell ref="D424:E424"/>
    <mergeCell ref="D426:L426"/>
    <mergeCell ref="O426:Y426"/>
    <mergeCell ref="Z426:AF426"/>
    <mergeCell ref="J422:J423"/>
    <mergeCell ref="K423:L424"/>
    <mergeCell ref="L421:L422"/>
    <mergeCell ref="M421:M422"/>
    <mergeCell ref="N421:N422"/>
    <mergeCell ref="O421:P422"/>
    <mergeCell ref="Q421:R422"/>
    <mergeCell ref="C420:C421"/>
    <mergeCell ref="D420:E420"/>
    <mergeCell ref="F420:F421"/>
    <mergeCell ref="G420:G421"/>
    <mergeCell ref="I420:I421"/>
    <mergeCell ref="C422:C423"/>
    <mergeCell ref="D422:E423"/>
    <mergeCell ref="F422:F423"/>
    <mergeCell ref="G422:G423"/>
    <mergeCell ref="I422:I423"/>
    <mergeCell ref="K421:K422"/>
    <mergeCell ref="J420:J421"/>
    <mergeCell ref="D421:E421"/>
    <mergeCell ref="AC417:AD422"/>
    <mergeCell ref="AE417:AF422"/>
    <mergeCell ref="C418:C419"/>
    <mergeCell ref="D416:I416"/>
    <mergeCell ref="J416:J417"/>
    <mergeCell ref="K416:N416"/>
    <mergeCell ref="O416:V416"/>
    <mergeCell ref="W416:AF416"/>
    <mergeCell ref="F417:F418"/>
    <mergeCell ref="G417:G418"/>
    <mergeCell ref="I417:I418"/>
    <mergeCell ref="K417:L419"/>
    <mergeCell ref="Z419:Z420"/>
    <mergeCell ref="AA419:AA420"/>
    <mergeCell ref="M417:N419"/>
    <mergeCell ref="O417:R417"/>
    <mergeCell ref="S417:V417"/>
    <mergeCell ref="W417:X418"/>
    <mergeCell ref="Y417:Z418"/>
    <mergeCell ref="AA417:AB418"/>
    <mergeCell ref="AB419:AB420"/>
    <mergeCell ref="J418:J419"/>
    <mergeCell ref="O418:R419"/>
    <mergeCell ref="S418:V419"/>
    <mergeCell ref="W419:X420"/>
    <mergeCell ref="Y419:Y420"/>
    <mergeCell ref="O414:S414"/>
    <mergeCell ref="T414:U414"/>
    <mergeCell ref="V414:W414"/>
    <mergeCell ref="Y414:AA414"/>
    <mergeCell ref="AB414:AD414"/>
    <mergeCell ref="O411:R411"/>
    <mergeCell ref="S411:V411"/>
    <mergeCell ref="W411:X411"/>
    <mergeCell ref="O412:X412"/>
    <mergeCell ref="Y412:AD412"/>
    <mergeCell ref="AB413:AD413"/>
    <mergeCell ref="AE414:AF414"/>
    <mergeCell ref="AC407:AD409"/>
    <mergeCell ref="AE407:AF409"/>
    <mergeCell ref="AD385:AF386"/>
    <mergeCell ref="R386:U386"/>
    <mergeCell ref="V386:Y386"/>
    <mergeCell ref="Z386:AA386"/>
    <mergeCell ref="AB386:AC386"/>
    <mergeCell ref="B312:B381"/>
    <mergeCell ref="D313:J314"/>
    <mergeCell ref="K313:Q314"/>
    <mergeCell ref="C378:C379"/>
    <mergeCell ref="G378:J379"/>
    <mergeCell ref="G397:J397"/>
    <mergeCell ref="W400:Y400"/>
    <mergeCell ref="O407:X409"/>
    <mergeCell ref="Y407:Z409"/>
    <mergeCell ref="AA407:AB409"/>
    <mergeCell ref="K385:Q386"/>
    <mergeCell ref="R385:U385"/>
    <mergeCell ref="V385:AC385"/>
    <mergeCell ref="D374:E374"/>
    <mergeCell ref="F374:K374"/>
    <mergeCell ref="L374:P374"/>
    <mergeCell ref="C376:C377"/>
    <mergeCell ref="B382:B443"/>
    <mergeCell ref="D385:J386"/>
    <mergeCell ref="AA376:AF377"/>
    <mergeCell ref="E377:F378"/>
    <mergeCell ref="K377:K378"/>
    <mergeCell ref="O377:P378"/>
    <mergeCell ref="Q377:S378"/>
    <mergeCell ref="U377:Z378"/>
    <mergeCell ref="G396:J396"/>
    <mergeCell ref="F370:G370"/>
    <mergeCell ref="I370:J370"/>
    <mergeCell ref="D372:E372"/>
    <mergeCell ref="F372:K372"/>
    <mergeCell ref="L372:P372"/>
    <mergeCell ref="R372:X372"/>
    <mergeCell ref="Y372:Z372"/>
    <mergeCell ref="AA372:AB372"/>
    <mergeCell ref="D373:E373"/>
    <mergeCell ref="F373:K373"/>
    <mergeCell ref="L373:P373"/>
    <mergeCell ref="R373:X373"/>
    <mergeCell ref="Y373:Z373"/>
    <mergeCell ref="AA373:AB373"/>
    <mergeCell ref="C384:J384"/>
    <mergeCell ref="L378:N379"/>
    <mergeCell ref="AA378:AF379"/>
    <mergeCell ref="O413:T413"/>
    <mergeCell ref="V413:X413"/>
    <mergeCell ref="Y413:AA413"/>
    <mergeCell ref="AE413:AF413"/>
    <mergeCell ref="AE412:AF412"/>
    <mergeCell ref="Q364:Q365"/>
    <mergeCell ref="S364:U365"/>
    <mergeCell ref="AE410:AF410"/>
    <mergeCell ref="K382:Y382"/>
    <mergeCell ref="K383:Y383"/>
    <mergeCell ref="K384:Y384"/>
    <mergeCell ref="G376:J377"/>
    <mergeCell ref="L376:N377"/>
    <mergeCell ref="O410:R410"/>
    <mergeCell ref="S410:V410"/>
    <mergeCell ref="W410:X410"/>
    <mergeCell ref="Y410:Z410"/>
    <mergeCell ref="AA410:AB410"/>
    <mergeCell ref="AC410:AD410"/>
    <mergeCell ref="AD382:AF382"/>
    <mergeCell ref="C362:C363"/>
    <mergeCell ref="E362:E363"/>
    <mergeCell ref="F362:G363"/>
    <mergeCell ref="I362:J363"/>
    <mergeCell ref="Q362:Q363"/>
    <mergeCell ref="S362:U363"/>
    <mergeCell ref="N363:P364"/>
    <mergeCell ref="G367:J368"/>
    <mergeCell ref="N367:P368"/>
    <mergeCell ref="R367:R368"/>
    <mergeCell ref="V363:Y364"/>
    <mergeCell ref="Z363:AA364"/>
    <mergeCell ref="AB363:AC364"/>
    <mergeCell ref="R363:R364"/>
    <mergeCell ref="V367:Y368"/>
    <mergeCell ref="Z367:AA368"/>
    <mergeCell ref="AB367:AC368"/>
    <mergeCell ref="C368:C369"/>
    <mergeCell ref="F368:F369"/>
    <mergeCell ref="Q368:Q369"/>
    <mergeCell ref="S368:U369"/>
    <mergeCell ref="C366:C367"/>
    <mergeCell ref="F366:F367"/>
    <mergeCell ref="Q366:Q367"/>
    <mergeCell ref="S366:U367"/>
    <mergeCell ref="D367:E368"/>
    <mergeCell ref="C364:C365"/>
    <mergeCell ref="AF352:AF353"/>
    <mergeCell ref="Y354:AA355"/>
    <mergeCell ref="AB354:AB355"/>
    <mergeCell ref="AC354:AD355"/>
    <mergeCell ref="AE354:AE355"/>
    <mergeCell ref="AF354:AF355"/>
    <mergeCell ref="Y356:AA356"/>
    <mergeCell ref="AC356:AD356"/>
    <mergeCell ref="C358:C359"/>
    <mergeCell ref="F358:G359"/>
    <mergeCell ref="J358:L359"/>
    <mergeCell ref="Q358:Q359"/>
    <mergeCell ref="S358:U359"/>
    <mergeCell ref="D359:E360"/>
    <mergeCell ref="I359:I360"/>
    <mergeCell ref="N359:P360"/>
    <mergeCell ref="R359:R360"/>
    <mergeCell ref="V359:Y360"/>
    <mergeCell ref="Z359:AA360"/>
    <mergeCell ref="AB359:AC360"/>
    <mergeCell ref="C360:C361"/>
    <mergeCell ref="F360:G361"/>
    <mergeCell ref="J360:K361"/>
    <mergeCell ref="Q360:Q361"/>
    <mergeCell ref="S360:U361"/>
    <mergeCell ref="AC350:AD351"/>
    <mergeCell ref="D349:G351"/>
    <mergeCell ref="I349:L351"/>
    <mergeCell ref="M349:R349"/>
    <mergeCell ref="S349:X349"/>
    <mergeCell ref="Y349:AA349"/>
    <mergeCell ref="AB349:AF349"/>
    <mergeCell ref="AE350:AE351"/>
    <mergeCell ref="AF350:AF351"/>
    <mergeCell ref="C354:C355"/>
    <mergeCell ref="C350:C351"/>
    <mergeCell ref="M350:R351"/>
    <mergeCell ref="S350:X351"/>
    <mergeCell ref="Y350:AA351"/>
    <mergeCell ref="AB350:AB351"/>
    <mergeCell ref="W352:X355"/>
    <mergeCell ref="Y352:AA353"/>
    <mergeCell ref="AB352:AB353"/>
    <mergeCell ref="K352:L355"/>
    <mergeCell ref="N352:N355"/>
    <mergeCell ref="O352:R355"/>
    <mergeCell ref="S352:T355"/>
    <mergeCell ref="U352:V355"/>
    <mergeCell ref="C352:C353"/>
    <mergeCell ref="D352:D355"/>
    <mergeCell ref="E352:E355"/>
    <mergeCell ref="F352:G355"/>
    <mergeCell ref="I352:I355"/>
    <mergeCell ref="J352:J355"/>
    <mergeCell ref="M352:M355"/>
    <mergeCell ref="AC352:AD353"/>
    <mergeCell ref="AE352:AE353"/>
    <mergeCell ref="M345:S345"/>
    <mergeCell ref="T345:U345"/>
    <mergeCell ref="V345:W345"/>
    <mergeCell ref="Y345:AA345"/>
    <mergeCell ref="AC345:AD345"/>
    <mergeCell ref="AE345:AF345"/>
    <mergeCell ref="M346:S346"/>
    <mergeCell ref="T346:U346"/>
    <mergeCell ref="V346:W346"/>
    <mergeCell ref="Y346:AA346"/>
    <mergeCell ref="AC346:AD346"/>
    <mergeCell ref="AE346:AF346"/>
    <mergeCell ref="V347:W347"/>
    <mergeCell ref="Y347:AA347"/>
    <mergeCell ref="AB347:AF347"/>
    <mergeCell ref="D348:L348"/>
    <mergeCell ref="M348:X348"/>
    <mergeCell ref="Y348:AA348"/>
    <mergeCell ref="AB348:AF348"/>
    <mergeCell ref="T347:U347"/>
    <mergeCell ref="M341:N341"/>
    <mergeCell ref="O341:R341"/>
    <mergeCell ref="S341:V341"/>
    <mergeCell ref="Y341:AA341"/>
    <mergeCell ref="AC341:AD341"/>
    <mergeCell ref="AE341:AF341"/>
    <mergeCell ref="Y342:AA342"/>
    <mergeCell ref="AC342:AD342"/>
    <mergeCell ref="AE342:AF342"/>
    <mergeCell ref="M343:S343"/>
    <mergeCell ref="T343:U343"/>
    <mergeCell ref="V343:W343"/>
    <mergeCell ref="Y343:AA343"/>
    <mergeCell ref="AC343:AD343"/>
    <mergeCell ref="AE343:AF343"/>
    <mergeCell ref="M344:S344"/>
    <mergeCell ref="T344:U344"/>
    <mergeCell ref="V344:W344"/>
    <mergeCell ref="Y344:AA344"/>
    <mergeCell ref="AC344:AD344"/>
    <mergeCell ref="AE344:AF344"/>
    <mergeCell ref="R313:U313"/>
    <mergeCell ref="V313:AC313"/>
    <mergeCell ref="AD313:AF314"/>
    <mergeCell ref="R314:U314"/>
    <mergeCell ref="V314:Y314"/>
    <mergeCell ref="Z314:AA314"/>
    <mergeCell ref="AB314:AC314"/>
    <mergeCell ref="W328:Y328"/>
    <mergeCell ref="M338:V339"/>
    <mergeCell ref="W338:X339"/>
    <mergeCell ref="Y338:AA338"/>
    <mergeCell ref="AB338:AF338"/>
    <mergeCell ref="Y339:AA339"/>
    <mergeCell ref="AB339:AF339"/>
    <mergeCell ref="M340:N340"/>
    <mergeCell ref="O340:R340"/>
    <mergeCell ref="S340:V340"/>
    <mergeCell ref="W340:X340"/>
    <mergeCell ref="Y340:AA340"/>
    <mergeCell ref="AB340:AF340"/>
    <mergeCell ref="AC301:AD301"/>
    <mergeCell ref="AE301:AF301"/>
    <mergeCell ref="AE302:AF302"/>
    <mergeCell ref="F295:G295"/>
    <mergeCell ref="F296:G296"/>
    <mergeCell ref="AB296:AC296"/>
    <mergeCell ref="AE297:AF297"/>
    <mergeCell ref="F298:G298"/>
    <mergeCell ref="J298:K298"/>
    <mergeCell ref="AE285:AF290"/>
    <mergeCell ref="F305:I305"/>
    <mergeCell ref="K305:M305"/>
    <mergeCell ref="AB306:AC306"/>
    <mergeCell ref="AE306:AF306"/>
    <mergeCell ref="I307:J307"/>
    <mergeCell ref="AE307:AF307"/>
    <mergeCell ref="F299:G299"/>
    <mergeCell ref="L299:M299"/>
    <mergeCell ref="R300:U300"/>
    <mergeCell ref="M291:N292"/>
    <mergeCell ref="O291:R292"/>
    <mergeCell ref="S291:V292"/>
    <mergeCell ref="W291:AB292"/>
    <mergeCell ref="S289:T290"/>
    <mergeCell ref="U289:V290"/>
    <mergeCell ref="W289:Z290"/>
    <mergeCell ref="AA289:AA290"/>
    <mergeCell ref="AB289:AB290"/>
    <mergeCell ref="AC291:AC292"/>
    <mergeCell ref="AD291:AD292"/>
    <mergeCell ref="AE291:AE292"/>
    <mergeCell ref="AF291:AF292"/>
    <mergeCell ref="D292:E292"/>
    <mergeCell ref="D294:L294"/>
    <mergeCell ref="O294:Y294"/>
    <mergeCell ref="Z294:AF294"/>
    <mergeCell ref="J290:J291"/>
    <mergeCell ref="K291:L292"/>
    <mergeCell ref="L289:L290"/>
    <mergeCell ref="M289:M290"/>
    <mergeCell ref="N289:N290"/>
    <mergeCell ref="O289:P290"/>
    <mergeCell ref="Q289:R290"/>
    <mergeCell ref="C288:C289"/>
    <mergeCell ref="D288:E288"/>
    <mergeCell ref="F288:F289"/>
    <mergeCell ref="G288:G289"/>
    <mergeCell ref="I288:I289"/>
    <mergeCell ref="C290:C291"/>
    <mergeCell ref="D290:E291"/>
    <mergeCell ref="F290:F291"/>
    <mergeCell ref="G290:G291"/>
    <mergeCell ref="I290:I291"/>
    <mergeCell ref="K289:K290"/>
    <mergeCell ref="J288:J289"/>
    <mergeCell ref="D289:E289"/>
    <mergeCell ref="T282:U282"/>
    <mergeCell ref="V282:W282"/>
    <mergeCell ref="Y282:AA282"/>
    <mergeCell ref="AB282:AD282"/>
    <mergeCell ref="AE282:AF282"/>
    <mergeCell ref="D284:I284"/>
    <mergeCell ref="J284:J285"/>
    <mergeCell ref="K284:N284"/>
    <mergeCell ref="O284:V284"/>
    <mergeCell ref="W284:AF284"/>
    <mergeCell ref="F285:F286"/>
    <mergeCell ref="G285:G286"/>
    <mergeCell ref="I285:I286"/>
    <mergeCell ref="K285:L287"/>
    <mergeCell ref="AC285:AD290"/>
    <mergeCell ref="Z287:Z288"/>
    <mergeCell ref="AA287:AA288"/>
    <mergeCell ref="M285:N287"/>
    <mergeCell ref="O285:R285"/>
    <mergeCell ref="S285:V285"/>
    <mergeCell ref="W285:X286"/>
    <mergeCell ref="Y285:Z286"/>
    <mergeCell ref="AA285:AB286"/>
    <mergeCell ref="AB287:AB288"/>
    <mergeCell ref="W268:Y268"/>
    <mergeCell ref="O275:X277"/>
    <mergeCell ref="Y275:Z277"/>
    <mergeCell ref="AA275:AB277"/>
    <mergeCell ref="AC275:AD277"/>
    <mergeCell ref="F250:J251"/>
    <mergeCell ref="C252:J252"/>
    <mergeCell ref="C286:C287"/>
    <mergeCell ref="J286:J287"/>
    <mergeCell ref="O286:R287"/>
    <mergeCell ref="S286:V287"/>
    <mergeCell ref="W287:X288"/>
    <mergeCell ref="Y287:Y288"/>
    <mergeCell ref="AE275:AF277"/>
    <mergeCell ref="O278:R278"/>
    <mergeCell ref="S278:V278"/>
    <mergeCell ref="W278:X278"/>
    <mergeCell ref="Y278:Z278"/>
    <mergeCell ref="AA278:AB278"/>
    <mergeCell ref="AC278:AD278"/>
    <mergeCell ref="AE278:AF278"/>
    <mergeCell ref="O279:R279"/>
    <mergeCell ref="S279:V279"/>
    <mergeCell ref="W279:X279"/>
    <mergeCell ref="O280:X280"/>
    <mergeCell ref="Y280:AD280"/>
    <mergeCell ref="AE280:AF280"/>
    <mergeCell ref="V281:X281"/>
    <mergeCell ref="Y281:AA281"/>
    <mergeCell ref="AB281:AD281"/>
    <mergeCell ref="AE281:AF281"/>
    <mergeCell ref="O282:S282"/>
    <mergeCell ref="AE235:AF235"/>
    <mergeCell ref="F236:G236"/>
    <mergeCell ref="J236:K236"/>
    <mergeCell ref="F237:G237"/>
    <mergeCell ref="L237:M237"/>
    <mergeCell ref="R238:U238"/>
    <mergeCell ref="AC239:AD239"/>
    <mergeCell ref="AE239:AF239"/>
    <mergeCell ref="AE240:AF240"/>
    <mergeCell ref="F243:I243"/>
    <mergeCell ref="K243:M243"/>
    <mergeCell ref="AB244:AC244"/>
    <mergeCell ref="AE244:AF244"/>
    <mergeCell ref="I245:J245"/>
    <mergeCell ref="AE245:AF245"/>
    <mergeCell ref="B250:B311"/>
    <mergeCell ref="K250:Y250"/>
    <mergeCell ref="AD250:AF250"/>
    <mergeCell ref="K251:Y251"/>
    <mergeCell ref="K252:Y252"/>
    <mergeCell ref="D253:J254"/>
    <mergeCell ref="K253:Q254"/>
    <mergeCell ref="R253:U253"/>
    <mergeCell ref="V253:AC253"/>
    <mergeCell ref="O281:T281"/>
    <mergeCell ref="AD253:AF254"/>
    <mergeCell ref="R254:U254"/>
    <mergeCell ref="V254:Y254"/>
    <mergeCell ref="Z254:AA254"/>
    <mergeCell ref="AB254:AC254"/>
    <mergeCell ref="G264:J264"/>
    <mergeCell ref="G265:J265"/>
    <mergeCell ref="D230:E230"/>
    <mergeCell ref="D232:L232"/>
    <mergeCell ref="O232:Y232"/>
    <mergeCell ref="Z232:AF232"/>
    <mergeCell ref="J228:J229"/>
    <mergeCell ref="K229:L230"/>
    <mergeCell ref="L227:L228"/>
    <mergeCell ref="M227:M228"/>
    <mergeCell ref="N227:N228"/>
    <mergeCell ref="O227:P228"/>
    <mergeCell ref="Q227:R228"/>
    <mergeCell ref="F233:G233"/>
    <mergeCell ref="F234:G234"/>
    <mergeCell ref="AB234:AC234"/>
    <mergeCell ref="K227:K228"/>
    <mergeCell ref="J226:J227"/>
    <mergeCell ref="D227:E227"/>
    <mergeCell ref="D222:I222"/>
    <mergeCell ref="J222:J223"/>
    <mergeCell ref="K222:N222"/>
    <mergeCell ref="O222:V222"/>
    <mergeCell ref="M229:N230"/>
    <mergeCell ref="O229:R230"/>
    <mergeCell ref="S229:V230"/>
    <mergeCell ref="W229:AB230"/>
    <mergeCell ref="S227:T228"/>
    <mergeCell ref="U227:V228"/>
    <mergeCell ref="W227:Z228"/>
    <mergeCell ref="AA227:AA228"/>
    <mergeCell ref="AB227:AB228"/>
    <mergeCell ref="AC229:AC230"/>
    <mergeCell ref="W222:AF222"/>
    <mergeCell ref="F223:F224"/>
    <mergeCell ref="AC223:AD228"/>
    <mergeCell ref="AE223:AF228"/>
    <mergeCell ref="G223:G224"/>
    <mergeCell ref="I223:I224"/>
    <mergeCell ref="Z225:Z226"/>
    <mergeCell ref="AA225:AA226"/>
    <mergeCell ref="M223:N225"/>
    <mergeCell ref="O223:R223"/>
    <mergeCell ref="S223:V223"/>
    <mergeCell ref="W223:X224"/>
    <mergeCell ref="Y223:Z224"/>
    <mergeCell ref="AA223:AB224"/>
    <mergeCell ref="AB225:AB226"/>
    <mergeCell ref="AD229:AD230"/>
    <mergeCell ref="AE229:AE230"/>
    <mergeCell ref="AF229:AF230"/>
    <mergeCell ref="C224:C225"/>
    <mergeCell ref="J224:J225"/>
    <mergeCell ref="O224:R225"/>
    <mergeCell ref="S224:V225"/>
    <mergeCell ref="W225:X226"/>
    <mergeCell ref="Y225:Y226"/>
    <mergeCell ref="K223:L225"/>
    <mergeCell ref="C226:C227"/>
    <mergeCell ref="D226:E226"/>
    <mergeCell ref="F226:F227"/>
    <mergeCell ref="G226:G227"/>
    <mergeCell ref="I226:I227"/>
    <mergeCell ref="C228:C229"/>
    <mergeCell ref="D228:E229"/>
    <mergeCell ref="F228:F229"/>
    <mergeCell ref="G228:G229"/>
    <mergeCell ref="I228:I229"/>
    <mergeCell ref="B188:B249"/>
    <mergeCell ref="AD188:AF188"/>
    <mergeCell ref="I191:J191"/>
    <mergeCell ref="K191:V191"/>
    <mergeCell ref="W191:AC192"/>
    <mergeCell ref="AD191:AF192"/>
    <mergeCell ref="O219:T219"/>
    <mergeCell ref="I192:J192"/>
    <mergeCell ref="K192:M192"/>
    <mergeCell ref="N192:R192"/>
    <mergeCell ref="S192:V192"/>
    <mergeCell ref="K188:Y188"/>
    <mergeCell ref="K189:Y189"/>
    <mergeCell ref="K190:Y190"/>
    <mergeCell ref="D191:H192"/>
    <mergeCell ref="C190:J190"/>
    <mergeCell ref="AA213:AB215"/>
    <mergeCell ref="AC213:AD215"/>
    <mergeCell ref="AE213:AF215"/>
    <mergeCell ref="O216:R216"/>
    <mergeCell ref="S216:V216"/>
    <mergeCell ref="W216:X216"/>
    <mergeCell ref="Y216:Z216"/>
    <mergeCell ref="AA216:AB216"/>
    <mergeCell ref="AC216:AD216"/>
    <mergeCell ref="AE216:AF216"/>
    <mergeCell ref="O217:R217"/>
    <mergeCell ref="S217:V217"/>
    <mergeCell ref="W217:X217"/>
    <mergeCell ref="O218:X218"/>
    <mergeCell ref="Y218:AD218"/>
    <mergeCell ref="AE218:AF218"/>
    <mergeCell ref="AE173:AF173"/>
    <mergeCell ref="F174:G174"/>
    <mergeCell ref="J174:K174"/>
    <mergeCell ref="F175:G175"/>
    <mergeCell ref="L175:M175"/>
    <mergeCell ref="R176:U176"/>
    <mergeCell ref="AC177:AD177"/>
    <mergeCell ref="AE177:AF177"/>
    <mergeCell ref="AE178:AF178"/>
    <mergeCell ref="F181:I181"/>
    <mergeCell ref="K181:M181"/>
    <mergeCell ref="AB182:AC182"/>
    <mergeCell ref="AE182:AF182"/>
    <mergeCell ref="I183:J183"/>
    <mergeCell ref="AE183:AF183"/>
    <mergeCell ref="O220:S220"/>
    <mergeCell ref="T220:U220"/>
    <mergeCell ref="V220:W220"/>
    <mergeCell ref="Y220:AA220"/>
    <mergeCell ref="AB220:AD220"/>
    <mergeCell ref="AE220:AF220"/>
    <mergeCell ref="W206:Y206"/>
    <mergeCell ref="O213:X215"/>
    <mergeCell ref="Y213:Z215"/>
    <mergeCell ref="V219:X219"/>
    <mergeCell ref="Y219:AA219"/>
    <mergeCell ref="AB219:AD219"/>
    <mergeCell ref="AE219:AF219"/>
    <mergeCell ref="AC167:AC168"/>
    <mergeCell ref="AD167:AD168"/>
    <mergeCell ref="AE167:AE168"/>
    <mergeCell ref="AF167:AF168"/>
    <mergeCell ref="D168:E168"/>
    <mergeCell ref="D170:L170"/>
    <mergeCell ref="O170:Y170"/>
    <mergeCell ref="Z170:AF170"/>
    <mergeCell ref="J166:J167"/>
    <mergeCell ref="K167:L168"/>
    <mergeCell ref="L165:L166"/>
    <mergeCell ref="M165:M166"/>
    <mergeCell ref="N165:N166"/>
    <mergeCell ref="O165:P166"/>
    <mergeCell ref="Q165:R166"/>
    <mergeCell ref="F171:G171"/>
    <mergeCell ref="F172:G172"/>
    <mergeCell ref="AB172:AC172"/>
    <mergeCell ref="C162:C163"/>
    <mergeCell ref="J162:J163"/>
    <mergeCell ref="O162:R163"/>
    <mergeCell ref="S162:V163"/>
    <mergeCell ref="W163:X164"/>
    <mergeCell ref="Y163:Y164"/>
    <mergeCell ref="K161:L163"/>
    <mergeCell ref="C164:C165"/>
    <mergeCell ref="D164:E164"/>
    <mergeCell ref="F164:F165"/>
    <mergeCell ref="G164:G165"/>
    <mergeCell ref="I164:I165"/>
    <mergeCell ref="C166:C167"/>
    <mergeCell ref="D166:E167"/>
    <mergeCell ref="F166:F167"/>
    <mergeCell ref="G166:G167"/>
    <mergeCell ref="I166:I167"/>
    <mergeCell ref="K165:K166"/>
    <mergeCell ref="J164:J165"/>
    <mergeCell ref="D165:E165"/>
    <mergeCell ref="J160:J161"/>
    <mergeCell ref="K160:N160"/>
    <mergeCell ref="O160:V160"/>
    <mergeCell ref="M167:N168"/>
    <mergeCell ref="O167:R168"/>
    <mergeCell ref="S167:V168"/>
    <mergeCell ref="W167:AB168"/>
    <mergeCell ref="S165:T166"/>
    <mergeCell ref="U165:V166"/>
    <mergeCell ref="W165:Z166"/>
    <mergeCell ref="AA165:AA166"/>
    <mergeCell ref="AB165:AB166"/>
    <mergeCell ref="S155:V155"/>
    <mergeCell ref="W155:X155"/>
    <mergeCell ref="O156:X156"/>
    <mergeCell ref="Y156:AD156"/>
    <mergeCell ref="AE156:AF156"/>
    <mergeCell ref="Y157:AA157"/>
    <mergeCell ref="AB157:AD157"/>
    <mergeCell ref="AE157:AF157"/>
    <mergeCell ref="O158:S158"/>
    <mergeCell ref="T158:U158"/>
    <mergeCell ref="V158:W158"/>
    <mergeCell ref="Y158:AA158"/>
    <mergeCell ref="AB158:AD158"/>
    <mergeCell ref="AE158:AF158"/>
    <mergeCell ref="W160:AF160"/>
    <mergeCell ref="F161:F162"/>
    <mergeCell ref="AC161:AD166"/>
    <mergeCell ref="AE161:AF166"/>
    <mergeCell ref="G161:G162"/>
    <mergeCell ref="I161:I162"/>
    <mergeCell ref="Z163:Z164"/>
    <mergeCell ref="AA163:AA164"/>
    <mergeCell ref="M161:N163"/>
    <mergeCell ref="O161:R161"/>
    <mergeCell ref="S161:V161"/>
    <mergeCell ref="W161:X162"/>
    <mergeCell ref="Y161:Z162"/>
    <mergeCell ref="AA161:AB162"/>
    <mergeCell ref="AB163:AB164"/>
    <mergeCell ref="D160:I160"/>
    <mergeCell ref="B126:B187"/>
    <mergeCell ref="K126:Y126"/>
    <mergeCell ref="AD126:AF126"/>
    <mergeCell ref="K127:Y127"/>
    <mergeCell ref="K128:Y128"/>
    <mergeCell ref="I129:J129"/>
    <mergeCell ref="K129:V129"/>
    <mergeCell ref="W129:AC130"/>
    <mergeCell ref="O157:T157"/>
    <mergeCell ref="V157:X157"/>
    <mergeCell ref="AD129:AF130"/>
    <mergeCell ref="I130:J130"/>
    <mergeCell ref="K130:M130"/>
    <mergeCell ref="N130:R130"/>
    <mergeCell ref="S130:V130"/>
    <mergeCell ref="W144:Y144"/>
    <mergeCell ref="O151:X153"/>
    <mergeCell ref="Y151:Z153"/>
    <mergeCell ref="AA151:AB153"/>
    <mergeCell ref="AC151:AD153"/>
    <mergeCell ref="AE151:AF153"/>
    <mergeCell ref="O154:R154"/>
    <mergeCell ref="S154:V154"/>
    <mergeCell ref="W154:X154"/>
    <mergeCell ref="Y154:Z154"/>
    <mergeCell ref="AA154:AB154"/>
    <mergeCell ref="D129:H130"/>
    <mergeCell ref="F126:J127"/>
    <mergeCell ref="C128:J128"/>
    <mergeCell ref="AC154:AD154"/>
    <mergeCell ref="AE154:AF154"/>
    <mergeCell ref="O155:R155"/>
    <mergeCell ref="F112:G112"/>
    <mergeCell ref="I112:J112"/>
    <mergeCell ref="P112:S112"/>
    <mergeCell ref="T112:W112"/>
    <mergeCell ref="AA112:AB112"/>
    <mergeCell ref="AC112:AE112"/>
    <mergeCell ref="I123:K123"/>
    <mergeCell ref="S123:V123"/>
    <mergeCell ref="AC123:AD123"/>
    <mergeCell ref="E114:F114"/>
    <mergeCell ref="J114:L114"/>
    <mergeCell ref="M116:N116"/>
    <mergeCell ref="O116:Q116"/>
    <mergeCell ref="I121:J121"/>
    <mergeCell ref="S121:V121"/>
    <mergeCell ref="AE100:AF105"/>
    <mergeCell ref="AA102:AA103"/>
    <mergeCell ref="AB102:AB103"/>
    <mergeCell ref="AC121:AD121"/>
    <mergeCell ref="I122:J122"/>
    <mergeCell ref="S122:V122"/>
    <mergeCell ref="AC122:AD122"/>
    <mergeCell ref="T106:V107"/>
    <mergeCell ref="W106:AB107"/>
    <mergeCell ref="T104:T105"/>
    <mergeCell ref="U104:V105"/>
    <mergeCell ref="W104:Z105"/>
    <mergeCell ref="AA104:AA105"/>
    <mergeCell ref="AB104:AB105"/>
    <mergeCell ref="AC106:AC107"/>
    <mergeCell ref="AD106:AD107"/>
    <mergeCell ref="AE106:AE107"/>
    <mergeCell ref="AF106:AF107"/>
    <mergeCell ref="D107:E107"/>
    <mergeCell ref="G107:I107"/>
    <mergeCell ref="K105:K106"/>
    <mergeCell ref="L106:M107"/>
    <mergeCell ref="N106:O107"/>
    <mergeCell ref="P106:S107"/>
    <mergeCell ref="D109:L109"/>
    <mergeCell ref="M109:X109"/>
    <mergeCell ref="Y109:AF109"/>
    <mergeCell ref="S110:V110"/>
    <mergeCell ref="AC110:AD110"/>
    <mergeCell ref="S111:V111"/>
    <mergeCell ref="AC111:AD111"/>
    <mergeCell ref="M104:M105"/>
    <mergeCell ref="N104:N105"/>
    <mergeCell ref="O104:O105"/>
    <mergeCell ref="P104:P105"/>
    <mergeCell ref="Q104:S105"/>
    <mergeCell ref="AC100:AD105"/>
    <mergeCell ref="C103:C104"/>
    <mergeCell ref="D103:E103"/>
    <mergeCell ref="F103:F104"/>
    <mergeCell ref="G103:I104"/>
    <mergeCell ref="J103:J104"/>
    <mergeCell ref="C105:C106"/>
    <mergeCell ref="D105:E106"/>
    <mergeCell ref="F105:F106"/>
    <mergeCell ref="G105:I106"/>
    <mergeCell ref="J105:J106"/>
    <mergeCell ref="L104:L105"/>
    <mergeCell ref="K103:K104"/>
    <mergeCell ref="D104:E104"/>
    <mergeCell ref="D99:J99"/>
    <mergeCell ref="K99:K100"/>
    <mergeCell ref="L99:O99"/>
    <mergeCell ref="P99:V99"/>
    <mergeCell ref="C101:C102"/>
    <mergeCell ref="J100:J101"/>
    <mergeCell ref="L100:M102"/>
    <mergeCell ref="Y90:Z91"/>
    <mergeCell ref="AA90:AB91"/>
    <mergeCell ref="AC90:AF91"/>
    <mergeCell ref="P92:S92"/>
    <mergeCell ref="T92:V92"/>
    <mergeCell ref="W92:X92"/>
    <mergeCell ref="Y92:Z92"/>
    <mergeCell ref="AA92:AB92"/>
    <mergeCell ref="AC92:AD92"/>
    <mergeCell ref="P93:Q93"/>
    <mergeCell ref="R93:S93"/>
    <mergeCell ref="T93:U93"/>
    <mergeCell ref="P94:X94"/>
    <mergeCell ref="Y94:AD94"/>
    <mergeCell ref="AE94:AF94"/>
    <mergeCell ref="AE95:AF95"/>
    <mergeCell ref="P96:S96"/>
    <mergeCell ref="T96:U96"/>
    <mergeCell ref="V96:W96"/>
    <mergeCell ref="Y96:AA96"/>
    <mergeCell ref="AB96:AD96"/>
    <mergeCell ref="AE96:AF96"/>
    <mergeCell ref="I60:J60"/>
    <mergeCell ref="S60:V60"/>
    <mergeCell ref="AC60:AD60"/>
    <mergeCell ref="I61:K61"/>
    <mergeCell ref="S61:V61"/>
    <mergeCell ref="AC61:AD61"/>
    <mergeCell ref="P100:S100"/>
    <mergeCell ref="T100:V100"/>
    <mergeCell ref="W100:X101"/>
    <mergeCell ref="Y100:Z101"/>
    <mergeCell ref="AA100:AB101"/>
    <mergeCell ref="AC59:AD59"/>
    <mergeCell ref="P95:U95"/>
    <mergeCell ref="V95:X95"/>
    <mergeCell ref="Y95:AA95"/>
    <mergeCell ref="AB95:AD95"/>
    <mergeCell ref="AE92:AF92"/>
    <mergeCell ref="K101:K102"/>
    <mergeCell ref="P101:S102"/>
    <mergeCell ref="T101:V102"/>
    <mergeCell ref="G102:I102"/>
    <mergeCell ref="W102:X103"/>
    <mergeCell ref="Y102:Y103"/>
    <mergeCell ref="Z102:Z103"/>
    <mergeCell ref="N100:O102"/>
    <mergeCell ref="H76:J76"/>
    <mergeCell ref="AD65:AF65"/>
    <mergeCell ref="P90:X91"/>
    <mergeCell ref="C66:J66"/>
    <mergeCell ref="W99:AF99"/>
    <mergeCell ref="F100:F101"/>
    <mergeCell ref="G100:I101"/>
    <mergeCell ref="B64:B125"/>
    <mergeCell ref="K64:Y64"/>
    <mergeCell ref="AD64:AF64"/>
    <mergeCell ref="K65:Y65"/>
    <mergeCell ref="K66:Y66"/>
    <mergeCell ref="D67:I68"/>
    <mergeCell ref="J67:K67"/>
    <mergeCell ref="AD44:AD45"/>
    <mergeCell ref="AE44:AE45"/>
    <mergeCell ref="N44:O45"/>
    <mergeCell ref="J68:K68"/>
    <mergeCell ref="L68:N68"/>
    <mergeCell ref="O68:S68"/>
    <mergeCell ref="T68:V68"/>
    <mergeCell ref="L67:V67"/>
    <mergeCell ref="W67:AC68"/>
    <mergeCell ref="AD67:AF68"/>
    <mergeCell ref="AF44:AF45"/>
    <mergeCell ref="D45:E45"/>
    <mergeCell ref="G45:I45"/>
    <mergeCell ref="D47:L47"/>
    <mergeCell ref="M47:X47"/>
    <mergeCell ref="Y47:AF47"/>
    <mergeCell ref="P44:S45"/>
    <mergeCell ref="T44:V45"/>
    <mergeCell ref="W44:AB45"/>
    <mergeCell ref="AC44:AC45"/>
    <mergeCell ref="S48:V48"/>
    <mergeCell ref="AC48:AD48"/>
    <mergeCell ref="S49:V49"/>
    <mergeCell ref="AC49:AD49"/>
    <mergeCell ref="F50:G50"/>
    <mergeCell ref="C41:C42"/>
    <mergeCell ref="D41:E41"/>
    <mergeCell ref="F41:F42"/>
    <mergeCell ref="G41:I42"/>
    <mergeCell ref="J41:J42"/>
    <mergeCell ref="K41:K42"/>
    <mergeCell ref="D42:E42"/>
    <mergeCell ref="AA42:AA43"/>
    <mergeCell ref="AB42:AB43"/>
    <mergeCell ref="C43:C44"/>
    <mergeCell ref="D43:E44"/>
    <mergeCell ref="F43:F44"/>
    <mergeCell ref="G43:I44"/>
    <mergeCell ref="J43:J44"/>
    <mergeCell ref="K43:K44"/>
    <mergeCell ref="L44:M45"/>
    <mergeCell ref="L42:L43"/>
    <mergeCell ref="AB40:AB41"/>
    <mergeCell ref="T42:T43"/>
    <mergeCell ref="U42:V43"/>
    <mergeCell ref="W42:Z43"/>
    <mergeCell ref="Z40:Z41"/>
    <mergeCell ref="AA40:AA41"/>
    <mergeCell ref="P39:S40"/>
    <mergeCell ref="T39:V40"/>
    <mergeCell ref="M54:N54"/>
    <mergeCell ref="O54:Q54"/>
    <mergeCell ref="I59:J59"/>
    <mergeCell ref="S59:V59"/>
    <mergeCell ref="M42:M43"/>
    <mergeCell ref="N42:N43"/>
    <mergeCell ref="I50:J50"/>
    <mergeCell ref="P50:S50"/>
    <mergeCell ref="T50:W50"/>
    <mergeCell ref="AA50:AB50"/>
    <mergeCell ref="AC50:AE50"/>
    <mergeCell ref="L38:M40"/>
    <mergeCell ref="N38:O40"/>
    <mergeCell ref="P34:S34"/>
    <mergeCell ref="T34:U34"/>
    <mergeCell ref="V34:W34"/>
    <mergeCell ref="Y34:AA34"/>
    <mergeCell ref="W40:X41"/>
    <mergeCell ref="Y40:Y41"/>
    <mergeCell ref="C4:J4"/>
    <mergeCell ref="J6:K6"/>
    <mergeCell ref="C39:C40"/>
    <mergeCell ref="K39:K40"/>
    <mergeCell ref="G40:I40"/>
    <mergeCell ref="P38:S38"/>
    <mergeCell ref="T38:V38"/>
    <mergeCell ref="W38:X39"/>
    <mergeCell ref="Y38:Z39"/>
    <mergeCell ref="AA38:AB39"/>
    <mergeCell ref="AC38:AD43"/>
    <mergeCell ref="AB34:AD34"/>
    <mergeCell ref="AE34:AF34"/>
    <mergeCell ref="P32:X32"/>
    <mergeCell ref="Y32:AD32"/>
    <mergeCell ref="AE38:AF43"/>
    <mergeCell ref="O42:O43"/>
    <mergeCell ref="P42:P43"/>
    <mergeCell ref="Q42:S43"/>
    <mergeCell ref="AE33:AF33"/>
    <mergeCell ref="AA28:AB29"/>
    <mergeCell ref="AC28:AF29"/>
    <mergeCell ref="P30:S30"/>
    <mergeCell ref="T30:V30"/>
    <mergeCell ref="W30:X30"/>
    <mergeCell ref="Y30:Z30"/>
    <mergeCell ref="AA30:AB30"/>
    <mergeCell ref="AC30:AD30"/>
    <mergeCell ref="AE30:AF30"/>
    <mergeCell ref="Y28:Z29"/>
    <mergeCell ref="W37:AF37"/>
    <mergeCell ref="F38:F39"/>
    <mergeCell ref="B2:B63"/>
    <mergeCell ref="P28:X29"/>
    <mergeCell ref="P31:Q31"/>
    <mergeCell ref="R31:S31"/>
    <mergeCell ref="T31:U31"/>
    <mergeCell ref="K2:Y2"/>
    <mergeCell ref="D37:J37"/>
    <mergeCell ref="K37:K38"/>
    <mergeCell ref="L37:O37"/>
    <mergeCell ref="P37:V37"/>
    <mergeCell ref="L6:N6"/>
    <mergeCell ref="O6:S6"/>
    <mergeCell ref="T6:V6"/>
    <mergeCell ref="H14:J14"/>
    <mergeCell ref="AE32:AF32"/>
    <mergeCell ref="P33:U33"/>
    <mergeCell ref="V33:X33"/>
    <mergeCell ref="Y33:AA33"/>
    <mergeCell ref="AB33:AD33"/>
    <mergeCell ref="E52:F52"/>
    <mergeCell ref="J52:L52"/>
    <mergeCell ref="AD2:AF2"/>
    <mergeCell ref="K3:Y3"/>
    <mergeCell ref="K4:Y4"/>
    <mergeCell ref="D5:I6"/>
    <mergeCell ref="J5:K5"/>
    <mergeCell ref="L5:V5"/>
    <mergeCell ref="W5:AC6"/>
    <mergeCell ref="AD5:AF6"/>
    <mergeCell ref="G38:I39"/>
    <mergeCell ref="J38:J39"/>
    <mergeCell ref="F2:J3"/>
  </mergeCells>
  <phoneticPr fontId="1"/>
  <dataValidations count="1">
    <dataValidation type="decimal" operator="equal" allowBlank="1" showInputMessage="1" showErrorMessage="1" sqref="AF357 AF489">
      <formula1>9999</formula1>
    </dataValidation>
  </dataValidations>
  <hyperlinks>
    <hyperlink ref="AH4" r:id="rId1" location="受変!A1"/>
    <hyperlink ref="AH5" r:id="rId2" location="発電!A1"/>
    <hyperlink ref="AH2" r:id="rId3" location="Help!B1883"/>
    <hyperlink ref="AH7" location="'S4'!A1" display="自立例"/>
    <hyperlink ref="AH67" location="'S4'!A1" display="戻る"/>
    <hyperlink ref="AH8" location="'S4'!A64" display="自立盤"/>
    <hyperlink ref="AH129" location="'S4'!A1" display="戻る"/>
    <hyperlink ref="AH9" location="'S4'!A126" display="RC壁例"/>
    <hyperlink ref="AH10" location="'S4'!A188" display="RC壁盤"/>
    <hyperlink ref="AH253" location="'S4'!A1" display="戻る"/>
    <hyperlink ref="AH11" location="'S4'!A250" display="LGS例"/>
    <hyperlink ref="AH385" location="'S4'!A1" display="戻る"/>
    <hyperlink ref="AH12" location="'S4'!A382" display="LGS盤"/>
    <hyperlink ref="AH512" location="'S4'!A1" display="戻る"/>
    <hyperlink ref="AH191" location="'S4'!A1" display="戻る"/>
  </hyperlinks>
  <pageMargins left="0.59055118110236227" right="0.39370078740157483" top="0.59055118110236227" bottom="0.39370078740157483" header="0.31496062992125984" footer="0.31496062992125984"/>
  <pageSetup paperSize="9" scale="94" fitToHeight="0" orientation="portrait" r:id="rId4"/>
  <rowBreaks count="7" manualBreakCount="7">
    <brk id="63" min="1" max="31" man="1"/>
    <brk id="125" min="1" max="31" man="1"/>
    <brk id="187" min="1" max="31" man="1"/>
    <brk id="249" min="1" max="31" man="1"/>
    <brk id="311" min="1" max="31" man="1"/>
    <brk id="381" min="1" max="31" man="1"/>
    <brk id="443" min="1" max="31" man="1"/>
  </rowBreaks>
  <colBreaks count="1" manualBreakCount="1">
    <brk id="32" min="1" max="2165" man="1"/>
  </col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48</vt:i4>
      </vt:variant>
    </vt:vector>
  </HeadingPairs>
  <TitlesOfParts>
    <vt:vector size="59" baseType="lpstr">
      <vt:lpstr>非誘</vt:lpstr>
      <vt:lpstr>火煙</vt:lpstr>
      <vt:lpstr>雷保</vt:lpstr>
      <vt:lpstr>電話</vt:lpstr>
      <vt:lpstr>放送</vt:lpstr>
      <vt:lpstr>TV</vt:lpstr>
      <vt:lpstr>S1</vt:lpstr>
      <vt:lpstr>S2</vt:lpstr>
      <vt:lpstr>S4</vt:lpstr>
      <vt:lpstr>S6</vt:lpstr>
      <vt:lpstr>S7</vt:lpstr>
      <vt:lpstr>'S7'!ＣＶ</vt:lpstr>
      <vt:lpstr>'S7'!ＣＶＴ</vt:lpstr>
      <vt:lpstr>'S7'!ＩＶ</vt:lpstr>
      <vt:lpstr>'S1'!Print_Area</vt:lpstr>
      <vt:lpstr>'S2'!Print_Area</vt:lpstr>
      <vt:lpstr>'S4'!Print_Area</vt:lpstr>
      <vt:lpstr>'S6'!Print_Area</vt:lpstr>
      <vt:lpstr>'S7'!Print_Area</vt:lpstr>
      <vt:lpstr>TV!Print_Area</vt:lpstr>
      <vt:lpstr>火煙!Print_Area</vt:lpstr>
      <vt:lpstr>電話!Print_Area</vt:lpstr>
      <vt:lpstr>非誘!Print_Area</vt:lpstr>
      <vt:lpstr>放送!Print_Area</vt:lpstr>
      <vt:lpstr>雷保!Print_Area</vt:lpstr>
      <vt:lpstr>'S2'!SUSP</vt:lpstr>
      <vt:lpstr>'S7'!TR1φ50</vt:lpstr>
      <vt:lpstr>'S7'!TR1φ60</vt:lpstr>
      <vt:lpstr>'S7'!TR3φ50</vt:lpstr>
      <vt:lpstr>'S7'!TR3φ60</vt:lpstr>
      <vt:lpstr>TV!TV_AP1</vt:lpstr>
      <vt:lpstr>TV!TV_AP2</vt:lpstr>
      <vt:lpstr>TV!TV_W</vt:lpstr>
      <vt:lpstr>電話!TV_W</vt:lpstr>
      <vt:lpstr>火階</vt:lpstr>
      <vt:lpstr>火煙!火受</vt:lpstr>
      <vt:lpstr>火煙!火副</vt:lpstr>
      <vt:lpstr>火煙!火報K</vt:lpstr>
      <vt:lpstr>火煙!火報P</vt:lpstr>
      <vt:lpstr>火煙!火報W</vt:lpstr>
      <vt:lpstr>火煙!火連</vt:lpstr>
      <vt:lpstr>'S2'!樹脂P</vt:lpstr>
      <vt:lpstr>'S2'!新金P</vt:lpstr>
      <vt:lpstr>電話M</vt:lpstr>
      <vt:lpstr>電話P</vt:lpstr>
      <vt:lpstr>電話W</vt:lpstr>
      <vt:lpstr>'S2'!配線器具</vt:lpstr>
      <vt:lpstr>非誘!非誘L</vt:lpstr>
      <vt:lpstr>放送!非誘L</vt:lpstr>
      <vt:lpstr>非誘!非誘W</vt:lpstr>
      <vt:lpstr>放送!非誘W</vt:lpstr>
      <vt:lpstr>放P</vt:lpstr>
      <vt:lpstr>放W</vt:lpstr>
      <vt:lpstr>放機</vt:lpstr>
      <vt:lpstr>雷保!雷1</vt:lpstr>
      <vt:lpstr>雷保!雷2</vt:lpstr>
      <vt:lpstr>雷保!雷集_1</vt:lpstr>
      <vt:lpstr>雷保!雷集_2</vt:lpstr>
      <vt:lpstr>'S2'!枠</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FJ-USER</cp:lastModifiedBy>
  <cp:lastPrinted>2018-07-26T16:05:37Z</cp:lastPrinted>
  <dcterms:created xsi:type="dcterms:W3CDTF">2015-03-03T08:06:08Z</dcterms:created>
  <dcterms:modified xsi:type="dcterms:W3CDTF">2020-09-18T13:59:29Z</dcterms:modified>
</cp:coreProperties>
</file>